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520" yWindow="0" windowWidth="25360" windowHeight="15900" tabRatio="500" firstSheet="5" activeTab="6"/>
  </bookViews>
  <sheets>
    <sheet name="Community 0" sheetId="1" r:id="rId1"/>
    <sheet name="Community 2" sheetId="2" r:id="rId2"/>
    <sheet name="Community 4" sheetId="3" r:id="rId3"/>
    <sheet name="Community 5" sheetId="4" r:id="rId4"/>
    <sheet name="Community 7" sheetId="5" r:id="rId5"/>
    <sheet name="Community 15" sheetId="6" r:id="rId6"/>
    <sheet name="Community 17" sheetId="7" r:id="rId7"/>
    <sheet name="Community 24" sheetId="8" r:id="rId8"/>
    <sheet name="Community 46" sheetId="9" r:id="rId9"/>
    <sheet name="Community 51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952" i="1" l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<sst xmlns="http://schemas.openxmlformats.org/spreadsheetml/2006/main" count="74171" uniqueCount="49424">
  <si>
    <t>geneset</t>
  </si>
  <si>
    <t>x</t>
  </si>
  <si>
    <t>X</t>
  </si>
  <si>
    <t>n</t>
  </si>
  <si>
    <t>N</t>
  </si>
  <si>
    <t>foldenrichment</t>
  </si>
  <si>
    <t>p</t>
  </si>
  <si>
    <t>genes</t>
  </si>
  <si>
    <t>Gene_Names</t>
  </si>
  <si>
    <t>padj</t>
  </si>
  <si>
    <t>genesetcollection</t>
  </si>
  <si>
    <t>link</t>
  </si>
  <si>
    <t>HALLMARK_MYC_TARGETS_V1</t>
  </si>
  <si>
    <t>4706;6175;6188;1933;6193;6204;6164;9045;6194;5901;10399;6141;11137;55651</t>
  </si>
  <si>
    <t>NDUFAB1;RPLP0;RPS3;EEF1B2;RPS5;RPS10;RPL34;RPL14;RPS6;RAN;RACK1;RPL18;PWP1;NHP2</t>
  </si>
  <si>
    <t>h</t>
  </si>
  <si>
    <t>HALLMARK_OXIDATIVE_PHOSPHORYLATION</t>
  </si>
  <si>
    <t>4706;27089;10975;4694;4695;374291;1337;1327;1350;4713;1349;521;3028;64981</t>
  </si>
  <si>
    <t>NDUFAB1;UQCRQ;UQCR11;NDUFA1;NDUFA2;NDUFS7;COX6A1;COX4I1;COX7C;NDUFB7;COX7B;ATP5ME;HSD17B10;MRPL34</t>
  </si>
  <si>
    <t>HALLMARK_ADIPOGENESIS</t>
  </si>
  <si>
    <t>4706;27089;10975;1337;4713;1349;84274</t>
  </si>
  <si>
    <t>NDUFAB1;UQCRQ;UQCR11;COX6A1;NDUFB7;COX7B;COQ5</t>
  </si>
  <si>
    <t>HALLMARK_ALLOGRAFT_REJECTION</t>
  </si>
  <si>
    <t>6133;6223;6203;7334;6189;6170</t>
  </si>
  <si>
    <t>RPL9;RPS19;RPS9;UBE2N;RPS3A;RPL39</t>
  </si>
  <si>
    <t>HALLMARK_P53_PATHWAY</t>
  </si>
  <si>
    <t>51499;6206;10399;6141;25873</t>
  </si>
  <si>
    <t>TRIAP1;RPS12;RACK1;RPL18;RPL36</t>
  </si>
  <si>
    <t>chr19p13</t>
  </si>
  <si>
    <t>11316;10975;374291;8666;100131801;4713;84337;6234;7311;6142;125988;93436;116541;126382;126328;90480;93343;64981;84266;59286;55850;51079;28974;51398;25873</t>
  </si>
  <si>
    <t>COPE;UQCR11;NDUFS7;EIF3G;PET100;NDUFB7;ELOF1;RPS28;UBA52;RPL18A;MICOS13;ARMC6;MRPL54;NR2C2AP;NDUFA11;GADD45GIP1;MVB12A;MRPL34;ALKBH7;UBL5;USE1;NDUFA13;C19orf53;WDR83OS;RPL36</t>
  </si>
  <si>
    <t>c1</t>
  </si>
  <si>
    <t>KEGG_RIBOSOME</t>
  </si>
  <si>
    <t>6176;6181;6175;6218;3921;6165;6129;6188;6206;6137;6134;6136;6133;2197;6124;6223;6122;23521;6232;11224;6157;6125;6158;6203;6193;6204;6159;6164;9045;6224;6189;6154;6138;6155;6168;6167;6201;6202;6210;6228;6222;6235;6207;6205;6130;6191;6147;6194;9349;6209;6229;6230;6234;6156;6170;6160;4736;6161;6132;6171;6233;7311;6169;6227;6152;6173;6143;6142;6141;51121;25873</t>
  </si>
  <si>
    <t>RPLP1;RPLP2;RPLP0;RPS17;RPSA;RPL35A;RPL7;RPS3;RPS12;RPL13;RPL10;RPL12;RPL9;FAU;RPL4;RPS19;RPL3;RPL13A;RPS27;RPL35;RPL27A;RPL5;RPL28;RPS9;RPS5;RPS10;RPL29;RPL34;RPL14;RPS20;RPS3A;RPL26;RPL15;RPL27;RPL37A;RPL37;RPS7;RPS8;RPS15A;RPS23;RPS18;RPS29;RPS13;RPS11;RPL7A;RPS4X;RPL23A;RPS6;RPL23;RPS15;RPS24;RPS25;RPS28;RPL30;RPL39;RPL31;RPL10A;RPL32;RPL8;RPL41;RPS27A;UBA52;RPL38;RPS21;RPL24;RPL36A;RPL19;RPL18A;RPL18;RPL26L1;RPL36</t>
  </si>
  <si>
    <t>c2</t>
  </si>
  <si>
    <t>REACTOME_TRANSLATION</t>
  </si>
  <si>
    <t>8667;8666;6176;6181;6175;6218;3921;6165;6129;6188;1933;6206;6137;6134;1936;6136;6133;2197;6124;6223;6122;23521;6232;11224;6157;6125;6158;6203;6193;6204;6159;6164;9045;3646;6224;6189;6154;6138;6155;6168;6167;6201;6202;6210;6208;6228;6222;6235;6207;6205;6130;6191;6147;6194;9349;6209;6229;6230;6234;6156;6170;6160;4736;6161;6132;6171;6233;7311;6169;6227;1915;6152;6173;6143;6142;6141;51121;25873</t>
  </si>
  <si>
    <t>EIF3H;EIF3G;RPLP1;RPLP2;RPLP0;RPS17;RPSA;RPL35A;RPL7;RPS3;EEF1B2;RPS12;RPL13;RPL10;EEF1D;RPL12;RPL9;FAU;RPL4;RPS19;RPL3;RPL13A;RPS27;RPL35;RPL27A;RPL5;RPL28;RPS9;RPS5;RPS10;RPL29;RPL34;RPL14;EIF3E;RPS20;RPS3A;RPL26;RPL15;RPL27;RPL37A;RPL37;RPS7;RPS8;RPS15A;RPS14;RPS23;RPS18;RPS29;RPS13;RPS11;RPL7A;RPS4X;RPL23A;RPS6;RPL23;RPS15;RPS24;RPS25;RPS28;RPL30;RPL39;RPL31;RPL10A;RPL32;RPL8;RPL41;RPS27A;UBA52;RPL38;RPS21;EEF1A1;RPL24;RPL36A;RPL19;RPL18A;RPL18;RPL26L1;RPL36</t>
  </si>
  <si>
    <t>REACTOME_3_UTR_MEDIATED_TRANSLATIONAL_REGULATION</t>
  </si>
  <si>
    <t>8667;8666;6176;6181;6175;6218;3921;6165;6129;6188;6206;6137;6134;6136;6133;2197;6124;6223;6122;23521;6232;11224;6157;6125;6158;6203;6193;6204;6159;6164;9045;3646;6224;6189;6154;6138;6155;6168;6167;6201;6202;6210;6208;6228;6222;6235;6207;6205;6130;6191;6147;6194;9349;6209;6229;6230;6234;6156;6170;6160;4736;6161;6132;6171;6233;7311;6169;6227;6152;6173;6143;6142;6141;51121;25873</t>
  </si>
  <si>
    <t>EIF3H;EIF3G;RPLP1;RPLP2;RPLP0;RPS17;RPSA;RPL35A;RPL7;RPS3;RPS12;RPL13;RPL10;RPL12;RPL9;FAU;RPL4;RPS19;RPL3;RPL13A;RPS27;RPL35;RPL27A;RPL5;RPL28;RPS9;RPS5;RPS10;RPL29;RPL34;RPL14;EIF3E;RPS20;RPS3A;RPL26;RPL15;RPL27;RPL37A;RPL37;RPS7;RPS8;RPS15A;RPS14;RPS23;RPS18;RPS29;RPS13;RPS11;RPL7A;RPS4X;RPL23A;RPS6;RPL23;RPS15;RPS24;RPS25;RPS28;RPL30;RPL39;RPL31;RPL10A;RPL32;RPL8;RPL41;RPS27A;UBA52;RPL38;RPS21;RPL24;RPL36A;RPL19;RPL18A;RPL18;RPL26L1;RPL36</t>
  </si>
  <si>
    <t>REACTOME_PEPTIDE_CHAIN_ELONGATION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</si>
  <si>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1915;6152;6173;6143;6142;6141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</si>
  <si>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EEF1A1;RPL24;RPL36A;RPL19;RPL18A;RPL18;RPL26L1;RPL36</t>
  </si>
  <si>
    <t>REACTOME_INFLUENZA_VIRAL_RNA_TRANSCRIPTION_AND_REPLICATION</t>
  </si>
  <si>
    <t>6176;6181;6175;6218;3921;6165;6129;6188;6206;6137;6134;6136;6133;2197;6124;6223;6122;23521;6232;11224;6157;6125;6158;6203;6193;6204;6159;6164;9045;6224;6189;6154;6138;6155;6168;6167;6201;6202;6210;6208;6228;6222;6235;6207;6205;6130;5436;6191;6147;6194;9349;6209;6229;6230;6234;6156;6170;6160;4736;6161;6132;6171;6233;7311;6169;6227;6152;6173;6143;6142;6141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</si>
  <si>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POLR2G;RPS4X;RPL23A;RPS6;RPL23;RPS15;RPS24;RPS25;RPS28;RPL30;RPL39;RPL31;RPL10A;RPL32;RPL8;RPL41;RPS27A;UBA52;RPL38;RPS21;RPL24;RPL36A;RPL19;RPL18A;RPL18;RPL26L1;RPL36</t>
  </si>
  <si>
    <t>REACTOME_INFLUENZA_LIFE_CYCLE</t>
  </si>
  <si>
    <t>6176;6181;6175;6218;3921;6165;6129;6188;6206;6137;6134;6136;6133;2197;6124;6223;6122;23521;6232;11224;6157;6125;6158;6203;6193;6204;6159;6164;9045;6224;6189;6154;6138;6155;6168;6167;6201;6202;6210;6208;6228;6222;6235;6207;6205;6130;5436;6191;6147;6194;5901;9349;6209;6229;6230;6234;6156;6170;6160;4736;6161;6132;6171;6233;7311;6169;6227;6152;6173;6143;6142;6141;79023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</si>
  <si>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POLR2G;RPS4X;RPL23A;RPS6;RAN;RPL23;RPS15;RPS24;RPS25;RPS28;RPL30;RPL39;RPL31;RPL10A;RPL32;RPL8;RPL41;RPS27A;UBA52;RPL38;RPS21;RPL24;RPL36A;RPL19;RPL18A;RPL18;NUP37;RPL26L1;RPL36</t>
  </si>
  <si>
    <t>REACTOME_NONSENSE_MEDIATED_DECAY_ENHANCED_BY_THE_EXON_JUNCTION_COMPLEX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</si>
  <si>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</si>
  <si>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RPL26L1;RPL36</t>
  </si>
  <si>
    <t>REACTOME_SRP_DEPENDENT_COTRANSLATIONAL_PROTEIN_TARGETING_TO_MEMBRANE</t>
  </si>
  <si>
    <t>REACTOME_METABOLISM_OF_MRNA</t>
  </si>
  <si>
    <t>REACTOME_METABOLISM_OF_RNA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</si>
  <si>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79023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</si>
  <si>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NUP37;RPL26L1;RPL36</t>
  </si>
  <si>
    <t>REACTOME_METABOLISM_OF_PROTEINS</t>
  </si>
  <si>
    <t>8667;10245;8666;6176;6181;6175;6218;3921;6165;6129;6188;1933;6206;6137;6134;1936;6136;6133;2197;6124;6223;6122;23521;6232;11224;6157;6125;6158;6203;6193;6204;6159;6164;9045;3646;6224;6189;6154;6138;6155;6168;6167;6201;6202;6210;6208;6228;6222;6235;6207;6205;6130;6191;6147;6194;9349;6209;6229;6230;6234;6156;6170;6160;4736;6161;6132;6171;6233;7311;6169;6227;1915;6152;6173;6143;6142;6141;5204;51121;25873</t>
  </si>
  <si>
    <t>EIF3H;TIMM17B;EIF3G;RPLP1;RPLP2;RPLP0;RPS17;RPSA;RPL35A;RPL7;RPS3;EEF1B2;RPS12;RPL13;RPL10;EEF1D;RPL12;RPL9;FAU;RPL4;RPS19;RPL3;RPL13A;RPS27;RPL35;RPL27A;RPL5;RPL28;RPS9;RPS5;RPS10;RPL29;RPL34;RPL14;EIF3E;RPS20;RPS3A;RPL26;RPL15;RPL27;RPL37A;RPL37;RPS7;RPS8;RPS15A;RPS14;RPS23;RPS18;RPS29;RPS13;RPS11;RPL7A;RPS4X;RPL23A;RPS6;RPL23;RPS15;RPS24;RPS25;RPS28;RPL30;RPL39;RPL31;RPL10A;RPL32;RPL8;RPL41;RPS27A;UBA52;RPL38;RPS21;EEF1A1;RPL24;RPL36A;RPL19;RPL18A;RPL18;PFDN5;RPL26L1;RPL36</t>
  </si>
  <si>
    <t>HSIAO_HOUSEKEEPING_GENES</t>
  </si>
  <si>
    <t>6176;6181;6175;6218;3921;1337;1327;7178;1350;6165;6129;6188;1933;6137;1936;6136;6133;6124;6223;6122;23521;11224;6157;6158;6203;6193;6204;6159;6164;9045;3646;6189;6155;6168;6201;6202;6210;6208;6228;6222;6235;6205;6130;6194;9349;6209;6230;6234;6170;6160;4736;6161;6132;6171;6233;7311;6169;6227;10399;1915;6152;6173;6143;6142;6141;5204</t>
  </si>
  <si>
    <t>RPLP1;RPLP2;RPLP0;RPS17;RPSA;COX6A1;COX4I1;TPT1;COX7C;RPL35A;RPL7;RPS3;EEF1B2;RPL13;EEF1D;RPL12;RPL9;RPL4;RPS19;RPL3;RPL13A;RPL35;RPL27A;RPL28;RPS9;RPS5;RPS10;RPL29;RPL34;RPL14;EIF3E;RPS3A;RPL27;RPL37A;RPS7;RPS8;RPS15A;RPS14;RPS23;RPS18;RPS29;RPS11;RPL7A;RPS6;RPL23;RPS15;RPS25;RPS28;RPL39;RPL31;RPL10A;RPL32;RPL8;RPL41;RPS27A;UBA52;RPL38;RPS21;RACK1;EEF1A1;RPL24;RPL36A;RPL19;RPL18A;RPL18;PFDN5</t>
  </si>
  <si>
    <t>BILANGES_SERUM_AND_RAPAMYCIN_SENSITIVE_GENES</t>
  </si>
  <si>
    <t>8667;6218;7178;6129;6188;1933;6137;6134;2197;6124;6223;23521;6157;6125;6158;6203;6193;6204;6159;9045;6189;6154;6138;6201;6202;6208;6228;6207;6130;6191;6194;9349;6229;6230;6156;6161;6132;6233;7311;10399;1915;6152;6173;6142;6141;55850</t>
  </si>
  <si>
    <t>EIF3H;RPS17;TPT1;RPL7;RPS3;EEF1B2;RPL13;RPL10;FAU;RPL4;RPS19;RPL13A;RPL27A;RPL5;RPL28;RPS9;RPS5;RPS10;RPL29;RPL14;RPS3A;RPL26;RPL15;RPS7;RPS8;RPS14;RPS23;RPS13;RPL7A;RPS4X;RPS6;RPL23;RPS24;RPS25;RPL30;RPL32;RPL8;RPS27A;UBA52;RACK1;EEF1A1;RPL24;RPL36A;RPL18A;RPL18;USE1</t>
  </si>
  <si>
    <t>MARTENS_TRETINOIN_RESPONSE_DN</t>
  </si>
  <si>
    <t>27089;51499;8636;10245;8666;6175;353;3921;1327;1350;6129;6188;1933;6206;6134;6133;6124;6223;6122;23521;6232;11224;6125;6203;6193;6204;6159;6164;9045;140823;746;6154;6138;6155;6168;6167;6202;6208;6228;6130;6191;6147;6194;5901;9349;6229;6230;6156;6160;4736;6161;6233;10399;1915;6152;6143;6142;6141;126328;64981;29100;192286;54539;8409;25873;54555</t>
  </si>
  <si>
    <t>UQCRQ;TRIAP1;SSNA1;TIMM17B;EIF3G;RPLP0;APRT;RPSA;COX4I1;COX7C;RPL7;RPS3;EEF1B2;RPS12;RPL10;RPL9;RPL4;RPS19;RPL3;RPL13A;RPS27;RPL35;RPL5;RPS9;RPS5;RPS10;RPL29;RPL34;RPL14;ROMO1;TMEM258;RPL26;RPL15;RPL27;RPL37A;RPL37;RPS8;RPS14;RPS23;RPL7A;RPS4X;RPL23A;RPS6;RAN;RPL23;RPS24;RPS25;RPL30;RPL31;RPL10A;RPL32;RPS27A;RACK1;EEF1A1;RPL24;RPL19;RPL18A;RPL18;NDUFA11;MRPL34;TMEM208;HIGD2A;NDUFB11;UXT;RPL36;DDX49</t>
  </si>
  <si>
    <t>PECE_MAMMARY_STEM_CELL_UP</t>
  </si>
  <si>
    <t>10975;8721;6176;6181;3921;100131801;1327;6165;6188;6206;6137;1936;2197;6223;23521;6157;6158;6204;521;6224;6138;6201;6208;6222;6235;6207;6130;6147;6230;6234;6170;4736;6132;6171;7311;6152;6142;126328;59286</t>
  </si>
  <si>
    <t>UQCR11;EDF1;RPLP1;RPLP2;RPSA;PET100;COX4I1;RPL35A;RPS3;RPS12;RPL13;EEF1D;FAU;RPS19;RPL13A;RPL27A;RPL28;RPS10;ATP5ME;RPS20;RPL15;RPS7;RPS14;RPS18;RPS29;RPS13;RPL7A;RPL23A;RPS25;RPS28;RPL39;RPL10A;RPL8;RPL41;UBA52;RPL24;RPL18A;NDUFA11;UBL5</t>
  </si>
  <si>
    <t>OSMAN_BLADDER_CANCER_DN</t>
  </si>
  <si>
    <t>8721;6181;6175;6218;3921;6165;6188;1933;6137;6134;6136;6133;2197;6124;6122;23521;6232;11224;6158;6193;6204;6159;6164;9045;6224;6189;6138;6167;6201;6222;6207;6205;6130;6191;6147;6194;6209;6229;6230;4736;6161;7311;6169;6227;6152;6173;6143;6142;25873</t>
  </si>
  <si>
    <t>EDF1;RPLP2;RPLP0;RPS17;RPSA;RPL35A;RPS3;EEF1B2;RPL13;RPL10;RPL12;RPL9;FAU;RPL4;RPL3;RPL13A;RPS27;RPL35;RPL28;RPS5;RPS10;RPL29;RPL34;RPL14;RPS20;RPS3A;RPL15;RPL37;RPS7;RPS18;RPS13;RPS11;RPL7A;RPS4X;RPL23A;RPS6;RPS15;RPS24;RPS25;RPL10A;RPL32;UBA52;RPL38;RPS21;RPL24;RPL36A;RPL19;RPL18A;RPL36</t>
  </si>
  <si>
    <t>CHNG_MULTIPLE_MYELOMA_HYPERPLOID_UP</t>
  </si>
  <si>
    <t>8666;6176;6181;6218;3921;6165;6188;1933;6124;6223;23521;11224;6157;6158;6203;6159;9045;6138;6167;6208;6228;6207;6130;6194;6209;6161;7311;6152;6141;64981;25873</t>
  </si>
  <si>
    <t>EIF3G;RPLP1;RPLP2;RPS17;RPSA;RPL35A;RPS3;EEF1B2;RPL4;RPS19;RPL13A;RPL35;RPL27A;RPL28;RPS9;RPL29;RPL14;RPL15;RPL37;RPS14;RPS23;RPS13;RPL7A;RPS6;RPS15;RPL32;UBA52;RPL24;RPL18;MRPL34;RPL36</t>
  </si>
  <si>
    <t>REACTOME_FORMATION_OF_THE_TERNARY_COMPLEX_AND_SUBSEQUENTLY_THE_43S_COMPLEX</t>
  </si>
  <si>
    <t>8667;8666;6218;3921;6188;6206;2197;6223;6232;6203;6193;6204;3646;6224;6189;6201;6202;6210;6208;6228;6222;6235;6207;6205;6191;6194;6209;6229;6230;6234;6233;6227</t>
  </si>
  <si>
    <t>EIF3H;EIF3G;RPS17;RPSA;RPS3;RPS12;FAU;RPS19;RPS27;RPS9;RPS5;RPS10;EIF3E;RPS20;RPS3A;RPS7;RPS8;RPS15A;RPS14;RPS23;RPS18;RPS29;RPS13;RPS11;RPS4X;RPS6;RPS15;RPS24;RPS25;RPS28;RPS27A;RPS21</t>
  </si>
  <si>
    <t>REACTOME_ACTIVATION_OF_THE_MRNA_UPON_BINDING_OF_THE_CAP_BINDING_COMPLEX_AND_EIFS_AND_SUBSEQUENT_BINDING_TO_43S</t>
  </si>
  <si>
    <t>GRADE_COLON_CANCER_UP</t>
  </si>
  <si>
    <t>8667;8636;8815;8666;6181;6218;1337;7178;1350;6129;6188;1936;6133;6223;6232;11224;6157;6203;6193;6159;9045;3646;7334;6154;6155;6168;6201;6202;6208;6235;6207;6205;6194;6229;6230;6160;4736;6161;6132;7311;6169;6152;6173;6143;6142;6141;90480;192111;79002;54539;51504;28974;51398;25873</t>
  </si>
  <si>
    <t>EIF3H;SSNA1;BANF1;EIF3G;RPLP2;RPS17;COX6A1;TPT1;COX7C;RPL7;RPS3;EEF1D;RPL9;RPS19;RPS27;RPL35;RPL27A;RPS9;RPS5;RPL29;RPL14;EIF3E;UBE2N;RPL26;RPL27;RPL37A;RPS7;RPS8;RPS14;RPS29;RPS13;RPS11;RPS6;RPS24;RPS25;RPL31;RPL10A;RPL32;RPL8;UBA52;RPL38;RPL24;RPL36A;RPL19;RPL18A;RPL18;GADD45GIP1;PGAM5;TRIR;NDUFB11;TRMT112;C19orf53;WDR83OS;RPL36</t>
  </si>
  <si>
    <t>TIEN_INTESTINE_PROBIOTICS_6HR_UP</t>
  </si>
  <si>
    <t>6175;6218;7178;6137;6133;6124;6223;6232;6157;6125;6189;6168;6201;6208;6228;6205;6147;6194;9349;6229;6170;6171;1915</t>
  </si>
  <si>
    <t>RPLP0;RPS17;TPT1;RPL13;RPL9;RPL4;RPS19;RPS27;RPL27A;RPL5;RPS3A;RPL37A;RPS7;RPS14;RPS23;RPS11;RPL23A;RPS6;RPL23;RPS24;RPL39;RPL41;EEF1A1</t>
  </si>
  <si>
    <t>TIEN_INTESTINE_PROBIOTICS_24HR_DN</t>
  </si>
  <si>
    <t>6175;7178;6188;6137;6134;6136;6133;6124;6223;6122;23521;6232;6157;6125;6164;6189;6168;6201;6208;6228;6222;6205;6147;6194;9349;6229;6170;6171;10399;1915</t>
  </si>
  <si>
    <t>RPLP0;TPT1;RPS3;RPL13;RPL10;RPL12;RPL9;RPL4;RPS19;RPL3;RPL13A;RPS27;RPL27A;RPL5;RPL34;RPS3A;RPL37A;RPS7;RPS14;RPS23;RPS18;RPS11;RPL23A;RPS6;RPL23;RPS24;RPL39;RPL41;RACK1;EEF1A1</t>
  </si>
  <si>
    <t>KIM_BIPOLAR_DISORDER_OLIGODENDROCYTE_DENSITY_CORR_UP</t>
  </si>
  <si>
    <t>4706;27089;4694;10245;374291;8666;6176;6218;1337;1350;6129;6206;6136;2197;6124;6223;6122;6232;11224;6204;6159;3646;6155;6167;6222;6207;6191;6194;5901;6229;6230;4736;6161;6132;6171;6233;1915;3476;6152;5204;3028</t>
  </si>
  <si>
    <t>NDUFAB1;UQCRQ;NDUFA1;TIMM17B;NDUFS7;EIF3G;RPLP1;RPS17;COX6A1;COX7C;RPL7;RPS12;RPL12;FAU;RPL4;RPS19;RPL3;RPS27;RPL35;RPS10;RPL29;EIF3E;RPL27;RPL37;RPS18;RPS13;RPS4X;RPS6;RAN;RPS24;RPS25;RPL10A;RPL32;RPL8;RPL41;RPS27A;EEF1A1;IGBP1;RPL24;PFDN5;HSD17B10</t>
  </si>
  <si>
    <t>WANG_TUMOR_INVASIVENESS_UP</t>
  </si>
  <si>
    <t>8667;8636;6181;6175;4713;6129;6188;2197;23521;11224;6158;6193;6164;9045;521;6155;6201;6202;6210;6208;6235;6205;6194;6156;6161;6132;6227;6143;6142;79002;55651;51184</t>
  </si>
  <si>
    <t>EIF3H;SSNA1;RPLP2;RPLP0;NDUFB7;RPL7;RPS3;FAU;RPL13A;RPL35;RPL28;RPS5;RPL34;RPL14;ATP5ME;RPL27;RPS7;RPS8;RPS15A;RPS14;RPS29;RPS11;RPS6;RPL30;RPL32;RPL8;RPS21;RPL19;RPL18A;TRIR;NHP2;GPN3</t>
  </si>
  <si>
    <t>LI_AMPLIFIED_IN_LUNG_CANCER</t>
  </si>
  <si>
    <t>353;1337;6129;6137;1936;6232;11224;6157;6158;6193;6204;6224;6155;6168;6167;6201;6191;6147;5901;6156;6160;4736;6132;6169;6227;6173</t>
  </si>
  <si>
    <t>APRT;COX6A1;RPL7;RPL13;EEF1D;RPS27;RPL35;RPL27A;RPL28;RPS5;RPS10;RPS20;RPL27;RPL37A;RPL37;RPS7;RPS4X;RPL23A;RAN;RPL30;RPL31;RPL10A;RPL8;RPL38;RPS21;RPL36A</t>
  </si>
  <si>
    <t>JISON_SICKLE_CELL_DISEASE_DN</t>
  </si>
  <si>
    <t>8667;6176;6175;6129;1933;6137;6133;6124;6125;9045;3646;6224;6167;6201;6207;6147;6194;6229;6234;6156;4736;6171;6233;1915;6152;6143</t>
  </si>
  <si>
    <t>EIF3H;RPLP1;RPLP0;RPL7;EEF1B2;RPL13;RPL9;RPL4;RPL5;RPL14;EIF3E;RPS20;RPL37;RPS7;RPS13;RPL23A;RPS6;RPS24;RPS28;RPL30;RPL10A;RPL41;RPS27A;EEF1A1;RPL24;RPL19</t>
  </si>
  <si>
    <t>KIM_ALL_DISORDERS_OLIGODENDROCYTE_NUMBER_CORR_UP</t>
  </si>
  <si>
    <t>4706;11316;27089;4694;8636;10245;374291;8666;6176;6218;1337;1327;1350;6188;6206;6137;2197;6223;6122;6232;11224;6158;6204;6159;6155;6167;6202;6235;6205;6191;5901;4736;6161;6132;6171;6233;10399;6152;5204</t>
  </si>
  <si>
    <t>NDUFAB1;COPE;UQCRQ;NDUFA1;SSNA1;TIMM17B;NDUFS7;EIF3G;RPLP1;RPS17;COX6A1;COX4I1;COX7C;RPS3;RPS12;RPL13;FAU;RPS19;RPL3;RPS27;RPL35;RPL28;RPS10;RPL29;RPL27;RPL37;RPS8;RPS29;RPS11;RPS4X;RAN;RPL10A;RPL32;RPL8;RPL41;RPS27A;RACK1;RPL24;PFDN5</t>
  </si>
  <si>
    <t>PUJANA_BRCA1_PCC_NETWORK</t>
  </si>
  <si>
    <t>8667;51499;6181;6175;6218;6129;1349;1933;6136;6133;6124;6223;11224;6157;6125;6193;9045;3646;6224;7334;6189;6138;6155;6167;6201;6210;6228;5436;6147;6194;5901;9349;6229;6230;6156;6160;4736;6233;6227;10399;1915;3476;6152;6173;6143;6142;11137;79036;55651;54555</t>
  </si>
  <si>
    <t>EIF3H;TRIAP1;RPLP2;RPLP0;RPS17;RPL7;COX7B;EEF1B2;RPL12;RPL9;RPL4;RPS19;RPL35;RPL27A;RPL5;RPS5;RPL14;EIF3E;RPS20;UBE2N;RPS3A;RPL15;RPL27;RPL37;RPS7;RPS15A;RPS23;POLR2G;RPL23A;RPS6;RAN;RPL23;RPS24;RPS25;RPL30;RPL31;RPL10A;RPS27A;RPS21;RACK1;EEF1A1;IGBP1;RPL24;RPL36A;RPL19;RPL18A;PWP1;KXD1;NHP2;DDX49</t>
  </si>
  <si>
    <t>YAMASHITA_LIVER_CANCER_WITH_EPCAM_UP</t>
  </si>
  <si>
    <t>6175;3921;6188;6206;6133;23521;11224;6158;6204;6159;6189;6201;6130;6191;6147;6229;6160;6233</t>
  </si>
  <si>
    <t>RPLP0;RPSA;RPS3;RPS12;RPL9;RPL13A;RPL35;RPL28;RPS10;RPL29;RPS3A;RPS7;RPL7A;RPS4X;RPL23A;RPS24;RPL31;RPS27A</t>
  </si>
  <si>
    <t>BILANGES_SERUM_RESPONSE_TRANSLATION</t>
  </si>
  <si>
    <t>8667;6188;1933;6134;6124;6223;6193;6159;9045;6201;6202;6191;6194;10399;1915;6142</t>
  </si>
  <si>
    <t>EIF3H;RPS3;EEF1B2;RPL10;RPL4;RPS19;RPS5;RPL29;RPL14;RPS7;RPS8;RPS4X;RPS6;RACK1;EEF1A1;RPL18A</t>
  </si>
  <si>
    <t>POMEROY_MEDULLOBLASTOMA_DESMOPLASIC_VS_CLASSIC_DN</t>
  </si>
  <si>
    <t>6218;7178;6165;6129;1933;6133;6204;6164;6228;6222;6235;6205;6170;4736;6152;6173</t>
  </si>
  <si>
    <t>RPS17;TPT1;RPL35A;RPL7;EEF1B2;RPL9;RPS10;RPL34;RPS23;RPS18;RPS29;RPS11;RPL39;RPL10A;RPL24;RPL36A</t>
  </si>
  <si>
    <t>FLOTHO_PEDIATRIC_ALL_THERAPY_RESPONSE_UP</t>
  </si>
  <si>
    <t>6175;7178;6129;6137;2197;6223;23521;6125;6203;6193;6224;6155;6168;6194;6234</t>
  </si>
  <si>
    <t>RPLP0;TPT1;RPL7;RPL13;FAU;RPS19;RPL13A;RPL5;RPS9;RPS5;RPS20;RPL27;RPL37A;RPS6;RPS28</t>
  </si>
  <si>
    <t>DANG_BOUND_BY_MYC</t>
  </si>
  <si>
    <t>4694;4695;10084;6218;1350;6137;6134;6133;6124;6223;6122;23521;6157;6125;6193;6224;6154;6138;6155;6167;6235;6207;6194;6209;6230;6160;6161;6132;6233;7311;6227;3476;6143;6141;11137;8409;51184</t>
  </si>
  <si>
    <t>NDUFA1;NDUFA2;PQBP1;RPS17;COX7C;RPL13;RPL10;RPL9;RPL4;RPS19;RPL3;RPL13A;RPL27A;RPL5;RPS5;RPS20;RPL26;RPL15;RPL27;RPL37;RPS29;RPS13;RPS6;RPS15;RPS25;RPL31;RPL32;RPL8;RPS27A;UBA52;RPS21;IGBP1;RPL19;RPL18;PWP1;UXT;GPN3</t>
  </si>
  <si>
    <t>ENK_UV_RESPONSE_KERATINOCYTE_UP</t>
  </si>
  <si>
    <t>11316;10245;8815;8666;353;1337;4713;6188;6134;6136;2197;11224;6158;6203;6193;6204;6159;9045;6205;6209;4736;6132;6227;10399;6143;6142;6141;5204</t>
  </si>
  <si>
    <t>COPE;TIMM17B;BANF1;EIF3G;APRT;COX6A1;NDUFB7;RPS3;RPL10;RPL12;FAU;RPL35;RPL28;RPS9;RPS5;RPS10;RPL29;RPL14;RPS11;RPS15;RPL10A;RPL8;RPS21;RACK1;RPL19;RPL18A;RPL18;PFDN5</t>
  </si>
  <si>
    <t>SPIELMAN_LYMPHOBLAST_EUROPEAN_VS_ASIAN_UP</t>
  </si>
  <si>
    <t>27089;4694;4695;10084;8815;6181;353;1337;1327;4713;2197;6124;6157;521;6168;6167;6201;6202;6228;9349;6230;6234;6170;6143;59286;54539;25873</t>
  </si>
  <si>
    <t>UQCRQ;NDUFA1;NDUFA2;PQBP1;BANF1;RPLP2;APRT;COX6A1;COX4I1;NDUFB7;FAU;RPL4;RPL27A;ATP5ME;RPL37A;RPL37;RPS7;RPS8;RPS23;RPL23;RPS25;RPS28;RPL39;RPL19;UBL5;NDUFB11;RPL36</t>
  </si>
  <si>
    <t>BENPORATH_MYC_MAX_TARGETS</t>
  </si>
  <si>
    <t>4694;4695;6176;6218;7178;1350;6137;6133;6223;11224;6157;6125;6193;6224;6138;6155;6167;6235;6207;6194;6230;6160;6161;6132;6233;6227;3476;6143;6141;11137;8409;51184</t>
  </si>
  <si>
    <t>NDUFA1;NDUFA2;RPLP1;RPS17;TPT1;COX7C;RPL13;RPL9;RPS19;RPL35;RPL27A;RPL5;RPS5;RPS20;RPL15;RPL27;RPL37;RPS29;RPS13;RPS6;RPS25;RPL31;RPL32;RPL8;RPS27A;RPS21;IGBP1;RPL19;RPL18;PWP1;UXT;GPN3</t>
  </si>
  <si>
    <t>CAIRO_HEPATOBLASTOMA_CLASSES_UP</t>
  </si>
  <si>
    <t>8625;8667;10084;353;6188;1933;1936;6124;6125;6158;6203;9045;3646;6138;6168;6202;6194;5901;9349;4736;6132;6227;10399;6152;6143;6142;6141;55651;25873</t>
  </si>
  <si>
    <t>RFXANK;EIF3H;PQBP1;APRT;RPS3;EEF1B2;EEF1D;RPL4;RPL5;RPL28;RPS9;RPL14;EIF3E;RPL15;RPL37A;RPS8;RPS6;RAN;RPL23;RPL10A;RPL8;RPS21;RACK1;RPL24;RPL19;RPL18A;RPL18;NHP2;RPL36</t>
  </si>
  <si>
    <t>STARK_PREFRONTAL_CORTEX_22Q11_DELETION_DN</t>
  </si>
  <si>
    <t>4706;10975;8667;4695;374291;6218;1350;6124;6125;521;84337;140823;6154;6138;6132;6173;6141;125988;126328;5204;79002;79036;29100;192286;54539;51504;51693</t>
  </si>
  <si>
    <t>NDUFAB1;UQCR11;EIF3H;NDUFA2;NDUFS7;RPS17;COX7C;RPL4;RPL5;ATP5ME;ELOF1;ROMO1;RPL26;RPL15;RPL8;RPL36A;RPL18;MICOS13;NDUFA11;PFDN5;TRIR;KXD1;TMEM208;HIGD2A;NDUFB11;TRMT112;TRAPPC2L</t>
  </si>
  <si>
    <t>PUJANA_ATM_PCC_NETWORK</t>
  </si>
  <si>
    <t>8667;6181;6129;1349;1933;6206;6124;6223;6232;6125;6164;9045;3646;6224;6189;6155;6167;6201;6210;6228;6191;6147;6194;5901;9349;6229;6230;6156;6160;4736;6233;6227;10399;1915;3476;6173;6143;79036;55651</t>
  </si>
  <si>
    <t>EIF3H;RPLP2;RPL7;COX7B;EEF1B2;RPS12;RPL4;RPS19;RPS27;RPL5;RPL34;RPL14;EIF3E;RPS20;RPS3A;RPL27;RPL37;RPS7;RPS15A;RPS23;RPS4X;RPL23A;RPS6;RAN;RPL23;RPS24;RPS25;RPL30;RPL31;RPL10A;RPS27A;RPS21;RACK1;EEF1A1;IGBP1;RPL36A;RPL19;KXD1;NHP2</t>
  </si>
  <si>
    <t>DAIRKEE_TERT_TARGETS_UP</t>
  </si>
  <si>
    <t>8625;10975;4695;8636;10084;8666;11224;6193;6204;6159;6138;6208;6191;6156;4736;84266;192286;54539;51079;51693;28974;51647;25873</t>
  </si>
  <si>
    <t>RFXANK;UQCR11;NDUFA2;SSNA1;PQBP1;EIF3G;RPL35;RPS5;RPS10;RPL29;RPL15;RPS14;RPS4X;RPL30;RPL10A;ALKBH7;HIGD2A;NDUFB11;NDUFA13;TRAPPC2L;C19orf53;CIAO2B;RPL36</t>
  </si>
  <si>
    <t>DAZARD_UV_RESPONSE_CLUSTER_G1</t>
  </si>
  <si>
    <t>4694;6218;1350;6232;6164;521;6168;6167;6228;6235;6156;6160;6169;6173</t>
  </si>
  <si>
    <t>NDUFA1;RPS17;COX7C;RPS27;RPL34;ATP5ME;RPL37A;RPL37;RPS23;RPS29;RPL30;RPL31;RPL38;RPL36A</t>
  </si>
  <si>
    <t>ANDERSEN_LIVER_CANCER_KRT19_UP</t>
  </si>
  <si>
    <t>6218;6165;6206;6133;6122;23521;6157;6189;6208;6222;6230;4736</t>
  </si>
  <si>
    <t>RPS17;RPL35A;RPS12;RPL9;RPL3;RPL13A;RPL27A;RPS3A;RPS14;RPS18;RPS25;RPL10A</t>
  </si>
  <si>
    <t>DAZARD_RESPONSE_TO_UV_NHEK_UP</t>
  </si>
  <si>
    <t>4694;8666;353;6218;3921;1350;6232;6164;521;6168;6167;6228;6235;6156;6160;6169;6227;10399;6173</t>
  </si>
  <si>
    <t>NDUFA1;EIF3G;APRT;RPS17;RPSA;COX7C;RPS27;RPL34;ATP5ME;RPL37A;RPL37;RPS23;RPS29;RPL30;RPL31;RPL38;RPS21;RACK1;RPL36A</t>
  </si>
  <si>
    <t>DANG_MYC_TARGETS_UP</t>
  </si>
  <si>
    <t>6218;6137;6134;6133;6223;6122;6157;6125;6193;6224;6154;6155;6207;6161;6143;8409</t>
  </si>
  <si>
    <t>RPS17;RPL13;RPL10;RPL9;RPS19;RPL3;RPL27A;RPL5;RPS5;RPS20;RPL26;RPL27;RPS13;RPL32;RPL19;UXT</t>
  </si>
  <si>
    <t>YAGI_AML_WITH_INV_16_TRANSLOCATION</t>
  </si>
  <si>
    <t>6176;6181;6175;6218;7178;6137;6232;6157;6164;6224;6168;6167;6222;6235;6207;6191;6147;6194;6160;6161;1915;6143</t>
  </si>
  <si>
    <t>RPLP1;RPLP2;RPLP0;RPS17;TPT1;RPL13;RPS27;RPL27A;RPL34;RPS20;RPL37A;RPL37;RPS18;RPS29;RPS13;RPS4X;RPL23A;RPS6;RPL31;RPL32;EEF1A1;RPL19</t>
  </si>
  <si>
    <t>REACTOME_RESPIRATORY_ELECTRON_TRANSPORT_ATP_SYNTHESIS_BY_CHEMIOSMOTIC_COUPLING_AND_HEAT_PRODUCTION_BY_UNCOUPLING_PROTEINS_</t>
  </si>
  <si>
    <t>4706;27089;10975;4694;4695;374291;1337;1327;1350;4713;1349;521;126328;51079</t>
  </si>
  <si>
    <t>NDUFAB1;UQCRQ;UQCR11;NDUFA1;NDUFA2;NDUFS7;COX6A1;COX4I1;COX7C;NDUFB7;COX7B;ATP5ME;NDUFA11;NDUFA13</t>
  </si>
  <si>
    <t>REACTOME_RESPIRATORY_ELECTRON_TRANSPORT</t>
  </si>
  <si>
    <t>4706;27089;10975;4694;4695;374291;1337;1327;1350;4713;1349;126328;51079</t>
  </si>
  <si>
    <t>NDUFAB1;UQCRQ;UQCR11;NDUFA1;NDUFA2;NDUFS7;COX6A1;COX4I1;COX7C;NDUFB7;COX7B;NDUFA11;NDUFA13</t>
  </si>
  <si>
    <t>LEE_LIVER_CANCER_SURVIVAL_DN</t>
  </si>
  <si>
    <t>3921;6188;6136;6133;11224;6203;6193;6189;6155;6201;6222;6194;5901;6160;6169;6173</t>
  </si>
  <si>
    <t>RPSA;RPS3;RPL12;RPL9;RPL35;RPS9;RPS5;RPS3A;RPL27;RPS7;RPS18;RPS6;RAN;RPL31;RPL38;RPL36A</t>
  </si>
  <si>
    <t>MODY_HIPPOCAMPUS_PRENATAL</t>
  </si>
  <si>
    <t>6137;6136;6133;23521;6125;6167;6202;6222;6132;1915;6143</t>
  </si>
  <si>
    <t>RPL13;RPL12;RPL9;RPL13A;RPL5;RPL37;RPS8;RPS18;RPL8;EEF1A1;RPL19</t>
  </si>
  <si>
    <t>TAKAO_RESPONSE_TO_UVB_RADIATION_UP</t>
  </si>
  <si>
    <t>6175;1337;1327;1349;1936;6157;6203;6193;6230;6234;4736;6173;5204</t>
  </si>
  <si>
    <t>RPLP0;COX6A1;COX4I1;COX7B;EEF1D;RPL27A;RPS9;RPS5;RPS25;RPS28;RPL10A;RPL36A;PFDN5</t>
  </si>
  <si>
    <t>MOOTHA_VOXPHOS</t>
  </si>
  <si>
    <t>4706;27089;10975;4694;4695;374291;1337;1327;1350;4713;1349;521;51079</t>
  </si>
  <si>
    <t>NDUFAB1;UQCRQ;UQCR11;NDUFA1;NDUFA2;NDUFS7;COX6A1;COX4I1;COX7C;NDUFB7;COX7B;ATP5ME;NDUFA13</t>
  </si>
  <si>
    <t>NUTT_GBM_VS_AO_GLIOMA_DN</t>
  </si>
  <si>
    <t>6181;6133;6124;6157;3646;6224;6207;6147;6194;6156;6152</t>
  </si>
  <si>
    <t>RPLP2;RPL9;RPL4;RPL27A;EIF3E;RPS20;RPS13;RPL23A;RPS6;RPL30;RPL24</t>
  </si>
  <si>
    <t>ACEVEDO_LIVER_TUMOR_VS_NORMAL_ADJACENT_TISSUE_UP</t>
  </si>
  <si>
    <t>11316;6175;6218;1337;6165;6193;7334;746;6154;6138;6201;6210;6207;6191;6147;6230;6156;4736;6233;6227;3476;125988;126382;79023;55651;51504;51121</t>
  </si>
  <si>
    <t>COPE;RPLP0;RPS17;COX6A1;RPL35A;RPS5;UBE2N;TMEM258;RPL26;RPL15;RPS7;RPS15A;RPS13;RPS4X;RPL23A;RPS25;RPL30;RPL10A;RPS27A;RPS21;IGBP1;MICOS13;NR2C2AP;NUP37;NHP2;TRMT112;RPL26L1</t>
  </si>
  <si>
    <t>REACTOME_TCA_CYCLE_AND_RESPIRATORY_ELECTRON_TRANSPORT</t>
  </si>
  <si>
    <t>DIAZ_CHRONIC_MEYLOGENOUS_LEUKEMIA_DN</t>
  </si>
  <si>
    <t>6176;6218;6206;6205;6147;6209;6229;6156;6170;6161;6171;1915;6142</t>
  </si>
  <si>
    <t>RPLP1;RPS17;RPS12;RPS11;RPL23A;RPS15;RPS24;RPL30;RPL39;RPL32;RPL41;EEF1A1;RPL18A</t>
  </si>
  <si>
    <t>HOLLEMAN_ASPARAGINASE_RESISTANCE_B_ALL_UP</t>
  </si>
  <si>
    <t>6188;1933;6124;6122;23521;6125;6193;6130;10399</t>
  </si>
  <si>
    <t>RPS3;EEF1B2;RPL4;RPL3;RPL13A;RPL5;RPS5;RPL7A;RACK1</t>
  </si>
  <si>
    <t>POMEROY_MEDULLOBLASTOMA_PROGNOSIS_DN</t>
  </si>
  <si>
    <t>6165;6223;6157;6204;6159;6202;6222;6130;6230;4736</t>
  </si>
  <si>
    <t>RPL35A;RPS19;RPL27A;RPS10;RPL29;RPS8;RPS18;RPL7A;RPS25;RPL10A</t>
  </si>
  <si>
    <t>LOPEZ_MBD_TARGETS</t>
  </si>
  <si>
    <t>4706;10975;8667;8636;6175;353;7178;4713;6165;1936;6223;3646;140823;746;6167;6201;6202;6208;5901;6229;6160;4736;7311;6227;10399;6152;6141</t>
  </si>
  <si>
    <t>NDUFAB1;UQCR11;EIF3H;SSNA1;RPLP0;APRT;TPT1;NDUFB7;RPL35A;EEF1D;RPS19;EIF3E;ROMO1;TMEM258;RPL37;RPS7;RPS8;RPS14;RAN;RPS24;RPL31;RPL10A;UBA52;RPS21;RACK1;RPL24;RPL18</t>
  </si>
  <si>
    <t>KEGG_OXIDATIVE_PHOSPHORYLATION</t>
  </si>
  <si>
    <t>4706;27089;10975;4694;4695;374291;1337;1327;1350;4713;1349;521;126328</t>
  </si>
  <si>
    <t>NDUFAB1;UQCRQ;UQCR11;NDUFA1;NDUFA2;NDUFS7;COX6A1;COX4I1;COX7C;NDUFB7;COX7B;ATP5ME;NDUFA11</t>
  </si>
  <si>
    <t>HOLLEMAN_VINCRISTINE_RESISTANCE_ALL_DN</t>
  </si>
  <si>
    <t>6181;6206;6134;6136;6210;6147;6229;6160</t>
  </si>
  <si>
    <t>RPLP2;RPS12;RPL10;RPL12;RPS15A;RPL23A;RPS24;RPL31</t>
  </si>
  <si>
    <t>WONG_EMBRYONIC_STEM_CELL_CORE</t>
  </si>
  <si>
    <t>4706;10975;8815;3921;4713;6188;6206;6137;6223;6232;6157;6193;6202;6228;4736;126328;55651</t>
  </si>
  <si>
    <t>NDUFAB1;UQCR11;BANF1;RPSA;NDUFB7;RPS3;RPS12;RPL13;RPS19;RPS27;RPL27A;RPS5;RPS8;RPS23;RPL10A;NDUFA11;NHP2</t>
  </si>
  <si>
    <t>ONKEN_UVEAL_MELANOMA_DN</t>
  </si>
  <si>
    <t>8666;3921;6165;6137;6122;6125;6158;6203;6193;6159;9045;6138;6202;9349;6160;4736;6161;6233;6152;6142</t>
  </si>
  <si>
    <t>EIF3G;RPSA;RPL35A;RPL13;RPL3;RPL5;RPL28;RPS9;RPS5;RPL29;RPL14;RPL15;RPS8;RPL23;RPL31;RPL10A;RPL32;RPS27A;RPL24;RPL18A</t>
  </si>
  <si>
    <t>LI_DCP2_BOUND_MRNA</t>
  </si>
  <si>
    <t>8721;374291;8666;353;3921;4713;1936;6193;3028;51079;51693</t>
  </si>
  <si>
    <t>EDF1;NDUFS7;EIF3G;APRT;RPSA;NDUFB7;EEF1D;RPS5;HSD17B10;NDUFA13;TRAPPC2L</t>
  </si>
  <si>
    <t>YAO_TEMPORAL_RESPONSE_TO_PROGESTERONE_CLUSTER_13</t>
  </si>
  <si>
    <t>4706;10975;4695;8636;10084;1337;1349;84337;140823;125988;59286;54539;51079</t>
  </si>
  <si>
    <t>NDUFAB1;UQCR11;NDUFA2;SSNA1;PQBP1;COX6A1;COX7B;ELOF1;ROMO1;MICOS13;UBL5;NDUFB11;NDUFA13</t>
  </si>
  <si>
    <t>CHICAS_RB1_TARGETS_LOW_SERUM</t>
  </si>
  <si>
    <t>10975;4694;100131801;1350;521;140823;746;6234;6169;6227;6173</t>
  </si>
  <si>
    <t>UQCR11;NDUFA1;PET100;COX7C;ATP5ME;ROMO1;TMEM258;RPS28;RPL38;RPS21;RPL36A</t>
  </si>
  <si>
    <t>BILANGES_RAPAMYCIN_SENSITIVE_VIA_TSC1_AND_TSC2</t>
  </si>
  <si>
    <t>6165;6122;3646;6224;6234;6160;4736;6227;3476;25873</t>
  </si>
  <si>
    <t>RPL35A;RPL3;EIF3E;RPS20;RPS28;RPL31;RPL10A;RPS21;IGBP1;RPL36</t>
  </si>
  <si>
    <t>TARTE_PLASMA_CELL_VS_PLASMABLAST_UP</t>
  </si>
  <si>
    <t>6176;6175;3921;7178;6158;6164;6168;6210;6208;6222;6205;6130;6209;6170;6227;6152;6142</t>
  </si>
  <si>
    <t>RPLP1;RPLP0;RPSA;TPT1;RPL28;RPL34;RPL37A;RPS15A;RPS14;RPS18;RPS11;RPL7A;RPS15;RPL39;RPS21;RPL24;RPL18A</t>
  </si>
  <si>
    <t>BOUDOUKHA_BOUND_BY_IGF2BP2</t>
  </si>
  <si>
    <t>4694;6175;1350;2197;6204;140823;6191;6209;6233;192286;25873</t>
  </si>
  <si>
    <t>NDUFA1;RPLP0;COX7C;FAU;RPS10;ROMO1;RPS4X;RPS15;RPS27A;HIGD2A;RPL36</t>
  </si>
  <si>
    <t>LEE_LIVER_CANCER_MYC_UP</t>
  </si>
  <si>
    <t>6181;353;6136;23521;6158;6208;6229;10399;25873</t>
  </si>
  <si>
    <t>RPLP2;APRT;RPL12;RPL13A;RPL28;RPS14;RPS24;RACK1;RPL36</t>
  </si>
  <si>
    <t>MOOTHA_HUMAN_MITODB_6_2002</t>
  </si>
  <si>
    <t>4706;10975;4694;4695;10245;374291;6181;1337;1327;1350;4713;1349;6122;521;6189;6142;64981</t>
  </si>
  <si>
    <t>NDUFAB1;UQCR11;NDUFA1;NDUFA2;TIMM17B;NDUFS7;RPLP2;COX6A1;COX4I1;COX7C;NDUFB7;COX7B;RPL3;ATP5ME;RPS3A;RPL18A;MRPL34</t>
  </si>
  <si>
    <t>HEDENFALK_BREAST_CANCER_BRACX_UP</t>
  </si>
  <si>
    <t>6193;6138;6207;6191;6160;7311;6143</t>
  </si>
  <si>
    <t>RPS5;RPL15;RPS13;RPS4X;RPL31;UBA52;RPL19</t>
  </si>
  <si>
    <t>CASORELLI_APL_SECONDARY_VS_DE_NOVO_DN</t>
  </si>
  <si>
    <t>6181;1936;6223;6157;9045;6169</t>
  </si>
  <si>
    <t>RPLP2;EEF1D;RPS19;RPL27A;RPL14;RPL38</t>
  </si>
  <si>
    <t>HILLION_HMGA1B_TARGETS</t>
  </si>
  <si>
    <t>1327;6206;6137;6134;6136;6223;6189;6205;6191;6143</t>
  </si>
  <si>
    <t>COX4I1;RPS12;RPL13;RPL10;RPL12;RPS19;RPS3A;RPS11;RPS4X;RPL19</t>
  </si>
  <si>
    <t>KEGG_ALZHEIMERS_DISEASE</t>
  </si>
  <si>
    <t>4706;27089;10975;4694;4695;374291;1337;1327;1350;4713;1349;3028</t>
  </si>
  <si>
    <t>NDUFAB1;UQCRQ;UQCR11;NDUFA1;NDUFA2;NDUFS7;COX6A1;COX4I1;COX7C;NDUFB7;COX7B;HSD17B10</t>
  </si>
  <si>
    <t>KEGG_PARKINSONS_DISEASE</t>
  </si>
  <si>
    <t>4706;27089;10975;4694;4695;374291;1337;1327;1350;4713;1349</t>
  </si>
  <si>
    <t>NDUFAB1;UQCRQ;UQCR11;NDUFA1;NDUFA2;NDUFS7;COX6A1;COX4I1;COX7C;NDUFB7;COX7B</t>
  </si>
  <si>
    <t>KEGG_HUNTINGTONS_DISEASE</t>
  </si>
  <si>
    <t>4706;27089;10975;4694;4695;374291;1337;1327;1350;4713;1349;5436</t>
  </si>
  <si>
    <t>NDUFAB1;UQCRQ;UQCR11;NDUFA1;NDUFA2;NDUFS7;COX6A1;COX4I1;COX7C;NDUFB7;COX7B;POLR2G</t>
  </si>
  <si>
    <t>IRITANI_MAD1_TARGETS_DN</t>
  </si>
  <si>
    <t>3921;6137;6136;6125;6159;4736;1915;6141</t>
  </si>
  <si>
    <t>RPSA;RPL13;RPL12;RPL5;RPL29;RPL10A;EEF1A1;RPL18</t>
  </si>
  <si>
    <t>ABE_INNER_EAR</t>
  </si>
  <si>
    <t>11224;6158;6193;6205;6209;6161;7311;28974</t>
  </si>
  <si>
    <t>RPL35;RPL28;RPS5;RPS11;RPS15;RPL32;UBA52;C19orf53</t>
  </si>
  <si>
    <t>LUI_THYROID_CANCER_CLUSTER_3</t>
  </si>
  <si>
    <t>10975;8666;6206;6193;4736;6142;6141</t>
  </si>
  <si>
    <t>UQCR11;EIF3G;RPS12;RPS5;RPL10A;RPL18A;RPL18</t>
  </si>
  <si>
    <t>NUYTTEN_EZH2_TARGETS_DN</t>
  </si>
  <si>
    <t>51499;8815;6188;6137;6133;6125;6204;6164;6138;6155;6210;6222;6207;6130;5436;6191;6194;6141;10244;126382;79023;54539;55850</t>
  </si>
  <si>
    <t>TRIAP1;BANF1;RPS3;RPL13;RPL9;RPL5;RPS10;RPL34;RPL15;RPL27;RPS15A;RPS18;RPS13;RPL7A;POLR2G;RPS4X;RPS6;RPL18;RABEPK;NR2C2AP;NUP37;NDUFB11;USE1</t>
  </si>
  <si>
    <t>TONG_INTERACT_WITH_PTTG1</t>
  </si>
  <si>
    <t>6204;6209;6156;6160;6171;55651;51121;28974</t>
  </si>
  <si>
    <t>RPS10;RPS15;RPL30;RPL31;RPL41;NHP2;RPL26L1;C19orf53</t>
  </si>
  <si>
    <t>LUI_TARGETS_OF_PAX8_PPARG_FUSION</t>
  </si>
  <si>
    <t>10975;8666;6206;6193;5901;6142;6141</t>
  </si>
  <si>
    <t>UQCR11;EIF3G;RPS12;RPS5;RAN;RPL18A;RPL18</t>
  </si>
  <si>
    <t>BHATI_G2M_ARREST_BY_2METHOXYESTRADIOL_DN</t>
  </si>
  <si>
    <t>6218;6136;6122;6164;6154;6160;4736;3476;6173;51545</t>
  </si>
  <si>
    <t>RPS17;RPL12;RPL3;RPL34;RPL26;RPL31;RPL10A;IGBP1;RPL36A;ZNF581</t>
  </si>
  <si>
    <t>RODWELL_AGING_KIDNEY_UP</t>
  </si>
  <si>
    <t>6181;353;6165;6134;6136;2197;6223;23521;11224;6158;6204;6155;6230;6142;6141;79036</t>
  </si>
  <si>
    <t>RPLP2;APRT;RPL35A;RPL10;RPL12;FAU;RPS19;RPL13A;RPL35;RPL28;RPS10;RPL27;RPS25;RPL18A;RPL18;KXD1</t>
  </si>
  <si>
    <t>ZHANG_RESPONSE_TO_CANTHARIDIN_DN</t>
  </si>
  <si>
    <t>10245;3921;1327;1936;6124;6159;6138;6208</t>
  </si>
  <si>
    <t>TIMM17B;RPSA;COX4I1;EEF1D;RPL4;RPL29;RPL15;RPS14</t>
  </si>
  <si>
    <t>NING_CHRONIC_OBSTRUCTIVE_PULMONARY_DISEASE_UP</t>
  </si>
  <si>
    <t>8721;6176;6137;6124;9045;6210;6228;6147;6209;10399</t>
  </si>
  <si>
    <t>EDF1;RPLP1;RPL13;RPL4;RPL14;RPS15A;RPS23;RPL23A;RPS15;RACK1</t>
  </si>
  <si>
    <t>TIEN_INTESTINE_PROBIOTICS_2HR_UP</t>
  </si>
  <si>
    <t>7178;6189;6205;6194;9349;1915</t>
  </si>
  <si>
    <t>TPT1;RPS3A;RPS11;RPS6;RPL23;EEF1A1</t>
  </si>
  <si>
    <t>WONG_MITOCHONDRIA_GENE_MODULE</t>
  </si>
  <si>
    <t>4706;27089;10975;4694;10245;1337;1327;1350;1349;521;3028</t>
  </si>
  <si>
    <t>NDUFAB1;UQCRQ;UQCR11;NDUFA1;TIMM17B;COX6A1;COX4I1;COX7C;COX7B;ATP5ME;HSD17B10</t>
  </si>
  <si>
    <t>BENPORATH_MYC_TARGETS_WITH_EBOX</t>
  </si>
  <si>
    <t>10245;6134;6223;23521;6157;6147;6194;6209;7311;6173;6143</t>
  </si>
  <si>
    <t>TIMM17B;RPL10;RPS19;RPL13A;RPL27A;RPL23A;RPS6;RPS15;UBA52;RPL36A;RPL19</t>
  </si>
  <si>
    <t>HILLION_HMGA1_TARGETS</t>
  </si>
  <si>
    <t>6218;1327;6206;6137;6223;6189;6205;6143</t>
  </si>
  <si>
    <t>RPS17;COX4I1;RPS12;RPL13;RPS19;RPS3A;RPS11;RPL19</t>
  </si>
  <si>
    <t>DIRMEIER_LMP1_RESPONSE_LATE_DN</t>
  </si>
  <si>
    <t>6175;2197;6223;6193;6159;6205</t>
  </si>
  <si>
    <t>RPLP0;FAU;RPS19;RPS5;RPL29;RPS11</t>
  </si>
  <si>
    <t>PUJANA_CHEK2_PCC_NETWORK</t>
  </si>
  <si>
    <t>8667;51499;1349;1933;6124;7334;6155;6201;5436;6194;5901;9349;6170;6233;6227;10399;11137;55651</t>
  </si>
  <si>
    <t>EIF3H;TRIAP1;COX7B;EEF1B2;RPL4;UBE2N;RPL27;RPS7;POLR2G;RPS6;RAN;RPL23;RPL39;RPS27A;RPS21;RACK1;PWP1;NHP2</t>
  </si>
  <si>
    <t>HOLLEMAN_VINCRISTINE_RESISTANCE_B_ALL_DN</t>
  </si>
  <si>
    <t>6181;6206;6136;6210;6205</t>
  </si>
  <si>
    <t>RPLP2;RPS12;RPL12;RPS15A;RPS11</t>
  </si>
  <si>
    <t>KIM_ALL_DISORDERS_DURATION_CORR_DN</t>
  </si>
  <si>
    <t>27089;4694;374291;8666;1327;1350;6137;6202;6235</t>
  </si>
  <si>
    <t>UQCRQ;NDUFA1;NDUFS7;EIF3G;COX4I1;COX7C;RPL13;RPS8;RPS29</t>
  </si>
  <si>
    <t>ALONSO_METASTASIS_UP</t>
  </si>
  <si>
    <t>4706;8667;6165;6204;746;5901;4736;59286;54539;55651</t>
  </si>
  <si>
    <t>NDUFAB1;EIF3H;RPL35A;RPS10;TMEM258;RAN;RPL10A;UBL5;NDUFB11;NHP2</t>
  </si>
  <si>
    <t>BLALOCK_ALZHEIMERS_DISEASE_DN</t>
  </si>
  <si>
    <t>4706;27089;10975;4695;1337;1327;1350;6165;1349;9045;7334;6138;5436;6160;6169;6227;10244;90480;29100;59286;54539;55850</t>
  </si>
  <si>
    <t>NDUFAB1;UQCRQ;UQCR11;NDUFA2;COX6A1;COX4I1;COX7C;RPL35A;COX7B;RPL14;UBE2N;RPL15;POLR2G;RPL31;RPL38;RPS21;RABEPK;GADD45GIP1;TMEM208;UBL5;NDUFB11;USE1</t>
  </si>
  <si>
    <t>HOSHIDA_LIVER_CANCER_SUBCLASS_S2</t>
  </si>
  <si>
    <t>6223;6232;6193;6155;6229;6230;6160;6152</t>
  </si>
  <si>
    <t>RPS19;RPS27;RPS5;RPL27;RPS24;RPS25;RPL31;RPL24</t>
  </si>
  <si>
    <t>LUI_THYROID_CANCER_PAX8_PPARG_DN</t>
  </si>
  <si>
    <t>10975;6206;6193;5901;4736;6142</t>
  </si>
  <si>
    <t>UQCR11;RPS12;RPS5;RAN;RPL10A;RPL18A</t>
  </si>
  <si>
    <t>KYNG_RESPONSE_TO_H2O2_VIA_ERCC6_DN</t>
  </si>
  <si>
    <t>1337;6193;84337;6130;6160;10399</t>
  </si>
  <si>
    <t>COX6A1;RPS5;ELOF1;RPL7A;RPL31;RACK1</t>
  </si>
  <si>
    <t>NING_CHRONIC_OBSTRUCTIVE_PULMONARY_DISEASE_DN</t>
  </si>
  <si>
    <t>6206;6136;6189;6222;6235;6229;6234;5204</t>
  </si>
  <si>
    <t>RPS12;RPL12;RPS3A;RPS18;RPS29;RPS24;RPS28;PFDN5</t>
  </si>
  <si>
    <t>MOOTHA_MITOCHONDRIA</t>
  </si>
  <si>
    <t>4706;10975;4694;4695;10245;1337;1327;1350;4713;1349;521;5901;64981</t>
  </si>
  <si>
    <t>NDUFAB1;UQCR11;NDUFA1;NDUFA2;TIMM17B;COX6A1;COX4I1;COX7C;NDUFB7;COX7B;ATP5ME;RAN;MRPL34</t>
  </si>
  <si>
    <t>WEST_ADRENOCORTICAL_TUMOR_DN</t>
  </si>
  <si>
    <t>7178;6134;1936;6125;6203;6159;6155;6191;6147;9349;6170;6169;1915;54539</t>
  </si>
  <si>
    <t>TPT1;RPL10;EEF1D;RPL5;RPS9;RPL29;RPL27;RPS4X;RPL23A;RPL23;RPL39;RPL38;EEF1A1;NDUFB11</t>
  </si>
  <si>
    <t>SWEET_KRAS_ONCOGENIC_SIGNATURE</t>
  </si>
  <si>
    <t>1933;1936;6122;9045;3646;6132;10399</t>
  </si>
  <si>
    <t>EEF1B2;EEF1D;RPL3;RPL14;EIF3E;RPL8;RACK1</t>
  </si>
  <si>
    <t>KIM_MYC_AMPLIFICATION_TARGETS_UP</t>
  </si>
  <si>
    <t>3921;1349;6136;6125;6210;6228;6191;6142;10244</t>
  </si>
  <si>
    <t>RPSA;COX7B;RPL12;RPL5;RPS15A;RPS23;RPS4X;RPL18A;RABEPK</t>
  </si>
  <si>
    <t>GAVIN_FOXP3_TARGETS_CLUSTER_T7</t>
  </si>
  <si>
    <t>8667;6134;6203;6201;6161;6141;55850</t>
  </si>
  <si>
    <t>EIF3H;RPL10;RPS9;RPS7;RPL32;RPL18;USE1</t>
  </si>
  <si>
    <t>GRUETZMANN_PANCREATIC_CANCER_DN</t>
  </si>
  <si>
    <t>6137;6203;6204;6201;6130;6229;6161;3476;11137</t>
  </si>
  <si>
    <t>RPL13;RPS9;RPS10;RPS7;RPL7A;RPS24;RPL32;IGBP1;PWP1</t>
  </si>
  <si>
    <t>MARTINEZ_RB1_AND_TP53_TARGETS_DN</t>
  </si>
  <si>
    <t>4695;6218;3646;6154;6155;6168;6201;6202;6222;9349;6229;6230;6227;59286</t>
  </si>
  <si>
    <t>NDUFA2;RPS17;EIF3E;RPL26;RPL27;RPL37A;RPS7;RPS8;RPS18;RPL23;RPS24;RPS25;RPS21;UBL5</t>
  </si>
  <si>
    <t>FLECHNER_PBL_KIDNEY_TRANSPLANT_OK_VS_DONOR_UP</t>
  </si>
  <si>
    <t>6175;1933;11224;6224;6228;6235;10399;6143</t>
  </si>
  <si>
    <t>RPLP0;EEF1B2;RPL35;RPS20;RPS23;RPS29;RACK1;RPL19</t>
  </si>
  <si>
    <t>WHITESIDE_CISPLATIN_RESISTANCE_DN</t>
  </si>
  <si>
    <t>23521;6203;6193;6227</t>
  </si>
  <si>
    <t>RPL13A;RPS9;RPS5;RPS21</t>
  </si>
  <si>
    <t>WATANABE_RECTAL_CANCER_RADIOTHERAPY_RESPONSIVE_UP</t>
  </si>
  <si>
    <t>6137;6232;521;6207;6169;1915;6173</t>
  </si>
  <si>
    <t>RPL13;RPS27;ATP5ME;RPS13;RPL38;EEF1A1;RPL36A</t>
  </si>
  <si>
    <t>ZAMORA_NOS2_TARGETS_UP</t>
  </si>
  <si>
    <t>353;3921;1933;6159;5901;10399</t>
  </si>
  <si>
    <t>APRT;RPSA;EEF1B2;RPL29;RAN;RACK1</t>
  </si>
  <si>
    <t>MARTINEZ_RB1_TARGETS_DN</t>
  </si>
  <si>
    <t>51499;6218;1337;3646;6154;6155;6168;6201;6202;6222;6229;6230;6227</t>
  </si>
  <si>
    <t>TRIAP1;RPS17;COX6A1;EIF3E;RPL26;RPL27;RPL37A;RPS7;RPS8;RPS18;RPS24;RPS25;RPS21</t>
  </si>
  <si>
    <t>BILANGES_RAPAMYCIN_SENSITIVE_GENES</t>
  </si>
  <si>
    <t>11224;6164;6155;6147;6209</t>
  </si>
  <si>
    <t>RPL35;RPL34;RPL27;RPL23A;RPS15</t>
  </si>
  <si>
    <t>ACEVEDO_NORMAL_TISSUE_ADJACENT_TO_LIVER_TUMOR_UP</t>
  </si>
  <si>
    <t>6176;6129;6157;9045;6189;6130;9349;3476</t>
  </si>
  <si>
    <t>RPLP1;RPL7;RPL27A;RPL14;RPS3A;RPL7A;RPL23;IGBP1</t>
  </si>
  <si>
    <t>WIERENGA_PML_INTERACTOME</t>
  </si>
  <si>
    <t>6188;6122;6232;6222;1915</t>
  </si>
  <si>
    <t>RPS3;RPL3;RPS27;RPS18;EEF1A1</t>
  </si>
  <si>
    <t>ACEVEDO_LIVER_CANCER_UP</t>
  </si>
  <si>
    <t>8667;6176;6129;1349;23521;9045;7334;6201;6130;6147;9349;6233;3476;126382;90480;79036;51545</t>
  </si>
  <si>
    <t>EIF3H;RPLP1;RPL7;COX7B;RPL13A;RPL14;UBE2N;RPS7;RPL7A;RPL23A;RPL23;RPS27A;IGBP1;NR2C2AP;GADD45GIP1;KXD1;ZNF581</t>
  </si>
  <si>
    <t>YAO_TEMPORAL_RESPONSE_TO_PROGESTERONE_CLUSTER_17</t>
  </si>
  <si>
    <t>4706;11316;27089;4713;140823;126328;64981;51647</t>
  </si>
  <si>
    <t>NDUFAB1;COPE;UQCRQ;NDUFB7;ROMO1;NDUFA11;MRPL34;CIAO2B</t>
  </si>
  <si>
    <t>MALONEY_RESPONSE_TO_17AAG_DN</t>
  </si>
  <si>
    <t>11224;6157;521;6202;6156;6152</t>
  </si>
  <si>
    <t>RPL35;RPL27A;ATP5ME;RPS8;RPL30;RPL24</t>
  </si>
  <si>
    <t>KEGG_CARDIAC_MUSCLE_CONTRACTION</t>
  </si>
  <si>
    <t>27089;10975;1337;1327;1350;1349</t>
  </si>
  <si>
    <t>UQCRQ;UQCR11;COX6A1;COX4I1;COX7C;COX7B</t>
  </si>
  <si>
    <t>ZHONG_SECRETOME_OF_LUNG_CANCER_AND_FIBROBLAST</t>
  </si>
  <si>
    <t>7178;5901;4736;7311;10399;6142;79036</t>
  </si>
  <si>
    <t>TPT1;RAN;RPL10A;UBA52;RACK1;RPL18A;KXD1</t>
  </si>
  <si>
    <t>SANA_RESPONSE_TO_IFNG_DN</t>
  </si>
  <si>
    <t>6175;3921;7178;6189;5901;4736</t>
  </si>
  <si>
    <t>RPLP0;RPSA;TPT1;RPS3A;RAN;RPL10A</t>
  </si>
  <si>
    <t>MARTINEZ_TP53_TARGETS_DN</t>
  </si>
  <si>
    <t>4695;6218;3646;6154;6155;6168;6201;6202;6222;9349;6229;6227;59286</t>
  </si>
  <si>
    <t>NDUFA2;RPS17;EIF3E;RPL26;RPL27;RPL37A;RPS7;RPS8;RPS18;RPL23;RPS24;RPS21;UBL5</t>
  </si>
  <si>
    <t>KRIGE_RESPONSE_TO_TOSEDOSTAT_24HR_DN</t>
  </si>
  <si>
    <t>4706;51499;4713;1349;6157;6125;521;84337;11137;125988;10244;126328;90480;192111;59286;55651;51693</t>
  </si>
  <si>
    <t>NDUFAB1;TRIAP1;NDUFB7;COX7B;RPL27A;RPL5;ATP5ME;ELOF1;PWP1;MICOS13;RABEPK;NDUFA11;GADD45GIP1;PGAM5;UBL5;NHP2;TRAPPC2L</t>
  </si>
  <si>
    <t>PURBEY_TARGETS_OF_CTBP1_AND_SATB1_UP</t>
  </si>
  <si>
    <t>6175;3921;6204;6164;6130;6194</t>
  </si>
  <si>
    <t>RPLP0;RPSA;RPS10;RPL34;RPL7A;RPS6</t>
  </si>
  <si>
    <t>BYSTROEM_CORRELATED_WITH_IL5_UP</t>
  </si>
  <si>
    <t>6176;6206;6134;6210;6171</t>
  </si>
  <si>
    <t>RPLP1;RPS12;RPL10;RPS15A;RPL41</t>
  </si>
  <si>
    <t>BENPORATH_SOX2_TARGETS</t>
  </si>
  <si>
    <t>4695;6176;6129;6133;6189;6138;6222;6235;6156;6173;11137;93436;126328;79002</t>
  </si>
  <si>
    <t>NDUFA2;RPLP1;RPL7;RPL9;RPS3A;RPL15;RPS18;RPS29;RPL30;RPL36A;PWP1;ARMC6;NDUFA11;TRIR</t>
  </si>
  <si>
    <t>BLALOCK_ALZHEIMERS_DISEASE_UP</t>
  </si>
  <si>
    <t>8721;6181;7178;6137;6134;1936;6124;6223;23521;6157;6125;6158;6204;6168;6191;6234;6170;6160;6169;1915;6141;29080</t>
  </si>
  <si>
    <t>EDF1;RPLP2;TPT1;RPL13;RPL10;EEF1D;RPL4;RPS19;RPL13A;RPL27A;RPL5;RPL28;RPS10;RPL37A;RPS4X;RPS28;RPL39;RPL31;RPL38;EEF1A1;RPL18;CCDC59</t>
  </si>
  <si>
    <t>BENPORATH_NANOG_TARGETS</t>
  </si>
  <si>
    <t>11316;6176;1337;140823;6189;6222;6207;6161;6233;11137;93436;84266;29100;192286;51079;54555</t>
  </si>
  <si>
    <t>COPE;RPLP1;COX6A1;ROMO1;RPS3A;RPS18;RPS13;RPL32;RPS27A;PWP1;ARMC6;ALKBH7;TMEM208;HIGD2A;NDUFA13;DDX49</t>
  </si>
  <si>
    <t>GAZDA_DIAMOND_BLACKFAN_ANEMIA_ERYTHROID_DN</t>
  </si>
  <si>
    <t>6129;1936;6157;6158;6159;9045;6189;6234;6142;6141;55850</t>
  </si>
  <si>
    <t>RPL7;EEF1D;RPL27A;RPL28;RPL29;RPL14;RPS3A;RPS28;RPL18A;RPL18;USE1</t>
  </si>
  <si>
    <t>YANAGISAWA_LUNG_CANCER_RECURRENCE</t>
  </si>
  <si>
    <t>2197;6170;51121</t>
  </si>
  <si>
    <t>FAU;RPL39;RPL26L1</t>
  </si>
  <si>
    <t>DAIRKEE_CANCER_PRONE_RESPONSE_BPA_E2</t>
  </si>
  <si>
    <t>1936;6124;6159;6138;6194;25873</t>
  </si>
  <si>
    <t>EEF1D;RPL4;RPL29;RPL15;RPS6;RPL36</t>
  </si>
  <si>
    <t>MARTINEZ_RESPONSE_TO_TRABECTEDIN_UP</t>
  </si>
  <si>
    <t>4694;4695;6232;7311;51079</t>
  </si>
  <si>
    <t>NDUFA1;NDUFA2;RPS27;UBA52;NDUFA13</t>
  </si>
  <si>
    <t>HONMA_DOCETAXEL_RESISTANCE</t>
  </si>
  <si>
    <t>353;1350;6169;10399</t>
  </si>
  <si>
    <t>APRT;COX7C;RPL38;RACK1</t>
  </si>
  <si>
    <t>KAYO_AGING_MUSCLE_DN</t>
  </si>
  <si>
    <t>1337;6201;6222;5436;6230;6160</t>
  </si>
  <si>
    <t>COX6A1;RPS7;RPS18;POLR2G;RPS25;RPL31</t>
  </si>
  <si>
    <t>HU_GENOTOXIC_DAMAGE_24HR</t>
  </si>
  <si>
    <t>8815;6122;4736;51398</t>
  </si>
  <si>
    <t>BANF1;RPL3;RPL10A;WDR83OS</t>
  </si>
  <si>
    <t>REACTOME_HIV_LIFE_CYCLE</t>
  </si>
  <si>
    <t>8815;5436;5901;6233;7311;79023</t>
  </si>
  <si>
    <t>BANF1;POLR2G;RAN;RPS27A;UBA52;NUP37</t>
  </si>
  <si>
    <t>GAZDA_DIAMOND_BLACKFAN_ANEMIA_MYELOID_DN</t>
  </si>
  <si>
    <t>10084;6158;6138;25873</t>
  </si>
  <si>
    <t>PQBP1;RPL28;RPL15;RPL36</t>
  </si>
  <si>
    <t>ROME_INSULIN_TARGETS_IN_MUSCLE_UP</t>
  </si>
  <si>
    <t>11316;6176;3646;6224;6208;6130;6209;6227;10399;6152</t>
  </si>
  <si>
    <t>COPE;RPLP1;EIF3E;RPS20;RPS14;RPL7A;RPS15;RPS21;RACK1;RPL24</t>
  </si>
  <si>
    <t>MCBRYAN_PUBERTAL_BREAST_3_4WK_DN</t>
  </si>
  <si>
    <t>6129;6204;6227;6173</t>
  </si>
  <si>
    <t>RPL7;RPS10;RPS21;RPL36A</t>
  </si>
  <si>
    <t>JIANG_VHL_TARGETS</t>
  </si>
  <si>
    <t>8666;6175;6137;6159;51693;51121</t>
  </si>
  <si>
    <t>EIF3G;RPLP0;RPL13;RPL29;TRAPPC2L;RPL26L1</t>
  </si>
  <si>
    <t>HOEBEKE_LYMPHOID_STEM_CELL_DN</t>
  </si>
  <si>
    <t>6232;11224;746;6194;6173</t>
  </si>
  <si>
    <t>RPS27;RPL35;TMEM258;RPS6;RPL36A</t>
  </si>
  <si>
    <t>BHATTACHARYA_EMBRYONIC_STEM_CELL</t>
  </si>
  <si>
    <t>6175;6129;6124;6229;6152</t>
  </si>
  <si>
    <t>RPLP0;RPL7;RPL4;RPS24;RPL24</t>
  </si>
  <si>
    <t>BILANGES_SERUM_SENSITIVE_GENES</t>
  </si>
  <si>
    <t>3646;6222;6160;4736;3476</t>
  </si>
  <si>
    <t>EIF3E;RPS18;RPL31;RPL10A;IGBP1</t>
  </si>
  <si>
    <t>KRIGE_RESPONSE_TO_TOSEDOSTAT_6HR_DN</t>
  </si>
  <si>
    <t>51499;4713;1349;6157;521;84337;1915;11137;125988;126328;90480;59286;55651;51693</t>
  </si>
  <si>
    <t>TRIAP1;NDUFB7;COX7B;RPL27A;ATP5ME;ELOF1;EEF1A1;PWP1;MICOS13;NDUFA11;GADD45GIP1;UBL5;NHP2;TRAPPC2L</t>
  </si>
  <si>
    <t>SWEET_LUNG_CANCER_KRAS_UP</t>
  </si>
  <si>
    <t>353;1933;1936;6122;6158;3646;4736;6132;10399;25873</t>
  </si>
  <si>
    <t>APRT;EEF1B2;EEF1D;RPL3;RPL28;EIF3E;RPL10A;RPL8;RACK1;RPL36</t>
  </si>
  <si>
    <t>ZHAN_MULTIPLE_MYELOMA_HP_UP</t>
  </si>
  <si>
    <t>6218;23521;6167;6130</t>
  </si>
  <si>
    <t>RPS17;RPL13A;RPL37;RPL7A</t>
  </si>
  <si>
    <t>GRATIAS_RETINOBLASTOMA_16Q24</t>
  </si>
  <si>
    <t>353;1327;51693</t>
  </si>
  <si>
    <t>APRT;COX4I1;TRAPPC2L</t>
  </si>
  <si>
    <t>LINDGREN_BLADDER_CANCER_CLUSTER_3_DN</t>
  </si>
  <si>
    <t>6206;3646;6228;6230;6234;10399;3476</t>
  </si>
  <si>
    <t>RPS12;EIF3E;RPS23;RPS25;RPS28;RACK1;IGBP1</t>
  </si>
  <si>
    <t>JIANG_HYPOXIA_NORMAL</t>
  </si>
  <si>
    <t>6188;6134;6136;6133;6159;6156;1915;28974</t>
  </si>
  <si>
    <t>RPS3;RPL10;RPL12;RPL9;RPL29;RPL30;EEF1A1;C19orf53</t>
  </si>
  <si>
    <t>NIKOLSKY_BREAST_CANCER_16Q24_AMPLICON</t>
  </si>
  <si>
    <t>353;1327;6137;51693</t>
  </si>
  <si>
    <t>APRT;COX4I1;RPL13;TRAPPC2L</t>
  </si>
  <si>
    <t>REACTOME_LATE_PHASE_OF_HIV_LIFE_CYCLE</t>
  </si>
  <si>
    <t>5436;5901;6233;7311;79023</t>
  </si>
  <si>
    <t>POLR2G;RAN;RPS27A;UBA52;NUP37</t>
  </si>
  <si>
    <t>ZHOU_TNF_SIGNALING_4HR</t>
  </si>
  <si>
    <t>6134;6157;6202;6228</t>
  </si>
  <si>
    <t>RPL10;RPL27A;RPS8;RPS23</t>
  </si>
  <si>
    <t>HOLLEMAN_ASPARAGINASE_RESISTANCE_ALL_UP</t>
  </si>
  <si>
    <t>6188;6122;6130</t>
  </si>
  <si>
    <t>RPS3;RPL3;RPL7A</t>
  </si>
  <si>
    <t>MATTIOLI_MGUS_VS_PCL</t>
  </si>
  <si>
    <t>6176;7178;6194;5901;1915</t>
  </si>
  <si>
    <t>RPLP1;TPT1;RPS6;RAN;EEF1A1</t>
  </si>
  <si>
    <t>BILD_SRC_ONCOGENIC_SIGNATURE</t>
  </si>
  <si>
    <t>6181;6223;6157;6205</t>
  </si>
  <si>
    <t>RPLP2;RPS19;RPL27A;RPS11</t>
  </si>
  <si>
    <t>LINDGREN_BLADDER_CANCER_CLUSTER_1_UP</t>
  </si>
  <si>
    <t>11224;6157;6138;6130;4736</t>
  </si>
  <si>
    <t>RPL35;RPL27A;RPL15;RPL7A;RPL10A</t>
  </si>
  <si>
    <t>REACTOME_ANTIVIRAL_MECHANISM_BY_IFN_STIMULATED_GENES</t>
  </si>
  <si>
    <t>7334;6233;7311;79023</t>
  </si>
  <si>
    <t>UBE2N;RPS27A;UBA52;NUP37</t>
  </si>
  <si>
    <t>CHIANG_LIVER_CANCER_SUBCLASS_UNANNOTATED_DN</t>
  </si>
  <si>
    <t>6130;5901;10399;79023;8409;51398</t>
  </si>
  <si>
    <t>RPL7A;RAN;RACK1;NUP37;UXT;WDR83OS</t>
  </si>
  <si>
    <t>BURTON_ADIPOGENESIS_5</t>
  </si>
  <si>
    <t>4706;10975;1337;140823;64981</t>
  </si>
  <si>
    <t>NDUFAB1;UQCR11;COX6A1;ROMO1;MRPL34</t>
  </si>
  <si>
    <t>KIM_WT1_TARGETS_8HR_DN</t>
  </si>
  <si>
    <t>4694;8721;6134;6203;192286</t>
  </si>
  <si>
    <t>NDUFA1;EDF1;RPL10;RPS9;HIGD2A</t>
  </si>
  <si>
    <t>KYNG_RESPONSE_TO_H2O2</t>
  </si>
  <si>
    <t>6125;6130;6160;5204</t>
  </si>
  <si>
    <t>RPL5;RPL7A;RPL31;PFDN5</t>
  </si>
  <si>
    <t>REACTOME_HOST_INTERACTIONS_OF_HIV_FACTORS</t>
  </si>
  <si>
    <t>8815;5901;6233;7311;79023</t>
  </si>
  <si>
    <t>BANF1;RAN;RPS27A;UBA52;NUP37</t>
  </si>
  <si>
    <t>MOREAUX_B_LYMPHOCYTE_MATURATION_BY_TACI_DN</t>
  </si>
  <si>
    <t>8666;5901;51079;51121</t>
  </si>
  <si>
    <t>EIF3G;RAN;NDUFA13;RPL26L1</t>
  </si>
  <si>
    <t>REACTOME_HIV_INFECTION</t>
  </si>
  <si>
    <t>ZHONG_SECRETOME_OF_LUNG_CANCER_AND_MACROPHAGE</t>
  </si>
  <si>
    <t>7178;5901;4736;10399</t>
  </si>
  <si>
    <t>TPT1;RAN;RPL10A;RACK1</t>
  </si>
  <si>
    <t>DODD_NASOPHARYNGEAL_CARCINOMA_DN</t>
  </si>
  <si>
    <t>51499;6175;6165;6223;6168;6210;5901;6209;6229;6160;6227;11137;728568;79023;29080;51184</t>
  </si>
  <si>
    <t>TRIAP1;RPLP0;RPL35A;RPS19;RPL37A;RPS15A;RAN;RPS15;RPS24;RPL31;RPS21;PWP1;C12orf73;NUP37;CCDC59;GPN3</t>
  </si>
  <si>
    <t>YAO_TEMPORAL_RESPONSE_TO_PROGESTERONE_CLUSTER_12</t>
  </si>
  <si>
    <t>23521;3028;192286;51398</t>
  </si>
  <si>
    <t>RPL13A;HSD17B10;HIGD2A;WDR83OS</t>
  </si>
  <si>
    <t>HORIUCHI_WTAP_TARGETS_DN</t>
  </si>
  <si>
    <t>1349;1933;6137;6122;23521;6138;6130</t>
  </si>
  <si>
    <t>COX7B;EEF1B2;RPL13;RPL3;RPL13A;RPL15;RPL7A</t>
  </si>
  <si>
    <t>MUNSHI_MULTIPLE_MYELOMA_UP</t>
  </si>
  <si>
    <t>10975;5901;1915;5204</t>
  </si>
  <si>
    <t>UQCR11;RAN;EEF1A1;PFDN5</t>
  </si>
  <si>
    <t>RODWELL_AGING_KIDNEY_NO_BLOOD_UP</t>
  </si>
  <si>
    <t>6165;6136;11224;6204;6155;6230</t>
  </si>
  <si>
    <t>RPL35A;RPL12;RPL35;RPS10;RPL27;RPS25</t>
  </si>
  <si>
    <t>DARWICHE_PAPILLOMA_RISK_HIGH_UP</t>
  </si>
  <si>
    <t>1933;1936;6189;6170;55651</t>
  </si>
  <si>
    <t>EEF1B2;EEF1D;RPS3A;RPL39;NHP2</t>
  </si>
  <si>
    <t>BRUINS_UVC_RESPONSE_EARLY_LATE</t>
  </si>
  <si>
    <t>8815;6175;6218;3921;6224;125988;79023</t>
  </si>
  <si>
    <t>BANF1;RPLP0;RPS17;RPSA;RPS20;MICOS13;NUP37</t>
  </si>
  <si>
    <t>JIANG_AGING_CEREBRAL_CORTEX_UP</t>
  </si>
  <si>
    <t>7178;6125;6229</t>
  </si>
  <si>
    <t>TPT1;RPL5;RPS24</t>
  </si>
  <si>
    <t>ALCALA_APOPTOSIS</t>
  </si>
  <si>
    <t>6175;1327;4736;1915</t>
  </si>
  <si>
    <t>RPLP0;COX4I1;RPL10A;EEF1A1</t>
  </si>
  <si>
    <t>LEE_CALORIE_RESTRICTION_NEOCORTEX_DN</t>
  </si>
  <si>
    <t>1936;5436;1915;28974</t>
  </si>
  <si>
    <t>EEF1D;POLR2G;EEF1A1;C19orf53</t>
  </si>
  <si>
    <t>RICKMAN_TUMOR_DIFFERENTIATED_WELL_VS_POORLY_UP</t>
  </si>
  <si>
    <t>6165;1936;6232;6125;6201;9349</t>
  </si>
  <si>
    <t>RPL35A;EEF1D;RPS27;RPL5;RPS7;RPL23</t>
  </si>
  <si>
    <t>CUI_TCF21_TARGETS_2_UP</t>
  </si>
  <si>
    <t>8815;353;3921;4713;6136;6203;6171;10399</t>
  </si>
  <si>
    <t>BANF1;APRT;RPSA;NDUFB7;RPL12;RPS9;RPL41;RACK1</t>
  </si>
  <si>
    <t>JUBAN_TARGETS_OF_SPI1_AND_FLI1_DN</t>
  </si>
  <si>
    <t>51499;10399;6141;55651</t>
  </si>
  <si>
    <t>TRIAP1;RACK1;RPL18;NHP2</t>
  </si>
  <si>
    <t>DARWICHE_PAPILLOMA_RISK_LOW_UP</t>
  </si>
  <si>
    <t>REACTOME_IRAK2_MEDIATED_ACTIVATION_OF_TAK1_COMPLEX_UPON_TLR7_8_OR_9_STIMULATION</t>
  </si>
  <si>
    <t>6233;7311</t>
  </si>
  <si>
    <t>RPS27A;UBA52</t>
  </si>
  <si>
    <t>ZUCCHI_METASTASIS_UP</t>
  </si>
  <si>
    <t>7178;7311;10399</t>
  </si>
  <si>
    <t>TPT1;UBA52;RACK1</t>
  </si>
  <si>
    <t>REACTOME_MEMBRANE_BINDING_AND_TARGETTING_OF_GAG_PROTEINS</t>
  </si>
  <si>
    <t>CHAUHAN_RESPONSE_TO_METHOXYESTRADIOL_DN</t>
  </si>
  <si>
    <t>11316;1337;6136;1915</t>
  </si>
  <si>
    <t>COPE;COX6A1;RPL12;EEF1A1</t>
  </si>
  <si>
    <t>WAMUNYOKOLI_OVARIAN_CANCER_LMP_UP</t>
  </si>
  <si>
    <t>27089;10975;8721;100131801;1337;7178</t>
  </si>
  <si>
    <t>UQCRQ;UQCR11;EDF1;PET100;COX6A1;TPT1</t>
  </si>
  <si>
    <t>JIANG_AGING_HYPOTHALAMUS_UP</t>
  </si>
  <si>
    <t>4694;1349;6206</t>
  </si>
  <si>
    <t>NDUFA1;COX7B;RPS12</t>
  </si>
  <si>
    <t>BOHN_PRIMARY_IMMUNODEFICIENCY_SYNDROM_UP</t>
  </si>
  <si>
    <t>3921;6193;9045</t>
  </si>
  <si>
    <t>RPSA;RPS5;RPL14</t>
  </si>
  <si>
    <t>REACTOME_NFKB_IS_ACTIVATED_AND_SIGNALS_SURVIVAL</t>
  </si>
  <si>
    <t>REACTOME_REGULATION_OF_THE_FANCONI_ANEMIA_PATHWAY</t>
  </si>
  <si>
    <t>XU_GH1_AUTOCRINE_TARGETS_UP</t>
  </si>
  <si>
    <t>27089;10975;4694;353;6132;25873</t>
  </si>
  <si>
    <t>UQCRQ;UQCR11;NDUFA1;APRT;RPL8;RPL36</t>
  </si>
  <si>
    <t>FERNANDEZ_BOUND_BY_MYC</t>
  </si>
  <si>
    <t>23521;6157;6194;7311;6143</t>
  </si>
  <si>
    <t>RPL13A;RPL27A;RPS6;UBA52;RPL19</t>
  </si>
  <si>
    <t>MCBRYAN_PUBERTAL_BREAST_4_5WK_UP</t>
  </si>
  <si>
    <t>6129;6125;6204;6168;6227;6173</t>
  </si>
  <si>
    <t>RPL7;RPL5;RPS10;RPL37A;RPS21;RPL36A</t>
  </si>
  <si>
    <t>REACTOME_DOWNREGULATION_OF_ERBB2_ERBB3_SIGNALING</t>
  </si>
  <si>
    <t>REACTOME_P75NTR_RECRUITS_SIGNALLING_COMPLEXES</t>
  </si>
  <si>
    <t>REACTOME_RECEPTOR_LIGAND_BINDING_INITIATES_THE_SECOND_PROTEOLYTIC_CLEAVAGE_OF_NOTCH_RECEPTOR</t>
  </si>
  <si>
    <t>NEBEN_AML_WITH_FLT3_OR_NRAS_DN</t>
  </si>
  <si>
    <t>6188;6158</t>
  </si>
  <si>
    <t>RPS3;RPL28</t>
  </si>
  <si>
    <t>DAZARD_UV_RESPONSE_CLUSTER_G5</t>
  </si>
  <si>
    <t>8666;10399</t>
  </si>
  <si>
    <t>EIF3G;RACK1</t>
  </si>
  <si>
    <t>NATSUME_RESPONSE_TO_INTERFERON_BETA_DN</t>
  </si>
  <si>
    <t>6176;1337;1327</t>
  </si>
  <si>
    <t>RPLP1;COX6A1;COX4I1</t>
  </si>
  <si>
    <t>GOERING_BLOOD_HDL_CHOLESTEROL_QTL_CIS</t>
  </si>
  <si>
    <t>9045;7311</t>
  </si>
  <si>
    <t>RPL14;UBA52</t>
  </si>
  <si>
    <t>SCGGAAGY_ELK1_02</t>
  </si>
  <si>
    <t>11316;8625;8667;8815;6181;1337;6188;1933;6193;521;140823;7334;6189;6154;6155;6168;6167;6208;6222;6194;6230;6160;6161;6143;79023;192111;79036;29100;59286;55850;8409;51504;51398;51647;54555</t>
  </si>
  <si>
    <t>COPE;RFXANK;EIF3H;BANF1;RPLP2;COX6A1;RPS3;EEF1B2;RPS5;ATP5ME;ROMO1;UBE2N;RPS3A;RPL26;RPL27;RPL37A;RPL37;RPS14;RPS18;RPS6;RPS25;RPL31;RPL32;RPL19;NUP37;PGAM5;KXD1;TMEM208;UBL5;USE1;UXT;TRMT112;WDR83OS;CIAO2B;DDX49</t>
  </si>
  <si>
    <t>c3</t>
  </si>
  <si>
    <t>TMTCGCGANR_UNKNOWN</t>
  </si>
  <si>
    <t>1349;6136;6223;6154;6201;6210;6194;4736;126328</t>
  </si>
  <si>
    <t>COX7B;RPL12;RPS19;RPL26;RPS7;RPS15A;RPS6;RPL10A;NDUFA11</t>
  </si>
  <si>
    <t>ACTAYRNNNCCCR_UNKNOWN</t>
  </si>
  <si>
    <t>1350;6129;1349;7334;746;6138;6205;6233;125988;116541;93343;64981;29100</t>
  </si>
  <si>
    <t>COX7C;RPL7;COX7B;UBE2N;TMEM258;RPL15;RPS11;RPS27A;MICOS13;MRPL54;MVB12A;MRPL34;TMEM208</t>
  </si>
  <si>
    <t>GABP_B</t>
  </si>
  <si>
    <t>8667;8815;1337;6164;7334;6161;10244;79036;29100;55850</t>
  </si>
  <si>
    <t>EIF3H;BANF1;COX6A1;RPL34;UBE2N;RPL32;RABEPK;KXD1;TMEM208;USE1</t>
  </si>
  <si>
    <t>NRF2_01</t>
  </si>
  <si>
    <t>6193;6204;6159;6164;7334;6155;6167;6222;29100;51504</t>
  </si>
  <si>
    <t>RPS5;RPS10;RPL29;RPL34;UBE2N;RPL27;RPL37;RPS18;TMEM208;TRMT112</t>
  </si>
  <si>
    <t>GGAANCGGAANY_UNKNOWN</t>
  </si>
  <si>
    <t>8667;8815;6158;7311;6169;10399;59286</t>
  </si>
  <si>
    <t>EIF3H;BANF1;RPL28;UBA52;RPL38;RACK1;UBL5</t>
  </si>
  <si>
    <t>MGGAAGTG_GABP_B</t>
  </si>
  <si>
    <t>3921;7334;6155;6167;6222;6205;6194;6171;29100;55850;8409;51504;51398;51647</t>
  </si>
  <si>
    <t>RPSA;UBE2N;RPL27;RPL37;RPS18;RPS11;RPS6;RPL41;TMEM208;USE1;UXT;TRMT112;WDR83OS;CIAO2B</t>
  </si>
  <si>
    <t>TNCATNTCCYR_UNKNOWN</t>
  </si>
  <si>
    <t>1350;1349;7334;125988;116541;64981</t>
  </si>
  <si>
    <t>COX7C;COX7B;UBE2N;MICOS13;MRPL54;MRPL34</t>
  </si>
  <si>
    <t>GGCNKCCATNK_UNKNOWN</t>
  </si>
  <si>
    <t>6124;6232;6202;6161;6142</t>
  </si>
  <si>
    <t>RPL4;RPS27;RPS8;RPL32;RPL18A</t>
  </si>
  <si>
    <t>RACTNNRTTTNC_UNKNOWN</t>
  </si>
  <si>
    <t>1349;7334;116541;64981;192286</t>
  </si>
  <si>
    <t>COX7B;UBE2N;MRPL54;MRPL34;HIGD2A</t>
  </si>
  <si>
    <t>MODULE_83</t>
  </si>
  <si>
    <t>4706;27089;10975;4694;8667;8666;6176;6181;6175;353;6218;3921;1337;7178;1350;4713;6165;6129;6188;1349;1933;6206;6137;6134;1936;6136;6133;2197;6124;6223;6122;23521;6232;11224;6157;6125;6158;6203;6193;6204;6159;6164;9045;521;3646;6224;6189;6154;6138;6155;6167;6202;6210;6228;6222;6235;6207;6205;6130;5436;6191;6147;5901;9349;6209;6229;6230;6234;6170;6160;4736;6161;6132;6233;7311;6169;6227;10399;1915;6152;6173;6143;6142;6141;5204;192286;59286;51079;8409</t>
  </si>
  <si>
    <t>NDUFAB1;UQCRQ;UQCR11;NDUFA1;EIF3H;EIF3G;RPLP1;RPLP2;RPLP0;APRT;RPS17;RPSA;COX6A1;TPT1;COX7C;NDUFB7;RPL35A;RPL7;RPS3;COX7B;EEF1B2;RPS12;RPL13;RPL10;EEF1D;RPL12;RPL9;FAU;RPL4;RPS19;RPL3;RPL13A;RPS27;RPL35;RPL27A;RPL5;RPL28;RPS9;RPS5;RPS10;RPL29;RPL34;RPL14;ATP5ME;EIF3E;RPS20;RPS3A;RPL26;RPL15;RPL27;RPL37;RPS8;RPS15A;RPS23;RPS18;RPS29;RPS13;RPS11;RPL7A;POLR2G;RPS4X;RPL23A;RAN;RPL23;RPS15;RPS24;RPS25;RPS28;RPL39;RPL31;RPL10A;RPL32;RPL8;RPS27A;UBA52;RPL38;RPS21;RACK1;EEF1A1;RPL24;RPL36A;RPL19;RPL18A;RPL18;PFDN5;HIGD2A;UBL5;NDUFA13;UXT</t>
  </si>
  <si>
    <t>c4</t>
  </si>
  <si>
    <t>GNF2_EIF3S6</t>
  </si>
  <si>
    <t>8667;6181;6218;3921;1350;6165;6129;6188;1933;6206;6137;6136;6133;2197;6124;6223;6122;23521;11224;6157;6125;6158;6203;6204;6159;6164;9045;3646;6224;6189;6138;6155;6167;6201;6202;6208;6228;6222;6235;6207;6130;6191;6147;6194;9349;6209;6229;6230;6234;6156;6170;6160;4736;6161;6132;6171;7311;6169;6227;10399;6152;6173;6143;6142;6141;29080;8409;25873</t>
  </si>
  <si>
    <t>EIF3H;RPLP2;RPS17;RPSA;COX7C;RPL35A;RPL7;RPS3;EEF1B2;RPS12;RPL13;RPL12;RPL9;FAU;RPL4;RPS19;RPL3;RPL13A;RPL35;RPL27A;RPL5;RPL28;RPS9;RPS10;RPL29;RPL34;RPL14;EIF3E;RPS20;RPS3A;RPL15;RPL27;RPL37;RPS7;RPS8;RPS14;RPS23;RPS18;RPS29;RPS13;RPL7A;RPS4X;RPL23A;RPS6;RPL23;RPS15;RPS24;RPS25;RPS28;RPL30;RPL39;RPL31;RPL10A;RPL32;RPL8;RPL41;UBA52;RPL38;RPS21;RACK1;RPL24;RPL36A;RPL19;RPL18A;RPL18;CCDC59;UXT;RPL36</t>
  </si>
  <si>
    <t>MORF_NPM1</t>
  </si>
  <si>
    <t>8667;6176;6181;6175;6218;1337;1327;7178;1350;6129;6188;1933;6206;6137;1936;6136;6133;2197;6124;6223;6122;23521;6232;11224;6157;6125;6158;6203;6193;6204;6159;6164;9045;3646;6224;6189;6138;6155;6167;6201;6202;6210;6208;6228;6222;6235;6207;6205;6191;6147;6194;5901;9349;6229;6230;6234;6156;6160;4736;6161;6132;6233;6169;10399;1915;6152;6173;6143;6142;6141;54555</t>
  </si>
  <si>
    <t>EIF3H;RPLP1;RPLP2;RPLP0;RPS17;COX6A1;COX4I1;TPT1;COX7C;RPL7;RPS3;EEF1B2;RPS12;RPL13;EEF1D;RPL12;RPL9;FAU;RPL4;RPS19;RPL3;RPL13A;RPS27;RPL35;RPL27A;RPL5;RPL28;RPS9;RPS5;RPS10;RPL29;RPL34;RPL14;EIF3E;RPS20;RPS3A;RPL15;RPL27;RPL37;RPS7;RPS8;RPS15A;RPS14;RPS23;RPS18;RPS29;RPS13;RPS11;RPS4X;RPL23A;RPS6;RAN;RPL23;RPS24;RPS25;RPS28;RPL30;RPL31;RPL10A;RPL32;RPL8;RPS27A;RPL38;RACK1;EEF1A1;RPL24;RPL36A;RPL19;RPL18A;RPL18;DDX49</t>
  </si>
  <si>
    <t>MODULE_114</t>
  </si>
  <si>
    <t>4706;27089;10975;4694;8667;8666;6176;6181;6175;353;3921;7178;1350;4713;6165;6129;6188;1349;1933;6137;6134;1936;6136;6133;2197;6124;6223;23521;6232;11224;6157;6158;6203;6193;6204;6159;6164;9045;521;3646;6224;6189;6154;6138;6155;6210;6228;6207;6205;6130;6191;6147;9349;6229;6230;6234;6170;6160;4736;6161;6132;6233;7311;6169;6227;10399;1915;6152;6173;6143;6142;6141;5204;192286;59286;51079;8409;28974;51398</t>
  </si>
  <si>
    <t>NDUFAB1;UQCRQ;UQCR11;NDUFA1;EIF3H;EIF3G;RPLP1;RPLP2;RPLP0;APRT;RPSA;TPT1;COX7C;NDUFB7;RPL35A;RPL7;RPS3;COX7B;EEF1B2;RPL13;RPL10;EEF1D;RPL12;RPL9;FAU;RPL4;RPS19;RPL13A;RPS27;RPL35;RPL27A;RPL28;RPS9;RPS5;RPS10;RPL29;RPL34;RPL14;ATP5ME;EIF3E;RPS20;RPS3A;RPL26;RPL15;RPL27;RPS15A;RPS23;RPS13;RPS11;RPL7A;RPS4X;RPL23A;RPL23;RPS24;RPS25;RPS28;RPL39;RPL31;RPL10A;RPL32;RPL8;RPS27A;UBA52;RPL38;RPS21;RACK1;EEF1A1;RPL24;RPL36A;RPL19;RPL18A;RPL18;PFDN5;HIGD2A;UBL5;NDUFA13;UXT;C19orf53;WDR83OS</t>
  </si>
  <si>
    <t>MORF_ACTG1</t>
  </si>
  <si>
    <t>6176;6181;6175;6218;1337;1327;7178;1350;6129;6188;1933;6206;6137;6134;6136;6133;2197;6124;6223;6122;23521;6232;6157;6125;6158;6203;6193;6204;6159;6164;9045;6224;6189;6138;6155;6167;6201;6202;6210;6208;6228;6222;6235;6207;6205;6191;6147;6194;5901;9349;6229;6230;6234;6156;6160;4736;6161;6132;6233;6169;10399;1915;6152;6173;6143;6142;6141</t>
  </si>
  <si>
    <t>RPLP1;RPLP2;RPLP0;RPS17;COX6A1;COX4I1;TPT1;COX7C;RPL7;RPS3;EEF1B2;RPS12;RPL13;RPL10;RPL12;RPL9;FAU;RPL4;RPS19;RPL3;RPL13A;RPS27;RPL27A;RPL5;RPL28;RPS9;RPS5;RPS10;RPL29;RPL34;RPL14;RPS20;RPS3A;RPL15;RPL27;RPL37;RPS7;RPS8;RPS15A;RPS14;RPS23;RPS18;RPS29;RPS13;RPS11;RPS4X;RPL23A;RPS6;RAN;RPL23;RPS24;RPS25;RPS28;RPL30;RPL31;RPL10A;RPL32;RPL8;RPS27A;RPL38;RACK1;EEF1A1;RPL24;RPL36A;RPL19;RPL18A;RPL18</t>
  </si>
  <si>
    <t>MORF_TPT1</t>
  </si>
  <si>
    <t>6176;6181;6175;6218;7178;1350;6129;6188;1933;6206;6137;6134;6136;6133;2197;6124;6223;6122;23521;6232;6157;6125;6158;6203;6193;6204;6159;6164;6224;6189;6138;6155;6167;6201;6202;6210;6208;6228;6222;6235;6207;6205;6191;6147;6194;9349;6229;6230;6156;6160;4736;6161;6132;6233;6169;10399;1915;6152;6173;6143;6142;6141</t>
  </si>
  <si>
    <t>RPLP1;RPLP2;RPLP0;RPS17;TPT1;COX7C;RPL7;RPS3;EEF1B2;RPS12;RPL13;RPL10;RPL12;RPL9;FAU;RPL4;RPS19;RPL3;RPL13A;RPS27;RPL27A;RPL5;RPL28;RPS9;RPS5;RPS10;RPL29;RPL34;RPS20;RPS3A;RPL15;RPL27;RPL37;RPS7;RPS8;RPS15A;RPS14;RPS23;RPS18;RPS29;RPS13;RPS11;RPS4X;RPL23A;RPS6;RPL23;RPS24;RPS25;RPL30;RPL31;RPL10A;RPL32;RPL8;RPS27A;RPL38;RACK1;EEF1A1;RPL24;RPL36A;RPL19;RPL18A;RPL18</t>
  </si>
  <si>
    <t>MODULE_151</t>
  </si>
  <si>
    <t>4706;27089;4694;8667;8666;6176;6175;353;3921;1350;4713;6165;6129;6188;1349;1933;6137;6134;1936;6136;6133;6124;6223;23521;6232;11224;6157;6158;6203;6193;6204;6159;6164;9045;521;3646;6224;6189;6154;6138;6155;6210;6228;6207;6205;6130;6191;6147;9349;6229;6230;6234;6170;6160;4736;6161;6132;6233;7311;6169;6227;10399;1915;6152;6173;6143;6142;6141;192286;59286;51079;8409;28974;51398</t>
  </si>
  <si>
    <t>NDUFAB1;UQCRQ;NDUFA1;EIF3H;EIF3G;RPLP1;RPLP0;APRT;RPSA;COX7C;NDUFB7;RPL35A;RPL7;RPS3;COX7B;EEF1B2;RPL13;RPL10;EEF1D;RPL12;RPL9;RPL4;RPS19;RPL13A;RPS27;RPL35;RPL27A;RPL28;RPS9;RPS5;RPS10;RPL29;RPL34;RPL14;ATP5ME;EIF3E;RPS20;RPS3A;RPL26;RPL15;RPL27;RPS15A;RPS23;RPS13;RPS11;RPL7A;RPS4X;RPL23A;RPL23;RPS24;RPS25;RPS28;RPL39;RPL31;RPL10A;RPL32;RPL8;RPS27A;UBA52;RPL38;RPS21;RACK1;EEF1A1;RPL24;RPL36A;RPL19;RPL18A;RPL18;HIGD2A;UBL5;NDUFA13;UXT;C19orf53;WDR83OS</t>
  </si>
  <si>
    <t>MORF_NME2</t>
  </si>
  <si>
    <t>4694;4695;8636;8815;6181;6175;1337;1327;1350;6129;6188;6206;6137;1936;6136;6133;2197;6223;23521;6232;11224;6157;6203;6193;6204;6164;6224;6189;6138;6155;6201;6202;6210;6208;6228;6235;6207;6205;6191;6147;6194;5901;6229;6230;6156;6160;6161;6132;6233;6169;10399;6152;6173;6143;6142;6141</t>
  </si>
  <si>
    <t>NDUFA1;NDUFA2;SSNA1;BANF1;RPLP2;RPLP0;COX6A1;COX4I1;COX7C;RPL7;RPS3;RPS12;RPL13;EEF1D;RPL12;RPL9;FAU;RPS19;RPL13A;RPS27;RPL35;RPL27A;RPS9;RPS5;RPS10;RPL34;RPS20;RPS3A;RPL15;RPL27;RPS7;RPS8;RPS15A;RPS14;RPS23;RPS29;RPS13;RPS11;RPS4X;RPL23A;RPS6;RAN;RPS24;RPS25;RPL30;RPL31;RPL32;RPL8;RPS27A;RPL38;RACK1;RPL24;RPL36A;RPL19;RPL18A;RPL18</t>
  </si>
  <si>
    <t>GCM_TPT1</t>
  </si>
  <si>
    <t>6176;6181;6175;6218;3921;7178;6165;6129;6188;6133;6124;6223;6122;23521;11224;6157;6158;6203;6204;6159;6164;9045;6189;6155;6201;6202;6208;6228;6222;6235;6205;6130;6147;6194;9349;6229;6230;6234;6160;4736;6161;6233;7311;6169;6227;10399;6173;6143;6141</t>
  </si>
  <si>
    <t>RPLP1;RPLP2;RPLP0;RPS17;RPSA;TPT1;RPL35A;RPL7;RPS3;RPL9;RPL4;RPS19;RPL3;RPL13A;RPL35;RPL27A;RPL28;RPS9;RPS10;RPL29;RPL34;RPL14;RPS3A;RPL27;RPS7;RPS8;RPS14;RPS23;RPS18;RPS29;RPS11;RPL7A;RPL23A;RPS6;RPL23;RPS24;RPS25;RPS28;RPL31;RPL10A;RPL32;RPS27A;UBA52;RPL38;RPS21;RACK1;RPL36A;RPL19;RPL18</t>
  </si>
  <si>
    <t>GNF2_FBL</t>
  </si>
  <si>
    <t>8667;6218;3921;1350;6165;6129;6188;1933;6206;6137;6136;6133;6124;6223;6122;23521;11224;6125;6158;6204;6159;9045;3646;6224;6138;6155;6167;6201;6202;6228;6235;6130;6191;6147;6194;6209;6230;4736;6161;6132;6169;6227;10399;6152;6143;11137;29080;8409;25873</t>
  </si>
  <si>
    <t>EIF3H;RPS17;RPSA;COX7C;RPL35A;RPL7;RPS3;EEF1B2;RPS12;RPL13;RPL12;RPL9;RPL4;RPS19;RPL3;RPL13A;RPL35;RPL5;RPL28;RPS10;RPL29;RPL14;EIF3E;RPS20;RPL15;RPL27;RPL37;RPS7;RPS8;RPS23;RPS29;RPL7A;RPS4X;RPL23A;RPS6;RPS15;RPS25;RPL10A;RPL32;RPL8;RPL38;RPS21;RACK1;RPL24;RPL19;PWP1;CCDC59;UXT;RPL36</t>
  </si>
  <si>
    <t>GCM_NPM1</t>
  </si>
  <si>
    <t>353;3921;7178;6165;6129;6188;1933;6133;6124;6223;6122;23521;11224;6157;6158;6203;6193;6159;6164;9045;6189;6155;6201;6202;6208;6228;6222;6205;6130;5436;6194;9349;6229;6234;6160;4736;6161;6233;7311;10399;6173;6143;6141;11137</t>
  </si>
  <si>
    <t>APRT;RPSA;TPT1;RPL35A;RPL7;RPS3;EEF1B2;RPL9;RPL4;RPS19;RPL3;RPL13A;RPL35;RPL27A;RPL28;RPS9;RPS5;RPL29;RPL34;RPL14;RPS3A;RPL27;RPS7;RPS8;RPS14;RPS23;RPS18;RPS11;RPL7A;POLR2G;RPS6;RPL23;RPS24;RPS28;RPL31;RPL10A;RPL32;RPS27A;UBA52;RACK1;RPL36A;RPL19;RPL18;PWP1</t>
  </si>
  <si>
    <t>MODULE_32</t>
  </si>
  <si>
    <t>8667;8666;6176;6181;6175;6218;6129;6188;1933;6206;1936;6136;6133;6223;6122;6232;11224;6157;6204;6159;3646;6224;6154;6138;6167;6201;6202;6210;6228;6235;6207;6205;6130;5436;6191;6147;6194;5901;6209;6229;6230;6234;6160;6161;6132;6169;1915;6152;6143;6142;6141</t>
  </si>
  <si>
    <t>EIF3H;EIF3G;RPLP1;RPLP2;RPLP0;RPS17;RPL7;RPS3;EEF1B2;RPS12;EEF1D;RPL12;RPL9;RPS19;RPL3;RPS27;RPL35;RPL27A;RPS10;RPL29;EIF3E;RPS20;RPL26;RPL15;RPL37;RPS7;RPS8;RPS15A;RPS23;RPS29;RPS13;RPS11;RPL7A;POLR2G;RPS4X;RPL23A;RPS6;RAN;RPS15;RPS24;RPS25;RPS28;RPL31;RPL32;RPL8;RPL38;EEF1A1;RPL24;RPL19;RPL18A;RPL18</t>
  </si>
  <si>
    <t>GNF2_ST13</t>
  </si>
  <si>
    <t>8667;6218;3921;6165;6129;6188;1933;6206;6136;6133;6124;6122;6125;9045;3646;6224;6189;6138;6155;6167;6201;6228;6207;6130;6191;6194;9349;6229;6160;4736;6161;6132;6169;10399;6152;6173;6143;11137;8409</t>
  </si>
  <si>
    <t>EIF3H;RPS17;RPSA;RPL35A;RPL7;RPS3;EEF1B2;RPS12;RPL12;RPL9;RPL4;RPL3;RPL5;RPL14;EIF3E;RPS20;RPS3A;RPL15;RPL27;RPL37;RPS7;RPS23;RPS13;RPL7A;RPS4X;RPS6;RPL23;RPS24;RPL31;RPL10A;RPL32;RPL8;RPL38;RACK1;RPL24;RPL36A;RPL19;PWP1;UXT</t>
  </si>
  <si>
    <t>GNF2_TPT1</t>
  </si>
  <si>
    <t>6176;6218;7178;6206;6134;6136;6133;23521;6232;6157;6204;6224;6189;6155;6168;6167;6208;6228;6222;6207;6205;6191;6147;6194;9349;6229;6156;6170;6160;6161;6171;7311;6169;1915;6143</t>
  </si>
  <si>
    <t>RPLP1;RPS17;TPT1;RPS12;RPL10;RPL12;RPL9;RPL13A;RPS27;RPL27A;RPS10;RPS20;RPS3A;RPL27;RPL37A;RPL37;RPS14;RPS23;RPS18;RPS13;RPS11;RPS4X;RPL23A;RPS6;RPL23;RPS24;RPL30;RPL39;RPL31;RPL32;RPL41;UBA52;RPL38;EEF1A1;RPL19</t>
  </si>
  <si>
    <t>GNF2_DAP3</t>
  </si>
  <si>
    <t>6218;3921;1350;6165;6129;6188;6136;6133;6124;6122;23521;6157;6125;9045;3646;6189;6155;6168;6167;6201;6202;6228;6235;6130;6147;6194;9349;6229;6234;6170;6160;6161;6171;7311;6169;6152;6143;29080;8409</t>
  </si>
  <si>
    <t>RPS17;RPSA;COX7C;RPL35A;RPL7;RPS3;RPL12;RPL9;RPL4;RPL3;RPL13A;RPL27A;RPL5;RPL14;EIF3E;RPS3A;RPL27;RPL37A;RPL37;RPS7;RPS8;RPS23;RPS29;RPL7A;RPL23A;RPS6;RPL23;RPS24;RPS28;RPL39;RPL31;RPL32;RPL41;UBA52;RPL38;RPL24;RPL19;CCDC59;UXT</t>
  </si>
  <si>
    <t>GNF2_GLTSCR2</t>
  </si>
  <si>
    <t>6176;6181;6165;1933;6137;1936;6136;2197;6223;6122;23521;6232;11224;6158;6203;6204;6164;6208;6235;6147;6209;6156;6169;6227;6143;6142;6141</t>
  </si>
  <si>
    <t>RPLP1;RPLP2;RPL35A;EEF1B2;RPL13;EEF1D;RPL12;FAU;RPS19;RPL3;RPL13A;RPS27;RPL35;RPL28;RPS9;RPS10;RPL34;RPS14;RPS29;RPL23A;RPS15;RPL30;RPL38;RPS21;RPL19;RPL18A;RPL18</t>
  </si>
  <si>
    <t>MORF_JUND</t>
  </si>
  <si>
    <t>6181;7178;6129;1933;6206;6137;6133;2197;23521;6232;6157;6125;6164;6224;6189;6155;6201;6210;6194;6229;6230;6156;6160;4736;6233;6152;6173;6143;6141</t>
  </si>
  <si>
    <t>RPLP2;TPT1;RPL7;EEF1B2;RPS12;RPL13;RPL9;FAU;RPL13A;RPS27;RPL27A;RPL5;RPL34;RPS20;RPS3A;RPL27;RPS7;RPS15A;RPS6;RPS24;RPS25;RPL30;RPL31;RPL10A;RPS27A;RPL24;RPL36A;RPL19;RPL18</t>
  </si>
  <si>
    <t>MORF_UBE2I</t>
  </si>
  <si>
    <t>8667;8815;6181;1337;1327;1350;6129;6206;6137;1936;6133;2197;6223;6125;6193;6164;9045;6189;6155;6201;6207;6205;6194;5901;6229;6230;6156;6160;4736;6233;10399;6152;6143;6142;6141;54555</t>
  </si>
  <si>
    <t>EIF3H;BANF1;RPLP2;COX6A1;COX4I1;COX7C;RPL7;RPS12;RPL13;EEF1D;RPL9;FAU;RPS19;RPL5;RPS5;RPL34;RPL14;RPS3A;RPL27;RPS7;RPS13;RPS11;RPS6;RAN;RPS24;RPS25;RPL30;RPL31;RPL10A;RPS27A;RACK1;RPL24;RPL19;RPL18A;RPL18;DDX49</t>
  </si>
  <si>
    <t>MORF_EIF4A2</t>
  </si>
  <si>
    <t>8667;6181;7178;1350;6129;1933;6206;6137;6133;2197;6124;6125;6164;9045;3646;6189;6155;6201;6194;9349;6229;6230;6156;6160;4736;6233;10399;6152;6143;6141;54555</t>
  </si>
  <si>
    <t>EIF3H;RPLP2;TPT1;COX7C;RPL7;EEF1B2;RPS12;RPL13;RPL9;FAU;RPL4;RPL5;RPL34;RPL14;EIF3E;RPS3A;RPL27;RPS7;RPS6;RPL23;RPS24;RPS25;RPL30;RPL31;RPL10A;RPS27A;RACK1;RPL24;RPL19;RPL18;DDX49</t>
  </si>
  <si>
    <t>MODULE_29</t>
  </si>
  <si>
    <t>6218;3921;6188;6206;6223;6232;6204;6224;6201;6202;6210;6208;6228;6222;6235;6207;6191;6194;6209;6229;6230;6234;6227</t>
  </si>
  <si>
    <t>RPS17;RPSA;RPS3;RPS12;RPS19;RPS27;RPS10;RPS20;RPS7;RPS8;RPS15A;RPS14;RPS23;RPS18;RPS29;RPS13;RPS4X;RPS6;RPS15;RPS24;RPS25;RPS28;RPS21</t>
  </si>
  <si>
    <t>MORF_RAN</t>
  </si>
  <si>
    <t>4706;11316;4694;8667;4695;8815;6181;1337;1327;1350;6129;1349;6206;6137;1936;2197;6125;6193;6204;9045;521;3646;6207;6147;6194;5901;6229;6230;6156;6233;10399;6152;6141;11137;54555</t>
  </si>
  <si>
    <t>NDUFAB1;COPE;NDUFA1;EIF3H;NDUFA2;BANF1;RPLP2;COX6A1;COX4I1;COX7C;RPL7;COX7B;RPS12;RPL13;EEF1D;FAU;RPL5;RPS5;RPS10;RPL14;ATP5ME;EIF3E;RPS13;RPL23A;RPS6;RAN;RPS24;RPS25;RPL30;RPS27A;RACK1;RPL24;RPL18;PWP1;DDX49</t>
  </si>
  <si>
    <t>GCM_ACTG1</t>
  </si>
  <si>
    <t>353;1337;6165;6129;6188;1933;6133;6124;6223;6122;6159;6189;6155;6202;6228;5436;6194;6229;4736;6161;6233;7311;10399;6143</t>
  </si>
  <si>
    <t>APRT;COX6A1;RPL35A;RPL7;RPS3;EEF1B2;RPL9;RPL4;RPS19;RPL3;RPL29;RPS3A;RPL27;RPS8;RPS23;POLR2G;RPS6;RPS24;RPL10A;RPL32;RPS27A;UBA52;RACK1;RPL19</t>
  </si>
  <si>
    <t>MORF_ANP32B</t>
  </si>
  <si>
    <t>11316;4694;8667;8815;8666;6181;1337;1327;1350;6129;6206;1936;2197;6125;9045;3646;6194;5901;6229;6156;4736;6233;10399;6152;6141;54555</t>
  </si>
  <si>
    <t>COPE;NDUFA1;EIF3H;BANF1;EIF3G;RPLP2;COX6A1;COX4I1;COX7C;RPL7;RPS12;EEF1D;FAU;RPL5;RPL14;EIF3E;RPS6;RAN;RPS24;RPL30;RPL10A;RPS27A;RACK1;RPL24;RPL18;DDX49</t>
  </si>
  <si>
    <t>MORF_EIF3S6</t>
  </si>
  <si>
    <t>8667;8666;6181;1327;1350;6129;6206;1936;2197;6125;9045;3646;6194;5901;6229;6156;4736;6233;10399;6152;6141;54555</t>
  </si>
  <si>
    <t>EIF3H;EIF3G;RPLP2;COX4I1;COX7C;RPL7;RPS12;EEF1D;FAU;RPL5;RPL14;EIF3E;RPS6;RAN;RPS24;RPL30;RPL10A;RPS27A;RACK1;RPL24;RPL18;DDX49</t>
  </si>
  <si>
    <t>GCM_CSNK2B</t>
  </si>
  <si>
    <t>3921;6129;6124;6122;6193;6159;9045;6155;6201;6202;5436;9349;6161;10399;6143;6141;11137</t>
  </si>
  <si>
    <t>RPSA;RPL7;RPL4;RPL3;RPS5;RPL29;RPL14;RPL27;RPS7;RPS8;POLR2G;RPL23;RPL32;RACK1;RPL19;RPL18;PWP1</t>
  </si>
  <si>
    <t>MORF_CCNI</t>
  </si>
  <si>
    <t>8667;6181;6129;6206;2197;6125;9045;3646;6194;6156;4736;6233;10399;6152;6141;54555</t>
  </si>
  <si>
    <t>EIF3H;RPLP2;RPL7;RPS12;FAU;RPL5;RPL14;EIF3E;RPS6;RPL30;RPL10A;RPS27A;RACK1;RPL24;RPL18;DDX49</t>
  </si>
  <si>
    <t>GCM_APEX1</t>
  </si>
  <si>
    <t>6129;1933;6223;6193;6159;9045;6155;6201;6202;6228;5436;6229;4736;10399;6143;6141;11137</t>
  </si>
  <si>
    <t>RPL7;EEF1B2;RPS19;RPS5;RPL29;RPL14;RPL27;RPS7;RPS8;RPS23;POLR2G;RPS24;RPL10A;RACK1;RPL19;RPL18;PWP1</t>
  </si>
  <si>
    <t>GNF2_NPM1</t>
  </si>
  <si>
    <t>6218;3921;6129;6188;6124;6125;9045;3646;6154;6167;6201;6130;6194;6229;6230</t>
  </si>
  <si>
    <t>RPS17;RPSA;RPL7;RPS3;RPL4;RPL5;RPL14;EIF3E;RPL26;RPL37;RPS7;RPL7A;RPS6;RPS24;RPS25</t>
  </si>
  <si>
    <t>GCM_PSME1</t>
  </si>
  <si>
    <t>353;6165;6129;1933;6223;6193;6155;6201;6202;5436;6229;4736;6143</t>
  </si>
  <si>
    <t>APRT;RPL35A;RPL7;EEF1B2;RPS19;RPS5;RPL27;RPS7;RPS8;POLR2G;RPS24;RPL10A;RPL19</t>
  </si>
  <si>
    <t>MORF_SART1</t>
  </si>
  <si>
    <t>6181;1327;6206;1936;2197;6194;6156;4736;6233;6152;6141;54555</t>
  </si>
  <si>
    <t>RPLP2;COX4I1;RPS12;EEF1D;FAU;RPS6;RPL30;RPL10A;RPS27A;RPL24;RPL18;DDX49</t>
  </si>
  <si>
    <t>GNF2_MBD4</t>
  </si>
  <si>
    <t>6165;2197;6164;6202;6228;6235;7311;5204;8409</t>
  </si>
  <si>
    <t>RPL35A;FAU;RPL34;RPS8;RPS23;RPS29;UBA52;PFDN5;UXT</t>
  </si>
  <si>
    <t>MODULE_62</t>
  </si>
  <si>
    <t>4706;27089;10975;4694;4695;10245;1337;1327;1350;4713;1349;521</t>
  </si>
  <si>
    <t>NDUFAB1;UQCRQ;UQCR11;NDUFA1;NDUFA2;TIMM17B;COX6A1;COX4I1;COX7C;NDUFB7;COX7B;ATP5ME</t>
  </si>
  <si>
    <t>GNF2_UBE2I</t>
  </si>
  <si>
    <t>6138;6208;5436;6209;6132;7311;10399;6143;8409;51504</t>
  </si>
  <si>
    <t>RPL15;RPS14;POLR2G;RPS15;RPL8;UBA52;RACK1;RPL19;UXT;TRMT112</t>
  </si>
  <si>
    <t>GCM_PFN1</t>
  </si>
  <si>
    <t>353;6223;6193;6159;9045;6155;6201;6202;6229;6143</t>
  </si>
  <si>
    <t>APRT;RPS19;RPS5;RPL29;RPL14;RPL27;RPS7;RPS8;RPS24;RPL19</t>
  </si>
  <si>
    <t>MODULE_152</t>
  </si>
  <si>
    <t>MODULE_429</t>
  </si>
  <si>
    <t>6181;6125;6155;6167;6161;6227;1915</t>
  </si>
  <si>
    <t>RPLP2;RPL5;RPL27;RPL37;RPL32;RPS21;EEF1A1</t>
  </si>
  <si>
    <t>MORF_ERH</t>
  </si>
  <si>
    <t>4706;4694;4695;8815;1337;1327;1350;1349;5436;5901;54555</t>
  </si>
  <si>
    <t>NDUFAB1;NDUFA1;NDUFA2;BANF1;COX6A1;COX4I1;COX7C;COX7B;POLR2G;RAN;DDX49</t>
  </si>
  <si>
    <t>MORF_SKP1A</t>
  </si>
  <si>
    <t>11316;4694;4695;8815;1337;1327;1350;1349;1936;3646;7334;5901;54555</t>
  </si>
  <si>
    <t>COPE;NDUFA1;NDUFA2;BANF1;COX6A1;COX4I1;COX7C;COX7B;EEF1D;EIF3E;UBE2N;RAN;DDX49</t>
  </si>
  <si>
    <t>MORF_ACP1</t>
  </si>
  <si>
    <t>11316;8667;8666;6181;6206;6125;9045;3646;7334;4736;6233;6141;54555</t>
  </si>
  <si>
    <t>COPE;EIF3H;EIF3G;RPLP2;RPS12;RPL5;RPL14;EIF3E;UBE2N;RPL10A;RPS27A;RPL18;DDX49</t>
  </si>
  <si>
    <t>MORF_AP2M1</t>
  </si>
  <si>
    <t>11316;4694;4695;8636;8815;1337;1327;1350;1936;2197;521;5901;54555</t>
  </si>
  <si>
    <t>COPE;NDUFA1;NDUFA2;SSNA1;BANF1;COX6A1;COX4I1;COX7C;EEF1D;FAU;ATP5ME;RAN;DDX49</t>
  </si>
  <si>
    <t>MODULE_150</t>
  </si>
  <si>
    <t>6176;6181;6175;1933;1936;1915</t>
  </si>
  <si>
    <t>RPLP1;RPLP2;RPLP0;EEF1B2;EEF1D;EEF1A1</t>
  </si>
  <si>
    <t>MORF_PPP1CA</t>
  </si>
  <si>
    <t>11316;4694;4695;8815;1337;1327;1936;5436;5901;3028;54555</t>
  </si>
  <si>
    <t>COPE;NDUFA1;NDUFA2;BANF1;COX6A1;COX4I1;EEF1D;POLR2G;RAN;HSD17B10;DDX49</t>
  </si>
  <si>
    <t>MODULE_149</t>
  </si>
  <si>
    <t>10975;8667;8666;1933;1936;3646;1915</t>
  </si>
  <si>
    <t>UQCR11;EIF3H;EIF3G;EEF1B2;EEF1D;EIF3E;EEF1A1</t>
  </si>
  <si>
    <t>MORF_PSMC1</t>
  </si>
  <si>
    <t>4706;4694;4695;8636;8815;1337;1327;1936;5436;5901;3028</t>
  </si>
  <si>
    <t>NDUFAB1;NDUFA1;NDUFA2;SSNA1;BANF1;COX6A1;COX4I1;EEF1D;POLR2G;RAN;HSD17B10</t>
  </si>
  <si>
    <t>MODULE_115</t>
  </si>
  <si>
    <t>8667;8666;1933;1936;3646;1915</t>
  </si>
  <si>
    <t>EIF3H;EIF3G;EEF1B2;EEF1D;EIF3E;EEF1A1</t>
  </si>
  <si>
    <t>MORF_G22P1</t>
  </si>
  <si>
    <t>4706;8667;8666;1327;1350;2197;9045;5901;6152;54555</t>
  </si>
  <si>
    <t>NDUFAB1;EIF3H;EIF3G;COX4I1;COX7C;FAU;RPL14;RAN;RPL24;DDX49</t>
  </si>
  <si>
    <t>MORF_HDAC1</t>
  </si>
  <si>
    <t>11316;8667;8666;1337;1327;1350;9045;3646;7334;5901;54555</t>
  </si>
  <si>
    <t>COPE;EIF3H;EIF3G;COX6A1;COX4I1;COX7C;RPL14;EIF3E;UBE2N;RAN;DDX49</t>
  </si>
  <si>
    <t>MODULE_159</t>
  </si>
  <si>
    <t>8667;8666;1933;1936;3646;5901;1915</t>
  </si>
  <si>
    <t>EIF3H;EIF3G;EEF1B2;EEF1D;EIF3E;RAN;EEF1A1</t>
  </si>
  <si>
    <t>MODULE_93</t>
  </si>
  <si>
    <t>4706;10975;4694;4695;1337;1350;4713;1349;3028</t>
  </si>
  <si>
    <t>NDUFAB1;UQCR11;NDUFA1;NDUFA2;COX6A1;COX7C;NDUFB7;COX7B;HSD17B10</t>
  </si>
  <si>
    <t>MODULE_307</t>
  </si>
  <si>
    <t>10975;1337;1327;1350;1349</t>
  </si>
  <si>
    <t>UQCR11;COX6A1;COX4I1;COX7C;COX7B</t>
  </si>
  <si>
    <t>MORF_FBL</t>
  </si>
  <si>
    <t>8815;8666;2197;9045;3646;5901;4736;54555</t>
  </si>
  <si>
    <t>BANF1;EIF3G;FAU;RPL14;EIF3E;RAN;RPL10A;DDX49</t>
  </si>
  <si>
    <t>MORF_PRKAR1A</t>
  </si>
  <si>
    <t>4694;4695;8815;1337;1327;1350;1936;5901</t>
  </si>
  <si>
    <t>NDUFA1;NDUFA2;BANF1;COX6A1;COX4I1;COX7C;EEF1D;RAN</t>
  </si>
  <si>
    <t>MODULE_103</t>
  </si>
  <si>
    <t>1337;1327;1350;1349</t>
  </si>
  <si>
    <t>COX6A1;COX4I1;COX7C;COX7B</t>
  </si>
  <si>
    <t>GNF2_HDAC1</t>
  </si>
  <si>
    <t>4694;6188;6164;6201;6228;29080;8409</t>
  </si>
  <si>
    <t>NDUFA1;RPS3;RPL34;RPS7;RPS23;CCDC59;UXT</t>
  </si>
  <si>
    <t>GNF2_RBBP6</t>
  </si>
  <si>
    <t>6165;6125;3646;6201;6228;29080</t>
  </si>
  <si>
    <t>RPL35A;RPL5;EIF3E;RPS7;RPS23;CCDC59</t>
  </si>
  <si>
    <t>MODULE_447</t>
  </si>
  <si>
    <t>10975;8667;1933;6159;3646</t>
  </si>
  <si>
    <t>UQCR11;EIF3H;EEF1B2;RPL29;EIF3E</t>
  </si>
  <si>
    <t>MODULE_22</t>
  </si>
  <si>
    <t>4706;4694;4695;4713;521</t>
  </si>
  <si>
    <t>NDUFAB1;NDUFA1;NDUFA2;NDUFB7;ATP5ME</t>
  </si>
  <si>
    <t>MODULE_42</t>
  </si>
  <si>
    <t>4706;4694;4695;4713</t>
  </si>
  <si>
    <t>NDUFAB1;NDUFA1;NDUFA2;NDUFB7</t>
  </si>
  <si>
    <t>MODULE_77</t>
  </si>
  <si>
    <t>MORF_RAD21</t>
  </si>
  <si>
    <t>8815;1337;1327;1349;1936;5436;5901</t>
  </si>
  <si>
    <t>BANF1;COX6A1;COX4I1;COX7B;EEF1D;POLR2G;RAN</t>
  </si>
  <si>
    <t>MORF_DEK</t>
  </si>
  <si>
    <t>8667;8815;1327;1350;1349;5901;6233;54555</t>
  </si>
  <si>
    <t>EIF3H;BANF1;COX4I1;COX7C;COX7B;RAN;RPS27A;DDX49</t>
  </si>
  <si>
    <t>MORF_DAP3</t>
  </si>
  <si>
    <t>8815;1337;1327;1350;1349;5901;54555</t>
  </si>
  <si>
    <t>BANF1;COX6A1;COX4I1;COX7C;COX7B;RAN;DDX49</t>
  </si>
  <si>
    <t>MORF_SOD1</t>
  </si>
  <si>
    <t>4706;8815;1337;1327;1349;5901;55651;54555</t>
  </si>
  <si>
    <t>NDUFAB1;BANF1;COX6A1;COX4I1;COX7B;RAN;NHP2;DDX49</t>
  </si>
  <si>
    <t>MODULE_484</t>
  </si>
  <si>
    <t>6181;6203;6155;6167</t>
  </si>
  <si>
    <t>RPLP2;RPS9;RPL27;RPL37</t>
  </si>
  <si>
    <t>MORF_CSNK2B</t>
  </si>
  <si>
    <t>4706;11316;8815;1337;1327;5901;55651;54555</t>
  </si>
  <si>
    <t>NDUFAB1;COPE;BANF1;COX6A1;COX4I1;RAN;NHP2;DDX49</t>
  </si>
  <si>
    <t>MORF_GPX4</t>
  </si>
  <si>
    <t>11316;8815;1337;1936</t>
  </si>
  <si>
    <t>COPE;BANF1;COX6A1;EEF1D</t>
  </si>
  <si>
    <t>MORF_CTBP1</t>
  </si>
  <si>
    <t>8667;4695;1327;1350;5901;54555</t>
  </si>
  <si>
    <t>EIF3H;NDUFA2;COX4I1;COX7C;RAN;DDX49</t>
  </si>
  <si>
    <t>MODULE_81</t>
  </si>
  <si>
    <t>8667;8666;3646</t>
  </si>
  <si>
    <t>EIF3H;EIF3G;EIF3E</t>
  </si>
  <si>
    <t>MORF_PPP6C</t>
  </si>
  <si>
    <t>4694;1327;1936;5436</t>
  </si>
  <si>
    <t>NDUFA1;COX4I1;EEF1D;POLR2G</t>
  </si>
  <si>
    <t>MODULE_192</t>
  </si>
  <si>
    <t>6137;6193;6222;6161</t>
  </si>
  <si>
    <t>RPL13;RPS5;RPS18;RPL32</t>
  </si>
  <si>
    <t>MORF_BAG5</t>
  </si>
  <si>
    <t>8815;1327;1936</t>
  </si>
  <si>
    <t>BANF1;COX4I1;EEF1D</t>
  </si>
  <si>
    <t>MODULE_279</t>
  </si>
  <si>
    <t>6137;6193;6222;6152</t>
  </si>
  <si>
    <t>RPL13;RPS5;RPS18;RPL24</t>
  </si>
  <si>
    <t>GO_ESTABLISHMENT_OF_PROTEIN_LOCALIZATION_TO_ENDOPLASMIC_RETICULUM</t>
  </si>
  <si>
    <t>c5</t>
  </si>
  <si>
    <t>GO_NUCLEAR_TRANSCRIBED_MRNA_CATABOLIC_PROCESS_NONSENSE_MEDIATED_DECAY</t>
  </si>
  <si>
    <t>6176;6181;6175;6218;3921;6165;6129;6188;6206;6137;6134;6136;6133;2197;6124;6223;6122;23521;6232;11224;6157;6125;6158;6203;6193;6204;6159;6164;9045;3646;6224;6189;6154;6138;6155;6168;6167;6201;6202;6210;6208;6228;6222;6235;6207;6205;6130;6191;6147;6194;9349;6209;6229;6230;6234;6156;6170;6160;4736;6161;6132;6171;6233;7311;6169;6227;6152;6173;6143;6142;6141;51121;25873</t>
  </si>
  <si>
    <t>RPLP1;RPLP2;RPLP0;RPS17;RPSA;RPL35A;RPL7;RPS3;RPS12;RPL13;RPL10;RPL12;RPL9;FAU;RPL4;RPS19;RPL3;RPL13A;RPS27;RPL35;RPL27A;RPL5;RPL28;RPS9;RPS5;RPS10;RPL29;RPL34;RPL14;EIF3E;RPS20;RPS3A;RPL26;RPL15;RPL27;RPL37A;RPL37;RPS7;RPS8;RPS15A;RPS14;RPS23;RPS18;RPS29;RPS13;RPS11;RPL7A;RPS4X;RPL23A;RPS6;RPL23;RPS15;RPS24;RPS25;RPS28;RPL30;RPL39;RPL31;RPL10A;RPL32;RPL8;RPL41;RPS27A;UBA52;RPL38;RPS21;RPL24;RPL36A;RPL19;RPL18A;RPL18;RPL26L1;RPL36</t>
  </si>
  <si>
    <t>GO_TRANSLATIONAL_INITIATION</t>
  </si>
  <si>
    <t>GO_CYTOSOLIC_RIBOSOME</t>
  </si>
  <si>
    <t>GO_MULTI_ORGANISM_METABOLIC_PROCESS</t>
  </si>
  <si>
    <t>8666;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79023;51121;25873</t>
  </si>
  <si>
    <t>EIF3G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NUP37;RPL26L1;RPL36</t>
  </si>
  <si>
    <t>GO_PROTEIN_LOCALIZATION_TO_ENDOPLASMIC_RETICULUM</t>
  </si>
  <si>
    <t>GO_RIBOSOMAL_SUBUNIT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</si>
  <si>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10399;6152;6173;6143;6142;6141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</si>
  <si>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ACK1;RPL24;RPL36A;RPL19;RPL18A;RPL18;RPL26L1;RPL36</t>
  </si>
  <si>
    <t>GO_PROTEIN_TARGETING_TO_MEMBRANE</t>
  </si>
  <si>
    <t>GO_RIBOSOME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</si>
  <si>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10399;6152;6173;6143;6142;6141;116541;90480;64981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</si>
  <si>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ACK1;RPL24;RPL36A;RPL19;RPL18A;RPL18;MRPL54;GADD45GIP1;MRPL34;RPL26L1;RPL36</t>
  </si>
  <si>
    <t>GO_CYTOSOLIC_PART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</si>
  <si>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79036;51121;51647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</si>
  <si>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KXD1;RPL26L1;CIAO2B;RPL36</t>
  </si>
  <si>
    <t>GO_RNA_CATABOLIC_PROCESS</t>
  </si>
  <si>
    <t>6176;6181;6175;6218;3921;6165;6129;6188;6206;6137;6134;6136;6133;2197;6124;6223;6122;23521;6232;11224;6157;6125;6158;6203;6193;6204;6159;6164;9045;3646;6224;6189;6154;6138;6155;6168;6167;6201;6202;6210;6208;6228;6222;6235;6207;6205;6130;5436;6191;6147;6194;9349;6209;6229;6230;6234;6156;6170;6160;4736;6161;6132;6171;6233;7311;6169;6227;6152;6173;6143;6142;6141;51121;25873</t>
  </si>
  <si>
    <t>RPLP1;RPLP2;RPLP0;RPS17;RPSA;RPL35A;RPL7;RPS3;RPS12;RPL13;RPL10;RPL12;RPL9;FAU;RPL4;RPS19;RPL3;RPL13A;RPS27;RPL35;RPL27A;RPL5;RPL28;RPS9;RPS5;RPS10;RPL29;RPL34;RPL14;EIF3E;RPS20;RPS3A;RPL26;RPL15;RPL27;RPL37A;RPL37;RPS7;RPS8;RPS15A;RPS14;RPS23;RPS18;RPS29;RPS13;RPS11;RPL7A;POLR2G;RPS4X;RPL23A;RPS6;RPL23;RPS15;RPS24;RPS25;RPS28;RPL30;RPL39;RPL31;RPL10A;RPL32;RPL8;RPL41;RPS27A;UBA52;RPL38;RPS21;RPL24;RPL36A;RPL19;RPL18A;RPL18;RPL26L1;RPL36</t>
  </si>
  <si>
    <t>GO_RRNA_METABOLIC_PROCESS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</si>
  <si>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55651;51504;51121;25873;54555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</si>
  <si>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NHP2;TRMT112;RPL26L1;RPL36;DDX49</t>
  </si>
  <si>
    <t>GO_STRUCTURAL_CONSTITUENT_OF_RIBOSOME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</si>
  <si>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6234;6156;6170;6160;4736;6161;6132;6171;6233;7311;6169;6227;6152;6173;6143;6142;6141;64981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</si>
  <si>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28;RPL30;RPL39;RPL31;RPL10A;RPL32;RPL8;RPL41;RPS27A;UBA52;RPL38;RPS21;RPL24;RPL36A;RPL19;RPL18A;RPL18;MRPL34;RPL26L1;RPL36</t>
  </si>
  <si>
    <t>GO_VIRAL_LIFE_CYCLE</t>
  </si>
  <si>
    <t>8666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79023;93343;51121;25873</t>
  </si>
  <si>
    <t>EIF3G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UP37;MVB12A;RPL26L1;RPL36</t>
  </si>
  <si>
    <t>GO_RIBOSOME_BIOGENESIS</t>
  </si>
  <si>
    <t>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55651;51504;51121;25873;54555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</si>
  <si>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HP2;TRMT112;RPL26L1;RPL36;DDX49</t>
  </si>
  <si>
    <t>GO_ESTABLISHMENT_OF_PROTEIN_LOCALIZATION_TO_MEMBRANE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</si>
  <si>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51079;51121;25873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</si>
  <si>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NDUFA13;RPL26L1;RPL36</t>
  </si>
  <si>
    <t>GO_AMIDE_BIOSYNTHETIC_PROCESS</t>
  </si>
  <si>
    <t>8667;8666;6176;6181;6175;6218;3921;6165;6129;6188;1933;6206;6137;6134;1936;6136;6133;2197;6124;6223;6122;23521;6232;11224;6157;6125;6158;6203;6193;6204;6159;6164;9045;3646;6224;6189;6154;6138;6155;6168;6167;6201;6202;6210;6208;6228;6222;6235;6207;6205;6130;6191;6147;6194;9349;6209;6229;6230;6234;6156;6170;6160;4736;6161;6132;6171;6233;7311;6169;6227;1915;6152;6173;6143;6142;6141;116541;90480;64981;51504;51121;25873</t>
  </si>
  <si>
    <t>EIF3H;EIF3G;RPLP1;RPLP2;RPLP0;RPS17;RPSA;RPL35A;RPL7;RPS3;EEF1B2;RPS12;RPL13;RPL10;EEF1D;RPL12;RPL9;FAU;RPL4;RPS19;RPL3;RPL13A;RPS27;RPL35;RPL27A;RPL5;RPL28;RPS9;RPS5;RPS10;RPL29;RPL34;RPL14;EIF3E;RPS20;RPS3A;RPL26;RPL15;RPL27;RPL37A;RPL37;RPS7;RPS8;RPS15A;RPS14;RPS23;RPS18;RPS29;RPS13;RPS11;RPL7A;RPS4X;RPL23A;RPS6;RPL23;RPS15;RPS24;RPS25;RPS28;RPL30;RPL39;RPL31;RPL10A;RPL32;RPL8;RPL41;RPS27A;UBA52;RPL38;RPS21;EEF1A1;RPL24;RPL36A;RPL19;RPL18A;RPL18;MRPL54;GADD45GIP1;MRPL34;TRMT112;RPL26L1;RPL36</t>
  </si>
  <si>
    <t>GO_RIBONUCLEOPROTEIN_COMPLEX_BIOGENESIS</t>
  </si>
  <si>
    <t>8667;8666;6176;6181;6175;6218;3921;6165;6129;6188;6206;6137;6134;6136;6133;2197;6124;6223;6122;23521;6232;11224;6157;6125;6158;6203;6193;6204;6159;6164;9045;3646;6224;6189;6154;6138;6155;6168;6167;6201;6202;6210;6208;6228;6222;6235;6207;6205;6130;6191;6147;6194;5901;9349;6209;6229;6230;6234;6156;6170;6160;4736;6161;6132;6171;6233;7311;6169;6227;6152;6173;6143;6142;6141;55651;51504;51121;25873;54555</t>
  </si>
  <si>
    <t>EIF3H;EIF3G;RPLP1;RPLP2;RPLP0;RPS17;RPSA;RPL35A;RPL7;RPS3;RPS12;RPL13;RPL10;RPL12;RPL9;FAU;RPL4;RPS19;RPL3;RPL13A;RPS27;RPL35;RPL27A;RPL5;RPL28;RPS9;RPS5;RPS10;RPL29;RPL34;RPL14;EIF3E;RPS20;RPS3A;RPL26;RPL15;RPL27;RPL37A;RPL37;RPS7;RPS8;RPS15A;RPS14;RPS23;RPS18;RPS29;RPS13;RPS11;RPL7A;RPS4X;RPL23A;RPS6;RAN;RPL23;RPS15;RPS24;RPS25;RPS28;RPL30;RPL39;RPL31;RPL10A;RPL32;RPL8;RPL41;RPS27A;UBA52;RPL38;RPS21;RPL24;RPL36A;RPL19;RPL18A;RPL18;NHP2;TRMT112;RPL26L1;RPL36;DDX49</t>
  </si>
  <si>
    <t>GO_ESTABLISHMENT_OF_PROTEIN_LOCALIZATION_TO_ORGANELLE</t>
  </si>
  <si>
    <t>10245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51079;51121;25873</t>
  </si>
  <si>
    <t>TIMM17B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DUFA13;RPL26L1;RPL36</t>
  </si>
  <si>
    <t>GO_NCRNA_PROCESSING</t>
  </si>
  <si>
    <t>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3028;55651;51504;51121;25873;54555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</si>
  <si>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HSD17B10;NHP2;TRMT112;RPL26L1;RPL36;DDX49</t>
  </si>
  <si>
    <t>GO_PEPTIDE_METABOLIC_PROCESS</t>
  </si>
  <si>
    <t>GO_PROTEIN_LOCALIZATION_TO_MEMBRANE</t>
  </si>
  <si>
    <t>8636;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51079;51121;25873</t>
  </si>
  <si>
    <t>SSNA1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NDUFA13;RPL26L1;RPL36</t>
  </si>
  <si>
    <t>GO_PROTEIN_TARGETING</t>
  </si>
  <si>
    <t>GO_ORGANIC_CYCLIC_COMPOUND_CATABOLIC_PROCESS</t>
  </si>
  <si>
    <t>GO_NCRNA_METABOLIC_PROCESS</t>
  </si>
  <si>
    <t>6176;6181;6175;6218;3921;6165;6129;6188;6206;6137;6134;6136;6133;2197;6124;6223;6122;23521;6232;11224;6157;6125;6158;6203;6193;6204;6159;6164;9045;6224;6189;6154;6138;6155;6168;6167;6201;6202;6210;6208;6228;6222;6235;6207;6205;6130;5436;6191;6147;6194;9349;6209;6229;6230;6234;6156;6170;6160;4736;6161;6132;6171;6233;7311;6169;6227;6152;6173;6143;6142;6141;3028;55651;51504;51121;25873;54555</t>
  </si>
  <si>
    <t>RPLP1;RPLP2;RPLP0;RPS17;RPSA;RPL35A;RPL7;RPS3;RPS12;RPL13;RPL10;RPL12;RPL9;FAU;RPL4;RPS19;RPL3;RPL13A;RPS27;RPL35;RPL27A;RPL5;RPL28;RPS9;RPS5;RPS10;RPL29;RPL34;RPL14;RPS20;RPS3A;RPL26;RPL15;RPL27;RPL37A;RPL37;RPS7;RPS8;RPS15A;RPS14;RPS23;RPS18;RPS29;RPS13;RPS11;RPL7A;POLR2G;RPS4X;RPL23A;RPS6;RPL23;RPS15;RPS24;RPS25;RPS28;RPL30;RPL39;RPL31;RPL10A;RPL32;RPL8;RPL41;RPS27A;UBA52;RPL38;RPS21;RPL24;RPL36A;RPL19;RPL18A;RPL18;HSD17B10;NHP2;TRMT112;RPL26L1;RPL36;DDX49</t>
  </si>
  <si>
    <t>GO_RIBONUCLEOPROTEIN_COMPLEX</t>
  </si>
  <si>
    <t>8667;10084;8666;6176;6181;6175;6218;3921;6165;6129;6188;6206;6137;6134;6136;6133;2197;6124;6223;6122;23521;6232;11224;6157;6125;6158;6203;6193;6204;6159;6164;9045;3646;6224;6189;6154;6138;6155;6168;6167;6201;6202;6210;6208;6228;6222;6235;6207;6205;6130;5436;6191;6147;6194;9349;6209;6229;6230;6234;6156;6170;6160;4736;6161;6132;6171;6233;7311;6169;6227;10399;6152;6173;6143;6142;6141;116541;90480;64981;55651;51121;25873</t>
  </si>
  <si>
    <t>EIF3H;PQBP1;EIF3G;RPLP1;RPLP2;RPLP0;RPS17;RPSA;RPL35A;RPL7;RPS3;RPS12;RPL13;RPL10;RPL12;RPL9;FAU;RPL4;RPS19;RPL3;RPL13A;RPS27;RPL35;RPL27A;RPL5;RPL28;RPS9;RPS5;RPS10;RPL29;RPL34;RPL14;EIF3E;RPS20;RPS3A;RPL26;RPL15;RPL27;RPL37A;RPL37;RPS7;RPS8;RPS15A;RPS14;RPS23;RPS18;RPS29;RPS13;RPS11;RPL7A;POLR2G;RPS4X;RPL23A;RPS6;RPL23;RPS15;RPS24;RPS25;RPS28;RPL30;RPL39;RPL31;RPL10A;RPL32;RPL8;RPL41;RPS27A;UBA52;RPL38;RPS21;RACK1;RPL24;RPL36A;RPL19;RPL18A;RPL18;MRPL54;GADD45GIP1;MRPL34;NHP2;RPL26L1;RPL36</t>
  </si>
  <si>
    <t>GO_CELLULAR_AMIDE_METABOLIC_PROCESS</t>
  </si>
  <si>
    <t>GO_INTERSPECIES_INTERACTION_BETWEEN_ORGANISMS</t>
  </si>
  <si>
    <t>8815;8666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10399;6152;6173;6143;6142;6141;79023;90480;93343;51121;25873</t>
  </si>
  <si>
    <t>BANF1;EIF3G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ACK1;RPL24;RPL36A;RPL19;RPL18A;RPL18;NUP37;GADD45GIP1;MVB12A;RPL26L1;RPL36</t>
  </si>
  <si>
    <t>GO_PROTEIN_LOCALIZATION_TO_ORGANELLE</t>
  </si>
  <si>
    <t>GO_MRNA_METABOLIC_PROCESS</t>
  </si>
  <si>
    <t>10084;6176;6181;6175;6218;3921;6165;6129;6188;6206;6137;6134;6136;6133;2197;6124;6223;6122;23521;6232;11224;6157;6125;6158;6203;6193;6204;6159;6164;9045;3646;6224;6189;6154;6138;6155;6168;6167;6201;6202;6210;6208;6228;6222;6235;6207;6205;6130;5436;6191;6147;6194;9349;6209;6229;6230;6234;6156;6170;6160;4736;6161;6132;6171;6233;7311;6169;6227;6152;6173;6143;6142;6141;59286;51121;25873</t>
  </si>
  <si>
    <t>PQBP1;RPLP1;RPLP2;RPLP0;RPS17;RPSA;RPL35A;RPL7;RPS3;RPS12;RPL13;RPL10;RPL12;RPL9;FAU;RPL4;RPS19;RPL3;RPL13A;RPS27;RPL35;RPL27A;RPL5;RPL28;RPS9;RPS5;RPS10;RPL29;RPL34;RPL14;EIF3E;RPS20;RPS3A;RPL26;RPL15;RPL27;RPL37A;RPL37;RPS7;RPS8;RPS15A;RPS14;RPS23;RPS18;RPS29;RPS13;RPS11;RPL7A;POLR2G;RPS4X;RPL23A;RPS6;RPL23;RPS15;RPS24;RPS25;RPS28;RPL30;RPL39;RPL31;RPL10A;RPL32;RPL8;RPL41;RPS27A;UBA52;RPL38;RPS21;RPL24;RPL36A;RPL19;RPL18A;RPL18;UBL5;RPL26L1;RPL36</t>
  </si>
  <si>
    <t>GO_ORGANONITROGEN_COMPOUND_METABOLIC_PROCESS</t>
  </si>
  <si>
    <t>4706;27089;10975;4694;8667;4695;374291;8666;6176;6181;6175;353;6218;3921;1337;1327;1350;4713;6165;6129;6188;1349;1933;6206;6137;6134;1936;6136;6133;2197;6124;6223;6122;23521;6232;11224;6157;6125;6158;6203;6193;6204;6159;6164;9045;521;3646;6224;6189;6154;6138;6155;6168;6167;6201;6202;6210;6208;6228;6222;6235;6207;6205;6130;6191;6147;6194;9349;6209;6229;6230;6234;6156;6170;6160;4736;6161;6132;6171;6233;7311;6169;6227;1915;6152;6173;6143;6142;6141;116541;126328;90480;3028;64981;54539;51079;51504;51121;25873</t>
  </si>
  <si>
    <t>NDUFAB1;UQCRQ;UQCR11;NDUFA1;EIF3H;NDUFA2;NDUFS7;EIF3G;RPLP1;RPLP2;RPLP0;APRT;RPS17;RPSA;COX6A1;COX4I1;COX7C;NDUFB7;RPL35A;RPL7;RPS3;COX7B;EEF1B2;RPS12;RPL13;RPL10;EEF1D;RPL12;RPL9;FAU;RPL4;RPS19;RPL3;RPL13A;RPS27;RPL35;RPL27A;RPL5;RPL28;RPS9;RPS5;RPS10;RPL29;RPL34;RPL14;ATP5ME;EIF3E;RPS20;RPS3A;RPL26;RPL15;RPL27;RPL37A;RPL37;RPS7;RPS8;RPS15A;RPS14;RPS23;RPS18;RPS29;RPS13;RPS11;RPL7A;RPS4X;RPL23A;RPS6;RPL23;RPS15;RPS24;RPS25;RPS28;RPL30;RPL39;RPL31;RPL10A;RPL32;RPL8;RPL41;RPS27A;UBA52;RPL38;RPS21;EEF1A1;RPL24;RPL36A;RPL19;RPL18A;RPL18;MRPL54;NDUFA11;GADD45GIP1;HSD17B10;MRPL34;NDUFB11;NDUFA13;TRMT112;RPL26L1;RPL36</t>
  </si>
  <si>
    <t>GO_ORGANONITROGEN_COMPOUND_BIOSYNTHETIC_PROCESS</t>
  </si>
  <si>
    <t>8667;8666;6176;6181;6175;353;6218;3921;6165;6129;6188;1933;6206;6137;6134;1936;6136;6133;2197;6124;6223;6122;23521;6232;11224;6157;6125;6158;6203;6193;6204;6159;6164;9045;521;3646;6224;6189;6154;6138;6155;6168;6167;6201;6202;6210;6208;6228;6222;6235;6207;6205;6130;6191;6147;6194;9349;6209;6229;6230;6234;6156;6170;6160;4736;6161;6132;6171;6233;7311;6169;6227;1915;6152;6173;6143;6142;6141;116541;90480;64981;51504;51121;25873</t>
  </si>
  <si>
    <t>EIF3H;EIF3G;RPLP1;RPLP2;RPLP0;APRT;RPS17;RPSA;RPL35A;RPL7;RPS3;EEF1B2;RPS12;RPL13;RPL10;EEF1D;RPL12;RPL9;FAU;RPL4;RPS19;RPL3;RPL13A;RPS27;RPL35;RPL27A;RPL5;RPL28;RPS9;RPS5;RPS10;RPL29;RPL34;RPL14;ATP5ME;EIF3E;RPS20;RPS3A;RPL26;RPL15;RPL27;RPL37A;RPL37;RPS7;RPS8;RPS15A;RPS14;RPS23;RPS18;RPS29;RPS13;RPS11;RPL7A;RPS4X;RPL23A;RPS6;RPL23;RPS15;RPS24;RPS25;RPS28;RPL30;RPL39;RPL31;RPL10A;RPL32;RPL8;RPL41;RPS27A;UBA52;RPL38;RPS21;EEF1A1;RPL24;RPL36A;RPL19;RPL18A;RPL18;MRPL54;GADD45GIP1;MRPL34;TRMT112;RPL26L1;RPL36</t>
  </si>
  <si>
    <t>GO_MEMBRANE_ORGANIZATION</t>
  </si>
  <si>
    <t>51499;8636;8815;6176;6181;6175;6218;3921;6165;6129;6188;6206;6137;6134;6136;6133;2197;6124;6223;6122;23521;6232;11224;6157;6125;6158;6203;6193;6204;6159;6164;9045;6224;6189;6154;6138;6155;6168;6167;6201;6202;6210;6208;6228;6222;6235;6207;6205;6130;6191;6147;6194;9349;6209;6229;6230;6234;6156;6170;6160;4736;6161;6132;6171;6233;7311;6169;6227;6152;6173;6143;6142;6141;125988;79023;93343;84266;51079;51693;51121;25873</t>
  </si>
  <si>
    <t>TRIAP1;SSNA1;BANF1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25;RPS28;RPL30;RPL39;RPL31;RPL10A;RPL32;RPL8;RPL41;RPS27A;UBA52;RPL38;RPS21;RPL24;RPL36A;RPL19;RPL18A;RPL18;MICOS13;NUP37;MVB12A;ALKBH7;NDUFA13;TRAPPC2L;RPL26L1;RPL36</t>
  </si>
  <si>
    <t>GO_RNA_PROCESSING</t>
  </si>
  <si>
    <t>10084;6176;6181;6175;6218;3921;6165;6129;6188;6206;6137;6134;6136;6133;2197;6124;6223;6122;23521;6232;11224;6157;6125;6158;6203;6193;6204;6159;6164;9045;6224;6189;6154;6138;6155;6168;6167;6201;6202;6210;6208;6228;6222;6235;6207;6205;6130;5436;6191;6147;6194;9349;6209;6229;6230;6234;6156;6170;6160;4736;6161;6132;6171;6233;7311;6169;6227;6152;6173;6143;6142;6141;3028;59286;55651;51504;51121;25873;54555</t>
  </si>
  <si>
    <t>PQBP1;RPLP1;RPLP2;RPLP0;RPS17;RPSA;RPL35A;RPL7;RPS3;RPS12;RPL13;RPL10;RPL12;RPL9;FAU;RPL4;RPS19;RPL3;RPL13A;RPS27;RPL35;RPL27A;RPL5;RPL28;RPS9;RPS5;RPS10;RPL29;RPL34;RPL14;RPS20;RPS3A;RPL26;RPL15;RPL27;RPL37A;RPL37;RPS7;RPS8;RPS15A;RPS14;RPS23;RPS18;RPS29;RPS13;RPS11;RPL7A;POLR2G;RPS4X;RPL23A;RPS6;RPL23;RPS15;RPS24;RPS25;RPS28;RPL30;RPL39;RPL31;RPL10A;RPL32;RPL8;RPL41;RPS27A;UBA52;RPL38;RPS21;RPL24;RPL36A;RPL19;RPL18A;RPL18;HSD17B10;UBL5;NHP2;TRMT112;RPL26L1;RPL36;DDX49</t>
  </si>
  <si>
    <t>GO_INTRACELLULAR_PROTEIN_TRANSPORT</t>
  </si>
  <si>
    <t>8636;10245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51079;51121;25873</t>
  </si>
  <si>
    <t>SSNA1;TIMM17B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DUFA13;RPL26L1;RPL36</t>
  </si>
  <si>
    <t>GO_SINGLE_ORGANISM_CELLULAR_LOCALIZATION</t>
  </si>
  <si>
    <t>8636;10245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51079;8409;51693;51121;25873</t>
  </si>
  <si>
    <t>SSNA1;TIMM17B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DUFA13;UXT;TRAPPC2L;RPL26L1;RPL36</t>
  </si>
  <si>
    <t>GO_STRUCTURAL_MOLECULE_ACTIVITY</t>
  </si>
  <si>
    <t>11316;6176;6181;6175;6218;3921;6165;6129;6188;6206;6137;6134;6136;6133;2197;6124;6223;6122;23521;6232;11224;6157;6125;6158;6203;6193;6204;6159;6164;9045;6224;6189;6154;6138;6155;6168;6167;6201;6202;6210;6208;6228;6222;6235;6207;6205;6130;6191;6147;6194;9349;6209;6229;6234;6156;6170;6160;4736;6161;6132;6171;6233;7311;6169;6227;10399;6152;6173;6143;6142;6141;64981;51121;25873</t>
  </si>
  <si>
    <t>COPE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PL23;RPS15;RPS24;RPS28;RPL30;RPL39;RPL31;RPL10A;RPL32;RPL8;RPL41;RPS27A;UBA52;RPL38;RPS21;RACK1;RPL24;RPL36A;RPL19;RPL18A;RPL18;MRPL34;RPL26L1;RPL36</t>
  </si>
  <si>
    <t>GO_MACROMOLECULE_CATABOLIC_PROCESS</t>
  </si>
  <si>
    <t>6176;6181;6175;6218;3921;6165;6129;6188;6206;6137;6134;6136;6133;2197;6124;6223;6122;23521;6232;11224;6157;6125;6158;6203;6193;6204;6159;6164;9045;3646;6224;7334;6189;6154;6138;6155;6168;6167;6201;6202;6210;6208;6228;6222;6235;6207;6205;6130;5436;6191;6147;6194;9349;6209;6229;6230;6234;6156;6170;6160;4736;6161;6132;6171;6233;7311;6169;6227;6152;6173;6143;6142;6141;93343;55850;51121;25873</t>
  </si>
  <si>
    <t>RPLP1;RPLP2;RPLP0;RPS17;RPSA;RPL35A;RPL7;RPS3;RPS12;RPL13;RPL10;RPL12;RPL9;FAU;RPL4;RPS19;RPL3;RPL13A;RPS27;RPL35;RPL27A;RPL5;RPL28;RPS9;RPS5;RPS10;RPL29;RPL34;RPL14;EIF3E;RPS20;UBE2N;RPS3A;RPL26;RPL15;RPL27;RPL37A;RPL37;RPS7;RPS8;RPS15A;RPS14;RPS23;RPS18;RPS29;RPS13;RPS11;RPL7A;POLR2G;RPS4X;RPL23A;RPS6;RPL23;RPS15;RPS24;RPS25;RPS28;RPL30;RPL39;RPL31;RPL10A;RPL32;RPL8;RPL41;RPS27A;UBA52;RPL38;RPS21;RPL24;RPL36A;RPL19;RPL18A;RPL18;MVB12A;USE1;RPL26L1;RPL36</t>
  </si>
  <si>
    <t>GO_CYTOSOLIC_LARGE_RIBOSOMAL_SUBUNIT</t>
  </si>
  <si>
    <t>6176;6181;6175;6165;6129;6137;6134;6136;6133;6124;6122;23521;11224;6157;6125;6158;6159;6164;9045;6154;6138;6155;6168;6167;6130;6147;9349;6156;6170;6160;4736;6161;6132;6171;7311;6169;6152;6173;6143;6142;6141;51121;25873</t>
  </si>
  <si>
    <t>RPLP1;RPLP2;RPLP0;RPL35A;RPL7;RPL13;RPL10;RPL12;RPL9;RPL4;RPL3;RPL13A;RPL35;RPL27A;RPL5;RPL28;RPL29;RPL34;RPL14;RPL26;RPL15;RPL27;RPL37A;RPL37;RPL7A;RPL23A;RPL23;RPL30;RPL39;RPL31;RPL10A;RPL32;RPL8;RPL41;UBA52;RPL38;RPL24;RPL36A;RPL19;RPL18A;RPL18;RPL26L1;RPL36</t>
  </si>
  <si>
    <t>GO_RNA_BINDING</t>
  </si>
  <si>
    <t>8667;8721;8666;6176;6181;6175;6218;3921;7178;6165;6129;6188;1933;6206;6137;6134;1936;6136;6133;2197;6124;6223;6122;23521;6232;11224;6157;6125;6158;6203;6193;6204;6159;6164;9045;3646;6224;7334;6189;6154;6138;6155;6168;6167;6201;6202;6210;6208;6228;6222;6207;6205;6130;5436;6191;6147;6194;5901;9349;6209;6229;6230;6234;6156;6170;6160;4736;6161;6132;6171;6233;6169;6227;10399;1915;6152;6173;6143;6142;6141;116541;3028;55651;29080;25873;54555</t>
  </si>
  <si>
    <t>EIF3H;EDF1;EIF3G;RPLP1;RPLP2;RPLP0;RPS17;RPSA;TPT1;RPL35A;RPL7;RPS3;EEF1B2;RPS12;RPL13;RPL10;EEF1D;RPL12;RPL9;FAU;RPL4;RPS19;RPL3;RPL13A;RPS27;RPL35;RPL27A;RPL5;RPL28;RPS9;RPS5;RPS10;RPL29;RPL34;RPL14;EIF3E;RPS20;UBE2N;RPS3A;RPL26;RPL15;RPL27;RPL37A;RPL37;RPS7;RPS8;RPS15A;RPS14;RPS23;RPS18;RPS13;RPS11;RPL7A;POLR2G;RPS4X;RPL23A;RPS6;RAN;RPL23;RPS15;RPS24;RPS25;RPS28;RPL30;RPL39;RPL31;RPL10A;RPL32;RPL8;RPL41;RPS27A;RPL38;RPS21;RACK1;EEF1A1;RPL24;RPL36A;RPL19;RPL18A;RPL18;MRPL54;HSD17B10;NHP2;CCDC59;RPL36;DDX49</t>
  </si>
  <si>
    <t>GO_LARGE_RIBOSOMAL_SUBUNIT</t>
  </si>
  <si>
    <t>GO_ESTABLISHMENT_OF_LOCALIZATION_IN_CELL</t>
  </si>
  <si>
    <t>11316;8636;10245;8815;6176;6181;6175;6218;3921;6165;6129;6188;6206;6137;6134;6136;6133;2197;6124;6223;6122;23521;6232;11224;6157;6125;6158;6203;6193;6204;6159;6164;9045;521;6224;6189;6154;6138;6155;6168;6167;6201;6202;6210;6208;6228;6222;6235;6207;6205;6130;6191;6147;6194;5901;9349;6209;6229;6230;6234;6156;6170;6160;4736;6161;6132;6171;6233;7311;6169;6227;6152;6173;6143;6142;6141;79023;84266;55850;51079;8409;51693;51121;25873</t>
  </si>
  <si>
    <t>COPE;SSNA1;TIMM17B;BANF1;RPLP1;RPLP2;RPLP0;RPS17;RPSA;RPL35A;RPL7;RPS3;RPS12;RPL13;RPL10;RPL12;RPL9;FAU;RPL4;RPS19;RPL3;RPL13A;RPS27;RPL35;RPL27A;RPL5;RPL28;RPS9;RPS5;RPS10;RPL29;RPL34;RPL14;ATP5ME;RPS20;RPS3A;RPL26;RPL15;RPL27;RPL37A;RPL37;RPS7;RPS8;RPS15A;RPS14;RPS23;RPS18;RPS29;RPS13;RPS11;RPL7A;RPS4X;RPL23A;RPS6;RAN;RPL23;RPS15;RPS24;RPS25;RPS28;RPL30;RPL39;RPL31;RPL10A;RPL32;RPL8;RPL41;RPS27A;UBA52;RPL38;RPS21;RPL24;RPL36A;RPL19;RPL18A;RPL18;NUP37;ALKBH7;USE1;NDUFA13;UXT;TRAPPC2L;RPL26L1;RPL36</t>
  </si>
  <si>
    <t>GO_ESTABLISHMENT_OF_PROTEIN_LOCALIZATION</t>
  </si>
  <si>
    <t>11316;8636;10245;6176;6181;6175;6218;3921;6165;6129;6188;6206;6137;6134;6136;6133;2197;6124;6223;6122;23521;6232;11224;6157;6125;6158;6203;6193;6204;6159;6164;9045;6224;6189;6154;6138;6155;6168;6167;6201;6202;6210;6208;6228;6222;6235;6207;6205;6130;6191;6147;6194;5901;9349;6209;6229;6230;6234;6156;6170;6160;4736;6161;6132;6171;6233;7311;6169;6227;6152;6173;6143;6142;6141;79023;93343;55850;51079;51121;25873</t>
  </si>
  <si>
    <t>COPE;SSNA1;TIMM17B;RPLP1;RPLP2;RPLP0;RPS17;RPSA;RPL35A;RPL7;RPS3;RPS12;RPL13;RPL10;RPL12;RPL9;FAU;RPL4;RPS19;RPL3;RPL13A;RPS27;RPL35;RPL27A;RPL5;RPL28;RPS9;RPS5;RPS10;RPL29;RPL34;RPL14;RPS20;RPS3A;RPL26;RPL15;RPL27;RPL37A;RPL37;RPS7;RPS8;RPS15A;RPS14;RPS23;RPS18;RPS29;RPS13;RPS11;RPL7A;RPS4X;RPL23A;RPS6;RAN;RPL23;RPS15;RPS24;RPS25;RPS28;RPL30;RPL39;RPL31;RPL10A;RPL32;RPL8;RPL41;RPS27A;UBA52;RPL38;RPS21;RPL24;RPL36A;RPL19;RPL18A;RPL18;NUP37;MVB12A;USE1;NDUFA13;RPL26L1;RPL36</t>
  </si>
  <si>
    <t>GO_CELLULAR_MACROMOLECULE_LOCALIZATION</t>
  </si>
  <si>
    <t>GO_CELLULAR_CATABOLIC_PROCESS</t>
  </si>
  <si>
    <t>6176;6181;6175;6218;3921;6165;6129;6188;6206;6137;6134;6136;6133;2197;6124;6223;6122;23521;6232;11224;6157;6125;6158;6203;6193;6204;6159;6164;9045;3646;6224;7334;6189;6154;6138;6155;6168;6167;6201;6202;6210;6208;6228;6222;6235;6207;6205;6130;5436;6191;6147;6194;9349;6209;6229;6230;6234;6156;6170;6160;4736;6161;6132;6171;6233;7311;6169;6227;6152;6173;6143;6142;6141;93343;3028;51121;25873</t>
  </si>
  <si>
    <t>RPLP1;RPLP2;RPLP0;RPS17;RPSA;RPL35A;RPL7;RPS3;RPS12;RPL13;RPL10;RPL12;RPL9;FAU;RPL4;RPS19;RPL3;RPL13A;RPS27;RPL35;RPL27A;RPL5;RPL28;RPS9;RPS5;RPS10;RPL29;RPL34;RPL14;EIF3E;RPS20;UBE2N;RPS3A;RPL26;RPL15;RPL27;RPL37A;RPL37;RPS7;RPS8;RPS15A;RPS14;RPS23;RPS18;RPS29;RPS13;RPS11;RPL7A;POLR2G;RPS4X;RPL23A;RPS6;RPL23;RPS15;RPS24;RPS25;RPS28;RPL30;RPL39;RPL31;RPL10A;RPL32;RPL8;RPL41;RPS27A;UBA52;RPL38;RPS21;RPL24;RPL36A;RPL19;RPL18A;RPL18;MVB12A;HSD17B10;RPL26L1;RPL36</t>
  </si>
  <si>
    <t>GO_POLY_A_RNA_BINDING</t>
  </si>
  <si>
    <t>8667;8721;8666;6175;6218;3921;7178;6165;6129;6188;6206;6137;6134;6136;2197;6124;6223;6122;23521;6232;11224;6157;6125;6158;6203;6193;6204;6159;9045;3646;6224;7334;6189;6154;6138;6155;6168;6201;6202;6210;6208;6228;6222;6207;6205;6130;6191;6147;6194;5901;9349;6209;6229;6230;6234;6156;6160;4736;6161;6132;6233;6227;10399;1915;6152;6173;6143;6142;116541;3028;55651;29080;25873;54555</t>
  </si>
  <si>
    <t>EIF3H;EDF1;EIF3G;RPLP0;RPS17;RPSA;TPT1;RPL35A;RPL7;RPS3;RPS12;RPL13;RPL10;RPL12;FAU;RPL4;RPS19;RPL3;RPL13A;RPS27;RPL35;RPL27A;RPL5;RPL28;RPS9;RPS5;RPS10;RPL29;RPL14;EIF3E;RPS20;UBE2N;RPS3A;RPL26;RPL15;RPL27;RPL37A;RPS7;RPS8;RPS15A;RPS14;RPS23;RPS18;RPS13;RPS11;RPL7A;RPS4X;RPL23A;RPS6;RAN;RPL23;RPS15;RPS24;RPS25;RPS28;RPL30;RPL31;RPL10A;RPL32;RPL8;RPS27A;RPS21;RACK1;EEF1A1;RPL24;RPL36A;RPL19;RPL18A;MRPL54;HSD17B10;NHP2;CCDC59;RPL36;DDX49</t>
  </si>
  <si>
    <t>GO_PROTEIN_LOCALIZATION</t>
  </si>
  <si>
    <t>GO_CATABOLIC_PROCESS</t>
  </si>
  <si>
    <t>6176;6181;6175;6218;3921;6165;6129;6188;6206;6137;6134;6136;6133;2197;6124;6223;6122;23521;6232;11224;6157;6125;6158;6203;6193;6204;6159;6164;9045;3646;6224;7334;6189;6154;6138;6155;6168;6167;6201;6202;6210;6208;6228;6222;6235;6207;6205;6130;5436;6191;6147;6194;9349;6209;6229;6230;6234;6156;6170;6160;4736;6161;6132;6171;6233;7311;6169;6227;6152;6173;6143;6142;6141;93343;3028;55850;51121;25873</t>
  </si>
  <si>
    <t>RPLP1;RPLP2;RPLP0;RPS17;RPSA;RPL35A;RPL7;RPS3;RPS12;RPL13;RPL10;RPL12;RPL9;FAU;RPL4;RPS19;RPL3;RPL13A;RPS27;RPL35;RPL27A;RPL5;RPL28;RPS9;RPS5;RPS10;RPL29;RPL34;RPL14;EIF3E;RPS20;UBE2N;RPS3A;RPL26;RPL15;RPL27;RPL37A;RPL37;RPS7;RPS8;RPS15A;RPS14;RPS23;RPS18;RPS29;RPS13;RPS11;RPL7A;POLR2G;RPS4X;RPL23A;RPS6;RPL23;RPS15;RPS24;RPS25;RPS28;RPL30;RPL39;RPL31;RPL10A;RPL32;RPL8;RPL41;RPS27A;UBA52;RPL38;RPS21;RPL24;RPL36A;RPL19;RPL18A;RPL18;MVB12A;HSD17B10;USE1;RPL26L1;RPL36</t>
  </si>
  <si>
    <t>GO_CYTOSOLIC_SMALL_RIBOSOMAL_SUBUNIT</t>
  </si>
  <si>
    <t>6218;3921;6188;6206;2197;6223;6232;6203;6193;6204;6224;6189;6201;6202;6210;6208;6228;6222;6235;6207;6205;6191;6194;6209;6229;6230;6234;6233;6227</t>
  </si>
  <si>
    <t>RPS17;RPSA;RPS3;RPS12;FAU;RPS19;RPS27;RPS9;RPS5;RPS10;RPS20;RPS3A;RPS7;RPS8;RPS15A;RPS14;RPS23;RPS18;RPS29;RPS13;RPS11;RPS4X;RPS6;RPS15;RPS24;RPS25;RPS28;RPS27A;RPS21</t>
  </si>
  <si>
    <t>GO_SMALL_RIBOSOMAL_SUBUNIT</t>
  </si>
  <si>
    <t>6218;3921;6188;6206;2197;6223;6232;6203;6193;6204;6224;6189;6201;6202;6210;6208;6228;6222;6235;6207;6205;6191;6194;6209;6229;6230;6234;6233;6227;10399</t>
  </si>
  <si>
    <t>RPS17;RPSA;RPS3;RPS12;FAU;RPS19;RPS27;RPS9;RPS5;RPS10;RPS20;RPS3A;RPS7;RPS8;RPS15A;RPS14;RPS23;RPS18;RPS29;RPS13;RPS11;RPS4X;RPS6;RPS15;RPS24;RPS25;RPS28;RPS27A;RPS21;RACK1</t>
  </si>
  <si>
    <t>GO_CELL_SUBSTRATE_JUNCTION</t>
  </si>
  <si>
    <t>6176;6181;6175;6218;6129;6188;6136;6133;6124;6223;6122;23521;6125;6203;6193;6204;6189;6155;6168;6201;6202;6208;6222;6235;6207;6205;6130;6191;9349;6209;6156;6160;4736;6132;6169;6143;6141</t>
  </si>
  <si>
    <t>RPLP1;RPLP2;RPLP0;RPS17;RPL7;RPS3;RPL12;RPL9;RPL4;RPS19;RPL3;RPL13A;RPL5;RPS9;RPS5;RPS10;RPS3A;RPL27;RPL37A;RPS7;RPS8;RPS14;RPS18;RPS29;RPS13;RPS11;RPL7A;RPS4X;RPL23;RPS15;RPL30;RPL31;RPL10A;RPL8;RPL38;RPL19;RPL18</t>
  </si>
  <si>
    <t>GO_ANCHORING_JUNCTION</t>
  </si>
  <si>
    <t>GO_RRNA_BINDING</t>
  </si>
  <si>
    <t>6176;6181;6175;6188;6136;6133;6125;6203;6193;6167;6208;6222;6207;6205;6191;6147;9349;6132</t>
  </si>
  <si>
    <t>RPLP1;RPLP2;RPLP0;RPS3;RPL12;RPL9;RPL5;RPS9;RPS5;RPL37;RPS14;RPS18;RPS13;RPS11;RPS4X;RPL23A;RPL23;RPL8</t>
  </si>
  <si>
    <t>GO_NUCLEOLUS</t>
  </si>
  <si>
    <t>8721;6129;6188;1936;6136;6133;6124;6223;6122;23521;11224;6125;6203;6204;6164;7334;6189;6201;6208;6228;6207;6205;6130;6147;6194;5901;9349;6230;4736;6132;6233;1915;6143;6141;11137;55651;25873</t>
  </si>
  <si>
    <t>EDF1;RPL7;RPS3;EEF1D;RPL12;RPL9;RPL4;RPS19;RPL3;RPL13A;RPL35;RPL5;RPS9;RPS10;RPL34;UBE2N;RPS3A;RPS7;RPS14;RPS23;RPS13;RPS11;RPL7A;RPL23A;RPS6;RAN;RPL23;RPS25;RPL10A;RPL8;RPS27A;EEF1A1;RPL19;RPL18;PWP1;NHP2;RPL36</t>
  </si>
  <si>
    <t>GO_RIBOSOME_ASSEMBLY</t>
  </si>
  <si>
    <t>6218;3921;6134;6136;6223;6122;6232;6125;6193;6204;6208;6147;6209;6169;6152</t>
  </si>
  <si>
    <t>RPS17;RPSA;RPL10;RPL12;RPS19;RPL3;RPS27;RPL5;RPS5;RPS10;RPS14;RPL23A;RPS15;RPL38;RPL24</t>
  </si>
  <si>
    <t>GO_CYTOPLASMIC_TRANSLATION</t>
  </si>
  <si>
    <t>6176;6181;6175;6165;6129;6133;6159;6154;6138;6160;6132;6173;51121;25873</t>
  </si>
  <si>
    <t>RPLP1;RPLP2;RPLP0;RPL35A;RPL7;RPL9;RPL29;RPL26;RPL15;RPL31;RPL8;RPL36A;RPL26L1;RPL36</t>
  </si>
  <si>
    <t>GO_RIBOSOMAL_SMALL_SUBUNIT_BIOGENESIS</t>
  </si>
  <si>
    <t>6218;3921;6223;6232;6193;6204;6201;6202;6208;6194;6209;6229;6234;6169;6227</t>
  </si>
  <si>
    <t>RPS17;RPSA;RPS19;RPS27;RPS5;RPS10;RPS7;RPS8;RPS14;RPS6;RPS15;RPS24;RPS28;RPL38;RPS21</t>
  </si>
  <si>
    <t>GO_CELL_JUNCTION</t>
  </si>
  <si>
    <t>GO_CELLULAR_MACROMOLECULAR_COMPLEX_ASSEMBLY</t>
  </si>
  <si>
    <t>4706;4694;8667;4695;374291;8666;6218;3921;100131801;4713;6134;6136;6223;6122;6232;6125;6193;6204;3646;6208;6147;6209;6233;7311;6169;6152;126328;54539;51079</t>
  </si>
  <si>
    <t>NDUFAB1;NDUFA1;EIF3H;NDUFA2;NDUFS7;EIF3G;RPS17;RPSA;PET100;NDUFB7;RPL10;RPL12;RPS19;RPL3;RPS27;RPL5;RPS5;RPS10;EIF3E;RPS14;RPL23A;RPS15;RPS27A;UBA52;RPL38;RPL24;NDUFA11;NDUFB11;NDUFA13</t>
  </si>
  <si>
    <t>GO_RIBOSOMAL_LARGE_SUBUNIT_BIOGENESIS</t>
  </si>
  <si>
    <t>6165;6129;6134;6136;6122;11224;6125;9045;6154;6147;6169;6152;51121</t>
  </si>
  <si>
    <t>RPL35A;RPL7;RPL10;RPL12;RPL3;RPL35;RPL5;RPL14;RPL26;RPL23A;RPL38;RPL24;RPL26L1</t>
  </si>
  <si>
    <t>GO_RIBONUCLEOPROTEIN_COMPLEX_SUBUNIT_ORGANIZATION</t>
  </si>
  <si>
    <t>8667;8666;6218;3921;6134;6136;6223;6122;6232;6125;6193;6204;3646;6208;6147;6209;6169;6152</t>
  </si>
  <si>
    <t>EIF3H;EIF3G;RPS17;RPSA;RPL10;RPL12;RPS19;RPL3;RPS27;RPL5;RPS5;RPS10;EIF3E;RPS14;RPL23A;RPS15;RPL38;RPL24</t>
  </si>
  <si>
    <t>GO_RESPIRATORY_CHAIN</t>
  </si>
  <si>
    <t>4706;27089;10975;4694;4695;374291;1337;1327;4713;1349;126328;192286;54539;51079</t>
  </si>
  <si>
    <t>NDUFAB1;UQCRQ;UQCR11;NDUFA1;NDUFA2;NDUFS7;COX6A1;COX4I1;NDUFB7;COX7B;NDUFA11;HIGD2A;NDUFB11;NDUFA13</t>
  </si>
  <si>
    <t>GO_OXIDATIVE_PHOSPHORYLATION</t>
  </si>
  <si>
    <t>4706;27089;10975;4694;4695;374291;1337;1327;1350;4713;1349;126328;54539;51079</t>
  </si>
  <si>
    <t>NDUFAB1;UQCRQ;UQCR11;NDUFA1;NDUFA2;NDUFS7;COX6A1;COX4I1;COX7C;NDUFB7;COX7B;NDUFA11;NDUFB11;NDUFA13</t>
  </si>
  <si>
    <t>GO_ELECTRON_TRANSPORT_CHAIN</t>
  </si>
  <si>
    <t>GO_ORGANELLE_INNER_MEMBRANE</t>
  </si>
  <si>
    <t>4706;27089;10975;4694;4695;10245;374291;1337;1327;1350;4713;6188;1349;521;140823;84274;125988;116541;126328;64981;192286;54539;51079</t>
  </si>
  <si>
    <t>NDUFAB1;UQCRQ;UQCR11;NDUFA1;NDUFA2;TIMM17B;NDUFS7;COX6A1;COX4I1;COX7C;NDUFB7;RPS3;COX7B;ATP5ME;ROMO1;COQ5;MICOS13;MRPL54;NDUFA11;MRPL34;HIGD2A;NDUFB11;NDUFA13</t>
  </si>
  <si>
    <t>GO_MITOCHONDRIAL_ENVELOPE</t>
  </si>
  <si>
    <t>4706;27089;10975;4694;4695;51499;10245;374291;1337;1327;1350;4713;6188;1349;521;140823;84274;125988;116541;126328;192111;64981;192286;54539;51079</t>
  </si>
  <si>
    <t>NDUFAB1;UQCRQ;UQCR11;NDUFA1;NDUFA2;TRIAP1;TIMM17B;NDUFS7;COX6A1;COX4I1;COX7C;NDUFB7;RPS3;COX7B;ATP5ME;ROMO1;COQ5;MICOS13;MRPL54;NDUFA11;PGAM5;MRPL34;HIGD2A;NDUFB11;NDUFA13</t>
  </si>
  <si>
    <t>GO_RIBOSOMAL_SMALL_SUBUNIT_ASSEMBLY</t>
  </si>
  <si>
    <t>6218;3921;6223;6232;6193;6204;6208;6209;6169</t>
  </si>
  <si>
    <t>RPS17;RPSA;RPS19;RPS27;RPS5;RPS10;RPS14;RPS15;RPL38</t>
  </si>
  <si>
    <t>GO_MITOCHONDRIAL_PART</t>
  </si>
  <si>
    <t>4706;27089;10975;4694;4695;51499;10245;374291;1337;1327;1350;4713;6188;1349;521;140823;84274;125988;116541;126328;90480;192111;3028;64981;84266;192286;54539;51079</t>
  </si>
  <si>
    <t>NDUFAB1;UQCRQ;UQCR11;NDUFA1;NDUFA2;TRIAP1;TIMM17B;NDUFS7;COX6A1;COX4I1;COX7C;NDUFB7;RPS3;COX7B;ATP5ME;ROMO1;COQ5;MICOS13;MRPL54;NDUFA11;GADD45GIP1;PGAM5;HSD17B10;MRPL34;ALKBH7;HIGD2A;NDUFB11;NDUFA13</t>
  </si>
  <si>
    <t>GO_INNER_MITOCHONDRIAL_MEMBRANE_PROTEIN_COMPLEX</t>
  </si>
  <si>
    <t>4706;4694;4695;10245;374291;1337;1327;4713;521;125988;126328;54539;51079</t>
  </si>
  <si>
    <t>NDUFAB1;NDUFA1;NDUFA2;TIMM17B;NDUFS7;COX6A1;COX4I1;NDUFB7;ATP5ME;MICOS13;NDUFA11;NDUFB11;NDUFA13</t>
  </si>
  <si>
    <t>GO_ENERGY_DERIVATION_BY_OXIDATION_OF_ORGANIC_COMPOUNDS</t>
  </si>
  <si>
    <t>4706;27089;10975;4694;4695;374291;1337;1327;1350;4713;1349;6233;7311;126328;54539;51079</t>
  </si>
  <si>
    <t>NDUFAB1;UQCRQ;UQCR11;NDUFA1;NDUFA2;NDUFS7;COX6A1;COX4I1;COX7C;NDUFB7;COX7B;RPS27A;UBA52;NDUFA11;NDUFB11;NDUFA13</t>
  </si>
  <si>
    <t>GO_CELLULAR_RESPIRATION</t>
  </si>
  <si>
    <t>GO_MACROMOLECULAR_COMPLEX_ASSEMBLY</t>
  </si>
  <si>
    <t>4706;4694;8667;4695;374291;8666;6218;3921;100131801;4713;6188;6134;6136;6223;6122;6232;6125;6193;6204;3646;6208;6147;6209;6233;7311;6169;6152;126328;3028;54539;51079;51693</t>
  </si>
  <si>
    <t>NDUFAB1;NDUFA1;EIF3H;NDUFA2;NDUFS7;EIF3G;RPS17;RPSA;PET100;NDUFB7;RPS3;RPL10;RPL12;RPS19;RPL3;RPS27;RPL5;RPS5;RPS10;EIF3E;RPS14;RPL23A;RPS15;RPS27A;UBA52;RPL38;RPL24;NDUFA11;HSD17B10;NDUFB11;NDUFA13;TRAPPC2L</t>
  </si>
  <si>
    <t>GO_NUCLEOSIDE_MONOPHOSPHATE_METABOLIC_PROCESS</t>
  </si>
  <si>
    <t>4706;27089;10975;4694;4695;374291;353;1337;1327;1350;4713;1349;521;126328;54539;51079</t>
  </si>
  <si>
    <t>NDUFAB1;UQCRQ;UQCR11;NDUFA1;NDUFA2;NDUFS7;APRT;COX6A1;COX4I1;COX7C;NDUFB7;COX7B;ATP5ME;NDUFA11;NDUFB11;NDUFA13</t>
  </si>
  <si>
    <t>GO_MITOCHONDRIAL_MEMBRANE_PART</t>
  </si>
  <si>
    <t>4706;4694;4695;10245;374291;1337;1327;4713;1349;521;125988;126328;54539;51079</t>
  </si>
  <si>
    <t>NDUFAB1;NDUFA1;NDUFA2;TIMM17B;NDUFS7;COX6A1;COX4I1;NDUFB7;COX7B;ATP5ME;MICOS13;NDUFA11;NDUFB11;NDUFA13</t>
  </si>
  <si>
    <t>GO_MITOCHONDRIAL_PROTEIN_COMPLEX</t>
  </si>
  <si>
    <t>GO_NUCLEOSIDE_TRIPHOSPHATE_METABOLIC_PROCESS</t>
  </si>
  <si>
    <t>4706;27089;10975;4694;4695;374291;1337;1327;1350;4713;1349;521;126328;54539;51079</t>
  </si>
  <si>
    <t>NDUFAB1;UQCRQ;UQCR11;NDUFA1;NDUFA2;NDUFS7;COX6A1;COX4I1;COX7C;NDUFB7;COX7B;ATP5ME;NDUFA11;NDUFB11;NDUFA13</t>
  </si>
  <si>
    <t>GO_MITOCHONDRION</t>
  </si>
  <si>
    <t>4706;27089;10975;4694;4695;51499;10245;374291;100131801;1337;1327;1350;4713;6165;6188;1349;6164;521;140823;6208;10399;84274;125988;116541;126328;90480;192111;3028;64981;84266;192286;54539;51079</t>
  </si>
  <si>
    <t>NDUFAB1;UQCRQ;UQCR11;NDUFA1;NDUFA2;TRIAP1;TIMM17B;NDUFS7;PET100;COX6A1;COX4I1;COX7C;NDUFB7;RPL35A;RPS3;COX7B;RPL34;ATP5ME;ROMO1;RPS14;RACK1;COQ5;MICOS13;MRPL54;NDUFA11;GADD45GIP1;PGAM5;HSD17B10;MRPL34;ALKBH7;HIGD2A;NDUFB11;NDUFA13</t>
  </si>
  <si>
    <t>GO_GENERATION_OF_PRECURSOR_METABOLITES_AND_ENERGY</t>
  </si>
  <si>
    <t>GO_ENVELOPE</t>
  </si>
  <si>
    <t>4706;27089;10975;4694;4695;51499;10245;374291;1337;1327;1350;4713;6188;1349;521;140823;5901;84274;125988;116541;126328;79023;192111;64981;192286;54539;51079</t>
  </si>
  <si>
    <t>NDUFAB1;UQCRQ;UQCR11;NDUFA1;NDUFA2;TRIAP1;TIMM17B;NDUFS7;COX6A1;COX4I1;COX7C;NDUFB7;RPS3;COX7B;ATP5ME;ROMO1;RAN;COQ5;MICOS13;MRPL54;NDUFA11;NUP37;PGAM5;MRPL34;HIGD2A;NDUFB11;NDUFA13</t>
  </si>
  <si>
    <t>GO_GLYCOSYL_COMPOUND_METABOLIC_PROCESS</t>
  </si>
  <si>
    <t>GO_PURINE_CONTAINING_COMPOUND_METABOLIC_PROCESS</t>
  </si>
  <si>
    <t>GO_RIBOSOMAL_LARGE_SUBUNIT_ASSEMBLY</t>
  </si>
  <si>
    <t>6134;6136;6122;6125;6147;6169;6152</t>
  </si>
  <si>
    <t>RPL10;RPL12;RPL3;RPL5;RPL23A;RPL38;RPL24</t>
  </si>
  <si>
    <t>GO_NADH_DEHYDROGENASE_COMPLEX</t>
  </si>
  <si>
    <t>4706;4694;4695;374291;4713;126328;54539;51079</t>
  </si>
  <si>
    <t>NDUFAB1;NDUFA1;NDUFA2;NDUFS7;NDUFB7;NDUFA11;NDUFB11;NDUFA13</t>
  </si>
  <si>
    <t>GO_ORGANELLE_ASSEMBLY</t>
  </si>
  <si>
    <t>6218;3921;6188;6134;6136;6223;6122;6232;6125;6193;6204;6208;6147;6209;6169;6152;93343</t>
  </si>
  <si>
    <t>RPS17;RPSA;RPS3;RPL10;RPL12;RPS19;RPL3;RPS27;RPL5;RPS5;RPS10;RPS14;RPL23A;RPS15;RPL38;RPL24;MVB12A</t>
  </si>
  <si>
    <t>GO_MITOCHONDRIAL_RESPIRATORY_CHAIN_COMPLEX_ASSEMBLY</t>
  </si>
  <si>
    <t>4706;4694;4695;374291;100131801;4713;126328;54539;51079</t>
  </si>
  <si>
    <t>NDUFAB1;NDUFA1;NDUFA2;NDUFS7;PET100;NDUFB7;NDUFA11;NDUFB11;NDUFA13</t>
  </si>
  <si>
    <t>GO_MITOCHONDRIAL_RESPIRATORY_CHAIN_COMPLEX_I_BIOGENESIS</t>
  </si>
  <si>
    <t>GO_POSTTRANSCRIPTIONAL_REGULATION_OF_GENE_EXPRESSION</t>
  </si>
  <si>
    <t>8667;8666;6188;23521;6203;6193;3646;6208;5436;6191;5901;6233;7311;6169;10399</t>
  </si>
  <si>
    <t>EIF3H;EIF3G;RPS3;RPL13A;RPS9;RPS5;EIF3E;RPS14;POLR2G;RPS4X;RAN;RPS27A;UBA52;RPL38;RACK1</t>
  </si>
  <si>
    <t>GO_NUCLEOBASE_CONTAINING_SMALL_MOLECULE_METABOLIC_PROCESS</t>
  </si>
  <si>
    <t>GO_REGULATION_OF_CELLULAR_AMIDE_METABOLIC_PROCESS</t>
  </si>
  <si>
    <t>8667;8666;6188;23521;6203;6193;3646;6208;5436;6191;5901;6169;10399</t>
  </si>
  <si>
    <t>EIF3H;EIF3G;RPS3;RPL13A;RPS9;RPS5;EIF3E;RPS14;POLR2G;RPS4X;RAN;RPL38;RACK1</t>
  </si>
  <si>
    <t>GO_MITOCHONDRION_ORGANIZATION</t>
  </si>
  <si>
    <t>4706;4694;4695;10245;374291;100131801;4713;125988;116541;126328;90480;3028;64981;84266;54539;51079</t>
  </si>
  <si>
    <t>NDUFAB1;NDUFA1;NDUFA2;TIMM17B;NDUFS7;PET100;NDUFB7;MICOS13;MRPL54;NDUFA11;GADD45GIP1;HSD17B10;MRPL34;ALKBH7;NDUFB11;NDUFA13</t>
  </si>
  <si>
    <t>GO_OXIDOREDUCTASE_COMPLEX</t>
  </si>
  <si>
    <t>GO_MATURATION_OF_SSU_RRNA_FROM_TRICISTRONIC_RRNA_TRANSCRIPT_SSU_RRNA_5_8S_RRNA_LSU_RRNA_</t>
  </si>
  <si>
    <t>3921;6223;6202;6208;6229;6227</t>
  </si>
  <si>
    <t>RPSA;RPS19;RPS8;RPS14;RPS24;RPS21</t>
  </si>
  <si>
    <t>GO_OXIDATION_REDUCTION_PROCESS</t>
  </si>
  <si>
    <t>4706;27089;10975;4694;4695;374291;1337;1327;1350;4713;1349;6233;7311;126328;3028;84266;192286;54539;51079</t>
  </si>
  <si>
    <t>NDUFAB1;UQCRQ;UQCR11;NDUFA1;NDUFA2;NDUFS7;COX6A1;COX4I1;COX7C;NDUFB7;COX7B;RPS27A;UBA52;NDUFA11;HSD17B10;ALKBH7;HIGD2A;NDUFB11;NDUFA13</t>
  </si>
  <si>
    <t>GO_TRANSLATIONAL_ELONGATION</t>
  </si>
  <si>
    <t>6176;6181;1933;1936;1915;116541;90480;64981</t>
  </si>
  <si>
    <t>RPLP1;RPLP2;EEF1B2;EEF1D;EEF1A1;MRPL54;GADD45GIP1;MRPL34</t>
  </si>
  <si>
    <t>GO_MATURATION_OF_SSU_RRNA</t>
  </si>
  <si>
    <t>GO_OXIDOREDUCTASE_ACTIVITY_ACTING_ON_NAD_P_H_QUINONE_OR_SIMILAR_COMPOUND_AS_ACCEPTOR</t>
  </si>
  <si>
    <t>4706;4694;4695;374291;4713;51079</t>
  </si>
  <si>
    <t>NDUFAB1;NDUFA1;NDUFA2;NDUFS7;NDUFB7;NDUFA13</t>
  </si>
  <si>
    <t>GO_RRNA_CONTAINING_RIBONUCLEOPROTEIN_COMPLEX_EXPORT_FROM_NUCLEUS</t>
  </si>
  <si>
    <t>3921;5901;6209;6234</t>
  </si>
  <si>
    <t>RPSA;RAN;RPS15;RPS28</t>
  </si>
  <si>
    <t>GO_HYDROGEN_ION_TRANSMEMBRANE_TRANSPORT</t>
  </si>
  <si>
    <t>27089;10975;1337;1327;1350;1349;521</t>
  </si>
  <si>
    <t>UQCRQ;UQCR11;COX6A1;COX4I1;COX7C;COX7B;ATP5ME</t>
  </si>
  <si>
    <t>GO_MITOCHONDRIAL_ELECTRON_TRANSPORT_CYTOCHROME_C_TO_OXYGEN</t>
  </si>
  <si>
    <t>GO_POLYSOME</t>
  </si>
  <si>
    <t>6129;6188;6130;6191;6194</t>
  </si>
  <si>
    <t>RPL7;RPS3;RPL7A;RPS4X;RPS6</t>
  </si>
  <si>
    <t>GO_ORGANOPHOSPHATE_METABOLIC_PROCESS</t>
  </si>
  <si>
    <t>GO_HYDROGEN_TRANSPORT</t>
  </si>
  <si>
    <t>GO_TRANSLATION_FACTOR_ACTIVITY_RNA_BINDING</t>
  </si>
  <si>
    <t>GO_OXIDOREDUCTASE_ACTIVITY_ACTING_ON_NAD_P_H</t>
  </si>
  <si>
    <t>GO_OXIDOREDUCTASE_ACTIVITY</t>
  </si>
  <si>
    <t>4706;27089;10975;4694;4695;374291;1337;1327;1350;4713;1349;3028;84266;51079</t>
  </si>
  <si>
    <t>NDUFAB1;UQCRQ;UQCR11;NDUFA1;NDUFA2;NDUFS7;COX6A1;COX4I1;COX7C;NDUFB7;COX7B;HSD17B10;ALKBH7;NDUFA13</t>
  </si>
  <si>
    <t>GO_MRNA_BINDING</t>
  </si>
  <si>
    <t>6129;6188;23521;11224;6193;6208;6207</t>
  </si>
  <si>
    <t>RPL7;RPS3;RPL13A;RPL35;RPS5;RPS14;RPS13</t>
  </si>
  <si>
    <t>GO_OXIDOREDUCTASE_ACTIVITY_ACTING_ON_A_HEME_GROUP_OF_DONORS</t>
  </si>
  <si>
    <t>GO_PRERIBOSOME</t>
  </si>
  <si>
    <t>6176;6181;6175;3921;6201</t>
  </si>
  <si>
    <t>RPLP1;RPLP2;RPLP0;RPSA;RPS7</t>
  </si>
  <si>
    <t>GO_MEMBRANE_PROTEIN_COMPLEX</t>
  </si>
  <si>
    <t>4706;11316;4694;4695;10245;374291;1337;1327;4713;1349;521;125988;126328;93343;54539;51079</t>
  </si>
  <si>
    <t>NDUFAB1;COPE;NDUFA1;NDUFA2;TIMM17B;NDUFS7;COX6A1;COX4I1;NDUFB7;COX7B;ATP5ME;MICOS13;NDUFA11;MVB12A;NDUFB11;NDUFA13</t>
  </si>
  <si>
    <t>GO_CARBOHYDRATE_DERIVATIVE_METABOLIC_PROCESS</t>
  </si>
  <si>
    <t>GO_ERYTHROCYTE_HOMEOSTASIS</t>
  </si>
  <si>
    <t>6218;6223;6208;6194;6229</t>
  </si>
  <si>
    <t>RPS17;RPS19;RPS14;RPS6;RPS24</t>
  </si>
  <si>
    <t>GO_CELLULAR_PROTEIN_COMPLEX_ASSEMBLY</t>
  </si>
  <si>
    <t>GO_REGULATION_OF_TRANSLATIONAL_INITIATION</t>
  </si>
  <si>
    <t>8667;8666;23521;3646;5436</t>
  </si>
  <si>
    <t>EIF3H;EIF3G;RPL13A;EIF3E;POLR2G</t>
  </si>
  <si>
    <t>GO_MYELOID_CELL_HOMEOSTASIS</t>
  </si>
  <si>
    <t>GO_RIBONUCLEOPROTEIN_GRANULE</t>
  </si>
  <si>
    <t>10084;6175;6158;5436;6191;6194</t>
  </si>
  <si>
    <t>PQBP1;RPLP0;RPL28;POLR2G;RPS4X;RPS6</t>
  </si>
  <si>
    <t>GO_EUKARYOTIC_TRANSLATION_INITIATION_FACTOR_3_COMPLEX</t>
  </si>
  <si>
    <t>GO_TRANSLATION_PREINITIATION_COMPLEX</t>
  </si>
  <si>
    <t>GO_TRANSLATION_ELONGATION_FACTOR_ACTIVITY</t>
  </si>
  <si>
    <t>1933;1936;1915</t>
  </si>
  <si>
    <t>EEF1B2;EEF1D;EEF1A1</t>
  </si>
  <si>
    <t>GO_PHOSPHORYLATION</t>
  </si>
  <si>
    <t>GO_CYTOCHROME_COMPLEX</t>
  </si>
  <si>
    <t>1337;1327;1349</t>
  </si>
  <si>
    <t>COX6A1;COX4I1;COX7B</t>
  </si>
  <si>
    <t>GO_PRERIBOSOME_LARGE_SUBUNIT_PRECURSOR</t>
  </si>
  <si>
    <t>6176;6181;6175</t>
  </si>
  <si>
    <t>RPLP1;RPLP2;RPLP0</t>
  </si>
  <si>
    <t>GO_FORMATION_OF_TRANSLATION_PREINITIATION_COMPLEX</t>
  </si>
  <si>
    <t>GO_ELECTRON_CARRIER_ACTIVITY</t>
  </si>
  <si>
    <t>GO_PROTEIN_COMPLEX_SUBUNIT_ORGANIZATION</t>
  </si>
  <si>
    <t>4706;4694;4695;374291;100131801;4713;6188;6223;5901;116541;126328;90480;3028;64981;54539;51079;51504;51693</t>
  </si>
  <si>
    <t>NDUFAB1;NDUFA1;NDUFA2;NDUFS7;PET100;NDUFB7;RPS3;RPS19;RAN;MRPL54;NDUFA11;GADD45GIP1;HSD17B10;MRPL34;NDUFB11;NDUFA13;TRMT112;TRAPPC2L</t>
  </si>
  <si>
    <t>GO_RIBONUCLEOPROTEIN_COMPLEX_LOCALIZATION</t>
  </si>
  <si>
    <t>3921;5901;6209;6234;79023</t>
  </si>
  <si>
    <t>RPSA;RAN;RPS15;RPS28;NUP37</t>
  </si>
  <si>
    <t>GO_MULTI_ORGANISM_LOCALIZATION</t>
  </si>
  <si>
    <t>5901;6233;7311;79023</t>
  </si>
  <si>
    <t>RAN;RPS27A;UBA52;NUP37</t>
  </si>
  <si>
    <t>GO_NUCLEOTIDE_BINDING_DOMAIN_LEUCINE_RICH_REPEAT_CONTAINING_RECEPTOR_SIGNALING_PATHWAY</t>
  </si>
  <si>
    <t>7334;6233;7311</t>
  </si>
  <si>
    <t>UBE2N;RPS27A;UBA52</t>
  </si>
  <si>
    <t>GO_NEGATIVE_REGULATION_OF_CELLULAR_AMIDE_METABOLIC_PROCESS</t>
  </si>
  <si>
    <t>6188;23521;3646;5901;10399</t>
  </si>
  <si>
    <t>RPS3;RPL13A;EIF3E;RAN;RACK1</t>
  </si>
  <si>
    <t>GO_SMALL_MOLECULE_METABOLIC_PROCESS</t>
  </si>
  <si>
    <t>4706;27089;10975;4694;4695;374291;353;1337;1327;1350;4713;1349;521;84274;126328;3028;84266;54539;51079</t>
  </si>
  <si>
    <t>NDUFAB1;UQCRQ;UQCR11;NDUFA1;NDUFA2;NDUFS7;APRT;COX6A1;COX4I1;COX7C;NDUFB7;COX7B;ATP5ME;COQ5;NDUFA11;HSD17B10;ALKBH7;NDUFB11;NDUFA13</t>
  </si>
  <si>
    <t>GO_GLOBAL_GENOME_NUCLEOTIDE_EXCISION_REPAIR</t>
  </si>
  <si>
    <t>GO_CYTOPLASMIC_PATTERN_RECOGNITION_RECEPTOR_SIGNALING_PATHWAY</t>
  </si>
  <si>
    <t>GO_REGULATION_OF_INTRINSIC_APOPTOTIC_SIGNALING_PATHWAY</t>
  </si>
  <si>
    <t>51499;7178;6188;10399;51079</t>
  </si>
  <si>
    <t>TRIAP1;TPT1;RPS3;RACK1;NDUFA13</t>
  </si>
  <si>
    <t>GO_REGULATION_OF_INTRINSIC_APOPTOTIC_SIGNALING_PATHWAY_IN_RESPONSE_TO_DNA_DAMAGE</t>
  </si>
  <si>
    <t>51499;7178;6188</t>
  </si>
  <si>
    <t>TRIAP1;TPT1;RPS3</t>
  </si>
  <si>
    <t>GO_NUCLEAR_EXPORT</t>
  </si>
  <si>
    <t>GO_DNA_DAMAGE_RESPONSE_DETECTION_OF_DNA_DAMAGE</t>
  </si>
  <si>
    <t>6188;6233;7311</t>
  </si>
  <si>
    <t>RPS3;RPS27A;UBA52</t>
  </si>
  <si>
    <t>GO_VIRION_ASSEMBLY</t>
  </si>
  <si>
    <t>6233;7311;93343</t>
  </si>
  <si>
    <t>RPS27A;UBA52;MVB12A</t>
  </si>
  <si>
    <t>GO_TRANSLATIONAL_TERMINATION</t>
  </si>
  <si>
    <t>116541;90480;64981;51504</t>
  </si>
  <si>
    <t>MRPL54;GADD45GIP1;MRPL34;TRMT112</t>
  </si>
  <si>
    <t>GSE2405_0H_VS_24H_A_PHAGOCYTOPHILUM_STIM_NEUTROPHIL_UP</t>
  </si>
  <si>
    <t>4694;8667;6181;6175;3921;1337;7178;6129;6188;1933;6137;6134;6136;6133;6124;6223;6122;23521;6232;11224;6157;6125;6158;6203;6193;6204;6164;9045;3646;6189;6154;6155;6168;6167;6201;6202;6210;6208;6228;6222;6235;6205;6130;6191;6147;6194;5901;9349;6230;6156;6170;6160;6171;6169;6227;10399;6152;6143;6142;6141;79036;51504;25873</t>
  </si>
  <si>
    <t>NDUFA1;EIF3H;RPLP2;RPLP0;RPSA;COX6A1;TPT1;RPL7;RPS3;EEF1B2;RPL13;RPL10;RPL12;RPL9;RPL4;RPS19;RPL3;RPL13A;RPS27;RPL35;RPL27A;RPL5;RPL28;RPS9;RPS5;RPS10;RPL34;RPL14;EIF3E;RPS3A;RPL26;RPL27;RPL37A;RPL37;RPS7;RPS8;RPS15A;RPS14;RPS23;RPS18;RPS29;RPS11;RPL7A;RPS4X;RPL23A;RPS6;RAN;RPL23;RPS25;RPL30;RPL39;RPL31;RPL41;RPL38;RPS21;RACK1;RPL24;RPL19;RPL18A;RPL18;KXD1;TRMT112;RPL36</t>
  </si>
  <si>
    <t>c7</t>
  </si>
  <si>
    <t>GSE2405_0H_VS_9H_A_PHAGOCYTOPHILUM_STIM_NEUTROPHIL_DN</t>
  </si>
  <si>
    <t>4694;8667;6181;6175;3921;1337;7178;6129;6188;1933;6137;6134;6136;6133;6124;6223;6122;23521;6232;11224;6157;6125;6158;6203;6193;6204;6164;9045;6189;6154;6155;6168;6167;6201;6202;6210;6208;6228;6222;6235;6205;6130;6191;6147;6194;5901;9349;6230;6156;6170;6160;6169;6227;10399;6152;6143;6142;6141;79036;25873</t>
  </si>
  <si>
    <t>NDUFA1;EIF3H;RPLP2;RPLP0;RPSA;COX6A1;TPT1;RPL7;RPS3;EEF1B2;RPL13;RPL10;RPL12;RPL9;RPL4;RPS19;RPL3;RPL13A;RPS27;RPL35;RPL27A;RPL5;RPL28;RPS9;RPS5;RPS10;RPL34;RPL14;RPS3A;RPL26;RPL27;RPL37A;RPL37;RPS7;RPS8;RPS15A;RPS14;RPS23;RPS18;RPS29;RPS11;RPL7A;RPS4X;RPL23A;RPS6;RAN;RPL23;RPS25;RPL30;RPL39;RPL31;RPL38;RPS21;RACK1;RPL24;RPL19;RPL18A;RPL18;KXD1;RPL36</t>
  </si>
  <si>
    <t>GSE41978_ID2_KO_VS_ID2_KO_AND_BIM_KO_KLRG1_LOW_EFFECTOR_CD8_TCELL_DN</t>
  </si>
  <si>
    <t>10975;6176;6175;3921;1337;7178;6188;6137;6134;6136;6133;2197;6124;6122;11224;6157;6125;6193;6204;6164;3646;6189;6154;6155;6168;6201;6202;6210;6208;6228;6222;6235;6205;6191;6147;6194;9349;6160;6171;6169;10399;6152;6173;6143;6141;79036</t>
  </si>
  <si>
    <t>UQCR11;RPLP1;RPLP0;RPSA;COX6A1;TPT1;RPS3;RPL13;RPL10;RPL12;RPL9;FAU;RPL4;RPL3;RPL35;RPL27A;RPL5;RPS5;RPS10;RPL34;EIF3E;RPS3A;RPL26;RPL27;RPL37A;RPS7;RPS8;RPS15A;RPS14;RPS23;RPS18;RPS29;RPS11;RPS4X;RPL23A;RPS6;RPL23;RPL31;RPL41;RPL38;RACK1;RPL24;RPL36A;RPL19;RPL18;KXD1</t>
  </si>
  <si>
    <t>GSE42088_UNINF_VS_LEISHMANIA_INF_DC_2H_DN</t>
  </si>
  <si>
    <t>8667;6165;6129;6137;6134;2197;6124;11224;6157;6158;6203;6204;6159;9045;3646;6154;6155;6167;6201;6202;6210;6222;6235;6207;6205;6130;6147;6209;6229;6234;6156;6160;4736;6161;6132;7311;6169;10399;6152;6173;6143;5204;8409;25873</t>
  </si>
  <si>
    <t>EIF3H;RPL35A;RPL7;RPL13;RPL10;FAU;RPL4;RPL35;RPL27A;RPL28;RPS9;RPS10;RPL29;RPL14;EIF3E;RPL26;RPL27;RPL37;RPS7;RPS8;RPS15A;RPS18;RPS29;RPS13;RPS11;RPL7A;RPL23A;RPS15;RPS24;RPS28;RPL30;RPL31;RPL10A;RPL32;RPL8;UBA52;RPL38;RACK1;RPL24;RPL36A;RPL19;PFDN5;UXT;RPL36</t>
  </si>
  <si>
    <t>GSE41978_KLRG1_HIGH_VS_LOW_EFFECTOR_CD8_TCELL_DN</t>
  </si>
  <si>
    <t>27089;10975;6176;6175;1327;7178;6129;6188;6134;6136;6133;6223;6122;6157;6125;6203;6193;6204;6164;521;6189;6155;6167;6201;6210;6208;6228;6222;6235;6130;6191;6194;9349;6230;6170;6169;6227;6152;6143;6141;79036</t>
  </si>
  <si>
    <t>UQCRQ;UQCR11;RPLP1;RPLP0;COX4I1;TPT1;RPL7;RPS3;RPL10;RPL12;RPL9;RPS19;RPL3;RPL27A;RPL5;RPS9;RPS5;RPS10;RPL34;ATP5ME;RPS3A;RPL27;RPL37;RPS7;RPS15A;RPS14;RPS23;RPS18;RPS29;RPL7A;RPS4X;RPS6;RPL23;RPS25;RPL39;RPL38;RPS21;RPL24;RPL19;RPL18;KXD1</t>
  </si>
  <si>
    <t>GSE42088_UNINF_VS_LEISHMANIA_INF_DC_4H_DN</t>
  </si>
  <si>
    <t>8667;6176;6181;6165;6129;6137;6134;1936;2197;6223;23521;6157;6158;6203;6164;3646;6154;6155;6167;6201;6202;6210;6208;6222;6235;6207;6205;6191;6229;6156;6170;6160;6161;6132;7311;6169;10399;6141</t>
  </si>
  <si>
    <t>EIF3H;RPLP1;RPLP2;RPL35A;RPL7;RPL13;RPL10;EEF1D;FAU;RPS19;RPL13A;RPL27A;RPL28;RPS9;RPL34;EIF3E;RPL26;RPL27;RPL37;RPS7;RPS8;RPS15A;RPS14;RPS18;RPS29;RPS13;RPS11;RPS4X;RPS24;RPL30;RPL39;RPL31;RPL32;RPL8;UBA52;RPL38;RACK1;RPL18</t>
  </si>
  <si>
    <t>GSE22886_NAIVE_BCELL_VS_NEUTROPHIL_UP</t>
  </si>
  <si>
    <t>6176;6218;6165;6134;6133;6223;6232;11224;6157;6158;6193;6164;6224;6154;6138;6155;6168;6167;6201;6208;6222;6207;6205;6130;6194;9349;6209;6229;6230;6156;6170;6132;6171;6233;6169;10399;6173</t>
  </si>
  <si>
    <t>RPLP1;RPS17;RPL35A;RPL10;RPL9;RPS19;RPS27;RPL35;RPL27A;RPL28;RPS5;RPL34;RPS20;RPL26;RPL15;RPL27;RPL37A;RPL37;RPS7;RPS14;RPS18;RPS13;RPS11;RPL7A;RPS6;RPL23;RPS15;RPS24;RPS25;RPL30;RPL39;RPL8;RPL41;RPS27A;RPL38;RACK1;RPL36A</t>
  </si>
  <si>
    <t>GSE22886_NAIVE_TCELL_VS_DC_UP</t>
  </si>
  <si>
    <t>6181;6218;6165;6188;1933;1936;2197;6122;23521;6232;11224;6125;6158;6204;6159;6164;9045;6154;6201;6210;6208;6228;6222;6235;6130;9349;6209;6230;6156;6160;7311;6169;6143;5204;8409;25873</t>
  </si>
  <si>
    <t>RPLP2;RPS17;RPL35A;RPS3;EEF1B2;EEF1D;FAU;RPL3;RPL13A;RPS27;RPL35;RPL5;RPL28;RPS10;RPL29;RPL34;RPL14;RPL26;RPS7;RPS15A;RPS14;RPS23;RPS18;RPS29;RPL7A;RPL23;RPS15;RPS25;RPL30;RPL31;UBA52;RPL38;RPL19;PFDN5;UXT;RPL36</t>
  </si>
  <si>
    <t>GSE14000_TRANSLATED_RNA_VS_MRNA_DC_DN</t>
  </si>
  <si>
    <t>8636;6176;6181;6175;3921;6188;1933;6206;6134;1936;6136;6124;23521;11224;6193;6204;6154;6210;6208;6222;6207;6205;6147;6194;9349;6230;6156;6161;6132;10399;3476;6143;6141;124446;25873</t>
  </si>
  <si>
    <t>SSNA1;RPLP1;RPLP2;RPLP0;RPSA;RPS3;EEF1B2;RPS12;RPL10;EEF1D;RPL12;RPL4;RPL13A;RPL35;RPS5;RPS10;RPL26;RPS15A;RPS14;RPS18;RPS13;RPS11;RPL23A;RPS6;RPL23;RPS25;RPL30;RPL32;RPL8;RACK1;IGBP1;RPL19;RPL18;TMEM219;RPL36</t>
  </si>
  <si>
    <t>GSE3720_UNSTIM_VS_LPS_STIM_VD2_GAMMADELTA_TCELL_UP</t>
  </si>
  <si>
    <t>6175;3921;4713;6188;1933;6206;6136;6124;6223;6122;6125;6203;6204;6159;9045;6224;6155;6168;6167;6202;6147;9349;6156;6170;6161;6132;6173;6141;3028;55850;25873</t>
  </si>
  <si>
    <t>RPLP0;RPSA;NDUFB7;RPS3;EEF1B2;RPS12;RPL12;RPL4;RPS19;RPL3;RPL5;RPS9;RPS10;RPL29;RPL14;RPS20;RPL27;RPL37A;RPL37;RPS8;RPL23A;RPL23;RPL30;RPL39;RPL32;RPL8;RPL36A;RPL18;HSD17B10;USE1;RPL36</t>
  </si>
  <si>
    <t>GSE3720_UNSTIM_VS_PMA_STIM_VD2_GAMMADELTA_TCELL_UP</t>
  </si>
  <si>
    <t>6176;6175;3921;6188;1933;6206;6136;2197;6124;6122;6232;6203;6204;6159;6224;6155;6168;6167;6147;9349;6156;6170;4736;6161;1915;6152;6173;6143;6141;55850;25873</t>
  </si>
  <si>
    <t>RPLP1;RPLP0;RPSA;RPS3;EEF1B2;RPS12;RPL12;FAU;RPL4;RPL3;RPS27;RPS9;RPS10;RPL29;RPS20;RPL27;RPL37A;RPL37;RPL23A;RPL23;RPL30;RPL39;RPL10A;RPL32;EEF1A1;RPL24;RPL36A;RPL19;RPL18;USE1;RPL36</t>
  </si>
  <si>
    <t>GSE34205_HEALTHY_VS_FLU_INF_INFANT_PBMC_UP</t>
  </si>
  <si>
    <t>6176;6181;7178;6129;6188;1933;6206;6137;6134;1936;6124;11224;6125;6193;6204;6189;6138;6155;6208;6228;6222;6130;6160;6161;6132;7311;6169;10399;6143;6141;79002;8409</t>
  </si>
  <si>
    <t>RPLP1;RPLP2;TPT1;RPL7;RPS3;EEF1B2;RPS12;RPL13;RPL10;EEF1D;RPL4;RPL35;RPL5;RPS5;RPS10;RPS3A;RPL15;RPL27;RPS14;RPS23;RPS18;RPL7A;RPL31;RPL32;RPL8;UBA52;RPL38;RACK1;RPL19;RPL18;TRIR;UXT</t>
  </si>
  <si>
    <t>GSE21927_SPLEEN_C57BL6_VS_4T1_TUMOR_BALBC_MONOCYTES_UP</t>
  </si>
  <si>
    <t>8667;6181;6218;1327;7178;6165;6129;6188;1933;6137;1936;6124;6122;11224;6125;6193;6204;6159;521;6189;6138;6167;6201;6202;6210;6130;6233;6141;5204;8409</t>
  </si>
  <si>
    <t>EIF3H;RPLP2;RPS17;COX4I1;TPT1;RPL35A;RPL7;RPS3;EEF1B2;RPL13;EEF1D;RPL4;RPL3;RPL35;RPL5;RPS5;RPS10;RPL29;ATP5ME;RPS3A;RPL15;RPL37;RPS7;RPS8;RPS15A;RPL7A;RPS27A;RPL18;PFDN5;UXT</t>
  </si>
  <si>
    <t>GSE3720_UNSTIM_VS_PMA_STIM_VD1_GAMMADELTA_TCELL_UP</t>
  </si>
  <si>
    <t>27089;4694;8667;374291;3921;4713;6188;1933;6206;6136;6133;6124;6223;6122;6224;6155;6208;6235;5901;9349;6161;6132;6233;6143</t>
  </si>
  <si>
    <t>UQCRQ;NDUFA1;EIF3H;NDUFS7;RPSA;NDUFB7;RPS3;EEF1B2;RPS12;RPL12;RPL9;RPL4;RPS19;RPL3;RPS20;RPL27;RPS14;RPS29;RAN;RPL23;RPL32;RPL8;RPS27A;RPL19</t>
  </si>
  <si>
    <t>GSE10239_NAIVE_VS_DAY4.5_EFF_CD8_TCELL_UP</t>
  </si>
  <si>
    <t>6176;6181;6175;6188;1933;6137;2197;11224;6157;6203;746;6154;6168;6201;6210;6208;6222;6205;6161;6169;6227;6143;55850;25873</t>
  </si>
  <si>
    <t>RPLP1;RPLP2;RPLP0;RPS3;EEF1B2;RPL13;FAU;RPL35;RPL27A;RPS9;TMEM258;RPL26;RPL37A;RPS7;RPS15A;RPS14;RPS18;RPS11;RPL32;RPL38;RPS21;RPL19;USE1;RPL36</t>
  </si>
  <si>
    <t>GSE3565_DUSP1_VS_WT_SPLENOCYTES_POST_LPS_INJECTION_UP</t>
  </si>
  <si>
    <t>8667;6176;6175;6165;1933;6137;6193;6204;6159;6224;6155;6210;6147;6209;4736;6161;6132;6152;6173;6143;6141;25873</t>
  </si>
  <si>
    <t>EIF3H;RPLP1;RPLP0;RPL35A;EEF1B2;RPL13;RPS5;RPS10;RPL29;RPS20;RPL27;RPS15A;RPL23A;RPS15;RPL10A;RPL32;RPL8;RPL24;RPL36A;RPL19;RPL18;RPL36</t>
  </si>
  <si>
    <t>GSE26156_DOUBLE_POSITIVE_VS_CD4_SINGLE_POSITIVE_THYMOCYTE_UP</t>
  </si>
  <si>
    <t>8666;6218;7178;6206;6137;6134;6158;6159;6164;6224;6167;6202;6210;6228;6235;6207;6234;6156;6160;6161;6233;6169;5204</t>
  </si>
  <si>
    <t>EIF3G;RPS17;TPT1;RPS12;RPL13;RPL10;RPL28;RPL29;RPL34;RPS20;RPL37;RPS8;RPS15A;RPS23;RPS29;RPS13;RPS28;RPL30;RPL31;RPL32;RPS27A;RPL38;PFDN5</t>
  </si>
  <si>
    <t>GSE42724_NAIVE_VS_B1_BCELL_DN</t>
  </si>
  <si>
    <t>6218;3921;6129;6188;1933;6137;6124;6122;23521;6125;6193;6159;6164;6154;6138;6201;6130;6194;6132;10399;10244;192286</t>
  </si>
  <si>
    <t>RPS17;RPSA;RPL7;RPS3;EEF1B2;RPL13;RPL4;RPL3;RPL13A;RPL5;RPS5;RPL29;RPL34;RPL26;RPL15;RPS7;RPL7A;RPS6;RPL8;RACK1;RABEPK;HIGD2A</t>
  </si>
  <si>
    <t>GSE2124_CTRL_VS_LYMPHOTOXIN_BETA_TREATED_MLN_UP</t>
  </si>
  <si>
    <t>1337;1327;7178;6129;6133;23521;6157;6125;6158;6204;6189;6154;6201;6208;6228;6191;6194;6230;6143;6141;79036</t>
  </si>
  <si>
    <t>COX6A1;COX4I1;TPT1;RPL7;RPL9;RPL13A;RPL27A;RPL5;RPL28;RPS10;RPS3A;RPL26;RPS7;RPS14;RPS23;RPS4X;RPS6;RPS25;RPL19;RPL18;KXD1</t>
  </si>
  <si>
    <t>GSE1460_DP_THYMOCYTE_VS_NAIVE_CD4_TCELL_ADULT_BLOOD_DN</t>
  </si>
  <si>
    <t>6181;6137;1936;6136;2197;6223;6232;6157;6193;6154;6201;6202;6222;6235;6207;6194;4736;6161;6173;5204;8409</t>
  </si>
  <si>
    <t>RPLP2;RPL13;EEF1D;RPL12;FAU;RPS19;RPS27;RPL27A;RPS5;RPL26;RPS7;RPS8;RPS18;RPS29;RPS13;RPS6;RPL10A;RPL32;RPL36A;PFDN5;UXT</t>
  </si>
  <si>
    <t>GSE6269_HEALTHY_VS_FLU_INF_PBMC_UP</t>
  </si>
  <si>
    <t>8667;1327;1933;6206;6137;6134;6124;6122;6125;6204;6159;6189;5436;9349;6234;4736;7311;6152;6142;8409</t>
  </si>
  <si>
    <t>EIF3H;COX4I1;EEF1B2;RPS12;RPL13;RPL10;RPL4;RPL3;RPL5;RPS10;RPL29;RPS3A;POLR2G;RPL23;RPS28;RPL10A;UBA52;RPL24;RPL18A;UXT</t>
  </si>
  <si>
    <t>GSE10239_NAIVE_VS_KLRG1HIGH_EFF_CD8_TCELL_UP</t>
  </si>
  <si>
    <t>6181;7178;6129;1933;6137;6232;11224;6157;746;6154;6201;6208;6205;6160;6169;6227;6152;6143;55850;25873</t>
  </si>
  <si>
    <t>RPLP2;TPT1;RPL7;EEF1B2;RPL13;RPS27;RPL35;RPL27A;TMEM258;RPL26;RPS7;RPS14;RPS11;RPL31;RPL38;RPS21;RPL24;RPL19;USE1;RPL36</t>
  </si>
  <si>
    <t>GSE24574_BCL6_HIGH_TFH_VS_TFH_CD4_TCELL_DN</t>
  </si>
  <si>
    <t>8666;6181;7178;6206;6137;6134;6159;6164;6224;6167;6202;6210;6228;6207;9349;6234;6156;6161;6233;6173</t>
  </si>
  <si>
    <t>EIF3G;RPLP2;TPT1;RPS12;RPL13;RPL10;RPL29;RPL34;RPS20;RPL37;RPS8;RPS15A;RPS23;RPS13;RPL23;RPS28;RPL30;RPL32;RPS27A;RPL36A</t>
  </si>
  <si>
    <t>GSE3720_LPS_VS_PMA_STIM_VD1_GAMMADELTA_TCELL_DN</t>
  </si>
  <si>
    <t>8666;6175;3921;1933;6136;2197;6124;6122;6204;6159;6155;6208;9349;4736;1915;6173;6141;55850;51504</t>
  </si>
  <si>
    <t>EIF3G;RPLP0;RPSA;EEF1B2;RPL12;FAU;RPL4;RPL3;RPS10;RPL29;RPL27;RPS14;RPL23;RPL10A;EEF1A1;RPL36A;RPL18;USE1;TRMT112</t>
  </si>
  <si>
    <t>GSE21670_UNTREATED_VS_TGFB_IL6_TREATED_CD4_TCELL_DN</t>
  </si>
  <si>
    <t>6181;6218;1350;6133;6232;6125;6159;3646;6189;6154;6155;6201;6210;6235;6230;6156;4736;6233;29080</t>
  </si>
  <si>
    <t>RPLP2;RPS17;COX7C;RPL9;RPS27;RPL5;RPL29;EIF3E;RPS3A;RPL26;RPL27;RPS7;RPS15A;RPS29;RPS25;RPL30;RPL10A;RPS27A;CCDC59</t>
  </si>
  <si>
    <t>GSE6269_FLU_VS_E_COLI_INF_PBMC_DN</t>
  </si>
  <si>
    <t>1327;6129;1933;6137;6134;6124;6122;6125;6193;6159;6189;6154;6138;6191;9349;6160;7311;6141</t>
  </si>
  <si>
    <t>COX4I1;RPL7;EEF1B2;RPL13;RPL10;RPL4;RPL3;RPL5;RPS5;RPL29;RPS3A;RPL26;RPL15;RPS4X;RPL23;RPL31;UBA52;RPL18</t>
  </si>
  <si>
    <t>GSE14000_TRANSLATED_RNA_VS_MRNA_4H_LPS_DC_DN</t>
  </si>
  <si>
    <t>27089;10975;4695;6176;6175;6218;7178;1933;6136;6232;140823;6208;6147;6234;6156;126328;51647;25873</t>
  </si>
  <si>
    <t>UQCRQ;UQCR11;NDUFA2;RPLP1;RPLP0;RPS17;TPT1;EEF1B2;RPL12;RPS27;ROMO1;RPS14;RPL23A;RPS28;RPL30;NDUFA11;CIAO2B;RPL36</t>
  </si>
  <si>
    <t>GSE34205_HEALTHY_VS_RSV_INF_INFANT_PBMC_UP</t>
  </si>
  <si>
    <t>6188;6134;6124;6122;11224;6204;6155;6228;6222;6234;6156;6132;7311;10399;6173;6143;6141;79002</t>
  </si>
  <si>
    <t>RPS3;RPL10;RPL4;RPL3;RPL35;RPS10;RPL27;RPS23;RPS18;RPS28;RPL30;RPL8;UBA52;RACK1;RPL36A;RPL19;RPL18;TRIR</t>
  </si>
  <si>
    <t>GSE9006_TYPE_1_DIABETES_AT_DX_VS_4MONTH_POST_DX_PBMC_DN</t>
  </si>
  <si>
    <t>10975;1327;1933;6136;6125;6204;6138;6155;6210;6235;6207;6130;4736;7311;6152;6143;10244;5204</t>
  </si>
  <si>
    <t>UQCR11;COX4I1;EEF1B2;RPL12;RPL5;RPS10;RPL15;RPL27;RPS15A;RPS29;RPS13;RPL7A;RPL10A;UBA52;RPL24;RPL19;RABEPK;PFDN5</t>
  </si>
  <si>
    <t>GSE5099_CLASSICAL_M1_VS_ALTERNATIVE_M2_MACROPHAGE_UP</t>
  </si>
  <si>
    <t>6176;6181;353;1350;6137;6136;6133;6223;23521;6204;6159;6210;6222;6130;6156;6160;6161;5204</t>
  </si>
  <si>
    <t>RPLP1;RPLP2;APRT;COX7C;RPL13;RPL12;RPL9;RPS19;RPL13A;RPS10;RPL29;RPS15A;RPS18;RPL7A;RPL30;RPL31;RPL32;PFDN5</t>
  </si>
  <si>
    <t>GSE22886_NEUTROPHIL_VS_MONOCYTE_DN</t>
  </si>
  <si>
    <t>4706;8815;6133;6232;6224;6154;6167;6201;6207;5901;9349;6229;6230;6233;10399;11137;51693</t>
  </si>
  <si>
    <t>NDUFAB1;BANF1;RPL9;RPS27;RPS20;RPL26;RPL37;RPS7;RPS13;RAN;RPL23;RPS24;RPS25;RPS27A;RACK1;PWP1;TRAPPC2L</t>
  </si>
  <si>
    <t>GSE20727_CTRL_VS_DNFB_ALLERGEN_TREATED_DC_DN</t>
  </si>
  <si>
    <t>10975;8667;6176;6136;6133;6125;6224;6189;6154;6138;6155;6201;6130;6230;3476;6152</t>
  </si>
  <si>
    <t>UQCR11;EIF3H;RPLP1;RPL12;RPL9;RPL5;RPS20;RPS3A;RPL26;RPL15;RPL27;RPS7;RPL7A;RPS25;IGBP1;RPL24</t>
  </si>
  <si>
    <t>GSE14000_TRANSLATED_RNA_VS_MRNA_16H_LPS_DC_DN</t>
  </si>
  <si>
    <t>8636;6181;6218;6206;6203;6155;6168;6205;9349;6156;6170;6160;7311;6169;124446;25873</t>
  </si>
  <si>
    <t>SSNA1;RPLP2;RPS17;RPS12;RPS9;RPL27;RPL37A;RPS11;RPL23;RPL30;RPL39;RPL31;UBA52;RPL38;TMEM219;RPL36</t>
  </si>
  <si>
    <t>GSE2770_TGFB_AND_IL4_ACT_VS_ACT_CD4_TCELL_2H_UP</t>
  </si>
  <si>
    <t>4695;6218;6165;6129;6188;1933;6137;6122;6204;6189;6155;6202;6194;6233;7311;5204</t>
  </si>
  <si>
    <t>NDUFA2;RPS17;RPL35A;RPL7;RPS3;EEF1B2;RPL13;RPL3;RPS10;RPS3A;RPL27;RPS8;RPS6;RPS27A;UBA52;PFDN5</t>
  </si>
  <si>
    <t>GSE34156_NOD2_LIGAND_VS_NOD2_AND_TLR1_TLR2_LIGAND_24H_TREATED_MONOCYTE_DN</t>
  </si>
  <si>
    <t>8667;6181;3921;1327;1350;6165;23521;6158;6155;6235;6205;6230;6170;6160;7311;10399</t>
  </si>
  <si>
    <t>EIF3H;RPLP2;RPSA;COX4I1;COX7C;RPL35A;RPL13A;RPL28;RPL27;RPS29;RPS11;RPS25;RPL39;RPL31;UBA52;RACK1</t>
  </si>
  <si>
    <t>GSE34156_NOD2_LIGAND_VS_NOD2_AND_TLR1_TLR2_LIGAND_6H_TREATED_MONOCYTE_UP</t>
  </si>
  <si>
    <t>51499;3921;6129;6188;1933;6137;6155;6222;6235;6207;6170;7311;6169;6143;8409;28974</t>
  </si>
  <si>
    <t>TRIAP1;RPSA;RPL7;RPS3;EEF1B2;RPL13;RPL27;RPS18;RPS29;RPS13;RPL39;UBA52;RPL38;RPL19;UXT;C19orf53</t>
  </si>
  <si>
    <t>GSE26488_WT_VS_VP16_TRANSGENIC_HDAC7_KO_DOUBLE_POSITIVE_THYMOCYTE_DN</t>
  </si>
  <si>
    <t>1933;6137;6136;6203;6193;6168;6167;6208;6207;6191;6170;6161;6152;6173;6143</t>
  </si>
  <si>
    <t>EEF1B2;RPL13;RPL12;RPS9;RPS5;RPL37A;RPL37;RPS14;RPS13;RPS4X;RPL39;RPL32;RPL24;RPL36A;RPL19</t>
  </si>
  <si>
    <t>GSE13547_CTRL_VS_ANTI_IGM_STIM_BCELL_12H_DN</t>
  </si>
  <si>
    <t>8667;8666;6176;1933;6137;1936;23521;6125;6159;9045;6173;6143;5204;51398;25873</t>
  </si>
  <si>
    <t>EIF3H;EIF3G;RPLP1;EEF1B2;RPL13;EEF1D;RPL13A;RPL5;RPL29;RPL14;RPL36A;RPL19;PFDN5;WDR83OS;RPL36</t>
  </si>
  <si>
    <t>GSE10239_NAIVE_VS_KLRG1INT_EFF_CD8_TCELL_UP</t>
  </si>
  <si>
    <t>8625;6176;6129;6137;6124;6232;11224;6157;6167;6201;6208;6205;6161;6169;6143</t>
  </si>
  <si>
    <t>RFXANK;RPLP1;RPL7;RPL13;RPL4;RPS27;RPL35;RPL27A;RPL37;RPS7;RPS14;RPS11;RPL32;RPL38;RPL19</t>
  </si>
  <si>
    <t>GSE22886_NAIVE_TCELL_VS_NKCELL_UP</t>
  </si>
  <si>
    <t>8667;6188;6134;11224;6204;3646;6154;6235;6194;6132;6143;192286;29080;8409;25873</t>
  </si>
  <si>
    <t>EIF3H;RPS3;RPL10;RPL35;RPS10;EIF3E;RPL26;RPS29;RPS6;RPL8;RPL19;HIGD2A;CCDC59;UXT;RPL36</t>
  </si>
  <si>
    <t>GSE22886_NAIVE_CD8_TCELL_VS_DC_UP</t>
  </si>
  <si>
    <t>8667;6165;11224;6158;6203;9045;3646;6209;6230;6156;7311;6143;29080;8409;25873</t>
  </si>
  <si>
    <t>EIF3H;RPL35A;RPL35;RPL28;RPS9;RPL14;EIF3E;RPS15;RPS25;RPL30;UBA52;RPL19;CCDC59;UXT;RPL36</t>
  </si>
  <si>
    <t>GSE3982_NEUTROPHIL_VS_BCELL_DN</t>
  </si>
  <si>
    <t>1350;6165;6137;6133;6223;23521;6232;6228;6222;5436;6191;5901;6160;6161;6132</t>
  </si>
  <si>
    <t>COX7C;RPL35A;RPL13;RPL9;RPS19;RPL13A;RPS27;RPS23;RPS18;POLR2G;RPS4X;RAN;RPL31;RPL32;RPL8</t>
  </si>
  <si>
    <t>GSE5099_DAY3_VS_DAY7_MCSF_TREATED_MACROPHAGE_UP</t>
  </si>
  <si>
    <t>6181;6188;6137;6134;6124;23521;9045;6138;6210;6208;6205;6160;6161;3476;5204</t>
  </si>
  <si>
    <t>RPLP2;RPS3;RPL13;RPL10;RPL4;RPL13A;RPL14;RPL15;RPS15A;RPS14;RPS11;RPL31;RPL32;IGBP1;PFDN5</t>
  </si>
  <si>
    <t>GSE26030_TH1_VS_TH17_RESTIMULATED_DAY15_POST_POLARIZATION_DN</t>
  </si>
  <si>
    <t>11316;2197;6164;6147;6161;6171;6169;6152;6143;126328;5204;64981;79002;192286;55850</t>
  </si>
  <si>
    <t>COPE;FAU;RPL34;RPL23A;RPL32;RPL41;RPL38;RPL24;RPL19;NDUFA11;PFDN5;MRPL34;TRIR;HIGD2A;USE1</t>
  </si>
  <si>
    <t>GSE45837_WT_VS_GFI1_KO_PDC_DN</t>
  </si>
  <si>
    <t>8625;27089;10975;4695;8721;374291;6203;6201;5901;3476;3028;59286;54539;51693;54555</t>
  </si>
  <si>
    <t>RFXANK;UQCRQ;UQCR11;NDUFA2;EDF1;NDUFS7;RPS9;RPS7;RAN;IGBP1;HSD17B10;UBL5;NDUFB11;TRAPPC2L;DDX49</t>
  </si>
  <si>
    <t>GSE3920_IFNB_VS_IFNG_TREATED_ENDOTHELIAL_CELL_UP</t>
  </si>
  <si>
    <t>1933;6206;6134;6136;6223;6224;6167;6210;5436;9349;6160;6161;6169;6152</t>
  </si>
  <si>
    <t>EEF1B2;RPS12;RPL10;RPL12;RPS19;RPS20;RPL37;RPS15A;POLR2G;RPL23;RPL31;RPL32;RPL38;RPL24</t>
  </si>
  <si>
    <t>GSE17721_CTRL_VS_PAM3CSK4_24H_BMDC_UP</t>
  </si>
  <si>
    <t>6188;1933;6136;2197;11224;6157;6158;6164;9045;6189;6210;6156;3476;79036</t>
  </si>
  <si>
    <t>RPS3;EEF1B2;RPL12;FAU;RPL35;RPL27A;RPL28;RPL34;RPL14;RPS3A;RPS15A;RPL30;IGBP1;KXD1</t>
  </si>
  <si>
    <t>GSE22886_NAIVE_BCELL_VS_DC_UP</t>
  </si>
  <si>
    <t>6218;6165;23521;6232;6157;6158;6164;6168;6201;6210;6228;6205;6161;6233</t>
  </si>
  <si>
    <t>RPS17;RPL35A;RPL13A;RPS27;RPL27A;RPL28;RPL34;RPL37A;RPS7;RPS15A;RPS23;RPS11;RPL32;RPS27A</t>
  </si>
  <si>
    <t>GSE24634_NAIVE_CD4_TCELL_VS_DAY10_IL4_CONV_TREG_UP</t>
  </si>
  <si>
    <t>6165;6206;2197;11224;6157;6155;6210;6234;6169;6143;5204;29080;8409;28974</t>
  </si>
  <si>
    <t>RPL35A;RPS12;FAU;RPL35;RPL27A;RPL27;RPS15A;RPS28;RPL38;RPL19;PFDN5;CCDC59;UXT;C19orf53</t>
  </si>
  <si>
    <t>GSE29618_LAIV_VS_TIV_FLU_VACCINE_DAY7_BCELL_DN</t>
  </si>
  <si>
    <t>8667;8815;6181;353;1350;6232;6224;6167;6130;6229;6230;6156;6160;6161</t>
  </si>
  <si>
    <t>EIF3H;BANF1;RPLP2;APRT;COX7C;RPS27;RPS20;RPL37;RPL7A;RPS24;RPS25;RPL30;RPL31;RPL32</t>
  </si>
  <si>
    <t>GSE25123_WT_VS_PPARG_KO_MACROPHAGE_DN</t>
  </si>
  <si>
    <t>6181;6165;6129;1933;6136;6125;6167;6205;5901;4736;6132;6233;6152;192286</t>
  </si>
  <si>
    <t>RPLP2;RPL35A;RPL7;EEF1B2;RPL12;RPL5;RPL37;RPS11;RAN;RPL10A;RPL8;RPS27A;RPL24;HIGD2A</t>
  </si>
  <si>
    <t>GSE24574_BCL6_HIGH_VS_LOW_TFH_CD4_TCELL_UP</t>
  </si>
  <si>
    <t>6181;6206;6134;6159;6164;6167;6202;6210;6208;6207;6156;6160;6161;5204</t>
  </si>
  <si>
    <t>RPLP2;RPS12;RPL10;RPL29;RPL34;RPL37;RPS8;RPS15A;RPS14;RPS13;RPL30;RPL31;RPL32;PFDN5</t>
  </si>
  <si>
    <t>GSE34156_NOD2_LIGAND_VS_TLR1_TLR2_LIGAND_24H_TREATED_MONOCYTE_DN</t>
  </si>
  <si>
    <t>51499;6181;3921;6129;6188;6137;6204;6155;6235;6170;6169;6173;84274;8409</t>
  </si>
  <si>
    <t>TRIAP1;RPLP2;RPSA;RPL7;RPS3;RPL13;RPS10;RPL27;RPS29;RPL39;RPL38;RPL36A;COQ5;UXT</t>
  </si>
  <si>
    <t>GSE34156_UNTREATED_VS_24H_TLR1_TLR2_LIGAND_TREATED_MONOCYTE_DN</t>
  </si>
  <si>
    <t>8667;3921;1327;1350;23521;6158;6155;6228;6222;6170;6160;6169;10399</t>
  </si>
  <si>
    <t>EIF3H;RPSA;COX4I1;COX7C;RPL13A;RPL28;RPL27;RPS23;RPS18;RPL39;RPL31;RPL38;RACK1</t>
  </si>
  <si>
    <t>GSE22886_IGM_MEMORY_BCELL_VS_BM_PLASMA_CELL_UP</t>
  </si>
  <si>
    <t>3921;6136;6224;6154;6155;6201;6235;6147;9349;6234;6170;6160;1915</t>
  </si>
  <si>
    <t>RPSA;RPL12;RPS20;RPL26;RPL27;RPS7;RPS29;RPL23A;RPL23;RPS28;RPL39;RPL31;EEF1A1</t>
  </si>
  <si>
    <t>GSE22886_DAY0_VS_DAY1_MONOCYTE_IN_CULTURE_UP</t>
  </si>
  <si>
    <t>6181;6165;6124;23521;6193;6159;6154;6155;6202;6222;6235;6191;6156</t>
  </si>
  <si>
    <t>RPLP2;RPL35A;RPL4;RPL13A;RPS5;RPL29;RPL26;RPL27;RPS8;RPS18;RPS29;RPS4X;RPL30</t>
  </si>
  <si>
    <t>GSE29618_MONOCYTE_VS_MDC_DAY7_FLU_VACCINE_DN</t>
  </si>
  <si>
    <t>6175;3921;6133;2197;6124;11224;6193;6204;6224;6228;6194;6143;25873</t>
  </si>
  <si>
    <t>RPLP0;RPSA;RPL9;FAU;RPL4;RPL35;RPS5;RPS10;RPS20;RPS23;RPS6;RPL19;RPL36</t>
  </si>
  <si>
    <t>GSE3982_EFF_MEMORY_CD4_TCELL_VS_NKCELL_UP</t>
  </si>
  <si>
    <t>7178;1350;1933;6133;6124;6122;9045;6155;6168;6130;6147;6170;1915</t>
  </si>
  <si>
    <t>TPT1;COX7C;EEF1B2;RPL9;RPL4;RPL3;RPL14;RPL27;RPL37A;RPL7A;RPL23A;RPL39;EEF1A1</t>
  </si>
  <si>
    <t>GSE9960_HEALTHY_VS_GRAM_POS_SEPSIS_PBMC_UP</t>
  </si>
  <si>
    <t>51499;8636;1936;140823;6154;6138;6202;6194;6230;6171;10399;59286;55651</t>
  </si>
  <si>
    <t>TRIAP1;SSNA1;EEF1D;ROMO1;RPL26;RPL15;RPS8;RPS6;RPS25;RPL41;RACK1;UBL5;NHP2</t>
  </si>
  <si>
    <t>GSE42088_2H_VS_24H_LEISHMANIA_INF_DC_UP</t>
  </si>
  <si>
    <t>6203;3646;6155;6210;6235;6207;6234;6160;6171;10399;6173;192286;54539</t>
  </si>
  <si>
    <t>RPS9;EIF3E;RPL27;RPS15A;RPS29;RPS13;RPS28;RPL31;RPL41;RACK1;RPL36A;HIGD2A;NDUFB11</t>
  </si>
  <si>
    <t>GSE3565_CTRL_VS_LPS_INJECTED_SPLENOCYTES_DN</t>
  </si>
  <si>
    <t>8666;6176;6175;6188;1933;6137;6204;6159;6132;10399;6141;25873</t>
  </si>
  <si>
    <t>EIF3G;RPLP1;RPLP0;RPS3;EEF1B2;RPL13;RPS10;RPL29;RPL8;RACK1;RPL18;RPL36</t>
  </si>
  <si>
    <t>GSE37605_TREG_VS_TCONV_C57BL6_FOXP3_IRES_GFP_DN</t>
  </si>
  <si>
    <t>8667;6181;6165;6122;6203;6170;6169;3476;55850;8409;25873</t>
  </si>
  <si>
    <t>EIF3H;RPLP2;RPL35A;RPL3;RPS9;RPL39;RPL38;IGBP1;USE1;UXT;RPL36</t>
  </si>
  <si>
    <t>GSE13411_PLASMA_CELL_VS_MEMORY_BCELL_DN</t>
  </si>
  <si>
    <t>6206;6134;6232;6204;6164;6222;6147;6160;6161;6171;5204;55850</t>
  </si>
  <si>
    <t>RPS12;RPL10;RPS27;RPS10;RPL34;RPS18;RPL23A;RPL31;RPL32;RPL41;PFDN5;USE1</t>
  </si>
  <si>
    <t>GSE17721_PAM3CSK4_VS_CPG_12H_BMDC_UP</t>
  </si>
  <si>
    <t>51499;10245;353;23521;6155;6168;6130;5436;6160;125988;126328;28974</t>
  </si>
  <si>
    <t>TRIAP1;TIMM17B;APRT;RPL13A;RPL27;RPL37A;RPL7A;POLR2G;RPL31;MICOS13;NDUFA11;C19orf53</t>
  </si>
  <si>
    <t>GSE22886_CTRL_VS_LPS_24H_DC_UP</t>
  </si>
  <si>
    <t>6181;1350;1933;6189;6155;6202;6208;6222;6207;6156;6170;3028</t>
  </si>
  <si>
    <t>RPLP2;COX7C;EEF1B2;RPS3A;RPL27;RPS8;RPS14;RPS18;RPS13;RPL30;RPL39;HSD17B10</t>
  </si>
  <si>
    <t>GSE22886_NAIVE_CD4_TCELL_VS_48H_ACT_TH2_UP</t>
  </si>
  <si>
    <t>6181;2197;6122;6203;6159;6194;6234;6156;4736;6161;6132;6173</t>
  </si>
  <si>
    <t>RPLP2;FAU;RPL3;RPS9;RPL29;RPS6;RPS28;RPL30;RPL10A;RPL32;RPL8;RPL36A</t>
  </si>
  <si>
    <t>GSE36392_TYPE_2_MYELOID_VS_EOSINOPHIL_IL25_TREATED_LUNG_UP</t>
  </si>
  <si>
    <t>353;6137;6124;23521;6164;9045;3646;6155;6222;6191;6227;54539</t>
  </si>
  <si>
    <t>APRT;RPL13;RPL4;RPL13A;RPL34;RPL14;EIF3E;RPL27;RPS18;RPS4X;RPS21;NDUFB11</t>
  </si>
  <si>
    <t>GSE3982_EOSINOPHIL_VS_BASOPHIL_DN</t>
  </si>
  <si>
    <t>1350;6137;23521;6164;521;3646;6154;6167;6191;6194;64981;25873</t>
  </si>
  <si>
    <t>COX7C;RPL13;RPL13A;RPL34;ATP5ME;EIF3E;RPL26;RPL37;RPS4X;RPS6;MRPL34;RPL36</t>
  </si>
  <si>
    <t>GSE3982_EOSINOPHIL_VS_CENT_MEMORY_CD4_TCELL_DN</t>
  </si>
  <si>
    <t>51499;6218;1327;6129;23521;6154;6227;10399;11137;64981;192286;25873</t>
  </si>
  <si>
    <t>TRIAP1;RPS17;COX4I1;RPL7;RPL13A;RPL26;RPS21;RACK1;PWP1;MRPL34;HIGD2A;RPL36</t>
  </si>
  <si>
    <t>GSE369_PRE_VS_POST_IL6_INJECTION_SOCS3_KO_LIVER_UP</t>
  </si>
  <si>
    <t>6129;6133;6223;6210;6235;6205;6147;9349;6230;6160;6227;6152</t>
  </si>
  <si>
    <t>RPL7;RPL9;RPS19;RPS15A;RPS29;RPS11;RPL23A;RPL23;RPS25;RPL31;RPS21;RPL24</t>
  </si>
  <si>
    <t>GSE2770_TGFB_AND_IL4_VS_IL12_TREATED_ACT_CD4_TCELL_2H_UP</t>
  </si>
  <si>
    <t>1350;6165;1933;6136;6122;23521;6159;6138;6210;6130;6161;6143</t>
  </si>
  <si>
    <t>COX7C;RPL35A;EEF1B2;RPL12;RPL3;RPL13A;RPL29;RPL15;RPS15A;RPL7A;RPL32;RPL19</t>
  </si>
  <si>
    <t>GSE16385_IL4_VS_ROSIGLITAZONE_STIM_MACROPHAGE_UP</t>
  </si>
  <si>
    <t>6176;6181;6188;1933;6155;6208;6207;5436;6191;6160;6132;55850</t>
  </si>
  <si>
    <t>RPLP1;RPLP2;RPS3;EEF1B2;RPL27;RPS14;RPS13;POLR2G;RPS4X;RPL31;RPL8;USE1</t>
  </si>
  <si>
    <t>GSE26030_TH1_VS_TH17_RESTIMULATED_DAY5_POST_POLARIZATION_UP</t>
  </si>
  <si>
    <t>8625;10975;4695;2197;11224;6210;6171;6169;10244;126328;5204;64981</t>
  </si>
  <si>
    <t>RFXANK;UQCR11;NDUFA2;FAU;RPL35;RPS15A;RPL41;RPL38;RABEPK;NDUFA11;PFDN5;MRPL34</t>
  </si>
  <si>
    <t>GSE32034_UNTREATED_VS_ROSIGLIZATONE_TREATED_LY6C_HIGH_MONOCYTE_DN</t>
  </si>
  <si>
    <t>23521;6158;9045;6189;6201;6228;6222;6194;6156;6152;192286;55850</t>
  </si>
  <si>
    <t>RPL13A;RPL28;RPL14;RPS3A;RPS7;RPS23;RPS18;RPS6;RPL30;RPL24;HIGD2A;USE1</t>
  </si>
  <si>
    <t>GSE46606_IRF4HIGH_VS_IRF4MID_CD40L_IL2_IL5_DAY3_STIMULATED_BCELL_UP</t>
  </si>
  <si>
    <t>4706;51499;6124;23521;6193;6155;6168;6147;10399;11137;84266;51504</t>
  </si>
  <si>
    <t>NDUFAB1;TRIAP1;RPL4;RPL13A;RPS5;RPL27;RPL37A;RPL23A;RACK1;PWP1;ALKBH7;TRMT112</t>
  </si>
  <si>
    <t>GSE41176_UNSTIM_VS_ANTI_IGM_STIM_BCELL_1H_DN</t>
  </si>
  <si>
    <t>8625;1327;6165;6134;6159;6164;6155;6235;6205;6171;6173;6141</t>
  </si>
  <si>
    <t>RFXANK;COX4I1;RPL35A;RPL10;RPL29;RPL34;RPL27;RPS29;RPS11;RPL41;RPL36A;RPL18</t>
  </si>
  <si>
    <t>KAECH_DAY15_EFF_VS_MEMORY_CD8_TCELL_DN</t>
  </si>
  <si>
    <t>8815;3921;6188;6134;6193;9045;6194;3476;11137;3028;51398</t>
  </si>
  <si>
    <t>BANF1;RPSA;RPS3;RPL10;RPS5;RPL14;RPS6;IGBP1;PWP1;HSD17B10;WDR83OS</t>
  </si>
  <si>
    <t>GSE11864_UNTREATED_VS_CSF1_IN_MAC_UP</t>
  </si>
  <si>
    <t>374291;7178;6188;6136;11224;6203;6168;6194;6234;6173;6143</t>
  </si>
  <si>
    <t>NDUFS7;TPT1;RPS3;RPL12;RPL35;RPS9;RPL37A;RPS6;RPS28;RPL36A;RPL19</t>
  </si>
  <si>
    <t>GSE13485_CTRL_VS_DAY7_YF17D_VACCINE_PBMC_UP</t>
  </si>
  <si>
    <t>8667;6181;1327;6129;1933;6134;6124;6122;6125;6202;6194</t>
  </si>
  <si>
    <t>EIF3H;RPLP2;COX4I1;RPL7;EEF1B2;RPL10;RPL4;RPL3;RPL5;RPS8;RPS6</t>
  </si>
  <si>
    <t>GSE17721_CTRL_VS_POLYIC_8H_BMDC_UP</t>
  </si>
  <si>
    <t>4706;6176;6136;2197;6210;6156;126328;90480;29100;55651;51079</t>
  </si>
  <si>
    <t>NDUFAB1;RPLP1;RPL12;FAU;RPS15A;RPL30;NDUFA11;GADD45GIP1;TMEM208;NHP2;NDUFA13</t>
  </si>
  <si>
    <t>GSE22886_NAIVE_CD4_TCELL_VS_DC_UP</t>
  </si>
  <si>
    <t>8667;8721;6165;6188;3646;6155;6209;6230;55850;29080;8409</t>
  </si>
  <si>
    <t>EIF3H;EDF1;RPL35A;RPS3;EIF3E;RPL27;RPS15;RPS25;USE1;CCDC59;UXT</t>
  </si>
  <si>
    <t>GSE24634_NAIVE_CD4_TCELL_VS_DAY5_IL4_CONV_TREG_UP</t>
  </si>
  <si>
    <t>10084;1327;6165;6158;6204;6159;6164;6208;6161;6143;55850</t>
  </si>
  <si>
    <t>PQBP1;COX4I1;RPL35A;RPL28;RPS10;RPL29;RPL34;RPS14;RPL32;RPL19;USE1</t>
  </si>
  <si>
    <t>GSE3982_CENT_MEMORY_CD4_TCELL_VS_NKCELL_UP</t>
  </si>
  <si>
    <t>1933;6136;6124;6125;6155;6130;6234;6156;4736;6161;6152</t>
  </si>
  <si>
    <t>EEF1B2;RPL12;RPL4;RPL5;RPL27;RPL7A;RPS28;RPL30;RPL10A;RPL32;RPL24</t>
  </si>
  <si>
    <t>GSE2770_IL12_VS_TGFB_AND_IL12_TREATED_ACT_CD4_TCELL_6H_DN</t>
  </si>
  <si>
    <t>10084;8666;353;6129;6206;6133;6158;6203;9045;6147;6141</t>
  </si>
  <si>
    <t>PQBP1;EIF3G;APRT;RPL7;RPS12;RPL9;RPL28;RPS9;RPL14;RPL23A;RPL18</t>
  </si>
  <si>
    <t>GSE16266_CTRL_VS_HEATSHOCK_AND_LPS_STIM_MEF_UP</t>
  </si>
  <si>
    <t>10975;4694;4695;10245;1337;1327;4713;1936;521;9349;126328</t>
  </si>
  <si>
    <t>UQCR11;NDUFA1;NDUFA2;TIMM17B;COX6A1;COX4I1;NDUFB7;EEF1D;ATP5ME;RPL23;NDUFA11</t>
  </si>
  <si>
    <t>GSE25088_WT_VS_STAT6_KO_MACROPHAGE_UP</t>
  </si>
  <si>
    <t>6175;1327;6206;6124;6204;6228;6207;4736;6171;10399;192286</t>
  </si>
  <si>
    <t>RPLP0;COX4I1;RPS12;RPL4;RPS10;RPS23;RPS13;RPL10A;RPL41;RACK1;HIGD2A</t>
  </si>
  <si>
    <t>GSE25085_FETAL_LIVER_VS_ADULT_BM_SP4_THYMIC_IMPLANT_UP</t>
  </si>
  <si>
    <t>6176;6129;6193;6164;6202;6222;6171;10399;125988;5204;54539</t>
  </si>
  <si>
    <t>RPLP1;RPL7;RPS5;RPL34;RPS8;RPS18;RPL41;RACK1;MICOS13;PFDN5;NDUFB11</t>
  </si>
  <si>
    <t>GSE23398_WT_VS_IL2_KO_CD4_TCELL_SCURFY_MOUSE_DN</t>
  </si>
  <si>
    <t>8667;6175;1327;6129;6124;23521;6203;6164;6189;6210;54539</t>
  </si>
  <si>
    <t>EIF3H;RPLP0;COX4I1;RPL7;RPL4;RPL13A;RPS9;RPL34;RPS3A;RPS15A;NDUFB11</t>
  </si>
  <si>
    <t>GSE39864_WT_VS_GATA3_KO_TREG_DN</t>
  </si>
  <si>
    <t>27089;10975;2197;140823;6222;6130;3476;192286;54539;55850;51079</t>
  </si>
  <si>
    <t>UQCRQ;UQCR11;FAU;ROMO1;RPS18;RPL7A;IGBP1;HIGD2A;NDUFB11;USE1;NDUFA13</t>
  </si>
  <si>
    <t>GSE6259_FLT3L_INDUCED_33D1_POS_DC_VS_CD4_TCELL_DN</t>
  </si>
  <si>
    <t>8721;3921;6136;6223;6224;6154;6205;6209;93343;55651</t>
  </si>
  <si>
    <t>EDF1;RPSA;RPL12;RPS19;RPS20;RPL26;RPS11;RPS15;MVB12A;NHP2</t>
  </si>
  <si>
    <t>GSE3565_DUSP1_VS_WT_SPLENOCYTES_DN</t>
  </si>
  <si>
    <t>6175;6188;1933;6223;6204;6160;6132;6173;6141;25873</t>
  </si>
  <si>
    <t>RPLP0;RPS3;EEF1B2;RPS19;RPS10;RPL31;RPL8;RPL36A;RPL18;RPL36</t>
  </si>
  <si>
    <t>GSE40685_NAIVE_CD4_TCELL_VS_TREG_UP</t>
  </si>
  <si>
    <t>6181;6175;6218;11224;6193;6154;6207;6130;6147;6173</t>
  </si>
  <si>
    <t>RPLP2;RPLP0;RPS17;RPL35;RPS5;RPL26;RPS13;RPL7A;RPL23A;RPL36A</t>
  </si>
  <si>
    <t>GSE20727_DNFB_ALLERGEN_VS_ROS_INH_AND_DNFB_ALLERGEN_TREATED_DC_UP</t>
  </si>
  <si>
    <t>6181;6165;1936;6232;11224;6125;6202;6208;6222;6194</t>
  </si>
  <si>
    <t>RPLP2;RPL35A;EEF1D;RPS27;RPL35;RPL5;RPS8;RPS14;RPS18;RPS6</t>
  </si>
  <si>
    <t>KAECH_NAIVE_VS_DAY8_EFF_CD8_TCELL_UP</t>
  </si>
  <si>
    <t>6188;6134;6223;6125;9045;6189;6202;6191;6194;10399</t>
  </si>
  <si>
    <t>RPS3;RPL10;RPS19;RPL5;RPL14;RPS3A;RPS8;RPS4X;RPS6;RACK1</t>
  </si>
  <si>
    <t>GOLDRATH_EFF_VS_MEMORY_CD8_TCELL_DN</t>
  </si>
  <si>
    <t>6176;6175;6223;9045;6201;6202;6228;6222;6170;6143</t>
  </si>
  <si>
    <t>RPLP1;RPLP0;RPS19;RPL14;RPS7;RPS8;RPS23;RPS18;RPL39;RPL19</t>
  </si>
  <si>
    <t>GSE17721_CTRL_VS_GARDIQUIMOD_12H_BMDC_UP</t>
  </si>
  <si>
    <t>4706;4695;353;1933;1936;6158;6193;6171;79036;51079</t>
  </si>
  <si>
    <t>NDUFAB1;NDUFA2;APRT;EEF1B2;EEF1D;RPL28;RPS5;RPL41;KXD1;NDUFA13</t>
  </si>
  <si>
    <t>GSE17721_CPG_VS_GARDIQUIMOD_0.5H_BMDC_UP</t>
  </si>
  <si>
    <t>27089;10975;6193;6154;6168;6208;6147;6230;6171;5204</t>
  </si>
  <si>
    <t>UQCRQ;UQCR11;RPS5;RPL26;RPL37A;RPS14;RPL23A;RPS25;RPL41;PFDN5</t>
  </si>
  <si>
    <t>GSE17721_PAM3CSK4_VS_GADIQUIMOD_24H_BMDC_UP</t>
  </si>
  <si>
    <t>6176;1936;6203;6154;6130;6191;9349;6227;126328;59286</t>
  </si>
  <si>
    <t>RPLP1;EEF1D;RPS9;RPL26;RPL7A;RPS4X;RPL23;RPS21;NDUFA11;UBL5</t>
  </si>
  <si>
    <t>GSE17721_0.5H_VS_12H_LPS_BMDC_UP</t>
  </si>
  <si>
    <t>4706;1933;6137;11224;6158;6143;93436;90480;192286;55651</t>
  </si>
  <si>
    <t>NDUFAB1;EEF1B2;RPL13;RPL35;RPL28;RPL19;ARMC6;GADD45GIP1;HIGD2A;NHP2</t>
  </si>
  <si>
    <t>GSE17721_0.5H_VS_8H_LPS_BMDC_UP</t>
  </si>
  <si>
    <t>6188;6136;23521;6169;93436;90480;64981;79036;192286;28974</t>
  </si>
  <si>
    <t>RPS3;RPL12;RPL13A;RPL38;ARMC6;GADD45GIP1;MRPL34;KXD1;HIGD2A;C19orf53</t>
  </si>
  <si>
    <t>GSE17721_0.5H_VS_24H_LPS_BMDC_UP</t>
  </si>
  <si>
    <t>4706;1933;521;6208;6160;93436;90480;79036;192286;8409</t>
  </si>
  <si>
    <t>NDUFAB1;EEF1B2;ATP5ME;RPS14;RPL31;ARMC6;GADD45GIP1;KXD1;HIGD2A;UXT</t>
  </si>
  <si>
    <t>GSE22886_IGM_MEMORY_BCELL_VS_BLOOD_PLASMA_CELL_UP</t>
  </si>
  <si>
    <t>6206;23521;6224;6154;6155;6228;6156;6170;6161;5204</t>
  </si>
  <si>
    <t>RPS12;RPL13A;RPS20;RPL26;RPL27;RPS23;RPL30;RPL39;RPL32;PFDN5</t>
  </si>
  <si>
    <t>GSE27786_LSK_VS_CD8_TCELL_DN</t>
  </si>
  <si>
    <t>8721;1327;6164;3646;9349;6156;6160;79002;51079;51184</t>
  </si>
  <si>
    <t>EDF1;COX4I1;RPL34;EIF3E;RPL23;RPL30;RPL31;TRIR;NDUFA13;GPN3</t>
  </si>
  <si>
    <t>GSE339_CD4POS_VS_CD8POS_DC_IN_CULTURE_DN</t>
  </si>
  <si>
    <t>23521;6158;6167;6222;10399;6141;116541;192286;54539;55651</t>
  </si>
  <si>
    <t>RPL13A;RPL28;RPL37;RPS18;RACK1;RPL18;MRPL54;HIGD2A;NDUFB11;NHP2</t>
  </si>
  <si>
    <t>GSE3982_EOSINOPHIL_VS_BCELL_DN</t>
  </si>
  <si>
    <t>4706;6129;6124;6193;6167;6130;6191;6194;6227;11137</t>
  </si>
  <si>
    <t>NDUFAB1;RPL7;RPL4;RPS5;RPL37;RPL7A;RPS4X;RPS6;RPS21;PWP1</t>
  </si>
  <si>
    <t>GSE3982_NEUTROPHIL_VS_EFF_MEMORY_CD4_TCELL_DN</t>
  </si>
  <si>
    <t>4706;8815;6165;1936;23521;6189;5436;5901;1915;51184</t>
  </si>
  <si>
    <t>NDUFAB1;BANF1;RPL35A;EEF1D;RPL13A;RPS3A;POLR2G;RAN;EEF1A1;GPN3</t>
  </si>
  <si>
    <t>GSE5960_TH1_VS_ANERGIC_TH1_UP</t>
  </si>
  <si>
    <t>11316;4695;3921;6136;9045;6202;6230;6173;6141;55651</t>
  </si>
  <si>
    <t>COPE;NDUFA2;RPSA;RPL12;RPL14;RPS8;RPS25;RPL36A;RPL18;NHP2</t>
  </si>
  <si>
    <t>GSE9006_TYPE_1_DIABETES_AT_DX_VS_1MONTH_POST_DX_PBMC_DN</t>
  </si>
  <si>
    <t>1327;6136;9045;6138;6210;6130;3476;6143;10244;5204</t>
  </si>
  <si>
    <t>COX4I1;RPL12;RPL14;RPL15;RPS15A;RPL7A;IGBP1;RPL19;RABEPK;PFDN5</t>
  </si>
  <si>
    <t>GSE2585_THYMIC_DC_VS_THYMIC_MACROPHAGE_DN</t>
  </si>
  <si>
    <t>6218;6136;11224;6189;5436;6171;3476;6141;5204;192286</t>
  </si>
  <si>
    <t>RPS17;RPL12;RPL35;RPS3A;POLR2G;RPL41;IGBP1;RPL18;PFDN5;HIGD2A</t>
  </si>
  <si>
    <t>GSE5099_MONOCYTE_VS_CLASSICAL_M1_MACROPHAGE_DN</t>
  </si>
  <si>
    <t>1337;6124;6125;6202;6130;6191;10399;6152;79036;192286</t>
  </si>
  <si>
    <t>COX6A1;RPL4;RPL5;RPS8;RPL7A;RPS4X;RACK1;RPL24;KXD1;HIGD2A</t>
  </si>
  <si>
    <t>GSE16266_CTRL_VS_HEATSHOCK_AND_LPS_STIM_MEF_DN</t>
  </si>
  <si>
    <t>6176;353;1337;4713;6158;6141;84274;124446;126328;25873</t>
  </si>
  <si>
    <t>RPLP1;APRT;COX6A1;NDUFB7;RPL28;RPL18;COQ5;TMEM219;NDUFA11;RPL36</t>
  </si>
  <si>
    <t>GSE22103_UNSTIM_VS_GMCSF_AND_IFNG_STIM_NEUTROPHIL_DN</t>
  </si>
  <si>
    <t>11316;27089;10975;374291;2197;11224;6155;6168;51398;25873</t>
  </si>
  <si>
    <t>COPE;UQCRQ;UQCR11;NDUFS7;FAU;RPL35;RPL27;RPL37A;WDR83OS;RPL36</t>
  </si>
  <si>
    <t>GSE25123_CTRL_VS_IL4_STIM_MACROPHAGE_DN</t>
  </si>
  <si>
    <t>8667;6181;3921;1327;1933;6206;6203;3646;6173;25873</t>
  </si>
  <si>
    <t>EIF3H;RPLP2;RPSA;COX4I1;EEF1B2;RPS12;RPS9;EIF3E;RPL36A;RPL36</t>
  </si>
  <si>
    <t>GSE23568_CTRL_VS_ID3_TRANSDUCED_CD8_TCELL_DN</t>
  </si>
  <si>
    <t>4706;27089;4695;353;140823;116541;64981;59286;28974;54555</t>
  </si>
  <si>
    <t>NDUFAB1;UQCRQ;NDUFA2;APRT;ROMO1;MRPL54;MRPL34;UBL5;C19orf53;DDX49</t>
  </si>
  <si>
    <t>GSE37301_GRANULOCYTE_MONOCYTE_PROGENITOR_VS_RAG2_KO_NK_CELL_DN</t>
  </si>
  <si>
    <t>6223;6193;6164;6147;5901;6230;6171;6141;79002;51693</t>
  </si>
  <si>
    <t>RPS19;RPS5;RPL34;RPL23A;RAN;RPS25;RPL41;RPL18;TRIR;TRAPPC2L</t>
  </si>
  <si>
    <t>GSE32034_LY6C_HIGH_VS_LOW_ROSIGLIZATONE_TREATED_MONOCYTE_UP</t>
  </si>
  <si>
    <t>4695;6176;6223;23521;6193;6204;6228;6222;6147;55850</t>
  </si>
  <si>
    <t>NDUFA2;RPLP1;RPS19;RPL13A;RPS5;RPS10;RPS23;RPS18;RPL23A;USE1</t>
  </si>
  <si>
    <t>GSE39110_DAY3_VS_DAY6_POST_IMMUNIZATION_CD8_TCELL_UP</t>
  </si>
  <si>
    <t>6136;6193;9045;6168;6201;6210;6205;6169;6143;51504</t>
  </si>
  <si>
    <t>RPL12;RPS5;RPL14;RPL37A;RPS7;RPS15A;RPS11;RPL38;RPL19;TRMT112</t>
  </si>
  <si>
    <t>GSE46606_IRF4HIGH_VS_WT_CD40L_IL2_IL5_DAY3_STIMULATED_BCELL_UP</t>
  </si>
  <si>
    <t>6129;6188;6124;6223;6157;3646;6168;6201;6147;79036</t>
  </si>
  <si>
    <t>RPL7;RPS3;RPL4;RPS19;RPL27A;EIF3E;RPL37A;RPS7;RPL23A;KXD1</t>
  </si>
  <si>
    <t>GSE46606_IRF4_KO_VS_WT_UNSTIM_BCELL_UP</t>
  </si>
  <si>
    <t>8667;6223;6122;6189;6205;6147;6160;6142;6141;79036</t>
  </si>
  <si>
    <t>EIF3H;RPS19;RPL3;RPS3A;RPS11;RPL23A;RPL31;RPL18A;RPL18;KXD1</t>
  </si>
  <si>
    <t>GSE8685_IL15_ACT_IL2_STARVED_VS_IL21_ACT_IL2_STARVED_CD4_TCELL_DN</t>
  </si>
  <si>
    <t>3921;6188;1933;6136;6193;6208;6161;6143;11137</t>
  </si>
  <si>
    <t>RPSA;RPS3;EEF1B2;RPL12;RPS5;RPS14;RPL32;RPL19;PWP1</t>
  </si>
  <si>
    <t>GSE21033_1H_VS_24H_POLYIC_STIM_DC_DN</t>
  </si>
  <si>
    <t>8667;6134;1936;6136;6159;3646;6138;6160;192286</t>
  </si>
  <si>
    <t>EIF3H;RPL10;EEF1D;RPL12;RPL29;EIF3E;RPL15;RPL31;HIGD2A</t>
  </si>
  <si>
    <t>GSE1925_CTRL_VS_IFNG_PRIMED_MACROPHAGE_3H_IFNG_STIM_UP</t>
  </si>
  <si>
    <t>6175;6188;6136;6122;6193;6156;10399;3028;25873</t>
  </si>
  <si>
    <t>RPLP0;RPS3;RPL12;RPL3;RPS5;RPL30;RACK1;HSD17B10;RPL36</t>
  </si>
  <si>
    <t>GSE14413_UNSTIM_VS_IFNB_STIM_NIH3T3_CELLS_UP</t>
  </si>
  <si>
    <t>6137;6159;6168;6167;6230;6233;5204;25873</t>
  </si>
  <si>
    <t>RPL13;RPL29;RPL37A;RPL37;RPS25;RPS27A;PFDN5;RPL36</t>
  </si>
  <si>
    <t>GSE32986_GMCSF_VS_GMCSF_AND_CURDLAN_LOWDOSE_STIM_DC_DN</t>
  </si>
  <si>
    <t>6133;6125;6164;6224;6189;6168;6202;6156;6233</t>
  </si>
  <si>
    <t>RPL9;RPL5;RPL34;RPS20;RPS3A;RPL37A;RPS8;RPL30;RPS27A</t>
  </si>
  <si>
    <t>GSE10325_CD4_TCELL_VS_LUPUS_CD4_TCELL_UP</t>
  </si>
  <si>
    <t>8667;6188;1933;6193;3646;4736;6141;5204;8409</t>
  </si>
  <si>
    <t>EIF3H;RPS3;EEF1B2;RPS5;EIF3E;RPL10A;RPL18;PFDN5;UXT</t>
  </si>
  <si>
    <t>GSE12366_PLASMA_CELL_VS_NAIVE_BCELL_DN</t>
  </si>
  <si>
    <t>8815;6129;6158;6189;6147;6233;6169;1915;25873</t>
  </si>
  <si>
    <t>BANF1;RPL7;RPL28;RPS3A;RPL23A;RPS27A;RPL38;EEF1A1;RPL36</t>
  </si>
  <si>
    <t>GSE14000_UNSTIM_VS_16H_LPS_DC_UP</t>
  </si>
  <si>
    <t>1350;23521;6157;6159;6207;6130;6143;51693;51121</t>
  </si>
  <si>
    <t>COX7C;RPL13A;RPL27A;RPL29;RPS13;RPL7A;RPL19;TRAPPC2L;RPL26L1</t>
  </si>
  <si>
    <t>GSE1460_CD4_THYMOCYTE_VS_NAIVE_CD4_TCELL_ADULT_BLOOD_DN</t>
  </si>
  <si>
    <t>8666;6134;2197;6157;6203;6194;6161;6171;6143</t>
  </si>
  <si>
    <t>EIF3G;RPL10;FAU;RPL27A;RPS9;RPS6;RPL32;RPL41;RPL19</t>
  </si>
  <si>
    <t>GSE17721_CTRL_VS_LPS_0.5H_BMDC_DN</t>
  </si>
  <si>
    <t>8625;6181;6175;4713;6170;79023;59286;54539;51398</t>
  </si>
  <si>
    <t>RFXANK;RPLP2;RPLP0;NDUFB7;RPL39;NUP37;UBL5;NDUFB11;WDR83OS</t>
  </si>
  <si>
    <t>GSE17721_PAM3CSK4_VS_CPG_0.5H_BMDC_DN</t>
  </si>
  <si>
    <t>8636;6175;6193;746;6168;6208;6230;6171;5204</t>
  </si>
  <si>
    <t>SSNA1;RPLP0;RPS5;TMEM258;RPL37A;RPS14;RPS25;RPL41;PFDN5</t>
  </si>
  <si>
    <t>GSE17721_LPS_VS_PAM3CSK4_8H_BMDC_DN</t>
  </si>
  <si>
    <t>8667;1936;6125;6204;9045;6168;10399;11137;125988</t>
  </si>
  <si>
    <t>EIF3H;EEF1D;RPL5;RPS10;RPL14;RPL37A;RACK1;PWP1;MICOS13</t>
  </si>
  <si>
    <t>GSE17721_POLYIC_VS_CPG_4H_BMDC_UP</t>
  </si>
  <si>
    <t>3921;2197;6158;6168;6205;6194;6169;6227;10399</t>
  </si>
  <si>
    <t>RPSA;FAU;RPL28;RPL37A;RPS11;RPS6;RPL38;RPS21;RACK1</t>
  </si>
  <si>
    <t>GSE22886_NAIVE_BCELL_VS_BM_PLASMA_CELL_UP</t>
  </si>
  <si>
    <t>6232;6155;6168;6228;6235;6194;6171;6169;79023</t>
  </si>
  <si>
    <t>RPS27;RPL27;RPL37A;RPS23;RPS29;RPS6;RPL41;RPL38;NUP37</t>
  </si>
  <si>
    <t>GSE22886_NAIVE_TCELL_VS_NEUTROPHIL_UP</t>
  </si>
  <si>
    <t>4706;8815;6165;6154;5901;6230;11137;29080;8409</t>
  </si>
  <si>
    <t>NDUFAB1;BANF1;RPL35A;RPL26;RAN;RPS25;PWP1;CCDC59;UXT</t>
  </si>
  <si>
    <t>GSE22886_NAIVE_CD4_TCELL_VS_48H_ACT_TH1_UP</t>
  </si>
  <si>
    <t>6176;2197;6232;6203;6224;6194;6229;6156;6161</t>
  </si>
  <si>
    <t>RPLP1;FAU;RPS27;RPS9;RPS20;RPS6;RPS24;RPL30;RPL32</t>
  </si>
  <si>
    <t>GSE27786_NEUTROPHIL_VS_MONO_MAC_DN</t>
  </si>
  <si>
    <t>6181;6134;1936;11224;6158;6154;6201;6202;6142</t>
  </si>
  <si>
    <t>RPLP2;RPL10;EEF1D;RPL35;RPL28;RPL26;RPS7;RPS8;RPL18A</t>
  </si>
  <si>
    <t>GSE29618_BCELL_VS_MONOCYTE_UP</t>
  </si>
  <si>
    <t>6175;3921;6206;6193;6224;6228;6194;6233;11137</t>
  </si>
  <si>
    <t>RPLP0;RPSA;RPS12;RPS5;RPS20;RPS23;RPS6;RPS27A;PWP1</t>
  </si>
  <si>
    <t>GSE3982_MAC_VS_NEUTROPHIL_LPS_STIM_UP</t>
  </si>
  <si>
    <t>4694;8666;6181;6232;6138;6207;6234;10399;59286</t>
  </si>
  <si>
    <t>NDUFA1;EIF3G;RPLP2;RPS27;RPL15;RPS13;RPS28;RACK1;UBL5</t>
  </si>
  <si>
    <t>GSE3982_EOSINOPHIL_VS_MAST_CELL_DN</t>
  </si>
  <si>
    <t>51499;6124;6154;6207;6191;5901;64981;55651;25873</t>
  </si>
  <si>
    <t>TRIAP1;RPL4;RPL26;RPS13;RPS4X;RAN;MRPL34;NHP2;RPL36</t>
  </si>
  <si>
    <t>GSE3982_DC_VS_NEUTROPHIL_UP</t>
  </si>
  <si>
    <t>51499;8815;1350;1933;6232;6125;5436;5901;79023</t>
  </si>
  <si>
    <t>TRIAP1;BANF1;COX7C;EEF1B2;RPS27;RPL5;POLR2G;RAN;NUP37</t>
  </si>
  <si>
    <t>GSE3982_MAC_VS_BCELL_DN</t>
  </si>
  <si>
    <t>3921;6206;1936;6136;6124;7334;6235;6170;6143</t>
  </si>
  <si>
    <t>RPSA;RPS12;EEF1D;RPL12;RPL4;UBE2N;RPS29;RPL39;RPL19</t>
  </si>
  <si>
    <t>GSE3982_MAC_VS_CENT_MEMORY_CD4_TCELL_DN</t>
  </si>
  <si>
    <t>6218;6165;6129;6206;2197;6124;7334;6194;25873</t>
  </si>
  <si>
    <t>RPS17;RPL35A;RPL7;RPS12;FAU;RPL4;UBE2N;RPS6;RPL36</t>
  </si>
  <si>
    <t>GSE18893_TCONV_VS_TREG_2H_CULTURE_UP</t>
  </si>
  <si>
    <t>10084;1327;6122;746;93436;5204;79036;84266;8409</t>
  </si>
  <si>
    <t>PQBP1;COX4I1;RPL3;TMEM258;ARMC6;PFDN5;KXD1;ALKBH7;UXT</t>
  </si>
  <si>
    <t>GSE25088_CTRL_VS_IL4_AND_ROSIGLITAZONE_STIM_STAT6_KO_MACROPHAGE_UP</t>
  </si>
  <si>
    <t>4694;6181;1933;6193;6164;6235;5436;6191;6132</t>
  </si>
  <si>
    <t>NDUFA1;RPLP2;EEF1B2;RPS5;RPL34;RPS29;POLR2G;RPS4X;RPL8</t>
  </si>
  <si>
    <t>GSE22443_IL2_VS_IL12_TREATED_ACT_CD8_TCELL_DN</t>
  </si>
  <si>
    <t>3921;6188;2197;6223;6138;6202;6210;6205;192286</t>
  </si>
  <si>
    <t>RPSA;RPS3;FAU;RPS19;RPL15;RPS8;RPS15A;RPS11;HIGD2A</t>
  </si>
  <si>
    <t>GSE28726_ACT_CD4_TCELL_VS_ACT_VA24NEG_NKTCELL_DN</t>
  </si>
  <si>
    <t>6232;6155;6210;6235;9349;6160;6161;6169;54555</t>
  </si>
  <si>
    <t>RPS27;RPL27;RPS15A;RPS29;RPL23;RPL31;RPL32;RPL38;DDX49</t>
  </si>
  <si>
    <t>GSE26030_TH1_VS_TH17_DAY15_POST_POLARIZATION_DN</t>
  </si>
  <si>
    <t>4694;353;3921;6158;6203;3646;6130;6152;6173</t>
  </si>
  <si>
    <t>NDUFA1;APRT;RPSA;RPL28;RPS9;EIF3E;RPL7A;RPL24;RPL36A</t>
  </si>
  <si>
    <t>GSE40068_BCL6_POS_VS_NEG_CXCR5_POS_TFH_DN</t>
  </si>
  <si>
    <t>6176;6181;6125;6193;6202;6208;6222;6235;6169</t>
  </si>
  <si>
    <t>RPLP1;RPLP2;RPL5;RPS5;RPS8;RPS14;RPS18;RPS29;RPL38</t>
  </si>
  <si>
    <t>GSE36826_NORMAL_VS_STAPH_AUREUS_INF_IL1R_KO_SKIN_DN</t>
  </si>
  <si>
    <t>6129;6188;2197;6203;6155;6228;6132;6171;3028</t>
  </si>
  <si>
    <t>RPL7;RPS3;FAU;RPS9;RPL27;RPS23;RPL8;RPL41;HSD17B10</t>
  </si>
  <si>
    <t>GSE41176_WT_VS_TAK1_KO_UNSTIM_BCELL_UP</t>
  </si>
  <si>
    <t>6176;6165;6137;6232;6208;6207;6156;6161;6152</t>
  </si>
  <si>
    <t>RPLP1;RPL35A;RPL13;RPS27;RPS14;RPS13;RPL30;RPL32;RPL24</t>
  </si>
  <si>
    <t>GSE45365_HEALTHY_VS_MCMV_INFECTION_CD8A_DC_IFNAR_KO_UP</t>
  </si>
  <si>
    <t>51499;3921;6134;6133;3646;6167;6202;9349;64981</t>
  </si>
  <si>
    <t>TRIAP1;RPSA;RPL10;RPL9;EIF3E;RPL37;RPS8;RPL23;MRPL34</t>
  </si>
  <si>
    <t>GSE37301_HEMATOPOIETIC_STEM_CELL_VS_PRO_BCELL_DN</t>
  </si>
  <si>
    <t>8667;1936;6159;6130;6191;6147;3476;54539</t>
  </si>
  <si>
    <t>EIF3H;EEF1D;RPL29;RPL7A;RPS4X;RPL23A;IGBP1;NDUFB11</t>
  </si>
  <si>
    <t>GSE24671_CTRL_VS_BAKIMULC_INFECTED_MOUSE_SPLENOCYTES_DN</t>
  </si>
  <si>
    <t>6176;6188;6137;6136;6193;6170;6161;25873</t>
  </si>
  <si>
    <t>RPLP1;RPS3;RPL13;RPL12;RPS5;RPL39;RPL32;RPL36</t>
  </si>
  <si>
    <t>GSE14415_INDUCED_TREG_VS_FOXP3_KO_INDUCED_TREG_UP</t>
  </si>
  <si>
    <t>6188;1933;6137;6204;3646;4736;6132;6173</t>
  </si>
  <si>
    <t>RPS3;EEF1B2;RPL13;RPS10;EIF3E;RPL10A;RPL8;RPL36A</t>
  </si>
  <si>
    <t>KAECH_NAIVE_VS_DAY15_EFF_CD8_TCELL_UP</t>
  </si>
  <si>
    <t>3921;6188;6134;6202;6194;10399;11137;3028</t>
  </si>
  <si>
    <t>RPSA;RPS3;RPL10;RPS8;RPS6;RACK1;PWP1;HSD17B10</t>
  </si>
  <si>
    <t>GSE10239_MEMORY_VS_KLRG1INT_EFF_CD8_TCELL_UP</t>
  </si>
  <si>
    <t>6129;6133;6157;6155;6201;6208;6173;6142</t>
  </si>
  <si>
    <t>RPL7;RPL9;RPL27A;RPL27;RPS7;RPS14;RPL36A;RPL18A</t>
  </si>
  <si>
    <t>GSE10325_LUPUS_BCELL_VS_LUPUS_MYELOID_UP</t>
  </si>
  <si>
    <t>3921;1933;11224;6193;4736;11137;8409;51504</t>
  </si>
  <si>
    <t>RPSA;EEF1B2;RPL35;RPS5;RPL10A;PWP1;UXT;TRMT112</t>
  </si>
  <si>
    <t>GSE13411_IGM_MEMORY_BCELL_VS_PLASMA_CELL_UP</t>
  </si>
  <si>
    <t>7178;6206;6134;6222;6205;6156;6171;5204</t>
  </si>
  <si>
    <t>TPT1;RPS12;RPL10;RPS18;RPS11;RPL30;RPL41;PFDN5</t>
  </si>
  <si>
    <t>GSE13484_UNSTIM_VS_12H_YF17D_VACCINE_STIM_PBMC_UP</t>
  </si>
  <si>
    <t>374291;8666;3921;1936;521;6205;6229;6230</t>
  </si>
  <si>
    <t>NDUFS7;EIF3G;RPSA;EEF1D;ATP5ME;RPS11;RPS24;RPS25</t>
  </si>
  <si>
    <t>GSE13485_DAY3_VS_DAY7_YF17D_VACCINE_PBMC_UP</t>
  </si>
  <si>
    <t>7178;6129;6133;6228;6205;6230;6234;55850</t>
  </si>
  <si>
    <t>TPT1;RPL7;RPL9;RPS23;RPS11;RPS25;RPS28;USE1</t>
  </si>
  <si>
    <t>GSE17721_POLYIC_VS_PAM3CSK4_16H_BMDC_DN</t>
  </si>
  <si>
    <t>10975;1936;6203;6154;6169;3028;54539;8409</t>
  </si>
  <si>
    <t>UQCR11;EEF1D;RPS9;RPL26;RPL38;HSD17B10;NDUFB11;UXT</t>
  </si>
  <si>
    <t>GSE17721_LPS_VS_PAM3CSK4_16H_BMDC_DN</t>
  </si>
  <si>
    <t>27089;8815;1337;1933;6122;6203;6204;6168</t>
  </si>
  <si>
    <t>UQCRQ;BANF1;COX6A1;EEF1B2;RPL3;RPS9;RPS10;RPL37A</t>
  </si>
  <si>
    <t>GSE17721_0.5H_VS_12H_CPG_BMDC_UP</t>
  </si>
  <si>
    <t>10975;353;1933;1936;6223;6168;6208;10399</t>
  </si>
  <si>
    <t>UQCR11;APRT;EEF1B2;EEF1D;RPS19;RPL37A;RPS14;RACK1</t>
  </si>
  <si>
    <t>GSE17721_0.5H_VS_24H_GARDIQUIMOD_BMDC_UP</t>
  </si>
  <si>
    <t>6181;1327;1933;6124;6194;79036;55651;8409</t>
  </si>
  <si>
    <t>RPLP2;COX4I1;EEF1B2;RPL4;RPS6;KXD1;NHP2;UXT</t>
  </si>
  <si>
    <t>GSE22886_UNSTIM_VS_STIM_MEMORY_TCELL_UP</t>
  </si>
  <si>
    <t>8667;6181;1936;2197;6203;7311;3476;8409</t>
  </si>
  <si>
    <t>EIF3H;RPLP2;EEF1D;FAU;RPS9;UBA52;IGBP1;UXT</t>
  </si>
  <si>
    <t>GSE22886_DC_VS_MONOCYTE_DN</t>
  </si>
  <si>
    <t>1936;2197;9045;6201;6194;6156;6233;55850</t>
  </si>
  <si>
    <t>EEF1D;FAU;RPL14;RPS7;RPS6;RPL30;RPS27A;USE1</t>
  </si>
  <si>
    <t>GSE24026_PD1_LIGATION_VS_CTRL_IN_ACT_TCELL_LINE_UP</t>
  </si>
  <si>
    <t>4694;1337;1349;1936;6201;6222;5204;25873</t>
  </si>
  <si>
    <t>NDUFA1;COX6A1;COX7B;EEF1D;RPS7;RPS18;PFDN5;RPL36</t>
  </si>
  <si>
    <t>GSE29618_MONOCYTE_VS_MDC_DN</t>
  </si>
  <si>
    <t>6175;3921;6133;6189;6228;6194;6233;6143</t>
  </si>
  <si>
    <t>RPLP0;RPSA;RPL9;RPS3A;RPS23;RPS6;RPS27A;RPL19</t>
  </si>
  <si>
    <t>GSE29618_BCELL_VS_MONOCYTE_DAY7_FLU_VACCINE_UP</t>
  </si>
  <si>
    <t>3921;6133;6193;6224;6228;6194;6230;11137</t>
  </si>
  <si>
    <t>RPSA;RPL9;RPS5;RPS20;RPS23;RPS6;RPS25;PWP1</t>
  </si>
  <si>
    <t>GSE360_CTRL_VS_M_TUBERCULOSIS_DC_UP</t>
  </si>
  <si>
    <t>8667;1350;1933;6122;6233;6173;79036;55651</t>
  </si>
  <si>
    <t>EIF3H;COX7C;EEF1B2;RPL3;RPS27A;RPL36A;KXD1;NHP2</t>
  </si>
  <si>
    <t>GSE360_L_MAJOR_VS_M_TUBERCULOSIS_DC_UP</t>
  </si>
  <si>
    <t>1327;1933;6164;6228;6191;6156;3476;6173</t>
  </si>
  <si>
    <t>COX4I1;EEF1B2;RPL34;RPS23;RPS4X;RPL30;IGBP1;RPL36A</t>
  </si>
  <si>
    <t>GSE36392_EOSINOPHIL_VS_NEUTROPHIL_IL25_TREATED_LUNG_DN</t>
  </si>
  <si>
    <t>4694;6122;6164;3646;6154;6155;6201;6171</t>
  </si>
  <si>
    <t>NDUFA1;RPL3;RPL34;EIF3E;RPL26;RPL27;RPS7;RPL41</t>
  </si>
  <si>
    <t>GSE37416_12H_VS_48H_F_TULARENSIS_LVS_NEUTROPHIL_DN</t>
  </si>
  <si>
    <t>6165;6136;6204;9045;6230;6234;6169;51693</t>
  </si>
  <si>
    <t>RPL35A;RPL12;RPS10;RPL14;RPS25;RPS28;RPL38;TRAPPC2L</t>
  </si>
  <si>
    <t>GSE3982_CTRL_VS_IGE_STIM_MAST_CELL_UP</t>
  </si>
  <si>
    <t>6206;6136;6158;3646;6208;6194;9349;6230</t>
  </si>
  <si>
    <t>RPS12;RPL12;RPL28;EIF3E;RPS14;RPS6;RPL23;RPS25</t>
  </si>
  <si>
    <t>GSE3982_EOSINOPHIL_VS_TH1_DN</t>
  </si>
  <si>
    <t>4706;6193;5901;10399;11137;79023;64981;55651</t>
  </si>
  <si>
    <t>NDUFAB1;RPS5;RAN;RACK1;PWP1;NUP37;MRPL34;NHP2</t>
  </si>
  <si>
    <t>GSE3982_NEUTROPHIL_VS_BASOPHIL_DN</t>
  </si>
  <si>
    <t>4706;6124;23521;5436;6233;1915;79023;51184</t>
  </si>
  <si>
    <t>NDUFAB1;RPL4;RPL13A;POLR2G;RPS27A;EEF1A1;NUP37;GPN3</t>
  </si>
  <si>
    <t>GSE39820_TGFBETA1_IL6_VS_TGFBETA1_IL6_IL23A_TREATED_CD4_TCELL_DN</t>
  </si>
  <si>
    <t>27089;8815;125988;728568;192286;51504;28974;51647</t>
  </si>
  <si>
    <t>UQCRQ;BANF1;MICOS13;C12orf73;HIGD2A;TRMT112;C19orf53;CIAO2B</t>
  </si>
  <si>
    <t>GSE39820_TGFBETA1_VS_TGFBETA3_IN_IL6_TREATED_CD4_TCELL_DN</t>
  </si>
  <si>
    <t>8815;6181;728568;192286;51504;28974;51647;25873</t>
  </si>
  <si>
    <t>BANF1;RPLP2;C12orf73;HIGD2A;TRMT112;C19orf53;CIAO2B;RPL36</t>
  </si>
  <si>
    <t>GSE7460_TREG_VS_TCONV_ACT_WITH_TGFB_DN</t>
  </si>
  <si>
    <t>6175;3921;6122;6189;6202;6130;6143;124446</t>
  </si>
  <si>
    <t>RPLP0;RPSA;RPL3;RPS3A;RPS8;RPL7A;RPL19;TMEM219</t>
  </si>
  <si>
    <t>GSE9006_TYPE_1_VS_TYPE_2_DIABETES_PBMC_AT_DX_UP</t>
  </si>
  <si>
    <t>8721;8815;6181;1936;6232;6167;90480;25873</t>
  </si>
  <si>
    <t>EDF1;BANF1;RPLP2;EEF1D;RPS27;RPL37;GADD45GIP1;RPL36</t>
  </si>
  <si>
    <t>GSE4984_UNTREATED_VS_GALECTIN1_TREATED_DC_DN</t>
  </si>
  <si>
    <t>6175;3921;6188;6133;6122;6193;6208;6194</t>
  </si>
  <si>
    <t>RPLP0;RPSA;RPS3;RPL9;RPL3;RPS5;RPS14;RPS6</t>
  </si>
  <si>
    <t>GSE5542_IFNG_VS_IFNA_TREATED_EPITHELIAL_CELLS_24H_DN</t>
  </si>
  <si>
    <t>8721;23521;6232;140823;6210;6170;6169;84266</t>
  </si>
  <si>
    <t>EDF1;RPL13A;RPS27;ROMO1;RPS15A;RPL39;RPL38;ALKBH7</t>
  </si>
  <si>
    <t>GSE17322_CD103_POS_VS_CD11B_HIGH_LUNG_DC_DN</t>
  </si>
  <si>
    <t>6209;6161;6169;84274;93436;84266;28974;51398</t>
  </si>
  <si>
    <t>RPS15;RPL32;RPL38;COQ5;ARMC6;ALKBH7;C19orf53;WDR83OS</t>
  </si>
  <si>
    <t>GSE19401_UNSTIM_VS_RETINOIC_ACID_STIM_FOLLICULAR_DC_DN</t>
  </si>
  <si>
    <t>1933;6124;6157;6167;9349;6230;6152;6173</t>
  </si>
  <si>
    <t>EEF1B2;RPL4;RPL27A;RPL37;RPL23;RPS25;RPL24;RPL36A</t>
  </si>
  <si>
    <t>GSE22935_UNSTIM_VS_12H_MBOVIS_BCG_STIM_MACROPHAGE_DN</t>
  </si>
  <si>
    <t>1327;6157;6158;6143;11137;51079;28974;25873</t>
  </si>
  <si>
    <t>COX4I1;RPL27A;RPL28;RPL19;PWP1;NDUFA13;C19orf53;RPL36</t>
  </si>
  <si>
    <t>GSE16385_MONOCYTE_VS_12H_ROSIGLITAZONE_IL4_TREATED_MACROPHAGE_UP</t>
  </si>
  <si>
    <t>10975;4695;3646;140823;6160;6173;54539;55651</t>
  </si>
  <si>
    <t>UQCR11;NDUFA2;EIF3E;ROMO1;RPL31;RPL36A;NDUFB11;NHP2</t>
  </si>
  <si>
    <t>GSE25123_CTRL_VS_IL4_AND_ROSIGLITAZONE_STIM_MACROPHAGE_DN</t>
  </si>
  <si>
    <t>4695;6154;6201;6208;6160;728568;54539;51079</t>
  </si>
  <si>
    <t>NDUFA2;RPL26;RPS7;RPS14;RPL31;C12orf73;NDUFB11;NDUFA13</t>
  </si>
  <si>
    <t>GSE25123_IL4_VS_IL4_AND_ROSIGLITAZONE_STIM_MACROPHAGE_DAY10_DN</t>
  </si>
  <si>
    <t>4695;6232;140823;746;6168;9349;79036;59286</t>
  </si>
  <si>
    <t>NDUFA2;RPS27;ROMO1;TMEM258;RPL37A;RPL23;KXD1;UBL5</t>
  </si>
  <si>
    <t>GSE22611_MUTANT_NOD2_VS_CTRL_TRANSDUCED_HEK293T_CELL_UP</t>
  </si>
  <si>
    <t>1933;6134;6210;6130;6147;6170;4736;6171</t>
  </si>
  <si>
    <t>EEF1B2;RPL10;RPS15A;RPL7A;RPL23A;RPL39;RPL10A;RPL41</t>
  </si>
  <si>
    <t>GSE28726_ACT_CD4_TCELL_VS_ACT_NKTCELL_DN</t>
  </si>
  <si>
    <t>7178;6232;6204;6159;6168;6235;6160;6169</t>
  </si>
  <si>
    <t>TPT1;RPS27;RPS10;RPL29;RPL37A;RPS29;RPL31;RPL38</t>
  </si>
  <si>
    <t>GSE28726_NAIVE_VS_ACTIVATED_CD4_TCELL_UP</t>
  </si>
  <si>
    <t>6164;6224;6202;6210;6208;6234;3476;6173</t>
  </si>
  <si>
    <t>RPL34;RPS20;RPS8;RPS15A;RPS14;RPS28;IGBP1;RPL36A</t>
  </si>
  <si>
    <t>GSE23321_CENTRAL_VS_EFFECTOR_MEMORY_CD8_TCELL_DN</t>
  </si>
  <si>
    <t>8815;3646;6167;6191;10399;6141;29080;25873</t>
  </si>
  <si>
    <t>BANF1;EIF3E;RPL37;RPS4X;RACK1;RPL18;CCDC59;RPL36</t>
  </si>
  <si>
    <t>GSE26351_UNSTIM_VS_BMP_PATHWAY_STIM_HEMATOPOIETIC_PROGENITORS_UP</t>
  </si>
  <si>
    <t>4694;8815;6175;6203;6189;6208;6147;55651</t>
  </si>
  <si>
    <t>NDUFA1;BANF1;RPLP0;RPS9;RPS3A;RPS14;RPL23A;NHP2</t>
  </si>
  <si>
    <t>GSE34515_CD16_NEG_VS_POS_MONOCYTE_DN</t>
  </si>
  <si>
    <t>6181;6137;6122;6193;6222;5901;10399;6141</t>
  </si>
  <si>
    <t>RPLP2;RPL13;RPL3;RPS5;RPS18;RAN;RACK1;RPL18</t>
  </si>
  <si>
    <t>GSE35685_CD34POS_CD38NEG_VS_CD34POS_CD10NEG_CD62LPOS_BONE_MARROW_UP</t>
  </si>
  <si>
    <t>10975;1337;6134;6193;6222;6173;55850;25873</t>
  </si>
  <si>
    <t>UQCR11;COX6A1;RPL10;RPS5;RPS18;RPL36A;USE1;RPL36</t>
  </si>
  <si>
    <t>GSE11961_FOLLICULAR_BCELL_VS_MEMORY_BCELL_DAY7_UP</t>
  </si>
  <si>
    <t>8721;6155;6208;6160;6171;6152;126328;51647</t>
  </si>
  <si>
    <t>EDF1;RPL27;RPS14;RPL31;RPL41;RPL24;NDUFA11;CIAO2B</t>
  </si>
  <si>
    <t>GSE42021_CD24LO_TREG_VS_CD24LO_TCONV_THYMUS_DN</t>
  </si>
  <si>
    <t>1933;6122;6158;6193;10399;6143;64981;51647</t>
  </si>
  <si>
    <t>EEF1B2;RPL3;RPL28;RPS5;RACK1;RPL19;MRPL34;CIAO2B</t>
  </si>
  <si>
    <t>GSE43955_10H_VS_60H_ACT_CD4_TCELL_WITH_TGFB_IL6_UP</t>
  </si>
  <si>
    <t>3921;4713;6188;1933;6232;5901;10399;3028</t>
  </si>
  <si>
    <t>RPSA;NDUFB7;RPS3;EEF1B2;RPS27;RAN;RACK1;HSD17B10</t>
  </si>
  <si>
    <t>GSE42724_NAIVE_VS_MEMORY_BCELL_DN</t>
  </si>
  <si>
    <t>7178;6203;6204;6164;6168;6208;6205;6169</t>
  </si>
  <si>
    <t>TPT1;RPS9;RPS10;RPL34;RPL37A;RPS14;RPS11;RPL38</t>
  </si>
  <si>
    <t>GSE46606_DAY1_VS_DAY3_CD40L_IL2_IL5_STIMULATED_IRF4HIGH_BCELL_UP</t>
  </si>
  <si>
    <t>51499;3921;6193;140823;6170;84274;192286;51504</t>
  </si>
  <si>
    <t>TRIAP1;RPSA;RPS5;ROMO1;RPL39;COQ5;HIGD2A;TRMT112</t>
  </si>
  <si>
    <t>GSE18804_SPLEEN_MACROPHAGE_VS_TUMORAL_MACROPHAGE_DN</t>
  </si>
  <si>
    <t>4706;8667;353;6137;6156;6161;6132;51693</t>
  </si>
  <si>
    <t>NDUFAB1;EIF3H;APRT;RPL13;RPL30;RPL32;RPL8;TRAPPC2L</t>
  </si>
  <si>
    <t>GSE10500_ARTHRITIC_SYNOVIAL_FLUID_VS_HEALTHY_MACROPHAGE_UP</t>
  </si>
  <si>
    <t>6176;6188;1933;1936;2197;4736;55651</t>
  </si>
  <si>
    <t>RPLP1;RPS3;EEF1B2;EEF1D;FAU;RPL10A;NHP2</t>
  </si>
  <si>
    <t>GSE12505_WT_VS_E2_2_HET_PDC_DN</t>
  </si>
  <si>
    <t>6137;6168;6167;6202;6209;6171;6233</t>
  </si>
  <si>
    <t>RPL13;RPL37A;RPL37;RPS8;RPS15;RPL41;RPS27A</t>
  </si>
  <si>
    <t>GSE13547_WT_VS_ZFX_KO_BCELL_ANTI_IGM_STIM_2H_DN</t>
  </si>
  <si>
    <t>374291;6137;6223;6156;6173;55850;51504</t>
  </si>
  <si>
    <t>NDUFS7;RPL13;RPS19;RPL30;RPL36A;USE1;TRMT112</t>
  </si>
  <si>
    <t>GSE14415_ACT_VS_CTRL_NATURAL_TREG_DN</t>
  </si>
  <si>
    <t>374291;1936;6156;6173;6143;55850;51504</t>
  </si>
  <si>
    <t>NDUFS7;EEF1D;RPL30;RPL36A;RPL19;USE1;TRMT112</t>
  </si>
  <si>
    <t>GSE40274_IRF4_VS_FOXP3_AND_IRF4_TRANSDUCED_ACTIVATED_CD4_TCELL_UP</t>
  </si>
  <si>
    <t>8667;23521;6125;6164;10399;3476;3028</t>
  </si>
  <si>
    <t>EIF3H;RPL13A;RPL5;RPL34;RACK1;IGBP1;HSD17B10</t>
  </si>
  <si>
    <t>GSE9601_UNTREATED_VS_PI3K_INHIBITOR_TREATED_HCMV_INF_MONOCYTE_UP</t>
  </si>
  <si>
    <t>6158;6168;6235;6171;6169;6141;54539</t>
  </si>
  <si>
    <t>RPL28;RPL37A;RPS29;RPL41;RPL38;RPL18;NDUFB11</t>
  </si>
  <si>
    <t>GSE10422_WT_VS_BAFF_TRANSGENIC_LN_BCELL_DN</t>
  </si>
  <si>
    <t>6175;6164;6154;6210;6132;6141</t>
  </si>
  <si>
    <t>RPLP0;RPL34;RPL26;RPS15A;RPL8;RPL18</t>
  </si>
  <si>
    <t>KAECH_DAY8_EFF_VS_DAY15_EFF_CD8_TCELL_UP</t>
  </si>
  <si>
    <t>8636;8815;3921;23521;3476;59286;51398</t>
  </si>
  <si>
    <t>SSNA1;BANF1;RPSA;RPL13A;IGBP1;UBL5;WDR83OS</t>
  </si>
  <si>
    <t>KAECH_DAY8_EFF_VS_MEMORY_CD8_TCELL_DN</t>
  </si>
  <si>
    <t>6176;6188;6134;6223;6125;9045;6191</t>
  </si>
  <si>
    <t>RPLP1;RPS3;RPL10;RPS19;RPL5;RPL14;RPS4X</t>
  </si>
  <si>
    <t>GSE10325_BCELL_VS_LUPUS_BCELL_UP</t>
  </si>
  <si>
    <t>3921;6122;6193;6189;6154;10399;1915</t>
  </si>
  <si>
    <t>RPSA;RPL3;RPS5;RPS3A;RPL26;RACK1;EEF1A1</t>
  </si>
  <si>
    <t>GSE11864_UNTREATED_VS_CSF1_IFNG_IN_MAC_UP</t>
  </si>
  <si>
    <t>6136;6203;6205;6194;9349;6171;6152</t>
  </si>
  <si>
    <t>RPL12;RPS9;RPS11;RPS6;RPL23;RPL41;RPL24</t>
  </si>
  <si>
    <t>GSE13484_12H_VS_3H_YF17D_VACCINE_STIM_PBMC_DN</t>
  </si>
  <si>
    <t>3921;1349;1933;6122;6125;6132;10399</t>
  </si>
  <si>
    <t>RPSA;COX7B;EEF1B2;RPL3;RPL5;RPL8;RACK1</t>
  </si>
  <si>
    <t>GSE1460_DP_THYMOCYTE_VS_NAIVE_CD4_TCELL_CORD_BLOOD_DN</t>
  </si>
  <si>
    <t>1936;2197;6232;6155;6222;6132;10399</t>
  </si>
  <si>
    <t>EEF1D;FAU;RPS27;RPL27;RPS18;RPL8;RACK1</t>
  </si>
  <si>
    <t>GSE1460_CORD_VS_ADULT_BLOOD_NAIVE_CD4_TCELL_DN</t>
  </si>
  <si>
    <t>8667;7178;6165;1933;1915;3476;10244</t>
  </si>
  <si>
    <t>EIF3H;TPT1;RPL35A;EEF1B2;EEF1A1;IGBP1;RABEPK</t>
  </si>
  <si>
    <t>GSE17721_CTRL_VS_POLYIC_6H_BMDC_UP</t>
  </si>
  <si>
    <t>8667;4695;6176;6210;6171;192286;54539</t>
  </si>
  <si>
    <t>EIF3H;NDUFA2;RPLP1;RPS15A;RPL41;HIGD2A;NDUFB11</t>
  </si>
  <si>
    <t>GSE17721_CTRL_VS_POLYIC_24H_BMDC_UP</t>
  </si>
  <si>
    <t>6176;6137;6158;521;6210;6160;6171</t>
  </si>
  <si>
    <t>RPLP1;RPL13;RPL28;ATP5ME;RPS15A;RPL31;RPL41</t>
  </si>
  <si>
    <t>GSE17721_LPS_VS_POLYIC_6H_BMDC_DN</t>
  </si>
  <si>
    <t>6188;6158;9045;6210;6227;6143;84274</t>
  </si>
  <si>
    <t>RPS3;RPL28;RPL14;RPS15A;RPS21;RPL19;COQ5</t>
  </si>
  <si>
    <t>GSE17721_LPS_VS_POLYIC_12H_BMDC_DN</t>
  </si>
  <si>
    <t>8667;6158;6204;6208;6230;6227;6143</t>
  </si>
  <si>
    <t>EIF3H;RPL28;RPS10;RPS14;RPS25;RPS21;RPL19</t>
  </si>
  <si>
    <t>GSE17721_PAM3CSK4_VS_CPG_24H_BMDC_UP</t>
  </si>
  <si>
    <t>6181;6175;1933;6134;1936;521;6173</t>
  </si>
  <si>
    <t>RPLP2;RPLP0;EEF1B2;RPL10;EEF1D;ATP5ME;RPL36A</t>
  </si>
  <si>
    <t>GSE17721_PAM3CSK4_VS_GADIQUIMOD_12H_BMDC_UP</t>
  </si>
  <si>
    <t>23521;6204;9045;6130;6147;51079;28974</t>
  </si>
  <si>
    <t>RPL13A;RPS10;RPL14;RPL7A;RPL23A;NDUFA13;C19orf53</t>
  </si>
  <si>
    <t>GSE17721_POLYIC_VS_GARDIQUIMOD_16H_BMDC_DN</t>
  </si>
  <si>
    <t>6181;6136;6154;6169;6152;3028;8409</t>
  </si>
  <si>
    <t>RPLP2;RPL12;RPL26;RPL38;RPL24;HSD17B10;UXT</t>
  </si>
  <si>
    <t>GSE17721_LPS_VS_GARDIQUIMOD_12H_BMDC_DN</t>
  </si>
  <si>
    <t>6181;353;1936;6133;6204;79023;51504</t>
  </si>
  <si>
    <t>RPLP2;APRT;EEF1D;RPL9;RPS10;NUP37;TRMT112</t>
  </si>
  <si>
    <t>GSE17721_0.5H_VS_4H_POLYIC_BMDC_UP</t>
  </si>
  <si>
    <t>6188;2197;6170;125988;54539;55651;28974</t>
  </si>
  <si>
    <t>RPS3;FAU;RPL39;MICOS13;NDUFB11;NHP2;C19orf53</t>
  </si>
  <si>
    <t>GSE17721_0.5H_VS_8H_POLYIC_BMDC_UP</t>
  </si>
  <si>
    <t>4706;6176;6188;23521;93436;116541;55651</t>
  </si>
  <si>
    <t>NDUFAB1;RPLP1;RPS3;RPL13A;ARMC6;MRPL54;NHP2</t>
  </si>
  <si>
    <t>GSE17721_4_VS_24H_GARDIQUIMOD_BMDC_UP</t>
  </si>
  <si>
    <t>10975;6176;1327;1936;6223;126328;8409</t>
  </si>
  <si>
    <t>UQCR11;RPLP1;COX4I1;EEF1D;RPS19;NDUFA11;UXT</t>
  </si>
  <si>
    <t>GSE17974_0H_VS_12H_IN_VITRO_ACT_CD4_TCELL_DN</t>
  </si>
  <si>
    <t>8815;125988;93436;3028;59286;55651;51184</t>
  </si>
  <si>
    <t>BANF1;MICOS13;ARMC6;HSD17B10;UBL5;NHP2;GPN3</t>
  </si>
  <si>
    <t>GSE17974_IL4_AND_ANTI_IL12_VS_UNTREATED_0.5H_ACT_CD4_TCELL_UP</t>
  </si>
  <si>
    <t>8666;1936;6125;6201;5204;54539;25873</t>
  </si>
  <si>
    <t>EIF3G;EEF1D;RPL5;RPS7;PFDN5;NDUFB11;RPL36</t>
  </si>
  <si>
    <t>GSE22886_IL2_VS_IL15_STIM_NKCELL_DN</t>
  </si>
  <si>
    <t>374291;6158;6202;6169;6143;51398;25873</t>
  </si>
  <si>
    <t>NDUFS7;RPL28;RPS8;RPL38;RPL19;WDR83OS;RPL36</t>
  </si>
  <si>
    <t>GSE2706_UNSTIM_VS_8H_LPS_DC_UP</t>
  </si>
  <si>
    <t>6129;23521;6189;6130;4736;55651;51693</t>
  </si>
  <si>
    <t>RPL7;RPL13A;RPS3A;RPL7A;RPL10A;NHP2;TRAPPC2L</t>
  </si>
  <si>
    <t>GSE2706_2H_VS_8H_R848_AND_LPS_STIM_DC_UP</t>
  </si>
  <si>
    <t>374291;8815;4713;6122;6194;4736;3028</t>
  </si>
  <si>
    <t>NDUFS7;BANF1;NDUFB7;RPL3;RPS6;RPL10A;HSD17B10</t>
  </si>
  <si>
    <t>GSE27786_LSK_VS_NKTCELL_DN</t>
  </si>
  <si>
    <t>6147;6230;6160;10399;6141;79002;25873</t>
  </si>
  <si>
    <t>RPL23A;RPS25;RPL31;RACK1;RPL18;TRIR;RPL36</t>
  </si>
  <si>
    <t>GSE27786_LIN_NEG_VS_BCELL_DN</t>
  </si>
  <si>
    <t>6223;6202;6210;6160;192286;59286;55850</t>
  </si>
  <si>
    <t>RPS19;RPS8;RPS15A;RPL31;HIGD2A;UBL5;USE1</t>
  </si>
  <si>
    <t>GSE27786_LIN_NEG_VS_NKCELL_DN</t>
  </si>
  <si>
    <t>4694;6137;2197;6168;6169;5204;192286</t>
  </si>
  <si>
    <t>NDUFA1;RPL13;FAU;RPL37A;RPL38;PFDN5;HIGD2A</t>
  </si>
  <si>
    <t>GSE27786_LIN_NEG_VS_NEUTROPHIL_UP</t>
  </si>
  <si>
    <t>4706;6181;23521;6205;6194;64981;51504</t>
  </si>
  <si>
    <t>NDUFAB1;RPLP2;RPL13A;RPS11;RPS6;MRPL34;TRMT112</t>
  </si>
  <si>
    <t>GSE360_CTRL_VS_L_MAJOR_DC_UP</t>
  </si>
  <si>
    <t>10084;6122;6125;6207;3476;3028;79036</t>
  </si>
  <si>
    <t>PQBP1;RPL3;RPL5;RPS13;IGBP1;HSD17B10;KXD1</t>
  </si>
  <si>
    <t>GSE360_CTRL_VS_L_MAJOR_MAC_UP</t>
  </si>
  <si>
    <t>4706;4695;374291;8815;6124;6155;5204</t>
  </si>
  <si>
    <t>NDUFAB1;NDUFA2;NDUFS7;BANF1;RPL4;RPL27;PFDN5</t>
  </si>
  <si>
    <t>GSE360_LOW_DOSE_B_MALAYI_VS_M_TUBERCULOSIS_DC_UP</t>
  </si>
  <si>
    <t>10084;1327;6129;6232;6125;6164;6189</t>
  </si>
  <si>
    <t>PQBP1;COX4I1;RPL7;RPS27;RPL5;RPL34;RPS3A</t>
  </si>
  <si>
    <t>GSE3982_CTRL_VS_IGE_STIM_MAST_CELL_DN</t>
  </si>
  <si>
    <t>10084;6129;1936;6170;29100;59286;51121</t>
  </si>
  <si>
    <t>PQBP1;RPL7;EEF1D;RPL39;TMEM208;UBL5;RPL26L1</t>
  </si>
  <si>
    <t>GSE3982_EOSINOPHIL_VS_NEUTROPHIL_UP</t>
  </si>
  <si>
    <t>4706;6133;6191;5901;11137;79023;51184</t>
  </si>
  <si>
    <t>NDUFAB1;RPL9;RPS4X;RAN;PWP1;NUP37;GPN3</t>
  </si>
  <si>
    <t>GSE3982_DC_VS_EFF_MEMORY_CD4_TCELL_DN</t>
  </si>
  <si>
    <t>7178;6188;1936;6232;6228;6156;25873</t>
  </si>
  <si>
    <t>TPT1;RPS3;EEF1D;RPS27;RPS23;RPL30;RPL36</t>
  </si>
  <si>
    <t>GSE3982_NEUTROPHIL_VS_CENT_MEMORY_CD4_TCELL_DN</t>
  </si>
  <si>
    <t>4706;51499;23521;6189;6210;6228;5901</t>
  </si>
  <si>
    <t>NDUFAB1;TRIAP1;RPL13A;RPS3A;RPS15A;RPS23;RAN</t>
  </si>
  <si>
    <t>GSE9650_NAIVE_VS_EFF_CD8_TCELL_UP</t>
  </si>
  <si>
    <t>6188;6223;6125;9045;6191;6194;10399</t>
  </si>
  <si>
    <t>RPS3;RPS19;RPL5;RPL14;RPS4X;RPS6;RACK1</t>
  </si>
  <si>
    <t>GSE411_UNSTIM_VS_100MIN_IL6_STIM_MACROPHAGE_UP</t>
  </si>
  <si>
    <t>6175;353;3921;6204;3476;55850;28974</t>
  </si>
  <si>
    <t>RPLP0;APRT;RPSA;RPS10;IGBP1;USE1;C19orf53</t>
  </si>
  <si>
    <t>GSE8921_UNSTIM_VS_TLR1_2_STIM_MONOCYTE_12H_DN</t>
  </si>
  <si>
    <t>3921;11224;140823;6154;6208;126382;51079</t>
  </si>
  <si>
    <t>RPSA;RPL35;ROMO1;RPL26;RPS14;NR2C2AP;NDUFA13</t>
  </si>
  <si>
    <t>GSE5542_IFNG_VS_IFNA_AND_IFNG_TREATED_EPITHELIAL_CELLS_6H_DN</t>
  </si>
  <si>
    <t>6188;6232;6203;6171;6169;6152;126382</t>
  </si>
  <si>
    <t>RPS3;RPS27;RPS9;RPL41;RPL38;RPL24;NR2C2AP</t>
  </si>
  <si>
    <t>GSE5099_UNSTIM_VS_MCSF_TREATED_MONOCYTE_DAY3_UP</t>
  </si>
  <si>
    <t>27089;10975;6204;6222;6161;11137;125988</t>
  </si>
  <si>
    <t>UQCRQ;UQCR11;RPS10;RPS18;RPL32;PWP1;MICOS13</t>
  </si>
  <si>
    <t>GSE5099_UNSTIM_VS_MCSF_TREATED_MONOCYTE_DAY7_UP</t>
  </si>
  <si>
    <t>8815;1327;3646;6154;6147;6152;79023</t>
  </si>
  <si>
    <t>BANF1;COX4I1;EIF3E;RPL26;RPL23A;RPL24;NUP37</t>
  </si>
  <si>
    <t>GSE6259_FLT3L_INDUCED_33D1_POS_DC_VS_BCELL_UP</t>
  </si>
  <si>
    <t>10975;10084;11224;728568;93436;55651;8409</t>
  </si>
  <si>
    <t>UQCR11;PQBP1;RPL35;C12orf73;ARMC6;NHP2;UXT</t>
  </si>
  <si>
    <t>GSE15330_WT_VS_IKAROS_KO_MEGAKARYOCYTE_ERYTHROID_PROGENITOR_DN</t>
  </si>
  <si>
    <t>6223;23521;6125;6235;6227;59286;54539</t>
  </si>
  <si>
    <t>RPS19;RPL13A;RPL5;RPS29;RPS21;UBL5;NDUFB11</t>
  </si>
  <si>
    <t>GSE17812_WT_VS_THPOK_KO_MEMORY_CD8_TCELL_UP</t>
  </si>
  <si>
    <t>8667;6136;23521;6168;6156;3028;51184</t>
  </si>
  <si>
    <t>EIF3H;RPL12;RPL13A;RPL37A;RPL30;HSD17B10;GPN3</t>
  </si>
  <si>
    <t>GSE19888_ADENOSINE_A3R_INH_PRETREAT_AND_ACT_BY_A3R_VS_TCELL_MEMBRANES_ACT_MAST_CELL_DN</t>
  </si>
  <si>
    <t>4694;1337;6158;6147;6156;79002;25873</t>
  </si>
  <si>
    <t>NDUFA1;COX6A1;RPL28;RPL23A;RPL30;TRIR;RPL36</t>
  </si>
  <si>
    <t>GSE21670_IL6_VS_TGFB_AND_IL6_TREATED_CD4_TCELL_UP</t>
  </si>
  <si>
    <t>1350;6136;6232;6147;6229;6230;6233</t>
  </si>
  <si>
    <t>COX7C;RPL12;RPS27;RPL23A;RPS24;RPS25;RPS27A</t>
  </si>
  <si>
    <t>GSE21927_SPLEEN_C57BL6_VS_EL4_TUMOR_BALBC_MONOCYTES_DN</t>
  </si>
  <si>
    <t>27089;3921;11137;90480;64981;55651;54555</t>
  </si>
  <si>
    <t>UQCRQ;RPSA;PWP1;GADD45GIP1;MRPL34;NHP2;DDX49</t>
  </si>
  <si>
    <t>GSE20500_CTRL_VS_RETINOIC_ACID_TREATED_CD4_TCELL_UP</t>
  </si>
  <si>
    <t>4706;6164;521;5901;11137;54539;54555</t>
  </si>
  <si>
    <t>NDUFAB1;RPL34;ATP5ME;RAN;PWP1;NDUFB11;DDX49</t>
  </si>
  <si>
    <t>GSE22935_WT_VS_MYD88_KO_MACROPHAGE_24H_MBOVIS_BCG_STIM_DN</t>
  </si>
  <si>
    <t>6175;2197;6168;6201;6235;51693;54555</t>
  </si>
  <si>
    <t>RPLP0;FAU;RPL37A;RPS7;RPS29;TRAPPC2L;DDX49</t>
  </si>
  <si>
    <t>GSE22432_PDC_VS_TGFB1_TREATEDCOMMON_DC_PROGENITOR_UP</t>
  </si>
  <si>
    <t>4695;10245;3921;125988;192111;3028;64981</t>
  </si>
  <si>
    <t>NDUFA2;TIMM17B;RPSA;MICOS13;PGAM5;HSD17B10;MRPL34</t>
  </si>
  <si>
    <t>GSE24210_CTRL_VS_IL35_TREATED_TCONV_CD4_TCELL_DN</t>
  </si>
  <si>
    <t>27089;10245;8666;4713;59286;55651;51647</t>
  </si>
  <si>
    <t>UQCRQ;TIMM17B;EIF3G;NDUFB7;UBL5;NHP2;CIAO2B</t>
  </si>
  <si>
    <t>GSE16385_MONOCYTE_VS_12H_ROSIGLITAZONE_TREATED_MACROPHAGE_UP</t>
  </si>
  <si>
    <t>4695;6136;521;3646;6168;9349;54539</t>
  </si>
  <si>
    <t>NDUFA2;RPL12;ATP5ME;EIF3E;RPL37A;RPL23;NDUFB11</t>
  </si>
  <si>
    <t>GSE25088_CTRL_VS_ROSIGLITAZONE_STIM_STAT6_KO_MACROPHAGE_DN</t>
  </si>
  <si>
    <t>6175;7334;126328;64981;79002;29080;51184</t>
  </si>
  <si>
    <t>RPLP0;UBE2N;NDUFA11;MRPL34;TRIR;CCDC59;GPN3</t>
  </si>
  <si>
    <t>GSE25088_WT_VS_STAT6_KO_MACROPHAGE_ROSIGLITAZONE_STIM_UP</t>
  </si>
  <si>
    <t>6188;23521;6164;5436;6156;6132;1915</t>
  </si>
  <si>
    <t>RPS3;RPL13A;RPL34;POLR2G;RPL30;RPL8;EEF1A1</t>
  </si>
  <si>
    <t>GSE25085_FETAL_LIVER_VS_FETAL_BM_SP4_THYMIC_IMPLANT_UP</t>
  </si>
  <si>
    <t>8625;6137;6223;11224;3646;7334;6161</t>
  </si>
  <si>
    <t>RFXANK;RPL13;RPS19;RPL35;EIF3E;UBE2N;RPL32</t>
  </si>
  <si>
    <t>GSE24574_NAIVE_VS_TCONV_CD4_TCELL_UP</t>
  </si>
  <si>
    <t>9045;6224;6167;6208;6234;3476;6173</t>
  </si>
  <si>
    <t>RPL14;RPS20;RPL37;RPS14;RPS28;IGBP1;RPL36A</t>
  </si>
  <si>
    <t>GSE26351_UNSTIM_VS_BMP_PATHWAY_STIM_HEMATOPOIETIC_PROGENITORS_DN</t>
  </si>
  <si>
    <t>27089;6175;6129;6188;6203;6154;6208</t>
  </si>
  <si>
    <t>UQCRQ;RPLP0;RPL7;RPS3;RPS9;RPL26;RPS14</t>
  </si>
  <si>
    <t>GSE36009_UNSTIM_VS_LPS_STIM_NLRP10_KO_DC_DN</t>
  </si>
  <si>
    <t>6223;6202;10399;79023;5204;55850;51184</t>
  </si>
  <si>
    <t>RPS19;RPS8;RACK1;NUP37;PFDN5;USE1;GPN3</t>
  </si>
  <si>
    <t>GSE37301_LYMPHOID_PRIMED_MPP_VS_PRO_BCELL_UP</t>
  </si>
  <si>
    <t>8625;4695;8636;6134;23521;3646;6230</t>
  </si>
  <si>
    <t>RFXANK;NDUFA2;SSNA1;RPL10;RPL13A;EIF3E;RPS25</t>
  </si>
  <si>
    <t>GSE20727_H2O2_VS_ROS_INHIBITOR_TREATED_DC_DN</t>
  </si>
  <si>
    <t>6181;6223;11224;6125;6167;6191;25873</t>
  </si>
  <si>
    <t>RPLP2;RPS19;RPL35;RPL5;RPL37;RPS4X;RPL36</t>
  </si>
  <si>
    <t>GSE39110_DAY3_VS_DAY6_POST_IMMUNIZATION_CD8_TCELL_WITH_IL2_TREATMENT_DN</t>
  </si>
  <si>
    <t>1933;6122;6125;6189;6210;6205;6191</t>
  </si>
  <si>
    <t>EEF1B2;RPL3;RPL5;RPS3A;RPS15A;RPS11;RPS4X</t>
  </si>
  <si>
    <t>GSE36078_WT_VS_IL1R_KO_LUNG_DC_AFTER_AD5_T425A_HEXON_INF_DN</t>
  </si>
  <si>
    <t>8625;10245;11224;6210;6191;6152;6143</t>
  </si>
  <si>
    <t>RFXANK;TIMM17B;RPL35;RPS15A;RPS4X;RPL24;RPL19</t>
  </si>
  <si>
    <t>GSE42021_CD24HI_TREG_VS_CD24HI_TCONV_THYMUS_UP</t>
  </si>
  <si>
    <t>11316;8636;8666;6158;6193;6228;6143</t>
  </si>
  <si>
    <t>COPE;SSNA1;EIF3G;RPL28;RPS5;RPS23;RPL19</t>
  </si>
  <si>
    <t>GSE43260_BTLA_POS_VS_NEG_INTRATUMORAL_CD8_TCELL_DN</t>
  </si>
  <si>
    <t>6176;6175;1936;6202;6210;10399;3476</t>
  </si>
  <si>
    <t>RPLP1;RPLP0;EEF1D;RPS8;RPS15A;RACK1;IGBP1</t>
  </si>
  <si>
    <t>GSE45365_CTRL_VS_MCMV_INFECTION_NK_CELL_DN</t>
  </si>
  <si>
    <t>8667;6129;1936;6224;5901;6132;11137</t>
  </si>
  <si>
    <t>EIF3H;RPL7;EEF1D;RPS20;RAN;RPL8;PWP1</t>
  </si>
  <si>
    <t>GSE21033_CTRL_VS_POLYIC_STIM_DC_24H_DN</t>
  </si>
  <si>
    <t>10975;6137;84337;79023;93343;192286</t>
  </si>
  <si>
    <t>UQCR11;RPL13;ELOF1;NUP37;MVB12A;HIGD2A</t>
  </si>
  <si>
    <t>GSE13887_RESTING_VS_NO_TREATED_CD4_TCELL_DN</t>
  </si>
  <si>
    <t>1349;6159;6222;6170;6143</t>
  </si>
  <si>
    <t>COX7B;RPL29;RPS18;RPL39;RPL19</t>
  </si>
  <si>
    <t>KAECH_DAY8_EFF_VS_DAY15_EFF_CD8_TCELL_DN</t>
  </si>
  <si>
    <t>6223;6125;9045;6230;6156;10244</t>
  </si>
  <si>
    <t>RPS19;RPL5;RPL14;RPS25;RPL30;RABEPK</t>
  </si>
  <si>
    <t>GOLDRATH_NAIVE_VS_EFF_CD8_TCELL_UP</t>
  </si>
  <si>
    <t>6176;6122;6202;6230;10399;3028</t>
  </si>
  <si>
    <t>RPLP1;RPL3;RPS8;RPS25;RACK1;HSD17B10</t>
  </si>
  <si>
    <t>GSE10239_NAIVE_VS_MEMORY_CD8_TCELL_DN</t>
  </si>
  <si>
    <t>6204;7334;6167;6161;6169;5204</t>
  </si>
  <si>
    <t>RPS10;UBE2N;RPL37;RPL32;RPL38;PFDN5</t>
  </si>
  <si>
    <t>GSE10239_MEMORY_VS_KLRG1HIGH_EFF_CD8_TCELL_UP</t>
  </si>
  <si>
    <t>6129;11224;6208;6160;6173;6142</t>
  </si>
  <si>
    <t>RPL7;RPL35;RPS14;RPL31;RPL36A;RPL18A</t>
  </si>
  <si>
    <t>GSE10239_MEMORY_VS_DAY4.5_EFF_CD8_TCELL_UP</t>
  </si>
  <si>
    <t>2197;9045;6154;6201;6171;25873</t>
  </si>
  <si>
    <t>FAU;RPL14;RPL26;RPS7;RPL41;RPL36</t>
  </si>
  <si>
    <t>GSE12845_IGD_POS_BLOOD_VS_DARKZONE_GC_TONSIL_BCELL_UP</t>
  </si>
  <si>
    <t>6218;3921;1933;6122;6164;4736</t>
  </si>
  <si>
    <t>RPS17;RPSA;EEF1B2;RPL3;RPL34;RPL10A</t>
  </si>
  <si>
    <t>GSE14000_4H_VS_16H_LPS_DC_UP</t>
  </si>
  <si>
    <t>6206;6189;6207;6205;6147;6156</t>
  </si>
  <si>
    <t>RPS12;RPS3A;RPS13;RPS11;RPL23A;RPL30</t>
  </si>
  <si>
    <t>GSE1460_CD4_THYMOCYTE_VS_NAIVE_CD4_TCELL_CORD_BLOOD_DN</t>
  </si>
  <si>
    <t>2197;6122;6157;6194;6171;10399</t>
  </si>
  <si>
    <t>FAU;RPL3;RPL27A;RPS6;RPL41;RACK1</t>
  </si>
  <si>
    <t>GSE1460_NAIVE_CD4_TCELL_ADULT_BLOOD_VS_THYMIC_STROMAL_CELL_UP</t>
  </si>
  <si>
    <t>1933;11224;6202;6210;6207;4736</t>
  </si>
  <si>
    <t>EEF1B2;RPL35;RPS8;RPS15A;RPS13;RPL10A</t>
  </si>
  <si>
    <t>GSE15930_NAIVE_VS_48H_IN_VITRO_STIM_CD8_TCELL_DN</t>
  </si>
  <si>
    <t>10975;8636;8815;4713;84337;29100</t>
  </si>
  <si>
    <t>UQCR11;SSNA1;BANF1;NDUFB7;ELOF1;TMEM208</t>
  </si>
  <si>
    <t>GSE15930_NAIVE_VS_48H_IN_VITRO_STIM_IL12_CD8_TCELL_UP</t>
  </si>
  <si>
    <t>8625;7178;6136;6232;6210;6161</t>
  </si>
  <si>
    <t>RFXANK;TPT1;RPL12;RPS27;RPS15A;RPL32</t>
  </si>
  <si>
    <t>GSE15930_STIM_VS_STIM_AND_IFNAB_48H_CD8_T_CELL_UP</t>
  </si>
  <si>
    <t>10084;6188;6193;6164;9349;3028</t>
  </si>
  <si>
    <t>PQBP1;RPS3;RPS5;RPL34;RPL23;HSD17B10</t>
  </si>
  <si>
    <t>GSE17721_CTRL_VS_LPS_12H_BMDC_UP</t>
  </si>
  <si>
    <t>4695;6188;1933;6137;11224;6202</t>
  </si>
  <si>
    <t>NDUFA2;RPS3;EEF1B2;RPL13;RPL35;RPS8</t>
  </si>
  <si>
    <t>GSE17721_CTRL_VS_POLYIC_4H_BMDC_UP</t>
  </si>
  <si>
    <t>374291;84337;7334;93436;29100;28974</t>
  </si>
  <si>
    <t>NDUFS7;ELOF1;UBE2N;ARMC6;TMEM208;C19orf53</t>
  </si>
  <si>
    <t>GSE17721_CTRL_VS_POLYIC_12H_BMDC_UP</t>
  </si>
  <si>
    <t>4695;6136;140823;6156;64981;192286</t>
  </si>
  <si>
    <t>NDUFA2;RPL12;ROMO1;RPL30;MRPL34;HIGD2A</t>
  </si>
  <si>
    <t>GSE17721_CTRL_VS_PAM3CSK4_6H_BMDC_UP</t>
  </si>
  <si>
    <t>1933;2197;84337;6210;6208;6160</t>
  </si>
  <si>
    <t>EEF1B2;FAU;ELOF1;RPS15A;RPS14;RPL31</t>
  </si>
  <si>
    <t>GSE17721_CTRL_VS_CPG_4H_BMDC_UP</t>
  </si>
  <si>
    <t>6202;6169;10244;90480;51184;28974</t>
  </si>
  <si>
    <t>RPS8;RPL38;RABEPK;GADD45GIP1;GPN3;C19orf53</t>
  </si>
  <si>
    <t>GSE17721_CTRL_VS_CPG_12H_BMDC_UP</t>
  </si>
  <si>
    <t>6188;6136;6189;126328;192286;51079</t>
  </si>
  <si>
    <t>RPS3;RPL12;RPS3A;NDUFA11;HIGD2A;NDUFA13</t>
  </si>
  <si>
    <t>GSE17721_LPS_VS_POLYIC_4H_BMDC_DN</t>
  </si>
  <si>
    <t>8667;51499;6154;10399;126382;28974</t>
  </si>
  <si>
    <t>EIF3H;TRIAP1;RPL26;RACK1;NR2C2AP;C19orf53</t>
  </si>
  <si>
    <t>GSE17721_POLYIC_VS_PAM3CSK4_12H_BMDC_DN</t>
  </si>
  <si>
    <t>10245;6147;11137;125988;28974;51398</t>
  </si>
  <si>
    <t>TIMM17B;RPL23A;PWP1;MICOS13;C19orf53;WDR83OS</t>
  </si>
  <si>
    <t>GSE17721_LPS_VS_PAM3CSK4_12H_BMDC_DN</t>
  </si>
  <si>
    <t>8815;6136;6157;6125;9045;54539</t>
  </si>
  <si>
    <t>BANF1;RPL12;RPL27A;RPL5;RPL14;NDUFB11</t>
  </si>
  <si>
    <t>GSE17721_LPS_VS_PAM3CSK4_24H_BMDC_DN</t>
  </si>
  <si>
    <t>10975;6136;6210;6208;6191;51693</t>
  </si>
  <si>
    <t>UQCR11;RPL12;RPS15A;RPS14;RPS4X;TRAPPC2L</t>
  </si>
  <si>
    <t>GSE17721_PAM3CSK4_VS_GADIQUIMOD_8H_BMDC_UP</t>
  </si>
  <si>
    <t>353;23521;9045;6205;5436;11137</t>
  </si>
  <si>
    <t>APRT;RPL13A;RPL14;RPS11;POLR2G;PWP1</t>
  </si>
  <si>
    <t>GSE17721_POLYIC_VS_GARDIQUIMOD_1H_BMDC_UP</t>
  </si>
  <si>
    <t>6129;1933;9045;6155;6205;29080</t>
  </si>
  <si>
    <t>RPL7;EEF1B2;RPL14;RPL27;RPS11;CCDC59</t>
  </si>
  <si>
    <t>GSE17721_POLYIC_VS_GARDIQUIMOD_12H_BMDC_DN</t>
  </si>
  <si>
    <t>51499;6188;6168;11137;79023;51398</t>
  </si>
  <si>
    <t>TRIAP1;RPS3;RPL37A;PWP1;NUP37;WDR83OS</t>
  </si>
  <si>
    <t>GSE17721_LPS_VS_GARDIQUIMOD_16H_BMDC_DN</t>
  </si>
  <si>
    <t>6181;6122;6130;5901;6160;6169</t>
  </si>
  <si>
    <t>RPLP2;RPL3;RPL7A;RAN;RPL31;RPL38</t>
  </si>
  <si>
    <t>GSE17721_0.5H_VS_24H_POLYIC_BMDC_UP</t>
  </si>
  <si>
    <t>6176;6158;6210;55651;8409;28974</t>
  </si>
  <si>
    <t>RPLP1;RPL28;RPS15A;NHP2;UXT;C19orf53</t>
  </si>
  <si>
    <t>GSE17721_4H_VS_24H_POLYIC_BMDC_UP</t>
  </si>
  <si>
    <t>1337;1936;6204;125988;126328;25873</t>
  </si>
  <si>
    <t>COX6A1;EEF1D;RPS10;MICOS13;NDUFA11;RPL36</t>
  </si>
  <si>
    <t>GSE17721_0.5H_VS_24H_CPG_BMDC_UP</t>
  </si>
  <si>
    <t>27089;10975;353;6223;6230;125988</t>
  </si>
  <si>
    <t>UQCRQ;UQCR11;APRT;RPS19;RPS25;MICOS13</t>
  </si>
  <si>
    <t>GSE17721_0.5H_VS_8H_GARDIQUIMOD_BMDC_UP</t>
  </si>
  <si>
    <t>6137;6157;521;84274;126382;8409</t>
  </si>
  <si>
    <t>RPL13;RPL27A;ATP5ME;COQ5;NR2C2AP;UXT</t>
  </si>
  <si>
    <t>GSE17974_0H_VS_6H_IN_VITRO_ACT_CD4_TCELL_DN</t>
  </si>
  <si>
    <t>125988;93436;79023;3028;59286;51184</t>
  </si>
  <si>
    <t>MICOS13;ARMC6;NUP37;HSD17B10;UBL5;GPN3</t>
  </si>
  <si>
    <t>GSE20366_CD103_KLRG1_DP_VS_DN_TREG_UP</t>
  </si>
  <si>
    <t>6136;6201;6156;6160;11137;51504</t>
  </si>
  <si>
    <t>RPL12;RPS7;RPL30;RPL31;PWP1;TRMT112</t>
  </si>
  <si>
    <t>GSE22886_NAIVE_CD8_TCELL_VS_NKCELL_UP</t>
  </si>
  <si>
    <t>6188;6204;6164;6194;6143;192286</t>
  </si>
  <si>
    <t>RPS3;RPS10;RPL34;RPS6;RPL19;HIGD2A</t>
  </si>
  <si>
    <t>GSE22886_IGG_IGA_MEMORY_BCELL_VS_BLOOD_PLASMA_CELL_UP</t>
  </si>
  <si>
    <t>6137;6154;6155;6167;6228;6161</t>
  </si>
  <si>
    <t>RPL13;RPL26;RPL27;RPL37;RPS23;RPL32</t>
  </si>
  <si>
    <t>GSE22886_IGG_IGA_MEMORY_BCELL_VS_BM_PLASMA_CELL_UP</t>
  </si>
  <si>
    <t>6188;6155;6201;6235;6234;6160</t>
  </si>
  <si>
    <t>RPS3;RPL27;RPS7;RPS29;RPS28;RPL31</t>
  </si>
  <si>
    <t>GSE22886_NAIVE_CD8_TCELL_VS_NEUTROPHIL_UP</t>
  </si>
  <si>
    <t>4706;8815;6230;11137;3028;29080</t>
  </si>
  <si>
    <t>NDUFAB1;BANF1;RPS25;PWP1;HSD17B10;CCDC59</t>
  </si>
  <si>
    <t>GSE22886_NAIVE_CD4_TCELL_VS_12H_ACT_TH1_UP</t>
  </si>
  <si>
    <t>6203;6159;6224;6235;6132;5204</t>
  </si>
  <si>
    <t>RPS9;RPL29;RPS20;RPS29;RPL8;PFDN5</t>
  </si>
  <si>
    <t>GSE24634_NAIVE_CD4_TCELL_VS_DAY3_IL4_CONV_TREG_UP</t>
  </si>
  <si>
    <t>6165;6232;3476;6143;5204;25873</t>
  </si>
  <si>
    <t>RPL35A;RPS27;IGBP1;RPL19;PFDN5;RPL36</t>
  </si>
  <si>
    <t>GSE27786_LSK_VS_NKCELL_DN</t>
  </si>
  <si>
    <t>8721;6155;6141;79002;79036;51079</t>
  </si>
  <si>
    <t>EDF1;RPL27;RPL18;TRIR;KXD1;NDUFA13</t>
  </si>
  <si>
    <t>GSE27786_CD4_VS_CD8_TCELL_DN</t>
  </si>
  <si>
    <t>6124;6203;3646;6154;6201;55850</t>
  </si>
  <si>
    <t>RPL4;RPS9;EIF3E;RPL26;RPS7;USE1</t>
  </si>
  <si>
    <t>GSE27786_CD8_TCELL_VS_NKTCELL_UP</t>
  </si>
  <si>
    <t>353;6124;3646;6152;55651;55850</t>
  </si>
  <si>
    <t>APRT;RPL4;EIF3E;RPL24;NHP2;USE1</t>
  </si>
  <si>
    <t>GSE28237_FOLLICULAR_VS_EARLY_GC_BCELL_UP</t>
  </si>
  <si>
    <t>6223;6168;6210;6230;6142;5204</t>
  </si>
  <si>
    <t>RPS19;RPL37A;RPS15A;RPS25;RPL18A;PFDN5</t>
  </si>
  <si>
    <t>GSE29618_LAIV_VS_TIV_FLU_VACCINE_DAY7_MONOCYTE_UP</t>
  </si>
  <si>
    <t>6165;6124;6138;1915;3476;6173</t>
  </si>
  <si>
    <t>RPL35A;RPL4;RPL15;EEF1A1;IGBP1;RPL36A</t>
  </si>
  <si>
    <t>GSE31082_DN_VS_DP_THYMOCYTE_UP</t>
  </si>
  <si>
    <t>11224;140823;6155;6147;6142;64981</t>
  </si>
  <si>
    <t>RPL35;ROMO1;RPL27;RPL23A;RPL18A;MRPL34</t>
  </si>
  <si>
    <t>GSE339_EX_VIVO_VS_IN_CULTURE_CD4CD8DN_DC_DN</t>
  </si>
  <si>
    <t>4694;2197;6164;6130;6171;5204</t>
  </si>
  <si>
    <t>NDUFA1;FAU;RPL34;RPL7A;RPL41;PFDN5</t>
  </si>
  <si>
    <t>GSE360_CTRL_VS_L_DONOVANI_DC_UP</t>
  </si>
  <si>
    <t>8667;353;2197;9045;5204;79036</t>
  </si>
  <si>
    <t>EIF3H;APRT;FAU;RPL14;PFDN5;KXD1</t>
  </si>
  <si>
    <t>GSE360_CTRL_VS_M_TUBERCULOSIS_MAC_UP</t>
  </si>
  <si>
    <t>8815;1327;6125;6191;6194;5204</t>
  </si>
  <si>
    <t>BANF1;COX4I1;RPL5;RPS4X;RPS6;PFDN5</t>
  </si>
  <si>
    <t>GSE360_DC_VS_MAC_DN</t>
  </si>
  <si>
    <t>8636;6194;9349;6229;3476;55651</t>
  </si>
  <si>
    <t>SSNA1;RPS6;RPL23;RPS24;IGBP1;NHP2</t>
  </si>
  <si>
    <t>GSE360_L_MAJOR_VS_B_MALAYI_HIGH_DOSE_MAC_DN</t>
  </si>
  <si>
    <t>374291;8815;353;4713;1349;4736</t>
  </si>
  <si>
    <t>NDUFS7;BANF1;APRT;NDUFB7;COX7B;RPL10A</t>
  </si>
  <si>
    <t>GSE360_HIGH_VS_LOW_DOSE_B_MALAYI_MAC_UP</t>
  </si>
  <si>
    <t>8636;8815;8666;1337;7334;3028</t>
  </si>
  <si>
    <t>SSNA1;BANF1;EIF3G;COX6A1;UBE2N;HSD17B10</t>
  </si>
  <si>
    <t>GSE36392_TYPE_2_MYELOID_VS_NEUTROPHIL_IL25_TREATED_LUNG_DN</t>
  </si>
  <si>
    <t>6133;11224;6228;6152;6143;8409</t>
  </si>
  <si>
    <t>RPL9;RPL35;RPS23;RPL24;RPL19;UXT</t>
  </si>
  <si>
    <t>GSE36476_YOUNG_VS_OLD_DONOR_MEMORY_CD4_TCELL_UP</t>
  </si>
  <si>
    <t>27089;1350;6129;6201;6228;29080</t>
  </si>
  <si>
    <t>UQCRQ;COX7C;RPL7;RPS7;RPS23;CCDC59</t>
  </si>
  <si>
    <t>GSE37416_CTRL_VS_48H_F_TULARENSIS_LVS_NEUTROPHIL_DN</t>
  </si>
  <si>
    <t>4694;4695;10245;1337;2197;746</t>
  </si>
  <si>
    <t>NDUFA1;NDUFA2;TIMM17B;COX6A1;FAU;TMEM258</t>
  </si>
  <si>
    <t>GSE3982_DC_VS_NEUTROPHIL_LPS_STIM_UP</t>
  </si>
  <si>
    <t>51499;6129;11224;6224;4736;51121</t>
  </si>
  <si>
    <t>TRIAP1;RPL7;RPL35;RPS20;RPL10A;RPL26L1</t>
  </si>
  <si>
    <t>GSE3982_EOSINOPHIL_VS_EFF_MEMORY_CD4_TCELL_DN</t>
  </si>
  <si>
    <t>6124;23521;6191;6194;11137;25873</t>
  </si>
  <si>
    <t>RPL4;RPL13A;RPS4X;RPS6;PWP1;RPL36</t>
  </si>
  <si>
    <t>GSE3982_MAST_CELL_VS_MAC_UP</t>
  </si>
  <si>
    <t>6165;6188;6154;6191;3028;25873</t>
  </si>
  <si>
    <t>RPL35A;RPS3;RPL26;RPS4X;HSD17B10;RPL36</t>
  </si>
  <si>
    <t>GSE3982_MAST_CELL_VS_NEUTROPHIL_UP</t>
  </si>
  <si>
    <t>8815;23521;6232;5436;64981;55651</t>
  </si>
  <si>
    <t>BANF1;RPL13A;RPS27;POLR2G;MRPL34;NHP2</t>
  </si>
  <si>
    <t>GSE3982_DC_VS_CENT_MEMORY_CD4_TCELL_DN</t>
  </si>
  <si>
    <t>7178;6232;6154;6234;6170;25873</t>
  </si>
  <si>
    <t>TPT1;RPS27;RPL26;RPS28;RPL39;RPL36</t>
  </si>
  <si>
    <t>GSE3982_MAC_VS_BASOPHIL_DN</t>
  </si>
  <si>
    <t>6165;6136;6125;6205;6194;29080</t>
  </si>
  <si>
    <t>RPL35A;RPL12;RPL5;RPS11;RPS6;CCDC59</t>
  </si>
  <si>
    <t>GSE3982_NEUTROPHIL_VS_TH1_DN</t>
  </si>
  <si>
    <t>1933;6191;6132;64981;29100;55651</t>
  </si>
  <si>
    <t>EEF1B2;RPS4X;RPL8;MRPL34;TMEM208;NHP2</t>
  </si>
  <si>
    <t>GSE3982_NEUTROPHIL_VS_TH2_DN</t>
  </si>
  <si>
    <t>8815;6124;6232;6125;6161;29100</t>
  </si>
  <si>
    <t>BANF1;RPL4;RPS27;RPL5;RPL32;TMEM208</t>
  </si>
  <si>
    <t>GSE5463_CTRL_VS_DEXAMETHASONE_TREATED_THYMOCYTE_DN</t>
  </si>
  <si>
    <t>51499;10245;6208;6235;10399;192286</t>
  </si>
  <si>
    <t>TRIAP1;TIMM17B;RPS14;RPS29;RACK1;HIGD2A</t>
  </si>
  <si>
    <t>GSE7400_CTRL_VS_CSF3_IN_VIVO_TREATED_PBMC_UP</t>
  </si>
  <si>
    <t>51499;6125;3646;6138;6130;1915</t>
  </si>
  <si>
    <t>TRIAP1;RPL5;EIF3E;RPL15;RPL7A;EEF1A1</t>
  </si>
  <si>
    <t>GSE9006_HEALTHY_VS_TYPE_2_DIABETES_PBMC_AT_DX_UP</t>
  </si>
  <si>
    <t>8721;6181;353;521;6167;54555</t>
  </si>
  <si>
    <t>EDF1;RPLP2;APRT;ATP5ME;RPL37;DDX49</t>
  </si>
  <si>
    <t>GSE9650_EFFECTOR_VS_MEMORY_CD8_TCELL_DN</t>
  </si>
  <si>
    <t>6188;6223;6125;9045;6191;6194</t>
  </si>
  <si>
    <t>RPS3;RPS19;RPL5;RPL14;RPS4X;RPS6</t>
  </si>
  <si>
    <t>GSE2770_TGFB_AND_IL4_VS_IL12_TREATED_ACT_CD4_TCELL_6H_DN</t>
  </si>
  <si>
    <t>27089;6122;6152;728568;55651;51079</t>
  </si>
  <si>
    <t>UQCRQ;RPL3;RPL24;C12orf73;NHP2;NDUFA13</t>
  </si>
  <si>
    <t>GSE2405_HEAT_KILLED_VS_LIVE_A_PHAGOCYTOPHILUM_STIM_NEUTROPHIL_9H_UP</t>
  </si>
  <si>
    <t>1337;6167;54539;55850;51504;51693</t>
  </si>
  <si>
    <t>COX6A1;RPL37;NDUFB11;USE1;TRMT112;TRAPPC2L</t>
  </si>
  <si>
    <t>GSE2585_CTEC_VS_MTEC_THYMUS_UP</t>
  </si>
  <si>
    <t>11316;4695;6203;6154;6160;3028</t>
  </si>
  <si>
    <t>COPE;NDUFA2;RPS9;RPL26;RPL31;HSD17B10</t>
  </si>
  <si>
    <t>GSE2585_AIRE_KO_VS_WT_CD80_LOW_MTEC_DN</t>
  </si>
  <si>
    <t>353;1936;6133;6122;6201;84266</t>
  </si>
  <si>
    <t>APRT;EEF1D;RPL9;RPL3;RPS7;ALKBH7</t>
  </si>
  <si>
    <t>GSE1925_CTRL_VS_3H_IFNG_STIM_MACROPHAGE_UP</t>
  </si>
  <si>
    <t>4706;27089;6176;6232;140823;6210</t>
  </si>
  <si>
    <t>NDUFAB1;UQCRQ;RPLP1;RPS27;ROMO1;RPS15A</t>
  </si>
  <si>
    <t>GSE4748_CTRL_VS_CYANOBACTERIUM_LPSLIKE_STIM_DC_1H_UP</t>
  </si>
  <si>
    <t>1936;6232;6171;126328;79002;28974</t>
  </si>
  <si>
    <t>EEF1D;RPS27;RPL41;NDUFA11;TRIR;C19orf53</t>
  </si>
  <si>
    <t>GSE5542_IFNG_VS_IFNA_TREATED_EPITHELIAL_CELLS_6H_DN</t>
  </si>
  <si>
    <t>23521;6232;746;6170;6142;84266</t>
  </si>
  <si>
    <t>RPL13A;RPS27;TMEM258;RPL39;RPL18A;ALKBH7</t>
  </si>
  <si>
    <t>GSE5503_LIVER_DC_VS_SPLEEN_DC_ACTIVATED_ALLOGENIC_TCELL_DN</t>
  </si>
  <si>
    <t>10245;6137;746;6202;6205;6170</t>
  </si>
  <si>
    <t>TIMM17B;RPL13;TMEM258;RPS8;RPS11;RPL39</t>
  </si>
  <si>
    <t>GSE17186_NAIVE_VS_CD21HIGH_TRANSITIONAL_BCELL_CORD_BLOOD_DN</t>
  </si>
  <si>
    <t>3921;6189;6201;6202;6169;51504</t>
  </si>
  <si>
    <t>RPSA;RPS3A;RPS7;RPS8;RPL38;TRMT112</t>
  </si>
  <si>
    <t>GSE17186_NAIVE_VS_CD21LOW_TRANSITIONAL_BCELL_DN</t>
  </si>
  <si>
    <t>3921;6223;6232;6202;6173;51504</t>
  </si>
  <si>
    <t>RPSA;RPS19;RPS27;RPS8;RPL36A;TRMT112</t>
  </si>
  <si>
    <t>GSE19923_WT_VS_E2A_KO_DP_THYMOCYTE_UP</t>
  </si>
  <si>
    <t>11316;8625;51499;9045;6202;9349</t>
  </si>
  <si>
    <t>COPE;RFXANK;TRIAP1;RPL14;RPS8;RPL23</t>
  </si>
  <si>
    <t>GSE20198_IL12_VS_IFNA_TREATED_ACT_CD4_TCELL_UP</t>
  </si>
  <si>
    <t>4694;6122;6141;126382;192286;55850</t>
  </si>
  <si>
    <t>NDUFA1;RPL3;RPL18;NR2C2AP;HIGD2A;USE1</t>
  </si>
  <si>
    <t>GSE21670_UNTREATED_VS_TGFB_IL6_TREATED_STAT3_KO_CD4_TCELL_DN</t>
  </si>
  <si>
    <t>7178;6232;6235;9349;125988;126382</t>
  </si>
  <si>
    <t>TPT1;RPS27;RPS29;RPL23;MICOS13;NR2C2AP</t>
  </si>
  <si>
    <t>GSE21360_SECONDARY_VS_TERTIARY_MEMORY_CD8_TCELL_UP</t>
  </si>
  <si>
    <t>374291;1337;11137;90480;3028;29080</t>
  </si>
  <si>
    <t>NDUFS7;COX6A1;PWP1;GADD45GIP1;HSD17B10;CCDC59</t>
  </si>
  <si>
    <t>GSE21360_NAIVE_VS_TERTIARY_MEMORY_CD8_TCELL_DN</t>
  </si>
  <si>
    <t>8721;6137;6134;521;6155;5204</t>
  </si>
  <si>
    <t>EDF1;RPL13;RPL10;ATP5ME;RPL27;PFDN5</t>
  </si>
  <si>
    <t>GSE22935_WT_VS_MYD88_KO_MACROPHAGE_24H_MBOVIS_BCG_STIM_UP</t>
  </si>
  <si>
    <t>6158;6154;6169;125988;126328;25873</t>
  </si>
  <si>
    <t>RPL28;RPL26;RPL38;MICOS13;NDUFA11;RPL36</t>
  </si>
  <si>
    <t>GSE22589_HEALTHY_VS_HIV_AND_SIV_INFECTED_DC_UP</t>
  </si>
  <si>
    <t>4706;6175;6168;29100;55651;28974</t>
  </si>
  <si>
    <t>NDUFAB1;RPLP0;RPL37A;TMEM208;NHP2;C19orf53</t>
  </si>
  <si>
    <t>GSE16385_MONOCYTE_VS_12H_ROSIGLITAZONE_TREATED_MACROPHAGE_DN</t>
  </si>
  <si>
    <t>51499;6175;6203;6191;192111;5204</t>
  </si>
  <si>
    <t>TRIAP1;RPLP0;RPS9;RPS4X;PGAM5;PFDN5</t>
  </si>
  <si>
    <t>GSE24726_WT_VS_E2_2_KO_PDC_DAY6_POST_DELETION_UP</t>
  </si>
  <si>
    <t>11224;3646;6191;6142;6141;54539</t>
  </si>
  <si>
    <t>RPL35;EIF3E;RPS4X;RPL18A;RPL18;NDUFB11</t>
  </si>
  <si>
    <t>GSE21063_WT_VS_NFATC1_KO_8H_ANTI_IGM_STIM_BCELL_DN</t>
  </si>
  <si>
    <t>6137;6164;6228;6235;6191;6170</t>
  </si>
  <si>
    <t>RPL13;RPL34;RPS23;RPS29;RPS4X;RPL39</t>
  </si>
  <si>
    <t>GSE29949_CD8_POS_DC_SPLEEN_VS_MONOCYTE_BONE_MARROW_DN</t>
  </si>
  <si>
    <t>6218;1327;6232;6157;6228;6143</t>
  </si>
  <si>
    <t>RPS17;COX4I1;RPS27;RPL27A;RPS23;RPL19</t>
  </si>
  <si>
    <t>GSE27859_DC_VS_CD11C_INT_F480_INT_DC_UP</t>
  </si>
  <si>
    <t>8625;6232;6169;6227;59286;55850</t>
  </si>
  <si>
    <t>RFXANK;RPS27;RPL38;RPS21;UBL5;USE1</t>
  </si>
  <si>
    <t>GSE27859_DC_VS_CD11C_INT_F480_HI_MACROPHAGE_UP</t>
  </si>
  <si>
    <t>51499;8636;5901;6160;79023;55651</t>
  </si>
  <si>
    <t>TRIAP1;SSNA1;RAN;RPL31;NUP37;NHP2</t>
  </si>
  <si>
    <t>GSE34515_CD16_NEG_MONOCYTE_VS_DC_DN</t>
  </si>
  <si>
    <t>8666;10399;6143;93436;5204;51693</t>
  </si>
  <si>
    <t>EIF3G;RACK1;RPL19;ARMC6;PFDN5;TRAPPC2L</t>
  </si>
  <si>
    <t>GSE37301_MULTIPOTENT_PROGENITOR_VS_CD4_TCELL_DN</t>
  </si>
  <si>
    <t>10245;6134;6230;64981;54539;51079</t>
  </si>
  <si>
    <t>TIMM17B;RPL10;RPS25;MRPL34;NDUFB11;NDUFA13</t>
  </si>
  <si>
    <t>GSE34006_UNTREATED_VS_A2AR_AGONIST_TREATED_TREG_UP</t>
  </si>
  <si>
    <t>8667;3921;6205;5901;3476;192286</t>
  </si>
  <si>
    <t>EIF3H;RPSA;RPS11;RAN;IGBP1;HIGD2A</t>
  </si>
  <si>
    <t>GSE39382_IL3_VS_IL3_IL33_TREATED_MAST_CELL_UP</t>
  </si>
  <si>
    <t>27089;10975;6165;6228;5204;192286</t>
  </si>
  <si>
    <t>UQCRQ;UQCR11;RPL35A;RPS23;PFDN5;HIGD2A</t>
  </si>
  <si>
    <t>GSE27434_WT_VS_DNMT1_KO_TREG_UP</t>
  </si>
  <si>
    <t>6158;6193;6164;6228;6143;126382</t>
  </si>
  <si>
    <t>RPL28;RPS5;RPL34;RPS23;RPL19;NR2C2AP</t>
  </si>
  <si>
    <t>GSE46143_CTRL_VS_LMP2A_TRANSDUCED_CD10_POS_GC_BCELL_UP</t>
  </si>
  <si>
    <t>6175;6193;5901;126382;25873;54555</t>
  </si>
  <si>
    <t>RPLP0;RPS5;RAN;NR2C2AP;RPL36;DDX49</t>
  </si>
  <si>
    <t>GSE42724_B1_BCELL_VS_PLASMABLAST_DN</t>
  </si>
  <si>
    <t>51499;353;84266;192286;55850;51079</t>
  </si>
  <si>
    <t>TRIAP1;APRT;ALKBH7;HIGD2A;USE1;NDUFA13</t>
  </si>
  <si>
    <t>GSE43260_BTLA_POS_VS_NEG_INTRATUMORAL_CD8_TCELL_UP</t>
  </si>
  <si>
    <t>10975;4694;4713;5901;79036;55651</t>
  </si>
  <si>
    <t>UQCR11;NDUFA1;NDUFB7;RAN;KXD1;NHP2</t>
  </si>
  <si>
    <t>GSE45365_HEALTHY_VS_MCMV_INFECTION_CD8A_DC_UP</t>
  </si>
  <si>
    <t>27089;51499;374291;3921;6233;51693</t>
  </si>
  <si>
    <t>UQCRQ;TRIAP1;NDUFS7;RPSA;RPS27A;TRAPPC2L</t>
  </si>
  <si>
    <t>GSE21033_CTRL_VS_POLYIC_STIM_DC_12H_UP</t>
  </si>
  <si>
    <t>51499;6176;6175;353;192286</t>
  </si>
  <si>
    <t>TRIAP1;RPLP1;RPLP0;APRT;HIGD2A</t>
  </si>
  <si>
    <t>GSE32255_WT_UNSTIM_VS_JMJD2D_KNOCKDOWN_4H_LPS_STIM_DC_UP</t>
  </si>
  <si>
    <t>6203;6167;6132;5204;3028</t>
  </si>
  <si>
    <t>RPS9;RPL37;RPL8;PFDN5;HSD17B10</t>
  </si>
  <si>
    <t>GSE6259_DEC205_POS_DC_VS_CD8_TCELL_UP</t>
  </si>
  <si>
    <t>27089;8667;10245;6181;6228</t>
  </si>
  <si>
    <t>UQCRQ;EIF3H;TIMM17B;RPLP2;RPS23</t>
  </si>
  <si>
    <t>GSE11973_MIR223_KOVS_WT_BONE_MARROW_NEUTROPHIL_DN</t>
  </si>
  <si>
    <t>27089;353;6230;6169;116541</t>
  </si>
  <si>
    <t>UQCRQ;APRT;RPS25;RPL38;MRPL54</t>
  </si>
  <si>
    <t>GSE6259_CD4_TCELL_VS_CD8_TCELL_UP</t>
  </si>
  <si>
    <t>6176;6204;6173;55651;51398</t>
  </si>
  <si>
    <t>RPLP1;RPS10;RPL36A;NHP2;WDR83OS</t>
  </si>
  <si>
    <t>GSE10325_MYELOID_VS_LUPUS_MYELOID_UP</t>
  </si>
  <si>
    <t>6175;6136;6124;6189;6191</t>
  </si>
  <si>
    <t>RPLP0;RPL12;RPL4;RPS3A;RPS4X</t>
  </si>
  <si>
    <t>GSE11924_TFH_VS_TH17_CD4_TCELL_DN</t>
  </si>
  <si>
    <t>4695;353;11224;6157;10244</t>
  </si>
  <si>
    <t>NDUFA2;APRT;RPL35;RPL27A;RABEPK</t>
  </si>
  <si>
    <t>GSE12366_PLASMA_CELL_VS_MEMORY_BCELL_DN</t>
  </si>
  <si>
    <t>6157;6234;6161;6233;5204</t>
  </si>
  <si>
    <t>RPL27A;RPS28;RPL32;RPS27A;PFDN5</t>
  </si>
  <si>
    <t>GSE12845_IGD_POS_BLOOD_VS_PRE_GC_TONSIL_BCELL_UP</t>
  </si>
  <si>
    <t>6137;6208;6222;6156;6169</t>
  </si>
  <si>
    <t>RPL13;RPS14;RPS18;RPL30;RPL38</t>
  </si>
  <si>
    <t>GSE13485_DAY1_VS_DAY21_YF17D_VACCINE_PBMC_DN</t>
  </si>
  <si>
    <t>4695;6176;6169;64981;59286</t>
  </si>
  <si>
    <t>NDUFA2;RPLP1;RPL38;MRPL34;UBL5</t>
  </si>
  <si>
    <t>GSE13485_DAY7_VS_DAY21_YF17D_VACCINE_PBMC_DN</t>
  </si>
  <si>
    <t>8667;1327;1933;6202;6169</t>
  </si>
  <si>
    <t>EIF3H;COX4I1;EEF1B2;RPS8;RPL38</t>
  </si>
  <si>
    <t>GSE14000_4H_VS_16H_LPS_DC_TRANSLATED_RNA_UP</t>
  </si>
  <si>
    <t>6203;6155;7311;6152;3028</t>
  </si>
  <si>
    <t>RPS9;RPL27;UBA52;RPL24;HSD17B10</t>
  </si>
  <si>
    <t>GSE14308_TH1_VS_INDUCED_TREG_UP</t>
  </si>
  <si>
    <t>6175;6168;6169;79036;51079</t>
  </si>
  <si>
    <t>RPLP0;RPL37A;RPL38;KXD1;NDUFA13</t>
  </si>
  <si>
    <t>GSE1460_DP_VS_CD4_THYMOCYTE_DN</t>
  </si>
  <si>
    <t>7178;6136;6124;6122;6228</t>
  </si>
  <si>
    <t>TPT1;RPL12;RPL4;RPL3;RPS23</t>
  </si>
  <si>
    <t>GSE1460_DP_THYMOCYTE_VS_THYMIC_STROMAL_CELL_DN</t>
  </si>
  <si>
    <t>10975;4694;6157;6222;5901</t>
  </si>
  <si>
    <t>UQCR11;NDUFA1;RPL27A;RPS18;RAN</t>
  </si>
  <si>
    <t>GSE14769_UNSTIM_VS_60MIN_LPS_BMDM_UP</t>
  </si>
  <si>
    <t>6232;521;126328;84266;28974</t>
  </si>
  <si>
    <t>RPS27;ATP5ME;NDUFA11;ALKBH7;C19orf53</t>
  </si>
  <si>
    <t>GSE15930_NAIVE_VS_72H_IN_VITRO_STIM_TRICHOSTATINA_CD8_TCELL_UP</t>
  </si>
  <si>
    <t>7178;6136;6232;6168;6210</t>
  </si>
  <si>
    <t>TPT1;RPL12;RPS27;RPL37A;RPS15A</t>
  </si>
  <si>
    <t>GSE15930_STIM_VS_STIM_AND_IL12_48H_CD8_T_CELL_UP</t>
  </si>
  <si>
    <t>6129;6193;6164;6205;55850</t>
  </si>
  <si>
    <t>RPL7;RPS5;RPL34;RPS11;USE1</t>
  </si>
  <si>
    <t>GSE17721_CTRL_VS_LPS_6H_BMDC_UP</t>
  </si>
  <si>
    <t>6188;6158;6202;6208;6143</t>
  </si>
  <si>
    <t>RPS3;RPL28;RPS8;RPS14;RPL19</t>
  </si>
  <si>
    <t>GSE17721_CTRL_VS_GARDIQUIMOD_2H_BMDC_UP</t>
  </si>
  <si>
    <t>2197;6170;125988;90480;54539</t>
  </si>
  <si>
    <t>FAU;RPL39;MICOS13;GADD45GIP1;NDUFB11</t>
  </si>
  <si>
    <t>GSE17721_LPS_VS_POLYIC_2H_BMDC_DN</t>
  </si>
  <si>
    <t>1933;6133;5901;79023;28974</t>
  </si>
  <si>
    <t>EEF1B2;RPL9;RAN;NUP37;C19orf53</t>
  </si>
  <si>
    <t>GSE17721_LPS_VS_POLYIC_24H_BMDC_DN</t>
  </si>
  <si>
    <t>6129;6223;6158;6169;125988</t>
  </si>
  <si>
    <t>RPL7;RPS19;RPL28;RPL38;MICOS13</t>
  </si>
  <si>
    <t>GSE17721_POLYIC_VS_PAM3CSK4_0.5H_BMDC_UP</t>
  </si>
  <si>
    <t>9045;746;6170;54539;8409</t>
  </si>
  <si>
    <t>RPL14;TMEM258;RPL39;NDUFB11;UXT</t>
  </si>
  <si>
    <t>GSE17721_POLYIC_VS_PAM3CSK4_0.5H_BMDC_DN</t>
  </si>
  <si>
    <t>84337;7334;6189;10244;192111</t>
  </si>
  <si>
    <t>ELOF1;UBE2N;RPS3A;RABEPK;PGAM5</t>
  </si>
  <si>
    <t>GSE17721_POLYIC_VS_PAM3CSK4_1H_BMDC_UP</t>
  </si>
  <si>
    <t>6136;84337;6210;6205;54555</t>
  </si>
  <si>
    <t>RPL12;ELOF1;RPS15A;RPS11;DDX49</t>
  </si>
  <si>
    <t>GSE17721_POLYIC_VS_PAM3CSK4_8H_BMDC_DN</t>
  </si>
  <si>
    <t>8815;6133;6168;6194;9349</t>
  </si>
  <si>
    <t>BANF1;RPL9;RPL37A;RPS6;RPL23</t>
  </si>
  <si>
    <t>GSE17721_POLYIC_VS_CPG_16H_BMDC_DN</t>
  </si>
  <si>
    <t>11316;51499;6136;3646;6143</t>
  </si>
  <si>
    <t>COPE;TRIAP1;RPL12;EIF3E;RPL19</t>
  </si>
  <si>
    <t>GSE17721_POLYIC_VS_GARDIQUIMOD_0.5H_BMDC_UP</t>
  </si>
  <si>
    <t>11316;6203;6156;10399;90480</t>
  </si>
  <si>
    <t>COPE;RPS9;RPL30;RACK1;GADD45GIP1</t>
  </si>
  <si>
    <t>GSE17721_POLYIC_VS_GARDIQUIMOD_2H_BMDC_UP</t>
  </si>
  <si>
    <t>6176;6129;1933;6154;124446</t>
  </si>
  <si>
    <t>RPLP1;RPL7;EEF1B2;RPL26;TMEM219</t>
  </si>
  <si>
    <t>GSE17721_POLYIC_VS_GARDIQUIMOD_8H_BMDC_DN</t>
  </si>
  <si>
    <t>6125;6194;55651;8409;51504</t>
  </si>
  <si>
    <t>RPL5;RPS6;NHP2;UXT;TRMT112</t>
  </si>
  <si>
    <t>GSE17721_LPS_VS_GARDIQUIMOD_4H_BMDC_UP</t>
  </si>
  <si>
    <t>10245;5436;11137;124446;29080</t>
  </si>
  <si>
    <t>TIMM17B;POLR2G;PWP1;TMEM219;CCDC59</t>
  </si>
  <si>
    <t>GSE17721_0.5H_VS_8H_PAM3CSK4_BMDC_UP</t>
  </si>
  <si>
    <t>1933;5436;125988;3028;54539</t>
  </si>
  <si>
    <t>EEF1B2;POLR2G;MICOS13;HSD17B10;NDUFB11</t>
  </si>
  <si>
    <t>GSE17721_0.5H_VS_24H_PAM3CSK4_BMDC_UP</t>
  </si>
  <si>
    <t>1933;6137;6205;6227;84274</t>
  </si>
  <si>
    <t>EEF1B2;RPL13;RPS11;RPS21;COQ5</t>
  </si>
  <si>
    <t>GSE17721_12H_VS_24H_CPG_BMDC_DN</t>
  </si>
  <si>
    <t>4706;51499;374291;6173;3028</t>
  </si>
  <si>
    <t>NDUFAB1;TRIAP1;NDUFS7;RPL36A;HSD17B10</t>
  </si>
  <si>
    <t>GSE17721_0.5H_VS_12H_GARDIQUIMOD_BMDC_UP</t>
  </si>
  <si>
    <t>8815;6222;6194;84274;79023</t>
  </si>
  <si>
    <t>BANF1;RPS18;RPS6;COQ5;NUP37</t>
  </si>
  <si>
    <t>GSE22886_DAY1_VS_DAY7_MONOCYTE_IN_CULTURE_DN</t>
  </si>
  <si>
    <t>27089;6175;1349;64981;192286</t>
  </si>
  <si>
    <t>UQCRQ;RPLP0;COX7B;MRPL34;HIGD2A</t>
  </si>
  <si>
    <t>GSE22886_NEUTROPHIL_VS_DC_DN</t>
  </si>
  <si>
    <t>4706;8815;5901;79023;64981</t>
  </si>
  <si>
    <t>NDUFAB1;BANF1;RAN;NUP37;MRPL34</t>
  </si>
  <si>
    <t>GSE22886_UNSTIM_VS_IL2_STIM_NKCELL_UP</t>
  </si>
  <si>
    <t>6206;23521;6210;6156;3476</t>
  </si>
  <si>
    <t>RPS12;RPL13A;RPS15A;RPL30;IGBP1</t>
  </si>
  <si>
    <t>GSE22886_UNSTIM_VS_IL15_STIM_NKCELL_DN</t>
  </si>
  <si>
    <t>7334;5901;79023;51184;51647</t>
  </si>
  <si>
    <t>UBE2N;RAN;NUP37;GPN3;CIAO2B</t>
  </si>
  <si>
    <t>GSE24102_GRANULOCYSTIC_MDSC_VS_NEUTROPHIL_DN</t>
  </si>
  <si>
    <t>8666;140823;6202;55651;51398</t>
  </si>
  <si>
    <t>EIF3G;ROMO1;RPS8;NHP2;WDR83OS</t>
  </si>
  <si>
    <t>GSE25087_TREG_VS_TCONV_ADULT_DN</t>
  </si>
  <si>
    <t>6124;23521;6203;6193;6208</t>
  </si>
  <si>
    <t>RPL4;RPL13A;RPS9;RPS5;RPS14</t>
  </si>
  <si>
    <t>GSE2706_UNSTIM_VS_8H_LPS_AND_R848_DC_UP</t>
  </si>
  <si>
    <t>353;23521;55651;51545;51693</t>
  </si>
  <si>
    <t>APRT;RPL13A;NHP2;ZNF581;TRAPPC2L</t>
  </si>
  <si>
    <t>GSE2706_2H_VS_8H_LPS_STIM_DC_UP</t>
  </si>
  <si>
    <t>6218;6189;6130;6191;51693</t>
  </si>
  <si>
    <t>RPS17;RPS3A;RPL7A;RPS4X;TRAPPC2L</t>
  </si>
  <si>
    <t>GSE27786_LSK_VS_BCELL_DN</t>
  </si>
  <si>
    <t>6133;6160;79002;79036;192286</t>
  </si>
  <si>
    <t>RPL9;RPL31;TRIR;KXD1;HIGD2A</t>
  </si>
  <si>
    <t>GSE27786_LSK_VS_MONO_MAC_UP</t>
  </si>
  <si>
    <t>10975;8815;84266;51184;51504</t>
  </si>
  <si>
    <t>UQCR11;BANF1;ALKBH7;GPN3;TRMT112</t>
  </si>
  <si>
    <t>GSE27786_BCELL_VS_CD8_TCELL_DN</t>
  </si>
  <si>
    <t>6175;6129;6188;6204;55850</t>
  </si>
  <si>
    <t>RPLP0;RPL7;RPS3;RPS10;USE1</t>
  </si>
  <si>
    <t>GSE27786_NKCELL_VS_MONO_MAC_UP</t>
  </si>
  <si>
    <t>2197;6232;6203;6204;6230</t>
  </si>
  <si>
    <t>FAU;RPS27;RPS9;RPS10;RPS25</t>
  </si>
  <si>
    <t>GSE28237_EARLY_VS_LATE_GC_BCELL_DN</t>
  </si>
  <si>
    <t>6136;6232;6147;9349;6170</t>
  </si>
  <si>
    <t>RPL12;RPS27;RPL23A;RPL23;RPL39</t>
  </si>
  <si>
    <t>GSE2826_XID_VS_BTK_KO_BCELL_UP</t>
  </si>
  <si>
    <t>8666;6205;6171;6141;51693</t>
  </si>
  <si>
    <t>EIF3G;RPS11;RPL41;RPL18;TRAPPC2L</t>
  </si>
  <si>
    <t>GSE29618_PRE_VS_DAY7_POST_LAIV_FLU_VACCINE_BCELL_UP</t>
  </si>
  <si>
    <t>27089;10975;6175;2197;6224</t>
  </si>
  <si>
    <t>UQCRQ;UQCR11;RPLP0;FAU;RPS20</t>
  </si>
  <si>
    <t>GSE29618_PRE_VS_DAY7_POST_TIV_FLU_VACCINE_PDC_DN</t>
  </si>
  <si>
    <t>8815;11224;6167;6143;6141</t>
  </si>
  <si>
    <t>BANF1;RPL35;RPL37;RPL19;RPL18</t>
  </si>
  <si>
    <t>GSE30083_SP1_VS_SP3_THYMOCYTE_UP</t>
  </si>
  <si>
    <t>10975;51499;116541;126328;28974</t>
  </si>
  <si>
    <t>UQCR11;TRIAP1;MRPL54;NDUFA11;C19orf53</t>
  </si>
  <si>
    <t>GSE31082_DN_VS_CD4_SP_THYMOCYTE_UP</t>
  </si>
  <si>
    <t>6193;140823;6173;6142;54555</t>
  </si>
  <si>
    <t>RPS5;ROMO1;RPL36A;RPL18A;DDX49</t>
  </si>
  <si>
    <t>GSE31082_DP_VS_CD4_SP_THYMOCYTE_DN</t>
  </si>
  <si>
    <t>6167;6228;6227;10244;55651</t>
  </si>
  <si>
    <t>RPL37;RPS23;RPS21;RABEPK;NHP2</t>
  </si>
  <si>
    <t>GSE31082_DP_VS_CD8_SP_THYMOCYTE_DN</t>
  </si>
  <si>
    <t>1936;11224;6167;6156;6227</t>
  </si>
  <si>
    <t>EEF1D;RPL35;RPL37;RPL30;RPS21</t>
  </si>
  <si>
    <t>GSE33513_TCF7_KO_VS_HET_EARLY_THYMIC_PROGENITOR_DN</t>
  </si>
  <si>
    <t>9045;6154;6222;5436;64981</t>
  </si>
  <si>
    <t>RPL14;RPL26;RPS18;POLR2G;MRPL34</t>
  </si>
  <si>
    <t>GSE339_CD4POS_VS_CD8POS_DC_IN_CULTURE_UP</t>
  </si>
  <si>
    <t>3646;7334;5436;9349;59286</t>
  </si>
  <si>
    <t>EIF3E;UBE2N;POLR2G;RPL23;UBL5</t>
  </si>
  <si>
    <t>GSE339_CD8POS_VS_CD4CD8DN_DC_IN_CULTURE_UP</t>
  </si>
  <si>
    <t>8625;353;23521;6158;6205</t>
  </si>
  <si>
    <t>RFXANK;APRT;RPL13A;RPL28;RPS11</t>
  </si>
  <si>
    <t>GSE360_CTRL_VS_L_DONOVANI_MAC_UP</t>
  </si>
  <si>
    <t>27089;10975;4694;3646;6227</t>
  </si>
  <si>
    <t>UQCRQ;UQCR11;NDUFA1;EIF3E;RPS21</t>
  </si>
  <si>
    <t>GSE360_DC_VS_MAC_B_MALAYI_LOW_DOSE_UP</t>
  </si>
  <si>
    <t>7178;7334;6235;6191;6194</t>
  </si>
  <si>
    <t>TPT1;UBE2N;RPS29;RPS4X;RPS6</t>
  </si>
  <si>
    <t>GSE360_HIGH_DOSE_B_MALAYI_VS_M_TUBERCULOSIS_MAC_UP</t>
  </si>
  <si>
    <t>8815;1933;1936;6136;4736</t>
  </si>
  <si>
    <t>BANF1;EEF1B2;EEF1D;RPL12;RPL10A</t>
  </si>
  <si>
    <t>GSE36392_EOSINOPHIL_VS_MAC_IL25_TREATED_LUNG_DN</t>
  </si>
  <si>
    <t>4706;4694;126382;84266;55850</t>
  </si>
  <si>
    <t>NDUFAB1;NDUFA1;NR2C2AP;ALKBH7;USE1</t>
  </si>
  <si>
    <t>GSE36476_CTRL_VS_TSST_ACT_16H_MEMORY_CD4_TCELL_YOUNG_UP</t>
  </si>
  <si>
    <t>4694;1350;6232;6160;29080</t>
  </si>
  <si>
    <t>NDUFA1;COX7C;RPS27;RPL31;CCDC59</t>
  </si>
  <si>
    <t>GSE36476_CTRL_VS_TSST_ACT_40H_MEMORY_CD4_TCELL_YOUNG_UP</t>
  </si>
  <si>
    <t>7178;6165;1936;6232;6164</t>
  </si>
  <si>
    <t>TPT1;RPL35A;EEF1D;RPS27;RPL34</t>
  </si>
  <si>
    <t>GSE36476_YOUNG_VS_OLD_DONOR_MEMORY_CD4_TCELL_40H_TSST_ACT_DN</t>
  </si>
  <si>
    <t>8636;1337;6133;6224;5436</t>
  </si>
  <si>
    <t>SSNA1;COX6A1;RPL9;RPS20;POLR2G</t>
  </si>
  <si>
    <t>GSE3982_EOSINOPHIL_VS_NKCELL_DN</t>
  </si>
  <si>
    <t>6124;3646;6130;90480;64981</t>
  </si>
  <si>
    <t>RPL4;EIF3E;RPL7A;GADD45GIP1;MRPL34</t>
  </si>
  <si>
    <t>GSE3982_MAST_CELL_VS_DC_UP</t>
  </si>
  <si>
    <t>6176;6164;746;6154;25873</t>
  </si>
  <si>
    <t>RPLP1;RPL34;TMEM258;RPL26;RPL36</t>
  </si>
  <si>
    <t>GSE3982_MAST_CELL_VS_BASOPHIL_DN</t>
  </si>
  <si>
    <t>6129;2197;6164;6160;29080</t>
  </si>
  <si>
    <t>RPL7;FAU;RPL34;RPL31;CCDC59</t>
  </si>
  <si>
    <t>GSE3982_MAC_VS_TH2_DN</t>
  </si>
  <si>
    <t>6165;23521;5901;79023;29080</t>
  </si>
  <si>
    <t>RPL35A;RPL13A;RAN;NUP37;CCDC59</t>
  </si>
  <si>
    <t>GSE3982_NEUTROPHIL_VS_NKCELL_DN</t>
  </si>
  <si>
    <t>6165;6137;5901;64981;55651</t>
  </si>
  <si>
    <t>RPL35A;RPL13;RAN;MRPL34;NHP2</t>
  </si>
  <si>
    <t>GSE3982_CENT_MEMORY_CD4_TCELL_VS_TH2_DN</t>
  </si>
  <si>
    <t>374291;3028;29100;51693;28974</t>
  </si>
  <si>
    <t>NDUFS7;HSD17B10;TMEM208;TRAPPC2L;C19orf53</t>
  </si>
  <si>
    <t>GSE39820_TGFBETA3_IL6_VS_TGFBETA3_IL6_IL23A_TREATED_CD4_TCELL_DN</t>
  </si>
  <si>
    <t>11316;6181;84274;728568;64981</t>
  </si>
  <si>
    <t>COPE;RPLP2;COQ5;C12orf73;MRPL34</t>
  </si>
  <si>
    <t>GSE5463_CTRL_VS_DEXAMETHASONE_TREATED_THYMOCYTE_UP</t>
  </si>
  <si>
    <t>11316;8666;79002;51693;51647</t>
  </si>
  <si>
    <t>COPE;EIF3G;TRIR;TRAPPC2L;CIAO2B</t>
  </si>
  <si>
    <t>GSE8384_CTRL_VS_B_ABORTUS_4H_MAC_CELL_LINE_DN</t>
  </si>
  <si>
    <t>10084;6175;1327;10244;54555</t>
  </si>
  <si>
    <t>PQBP1;RPLP0;COX4I1;RABEPK;DDX49</t>
  </si>
  <si>
    <t>GSE2770_UNTREATED_VS_TGFB_AND_IL4_TREATED_ACT_CD4_TCELL_2H_UP</t>
  </si>
  <si>
    <t>10245;4713;93436;116541;93343</t>
  </si>
  <si>
    <t>TIMM17B;NDUFB7;ARMC6;MRPL54;MVB12A</t>
  </si>
  <si>
    <t>GSE2770_UNTREATED_VS_TGFB_AND_IL12_TREATED_ACT_CD4_TCELL_2H_UP</t>
  </si>
  <si>
    <t>6181;353;6160;6142;126328</t>
  </si>
  <si>
    <t>RPLP2;APRT;RPL31;RPL18A;NDUFA11</t>
  </si>
  <si>
    <t>GSE2770_IL12_ACT_VS_ACT_CD4_TCELL_6H_UP</t>
  </si>
  <si>
    <t>4695;8636;6206;6132;11137</t>
  </si>
  <si>
    <t>NDUFA2;SSNA1;RPS12;RPL8;PWP1</t>
  </si>
  <si>
    <t>GSE2770_TGFB_AND_IL4_ACT_VS_ACT_CD4_TCELL_6H_DN</t>
  </si>
  <si>
    <t>1337;84274;29100;59286;25873</t>
  </si>
  <si>
    <t>COX6A1;COQ5;TMEM208;UBL5;RPL36</t>
  </si>
  <si>
    <t>GSE2585_CTEC_VS_THYMIC_DC_DN</t>
  </si>
  <si>
    <t>353;6193;6142;10244;51647</t>
  </si>
  <si>
    <t>APRT;RPS5;RPL18A;RABEPK;CIAO2B</t>
  </si>
  <si>
    <t>GSE2585_THYMIC_MACROPHAGE_VS_MTEC_UP</t>
  </si>
  <si>
    <t>6134;6136;3476;5204;192286</t>
  </si>
  <si>
    <t>RPL10;RPL12;IGBP1;PFDN5;HIGD2A</t>
  </si>
  <si>
    <t>GSE2585_THYMIC_DC_VS_MTEC_UP</t>
  </si>
  <si>
    <t>11224;6189;6202;6208;6160</t>
  </si>
  <si>
    <t>RPL35;RPS3A;RPS8;RPS14;RPL31</t>
  </si>
  <si>
    <t>GSE1925_3H_VS_24H_IFNG_STIM_MACROPHAGE_DN</t>
  </si>
  <si>
    <t>11224;6157;6208;6222;6230</t>
  </si>
  <si>
    <t>RPL35;RPL27A;RPS14;RPS18;RPS25</t>
  </si>
  <si>
    <t>GSE1925_CTRL_VS_IFNG_PRIMED_MACROPHAGE_DN</t>
  </si>
  <si>
    <t>8815;11224;6202;6130;55651</t>
  </si>
  <si>
    <t>BANF1;RPL35;RPS8;RPL7A;NHP2</t>
  </si>
  <si>
    <t>GSE3039_NKT_CELL_VS_ALPHABETA_CD8_TCELL_UP</t>
  </si>
  <si>
    <t>11316;8666;6202;3028;84266</t>
  </si>
  <si>
    <t>COPE;EIF3G;RPS8;HSD17B10;ALKBH7</t>
  </si>
  <si>
    <t>GSE3039_NKT_CELL_VS_B1_BCELL_DN</t>
  </si>
  <si>
    <t>1327;6188;6164;6222;6143</t>
  </si>
  <si>
    <t>COX4I1;RPS3;RPL34;RPS18;RPL19</t>
  </si>
  <si>
    <t>GSE3039_CD4_TCELL_VS_ALPHAALPHA_CD8_TCELL_DN</t>
  </si>
  <si>
    <t>11316;374291;11224;79036;51504</t>
  </si>
  <si>
    <t>COPE;NDUFS7;RPL35;KXD1;TRMT112</t>
  </si>
  <si>
    <t>GSE3039_CD4_TCELL_VS_B2_BCELL_DN</t>
  </si>
  <si>
    <t>27089;1337;6223;6202;6143</t>
  </si>
  <si>
    <t>UQCRQ;COX6A1;RPS19;RPS8;RPL19</t>
  </si>
  <si>
    <t>GSE5542_UNTREATED_VS_IFNA_TREATED_EPITHELIAL_CELLS_24H_DN</t>
  </si>
  <si>
    <t>1327;9045;3646;6147;10244</t>
  </si>
  <si>
    <t>COX4I1;RPL14;EIF3E;RPL23A;RABEPK</t>
  </si>
  <si>
    <t>GSE5542_UNTREATED_VS_IFNA_AND_IFNG_TREATED_EPITHELIAL_CELLS_24H_UP</t>
  </si>
  <si>
    <t>27089;84337;6168;6205;6141</t>
  </si>
  <si>
    <t>UQCRQ;ELOF1;RPL37A;RPS11;RPL18</t>
  </si>
  <si>
    <t>GSE5542_IFNA_VS_IFNA_AND_IFNG_TREATED_EPITHELIAL_CELLS_6H_DN</t>
  </si>
  <si>
    <t>6181;2197;6232;3476;126382</t>
  </si>
  <si>
    <t>RPLP2;FAU;RPS27;IGBP1;NR2C2AP</t>
  </si>
  <si>
    <t>GSE5589_UNSTIM_VS_45MIN_LPS_STIM_MACROPHAGE_UP</t>
  </si>
  <si>
    <t>3921;6188;6193;5901;6142</t>
  </si>
  <si>
    <t>RPSA;RPS3;RPS5;RAN;RPL18A</t>
  </si>
  <si>
    <t>GSE5589_UNSTIM_VS_45MIN_LPS_AND_IL10_STIM_MACROPHAGE_DN</t>
  </si>
  <si>
    <t>1327;6230;126382;90480;8409</t>
  </si>
  <si>
    <t>COX4I1;RPS25;NR2C2AP;GADD45GIP1;UXT</t>
  </si>
  <si>
    <t>GSE5589_WT_VS_IL10_KO_LPS_AND_IL6_STIM_MACROPHAGE_45MIN_DN</t>
  </si>
  <si>
    <t>6181;6124;6155;6160;6173</t>
  </si>
  <si>
    <t>RPLP2;RPL4;RPL27;RPL31;RPL36A</t>
  </si>
  <si>
    <t>GSE5589_IL6_KO_VS_IL10_KO_LPS_STIM_MACROPHAGE_45MIN_DN</t>
  </si>
  <si>
    <t>374291;1933;6203;29080;51079</t>
  </si>
  <si>
    <t>NDUFS7;EEF1B2;RPS9;CCDC59;NDUFA13</t>
  </si>
  <si>
    <t>GSE9509_10MIN_VS_30MIN_LPS_STIM_IL10_KO_MACROPHAGE_UP</t>
  </si>
  <si>
    <t>1337;1933;746;6202;5901</t>
  </si>
  <si>
    <t>COX6A1;EEF1B2;TMEM258;RPS8;RAN</t>
  </si>
  <si>
    <t>GSE7831_CPG_VS_INFLUENZA_STIM_PDC_4H_DN</t>
  </si>
  <si>
    <t>521;6210;6170;6171;59286</t>
  </si>
  <si>
    <t>ATP5ME;RPS15A;RPL39;RPL41;UBL5</t>
  </si>
  <si>
    <t>GSE8621_UNSTIM_VS_LPS_STIM_MACROPHAGE_DN</t>
  </si>
  <si>
    <t>11316;6171;6142;79036;192286</t>
  </si>
  <si>
    <t>COPE;RPL41;RPL18A;KXD1;HIGD2A</t>
  </si>
  <si>
    <t>GSE8621_LPS_PRIMED_UNSTIM_VS_LPS_PRIMED_AND_LPS_STIM_MACROPHAGE_UP</t>
  </si>
  <si>
    <t>6175;6122;6204;6152;3028</t>
  </si>
  <si>
    <t>RPLP0;RPL3;RPS10;RPL24;HSD17B10</t>
  </si>
  <si>
    <t>GSE5503_LIVER_DC_VS_MLN_DC_ACTIVATED_ALLOGENIC_TCELL_DN</t>
  </si>
  <si>
    <t>746;6142;93343;79036;192286</t>
  </si>
  <si>
    <t>TMEM258;RPL18A;MVB12A;KXD1;HIGD2A</t>
  </si>
  <si>
    <t>GSE5503_LIVER_DC_VS_PLN_DC_ACTIVATED_ALLOGENIC_TCELL_UP</t>
  </si>
  <si>
    <t>10975;6175;6235;6194;6156</t>
  </si>
  <si>
    <t>UQCR11;RPLP0;RPS29;RPS6;RPL30</t>
  </si>
  <si>
    <t>GSE10240_CTRL_VS_IL22_STIM_PRIMARY_BRONCHIAL_EPITHELIAL_CELLS_DN</t>
  </si>
  <si>
    <t>84337;6202;6205;6170;93436</t>
  </si>
  <si>
    <t>ELOF1;RPS8;RPS11;RPL39;ARMC6</t>
  </si>
  <si>
    <t>GSE9960_GRAM_POS_VS_GRAM_NEG_AND_POS_SEPSIS_PBMC_UP</t>
  </si>
  <si>
    <t>8666;1936;6164;6210;6194</t>
  </si>
  <si>
    <t>EIF3G;EEF1D;RPL34;RPS15A;RPS6</t>
  </si>
  <si>
    <t>GSE17186_MEMORY_VS_CD21LOW_TRANSITIONAL_BCELL_DN</t>
  </si>
  <si>
    <t>8625;11224;6202;51184;51504</t>
  </si>
  <si>
    <t>RFXANK;RPL35;RPS8;GPN3;TRMT112</t>
  </si>
  <si>
    <t>GSE17186_BLOOD_VS_CORD_BLOOD_CD21HIGH_TRANSITIONAL_BCELL_DN</t>
  </si>
  <si>
    <t>8625;353;11224;6125;51184</t>
  </si>
  <si>
    <t>RFXANK;APRT;RPL35;RPL5;GPN3</t>
  </si>
  <si>
    <t>GSE17186_BLOOD_VS_CORD_BLOOD_CD21LOW_TRANSITIONAL_BCELL_UP</t>
  </si>
  <si>
    <t>6125;6204;6168;3028;51184</t>
  </si>
  <si>
    <t>RPL5;RPS10;RPL37A;HSD17B10;GPN3</t>
  </si>
  <si>
    <t>GSE18203_CTRL_VS_INTRATUMORAL_CPG_INJ_MC38_TUMOR_DN</t>
  </si>
  <si>
    <t>27089;10245;1337;4713;521</t>
  </si>
  <si>
    <t>UQCRQ;TIMM17B;COX6A1;NDUFB7;ATP5ME</t>
  </si>
  <si>
    <t>GSE18281_SUBCAPSULAR_CORTICAL_REGION_VS_WHOLE_CORTEX_THYMUS_UP</t>
  </si>
  <si>
    <t>6168;6160;125988;3028;51693</t>
  </si>
  <si>
    <t>RPL37A;RPL31;MICOS13;HSD17B10;TRAPPC2L</t>
  </si>
  <si>
    <t>GSE18893_TCONV_VS_TREG_24H_TNF_STIM_DN</t>
  </si>
  <si>
    <t>6188;1933;6205;6230;6227</t>
  </si>
  <si>
    <t>RPS3;EEF1B2;RPS11;RPS25;RPS21</t>
  </si>
  <si>
    <t>GSE20198_UNTREATED_VS_IFNA_TREATED_ACT_CD4_TCELL_DN</t>
  </si>
  <si>
    <t>11316;353;5436;10244;28974</t>
  </si>
  <si>
    <t>COPE;APRT;POLR2G;RABEPK;C19orf53</t>
  </si>
  <si>
    <t>GSE20484_MCSG_VS_CXCL4_MONOCYTE_DERIVED_MACROPHAGE_UP</t>
  </si>
  <si>
    <t>6206;6159;6233;6152;79036</t>
  </si>
  <si>
    <t>RPS12;RPL29;RPS27A;RPL24;KXD1</t>
  </si>
  <si>
    <t>GSE21546_WT_VS_ELK1_KO_DP_THYMOCYTES_UP</t>
  </si>
  <si>
    <t>1933;6134;6204;6228;6161</t>
  </si>
  <si>
    <t>EEF1B2;RPL10;RPS10;RPS23;RPL32</t>
  </si>
  <si>
    <t>GSE21927_BALBC_VS_C57BL6_MONOCYTE_TUMOR_UP</t>
  </si>
  <si>
    <t>1349;11137;90480;55651;51121</t>
  </si>
  <si>
    <t>COX7B;PWP1;GADD45GIP1;NHP2;RPL26L1</t>
  </si>
  <si>
    <t>GSE21927_GMCSF_IL6_VS_GMCSF_GCSF_TREATED_BONE_MARROW_DN</t>
  </si>
  <si>
    <t>27089;10084;11137;64981;54555</t>
  </si>
  <si>
    <t>UQCRQ;PQBP1;PWP1;MRPL34;DDX49</t>
  </si>
  <si>
    <t>GSE21360_NAIVE_VS_TERTIARY_MEMORY_CD8_TCELL_UP</t>
  </si>
  <si>
    <t>7178;6137;6134;521;6155</t>
  </si>
  <si>
    <t>TPT1;RPL13;RPL10;ATP5ME;RPL27</t>
  </si>
  <si>
    <t>GSE22196_HEALTHY_VS_OBESE_MOUSE_SKIN_GAMMADELTA_TCELL_DN</t>
  </si>
  <si>
    <t>27089;1933;1936;4736;6173</t>
  </si>
  <si>
    <t>UQCRQ;EEF1B2;EEF1D;RPL10A;RPL36A</t>
  </si>
  <si>
    <t>GSE19401_PAM2CSK4_VS_RETINOIC_ACID_AND_PAM2CSK4_STIM_FOLLICULAR_DC_UP</t>
  </si>
  <si>
    <t>11316;1936;6204;6173;54539</t>
  </si>
  <si>
    <t>COPE;EEF1D;RPS10;RPL36A;NDUFB11</t>
  </si>
  <si>
    <t>GSE19401_RETINOIC_ACID_VS_RETINOIC_ACID_AND_PAM2CSK4_STIM_FOLLICULAR_DC_DN</t>
  </si>
  <si>
    <t>51499;6201;6152;6141;64981</t>
  </si>
  <si>
    <t>TRIAP1;RPS7;RPL24;RPL18;MRPL34</t>
  </si>
  <si>
    <t>GSE22033_UNTREATED_VS_ROSIGLITAZONE_TREATED_MEF_UP</t>
  </si>
  <si>
    <t>6141;79023;55651;51121;54555</t>
  </si>
  <si>
    <t>RPL18;NUP37;NHP2;RPL26L1;DDX49</t>
  </si>
  <si>
    <t>GSE20500_CTRL_VS_RARA_ANTAGONIST_TREATED_CD4_TCELL_DN</t>
  </si>
  <si>
    <t>5436;6141;10244;51504;51693</t>
  </si>
  <si>
    <t>POLR2G;RPL18;RABEPK;TRMT112;TRAPPC2L</t>
  </si>
  <si>
    <t>GSE25123_WT_VS_PPARG_KO_MACROPHAGE_IL4_STIM_UP</t>
  </si>
  <si>
    <t>6188;6133;6201;6210;6156</t>
  </si>
  <si>
    <t>RPS3;RPL9;RPS7;RPS15A;RPL30</t>
  </si>
  <si>
    <t>GSE21063_3H_VS_16H_ANTI_IGM_STIM_NFATC1_KOBCELL_DN</t>
  </si>
  <si>
    <t>27089;8636;9045;6147;55651</t>
  </si>
  <si>
    <t>UQCRQ;SSNA1;RPL14;RPL23A;NHP2</t>
  </si>
  <si>
    <t>GSE21063_CTRL_VS_ANTI_IGM_STIM_BCELL_NFATC1_KO_16H_DN</t>
  </si>
  <si>
    <t>9045;6147;6227;5204;51184</t>
  </si>
  <si>
    <t>RPL14;RPL23A;RPS21;PFDN5;GPN3</t>
  </si>
  <si>
    <t>GSE28726_ACT_CD4_TCELL_VS_ACT_VA24NEG_NKTCELL_UP</t>
  </si>
  <si>
    <t>10975;51499;5436;11137;55651</t>
  </si>
  <si>
    <t>UQCR11;TRIAP1;POLR2G;PWP1;NHP2</t>
  </si>
  <si>
    <t>GSE22025_UNTREATED_VS_PROGESTERONE_TREATED_CD4_TCELL_DN</t>
  </si>
  <si>
    <t>6133;6228;6160;6173;79036</t>
  </si>
  <si>
    <t>RPL9;RPS23;RPL31;RPL36A;KXD1</t>
  </si>
  <si>
    <t>GSE29949_CD8_NEG_DC_SPLEEN_VS_CD8_POS_DC_SPLEEN_DN</t>
  </si>
  <si>
    <t>1327;6133;6167;6228;6234</t>
  </si>
  <si>
    <t>COX4I1;RPL9;RPL37;RPS23;RPS28</t>
  </si>
  <si>
    <t>GSE27291_0H_VS_6H_STIM_GAMMADELTA_TCELL_UP</t>
  </si>
  <si>
    <t>374291;6202;6233;6173;192286</t>
  </si>
  <si>
    <t>NDUFS7;RPS8;RPS27A;RPL36A;HIGD2A</t>
  </si>
  <si>
    <t>GSE29164_UNTREATED_VS_CD8_TCELL_TREATED_MELANOMA_DAY3_UP</t>
  </si>
  <si>
    <t>4694;140823;54539;51079;8409</t>
  </si>
  <si>
    <t>NDUFA1;ROMO1;NDUFB11;NDUFA13;UXT</t>
  </si>
  <si>
    <t>GSE29164_DAY3_VS_DAY7_CD8_TCELL_AND_IL12_TREATED_MELANOMA_UP</t>
  </si>
  <si>
    <t>4695;6201;55850;51079;8409</t>
  </si>
  <si>
    <t>NDUFA2;RPS7;USE1;NDUFA13;UXT</t>
  </si>
  <si>
    <t>GSE32986_UNSTIM_VS_GMCSF_STIM_DC_UP</t>
  </si>
  <si>
    <t>6165;6133;6125;6224;6189</t>
  </si>
  <si>
    <t>RPL35A;RPL9;RPL5;RPS20;RPS3A</t>
  </si>
  <si>
    <t>GSE32986_UNSTIM_VS_CURDLAN_HIGHDOSE_STIM_DC_DN</t>
  </si>
  <si>
    <t>6232;6164;6222;6235;6141</t>
  </si>
  <si>
    <t>RPS27;RPL34;RPS18;RPS29;RPL18</t>
  </si>
  <si>
    <t>GSE36888_UNTREATED_VS_IL2_TREATED_STAT5_AB_KNOCKIN_TCELL_2H_DN</t>
  </si>
  <si>
    <t>6181;7334;6222;6205;5901</t>
  </si>
  <si>
    <t>RPLP2;UBE2N;RPS18;RPS11;RAN</t>
  </si>
  <si>
    <t>GSE37605_FOXP3_FUSION_GFP_VS_IRES_GFP_TREG_NOD_UP</t>
  </si>
  <si>
    <t>8815;140823;6152;126382;54539</t>
  </si>
  <si>
    <t>BANF1;ROMO1;RPL24;NR2C2AP;NDUFB11</t>
  </si>
  <si>
    <t>GSE37301_COMMON_LYMPHOID_PROGENITOR_VS_CD4_TCELL_UP</t>
  </si>
  <si>
    <t>4706;6124;7334;6201;5901</t>
  </si>
  <si>
    <t>NDUFAB1;RPL4;UBE2N;RPS7;RAN</t>
  </si>
  <si>
    <t>GSE37301_COMMON_LYMPHOID_PROGENITOR_VS_GRAN_MONO_PROGENITOR_UP</t>
  </si>
  <si>
    <t>8666;6165;5901;6132;54555</t>
  </si>
  <si>
    <t>EIF3G;RPL35A;RAN;RPL8;DDX49</t>
  </si>
  <si>
    <t>GSE37301_COMMON_LYMPHOID_PROGENITOR_VS_GRAN_MONO_PROGENITOR_DN</t>
  </si>
  <si>
    <t>8667;1933;6154;6202;6228</t>
  </si>
  <si>
    <t>EIF3H;EEF1B2;RPL26;RPS8;RPS23</t>
  </si>
  <si>
    <t>GSE40666_STAT1_KO_VS_STAT4_KO_CD8_TCELL_WITH_IFNA_STIM_90MIN_UP</t>
  </si>
  <si>
    <t>8625;8667;2197;6205;93343</t>
  </si>
  <si>
    <t>RFXANK;EIF3H;FAU;RPS11;MVB12A</t>
  </si>
  <si>
    <t>GSE40666_UNTREATED_VS_IFNA_STIM_CD8_TCELL_90MIN_DN</t>
  </si>
  <si>
    <t>27089;4695;51499;8815;51647</t>
  </si>
  <si>
    <t>UQCRQ;NDUFA2;TRIAP1;BANF1;CIAO2B</t>
  </si>
  <si>
    <t>GSE40068_CXCR5POS_BCL6POS_TFH_VS_CXCR5NEG_BCL6NEG_CD4_TCELL_UP</t>
  </si>
  <si>
    <t>6176;6133;6223;6208;10399</t>
  </si>
  <si>
    <t>RPLP1;RPL9;RPS19;RPS14;RACK1</t>
  </si>
  <si>
    <t>GSE35543_IN_VIVO_NTREG_VS_CONVERTED_EX_ITREG_UP</t>
  </si>
  <si>
    <t>4706;728568;192111;29100;51121</t>
  </si>
  <si>
    <t>NDUFAB1;C12orf73;PGAM5;TMEM208;RPL26L1</t>
  </si>
  <si>
    <t>GSE41867_DAY6_VS_DAY8_LCMV_ARMSTRONG_EFFECTOR_CD8_TCELL_DN</t>
  </si>
  <si>
    <t>374291;51504;28974;51398;54555</t>
  </si>
  <si>
    <t>NDUFS7;TRMT112;C19orf53;WDR83OS;DDX49</t>
  </si>
  <si>
    <t>GSE42021_TCONV_PLN_VS_CD24INT_TCONV_THYMUS_DN</t>
  </si>
  <si>
    <t>8815;7178;6232;84337;6210</t>
  </si>
  <si>
    <t>BANF1;TPT1;RPS27;ELOF1;RPS15A</t>
  </si>
  <si>
    <t>GSE43955_1H_VS_42H_ACT_CD4_TCELL_DN</t>
  </si>
  <si>
    <t>353;6125;6208;84274;5204</t>
  </si>
  <si>
    <t>APRT;RPL5;RPS14;COQ5;PFDN5</t>
  </si>
  <si>
    <t>GSE43955_TGFB_IL6_VS_TGFB_IL6_IL23_TH17_ACT_CD4_TCELL_60H_UP</t>
  </si>
  <si>
    <t>1337;10399;6141;55850;25873</t>
  </si>
  <si>
    <t>COX6A1;RACK1;RPL18;USE1;RPL36</t>
  </si>
  <si>
    <t>GSE43955_1H_VS_60H_ACT_CD4_TCELL_WITH_TGFB_IL6_UP</t>
  </si>
  <si>
    <t>6204;6222;6147;10399;6143</t>
  </si>
  <si>
    <t>RPS10;RPS18;RPL23A;RACK1;RPL19</t>
  </si>
  <si>
    <t>GSE43955_TH0_VS_TGFB_IL6_IL23_TH17_ACT_CD4_TCELL_60H_DN</t>
  </si>
  <si>
    <t>6175;3921;6158;6147;25873</t>
  </si>
  <si>
    <t>RPLP0;RPSA;RPL28;RPL23A;RPL36</t>
  </si>
  <si>
    <t>GSE42724_B1_BCELL_VS_PLASMABLAST_UP</t>
  </si>
  <si>
    <t>3921;140823;54539;51079;51693</t>
  </si>
  <si>
    <t>RPSA;ROMO1;NDUFB11;NDUFA13;TRAPPC2L</t>
  </si>
  <si>
    <t>GSE46606_IRF4HIGH_VS_WT_CD40L_IL2_IL5_DAY1_STIMULATED_BCELL_UP</t>
  </si>
  <si>
    <t>6188;6201;6205;6142;6141</t>
  </si>
  <si>
    <t>RPS3;RPS7;RPS11;RPL18A;RPL18</t>
  </si>
  <si>
    <t>GSE46606_DAY1_VS_DAY3_CD40L_IL2_IL5_STIMULATED_BCELL_DN</t>
  </si>
  <si>
    <t>8721;7334;6234;3028;28974</t>
  </si>
  <si>
    <t>EDF1;UBE2N;RPS28;HSD17B10;C19orf53</t>
  </si>
  <si>
    <t>GSE41176_UNSTIM_VS_ANTI_IGM_STIM_TAK1_KO_BCELL_1H_UP</t>
  </si>
  <si>
    <t>10975;374291;54539;51504;51647</t>
  </si>
  <si>
    <t>UQCR11;NDUFS7;NDUFB11;TRMT112;CIAO2B</t>
  </si>
  <si>
    <t>GSE41176_WT_VS_TAK1_KO_ANTI_IGM_STIM_BCELL_24H_DN</t>
  </si>
  <si>
    <t>4695;6176;6136;6202;6208</t>
  </si>
  <si>
    <t>NDUFA2;RPLP1;RPL12;RPS8;RPS14</t>
  </si>
  <si>
    <t>GSE45365_CD8A_DC_VS_CD11B_DC_DN</t>
  </si>
  <si>
    <t>353;6161;29100;51693;51647</t>
  </si>
  <si>
    <t>APRT;RPL32;TMEM208;TRAPPC2L;CIAO2B</t>
  </si>
  <si>
    <t>GSE18804_SPLEEN_MACROPHAGE_VS_BRAIN_TUMORAL_MACROPHAGE_DN</t>
  </si>
  <si>
    <t>8667;353;1327;3646;29100</t>
  </si>
  <si>
    <t>EIF3H;APRT;COX4I1;EIF3E;TMEM208</t>
  </si>
  <si>
    <t>GSE18804_BRAIN_VS_COLON_TUMORAL_MACROPHAGE_DN</t>
  </si>
  <si>
    <t>8667;1933;1936;6156;6132</t>
  </si>
  <si>
    <t>EIF3H;EEF1B2;EEF1D;RPL30;RPL8</t>
  </si>
  <si>
    <t>GSE21033_3H_VS_24H_POLYIC_STIM_DC_DN</t>
  </si>
  <si>
    <t>84337;10244;192286;54539</t>
  </si>
  <si>
    <t>ELOF1;RABEPK;HIGD2A;NDUFB11</t>
  </si>
  <si>
    <t>GSE13762_CTRL_VS_125_VITAMIND_DAY5_DC_DN</t>
  </si>
  <si>
    <t>1936;6141;192111;55850</t>
  </si>
  <si>
    <t>EEF1D;RPL18;PGAM5;USE1</t>
  </si>
  <si>
    <t>GSE10147_IL3_VS_IL3_AND_HIVP17_STIM_PDC_DN</t>
  </si>
  <si>
    <t>6136;2197;6164;6147</t>
  </si>
  <si>
    <t>RPL12;FAU;RPL34;RPL23A</t>
  </si>
  <si>
    <t>GSE6674_UNSTIM_VS_PL2_3_STIM_BCELL_UP</t>
  </si>
  <si>
    <t>6188;6122;10399;55651</t>
  </si>
  <si>
    <t>RPS3;RPL3;RACK1;NHP2</t>
  </si>
  <si>
    <t>56242;9534;81576;7561;10781;163049;353088;10147;79230;90594;84449;90592</t>
  </si>
  <si>
    <t>ZNF253;ZNF254;CCDC130;ZNF14;ZNF266;ZNF791;ZNF429;SUGP2;ZNF557;ZNF439;ZNF333;ZNF700</t>
  </si>
  <si>
    <t>http://www.broadinstitute.org/gsea/msigdb/cards/chr19p13.html</t>
  </si>
  <si>
    <t>chr19p12</t>
  </si>
  <si>
    <t>100129842;9534;7562;284443;148213</t>
  </si>
  <si>
    <t>AC008554.1;ZNF254;ZNF708;ZNF493;ZNF681</t>
  </si>
  <si>
    <t>http://www.broadinstitute.org/gsea/msigdb/cards/chr19p12.html</t>
  </si>
  <si>
    <t>chr5q35</t>
  </si>
  <si>
    <t>3187;51149;84851;117608;54540;57396</t>
  </si>
  <si>
    <t>HNRNPH1;MRNIP;TRIM52;ZNF354B;FAM193B;CLK4</t>
  </si>
  <si>
    <t>http://www.broadinstitute.org/gsea/msigdb/cards/chr5q35.html</t>
  </si>
  <si>
    <t>WHITFIELD_CELL_CYCLE_G1_S</t>
  </si>
  <si>
    <t>51747;4820;7700;169981;151613;114823;57035;5411;55082</t>
  </si>
  <si>
    <t>LUC7L3;NKTR;ZNF141;SPIN3;TTC14;LENG8;RSRP1;PNN;ARGLU1</t>
  </si>
  <si>
    <t>http://www.broadinstitute.org/gsea/msigdb/cards/WHITFIELD_CELL_CYCLE_G1_S.html</t>
  </si>
  <si>
    <t>CHEN_HOXA5_TARGETS_9HR_UP</t>
  </si>
  <si>
    <t>7561;1195;7695;10181;57147;23360;79230;57396;57018;9988</t>
  </si>
  <si>
    <t>ZNF14;CLK1;ZNF136;RBM5;SCYL3;FNBP4;ZNF557;CLK4;CCNL1;DMTF1</t>
  </si>
  <si>
    <t>http://www.broadinstitute.org/gsea/msigdb/cards/CHEN_HOXA5_TARGETS_9HR_UP.html</t>
  </si>
  <si>
    <t>REACTOME_GENERIC_TRANSCRIPTION_PATHWAY</t>
  </si>
  <si>
    <t>9534;7561;7562;7695;10781;7700;284443;79230;90594;84449;117608</t>
  </si>
  <si>
    <t>ZNF254;ZNF14;ZNF708;ZNF136;ZNF266;ZNF141;ZNF493;ZNF557;ZNF439;ZNF333;ZNF354B</t>
  </si>
  <si>
    <t>http://www.broadinstitute.org/gsea/msigdb/cards/REACTOME_GENERIC_TRANSCRIPTION_PATHWAY.html</t>
  </si>
  <si>
    <t>ZWANG_DOWN_BY_2ND_EGF_PULSE</t>
  </si>
  <si>
    <t>6843;169981;414189;284443;9852;353088;79800;117608;57035;51380</t>
  </si>
  <si>
    <t>VAMP1;SPIN3;AGAP6;ZNF493;EPM2AIP1;ZNF429;CARF;ZNF354B;RSRP1;CSAD</t>
  </si>
  <si>
    <t>http://www.broadinstitute.org/gsea/msigdb/cards/ZWANG_DOWN_BY_2ND_EGF_PULSE.html</t>
  </si>
  <si>
    <t>GINESTIER_BREAST_CANCER_ZNF217_AMPLIFIED_DN</t>
  </si>
  <si>
    <t>1427;1018;7919;79969;10147;23360;64772;114823;25956;23162</t>
  </si>
  <si>
    <t>CRYGS;CDK3;DDX39B;ATAT1;SUGP2;FNBP4;ENGASE;LENG8;SEC31B;MAPK8IP3</t>
  </si>
  <si>
    <t>http://www.broadinstitute.org/gsea/msigdb/cards/GINESTIER_BREAST_CANCER_ZNF217_AMPLIFIED_DN.html</t>
  </si>
  <si>
    <t>BILBAN_B_CLL_LPL_DN</t>
  </si>
  <si>
    <t>10147;23360;25957;55082;57018</t>
  </si>
  <si>
    <t>SUGP2;FNBP4;PNISR;ARGLU1;CCNL1</t>
  </si>
  <si>
    <t>http://www.broadinstitute.org/gsea/msigdb/cards/BILBAN_B_CLL_LPL_DN.html</t>
  </si>
  <si>
    <t>YAO_TEMPORAL_RESPONSE_TO_PROGESTERONE_CLUSTER_2</t>
  </si>
  <si>
    <t>8473;1195;151613;81669;57396;94104</t>
  </si>
  <si>
    <t>OGT;CLK1;TTC14;CCNL2;CLK4;PAXBP1</t>
  </si>
  <si>
    <t>http://www.broadinstitute.org/gsea/msigdb/cards/YAO_TEMPORAL_RESPONSE_TO_PROGESTERONE_CLUSTER_2.html</t>
  </si>
  <si>
    <t>MITSIADES_RESPONSE_TO_APLIDIN_UP</t>
  </si>
  <si>
    <t>81576;1195;6430;57147;23360;10443;57396;10482;57018;9988</t>
  </si>
  <si>
    <t>CCDC130;CLK1;SRSF5;SCYL3;FNBP4;N4BP2L2;CLK4;NXF1;CCNL1;DMTF1</t>
  </si>
  <si>
    <t>http://www.broadinstitute.org/gsea/msigdb/cards/MITSIADES_RESPONSE_TO_APLIDIN_UP.html</t>
  </si>
  <si>
    <t>7561;10181;10180;10781;25957;5411;11188</t>
  </si>
  <si>
    <t>ZNF14;RBM5;RBM6;ZNF266;PNISR;PNN;NISCH</t>
  </si>
  <si>
    <t>http://www.broadinstitute.org/gsea/msigdb/cards/ACEVEDO_NORMAL_TISSUE_ADJACENT_TO_LIVER_TUMOR_UP.html</t>
  </si>
  <si>
    <t>GINESTIER_BREAST_CANCER_20Q13_AMPLIFICATION_DN</t>
  </si>
  <si>
    <t>7919;9852;23360;64772;114823;5411;57018</t>
  </si>
  <si>
    <t>DDX39B;EPM2AIP1;FNBP4;ENGASE;LENG8;PNN;CCNL1</t>
  </si>
  <si>
    <t>http://www.broadinstitute.org/gsea/msigdb/cards/GINESTIER_BREAST_CANCER_20Q13_AMPLIFICATION_DN.html</t>
  </si>
  <si>
    <t>STEARMAN_LUNG_CANCER_EARLY_VS_LATE_UP</t>
  </si>
  <si>
    <t>4194;7072;3187;1195;81669;5411</t>
  </si>
  <si>
    <t>MDM4;TIA1;HNRNPH1;CLK1;CCNL2;PNN</t>
  </si>
  <si>
    <t>http://www.broadinstitute.org/gsea/msigdb/cards/STEARMAN_LUNG_CANCER_EARLY_VS_LATE_UP.html</t>
  </si>
  <si>
    <t>NAKAMURA_TUMOR_ZONE_PERIPHERAL_VS_CENTRAL_DN</t>
  </si>
  <si>
    <t>7072;1195;6430;284443;9852;27031;10443;81669;5411;57396;11188</t>
  </si>
  <si>
    <t>TIA1;CLK1;SRSF5;ZNF493;EPM2AIP1;NPHP3;N4BP2L2;CCNL2;PNN;CLK4;NISCH</t>
  </si>
  <si>
    <t>http://www.broadinstitute.org/gsea/msigdb/cards/NAKAMURA_TUMOR_ZONE_PERIPHERAL_VS_CENTRAL_DN.html</t>
  </si>
  <si>
    <t>BUYTAERT_PHOTODYNAMIC_THERAPY_STRESS_UP</t>
  </si>
  <si>
    <t>9534;58517;1195;23360;79230;25957;10443;57396;55692;10482;57018;9988</t>
  </si>
  <si>
    <t>ZNF254;RBM25;CLK1;FNBP4;ZNF557;PNISR;N4BP2L2;CLK4;LUC7L;NXF1;CCNL1;DMTF1</t>
  </si>
  <si>
    <t>http://www.broadinstitute.org/gsea/msigdb/cards/BUYTAERT_PHOTODYNAMIC_THERAPY_STRESS_UP.html</t>
  </si>
  <si>
    <t>8473;56242;1655;6843;4820;3187;9782;10180;4214;7919;10781;7700;57147;23360;57035;5411</t>
  </si>
  <si>
    <t>OGT;ZNF253;DDX5;VAMP1;NKTR;HNRNPH1;MATR3;RBM6;MAP3K1;DDX39B;ZNF266;ZNF141;SCYL3;FNBP4;RSRP1;PNN</t>
  </si>
  <si>
    <t>http://www.broadinstitute.org/gsea/msigdb/cards/PUJANA_ATM_PCC_NETWORK.html</t>
  </si>
  <si>
    <t>TOYOTA_TARGETS_OF_MIR34B_AND_MIR34C</t>
  </si>
  <si>
    <t>4194;4439;9534;7919;7700;284443;148213;90592;55692</t>
  </si>
  <si>
    <t>MDM4;MSH5;ZNF254;DDX39B;ZNF141;ZNF493;ZNF681;ZNF700;LUC7L</t>
  </si>
  <si>
    <t>http://www.broadinstitute.org/gsea/msigdb/cards/TOYOTA_TARGETS_OF_MIR34B_AND_MIR34C.html</t>
  </si>
  <si>
    <t>8473;1655;3187;6430;10147;23360</t>
  </si>
  <si>
    <t>OGT;DDX5;HNRNPH1;SRSF5;SUGP2;FNBP4</t>
  </si>
  <si>
    <t>http://www.broadinstitute.org/gsea/msigdb/cards/JISON_SICKLE_CELL_DISEASE_DN.html</t>
  </si>
  <si>
    <t>OSWALD_HEMATOPOIETIC_STEM_CELL_IN_COLLAGEN_GEL_DN</t>
  </si>
  <si>
    <t>3187;58517;4214;7919;10521;57035;26013</t>
  </si>
  <si>
    <t>HNRNPH1;RBM25;MAP3K1;DDX39B;DDX17;RSRP1;L3MBTL1</t>
  </si>
  <si>
    <t>http://www.broadinstitute.org/gsea/msigdb/cards/OSWALD_HEMATOPOIETIC_STEM_CELL_IN_COLLAGEN_GEL_DN.html</t>
  </si>
  <si>
    <t>NUYTTEN_NIPP1_TARGETS_UP</t>
  </si>
  <si>
    <t>8473;51747;58517;51149;10443;151613;5411;25956;55082;9988;26013</t>
  </si>
  <si>
    <t>OGT;LUC7L3;RBM25;MRNIP;N4BP2L2;TTC14;PNN;SEC31B;ARGLU1;DMTF1;L3MBTL1</t>
  </si>
  <si>
    <t>http://www.broadinstitute.org/gsea/msigdb/cards/NUYTTEN_NIPP1_TARGETS_UP.html</t>
  </si>
  <si>
    <t>KEGG_SPLICEOSOME</t>
  </si>
  <si>
    <t>1655;58517;6430;7919;9984</t>
  </si>
  <si>
    <t>DDX5;RBM25;SRSF5;DDX39B;THOC1</t>
  </si>
  <si>
    <t>http://www.broadinstitute.org/gsea/msigdb/cards/KEGG_SPLICEOSOME.html</t>
  </si>
  <si>
    <t>WANG_TUMOR_INVASIVENESS_DN</t>
  </si>
  <si>
    <t>51747;1195;10181;4214;57035;51380</t>
  </si>
  <si>
    <t>LUC7L3;CLK1;RBM5;MAP3K1;RSRP1;CSAD</t>
  </si>
  <si>
    <t>http://www.broadinstitute.org/gsea/msigdb/cards/WANG_TUMOR_INVASIVENESS_DN.html</t>
  </si>
  <si>
    <t>DEURIG_T_CELL_PROLYMPHOCYTIC_LEUKEMIA_DN</t>
  </si>
  <si>
    <t>7561;4820;6430;58486;25957;10443;9984</t>
  </si>
  <si>
    <t>ZNF14;NKTR;SRSF5;ZBED5;PNISR;N4BP2L2;THOC1</t>
  </si>
  <si>
    <t>http://www.broadinstitute.org/gsea/msigdb/cards/DEURIG_T_CELL_PROLYMPHOCYTIC_LEUKEMIA_DN.html</t>
  </si>
  <si>
    <t>AMUNDSON_RESPONSE_TO_ARSENITE</t>
  </si>
  <si>
    <t>8473;9534;4820;1195;10181;10443</t>
  </si>
  <si>
    <t>OGT;ZNF254;NKTR;CLK1;RBM5;N4BP2L2</t>
  </si>
  <si>
    <t>http://www.broadinstitute.org/gsea/msigdb/cards/AMUNDSON_RESPONSE_TO_ARSENITE.html</t>
  </si>
  <si>
    <t>REACTOME_PROCESSING_OF_CAPPED_INTRON_CONTAINING_PRE_MRNA</t>
  </si>
  <si>
    <t>3187;10181;6430;56339;10482</t>
  </si>
  <si>
    <t>HNRNPH1;RBM5;SRSF5;METTL3;NXF1</t>
  </si>
  <si>
    <t>http://www.broadinstitute.org/gsea/msigdb/cards/REACTOME_PROCESSING_OF_CAPPED_INTRON_CONTAINING_PRE_MRNA.html</t>
  </si>
  <si>
    <t>KIM_WT1_TARGETS_DN</t>
  </si>
  <si>
    <t>4820;7072;58517;58486;56339;10147;23360;57035</t>
  </si>
  <si>
    <t>NKTR;TIA1;RBM25;ZBED5;METTL3;SUGP2;FNBP4;RSRP1</t>
  </si>
  <si>
    <t>http://www.broadinstitute.org/gsea/msigdb/cards/KIM_WT1_TARGETS_DN.html</t>
  </si>
  <si>
    <t>XU_HGF_TARGETS_INDUCED_BY_AKT1_48HR_DN</t>
  </si>
  <si>
    <t>10147;57035;57018</t>
  </si>
  <si>
    <t>SUGP2;RSRP1;CCNL1</t>
  </si>
  <si>
    <t>http://www.broadinstitute.org/gsea/msigdb/cards/XU_HGF_TARGETS_INDUCED_BY_AKT1_48HR_DN.html</t>
  </si>
  <si>
    <t>4194;8473;51747;58486;25957;10521</t>
  </si>
  <si>
    <t>MDM4;OGT;LUC7L3;ZBED5;PNISR;DDX17</t>
  </si>
  <si>
    <t>http://www.broadinstitute.org/gsea/msigdb/cards/RICKMAN_TUMOR_DIFFERENTIATED_WELL_VS_POORLY_UP.html</t>
  </si>
  <si>
    <t>PECE_MAMMARY_STEM_CELL_DN</t>
  </si>
  <si>
    <t>4820;7072;25957;2550;57018</t>
  </si>
  <si>
    <t>NKTR;TIA1;PNISR;GABBR1;CCNL1</t>
  </si>
  <si>
    <t>http://www.broadinstitute.org/gsea/msigdb/cards/PECE_MAMMARY_STEM_CELL_DN.html</t>
  </si>
  <si>
    <t>THUM_SYSTOLIC_HEART_FAILURE_DN</t>
  </si>
  <si>
    <t>4820;10180;284443;25957;10443;84851</t>
  </si>
  <si>
    <t>NKTR;RBM6;ZNF493;PNISR;N4BP2L2;TRIM52</t>
  </si>
  <si>
    <t>http://www.broadinstitute.org/gsea/msigdb/cards/THUM_SYSTOLIC_HEART_FAILURE_DN.html</t>
  </si>
  <si>
    <t>BROWNE_HCMV_INFECTION_14HR_UP</t>
  </si>
  <si>
    <t>51747;10781;57035;5411;10482</t>
  </si>
  <si>
    <t>LUC7L3;ZNF266;RSRP1;PNN;NXF1</t>
  </si>
  <si>
    <t>http://www.broadinstitute.org/gsea/msigdb/cards/BROWNE_HCMV_INFECTION_14HR_UP.html</t>
  </si>
  <si>
    <t>REACTOME_MRNA_PROCESSING</t>
  </si>
  <si>
    <t>http://www.broadinstitute.org/gsea/msigdb/cards/REACTOME_MRNA_PROCESSING.html</t>
  </si>
  <si>
    <t>LAIHO_COLORECTAL_CANCER_SERRATED_DN</t>
  </si>
  <si>
    <t>8473;10307;64772;25970</t>
  </si>
  <si>
    <t>OGT;APBB3;ENGASE;SH2B1</t>
  </si>
  <si>
    <t>http://www.broadinstitute.org/gsea/msigdb/cards/LAIHO_COLORECTAL_CANCER_SERRATED_DN.html</t>
  </si>
  <si>
    <t>WANG_LMO4_TARGETS_UP</t>
  </si>
  <si>
    <t>4194;8473;64770;9852;10443;55082;9988</t>
  </si>
  <si>
    <t>MDM4;OGT;CCDC14;EPM2AIP1;N4BP2L2;ARGLU1;DMTF1</t>
  </si>
  <si>
    <t>http://www.broadinstitute.org/gsea/msigdb/cards/WANG_LMO4_TARGETS_UP.html</t>
  </si>
  <si>
    <t>WHITFIELD_CELL_CYCLE_S</t>
  </si>
  <si>
    <t>8473;6430;64770;58486;338657</t>
  </si>
  <si>
    <t>OGT;SRSF5;CCDC14;ZBED5;CCDC84</t>
  </si>
  <si>
    <t>http://www.broadinstitute.org/gsea/msigdb/cards/WHITFIELD_CELL_CYCLE_S.html</t>
  </si>
  <si>
    <t>BENPORATH_CYCLING_GENES</t>
  </si>
  <si>
    <t>8473;4820;6430;64770;58486;114823;5411;55082;9988</t>
  </si>
  <si>
    <t>OGT;NKTR;SRSF5;CCDC14;ZBED5;LENG8;PNN;ARGLU1;DMTF1</t>
  </si>
  <si>
    <t>http://www.broadinstitute.org/gsea/msigdb/cards/BENPORATH_CYCLING_GENES.html</t>
  </si>
  <si>
    <t>MARTORIATI_MDM4_TARGETS_FETAL_LIVER_DN</t>
  </si>
  <si>
    <t>4194;7072;9782;58517;10181;9852;25957;10521</t>
  </si>
  <si>
    <t>MDM4;TIA1;MATR3;RBM25;RBM5;EPM2AIP1;PNISR;DDX17</t>
  </si>
  <si>
    <t>http://www.broadinstitute.org/gsea/msigdb/cards/MARTORIATI_MDM4_TARGETS_FETAL_LIVER_DN.html</t>
  </si>
  <si>
    <t>BURTON_ADIPOGENESIS_12</t>
  </si>
  <si>
    <t>51747;57035;55082</t>
  </si>
  <si>
    <t>LUC7L3;RSRP1;ARGLU1</t>
  </si>
  <si>
    <t>http://www.broadinstitute.org/gsea/msigdb/cards/BURTON_ADIPOGENESIS_12.html</t>
  </si>
  <si>
    <t>WANG_RESPONSE_TO_GSK3_INHIBITOR_SB216763_UP</t>
  </si>
  <si>
    <t>353088;79800;89849;57337;57035;25956;26140</t>
  </si>
  <si>
    <t>ZNF429;CARF;ATG16L2;SENP7;RSRP1;SEC31B;TTLL3</t>
  </si>
  <si>
    <t>http://www.broadinstitute.org/gsea/msigdb/cards/WANG_RESPONSE_TO_GSK3_INHIBITOR_SB216763_UP.html</t>
  </si>
  <si>
    <t>PYEON_HPV_POSITIVE_TUMORS_UP</t>
  </si>
  <si>
    <t>7072;1018;285989;25957</t>
  </si>
  <si>
    <t>TIA1;CDK3;ZNF789;PNISR</t>
  </si>
  <si>
    <t>http://www.broadinstitute.org/gsea/msigdb/cards/PYEON_HPV_POSITIVE_TUMORS_UP.html</t>
  </si>
  <si>
    <t>SENGUPTA_NASOPHARYNGEAL_CARCINOMA_WITH_LMP1_UP</t>
  </si>
  <si>
    <t>51747;4820;9782;58517;10443;10521;57396</t>
  </si>
  <si>
    <t>LUC7L3;NKTR;MATR3;RBM25;N4BP2L2;DDX17;CLK4</t>
  </si>
  <si>
    <t>http://www.broadinstitute.org/gsea/msigdb/cards/SENGUPTA_NASOPHARYNGEAL_CARCINOMA_WITH_LMP1_UP.html</t>
  </si>
  <si>
    <t>4194;8473;6843;9852;338657;64772;11188</t>
  </si>
  <si>
    <t>MDM4;OGT;VAMP1;EPM2AIP1;CCDC84;ENGASE;NISCH</t>
  </si>
  <si>
    <t>http://www.broadinstitute.org/gsea/msigdb/cards/OSMAN_BLADDER_CANCER_DN.html</t>
  </si>
  <si>
    <t>197342;4439;1655;3187;9782;339105;283870;338657;5411;57018</t>
  </si>
  <si>
    <t>EME2;MSH5;DDX5;HNRNPH1;MATR3;PRSS53;BRICD5;CCDC84;PNN;CCNL1</t>
  </si>
  <si>
    <t>http://www.broadinstitute.org/gsea/msigdb/cards/MARTENS_TRETINOIN_RESPONSE_DN.html</t>
  </si>
  <si>
    <t>HADDAD_B_LYMPHOCYTE_PROGENITOR</t>
  </si>
  <si>
    <t>6843;7072;10180;25957;10443;54540</t>
  </si>
  <si>
    <t>VAMP1;TIA1;RBM6;PNISR;N4BP2L2;FAM193B</t>
  </si>
  <si>
    <t>http://www.broadinstitute.org/gsea/msigdb/cards/HADDAD_B_LYMPHOCYTE_PROGENITOR.html</t>
  </si>
  <si>
    <t>GRAESSMANN_APOPTOSIS_BY_DOXORUBICIN_DN</t>
  </si>
  <si>
    <t>8473;7072;58517;10181;4214;7919;55015;338657;10521;151613;5411;57396;55082;2550;11188</t>
  </si>
  <si>
    <t>OGT;TIA1;RBM25;RBM5;MAP3K1;DDX39B;PRPF39;CCDC84;DDX17;TTC14;PNN;CLK4;ARGLU1;GABBR1;NISCH</t>
  </si>
  <si>
    <t>http://www.broadinstitute.org/gsea/msigdb/cards/GRAESSMANN_APOPTOSIS_BY_DOXORUBICIN_DN.html</t>
  </si>
  <si>
    <t>PYEON_CANCER_HEAD_AND_NECK_VS_CERVICAL_UP</t>
  </si>
  <si>
    <t>26039;64770;55015;57018;94104</t>
  </si>
  <si>
    <t>SS18L1;CCDC14;PRPF39;CCNL1;PAXBP1</t>
  </si>
  <si>
    <t>http://www.broadinstitute.org/gsea/msigdb/cards/PYEON_CANCER_HEAD_AND_NECK_VS_CERVICAL_UP.html</t>
  </si>
  <si>
    <t>STARK_PREFRONTAL_CORTEX_22Q11_DELETION_UP</t>
  </si>
  <si>
    <t>8473;58517;151613;114823;55082</t>
  </si>
  <si>
    <t>OGT;RBM25;TTC14;LENG8;ARGLU1</t>
  </si>
  <si>
    <t>http://www.broadinstitute.org/gsea/msigdb/cards/STARK_PREFRONTAL_CORTEX_22Q11_DELETION_UP.html</t>
  </si>
  <si>
    <t>LEE_DIFFERENTIATING_T_LYMPHOCYTE</t>
  </si>
  <si>
    <t>4194;6843;10781;25957;25956</t>
  </si>
  <si>
    <t>MDM4;VAMP1;ZNF266;PNISR;SEC31B</t>
  </si>
  <si>
    <t>http://www.broadinstitute.org/gsea/msigdb/cards/LEE_DIFFERENTIATING_T_LYMPHOCYTE.html</t>
  </si>
  <si>
    <t>8473;1655;4820;7072;9852;10147;25957;10521;94104</t>
  </si>
  <si>
    <t>OGT;DDX5;NKTR;TIA1;EPM2AIP1;SUGP2;PNISR;DDX17;PAXBP1</t>
  </si>
  <si>
    <t>http://www.broadinstitute.org/gsea/msigdb/cards/BENPORATH_SOX2_TARGETS.html</t>
  </si>
  <si>
    <t>GCCATNTTG_YY1_Q6</t>
  </si>
  <si>
    <t>51747;7072;10181;6430;56339;57147;10443;10521;54540;57396</t>
  </si>
  <si>
    <t>LUC7L3;TIA1;RBM5;SRSF5;METTL3;SCYL3;N4BP2L2;DDX17;FAM193B;CLK4</t>
  </si>
  <si>
    <t>http://www.broadinstitute.org/gsea/msigdb/cards/GCCATNTTG_YY1_Q6.html</t>
  </si>
  <si>
    <t>NFMUE1_Q6</t>
  </si>
  <si>
    <t>51747;10307;7072;1195;10181;58486;51380</t>
  </si>
  <si>
    <t>LUC7L3;APBB3;TIA1;CLK1;RBM5;ZBED5;CSAD</t>
  </si>
  <si>
    <t>http://www.broadinstitute.org/gsea/msigdb/cards/NFMUE1_Q6.html</t>
  </si>
  <si>
    <t>KCCGNSWTTT_UNKNOWN</t>
  </si>
  <si>
    <t>8473;1655;3187;10521;9988</t>
  </si>
  <si>
    <t>OGT;DDX5;HNRNPH1;DDX17;DMTF1</t>
  </si>
  <si>
    <t>http://www.broadinstitute.org/gsea/msigdb/cards/KCCGNSWTTT_UNKNOWN.html</t>
  </si>
  <si>
    <t>SMTTTTGT_UNKNOWN</t>
  </si>
  <si>
    <t>51747;1655;1195;10181;6430;10521;57396;51380</t>
  </si>
  <si>
    <t>LUC7L3;DDX5;CLK1;RBM5;SRSF5;DDX17;CLK4;CSAD</t>
  </si>
  <si>
    <t>http://www.broadinstitute.org/gsea/msigdb/cards/SMTTTTGT_UNKNOWN.html</t>
  </si>
  <si>
    <t>TGCGCANK_UNKNOWN</t>
  </si>
  <si>
    <t>7072;3187;6430;79800;114823;57337;57035;5411;10482</t>
  </si>
  <si>
    <t>TIA1;HNRNPH1;SRSF5;CARF;LENG8;SENP7;RSRP1;PNN;NXF1</t>
  </si>
  <si>
    <t>http://www.broadinstitute.org/gsea/msigdb/cards/TGCGCANK_UNKNOWN.html</t>
  </si>
  <si>
    <t>TTTGTAG_MIR520D</t>
  </si>
  <si>
    <t>51747;6430;55015;10521;55692;55082;10482</t>
  </si>
  <si>
    <t>LUC7L3;SRSF5;PRPF39;DDX17;LUC7L;ARGLU1;NXF1</t>
  </si>
  <si>
    <t>http://www.broadinstitute.org/gsea/msigdb/cards/TTTGTAG_MIR520D.html</t>
  </si>
  <si>
    <t>TCCAGAT_MIR5165P</t>
  </si>
  <si>
    <t>1195;6430;57035;55082</t>
  </si>
  <si>
    <t>CLK1;SRSF5;RSRP1;ARGLU1</t>
  </si>
  <si>
    <t>http://www.broadinstitute.org/gsea/msigdb/cards/TCCAGAT_MIR5165P.html</t>
  </si>
  <si>
    <t>GCM_MLL</t>
  </si>
  <si>
    <t>51747;10307;7072;58517;9852;151613;57337;57396;25970;10482</t>
  </si>
  <si>
    <t>LUC7L3;APBB3;TIA1;RBM25;EPM2AIP1;TTC14;SENP7;CLK4;SH2B1;NXF1</t>
  </si>
  <si>
    <t>http://www.broadinstitute.org/gsea/msigdb/cards/GCM_MLL.html</t>
  </si>
  <si>
    <t>MODULE_486</t>
  </si>
  <si>
    <t>51747;1655;10180;79969;89849;10521;81669;55082</t>
  </si>
  <si>
    <t>LUC7L3;DDX5;RBM6;ATAT1;ATG16L2;DDX17;CCNL2;ARGLU1</t>
  </si>
  <si>
    <t>http://www.broadinstitute.org/gsea/msigdb/cards/MODULE_486.html</t>
  </si>
  <si>
    <t>GNF2_DDX5</t>
  </si>
  <si>
    <t>1655;10181;6430;57035;10482;57018</t>
  </si>
  <si>
    <t>DDX5;RBM5;SRSF5;RSRP1;NXF1;CCNL1</t>
  </si>
  <si>
    <t>http://www.broadinstitute.org/gsea/msigdb/cards/GNF2_DDX5.html</t>
  </si>
  <si>
    <t>GCM_ZNF198</t>
  </si>
  <si>
    <t>26039;51747;58517;9852;57396;9988</t>
  </si>
  <si>
    <t>SS18L1;LUC7L3;RBM25;EPM2AIP1;CLK4;DMTF1</t>
  </si>
  <si>
    <t>http://www.broadinstitute.org/gsea/msigdb/cards/GCM_ZNF198.html</t>
  </si>
  <si>
    <t>MORF_SNRP70</t>
  </si>
  <si>
    <t>10181;10147;10521;10482</t>
  </si>
  <si>
    <t>RBM5;SUGP2;DDX17;NXF1</t>
  </si>
  <si>
    <t>http://www.broadinstitute.org/gsea/msigdb/cards/MORF_SNRP70.html</t>
  </si>
  <si>
    <t>GCM_DDX5</t>
  </si>
  <si>
    <t>1655;3187;6430;5411</t>
  </si>
  <si>
    <t>DDX5;HNRNPH1;SRSF5;PNN</t>
  </si>
  <si>
    <t>http://www.broadinstitute.org/gsea/msigdb/cards/GCM_DDX5.html</t>
  </si>
  <si>
    <t>MODULE_183</t>
  </si>
  <si>
    <t>3187;10181;10521;9984</t>
  </si>
  <si>
    <t>HNRNPH1;RBM5;DDX17;THOC1</t>
  </si>
  <si>
    <t>http://www.broadinstitute.org/gsea/msigdb/cards/MODULE_183.html</t>
  </si>
  <si>
    <t>GCM_FANCL</t>
  </si>
  <si>
    <t>26039;51747;9988</t>
  </si>
  <si>
    <t>SS18L1;LUC7L3;DMTF1</t>
  </si>
  <si>
    <t>http://www.broadinstitute.org/gsea/msigdb/cards/GCM_FANCL.html</t>
  </si>
  <si>
    <t>GCM_UBE2N</t>
  </si>
  <si>
    <t>26039;51747;10307;7072;9852</t>
  </si>
  <si>
    <t>SS18L1;LUC7L3;APBB3;TIA1;EPM2AIP1</t>
  </si>
  <si>
    <t>http://www.broadinstitute.org/gsea/msigdb/cards/GCM_UBE2N.html</t>
  </si>
  <si>
    <t>GNF2_ATM</t>
  </si>
  <si>
    <t>8473;27040;10781</t>
  </si>
  <si>
    <t>OGT;LAT;ZNF266</t>
  </si>
  <si>
    <t>http://www.broadinstitute.org/gsea/msigdb/cards/GNF2_ATM.html</t>
  </si>
  <si>
    <t>GCM_GSPT1</t>
  </si>
  <si>
    <t>26039;10307;10180;9852;25970</t>
  </si>
  <si>
    <t>SS18L1;APBB3;RBM6;EPM2AIP1;SH2B1</t>
  </si>
  <si>
    <t>http://www.broadinstitute.org/gsea/msigdb/cards/GCM_GSPT1.html</t>
  </si>
  <si>
    <t>GCM_MYST2</t>
  </si>
  <si>
    <t>26039;51747;58517;9852;9988</t>
  </si>
  <si>
    <t>SS18L1;LUC7L3;RBM25;EPM2AIP1;DMTF1</t>
  </si>
  <si>
    <t>http://www.broadinstitute.org/gsea/msigdb/cards/GCM_MYST2.html</t>
  </si>
  <si>
    <t>GO_NUCLEAR_SPECK</t>
  </si>
  <si>
    <t>51747;58517;6430;7919;56339;25957;9984;81669;5411;10482;57018</t>
  </si>
  <si>
    <t>LUC7L3;RBM25;SRSF5;DDX39B;METTL3;PNISR;THOC1;CCNL2;PNN;NXF1;CCNL1</t>
  </si>
  <si>
    <t>http://www.broadinstitute.org/gsea/msigdb/cards/GO_NUCLEAR_SPECK.html</t>
  </si>
  <si>
    <t>GO_MRNA_PROCESSING</t>
  </si>
  <si>
    <t>51747;1655;3187;58517;10181;6430;7919;80336;56339;55015;10147;9984;5411;55692</t>
  </si>
  <si>
    <t>LUC7L3;DDX5;HNRNPH1;RBM25;RBM5;SRSF5;DDX39B;PABPC1L;METTL3;PRPF39;SUGP2;THOC1;PNN;LUC7L</t>
  </si>
  <si>
    <t>http://www.broadinstitute.org/gsea/msigdb/cards/GO_MRNA_PROCESSING.html</t>
  </si>
  <si>
    <t>GO_RNA_SPLICING</t>
  </si>
  <si>
    <t>51747;1655;3187;58517;10181;6430;7919;56339;55015;10147;9984;5411;55692</t>
  </si>
  <si>
    <t>LUC7L3;DDX5;HNRNPH1;RBM25;RBM5;SRSF5;DDX39B;METTL3;PRPF39;SUGP2;THOC1;PNN;LUC7L</t>
  </si>
  <si>
    <t>http://www.broadinstitute.org/gsea/msigdb/cards/GO_RNA_SPLICING.html</t>
  </si>
  <si>
    <t>51747;1655;3187;58517;10181;10180;6430;7919;80336;56339;55015;10147;10521;9984;5411;55692;57018</t>
  </si>
  <si>
    <t>LUC7L3;DDX5;HNRNPH1;RBM25;RBM5;RBM6;SRSF5;DDX39B;PABPC1L;METTL3;PRPF39;SUGP2;DDX17;THOC1;PNN;LUC7L;CCNL1</t>
  </si>
  <si>
    <t>http://www.broadinstitute.org/gsea/msigdb/cards/GO_RNA_PROCESSING.html</t>
  </si>
  <si>
    <t>GO_NUCLEAR_BODY</t>
  </si>
  <si>
    <t>26039;51747;58517;6430;7919;56339;25957;9984;81669;5411;10482;57018</t>
  </si>
  <si>
    <t>SS18L1;LUC7L3;RBM25;SRSF5;DDX39B;METTL3;PNISR;THOC1;CCNL2;PNN;NXF1;CCNL1</t>
  </si>
  <si>
    <t>http://www.broadinstitute.org/gsea/msigdb/cards/GO_NUCLEAR_BODY.html</t>
  </si>
  <si>
    <t>GO_SPLICEOSOMAL_COMPLEX</t>
  </si>
  <si>
    <t>51747;1655;3187;58517;10181;7919;55015;5411;55692</t>
  </si>
  <si>
    <t>LUC7L3;DDX5;HNRNPH1;RBM25;RBM5;DDX39B;PRPF39;PNN;LUC7L</t>
  </si>
  <si>
    <t>http://www.broadinstitute.org/gsea/msigdb/cards/GO_SPLICEOSOMAL_COMPLEX.html</t>
  </si>
  <si>
    <t>http://www.broadinstitute.org/gsea/msigdb/cards/GO_MRNA_METABOLIC_PROCESS.html</t>
  </si>
  <si>
    <t>GO_RNA_SPLICING_VIA_TRANSESTERIFICATION_REACTIONS</t>
  </si>
  <si>
    <t>51747;1655;3187;10181;6430;7919;56339;55015;5411;55692</t>
  </si>
  <si>
    <t>LUC7L3;DDX5;HNRNPH1;RBM5;SRSF5;DDX39B;METTL3;PRPF39;PNN;LUC7L</t>
  </si>
  <si>
    <t>http://www.broadinstitute.org/gsea/msigdb/cards/GO_RNA_SPLICING_VIA_TRANSESTERIFICATION_REACTIONS.html</t>
  </si>
  <si>
    <t>GO_SPLICEOSOMAL_COMPLEX_ASSEMBLY</t>
  </si>
  <si>
    <t>51747;10181;6430;7919;55015;55692</t>
  </si>
  <si>
    <t>LUC7L3;RBM5;SRSF5;DDX39B;PRPF39;LUC7L</t>
  </si>
  <si>
    <t>http://www.broadinstitute.org/gsea/msigdb/cards/GO_SPLICEOSOMAL_COMPLEX_ASSEMBLY.html</t>
  </si>
  <si>
    <t>GO_REGULATION_OF_RNA_SPLICING</t>
  </si>
  <si>
    <t>1655;7072;3187;58517;1195;10181;57396</t>
  </si>
  <si>
    <t>DDX5;TIA1;HNRNPH1;RBM25;CLK1;RBM5;CLK4</t>
  </si>
  <si>
    <t>http://www.broadinstitute.org/gsea/msigdb/cards/GO_REGULATION_OF_RNA_SPLICING.html</t>
  </si>
  <si>
    <t>51747;1655;7072;3187;9782;58517;10181;10180;6430;7919;80336;56339;55015;10147;25957;10521;9984;5411;55692;10482</t>
  </si>
  <si>
    <t>LUC7L3;DDX5;TIA1;HNRNPH1;MATR3;RBM25;RBM5;RBM6;SRSF5;DDX39B;PABPC1L;METTL3;PRPF39;SUGP2;PNISR;DDX17;THOC1;PNN;LUC7L;NXF1</t>
  </si>
  <si>
    <t>http://www.broadinstitute.org/gsea/msigdb/cards/GO_RNA_BINDING.html</t>
  </si>
  <si>
    <t>GO_NUCLEOPLASM_PART</t>
  </si>
  <si>
    <t>8473;26039;51747;58517;6430;7919;56339;25957;9984;81669;5411;10482;57018</t>
  </si>
  <si>
    <t>OGT;SS18L1;LUC7L3;RBM25;SRSF5;DDX39B;METTL3;PNISR;THOC1;CCNL2;PNN;NXF1;CCNL1</t>
  </si>
  <si>
    <t>http://www.broadinstitute.org/gsea/msigdb/cards/GO_NUCLEOPLASM_PART.html</t>
  </si>
  <si>
    <t>51747;1655;7072;3187;9782;58517;10181;10180;6430;7919;10147;25957;10521;5411;55692;10482</t>
  </si>
  <si>
    <t>LUC7L3;DDX5;TIA1;HNRNPH1;MATR3;RBM25;RBM5;RBM6;SRSF5;DDX39B;SUGP2;PNISR;DDX17;PNN;LUC7L;NXF1</t>
  </si>
  <si>
    <t>http://www.broadinstitute.org/gsea/msigdb/cards/GO_POLY_A_RNA_BINDING.html</t>
  </si>
  <si>
    <t>GO_MRNA_SPLICE_SITE_SELECTION</t>
  </si>
  <si>
    <t>51747;6430;55015;55692</t>
  </si>
  <si>
    <t>LUC7L3;SRSF5;PRPF39;LUC7L</t>
  </si>
  <si>
    <t>http://www.broadinstitute.org/gsea/msigdb/cards/GO_MRNA_SPLICE_SITE_SELECTION.html</t>
  </si>
  <si>
    <t>GO_TRANSCRIPTION_EXPORT_COMPLEX</t>
  </si>
  <si>
    <t>7919;9984;10482</t>
  </si>
  <si>
    <t>DDX39B;THOC1;NXF1</t>
  </si>
  <si>
    <t>http://www.broadinstitute.org/gsea/msigdb/cards/GO_TRANSCRIPTION_EXPORT_COMPLEX.html</t>
  </si>
  <si>
    <t>GO_U2_TYPE_PRESPLICEOSOME</t>
  </si>
  <si>
    <t>51747;55015;55692</t>
  </si>
  <si>
    <t>LUC7L3;PRPF39;LUC7L</t>
  </si>
  <si>
    <t>http://www.broadinstitute.org/gsea/msigdb/cards/GO_U2_TYPE_PRESPLICEOSOME.html</t>
  </si>
  <si>
    <t>GO_U1_SNRNP</t>
  </si>
  <si>
    <t>http://www.broadinstitute.org/gsea/msigdb/cards/GO_U1_SNRNP.html</t>
  </si>
  <si>
    <t>http://www.broadinstitute.org/gsea/msigdb/cards/GO_RIBONUCLEOPROTEIN_COMPLEX_SUBUNIT_ORGANIZATION.html</t>
  </si>
  <si>
    <t>GO_SMALL_NUCLEAR_RIBONUCLEOPROTEIN_COMPLEX</t>
  </si>
  <si>
    <t>51747;7919;55015;55692</t>
  </si>
  <si>
    <t>LUC7L3;DDX39B;PRPF39;LUC7L</t>
  </si>
  <si>
    <t>http://www.broadinstitute.org/gsea/msigdb/cards/GO_SMALL_NUCLEAR_RIBONUCLEOPROTEIN_COMPLEX.html</t>
  </si>
  <si>
    <t>GO_REGULATION_OF_MRNA_SPLICING_VIA_SPLICEOSOME</t>
  </si>
  <si>
    <t>1655;7072;58517;10181</t>
  </si>
  <si>
    <t>DDX5;TIA1;RBM25;RBM5</t>
  </si>
  <si>
    <t>http://www.broadinstitute.org/gsea/msigdb/cards/GO_REGULATION_OF_MRNA_SPLICING_VIA_SPLICEOSOME.html</t>
  </si>
  <si>
    <t>GO_PRESPLICEOSOME</t>
  </si>
  <si>
    <t>http://www.broadinstitute.org/gsea/msigdb/cards/GO_PRESPLICEOSOME.html</t>
  </si>
  <si>
    <t>51747;1655;7072;3187;58517;10181;7919;55015;5411;55692</t>
  </si>
  <si>
    <t>LUC7L3;DDX5;TIA1;HNRNPH1;RBM25;RBM5;DDX39B;PRPF39;PNN;LUC7L</t>
  </si>
  <si>
    <t>http://www.broadinstitute.org/gsea/msigdb/cards/GO_RIBONUCLEOPROTEIN_COMPLEX.html</t>
  </si>
  <si>
    <t>GO_MRNA_3_END_PROCESSING</t>
  </si>
  <si>
    <t>6430;7919;80336;9984</t>
  </si>
  <si>
    <t>SRSF5;DDX39B;PABPC1L;THOC1</t>
  </si>
  <si>
    <t>http://www.broadinstitute.org/gsea/msigdb/cards/GO_MRNA_3_END_PROCESSING.html</t>
  </si>
  <si>
    <t>51747;58517;10181;55692;10482</t>
  </si>
  <si>
    <t>LUC7L3;RBM25;RBM5;LUC7L;NXF1</t>
  </si>
  <si>
    <t>http://www.broadinstitute.org/gsea/msigdb/cards/GO_MRNA_BINDING.html</t>
  </si>
  <si>
    <t>GO_U2_TYPE_SPLICEOSOMAL_COMPLEX</t>
  </si>
  <si>
    <t>http://www.broadinstitute.org/gsea/msigdb/cards/GO_U2_TYPE_SPLICEOSOMAL_COMPLEX.html</t>
  </si>
  <si>
    <t>GO_REGULATION_OF_ALTERNATIVE_MRNA_SPLICING_VIA_SPLICEOSOME</t>
  </si>
  <si>
    <t>1655;58517;10181</t>
  </si>
  <si>
    <t>DDX5;RBM25;RBM5</t>
  </si>
  <si>
    <t>http://www.broadinstitute.org/gsea/msigdb/cards/GO_REGULATION_OF_ALTERNATIVE_MRNA_SPLICING_VIA_SPLICEOSOME.html</t>
  </si>
  <si>
    <t>JAK2_DN.V1_DN</t>
  </si>
  <si>
    <t>9852;79800;25957;84851;25956;2550;57018;9988;51380</t>
  </si>
  <si>
    <t>EPM2AIP1;CARF;PNISR;TRIM52;SEC31B;GABBR1;CCNL1;DMTF1;CSAD</t>
  </si>
  <si>
    <t>c6</t>
  </si>
  <si>
    <t>http://www.broadinstitute.org/gsea/msigdb/cards/JAK2_DN.V1_DN.html</t>
  </si>
  <si>
    <t>MTOR_UP.N4.V1_DN</t>
  </si>
  <si>
    <t>7561;1195;79800;57337;57396</t>
  </si>
  <si>
    <t>ZNF14;CLK1;CARF;SENP7;CLK4</t>
  </si>
  <si>
    <t>http://www.broadinstitute.org/gsea/msigdb/cards/MTOR_UP.N4.V1_DN.html</t>
  </si>
  <si>
    <t>GSE21927_SPLENIC_VS_TUMOR_MONOCYTES_FROM_C26GM_TUMOROUS_MICE_BALBC_DN</t>
  </si>
  <si>
    <t>6843;4820;1195;10181;10781;9852;10443;84851;81669;57035;57396;25970;55082;11188</t>
  </si>
  <si>
    <t>VAMP1;NKTR;CLK1;RBM5;ZNF266;EPM2AIP1;N4BP2L2;TRIM52;CCNL2;RSRP1;CLK4;SH2B1;ARGLU1;NISCH</t>
  </si>
  <si>
    <t>http://www.broadinstitute.org/gsea/msigdb/cards/GSE21927_SPLENIC_VS_TUMOR_MONOCYTES_FROM_C26GM_TUMOROUS_MICE_BALBC_DN.html</t>
  </si>
  <si>
    <t>GSE21927_SPLEEN_C57BL6_VS_EL4_TUMOR_BALBC_MONOCYTES_UP</t>
  </si>
  <si>
    <t>8473;1195;7695;10181;6430;51149;9852;84851;81669;57396;55082;11188;26140</t>
  </si>
  <si>
    <t>OGT;CLK1;ZNF136;RBM5;SRSF5;MRNIP;EPM2AIP1;TRIM52;CCNL2;CLK4;ARGLU1;NISCH;TTLL3</t>
  </si>
  <si>
    <t>http://www.broadinstitute.org/gsea/msigdb/cards/GSE21927_SPLEEN_C57BL6_VS_EL4_TUMOR_BALBC_MONOCYTES_UP.html</t>
  </si>
  <si>
    <t>GSE25146_UNSTIM_VS_HELIOBACTER_PYLORI_LPS_STIM_AGS_CELL_DN</t>
  </si>
  <si>
    <t>8473;1655;4820;7072;3187;25957;10521;151613;81669;57396;57018;23162</t>
  </si>
  <si>
    <t>OGT;DDX5;NKTR;TIA1;HNRNPH1;PNISR;DDX17;TTC14;CCNL2;CLK4;CCNL1;MAPK8IP3</t>
  </si>
  <si>
    <t>http://www.broadinstitute.org/gsea/msigdb/cards/GSE25146_UNSTIM_VS_HELIOBACTER_PYLORI_LPS_STIM_AGS_CELL_DN.html</t>
  </si>
  <si>
    <t>GSE18791_UNSTIM_VS_NEWCATSLE_VIRUS_DC_2H_DN</t>
  </si>
  <si>
    <t>26039;1427;3187;10181;10180;27031;56339;23360;84449;57396;57018;51380</t>
  </si>
  <si>
    <t>SS18L1;CRYGS;HNRNPH1;RBM5;RBM6;NPHP3;METTL3;FNBP4;ZNF333;CLK4;CCNL1;CSAD</t>
  </si>
  <si>
    <t>http://www.broadinstitute.org/gsea/msigdb/cards/GSE18791_UNSTIM_VS_NEWCATSLE_VIRUS_DC_2H_DN.html</t>
  </si>
  <si>
    <t>GSE22886_DAY0_VS_DAY7_MONOCYTE_IN_CULTURE_UP</t>
  </si>
  <si>
    <t>1195;10181;10180;6430;10781;9852;23360;25957;57035;57396;55082;10482</t>
  </si>
  <si>
    <t>CLK1;RBM5;RBM6;SRSF5;ZNF266;EPM2AIP1;FNBP4;PNISR;RSRP1;CLK4;ARGLU1;NXF1</t>
  </si>
  <si>
    <t>http://www.broadinstitute.org/gsea/msigdb/cards/GSE22886_DAY0_VS_DAY7_MONOCYTE_IN_CULTURE_UP.html</t>
  </si>
  <si>
    <t>6843;4820;1195;7695;4214;6430;58486;25957;81669;57396;25970;11188</t>
  </si>
  <si>
    <t>VAMP1;NKTR;CLK1;ZNF136;MAP3K1;SRSF5;ZBED5;PNISR;CCNL2;CLK4;SH2B1;NISCH</t>
  </si>
  <si>
    <t>http://www.broadinstitute.org/gsea/msigdb/cards/GSE22886_NAIVE_CD4_TCELL_VS_48H_ACT_TH1_UP.html</t>
  </si>
  <si>
    <t>GSE29617_DAY3_VS_DAY7_TIV_FLU_VACCINE_PBMC_2008_DN</t>
  </si>
  <si>
    <t>8473;6843;163049;80336;27031;56339;54540;81669;55082;51380</t>
  </si>
  <si>
    <t>OGT;VAMP1;ZNF791;PABPC1L;NPHP3;METTL3;FAM193B;CCNL2;ARGLU1;CSAD</t>
  </si>
  <si>
    <t>http://www.broadinstitute.org/gsea/msigdb/cards/GSE29617_DAY3_VS_DAY7_TIV_FLU_VACCINE_PBMC_2008_DN.html</t>
  </si>
  <si>
    <t>GSE3920_IFNA_VS_IFNG_TREATED_ENDOTHELIAL_CELL_UP</t>
  </si>
  <si>
    <t>51747;1655;3187;1195;23360;89849;81669;57396;57018</t>
  </si>
  <si>
    <t>LUC7L3;DDX5;HNRNPH1;CLK1;FNBP4;ATG16L2;CCNL2;CLK4;CCNL1</t>
  </si>
  <si>
    <t>http://www.broadinstitute.org/gsea/msigdb/cards/GSE3920_IFNA_VS_IFNG_TREATED_ENDOTHELIAL_CELL_UP.html</t>
  </si>
  <si>
    <t>GSE36476_YOUNG_VS_OLD_DONOR_MEMORY_CD4_TCELL_72H_TSST_ACT_DN</t>
  </si>
  <si>
    <t>10181;10781;58486;10147;25957;10443;57396;55082;51380</t>
  </si>
  <si>
    <t>RBM5;ZNF266;ZBED5;SUGP2;PNISR;N4BP2L2;CLK4;ARGLU1;CSAD</t>
  </si>
  <si>
    <t>http://www.broadinstitute.org/gsea/msigdb/cards/GSE36476_YOUNG_VS_OLD_DONOR_MEMORY_CD4_TCELL_72H_TSST_ACT_DN.html</t>
  </si>
  <si>
    <t>GSE7509_FCGRIIB_VS_TNFA_IL1B_IL6_PGE_STIM_DC_DN</t>
  </si>
  <si>
    <t>51747;124401;23360;114823;54540;81669;55692;2550</t>
  </si>
  <si>
    <t>LUC7L3;ANKS3;FNBP4;LENG8;FAM193B;CCNL2;LUC7L;GABBR1</t>
  </si>
  <si>
    <t>http://www.broadinstitute.org/gsea/msigdb/cards/GSE7509_FCGRIIB_VS_TNFA_IL1B_IL6_PGE_STIM_DC_DN.html</t>
  </si>
  <si>
    <t>GSE37301_MULTIPOTENT_PROGENITOR_VS_LYMPHOID_PRIMED_MPP_UP</t>
  </si>
  <si>
    <t>197342;51747;10147;25957;10521;151613;114823;11188</t>
  </si>
  <si>
    <t>EME2;LUC7L3;SUGP2;PNISR;DDX17;TTC14;LENG8;NISCH</t>
  </si>
  <si>
    <t>http://www.broadinstitute.org/gsea/msigdb/cards/GSE37301_MULTIPOTENT_PROGENITOR_VS_LYMPHOID_PRIMED_MPP_UP.html</t>
  </si>
  <si>
    <t>10307;4820;1195;4214;51149;57396;25970;57018</t>
  </si>
  <si>
    <t>APBB3;NKTR;CLK1;MAP3K1;MRNIP;CLK4;SH2B1;CCNL1</t>
  </si>
  <si>
    <t>http://www.broadinstitute.org/gsea/msigdb/cards/GSE22886_NAIVE_CD4_TCELL_VS_12H_ACT_TH1_UP.html</t>
  </si>
  <si>
    <t>GSE22886_NAIVE_CD4_TCELL_VS_12H_ACT_TH2_UP</t>
  </si>
  <si>
    <t>1655;4820;4214;6430;25957;54540;25970;9988</t>
  </si>
  <si>
    <t>DDX5;NKTR;MAP3K1;SRSF5;PNISR;FAM193B;SH2B1;DMTF1</t>
  </si>
  <si>
    <t>http://www.broadinstitute.org/gsea/msigdb/cards/GSE22886_NAIVE_CD4_TCELL_VS_12H_ACT_TH2_UP.html</t>
  </si>
  <si>
    <t>GSE22886_UNSTIM_VS_IL15_STIM_NKCELL_UP</t>
  </si>
  <si>
    <t>4820;1195;6430;79800;25957;54540;81669;25956</t>
  </si>
  <si>
    <t>NKTR;CLK1;SRSF5;CARF;PNISR;FAM193B;CCNL2;SEC31B</t>
  </si>
  <si>
    <t>http://www.broadinstitute.org/gsea/msigdb/cards/GSE22886_UNSTIM_VS_IL15_STIM_NKCELL_UP.html</t>
  </si>
  <si>
    <t>GSE2706_UNSTIM_VS_2H_LPS_AND_R848_DC_UP</t>
  </si>
  <si>
    <t>285331;7561;6843;4820;163049;58486;79230;9984</t>
  </si>
  <si>
    <t>CCDC66;ZNF14;VAMP1;NKTR;ZNF791;ZBED5;ZNF557;THOC1</t>
  </si>
  <si>
    <t>http://www.broadinstitute.org/gsea/msigdb/cards/GSE2706_UNSTIM_VS_2H_LPS_AND_R848_DC_UP.html</t>
  </si>
  <si>
    <t>GSE19888_CTRL_VS_A3R_ACTIVATION_MAST_CELL_UP</t>
  </si>
  <si>
    <t>6843;58517;10181;79969;10521;81669;55692;55082</t>
  </si>
  <si>
    <t>VAMP1;RBM25;RBM5;ATAT1;DDX17;CCNL2;LUC7L;ARGLU1</t>
  </si>
  <si>
    <t>http://www.broadinstitute.org/gsea/msigdb/cards/GSE19888_CTRL_VS_A3R_ACTIVATION_MAST_CELL_UP.html</t>
  </si>
  <si>
    <t>GSE24671_CTRL_VS_SENDAI_VIRUS_INFECTED_MOUSE_SPLENOCYTES_DN</t>
  </si>
  <si>
    <t>8473;10307;58517;7919;55082;2550;10482;9988</t>
  </si>
  <si>
    <t>OGT;APBB3;RBM25;DDX39B;ARGLU1;GABBR1;NXF1;DMTF1</t>
  </si>
  <si>
    <t>http://www.broadinstitute.org/gsea/msigdb/cards/GSE24671_CTRL_VS_SENDAI_VIRUS_INFECTED_MOUSE_SPLENOCYTES_DN.html</t>
  </si>
  <si>
    <t>GSE41867_DAY6_EFFECTOR_VS_DAY30_MEMORY_CD8_TCELL_LCMV_ARMSTRONG_DN</t>
  </si>
  <si>
    <t>27040;6430;124401;114823;54540;10482;9988;26140</t>
  </si>
  <si>
    <t>LAT;SRSF5;ANKS3;LENG8;FAM193B;NXF1;DMTF1;TTLL3</t>
  </si>
  <si>
    <t>http://www.broadinstitute.org/gsea/msigdb/cards/GSE41867_DAY6_EFFECTOR_VS_DAY30_MEMORY_CD8_TCELL_LCMV_ARMSTRONG_DN.html</t>
  </si>
  <si>
    <t>GSE22886_DAY1_VS_DAY7_MONOCYTE_IN_CULTURE_UP</t>
  </si>
  <si>
    <t>4820;10181;10781;9852;57035;57396;10482</t>
  </si>
  <si>
    <t>NKTR;RBM5;ZNF266;EPM2AIP1;RSRP1;CLK4;NXF1</t>
  </si>
  <si>
    <t>http://www.broadinstitute.org/gsea/msigdb/cards/GSE22886_DAY1_VS_DAY7_MONOCYTE_IN_CULTURE_UP.html</t>
  </si>
  <si>
    <t>GSE29618_LAIV_VS_TIV_FLU_VACCINE_DAY7_PDC_UP</t>
  </si>
  <si>
    <t>51747;1655;9782;1195;6430;25957;57035</t>
  </si>
  <si>
    <t>LUC7L3;DDX5;MATR3;CLK1;SRSF5;PNISR;RSRP1</t>
  </si>
  <si>
    <t>http://www.broadinstitute.org/gsea/msigdb/cards/GSE29618_LAIV_VS_TIV_FLU_VACCINE_DAY7_PDC_UP.html</t>
  </si>
  <si>
    <t>GSE3982_EOSINOPHIL_VS_MAC_UP</t>
  </si>
  <si>
    <t>7561;1195;10180;9852;56339;57035;55082</t>
  </si>
  <si>
    <t>ZNF14;CLK1;RBM6;EPM2AIP1;METTL3;RSRP1;ARGLU1</t>
  </si>
  <si>
    <t>http://www.broadinstitute.org/gsea/msigdb/cards/GSE3982_EOSINOPHIL_VS_MAC_UP.html</t>
  </si>
  <si>
    <t>GSE22601_IMMATURE_CD4_SINGLE_POSITIVE_VS_CD4_SINGLE_POSITIVE_THYMOCYTE_UP</t>
  </si>
  <si>
    <t>7072;56339;57337;5411;10482;9988;11188</t>
  </si>
  <si>
    <t>TIA1;METTL3;SENP7;PNN;NXF1;DMTF1;NISCH</t>
  </si>
  <si>
    <t>http://www.broadinstitute.org/gsea/msigdb/cards/GSE22601_IMMATURE_CD4_SINGLE_POSITIVE_VS_CD4_SINGLE_POSITIVE_THYMOCYTE_UP.html</t>
  </si>
  <si>
    <t>GSE8921_UNSTIM_0H_VS_TLR1_2_STIM_MONOCYTE_24H_DN</t>
  </si>
  <si>
    <t>7562;10181;4214;55015;54540;57396;57018</t>
  </si>
  <si>
    <t>ZNF708;RBM5;MAP3K1;PRPF39;FAM193B;CLK4;CCNL1</t>
  </si>
  <si>
    <t>http://www.broadinstitute.org/gsea/msigdb/cards/GSE8921_UNSTIM_0H_VS_TLR1_2_STIM_MONOCYTE_24H_DN.html</t>
  </si>
  <si>
    <t>GSE5679_CTRL_VS_PPARG_LIGAND_ROSIGLITAZONE_TREATED_DC_DN</t>
  </si>
  <si>
    <t>1655;55015;54540;81669;25970;11188;94104</t>
  </si>
  <si>
    <t>DDX5;PRPF39;FAM193B;CCNL2;SH2B1;NISCH;PAXBP1</t>
  </si>
  <si>
    <t>http://www.broadinstitute.org/gsea/msigdb/cards/GSE5679_CTRL_VS_PPARG_LIGAND_ROSIGLITAZONE_TREATED_DC_DN.html</t>
  </si>
  <si>
    <t>GSE21927_C26GM_VS_4T1_TUMOR_MONOCYTE_BALBC_DN</t>
  </si>
  <si>
    <t>4820;25957;84851;81669;57035;57396;57018</t>
  </si>
  <si>
    <t>NKTR;PNISR;TRIM52;CCNL2;RSRP1;CLK4;CCNL1</t>
  </si>
  <si>
    <t>http://www.broadinstitute.org/gsea/msigdb/cards/GSE21927_C26GM_VS_4T1_TUMOR_MONOCYTE_BALBC_DN.html</t>
  </si>
  <si>
    <t>1655;3187;1195;6430;25957;25956;10482</t>
  </si>
  <si>
    <t>DDX5;HNRNPH1;CLK1;SRSF5;PNISR;SEC31B;NXF1</t>
  </si>
  <si>
    <t>http://www.broadinstitute.org/gsea/msigdb/cards/GSE28726_ACT_CD4_TCELL_VS_ACT_NKTCELL_DN.html</t>
  </si>
  <si>
    <t>GSE32986_UNSTIM_VS_GMCSF_AND_CURDLAN_HIGHDOSE_STIM_DC_DN</t>
  </si>
  <si>
    <t>253769;4820;64772;84851;55692;2550;51380</t>
  </si>
  <si>
    <t>WDR27;NKTR;ENGASE;TRIM52;LUC7L;GABBR1;CSAD</t>
  </si>
  <si>
    <t>http://www.broadinstitute.org/gsea/msigdb/cards/GSE32986_UNSTIM_VS_GMCSF_AND_CURDLAN_HIGHDOSE_STIM_DC_DN.html</t>
  </si>
  <si>
    <t>GSE41867_NAIVE_VS_DAY15_LCMV_EFFECTOR_CD8_TCELL_DN</t>
  </si>
  <si>
    <t>4820;25957;54540;57396;10482;9988;26140</t>
  </si>
  <si>
    <t>NKTR;PNISR;FAM193B;CLK4;NXF1;DMTF1;TTLL3</t>
  </si>
  <si>
    <t>http://www.broadinstitute.org/gsea/msigdb/cards/GSE41867_NAIVE_VS_DAY15_LCMV_EFFECTOR_CD8_TCELL_DN.html</t>
  </si>
  <si>
    <t>GSE6092_CTRL_VS_BORRELIA_BIRGDOFERI_INF_ENDOTHELIAL_CELL_DN</t>
  </si>
  <si>
    <t>89849;81669;57396;10482;57018;9988</t>
  </si>
  <si>
    <t>ATG16L2;CCNL2;CLK4;NXF1;CCNL1;DMTF1</t>
  </si>
  <si>
    <t>http://www.broadinstitute.org/gsea/msigdb/cards/GSE6092_CTRL_VS_BORRELIA_BIRGDOFERI_INF_ENDOTHELIAL_CELL_DN.html</t>
  </si>
  <si>
    <t>GSE3920_UNTREATED_VS_IFNA_TREATED_FIBROBLAST_UP</t>
  </si>
  <si>
    <t>1195;89849;81669;57396;57018;23162</t>
  </si>
  <si>
    <t>CLK1;ATG16L2;CCNL2;CLK4;CCNL1;MAPK8IP3</t>
  </si>
  <si>
    <t>http://www.broadinstitute.org/gsea/msigdb/cards/GSE3920_UNTREATED_VS_IFNA_TREATED_FIBROBLAST_UP.html</t>
  </si>
  <si>
    <t>GSE13485_DAY1_VS_DAY21_YF17D_VACCINE_PBMC_UP</t>
  </si>
  <si>
    <t>4194;4820;25957;25956;2550;10482</t>
  </si>
  <si>
    <t>MDM4;NKTR;PNISR;SEC31B;GABBR1;NXF1</t>
  </si>
  <si>
    <t>http://www.broadinstitute.org/gsea/msigdb/cards/GSE13485_DAY1_VS_DAY21_YF17D_VACCINE_PBMC_UP.html</t>
  </si>
  <si>
    <t>GSE14350_TREG_VS_TEFF_IN_IL2RB_KO_UP</t>
  </si>
  <si>
    <t>27040;284443;23360;81669;23162;26140</t>
  </si>
  <si>
    <t>LAT;ZNF493;FNBP4;CCNL2;MAPK8IP3;TTLL3</t>
  </si>
  <si>
    <t>http://www.broadinstitute.org/gsea/msigdb/cards/GSE14350_TREG_VS_TEFF_IN_IL2RB_KO_UP.html</t>
  </si>
  <si>
    <t>1655;7072;10181;6430;57337;2550</t>
  </si>
  <si>
    <t>DDX5;TIA1;RBM5;SRSF5;SENP7;GABBR1</t>
  </si>
  <si>
    <t>http://www.broadinstitute.org/gsea/msigdb/cards/GSE22886_IGG_IGA_MEMORY_BCELL_VS_BM_PLASMA_CELL_UP.html</t>
  </si>
  <si>
    <t>1655;9782;1195;4214;55082;94104</t>
  </si>
  <si>
    <t>DDX5;MATR3;CLK1;MAP3K1;ARGLU1;PAXBP1</t>
  </si>
  <si>
    <t>http://www.broadinstitute.org/gsea/msigdb/cards/GSE339_CD4POS_VS_CD8POS_DC_IN_CULTURE_UP.html</t>
  </si>
  <si>
    <t>GSE36476_CTRL_VS_TSST_ACT_72H_MEMORY_CD4_TCELL_YOUNG_UP</t>
  </si>
  <si>
    <t>4820;1195;7695;25957;57396;57018</t>
  </si>
  <si>
    <t>NKTR;CLK1;ZNF136;PNISR;CLK4;CCNL1</t>
  </si>
  <si>
    <t>http://www.broadinstitute.org/gsea/msigdb/cards/GSE36476_CTRL_VS_TSST_ACT_72H_MEMORY_CD4_TCELL_YOUNG_UP.html</t>
  </si>
  <si>
    <t>GSE36476_YOUNG_VS_OLD_DONOR_MEMORY_CD4_TCELL_16H_TSST_ACT_DN</t>
  </si>
  <si>
    <t>9534;10181;9852;25957;10443;9988</t>
  </si>
  <si>
    <t>ZNF254;RBM5;EPM2AIP1;PNISR;N4BP2L2;DMTF1</t>
  </si>
  <si>
    <t>http://www.broadinstitute.org/gsea/msigdb/cards/GSE36476_YOUNG_VS_OLD_DONOR_MEMORY_CD4_TCELL_16H_TSST_ACT_DN.html</t>
  </si>
  <si>
    <t>GSE3982_MEMORY_CD4_TCELL_VS_TH2_UP</t>
  </si>
  <si>
    <t>1655;339105;9852;10443;25956;25970</t>
  </si>
  <si>
    <t>DDX5;PRSS53;EPM2AIP1;N4BP2L2;SEC31B;SH2B1</t>
  </si>
  <si>
    <t>http://www.broadinstitute.org/gsea/msigdb/cards/GSE3982_MEMORY_CD4_TCELL_VS_TH2_UP.html</t>
  </si>
  <si>
    <t>GSE2405_S_AUREUS_VS_A_PHAGOCYTOPHILUM_NEUTROPHIL_DN</t>
  </si>
  <si>
    <t>197342;10307;10147;2550;26140;51380</t>
  </si>
  <si>
    <t>EME2;APBB3;SUGP2;GABBR1;TTLL3;CSAD</t>
  </si>
  <si>
    <t>http://www.broadinstitute.org/gsea/msigdb/cards/GSE2405_S_AUREUS_VS_A_PHAGOCYTOPHILUM_NEUTROPHIL_DN.html</t>
  </si>
  <si>
    <t>GSE4748_CTRL_VS_CYANOBACTERIUM_LPSLIKE_STIM_DC_1H_DN</t>
  </si>
  <si>
    <t>27040;6430;23360;114823;54540;94104</t>
  </si>
  <si>
    <t>LAT;SRSF5;FNBP4;LENG8;FAM193B;PAXBP1</t>
  </si>
  <si>
    <t>http://www.broadinstitute.org/gsea/msigdb/cards/GSE4748_CTRL_VS_CYANOBACTERIUM_LPSLIKE_STIM_DC_1H_DN.html</t>
  </si>
  <si>
    <t>GSE19888_ADENOSINE_A3R_ACT_VS_TCELL_MEMBRANES_ACT_AND_A3R_INH_PRETREAT_IN_MAST_CELL_DN</t>
  </si>
  <si>
    <t>4194;6843;10181;54540;55692;55082</t>
  </si>
  <si>
    <t>MDM4;VAMP1;RBM5;FAM193B;LUC7L;ARGLU1</t>
  </si>
  <si>
    <t>http://www.broadinstitute.org/gsea/msigdb/cards/GSE19888_ADENOSINE_A3R_ACT_VS_TCELL_MEMBRANES_ACT_AND_A3R_INH_PRETREAT_IN_MAST_CELL_DN.html</t>
  </si>
  <si>
    <t>GSE21927_SPLEEN_MONOCYTE_VS_GMCSF_GCSF_BONE_MARROW_UP</t>
  </si>
  <si>
    <t>10181;163049;58486;27031;200539;79800</t>
  </si>
  <si>
    <t>RBM5;ZNF791;ZBED5;NPHP3;ANKRD23;CARF</t>
  </si>
  <si>
    <t>http://www.broadinstitute.org/gsea/msigdb/cards/GSE21927_SPLEEN_MONOCYTE_VS_GMCSF_GCSF_BONE_MARROW_UP.html</t>
  </si>
  <si>
    <t>200539;10147;25957;81669;11188;26140</t>
  </si>
  <si>
    <t>ANKRD23;SUGP2;PNISR;CCNL2;NISCH;TTLL3</t>
  </si>
  <si>
    <t>http://www.broadinstitute.org/gsea/msigdb/cards/GSE25123_IL4_VS_IL4_AND_ROSIGLITAZONE_STIM_MACROPHAGE_DAY10_DN.html</t>
  </si>
  <si>
    <t>6430;285989;55015;10147;55082;51380</t>
  </si>
  <si>
    <t>SRSF5;ZNF789;PRPF39;SUGP2;ARGLU1;CSAD</t>
  </si>
  <si>
    <t>http://www.broadinstitute.org/gsea/msigdb/cards/GSE27291_0H_VS_6H_STIM_GAMMADELTA_TCELL_UP.html</t>
  </si>
  <si>
    <t>7919;58486;285989;653319;25956;55082</t>
  </si>
  <si>
    <t>DDX39B;ZBED5;ZNF789;KIAA0895L;SEC31B;ARGLU1</t>
  </si>
  <si>
    <t>http://www.broadinstitute.org/gsea/msigdb/cards/GSE34156_UNTREATED_VS_24H_TLR1_TLR2_LIGAND_TREATED_MONOCYTE_DN.html</t>
  </si>
  <si>
    <t>GSE37532_TREG_VS_TCONV_PPARG_KO_CD4_TCELL_FROM_VISCERAL_ADIPOSE_TISSUE_DN</t>
  </si>
  <si>
    <t>1195;10181;10521;81669;57396;2550</t>
  </si>
  <si>
    <t>CLK1;RBM5;DDX17;CCNL2;CLK4;GABBR1</t>
  </si>
  <si>
    <t>http://www.broadinstitute.org/gsea/msigdb/cards/GSE37532_TREG_VS_TCONV_PPARG_KO_CD4_TCELL_FROM_VISCERAL_ADIPOSE_TISSUE_DN.html</t>
  </si>
  <si>
    <t>GSE40225_WT_VS_RIP_B7X_DIABETIC_MOUSE_PANCREATIC_CD8_TCELL_UP</t>
  </si>
  <si>
    <t>81576;10180;7919;285989;79230;57337</t>
  </si>
  <si>
    <t>CCDC130;RBM6;DDX39B;ZNF789;ZNF557;SENP7</t>
  </si>
  <si>
    <t>http://www.broadinstitute.org/gsea/msigdb/cards/GSE40225_WT_VS_RIP_B7X_DIABETIC_MOUSE_PANCREATIC_CD8_TCELL_UP.html</t>
  </si>
  <si>
    <t>GSE37534_PIOGLITAZONE_VS_ROSIGLITAZONE_TREATED_CD4_TCELL_PPARG1_FOXP3_TRANSDUCED_DN</t>
  </si>
  <si>
    <t>253769;1655;58517;92591;57018</t>
  </si>
  <si>
    <t>WDR27;DDX5;RBM25;ASB16;CCNL1</t>
  </si>
  <si>
    <t>http://www.broadinstitute.org/gsea/msigdb/cards/GSE37534_PIOGLITAZONE_VS_ROSIGLITAZONE_TREATED_CD4_TCELL_PPARG1_FOXP3_TRANSDUCED_DN.html</t>
  </si>
  <si>
    <t>GSE7509_UNSTIM_VS_FCGRIIB_STIM_MONOCYTE_DN</t>
  </si>
  <si>
    <t>8473;10443;81669;10482;9988</t>
  </si>
  <si>
    <t>OGT;N4BP2L2;CCNL2;NXF1;DMTF1</t>
  </si>
  <si>
    <t>http://www.broadinstitute.org/gsea/msigdb/cards/GSE7509_UNSTIM_VS_FCGRIIB_STIM_MONOCYTE_DN.html</t>
  </si>
  <si>
    <t>GSE10856_CTRL_VS_TNFRSF6B_IN_MACROPHAGE_UP</t>
  </si>
  <si>
    <t>7561;4214;57035;57018;11188</t>
  </si>
  <si>
    <t>ZNF14;MAP3K1;RSRP1;CCNL1;NISCH</t>
  </si>
  <si>
    <t>http://www.broadinstitute.org/gsea/msigdb/cards/GSE10856_CTRL_VS_TNFRSF6B_IN_MACROPHAGE_UP.html</t>
  </si>
  <si>
    <t>GSE11924_TFH_VS_TH2_CD4_TCELL_UP</t>
  </si>
  <si>
    <t>4194;79800;57018;11188;26140</t>
  </si>
  <si>
    <t>MDM4;CARF;CCNL1;NISCH;TTLL3</t>
  </si>
  <si>
    <t>http://www.broadinstitute.org/gsea/msigdb/cards/GSE11924_TFH_VS_TH2_CD4_TCELL_UP.html</t>
  </si>
  <si>
    <t>GSE12845_NAIVE_VS_DARKZONE_GC_TONSIL_BCELL_UP</t>
  </si>
  <si>
    <t>81576;339105;23360;57396;23162</t>
  </si>
  <si>
    <t>CCDC130;PRSS53;FNBP4;CLK4;MAPK8IP3</t>
  </si>
  <si>
    <t>http://www.broadinstitute.org/gsea/msigdb/cards/GSE12845_NAIVE_VS_DARKZONE_GC_TONSIL_BCELL_UP.html</t>
  </si>
  <si>
    <t>728537;4194;51747;6843;57035</t>
  </si>
  <si>
    <t>C2orf92;MDM4;LUC7L3;VAMP1;RSRP1</t>
  </si>
  <si>
    <t>http://www.broadinstitute.org/gsea/msigdb/cards/GSE13485_DAY3_VS_DAY7_YF17D_VACCINE_PBMC_UP.html</t>
  </si>
  <si>
    <t>GSE13493_DP_VS_CD4INTCD8POS_THYMOCYTE_UP</t>
  </si>
  <si>
    <t>80336;114823;54540;57035;26140</t>
  </si>
  <si>
    <t>PABPC1L;LENG8;FAM193B;RSRP1;TTLL3</t>
  </si>
  <si>
    <t>http://www.broadinstitute.org/gsea/msigdb/cards/GSE13493_DP_VS_CD4INTCD8POS_THYMOCYTE_UP.html</t>
  </si>
  <si>
    <t>GSE13738_RESTING_VS_TCR_ACTIVATED_CD4_TCELL_UP</t>
  </si>
  <si>
    <t>4194;58486;23360;64772;10443</t>
  </si>
  <si>
    <t>MDM4;ZBED5;FNBP4;ENGASE;N4BP2L2</t>
  </si>
  <si>
    <t>http://www.broadinstitute.org/gsea/msigdb/cards/GSE13738_RESTING_VS_TCR_ACTIVATED_CD4_TCELL_UP.html</t>
  </si>
  <si>
    <t>GSE14308_NAIVE_CD4_TCELL_VS_INDUCED_TREG_UP</t>
  </si>
  <si>
    <t>285331;7562;3187;54540;11188</t>
  </si>
  <si>
    <t>CCDC66;ZNF708;HNRNPH1;FAM193B;NISCH</t>
  </si>
  <si>
    <t>http://www.broadinstitute.org/gsea/msigdb/cards/GSE14308_NAIVE_CD4_TCELL_VS_INDUCED_TREG_UP.html</t>
  </si>
  <si>
    <t>GSE14308_INDUCED_VS_NATURAL_TREG_DN</t>
  </si>
  <si>
    <t>7562;151613;5411;10482;94104</t>
  </si>
  <si>
    <t>ZNF708;TTC14;PNN;NXF1;PAXBP1</t>
  </si>
  <si>
    <t>http://www.broadinstitute.org/gsea/msigdb/cards/GSE14308_INDUCED_VS_NATURAL_TREG_DN.html</t>
  </si>
  <si>
    <t>GSE14769_UNSTIM_VS_40MIN_LPS_BMDM_UP</t>
  </si>
  <si>
    <t>8473;9852;10521;151613;57035</t>
  </si>
  <si>
    <t>OGT;EPM2AIP1;DDX17;TTC14;RSRP1</t>
  </si>
  <si>
    <t>http://www.broadinstitute.org/gsea/msigdb/cards/GSE14769_UNSTIM_VS_40MIN_LPS_BMDM_UP.html</t>
  </si>
  <si>
    <t>GSE15750_DAY6_VS_DAY10_TRAF6KO_EFF_CD8_TCELL_DN</t>
  </si>
  <si>
    <t>1195;56339;81669;10482;94104</t>
  </si>
  <si>
    <t>CLK1;METTL3;CCNL2;NXF1;PAXBP1</t>
  </si>
  <si>
    <t>http://www.broadinstitute.org/gsea/msigdb/cards/GSE15750_DAY6_VS_DAY10_TRAF6KO_EFF_CD8_TCELL_DN.html</t>
  </si>
  <si>
    <t>GSE17721_LPS_VS_POLYIC_1H_BMDC_DN</t>
  </si>
  <si>
    <t>51747;6843;7919;57035;55692</t>
  </si>
  <si>
    <t>LUC7L3;VAMP1;DDX39B;RSRP1;LUC7L</t>
  </si>
  <si>
    <t>http://www.broadinstitute.org/gsea/msigdb/cards/GSE17721_LPS_VS_POLYIC_1H_BMDC_DN.html</t>
  </si>
  <si>
    <t>GSE17721_0.5H_VS_12H_GARDIQUIMOD_BMDC_DN</t>
  </si>
  <si>
    <t>56339;81669;57396;55692;94104</t>
  </si>
  <si>
    <t>METTL3;CCNL2;CLK4;LUC7L;PAXBP1</t>
  </si>
  <si>
    <t>http://www.broadinstitute.org/gsea/msigdb/cards/GSE17721_0.5H_VS_12H_GARDIQUIMOD_BMDC_DN.html</t>
  </si>
  <si>
    <t>GSE17974_0.5H_VS_72H_UNTREATED_IN_VITRO_CD4_TCELL_UP</t>
  </si>
  <si>
    <t>7561;163049;338657;57035;2550</t>
  </si>
  <si>
    <t>ZNF14;ZNF791;CCDC84;RSRP1;GABBR1</t>
  </si>
  <si>
    <t>http://www.broadinstitute.org/gsea/msigdb/cards/GSE17974_0.5H_VS_72H_UNTREATED_IN_VITRO_CD4_TCELL_UP.html</t>
  </si>
  <si>
    <t>GSE22886_CD8_VS_CD4_NAIVE_TCELL_DN</t>
  </si>
  <si>
    <t>4820;4214;25970;2550;51380</t>
  </si>
  <si>
    <t>NKTR;MAP3K1;SH2B1;GABBR1;CSAD</t>
  </si>
  <si>
    <t>http://www.broadinstitute.org/gsea/msigdb/cards/GSE22886_CD8_VS_CD4_NAIVE_TCELL_DN.html</t>
  </si>
  <si>
    <t>10307;6430;56339;10443;57035</t>
  </si>
  <si>
    <t>APBB3;SRSF5;METTL3;N4BP2L2;RSRP1</t>
  </si>
  <si>
    <t>http://www.broadinstitute.org/gsea/msigdb/cards/GSE22886_UNSTIM_VS_IL2_STIM_NKCELL_UP.html</t>
  </si>
  <si>
    <t>GSE25087_FETAL_VS_ADULT_TCONV_DN</t>
  </si>
  <si>
    <t>27031;338657;114823;90673;2550</t>
  </si>
  <si>
    <t>NPHP3;CCDC84;LENG8;PPP1R3E;GABBR1</t>
  </si>
  <si>
    <t>http://www.broadinstitute.org/gsea/msigdb/cards/GSE25087_FETAL_VS_ADULT_TCONV_DN.html</t>
  </si>
  <si>
    <t>GSE2706_UNSTIM_VS_2H_R848_DC_UP</t>
  </si>
  <si>
    <t>285331;6843;57147;89849;64772</t>
  </si>
  <si>
    <t>CCDC66;VAMP1;SCYL3;ATG16L2;ENGASE</t>
  </si>
  <si>
    <t>http://www.broadinstitute.org/gsea/msigdb/cards/GSE2706_UNSTIM_VS_2H_R848_DC_UP.html</t>
  </si>
  <si>
    <t>GSE2706_UNSTIM_VS_2H_LPS_DC_UP</t>
  </si>
  <si>
    <t>163049;284443;57147;90594;57035</t>
  </si>
  <si>
    <t>ZNF791;ZNF493;SCYL3;ZNF439;RSRP1</t>
  </si>
  <si>
    <t>http://www.broadinstitute.org/gsea/msigdb/cards/GSE2706_UNSTIM_VS_2H_LPS_DC_UP.html</t>
  </si>
  <si>
    <t>GSE27786_BCELL_VS_NEUTROPHIL_UP</t>
  </si>
  <si>
    <t>51747;3187;10781;56339;55692</t>
  </si>
  <si>
    <t>LUC7L3;HNRNPH1;ZNF266;METTL3;LUC7L</t>
  </si>
  <si>
    <t>http://www.broadinstitute.org/gsea/msigdb/cards/GSE27786_BCELL_VS_NEUTROPHIL_UP.html</t>
  </si>
  <si>
    <t>GSE27786_CD4_TCELL_VS_NEUTROPHIL_UP</t>
  </si>
  <si>
    <t>51747;10181;4214;10781;10482</t>
  </si>
  <si>
    <t>LUC7L3;RBM5;MAP3K1;ZNF266;NXF1</t>
  </si>
  <si>
    <t>http://www.broadinstitute.org/gsea/msigdb/cards/GSE27786_CD4_TCELL_VS_NEUTROPHIL_UP.html</t>
  </si>
  <si>
    <t>GSE29617_CTRL_VS_DAY3_TIV_FLU_VACCINE_PBMC_2008_UP</t>
  </si>
  <si>
    <t>58517;163049;10521;57396;57018</t>
  </si>
  <si>
    <t>RBM25;ZNF791;DDX17;CLK4;CCNL1</t>
  </si>
  <si>
    <t>http://www.broadinstitute.org/gsea/msigdb/cards/GSE29617_CTRL_VS_DAY3_TIV_FLU_VACCINE_PBMC_2008_UP.html</t>
  </si>
  <si>
    <t>GSE36392_MAC_VS_NEUTROPHIL_IL25_TREATED_LUNG_UP</t>
  </si>
  <si>
    <t>26039;54540;55082;10482;23162</t>
  </si>
  <si>
    <t>SS18L1;FAM193B;ARGLU1;NXF1;MAPK8IP3</t>
  </si>
  <si>
    <t>http://www.broadinstitute.org/gsea/msigdb/cards/GSE36392_MAC_VS_NEUTROPHIL_IL25_TREATED_LUNG_UP.html</t>
  </si>
  <si>
    <t>GSE37416_0H_VS_3H_F_TULARENSIS_LVS_NEUTROPHIL_UP</t>
  </si>
  <si>
    <t>51747;10180;4214;25957;55082</t>
  </si>
  <si>
    <t>LUC7L3;RBM6;MAP3K1;PNISR;ARGLU1</t>
  </si>
  <si>
    <t>http://www.broadinstitute.org/gsea/msigdb/cards/GSE37416_0H_VS_3H_F_TULARENSIS_LVS_NEUTROPHIL_UP.html</t>
  </si>
  <si>
    <t>GSE3982_MEMORY_CD4_TCELL_VS_TH1_UP</t>
  </si>
  <si>
    <t>9852;57147;10443;25956;57018</t>
  </si>
  <si>
    <t>EPM2AIP1;SCYL3;N4BP2L2;SEC31B;CCNL1</t>
  </si>
  <si>
    <t>http://www.broadinstitute.org/gsea/msigdb/cards/GSE3982_MEMORY_CD4_TCELL_VS_TH1_UP.html</t>
  </si>
  <si>
    <t>GSE3982_CENT_MEMORY_CD4_TCELL_VS_TH1_UP</t>
  </si>
  <si>
    <t>51747;7561;6843;10781;9988</t>
  </si>
  <si>
    <t>LUC7L3;ZNF14;VAMP1;ZNF266;DMTF1</t>
  </si>
  <si>
    <t>http://www.broadinstitute.org/gsea/msigdb/cards/GSE3982_CENT_MEMORY_CD4_TCELL_VS_TH1_UP.html</t>
  </si>
  <si>
    <t>GSE39820_CTRL_VS_TGFBETA1_IL6_IL23A_CD4_TCELL_UP</t>
  </si>
  <si>
    <t>4194;51747;55015;57035;5411</t>
  </si>
  <si>
    <t>MDM4;LUC7L3;PRPF39;RSRP1;PNN</t>
  </si>
  <si>
    <t>http://www.broadinstitute.org/gsea/msigdb/cards/GSE39820_CTRL_VS_TGFBETA1_IL6_IL23A_CD4_TCELL_UP.html</t>
  </si>
  <si>
    <t>GSE7460_TCONV_VS_TREG_THYMUS_UP</t>
  </si>
  <si>
    <t>10307;7561;6843;10482;9988</t>
  </si>
  <si>
    <t>APBB3;ZNF14;VAMP1;NXF1;DMTF1</t>
  </si>
  <si>
    <t>http://www.broadinstitute.org/gsea/msigdb/cards/GSE7460_TCONV_VS_TREG_THYMUS_UP.html</t>
  </si>
  <si>
    <t>GSE7460_CD8_TCELL_VS_TREG_ACT_UP</t>
  </si>
  <si>
    <t>7561;338657;23360;2550;11188</t>
  </si>
  <si>
    <t>ZNF14;CCDC84;FNBP4;GABBR1;NISCH</t>
  </si>
  <si>
    <t>http://www.broadinstitute.org/gsea/msigdb/cards/GSE7460_CD8_TCELL_VS_TREG_ACT_UP.html</t>
  </si>
  <si>
    <t>GSE7852_THYMUS_VS_FAT_TCONV_UP</t>
  </si>
  <si>
    <t>8473;7072;10781;55082;9988</t>
  </si>
  <si>
    <t>OGT;TIA1;ZNF266;ARGLU1;DMTF1</t>
  </si>
  <si>
    <t>http://www.broadinstitute.org/gsea/msigdb/cards/GSE7852_THYMUS_VS_FAT_TCONV_UP.html</t>
  </si>
  <si>
    <t>GSE369_IFNG_KO_VS_WT_LIVER_UP</t>
  </si>
  <si>
    <t>8473;4439;7072;25957;151613</t>
  </si>
  <si>
    <t>OGT;MSH5;TIA1;PNISR;TTC14</t>
  </si>
  <si>
    <t>http://www.broadinstitute.org/gsea/msigdb/cards/GSE369_IFNG_KO_VS_WT_LIVER_UP.html</t>
  </si>
  <si>
    <t>GSE2770_UNTREATED_VS_ACT_CD4_TCELL_48H_DN</t>
  </si>
  <si>
    <t>728537;10781;163049;284443;90594</t>
  </si>
  <si>
    <t>C2orf92;ZNF266;ZNF791;ZNF493;ZNF439</t>
  </si>
  <si>
    <t>http://www.broadinstitute.org/gsea/msigdb/cards/GSE2770_UNTREATED_VS_ACT_CD4_TCELL_48H_DN.html</t>
  </si>
  <si>
    <t>GSE2770_TGFB_AND_IL4_VS_IL4_TREATED_ACT_CD4_TCELL_6H_UP</t>
  </si>
  <si>
    <t>4820;64770;169981;89849;51380</t>
  </si>
  <si>
    <t>NKTR;CCDC14;SPIN3;ATG16L2;CSAD</t>
  </si>
  <si>
    <t>http://www.broadinstitute.org/gsea/msigdb/cards/GSE2770_TGFB_AND_IL4_VS_IL4_TREATED_ACT_CD4_TCELL_6H_UP.html</t>
  </si>
  <si>
    <t>GSE1791_CTRL_VS_NEUROMEDINU_IN_T_CELL_LINE_6H_DN</t>
  </si>
  <si>
    <t>10307;64770;58486;10521;94104</t>
  </si>
  <si>
    <t>APBB3;CCDC14;ZBED5;DDX17;PAXBP1</t>
  </si>
  <si>
    <t>http://www.broadinstitute.org/gsea/msigdb/cards/GSE1791_CTRL_VS_NEUROMEDINU_IN_T_CELL_LINE_6H_DN.html</t>
  </si>
  <si>
    <t>GSE3691_IFN_PRODUCING_KILLER_DC_VS_CONVENTIONAL_DC_SPLEEN_UP</t>
  </si>
  <si>
    <t>4194;79969;151613;54540;57396</t>
  </si>
  <si>
    <t>MDM4;ATAT1;TTC14;FAM193B;CLK4</t>
  </si>
  <si>
    <t>http://www.broadinstitute.org/gsea/msigdb/cards/GSE3691_IFN_PRODUCING_KILLER_DC_VS_CONVENTIONAL_DC_SPLEEN_UP.html</t>
  </si>
  <si>
    <t>GSE4142_PLASMA_CELL_VS_GC_BCELL_UP</t>
  </si>
  <si>
    <t>1427;27031;81669;23162;11188</t>
  </si>
  <si>
    <t>CRYGS;NPHP3;CCNL2;MAPK8IP3;NISCH</t>
  </si>
  <si>
    <t>http://www.broadinstitute.org/gsea/msigdb/cards/GSE4142_PLASMA_CELL_VS_GC_BCELL_UP.html</t>
  </si>
  <si>
    <t>GSE8921_UNSTIM_0H_VS_TLR1_2_STIM_MONOCYTE_12H_DN</t>
  </si>
  <si>
    <t>51747;79969;10521;81669;2550</t>
  </si>
  <si>
    <t>LUC7L3;ATAT1;DDX17;CCNL2;GABBR1</t>
  </si>
  <si>
    <t>http://www.broadinstitute.org/gsea/msigdb/cards/GSE8921_UNSTIM_0H_VS_TLR1_2_STIM_MONOCYTE_12H_DN.html</t>
  </si>
  <si>
    <t>26039;4214;55015;55082;51380</t>
  </si>
  <si>
    <t>SS18L1;MAP3K1;PRPF39;ARGLU1;CSAD</t>
  </si>
  <si>
    <t>http://www.broadinstitute.org/gsea/msigdb/cards/GSE5542_IFNG_VS_IFNA_AND_IFNG_TREATED_EPITHELIAL_CELLS_6H_DN.html</t>
  </si>
  <si>
    <t>GSE5679_CTRL_VS_RARA_AGONIST_AM580_TREATED_DC_DN</t>
  </si>
  <si>
    <t>55015;54540;81669;25970;94104</t>
  </si>
  <si>
    <t>PRPF39;FAM193B;CCNL2;SH2B1;PAXBP1</t>
  </si>
  <si>
    <t>http://www.broadinstitute.org/gsea/msigdb/cards/GSE5679_CTRL_VS_RARA_AGONIST_AM580_TREATED_DC_DN.html</t>
  </si>
  <si>
    <t>GSE3920_UNTREATED_VS_IFNG_TREATED_FIBROBLAST_DN</t>
  </si>
  <si>
    <t>8473;1655;1195;23360;2550</t>
  </si>
  <si>
    <t>OGT;DDX5;CLK1;FNBP4;GABBR1</t>
  </si>
  <si>
    <t>http://www.broadinstitute.org/gsea/msigdb/cards/GSE3920_UNTREATED_VS_IFNG_TREATED_FIBROBLAST_DN.html</t>
  </si>
  <si>
    <t>GSE10240_CTRL_VS_IL17_AND_IL22_STIM_PRIMARY_BRONCHIAL_EPITHELIAL_CELLS_DN</t>
  </si>
  <si>
    <t>7072;7919;64770;55692;51380</t>
  </si>
  <si>
    <t>TIA1;DDX39B;CCDC14;LUC7L;CSAD</t>
  </si>
  <si>
    <t>http://www.broadinstitute.org/gsea/msigdb/cards/GSE10240_CTRL_VS_IL17_AND_IL22_STIM_PRIMARY_BRONCHIAL_EPITHELIAL_CELLS_DN.html</t>
  </si>
  <si>
    <t>GSE19888_ADENOSINE_A3R_INH_PRETREAT_AND_ACT_BY_A3R_VS_A3R_INH_AND_TCELL_MEMBRANES_ACT_MAST_CELL_DN</t>
  </si>
  <si>
    <t>3187;89849;54540;57396;26140</t>
  </si>
  <si>
    <t>HNRNPH1;ATG16L2;FAM193B;CLK4;TTLL3</t>
  </si>
  <si>
    <t>http://www.broadinstitute.org/gsea/msigdb/cards/GSE19888_ADENOSINE_A3R_INH_PRETREAT_AND_ACT_BY_A3R_VS_A3R_INH_AND_TCELL_MEMBRANES_ACT_MAST_CELL_DN.html</t>
  </si>
  <si>
    <t>GSE21546_ELK1_KO_VS_SAP1A_KO_AND_ELK1_KO_ANTI_CD3_STIM_DP_THYMOCYTES_UP</t>
  </si>
  <si>
    <t>10181;124401;56339;57147;89849</t>
  </si>
  <si>
    <t>RBM5;ANKS3;METTL3;SCYL3;ATG16L2</t>
  </si>
  <si>
    <t>http://www.broadinstitute.org/gsea/msigdb/cards/GSE21546_ELK1_KO_VS_SAP1A_KO_AND_ELK1_KO_ANTI_CD3_STIM_DP_THYMOCYTES_UP.html</t>
  </si>
  <si>
    <t>GSE22935_24H_VS_48H_MBOVIS_BCG_STIM_MACROPHAGE_DN</t>
  </si>
  <si>
    <t>6843;124401;56339;55015;5411</t>
  </si>
  <si>
    <t>VAMP1;ANKS3;METTL3;PRPF39;PNN</t>
  </si>
  <si>
    <t>http://www.broadinstitute.org/gsea/msigdb/cards/GSE22935_24H_VS_48H_MBOVIS_BCG_STIM_MACROPHAGE_DN.html</t>
  </si>
  <si>
    <t>GSE25123_WT_VS_PPARG_KO_MACROPHAGE_IL4_AND_ROSIGLITAZONE_STIM_DN</t>
  </si>
  <si>
    <t>8473;10307;4214;169981;10521</t>
  </si>
  <si>
    <t>OGT;APBB3;MAP3K1;SPIN3;DDX17</t>
  </si>
  <si>
    <t>http://www.broadinstitute.org/gsea/msigdb/cards/GSE25123_WT_VS_PPARG_KO_MACROPHAGE_IL4_AND_ROSIGLITAZONE_STIM_DN.html</t>
  </si>
  <si>
    <t>1655;9782;1195;10180;25957</t>
  </si>
  <si>
    <t>DDX5;MATR3;CLK1;RBM6;PNISR</t>
  </si>
  <si>
    <t>http://www.broadinstitute.org/gsea/msigdb/cards/GSE24574_BCL6_HIGH_VS_LOW_TFH_CD4_TCELL_UP.html</t>
  </si>
  <si>
    <t>GSE23568_ID3_TRANSDUCED_VS_ID3_KO_CD8_TCELL_DN</t>
  </si>
  <si>
    <t>8473;9782;58517;55692;10482</t>
  </si>
  <si>
    <t>OGT;MATR3;RBM25;LUC7L;NXF1</t>
  </si>
  <si>
    <t>http://www.broadinstitute.org/gsea/msigdb/cards/GSE23568_ID3_TRANSDUCED_VS_ID3_KO_CD8_TCELL_DN.html</t>
  </si>
  <si>
    <t>GSE27859_CD11C_INT_F480_HI_MACROPHAGE_VS_CD11C_ING_F480_INT_DC_DN</t>
  </si>
  <si>
    <t>6843;81669;57035;23162;11188</t>
  </si>
  <si>
    <t>VAMP1;CCNL2;RSRP1;MAPK8IP3;NISCH</t>
  </si>
  <si>
    <t>http://www.broadinstitute.org/gsea/msigdb/cards/GSE27859_CD11C_INT_F480_HI_MACROPHAGE_VS_CD11C_ING_F480_INT_DC_DN.html</t>
  </si>
  <si>
    <t>7919;58486;285989;57396;25956</t>
  </si>
  <si>
    <t>DDX39B;ZBED5;ZNF789;CLK4;SEC31B</t>
  </si>
  <si>
    <t>http://www.broadinstitute.org/gsea/msigdb/cards/GSE34156_NOD2_LIGAND_VS_NOD2_AND_TLR1_TLR2_LIGAND_24H_TREATED_MONOCYTE_DN.html</t>
  </si>
  <si>
    <t>285989;5411;57396;25956;94104</t>
  </si>
  <si>
    <t>ZNF789;PNN;CLK4;SEC31B;PAXBP1</t>
  </si>
  <si>
    <t>http://www.broadinstitute.org/gsea/msigdb/cards/GSE34156_NOD2_LIGAND_VS_TLR1_TLR2_LIGAND_24H_TREATED_MONOCYTE_DN.html</t>
  </si>
  <si>
    <t>285989;84851;5411;25956;94104</t>
  </si>
  <si>
    <t>ZNF789;TRIM52;PNN;SEC31B;PAXBP1</t>
  </si>
  <si>
    <t>http://www.broadinstitute.org/gsea/msigdb/cards/GSE34156_NOD2_LIGAND_VS_NOD2_AND_TLR1_TLR2_LIGAND_6H_TREATED_MONOCYTE_UP.html</t>
  </si>
  <si>
    <t>10181;200539;151613;57396;25970</t>
  </si>
  <si>
    <t>RBM5;ANKRD23;TTC14;CLK4;SH2B1</t>
  </si>
  <si>
    <t>http://www.broadinstitute.org/gsea/msigdb/cards/GSE36009_UNSTIM_VS_LPS_STIM_NLRP10_KO_DC_DN.html</t>
  </si>
  <si>
    <t>GSE36009_UNSTIM_VS_LPS_STIM_DC_DN</t>
  </si>
  <si>
    <t>8473;10181;89849;5411;55692</t>
  </si>
  <si>
    <t>OGT;RBM5;ATG16L2;PNN;LUC7L</t>
  </si>
  <si>
    <t>http://www.broadinstitute.org/gsea/msigdb/cards/GSE36009_UNSTIM_VS_LPS_STIM_DC_DN.html</t>
  </si>
  <si>
    <t>GSE38696_LIGHT_ZONE_VS_DARK_ZONE_BCELL_UP</t>
  </si>
  <si>
    <t>26039;51747;7072;10521;11188</t>
  </si>
  <si>
    <t>SS18L1;LUC7L3;TIA1;DDX17;NISCH</t>
  </si>
  <si>
    <t>http://www.broadinstitute.org/gsea/msigdb/cards/GSE38696_LIGHT_ZONE_VS_DARK_ZONE_BCELL_UP.html</t>
  </si>
  <si>
    <t>8473;1195;57035;57396;94104</t>
  </si>
  <si>
    <t>OGT;CLK1;RSRP1;CLK4;PAXBP1</t>
  </si>
  <si>
    <t>http://www.broadinstitute.org/gsea/msigdb/cards/GSE32034_UNTREATED_VS_ROSIGLIZATONE_TREATED_LY6C_HIGH_MONOCYTE_DN.html</t>
  </si>
  <si>
    <t>GSE41867_NAIVE_VS_DAY30_LCMV_CLONE13_EXHAUSTED_CD8_TCELL_DN</t>
  </si>
  <si>
    <t>4214;9852;338657;10521;57396</t>
  </si>
  <si>
    <t>MAP3K1;EPM2AIP1;CCDC84;DDX17;CLK4</t>
  </si>
  <si>
    <t>http://www.broadinstitute.org/gsea/msigdb/cards/GSE41867_NAIVE_VS_DAY30_LCMV_CLONE13_EXHAUSTED_CD8_TCELL_DN.html</t>
  </si>
  <si>
    <t>GSE43863_NAIVE_VS_LY6C_LOW_CXCR5NEG_CD4_EFF_TCELL_D6_LCMV_UP</t>
  </si>
  <si>
    <t>7700;89849;114823;81669;25956</t>
  </si>
  <si>
    <t>ZNF141;ATG16L2;LENG8;CCNL2;SEC31B</t>
  </si>
  <si>
    <t>http://www.broadinstitute.org/gsea/msigdb/cards/GSE43863_NAIVE_VS_LY6C_LOW_CXCR5NEG_CD4_EFF_TCELL_D6_LCMV_UP.html</t>
  </si>
  <si>
    <t>GSE46606_IRF4MID_VS_WT_CD40L_IL2_IL5_DAY1_STIMULATED_BCELL_UP</t>
  </si>
  <si>
    <t>6843;1195;4214;151613;26140</t>
  </si>
  <si>
    <t>VAMP1;CLK1;MAP3K1;TTC14;TTLL3</t>
  </si>
  <si>
    <t>http://www.broadinstitute.org/gsea/msigdb/cards/GSE46606_IRF4MID_VS_WT_CD40L_IL2_IL5_DAY1_STIMULATED_BCELL_UP.html</t>
  </si>
  <si>
    <t>GSE45739_UNSTIM_VS_ACD3_ACD28_STIM_NRAS_KO_CD4_TCELL_UP</t>
  </si>
  <si>
    <t>10307;4214;10443;81669;2550</t>
  </si>
  <si>
    <t>APBB3;MAP3K1;N4BP2L2;CCNL2;GABBR1</t>
  </si>
  <si>
    <t>http://www.broadinstitute.org/gsea/msigdb/cards/GSE45739_UNSTIM_VS_ACD3_ACD28_STIM_NRAS_KO_CD4_TCELL_UP.html</t>
  </si>
  <si>
    <t>GSE45881_CXCR6HI_VS_CXCR1LO_COLONIC_LAMINA_PROPRIA_UP</t>
  </si>
  <si>
    <t>10307;4820;58517;54540;26140</t>
  </si>
  <si>
    <t>APBB3;NKTR;RBM25;FAM193B;TTLL3</t>
  </si>
  <si>
    <t>http://www.broadinstitute.org/gsea/msigdb/cards/GSE45881_CXCR6HI_VS_CXCR1LO_COLONIC_LAMINA_PROPRIA_UP.html</t>
  </si>
  <si>
    <t>GSE3720_LPS_VS_PMA_STIM_VD2_GAMMADELTA_TCELL_UP</t>
  </si>
  <si>
    <t>3187;10443;10521;2550</t>
  </si>
  <si>
    <t>HNRNPH1;N4BP2L2;DDX17;GABBR1</t>
  </si>
  <si>
    <t>http://www.broadinstitute.org/gsea/msigdb/cards/GSE3720_LPS_VS_PMA_STIM_VD2_GAMMADELTA_TCELL_UP.html</t>
  </si>
  <si>
    <t>2533;9450;10261;3458;3559;920;925;972;915;3689;5579;3932;914;916;5788;917;2268;940;3001;6351;6352;5551;3560;6688;3683;919;7453;959;3561;941;10225;942;6772;3594;7535;1234;3394;6890;4283;3702;3937;3603;4689;3662;50852;8477;11184;114548;3717;56253;3553;3122;3117;3111;924;1435;5552;3002;926;3112;3059;2113;3586;3108;3109;2213;1230;729230;7454;356;2833;6891;4050;3824;6363;23166;27240</t>
  </si>
  <si>
    <t>FYB1;LY86;IGSF6;IFNG;IL2RA;CD4;CD8A;CD74;CD3D;ITGB2;PRKCB;LCK;CD2;CD3E;PTPRC;CD3G;FGR;CD28;GZMA;CCL4;CCL5;PRF1;IL2RB;SPI1;ITGAL;CD247;WARS;CD40LG;IL2RG;CD80;CD96;CD86;STAT1;IL12RB1;ZAP70;CCR5;IRF8;TAP1;CXCL9;ITK;LCP2;IL16;NCF4;IRF4;TRAT1;GPR65;MAP4K1;NLRP3;JAK2;CRTAM;IL1B;HLA-DRA;HLA-DQA1;HLA-DOA;CD7;CSF1;SRGN;GZMB;CD8B;HLA-DOB;HCLS1;ETS1;IL10;HLA-DMA;HLA-DMB;FCGR2B;CCR1;CCR2;WAS;FASLG;CXCR3;TAP2;LTB;KLRD1;CCL19;STAB1;SIT1</t>
  </si>
  <si>
    <t>http://www.broadinstitute.org/gsea/msigdb/cards/HALLMARK_ALLOGRAFT_REJECTION.html</t>
  </si>
  <si>
    <t>HALLMARK_INFLAMMATORY_RESPONSE</t>
  </si>
  <si>
    <t>10663;1318;4210;3627;1536;3932;929;962;3659;6352;3560;3575;7133;1236;5734;2014;391;4283;3937;6504;3587;719;23533;114548;1240;9034;6373;366;7439;19;4049;3553;2811;1435;6402;2357;728;4481;3586;5724;4973;3604;969;8809;10148;10507;5027;23166</t>
  </si>
  <si>
    <t>CXCR6;SLC31A2;MEFV;CXCL10;CYBB;LCK;CD14;CD48;IRF1;CCL5;IL2RB;IL7R;TNFRSF1B;CCR7;PTGER4;EMP3;RHOG;CXCL9;LCP2;SLAMF1;IL10RA;C3AR1;PIK3R5;NLRP3;CMKLR1;CCRL2;CXCL11;AQP9;BEST1;ABCA1;LTA;IL1B;GP1BA;CSF1;SELL;FPR1;C5AR1;MSR1;IL10;PTAFR;OLR1;TNFRSF9;CD69;IL18R1;EBI3;SEMA4D;P2RX7;STAB1</t>
  </si>
  <si>
    <t>http://www.broadinstitute.org/gsea/msigdb/cards/HALLMARK_INFLAMMATORY_RESPONSE.html</t>
  </si>
  <si>
    <t>HALLMARK_INTERFERON_GAMMA_RESPONSE</t>
  </si>
  <si>
    <t>10068;3627;972;3659;2209;3001;6352;3560;7453;3695;51056;1439;942;6772;3394;6890;4283;3937;3587;10875;3662;84166;55016;115361;1240;81030;6373;3717;3117;10437;2357;3108;4261;969;3123;116071;57823;29126;25939</t>
  </si>
  <si>
    <t>IL18BP;CXCL10;CD74;IRF1;FCGR1A;GZMA;CCL5;IL2RB;WARS;ITGB7;LAP3;CSF2RB;CD86;STAT1;IRF8;TAP1;CXCL9;LCP2;IL10RA;FGL2;IRF4;NLRC5;MARCH1;GBP4;CMKLR1;ZBP1;CXCL11;JAK2;HLA-DQA1;IFI30;FPR1;HLA-DMA;CIITA;CD69;HLA-DRB1;BATF2;SLAMF7;CD274;SAMHD1</t>
  </si>
  <si>
    <t>http://www.broadinstitute.org/gsea/msigdb/cards/HALLMARK_INTERFERON_GAMMA_RESPONSE.html</t>
  </si>
  <si>
    <t>HALLMARK_COMPLEMENT</t>
  </si>
  <si>
    <t>712;714;3932;5341;3659;3001;6352;1378;51056;959;2207;5294;391;3937;23533;10019;2219;3717;341;2811;1508;3002;3684;3988;7454;3003;54331;4973;7941;9806;55619;59345</t>
  </si>
  <si>
    <t>C1QA;C1QC;LCK;PLEK;IRF1;GZMA;CCL5;CR1;LAP3;CD40LG;FCER1G;PIK3CG;RHOG;LCP2;PIK3R5;SH2B3;FCN1;JAK2;APOC1;GP1BA;CTSB;GZMB;ITGAM;LIPA;WAS;GZMK;GNG2;OLR1;PLA2G7;SPOCK2;DOCK10;GNB4</t>
  </si>
  <si>
    <t>http://www.broadinstitute.org/gsea/msigdb/cards/HALLMARK_COMPLEMENT.html</t>
  </si>
  <si>
    <t>HALLMARK_IL2_STAT5_SIGNALING</t>
  </si>
  <si>
    <t>3559;3627;962;3560;1493;7133;942;1233;3394;3587;10875;3662;399;8477;115361;51284;29851;8530;8320;1435;596;6402;3586;943;4050;3604;7185;8809;84230;1522;11217</t>
  </si>
  <si>
    <t>IL2RA;CXCL10;CD48;IL2RB;CTLA4;TNFRSF1B;CD86;CCR4;IRF8;IL10RA;FGL2;IRF4;RHOH;GPR65;GBP4;TLR7;ICOS;CST7;EOMES;CSF1;BCL2;SELL;IL10;TNFRSF8;LTB;TNFRSF9;TRAF1;IL18R1;LRRC8C;CTSZ;AKAP2</t>
  </si>
  <si>
    <t>http://www.broadinstitute.org/gsea/msigdb/cards/HALLMARK_IL2_STAT5_SIGNALING.html</t>
  </si>
  <si>
    <t>HALLMARK_KRAS_SIGNALING_UP</t>
  </si>
  <si>
    <t>3627;3689;951;3575;7133;2207;3561;3394;10320;7805;3587;719;1794;11184;1240;80380;51311;50856;27299;2162;3553;3936;2113;3290;7185;10457;7462;9935</t>
  </si>
  <si>
    <t>CXCL10;ITGB2;CD37;IL7R;TNFRSF1B;FCER1G;IL2RG;IRF8;IKZF1;LAPTM5;IL10RA;C3AR1;DOCK2;MAP4K1;CMKLR1;PDCD1LG2;TLR8;CLEC4A;ADAMDEC1;F13A1;IL1B;LCP1;ETS1;HSD11B1;TRAF1;GPNMB;LAT2;MAFB</t>
  </si>
  <si>
    <t>http://www.broadinstitute.org/gsea/msigdb/cards/HALLMARK_KRAS_SIGNALING_UP.html</t>
  </si>
  <si>
    <t>HALLMARK_IL6_JAK_STAT3_SIGNALING</t>
  </si>
  <si>
    <t>3559;3627;929;3659;3676;7133;3561;1439;6772;3594;4283;23533;6373;3553;3162;1435;1230;4050;8809;10148</t>
  </si>
  <si>
    <t>IL2RA;CXCL10;CD14;IRF1;ITGA4;TNFRSF1B;IL2RG;CSF2RB;STAT1;IL12RB1;CXCL9;PIK3R5;CXCL11;IL1B;HMOX1;CSF1;CCR1;LTB;IL18R1;EBI3</t>
  </si>
  <si>
    <t>http://www.broadinstitute.org/gsea/msigdb/cards/HALLMARK_IL6_JAK_STAT3_SIGNALING.html</t>
  </si>
  <si>
    <t>HALLMARK_TNFA_SIGNALING_VIA_NFKB</t>
  </si>
  <si>
    <t>3627;5341;3659;6351;6352;3575;941;5734;6890;9034;6373;9120;19;3553;1435;6776;4973;3604;969;7185;597</t>
  </si>
  <si>
    <t>CXCL10;PLEK;IRF1;CCL4;CCL5;IL7R;CD80;PTGER4;TAP1;CCRL2;CXCL11;SLC16A6;ABCA1;IL1B;CSF1;STAT5A;OLR1;TNFRSF9;CD69;TRAF1;BCL2A1</t>
  </si>
  <si>
    <t>http://www.broadinstitute.org/gsea/msigdb/cards/HALLMARK_TNFA_SIGNALING_VIA_NFKB.html</t>
  </si>
  <si>
    <t>HALLMARK_INTERFERON_ALPHA_RESPONSE</t>
  </si>
  <si>
    <t>3627;972;3659;7453;51056;6890;115361;9034;6373;1435;10437;6402;116071;55281</t>
  </si>
  <si>
    <t>CXCL10;CD74;IRF1;WARS;LAP3;TAP1;GBP4;CCRL2;CXCL11;CSF1;IFI30;SELL;BATF2;TMEM140</t>
  </si>
  <si>
    <t>http://www.broadinstitute.org/gsea/msigdb/cards/HALLMARK_INTERFERON_ALPHA_RESPONSE.html</t>
  </si>
  <si>
    <t>HALLMARK_APOPTOSIS</t>
  </si>
  <si>
    <t>914;929;3659;5551;6890;3553;3162;356;969</t>
  </si>
  <si>
    <t>CD2;CD14;IRF1;PRF1;TAP1;IL1B;HMOX1;FASLG;CD69</t>
  </si>
  <si>
    <t>http://www.broadinstitute.org/gsea/msigdb/cards/HALLMARK_APOPTOSIS.html</t>
  </si>
  <si>
    <t>HALLMARK_APICAL_JUNCTION</t>
  </si>
  <si>
    <t>2533;5788;942;9459;140885;7185;30835;29126;51466</t>
  </si>
  <si>
    <t>FYB1;PTPRC;CD86;ARHGEF6;SIRPA;TRAF1;CD209;CD274;EVL</t>
  </si>
  <si>
    <t>http://www.broadinstitute.org/gsea/msigdb/cards/HALLMARK_APICAL_JUNCTION.html</t>
  </si>
  <si>
    <t>HALLMARK_PI3K_AKT_MTOR_SIGNALING</t>
  </si>
  <si>
    <t>5579;3932;3561;356;6503;814</t>
  </si>
  <si>
    <t>PRKCB;LCK;IL2RG;FASLG;SLA;CAMK4</t>
  </si>
  <si>
    <t>http://www.broadinstitute.org/gsea/msigdb/cards/HALLMARK_PI3K_AKT_MTOR_SIGNALING.html</t>
  </si>
  <si>
    <t>chr1q23</t>
  </si>
  <si>
    <t>2214;2207;149628;257106;114836;51744;56833;2212;9103;6402;2213;356;57823</t>
  </si>
  <si>
    <t>FCGR3A;FCER1G;PYHIN1;ARHGAP30;SLAMF6;CD244;SLAMF8;FCGR2A;FCGR2A;SELL;FCGR2B;FASLG;SLAMF7</t>
  </si>
  <si>
    <t>http://www.broadinstitute.org/gsea/msigdb/cards/chr1q23.html</t>
  </si>
  <si>
    <t>chr19q13</t>
  </si>
  <si>
    <t>7305;9535;11025;945;2014;3903;126014;10288;11006;11184;89790;259307;10870;27036;27033;27180;284417;353514;11024;10990;348;341;5452;2357;728;2359;2358;3812;4818;79168;11027;115727;114132;3805;8605;22900</t>
  </si>
  <si>
    <t>TYROBP;GMFG;LILRB3;CD33;EMP3;LAIR1;OSCAR;LILRB2;LILRB4;MAP4K1;SIGLEC10;IL4I1;HCST;SIGLEC7;ZBTB32;SIGLEC9;TMEM150B;LILRA5;LILRA1;LILRB5;APOE;APOC1;POU2F2;FPR1;C5AR1;FPR3;FPR2;KIR3DL2;NKG7;LILRA6;LILRA2;RASGRP4;SIGLEC11;KIR2DL4;PLA2G4C;CARD8</t>
  </si>
  <si>
    <t>http://www.broadinstitute.org/gsea/msigdb/cards/chr19q13.html</t>
  </si>
  <si>
    <t>chr6p21</t>
  </si>
  <si>
    <t>7940;259197;199;6890;221472;54209;10537;4049;3122;3117;3115;3120;3111;3112;3113;3108;3109;6891;4050;7941;3123;3127;79865;51513</t>
  </si>
  <si>
    <t>LST1;NCR3;AIF1;TAP1;FGD2;TREM2;UBD;LTA;HLA-DRA;HLA-DQA1;HLA-DPB1;HLA-DQB2;HLA-DOA;HLA-DOB;HLA-DPA1;HLA-DMA;HLA-DMB;TAP2;LTB;PLA2G7;HLA-DRB1;HLA-DRB5;TREML2;ETV7</t>
  </si>
  <si>
    <t>http://www.broadinstitute.org/gsea/msigdb/cards/chr6p21.html</t>
  </si>
  <si>
    <t>chr12p13</t>
  </si>
  <si>
    <t>3820;719;5800;93978;9332;160365;50856;3902;4973;969;25900;3824;338339;64581;283316</t>
  </si>
  <si>
    <t>KLRB1;C3AR1;PTPRO;CLEC6A;CD163;CLECL1;CLEC4A;LAG3;OLR1;CD69;IFFO1;KLRD1;CLEC4D;CLEC7A;CD163L1</t>
  </si>
  <si>
    <t>http://www.broadinstitute.org/gsea/msigdb/cards/chr12p13.html</t>
  </si>
  <si>
    <t>CHEN_METABOLIC_SYNDROM_NETWORK</t>
  </si>
  <si>
    <t>4542;22797;4210;7305;9535;9046;9404;9595;11309;9450;10261;10068;713;714;972;1536;3689;1436;916;5341;929;5788;2214;962;951;2209;6351;6688;963;3683;3687;971;2123;2207;11151;2322;942;1234;3101;2014;199;3071;3394;3937;7805;3587;6404;4689;399;719;5800;219972;120939;55843;139818;170371;3903;388325;497189;79930;197358;124460;83706;51296;8477;255231;126364;150372;81704;84868;89857;1794;3635;114836;4064;53829;64333;80896;53346;51744;58475;64231;56659;58484;64407;64092;51284;54209;56833;51225;10870;11314;27128;8832;29992;10673;51393;7099;9034;10537;10154;27306;6793;2162;3117;1508;1621;3956;5552;2212;4066;10437;3936;3059;4688;241;526;4481;4360;3109;6546;3988;9938;7454;11010;6556;140885;4973;5376;4240;2529;4033;7941;10148;10457;100506736;57705;118788;80709;54518;375387;91010;116071;245972;161145;131450;79630;338339;10507;51762;55619;84329;4327;64581;7462;83937;64174;80183;51063;55803;57823;55013;23166;29126;55691;51466;25939;4644;9935</t>
  </si>
  <si>
    <t>MYO1F;TFEC;MEFV;TYROBP;GMFG;DOK2;LPXN;CYTIP;SLCO2B1;LY86;IGSF6;IL18BP;C1QB;C1QC;CD74;CYBB;ITGB2;CSF1R;CD3E;PLEK;CD14;PTPRC;FCGR3A;CD48;CD37;FCGR1A;CCL4;SPI1;CD53;ITGAL;ITGAX;CD72;EVI2A;FCER1G;CORO1A;FLT3;CD86;CCR5;HK3;EMP3;AIF1;NCKAP1L;IRF8;LCP2;LAPTM5;IL10RA;SELPLG;NCF4;RHOH;C3AR1;PTPRO;MPEG1;TMEM52B;ARHGAP15;DOCK11;TMEM273;LAIR1;SCIMP;TIFAB;DOK3;NLRC3;SNX20;FERMT3;SLC15A3;GPR65;MCOLN2;LRRC25;NFAM1;DOCK8;HAVCR2;KLHL6;DOCK2;INPP5D;SLAMF6;CD180;P2RY13;ARHGAP9;NPL;TM6SF1;CD244;MS4A7;MS4A6A;KCNK13;NLRC4;RGS18;SAMSN1;TLR7;TREM2;SLAMF8;ABI3;HCST;CD300A;CYTH4;CD84;PILRA;TNFSF13B;TRPV2;TLR4;CCRL2;UBD;PLXNC1;HPGDS;STK10;F13A1;HLA-DQA1;CTSB;DBH;LGALS1;SRGN;FCGR2A;LYL1;IFI30;LCP1;HCLS1;NCF2;ALOX5AP;ATP6V1B2;MSR1;MRC1;HLA-DMB;SLC8A1;LIPA;ARHGAP25;WAS;GLIPR1;SLC11A1;SIRPA;OLR1;PMP22;MFGE8;FUT7;LRMP;PLA2G7;EBI3;GPNMB;SLFN12L;WDFY4;PIK3AP1;AKNA;APBB1IP;NRROS;FMNL3;BATF2;ATP6V0D2;TMEM229B;CD200R1;C1orf54;CLEC4D;SEMA4D;RAB8B;DOCK10;HVCN1;MMP19;CLEC7A;LAT2;RASSF4;DPEP2;RUBCNL;CALHM2;ADAP2;SLAMF7;MCUB;STAB1;CD274;FRMD4A;EVL;SAMHD1;MYO5A;MAFB</t>
  </si>
  <si>
    <t>http://www.broadinstitute.org/gsea/msigdb/cards/CHEN_METABOLIC_SYNDROM_NETWORK.html</t>
  </si>
  <si>
    <t>SMID_BREAST_CANCER_NORMAL_LIKE_UP</t>
  </si>
  <si>
    <t>9840;7940;259197;2533;7456;9535;9046;9214;9595;4068;11025;920;925;972;915;5579;3932;914;5788;962;917;951;3001;6352;3676;2350;5551;3575;7133;3683;919;971;3695;313;959;923;11151;3561;1236;2124;5734;10225;7535;199;2313;3394;695;3702;3820;3937;11262;9744;4689;55843;474344;50852;1794;11184;6039;55340;114548;26051;4064;51744;81030;64231;50615;4063;55303;50856;23228;80342;29851;29909;6793;2162;3122;924;5552;3002;4066;3112;6402;3113;4360;1043;4261;729230;9938;11010;3003;3004;1235;4208;4050;969;4033;6503;8809;9815;4818;3123;55704;10235;10462;25780;55619;6363;6614;64919;81553;54504;80183;27240</t>
  </si>
  <si>
    <t>TESPA1;LST1;NCR3;FYB1;WIPF1;GMFG;DOK2;FCMR;CYTIP;SH2D1A;LILRB3;CD4;CD8A;CD74;CD3D;PRKCB;LCK;CD2;PTPRC;CD48;CD3G;CD37;GZMA;CCL5;ITGA4;FOLR2;PRF1;IL7R;TNFRSF1B;ITGAL;CD247;CD72;ITGB7;AOAH;CD40LG;CD6;CORO1A;IL2RG;CCR7;EVI2B;PTGER4;CD96;ZAP70;AIF1;FLI1;IRF8;BTK;ITK;KLRB1;LCP2;SP140;ACAP1;NCF4;ARHGAP15;GIMAP6;TRAT1;DOCK2;MAP4K1;RNASE6;GIMAP5;NLRP3;PPP1R16B;CD180;CD244;ZBP1;MS4A6A;IL21R;LY9;GIMAP4;CLEC4A;PLCL2;TRAF3IP3;ICOS;GPR171;STK10;F13A1;HLA-DRA;CD7;SRGN;GZMB;LYL1;HLA-DOB;SELL;HLA-DPA1;MRC1;CD52;CIITA;CCR2;ARHGAP25;GLIPR1;GZMK;GZMM;CCR6;MEF2C;LTB;CD69;LRMP;SLA;IL18R1;GIT2;NKG7;HLA-DRB1;CCDC88A;RASGRP2;CLEC10A;RASGRP3;DOCK10;CCL19;SIGLEC1;BCL11B;FAM49A;CPVL;RUBCNL;SIT1</t>
  </si>
  <si>
    <t>http://www.broadinstitute.org/gsea/msigdb/cards/SMID_BREAST_CANCER_NORMAL_LIKE_UP.html</t>
  </si>
  <si>
    <t>WALLACE_PROSTATE_CANCER_RACE_UP</t>
  </si>
  <si>
    <t>22797;2533;7456;9535;9214;9595;3458;925;712;713;915;3689;3932;914;5341;5788;962;940;3659;951;3001;6351;6352;3676;5551;3575;963;3683;2123;2207;11151;3561;1236;2633;1439;2124;5778;942;6772;7535;1234;3071;2313;3394;6890;4283;3702;3937;6504;7805;3587;3603;10875;55843;474344;50852;8477;10288;80301;11184;6039;51338;64092;50856;11326;6373;29909;27299;3122;3117;348;3115;5552;6402;3059;241;728;4360;1043;2213;9938;11010;3003;6891;969;6503;597;4818;25780;64780;79630;55619;4327;6363;64919;55013</t>
  </si>
  <si>
    <t>TFEC;FYB1;WIPF1;GMFG;FCMR;CYTIP;IFNG;CD8A;C1QA;C1QB;CD3D;ITGB2;LCK;CD2;PLEK;PTPRC;CD48;CD28;IRF1;CD37;GZMA;CCL4;CCL5;ITGA4;PRF1;IL7R;CD53;ITGAL;EVI2A;FCER1G;CORO1A;IL2RG;CCR7;GBP1;CSF2RB;EVI2B;PTPN7;CD86;STAT1;ZAP70;CCR5;NCKAP1L;FLI1;IRF8;TAP1;CXCL9;ITK;LCP2;SLAMF1;LAPTM5;IL10RA;IL16;FGL2;ARHGAP15;GIMAP6;TRAT1;GPR65;LILRB2;PLEKHO2;MAP4K1;RNASE6;MS4A4A;SAMSN1;CLEC4A;VSIG4;CXCL11;GPR171;ADAMDEC1;HLA-DRA;HLA-DQA1;APOE;HLA-DPB1;SRGN;SELL;HCLS1;ALOX5AP;C5AR1;MRC1;CD52;FCGR2B;ARHGAP25;GLIPR1;GZMK;TAP2;CD69;SLA;BCL2A1;NKG7;RASGRP3;MICAL1;C1orf54;DOCK10;MMP19;CCL19;BCL11B;MCUB</t>
  </si>
  <si>
    <t>http://www.broadinstitute.org/gsea/msigdb/cards/WALLACE_PROSTATE_CANCER_RACE_UP.html</t>
  </si>
  <si>
    <t>POOLA_INVASIVE_BREAST_CANCER_UP</t>
  </si>
  <si>
    <t>7940;22797;2533;9051;9214;9404;9595;3627;972;915;3689;5579;3932;914;5341;5788;962;3001;6351;3676;963;3687;2123;923;2207;3561;1236;2633;1439;2124;4332;942;199;3394;695;4283;3702;3937;11262;10320;7805;6404;55843;50852;9332;8477;10288;11006;1794;2210;11184;80896;64092;56833;9056;80342;6373;29909;27299;8564;8530;3117;341;5552;3002;2212;10437;6402;3059;4688;10578;2359;3109;1043;1230;9938;11010;2833;3003;4050;969;4033;7185;7941;6503;8809;597;55704;4327;64581;7462;50515;30817;9935</t>
  </si>
  <si>
    <t>LST1;TFEC;FYB1;PSTPIP1;FCMR;LPXN;CYTIP;CXCL10;CD74;CD3D;ITGB2;PRKCB;LCK;CD2;PLEK;PTPRC;CD48;GZMA;CCL4;ITGA4;CD53;ITGAX;EVI2A;CD6;FCER1G;IL2RG;CCR7;GBP1;CSF2RB;EVI2B;MNDA;CD86;AIF1;IRF8;BTK;CXCL9;ITK;LCP2;SP140;IKZF1;LAPTM5;SELPLG;ARHGAP15;TRAT1;CD163;GPR65;LILRB2;LILRB4;DOCK2;FCGR1B;MAP4K1;NPL;SAMSN1;SLAMF8;SLC7A7;TRAF3IP3;CXCL11;GPR171;ADAMDEC1;KMO;CST7;HLA-DQA1;APOC1;SRGN;GZMB;FCGR2A;IFI30;SELL;HCLS1;NCF2;GNLY;FPR3;HLA-DMB;CD52;CCR1;ARHGAP25;GLIPR1;CXCR3;GZMK;LTB;CD69;LRMP;TRAF1;PLA2G7;SLA;IL18R1;BCL2A1;CCDC88A;MMP19;CLEC7A;LAT2;CHST11;ADGRE2;MAFB</t>
  </si>
  <si>
    <t>http://www.broadinstitute.org/gsea/msigdb/cards/POOLA_INVASIVE_BREAST_CANCER_UP.html</t>
  </si>
  <si>
    <t>MCLACHLAN_DENTAL_CARIES_UP</t>
  </si>
  <si>
    <t>2533;7305;9595;54440;920;712;713;972;1536;3689;1436;5341;929;5788;3055;962;951;6352;3575;963;7133;2123;7453;2207;11151;1439;2124;5734;4332;3394;4283;3937;7805;3587;10875;4689;3662;719;9332;6039;51338;64231;64092;56833;8832;2219;27299;19;2162;3553;3122;3117;348;341;3115;1508;240;5552;3002;2212;9103;10437;54;3936;3059;4688;3113;241;2357;728;4481;4360;3108;3109;2213;1230;729230;4050;7941;6503;10457;597;3123;64581;54504;30835;23166</t>
  </si>
  <si>
    <t>FYB1;TYROBP;CYTIP;SASH3;CD4;C1QA;C1QB;CD74;CYBB;ITGB2;CSF1R;PLEK;CD14;PTPRC;HCK;CD48;CD37;CCL5;IL7R;CD53;TNFRSF1B;EVI2A;WARS;FCER1G;CORO1A;CSF2RB;EVI2B;PTGER4;MNDA;IRF8;CXCL9;LCP2;LAPTM5;IL10RA;FGL2;NCF4;IRF4;C3AR1;CD163;RNASE6;MS4A4A;MS4A6A;SAMSN1;SLAMF8;CD84;FCN1;ADAMDEC1;ABCA1;F13A1;IL1B;HLA-DRA;HLA-DQA1;APOE;APOC1;HLA-DPB1;CTSB;ALOX5;SRGN;GZMB;FCGR2A;FCGR2A;IFI30;ACP5;LCP1;HCLS1;NCF2;HLA-DPA1;ALOX5AP;FPR1;C5AR1;MSR1;MRC1;HLA-DMA;HLA-DMB;FCGR2B;CCR1;CCR2;LTB;PLA2G7;SLA;GPNMB;BCL2A1;HLA-DRB1;CLEC7A;CPVL;CD209;STAB1</t>
  </si>
  <si>
    <t>http://www.broadinstitute.org/gsea/msigdb/cards/MCLACHLAN_DENTAL_CARIES_UP.html</t>
  </si>
  <si>
    <t>JAATINEN_HEMATOPOIETIC_STEM_CELL_DN</t>
  </si>
  <si>
    <t>2533;7305;9046;8676;10261;925;915;1536;3689;3932;914;929;3055;2268;940;3001;6351;6352;5551;3560;3575;919;2207;1236;4332;942;7535;3702;3820;3587;10875;219972;149628;50852;9332;8477;387357;154075;23533;80896;64231;50615;4063;64407;55303;50856;353514;2219;8530;2162;921;1508;3002;926;3684;2212;10437;2113;4688;2999;2357;728;10578;1230;3003;814;4818;10462;64581;64919;54504;25939</t>
  </si>
  <si>
    <t>FYB1;TYROBP;DOK2;STX11;IGSF6;CD8A;CD3D;CYBB;ITGB2;LCK;CD2;CD14;HCK;FGR;CD28;GZMA;CCL4;CCL5;PRF1;IL2RB;IL7R;CD247;FCER1G;CCR7;MNDA;CD86;ZAP70;ITK;KLRB1;IL10RA;FGL2;MPEG1;PYHIN1;TRAT1;CD163;GPR65;THEMIS;SAMD3;PIK3R5;NPL;MS4A6A;IL21R;LY9;RGS18;GIMAP4;CLEC4A;LILRA5;FCN1;CST7;F13A1;CD5;CTSB;GZMB;CD8B;ITGAM;FCGR2A;IFI30;ETS1;NCF2;GZMH;FPR1;C5AR1;GNLY;CCR1;GZMK;CAMK4;NKG7;CLEC10A;CLEC7A;BCL11B;CPVL;SAMHD1</t>
  </si>
  <si>
    <t>http://www.broadinstitute.org/gsea/msigdb/cards/JAATINEN_HEMATOPOIETIC_STEM_CELL_DN.html</t>
  </si>
  <si>
    <t>REACTOME_IMMUNE_SYSTEM</t>
  </si>
  <si>
    <t>2533;4210;9051;7305;11025;9402;9450;3458;3559;920;925;712;713;714;972;915;1536;3689;5579;3932;916;929;5788;3055;2214;917;940;3659;2209;3560;1493;3575;1378;3683;919;3695;959;3561;2633;1439;941;10225;942;6772;7535;3394;6890;695;3702;3937;4689;3662;10666;50852;151888;84166;10288;11006;2210;114548;115362;115361;4064;80380;81030;64170;58484;51311;51284;10870;29851;7099;3717;11024;10990;56253;3553;3117;3115;3111;1508;596;926;3112;6402;4688;3113;4360;5724;3108;3109;2213;4261;729230;6776;7454;3812;1235;3718;8905;6891;4208;3824;5133;3123;3127;118788;10235;120425;25780;131450;51676;5027;3805;4215;29126;51466</t>
  </si>
  <si>
    <t>FYB1;MEFV;PSTPIP1;TYROBP;LILRB3;GRAP2;LY86;IFNG;IL2RA;CD4;CD8A;C1QA;C1QB;C1QC;CD74;CD3D;CYBB;ITGB2;PRKCB;LCK;CD3E;CD14;PTPRC;HCK;FCGR3A;CD3G;CD28;IRF1;FCGR1A;IL2RB;CTLA4;IL7R;CR1;ITGAL;CD247;ITGB7;CD40LG;IL2RG;GBP1;CSF2RB;CD80;CD96;CD86;STAT1;ZAP70;IRF8;TAP1;BTK;ITK;LCP2;NCF4;IRF4;CD226;TRAT1;BTLA;NLRC5;LILRB2;LILRB4;FCGR1B;NLRP3;GBP5;GBP4;CD180;PDCD1LG2;ZBP1;CARD9;NLRC4;TLR8;TLR7;HCST;ICOS;TLR4;JAK2;LILRA1;LILRB5;CRTAM;IL1B;HLA-DQA1;HLA-DPB1;HLA-DOA;CTSB;BCL2;CD8B;HLA-DOB;SELL;NCF2;HLA-DPA1;MRC1;PTAFR;HLA-DMA;HLA-DMB;FCGR2B;CIITA;CCR2;STAT5A;WAS;KIR3DL2;CCR6;JAK3;AP1S2;TAP2;MEF2C;KLRD1;PDCD1;HLA-DRB1;HLA-DRB5;PIK3AP1;RASGRP2;JAML;RASGRP3;CD200R1;ASB2;P2RX7;KIR2DL4;MAP3K3;CD274;EVL</t>
  </si>
  <si>
    <t>http://www.broadinstitute.org/gsea/msigdb/cards/REACTOME_IMMUNE_SYSTEM.html</t>
  </si>
  <si>
    <t>4542;7940;2533;7305;9535;9839;712;713;714;3689;1436;929;5788;3001;6352;963;2123;4245;2207;11151;5294;2014;3394;6890;3937;10320;7805;3587;6404;9459;219972;139818;79930;257106;84166;51296;55016;57580;1794;6039;115362;259307;23048;58475;64231;56833;10870;50856;6793;3122;348;240;5552;3059;3113;4481;4360;3108;1230;3363;9938;6507;3003;54331;4050;969;4240;9363;10457;597;4818;3123;55704;441168;80709;54518;120425;10462;51762;132160;64581;81553;80183;51063;59345;64098;23166;26157;30817;25939</t>
  </si>
  <si>
    <t>MYO1F;LST1;FYB1;TYROBP;GMFG;ZEB2;C1QA;C1QB;C1QC;ITGB2;CSF1R;CD14;PTPRC;GZMA;CCL5;CD53;EVI2A;MGAT1;FCER1G;CORO1A;PIK3CG;EMP3;IRF8;TAP1;LCP2;IKZF1;LAPTM5;IL10RA;SELPLG;ARHGEF6;MPEG1;DOCK11;DOK3;ARHGAP30;NLRC5;SLC15A3;MARCH1;PREX1;DOCK2;RNASE6;GBP5;IL4I1;FNBP1;MS4A7;MS4A6A;SLAMF8;HCST;CLEC4A;STK10;HLA-DRA;APOE;ALOX5;SRGN;HCLS1;HLA-DPA1;MSR1;MRC1;HLA-DMA;CCR1;HTR7;ARHGAP25;SLC1A3;GZMK;GNG2;LTB;CD69;MFGE8;RAB33A;GPNMB;BCL2A1;NKG7;HLA-DRB1;CCDC88A;CALHM6;AKNA;APBB1IP;JAML;CLEC10A;RAB8B;PPM1M;CLEC7A;FAM49A;RUBCNL;CALHM2;GNB4;PARVG;STAB1;GIMAP2;ADGRE2;SAMHD1</t>
  </si>
  <si>
    <t>http://www.broadinstitute.org/gsea/msigdb/cards/RODWELL_AGING_KIDNEY_UP.html</t>
  </si>
  <si>
    <t>2533;9535;9404;4068;54440;915;3689;5579;3932;914;5788;962;917;3575;963;3683;919;2123;11151;2124;10225;199;53347;2313;3702;10320;7805;6404;9459;399;55843;92241;50852;197358;124460;257106;286530;374403;117289;81704;89857;1794;11184;23048;64333;80342;29851;6402;3059;1043;9938;4050;6503;80709;54518;147138;10507;64919;26157;51466</t>
  </si>
  <si>
    <t>FYB1;GMFG;LPXN;SH2D1A;SASH3;CD3D;ITGB2;PRKCB;LCK;CD2;PTPRC;CD48;CD3G;IL7R;CD53;ITGAL;CD247;EVI2A;CORO1A;EVI2B;CD96;AIF1;UBASH3A;FLI1;ITK;IKZF1;LAPTM5;SELPLG;ARHGEF6;RHOH;ARHGAP15;RCSD1;TRAT1;NLRC3;SNX20;ARHGAP30;P2RY8;TBC1D10C;TAGAP;DOCK8;KLHL6;DOCK2;MAP4K1;FNBP1;ARHGAP9;TRAF3IP3;ICOS;SELL;HCLS1;CD52;ARHGAP25;LTB;SLA;AKNA;APBB1IP;TMC8;SEMA4D;BCL11B;GIMAP2;EVL</t>
  </si>
  <si>
    <t>LINDGREN_BLADDER_CANCER_CLUSTER_2B</t>
  </si>
  <si>
    <t>4542;4242;2533;1536;3932;3676;2350;3575;3683;2123;3561;2124;5778;7535;2014;199;4354;3702;3937;7805;3587;3603;10875;399;719;55843;257106;83706;57580;89857;1794;6039;51338;26051;64092;55589;27128;10019;10537;4094;8530;56253;3122;3115;3956;5552;10437;3936;6402;241;3108;1043;2213;11010;3718;8905;140885;1601;5376;7185;10148;597;3123;3127;25890;10462;84230;79630;7462;64098;25939;4644;9935</t>
  </si>
  <si>
    <t>MYO1F;MFNG;FYB1;CYBB;LCK;ITGA4;FOLR2;IL7R;ITGAL;EVI2A;IL2RG;EVI2B;PTPN7;ZAP70;EMP3;AIF1;MPP1;ITK;LCP2;LAPTM5;IL10RA;IL16;FGL2;RHOH;C3AR1;ARHGAP15;ARHGAP30;FERMT3;PREX1;KLHL6;DOCK2;RNASE6;MS4A4A;PPP1R16B;SAMSN1;BMP2K;CYTH4;SH2B3;UBD;MAF;CST7;CRTAM;HLA-DRA;HLA-DPB1;LGALS1;SRGN;IFI30;LCP1;SELL;ALOX5AP;HLA-DMA;CD52;FCGR2B;GLIPR1;JAK3;AP1S2;SIRPA;DAB2;PMP22;TRAF1;EBI3;BCL2A1;HLA-DRB1;HLA-DRB5;ABI3BP;CLEC10A;LRRC8C;C1orf54;LAT2;PARVG;SAMHD1;MYO5A;MAFB</t>
  </si>
  <si>
    <t>http://www.broadinstitute.org/gsea/msigdb/cards/LINDGREN_BLADDER_CANCER_CLUSTER_2B.html</t>
  </si>
  <si>
    <t>SCHUETZ_BREAST_CANCER_DUCTAL_INVASIVE_UP</t>
  </si>
  <si>
    <t>22797;7456;7305;9839;9404;712;713;972;5788;6352;963;2123;2207;2633;1439;2124;4332;2014;2313;3394;3937;7805;10875;719;474344;9332;8477;2210;6039;51338;53346;64231;64092;55303;51284;56833;9056;50856;10154;27306;4094;1102;3122;3117;348;3115;3120;3956;3162;240;5552;2212;10437;3059;3113;4481;3108;3109;1230;11010;4973;1601;4208;25900;10457;3123;79630;64581;54504;9935</t>
  </si>
  <si>
    <t>TFEC;WIPF1;TYROBP;ZEB2;LPXN;C1QA;C1QB;CD74;PTPRC;CCL5;CD53;EVI2A;FCER1G;GBP1;CSF2RB;EVI2B;MNDA;EMP3;FLI1;IRF8;LCP2;LAPTM5;FGL2;C3AR1;GIMAP6;CD163;GPR65;FCGR1B;RNASE6;MS4A4A;TM6SF1;MS4A6A;SAMSN1;GIMAP4;TLR7;SLAMF8;SLC7A7;CLEC4A;PLXNC1;HPGDS;MAF;RCBTB2;HLA-DRA;HLA-DQA1;APOE;HLA-DPB1;HLA-DQB2;LGALS1;HMOX1;ALOX5;SRGN;FCGR2A;IFI30;HCLS1;HLA-DPA1;MSR1;HLA-DMA;HLA-DMB;CCR1;GLIPR1;OLR1;DAB2;MEF2C;IFFO1;GPNMB;HLA-DRB1;C1orf54;CLEC7A;CPVL;MAFB</t>
  </si>
  <si>
    <t>http://www.broadinstitute.org/gsea/msigdb/cards/SCHUETZ_BREAST_CANCER_DUCTAL_INVASIVE_UP.html</t>
  </si>
  <si>
    <t>RUTELLA_RESPONSE_TO_HGF_VS_CSF2RB_AND_IL4_UP</t>
  </si>
  <si>
    <t>2533;9051;9404;9450;712;3627;1536;5579;929;962;3683;313;6772;1234;199;4283;719;3903;91752;9332;10288;11006;51338;114548;1240;80896;53346;56833;11314;9056;23228;11326;9034;2219;27299;8564;9120;366;56253;3553;3117;348;341;1508;240;54;6402;2357;728;3586;3290;1043;1230;6507;1601;4208;4033;7941;10457;4818;10184;206358;11027;23312;64174;80183;51063;57823;9935</t>
  </si>
  <si>
    <t>FYB1;PSTPIP1;LPXN;LY86;C1QA;CXCL10;CYBB;PRKCB;CD14;CD48;ITGAL;AOAH;STAT1;CCR5;AIF1;CXCL9;C3AR1;LAIR1;ZNF804A;CD163;LILRB2;LILRB4;MS4A4A;NLRP3;CMKLR1;NPL;TM6SF1;SLAMF8;CD300A;SLC7A7;PLCL2;VSIG4;CCRL2;FCN1;ADAMDEC1;KMO;SLC16A6;AQP9;CRTAM;IL1B;HLA-DQA1;APOE;APOC1;CTSB;ALOX5;ACP5;SELL;FPR1;C5AR1;IL10;HSD11B1;CD52;CCR1;SLC1A3;DAB2;MEF2C;LRMP;PLA2G7;GPNMB;NKG7;LHFPL2;SLC36A1;LILRA2;DMXL2;DPEP2;RUBCNL;CALHM2;SLAMF7;MAFB</t>
  </si>
  <si>
    <t>http://www.broadinstitute.org/gsea/msigdb/cards/RUTELLA_RESPONSE_TO_HGF_VS_CSF2RB_AND_IL4_UP.html</t>
  </si>
  <si>
    <t>FULCHER_INFLAMMATORY_RESPONSE_LECTIN_VS_LPS_DN</t>
  </si>
  <si>
    <t>7940;2533;9839;11025;80833;9450;920;3627;929;951;2633;5734;4332;1234;199;4354;4283;3937;10875;719;139818;3903;9332;10288;128346;150372;55016;54557;55340;51338;1240;80896;58475;64231;80231;4063;51311;11314;8832;23228;730249;7099;2219;6373;9120;4094;2162;341;3162;6693;2357;3586;2358;3109;6546;10457;441168;118788;120425;11027;23312;6363;56670;6614;64174;59345;64098;55281;23166;55691;30817;9935</t>
  </si>
  <si>
    <t>LST1;FYB1;ZEB2;LILRB3;APOL3;LY86;CD4;CXCL10;CD14;CD37;GBP1;PTGER4;MNDA;CCR5;AIF1;MPP1;CXCL9;LCP2;FGL2;C3AR1;DOCK11;LAIR1;CD163;LILRB2;C1orf162;NFAM1;MARCH1;SGTB;GIMAP5;MS4A4A;CMKLR1;NPL;MS4A7;MS4A6A;CXorf21;LY9;TLR8;CD300A;CD84;PLCL2;ACOD1;TLR4;FCN1;CXCL11;SLC16A6;MAF;F13A1;APOC1;HMOX1;SPN;FPR1;IL10;FPR2;HLA-DMB;SLC8A1;GPNMB;CALHM6;PIK3AP1;JAML;LILRA2;DMXL2;CCL19;SUCNR1;SIGLEC1;DPEP2;GNB4;PARVG;TMEM140;STAB1;FRMD4A;ADGRE2;MAFB</t>
  </si>
  <si>
    <t>http://www.broadinstitute.org/gsea/msigdb/cards/FULCHER_INFLAMMATORY_RESPONSE_LECTIN_VS_LPS_DN.html</t>
  </si>
  <si>
    <t>MARKEY_RB1_ACUTE_LOF_DN</t>
  </si>
  <si>
    <t>7940;7305;9535;10068;713;714;3627;3689;1436;5788;3055;2209;6351;6352;3575;3687;971;2123;2207;2633;6772;3071;6890;10871;6404;4689;719;219972;83706;255231;115361;730249;19;1508;5552;3684;4066;3936;3059;4688;2999;526;2357;728;1043;2213;1230;7941;597;100506736;161145;338339;51762;7462;23166;1522</t>
  </si>
  <si>
    <t>LST1;TYROBP;GMFG;IL18BP;C1QB;C1QC;CXCL10;ITGB2;CSF1R;PTPRC;HCK;FCGR1A;CCL4;CCL5;IL7R;ITGAX;CD72;EVI2A;FCER1G;GBP1;STAT1;NCKAP1L;TAP1;CD300C;SELPLG;NCF4;C3AR1;MPEG1;FERMT3;MCOLN2;GBP4;ACOD1;ABCA1;CTSB;SRGN;ITGAM;LYL1;LCP1;HCLS1;NCF2;GZMH;ATP6V1B2;FPR1;C5AR1;CD52;FCGR2B;CCR1;PLA2G7;BCL2A1;SLFN12L;TMEM229B;CLEC4D;RAB8B;LAT2;STAB1;CTSZ</t>
  </si>
  <si>
    <t>http://www.broadinstitute.org/gsea/msigdb/cards/MARKEY_RB1_ACUTE_LOF_DN.html</t>
  </si>
  <si>
    <t>RUTELLA_RESPONSE_TO_CSF2RB_AND_IL4_DN</t>
  </si>
  <si>
    <t>2533;9051;9404;9450;712;3627;1536;5579;929;962;3676;3683;313;6772;1234;199;9459;719;3903;91752;9332;10288;11006;11184;51338;114548;1240;80896;53346;64231;11314;9056;23228;11326;9034;2219;9120;366;56253;3553;3117;1508;240;6402;2357;728;1043;1230;1601;4208;4033;7941;4818;10235;206358;11027;23312;64174;80183;51063;9935</t>
  </si>
  <si>
    <t>FYB1;PSTPIP1;LPXN;LY86;C1QA;CXCL10;CYBB;PRKCB;CD14;CD48;ITGA4;ITGAL;AOAH;STAT1;CCR5;AIF1;ARHGEF6;C3AR1;LAIR1;ZNF804A;CD163;LILRB2;LILRB4;MAP4K1;MS4A4A;NLRP3;CMKLR1;NPL;TM6SF1;MS4A6A;CD300A;SLC7A7;PLCL2;VSIG4;CCRL2;FCN1;SLC16A6;AQP9;CRTAM;IL1B;HLA-DQA1;CTSB;ALOX5;SELL;FPR1;C5AR1;CD52;CCR1;DAB2;MEF2C;LRMP;PLA2G7;NKG7;RASGRP2;SLC36A1;LILRA2;DMXL2;DPEP2;RUBCNL;CALHM2;MAFB</t>
  </si>
  <si>
    <t>http://www.broadinstitute.org/gsea/msigdb/cards/RUTELLA_RESPONSE_TO_CSF2RB_AND_IL4_DN.html</t>
  </si>
  <si>
    <t>FLECHNER_BIOPSY_KIDNEY_TRANSPLANT_REJECTED_VS_OK_UP</t>
  </si>
  <si>
    <t>7940;7305;9535;9450;925;713;915;3689;5579;3932;914;929;5788;2214;962;2209;3001;6352;963;7133;7453;313;2207;11151;6772;199;7805;3587;399;9332;11006;1794;3635;11326;2219;341;10437;3936;3059;1043;6503</t>
  </si>
  <si>
    <t>LST1;TYROBP;GMFG;LY86;CD8A;C1QB;CD3D;ITGB2;PRKCB;LCK;CD2;CD14;PTPRC;FCGR3A;CD48;FCGR1A;GZMA;CCL5;CD53;TNFRSF1B;WARS;AOAH;FCER1G;CORO1A;STAT1;AIF1;LAPTM5;IL10RA;RHOH;CD163;LILRB4;DOCK2;INPP5D;VSIG4;FCN1;APOC1;IFI30;LCP1;HCLS1;CD52;SLA</t>
  </si>
  <si>
    <t>http://www.broadinstitute.org/gsea/msigdb/cards/FLECHNER_BIOPSY_KIDNEY_TRANSPLANT_REJECTED_VS_OK_UP.html</t>
  </si>
  <si>
    <t>REACTOME_ADAPTIVE_IMMUNE_SYSTEM</t>
  </si>
  <si>
    <t>2533;7305;11025;9402;920;925;972;915;1536;3689;5579;3932;916;5788;2214;917;940;2209;1493;3683;919;3695;959;941;10225;942;7535;6890;695;3702;3937;4689;10666;50852;151888;10288;11006;2210;80380;10870;29851;11024;10990;56253;3117;3115;3111;1508;926;3112;6402;4688;3113;4360;3108;3109;2213;7454;3812;8905;6891;3824;5133;3123;3127;118788;10235;120425;25780;131450;51676;3805;29126;51466</t>
  </si>
  <si>
    <t>FYB1;TYROBP;LILRB3;GRAP2;CD4;CD8A;CD74;CD3D;CYBB;ITGB2;PRKCB;LCK;CD3E;PTPRC;FCGR3A;CD3G;CD28;FCGR1A;CTLA4;ITGAL;CD247;ITGB7;CD40LG;CD80;CD96;CD86;ZAP70;TAP1;BTK;ITK;LCP2;NCF4;CD226;TRAT1;BTLA;LILRB2;LILRB4;FCGR1B;PDCD1LG2;HCST;ICOS;LILRA1;LILRB5;CRTAM;HLA-DQA1;HLA-DPB1;HLA-DOA;CTSB;CD8B;HLA-DOB;SELL;NCF2;HLA-DPA1;MRC1;HLA-DMA;HLA-DMB;FCGR2B;WAS;KIR3DL2;AP1S2;TAP2;KLRD1;PDCD1;HLA-DRB1;HLA-DRB5;PIK3AP1;RASGRP2;JAML;RASGRP3;CD200R1;ASB2;KIR2DL4;CD274;EVL</t>
  </si>
  <si>
    <t>http://www.broadinstitute.org/gsea/msigdb/cards/REACTOME_ADAPTIVE_IMMUNE_SYSTEM.html</t>
  </si>
  <si>
    <t>BOSCO_TH1_CYTOTOXIC_MODULE</t>
  </si>
  <si>
    <t>4068;80833;3458;3559;3627;6036;940;5551;1493;1234;4283;6504;3662;50852;154075;55340;259307;1240;84174;59067;55303;730249;6373;29909;10990;2162;921;3002;596;3586;10578;2213;3003;3824;4818;342510;441168;116071;161145;155038;168537;145864;283316;23166</t>
  </si>
  <si>
    <t>SH2D1A;APOL3;IFNG;IL2RA;CXCL10;RNASE2;CD28;PRF1;CTLA4;CCR5;CXCL9;SLAMF1;IRF4;TRAT1;SAMD3;GIMAP5;IL4I1;CMKLR1;SLA2;IL21;GIMAP4;ACOD1;CXCL11;GPR171;LILRB5;F13A1;CD5;GZMB;BCL2;IL10;GNLY;FCGR2B;GZMK;KLRD1;NKG7;CD300E;CALHM6;BATF2;TMEM229B;GIMAP8;GIMAP7;HAPLN3;CD163L1;STAB1</t>
  </si>
  <si>
    <t>http://www.broadinstitute.org/gsea/msigdb/cards/BOSCO_TH1_CYTOTOXIC_MODULE.html</t>
  </si>
  <si>
    <t>ICHIBA_GRAFT_VERSUS_HOST_DISEASE_35D_UP</t>
  </si>
  <si>
    <t>7305;9595;10068;712;713;714;972;1536;3689;3932;1436;929;5788;3055;2209;6351;6352;963;7453;2633;6772;199;6890;4283;3937;7805;6404;10875;4689;219972;115361;10537;3117;924;2357;4481;3108;3109;1043;1230;140885;3123;100506736;54518;25939</t>
  </si>
  <si>
    <t>TYROBP;CYTIP;IL18BP;C1QA;C1QB;C1QC;CD74;CYBB;ITGB2;LCK;CSF1R;CD14;PTPRC;HCK;FCGR1A;CCL4;CCL5;CD53;WARS;GBP1;STAT1;AIF1;TAP1;CXCL9;LCP2;LAPTM5;SELPLG;FGL2;NCF4;MPEG1;GBP4;UBD;HLA-DQA1;CD7;FPR1;MSR1;HLA-DMA;HLA-DMB;CD52;CCR1;SIRPA;HLA-DRB1;SLFN12L;APBB1IP;SAMHD1</t>
  </si>
  <si>
    <t>http://www.broadinstitute.org/gsea/msigdb/cards/ICHIBA_GRAFT_VERSUS_HOST_DISEASE_35D_UP.html</t>
  </si>
  <si>
    <t>QI_PLASMACYTOMA_UP</t>
  </si>
  <si>
    <t>7940;9051;4068;9450;10068;920;915;3689;3932;1436;916;5341;3055;917;2268;3659;951;6351;6352;3560;963;3695;3561;2322;7535;1234;3394;6504;10875;50852;150372;51744;50615;51225;23228;10673;10154;8530;6793;924;596;3936;3059;3902;241;1230;4261;729230;4050;7185;6503;3824;6363;83937;59345</t>
  </si>
  <si>
    <t>LST1;PSTPIP1;SH2D1A;LY86;IL18BP;CD4;CD3D;ITGB2;LCK;CSF1R;CD3E;PLEK;HCK;CD3G;FGR;IRF1;CD37;CCL4;CCL5;IL2RB;CD53;ITGB7;IL2RG;FLT3;ZAP70;CCR5;IRF8;SLAMF1;FGL2;TRAT1;NFAM1;CD244;IL21R;ABI3;PLCL2;TNFSF13B;PLXNC1;CST7;STK10;CD7;BCL2;LCP1;HCLS1;LAG3;ALOX5AP;CCR1;CIITA;CCR2;LTB;TRAF1;SLA;KLRD1;CCL19;RASSF4;GNB4</t>
  </si>
  <si>
    <t>http://www.broadinstitute.org/gsea/msigdb/cards/QI_PLASMACYTOMA_UP.html</t>
  </si>
  <si>
    <t>VERHAAK_GLIOBLASTOMA_MESENCHYMAL</t>
  </si>
  <si>
    <t>4542;7456;9595;11025;920;3689;929;5788;3676;2350;7133;4245;5734;1234;3101;2014;391;3937;7805;4689;3903;79930;10288;51338;56833;27128;10019;27036;27180;7099;1508;3956;240;3684;2212;10437;3936;4688;728;4481;2359;2213;6556;1601;10184;79630;64747;55013;23166;1522;9935</t>
  </si>
  <si>
    <t>MYO1F;WIPF1;CYTIP;LILRB3;CD4;ITGB2;CD14;PTPRC;ITGA4;FOLR2;TNFRSF1B;MGAT1;PTGER4;CCR5;HK3;EMP3;RHOG;LCP2;LAPTM5;NCF4;LAIR1;DOK3;LILRB2;MS4A4A;SLAMF8;CYTH4;SH2B3;SIGLEC7;SIGLEC9;TLR4;CTSB;LGALS1;ALOX5;ITGAM;FCGR2A;IFI30;LCP1;NCF2;C5AR1;MSR1;FPR3;FCGR2B;SLC11A1;DAB2;LHFPL2;C1orf54;MFSD1;MCUB;STAB1;CTSZ;MAFB</t>
  </si>
  <si>
    <t>http://www.broadinstitute.org/gsea/msigdb/cards/VERHAAK_GLIOBLASTOMA_MESENCHYMAL.html</t>
  </si>
  <si>
    <t>TAKEDA_TARGETS_OF_NUP98_HOXA9_FUSION_8D_DN</t>
  </si>
  <si>
    <t>27334;2533;11309;712;713;714;1536;929;3575;1378;3101;3937;399;50852;9332;55016;80896;53346;56833;9056;50856;2857;2219;9120;4094;8530;3117;1508;240;3684;9103;2113;4688;2357;728;3586;4360;2359;3290;2213;6556;1601;7941;10457;27314;245972;131450;84329;64581</t>
  </si>
  <si>
    <t>P2RY10;FYB1;SLCO2B1;C1QA;C1QB;C1QC;CYBB;CD14;IL7R;CR1;HK3;LCP2;RHOH;TRAT1;CD163;MARCH1;NPL;TM6SF1;SLAMF8;SLC7A7;CLEC4A;GPR34;FCN1;SLC16A6;MAF;CST7;HLA-DQA1;CTSB;ALOX5;ITGAM;FCGR2A;ETS1;NCF2;FPR1;C5AR1;IL10;MRC1;FPR3;HSD11B1;FCGR2B;SLC11A1;DAB2;PLA2G7;GPNMB;RAB30;ATP6V0D2;CD200R1;HVCN1;CLEC7A</t>
  </si>
  <si>
    <t>http://www.broadinstitute.org/gsea/msigdb/cards/TAKEDA_TARGETS_OF_NUP98_HOXA9_FUSION_8D_DN.html</t>
  </si>
  <si>
    <t>SMID_BREAST_CANCER_LUMINAL_B_DN</t>
  </si>
  <si>
    <t>9595;4068;3627;915;5579;3932;914;5788;962;917;951;3001;6352;3575;919;7453;3695;11151;3561;1236;2633;5734;10225;7535;6890;4283;3702;3820;10320;9744;50852;1794;11184;55340;26051;50615;4063;50856;80342;29851;6373;29909;27299;6793;3122;924;5552;3002;3112;6402;2999;10578;4360;1043;729230;9938;11010;3003;4050;969;4240;4033;597;4818;10235;10462;6363;64919;81553;27240</t>
  </si>
  <si>
    <t>CYTIP;SH2D1A;CXCL10;CD3D;PRKCB;LCK;CD2;PTPRC;CD48;CD3G;CD37;GZMA;CCL5;IL7R;CD247;WARS;ITGB7;CORO1A;IL2RG;CCR7;GBP1;PTGER4;CD96;ZAP70;TAP1;CXCL9;ITK;KLRB1;IKZF1;ACAP1;TRAT1;DOCK2;MAP4K1;GIMAP5;PPP1R16B;IL21R;LY9;CLEC4A;TRAF3IP3;ICOS;CXCL11;GPR171;ADAMDEC1;STK10;HLA-DRA;CD7;SRGN;GZMB;HLA-DOB;SELL;GZMH;GNLY;MRC1;CD52;CCR2;ARHGAP25;GLIPR1;GZMK;LTB;CD69;MFGE8;LRMP;BCL2A1;NKG7;RASGRP2;CLEC10A;CCL19;BCL11B;FAM49A;SIT1</t>
  </si>
  <si>
    <t>http://www.broadinstitute.org/gsea/msigdb/cards/SMID_BREAST_CANCER_LUMINAL_B_DN.html</t>
  </si>
  <si>
    <t>WIELAND_UP_BY_HBV_INFECTION</t>
  </si>
  <si>
    <t>7305;9404;80833;10261;713;3627;972;915;962;3001;6352;963;7453;51056;2207;2633;6772;4283;7805;3587;10875;719;2210;55340;9056;11326;6373;3122;3115;1508;5552;10437;3113;3108;3109;3003;10457;79630</t>
  </si>
  <si>
    <t>TYROBP;LPXN;APOL3;IGSF6;C1QB;CXCL10;CD74;CD3D;CD48;GZMA;CCL5;CD53;WARS;LAP3;FCER1G;GBP1;STAT1;CXCL9;LAPTM5;IL10RA;FGL2;C3AR1;FCGR1B;GIMAP5;SLC7A7;VSIG4;CXCL11;HLA-DRA;HLA-DPB1;CTSB;SRGN;IFI30;HLA-DPA1;HLA-DMA;HLA-DMB;GZMK;GPNMB;C1orf54</t>
  </si>
  <si>
    <t>http://www.broadinstitute.org/gsea/msigdb/cards/WIELAND_UP_BY_HBV_INFECTION.html</t>
  </si>
  <si>
    <t>ZHENG_BOUND_BY_FOXP3</t>
  </si>
  <si>
    <t>340152;9840;27334;2533;7456;9595;4068;3458;3559;5788;940;1493;3575;963;1236;5734;2322;10225;7535;5294;3101;2313;6504;3662;399;10666;55843;92241;474344;50852;151888;8477;387357;256380;170575;114836;58475;64231;51311;64092;55303;80342;29851;6793;1102;596;3936;6402;2113;9938;356;54331;969;814;85464;54518;91526;131450;84230;51762;55619;64919;25939</t>
  </si>
  <si>
    <t>ZC3H12D;TESPA1;P2RY10;FYB1;WIPF1;CYTIP;SH2D1A;IFNG;IL2RA;PTPRC;CD28;CTLA4;IL7R;CD53;CCR7;PTGER4;FLT3;CD96;ZAP70;PIK3CG;HK3;FLI1;SLAMF1;IRF4;RHOH;CD226;ARHGAP15;RCSD1;GIMAP6;TRAT1;BTLA;GPR65;THEMIS;SCML4;GIMAP1;SLAMF6;MS4A7;MS4A6A;TLR8;SAMSN1;GIMAP4;TRAF3IP3;ICOS;STK10;RCBTB2;BCL2;LCP1;SELL;ETS1;ARHGAP25;FASLG;GNG2;CD69;CAMK4;SSH2;APBB1IP;ANKRD44;CD200R1;LRRC8C;RAB8B;DOCK10;BCL11B;SAMHD1</t>
  </si>
  <si>
    <t>http://www.broadinstitute.org/gsea/msigdb/cards/ZHENG_BOUND_BY_FOXP3.html</t>
  </si>
  <si>
    <t>THUM_SYSTOLIC_HEART_FAILURE_UP</t>
  </si>
  <si>
    <t>7940;7305;712;713;714;972;3689;929;5788;6351;2350;3560;963;51056;2207;3561;2124;4332;6772;199;2313;3394;7805;719;219972;3903;79626;170575;1794;51338;26051;53829;64231;51284;2857;11326;7099;3717;27306;2162;3122;1508;5552;9103;3936;3113;241;4481;10578;4360;2359;3108;1043;6546;6556;4240;4033;5133;26157</t>
  </si>
  <si>
    <t>LST1;TYROBP;C1QA;C1QB;C1QC;CD74;ITGB2;CD14;PTPRC;CCL4;FOLR2;IL2RB;CD53;LAP3;FCER1G;IL2RG;EVI2B;MNDA;STAT1;AIF1;FLI1;IRF8;LAPTM5;C3AR1;MPEG1;LAIR1;TNFAIP8L2;GIMAP1;DOCK2;MS4A4A;PPP1R16B;P2RY13;MS4A6A;TLR7;GPR34;VSIG4;TLR4;JAK2;HPGDS;F13A1;HLA-DRA;CTSB;SRGN;FCGR2A;LCP1;HLA-DPA1;ALOX5AP;MSR1;GNLY;MRC1;FPR3;HLA-DMA;CD52;SLC8A1;SLC11A1;MFGE8;LRMP;PDCD1;GIMAP2</t>
  </si>
  <si>
    <t>http://www.broadinstitute.org/gsea/msigdb/cards/THUM_SYSTOLIC_HEART_FAILURE_UP.html</t>
  </si>
  <si>
    <t>LIAN_LIPA_TARGETS_6M</t>
  </si>
  <si>
    <t>10261;712;713;714;2214;2207;719;219972;93978;51296;51744;58475;4063;51284;54209;8832;730249;2219;1508;3162;2212;54;4481;2213;1230;6556;7941;10457;245972;338339;4327;4644;9935</t>
  </si>
  <si>
    <t>IGSF6;C1QA;C1QB;C1QC;FCGR3A;FCER1G;C3AR1;MPEG1;CLEC6A;SLC15A3;CD244;MS4A7;LY9;TLR7;TREM2;CD84;ACOD1;FCN1;CTSB;HMOX1;FCGR2A;ACP5;MSR1;FCGR2B;CCR1;SLC11A1;PLA2G7;GPNMB;ATP6V0D2;CLEC4D;MMP19;MYO5A;MAFB</t>
  </si>
  <si>
    <t>http://www.broadinstitute.org/gsea/msigdb/cards/LIAN_LIPA_TARGETS_6M.html</t>
  </si>
  <si>
    <t>LIAN_LIPA_TARGETS_3M</t>
  </si>
  <si>
    <t>10261;712;713;714;2207;719;219972;93978;51296;51744;58475;4063;51284;54209;730249;2219;1508;3162;2212;54;4481;2213;1230;6556;7941;10457;245972;338339;4327;4644;9935</t>
  </si>
  <si>
    <t>IGSF6;C1QA;C1QB;C1QC;FCER1G;C3AR1;MPEG1;CLEC6A;SLC15A3;CD244;MS4A7;LY9;TLR7;TREM2;ACOD1;FCN1;CTSB;HMOX1;FCGR2A;ACP5;MSR1;FCGR2B;CCR1;SLC11A1;PLA2G7;GPNMB;ATP6V0D2;CLEC4D;MMP19;MYO5A;MAFB</t>
  </si>
  <si>
    <t>http://www.broadinstitute.org/gsea/msigdb/cards/LIAN_LIPA_TARGETS_3M.html</t>
  </si>
  <si>
    <t>GAL_LEUKEMIC_STEM_CELL_DN</t>
  </si>
  <si>
    <t>11025;8676;10261;712;929;2268;6036;6351;6352;3560;313;4332;942;10875;10666;719;9332;51296;8477;11006;2210;55340;51338;64170;64231;29992;11326;2219;9120;3553;3956;240;3684;9103;10437;4688;2357;1230;6556;2833;140885;79168;11027;23312;55803;25939;9935</t>
  </si>
  <si>
    <t>LILRB3;STX11;IGSF6;C1QA;CD14;FGR;RNASE2;CCL4;CCL5;IL2RB;AOAH;MNDA;CD86;FGL2;CD226;C3AR1;CD163;SLC15A3;GPR65;LILRB4;FCGR1B;GIMAP5;MS4A4A;CARD9;MS4A6A;PILRA;VSIG4;FCN1;SLC16A6;IL1B;LGALS1;ALOX5;ITGAM;FCGR2A;IFI30;NCF2;FPR1;CCR1;SLC11A1;CXCR3;SIRPA;LILRA6;LILRA2;DMXL2;ADAP2;SAMHD1;MAFB</t>
  </si>
  <si>
    <t>http://www.broadinstitute.org/gsea/msigdb/cards/GAL_LEUKEMIC_STEM_CELL_DN.html</t>
  </si>
  <si>
    <t>HELLER_SILENCED_BY_METHYLATION_UP</t>
  </si>
  <si>
    <t>9404;3627;5341;3055;5551;653361;7133;1236;2633;1439;5734;942;6772;4689;26051;64092;55589;27299;10537;8530;3122;3117;348;341;3115;3112;3936;4688;3113;728;4481;3108;3109;4261;1414;140885;3604;2529;10148;10457;3123;64780;55619;6363;64581;81553;57823;8605;9935</t>
  </si>
  <si>
    <t>LPXN;CXCL10;PLEK;HCK;PRF1;NCF1;TNFRSF1B;CCR7;GBP1;CSF2RB;PTGER4;CD86;STAT1;NCF4;PPP1R16B;SAMSN1;BMP2K;ADAMDEC1;UBD;CST7;HLA-DRA;HLA-DQA1;APOE;APOC1;HLA-DPB1;HLA-DOB;LCP1;NCF2;HLA-DPA1;C5AR1;MSR1;HLA-DMA;HLA-DMB;CIITA;CRYBB1;SIRPA;TNFRSF9;FUT7;EBI3;GPNMB;HLA-DRB1;MICAL1;DOCK10;CCL19;CLEC7A;FAM49A;SLAMF7;PLA2G4C;MAFB</t>
  </si>
  <si>
    <t>http://www.broadinstitute.org/gsea/msigdb/cards/HELLER_SILENCED_BY_METHYLATION_UP.html</t>
  </si>
  <si>
    <t>ALTEMEIER_RESPONSE_TO_LPS_WITH_MECHANICAL_VENTILATION</t>
  </si>
  <si>
    <t>7940;22797;4210;3627;1536;5341;929;2209;6351;2207;2633;1439;6772;3937;10875;93978;51296;8477;115361;259307;64231;9034;2162;3553;3684;2212;6402;728;1230;729230;7941;6503;10148;597;100506736;338339;53831</t>
  </si>
  <si>
    <t>LST1;TFEC;MEFV;CXCL10;CYBB;PLEK;CD14;FCGR1A;CCL4;FCER1G;GBP1;CSF2RB;STAT1;LCP2;FGL2;CLEC6A;SLC15A3;GPR65;GBP4;IL4I1;MS4A6A;CCRL2;F13A1;IL1B;ITGAM;FCGR2A;SELL;C5AR1;CCR1;CCR2;PLA2G7;SLA;EBI3;BCL2A1;SLFN12L;CLEC4D;GPR84</t>
  </si>
  <si>
    <t>http://www.broadinstitute.org/gsea/msigdb/cards/ALTEMEIER_RESPONSE_TO_LPS_WITH_MECHANICAL_VENTILATION.html</t>
  </si>
  <si>
    <t>9840;27334;3458;925;915;5579;914;5788;962;940;3001;6351;6352;5551;3560;1493;7133;2124;3820;3937;8477;26051;2672;51744;8832;30009;80342;29851;9120;4094;8530;1102;56253;3115;5552;3002;596;3113;2999;10578;1043;9938;3003;3824;8809;9815;4818;64780;54861;22806</t>
  </si>
  <si>
    <t>TESPA1;P2RY10;IFNG;CD8A;CD3D;PRKCB;CD2;PTPRC;CD48;CD28;GZMA;CCL4;CCL5;PRF1;IL2RB;CTLA4;TNFRSF1B;EVI2B;KLRB1;LCP2;GPR65;PPP1R16B;GFI1;CD244;CD84;TBX21;TRAF3IP3;ICOS;SLC16A6;MAF;CST7;RCBTB2;CRTAM;HLA-DPB1;SRGN;GZMB;BCL2;HLA-DPA1;GZMH;GNLY;CD52;ARHGAP25;GZMK;KLRD1;IL18R1;GIT2;NKG7;MICAL1;SNRK;IKZF3</t>
  </si>
  <si>
    <t>NAKAYAMA_SOFT_TISSUE_TUMORS_PCA1_UP</t>
  </si>
  <si>
    <t>712;713;3627;1436;929;3001;6352;199;3071;4283;4689;55843;9332;51296;1794;51338;56833;11326;2162;3122;3684;9103;10437;3113;4360;1043;2213;3003;6503;10457;6614</t>
  </si>
  <si>
    <t>C1QA;C1QB;CXCL10;CSF1R;CD14;GZMA;CCL5;AIF1;NCKAP1L;CXCL9;NCF4;ARHGAP15;CD163;SLC15A3;DOCK2;MS4A4A;SLAMF8;VSIG4;F13A1;HLA-DRA;ITGAM;FCGR2A;IFI30;HLA-DPA1;MRC1;CD52;FCGR2B;GZMK;SLA;GPNMB;SIGLEC1</t>
  </si>
  <si>
    <t>http://www.broadinstitute.org/gsea/msigdb/cards/NAKAYAMA_SOFT_TISSUE_TUMORS_PCA1_UP.html</t>
  </si>
  <si>
    <t>27334;22797;9535;9404;4068;54440;9450;3458;5341;5788;962;917;951;3676;1378;6688;963;3683;919;971;3695;11151;3561;1439;5778;2322;10225;6772;5294;3071;2313;3394;6890;695;10871;3702;11262;10320;7805;3587;3603;9459;4689;3662;399;3903;91752;8477;11006;1794;3635;11184;114548;4063;23228;80342;29851;29909;9120;3717;11024;6793;4049;3122;3111;2811;5452;240;596;3936;3059;2113;3113;241;5816;1043;2213;4261;3363;729230;6776;9938;7454;356;25900;4033;11009;9815;10672;27314;814;90634;10235;206358;55619;5027;27240</t>
  </si>
  <si>
    <t>P2RY10;TFEC;GMFG;LPXN;SH2D1A;SASH3;LY86;IFNG;PLEK;PTPRC;CD48;CD3G;CD37;ITGA4;CR1;SPI1;CD53;ITGAL;CD247;CD72;ITGB7;CORO1A;IL2RG;CSF2RB;PTPN7;FLT3;CD96;STAT1;PIK3CG;NCKAP1L;FLI1;IRF8;TAP1;BTK;CD300C;ITK;SP140;IKZF1;LAPTM5;IL10RA;IL16;ARHGEF6;NCF4;IRF4;RHOH;LAIR1;ZNF804A;GPR65;LILRB4;DOCK2;INPP5D;MAP4K1;NLRP3;LY9;PLCL2;TRAF3IP3;ICOS;GPR171;SLC16A6;JAK2;LILRA1;STK10;LTA;HLA-DRA;HLA-DOA;GP1BA;POU2F2;ALOX5;BCL2;LCP1;HCLS1;ETS1;HLA-DPA1;ALOX5AP;PVALB;CD52;FCGR2B;CIITA;HTR7;CCR2;STAT5A;ARHGAP25;WAS;FASLG;IFFO1;LRMP;IL24;GIT2;GNA13;RAB30;CAMK4;N4BP2L1;RASGRP2;SLC36A1;DOCK10;P2RX7;SIT1</t>
  </si>
  <si>
    <t>HOSHIDA_LIVER_CANCER_SUBCLASS_S1</t>
  </si>
  <si>
    <t>2533;925;713;972;915;1536;3689;5788;962;3659;951;6352;3560;3575;963;7133;11151;3561;1236;199;7805;10875;719;6039;2162;3115;3111;3956;5552;2212;10437;54;3936;3059;241;526;6518;3108;11010;1601;6503;10457;597;10184</t>
  </si>
  <si>
    <t>FYB1;CD8A;C1QB;CD74;CD3D;CYBB;ITGB2;PTPRC;CD48;IRF1;CD37;CCL5;IL2RB;IL7R;CD53;TNFRSF1B;CORO1A;IL2RG;CCR7;AIF1;LAPTM5;FGL2;C3AR1;RNASE6;F13A1;HLA-DPB1;HLA-DOA;LGALS1;SRGN;FCGR2A;IFI30;ACP5;LCP1;HCLS1;ALOX5AP;ATP6V1B2;SLC2A5;HLA-DMA;GLIPR1;DAB2;SLA;GPNMB;BCL2A1;LHFPL2</t>
  </si>
  <si>
    <t>http://www.broadinstitute.org/gsea/msigdb/cards/HOSHIDA_LIVER_CANCER_SUBCLASS_S1.html</t>
  </si>
  <si>
    <t>VERHAAK_AML_WITH_NPM1_MUTATED_UP</t>
  </si>
  <si>
    <t>11025;712;713;3627;5341;929;3055;2268;6351;7453;942;3101;10871;10875;719;9332;51296;10288;64170;29992;353514;7099;2219;366;11024;3553;3162;9103;10437;2357;728;5724;1230;597;79168;25780;23312;54504;64174;9935</t>
  </si>
  <si>
    <t>LILRB3;C1QA;C1QB;CXCL10;PLEK;CD14;HCK;FGR;CCL4;WARS;CD86;HK3;CD300C;FGL2;C3AR1;CD163;SLC15A3;LILRB2;CARD9;PILRA;LILRA5;TLR4;FCN1;AQP9;LILRA1;IL1B;HMOX1;FCGR2A;IFI30;FPR1;C5AR1;PTAFR;CCR1;BCL2A1;LILRA6;RASGRP3;DMXL2;CPVL;DPEP2;MAFB</t>
  </si>
  <si>
    <t>http://www.broadinstitute.org/gsea/msigdb/cards/VERHAAK_AML_WITH_NPM1_MUTATED_UP.html</t>
  </si>
  <si>
    <t>TONKS_TARGETS_OF_RUNX1_RUNX1T1_FUSION_HSC_DN</t>
  </si>
  <si>
    <t>7940;7305;9046;54440;1536;962;3575;6688;945;3683;4245;1236;1439;3394;3937;7805;3587;6404;4689;399;51744;10154;8530;6793;3956;1435;2212;241;2358;1043;5376;4050;55911;2529;6503;4818;7462;23166;29125;30817</t>
  </si>
  <si>
    <t>LST1;TYROBP;DOK2;SASH3;CYBB;CD48;IL7R;SPI1;CD33;ITGAL;MGAT1;CCR7;CSF2RB;IRF8;LCP2;LAPTM5;IL10RA;SELPLG;NCF4;RHOH;CD244;PLXNC1;CST7;STK10;LGALS1;CSF1;FCGR2A;ALOX5AP;FPR2;CD52;PMP22;LTB;APOBR;FUT7;SLA;NKG7;LAT2;STAB1;C11orf21;ADGRE2</t>
  </si>
  <si>
    <t>http://www.broadinstitute.org/gsea/msigdb/cards/TONKS_TARGETS_OF_RUNX1_RUNX1T1_FUSION_HSC_DN.html</t>
  </si>
  <si>
    <t>CHYLA_CBFA2T3_TARGETS_UP</t>
  </si>
  <si>
    <t>10663;4242;22797;4210;9535;10261;962;6036;3001;6688;2124;3101;6504;7805;6404;9459;4689;497189;8477;115361;2672;80896;53346;84174;50615;225;27128;284417;730249;29909;8530;2162;3117;2212;3936;4688;241;2999;3290;2213;4973;10148;4818;10235;10462;79895;79630;338339;9754;84329;5027;55013</t>
  </si>
  <si>
    <t>CXCR6;MFNG;TFEC;MEFV;GMFG;IGSF6;CD48;RNASE2;GZMA;SPI1;EVI2B;HK3;SLAMF1;LAPTM5;SELPLG;ARHGEF6;NCF4;TIFAB;GPR65;GBP4;GFI1;NPL;TM6SF1;SLA2;IL21R;ABCD2;CYTH4;TMEM150B;ACOD1;GPR171;CST7;F13A1;HLA-DQA1;FCGR2A;LCP1;NCF2;ALOX5AP;GZMH;HSD11B1;FCGR2B;OLR1;EBI3;NKG7;RASGRP2;CLEC10A;ATP8B4;C1orf54;CLEC4D;STARD8;HVCN1;P2RX7;MCUB</t>
  </si>
  <si>
    <t>http://www.broadinstitute.org/gsea/msigdb/cards/CHYLA_CBFA2T3_TARGETS_UP.html</t>
  </si>
  <si>
    <t>LI_INDUCED_T_TO_NATURAL_KILLER_UP</t>
  </si>
  <si>
    <t>4542;7305;9046;8676;3458;6351;6352;2123;3695;2207;1234;4283;4689;221188;80301;84868;23048;51744;2857;27033;366;4049;3956;924;2212;10437;3902;3290;1043;11010;2833;54331;3604;969;55911;7185;3824;8809;4818;441168;120425;84230;84329;51676;84034;7462;57823</t>
  </si>
  <si>
    <t>MYO1F;TYROBP;DOK2;STX11;IFNG;CCL4;CCL5;EVI2A;ITGB7;FCER1G;CCR5;CXCL9;NCF4;ADGRG5;PLEKHO2;HAVCR2;FNBP1;CD244;GPR34;ZBTB32;AQP9;LTA;LGALS1;CD7;FCGR2A;IFI30;LAG3;HSD11B1;CD52;GLIPR1;CXCR3;GNG2;TNFRSF9;CD69;APOBR;TRAF1;KLRD1;IL18R1;NKG7;CALHM6;JAML;LRRC8C;HVCN1;ASB2;EMILIN2;LAT2;SLAMF7</t>
  </si>
  <si>
    <t>http://www.broadinstitute.org/gsea/msigdb/cards/LI_INDUCED_T_TO_NATURAL_KILLER_UP.html</t>
  </si>
  <si>
    <t>KEGG_CELL_ADHESION_MOLECULES_CAMS</t>
  </si>
  <si>
    <t>920;925;3689;914;5788;940;3676;1493;3683;3695;959;923;941;942;6404;10666;80380;29851;3122;3117;3115;3111;926;3684;3112;6402;6693;3113;3108;3109;5133;3123;3127;6614;29126</t>
  </si>
  <si>
    <t>CD4;CD8A;ITGB2;CD2;PTPRC;CD28;ITGA4;CTLA4;ITGAL;ITGB7;CD40LG;CD6;CD80;CD86;SELPLG;CD226;PDCD1LG2;ICOS;HLA-DRA;HLA-DQA1;HLA-DPB1;HLA-DOA;CD8B;ITGAM;HLA-DOB;SELL;SPN;HLA-DPA1;HLA-DMA;HLA-DMB;PDCD1;HLA-DRB1;HLA-DRB5;SIGLEC1;CD274</t>
  </si>
  <si>
    <t>http://www.broadinstitute.org/gsea/msigdb/cards/KEGG_CELL_ADHESION_MOLECULES_CAMS.html</t>
  </si>
  <si>
    <t>RUTELLA_RESPONSE_TO_HGF_UP</t>
  </si>
  <si>
    <t>9051;9404;712;3627;1536;1236;941;6772;1234;4283;6504;3662;719;3903;91752;11006;1240;80896;53346;50615;56833;8832;11326;9034;27299;8564;9120;366;56253;3553;348;341;1508;54;3586;3290;1230;6507;1601;7185;7941;10148;10457;4818;10184;206358;25780;23312;51762;6363;51063;30835;57823</t>
  </si>
  <si>
    <t>PSTPIP1;LPXN;C1QA;CXCL10;CYBB;CCR7;CD80;STAT1;CCR5;CXCL9;SLAMF1;IRF4;C3AR1;LAIR1;ZNF804A;LILRB4;CMKLR1;NPL;TM6SF1;IL21R;SLAMF8;CD84;VSIG4;CCRL2;ADAMDEC1;KMO;SLC16A6;AQP9;CRTAM;IL1B;APOE;APOC1;CTSB;ACP5;IL10;HSD11B1;CCR1;SLC1A3;DAB2;TRAF1;PLA2G7;EBI3;GPNMB;NKG7;LHFPL2;SLC36A1;RASGRP3;DMXL2;RAB8B;CCL19;CALHM2;CD209;SLAMF7</t>
  </si>
  <si>
    <t>http://www.broadinstitute.org/gsea/msigdb/cards/RUTELLA_RESPONSE_TO_HGF_UP.html</t>
  </si>
  <si>
    <t>PILON_KLF1_TARGETS_DN</t>
  </si>
  <si>
    <t>4542;4242;7456;7305;9839;9595;54440;9450;10261;1536;3689;5579;1436;5788;962;2268;2209;3676;963;945;3683;2123;51056;2207;11151;3561;1439;6772;5294;3101;3071;53347;2313;3394;695;8514;7805;6404;9744;219972;55843;139818;92241;283897;497189;124460;151888;257106;54899;374403;81704;57580;146722;89857;1794;23048;4064;64333;53346;64407;55303;50856;23228;10019;10154;8530;2162;3117;3956;240;5552;3684;2212;3936;6402;2113;6693;241;1043;2213;1230;729230;6776;11010;8905;54331;4208;6503;9815;10148;10672;4818;79865;57705;10184;85464;80709;375387;91526;79895;79630;51762;55619;132160;4215;64581;64747;64098;55691;1522;25939</t>
  </si>
  <si>
    <t>MYO1F;MFNG;WIPF1;TYROBP;ZEB2;CYTIP;SASH3;LY86;IGSF6;CYBB;ITGB2;PRKCB;CSF1R;PTPRC;CD48;FGR;FCGR1A;ITGA4;CD53;CD33;ITGAL;EVI2A;LAP3;FCER1G;CORO1A;IL2RG;CSF2RB;STAT1;PIK3CG;HK3;NCKAP1L;UBASH3A;FLI1;IRF8;BTK;KCNAB2;LAPTM5;SELPLG;ACAP1;MPEG1;ARHGAP15;DOCK11;RCSD1;C16orf54;TIFAB;SNX20;BTLA;ARHGAP30;PXK;TBC1D10C;DOCK8;PREX1;CD300LF;KLHL6;DOCK2;FNBP1;CD180;ARHGAP9;TM6SF1;RGS18;GIMAP4;CLEC4A;PLCL2;SH2B3;PLXNC1;CST7;F13A1;HLA-DQA1;LGALS1;ALOX5;SRGN;ITGAM;FCGR2A;LCP1;SELL;ETS1;SPN;ALOX5AP;CD52;FCGR2B;CCR1;CCR2;STAT5A;GLIPR1;AP1S2;GNG2;MEF2C;SLA;GIT2;EBI3;GNA13;NKG7;TREML2;WDFY4;LHFPL2;SSH2;AKNA;NRROS;ANKRD44;ATP8B4;C1orf54;RAB8B;DOCK10;PPM1M;MAP3K3;CLEC7A;MFSD1;PARVG;FRMD4A;CTSZ;SAMHD1</t>
  </si>
  <si>
    <t>http://www.broadinstitute.org/gsea/msigdb/cards/PILON_KLF1_TARGETS_DN.html</t>
  </si>
  <si>
    <t>KEGG_CYTOKINE_CYTOKINE_RECEPTOR_INTERACTION</t>
  </si>
  <si>
    <t>10663;3458;3559;3627;1436;6351;6352;3560;3575;7133;959;3561;1236;1439;944;2322;3594;1233;1234;4283;3587;80301;59067;50615;10673;6373;8742;4049;3553;1435;3586;943;1230;729230;2829;356;2833;1235;1237;4050;3604;11009;8809;6363</t>
  </si>
  <si>
    <t>CXCR6;IFNG;IL2RA;CXCL10;CSF1R;CCL4;CCL5;IL2RB;IL7R;TNFRSF1B;CD40LG;IL2RG;CCR7;CSF2RB;TNFSF8;FLT3;IL12RB1;CCR4;CCR5;CXCL9;IL10RA;PLEKHO2;IL21;IL21R;TNFSF13B;CXCL11;TNFSF12;LTA;IL1B;CSF1;IL10;TNFRSF8;CCR1;CCR2;XCR1;FASLG;CXCR3;CCR6;CCR8;LTB;TNFRSF9;IL24;IL18R1;CCL19</t>
  </si>
  <si>
    <t>http://www.broadinstitute.org/gsea/msigdb/cards/KEGG_CYTOKINE_CYTOKINE_RECEPTOR_INTERACTION.html</t>
  </si>
  <si>
    <t>BROWN_MYELOID_CELL_DEVELOPMENT_UP</t>
  </si>
  <si>
    <t>7940;1318;7305;1536;3689;3055;2268;2209;945;3687;313;941;219972;93978;497189;51296;150372;259307;54209;225;50856;27036;3553;3684;2212;526;2357;728;2358;1043;1230;729230;140885;4973;1601;597;100506736</t>
  </si>
  <si>
    <t>LST1;SLC31A2;TYROBP;CYBB;ITGB2;HCK;FGR;FCGR1A;CD33;ITGAX;AOAH;CD80;MPEG1;CLEC6A;TIFAB;SLC15A3;NFAM1;IL4I1;TREM2;ABCD2;CLEC4A;SIGLEC7;IL1B;ITGAM;FCGR2A;ATP6V1B2;FPR1;C5AR1;FPR2;CD52;CCR1;CCR2;SIRPA;OLR1;DAB2;BCL2A1;SLFN12L</t>
  </si>
  <si>
    <t>http://www.broadinstitute.org/gsea/msigdb/cards/BROWN_MYELOID_CELL_DEVELOPMENT_UP.html</t>
  </si>
  <si>
    <t>ICHIBA_GRAFT_VERSUS_HOST_DISEASE_D7_UP</t>
  </si>
  <si>
    <t>7305;9450;10068;713;714;3627;972;929;3055;3659;963;7453;2633;6772;3394;6890;4283;3937;10875;219972;115361;55303;3122;3117;4481;3108;3109;6556;6891;8809;3123;25939</t>
  </si>
  <si>
    <t>TYROBP;LY86;IL18BP;C1QB;C1QC;CXCL10;CD74;CD14;HCK;IRF1;CD53;WARS;GBP1;STAT1;IRF8;TAP1;CXCL9;LCP2;FGL2;MPEG1;GBP4;GIMAP4;HLA-DRA;HLA-DQA1;MSR1;HLA-DMA;HLA-DMB;SLC11A1;TAP2;IL18R1;HLA-DRB1;SAMHD1</t>
  </si>
  <si>
    <t>http://www.broadinstitute.org/gsea/msigdb/cards/ICHIBA_GRAFT_VERSUS_HOST_DISEASE_D7_UP.html</t>
  </si>
  <si>
    <t>REACTOME_IMMUNOREGULATORY_INTERACTIONS_BETWEEN_A_LYMPHOID_AND_A_NON_LYMPHOID_CELL</t>
  </si>
  <si>
    <t>7305;11025;925;915;3689;916;2214;917;3683;919;3695;959;10225;10666;10288;11006;10870;11024;10990;56253;926;6402;2213;3812;3824;120425;131450;3805</t>
  </si>
  <si>
    <t>TYROBP;LILRB3;CD8A;CD3D;ITGB2;CD3E;FCGR3A;CD3G;ITGAL;CD247;ITGB7;CD40LG;CD96;CD226;LILRB2;LILRB4;HCST;LILRA1;LILRB5;CRTAM;CD8B;SELL;FCGR2B;KIR3DL2;KLRD1;JAML;CD200R1;KIR2DL4</t>
  </si>
  <si>
    <t>http://www.broadinstitute.org/gsea/msigdb/cards/REACTOME_IMMUNOREGULATORY_INTERACTIONS_BETWEEN_A_LYMPHOID_AND_A_NON_LYMPHOID_CELL.html</t>
  </si>
  <si>
    <t>KEGG_LEISHMANIA_INFECTION</t>
  </si>
  <si>
    <t>3458;3689;5579;2214;2209;3676;653361;1378;6772;4689;7099;3717;3553;3122;3117;3115;3111;3684;2212;9103;3112;4688;3113;3586;3108;3109;3123;3127</t>
  </si>
  <si>
    <t>IFNG;ITGB2;PRKCB;FCGR3A;FCGR1A;ITGA4;NCF1;CR1;STAT1;NCF4;TLR4;JAK2;IL1B;HLA-DRA;HLA-DQA1;HLA-DPB1;HLA-DOA;ITGAM;FCGR2A;FCGR2A;HLA-DOB;NCF2;HLA-DPA1;IL10;HLA-DMA;HLA-DMB;HLA-DRB1;HLA-DRB5</t>
  </si>
  <si>
    <t>http://www.broadinstitute.org/gsea/msigdb/cards/KEGG_LEISHMANIA_INFECTION.html</t>
  </si>
  <si>
    <t>PID_IL12_2PATHWAY</t>
  </si>
  <si>
    <t>3458;3559;920;925;915;3932;916;917;3001;6351;3560;919;3561;6772;3594;1234;30009;3717;8320;3553;3122;3002;926;6776;356;8809;3123</t>
  </si>
  <si>
    <t>IFNG;IL2RA;CD4;CD8A;CD3D;LCK;CD3E;CD3G;GZMA;CCL4;IL2RB;CD247;IL2RG;STAT1;IL12RB1;CCR5;TBX21;JAK2;EOMES;IL1B;HLA-DRA;GZMB;CD8B;STAT5A;FASLG;IL18R1;HLA-DRB1</t>
  </si>
  <si>
    <t>http://www.broadinstitute.org/gsea/msigdb/cards/PID_IL12_2PATHWAY.html</t>
  </si>
  <si>
    <t>MULLIGHAN_MLL_SIGNATURE_2_UP</t>
  </si>
  <si>
    <t>4542;7940;3689;3055;6036;6688;3683;3687;3695;2124;10871;10320;7805;6404;3903;10288;11006;2210;6039;114548;80231;27128;29992;80342;10154;11024;7439;3956;5552;6037;3936;3059;5724;1230;8905;140885;55911;2529;6503;9815;4818;206358;54518;11027;64780;79895;7462;83937;64747;64174;29125</t>
  </si>
  <si>
    <t>MYO1F;LST1;ITGB2;HCK;RNASE2;SPI1;ITGAL;ITGAX;ITGB7;EVI2B;CD300C;IKZF1;LAPTM5;SELPLG;LAIR1;LILRB2;LILRB4;FCGR1B;RNASE6;NLRP3;CXorf21;CYTH4;PILRA;TRAF3IP3;PLXNC1;LILRA1;BEST1;LGALS1;SRGN;RNASE3;LCP1;HCLS1;PTAFR;CCR1;AP1S2;SIRPA;APOBR;FUT7;SLA;GIT2;NKG7;SLC36A1;APBB1IP;LILRA2;MICAL1;ATP8B4;LAT2;RASSF4;MFSD1;DPEP2;C11orf21</t>
  </si>
  <si>
    <t>http://www.broadinstitute.org/gsea/msigdb/cards/MULLIGHAN_MLL_SIGNATURE_2_UP.html</t>
  </si>
  <si>
    <t>SANSOM_APC_TARGETS_DN</t>
  </si>
  <si>
    <t>7305;925;714;915;3689;914;916;5788;962;917;940;3659;3001;6352;3560;963;3683;3687;971;2123;3695;923;11151;3594;7535;7805;6404;3662;3635;55303;29851;3717;8530;6793;921;924;5552;3002;4066;54;3112;6518;3109;1043;3988;140885;89846;7462</t>
  </si>
  <si>
    <t>TYROBP;CD8A;C1QC;CD3D;ITGB2;CD2;CD3E;PTPRC;CD48;CD3G;CD28;IRF1;GZMA;CCL5;IL2RB;CD53;ITGAL;ITGAX;CD72;EVI2A;ITGB7;CD6;CORO1A;IL12RB1;ZAP70;LAPTM5;SELPLG;IRF4;INPP5D;GIMAP4;ICOS;JAK2;CST7;STK10;CD5;CD7;SRGN;GZMB;LYL1;ACP5;HLA-DOB;SLC2A5;HLA-DMB;CD52;LIPA;SIRPA;FGD3;LAT2</t>
  </si>
  <si>
    <t>http://www.broadinstitute.org/gsea/msigdb/cards/SANSOM_APC_TARGETS_DN.html</t>
  </si>
  <si>
    <t>GAURNIER_PSMD4_TARGETS</t>
  </si>
  <si>
    <t>3627;6352;3561;1236;942;3594;1234;4283;3603;719;50615;6373;3122;3117;3115;3120;3111;3113;728;3586;3108;3109;1230;8809;3123;3127;6363</t>
  </si>
  <si>
    <t>CXCL10;CCL5;IL2RG;CCR7;CD86;IL12RB1;CCR5;CXCL9;IL16;C3AR1;IL21R;CXCL11;HLA-DRA;HLA-DQA1;HLA-DPB1;HLA-DQB2;HLA-DOA;HLA-DPA1;C5AR1;IL10;HLA-DMA;HLA-DMB;CCR1;IL18R1;HLA-DRB1;HLA-DRB5;CCL19</t>
  </si>
  <si>
    <t>http://www.broadinstitute.org/gsea/msigdb/cards/GAURNIER_PSMD4_TARGETS.html</t>
  </si>
  <si>
    <t>MULLIGHAN_MLL_SIGNATURE_1_UP</t>
  </si>
  <si>
    <t>4542;7940;3689;6036;6688;3687;2123;3695;2124;3394;10871;10320;7805;6404;10288;11006;6039;114548;27128;29992;80342;10154;11024;3956;2212;9103;6037;3936;3059;5724;1230;140885;55911;2529;4033;6503;4818;206358;11027;64780;79895;79630;7462;83937;64747;64174;29125</t>
  </si>
  <si>
    <t>MYO1F;LST1;ITGB2;RNASE2;SPI1;ITGAX;EVI2A;ITGB7;EVI2B;IRF8;CD300C;IKZF1;LAPTM5;SELPLG;LILRB2;LILRB4;RNASE6;NLRP3;CYTH4;PILRA;TRAF3IP3;PLXNC1;LILRA1;LGALS1;FCGR2A;FCGR2A;RNASE3;LCP1;HCLS1;PTAFR;CCR1;SIRPA;APOBR;FUT7;LRMP;SLA;NKG7;SLC36A1;LILRA2;MICAL1;ATP8B4;C1orf54;LAT2;RASSF4;MFSD1;DPEP2;C11orf21</t>
  </si>
  <si>
    <t>http://www.broadinstitute.org/gsea/msigdb/cards/MULLIGHAN_MLL_SIGNATURE_1_UP.html</t>
  </si>
  <si>
    <t>BASSO_CD40_SIGNALING_UP</t>
  </si>
  <si>
    <t>9214;972;5341;6351;1236;6772;3071;6890;6504;7805;3662;10019;10154;6793;4049;3553;3117;3115;3956;5552;596;10437;4688;3108;6776;4208;7185;597;10184</t>
  </si>
  <si>
    <t>FCMR;CD74;PLEK;CCL4;CCR7;STAT1;NCKAP1L;TAP1;SLAMF1;LAPTM5;IRF4;SH2B3;PLXNC1;STK10;LTA;IL1B;HLA-DQA1;HLA-DPB1;LGALS1;SRGN;BCL2;IFI30;NCF2;HLA-DMA;STAT5A;MEF2C;TRAF1;BCL2A1;LHFPL2</t>
  </si>
  <si>
    <t>http://www.broadinstitute.org/gsea/msigdb/cards/BASSO_CD40_SIGNALING_UP.html</t>
  </si>
  <si>
    <t>MARSON_BOUND_BY_FOXP3_STIMULATED</t>
  </si>
  <si>
    <t>340152;27334;7940;10663;2533;4210;9535;9404;9595;9402;54440;3559;3627;915;914;916;5788;2214;917;2268;940;963;7133;3683;971;2123;3695;2633;2124;5734;7535;1233;391;3394;3702;3937;3587;10875;9459;50852;8477;387357;126364;55340;64231;4063;64092;10870;10019;80342;29909;366;3717;56253;1435;5552;3059;2113;1230;356;11010;54331;4050;3604;4033;5133;100506736;161176;206358;54518;120425;51762;29126</t>
  </si>
  <si>
    <t>ZC3H12D;P2RY10;LST1;CXCR6;FYB1;MEFV;GMFG;LPXN;CYTIP;GRAP2;SASH3;IL2RA;CXCL10;CD3D;CD2;CD3E;PTPRC;FCGR3A;CD3G;FGR;CD28;CD53;TNFRSF1B;ITGAL;CD72;EVI2A;ITGB7;GBP1;EVI2B;PTGER4;ZAP70;CCR4;RHOG;IRF8;ITK;LCP2;IL10RA;FGL2;ARHGEF6;TRAT1;GPR65;THEMIS;LRRC25;GIMAP5;MS4A6A;LY9;SAMSN1;HCST;SH2B3;TRAF3IP3;GPR171;AQP9;JAK2;CRTAM;CSF1;SRGN;HCLS1;ETS1;CCR1;FASLG;GLIPR1;GNG2;LTB;TNFRSF9;LRMP;PDCD1;SLFN12L;SYNE3;SLC36A1;APBB1IP;JAML;RAB8B;CD274</t>
  </si>
  <si>
    <t>http://www.broadinstitute.org/gsea/msigdb/cards/MARSON_BOUND_BY_FOXP3_STIMULATED.html</t>
  </si>
  <si>
    <t>2533;4210;9450;920;972;5579;5788;962;951;2123;3695;2124;4671;3587;10875;4689;55843;388325;221472;255231;146722;11184;54557;89790;246329;58475;58484;8832;80342;10673;1102;1508;10437;4688;241;3108;4818;284759;10184;120425;167465;115727;23312;79895;56606;26157;4644</t>
  </si>
  <si>
    <t>FYB1;MEFV;LY86;CD4;CD74;PRKCB;PTPRC;CD48;CD37;EVI2A;ITGB7;EVI2B;NAIP;IL10RA;FGL2;NCF4;ARHGAP15;SCIMP;FGD2;MCOLN2;CD300LF;MAP4K1;SGTB;SIGLEC10;STAC3;MS4A7;NLRC4;CD84;TRAF3IP3;TNFSF13B;RCBTB2;CTSB;IFI30;NCF2;ALOX5AP;HLA-DMA;NKG7;SIRPB2;LHFPL2;JAML;ZNF366;RASGRP4;DMXL2;ATP8B4;SLC2A9;GIMAP2;MYO5A</t>
  </si>
  <si>
    <t>WINTER_HYPOXIA_DN</t>
  </si>
  <si>
    <t>5788;962;940;2123;2124;2313;3394;10320;3603;9459;399;55843;170575;1794;3635;51284;596;3112;4033;91526;168537;6363;80183</t>
  </si>
  <si>
    <t>PTPRC;CD48;CD28;EVI2A;EVI2B;FLI1;IRF8;IKZF1;IL16;ARHGEF6;RHOH;ARHGAP15;GIMAP1;DOCK2;INPP5D;TLR7;BCL2;HLA-DOB;LRMP;ANKRD44;GIMAP7;CCL19;RUBCNL</t>
  </si>
  <si>
    <t>http://www.broadinstitute.org/gsea/msigdb/cards/WINTER_HYPOXIA_DN.html</t>
  </si>
  <si>
    <t>KUROZUMI_RESPONSE_TO_ONCOCYTIC_VIRUS</t>
  </si>
  <si>
    <t>3458;3627;6352;3560;7133;959;3561;1236;1233;1234;4283;3587;3603;4049;3553;3684;1230;729230;2829;2833;1235;4050</t>
  </si>
  <si>
    <t>IFNG;CXCL10;CCL5;IL2RB;TNFRSF1B;CD40LG;IL2RG;CCR7;CCR4;CCR5;CXCL9;IL10RA;IL16;LTA;IL1B;ITGAM;CCR1;CCR2;XCR1;CXCR3;CCR6;LTB</t>
  </si>
  <si>
    <t>http://www.broadinstitute.org/gsea/msigdb/cards/KUROZUMI_RESPONSE_TO_ONCOCYTIC_VIRUS.html</t>
  </si>
  <si>
    <t>RUTELLA_RESPONSE_TO_HGF_DN</t>
  </si>
  <si>
    <t>2533;9450;5579;929;962;3676;3683;313;942;199;9459;9332;10288;11184;51338;114548;23048;26051;64231;11314;9056;23228;2219;3117;240;6402;2357;728;1043;4208;4033;10235;11027;64780;64174;80183;9935</t>
  </si>
  <si>
    <t>FYB1;LY86;PRKCB;CD14;CD48;ITGA4;ITGAL;AOAH;CD86;AIF1;ARHGEF6;CD163;LILRB2;MAP4K1;MS4A4A;NLRP3;FNBP1;PPP1R16B;MS4A6A;CD300A;SLC7A7;PLCL2;FCN1;HLA-DQA1;ALOX5;SELL;FPR1;C5AR1;CD52;MEF2C;LRMP;RASGRP2;LILRA2;MICAL1;DPEP2;RUBCNL;MAFB</t>
  </si>
  <si>
    <t>http://www.broadinstitute.org/gsea/msigdb/cards/RUTELLA_RESPONSE_TO_HGF_DN.html</t>
  </si>
  <si>
    <t>HESS_TARGETS_OF_HOXA9_AND_MEIS1_DN</t>
  </si>
  <si>
    <t>1536;1436;5341;3055;2268;2209;1234;719;219972;146722;50856;51393;366;3553;2357;728;4481;4360;3988;6556;140885;1601;100506736;64581;25939</t>
  </si>
  <si>
    <t>CYBB;CSF1R;PLEK;HCK;FGR;FCGR1A;CCR5;C3AR1;MPEG1;CD300LF;CLEC4A;TRPV2;AQP9;IL1B;FPR1;C5AR1;MSR1;MRC1;LIPA;SLC11A1;SIRPA;DAB2;SLFN12L;CLEC7A;SAMHD1</t>
  </si>
  <si>
    <t>http://www.broadinstitute.org/gsea/msigdb/cards/HESS_TARGETS_OF_HOXA9_AND_MEIS1_DN.html</t>
  </si>
  <si>
    <t>KEGG_HEMATOPOIETIC_CELL_LINEAGE</t>
  </si>
  <si>
    <t>3559;920;925;915;914;1436;916;929;917;951;2209;3676;3575;1378;945;2322;3553;3122;921;2811;924;1435;926;3684;3123;3127</t>
  </si>
  <si>
    <t>IL2RA;CD4;CD8A;CD3D;CD2;CSF1R;CD3E;CD14;CD3G;CD37;FCGR1A;ITGA4;IL7R;CR1;CD33;FLT3;IL1B;HLA-DRA;CD5;GP1BA;CD7;CSF1;CD8B;ITGAM;HLA-DRB1;HLA-DRB5</t>
  </si>
  <si>
    <t>http://www.broadinstitute.org/gsea/msigdb/cards/KEGG_HEMATOPOIETIC_CELL_LINEAGE.html</t>
  </si>
  <si>
    <t>MORI_MATURE_B_LYMPHOCYTE_UP</t>
  </si>
  <si>
    <t>9450;972;5788;3561;3394;3587;4689;54899;8477;3717;19;3117;348;3111;3112;3936;6402;2113;3108;3109;4208;10148;3123;132160;7462;25939</t>
  </si>
  <si>
    <t>LY86;CD74;PTPRC;IL2RG;IRF8;IL10RA;NCF4;PXK;GPR65;JAK2;ABCA1;HLA-DQA1;APOE;HLA-DOA;HLA-DOB;LCP1;SELL;ETS1;HLA-DMA;HLA-DMB;MEF2C;EBI3;HLA-DRB1;PPM1M;LAT2;SAMHD1</t>
  </si>
  <si>
    <t>http://www.broadinstitute.org/gsea/msigdb/cards/MORI_MATURE_B_LYMPHOCYTE_UP.html</t>
  </si>
  <si>
    <t>LENAOUR_DENDRITIC_CELL_MATURATION_DN</t>
  </si>
  <si>
    <t>7940;2533;9595;1536;1436;929;951;7133;3683;2123;2207;11151;3561;2014;10875;719;9332;4064;2219;3553;2212;728;5724;729230;6507;6556;4973;10184;23166</t>
  </si>
  <si>
    <t>LST1;FYB1;CYTIP;CYBB;CSF1R;CD14;CD37;TNFRSF1B;ITGAL;EVI2A;FCER1G;CORO1A;IL2RG;EMP3;FGL2;C3AR1;CD163;CD180;FCN1;IL1B;FCGR2A;C5AR1;PTAFR;CCR2;SLC1A3;SLC11A1;OLR1;LHFPL2;STAB1</t>
  </si>
  <si>
    <t>http://www.broadinstitute.org/gsea/msigdb/cards/LENAOUR_DENDRITIC_CELL_MATURATION_DN.html</t>
  </si>
  <si>
    <t>BOYLAN_MULTIPLE_MYELOMA_C_D_DN</t>
  </si>
  <si>
    <t>4542;10663;22797;2533;4068;10261;915;916;5341;917;940;3001;6352;3683;3702;10875;84636;81030;64407;55303;30009;29851;4094;8320;2162;924;926;2357;3290;729230;4050;3824;8809;4818;25890;25780;155038</t>
  </si>
  <si>
    <t>MYO1F;CXCR6;TFEC;FYB1;SH2D1A;IGSF6;CD3D;CD3E;PLEK;CD3G;CD28;GZMA;CCL5;ITGAL;ITK;FGL2;GPR174;ZBP1;RGS18;GIMAP4;TBX21;ICOS;MAF;EOMES;F13A1;CD7;CD8B;FPR1;HSD11B1;CCR2;LTB;KLRD1;IL18R1;NKG7;ABI3BP;RASGRP3;GIMAP8</t>
  </si>
  <si>
    <t>http://www.broadinstitute.org/gsea/msigdb/cards/BOYLAN_MULTIPLE_MYELOMA_C_D_DN.html</t>
  </si>
  <si>
    <t>PID_TCR_PATHWAY</t>
  </si>
  <si>
    <t>2533;9402;920;915;5579;3932;916;5788;917;940;919;941;942;7535;3702;3937;3635;11184;84174;3122;7454;3123;10235</t>
  </si>
  <si>
    <t>FYB1;GRAP2;CD4;CD3D;PRKCB;LCK;CD3E;PTPRC;CD3G;CD28;CD247;CD80;CD86;ZAP70;ITK;LCP2;INPP5D;MAP4K1;SLA2;HLA-DRA;WAS;HLA-DRB1;RASGRP2</t>
  </si>
  <si>
    <t>http://www.broadinstitute.org/gsea/msigdb/cards/PID_TCR_PATHWAY.html</t>
  </si>
  <si>
    <t>REACTOME_GENERATION_OF_SECOND_MESSENGER_MOLECULES</t>
  </si>
  <si>
    <t>2533;9402;920;915;3932;916;917;919;7535;3702;3937;3117;3115;3113;7454;3123;3127;51466</t>
  </si>
  <si>
    <t>FYB1;GRAP2;CD4;CD3D;LCK;CD3E;CD3G;CD247;ZAP70;ITK;LCP2;HLA-DQA1;HLA-DPB1;HLA-DPA1;WAS;HLA-DRB1;HLA-DRB5;EVL</t>
  </si>
  <si>
    <t>http://www.broadinstitute.org/gsea/msigdb/cards/REACTOME_GENERATION_OF_SECOND_MESSENGER_MOLECULES.html</t>
  </si>
  <si>
    <t>KEGG_GRAFT_VERSUS_HOST_DISEASE</t>
  </si>
  <si>
    <t>3458;940;5551;941;942;3553;3122;3117;3115;3111;3002;3112;3113;3108;3109;3812;356;3824;3123;3127</t>
  </si>
  <si>
    <t>IFNG;CD28;PRF1;CD80;CD86;IL1B;HLA-DRA;HLA-DQA1;HLA-DPB1;HLA-DOA;GZMB;HLA-DOB;HLA-DPA1;HLA-DMA;HLA-DMB;KIR3DL2;FASLG;KLRD1;HLA-DRB1;HLA-DRB5</t>
  </si>
  <si>
    <t>http://www.broadinstitute.org/gsea/msigdb/cards/KEGG_GRAFT_VERSUS_HOST_DISEASE.html</t>
  </si>
  <si>
    <t>11025;9450;1436;3575;963;1236;2322;4332;3394;3587;3603;10875;11006;51338;64231;50856;8530;2162;10437;6402;3109;729230;6507;11010;4818;55803;9935</t>
  </si>
  <si>
    <t>LILRB3;LY86;CSF1R;IL7R;CD53;CCR7;FLT3;MNDA;IRF8;IL10RA;IL16;FGL2;LILRB4;MS4A4A;MS4A6A;CLEC4A;CST7;F13A1;IFI30;SELL;HLA-DMB;CCR2;SLC1A3;GLIPR1;NKG7;ADAP2;MAFB</t>
  </si>
  <si>
    <t>http://www.broadinstitute.org/gsea/msigdb/cards/DIAZ_CHRONIC_MEYLOGENOUS_LEUKEMIA_DN.html</t>
  </si>
  <si>
    <t>HELLER_HDAC_TARGETS_DN</t>
  </si>
  <si>
    <t>4242;7456;9839;9595;4068;5788;962;940;3695;3561;2014;2313;7805;6404;399;3635;11184;26051;4064;50615;4063;80342;9120;4094;3122;3162;596;1043;1230;729230;4973;4033;6503;25780;55619;64581;80183;11217</t>
  </si>
  <si>
    <t>MFNG;WIPF1;ZEB2;CYTIP;SH2D1A;PTPRC;CD48;CD28;ITGB7;IL2RG;EMP3;FLI1;LAPTM5;SELPLG;RHOH;INPP5D;MAP4K1;PPP1R16B;CD180;IL21R;LY9;TRAF3IP3;SLC16A6;MAF;HLA-DRA;HMOX1;BCL2;CD52;CCR1;CCR2;OLR1;LRMP;SLA;RASGRP3;DOCK10;CLEC7A;RUBCNL;AKAP2</t>
  </si>
  <si>
    <t>http://www.broadinstitute.org/gsea/msigdb/cards/HELLER_HDAC_TARGETS_DN.html</t>
  </si>
  <si>
    <t>MARTENS_BOUND_BY_PML_RARA_FUSION</t>
  </si>
  <si>
    <t>4542;7305;3689;5341;3055;2268;3659;3676;6688;2322;3394;3937;8514;7805;286336;92241;348378;79930;124460;257106;83706;221188;57580;114548;23048;51225;27128;2219;3162;4066;54;6693;241;728;140885;118788;10235;80709;54518;147138;257101;79895;51676;29125;30817;9935</t>
  </si>
  <si>
    <t>MYO1F;TYROBP;ITGB2;PLEK;HCK;FGR;IRF1;ITGA4;SPI1;FLT3;IRF8;LCP2;KCNAB2;LAPTM5;FAM78A;RCSD1;SHISAL2A;DOK3;SNX20;ARHGAP30;FERMT3;ADGRG5;PREX1;NLRP3;FNBP1;ABI3;CYTH4;FCN1;HMOX1;LYL1;ACP5;SPN;ALOX5AP;C5AR1;SIRPA;PIK3AP1;RASGRP2;AKNA;APBB1IP;TMC8;ZNF683;ATP8B4;ASB2;C11orf21;ADGRE2;MAFB</t>
  </si>
  <si>
    <t>http://www.broadinstitute.org/gsea/msigdb/cards/MARTENS_BOUND_BY_PML_RARA_FUSION.html</t>
  </si>
  <si>
    <t>KEGG_CHEMOKINE_SIGNALING_PATHWAY</t>
  </si>
  <si>
    <t>10663;3627;5579;3055;2268;6351;6352;653361;1236;6772;5294;1233;1234;4283;3702;57580;23533;1794;6373;3717;1230;729230;7454;2829;2833;1235;1237;3718;54331;10235;6363;59345</t>
  </si>
  <si>
    <t>CXCR6;CXCL10;PRKCB;HCK;FGR;CCL4;CCL5;NCF1;CCR7;STAT1;PIK3CG;CCR4;CCR5;CXCL9;ITK;PREX1;PIK3R5;DOCK2;CXCL11;JAK2;CCR1;CCR2;WAS;XCR1;CXCR3;CCR6;CCR8;JAK3;GNG2;RASGRP2;CCL19;GNB4</t>
  </si>
  <si>
    <t>http://www.broadinstitute.org/gsea/msigdb/cards/KEGG_CHEMOKINE_SIGNALING_PATHWAY.html</t>
  </si>
  <si>
    <t>VILIMAS_NOTCH1_TARGETS_UP</t>
  </si>
  <si>
    <t>27334;972;915;3932;914;917;940;3001;6352;1493;1236;941;942;7535;3587;50852;924;3002;969;7185;597</t>
  </si>
  <si>
    <t>P2RY10;CD74;CD3D;LCK;CD2;CD3G;CD28;GZMA;CCL5;CTLA4;CCR7;CD80;CD86;ZAP70;IL10RA;TRAT1;CD7;GZMB;CD69;TRAF1;BCL2A1</t>
  </si>
  <si>
    <t>http://www.broadinstitute.org/gsea/msigdb/cards/VILIMAS_NOTCH1_TARGETS_UP.html</t>
  </si>
  <si>
    <t>HUANG_GATA2_TARGETS_UP</t>
  </si>
  <si>
    <t>9840;4542;7305;9535;9404;9595;6688;2123;5294;2014;391;3603;6404;79626;79930;51744;64092;29909;3956;5552;2212;241;2213;11010;6891;90634;79630;338339;7462</t>
  </si>
  <si>
    <t>TESPA1;MYO1F;TYROBP;GMFG;LPXN;CYTIP;SPI1;EVI2A;PIK3CG;EMP3;RHOG;IL16;SELPLG;TNFAIP8L2;DOK3;CD244;SAMSN1;GPR171;LGALS1;SRGN;FCGR2A;ALOX5AP;FCGR2B;GLIPR1;TAP2;N4BP2L1;C1orf54;CLEC4D;LAT2</t>
  </si>
  <si>
    <t>http://www.broadinstitute.org/gsea/msigdb/cards/HUANG_GATA2_TARGETS_UP.html</t>
  </si>
  <si>
    <t>KEGG_ALLOGRAFT_REJECTION</t>
  </si>
  <si>
    <t>3458;940;5551;959;941;942;3122;3117;3115;3111;3002;3112;3113;3586;3108;3109;356;3123;3127</t>
  </si>
  <si>
    <t>IFNG;CD28;PRF1;CD40LG;CD80;CD86;HLA-DRA;HLA-DQA1;HLA-DPB1;HLA-DOA;GZMB;HLA-DOB;HLA-DPA1;IL10;HLA-DMA;HLA-DMB;FASLG;HLA-DRB1;HLA-DRB5</t>
  </si>
  <si>
    <t>http://www.broadinstitute.org/gsea/msigdb/cards/KEGG_ALLOGRAFT_REJECTION.html</t>
  </si>
  <si>
    <t>GOLDRATH_ANTIGEN_RESPONSE</t>
  </si>
  <si>
    <t>4542;7305;3458;3559;972;962;3001;6351;6352;3676;5551;1493;3687;2123;5734;3594;1234;2014;3394;10875;4689;3662;51744;3117;3956;3002;4066;10437;3902;729230;356;2833;3003;3004;3604;2529;8809;5133;3123;7462</t>
  </si>
  <si>
    <t>MYO1F;TYROBP;IFNG;IL2RA;CD74;CD48;GZMA;CCL4;CCL5;ITGA4;PRF1;CTLA4;ITGAX;EVI2A;PTGER4;IL12RB1;CCR5;EMP3;IRF8;FGL2;NCF4;IRF4;CD244;HLA-DQA1;LGALS1;GZMB;LYL1;IFI30;LAG3;CCR2;FASLG;CXCR3;GZMK;GZMM;TNFRSF9;FUT7;IL18R1;PDCD1;HLA-DRB1;LAT2</t>
  </si>
  <si>
    <t>http://www.broadinstitute.org/gsea/msigdb/cards/GOLDRATH_ANTIGEN_RESPONSE.html</t>
  </si>
  <si>
    <t>MARSON_BOUND_BY_FOXP3_UNSTIMULATED</t>
  </si>
  <si>
    <t>27334;10663;2533;9046;9404;9595;54440;915;916;5788;962;917;940;963;7133;3683;2123;2633;2124;7535;5294;1233;2014;2313;3394;3702;3937;7805;3587;10875;9459;3662;10666;55843;474344;8477;387357;256380;170575;11184;55340;64231;4063;55303;8832;51393;29909;9120;366;10154;3717;27306;6793;5552;2212;2113;11010;1237;54331;3604;4033;10672;5133;57589;89846;161176;120425;147138;115727;84230;64780;55281;29126</t>
  </si>
  <si>
    <t>P2RY10;CXCR6;FYB1;DOK2;LPXN;CYTIP;SASH3;CD3D;CD3E;PTPRC;CD48;CD3G;CD28;CD53;TNFRSF1B;ITGAL;EVI2A;GBP1;EVI2B;ZAP70;PIK3CG;CCR4;EMP3;FLI1;IRF8;ITK;LCP2;LAPTM5;IL10RA;FGL2;ARHGEF6;IRF4;CD226;ARHGAP15;GIMAP6;GPR65;THEMIS;SCML4;GIMAP1;MAP4K1;GIMAP5;MS4A6A;LY9;GIMAP4;CD84;TRPV2;GPR171;SLC16A6;AQP9;PLXNC1;JAK2;HPGDS;STK10;SRGN;FCGR2A;ETS1;GLIPR1;CCR8;GNG2;TNFRSF9;LRMP;GNA13;PDCD1;RIC1;FGD3;SYNE3;JAML;TMC8;RASGRP4;LRRC8C;MICAL1;TMEM140;CD274</t>
  </si>
  <si>
    <t>http://www.broadinstitute.org/gsea/msigdb/cards/MARSON_BOUND_BY_FOXP3_UNSTIMULATED.html</t>
  </si>
  <si>
    <t>KEGG_TYPE_I_DIABETES_MELLITUS</t>
  </si>
  <si>
    <t>3458;940;5551;941;942;4049;3553;3122;3117;3115;3111;3002;3112;3113;3108;3109;356;3123;3127</t>
  </si>
  <si>
    <t>IFNG;CD28;PRF1;CD80;CD86;LTA;IL1B;HLA-DRA;HLA-DQA1;HLA-DPB1;HLA-DOA;GZMB;HLA-DOB;HLA-DPA1;HLA-DMA;HLA-DMB;FASLG;HLA-DRB1;HLA-DRB5</t>
  </si>
  <si>
    <t>http://www.broadinstitute.org/gsea/msigdb/cards/KEGG_TYPE_I_DIABETES_MELLITUS.html</t>
  </si>
  <si>
    <t>REACTOME_COSTIMULATION_BY_THE_CD28_FAMILY</t>
  </si>
  <si>
    <t>9402;920;915;3932;916;917;940;1493;919;941;942;151888;80380;29851;3117;3115;3113;5133;3123;3127;29126</t>
  </si>
  <si>
    <t>GRAP2;CD4;CD3D;LCK;CD3E;CD3G;CD28;CTLA4;CD247;CD80;CD86;BTLA;PDCD1LG2;ICOS;HLA-DQA1;HLA-DPB1;HLA-DPA1;PDCD1;HLA-DRB1;HLA-DRB5;CD274</t>
  </si>
  <si>
    <t>http://www.broadinstitute.org/gsea/msigdb/cards/REACTOME_COSTIMULATION_BY_THE_CD28_FAMILY.html</t>
  </si>
  <si>
    <t>REACTOME_TCR_SIGNALING</t>
  </si>
  <si>
    <t>2533;9402;920;915;3932;916;5788;917;919;7535;3702;3937;50852;3117;3115;3113;7454;3123;3127;51466</t>
  </si>
  <si>
    <t>FYB1;GRAP2;CD4;CD3D;LCK;CD3E;PTPRC;CD3G;CD247;ZAP70;ITK;LCP2;TRAT1;HLA-DQA1;HLA-DPB1;HLA-DPA1;WAS;HLA-DRB1;HLA-DRB5;EVL</t>
  </si>
  <si>
    <t>http://www.broadinstitute.org/gsea/msigdb/cards/REACTOME_TCR_SIGNALING.html</t>
  </si>
  <si>
    <t>TAKEDA_TARGETS_OF_NUP98_HOXA9_FUSION_10D_DN</t>
  </si>
  <si>
    <t>11309;712;713;714;6351;3575;54557;80896;51284;54209;56833;4094;8530;2162;348;1508;54;728;2359;1601;7941;10457;10184;245972;83937;23166;55691</t>
  </si>
  <si>
    <t>SLCO2B1;C1QA;C1QB;C1QC;CCL4;IL7R;SGTB;NPL;TLR7;TREM2;SLAMF8;MAF;CST7;F13A1;APOE;CTSB;ACP5;C5AR1;FPR3;DAB2;PLA2G7;GPNMB;LHFPL2;ATP6V0D2;RASSF4;STAB1;FRMD4A</t>
  </si>
  <si>
    <t>http://www.broadinstitute.org/gsea/msigdb/cards/TAKEDA_TARGETS_OF_NUP98_HOXA9_FUSION_10D_DN.html</t>
  </si>
  <si>
    <t>WORSCHECH_TUMOR_REJECTION_UP</t>
  </si>
  <si>
    <t>3458;3932;6351;6352;3575;7133;3561;3702;3662;117289;259307;7099;9034;6373;3553;3002;4481;356;3824;10462</t>
  </si>
  <si>
    <t>IFNG;LCK;CCL4;CCL5;IL7R;TNFRSF1B;IL2RG;ITK;IRF4;TAGAP;IL4I1;TLR4;CCRL2;CXCL11;IL1B;GZMB;MSR1;FASLG;KLRD1;CLEC10A</t>
  </si>
  <si>
    <t>http://www.broadinstitute.org/gsea/msigdb/cards/WORSCHECH_TUMOR_REJECTION_UP.html</t>
  </si>
  <si>
    <t>KEGG_ANTIGEN_PROCESSING_AND_PRESENTATION</t>
  </si>
  <si>
    <t>920;925;972;6890;4049;3122;3117;3115;3111;1508;926;10437;3112;3113;3108;3109;4261;3812;6891;3824;3123;3127;3805</t>
  </si>
  <si>
    <t>CD4;CD8A;CD74;TAP1;LTA;HLA-DRA;HLA-DQA1;HLA-DPB1;HLA-DOA;CTSB;CD8B;IFI30;HLA-DOB;HLA-DPA1;HLA-DMA;HLA-DMB;CIITA;KIR3DL2;TAP2;KLRD1;HLA-DRB1;HLA-DRB5;KIR2DL4</t>
  </si>
  <si>
    <t>http://www.broadinstitute.org/gsea/msigdb/cards/KEGG_ANTIGEN_PROCESSING_AND_PRESENTATION.html</t>
  </si>
  <si>
    <t>SANA_RESPONSE_TO_IFNG_UP</t>
  </si>
  <si>
    <t>80833;10068;3627;7453;51056;2633;4283;84166;115361;6373;10537;3117;10437;3113;3108;3123;3127;116071;168537;29126;25939;51513</t>
  </si>
  <si>
    <t>APOL3;IL18BP;CXCL10;WARS;LAP3;GBP1;CXCL9;NLRC5;GBP4;CXCL11;UBD;HLA-DQA1;IFI30;HLA-DPA1;HLA-DMA;HLA-DRB1;HLA-DRB5;BATF2;GIMAP7;CD274;SAMHD1;ETV7</t>
  </si>
  <si>
    <t>http://www.broadinstitute.org/gsea/msigdb/cards/SANA_RESPONSE_TO_IFNG_UP.html</t>
  </si>
  <si>
    <t>KEGG_INTESTINAL_IMMUNE_NETWORK_FOR_IGA_PRODUCTION</t>
  </si>
  <si>
    <t>940;3676;3695;959;941;942;10673;29851;3122;3117;3115;3111;3112;3113;3586;3108;3109;3123;3127</t>
  </si>
  <si>
    <t>CD28;ITGA4;ITGB7;CD40LG;CD80;CD86;TNFSF13B;ICOS;HLA-DRA;HLA-DQA1;HLA-DPB1;HLA-DOA;HLA-DOB;HLA-DPA1;IL10;HLA-DMA;HLA-DMB;HLA-DRB1;HLA-DRB5</t>
  </si>
  <si>
    <t>http://www.broadinstitute.org/gsea/msigdb/cards/KEGG_INTESTINAL_IMMUNE_NETWORK_FOR_IGA_PRODUCTION.html</t>
  </si>
  <si>
    <t>MARKEY_RB1_CHRONIC_LOF_DN</t>
  </si>
  <si>
    <t>9051;7305;712;713;714;1436;929;5788;6688;963;1234;3937;719;83706;64231;51393;348;3162;5552;10437;4481;7941;100506736;338339;23166</t>
  </si>
  <si>
    <t>PSTPIP1;TYROBP;C1QA;C1QB;C1QC;CSF1R;CD14;PTPRC;SPI1;CD53;CCR5;LCP2;C3AR1;FERMT3;MS4A6A;TRPV2;APOE;HMOX1;SRGN;IFI30;MSR1;PLA2G7;SLFN12L;CLEC4D;STAB1</t>
  </si>
  <si>
    <t>http://www.broadinstitute.org/gsea/msigdb/cards/MARKEY_RB1_CHRONIC_LOF_DN.html</t>
  </si>
  <si>
    <t>KEGG_PRIMARY_IMMUNODEFICIENCY</t>
  </si>
  <si>
    <t>920;925;915;3932;916;5788;3575;959;3561;7535;6890;695;29851;926;4261;3718;6891</t>
  </si>
  <si>
    <t>CD4;CD8A;CD3D;LCK;CD3E;PTPRC;IL7R;CD40LG;IL2RG;ZAP70;TAP1;BTK;ICOS;CD8B;CIITA;JAK3;TAP2</t>
  </si>
  <si>
    <t>http://www.broadinstitute.org/gsea/msigdb/cards/KEGG_PRIMARY_IMMUNODEFICIENCY.html</t>
  </si>
  <si>
    <t>KEGG_AUTOIMMUNE_THYROID_DISEASE</t>
  </si>
  <si>
    <t>940;5551;1493;959;941;942;3122;3117;3115;3111;3002;3112;3113;3586;3108;3109;356;3123;3127</t>
  </si>
  <si>
    <t>CD28;PRF1;CTLA4;CD40LG;CD80;CD86;HLA-DRA;HLA-DQA1;HLA-DPB1;HLA-DOA;GZMB;HLA-DOB;HLA-DPA1;IL10;HLA-DMA;HLA-DMB;FASLG;HLA-DRB1;HLA-DRB5</t>
  </si>
  <si>
    <t>http://www.broadinstitute.org/gsea/msigdb/cards/KEGG_AUTOIMMUNE_THYROID_DISEASE.html</t>
  </si>
  <si>
    <t>HELLER_HDAC_TARGETS_SILENCED_BY_METHYLATION_DN</t>
  </si>
  <si>
    <t>4242;7456;9839;9595;4068;5788;962;940;3676;3695;2313;3394;7805;6404;3662;91752;11184;26051;4064;50615;4063;23228;80342;4094;3162;596;1230;729230;4973;4033;6503;25780;55619;64581</t>
  </si>
  <si>
    <t>MFNG;WIPF1;ZEB2;CYTIP;SH2D1A;PTPRC;CD48;CD28;ITGA4;ITGB7;FLI1;IRF8;LAPTM5;SELPLG;IRF4;ZNF804A;MAP4K1;PPP1R16B;CD180;IL21R;LY9;PLCL2;TRAF3IP3;MAF;HMOX1;BCL2;CCR1;CCR2;OLR1;LRMP;SLA;RASGRP3;DOCK10;CLEC7A</t>
  </si>
  <si>
    <t>http://www.broadinstitute.org/gsea/msigdb/cards/HELLER_HDAC_TARGETS_SILENCED_BY_METHYLATION_DN.html</t>
  </si>
  <si>
    <t>WILENSKY_RESPONSE_TO_DARAPLADIB</t>
  </si>
  <si>
    <t>920;1536;962;6352;653361;2123;2124;3903;80896;3162;5724;3108;1230;729230;2833;7941</t>
  </si>
  <si>
    <t>CD4;CYBB;CD48;CCL5;NCF1;EVI2A;EVI2B;LAIR1;NPL;HMOX1;PTAFR;HLA-DMA;CCR1;CCR2;CXCR3;PLA2G7</t>
  </si>
  <si>
    <t>http://www.broadinstitute.org/gsea/msigdb/cards/WILENSKY_RESPONSE_TO_DARAPLADIB.html</t>
  </si>
  <si>
    <t>REACTOME_PD1_SIGNALING</t>
  </si>
  <si>
    <t>920;915;3932;916;917;919;80380;3117;3115;3113;5133;3123;3127;29126</t>
  </si>
  <si>
    <t>CD4;CD3D;LCK;CD3E;CD3G;CD247;PDCD1LG2;HLA-DQA1;HLA-DPB1;HLA-DPA1;PDCD1;HLA-DRB1;HLA-DRB5;CD274</t>
  </si>
  <si>
    <t>http://www.broadinstitute.org/gsea/msigdb/cards/REACTOME_PD1_SIGNALING.html</t>
  </si>
  <si>
    <t>PID_IL12_STAT4_PATHWAY</t>
  </si>
  <si>
    <t>3458;3559;920;915;916;917;940;3659;5551;919;941;942;30009;3122;8809;3123</t>
  </si>
  <si>
    <t>IFNG;IL2RA;CD4;CD3D;CD3E;CD3G;CD28;IRF1;PRF1;CD247;CD80;CD86;TBX21;HLA-DRA;IL18R1;HLA-DRB1</t>
  </si>
  <si>
    <t>http://www.broadinstitute.org/gsea/msigdb/cards/PID_IL12_STAT4_PATHWAY.html</t>
  </si>
  <si>
    <t>FULCHER_INFLAMMATORY_RESPONSE_LECTIN_VS_LPS_UP</t>
  </si>
  <si>
    <t>4242;9051;10261;1536;3575;6688;2123;3561;5294;3662;399;10666;5800;219972;170371;79626;497189;2210;89790;64170;56833;50856;80342;27036;79974;8530;3553;2811;1435;2212;9103;2213;11010;4973;5376;27163;3604;7185;57705;84230;79630;4327;64581;7462;30835;4644</t>
  </si>
  <si>
    <t>MFNG;PSTPIP1;IGSF6;CYBB;IL7R;SPI1;EVI2A;IL2RG;PIK3CG;IRF4;RHOH;CD226;PTPRO;MPEG1;TMEM273;TNFAIP8L2;TIFAB;FCGR1B;SIGLEC10;CARD9;SLAMF8;CLEC4A;TRAF3IP3;SIGLEC7;CPED1;CST7;IL1B;GP1BA;CSF1;FCGR2A;FCGR2A;FCGR2B;GLIPR1;OLR1;PMP22;NAAA;TNFRSF9;TRAF1;WDFY4;LRRC8C;C1orf54;MMP19;CLEC7A;LAT2;CD209;MYO5A</t>
  </si>
  <si>
    <t>http://www.broadinstitute.org/gsea/msigdb/cards/FULCHER_INFLAMMATORY_RESPONSE_LECTIN_VS_LPS_UP.html</t>
  </si>
  <si>
    <t>RAMALHO_STEMNESS_DN</t>
  </si>
  <si>
    <t>7305;9450;3689;5579;1436;5788;963;2123;11151;7535;8514;219972;50856;1508;3290;6556;140885;100506736;7462;51466</t>
  </si>
  <si>
    <t>TYROBP;LY86;ITGB2;PRKCB;CSF1R;PTPRC;CD53;EVI2A;CORO1A;ZAP70;KCNAB2;MPEG1;CLEC4A;CTSB;HSD11B1;SLC11A1;SIRPA;SLFN12L;LAT2;EVL</t>
  </si>
  <si>
    <t>http://www.broadinstitute.org/gsea/msigdb/cards/RAMALHO_STEMNESS_DN.html</t>
  </si>
  <si>
    <t>FARMER_BREAST_CANCER_CLUSTER_1</t>
  </si>
  <si>
    <t>9535;9595;4068;925;915;3932;914;962;3001;1234;3702;3937;3587;55303;29909;729230;3003</t>
  </si>
  <si>
    <t>GMFG;CYTIP;SH2D1A;CD8A;CD3D;LCK;CD2;CD48;GZMA;CCR5;ITK;LCP2;IL10RA;GIMAP4;GPR171;CCR2;GZMK</t>
  </si>
  <si>
    <t>http://www.broadinstitute.org/gsea/msigdb/cards/FARMER_BREAST_CANCER_CLUSTER_1.html</t>
  </si>
  <si>
    <t>IVANOVA_HEMATOPOIESIS_LATE_PROGENITOR</t>
  </si>
  <si>
    <t>1318;7305;9839;8676;9450;1536;5341;3055;2209;945;2123;2207;1439;3394;10875;5800;219972;79626;79930;124460;151888;80231;55589;225;10870;11314;2162;1508;10437;6402;6518;3109;3290;2213;1230;729230;8905;100506736;10184;10462;10507;55619;84329;84034</t>
  </si>
  <si>
    <t>SLC31A2;TYROBP;ZEB2;STX11;LY86;CYBB;PLEK;HCK;FCGR1A;CD33;EVI2A;FCER1G;CSF2RB;IRF8;FGL2;PTPRO;MPEG1;TNFAIP8L2;DOK3;SNX20;BTLA;CXorf21;BMP2K;ABCD2;HCST;CD300A;F13A1;CTSB;IFI30;SELL;SLC2A5;HLA-DMB;HSD11B1;FCGR2B;CCR1;CCR2;AP1S2;SLFN12L;LHFPL2;CLEC10A;SEMA4D;DOCK10;HVCN1;EMILIN2</t>
  </si>
  <si>
    <t>http://www.broadinstitute.org/gsea/msigdb/cards/IVANOVA_HEMATOPOIESIS_LATE_PROGENITOR.html</t>
  </si>
  <si>
    <t>YU_MYC_TARGETS_DN</t>
  </si>
  <si>
    <t>972;5579;914;5788;951;7805;3587;115361;19;3117;54;3112;3108;3109;4050;3123;100506736;51466</t>
  </si>
  <si>
    <t>CD74;PRKCB;CD2;PTPRC;CD37;LAPTM5;IL10RA;GBP4;ABCA1;HLA-DQA1;ACP5;HLA-DOB;HLA-DMA;HLA-DMB;LTB;HLA-DRB1;SLFN12L;EVL</t>
  </si>
  <si>
    <t>http://www.broadinstitute.org/gsea/msigdb/cards/YU_MYC_TARGETS_DN.html</t>
  </si>
  <si>
    <t>TORCHIA_TARGETS_OF_EWSR1_FLI1_FUSION_DN</t>
  </si>
  <si>
    <t>7940;7456;7305;9535;5788;3683;3071;8514;6404;9744;55843;92241;474344;257106;84166;1794;53346;80231;64407;29909;10154;2162;3956;3936;6402;4688;3108;3988;4208;4818;90634;10184;79895;55619</t>
  </si>
  <si>
    <t>LST1;WIPF1;TYROBP;GMFG;PTPRC;ITGAL;NCKAP1L;KCNAB2;SELPLG;ACAP1;ARHGAP15;RCSD1;GIMAP6;ARHGAP30;NLRC5;DOCK2;TM6SF1;CXorf21;RGS18;GPR171;PLXNC1;F13A1;LGALS1;LCP1;SELL;NCF2;HLA-DMA;LIPA;MEF2C;NKG7;N4BP2L1;LHFPL2;ATP8B4;DOCK10</t>
  </si>
  <si>
    <t>http://www.broadinstitute.org/gsea/msigdb/cards/TORCHIA_TARGETS_OF_EWSR1_FLI1_FUSION_DN.html</t>
  </si>
  <si>
    <t>MORI_LARGE_PRE_BII_LYMPHOCYTE_DN</t>
  </si>
  <si>
    <t>7456;9450;972;5788;3561;3394;3587;54899;8477;1794;3117;3936;3108;3109;4050;10507;7462;25939</t>
  </si>
  <si>
    <t>WIPF1;LY86;CD74;PTPRC;IL2RG;IRF8;IL10RA;PXK;GPR65;DOCK2;HLA-DQA1;LCP1;HLA-DMA;HLA-DMB;LTB;SEMA4D;LAT2;SAMHD1</t>
  </si>
  <si>
    <t>http://www.broadinstitute.org/gsea/msigdb/cards/MORI_LARGE_PRE_BII_LYMPHOCYTE_DN.html</t>
  </si>
  <si>
    <t>KEGG_NATURAL_KILLER_CELL_MEDIATED_CYTOTOXICITY</t>
  </si>
  <si>
    <t>259197;7305;4068;3458;3689;5579;3932;2214;962;5551;3683;919;2207;7535;5294;3937;23533;51744;10870;3002;3812;356;3824;3805</t>
  </si>
  <si>
    <t>NCR3;TYROBP;SH2D1A;IFNG;ITGB2;PRKCB;LCK;FCGR3A;CD48;PRF1;ITGAL;CD247;FCER1G;ZAP70;PIK3CG;LCP2;PIK3R5;CD244;HCST;GZMB;KIR3DL2;FASLG;KLRD1;KIR2DL4</t>
  </si>
  <si>
    <t>http://www.broadinstitute.org/gsea/msigdb/cards/KEGG_NATURAL_KILLER_CELL_MEDIATED_CYTOTOXICITY.html</t>
  </si>
  <si>
    <t>KEGG_T_CELL_RECEPTOR_SIGNALING_PATHWAY</t>
  </si>
  <si>
    <t>9402;3458;920;925;915;3932;916;5788;917;940;1493;919;959;7535;5294;3702;3937;23533;29851;926;3586;5133</t>
  </si>
  <si>
    <t>GRAP2;IFNG;CD4;CD8A;CD3D;LCK;CD3E;PTPRC;CD3G;CD28;CTLA4;CD247;CD40LG;ZAP70;PIK3CG;ITK;LCP2;PIK3R5;ICOS;CD8B;IL10;PDCD1</t>
  </si>
  <si>
    <t>http://www.broadinstitute.org/gsea/msigdb/cards/KEGG_T_CELL_RECEPTOR_SIGNALING_PATHWAY.html</t>
  </si>
  <si>
    <t>KEGG_SYSTEMIC_LUPUS_ERYTHEMATOSUS</t>
  </si>
  <si>
    <t>3458;712;713;714;2214;940;2209;959;941;942;3122;3117;3115;3111;2212;9103;3112;3113;3586;3108;3109;2213;3123;3127</t>
  </si>
  <si>
    <t>IFNG;C1QA;C1QB;C1QC;FCGR3A;CD28;FCGR1A;CD40LG;CD80;CD86;HLA-DRA;HLA-DQA1;HLA-DPB1;HLA-DOA;FCGR2A;FCGR2A;HLA-DOB;HLA-DPA1;IL10;HLA-DMA;HLA-DMB;FCGR2B;HLA-DRB1;HLA-DRB5</t>
  </si>
  <si>
    <t>http://www.broadinstitute.org/gsea/msigdb/cards/KEGG_SYSTEMIC_LUPUS_ERYTHEMATOSUS.html</t>
  </si>
  <si>
    <t>REACTOME_HEMOSTASIS</t>
  </si>
  <si>
    <t>9046;3689;5579;3932;914;5341;962;2268;3659;3683;3687;2207;5294;391;3937;81704;23533;1794;55423;9056;10019;3717;2162;2811;5552;3684;6402;6693;6546;54331;140885;4973;10672;146850;10235;54518;120425;55619;64805;59345</t>
  </si>
  <si>
    <t>DOK2;ITGB2;PRKCB;LCK;CD2;PLEK;CD48;FGR;IRF1;ITGAL;ITGAX;FCER1G;PIK3CG;RHOG;LCP2;DOCK8;PIK3R5;DOCK2;SIRPG;SLC7A7;SH2B3;JAK2;F13A1;GP1BA;SRGN;ITGAM;SELL;SPN;SLC8A1;GNG2;SIRPA;OLR1;GNA13;PIK3R6;RASGRP2;APBB1IP;JAML;DOCK10;P2RY12;GNB4</t>
  </si>
  <si>
    <t>http://www.broadinstitute.org/gsea/msigdb/cards/REACTOME_HEMOSTASIS.html</t>
  </si>
  <si>
    <t>SMIRNOV_CIRCULATING_ENDOTHELIOCYTES_IN_CANCER_UP</t>
  </si>
  <si>
    <t>929;3055;6036;7133;4354;719;50615;51311;6373;9120;366;19;1508;3162;240;2212;4688;2357;728;1230;5376;6503;9363;55803;30817</t>
  </si>
  <si>
    <t>CD14;HCK;RNASE2;TNFRSF1B;MPP1;C3AR1;IL21R;TLR8;CXCL11;SLC16A6;AQP9;ABCA1;CTSB;HMOX1;ALOX5;FCGR2A;NCF2;FPR1;C5AR1;CCR1;PMP22;SLA;RAB33A;ADAP2;ADGRE2</t>
  </si>
  <si>
    <t>http://www.broadinstitute.org/gsea/msigdb/cards/SMIRNOV_CIRCULATING_ENDOTHELIOCYTES_IN_CANCER_UP.html</t>
  </si>
  <si>
    <t>MATSUDA_NATURAL_KILLER_DIFFERENTIATION</t>
  </si>
  <si>
    <t>4542;10663;7456;9402;9450;3458;3627;6351;6352;5551;3560;919;11151;1236;1234;10875;219972;255231;53346;51744;30009;2857;1102;3553;924;3002;3290;1230;4261;356;2833;4208;3824;5133;814;4818;64919;57823;26279;4644</t>
  </si>
  <si>
    <t>MYO1F;CXCR6;WIPF1;GRAP2;LY86;IFNG;CXCL10;CCL4;CCL5;PRF1;IL2RB;CD247;CORO1A;CCR7;CCR5;FGL2;MPEG1;MCOLN2;TM6SF1;CD244;TBX21;GPR34;RCBTB2;IL1B;CD7;GZMB;HSD11B1;CCR1;CIITA;FASLG;CXCR3;MEF2C;KLRD1;PDCD1;CAMK4;NKG7;BCL11B;SLAMF7;PLA2G2D;MYO5A</t>
  </si>
  <si>
    <t>http://www.broadinstitute.org/gsea/msigdb/cards/MATSUDA_NATURAL_KILLER_DIFFERENTIATION.html</t>
  </si>
  <si>
    <t>DUNNE_TARGETS_OF_AML1_MTG8_FUSION_UP</t>
  </si>
  <si>
    <t>4542;7940;9051;6036;5734;7805;6404;23048;64092;8530;6037;3936;241;6503;4818;10235;29125</t>
  </si>
  <si>
    <t>MYO1F;LST1;PSTPIP1;RNASE2;PTGER4;LAPTM5;SELPLG;FNBP1;SAMSN1;CST7;RNASE3;LCP1;ALOX5AP;SLA;NKG7;RASGRP2;C11orf21</t>
  </si>
  <si>
    <t>http://www.broadinstitute.org/gsea/msigdb/cards/DUNNE_TARGETS_OF_AML1_MTG8_FUSION_UP.html</t>
  </si>
  <si>
    <t>REACTOME_INTERFERON_GAMMA_SIGNALING</t>
  </si>
  <si>
    <t>3458;3659;2209;2633;6772;3394;3662;2210;115362;115361;3717;3117;3115;3113;5724;4261;3123;3127</t>
  </si>
  <si>
    <t>IFNG;IRF1;FCGR1A;GBP1;STAT1;IRF8;IRF4;FCGR1B;GBP5;GBP4;JAK2;HLA-DQA1;HLA-DPB1;HLA-DPA1;PTAFR;CIITA;HLA-DRB1;HLA-DRB5</t>
  </si>
  <si>
    <t>http://www.broadinstitute.org/gsea/msigdb/cards/REACTOME_INTERFERON_GAMMA_SIGNALING.html</t>
  </si>
  <si>
    <t>PID_CD8_TCR_PATHWAY</t>
  </si>
  <si>
    <t>9402;925;915;5579;3932;916;5788;917;940;5551;919;941;942;7535;3937;926;10235</t>
  </si>
  <si>
    <t>GRAP2;CD8A;CD3D;PRKCB;LCK;CD3E;PTPRC;CD3G;CD28;PRF1;CD247;CD80;CD86;ZAP70;LCP2;CD8B;RASGRP2</t>
  </si>
  <si>
    <t>http://www.broadinstitute.org/gsea/msigdb/cards/PID_CD8_TCR_PATHWAY.html</t>
  </si>
  <si>
    <t>PID_CXCR4_PATHWAY</t>
  </si>
  <si>
    <t>920;915;3932;916;5788;3055;917;2268;3676;919;6772;5294;23533;3635;3717;3122;6776;54331;10672;3123;146850</t>
  </si>
  <si>
    <t>CD4;CD3D;LCK;CD3E;PTPRC;HCK;CD3G;FGR;ITGA4;CD247;STAT1;PIK3CG;PIK3R5;INPP5D;JAK2;HLA-DRA;STAT5A;GNG2;GNA13;HLA-DRB1;PIK3R6</t>
  </si>
  <si>
    <t>http://www.broadinstitute.org/gsea/msigdb/cards/PID_CXCR4_PATHWAY.html</t>
  </si>
  <si>
    <t>BOSCO_ALLERGEN_INDUCED_TH2_ASSOCIATED_MODULE</t>
  </si>
  <si>
    <t>9595;3559;3702;3937;10320;3662;2672;57105;8832;8320;3553;1435;240;596;4208;3604;969;27314;54518;120425;25780;131450;50943;11217</t>
  </si>
  <si>
    <t>CYTIP;IL2RA;ITK;LCP2;IKZF1;IRF4;GFI1;CYSLTR2;CD84;EOMES;IL1B;CSF1;ALOX5;BCL2;MEF2C;TNFRSF9;CD69;RAB30;APBB1IP;JAML;RASGRP3;CD200R1;FOXP3;AKAP2</t>
  </si>
  <si>
    <t>http://www.broadinstitute.org/gsea/msigdb/cards/BOSCO_ALLERGEN_INDUCED_TH2_ASSOCIATED_MODULE.html</t>
  </si>
  <si>
    <t>REACTOME_TRANSLOCATION_OF_ZAP_70_TO_IMMUNOLOGICAL_SYNAPSE</t>
  </si>
  <si>
    <t>920;915;3932;916;917;919;7535;3117;3115;3113;3123;3127</t>
  </si>
  <si>
    <t>CD4;CD3D;LCK;CD3E;CD3G;CD247;ZAP70;HLA-DQA1;HLA-DPB1;HLA-DPA1;HLA-DRB1;HLA-DRB5</t>
  </si>
  <si>
    <t>http://www.broadinstitute.org/gsea/msigdb/cards/REACTOME_TRANSLOCATION_OF_ZAP_70_TO_IMMUNOLOGICAL_SYNAPSE.html</t>
  </si>
  <si>
    <t>LINDSTEDT_DENDRITIC_CELL_MATURATION_D</t>
  </si>
  <si>
    <t>7940;10261;3689;3687;10875;4094;1102;2162;3684;54;4688;3108;3109;1230;4261;1601;27163;10462</t>
  </si>
  <si>
    <t>LST1;IGSF6;ITGB2;ITGAX;FGL2;MAF;RCBTB2;F13A1;ITGAM;ACP5;NCF2;HLA-DMA;HLA-DMB;CCR1;CIITA;DAB2;NAAA;CLEC10A</t>
  </si>
  <si>
    <t>http://www.broadinstitute.org/gsea/msigdb/cards/LINDSTEDT_DENDRITIC_CELL_MATURATION_D.html</t>
  </si>
  <si>
    <t>BIOCARTA_CTLA4_PATHWAY</t>
  </si>
  <si>
    <t>915;3932;916;917;940;1493;919;941;942;3702;29851;3122;3123</t>
  </si>
  <si>
    <t>CD3D;LCK;CD3E;CD3G;CD28;CTLA4;CD247;CD80;CD86;ITK;ICOS;HLA-DRA;HLA-DRB1</t>
  </si>
  <si>
    <t>http://www.broadinstitute.org/gsea/msigdb/cards/BIOCARTA_CTLA4_PATHWAY.html</t>
  </si>
  <si>
    <t>KUROZUMI_RESPONSE_TO_ONCOCYTIC_VIRUS_AND_CYCLIC_RGD</t>
  </si>
  <si>
    <t>3458;3560;959;1233;1234;4283;3587;6373;4049;3586;1230;729230;1237</t>
  </si>
  <si>
    <t>IFNG;IL2RB;CD40LG;CCR4;CCR5;CXCL9;IL10RA;CXCL11;LTA;IL10;CCR1;CCR2;CCR8</t>
  </si>
  <si>
    <t>http://www.broadinstitute.org/gsea/msigdb/cards/KUROZUMI_RESPONSE_TO_ONCOCYTIC_VIRUS_AND_CYCLIC_RGD.html</t>
  </si>
  <si>
    <t>KUMAR_TARGETS_OF_MLL_AF9_FUSION</t>
  </si>
  <si>
    <t>925;714;3932;914;916;2209;3001;6352;3575;971;923;5734;7535;3702;8514;3662;83706;255231;170575;55303;29851;730249;2219;366;8320;921;1508;926;4360;2833;4208;4050;7941;3824;59345;27240</t>
  </si>
  <si>
    <t>CD8A;C1QC;LCK;CD2;CD3E;FCGR1A;GZMA;CCL5;IL7R;CD72;CD6;PTGER4;ZAP70;ITK;KCNAB2;IRF4;FERMT3;MCOLN2;GIMAP1;GIMAP4;ICOS;ACOD1;FCN1;AQP9;EOMES;CD5;CTSB;CD8B;MRC1;CXCR3;MEF2C;LTB;PLA2G7;KLRD1;GNB4;SIT1</t>
  </si>
  <si>
    <t>http://www.broadinstitute.org/gsea/msigdb/cards/KUMAR_TARGETS_OF_MLL_AF9_FUSION.html</t>
  </si>
  <si>
    <t>KEGG_ASTHMA</t>
  </si>
  <si>
    <t>959;2207;3122;3117;3115;3111;6037;3112;3113;3586;3108;3109;3123;3127</t>
  </si>
  <si>
    <t>CD40LG;FCER1G;HLA-DRA;HLA-DQA1;HLA-DPB1;HLA-DOA;RNASE3;HLA-DOB;HLA-DPA1;IL10;HLA-DMA;HLA-DMB;HLA-DRB1;HLA-DRB5</t>
  </si>
  <si>
    <t>http://www.broadinstitute.org/gsea/msigdb/cards/KEGG_ASTHMA.html</t>
  </si>
  <si>
    <t>GAVIN_FOXP3_TARGETS_CLUSTER_P3</t>
  </si>
  <si>
    <t>4542;10663;9214;972;1536;2123;941;3587;10875;387357;51744;59067;64092;2857;197135;9034;2162;5452;4066;1237;8809;245972;131450;9806</t>
  </si>
  <si>
    <t>MYO1F;CXCR6;FCMR;CD74;CYBB;EVI2A;CD80;IL10RA;FGL2;THEMIS;CD244;IL21;SAMSN1;GPR34;PATL2;CCRL2;F13A1;POU2F2;LYL1;CCR8;IL18R1;ATP6V0D2;CD200R1;SPOCK2</t>
  </si>
  <si>
    <t>http://www.broadinstitute.org/gsea/msigdb/cards/GAVIN_FOXP3_TARGETS_CLUSTER_P3.html</t>
  </si>
  <si>
    <t>REACTOME_PHOSPHORYLATION_OF_CD3_AND_TCR_ZETA_CHAINS</t>
  </si>
  <si>
    <t>920;915;3932;916;5788;917;919;3117;3115;3113;3123;3127</t>
  </si>
  <si>
    <t>CD4;CD3D;LCK;CD3E;PTPRC;CD3G;CD247;HLA-DQA1;HLA-DPB1;HLA-DPA1;HLA-DRB1;HLA-DRB5</t>
  </si>
  <si>
    <t>http://www.broadinstitute.org/gsea/msigdb/cards/REACTOME_PHOSPHORYLATION_OF_CD3_AND_TCR_ZETA_CHAINS.html</t>
  </si>
  <si>
    <t>KRIGE_RESPONSE_TO_TOSEDOSTAT_24HR_UP</t>
  </si>
  <si>
    <t>9051;7305;1536;5341;5788;3055;962;951;1378;7133;7453;2207;6890;120939;79626;257106;117289;57580;54557;64333;55589;10870;10019;80342;9120;1102;3956;240;2113;241;2358;9938;11010;8905;969;4033;6503;8809;597;89846;80709;51762;84106;56670;64581;53831;29125;30817;4644;9935</t>
  </si>
  <si>
    <t>PSTPIP1;TYROBP;CYBB;PLEK;PTPRC;HCK;CD48;CD37;CR1;TNFRSF1B;WARS;FCER1G;TAP1;TMEM52B;TNFAIP8L2;ARHGAP30;TAGAP;PREX1;SGTB;ARHGAP9;BMP2K;HCST;SH2B3;TRAF3IP3;SLC16A6;RCBTB2;LGALS1;ALOX5;ETS1;ALOX5AP;FPR2;ARHGAP25;GLIPR1;AP1S2;CD69;LRMP;SLA;IL18R1;BCL2A1;FGD3;AKNA;RAB8B;PRAM1;SUCNR1;CLEC7A;GPR84;C11orf21;ADGRE2;MYO5A;MAFB</t>
  </si>
  <si>
    <t>http://www.broadinstitute.org/gsea/msigdb/cards/KRIGE_RESPONSE_TO_TOSEDOSTAT_24HR_UP.html</t>
  </si>
  <si>
    <t>BOYLAN_MULTIPLE_MYELOMA_PCA1_UP</t>
  </si>
  <si>
    <t>10663;22797;2533;10261;915;6352;3560;3683;3702;10875;81030;55303;2357;729230;4050;8809;4818;25890;25780;155038</t>
  </si>
  <si>
    <t>CXCR6;TFEC;FYB1;IGSF6;CD3D;CCL5;IL2RB;ITGAL;ITK;FGL2;ZBP1;GIMAP4;FPR1;CCR2;LTB;IL18R1;NKG7;ABI3BP;RASGRP3;GIMAP8</t>
  </si>
  <si>
    <t>http://www.broadinstitute.org/gsea/msigdb/cards/BOYLAN_MULTIPLE_MYELOMA_PCA1_UP.html</t>
  </si>
  <si>
    <t>ONO_AML1_TARGETS_DN</t>
  </si>
  <si>
    <t>914;6352;1236;944;1234;3662;114836;59067;8832;6402;3586;729230;2833;1237;100506736</t>
  </si>
  <si>
    <t>CD2;CCL5;CCR7;TNFSF8;CCR5;IRF4;SLAMF6;IL21;CD84;SELL;IL10;CCR2;CXCR3;CCR8;SLFN12L</t>
  </si>
  <si>
    <t>http://www.broadinstitute.org/gsea/msigdb/cards/ONO_AML1_TARGETS_DN.html</t>
  </si>
  <si>
    <t>NEMETH_INFLAMMATORY_RESPONSE_LPS_UP</t>
  </si>
  <si>
    <t>3055;7133;6772;6890;3937;719;6793;5552;3059;728;4481;2213;6556;1601;4050;597;100506736;54518;338339</t>
  </si>
  <si>
    <t>HCK;TNFRSF1B;STAT1;TAP1;LCP2;C3AR1;STK10;SRGN;HCLS1;C5AR1;MSR1;FCGR2B;SLC11A1;DAB2;LTB;BCL2A1;SLFN12L;APBB1IP;CLEC4D</t>
  </si>
  <si>
    <t>http://www.broadinstitute.org/gsea/msigdb/cards/NEMETH_INFLAMMATORY_RESPONSE_LPS_UP.html</t>
  </si>
  <si>
    <t>DELYS_THYROID_CANCER_UP</t>
  </si>
  <si>
    <t>7940;4068;10261;712;713;1436;7453;3695;4332;6772;2014;3071;3587;719;11184;6039;64231;54209;10154;348;341;1508;3956;3162;240;2212;10437;4688;241;526;4481;4360;1230;4240;597;9806;84034</t>
  </si>
  <si>
    <t>LST1;SH2D1A;IGSF6;C1QA;C1QB;CSF1R;WARS;ITGB7;MNDA;STAT1;EMP3;NCKAP1L;IL10RA;C3AR1;MAP4K1;RNASE6;MS4A6A;TREM2;PLXNC1;APOE;APOC1;CTSB;LGALS1;HMOX1;ALOX5;FCGR2A;IFI30;NCF2;ALOX5AP;ATP6V1B2;MSR1;MRC1;CCR1;MFGE8;BCL2A1;SPOCK2;EMILIN2</t>
  </si>
  <si>
    <t>http://www.broadinstitute.org/gsea/msigdb/cards/DELYS_THYROID_CANCER_UP.html</t>
  </si>
  <si>
    <t>HADDAD_T_LYMPHOCYTE_AND_NK_PROGENITOR_DN</t>
  </si>
  <si>
    <t>7305;9450;1436;5341;3055;3575;3695;1236;3394;6039;64231;8530;2162;3956;924;6518;4050</t>
  </si>
  <si>
    <t>TYROBP;LY86;CSF1R;PLEK;HCK;IL7R;ITGB7;CCR7;IRF8;RNASE6;MS4A6A;CST7;F13A1;LGALS1;CD7;SLC2A5;LTB</t>
  </si>
  <si>
    <t>http://www.broadinstitute.org/gsea/msigdb/cards/HADDAD_T_LYMPHOCYTE_AND_NK_PROGENITOR_DN.html</t>
  </si>
  <si>
    <t>REACTOME_CLASS_A1_RHODOPSIN_LIKE_RECEPTORS</t>
  </si>
  <si>
    <t>27334;10663;3627;6351;6352;1236;5734;1233;1234;4283;719;8477;53829;57105;6373;2357;728;3274;2359;2358;5724;1230;6753;3363;729230;2829;2833;1235;1237;6363;64805</t>
  </si>
  <si>
    <t>P2RY10;CXCR6;CXCL10;CCL4;CCL5;CCR7;PTGER4;CCR4;CCR5;CXCL9;C3AR1;GPR65;P2RY13;CYSLTR2;CXCL11;FPR1;C5AR1;HRH2;FPR3;FPR2;PTAFR;CCR1;SSTR3;HTR7;CCR2;XCR1;CXCR3;CCR6;CCR8;CCL19;P2RY12</t>
  </si>
  <si>
    <t>http://www.broadinstitute.org/gsea/msigdb/cards/REACTOME_CLASS_A1_RHODOPSIN_LIKE_RECEPTORS.html</t>
  </si>
  <si>
    <t>ONO_FOXP3_TARGETS_DN</t>
  </si>
  <si>
    <t>10663;3001;6352;944;3662;84868;114836;59067;8832;29909;8320;596;6402;356;100506736</t>
  </si>
  <si>
    <t>CXCR6;GZMA;CCL5;TNFSF8;IRF4;HAVCR2;SLAMF6;IL21;CD84;GPR171;EOMES;BCL2;SELL;FASLG;SLFN12L</t>
  </si>
  <si>
    <t>http://www.broadinstitute.org/gsea/msigdb/cards/ONO_FOXP3_TARGETS_DN.html</t>
  </si>
  <si>
    <t>VALK_AML_CLUSTER_5</t>
  </si>
  <si>
    <t>11025;942;51296;10288;51311;29992;27036;11024;5724;1230;140885;79168;83937;9935</t>
  </si>
  <si>
    <t>LILRB3;CD86;SLC15A3;LILRB2;TLR8;PILRA;SIGLEC7;LILRA1;PTAFR;CCR1;SIRPA;LILRA6;RASSF4;MAFB</t>
  </si>
  <si>
    <t>http://www.broadinstitute.org/gsea/msigdb/cards/VALK_AML_CLUSTER_5.html</t>
  </si>
  <si>
    <t>PID_CD8_TCR_DOWNSTREAM_PATHWAY</t>
  </si>
  <si>
    <t>3458;3559;925;915;5579;916;917;5551;3560;919;3561;5778;8320;3002;926;356;3604</t>
  </si>
  <si>
    <t>IFNG;IL2RA;CD8A;CD3D;PRKCB;CD3E;CD3G;PRF1;IL2RB;CD247;IL2RG;PTPN7;EOMES;GZMB;CD8B;FASLG;TNFRSF9</t>
  </si>
  <si>
    <t>http://www.broadinstitute.org/gsea/msigdb/cards/PID_CD8_TCR_DOWNSTREAM_PATHWAY.html</t>
  </si>
  <si>
    <t>REACTOME_CYTOKINE_SIGNALING_IN_IMMUNE_SYSTEM</t>
  </si>
  <si>
    <t>3458;3559;3932;3055;3659;2209;3560;3575;3561;2633;1439;6772;3394;3662;2210;115362;115361;3717;3553;3117;3115;3113;5724;4261;6776;3718;3123;3127;4215</t>
  </si>
  <si>
    <t>IFNG;IL2RA;LCK;HCK;IRF1;FCGR1A;IL2RB;IL7R;IL2RG;GBP1;CSF2RB;STAT1;IRF8;IRF4;FCGR1B;GBP5;GBP4;JAK2;IL1B;HLA-DQA1;HLA-DPB1;HLA-DPA1;PTAFR;CIITA;STAT5A;JAK3;HLA-DRB1;HLA-DRB5;MAP3K3</t>
  </si>
  <si>
    <t>http://www.broadinstitute.org/gsea/msigdb/cards/REACTOME_CYTOKINE_SIGNALING_IN_IMMUNE_SYSTEM.html</t>
  </si>
  <si>
    <t>LU_IL4_SIGNALING</t>
  </si>
  <si>
    <t>3559;6351;6352;2123;942;3394;10875;64092;51284;8564;240;6402;4688;54331;969;6503;3127;25780;11217</t>
  </si>
  <si>
    <t>IL2RA;CCL4;CCL5;EVI2A;CD86;IRF8;FGL2;SAMSN1;TLR7;KMO;ALOX5;SELL;NCF2;GNG2;CD69;SLA;HLA-DRB5;RASGRP3;AKAP2</t>
  </si>
  <si>
    <t>http://www.broadinstitute.org/gsea/msigdb/cards/LU_IL4_SIGNALING.html</t>
  </si>
  <si>
    <t>KASLER_HDAC7_TARGETS_1_UP</t>
  </si>
  <si>
    <t>9595;940;919;923;5734;10225;7535;1233;3702;10320;3662;170371;221472;8477;80896;4049;596;6776;1237;4240;5133;10507;51676;5027;27240</t>
  </si>
  <si>
    <t>CYTIP;CD28;CD247;CD6;PTGER4;CD96;ZAP70;CCR4;ITK;IKZF1;IRF4;TMEM273;FGD2;GPR65;NPL;LTA;BCL2;STAT5A;CCR8;MFGE8;PDCD1;SEMA4D;ASB2;P2RX7;SIT1</t>
  </si>
  <si>
    <t>http://www.broadinstitute.org/gsea/msigdb/cards/KASLER_HDAC7_TARGETS_1_UP.html</t>
  </si>
  <si>
    <t>REACTOME_G_ALPHA_I_SIGNALLING_EVENTS</t>
  </si>
  <si>
    <t>10663;3627;6352;1236;1233;1234;4283;719;53829;64407;6373;2357;728;2359;2358;1230;6753;729230;2833;1235;1237;54331;6363;64805;59345</t>
  </si>
  <si>
    <t>CXCR6;CXCL10;CCL5;CCR7;CCR4;CCR5;CXCL9;C3AR1;P2RY13;RGS18;CXCL11;FPR1;C5AR1;FPR3;FPR2;CCR1;SSTR3;CCR2;CXCR3;CCR6;CCR8;GNG2;CCL19;P2RY12;GNB4</t>
  </si>
  <si>
    <t>http://www.broadinstitute.org/gsea/msigdb/cards/REACTOME_G_ALPHA_I_SIGNALLING_EVENTS.html</t>
  </si>
  <si>
    <t>REACTOME_CHEMOKINE_RECEPTORS_BIND_CHEMOKINES</t>
  </si>
  <si>
    <t>10663;3627;6351;6352;1236;1233;1234;4283;6373;1230;729230;2829;2833;1235;1237;6363</t>
  </si>
  <si>
    <t>CXCR6;CXCL10;CCL4;CCL5;CCR7;CCR4;CCR5;CXCL9;CXCL11;CCR1;CCR2;XCR1;CXCR3;CCR6;CCR8;CCL19</t>
  </si>
  <si>
    <t>http://www.broadinstitute.org/gsea/msigdb/cards/REACTOME_CHEMOKINE_RECEPTORS_BIND_CHEMOKINES.html</t>
  </si>
  <si>
    <t>BIOCARTA_NKT_PATHWAY</t>
  </si>
  <si>
    <t>3458;920;940;6351;959;1236;3594;1233;1234;1230;729230;2833;8809</t>
  </si>
  <si>
    <t>IFNG;CD4;CD28;CCL4;CD40LG;CCR7;IL12RB1;CCR4;CCR5;CCR1;CCR2;CXCR3;IL18R1</t>
  </si>
  <si>
    <t>http://www.broadinstitute.org/gsea/msigdb/cards/BIOCARTA_NKT_PATHWAY.html</t>
  </si>
  <si>
    <t>LENAOUR_DENDRITIC_CELL_MATURATION_UP</t>
  </si>
  <si>
    <t>713;972;1378;1236;942;8514;3662;5800;6039;2162;348;341;3115;1435;2212;3113;4360;3290;3988;6503</t>
  </si>
  <si>
    <t>C1QB;CD74;CR1;CCR7;CD86;KCNAB2;IRF4;PTPRO;RNASE6;F13A1;APOE;APOC1;HLA-DPB1;CSF1;FCGR2A;HLA-DPA1;MRC1;HSD11B1;LIPA;SLA</t>
  </si>
  <si>
    <t>http://www.broadinstitute.org/gsea/msigdb/cards/LENAOUR_DENDRITIC_CELL_MATURATION_UP.html</t>
  </si>
  <si>
    <t>KEGG_VIRAL_MYOCARDITIS</t>
  </si>
  <si>
    <t>3689;940;5551;3683;959;941;942;3122;3117;3115;3111;3112;3113;3108;3109;3123;3127</t>
  </si>
  <si>
    <t>ITGB2;CD28;PRF1;ITGAL;CD40LG;CD80;CD86;HLA-DRA;HLA-DQA1;HLA-DPB1;HLA-DOA;HLA-DOB;HLA-DPA1;HLA-DMA;HLA-DMB;HLA-DRB1;HLA-DRB5</t>
  </si>
  <si>
    <t>http://www.broadinstitute.org/gsea/msigdb/cards/KEGG_VIRAL_MYOCARDITIS.html</t>
  </si>
  <si>
    <t>ZWANG_TRANSIENTLY_UP_BY_2ND_EGF_PULSE_ONLY</t>
  </si>
  <si>
    <t>340152;9840;7940;10663;4210;7305;4068;54440;925;3932;914;1436;962;7133;3561;1234;53347;3394;3820;3937;7805;3662;124535;128611;388325;91752;286530;51296;150372;51338;246329;152789;115361;26051;116986;53346;58475;81030;51311;57105;56833;55423;10673;27033;29851;79974;7099;2219;29909;27299;27306;10990;5452;4066;4481;6518;1043;4261;54331;1601;4050;3604;25900;55911;4033;342510;389197;11027;10077;84034;64174;29125;30817;8605;10004;25939</t>
  </si>
  <si>
    <t>ZC3H12D;TESPA1;LST1;CXCR6;MEFV;TYROBP;SH2D1A;SASH3;CD8A;LCK;CD2;CSF1R;CD48;TNFRSF1B;IL2RG;CCR5;UBASH3A;IRF8;KLRB1;LCP2;LAPTM5;IRF4;HSF5;ZNF831;SCIMP;ZNF804A;P2RY8;SLC15A3;NFAM1;MS4A4A;STAC3;JAKMIP1;GBP4;PPP1R16B;AGAP2;TM6SF1;MS4A7;ZBP1;TLR8;CYSLTR2;SLAMF8;SIRPG;TNFSF13B;ZBTB32;ICOS;CPED1;TLR4;FCN1;GPR171;ADAMDEC1;HPGDS;LILRB5;POU2F2;LYL1;MSR1;SLC2A5;CD52;CIITA;GNG2;DAB2;LTB;TNFRSF9;IFFO1;APOBR;LRMP;CD300E;C4orf50;LILRA2;TSPAN32;EMILIN2;DPEP2;C11orf21;ADGRE2;PLA2G4C;NAALADL1;SAMHD1</t>
  </si>
  <si>
    <t>http://www.broadinstitute.org/gsea/msigdb/cards/ZWANG_TRANSIENTLY_UP_BY_2ND_EGF_PULSE_ONLY.html</t>
  </si>
  <si>
    <t>REACTOME_GPCR_LIGAND_BINDING</t>
  </si>
  <si>
    <t>27334;10663;3627;6351;6352;1236;5734;1233;1234;4283;719;8477;53829;57105;6373;2357;728;3274;2359;2358;5724;1230;6753;3363;729230;2829;2833;1235;1237;54331;6363;64805;59345;30817</t>
  </si>
  <si>
    <t>P2RY10;CXCR6;CXCL10;CCL4;CCL5;CCR7;PTGER4;CCR4;CCR5;CXCL9;C3AR1;GPR65;P2RY13;CYSLTR2;CXCL11;FPR1;C5AR1;HRH2;FPR3;FPR2;PTAFR;CCR1;SSTR3;HTR7;CCR2;XCR1;CXCR3;CCR6;CCR8;GNG2;CCL19;P2RY12;GNB4;ADGRE2</t>
  </si>
  <si>
    <t>http://www.broadinstitute.org/gsea/msigdb/cards/REACTOME_GPCR_LIGAND_BINDING.html</t>
  </si>
  <si>
    <t>CROONQUIST_NRAS_SIGNALING_UP</t>
  </si>
  <si>
    <t>54440;9450;1536;962;6351;6352;653361;942;6039;80342;4688;4481;729230;10457</t>
  </si>
  <si>
    <t>SASH3;LY86;CYBB;CD48;CCL4;CCL5;NCF1;CD86;RNASE6;TRAF3IP3;NCF2;MSR1;CCR2;GPNMB</t>
  </si>
  <si>
    <t>http://www.broadinstitute.org/gsea/msigdb/cards/CROONQUIST_NRAS_SIGNALING_UP.html</t>
  </si>
  <si>
    <t>BIOCARTA_NO2IL12_PATHWAY</t>
  </si>
  <si>
    <t>3458;920;915;914;916;917;919;3594;1234;3717;2833</t>
  </si>
  <si>
    <t>IFNG;CD4;CD3D;CD2;CD3E;CD3G;CD247;IL12RB1;CCR5;JAK2;CXCR3</t>
  </si>
  <si>
    <t>http://www.broadinstitute.org/gsea/msigdb/cards/BIOCARTA_NO2IL12_PATHWAY.html</t>
  </si>
  <si>
    <t>BOQUEST_STEM_CELL_DN</t>
  </si>
  <si>
    <t>9535;8676;972;7133;7453;1439;2313;3937;7805;474344;55340;55303;10019;9034;3122;3117;3115;5552;3113;3108;4033;8809;3123;25780;22900</t>
  </si>
  <si>
    <t>GMFG;STX11;CD74;TNFRSF1B;WARS;CSF2RB;FLI1;LCP2;LAPTM5;GIMAP6;GIMAP5;GIMAP4;SH2B3;CCRL2;HLA-DRA;HLA-DQA1;HLA-DPB1;SRGN;HLA-DPA1;HLA-DMA;LRMP;IL18R1;HLA-DRB1;RASGRP3;CARD8</t>
  </si>
  <si>
    <t>http://www.broadinstitute.org/gsea/msigdb/cards/BOQUEST_STEM_CELL_DN.html</t>
  </si>
  <si>
    <t>WIERENGA_STAT5A_TARGETS_UP</t>
  </si>
  <si>
    <t>3627;6352;3575;959;1236;8477;221188;115361;259307;64092;50856;8530;19;2212;2359;54331;4973;1601;27163;4050;7185;8809;161176;1522;10004</t>
  </si>
  <si>
    <t>CXCL10;CCL5;IL7R;CD40LG;CCR7;GPR65;ADGRG5;GBP4;IL4I1;SAMSN1;CLEC4A;CST7;ABCA1;FCGR2A;FPR3;GNG2;OLR1;DAB2;NAAA;LTB;TRAF1;IL18R1;SYNE3;CTSZ;NAALADL1</t>
  </si>
  <si>
    <t>http://www.broadinstitute.org/gsea/msigdb/cards/WIERENGA_STAT5A_TARGETS_UP.html</t>
  </si>
  <si>
    <t>JISON_SICKLE_CELL_DISEASE_UP</t>
  </si>
  <si>
    <t>22797;3627;5341;6036;2209;2633;6772;2014;4354;6890;5800;11326;9034;3717;2162;3162;4066;10437;3988;729230;10184;206358;11027</t>
  </si>
  <si>
    <t>TFEC;CXCL10;PLEK;RNASE2;FCGR1A;GBP1;STAT1;EMP3;MPP1;TAP1;PTPRO;VSIG4;CCRL2;JAK2;F13A1;HMOX1;LYL1;IFI30;LIPA;CCR2;LHFPL2;SLC36A1;LILRA2</t>
  </si>
  <si>
    <t>http://www.broadinstitute.org/gsea/msigdb/cards/JISON_SICKLE_CELL_DISEASE_UP.html</t>
  </si>
  <si>
    <t>RASHI_RESPONSE_TO_IONIZING_RADIATION_6</t>
  </si>
  <si>
    <t>7305;1436;5788;962;6352;2123;2014;4283;10320;7805;6404;399;83706;10537;2213;729230;8809</t>
  </si>
  <si>
    <t>TYROBP;CSF1R;PTPRC;CD48;CCL5;EVI2A;EMP3;CXCL9;IKZF1;LAPTM5;SELPLG;RHOH;FERMT3;UBD;FCGR2B;CCR2;IL18R1</t>
  </si>
  <si>
    <t>http://www.broadinstitute.org/gsea/msigdb/cards/RASHI_RESPONSE_TO_IONIZING_RADIATION_6.html</t>
  </si>
  <si>
    <t>PICCALUGA_ANGIOIMMUNOBLASTIC_LYMPHOMA_UP</t>
  </si>
  <si>
    <t>11309;712;713;714;3627;4283;1240;53829;80896;56833;7099;6373;27299;348;341;6507;1601;5376;10457;25890;6363;83937;26279;8605</t>
  </si>
  <si>
    <t>SLCO2B1;C1QA;C1QB;C1QC;CXCL10;CXCL9;CMKLR1;P2RY13;NPL;SLAMF8;TLR4;CXCL11;ADAMDEC1;APOE;APOC1;SLC1A3;DAB2;PMP22;GPNMB;ABI3BP;CCL19;RASSF4;PLA2G2D;PLA2G4C</t>
  </si>
  <si>
    <t>http://www.broadinstitute.org/gsea/msigdb/cards/PICCALUGA_ANGIOIMMUNOBLASTIC_LYMPHOMA_UP.html</t>
  </si>
  <si>
    <t>BIOCARTA_TCRA_PATHWAY</t>
  </si>
  <si>
    <t>920;915;3932;916;5788;917;919;7535;3122;3123</t>
  </si>
  <si>
    <t>CD4;CD3D;LCK;CD3E;PTPRC;CD3G;CD247;ZAP70;HLA-DRA;HLA-DRB1</t>
  </si>
  <si>
    <t>http://www.broadinstitute.org/gsea/msigdb/cards/BIOCARTA_TCRA_PATHWAY.html</t>
  </si>
  <si>
    <t>SU_THYMUS</t>
  </si>
  <si>
    <t>9595;4068;3394;3702;6504;3662;399;80342;27299;2113;10672</t>
  </si>
  <si>
    <t>CYTIP;SH2D1A;IRF8;ITK;SLAMF1;IRF4;RHOH;TRAF3IP3;ADAMDEC1;ETS1;GNA13</t>
  </si>
  <si>
    <t>http://www.broadinstitute.org/gsea/msigdb/cards/SU_THYMUS.html</t>
  </si>
  <si>
    <t>NADLER_OBESITY_UP</t>
  </si>
  <si>
    <t>713;1436;963;2207;7805;6404;219972;1508;2212;10437;3059;241;4360;4240;1522</t>
  </si>
  <si>
    <t>C1QB;CSF1R;CD53;FCER1G;LAPTM5;SELPLG;MPEG1;CTSB;FCGR2A;IFI30;HCLS1;ALOX5AP;MRC1;MFGE8;CTSZ</t>
  </si>
  <si>
    <t>http://www.broadinstitute.org/gsea/msigdb/cards/NADLER_OBESITY_UP.html</t>
  </si>
  <si>
    <t>BIOCARTA_TCYTOTOXIC_PATHWAY</t>
  </si>
  <si>
    <t>925;915;3689;914;916;5788;917;940;3683;919</t>
  </si>
  <si>
    <t>CD8A;CD3D;ITGB2;CD2;CD3E;PTPRC;CD3G;CD28;ITGAL;CD247</t>
  </si>
  <si>
    <t>http://www.broadinstitute.org/gsea/msigdb/cards/BIOCARTA_TCYTOTOXIC_PATHWAY.html</t>
  </si>
  <si>
    <t>BIOCARTA_THELPER_PATHWAY</t>
  </si>
  <si>
    <t>920;915;3689;914;916;5788;917;940;3683;919</t>
  </si>
  <si>
    <t>CD4;CD3D;ITGB2;CD2;CD3E;PTPRC;CD3G;CD28;ITGAL;CD247</t>
  </si>
  <si>
    <t>http://www.broadinstitute.org/gsea/msigdb/cards/BIOCARTA_THELPER_PATHWAY.html</t>
  </si>
  <si>
    <t>WATANABE_ULCERATIVE_COLITIS_WITH_CANCER_DN</t>
  </si>
  <si>
    <t>10663;2633;3937;84166;57580;115362;115361;64092;6503;85464</t>
  </si>
  <si>
    <t>CXCR6;GBP1;LCP2;NLRC5;PREX1;GBP5;GBP4;SAMSN1;SLA;SSH2</t>
  </si>
  <si>
    <t>http://www.broadinstitute.org/gsea/msigdb/cards/WATANABE_ULCERATIVE_COLITIS_WITH_CANCER_DN.html</t>
  </si>
  <si>
    <t>WIERENGA_STAT5A_TARGETS_DN</t>
  </si>
  <si>
    <t>7940;8676;5341;929;1378;3695;2207;11151;10225;3394;79930;83706;80301;64407;8832;2219;2811;2113;10184;147138;25780;11027;202309;10077</t>
  </si>
  <si>
    <t>LST1;STX11;PLEK;CD14;CR1;ITGB7;FCER1G;CORO1A;CD96;IRF8;DOK3;FERMT3;PLEKHO2;RGS18;CD84;FCN1;GP1BA;ETS1;LHFPL2;TMC8;RASGRP3;LILRA2;GAPT;TSPAN32</t>
  </si>
  <si>
    <t>http://www.broadinstitute.org/gsea/msigdb/cards/WIERENGA_STAT5A_TARGETS_DN.html</t>
  </si>
  <si>
    <t>TAKEDA_TARGETS_OF_NUP98_HOXA9_FUSION_16D_UP</t>
  </si>
  <si>
    <t>9840;3695;6772;10320;10875;3662;497189;151888;255231;160365;11184;26051;225;11024;729230;1235;9363;202309;338339;51676;57823;25939</t>
  </si>
  <si>
    <t>TESPA1;ITGB7;STAT1;IKZF1;FGL2;IRF4;TIFAB;BTLA;MCOLN2;CLECL1;MAP4K1;PPP1R16B;ABCD2;LILRA1;CCR2;CCR6;RAB33A;GAPT;CLEC4D;ASB2;SLAMF7;SAMHD1</t>
  </si>
  <si>
    <t>http://www.broadinstitute.org/gsea/msigdb/cards/TAKEDA_TARGETS_OF_NUP98_HOXA9_FUSION_16D_UP.html</t>
  </si>
  <si>
    <t>HOLLERN_EMT_BREAST_TUMOR_UP</t>
  </si>
  <si>
    <t>1436;2014;124460;64407;50856;2857;2162;1435;4360;2213;729230;7454;11010;8905;1601;27163;375387;59345</t>
  </si>
  <si>
    <t>CSF1R;EMP3;SNX20;RGS18;CLEC4A;GPR34;F13A1;CSF1;MRC1;FCGR2B;CCR2;WAS;GLIPR1;AP1S2;DAB2;NAAA;NRROS;GNB4</t>
  </si>
  <si>
    <t>http://www.broadinstitute.org/gsea/msigdb/cards/HOLLERN_EMT_BREAST_TUMOR_UP.html</t>
  </si>
  <si>
    <t>CASORELLI_ACUTE_PROMYELOCYTIC_LEUKEMIA_UP</t>
  </si>
  <si>
    <t>1318;9214;925;915;5551;945;2123;2322;10225;5800;2672;19;10578;9938;11010;8905;90634;23312;64919;50515;23166;30817</t>
  </si>
  <si>
    <t>SLC31A2;FCMR;CD8A;CD3D;PRF1;CD33;EVI2A;FLT3;CD96;PTPRO;GFI1;ABCA1;GNLY;ARHGAP25;GLIPR1;AP1S2;N4BP2L1;DMXL2;BCL11B;CHST11;STAB1;ADGRE2</t>
  </si>
  <si>
    <t>http://www.broadinstitute.org/gsea/msigdb/cards/CASORELLI_ACUTE_PROMYELOCYTIC_LEUKEMIA_UP.html</t>
  </si>
  <si>
    <t>PAPASPYRIDONOS_UNSTABLE_ATEROSCLEROTIC_PLAQUE_UP</t>
  </si>
  <si>
    <t>1439;3071;219972;9332;51338;80896;64092;8832;1508;5552;10437;54;1601;7941</t>
  </si>
  <si>
    <t>CSF2RB;NCKAP1L;MPEG1;CD163;MS4A4A;NPL;SAMSN1;CD84;CTSB;SRGN;IFI30;ACP5;DAB2;PLA2G7</t>
  </si>
  <si>
    <t>http://www.broadinstitute.org/gsea/msigdb/cards/PAPASPYRIDONOS_UNSTABLE_ATEROSCLEROTIC_PLAQUE_UP.html</t>
  </si>
  <si>
    <t>ROSS_AML_WITH_MLL_FUSIONS</t>
  </si>
  <si>
    <t>9450;6036;6352;3687;3101;2210;3956;5552;6037;241;140885;4208;4033;4818;64780;64747</t>
  </si>
  <si>
    <t>LY86;RNASE2;CCL5;ITGAX;HK3;FCGR1B;LGALS1;SRGN;RNASE3;ALOX5AP;SIRPA;MEF2C;LRMP;NKG7;MICAL1;MFSD1</t>
  </si>
  <si>
    <t>http://www.broadinstitute.org/gsea/msigdb/cards/ROSS_AML_WITH_MLL_FUSIONS.html</t>
  </si>
  <si>
    <t>MORI_IMMATURE_B_LYMPHOCYTE_UP</t>
  </si>
  <si>
    <t>9450;972;5788;3055;971;3587;54899;8477;10437;3108;3109;10507;7462;25939</t>
  </si>
  <si>
    <t>LY86;CD74;PTPRC;HCK;CD72;IL10RA;PXK;GPR65;IFI30;HLA-DMA;HLA-DMB;SEMA4D;LAT2;SAMHD1</t>
  </si>
  <si>
    <t>http://www.broadinstitute.org/gsea/msigdb/cards/MORI_IMMATURE_B_LYMPHOCYTE_UP.html</t>
  </si>
  <si>
    <t>FINETTI_BREAST_CANCER_KINOME_GREEN</t>
  </si>
  <si>
    <t>5579;3932;3055;2268;7535;695;3702;11184;6793;3718</t>
  </si>
  <si>
    <t>PRKCB;LCK;HCK;FGR;ZAP70;BTK;ITK;MAP4K1;STK10;JAK3</t>
  </si>
  <si>
    <t>http://www.broadinstitute.org/gsea/msigdb/cards/FINETTI_BREAST_CANCER_KINOME_GREEN.html</t>
  </si>
  <si>
    <t>HAHTOLA_CTCL_PATHOGENESIS</t>
  </si>
  <si>
    <t>6352;3560;3575;51338;30009;353514;3002;1043;3812;4818</t>
  </si>
  <si>
    <t>CCL5;IL2RB;IL7R;MS4A4A;TBX21;LILRA5;GZMB;CD52;KIR3DL2;NKG7</t>
  </si>
  <si>
    <t>http://www.broadinstitute.org/gsea/msigdb/cards/HAHTOLA_CTCL_PATHOGENESIS.html</t>
  </si>
  <si>
    <t>RUTELLA_RESPONSE_TO_CSF2RB_AND_IL4_UP</t>
  </si>
  <si>
    <t>1236;941;942;4283;6504;3662;23048;26051;50615;56833;8832;27299;8564;348;341;54;3586;3290;6507;7185;10148;10457;10184;25780;64780;51762;6363;30835;57823</t>
  </si>
  <si>
    <t>CCR7;CD80;CD86;CXCL9;SLAMF1;IRF4;FNBP1;PPP1R16B;IL21R;SLAMF8;CD84;ADAMDEC1;KMO;APOE;APOC1;ACP5;IL10;HSD11B1;SLC1A3;TRAF1;EBI3;GPNMB;LHFPL2;RASGRP3;MICAL1;RAB8B;CCL19;CD209;SLAMF7</t>
  </si>
  <si>
    <t>http://www.broadinstitute.org/gsea/msigdb/cards/RUTELLA_RESPONSE_TO_CSF2RB_AND_IL4_UP.html</t>
  </si>
  <si>
    <t>ONO_AML1_TARGETS_UP</t>
  </si>
  <si>
    <t>10663;3458;3001;84868;80380;51744;8320;356;5133;4818;57823</t>
  </si>
  <si>
    <t>CXCR6;IFNG;GZMA;HAVCR2;PDCD1LG2;CD244;EOMES;FASLG;PDCD1;NKG7;SLAMF7</t>
  </si>
  <si>
    <t>http://www.broadinstitute.org/gsea/msigdb/cards/ONO_AML1_TARGETS_UP.html</t>
  </si>
  <si>
    <t>BERTUCCI_MEDULLARY_VS_DUCTAL_BREAST_CANCER_UP</t>
  </si>
  <si>
    <t>3659;3001;7133;7453;3695;51056;6772;3594;6890;117289;115362;115361;23228;348;5552;10437;3112;3902;441168;84541;64581;29126;51513</t>
  </si>
  <si>
    <t>IRF1;GZMA;TNFRSF1B;WARS;ITGB7;LAP3;STAT1;IL12RB1;TAP1;TAGAP;GBP5;GBP4;PLCL2;APOE;SRGN;IFI30;HLA-DOB;LAG3;CALHM6;KBTBD8;CLEC7A;CD274;ETV7</t>
  </si>
  <si>
    <t>http://www.broadinstitute.org/gsea/msigdb/cards/BERTUCCI_MEDULLARY_VS_DUCTAL_BREAST_CANCER_UP.html</t>
  </si>
  <si>
    <t>SMIRNOV_RESPONSE_TO_IR_6HR_DN</t>
  </si>
  <si>
    <t>1536;5788;6351;3676;2123;3937;3603;9744;6039;11314;80342;27033;4049;1230;1235;969;9363;27240</t>
  </si>
  <si>
    <t>CYBB;PTPRC;CCL4;ITGA4;EVI2A;LCP2;IL16;ACAP1;RNASE6;CD300A;TRAF3IP3;ZBTB32;LTA;CCR1;CCR6;CD69;RAB33A;SIT1</t>
  </si>
  <si>
    <t>http://www.broadinstitute.org/gsea/msigdb/cards/SMIRNOV_RESPONSE_TO_IR_6HR_DN.html</t>
  </si>
  <si>
    <t>MARTENS_TRETINOIN_RESPONSE_UP</t>
  </si>
  <si>
    <t>4242;712;713;3689;929;2268;3659;653361;3560;7133;1439;3101;3587;219972;388325;11006;23533;116986;54209;11314;353514;2848;366;10990;341;921;1621;1435;241;2999;6518;1043;1230;6753;3004;5133;4818;150771;389197;375686;147138;116071;51676;84106;56670;26279;9935</t>
  </si>
  <si>
    <t>MFNG;C1QA;C1QB;ITGB2;CD14;FGR;IRF1;NCF1;IL2RB;TNFRSF1B;CSF2RB;HK3;IL10RA;MPEG1;SCIMP;LILRB4;PIK3R5;AGAP2;TREM2;CD300A;LILRA5;GPR25;AQP9;LILRB5;APOC1;CD5;DBH;CSF1;ALOX5AP;GZMH;SLC2A5;CD52;CCR1;SSTR3;GZMM;PDCD1;NKG7;ITPRIPL1;C4orf50;SPATC1;TMC8;BATF2;ASB2;PRAM1;SUCNR1;PLA2G2D;MAFB</t>
  </si>
  <si>
    <t>http://www.broadinstitute.org/gsea/msigdb/cards/MARTENS_TRETINOIN_RESPONSE_UP.html</t>
  </si>
  <si>
    <t>REACTOME_PEPTIDE_LIGAND_BINDING_RECEPTORS</t>
  </si>
  <si>
    <t>10663;3627;6351;6352;1236;1233;1234;4283;719;6373;2357;728;2359;2358;1230;6753;729230;2829;2833;1235;1237;6363</t>
  </si>
  <si>
    <t>CXCR6;CXCL10;CCL4;CCL5;CCR7;CCR4;CCR5;CXCL9;C3AR1;CXCL11;FPR1;C5AR1;FPR3;FPR2;CCR1;SSTR3;CCR2;XCR1;CXCR3;CCR6;CCR8;CCL19</t>
  </si>
  <si>
    <t>http://www.broadinstitute.org/gsea/msigdb/cards/REACTOME_PEPTIDE_LIGAND_BINDING_RECEPTORS.html</t>
  </si>
  <si>
    <t>KIM_GLIS2_TARGETS_UP</t>
  </si>
  <si>
    <t>11025;3627;972;3659;6352;2207;199;10673;3122;3117;2212;3108;3109;729230;4050;3123</t>
  </si>
  <si>
    <t>LILRB3;CXCL10;CD74;IRF1;CCL5;FCER1G;AIF1;TNFSF13B;HLA-DRA;HLA-DQA1;FCGR2A;HLA-DMA;HLA-DMB;CCR2;LTB;HLA-DRB1</t>
  </si>
  <si>
    <t>http://www.broadinstitute.org/gsea/msigdb/cards/KIM_GLIS2_TARGETS_UP.html</t>
  </si>
  <si>
    <t>REACTOME_INNATE_IMMUNE_SYSTEM</t>
  </si>
  <si>
    <t>4210;9051;9450;920;712;713;714;929;3659;1378;695;84166;114548;4064;81030;64170;58484;51311;51284;7099;1508;596;729230;1235;4208;5027</t>
  </si>
  <si>
    <t>MEFV;PSTPIP1;LY86;CD4;C1QA;C1QB;C1QC;CD14;IRF1;CR1;BTK;NLRC5;NLRP3;CD180;ZBP1;CARD9;NLRC4;TLR8;TLR7;TLR4;CTSB;BCL2;CCR2;CCR6;MEF2C;P2RX7</t>
  </si>
  <si>
    <t>http://www.broadinstitute.org/gsea/msigdb/cards/REACTOME_INNATE_IMMUNE_SYSTEM.html</t>
  </si>
  <si>
    <t>REACTOME_DOWNSTREAM_TCR_SIGNALING</t>
  </si>
  <si>
    <t>920;915;3932;916;917;919;50852;3117;3115;3113;3123;3127</t>
  </si>
  <si>
    <t>CD4;CD3D;LCK;CD3E;CD3G;CD247;TRAT1;HLA-DQA1;HLA-DPB1;HLA-DPA1;HLA-DRB1;HLA-DRB5</t>
  </si>
  <si>
    <t>http://www.broadinstitute.org/gsea/msigdb/cards/REACTOME_DOWNSTREAM_TCR_SIGNALING.html</t>
  </si>
  <si>
    <t>TONKS_TARGETS_OF_RUNX1_RUNX1T1_FUSION_ERYTHROCYTE_UP</t>
  </si>
  <si>
    <t>6772;719;3903;9332;51296;4064;80231;51284;56833;11326;11024;4094;6518;6507;140885;4973;10457;597;11027;80183</t>
  </si>
  <si>
    <t>STAT1;C3AR1;LAIR1;CD163;SLC15A3;CD180;CXorf21;TLR7;SLAMF8;VSIG4;LILRA1;MAF;SLC2A5;SLC1A3;SIRPA;OLR1;GPNMB;BCL2A1;LILRA2;RUBCNL</t>
  </si>
  <si>
    <t>http://www.broadinstitute.org/gsea/msigdb/cards/TONKS_TARGETS_OF_RUNX1_RUNX1T1_FUSION_ERYTHROCYTE_UP.html</t>
  </si>
  <si>
    <t>REACTOME_CELL_SURFACE_INTERACTIONS_AT_THE_VASCULAR_WALL</t>
  </si>
  <si>
    <t>9046;3689;3932;914;962;3683;3687;2207;55423;9056;3684;6402;6693;140885;4973;120425</t>
  </si>
  <si>
    <t>DOK2;ITGB2;LCK;CD2;CD48;ITGAL;ITGAX;FCER1G;SIRPG;SLC7A7;ITGAM;SELL;SPN;SIRPA;OLR1;JAML</t>
  </si>
  <si>
    <t>http://www.broadinstitute.org/gsea/msigdb/cards/REACTOME_CELL_SURFACE_INTERACTIONS_AT_THE_VASCULAR_WALL.html</t>
  </si>
  <si>
    <t>NIELSEN_GIST_AND_SYNOVIAL_SARCOMA_DN</t>
  </si>
  <si>
    <t>7305;9839;920;3689;1436;2350;3587;4689;9332;10457</t>
  </si>
  <si>
    <t>TYROBP;ZEB2;CD4;ITGB2;CSF1R;FOLR2;IL10RA;NCF4;CD163;GPNMB</t>
  </si>
  <si>
    <t>http://www.broadinstitute.org/gsea/msigdb/cards/NIELSEN_GIST_AND_SYNOVIAL_SARCOMA_DN.html</t>
  </si>
  <si>
    <t>GARY_CD5_TARGETS_UP</t>
  </si>
  <si>
    <t>7456;972;3932;5341;962;2268;3659;951;6351;6688;971;2123;7453;3561;1236;6772;79930;117289;11006;55016;11184;50615;5452;240;596;3586;1043;7454;969;10672;597;147138;116442</t>
  </si>
  <si>
    <t>WIPF1;CD74;LCK;PLEK;CD48;FGR;IRF1;CD37;CCL4;SPI1;CD72;EVI2A;WARS;IL2RG;CCR7;STAT1;DOK3;TAGAP;LILRB4;MARCH1;MAP4K1;IL21R;POU2F2;ALOX5;BCL2;IL10;CD52;WAS;CD69;GNA13;BCL2A1;TMC8;RAB39B</t>
  </si>
  <si>
    <t>http://www.broadinstitute.org/gsea/msigdb/cards/GARY_CD5_TARGETS_UP.html</t>
  </si>
  <si>
    <t>PID_IL2_STAT5_PATHWAY</t>
  </si>
  <si>
    <t>3559;3932;5551;3560;3561;4049;596;6776;356;3718;50943</t>
  </si>
  <si>
    <t>IL2RA;LCK;PRF1;IL2RB;IL2RG;LTA;BCL2;STAT5A;FASLG;JAK3;FOXP3</t>
  </si>
  <si>
    <t>http://www.broadinstitute.org/gsea/msigdb/cards/PID_IL2_STAT5_PATHWAY.html</t>
  </si>
  <si>
    <t>REACTOME_GPCR_DOWNSTREAM_SIGNALING</t>
  </si>
  <si>
    <t>27334;10663;3627;5579;6352;1236;5734;5294;1233;1234;391;4283;9459;719;221472;8477;57580;23533;53829;64407;57105;6373;2357;728;3274;2359;2358;5724;1230;6753;3363;729230;2829;2833;1235;1237;54331;10672;89846;146850;10235;6363;64805;59345</t>
  </si>
  <si>
    <t>P2RY10;CXCR6;CXCL10;PRKCB;CCL5;CCR7;PTGER4;PIK3CG;CCR4;CCR5;RHOG;CXCL9;ARHGEF6;C3AR1;FGD2;GPR65;PREX1;PIK3R5;P2RY13;RGS18;CYSLTR2;CXCL11;FPR1;C5AR1;HRH2;FPR3;FPR2;PTAFR;CCR1;SSTR3;HTR7;CCR2;XCR1;CXCR3;CCR6;CCR8;GNG2;GNA13;FGD3;PIK3R6;RASGRP2;CCL19;P2RY12;GNB4</t>
  </si>
  <si>
    <t>http://www.broadinstitute.org/gsea/msigdb/cards/REACTOME_GPCR_DOWNSTREAM_SIGNALING.html</t>
  </si>
  <si>
    <t>ODONNELL_TARGETS_OF_MYC_AND_TFRC_UP</t>
  </si>
  <si>
    <t>9214;951;971;3937;219972;149628;81030;1102;3117;240;3684;3112;5724;11010;969</t>
  </si>
  <si>
    <t>FCMR;CD37;CD72;LCP2;MPEG1;PYHIN1;ZBP1;RCBTB2;HLA-DQA1;ALOX5;ITGAM;HLA-DOB;PTAFR;GLIPR1;CD69</t>
  </si>
  <si>
    <t>http://www.broadinstitute.org/gsea/msigdb/cards/ODONNELL_TARGETS_OF_MYC_AND_TFRC_UP.html</t>
  </si>
  <si>
    <t>BIOCARTA_CTL_PATHWAY</t>
  </si>
  <si>
    <t>915;3689;916;917;5551;3683;919;3002;356</t>
  </si>
  <si>
    <t>CD3D;ITGB2;CD3E;CD3G;PRF1;ITGAL;CD247;GZMB;FASLG</t>
  </si>
  <si>
    <t>http://www.broadinstitute.org/gsea/msigdb/cards/BIOCARTA_CTL_PATHWAY.html</t>
  </si>
  <si>
    <t>BIOCARTA_IL12_PATHWAY</t>
  </si>
  <si>
    <t>3458;915;916;917;919;3594;1234;3717;2833;8809</t>
  </si>
  <si>
    <t>IFNG;CD3D;CD3E;CD3G;CD247;IL12RB1;CCR5;JAK2;CXCR3;IL18R1</t>
  </si>
  <si>
    <t>http://www.broadinstitute.org/gsea/msigdb/cards/BIOCARTA_IL12_PATHWAY.html</t>
  </si>
  <si>
    <t>REACTOME_SIGNALING_BY_GPCR</t>
  </si>
  <si>
    <t>27334;10663;3627;5579;6351;6352;1236;5734;5294;1233;1234;391;4283;9459;719;221472;8477;57580;23533;53829;64407;57105;6373;2357;728;3274;2359;2358;5724;1230;6753;3363;729230;2829;2833;1235;1237;54331;10672;814;89846;146850;10235;6363;64805;59345;30817</t>
  </si>
  <si>
    <t>P2RY10;CXCR6;CXCL10;PRKCB;CCL4;CCL5;CCR7;PTGER4;PIK3CG;CCR4;CCR5;RHOG;CXCL9;ARHGEF6;C3AR1;FGD2;GPR65;PREX1;PIK3R5;P2RY13;RGS18;CYSLTR2;CXCL11;FPR1;C5AR1;HRH2;FPR3;FPR2;PTAFR;CCR1;SSTR3;HTR7;CCR2;XCR1;CXCR3;CCR6;CCR8;GNG2;GNA13;CAMK4;FGD3;PIK3R6;RASGRP2;CCL19;P2RY12;GNB4;ADGRE2</t>
  </si>
  <si>
    <t>http://www.broadinstitute.org/gsea/msigdb/cards/REACTOME_SIGNALING_BY_GPCR.html</t>
  </si>
  <si>
    <t>FOSTER_TOLERANT_MACROPHAGE_DN</t>
  </si>
  <si>
    <t>3932;944;942;3937;10320;399;84166;115361;64092;27033;6373;3717;3553;1435;3586;6776;4973;969;7185;146850;161176;116071;161145;59345;50515;55803;53831;55691;51466;25939</t>
  </si>
  <si>
    <t>LCK;TNFSF8;CD86;LCP2;IKZF1;RHOH;NLRC5;GBP4;SAMSN1;ZBTB32;CXCL11;JAK2;IL1B;CSF1;IL10;STAT5A;OLR1;CD69;TRAF1;PIK3R6;SYNE3;BATF2;TMEM229B;GNB4;CHST11;ADAP2;GPR84;FRMD4A;EVL;SAMHD1</t>
  </si>
  <si>
    <t>http://www.broadinstitute.org/gsea/msigdb/cards/FOSTER_TOLERANT_MACROPHAGE_DN.html</t>
  </si>
  <si>
    <t>BIOCARTA_CSK_PATHWAY</t>
  </si>
  <si>
    <t>http://www.broadinstitute.org/gsea/msigdb/cards/BIOCARTA_CSK_PATHWAY.html</t>
  </si>
  <si>
    <t>ST_T_CELL_SIGNAL_TRANSDUCTION</t>
  </si>
  <si>
    <t>9402;915;3932;5788;940;1493;7535;3702;3937;10235;25780;115727</t>
  </si>
  <si>
    <t>GRAP2;CD3D;LCK;PTPRC;CD28;CTLA4;ZAP70;ITK;LCP2;RASGRP2;RASGRP3;RASGRP4</t>
  </si>
  <si>
    <t>http://www.broadinstitute.org/gsea/msigdb/cards/ST_T_CELL_SIGNAL_TRANSDUCTION.html</t>
  </si>
  <si>
    <t>NUYTTEN_EZH2_TARGETS_UP</t>
  </si>
  <si>
    <t>2533;1318;9404;80833;3627;3659;7453;51056;6772;6890;8514;11262;54899;51296;114548;115362;115361;259307;79974;9881;8564;3717;3553;1508;3162;1435;4688;1230;3988;6507;8905;969;11009;7185;10672;55704;161176;151556;147138;25780;116071;84541;79630;51762;51676;64581;64747;55281;55013;25939</t>
  </si>
  <si>
    <t>FYB1;SLC31A2;LPXN;APOL3;CXCL10;IRF1;WARS;LAP3;STAT1;TAP1;KCNAB2;SP140;PXK;SLC15A3;NLRP3;GBP5;GBP4;IL4I1;CPED1;TRANK1;KMO;JAK2;IL1B;CTSB;HMOX1;CSF1;NCF2;CCR1;LIPA;SLC1A3;AP1S2;CD69;IL24;TRAF1;GNA13;CCDC88A;SYNE3;GPR155;TMC8;RASGRP3;BATF2;KBTBD8;C1orf54;RAB8B;ASB2;CLEC7A;MFSD1;TMEM140;MCUB;SAMHD1</t>
  </si>
  <si>
    <t>http://www.broadinstitute.org/gsea/msigdb/cards/NUYTTEN_EZH2_TARGETS_UP.html</t>
  </si>
  <si>
    <t>PID_IL23_PATHWAY</t>
  </si>
  <si>
    <t>3458;920;916;6772;3594;4283;3717;3553;6776;11009;8809</t>
  </si>
  <si>
    <t>IFNG;CD4;CD3E;STAT1;IL12RB1;CXCL9;JAK2;IL1B;STAT5A;IL24;IL18R1</t>
  </si>
  <si>
    <t>http://www.broadinstitute.org/gsea/msigdb/cards/PID_IL23_PATHWAY.html</t>
  </si>
  <si>
    <t>BIOCARTA_BLYMPHOCYTE_PATHWAY</t>
  </si>
  <si>
    <t>3689;5788;1378;3683;941;3122;2213;3123</t>
  </si>
  <si>
    <t>ITGB2;PTPRC;CR1;ITGAL;CD80;HLA-DRA;FCGR2B;HLA-DRB1</t>
  </si>
  <si>
    <t>http://www.broadinstitute.org/gsea/msigdb/cards/BIOCARTA_BLYMPHOCYTE_PATHWAY.html</t>
  </si>
  <si>
    <t>BIOCARTA_TCAPOPTOSIS_PATHWAY</t>
  </si>
  <si>
    <t>920;915;916;917;940;919;1234;356</t>
  </si>
  <si>
    <t>CD4;CD3D;CD3E;CD3G;CD28;CD247;CCR5;FASLG</t>
  </si>
  <si>
    <t>http://www.broadinstitute.org/gsea/msigdb/cards/BIOCARTA_TCAPOPTOSIS_PATHWAY.html</t>
  </si>
  <si>
    <t>BOYAULT_LIVER_CANCER_SUBCLASS_G5_DN</t>
  </si>
  <si>
    <t>7456;5734;6772;2014;7805;3587;3115;3113;140885;1601</t>
  </si>
  <si>
    <t>WIPF1;PTGER4;STAT1;EMP3;LAPTM5;IL10RA;HLA-DPB1;HLA-DPA1;SIRPA;DAB2</t>
  </si>
  <si>
    <t>http://www.broadinstitute.org/gsea/msigdb/cards/BOYAULT_LIVER_CANCER_SUBCLASS_G5_DN.html</t>
  </si>
  <si>
    <t>SHIN_B_CELL_LYMPHOMA_CLUSTER_3</t>
  </si>
  <si>
    <t>10663;9839;3932;2268;942;3717;4094;596;4050;4033</t>
  </si>
  <si>
    <t>CXCR6;ZEB2;LCK;FGR;CD86;JAK2;MAF;BCL2;LTB;LRMP</t>
  </si>
  <si>
    <t>http://www.broadinstitute.org/gsea/msigdb/cards/SHIN_B_CELL_LYMPHOMA_CLUSTER_3.html</t>
  </si>
  <si>
    <t>BIOCARTA_TH1TH2_PATHWAY</t>
  </si>
  <si>
    <t>3458;3559;940;959;942;3594;3122;8809;3123</t>
  </si>
  <si>
    <t>IFNG;IL2RA;CD28;CD40LG;CD86;IL12RB1;HLA-DRA;IL18R1;HLA-DRB1</t>
  </si>
  <si>
    <t>http://www.broadinstitute.org/gsea/msigdb/cards/BIOCARTA_TH1TH2_PATHWAY.html</t>
  </si>
  <si>
    <t>AMUNDSON_POOR_SURVIVAL_AFTER_GAMMA_RADIATION_8G</t>
  </si>
  <si>
    <t>4242;9535;5788;963;11151;3561;5778;3071;7805;399;3635;8530;3936;3059;5376</t>
  </si>
  <si>
    <t>MFNG;GMFG;PTPRC;CD53;CORO1A;IL2RG;PTPN7;NCKAP1L;LAPTM5;RHOH;INPP5D;CST7;LCP1;HCLS1;PMP22</t>
  </si>
  <si>
    <t>http://www.broadinstitute.org/gsea/msigdb/cards/AMUNDSON_POOR_SURVIVAL_AFTER_GAMMA_RADIATION_8G.html</t>
  </si>
  <si>
    <t>HECKER_IFNB1_TARGETS</t>
  </si>
  <si>
    <t>712;713;714;3627;51056;2633;6772;719;9332;51338;81030;3002;3824;6614;55281</t>
  </si>
  <si>
    <t>C1QA;C1QB;C1QC;CXCL10;LAP3;GBP1;STAT1;C3AR1;CD163;MS4A4A;ZBP1;GZMB;KLRD1;SIGLEC1;TMEM140</t>
  </si>
  <si>
    <t>http://www.broadinstitute.org/gsea/msigdb/cards/HECKER_IFNB1_TARGETS.html</t>
  </si>
  <si>
    <t>BIOCARTA_ASBCELL_PATHWAY</t>
  </si>
  <si>
    <t>920;940;959;941;3122;3586;356;3123</t>
  </si>
  <si>
    <t>CD4;CD28;CD40LG;CD80;HLA-DRA;IL10;FASLG;HLA-DRB1</t>
  </si>
  <si>
    <t>http://www.broadinstitute.org/gsea/msigdb/cards/BIOCARTA_ASBCELL_PATHWAY.html</t>
  </si>
  <si>
    <t>CHAN_INTERFERON_PRODUCING_DENDRITIC_CELL</t>
  </si>
  <si>
    <t>3001;5551;3002;356;3003;3004;3824;4818</t>
  </si>
  <si>
    <t>GZMA;PRF1;GZMB;FASLG;GZMK;GZMM;KLRD1;NKG7</t>
  </si>
  <si>
    <t>http://www.broadinstitute.org/gsea/msigdb/cards/CHAN_INTERFERON_PRODUCING_DENDRITIC_CELL.html</t>
  </si>
  <si>
    <t>MARSON_FOXP3_TARGETS_STIMULATED_UP</t>
  </si>
  <si>
    <t>9404;9595;5734;7535;3702;151888;387357;29909;3717;56253</t>
  </si>
  <si>
    <t>LPXN;CYTIP;PTGER4;ZAP70;ITK;BTLA;THEMIS;GPR171;JAK2;CRTAM</t>
  </si>
  <si>
    <t>http://www.broadinstitute.org/gsea/msigdb/cards/MARSON_FOXP3_TARGETS_STIMULATED_UP.html</t>
  </si>
  <si>
    <t>LINDSTEDT_DENDRITIC_CELL_MATURATION_A</t>
  </si>
  <si>
    <t>22797;3627;5341;962;6351;6352;3575;2633;5734;6772;6373;3553;7941</t>
  </si>
  <si>
    <t>TFEC;CXCL10;PLEK;CD48;CCL4;CCL5;IL7R;GBP1;PTGER4;STAT1;CXCL11;IL1B;PLA2G7</t>
  </si>
  <si>
    <t>http://www.broadinstitute.org/gsea/msigdb/cards/LINDSTEDT_DENDRITIC_CELL_MATURATION_A.html</t>
  </si>
  <si>
    <t>YOSHIMURA_MAPK8_TARGETS_UP</t>
  </si>
  <si>
    <t>9051;11309;3458;925;713;714;972;915;5579;5341;5788;3055;917;2268;6352;963;919;1439;5734;6890;8514;81704;3635;11184;2672;10019;7099;366;3717;4049;3117;348;3162;240;596;3112;6402;2113;3737;241;5816;2999;728;3586;3108;1230;3363;729230;1414;140885;6891;814;9754;51466;10004;9935</t>
  </si>
  <si>
    <t>PSTPIP1;SLCO2B1;IFNG;CD8A;C1QB;C1QC;CD74;CD3D;PRKCB;PLEK;PTPRC;HCK;CD3G;FGR;CCL5;CD53;CD247;CSF2RB;PTGER4;TAP1;KCNAB2;DOCK8;INPP5D;MAP4K1;GFI1;SH2B3;TLR4;AQP9;JAK2;LTA;HLA-DQA1;APOE;HMOX1;ALOX5;BCL2;HLA-DOB;SELL;ETS1;KCNA2;ALOX5AP;PVALB;GZMH;C5AR1;IL10;HLA-DMA;CCR1;HTR7;CCR2;CRYBB1;SIRPA;TAP2;CAMK4;STARD8;EVL;NAALADL1;MAFB</t>
  </si>
  <si>
    <t>http://www.broadinstitute.org/gsea/msigdb/cards/YOSHIMURA_MAPK8_TARGETS_UP.html</t>
  </si>
  <si>
    <t>KEGG_JAK_STAT_SIGNALING_PATHWAY</t>
  </si>
  <si>
    <t>3458;3559;3560;3575;3561;1439;6772;3594;5294;3587;23533;59067;50615;3717;3586;6776;3718;11009</t>
  </si>
  <si>
    <t>IFNG;IL2RA;IL2RB;IL7R;IL2RG;CSF2RB;STAT1;IL12RB1;PIK3CG;IL10RA;PIK3R5;IL21;IL21R;JAK2;IL10;STAT5A;JAK3;IL24</t>
  </si>
  <si>
    <t>http://www.broadinstitute.org/gsea/msigdb/cards/KEGG_JAK_STAT_SIGNALING_PATHWAY.html</t>
  </si>
  <si>
    <t>KRIGE_RESPONSE_TO_TOSEDOSTAT_6HR_UP</t>
  </si>
  <si>
    <t>22797;9051;7305;9839;1536;5341;5788;3055;962;951;1378;7453;2207;5734;6890;120939;257106;117289;57580;2210;54557;64333;55589;10870;10019;80342;9120;1102;3956;240;2113;241;2358;11010;8905;969;4033;597;80709;51762;56670;64581;53831;30817;4644;9935</t>
  </si>
  <si>
    <t>TFEC;PSTPIP1;TYROBP;ZEB2;CYBB;PLEK;PTPRC;HCK;CD48;CD37;CR1;WARS;FCER1G;PTGER4;TAP1;TMEM52B;ARHGAP30;TAGAP;PREX1;FCGR1B;SGTB;ARHGAP9;BMP2K;HCST;SH2B3;TRAF3IP3;SLC16A6;RCBTB2;LGALS1;ALOX5;ETS1;ALOX5AP;FPR2;GLIPR1;AP1S2;CD69;LRMP;BCL2A1;AKNA;RAB8B;SUCNR1;CLEC7A;GPR84;ADGRE2;MYO5A;MAFB</t>
  </si>
  <si>
    <t>http://www.broadinstitute.org/gsea/msigdb/cards/KRIGE_RESPONSE_TO_TOSEDOSTAT_6HR_UP.html</t>
  </si>
  <si>
    <t>YAGI_AML_WITH_T_8_21_TRANSLOCATION</t>
  </si>
  <si>
    <t>7940;54440;972;3561;10225;199;695;7805;6404;9459;10666;50852;27306;6793;3122;3117;3115;5452;3956;3936;3113;3108;3109;4261;3718;6503;9754</t>
  </si>
  <si>
    <t>LST1;SASH3;CD74;IL2RG;CD96;AIF1;BTK;LAPTM5;SELPLG;ARHGEF6;CD226;TRAT1;HPGDS;STK10;HLA-DRA;HLA-DQA1;HLA-DPB1;POU2F2;LGALS1;LCP1;HLA-DPA1;HLA-DMA;HLA-DMB;CIITA;JAK3;SLA;STARD8</t>
  </si>
  <si>
    <t>http://www.broadinstitute.org/gsea/msigdb/cards/YAGI_AML_WITH_T_8_21_TRANSLOCATION.html</t>
  </si>
  <si>
    <t>FOSTER_TOLERANT_MACROPHAGE_UP</t>
  </si>
  <si>
    <t>1318;10261;10068;7133;3683;313;6772;4283;4671;10875;255231;8530;6402;2357;4481;79865;118788;84230</t>
  </si>
  <si>
    <t>SLC31A2;IGSF6;IL18BP;TNFRSF1B;ITGAL;AOAH;STAT1;CXCL9;NAIP;FGL2;MCOLN2;CST7;SELL;FPR1;MSR1;TREML2;PIK3AP1;LRRC8C</t>
  </si>
  <si>
    <t>http://www.broadinstitute.org/gsea/msigdb/cards/FOSTER_TOLERANT_MACROPHAGE_UP.html</t>
  </si>
  <si>
    <t>HAHTOLA_SEZARY_SYNDROM_DN</t>
  </si>
  <si>
    <t>6351;6352;3560;3394;3820;3002;596;10578;3003;3824;4818</t>
  </si>
  <si>
    <t>CCL4;CCL5;IL2RB;IRF8;KLRB1;GZMB;BCL2;GNLY;GZMK;KLRD1;NKG7</t>
  </si>
  <si>
    <t>http://www.broadinstitute.org/gsea/msigdb/cards/HAHTOLA_SEZARY_SYNDROM_DN.html</t>
  </si>
  <si>
    <t>LEE_AGING_CEREBELLUM_UP</t>
  </si>
  <si>
    <t>712;713;714;391;6404;5800;219972;115361;8530;348;3162;6556;597;1522</t>
  </si>
  <si>
    <t>C1QA;C1QB;C1QC;RHOG;SELPLG;PTPRO;MPEG1;GBP4;CST7;APOE;HMOX1;SLC11A1;BCL2A1;CTSZ</t>
  </si>
  <si>
    <t>http://www.broadinstitute.org/gsea/msigdb/cards/LEE_AGING_CEREBELLUM_UP.html</t>
  </si>
  <si>
    <t>PID_IL2_1PATHWAY</t>
  </si>
  <si>
    <t>9046;3458;3559;5579;3932;3560;3561;6772;596;6776;3718;22806</t>
  </si>
  <si>
    <t>DOK2;IFNG;IL2RA;PRKCB;LCK;IL2RB;IL2RG;STAT1;BCL2;STAT5A;JAK3;IKZF3</t>
  </si>
  <si>
    <t>http://www.broadinstitute.org/gsea/msigdb/cards/PID_IL2_1PATHWAY.html</t>
  </si>
  <si>
    <t>KEGG_TOLL_LIKE_RECEPTOR_SIGNALING_PATHWAY</t>
  </si>
  <si>
    <t>3627;929;6351;6352;941;942;6772;5294;4283;23533;51311;51284;7099;6373;3553</t>
  </si>
  <si>
    <t>CXCL10;CD14;CCL4;CCL5;CD80;CD86;STAT1;PIK3CG;CXCL9;PIK3R5;TLR8;TLR7;TLR4;CXCL11;IL1B</t>
  </si>
  <si>
    <t>http://www.broadinstitute.org/gsea/msigdb/cards/KEGG_TOLL_LIKE_RECEPTOR_SIGNALING_PATHWAY.html</t>
  </si>
  <si>
    <t>REACTOME_INTERFERON_SIGNALING</t>
  </si>
  <si>
    <t>http://www.broadinstitute.org/gsea/msigdb/cards/REACTOME_INTERFERON_SIGNALING.html</t>
  </si>
  <si>
    <t>BIOCARTA_DC_PATHWAY</t>
  </si>
  <si>
    <t>3458;914;945;3687;51284;7099;921;924;3586</t>
  </si>
  <si>
    <t>IFNG;CD2;CD33;ITGAX;TLR7;TLR4;CD5;CD7;IL10</t>
  </si>
  <si>
    <t>http://www.broadinstitute.org/gsea/msigdb/cards/BIOCARTA_DC_PATHWAY.html</t>
  </si>
  <si>
    <t>GAVIN_PDE3B_TARGETS</t>
  </si>
  <si>
    <t>3559;1536;1493;10875;4689;2162;3002;3586;10148</t>
  </si>
  <si>
    <t>IL2RA;CYBB;CTLA4;FGL2;NCF4;F13A1;GZMB;IL10;EBI3</t>
  </si>
  <si>
    <t>http://www.broadinstitute.org/gsea/msigdb/cards/GAVIN_PDE3B_TARGETS.html</t>
  </si>
  <si>
    <t>RIGGI_EWING_SARCOMA_PROGENITOR_UP</t>
  </si>
  <si>
    <t>9051;3689;5579;929;3676;5734;7805;9459;719;55016;57580;23048;53346;64407;10019;8564;3684;3718;155038;84541;84329;145581;64919;80183;29126;26157;30817;8605;9935</t>
  </si>
  <si>
    <t>PSTPIP1;ITGB2;PRKCB;CD14;ITGA4;PTGER4;LAPTM5;ARHGEF6;C3AR1;MARCH1;PREX1;FNBP1;TM6SF1;RGS18;SH2B3;KMO;ITGAM;JAK3;GIMAP8;KBTBD8;HVCN1;LRFN5;BCL11B;RUBCNL;CD274;GIMAP2;ADGRE2;PLA2G4C;MAFB</t>
  </si>
  <si>
    <t>http://www.broadinstitute.org/gsea/msigdb/cards/RIGGI_EWING_SARCOMA_PROGENITOR_UP.html</t>
  </si>
  <si>
    <t>BIDUS_METASTASIS_DN</t>
  </si>
  <si>
    <t>9535;54440;3683;11151;6404;80896;64231;51393;2162;3122;140885;1601;6503;79895;132160;83937;23166;55691</t>
  </si>
  <si>
    <t>GMFG;SASH3;ITGAL;CORO1A;SELPLG;NPL;MS4A6A;TRPV2;F13A1;HLA-DRA;SIRPA;DAB2;SLA;ATP8B4;PPM1M;RASSF4;STAB1;FRMD4A</t>
  </si>
  <si>
    <t>http://www.broadinstitute.org/gsea/msigdb/cards/BIDUS_METASTASIS_DN.html</t>
  </si>
  <si>
    <t>APPEL_IMATINIB_RESPONSE</t>
  </si>
  <si>
    <t>11025;9332;11314;348;341;1508;54;728;4481;1522</t>
  </si>
  <si>
    <t>LILRB3;CD163;CD300A;APOE;APOC1;CTSB;ACP5;C5AR1;MSR1;CTSZ</t>
  </si>
  <si>
    <t>http://www.broadinstitute.org/gsea/msigdb/cards/APPEL_IMATINIB_RESPONSE.html</t>
  </si>
  <si>
    <t>SHIPP_DLBCL_VS_FOLLICULAR_LYMPHOMA_DN</t>
  </si>
  <si>
    <t>915;916;3676;959;399;4064;4063;11010;4208;969;5133</t>
  </si>
  <si>
    <t>CD3D;CD3E;ITGA4;CD40LG;RHOH;CD180;LY9;GLIPR1;MEF2C;CD69;PDCD1</t>
  </si>
  <si>
    <t>http://www.broadinstitute.org/gsea/msigdb/cards/SHIPP_DLBCL_VS_FOLLICULAR_LYMPHOMA_DN.html</t>
  </si>
  <si>
    <t>LIU_VAV3_PROSTATE_CARCINOGENESIS_UP</t>
  </si>
  <si>
    <t>7305;11025;712;972;1536;3689;3659;2207;6772;6890;10673;7941;10457;597</t>
  </si>
  <si>
    <t>TYROBP;LILRB3;C1QA;CD74;CYBB;ITGB2;IRF1;FCER1G;STAT1;TAP1;TNFSF13B;PLA2G7;GPNMB;BCL2A1</t>
  </si>
  <si>
    <t>http://www.broadinstitute.org/gsea/msigdb/cards/LIU_VAV3_PROSTATE_CARCINOGENESIS_UP.html</t>
  </si>
  <si>
    <t>SA_MMP_CYTOKINE_CONNECTION</t>
  </si>
  <si>
    <t>2214;7133;944;3553;1435;6402;6693;943</t>
  </si>
  <si>
    <t>FCGR3A;TNFRSF1B;TNFSF8;IL1B;CSF1;SELL;SPN;TNFRSF8</t>
  </si>
  <si>
    <t>http://www.broadinstitute.org/gsea/msigdb/cards/SA_MMP_CYTOKINE_CONNECTION.html</t>
  </si>
  <si>
    <t>NABA_MATRISOME_ASSOCIATED</t>
  </si>
  <si>
    <t>3458;712;713;714;3627;6351;6352;944;4283;3603;93978;50856;10673;2219;6373;27299;8742;10154;8530;2162;4049;3553;1508;3956;1435;3586;356;203100;4050;11009;10148;10462;338339;10507;4327;6363;64581;30835;1522</t>
  </si>
  <si>
    <t>IFNG;C1QA;C1QB;C1QC;CXCL10;CCL4;CCL5;TNFSF8;CXCL9;IL16;CLEC6A;CLEC4A;TNFSF13B;FCN1;CXCL11;ADAMDEC1;TNFSF12;PLXNC1;CST7;F13A1;LTA;IL1B;CTSB;LGALS1;CSF1;IL10;FASLG;HTRA4;LTB;IL24;EBI3;CLEC10A;CLEC4D;SEMA4D;MMP19;CCL19;CLEC7A;CD209;CTSZ</t>
  </si>
  <si>
    <t>http://www.broadinstitute.org/gsea/msigdb/cards/NABA_MATRISOME_ASSOCIATED.html</t>
  </si>
  <si>
    <t>ZHOU_INFLAMMATORY_RESPONSE_FIMA_DN</t>
  </si>
  <si>
    <t>7456;9051;3662;5800;286336;79930;55016;11184;114836;64231;58484;27128;4094;1102;1601;25900;4033;89846;25780;167465;51063;55691;29125</t>
  </si>
  <si>
    <t>WIPF1;PSTPIP1;IRF4;PTPRO;FAM78A;DOK3;MARCH1;MAP4K1;SLAMF6;MS4A6A;NLRC4;CYTH4;MAF;RCBTB2;DAB2;IFFO1;LRMP;FGD3;RASGRP3;ZNF366;CALHM2;FRMD4A;C11orf21</t>
  </si>
  <si>
    <t>http://www.broadinstitute.org/gsea/msigdb/cards/ZHOU_INFLAMMATORY_RESPONSE_FIMA_DN.html</t>
  </si>
  <si>
    <t>SHIN_B_CELL_LYMPHOMA_CLUSTER_8</t>
  </si>
  <si>
    <t>4242;7305;3559;6688;941;6772;50615;3684;356;9935</t>
  </si>
  <si>
    <t>MFNG;TYROBP;IL2RA;SPI1;CD80;STAT1;IL21R;ITGAM;FASLG;MAFB</t>
  </si>
  <si>
    <t>http://www.broadinstitute.org/gsea/msigdb/cards/SHIN_B_CELL_LYMPHOMA_CLUSTER_8.html</t>
  </si>
  <si>
    <t>IGLESIAS_E2F_TARGETS_UP</t>
  </si>
  <si>
    <t>7305;712;713;714;972;963;7805;115361;348;3956;4066;3936;4360;1601;5376;1522;51466</t>
  </si>
  <si>
    <t>TYROBP;C1QA;C1QB;C1QC;CD74;CD53;LAPTM5;GBP4;APOE;LGALS1;LYL1;LCP1;MRC1;DAB2;PMP22;CTSZ;EVL</t>
  </si>
  <si>
    <t>http://www.broadinstitute.org/gsea/msigdb/cards/IGLESIAS_E2F_TARGETS_UP.html</t>
  </si>
  <si>
    <t>GRAHAM_CML_DIVIDING_VS_NORMAL_QUIESCENT_DN</t>
  </si>
  <si>
    <t>9595;5788;2123;5734;23048;6373;3553;3117;240;6402;3113;11010;8809;6363</t>
  </si>
  <si>
    <t>CYTIP;PTPRC;EVI2A;PTGER4;FNBP1;CXCL11;IL1B;HLA-DQA1;ALOX5;SELL;HLA-DPA1;GLIPR1;IL18R1;CCL19</t>
  </si>
  <si>
    <t>http://www.broadinstitute.org/gsea/msigdb/cards/GRAHAM_CML_DIVIDING_VS_NORMAL_QUIESCENT_DN.html</t>
  </si>
  <si>
    <t>CHIANG_LIVER_CANCER_SUBCLASS_INTERFERON_UP</t>
  </si>
  <si>
    <t>2214;2123;6772;3820;8477;51338;8564;241;2213</t>
  </si>
  <si>
    <t>FCGR3A;EVI2A;STAT1;KLRB1;GPR65;MS4A4A;KMO;ALOX5AP;FCGR2B</t>
  </si>
  <si>
    <t>http://www.broadinstitute.org/gsea/msigdb/cards/CHIANG_LIVER_CANCER_SUBCLASS_INTERFERON_UP.html</t>
  </si>
  <si>
    <t>ZHENG_FOXP3_TARGETS_IN_T_LYMPHOCYTE_DN</t>
  </si>
  <si>
    <t>9840;7456;5788;256380;2672;6793;1102;596;91526;64919</t>
  </si>
  <si>
    <t>TESPA1;WIPF1;PTPRC;SCML4;GFI1;STK10;RCBTB2;BCL2;ANKRD44;BCL11B</t>
  </si>
  <si>
    <t>http://www.broadinstitute.org/gsea/msigdb/cards/ZHENG_FOXP3_TARGETS_IN_T_LYMPHOCYTE_DN.html</t>
  </si>
  <si>
    <t>7940;915;916;2268;3001;1493;3575;1378;3687;971;2207;1236;2219;348;341;3120;1435;926;6037;3112;241;3004;140885;1601;7185;10457;4644</t>
  </si>
  <si>
    <t>LST1;CD3D;CD3E;FGR;GZMA;CTLA4;IL7R;CR1;ITGAX;CD72;FCER1G;CCR7;FCN1;APOE;APOC1;HLA-DQB2;CSF1;CD8B;RNASE3;HLA-DOB;ALOX5AP;GZMM;SIRPA;DAB2;TRAF1;GPNMB;MYO5A</t>
  </si>
  <si>
    <t>http://www.broadinstitute.org/gsea/msigdb/cards/TARTE_PLASMA_CELL_VS_PLASMABLAST_UP.html</t>
  </si>
  <si>
    <t>CHUNG_BLISTER_CYTOTOXICITY_UP</t>
  </si>
  <si>
    <t>713;714;915;10225;942;1234;201633;84868;56833;10870;1508;3002;926;54;10578;55803</t>
  </si>
  <si>
    <t>C1QB;C1QC;CD3D;CD96;CD86;CCR5;TIGIT;HAVCR2;SLAMF8;HCST;CTSB;GZMB;CD8B;ACP5;GNLY;ADAP2</t>
  </si>
  <si>
    <t>http://www.broadinstitute.org/gsea/msigdb/cards/CHUNG_BLISTER_CYTOTOXICITY_UP.html</t>
  </si>
  <si>
    <t>KEGG_FC_GAMMA_R_MEDIATED_PHAGOCYTOSIS</t>
  </si>
  <si>
    <t>5579;5788;3055;2214;2209;653361;5294;23533;1794;3635;2212;9103;2213;7454</t>
  </si>
  <si>
    <t>PRKCB;PTPRC;HCK;FCGR3A;FCGR1A;NCF1;PIK3CG;PIK3R5;DOCK2;INPP5D;FCGR2A;FCGR2A;FCGR2B;WAS</t>
  </si>
  <si>
    <t>http://www.broadinstitute.org/gsea/msigdb/cards/KEGG_FC_GAMMA_R_MEDIATED_PHAGOCYTOSIS.html</t>
  </si>
  <si>
    <t>SENGUPTA_NASOPHARYNGEAL_CARCINOMA_UP</t>
  </si>
  <si>
    <t>22797;10261;3458;3627;929;3001;2633;6772;4283;84868;2210;80896;6373;341;3002;2212;2999;10578;3604;7941;84034;83937;29126</t>
  </si>
  <si>
    <t>TFEC;IGSF6;IFNG;CXCL10;CD14;GZMA;GBP1;STAT1;CXCL9;HAVCR2;FCGR1B;NPL;CXCL11;APOC1;GZMB;FCGR2A;GZMH;GNLY;TNFRSF9;PLA2G7;EMILIN2;RASSF4;CD274</t>
  </si>
  <si>
    <t>http://www.broadinstitute.org/gsea/msigdb/cards/SENGUPTA_NASOPHARYNGEAL_CARCINOMA_UP.html</t>
  </si>
  <si>
    <t>RUTELLA_RESPONSE_TO_HGF_VS_CSF2RB_AND_IL4_DN</t>
  </si>
  <si>
    <t>3676;1236;941;942;6504;9459;3662;11184;23048;26051;64231;50615;8832;7185;10148;10235;25780;64780;51762;6363;30835</t>
  </si>
  <si>
    <t>ITGA4;CCR7;CD80;CD86;SLAMF1;ARHGEF6;IRF4;MAP4K1;FNBP1;PPP1R16B;MS4A6A;IL21R;CD84;TRAF1;EBI3;RASGRP2;RASGRP3;MICAL1;RAB8B;CCL19;CD209</t>
  </si>
  <si>
    <t>http://www.broadinstitute.org/gsea/msigdb/cards/RUTELLA_RESPONSE_TO_HGF_VS_CSF2RB_AND_IL4_DN.html</t>
  </si>
  <si>
    <t>PID_IL4_2PATHWAY</t>
  </si>
  <si>
    <t>9046;6688;959;3561;3662;3635;3717;4049;2113;3586;6776;3718</t>
  </si>
  <si>
    <t>DOK2;SPI1;CD40LG;IL2RG;IRF4;INPP5D;JAK2;LTA;ETS1;IL10;STAT5A;JAK3</t>
  </si>
  <si>
    <t>http://www.broadinstitute.org/gsea/msigdb/cards/PID_IL4_2PATHWAY.html</t>
  </si>
  <si>
    <t>VERHAAK_AML_WITH_NPM1_MUTATED_DN</t>
  </si>
  <si>
    <t>9214;915;914;962;5734;7535;26051;53346;27306;8530;3117;3115;924;3113;4261;729230;4208;969;10184;10462;51466</t>
  </si>
  <si>
    <t>FCMR;CD3D;CD2;CD48;PTGER4;ZAP70;PPP1R16B;TM6SF1;HPGDS;CST7;HLA-DQA1;HLA-DPB1;CD7;HLA-DPA1;CIITA;CCR2;MEF2C;CD69;LHFPL2;CLEC10A;EVL</t>
  </si>
  <si>
    <t>http://www.broadinstitute.org/gsea/msigdb/cards/VERHAAK_AML_WITH_NPM1_MUTATED_DN.html</t>
  </si>
  <si>
    <t>GRAHAM_NORMAL_QUIESCENT_VS_NORMAL_DIVIDING_UP</t>
  </si>
  <si>
    <t>9595;3627;5788;2123;23048;6373;3553;240;11010;8809;10148;6363</t>
  </si>
  <si>
    <t>CYTIP;CXCL10;PTPRC;EVI2A;FNBP1;CXCL11;IL1B;ALOX5;GLIPR1;IL18R1;EBI3;CCL19</t>
  </si>
  <si>
    <t>http://www.broadinstitute.org/gsea/msigdb/cards/GRAHAM_NORMAL_QUIESCENT_VS_NORMAL_DIVIDING_UP.html</t>
  </si>
  <si>
    <t>FEVR_CTNNB1_TARGETS_UP</t>
  </si>
  <si>
    <t>80833;925;1436;5341;3055;3659;6352;11151;6772;6890;4671;9744;286336;9332;2672;81030;9056;10673;3717;6793;3117;3120;1508;3956;3002;3108;3109;4261;3988;5376;6891;10672;56606;55281;55013;25939</t>
  </si>
  <si>
    <t>APOL3;CD8A;CSF1R;PLEK;HCK;IRF1;CCL5;CORO1A;STAT1;TAP1;NAIP;ACAP1;FAM78A;CD163;GFI1;ZBP1;SLC7A7;TNFSF13B;JAK2;STK10;HLA-DQA1;HLA-DQB2;CTSB;LGALS1;GZMB;HLA-DMA;HLA-DMB;CIITA;LIPA;PMP22;TAP2;GNA13;SLC2A9;TMEM140;MCUB;SAMHD1</t>
  </si>
  <si>
    <t>http://www.broadinstitute.org/gsea/msigdb/cards/FEVR_CTNNB1_TARGETS_UP.html</t>
  </si>
  <si>
    <t>WIKMAN_ASBESTOS_LUNG_CANCER_DN</t>
  </si>
  <si>
    <t>3676;942;10875;474344;50852;64231;729230;4644;9935</t>
  </si>
  <si>
    <t>ITGA4;CD86;FGL2;GIMAP6;TRAT1;MS4A6A;CCR2;MYO5A;MAFB</t>
  </si>
  <si>
    <t>http://www.broadinstitute.org/gsea/msigdb/cards/WIKMAN_ASBESTOS_LUNG_CANCER_DN.html</t>
  </si>
  <si>
    <t>PENG_RAPAMYCIN_RESPONSE_UP</t>
  </si>
  <si>
    <t>4542;9046;9450;5579;962;951;963;3561;5294;10871;7805;9881;4049;3117;3115;5452;4033;25780;9806</t>
  </si>
  <si>
    <t>MYO1F;DOK2;LY86;PRKCB;CD48;CD37;CD53;IL2RG;PIK3CG;CD300C;LAPTM5;TRANK1;LTA;HLA-DQA1;HLA-DPB1;POU2F2;LRMP;RASGRP3;SPOCK2</t>
  </si>
  <si>
    <t>http://www.broadinstitute.org/gsea/msigdb/cards/PENG_RAPAMYCIN_RESPONSE_UP.html</t>
  </si>
  <si>
    <t>NABA_MATRISOME</t>
  </si>
  <si>
    <t>3458;712;713;714;3627;6351;6352;944;4283;3603;10875;93978;50856;10673;2219;6373;27299;8742;10154;8530;2162;4049;3553;1508;3956;1435;5552;3586;356;203100;4050;4240;11009;10148;25890;10462;338339;9806;10507;145864;4327;6363;64581;84034;30835;1522</t>
  </si>
  <si>
    <t>IFNG;C1QA;C1QB;C1QC;CXCL10;CCL4;CCL5;TNFSF8;CXCL9;IL16;FGL2;CLEC6A;CLEC4A;TNFSF13B;FCN1;CXCL11;ADAMDEC1;TNFSF12;PLXNC1;CST7;F13A1;LTA;IL1B;CTSB;LGALS1;CSF1;SRGN;IL10;FASLG;HTRA4;LTB;MFGE8;IL24;EBI3;ABI3BP;CLEC10A;CLEC4D;SPOCK2;SEMA4D;HAPLN3;MMP19;CCL19;CLEC7A;EMILIN2;CD209;CTSZ</t>
  </si>
  <si>
    <t>http://www.broadinstitute.org/gsea/msigdb/cards/NABA_MATRISOME.html</t>
  </si>
  <si>
    <t>MARSON_FOXP3_CORE_DIRECT_TARGETS</t>
  </si>
  <si>
    <t>914;7535;3394;3702;29909;3717;3604;100506736</t>
  </si>
  <si>
    <t>CD2;ZAP70;IRF8;ITK;GPR171;JAK2;TNFRSF9;SLFN12L</t>
  </si>
  <si>
    <t>http://www.broadinstitute.org/gsea/msigdb/cards/MARSON_FOXP3_CORE_DIRECT_TARGETS.html</t>
  </si>
  <si>
    <t>ZHAN_MULTIPLE_MYELOMA_DN</t>
  </si>
  <si>
    <t>7940;3689;971;199;6039;348;341;4360;3988;7941</t>
  </si>
  <si>
    <t>LST1;ITGB2;CD72;AIF1;RNASE6;APOE;APOC1;MRC1;LIPA;PLA2G7</t>
  </si>
  <si>
    <t>http://www.broadinstitute.org/gsea/msigdb/cards/ZHAN_MULTIPLE_MYELOMA_DN.html</t>
  </si>
  <si>
    <t>CROONQUIST_NRAS_VS_STROMAL_STIMULATION_UP</t>
  </si>
  <si>
    <t>1536;653361;6688;942;6039;9056;54;241;729230;10235</t>
  </si>
  <si>
    <t>CYBB;NCF1;SPI1;CD86;RNASE6;SLC7A7;ACP5;ALOX5AP;CCR2;RASGRP2</t>
  </si>
  <si>
    <t>http://www.broadinstitute.org/gsea/msigdb/cards/CROONQUIST_NRAS_VS_STROMAL_STIMULATION_UP.html</t>
  </si>
  <si>
    <t>PARK_TRETINOIN_RESPONSE_AND_PML_RARA_FUSION</t>
  </si>
  <si>
    <t>2268;3659;6688;7133;5294;241;6518;6503;10507</t>
  </si>
  <si>
    <t>FGR;IRF1;SPI1;TNFRSF1B;PIK3CG;ALOX5AP;SLC2A5;SLA;SEMA4D</t>
  </si>
  <si>
    <t>http://www.broadinstitute.org/gsea/msigdb/cards/PARK_TRETINOIN_RESPONSE_AND_PML_RARA_FUSION.html</t>
  </si>
  <si>
    <t>VILIMAS_NOTCH1_TARGETS_DN</t>
  </si>
  <si>
    <t>1436;695;4689;126364;2672;54209;3684;4688</t>
  </si>
  <si>
    <t>CSF1R;BTK;NCF4;LRRC25;GFI1;TREM2;ITGAM;NCF2</t>
  </si>
  <si>
    <t>http://www.broadinstitute.org/gsea/msigdb/cards/VILIMAS_NOTCH1_TARGETS_DN.html</t>
  </si>
  <si>
    <t>MARTINEZ_RB1_AND_TP53_TARGETS_UP</t>
  </si>
  <si>
    <t>7305;713;972;1436;3676;7453;3561;2633;10320;10875;83706;9332;84868;53346;64231;29992;3117;1508;3956;5552;3002;3936;4688;241;4481;2213;3988;140885;9815;10672;814;84230;79630</t>
  </si>
  <si>
    <t>TYROBP;C1QB;CD74;CSF1R;ITGA4;WARS;IL2RG;GBP1;IKZF1;FGL2;FERMT3;CD163;HAVCR2;TM6SF1;MS4A6A;PILRA;HLA-DQA1;CTSB;LGALS1;SRGN;GZMB;LCP1;NCF2;ALOX5AP;MSR1;FCGR2B;LIPA;SIRPA;GIT2;GNA13;CAMK4;LRRC8C;C1orf54</t>
  </si>
  <si>
    <t>http://www.broadinstitute.org/gsea/msigdb/cards/MARTINEZ_RB1_AND_TP53_TARGETS_UP.html</t>
  </si>
  <si>
    <t>PASQUALUCCI_LYMPHOMA_BY_GC_STAGE_DN</t>
  </si>
  <si>
    <t>9535;54440;5579;951;11151;1236;55843;92241;152789;3936;2113;7454;4033;57705;10235;91526;161145</t>
  </si>
  <si>
    <t>GMFG;SASH3;PRKCB;CD37;CORO1A;CCR7;ARHGAP15;RCSD1;JAKMIP1;LCP1;ETS1;WAS;LRMP;WDFY4;RASGRP2;ANKRD44;TMEM229B</t>
  </si>
  <si>
    <t>http://www.broadinstitute.org/gsea/msigdb/cards/PASQUALUCCI_LYMPHOMA_BY_GC_STAGE_DN.html</t>
  </si>
  <si>
    <t>ACEVEDO_METHYLATED_IN_LIVER_CANCER_DN</t>
  </si>
  <si>
    <t>7940;2533;9402;3559;713;2209;942;7535;3071;8514;10320;286336;91752;2210;152789;114548;64407;29851;27299;221400;2162;4049;3553;348;921;5552;2212;3737;943;6546;4261;9938;356;3003;203100;4050;89846;79865;57705;80709;161145;168537;4644</t>
  </si>
  <si>
    <t>LST1;FYB1;GRAP2;IL2RA;C1QB;FCGR1A;CD86;ZAP70;NCKAP1L;KCNAB2;IKZF1;FAM78A;ZNF804A;FCGR1B;JAKMIP1;NLRP3;RGS18;ICOS;ADAMDEC1;TDRD6;F13A1;LTA;IL1B;APOE;CD5;SRGN;FCGR2A;KCNA2;TNFRSF8;SLC8A1;CIITA;ARHGAP25;FASLG;GZMK;HTRA4;LTB;FGD3;TREML2;WDFY4;AKNA;TMEM229B;GIMAP7;MYO5A</t>
  </si>
  <si>
    <t>http://www.broadinstitute.org/gsea/msigdb/cards/ACEVEDO_METHYLATED_IN_LIVER_CANCER_DN.html</t>
  </si>
  <si>
    <t>KEEN_RESPONSE_TO_ROSIGLITAZONE_DN</t>
  </si>
  <si>
    <t>9535;9595;713;972;929;963;2014;730249;3553;5552;3936;5376;100506736;338339</t>
  </si>
  <si>
    <t>GMFG;CYTIP;C1QB;CD74;CD14;CD53;EMP3;ACOD1;IL1B;SRGN;LCP1;PMP22;SLFN12L;CLEC4D</t>
  </si>
  <si>
    <t>http://www.broadinstitute.org/gsea/msigdb/cards/KEEN_RESPONSE_TO_ROSIGLITAZONE_DN.html</t>
  </si>
  <si>
    <t>HOFFMANN_IMMATURE_TO_MATURE_B_LYMPHOCYTE_UP</t>
  </si>
  <si>
    <t>399;64231;55303;3717;3117;348;1435;596;6402;4261</t>
  </si>
  <si>
    <t>RHOH;MS4A6A;GIMAP4;JAK2;HLA-DQA1;APOE;CSF1;BCL2;SELL;CIITA</t>
  </si>
  <si>
    <t>http://www.broadinstitute.org/gsea/msigdb/cards/HOFFMANN_IMMATURE_TO_MATURE_B_LYMPHOCYTE_UP.html</t>
  </si>
  <si>
    <t>LEE_EARLY_T_LYMPHOCYTE_DN</t>
  </si>
  <si>
    <t>9595;1236;2014;151888;84166;154075;170575;55303;29909;168537;25939</t>
  </si>
  <si>
    <t>CYTIP;CCR7;EMP3;BTLA;NLRC5;SAMD3;GIMAP1;GIMAP4;GPR171;GIMAP7;SAMHD1</t>
  </si>
  <si>
    <t>http://www.broadinstitute.org/gsea/msigdb/cards/LEE_EARLY_T_LYMPHOCYTE_DN.html</t>
  </si>
  <si>
    <t>FERRANDO_TAL1_NEIGHBORS</t>
  </si>
  <si>
    <t>3689;3932;914;1436;916;7133;923;597</t>
  </si>
  <si>
    <t>ITGB2;LCK;CD2;CSF1R;CD3E;TNFRSF1B;CD6;BCL2A1</t>
  </si>
  <si>
    <t>http://www.broadinstitute.org/gsea/msigdb/cards/FERRANDO_TAL1_NEIGHBORS.html</t>
  </si>
  <si>
    <t>YAGI_AML_FAB_MARKERS</t>
  </si>
  <si>
    <t>9450;7133;3687;2123;313;3561;1439;199;3903;114548;4064;2811;3956;10437;3936;8905;9815;25939</t>
  </si>
  <si>
    <t>LY86;TNFRSF1B;ITGAX;EVI2A;AOAH;IL2RG;CSF2RB;AIF1;LAIR1;NLRP3;CD180;GP1BA;LGALS1;IFI30;LCP1;AP1S2;GIT2;SAMHD1</t>
  </si>
  <si>
    <t>http://www.broadinstitute.org/gsea/msigdb/cards/YAGI_AML_FAB_MARKERS.html</t>
  </si>
  <si>
    <t>AMUNDSON_POOR_SURVIVAL_AFTER_GAMMA_RADIATION_2G</t>
  </si>
  <si>
    <t>9535;5788;963;11151;5778;5294;3071;10320;6404;399;55843;3635;64092;3059;4033;6503;4818</t>
  </si>
  <si>
    <t>GMFG;PTPRC;CD53;CORO1A;PTPN7;PIK3CG;NCKAP1L;IKZF1;SELPLG;RHOH;ARHGAP15;INPP5D;SAMSN1;HCLS1;LRMP;SLA;NKG7</t>
  </si>
  <si>
    <t>http://www.broadinstitute.org/gsea/msigdb/cards/AMUNDSON_POOR_SURVIVAL_AFTER_GAMMA_RADIATION_2G.html</t>
  </si>
  <si>
    <t>KLEIN_TARGETS_OF_BCR_ABL1_FUSION</t>
  </si>
  <si>
    <t>1436;5788;3575;945;3683;4332;695;10320;4689;3662</t>
  </si>
  <si>
    <t>CSF1R;PTPRC;IL7R;CD33;ITGAL;MNDA;BTK;IKZF1;NCF4;IRF4</t>
  </si>
  <si>
    <t>http://www.broadinstitute.org/gsea/msigdb/cards/KLEIN_TARGETS_OF_BCR_ABL1_FUSION.html</t>
  </si>
  <si>
    <t>KONDO_PROSTATE_CANCER_WITH_H3K27ME3</t>
  </si>
  <si>
    <t>22797;3458;1493;959;942;5294;3702;3603;160365;6039;27036;10537;10990;2999;2358;120425;168537;22806</t>
  </si>
  <si>
    <t>TFEC;IFNG;CTLA4;CD40LG;CD86;PIK3CG;ITK;IL16;CLECL1;RNASE6;SIGLEC7;UBD;LILRB5;GZMH;FPR2;JAML;GIMAP7;IKZF3</t>
  </si>
  <si>
    <t>http://www.broadinstitute.org/gsea/msigdb/cards/KONDO_PROSTATE_CANCER_WITH_H3K27ME3.html</t>
  </si>
  <si>
    <t>PID_NFAT_TFPATHWAY</t>
  </si>
  <si>
    <t>3458;3559;1493;959;10320;3662;30009;4094;356;50943</t>
  </si>
  <si>
    <t>IFNG;IL2RA;CTLA4;CD40LG;IKZF1;IRF4;TBX21;MAF;FASLG;FOXP3</t>
  </si>
  <si>
    <t>http://www.broadinstitute.org/gsea/msigdb/cards/PID_NFAT_TFPATHWAY.html</t>
  </si>
  <si>
    <t>GRAHAM_CML_QUIESCENT_VS_NORMAL_QUIESCENT_DN</t>
  </si>
  <si>
    <t>199;3117;3115;240;6402;3113;3108;3109;1043;11010</t>
  </si>
  <si>
    <t>AIF1;HLA-DQA1;HLA-DPB1;ALOX5;SELL;HLA-DPA1;HLA-DMA;HLA-DMB;CD52;GLIPR1</t>
  </si>
  <si>
    <t>http://www.broadinstitute.org/gsea/msigdb/cards/GRAHAM_CML_QUIESCENT_VS_NORMAL_QUIESCENT_DN.html</t>
  </si>
  <si>
    <t>HOEBEKE_LYMPHOID_STEM_CELL_UP</t>
  </si>
  <si>
    <t>5579;3676;3394;695;27128;80342;19;6518;9938;64174;29125;30817;51466</t>
  </si>
  <si>
    <t>PRKCB;ITGA4;IRF8;BTK;CYTH4;TRAF3IP3;ABCA1;SLC2A5;ARHGAP25;DPEP2;C11orf21;ADGRE2;EVL</t>
  </si>
  <si>
    <t>http://www.broadinstitute.org/gsea/msigdb/cards/HOEBEKE_LYMPHOID_STEM_CELL_UP.html</t>
  </si>
  <si>
    <t>BOYLAN_MULTIPLE_MYELOMA_D_DN</t>
  </si>
  <si>
    <t>3559;1536;3575;497189;26051;27128;3956;3684;1043;25900;55704;161176</t>
  </si>
  <si>
    <t>IL2RA;CYBB;IL7R;TIFAB;PPP1R16B;CYTH4;LGALS1;ITGAM;CD52;IFFO1;CCDC88A;SYNE3</t>
  </si>
  <si>
    <t>http://www.broadinstitute.org/gsea/msigdb/cards/BOYLAN_MULTIPLE_MYELOMA_D_DN.html</t>
  </si>
  <si>
    <t>THEILGAARD_NEUTROPHIL_AT_SKIN_WOUND_DN</t>
  </si>
  <si>
    <t>7940;1318;3689;5579;3683;11151;2313;6404;4689;1794;3635;10990;1102;3059;7454;4050;10235;11027;4215</t>
  </si>
  <si>
    <t>LST1;SLC31A2;ITGB2;PRKCB;ITGAL;CORO1A;FLI1;SELPLG;NCF4;DOCK2;INPP5D;LILRB5;RCBTB2;HCLS1;WAS;LTB;RASGRP2;LILRA2;MAP3K3</t>
  </si>
  <si>
    <t>http://www.broadinstitute.org/gsea/msigdb/cards/THEILGAARD_NEUTROPHIL_AT_SKIN_WOUND_DN.html</t>
  </si>
  <si>
    <t>MARZEC_IL2_SIGNALING_UP</t>
  </si>
  <si>
    <t>3559;3560;7133;959;1439;5778;1233;3587;64170;596;3586;943;3604;11009</t>
  </si>
  <si>
    <t>IL2RA;IL2RB;TNFRSF1B;CD40LG;CSF2RB;PTPN7;CCR4;IL10RA;CARD9;BCL2;IL10;TNFRSF8;TNFRSF9;IL24</t>
  </si>
  <si>
    <t>http://www.broadinstitute.org/gsea/msigdb/cards/MARZEC_IL2_SIGNALING_UP.html</t>
  </si>
  <si>
    <t>WEST_ADRENOCORTICAL_CARCINOMA_VS_ADENOMA_DN</t>
  </si>
  <si>
    <t>80833;713;474344;3122;348;3115;924;3113</t>
  </si>
  <si>
    <t>APOL3;C1QB;GIMAP6;HLA-DRA;APOE;HLA-DPB1;CD7;HLA-DPA1</t>
  </si>
  <si>
    <t>http://www.broadinstitute.org/gsea/msigdb/cards/WEST_ADRENOCORTICAL_CARCINOMA_VS_ADENOMA_DN.html</t>
  </si>
  <si>
    <t>LI_INDUCED_T_TO_NATURAL_KILLER_DN</t>
  </si>
  <si>
    <t>2533;4068;915;5579;914;1493;923;55843;2672;926;2113;6503;10077;64919</t>
  </si>
  <si>
    <t>FYB1;SH2D1A;CD3D;PRKCB;CD2;CTLA4;CD6;ARHGAP15;GFI1;CD8B;ETS1;SLA;TSPAN32;BCL11B</t>
  </si>
  <si>
    <t>http://www.broadinstitute.org/gsea/msigdb/cards/LI_INDUCED_T_TO_NATURAL_KILLER_DN.html</t>
  </si>
  <si>
    <t>ACOSTA_PROLIFERATION_INDEPENDENT_MYC_TARGETS_DN</t>
  </si>
  <si>
    <t>9840;11309;5788;199;391;4354;3937;3662;64170;64092;51393;4066;6776;29125</t>
  </si>
  <si>
    <t>TESPA1;SLCO2B1;PTPRC;AIF1;RHOG;MPP1;LCP2;IRF4;CARD9;SAMSN1;TRPV2;LYL1;STAT5A;C11orf21</t>
  </si>
  <si>
    <t>http://www.broadinstitute.org/gsea/msigdb/cards/ACOSTA_PROLIFERATION_INDEPENDENT_MYC_TARGETS_DN.html</t>
  </si>
  <si>
    <t>PID_PI3KCI_PATHWAY</t>
  </si>
  <si>
    <t>3932;3055;2268;7535;5294;695;3702;23533;3635;146850</t>
  </si>
  <si>
    <t>LCK;HCK;FGR;ZAP70;PIK3CG;BTK;ITK;PIK3R5;INPP5D;PIK3R6</t>
  </si>
  <si>
    <t>http://www.broadinstitute.org/gsea/msigdb/cards/PID_PI3KCI_PATHWAY.html</t>
  </si>
  <si>
    <t>HAHTOLA_SEZARY_SYNDROM_UP</t>
  </si>
  <si>
    <t>3559;6036;940;6772;4689;719;50852;51338;64092;29851;353514;29909;11010</t>
  </si>
  <si>
    <t>IL2RA;RNASE2;CD28;STAT1;NCF4;C3AR1;TRAT1;MS4A4A;SAMSN1;ICOS;LILRA5;GPR171;GLIPR1</t>
  </si>
  <si>
    <t>http://www.broadinstitute.org/gsea/msigdb/cards/HAHTOLA_SEZARY_SYNDROM_UP.html</t>
  </si>
  <si>
    <t>STEARMAN_TUMOR_FIELD_EFFECT_UP</t>
  </si>
  <si>
    <t>3687;1439;7805;219972;50856;341;54;140885;1522</t>
  </si>
  <si>
    <t>ITGAX;CSF2RB;LAPTM5;MPEG1;CLEC4A;APOC1;ACP5;SIRPA;CTSZ</t>
  </si>
  <si>
    <t>http://www.broadinstitute.org/gsea/msigdb/cards/STEARMAN_TUMOR_FIELD_EFFECT_UP.html</t>
  </si>
  <si>
    <t>COATES_MACROPHAGE_M1_VS_M2_UP</t>
  </si>
  <si>
    <t>11309;199;497189;221472;53829;9056;4094;1102;3117;4481;118788;59345</t>
  </si>
  <si>
    <t>SLCO2B1;AIF1;TIFAB;FGD2;P2RY13;SLC7A7;MAF;RCBTB2;HLA-DQA1;MSR1;PIK3AP1;GNB4</t>
  </si>
  <si>
    <t>http://www.broadinstitute.org/gsea/msigdb/cards/COATES_MACROPHAGE_M1_VS_M2_UP.html</t>
  </si>
  <si>
    <t>OKAMOTO_LIVER_CANCER_MULTICENTRIC_OCCURRENCE_UP</t>
  </si>
  <si>
    <t>3689;929;5788;4332;4354;51296;3117;3956</t>
  </si>
  <si>
    <t>ITGB2;CD14;PTPRC;MNDA;MPP1;SLC15A3;HLA-DQA1;LGALS1</t>
  </si>
  <si>
    <t>http://www.broadinstitute.org/gsea/msigdb/cards/OKAMOTO_LIVER_CANCER_MULTICENTRIC_OCCURRENCE_UP.html</t>
  </si>
  <si>
    <t>REACTOME_PLATELET_ACTIVATION_SIGNALING_AND_AGGREGATION</t>
  </si>
  <si>
    <t>5579;3932;5341;2207;5294;391;3937;23533;2162;2811;5552;54331;10672;146850;10235;54518;64805;59345</t>
  </si>
  <si>
    <t>PRKCB;LCK;PLEK;FCER1G;PIK3CG;RHOG;LCP2;PIK3R5;F13A1;GP1BA;SRGN;GNG2;GNA13;PIK3R6;RASGRP2;APBB1IP;P2RY12;GNB4</t>
  </si>
  <si>
    <t>http://www.broadinstitute.org/gsea/msigdb/cards/REACTOME_PLATELET_ACTIVATION_SIGNALING_AND_AGGREGATION.html</t>
  </si>
  <si>
    <t>MARSON_FOXP3_TARGETS_UP</t>
  </si>
  <si>
    <t>914;11151;3394;4689;92241;64333;6793;2113;4818;84230;25939</t>
  </si>
  <si>
    <t>CD2;CORO1A;IRF8;NCF4;RCSD1;ARHGAP9;STK10;ETS1;NKG7;LRRC8C;SAMHD1</t>
  </si>
  <si>
    <t>http://www.broadinstitute.org/gsea/msigdb/cards/MARSON_FOXP3_TARGETS_UP.html</t>
  </si>
  <si>
    <t>PID_IL27_PATHWAY</t>
  </si>
  <si>
    <t>3458;6772;3594;30009;3717;3553;6776;10148</t>
  </si>
  <si>
    <t>IFNG;STAT1;IL12RB1;TBX21;JAK2;IL1B;STAT5A;EBI3</t>
  </si>
  <si>
    <t>http://www.broadinstitute.org/gsea/msigdb/cards/PID_IL27_PATHWAY.html</t>
  </si>
  <si>
    <t>FINAK_BREAST_CANCER_SDPP_SIGNATURE</t>
  </si>
  <si>
    <t>925;5341;962;3001;919;55340;3936;1043</t>
  </si>
  <si>
    <t>CD8A;PLEK;CD48;GZMA;CD247;GIMAP5;LCP1;CD52</t>
  </si>
  <si>
    <t>http://www.broadinstitute.org/gsea/msigdb/cards/FINAK_BREAST_CANCER_SDPP_SIGNATURE.html</t>
  </si>
  <si>
    <t>BIOCARTA_IL2RB_PATHWAY</t>
  </si>
  <si>
    <t>3559;3560;3561;5294;596;6776;356;3718;22806</t>
  </si>
  <si>
    <t>IL2RA;IL2RB;IL2RG;PIK3CG;BCL2;STAT5A;FASLG;JAK3;IKZF3</t>
  </si>
  <si>
    <t>http://www.broadinstitute.org/gsea/msigdb/cards/BIOCARTA_IL2RB_PATHWAY.html</t>
  </si>
  <si>
    <t>TARTE_PLASMA_CELL_VS_B_LYMPHOCYTE_DN</t>
  </si>
  <si>
    <t>951;391;3394;399;4066;3109;4261;4050;9815</t>
  </si>
  <si>
    <t>CD37;RHOG;IRF8;RHOH;LYL1;HLA-DMB;CIITA;LTB;GIT2</t>
  </si>
  <si>
    <t>http://www.broadinstitute.org/gsea/msigdb/cards/TARTE_PLASMA_CELL_VS_B_LYMPHOCYTE_DN.html</t>
  </si>
  <si>
    <t>RICKMAN_METASTASIS_DN</t>
  </si>
  <si>
    <t>9046;10068;5551;6688;2207;2633;7535;391;6890;3937;84166;128346;81704;146722;56833;526;10578;5724;6891;30835</t>
  </si>
  <si>
    <t>DOK2;IL18BP;PRF1;SPI1;FCER1G;GBP1;ZAP70;RHOG;TAP1;LCP2;NLRC5;C1orf162;DOCK8;CD300LF;SLAMF8;ATP6V1B2;GNLY;PTAFR;TAP2;CD209</t>
  </si>
  <si>
    <t>http://www.broadinstitute.org/gsea/msigdb/cards/RICKMAN_METASTASIS_DN.html</t>
  </si>
  <si>
    <t>ROSS_AML_WITH_CBFB_MYH11_FUSION</t>
  </si>
  <si>
    <t>2533;1536;3587;55303;9056;50856;1043;729230;10462;64581</t>
  </si>
  <si>
    <t>FYB1;CYBB;IL10RA;GIMAP4;SLC7A7;CLEC4A;CD52;CCR2;CLEC10A;CLEC7A</t>
  </si>
  <si>
    <t>http://www.broadinstitute.org/gsea/msigdb/cards/ROSS_AML_WITH_CBFB_MYH11_FUSION.html</t>
  </si>
  <si>
    <t>7305;713;714;972;3689;929;3676;3687;51056;2207;1234;7805;219972;3122;3117;341;1508;10437;3936;4481;4360;3108;3109;2213;140885;7941;3123;1522</t>
  </si>
  <si>
    <t>TYROBP;C1QB;C1QC;CD74;ITGB2;CD14;ITGA4;ITGAX;LAP3;FCER1G;CCR5;LAPTM5;MPEG1;HLA-DRA;HLA-DQA1;APOC1;CTSB;IFI30;LCP1;MSR1;MRC1;HLA-DMA;HLA-DMB;FCGR2B;SIRPA;PLA2G7;HLA-DRB1;CTSZ</t>
  </si>
  <si>
    <t>http://www.broadinstitute.org/gsea/msigdb/cards/SWEET_LUNG_CANCER_KRAS_UP.html</t>
  </si>
  <si>
    <t>SABATES_COLORECTAL_ADENOMA_DN</t>
  </si>
  <si>
    <t>9214;5579;962;951;6352;399;55843;255231;51284;80342;27299;4094;2162;10457;25890;55619;6363;6614;55281;10004;27240</t>
  </si>
  <si>
    <t>FCMR;PRKCB;CD48;CD37;CCL5;RHOH;ARHGAP15;MCOLN2;TLR7;TRAF3IP3;ADAMDEC1;MAF;F13A1;GPNMB;ABI3BP;DOCK10;CCL19;SIGLEC1;TMEM140;NAALADL1;SIT1</t>
  </si>
  <si>
    <t>http://www.broadinstitute.org/gsea/msigdb/cards/SABATES_COLORECTAL_ADENOMA_DN.html</t>
  </si>
  <si>
    <t>BIOCARTA_IL17_PATHWAY</t>
  </si>
  <si>
    <t>920;925;915;914;916;917;919</t>
  </si>
  <si>
    <t>CD4;CD8A;CD3D;CD2;CD3E;CD3G;CD247</t>
  </si>
  <si>
    <t>http://www.broadinstitute.org/gsea/msigdb/cards/BIOCARTA_IL17_PATHWAY.html</t>
  </si>
  <si>
    <t>BIOCARTA_IL7_PATHWAY</t>
  </si>
  <si>
    <t>3932;3575;3561;5294;596;6776;3718</t>
  </si>
  <si>
    <t>LCK;IL7R;IL2RG;PIK3CG;BCL2;STAT5A;JAK3</t>
  </si>
  <si>
    <t>http://www.broadinstitute.org/gsea/msigdb/cards/BIOCARTA_IL7_PATHWAY.html</t>
  </si>
  <si>
    <t>HOFFMANN_SMALL_PRE_BII_TO_IMMATURE_B_LYMPHOCYTE_UP</t>
  </si>
  <si>
    <t>972;4689;55303;3117;10437;3108;4208;4050;3123;10507;7462</t>
  </si>
  <si>
    <t>CD74;NCF4;GIMAP4;HLA-DQA1;IFI30;HLA-DMA;MEF2C;LTB;HLA-DRB1;SEMA4D;LAT2</t>
  </si>
  <si>
    <t>http://www.broadinstitute.org/gsea/msigdb/cards/HOFFMANN_SMALL_PRE_BII_TO_IMMATURE_B_LYMPHOCYTE_UP.html</t>
  </si>
  <si>
    <t>REACTOME_THE_ROLE_OF_NEF_IN_HIV1_REPLICATION_AND_DISEASE_PATHOGENESIS</t>
  </si>
  <si>
    <t>920;3932;3055;940;919;1794;926;8905</t>
  </si>
  <si>
    <t>CD4;LCK;HCK;CD28;CD247;DOCK2;CD8B;AP1S2</t>
  </si>
  <si>
    <t>http://www.broadinstitute.org/gsea/msigdb/cards/REACTOME_THE_ROLE_OF_NEF_IN_HIV1_REPLICATION_AND_DISEASE_PATHOGENESIS.html</t>
  </si>
  <si>
    <t>FLORIO_NEOCORTEX_BASAL_RADIAL_GLIA_UP</t>
  </si>
  <si>
    <t>9840;4210;3659;3695;10225;4283;399;3903;149628;388325;170575;139716;57105;8320;6402;2113;6693;729230;1237;4033;3824;653567;100506736;120425</t>
  </si>
  <si>
    <t>TESPA1;MEFV;IRF1;ITGB7;CD96;CXCL9;RHOH;LAIR1;PYHIN1;SCIMP;GIMAP1;GAB3;CYSLTR2;EOMES;SELL;ETS1;SPN;CCR2;CCR8;LRMP;KLRD1;TMEM236;SLFN12L;JAML</t>
  </si>
  <si>
    <t>http://www.broadinstitute.org/gsea/msigdb/cards/FLORIO_NEOCORTEX_BASAL_RADIAL_GLIA_UP.html</t>
  </si>
  <si>
    <t>REACTOME_SIGNALING_BY_ILS</t>
  </si>
  <si>
    <t>3559;3932;3055;3560;3575;3561;1439;6772;3717;3553;6776;3718;4215</t>
  </si>
  <si>
    <t>IL2RA;LCK;HCK;IL2RB;IL7R;IL2RG;CSF2RB;STAT1;JAK2;IL1B;STAT5A;JAK3;MAP3K3</t>
  </si>
  <si>
    <t>http://www.broadinstitute.org/gsea/msigdb/cards/REACTOME_SIGNALING_BY_ILS.html</t>
  </si>
  <si>
    <t>MARTINEZ_TP53_TARGETS_UP</t>
  </si>
  <si>
    <t>7305;713;972;3676;7453;3561;2633;10320;10875;83706;9332;84868;53346;64231;29992;3117;3956;5552;3002;3936;4688;241;4481;2213;3988;140885;9815;10672;814;84230;79630</t>
  </si>
  <si>
    <t>TYROBP;C1QB;CD74;ITGA4;WARS;IL2RG;GBP1;IKZF1;FGL2;FERMT3;CD163;HAVCR2;TM6SF1;MS4A6A;PILRA;HLA-DQA1;LGALS1;SRGN;GZMB;LCP1;NCF2;ALOX5AP;MSR1;FCGR2B;LIPA;SIRPA;GIT2;GNA13;CAMK4;LRRC8C;C1orf54</t>
  </si>
  <si>
    <t>http://www.broadinstitute.org/gsea/msigdb/cards/MARTINEZ_TP53_TARGETS_UP.html</t>
  </si>
  <si>
    <t>REACTOME_MHC_CLASS_II_ANTIGEN_PRESENTATION</t>
  </si>
  <si>
    <t>972;3117;3115;3111;1508;3112;3113;3108;3109;8905;3123;3127</t>
  </si>
  <si>
    <t>CD74;HLA-DQA1;HLA-DPB1;HLA-DOA;CTSB;HLA-DOB;HLA-DPA1;HLA-DMA;HLA-DMB;AP1S2;HLA-DRB1;HLA-DRB5</t>
  </si>
  <si>
    <t>http://www.broadinstitute.org/gsea/msigdb/cards/REACTOME_MHC_CLASS_II_ANTIGEN_PRESENTATION.html</t>
  </si>
  <si>
    <t>HINATA_NFKB_TARGETS_KERATINOCYTE_UP</t>
  </si>
  <si>
    <t>3627;3659;6352;3575;2633;6890;6373;3553;6776;4973;7185;597</t>
  </si>
  <si>
    <t>CXCL10;IRF1;CCL5;IL7R;GBP1;TAP1;CXCL11;IL1B;STAT5A;OLR1;TRAF1;BCL2A1</t>
  </si>
  <si>
    <t>http://www.broadinstitute.org/gsea/msigdb/cards/HINATA_NFKB_TARGETS_KERATINOCYTE_UP.html</t>
  </si>
  <si>
    <t>VECCHI_GASTRIC_CANCER_ADVANCED_VS_EARLY_UP</t>
  </si>
  <si>
    <t>719;9332;84868;23533;341;240;4481;6507;1601;11009;7941;10457;55704;59345;50515;9935</t>
  </si>
  <si>
    <t>C3AR1;CD163;HAVCR2;PIK3R5;APOC1;ALOX5;MSR1;SLC1A3;DAB2;IL24;PLA2G7;GPNMB;CCDC88A;GNB4;CHST11;MAFB</t>
  </si>
  <si>
    <t>http://www.broadinstitute.org/gsea/msigdb/cards/VECCHI_GASTRIC_CANCER_ADVANCED_VS_EARLY_UP.html</t>
  </si>
  <si>
    <t>WORSCHECH_TUMOR_EVASION_AND_TOLEROGENICITY_UP</t>
  </si>
  <si>
    <t>3627;6351;3575;3561;1236;4283;3937;259307</t>
  </si>
  <si>
    <t>CXCL10;CCL4;IL7R;IL2RG;CCR7;CXCL9;LCP2;IL4I1</t>
  </si>
  <si>
    <t>http://www.broadinstitute.org/gsea/msigdb/cards/WORSCHECH_TUMOR_EVASION_AND_TOLEROGENICITY_UP.html</t>
  </si>
  <si>
    <t>KLEIN_PRIMARY_EFFUSION_LYMPHOMA_DN</t>
  </si>
  <si>
    <t>971;3394;4689;5452;2113;3108;3109;1043;4033;27240</t>
  </si>
  <si>
    <t>CD72;IRF8;NCF4;POU2F2;ETS1;HLA-DMA;HLA-DMB;CD52;LRMP;SIT1</t>
  </si>
  <si>
    <t>http://www.broadinstitute.org/gsea/msigdb/cards/KLEIN_PRIMARY_EFFUSION_LYMPHOMA_DN.html</t>
  </si>
  <si>
    <t>WUNDER_INFLAMMATORY_RESPONSE_AND_CHOLESTEROL_UP</t>
  </si>
  <si>
    <t>929;6352;2633;6772;199;219972;3108;3109;6891;3123</t>
  </si>
  <si>
    <t>CD14;CCL5;GBP1;STAT1;AIF1;MPEG1;HLA-DMA;HLA-DMB;TAP2;HLA-DRB1</t>
  </si>
  <si>
    <t>http://www.broadinstitute.org/gsea/msigdb/cards/WUNDER_INFLAMMATORY_RESPONSE_AND_CHOLESTEROL_UP.html</t>
  </si>
  <si>
    <t>TAKEDA_TARGETS_OF_NUP98_HOXA9_FUSION_3D_DN</t>
  </si>
  <si>
    <t>3575;9332;240;9103;2113;2213;10462;9935</t>
  </si>
  <si>
    <t>IL7R;CD163;ALOX5;FCGR2A;ETS1;FCGR2B;CLEC10A;MAFB</t>
  </si>
  <si>
    <t>http://www.broadinstitute.org/gsea/msigdb/cards/TAKEDA_TARGETS_OF_NUP98_HOXA9_FUSION_3D_DN.html</t>
  </si>
  <si>
    <t>CHEN_ETV5_TARGETS_SERTOLI</t>
  </si>
  <si>
    <t>713;5341;963;2212;2213;10457;64581</t>
  </si>
  <si>
    <t>C1QB;PLEK;CD53;FCGR2A;FCGR2B;GPNMB;CLEC7A</t>
  </si>
  <si>
    <t>http://www.broadinstitute.org/gsea/msigdb/cards/CHEN_ETV5_TARGETS_SERTOLI.html</t>
  </si>
  <si>
    <t>NIELSEN_SYNOVIAL_SARCOMA_DN</t>
  </si>
  <si>
    <t>920;1536;3689;199;3603;6039;3108</t>
  </si>
  <si>
    <t>CD4;CYBB;ITGB2;AIF1;IL16;RNASE6;HLA-DMA</t>
  </si>
  <si>
    <t>http://www.broadinstitute.org/gsea/msigdb/cards/NIELSEN_SYNOVIAL_SARCOMA_DN.html</t>
  </si>
  <si>
    <t>WIERENGA_STAT5A_TARGETS_GROUP2</t>
  </si>
  <si>
    <t>3627;6352;3575;1236;8477;50856;19;2359;4973;7185</t>
  </si>
  <si>
    <t>CXCL10;CCL5;IL7R;CCR7;GPR65;CLEC4A;ABCA1;FPR3;OLR1;TRAF1</t>
  </si>
  <si>
    <t>http://www.broadinstitute.org/gsea/msigdb/cards/WIERENGA_STAT5A_TARGETS_GROUP2.html</t>
  </si>
  <si>
    <t>BIOCARTA_TOB1_PATHWAY</t>
  </si>
  <si>
    <t>3458;3559;915;916;917;940;919</t>
  </si>
  <si>
    <t>IFNG;IL2RA;CD3D;CD3E;CD3G;CD28;CD247</t>
  </si>
  <si>
    <t>http://www.broadinstitute.org/gsea/msigdb/cards/BIOCARTA_TOB1_PATHWAY.html</t>
  </si>
  <si>
    <t>PARK_TRETINOIN_RESPONSE</t>
  </si>
  <si>
    <t>5341;2268;5294;241;6518;6503</t>
  </si>
  <si>
    <t>PLEK;FGR;PIK3CG;ALOX5AP;SLC2A5;SLA</t>
  </si>
  <si>
    <t>http://www.broadinstitute.org/gsea/msigdb/cards/PARK_TRETINOIN_RESPONSE.html</t>
  </si>
  <si>
    <t>GAVIN_FOXP3_TARGETS_CLUSTER_P2</t>
  </si>
  <si>
    <t>3932;6352;3676;944;3071;53346;30009;924;596;2212;2833</t>
  </si>
  <si>
    <t>LCK;CCL5;ITGA4;TNFSF8;NCKAP1L;TM6SF1;TBX21;CD7;BCL2;FCGR2A;CXCR3</t>
  </si>
  <si>
    <t>http://www.broadinstitute.org/gsea/msigdb/cards/GAVIN_FOXP3_TARGETS_CLUSTER_P2.html</t>
  </si>
  <si>
    <t>PID_FCER1_PATHWAY</t>
  </si>
  <si>
    <t>7456;5579;2207;695;3702;3937;3635;3059;2213;7462</t>
  </si>
  <si>
    <t>WIPF1;PRKCB;FCER1G;BTK;ITK;LCP2;INPP5D;HCLS1;FCGR2B;LAT2</t>
  </si>
  <si>
    <t>http://www.broadinstitute.org/gsea/msigdb/cards/PID_FCER1_PATHWAY.html</t>
  </si>
  <si>
    <t>HOSHIDA_LIVER_CANCER_LATE_RECURRENCE_UP</t>
  </si>
  <si>
    <t>972;915;962;313;6772;10875;10537;5452;6546;4818</t>
  </si>
  <si>
    <t>CD74;CD3D;CD48;AOAH;STAT1;FGL2;UBD;POU2F2;SLC8A1;NKG7</t>
  </si>
  <si>
    <t>http://www.broadinstitute.org/gsea/msigdb/cards/HOSHIDA_LIVER_CANCER_LATE_RECURRENCE_UP.html</t>
  </si>
  <si>
    <t>KEGG_LEUKOCYTE_TRANSENDOTHELIAL_MIGRATION</t>
  </si>
  <si>
    <t>1536;3689;5579;3676;653361;3683;5294;3702;4689;399;23533;3684;4688</t>
  </si>
  <si>
    <t>CYBB;ITGB2;PRKCB;ITGA4;NCF1;ITGAL;PIK3CG;ITK;NCF4;RHOH;PIK3R5;ITGAM;NCF2</t>
  </si>
  <si>
    <t>http://www.broadinstitute.org/gsea/msigdb/cards/KEGG_LEUKOCYTE_TRANSENDOTHELIAL_MIGRATION.html</t>
  </si>
  <si>
    <t>SERVITJA_ISLET_HNF1A_TARGETS_UP</t>
  </si>
  <si>
    <t>713;714;3689;7805;5800;51296;115361;4094;3117;348;3956;1435;5376;814;64780</t>
  </si>
  <si>
    <t>C1QB;C1QC;ITGB2;LAPTM5;PTPRO;SLC15A3;GBP4;MAF;HLA-DQA1;APOE;LGALS1;CSF1;PMP22;CAMK4;MICAL1</t>
  </si>
  <si>
    <t>http://www.broadinstitute.org/gsea/msigdb/cards/SERVITJA_ISLET_HNF1A_TARGETS_UP.html</t>
  </si>
  <si>
    <t>7305;10261;3458;713;3627;929;3001;6351;5551;51056;2207;2633;941;4332;6772;4283;719;9332;84868;2210;51338;115362;115361;80896;53346;29992;10019;6373;341;3956;3002;2212;2999;526;4481;10578;2359;1230;6507;356;5376;3604;7941;10184;80821;84034;6614;83937;29126;55691;8605</t>
  </si>
  <si>
    <t>TYROBP;IGSF6;IFNG;C1QB;CXCL10;CD14;GZMA;CCL4;PRF1;LAP3;FCER1G;GBP1;CD80;MNDA;STAT1;CXCL9;C3AR1;CD163;HAVCR2;FCGR1B;MS4A4A;GBP5;GBP4;NPL;TM6SF1;PILRA;SH2B3;CXCL11;APOC1;LGALS1;GZMB;FCGR2A;GZMH;ATP6V1B2;MSR1;GNLY;FPR3;CCR1;SLC1A3;FASLG;PMP22;TNFRSF9;PLA2G7;LHFPL2;DDHD1;EMILIN2;SIGLEC1;RASSF4;CD274;FRMD4A;PLA2G4C</t>
  </si>
  <si>
    <t>http://www.broadinstitute.org/gsea/msigdb/cards/DODD_NASOPHARYNGEAL_CARCINOMA_DN.html</t>
  </si>
  <si>
    <t>YAGI_AML_WITH_11Q23_REARRANGED</t>
  </si>
  <si>
    <t>1536;5579;6036;2209;7453;3561;7805;3956;596;3936;3059;241;3718;8905;4208;4033;90634;10235;206358;25780;23312;10507</t>
  </si>
  <si>
    <t>CYBB;PRKCB;RNASE2;FCGR1A;WARS;IL2RG;LAPTM5;LGALS1;BCL2;LCP1;HCLS1;ALOX5AP;JAK3;AP1S2;MEF2C;LRMP;N4BP2L1;RASGRP2;SLC36A1;RASGRP3;DMXL2;SEMA4D</t>
  </si>
  <si>
    <t>http://www.broadinstitute.org/gsea/msigdb/cards/YAGI_AML_WITH_11Q23_REARRANGED.html</t>
  </si>
  <si>
    <t>BIOCARTA_TCR_PATHWAY</t>
  </si>
  <si>
    <t>915;5579;3932;916;917;919;5778;7535;5294</t>
  </si>
  <si>
    <t>CD3D;PRKCB;LCK;CD3E;CD3G;CD247;PTPN7;ZAP70;PIK3CG</t>
  </si>
  <si>
    <t>http://www.broadinstitute.org/gsea/msigdb/cards/BIOCARTA_TCR_PATHWAY.html</t>
  </si>
  <si>
    <t>PID_BCR_5PATHWAY</t>
  </si>
  <si>
    <t>5788;971;695;3635;11184;5452;2113;2213;597;118788</t>
  </si>
  <si>
    <t>PTPRC;CD72;BTK;INPP5D;MAP4K1;POU2F2;ETS1;FCGR2B;BCL2A1;PIK3AP1</t>
  </si>
  <si>
    <t>http://www.broadinstitute.org/gsea/msigdb/cards/PID_BCR_5PATHWAY.html</t>
  </si>
  <si>
    <t>BROCKE_APOPTOSIS_REVERSED_BY_IL6</t>
  </si>
  <si>
    <t>3055;3659;2123;2124;6772;3662;4064;9120;5452;926;8905;4033;6503;10672</t>
  </si>
  <si>
    <t>HCK;IRF1;EVI2A;EVI2B;STAT1;IRF4;CD180;SLC16A6;POU2F2;CD8B;AP1S2;LRMP;SLA;GNA13</t>
  </si>
  <si>
    <t>http://www.broadinstitute.org/gsea/msigdb/cards/BROCKE_APOPTOSIS_REVERSED_BY_IL6.html</t>
  </si>
  <si>
    <t>ONO_FOXP3_TARGETS_UP</t>
  </si>
  <si>
    <t>1236;1234;80380;3586;729230;2833;57823</t>
  </si>
  <si>
    <t>CCR7;CCR5;PDCD1LG2;IL10;CCR2;CXCR3;SLAMF7</t>
  </si>
  <si>
    <t>http://www.broadinstitute.org/gsea/msigdb/cards/ONO_FOXP3_TARGETS_UP.html</t>
  </si>
  <si>
    <t>ZHOU_INFLAMMATORY_RESPONSE_LIVE_DN</t>
  </si>
  <si>
    <t>10663;9051;923;5800;286336;79930;256380;114836;64170;58484;27128;23228;1102;1601;25900;4033;9815;51676;84106;80183;51063;55691;29125</t>
  </si>
  <si>
    <t>CXCR6;PSTPIP1;CD6;PTPRO;FAM78A;DOK3;SCML4;SLAMF6;CARD9;NLRC4;CYTH4;PLCL2;RCBTB2;DAB2;IFFO1;LRMP;GIT2;ASB2;PRAM1;RUBCNL;CALHM2;FRMD4A;C11orf21</t>
  </si>
  <si>
    <t>http://www.broadinstitute.org/gsea/msigdb/cards/ZHOU_INFLAMMATORY_RESPONSE_LIVE_DN.html</t>
  </si>
  <si>
    <t>KANG_GIST_WITH_PDGFRA_UP</t>
  </si>
  <si>
    <t>3627;1234;3394;3937;474344;3936;11010;9806;51676</t>
  </si>
  <si>
    <t>CXCL10;CCR5;IRF8;LCP2;GIMAP6;LCP1;GLIPR1;SPOCK2;ASB2</t>
  </si>
  <si>
    <t>http://www.broadinstitute.org/gsea/msigdb/cards/KANG_GIST_WITH_PDGFRA_UP.html</t>
  </si>
  <si>
    <t>PARK_APL_PATHOGENESIS_DN</t>
  </si>
  <si>
    <t>1536;6688;11151;4332;5552;6037;10437;140885;10457</t>
  </si>
  <si>
    <t>CYBB;SPI1;CORO1A;MNDA;SRGN;RNASE3;IFI30;SIRPA;GPNMB</t>
  </si>
  <si>
    <t>http://www.broadinstitute.org/gsea/msigdb/cards/PARK_APL_PATHOGENESIS_DN.html</t>
  </si>
  <si>
    <t>GRUETZMANN_PANCREATIC_CANCER_UP</t>
  </si>
  <si>
    <t>2533;3689;5788;2214;963;2633;942;6772;2014;391;6890;3937;7805;1794;3122;341;240;5552;10437;3936;6507;5376</t>
  </si>
  <si>
    <t>FYB1;ITGB2;PTPRC;FCGR3A;CD53;GBP1;CD86;STAT1;EMP3;RHOG;TAP1;LCP2;LAPTM5;DOCK2;HLA-DRA;APOC1;ALOX5;SRGN;IFI30;LCP1;SLC1A3;PMP22</t>
  </si>
  <si>
    <t>http://www.broadinstitute.org/gsea/msigdb/cards/GRUETZMANN_PANCREATIC_CANCER_UP.html</t>
  </si>
  <si>
    <t>YAN_ESCAPE_FROM_ANOIKIS</t>
  </si>
  <si>
    <t>3627;3659;6352;6772;4049;3108;100506736</t>
  </si>
  <si>
    <t>CXCL10;IRF1;CCL5;STAT1;LTA;HLA-DMA;SLFN12L</t>
  </si>
  <si>
    <t>http://www.broadinstitute.org/gsea/msigdb/cards/YAN_ESCAPE_FROM_ANOIKIS.html</t>
  </si>
  <si>
    <t>BIOCARTA_GRANULOCYTES_PATHWAY</t>
  </si>
  <si>
    <t>3458;3689;3683;6404;3684;6402</t>
  </si>
  <si>
    <t>IFNG;ITGB2;ITGAL;SELPLG;ITGAM;SELL</t>
  </si>
  <si>
    <t>http://www.broadinstitute.org/gsea/msigdb/cards/BIOCARTA_GRANULOCYTES_PATHWAY.html</t>
  </si>
  <si>
    <t>ZHENG_FOXP3_TARGETS_IN_THYMUS_UP</t>
  </si>
  <si>
    <t>9840;27334;940;3575;6504;3662;55843;50852;114836;8832;2113;969;6503;51762;55619;25939</t>
  </si>
  <si>
    <t>TESPA1;P2RY10;CD28;IL7R;SLAMF1;IRF4;ARHGAP15;TRAT1;SLAMF6;CD84;ETS1;CD69;SLA;RAB8B;DOCK10;SAMHD1</t>
  </si>
  <si>
    <t>http://www.broadinstitute.org/gsea/msigdb/cards/ZHENG_FOXP3_TARGETS_IN_THYMUS_UP.html</t>
  </si>
  <si>
    <t>AKL_HTLV1_INFECTION_DN</t>
  </si>
  <si>
    <t>917;3001;10225;942;8477;29909;3002;10578;4208;54504</t>
  </si>
  <si>
    <t>CD3G;GZMA;CD96;CD86;GPR65;GPR171;GZMB;GNLY;MEF2C;CPVL</t>
  </si>
  <si>
    <t>http://www.broadinstitute.org/gsea/msigdb/cards/AKL_HTLV1_INFECTION_DN.html</t>
  </si>
  <si>
    <t>WONG_ADULT_TISSUE_STEM_MODULE</t>
  </si>
  <si>
    <t>7940;4242;3458;3559;5579;5341;6352;2633;5734;2322;8477;255231;51744;64407;6793;19;3553;348;3956;3737;3108;6546;1601;5376;4050;4240;55911;7185;8809;10148;64581;1522;51466</t>
  </si>
  <si>
    <t>LST1;MFNG;IFNG;IL2RA;PRKCB;PLEK;CCL5;GBP1;PTGER4;FLT3;GPR65;MCOLN2;CD244;RGS18;STK10;ABCA1;IL1B;APOE;LGALS1;KCNA2;HLA-DMA;SLC8A1;DAB2;PMP22;LTB;MFGE8;APOBR;TRAF1;IL18R1;EBI3;CLEC7A;CTSZ;EVL</t>
  </si>
  <si>
    <t>http://www.broadinstitute.org/gsea/msigdb/cards/WONG_ADULT_TISSUE_STEM_MODULE.html</t>
  </si>
  <si>
    <t>DEMAGALHAES_AGING_UP</t>
  </si>
  <si>
    <t>712;713;714;7805;219972;10870;2212;2213;10457</t>
  </si>
  <si>
    <t>C1QA;C1QB;C1QC;LAPTM5;MPEG1;HCST;FCGR2A;FCGR2B;GPNMB</t>
  </si>
  <si>
    <t>http://www.broadinstitute.org/gsea/msigdb/cards/DEMAGALHAES_AGING_UP.html</t>
  </si>
  <si>
    <t>GAVIN_FOXP3_TARGETS_CLUSTER_P6</t>
  </si>
  <si>
    <t>4542;3594;3394;80380;57105;8530;3002;729230;3604;10148;10235</t>
  </si>
  <si>
    <t>MYO1F;IL12RB1;IRF8;PDCD1LG2;CYSLTR2;CST7;GZMB;CCR2;TNFRSF9;EBI3;RASGRP2</t>
  </si>
  <si>
    <t>http://www.broadinstitute.org/gsea/msigdb/cards/GAVIN_FOXP3_TARGETS_CLUSTER_P6.html</t>
  </si>
  <si>
    <t>OSMAN_BLADDER_CANCER_UP</t>
  </si>
  <si>
    <t>2533;1536;3689;5788;962;5551;6688;2207;3071;719;3903;128346;55016;84868;89857;51338;58475;9120;1508;2999;4818;11027;25939</t>
  </si>
  <si>
    <t>FYB1;CYBB;ITGB2;PTPRC;CD48;PRF1;SPI1;FCER1G;NCKAP1L;C3AR1;LAIR1;C1orf162;MARCH1;HAVCR2;KLHL6;MS4A4A;MS4A7;SLC16A6;CTSB;GZMH;NKG7;LILRA2;SAMHD1</t>
  </si>
  <si>
    <t>http://www.broadinstitute.org/gsea/msigdb/cards/OSMAN_BLADDER_CANCER_UP.html</t>
  </si>
  <si>
    <t>BOHN_PRIMARY_IMMUNODEFICIENCY_SYNDROM_DN</t>
  </si>
  <si>
    <t>7940;3055;3635;55589;51284;8564;2162;4050</t>
  </si>
  <si>
    <t>LST1;HCK;INPP5D;BMP2K;TLR7;KMO;F13A1;LTB</t>
  </si>
  <si>
    <t>http://www.broadinstitute.org/gsea/msigdb/cards/BOHN_PRIMARY_IMMUNODEFICIENCY_SYNDROM_DN.html</t>
  </si>
  <si>
    <t>GUTIERREZ_CHRONIC_LYMPHOCYTIC_LEUKEMIA_DN</t>
  </si>
  <si>
    <t>9214;3932;7453;1236;5800;55704;9806;64174;80183</t>
  </si>
  <si>
    <t>FCMR;LCK;WARS;CCR7;PTPRO;CCDC88A;SPOCK2;DPEP2;RUBCNL</t>
  </si>
  <si>
    <t>http://www.broadinstitute.org/gsea/msigdb/cards/GUTIERREZ_CHRONIC_LYMPHOCYTIC_LEUKEMIA_DN.html</t>
  </si>
  <si>
    <t>REACTOME_SIGNALING_BY_RHO_GTPASES</t>
  </si>
  <si>
    <t>391;9459;399;55843;257106;221472;117289;57580;9938;57514;89846;9754</t>
  </si>
  <si>
    <t>RHOG;ARHGEF6;RHOH;ARHGAP15;ARHGAP30;FGD2;TAGAP;PREX1;ARHGAP25;ARHGAP31;FGD3;STARD8</t>
  </si>
  <si>
    <t>http://www.broadinstitute.org/gsea/msigdb/cards/REACTOME_SIGNALING_BY_RHO_GTPASES.html</t>
  </si>
  <si>
    <t>REACTOME_IL_2_SIGNALING</t>
  </si>
  <si>
    <t>3559;3932;3560;3561;1439;3717;6776;3718</t>
  </si>
  <si>
    <t>IL2RA;LCK;IL2RB;IL2RG;CSF2RB;JAK2;STAT5A;JAK3</t>
  </si>
  <si>
    <t>http://www.broadinstitute.org/gsea/msigdb/cards/REACTOME_IL_2_SIGNALING.html</t>
  </si>
  <si>
    <t>TAKEDA_TARGETS_OF_NUP98_HOXA9_FUSION_6HR_DN</t>
  </si>
  <si>
    <t>5788;6351;944;941;3162;1230;7185;245972</t>
  </si>
  <si>
    <t>PTPRC;CCL4;TNFSF8;CD80;HMOX1;CCR1;TRAF1;ATP6V0D2</t>
  </si>
  <si>
    <t>http://www.broadinstitute.org/gsea/msigdb/cards/TAKEDA_TARGETS_OF_NUP98_HOXA9_FUSION_6HR_DN.html</t>
  </si>
  <si>
    <t>ROETH_TERT_TARGETS_DN</t>
  </si>
  <si>
    <t>10663;1234;1230;729230;3003</t>
  </si>
  <si>
    <t>CXCR6;CCR5;CCR1;CCR2;GZMK</t>
  </si>
  <si>
    <t>http://www.broadinstitute.org/gsea/msigdb/cards/ROETH_TERT_TARGETS_DN.html</t>
  </si>
  <si>
    <t>PID_TXA2PATHWAY</t>
  </si>
  <si>
    <t>5579;3932;3055;2268;5294;23533;54331;10672;146850</t>
  </si>
  <si>
    <t>PRKCB;LCK;HCK;FGR;PIK3CG;PIK3R5;GNG2;GNA13;PIK3R6</t>
  </si>
  <si>
    <t>http://www.broadinstitute.org/gsea/msigdb/cards/PID_TXA2PATHWAY.html</t>
  </si>
  <si>
    <t>KEGG_B_CELL_RECEPTOR_SIGNALING_PATHWAY</t>
  </si>
  <si>
    <t>11025;5579;971;5294;695;23533;3635;2213;118788;25780</t>
  </si>
  <si>
    <t>LILRB3;PRKCB;CD72;PIK3CG;BTK;PIK3R5;INPP5D;FCGR2B;PIK3AP1;RASGRP3</t>
  </si>
  <si>
    <t>http://www.broadinstitute.org/gsea/msigdb/cards/KEGG_B_CELL_RECEPTOR_SIGNALING_PATHWAY.html</t>
  </si>
  <si>
    <t>REACTOME_INFLAMMASOMES</t>
  </si>
  <si>
    <t>4210;9051;114548;58484;596;5027</t>
  </si>
  <si>
    <t>MEFV;PSTPIP1;NLRP3;NLRC4;BCL2;P2RX7</t>
  </si>
  <si>
    <t>http://www.broadinstitute.org/gsea/msigdb/cards/REACTOME_INFLAMMASOMES.html</t>
  </si>
  <si>
    <t>GRAESSMANN_RESPONSE_TO_MC_AND_SERUM_DEPRIVATION_UP</t>
  </si>
  <si>
    <t>3627;914;2214;3659;5551;6772;81030;1435;3290;3988;6891;90634;100506736;25890;55281;25939</t>
  </si>
  <si>
    <t>CXCL10;CD2;FCGR3A;IRF1;PRF1;STAT1;ZBP1;CSF1;HSD11B1;LIPA;TAP2;N4BP2L1;SLFN12L;ABI3BP;TMEM140;SAMHD1</t>
  </si>
  <si>
    <t>http://www.broadinstitute.org/gsea/msigdb/cards/GRAESSMANN_RESPONSE_TO_MC_AND_SERUM_DEPRIVATION_UP.html</t>
  </si>
  <si>
    <t>ROZANOV_MMP14_TARGETS_UP</t>
  </si>
  <si>
    <t>9535;9404;80833;3560;2313;259307;8530;3115;3059;4688;3108;3109;3290;11010;140885;90634;84034;57823</t>
  </si>
  <si>
    <t>GMFG;LPXN;APOL3;IL2RB;FLI1;IL4I1;CST7;HLA-DPB1;HCLS1;NCF2;HLA-DMA;HLA-DMB;HSD11B1;GLIPR1;SIRPA;N4BP2L1;EMILIN2;SLAMF7</t>
  </si>
  <si>
    <t>http://www.broadinstitute.org/gsea/msigdb/cards/ROZANOV_MMP14_TARGETS_UP.html</t>
  </si>
  <si>
    <t>BIOCARTA_INFLAM_PATHWAY</t>
  </si>
  <si>
    <t>3458;920;4049;3122;1435;3586;3123</t>
  </si>
  <si>
    <t>IFNG;CD4;LTA;HLA-DRA;CSF1;IL10;HLA-DRB1</t>
  </si>
  <si>
    <t>http://www.broadinstitute.org/gsea/msigdb/cards/BIOCARTA_INFLAM_PATHWAY.html</t>
  </si>
  <si>
    <t>PID_INTEGRIN2_PATHWAY</t>
  </si>
  <si>
    <t>3689;3683;3687;959;2811;3684;2212</t>
  </si>
  <si>
    <t>ITGB2;ITGAL;ITGAX;CD40LG;GP1BA;ITGAM;FCGR2A</t>
  </si>
  <si>
    <t>http://www.broadinstitute.org/gsea/msigdb/cards/PID_INTEGRIN2_PATHWAY.html</t>
  </si>
  <si>
    <t>GENTLES_LEUKEMIC_STEM_CELL_UP</t>
  </si>
  <si>
    <t>9214;2123;474344;4208;4050;168537;26157</t>
  </si>
  <si>
    <t>FCMR;EVI2A;GIMAP6;MEF2C;LTB;GIMAP7;GIMAP2</t>
  </si>
  <si>
    <t>http://www.broadinstitute.org/gsea/msigdb/cards/GENTLES_LEUKEMIC_STEM_CELL_UP.html</t>
  </si>
  <si>
    <t>REACTOME_IL_3_5_AND_GM_CSF_SIGNALING</t>
  </si>
  <si>
    <t>3559;3055;3560;3561;1439;3717;6776;3718</t>
  </si>
  <si>
    <t>IL2RA;HCK;IL2RB;IL2RG;CSF2RB;JAK2;STAT5A;JAK3</t>
  </si>
  <si>
    <t>http://www.broadinstitute.org/gsea/msigdb/cards/REACTOME_IL_3_5_AND_GM_CSF_SIGNALING.html</t>
  </si>
  <si>
    <t>LINDGREN_BLADDER_CANCER_CLUSTER_2A_DN</t>
  </si>
  <si>
    <t>1318;1536;2123;719;51338;55589;11010;8905;1601;5376;57589;4644;9935</t>
  </si>
  <si>
    <t>SLC31A2;CYBB;EVI2A;C3AR1;MS4A4A;BMP2K;GLIPR1;AP1S2;DAB2;PMP22;RIC1;MYO5A;MAFB</t>
  </si>
  <si>
    <t>http://www.broadinstitute.org/gsea/msigdb/cards/LINDGREN_BLADDER_CANCER_CLUSTER_2A_DN.html</t>
  </si>
  <si>
    <t>ROSS_LEUKEMIA_WITH_MLL_FUSIONS</t>
  </si>
  <si>
    <t>9839;5788;6352;11024;3956;6037;3059;1601;4818;64780</t>
  </si>
  <si>
    <t>ZEB2;PTPRC;CCL5;LILRA1;LGALS1;RNASE3;HCLS1;DAB2;NKG7;MICAL1</t>
  </si>
  <si>
    <t>http://www.broadinstitute.org/gsea/msigdb/cards/ROSS_LEUKEMIA_WITH_MLL_FUSIONS.html</t>
  </si>
  <si>
    <t>MIKKELSEN_ES_LCP_WITH_H3K4ME3</t>
  </si>
  <si>
    <t>9051;6688;2014;6404;197358;374403;55340;55911;10148;79865;79630;84329;10077</t>
  </si>
  <si>
    <t>PSTPIP1;SPI1;EMP3;SELPLG;NLRC3;TBC1D10C;GIMAP5;APOBR;EBI3;TREML2;C1orf54;HVCN1;TSPAN32</t>
  </si>
  <si>
    <t>http://www.broadinstitute.org/gsea/msigdb/cards/MIKKELSEN_ES_LCP_WITH_H3K4ME3.html</t>
  </si>
  <si>
    <t>STEARMAN_LUNG_CANCER_EARLY_VS_LATE_DN</t>
  </si>
  <si>
    <t>3687;1439;7805;219972;50856;341;54;10235;1522</t>
  </si>
  <si>
    <t>ITGAX;CSF2RB;LAPTM5;MPEG1;CLEC4A;APOC1;ACP5;RASGRP2;CTSZ</t>
  </si>
  <si>
    <t>http://www.broadinstitute.org/gsea/msigdb/cards/STEARMAN_LUNG_CANCER_EARLY_VS_LATE_DN.html</t>
  </si>
  <si>
    <t>GAVIN_FOXP3_TARGETS_CLUSTER_P4</t>
  </si>
  <si>
    <t>8676;3559;3560;1493;7133;387357;356;3604;79895;50943;55013</t>
  </si>
  <si>
    <t>STX11;IL2RA;IL2RB;CTLA4;TNFRSF1B;THEMIS;FASLG;TNFRSF9;ATP8B4;FOXP3;MCUB</t>
  </si>
  <si>
    <t>http://www.broadinstitute.org/gsea/msigdb/cards/GAVIN_FOXP3_TARGETS_CLUSTER_P4.html</t>
  </si>
  <si>
    <t>REACTOME_GPVI_MEDIATED_ACTIVATION_CASCADE</t>
  </si>
  <si>
    <t>3932;2207;5294;391;3937;23533;146850</t>
  </si>
  <si>
    <t>LCK;FCER1G;PIK3CG;RHOG;LCP2;PIK3R5;PIK3R6</t>
  </si>
  <si>
    <t>http://www.broadinstitute.org/gsea/msigdb/cards/REACTOME_GPVI_MEDIATED_ACTIVATION_CASCADE.html</t>
  </si>
  <si>
    <t>BIOCARTA_STATHMIN_PATHWAY</t>
  </si>
  <si>
    <t>915;914;916;917;919;814</t>
  </si>
  <si>
    <t>CD3D;CD2;CD3E;CD3G;CD247;CAMK4</t>
  </si>
  <si>
    <t>http://www.broadinstitute.org/gsea/msigdb/cards/BIOCARTA_STATHMIN_PATHWAY.html</t>
  </si>
  <si>
    <t>KEGG_NOD_LIKE_RECEPTOR_SIGNALING_PATHWAY</t>
  </si>
  <si>
    <t>4210;9051;6352;4671;114548;64170;58484;3553;22900</t>
  </si>
  <si>
    <t>MEFV;PSTPIP1;CCL5;NAIP;NLRP3;CARD9;NLRC4;IL1B;CARD8</t>
  </si>
  <si>
    <t>http://www.broadinstitute.org/gsea/msigdb/cards/KEGG_NOD_LIKE_RECEPTOR_SIGNALING_PATHWAY.html</t>
  </si>
  <si>
    <t>HUTTMANN_B_CLL_POOR_SURVIVAL_UP</t>
  </si>
  <si>
    <t>7305;3676;5551;7133;3683;923;2207;7535;3603;9744;10288;11006;10154;921;3902;4688;729230;2833</t>
  </si>
  <si>
    <t>TYROBP;ITGA4;PRF1;TNFRSF1B;ITGAL;CD6;FCER1G;ZAP70;IL16;ACAP1;LILRB2;LILRB4;PLXNC1;CD5;LAG3;NCF2;CCR2;CXCR3</t>
  </si>
  <si>
    <t>http://www.broadinstitute.org/gsea/msigdb/cards/HUTTMANN_B_CLL_POOR_SURVIVAL_UP.html</t>
  </si>
  <si>
    <t>CHIANG_LIVER_CANCER_SUBCLASS_CTNNB1_DN</t>
  </si>
  <si>
    <t>9595;914;3575;2123;3820;10673;54;1043;5376;10457;6363;50515;56606;55013</t>
  </si>
  <si>
    <t>CYTIP;CD2;IL7R;EVI2A;KLRB1;TNFSF13B;ACP5;CD52;PMP22;GPNMB;CCL19;CHST11;SLC2A9;MCUB</t>
  </si>
  <si>
    <t>http://www.broadinstitute.org/gsea/msigdb/cards/CHIANG_LIVER_CANCER_SUBCLASS_CTNNB1_DN.html</t>
  </si>
  <si>
    <t>BUDHU_LIVER_CANCER_METASTASIS_UP</t>
  </si>
  <si>
    <t>3122;1435;5552;3113;3586</t>
  </si>
  <si>
    <t>HLA-DRA;CSF1;SRGN;HLA-DPA1;IL10</t>
  </si>
  <si>
    <t>http://www.broadinstitute.org/gsea/msigdb/cards/BUDHU_LIVER_CANCER_METASTASIS_UP.html</t>
  </si>
  <si>
    <t>SANA_TNF_SIGNALING_UP</t>
  </si>
  <si>
    <t>80833;3627;3575;2633;51296;6373;10537;1435;10437;25939</t>
  </si>
  <si>
    <t>APOL3;CXCL10;IL7R;GBP1;SLC15A3;CXCL11;UBD;CSF1;IFI30;SAMHD1</t>
  </si>
  <si>
    <t>http://www.broadinstitute.org/gsea/msigdb/cards/SANA_TNF_SIGNALING_UP.html</t>
  </si>
  <si>
    <t>MORI_PLASMA_CELL_DN</t>
  </si>
  <si>
    <t>9840;7805;89857;55589;3117;118788;64780</t>
  </si>
  <si>
    <t>TESPA1;LAPTM5;KLHL6;BMP2K;HLA-DQA1;PIK3AP1;MICAL1</t>
  </si>
  <si>
    <t>http://www.broadinstitute.org/gsea/msigdb/cards/MORI_PLASMA_CELL_DN.html</t>
  </si>
  <si>
    <t>TAVOR_CEBPA_TARGETS_UP</t>
  </si>
  <si>
    <t>7940;5788;2633;719;924;3162;11010;597</t>
  </si>
  <si>
    <t>LST1;PTPRC;GBP1;C3AR1;CD7;HMOX1;GLIPR1;BCL2A1</t>
  </si>
  <si>
    <t>http://www.broadinstitute.org/gsea/msigdb/cards/TAVOR_CEBPA_TARGETS_UP.html</t>
  </si>
  <si>
    <t>HOLLMANN_APOPTOSIS_VIA_CD40_UP</t>
  </si>
  <si>
    <t>3932;5788;3695;51056;942;2014;3394;695;11184;4063;10437;526;4208;4033;55013</t>
  </si>
  <si>
    <t>LCK;PTPRC;ITGB7;LAP3;CD86;EMP3;IRF8;BTK;MAP4K1;LY9;IFI30;ATP6V1B2;MEF2C;LRMP;MCUB</t>
  </si>
  <si>
    <t>http://www.broadinstitute.org/gsea/msigdb/cards/HOLLMANN_APOPTOSIS_VIA_CD40_UP.html</t>
  </si>
  <si>
    <t>DIRMEIER_LMP1_RESPONSE_EARLY</t>
  </si>
  <si>
    <t>6351;1236;5294;6504;4049;3936;969;7185;597</t>
  </si>
  <si>
    <t>CCL4;CCR7;PIK3CG;SLAMF1;LTA;LCP1;CD69;TRAF1;BCL2A1</t>
  </si>
  <si>
    <t>http://www.broadinstitute.org/gsea/msigdb/cards/DIRMEIER_LMP1_RESPONSE_EARLY.html</t>
  </si>
  <si>
    <t>TENEDINI_MEGAKARYOCYTE_MARKERS</t>
  </si>
  <si>
    <t>6352;6772;2313;3717;3553;2811;596;6776;10235</t>
  </si>
  <si>
    <t>CCL5;STAT1;FLI1;JAK2;IL1B;GP1BA;BCL2;STAT5A;RASGRP2</t>
  </si>
  <si>
    <t>http://www.broadinstitute.org/gsea/msigdb/cards/TENEDINI_MEGAKARYOCYTE_MARKERS.html</t>
  </si>
  <si>
    <t>GALINDO_IMMUNE_RESPONSE_TO_ENTEROTOXIN</t>
  </si>
  <si>
    <t>929;6351;6352;1439;730249;3553;6556;7185;597;100506736</t>
  </si>
  <si>
    <t>CD14;CCL4;CCL5;CSF2RB;ACOD1;IL1B;SLC11A1;TRAF1;BCL2A1;SLFN12L</t>
  </si>
  <si>
    <t>http://www.broadinstitute.org/gsea/msigdb/cards/GALINDO_IMMUNE_RESPONSE_TO_ENTEROTOXIN.html</t>
  </si>
  <si>
    <t>ZHAN_MULTIPLE_MYELOMA_CD1_VS_CD2_UP</t>
  </si>
  <si>
    <t>3683;7453;11151;53346;80342;6503;9363;147138;51676</t>
  </si>
  <si>
    <t>ITGAL;WARS;CORO1A;TM6SF1;TRAF3IP3;SLA;RAB33A;TMC8;ASB2</t>
  </si>
  <si>
    <t>http://www.broadinstitute.org/gsea/msigdb/cards/ZHAN_MULTIPLE_MYELOMA_CD1_VS_CD2_UP.html</t>
  </si>
  <si>
    <t>BEIER_GLIOMA_STEM_CELL_DN</t>
  </si>
  <si>
    <t>972;7805;3122;3117;3113;3108;3109;10457;3123</t>
  </si>
  <si>
    <t>CD74;LAPTM5;HLA-DRA;HLA-DQA1;HLA-DPA1;HLA-DMA;HLA-DMB;GPNMB;HLA-DRB1</t>
  </si>
  <si>
    <t>http://www.broadinstitute.org/gsea/msigdb/cards/BEIER_GLIOMA_STEM_CELL_DN.html</t>
  </si>
  <si>
    <t>GREENBAUM_E2A_TARGETS_DN</t>
  </si>
  <si>
    <t>972;2633;55303;100506736;161145;51466</t>
  </si>
  <si>
    <t>CD74;GBP1;GIMAP4;SLFN12L;TMEM229B;EVL</t>
  </si>
  <si>
    <t>http://www.broadinstitute.org/gsea/msigdb/cards/GREENBAUM_E2A_TARGETS_DN.html</t>
  </si>
  <si>
    <t>BIOCARTA_MONOCYTE_PATHWAY</t>
  </si>
  <si>
    <t>3689;3676;3683;3684;6402</t>
  </si>
  <si>
    <t>ITGB2;ITGA4;ITGAL;ITGAM;SELL</t>
  </si>
  <si>
    <t>http://www.broadinstitute.org/gsea/msigdb/cards/BIOCARTA_MONOCYTE_PATHWAY.html</t>
  </si>
  <si>
    <t>PID_IL8_CXCR2_PATHWAY</t>
  </si>
  <si>
    <t>5579;3055;2268;5294;1794;54331;146850</t>
  </si>
  <si>
    <t>PRKCB;HCK;FGR;PIK3CG;DOCK2;GNG2;PIK3R6</t>
  </si>
  <si>
    <t>http://www.broadinstitute.org/gsea/msigdb/cards/PID_IL8_CXCR2_PATHWAY.html</t>
  </si>
  <si>
    <t>PID_EPO_PATHWAY</t>
  </si>
  <si>
    <t>6772;695;3635;10019;3717;596;6776</t>
  </si>
  <si>
    <t>STAT1;BTK;INPP5D;SH2B3;JAK2;BCL2;STAT5A</t>
  </si>
  <si>
    <t>http://www.broadinstitute.org/gsea/msigdb/cards/PID_EPO_PATHWAY.html</t>
  </si>
  <si>
    <t>FERRANDO_T_ALL_WITH_MLL_ENL_FUSION_UP</t>
  </si>
  <si>
    <t>916;2268;3561;3937;10320;7805;6402;7454;2529;9806</t>
  </si>
  <si>
    <t>CD3E;FGR;IL2RG;LCP2;IKZF1;LAPTM5;SELL;WAS;FUT7;SPOCK2</t>
  </si>
  <si>
    <t>http://www.broadinstitute.org/gsea/msigdb/cards/FERRANDO_T_ALL_WITH_MLL_ENL_FUSION_UP.html</t>
  </si>
  <si>
    <t>BROWNE_INTERFERON_RESPONSIVE_GENES</t>
  </si>
  <si>
    <t>8676;3627;7453;2633;6772;6890;6373;10437;25939</t>
  </si>
  <si>
    <t>STX11;CXCL10;WARS;GBP1;STAT1;TAP1;CXCL11;IFI30;SAMHD1</t>
  </si>
  <si>
    <t>http://www.broadinstitute.org/gsea/msigdb/cards/BROWNE_INTERFERON_RESPONSIVE_GENES.html</t>
  </si>
  <si>
    <t>BIOCARTA_IL2_PATHWAY</t>
  </si>
  <si>
    <t>3559;3932;3560;3561;6776;3718</t>
  </si>
  <si>
    <t>IL2RA;LCK;IL2RB;IL2RG;STAT5A;JAK3</t>
  </si>
  <si>
    <t>http://www.broadinstitute.org/gsea/msigdb/cards/BIOCARTA_IL2_PATHWAY.html</t>
  </si>
  <si>
    <t>IVANOVA_HEMATOPOIESIS_MATURE_CELL</t>
  </si>
  <si>
    <t>8676;713;1536;929;2268;4354;53829;55589;2219;1508;3684;54;5816;2357;4360;6556;27163;55013</t>
  </si>
  <si>
    <t>STX11;C1QB;CYBB;CD14;FGR;MPP1;P2RY13;BMP2K;FCN1;CTSB;ITGAM;ACP5;PVALB;FPR1;MRC1;SLC11A1;NAAA;MCUB</t>
  </si>
  <si>
    <t>http://www.broadinstitute.org/gsea/msigdb/cards/IVANOVA_HEMATOPOIESIS_MATURE_CELL.html</t>
  </si>
  <si>
    <t>PID_PTP1B_PATHWAY</t>
  </si>
  <si>
    <t>3932;1436;3055;2268;3717;1435;2212;6776</t>
  </si>
  <si>
    <t>LCK;CSF1R;HCK;FGR;JAK2;CSF1;FCGR2A;STAT5A</t>
  </si>
  <si>
    <t>http://www.broadinstitute.org/gsea/msigdb/cards/PID_PTP1B_PATHWAY.html</t>
  </si>
  <si>
    <t>PID_KIT_PATHWAY</t>
  </si>
  <si>
    <t>9402;6772;5800;11184;10019;3717;596;6776</t>
  </si>
  <si>
    <t>GRAP2;STAT1;PTPRO;MAP4K1;SH2B3;JAK2;BCL2;STAT5A</t>
  </si>
  <si>
    <t>http://www.broadinstitute.org/gsea/msigdb/cards/PID_KIT_PATHWAY.html</t>
  </si>
  <si>
    <t>PANGAS_TUMOR_SUPPRESSION_BY_SMAD1_AND_SMAD5_UP</t>
  </si>
  <si>
    <t>7456;9535;712;3561;2014;7805;283897;83706;89857;3936;2113;64581</t>
  </si>
  <si>
    <t>WIPF1;GMFG;C1QA;IL2RG;EMP3;LAPTM5;C16orf54;FERMT3;KLHL6;LCP1;ETS1;CLEC7A</t>
  </si>
  <si>
    <t>http://www.broadinstitute.org/gsea/msigdb/cards/PANGAS_TUMOR_SUPPRESSION_BY_SMAD1_AND_SMAD5_UP.html</t>
  </si>
  <si>
    <t>LEE_TARGETS_OF_PTCH1_AND_SUFU_UP</t>
  </si>
  <si>
    <t>712;713;51056;80301;3117;10457;80709;64780</t>
  </si>
  <si>
    <t>C1QA;C1QB;LAP3;PLEKHO2;HLA-DQA1;GPNMB;AKNA;MICAL1</t>
  </si>
  <si>
    <t>http://www.broadinstitute.org/gsea/msigdb/cards/LEE_TARGETS_OF_PTCH1_AND_SUFU_UP.html</t>
  </si>
  <si>
    <t>LINDSTEDT_DENDRITIC_CELL_MATURATION_B</t>
  </si>
  <si>
    <t>9595;3559;3575;941;6890;6504;3604;7185</t>
  </si>
  <si>
    <t>CYTIP;IL2RA;IL7R;CD80;TAP1;SLAMF1;TNFRSF9;TRAF1</t>
  </si>
  <si>
    <t>http://www.broadinstitute.org/gsea/msigdb/cards/LINDSTEDT_DENDRITIC_CELL_MATURATION_B.html</t>
  </si>
  <si>
    <t>VANTVEER_BREAST_CANCER_ESR1_DN</t>
  </si>
  <si>
    <t>9404;11025;1536;3689;6352;7453;2633;3101;4064;56833;5552;6518;11010;140885;597;145864</t>
  </si>
  <si>
    <t>LPXN;LILRB3;CYBB;ITGB2;CCL5;WARS;GBP1;HK3;CD180;SLAMF8;SRGN;SLC2A5;GLIPR1;SIRPA;BCL2A1;HAPLN3</t>
  </si>
  <si>
    <t>http://www.broadinstitute.org/gsea/msigdb/cards/VANTVEER_BREAST_CANCER_ESR1_DN.html</t>
  </si>
  <si>
    <t>WIERENGA_STAT5A_TARGETS_GROUP1</t>
  </si>
  <si>
    <t>959;221188;115361;259307;64092;8530;1601;27163;4050;161176;1522;10004</t>
  </si>
  <si>
    <t>CD40LG;ADGRG5;GBP4;IL4I1;SAMSN1;CST7;DAB2;NAAA;LTB;SYNE3;CTSZ;NAALADL1</t>
  </si>
  <si>
    <t>http://www.broadinstitute.org/gsea/msigdb/cards/WIERENGA_STAT5A_TARGETS_GROUP1.html</t>
  </si>
  <si>
    <t>TONKS_TARGETS_OF_RUNX1_RUNX1T1_FUSION_MONOCYTE_DN</t>
  </si>
  <si>
    <t>3695;10875;3662;29909;27299;10154;1235;4050</t>
  </si>
  <si>
    <t>ITGB7;FGL2;IRF4;GPR171;ADAMDEC1;PLXNC1;CCR6;LTB</t>
  </si>
  <si>
    <t>http://www.broadinstitute.org/gsea/msigdb/cards/TONKS_TARGETS_OF_RUNX1_RUNX1T1_FUSION_MONOCYTE_DN.html</t>
  </si>
  <si>
    <t>MIKKELSEN_MCV6_LCP_WITH_H3K4ME3</t>
  </si>
  <si>
    <t>7940;9051;3575;7453;2633;2014;7805;374403;51744;81030;100506736;161176;80709</t>
  </si>
  <si>
    <t>LST1;PSTPIP1;IL7R;WARS;GBP1;EMP3;LAPTM5;TBC1D10C;CD244;ZBP1;SLFN12L;SYNE3;AKNA</t>
  </si>
  <si>
    <t>http://www.broadinstitute.org/gsea/msigdb/cards/MIKKELSEN_MCV6_LCP_WITH_H3K4ME3.html</t>
  </si>
  <si>
    <t>MARSON_FOXP3_TARGETS_DN</t>
  </si>
  <si>
    <t>3458;7535;3702;151888;387357;29909;3717;100506736</t>
  </si>
  <si>
    <t>IFNG;ZAP70;ITK;BTLA;THEMIS;GPR171;JAK2;SLFN12L</t>
  </si>
  <si>
    <t>http://www.broadinstitute.org/gsea/msigdb/cards/MARSON_FOXP3_TARGETS_DN.html</t>
  </si>
  <si>
    <t>KEGG_REGULATION_OF_ACTIN_CYTOSKELETON</t>
  </si>
  <si>
    <t>3689;929;3676;3683;3687;3695;5294;3071;9459;23533;3684;7454;10672;89846;85464</t>
  </si>
  <si>
    <t>ITGB2;CD14;ITGA4;ITGAL;ITGAX;ITGB7;PIK3CG;NCKAP1L;ARHGEF6;PIK3R5;ITGAM;WAS;GNA13;FGD3;SSH2</t>
  </si>
  <si>
    <t>http://www.broadinstitute.org/gsea/msigdb/cards/KEGG_REGULATION_OF_ACTIN_CYTOSKELETON.html</t>
  </si>
  <si>
    <t>MARTORIATI_MDM4_TARGETS_NEUROEPITHELIUM_DN</t>
  </si>
  <si>
    <t>7940;7305;9450;713;1436;963;11151;1439;225;4094;8320;2162;4360</t>
  </si>
  <si>
    <t>LST1;TYROBP;LY86;C1QB;CSF1R;CD53;CORO1A;CSF2RB;ABCD2;MAF;EOMES;F13A1;MRC1</t>
  </si>
  <si>
    <t>http://www.broadinstitute.org/gsea/msigdb/cards/MARTORIATI_MDM4_TARGETS_NEUROEPITHELIUM_DN.html</t>
  </si>
  <si>
    <t>GAVIN_FOXP3_TARGETS_CLUSTER_T4</t>
  </si>
  <si>
    <t>8676;3559;962;3560;1493;3662;3604;441168;5027;50943</t>
  </si>
  <si>
    <t>STX11;IL2RA;CD48;IL2RB;CTLA4;IRF4;TNFRSF9;CALHM6;P2RX7;FOXP3</t>
  </si>
  <si>
    <t>http://www.broadinstitute.org/gsea/msigdb/cards/GAVIN_FOXP3_TARGETS_CLUSTER_T4.html</t>
  </si>
  <si>
    <t>VANASSE_BCL2_TARGETS_DN</t>
  </si>
  <si>
    <t>10870;10154;2162;4049;596;1230;7185;7941;25939</t>
  </si>
  <si>
    <t>HCST;PLXNC1;F13A1;LTA;BCL2;CCR1;TRAF1;PLA2G7;SAMHD1</t>
  </si>
  <si>
    <t>http://www.broadinstitute.org/gsea/msigdb/cards/VANASSE_BCL2_TARGETS_DN.html</t>
  </si>
  <si>
    <t>GRAHAM_CML_QUIESCENT_VS_NORMAL_DIVIDING_UP</t>
  </si>
  <si>
    <t>3627;6352;2633;6373;3553;348;341;6363</t>
  </si>
  <si>
    <t>CXCL10;CCL5;GBP1;CXCL11;IL1B;APOE;APOC1;CCL19</t>
  </si>
  <si>
    <t>http://www.broadinstitute.org/gsea/msigdb/cards/GRAHAM_CML_QUIESCENT_VS_NORMAL_DIVIDING_UP.html</t>
  </si>
  <si>
    <t>TARTE_PLASMA_CELL_VS_PLASMABLAST_DN</t>
  </si>
  <si>
    <t>9595;5579;3560;7453;3695;11151;11006;6039;4064;3956;3002;10437;6402;1043;11010;6503;9815;4644</t>
  </si>
  <si>
    <t>CYTIP;PRKCB;IL2RB;WARS;ITGB7;CORO1A;LILRB4;RNASE6;CD180;LGALS1;GZMB;IFI30;SELL;CD52;GLIPR1;SLA;GIT2;MYO5A</t>
  </si>
  <si>
    <t>http://www.broadinstitute.org/gsea/msigdb/cards/TARTE_PLASMA_CELL_VS_PLASMABLAST_DN.html</t>
  </si>
  <si>
    <t>BREDEMEYER_RAG_SIGNALING_NOT_VIA_ATM_DN</t>
  </si>
  <si>
    <t>152789;64407;19;3122;3824;814;25780;84329</t>
  </si>
  <si>
    <t>JAKMIP1;RGS18;ABCA1;HLA-DRA;KLRD1;CAMK4;RASGRP3;HVCN1</t>
  </si>
  <si>
    <t>http://www.broadinstitute.org/gsea/msigdb/cards/BREDEMEYER_RAG_SIGNALING_NOT_VIA_ATM_DN.html</t>
  </si>
  <si>
    <t>PEART_HDAC_PROLIFERATION_CLUSTER_DN</t>
  </si>
  <si>
    <t>7940;3932;916;3561;2014;199;2672;7439;943</t>
  </si>
  <si>
    <t>LST1;LCK;CD3E;IL2RG;EMP3;AIF1;GFI1;BEST1;TNFRSF8</t>
  </si>
  <si>
    <t>http://www.broadinstitute.org/gsea/msigdb/cards/PEART_HDAC_PROLIFERATION_CLUSTER_DN.html</t>
  </si>
  <si>
    <t>PID_INTEGRIN_CS_PATHWAY</t>
  </si>
  <si>
    <t>3689;3676;3683;3687;3695;3684</t>
  </si>
  <si>
    <t>ITGB2;ITGA4;ITGAL;ITGAX;ITGB7;ITGAM</t>
  </si>
  <si>
    <t>http://www.broadinstitute.org/gsea/msigdb/cards/PID_INTEGRIN_CS_PATHWAY.html</t>
  </si>
  <si>
    <t>FONTAINE_THYROID_TUMOR_UNCERTAIN_MALIGNANCY_DN</t>
  </si>
  <si>
    <t>11025;3559;3676;3059;11009;29126</t>
  </si>
  <si>
    <t>LILRB3;IL2RA;ITGA4;HCLS1;IL24;CD274</t>
  </si>
  <si>
    <t>http://www.broadinstitute.org/gsea/msigdb/cards/FONTAINE_THYROID_TUMOR_UNCERTAIN_MALIGNANCY_DN.html</t>
  </si>
  <si>
    <t>KATSANOU_ELAVL1_TARGETS_UP</t>
  </si>
  <si>
    <t>712;713;714;1536;3561;7805;719;219972;9056;348;1043;100506736;91526</t>
  </si>
  <si>
    <t>C1QA;C1QB;C1QC;CYBB;IL2RG;LAPTM5;C3AR1;MPEG1;SLC7A7;APOE;CD52;SLFN12L;ANKRD44</t>
  </si>
  <si>
    <t>http://www.broadinstitute.org/gsea/msigdb/cards/KATSANOU_ELAVL1_TARGETS_UP.html</t>
  </si>
  <si>
    <t>ZHANG_RESPONSE_TO_IKK_INHIBITOR_AND_TNF_UP</t>
  </si>
  <si>
    <t>3627;3659;6352;3575;6890;259307;80342;6373;3553;2113;5724;4973;3604;7185;597</t>
  </si>
  <si>
    <t>CXCL10;IRF1;CCL5;IL7R;TAP1;IL4I1;TRAF3IP3;CXCL11;IL1B;ETS1;PTAFR;OLR1;TNFRSF9;TRAF1;BCL2A1</t>
  </si>
  <si>
    <t>http://www.broadinstitute.org/gsea/msigdb/cards/ZHANG_RESPONSE_TO_IKK_INHIBITOR_AND_TNF_UP.html</t>
  </si>
  <si>
    <t>MORI_PRE_BI_LYMPHOCYTE_DN</t>
  </si>
  <si>
    <t>9595;9450;972;914;5788;971;3587;2213;25939</t>
  </si>
  <si>
    <t>CYTIP;LY86;CD74;CD2;PTPRC;CD72;IL10RA;FCGR2B;SAMHD1</t>
  </si>
  <si>
    <t>http://www.broadinstitute.org/gsea/msigdb/cards/MORI_PRE_BI_LYMPHOCYTE_DN.html</t>
  </si>
  <si>
    <t>PID_SHP2_PATHWAY</t>
  </si>
  <si>
    <t>3458;3559;3932;3560;3561;6772;3717;3718</t>
  </si>
  <si>
    <t>IFNG;IL2RA;LCK;IL2RB;IL2RG;STAT1;JAK2;JAK3</t>
  </si>
  <si>
    <t>http://www.broadinstitute.org/gsea/msigdb/cards/PID_SHP2_PATHWAY.html</t>
  </si>
  <si>
    <t>NABA_SECRETED_FACTORS</t>
  </si>
  <si>
    <t>3458;3627;6351;6352;944;4283;3603;10673;6373;8742;4049;3553;1435;3586;356;4050;11009;10148;6363</t>
  </si>
  <si>
    <t>IFNG;CXCL10;CCL4;CCL5;TNFSF8;CXCL9;IL16;TNFSF13B;CXCL11;TNFSF12;LTA;IL1B;CSF1;IL10;FASLG;LTB;IL24;EBI3;CCL19</t>
  </si>
  <si>
    <t>http://www.broadinstitute.org/gsea/msigdb/cards/NABA_SECRETED_FACTORS.html</t>
  </si>
  <si>
    <t>NABA_ECM_AFFILIATED</t>
  </si>
  <si>
    <t>712;713;714;93978;50856;2219;10154;3956;10462;338339;10507;64581;30835</t>
  </si>
  <si>
    <t>C1QA;C1QB;C1QC;CLEC6A;CLEC4A;FCN1;PLXNC1;LGALS1;CLEC10A;CLEC4D;SEMA4D;CLEC7A;CD209</t>
  </si>
  <si>
    <t>http://www.broadinstitute.org/gsea/msigdb/cards/NABA_ECM_AFFILIATED.html</t>
  </si>
  <si>
    <t>RHEIN_ALL_GLUCOCORTICOID_THERAPY_UP</t>
  </si>
  <si>
    <t>27334;9595;9450;5788;4332;8477;19;3684;11010</t>
  </si>
  <si>
    <t>P2RY10;CYTIP;LY86;PTPRC;MNDA;GPR65;ABCA1;ITGAM;GLIPR1</t>
  </si>
  <si>
    <t>http://www.broadinstitute.org/gsea/msigdb/cards/RHEIN_ALL_GLUCOCORTICOID_THERAPY_UP.html</t>
  </si>
  <si>
    <t>REACTOME_IL_RECEPTOR_SHC_SIGNALING</t>
  </si>
  <si>
    <t>3559;3560;3561;1439;3717;3718</t>
  </si>
  <si>
    <t>IL2RA;IL2RB;IL2RG;CSF2RB;JAK2;JAK3</t>
  </si>
  <si>
    <t>http://www.broadinstitute.org/gsea/msigdb/cards/REACTOME_IL_RECEPTOR_SHC_SIGNALING.html</t>
  </si>
  <si>
    <t>LINDGREN_BLADDER_CANCER_CLUSTER_1_DN</t>
  </si>
  <si>
    <t>3559;3695;4245;3561;941;55843;257106;83706;57580;89857;3956;3162;6402;3059;5816;6507;1601;5376;118788;25890</t>
  </si>
  <si>
    <t>IL2RA;ITGB7;MGAT1;IL2RG;CD80;ARHGAP15;ARHGAP30;FERMT3;PREX1;KLHL6;LGALS1;HMOX1;SELL;HCLS1;PVALB;SLC1A3;DAB2;PMP22;PIK3AP1;ABI3BP</t>
  </si>
  <si>
    <t>http://www.broadinstitute.org/gsea/msigdb/cards/LINDGREN_BLADDER_CANCER_CLUSTER_1_DN.html</t>
  </si>
  <si>
    <t>LEIN_ASTROCYTE_MARKERS</t>
  </si>
  <si>
    <t>712;6404;348;3684;4240;7941;23166</t>
  </si>
  <si>
    <t>C1QA;SELPLG;APOE;ITGAM;MFGE8;PLA2G7;STAB1</t>
  </si>
  <si>
    <t>http://www.broadinstitute.org/gsea/msigdb/cards/LEIN_ASTROCYTE_MARKERS.html</t>
  </si>
  <si>
    <t>ZHAN_EARLY_DIFFERENTIATION_GENES_DN</t>
  </si>
  <si>
    <t>6688;2633;391;399;2113;4261;4050</t>
  </si>
  <si>
    <t>SPI1;GBP1;RHOG;RHOH;ETS1;CIITA;LTB</t>
  </si>
  <si>
    <t>http://www.broadinstitute.org/gsea/msigdb/cards/ZHAN_EARLY_DIFFERENTIATION_GENES_DN.html</t>
  </si>
  <si>
    <t>MIKKELSEN_IPS_LCP_WITH_H3K4ME3</t>
  </si>
  <si>
    <t>7940;9051;6688;7453;2014;7805;6404;197358;374403;10148;79630;84329;10077</t>
  </si>
  <si>
    <t>LST1;PSTPIP1;SPI1;WARS;EMP3;LAPTM5;SELPLG;NLRC3;TBC1D10C;EBI3;C1orf54;HVCN1;TSPAN32</t>
  </si>
  <si>
    <t>http://www.broadinstitute.org/gsea/msigdb/cards/MIKKELSEN_IPS_LCP_WITH_H3K4ME3.html</t>
  </si>
  <si>
    <t>PID_CXCR3_PATHWAY</t>
  </si>
  <si>
    <t>3627;3689;3683;4283;6373;2833;54331</t>
  </si>
  <si>
    <t>CXCL10;ITGB2;ITGAL;CXCL9;CXCL11;CXCR3;GNG2</t>
  </si>
  <si>
    <t>http://www.broadinstitute.org/gsea/msigdb/cards/PID_CXCR3_PATHWAY.html</t>
  </si>
  <si>
    <t>TSAI_RESPONSE_TO_IONIZING_RADIATION</t>
  </si>
  <si>
    <t>3627;6351;3560;941;6772;3662;3717;943;1230;6776;7185;9033</t>
  </si>
  <si>
    <t>CXCL10;CCL4;IL2RB;CD80;STAT1;IRF4;JAK2;TNFRSF8;CCR1;STAT5A;TRAF1;PKD2L1</t>
  </si>
  <si>
    <t>http://www.broadinstitute.org/gsea/msigdb/cards/TSAI_RESPONSE_TO_IONIZING_RADIATION.html</t>
  </si>
  <si>
    <t>PID_IL8_CXCR1_PATHWAY</t>
  </si>
  <si>
    <t>5579;3055;2268;5294;54331;146850</t>
  </si>
  <si>
    <t>PRKCB;HCK;FGR;PIK3CG;GNG2;PIK3R6</t>
  </si>
  <si>
    <t>http://www.broadinstitute.org/gsea/msigdb/cards/PID_IL8_CXCR1_PATHWAY.html</t>
  </si>
  <si>
    <t>BIOCARTA_IL22BP_PATHWAY</t>
  </si>
  <si>
    <t>6772;3587;3717;6776;3718</t>
  </si>
  <si>
    <t>STAT1;IL10RA;JAK2;STAT5A;JAK3</t>
  </si>
  <si>
    <t>http://www.broadinstitute.org/gsea/msigdb/cards/BIOCARTA_IL22BP_PATHWAY.html</t>
  </si>
  <si>
    <t>LUI_THYROID_CANCER_CLUSTER_4</t>
  </si>
  <si>
    <t>972;7453;3122;3115;3113</t>
  </si>
  <si>
    <t>CD74;WARS;HLA-DRA;HLA-DPB1;HLA-DPA1</t>
  </si>
  <si>
    <t>http://www.broadinstitute.org/gsea/msigdb/cards/LUI_THYROID_CANCER_CLUSTER_4.html</t>
  </si>
  <si>
    <t>HAHTOLA_MYCOSIS_FUNGOIDES_SKIN_UP</t>
  </si>
  <si>
    <t>7940;9535;9450;3575;5800;50856;27306;1102;3117;1043;1601;6503;6363</t>
  </si>
  <si>
    <t>LST1;GMFG;LY86;IL7R;PTPRO;CLEC4A;HPGDS;RCBTB2;HLA-DQA1;CD52;DAB2;SLA;CCL19</t>
  </si>
  <si>
    <t>http://www.broadinstitute.org/gsea/msigdb/cards/HAHTOLA_MYCOSIS_FUNGOIDES_SKIN_UP.html</t>
  </si>
  <si>
    <t>XU_CREBBP_TARGETS_DN</t>
  </si>
  <si>
    <t>1236;4049;2113;3290;4261;1235;7462</t>
  </si>
  <si>
    <t>CCR7;LTA;ETS1;HSD11B1;CIITA;CCR6;LAT2</t>
  </si>
  <si>
    <t>http://www.broadinstitute.org/gsea/msigdb/cards/XU_CREBBP_TARGETS_DN.html</t>
  </si>
  <si>
    <t>SATO_SILENCED_BY_METHYLATION_IN_PANCREATIC_CANCER_1</t>
  </si>
  <si>
    <t>9840;9535;972;3932;6351;6352;7805;4064;9056;51393;27306;3553;1435;1043;4261;6891;4050;55911;9815;4327;6363</t>
  </si>
  <si>
    <t>TESPA1;GMFG;CD74;LCK;CCL4;CCL5;LAPTM5;CD180;SLC7A7;TRPV2;HPGDS;IL1B;CSF1;CD52;CIITA;TAP2;LTB;APOBR;GIT2;MMP19;CCL19</t>
  </si>
  <si>
    <t>http://www.broadinstitute.org/gsea/msigdb/cards/SATO_SILENCED_BY_METHYLATION_IN_PANCREATIC_CANCER_1.html</t>
  </si>
  <si>
    <t>GRESHOCK_CANCER_COPY_NUMBER_UP</t>
  </si>
  <si>
    <t>3932;2322;2313;3702;10320;3662;399;23048;50615;3717;4094;596;4066;3936;2213;4261;64919;9935</t>
  </si>
  <si>
    <t>LCK;FLT3;FLI1;ITK;IKZF1;IRF4;RHOH;FNBP1;IL21R;JAK2;MAF;BCL2;LYL1;LCP1;FCGR2B;CIITA;BCL11B;MAFB</t>
  </si>
  <si>
    <t>http://www.broadinstitute.org/gsea/msigdb/cards/GRESHOCK_CANCER_COPY_NUMBER_UP.html</t>
  </si>
  <si>
    <t>ROSS_ACUTE_MYELOID_LEUKEMIA_CBF</t>
  </si>
  <si>
    <t>7456;27306;3115;3113;3109;1043;4261;7462;29125</t>
  </si>
  <si>
    <t>WIPF1;HPGDS;HLA-DPB1;HLA-DPA1;HLA-DMB;CD52;CIITA;LAT2;C11orf21</t>
  </si>
  <si>
    <t>http://www.broadinstitute.org/gsea/msigdb/cards/ROSS_ACUTE_MYELOID_LEUKEMIA_CBF.html</t>
  </si>
  <si>
    <t>LIM_MAMMARY_STEM_CELL_UP</t>
  </si>
  <si>
    <t>4242;7456;10875;92241;26051;366;3553;348;3956;5552;2113;3902;9938;6507;4208;11009;7941;25890;84230;9754;55619;59345;11217</t>
  </si>
  <si>
    <t>MFNG;WIPF1;FGL2;RCSD1;PPP1R16B;AQP9;IL1B;APOE;LGALS1;SRGN;ETS1;LAG3;ARHGAP25;SLC1A3;MEF2C;IL24;PLA2G7;ABI3BP;LRRC8C;STARD8;DOCK10;GNB4;AKAP2</t>
  </si>
  <si>
    <t>http://www.broadinstitute.org/gsea/msigdb/cards/LIM_MAMMARY_STEM_CELL_UP.html</t>
  </si>
  <si>
    <t>ODONNELL_TFRC_TARGETS_UP</t>
  </si>
  <si>
    <t>9214;11025;951;971;1234;3937;219972;149628;114836;81030;59067;56833;353514;1102;3117;924;240;3684;3112;5724;11010;969</t>
  </si>
  <si>
    <t>FCMR;LILRB3;CD37;CD72;CCR5;LCP2;MPEG1;PYHIN1;SLAMF6;ZBP1;IL21;SLAMF8;LILRA5;RCBTB2;HLA-DQA1;CD7;ALOX5;ITGAM;HLA-DOB;PTAFR;GLIPR1;CD69</t>
  </si>
  <si>
    <t>http://www.broadinstitute.org/gsea/msigdb/cards/ODONNELL_TFRC_TARGETS_UP.html</t>
  </si>
  <si>
    <t>BROWN_MYELOID_CELL_DEVELOPMENT_DN</t>
  </si>
  <si>
    <t>9840;27334;4242;962;80896;366;3122;3117;2529;3123;10462</t>
  </si>
  <si>
    <t>TESPA1;P2RY10;MFNG;CD48;NPL;AQP9;HLA-DRA;HLA-DQA1;FUT7;HLA-DRB1;CLEC10A</t>
  </si>
  <si>
    <t>http://www.broadinstitute.org/gsea/msigdb/cards/BROWN_MYELOID_CELL_DEVELOPMENT_DN.html</t>
  </si>
  <si>
    <t>BIOCARTA_IL10_PATHWAY</t>
  </si>
  <si>
    <t>6772;3587;3162;3586;6776</t>
  </si>
  <si>
    <t>STAT1;IL10RA;HMOX1;IL10;STAT5A</t>
  </si>
  <si>
    <t>http://www.broadinstitute.org/gsea/msigdb/cards/BIOCARTA_IL10_PATHWAY.html</t>
  </si>
  <si>
    <t>TONKS_TARGETS_OF_RUNX1_RUNX1T1_FUSION_GRANULOCYTE_DN</t>
  </si>
  <si>
    <t>3587;29992;240;241;5376</t>
  </si>
  <si>
    <t>IL10RA;PILRA;ALOX5;ALOX5AP;PMP22</t>
  </si>
  <si>
    <t>http://www.broadinstitute.org/gsea/msigdb/cards/TONKS_TARGETS_OF_RUNX1_RUNX1T1_FUSION_GRANULOCYTE_DN.html</t>
  </si>
  <si>
    <t>FOSTER_KDM1A_TARGETS_UP</t>
  </si>
  <si>
    <t>7940;8676;972;915;3071;6404;92241;51393;366;7439;241;10148;3123;25780;149699;9033</t>
  </si>
  <si>
    <t>LST1;STX11;CD74;CD3D;NCKAP1L;SELPLG;RCSD1;TRPV2;AQP9;BEST1;ALOX5AP;EBI3;HLA-DRB1;RASGRP3;GTSF1L;PKD2L1</t>
  </si>
  <si>
    <t>http://www.broadinstitute.org/gsea/msigdb/cards/FOSTER_KDM1A_TARGETS_UP.html</t>
  </si>
  <si>
    <t>KIM_LRRC3B_TARGETS</t>
  </si>
  <si>
    <t>972;6352;6890;4283;3115;3123</t>
  </si>
  <si>
    <t>CD74;CCL5;TAP1;CXCL9;HLA-DPB1;HLA-DRB1</t>
  </si>
  <si>
    <t>http://www.broadinstitute.org/gsea/msigdb/cards/KIM_LRRC3B_TARGETS.html</t>
  </si>
  <si>
    <t>HAHTOLA_MYCOSIS_FUNGOIDES_CD4_UP</t>
  </si>
  <si>
    <t>6351;51338;114548;353514;9120;3553;11010;81553</t>
  </si>
  <si>
    <t>CCL4;MS4A4A;NLRP3;LILRA5;SLC16A6;IL1B;GLIPR1;FAM49A</t>
  </si>
  <si>
    <t>http://www.broadinstitute.org/gsea/msigdb/cards/HAHTOLA_MYCOSIS_FUNGOIDES_CD4_UP.html</t>
  </si>
  <si>
    <t>REACTOME_NUCLEOTIDE_BINDING_DOMAIN_LEUCINE_RICH_REPEAT_CONTAINING_RECEPTOR_NLR_SIGNALING_PATHWAYS</t>
  </si>
  <si>
    <t>4210;9051;114548;64170;58484;596;5027</t>
  </si>
  <si>
    <t>MEFV;PSTPIP1;NLRP3;CARD9;NLRC4;BCL2;P2RX7</t>
  </si>
  <si>
    <t>http://www.broadinstitute.org/gsea/msigdb/cards/REACTOME_NUCLEOTIDE_BINDING_DOMAIN_LEUCINE_RICH_REPEAT_CONTAINING_RECEPTOR_NLR_SIGNALING_PATHWAYS.html</t>
  </si>
  <si>
    <t>RIZKI_TUMOR_INVASIVENESS_3D_UP</t>
  </si>
  <si>
    <t>3001;971;10320;399;2219;9120;924;1435;3113;5724;11010;6891;969;9363</t>
  </si>
  <si>
    <t>GZMA;CD72;IKZF1;RHOH;FCN1;SLC16A6;CD7;CSF1;HLA-DPA1;PTAFR;GLIPR1;TAP2;CD69;RAB33A</t>
  </si>
  <si>
    <t>http://www.broadinstitute.org/gsea/msigdb/cards/RIZKI_TUMOR_INVASIVENESS_3D_UP.html</t>
  </si>
  <si>
    <t>TAKEDA_TARGETS_OF_NUP98_HOXA9_FUSION_6HR_UP</t>
  </si>
  <si>
    <t>3575;2123;2322;51338;8564;11010;969;23312;64805</t>
  </si>
  <si>
    <t>IL7R;EVI2A;FLT3;MS4A4A;KMO;GLIPR1;CD69;DMXL2;P2RY12</t>
  </si>
  <si>
    <t>http://www.broadinstitute.org/gsea/msigdb/cards/TAKEDA_TARGETS_OF_NUP98_HOXA9_FUSION_6HR_UP.html</t>
  </si>
  <si>
    <t>CUI_TCF21_TARGETS_2_DN</t>
  </si>
  <si>
    <t>9839;1536;5788;3676;11151;3561;5734;6772;2313;5800;474344;170575;26051;80896;55303;10019;7099;9034;5552;2113;3988;140885;4208;57514;375387;25780;155038;4215;81553;54861;11217;9935</t>
  </si>
  <si>
    <t>ZEB2;CYBB;PTPRC;ITGA4;CORO1A;IL2RG;PTGER4;STAT1;FLI1;PTPRO;GIMAP6;GIMAP1;PPP1R16B;NPL;GIMAP4;SH2B3;TLR4;CCRL2;SRGN;ETS1;LIPA;SIRPA;MEF2C;ARHGAP31;NRROS;RASGRP3;GIMAP8;MAP3K3;FAM49A;SNRK;AKAP2;MAFB</t>
  </si>
  <si>
    <t>http://www.broadinstitute.org/gsea/msigdb/cards/CUI_TCF21_TARGETS_2_DN.html</t>
  </si>
  <si>
    <t>ALCALAY_AML_BY_NPM1_LOCALIZATION_DN</t>
  </si>
  <si>
    <t>9450;962;3561;10225;10154;3122;3113;3108;4261;969;3123;64780;51466</t>
  </si>
  <si>
    <t>LY86;CD48;IL2RG;CD96;PLXNC1;HLA-DRA;HLA-DPA1;HLA-DMA;CIITA;CD69;HLA-DRB1;MICAL1;EVL</t>
  </si>
  <si>
    <t>http://www.broadinstitute.org/gsea/msigdb/cards/ALCALAY_AML_BY_NPM1_LOCALIZATION_DN.html</t>
  </si>
  <si>
    <t>ZHAN_MULTIPLE_MYELOMA_HP_DN</t>
  </si>
  <si>
    <t>7453;942;139818;1043;8905;54518;51063</t>
  </si>
  <si>
    <t>WARS;CD86;DOCK11;CD52;AP1S2;APBB1IP;CALHM2</t>
  </si>
  <si>
    <t>http://www.broadinstitute.org/gsea/msigdb/cards/ZHAN_MULTIPLE_MYELOMA_HP_DN.html</t>
  </si>
  <si>
    <t>TORCHIA_TARGETS_OF_EWSR1_FLI1_FUSION_UP</t>
  </si>
  <si>
    <t>9595;3695;2014;6504;139818;283897;83706;89857;2219;1102;348;240;25900;10077;59345;55691</t>
  </si>
  <si>
    <t>CYTIP;ITGB7;EMP3;SLAMF1;DOCK11;C16orf54;FERMT3;KLHL6;FCN1;RCBTB2;APOE;ALOX5;IFFO1;TSPAN32;GNB4;FRMD4A</t>
  </si>
  <si>
    <t>http://www.broadinstitute.org/gsea/msigdb/cards/TORCHIA_TARGETS_OF_EWSR1_FLI1_FUSION_UP.html</t>
  </si>
  <si>
    <t>JAZAG_TGFB1_SIGNALING_VIA_SMAD4_DN</t>
  </si>
  <si>
    <t>4242;6688;2123;3695;3937;4049;5452;3274</t>
  </si>
  <si>
    <t>MFNG;SPI1;EVI2A;ITGB7;LCP2;LTA;POU2F2;HRH2</t>
  </si>
  <si>
    <t>http://www.broadinstitute.org/gsea/msigdb/cards/JAZAG_TGFB1_SIGNALING_VIA_SMAD4_DN.html</t>
  </si>
  <si>
    <t>KEGG_NEUROACTIVE_LIGAND_RECEPTOR_INTERACTION</t>
  </si>
  <si>
    <t>27334;3001;5734;719;286530;53829;57105;2357;728;3274;2359;2358;5724;6753;3363;5027</t>
  </si>
  <si>
    <t>P2RY10;GZMA;PTGER4;C3AR1;P2RY8;P2RY13;CYSLTR2;FPR1;C5AR1;HRH2;FPR3;FPR2;PTAFR;SSTR3;HTR7;P2RX7</t>
  </si>
  <si>
    <t>http://www.broadinstitute.org/gsea/msigdb/cards/KEGG_NEUROACTIVE_LIGAND_RECEPTOR_INTERACTION.html</t>
  </si>
  <si>
    <t>SWEET_LUNG_CANCER_KRAS_DN</t>
  </si>
  <si>
    <t>915;3055;2633;10875;115361;64231;55303;9034;19;3553;5552;4066;2113;3290;54331;5376;4208;4050;9806;59345;23166</t>
  </si>
  <si>
    <t>CD3D;HCK;GBP1;FGL2;GBP4;MS4A6A;GIMAP4;CCRL2;ABCA1;IL1B;SRGN;LYL1;ETS1;HSD11B1;GNG2;PMP22;MEF2C;LTB;SPOCK2;GNB4;STAB1</t>
  </si>
  <si>
    <t>http://www.broadinstitute.org/gsea/msigdb/cards/SWEET_LUNG_CANCER_KRAS_DN.html</t>
  </si>
  <si>
    <t>9051;972;962;399;374403;64092;80342;924;3002</t>
  </si>
  <si>
    <t>PSTPIP1;CD74;CD48;RHOH;TBC1D10C;SAMSN1;TRAF3IP3;CD7;GZMB</t>
  </si>
  <si>
    <t>http://www.broadinstitute.org/gsea/msigdb/cards/ALCALA_APOPTOSIS.html</t>
  </si>
  <si>
    <t>PHONG_TNF_RESPONSE_NOT_VIA_P38</t>
  </si>
  <si>
    <t>9404;3627;3659;7133;2633;8514;23048;6793;19;1435;5552;2113;4208;4050;3604;7185;597;4215</t>
  </si>
  <si>
    <t>LPXN;CXCL10;IRF1;TNFRSF1B;GBP1;KCNAB2;FNBP1;STK10;ABCA1;CSF1;SRGN;ETS1;MEF2C;LTB;TNFRSF9;TRAF1;BCL2A1;MAP3K3</t>
  </si>
  <si>
    <t>http://www.broadinstitute.org/gsea/msigdb/cards/PHONG_TNF_RESPONSE_NOT_VIA_P38.html</t>
  </si>
  <si>
    <t>FONTAINE_FOLLICULAR_THYROID_ADENOMA_DN</t>
  </si>
  <si>
    <t>11025;3559;6688;10437;3059;7454;3824;29126</t>
  </si>
  <si>
    <t>LILRB3;IL2RA;SPI1;IFI30;HCLS1;WAS;KLRD1;CD274</t>
  </si>
  <si>
    <t>http://www.broadinstitute.org/gsea/msigdb/cards/FONTAINE_FOLLICULAR_THYROID_ADENOMA_DN.html</t>
  </si>
  <si>
    <t>GAVIN_IL2_RESPONSIVE_FOXP3_TARGETS_UP</t>
  </si>
  <si>
    <t>3559;3560;3587;50943;55013</t>
  </si>
  <si>
    <t>IL2RA;IL2RB;IL10RA;FOXP3;MCUB</t>
  </si>
  <si>
    <t>http://www.broadinstitute.org/gsea/msigdb/cards/GAVIN_IL2_RESPONSIVE_FOXP3_TARGETS_UP.html</t>
  </si>
  <si>
    <t>LEE_NAIVE_T_LYMPHOCYTE</t>
  </si>
  <si>
    <t>348378;117289;128346;55340;155038</t>
  </si>
  <si>
    <t>SHISAL2A;TAGAP;C1orf162;GIMAP5;GIMAP8</t>
  </si>
  <si>
    <t>http://www.broadinstitute.org/gsea/msigdb/cards/LEE_NAIVE_T_LYMPHOCYTE.html</t>
  </si>
  <si>
    <t>MIKKELSEN_ES_ICP_WITH_H3K4ME3_AND_H3K27ME3</t>
  </si>
  <si>
    <t>11151;10875;55016;4049;4066;5816;943;4261;10457;54518;53831</t>
  </si>
  <si>
    <t>CORO1A;FGL2;MARCH1;LTA;LYL1;PVALB;TNFRSF8;CIITA;GPNMB;APBB1IP;GPR84</t>
  </si>
  <si>
    <t>http://www.broadinstitute.org/gsea/msigdb/cards/MIKKELSEN_ES_ICP_WITH_H3K4ME3_AND_H3K27ME3.html</t>
  </si>
  <si>
    <t>REACTOME_LATENT_INFECTION_OF_HOMO_SAPIENS_WITH_MYCOBACTERIUM_TUBERCULOSIS</t>
  </si>
  <si>
    <t>1536;4689;4688;526;6556;245972</t>
  </si>
  <si>
    <t>CYBB;NCF4;NCF2;ATP6V1B2;SLC11A1;ATP6V0D2</t>
  </si>
  <si>
    <t>http://www.broadinstitute.org/gsea/msigdb/cards/REACTOME_LATENT_INFECTION_OF_HOMO_SAPIENS_WITH_MYCOBACTERIUM_TUBERCULOSIS.html</t>
  </si>
  <si>
    <t>PID_IL2_PI3K_PATHWAY</t>
  </si>
  <si>
    <t>3559;3932;3560;3561;596;3718</t>
  </si>
  <si>
    <t>IL2RA;LCK;IL2RB;IL2RG;BCL2;JAK3</t>
  </si>
  <si>
    <t>http://www.broadinstitute.org/gsea/msigdb/cards/PID_IL2_PI3K_PATHWAY.html</t>
  </si>
  <si>
    <t>PID_EPHA_FWDPATHWAY</t>
  </si>
  <si>
    <t>3932;3055;2268;5294;23533;146850</t>
  </si>
  <si>
    <t>LCK;HCK;FGR;PIK3CG;PIK3R5;PIK3R6</t>
  </si>
  <si>
    <t>http://www.broadinstitute.org/gsea/msigdb/cards/PID_EPHA_FWDPATHWAY.html</t>
  </si>
  <si>
    <t>TAKEDA_TARGETS_OF_NUP98_HOXA9_FUSION_10D_UP</t>
  </si>
  <si>
    <t>3627;3695;2633;2322;6772;151888;255231;160365;353514;6546;1235;11027;51676</t>
  </si>
  <si>
    <t>CXCL10;ITGB7;GBP1;FLT3;STAT1;BTLA;MCOLN2;CLECL1;LILRA5;SLC8A1;CCR6;LILRA2;ASB2</t>
  </si>
  <si>
    <t>http://www.broadinstitute.org/gsea/msigdb/cards/TAKEDA_TARGETS_OF_NUP98_HOXA9_FUSION_10D_UP.html</t>
  </si>
  <si>
    <t>REACTOME_NEF_MEDIATES_DOWN_MODULATION_OF_CELL_SURFACE_RECEPTORS_BY_RECRUITING_THEM_TO_CLATHRIN_ADAPTERS</t>
  </si>
  <si>
    <t>920;3932;940;926;8905</t>
  </si>
  <si>
    <t>CD4;LCK;CD28;CD8B;AP1S2</t>
  </si>
  <si>
    <t>http://www.broadinstitute.org/gsea/msigdb/cards/REACTOME_NEF_MEDIATES_DOWN_MODULATION_OF_CELL_SURFACE_RECEPTORS_BY_RECRUITING_THEM_TO_CLATHRIN_ADAPTERS.html</t>
  </si>
  <si>
    <t>HENDRICKS_SMARCA4_TARGETS_DN</t>
  </si>
  <si>
    <t>10663;972;54209;10870;3122;1230;1235</t>
  </si>
  <si>
    <t>CXCR6;CD74;TREM2;HCST;HLA-DRA;CCR1;CCR6</t>
  </si>
  <si>
    <t>http://www.broadinstitute.org/gsea/msigdb/cards/HENDRICKS_SMARCA4_TARGETS_DN.html</t>
  </si>
  <si>
    <t>BIOCARTA_IL5_PATHWAY</t>
  </si>
  <si>
    <t>920;3553;3122;3123</t>
  </si>
  <si>
    <t>CD4;IL1B;HLA-DRA;HLA-DRB1</t>
  </si>
  <si>
    <t>http://www.broadinstitute.org/gsea/msigdb/cards/BIOCARTA_IL5_PATHWAY.html</t>
  </si>
  <si>
    <t>SHANK_TAL1_TARGETS_DN</t>
  </si>
  <si>
    <t>920;923;921;596</t>
  </si>
  <si>
    <t>CD4;CD6;CD5;BCL2</t>
  </si>
  <si>
    <t>http://www.broadinstitute.org/gsea/msigdb/cards/SHANK_TAL1_TARGETS_DN.html</t>
  </si>
  <si>
    <t>VALK_AML_CLUSTER_11</t>
  </si>
  <si>
    <t>474344;55340;4261;1601;10184;51466</t>
  </si>
  <si>
    <t>GIMAP6;GIMAP5;CIITA;DAB2;LHFPL2;EVL</t>
  </si>
  <si>
    <t>http://www.broadinstitute.org/gsea/msigdb/cards/VALK_AML_CLUSTER_11.html</t>
  </si>
  <si>
    <t>REACTOME_G_ALPHA1213_SIGNALLING_EVENTS</t>
  </si>
  <si>
    <t>391;9459;221472;57580;54331;10672;89846;59345</t>
  </si>
  <si>
    <t>RHOG;ARHGEF6;FGD2;PREX1;GNG2;GNA13;FGD3;GNB4</t>
  </si>
  <si>
    <t>http://www.broadinstitute.org/gsea/msigdb/cards/REACTOME_G_ALPHA1213_SIGNALLING_EVENTS.html</t>
  </si>
  <si>
    <t>WANG_ESOPHAGUS_CANCER_VS_NORMAL_UP</t>
  </si>
  <si>
    <t>6351;7133;2207;1236;1439;7805;366;3684;10437;3127</t>
  </si>
  <si>
    <t>CCL4;TNFRSF1B;FCER1G;CCR7;CSF2RB;LAPTM5;AQP9;ITGAM;IFI30;HLA-DRB5</t>
  </si>
  <si>
    <t>http://www.broadinstitute.org/gsea/msigdb/cards/WANG_ESOPHAGUS_CANCER_VS_NORMAL_UP.html</t>
  </si>
  <si>
    <t>PARK_TRETINOIN_RESPONSE_AND_RARA_PLZF_FUSION</t>
  </si>
  <si>
    <t>5341;2268;6688;241;6518</t>
  </si>
  <si>
    <t>PLEK;FGR;SPI1;ALOX5AP;SLC2A5</t>
  </si>
  <si>
    <t>http://www.broadinstitute.org/gsea/msigdb/cards/PARK_TRETINOIN_RESPONSE_AND_RARA_PLZF_FUSION.html</t>
  </si>
  <si>
    <t>PID_GMCSF_PATHWAY</t>
  </si>
  <si>
    <t>1439;6772;3394;3635;3717;6776</t>
  </si>
  <si>
    <t>CSF2RB;STAT1;IRF8;INPP5D;JAK2;STAT5A</t>
  </si>
  <si>
    <t>http://www.broadinstitute.org/gsea/msigdb/cards/PID_GMCSF_PATHWAY.html</t>
  </si>
  <si>
    <t>CHARAFE_BREAST_CANCER_LUMINAL_VS_MESENCHYMAL_DN</t>
  </si>
  <si>
    <t>7456;3575;2014;4354;2313;54557;10019;6793;5552;2113;11010;8905;54331;1601;5376;6891;4240;55704;51762;55619;84034</t>
  </si>
  <si>
    <t>WIPF1;IL7R;EMP3;MPP1;FLI1;SGTB;SH2B3;STK10;SRGN;ETS1;GLIPR1;AP1S2;GNG2;DAB2;PMP22;TAP2;MFGE8;CCDC88A;RAB8B;DOCK10;EMILIN2</t>
  </si>
  <si>
    <t>http://www.broadinstitute.org/gsea/msigdb/cards/CHARAFE_BREAST_CANCER_LUMINAL_VS_MESENCHYMAL_DN.html</t>
  </si>
  <si>
    <t>REACTOME_ANTIGEN_PROCESSING_CROSS_PRESENTATION</t>
  </si>
  <si>
    <t>1536;2209;6890;4689;2210;4688;4360;6891</t>
  </si>
  <si>
    <t>CYBB;FCGR1A;TAP1;NCF4;FCGR1B;NCF2;MRC1;TAP2</t>
  </si>
  <si>
    <t>http://www.broadinstitute.org/gsea/msigdb/cards/REACTOME_ANTIGEN_PROCESSING_CROSS_PRESENTATION.html</t>
  </si>
  <si>
    <t>LIM_MAMMARY_LUMINAL_MATURE_DN</t>
  </si>
  <si>
    <t>366;348;2113;6507;1601;84034;81553;55691;11217</t>
  </si>
  <si>
    <t>AQP9;APOE;ETS1;SLC1A3;DAB2;EMILIN2;FAM49A;FRMD4A;AKAP2</t>
  </si>
  <si>
    <t>http://www.broadinstitute.org/gsea/msigdb/cards/LIM_MAMMARY_LUMINAL_MATURE_DN.html</t>
  </si>
  <si>
    <t>BIOCARTA_LYM_PATHWAY</t>
  </si>
  <si>
    <t>3689;3676;3683;6402</t>
  </si>
  <si>
    <t>ITGB2;ITGA4;ITGAL;SELL</t>
  </si>
  <si>
    <t>http://www.broadinstitute.org/gsea/msigdb/cards/BIOCARTA_LYM_PATHWAY.html</t>
  </si>
  <si>
    <t>REACTOME_IL_7_SIGNALING</t>
  </si>
  <si>
    <t>3575;3561;6776;3718</t>
  </si>
  <si>
    <t>IL7R;IL2RG;STAT5A;JAK3</t>
  </si>
  <si>
    <t>http://www.broadinstitute.org/gsea/msigdb/cards/REACTOME_IL_7_SIGNALING.html</t>
  </si>
  <si>
    <t>REACTOME_CD28_DEPENDENT_VAV1_PATHWAY</t>
  </si>
  <si>
    <t>3932;940;941;942</t>
  </si>
  <si>
    <t>LCK;CD28;CD80;CD86</t>
  </si>
  <si>
    <t>http://www.broadinstitute.org/gsea/msigdb/cards/REACTOME_CD28_DEPENDENT_VAV1_PATHWAY.html</t>
  </si>
  <si>
    <t>SEIKE_LUNG_CANCER_POOR_SURVIVAL</t>
  </si>
  <si>
    <t>3458;3553;1435;3586</t>
  </si>
  <si>
    <t>IFNG;IL1B;CSF1;IL10</t>
  </si>
  <si>
    <t>http://www.broadinstitute.org/gsea/msigdb/cards/SEIKE_LUNG_CANCER_POOR_SURVIVAL.html</t>
  </si>
  <si>
    <t>HOFMANN_MYELODYSPLASTIC_SYNDROM_RISK_DN</t>
  </si>
  <si>
    <t>4332;5294;3937;399;4818</t>
  </si>
  <si>
    <t>MNDA;PIK3CG;LCP2;RHOH;NKG7</t>
  </si>
  <si>
    <t>http://www.broadinstitute.org/gsea/msigdb/cards/HOFMANN_MYELODYSPLASTIC_SYNDROM_RISK_DN.html</t>
  </si>
  <si>
    <t>BYSTRYKH_HEMATOPOIESIS_STEM_CELL_QTL_TRANS</t>
  </si>
  <si>
    <t>4542;7456;10068;3627;972;929;962;2209;3001;6351;3560;3695;4354;3394;399;219972;8742;4094;921;2212;6037;526;728;4481;943;140885;8809;10672;5133;100506736;54518;4644</t>
  </si>
  <si>
    <t>MYO1F;WIPF1;IL18BP;CXCL10;CD74;CD14;CD48;FCGR1A;GZMA;CCL4;IL2RB;ITGB7;MPP1;IRF8;RHOH;MPEG1;TNFSF12;MAF;CD5;FCGR2A;RNASE3;ATP6V1B2;C5AR1;MSR1;TNFRSF8;SIRPA;IL18R1;GNA13;PDCD1;SLFN12L;APBB1IP;MYO5A</t>
  </si>
  <si>
    <t>http://www.broadinstitute.org/gsea/msigdb/cards/BYSTRYKH_HEMATOPOIESIS_STEM_CELL_QTL_TRANS.html</t>
  </si>
  <si>
    <t>SENESE_HDAC1_AND_HDAC2_TARGETS_UP</t>
  </si>
  <si>
    <t>9404;3575;7805;10019;6793;5452;5552;8905;4050;11009;10672;597;50515;55691</t>
  </si>
  <si>
    <t>LPXN;IL7R;LAPTM5;SH2B3;STK10;POU2F2;SRGN;AP1S2;LTB;IL24;GNA13;BCL2A1;CHST11;FRMD4A</t>
  </si>
  <si>
    <t>http://www.broadinstitute.org/gsea/msigdb/cards/SENESE_HDAC1_AND_HDAC2_TARGETS_UP.html</t>
  </si>
  <si>
    <t>KEGG_FC_EPSILON_RI_SIGNALING_PATHWAY</t>
  </si>
  <si>
    <t>5579;2207;5294;695;3937;23533;3635;26279</t>
  </si>
  <si>
    <t>PRKCB;FCER1G;PIK3CG;BTK;LCP2;PIK3R5;INPP5D;PLA2G2D</t>
  </si>
  <si>
    <t>http://www.broadinstitute.org/gsea/msigdb/cards/KEGG_FC_EPSILON_RI_SIGNALING_PATHWAY.html</t>
  </si>
  <si>
    <t>REACTOME_INTEGRIN_CELL_SURFACE_INTERACTIONS</t>
  </si>
  <si>
    <t>3689;3683;3687;3695;3684;10235;54518;120425</t>
  </si>
  <si>
    <t>ITGB2;ITGAL;ITGAX;ITGB7;ITGAM;RASGRP2;APBB1IP;JAML</t>
  </si>
  <si>
    <t>http://www.broadinstitute.org/gsea/msigdb/cards/REACTOME_INTEGRIN_CELL_SURFACE_INTERACTIONS.html</t>
  </si>
  <si>
    <t>BIOCARTA_TPO_PATHWAY</t>
  </si>
  <si>
    <t>5579;6772;5294;3717;6776</t>
  </si>
  <si>
    <t>PRKCB;STAT1;PIK3CG;JAK2;STAT5A</t>
  </si>
  <si>
    <t>http://www.broadinstitute.org/gsea/msigdb/cards/BIOCARTA_TPO_PATHWAY.html</t>
  </si>
  <si>
    <t>WANG_IMMORTALIZED_BY_HOXA9_AND_MEIS1_DN</t>
  </si>
  <si>
    <t>9450;3575;3695;2322;51744</t>
  </si>
  <si>
    <t>LY86;IL7R;ITGB7;FLT3;CD244</t>
  </si>
  <si>
    <t>http://www.broadinstitute.org/gsea/msigdb/cards/WANG_IMMORTALIZED_BY_HOXA9_AND_MEIS1_DN.html</t>
  </si>
  <si>
    <t>11309;3932;917;7805;92241;2672;64333;5816;140885;79630</t>
  </si>
  <si>
    <t>SLCO2B1;LCK;CD3G;LAPTM5;RCSD1;GFI1;ARHGAP9;PVALB;SIRPA;C1orf54</t>
  </si>
  <si>
    <t>http://www.broadinstitute.org/gsea/msigdb/cards/BHATI_G2M_ARREST_BY_2METHOXYESTRADIOL_DN.html</t>
  </si>
  <si>
    <t>BASSO_HAIRY_CELL_LEUKEMIA_UP</t>
  </si>
  <si>
    <t>2322;199;10288;10154;27306;4094;1102;54504</t>
  </si>
  <si>
    <t>FLT3;AIF1;LILRB2;PLXNC1;HPGDS;MAF;RCBTB2;CPVL</t>
  </si>
  <si>
    <t>http://www.broadinstitute.org/gsea/msigdb/cards/BASSO_HAIRY_CELL_LEUKEMIA_UP.html</t>
  </si>
  <si>
    <t>REACTOME_SIGNAL_REGULATORY_PROTEIN_SIRP_FAMILY_INTERACTIONS</t>
  </si>
  <si>
    <t>2533;7305;55423;140885</t>
  </si>
  <si>
    <t>FYB1;TYROBP;SIRPG;SIRPA</t>
  </si>
  <si>
    <t>http://www.broadinstitute.org/gsea/msigdb/cards/REACTOME_SIGNAL_REGULATORY_PROTEIN_SIRP_FAMILY_INTERACTIONS.html</t>
  </si>
  <si>
    <t>REACTOME_THE_NLRP3_INFLAMMASOME</t>
  </si>
  <si>
    <t>4210;9051;114548;5027</t>
  </si>
  <si>
    <t>MEFV;PSTPIP1;NLRP3;P2RX7</t>
  </si>
  <si>
    <t>http://www.broadinstitute.org/gsea/msigdb/cards/REACTOME_THE_NLRP3_INFLAMMASOME.html</t>
  </si>
  <si>
    <t>SPIELMAN_LYMPHOBLAST_EUROPEAN_VS_ASIAN_DN</t>
  </si>
  <si>
    <t>9046;5788;940;963;2123;51056;2633;6504;3587;399;5800;6039;51284;1102;3936;526;6518;3988;11010;4208;10457;10507;57823;4644</t>
  </si>
  <si>
    <t>DOK2;PTPRC;CD28;CD53;EVI2A;LAP3;GBP1;SLAMF1;IL10RA;RHOH;PTPRO;RNASE6;TLR7;RCBTB2;LCP1;ATP6V1B2;SLC2A5;LIPA;GLIPR1;MEF2C;GPNMB;SEMA4D;SLAMF7;MYO5A</t>
  </si>
  <si>
    <t>http://www.broadinstitute.org/gsea/msigdb/cards/SPIELMAN_LYMPHOBLAST_EUROPEAN_VS_ASIAN_DN.html</t>
  </si>
  <si>
    <t>RUAN_RESPONSE_TO_TNF_UP</t>
  </si>
  <si>
    <t>2633;6772;19;6891</t>
  </si>
  <si>
    <t>GBP1;STAT1;ABCA1;TAP2</t>
  </si>
  <si>
    <t>http://www.broadinstitute.org/gsea/msigdb/cards/RUAN_RESPONSE_TO_TNF_UP.html</t>
  </si>
  <si>
    <t>PID_PDGFRB_PATHWAY</t>
  </si>
  <si>
    <t>3932;3055;2268;6772;5294;23533;3717;6776;6503;146850</t>
  </si>
  <si>
    <t>LCK;HCK;FGR;STAT1;PIK3CG;PIK3R5;JAK2;STAT5A;SLA;PIK3R6</t>
  </si>
  <si>
    <t>http://www.broadinstitute.org/gsea/msigdb/cards/PID_PDGFRB_PATHWAY.html</t>
  </si>
  <si>
    <t>HERNANDEZ_ABERRANT_MITOSIS_BY_DOCETACEL_2NM_UP</t>
  </si>
  <si>
    <t>4068;915;54899;4094;3162;3936;90634;50515</t>
  </si>
  <si>
    <t>SH2D1A;CD3D;PXK;MAF;HMOX1;LCP1;N4BP2L1;CHST11</t>
  </si>
  <si>
    <t>http://www.broadinstitute.org/gsea/msigdb/cards/HERNANDEZ_ABERRANT_MITOSIS_BY_DOCETACEL_2NM_UP.html</t>
  </si>
  <si>
    <t>PID_AMB2_NEUTROPHILS_PATHWAY</t>
  </si>
  <si>
    <t>3689;3932;3055;2268;6404;3684</t>
  </si>
  <si>
    <t>ITGB2;LCK;HCK;FGR;SELPLG;ITGAM</t>
  </si>
  <si>
    <t>http://www.broadinstitute.org/gsea/msigdb/cards/PID_AMB2_NEUTROPHILS_PATHWAY.html</t>
  </si>
  <si>
    <t>KAAB_FAILED_HEART_VENTRICLE_DN</t>
  </si>
  <si>
    <t>1318;713;929;7453;2207;2162</t>
  </si>
  <si>
    <t>SLC31A2;C1QB;CD14;WARS;FCER1G;F13A1</t>
  </si>
  <si>
    <t>http://www.broadinstitute.org/gsea/msigdb/cards/KAAB_FAILED_HEART_VENTRICLE_DN.html</t>
  </si>
  <si>
    <t>REACTOME_G_BETA_GAMMA_SIGNALLING_THROUGH_PI3KGAMMA</t>
  </si>
  <si>
    <t>5294;23533;54331;146850;59345</t>
  </si>
  <si>
    <t>PIK3CG;PIK3R5;GNG2;PIK3R6;GNB4</t>
  </si>
  <si>
    <t>http://www.broadinstitute.org/gsea/msigdb/cards/REACTOME_G_BETA_GAMMA_SIGNALLING_THROUGH_PI3KGAMMA.html</t>
  </si>
  <si>
    <t>LIAN_NEUTROPHIL_GRANULE_CONSTITUENTS</t>
  </si>
  <si>
    <t>1536;3689;1508;5552;2357</t>
  </si>
  <si>
    <t>CYBB;ITGB2;CTSB;SRGN;FPR1</t>
  </si>
  <si>
    <t>http://www.broadinstitute.org/gsea/msigdb/cards/LIAN_NEUTROPHIL_GRANULE_CONSTITUENTS.html</t>
  </si>
  <si>
    <t>GRAESSMANN_APOPTOSIS_BY_SERUM_DEPRIVATION_UP</t>
  </si>
  <si>
    <t>9839;10068;3627;914;2214;3659;6352;5551;6772;81030;27033;1621;1435;3290;3988;3718;6891;90634;100506736;25890;64747;55281;25939</t>
  </si>
  <si>
    <t>ZEB2;IL18BP;CXCL10;CD2;FCGR3A;IRF1;CCL5;PRF1;STAT1;ZBP1;ZBTB32;DBH;CSF1;HSD11B1;LIPA;JAK3;TAP2;N4BP2L1;SLFN12L;ABI3BP;MFSD1;TMEM140;SAMHD1</t>
  </si>
  <si>
    <t>http://www.broadinstitute.org/gsea/msigdb/cards/GRAESSMANN_APOPTOSIS_BY_SERUM_DEPRIVATION_UP.html</t>
  </si>
  <si>
    <t>ONKEN_UVEAL_MELANOMA_UP</t>
  </si>
  <si>
    <t>7456;7305;9839;712;713;972;5788;7453;51056;2207;5734;6772;2014;7805;23048;51393;27299;10154;3122;3115;1508;3956;3059;3113;3108;25900;3123;10184;64780</t>
  </si>
  <si>
    <t>WIPF1;TYROBP;ZEB2;C1QA;C1QB;CD74;PTPRC;WARS;LAP3;FCER1G;PTGER4;STAT1;EMP3;LAPTM5;FNBP1;TRPV2;ADAMDEC1;PLXNC1;HLA-DRA;HLA-DPB1;CTSB;LGALS1;HCLS1;HLA-DPA1;HLA-DMA;IFFO1;HLA-DRB1;LHFPL2;MICAL1</t>
  </si>
  <si>
    <t>http://www.broadinstitute.org/gsea/msigdb/cards/ONKEN_UVEAL_MELANOMA_UP.html</t>
  </si>
  <si>
    <t>ZHENG_FOXP3_TARGETS_UP</t>
  </si>
  <si>
    <t>3559;1493;399;29851;84230</t>
  </si>
  <si>
    <t>IL2RA;CTLA4;RHOH;ICOS;LRRC8C</t>
  </si>
  <si>
    <t>http://www.broadinstitute.org/gsea/msigdb/cards/ZHENG_FOXP3_TARGETS_UP.html</t>
  </si>
  <si>
    <t>PURBEY_TARGETS_OF_CTBP1_NOT_SATB1_DN</t>
  </si>
  <si>
    <t>80833;3932;6036;944;10666;55016;56833;10673;3117;1508;240;54;9938;3718;969;3824;80709;54518;6614;54504</t>
  </si>
  <si>
    <t>APOL3;LCK;RNASE2;TNFSF8;CD226;MARCH1;SLAMF8;TNFSF13B;HLA-DQA1;CTSB;ALOX5;ACP5;ARHGAP25;JAK3;CD69;KLRD1;AKNA;APBB1IP;SIGLEC1;CPVL</t>
  </si>
  <si>
    <t>http://www.broadinstitute.org/gsea/msigdb/cards/PURBEY_TARGETS_OF_CTBP1_NOT_SATB1_DN.html</t>
  </si>
  <si>
    <t>SHIN_B_CELL_LYMPHOMA_CLUSTER_1</t>
  </si>
  <si>
    <t>3458;3659;4283;3586</t>
  </si>
  <si>
    <t>IFNG;IRF1;CXCL9;IL10</t>
  </si>
  <si>
    <t>http://www.broadinstitute.org/gsea/msigdb/cards/SHIN_B_CELL_LYMPHOMA_CLUSTER_1.html</t>
  </si>
  <si>
    <t>GUTIERREZ_WALDENSTROEMS_MACROGLOBULINEMIA_2</t>
  </si>
  <si>
    <t>6036;3113;3108;3123</t>
  </si>
  <si>
    <t>RNASE2;HLA-DPA1;HLA-DMA;HLA-DRB1</t>
  </si>
  <si>
    <t>http://www.broadinstitute.org/gsea/msigdb/cards/GUTIERREZ_WALDENSTROEMS_MACROGLOBULINEMIA_2.html</t>
  </si>
  <si>
    <t>PID_MYC_REPRESS_PATHWAY</t>
  </si>
  <si>
    <t>6352;6688;3394;2672;3956;596;6556</t>
  </si>
  <si>
    <t>CCL5;SPI1;IRF8;GFI1;LGALS1;BCL2;SLC11A1</t>
  </si>
  <si>
    <t>http://www.broadinstitute.org/gsea/msigdb/cards/PID_MYC_REPRESS_PATHWAY.html</t>
  </si>
  <si>
    <t>LEE_DOUBLE_POLAR_THYMOCYTE</t>
  </si>
  <si>
    <t>4068;925;6504;926;10184</t>
  </si>
  <si>
    <t>SH2D1A;CD8A;SLAMF1;CD8B;LHFPL2</t>
  </si>
  <si>
    <t>http://www.broadinstitute.org/gsea/msigdb/cards/LEE_DOUBLE_POLAR_THYMOCYTE.html</t>
  </si>
  <si>
    <t>LIANG_HEMATOPOIESIS_STEM_CELL_NUMBER_LARGE_VS_TINY_UP</t>
  </si>
  <si>
    <t>64333;4481;3109;100506736;10235;59345</t>
  </si>
  <si>
    <t>ARHGAP9;MSR1;HLA-DMB;SLFN12L;RASGRP2;GNB4</t>
  </si>
  <si>
    <t>http://www.broadinstitute.org/gsea/msigdb/cards/LIANG_HEMATOPOIESIS_STEM_CELL_NUMBER_LARGE_VS_TINY_UP.html</t>
  </si>
  <si>
    <t>MIKKELSEN_ES_ICP_WITH_H3K4ME3</t>
  </si>
  <si>
    <t>340152;4242;9046;916;2268;919;3695;53347;283897;257106;256380;1240;51225;225;51393;197135;3108;3988;6556;54331;4033;7185;115727;64780;145864;5027;51063</t>
  </si>
  <si>
    <t>ZC3H12D;MFNG;DOK2;CD3E;FGR;CD247;ITGB7;UBASH3A;C16orf54;ARHGAP30;SCML4;CMKLR1;ABI3;ABCD2;TRPV2;PATL2;HLA-DMA;LIPA;SLC11A1;GNG2;LRMP;TRAF1;RASGRP4;MICAL1;HAPLN3;P2RX7;CALHM2</t>
  </si>
  <si>
    <t>http://www.broadinstitute.org/gsea/msigdb/cards/MIKKELSEN_ES_ICP_WITH_H3K4ME3.html</t>
  </si>
  <si>
    <t>BYSTROEM_CORRELATED_WITH_IL5_DN</t>
  </si>
  <si>
    <t>1536;3683;10320;4064;596;3684;6503</t>
  </si>
  <si>
    <t>CYBB;ITGAL;IKZF1;CD180;BCL2;ITGAM;SLA</t>
  </si>
  <si>
    <t>http://www.broadinstitute.org/gsea/msigdb/cards/BYSTROEM_CORRELATED_WITH_IL5_DN.html</t>
  </si>
  <si>
    <t>PID_TCR_JNK_PATHWAY</t>
  </si>
  <si>
    <t>9402;5579;3937;11184</t>
  </si>
  <si>
    <t>GRAP2;PRKCB;LCP2;MAP4K1</t>
  </si>
  <si>
    <t>http://www.broadinstitute.org/gsea/msigdb/cards/PID_TCR_JNK_PATHWAY.html</t>
  </si>
  <si>
    <t>IWANAGA_CARCINOGENESIS_BY_KRAS_PTEN_DN</t>
  </si>
  <si>
    <t>5788;940;3001;11151;3561;3394;474344;64231;225;29851;6402;9938;5376;85464;10235;59345;4644</t>
  </si>
  <si>
    <t>PTPRC;CD28;GZMA;CORO1A;IL2RG;IRF8;GIMAP6;MS4A6A;ABCD2;ICOS;SELL;ARHGAP25;PMP22;SSH2;RASGRP2;GNB4;MYO5A</t>
  </si>
  <si>
    <t>http://www.broadinstitute.org/gsea/msigdb/cards/IWANAGA_CARCINOGENESIS_BY_KRAS_PTEN_DN.html</t>
  </si>
  <si>
    <t>VART_KSHV_INFECTION_ANGIOGENIC_MARKERS_UP</t>
  </si>
  <si>
    <t>3627;6352;1234;4283;6373;8742;3553;3162;3586;4327;23166</t>
  </si>
  <si>
    <t>CXCL10;CCL5;CCR5;CXCL9;CXCL11;TNFSF12;IL1B;HMOX1;IL10;MMP19;STAB1</t>
  </si>
  <si>
    <t>http://www.broadinstitute.org/gsea/msigdb/cards/VART_KSHV_INFECTION_ANGIOGENIC_MARKERS_UP.html</t>
  </si>
  <si>
    <t>REACTOME_G_PROTEIN_BETA_GAMMA_SIGNALLING</t>
  </si>
  <si>
    <t>http://www.broadinstitute.org/gsea/msigdb/cards/REACTOME_G_PROTEIN_BETA_GAMMA_SIGNALLING.html</t>
  </si>
  <si>
    <t>BOQUEST_STEM_CELL_CULTURED_VS_FRESH_UP</t>
  </si>
  <si>
    <t>80833;3627;3659;3676;7453;10875;5800;4094;348;341;5552;3113;11010;10457;90634;25890;79895;25939;9935</t>
  </si>
  <si>
    <t>APOL3;CXCL10;IRF1;ITGA4;WARS;FGL2;PTPRO;MAF;APOE;APOC1;SRGN;HLA-DPA1;GLIPR1;GPNMB;N4BP2L1;ABI3BP;ATP8B4;SAMHD1;MAFB</t>
  </si>
  <si>
    <t>http://www.broadinstitute.org/gsea/msigdb/cards/BOQUEST_STEM_CELL_CULTURED_VS_FRESH_UP.html</t>
  </si>
  <si>
    <t>HATADA_METHYLATED_IN_LUNG_CANCER_UP</t>
  </si>
  <si>
    <t>3932;6504;3603;3662;92241;197358;150372;23533;64170;11314;2811;1435;4066;10235;155038;9806;145581;51513</t>
  </si>
  <si>
    <t>LCK;SLAMF1;IL16;IRF4;RCSD1;NLRC3;NFAM1;PIK3R5;CARD9;CD300A;GP1BA;CSF1;LYL1;RASGRP2;GIMAP8;SPOCK2;LRFN5;ETV7</t>
  </si>
  <si>
    <t>http://www.broadinstitute.org/gsea/msigdb/cards/HATADA_METHYLATED_IN_LUNG_CANCER_UP.html</t>
  </si>
  <si>
    <t>KIM_GERMINAL_CENTER_T_HELPER_UP</t>
  </si>
  <si>
    <t>4068;6772;89857;55303;8832;2113;8905</t>
  </si>
  <si>
    <t>SH2D1A;STAT1;KLHL6;GIMAP4;CD84;ETS1;AP1S2</t>
  </si>
  <si>
    <t>http://www.broadinstitute.org/gsea/msigdb/cards/KIM_GERMINAL_CENTER_T_HELPER_UP.html</t>
  </si>
  <si>
    <t>KYNG_DNA_DAMAGE_UP</t>
  </si>
  <si>
    <t>925;1536;2123;3937;11262;3603;719;1794;3059;6507;1601;4208;8809</t>
  </si>
  <si>
    <t>CD8A;CYBB;EVI2A;LCP2;SP140;IL16;C3AR1;DOCK2;HCLS1;SLC1A3;DAB2;MEF2C;IL18R1</t>
  </si>
  <si>
    <t>http://www.broadinstitute.org/gsea/msigdb/cards/KYNG_DNA_DAMAGE_UP.html</t>
  </si>
  <si>
    <t>SHEN_SMARCA2_TARGETS_DN</t>
  </si>
  <si>
    <t>4242;11025;10068;5341;944;3662;114548;27128;27036;8564;11024;4049;3111;5452;356;4327;27240</t>
  </si>
  <si>
    <t>MFNG;LILRB3;IL18BP;PLEK;TNFSF8;IRF4;NLRP3;CYTH4;SIGLEC7;KMO;LILRA1;LTA;HLA-DOA;POU2F2;FASLG;MMP19;SIT1</t>
  </si>
  <si>
    <t>http://www.broadinstitute.org/gsea/msigdb/cards/SHEN_SMARCA2_TARGETS_DN.html</t>
  </si>
  <si>
    <t>LEE_RECENT_THYMIC_EMIGRANT</t>
  </si>
  <si>
    <t>4068;3001;1236;5734;199;219972;6039;9034;29909;814;441168;90634;59345</t>
  </si>
  <si>
    <t>SH2D1A;GZMA;CCR7;PTGER4;AIF1;MPEG1;RNASE6;CCRL2;GPR171;CAMK4;CALHM6;N4BP2L1;GNB4</t>
  </si>
  <si>
    <t>http://www.broadinstitute.org/gsea/msigdb/cards/LEE_RECENT_THYMIC_EMIGRANT.html</t>
  </si>
  <si>
    <t>SCHAEFFER_PROSTATE_DEVELOPMENT_48HR_DN</t>
  </si>
  <si>
    <t>7305;11309;712;714;5579;3659;3676;124460;57580;58475;55589;1508;9938;6507;1601;375387;145581;81553;83937</t>
  </si>
  <si>
    <t>TYROBP;SLCO2B1;C1QA;C1QC;PRKCB;IRF1;ITGA4;SNX20;PREX1;MS4A7;BMP2K;CTSB;ARHGAP25;SLC1A3;DAB2;NRROS;LRFN5;FAM49A;RASSF4</t>
  </si>
  <si>
    <t>http://www.broadinstitute.org/gsea/msigdb/cards/SCHAEFFER_PROSTATE_DEVELOPMENT_48HR_DN.html</t>
  </si>
  <si>
    <t>MARSHALL_VIRAL_INFECTION_RESPONSE_DN</t>
  </si>
  <si>
    <t>3001;3695;924;3002;10235</t>
  </si>
  <si>
    <t>GZMA;ITGB7;CD7;GZMB;RASGRP2</t>
  </si>
  <si>
    <t>http://www.broadinstitute.org/gsea/msigdb/cards/MARSHALL_VIRAL_INFECTION_RESPONSE_DN.html</t>
  </si>
  <si>
    <t>MARKS_HDAC_TARGETS_DN</t>
  </si>
  <si>
    <t>3458;3553;596;6776</t>
  </si>
  <si>
    <t>IFNG;IL1B;BCL2;STAT5A</t>
  </si>
  <si>
    <t>http://www.broadinstitute.org/gsea/msigdb/cards/MARKS_HDAC_TARGETS_DN.html</t>
  </si>
  <si>
    <t>GAVIN_FOXP3_TARGETS_CLUSTER_P7</t>
  </si>
  <si>
    <t>5551;2123;51284;3586;356;3003;55911;3824</t>
  </si>
  <si>
    <t>PRF1;EVI2A;TLR7;IL10;FASLG;GZMK;APOBR;KLRD1</t>
  </si>
  <si>
    <t>http://www.broadinstitute.org/gsea/msigdb/cards/GAVIN_FOXP3_TARGETS_CLUSTER_P7.html</t>
  </si>
  <si>
    <t>KHETCHOUMIAN_TRIM24_TARGETS_UP</t>
  </si>
  <si>
    <t>1536;3055;3683;6772;7805;3956</t>
  </si>
  <si>
    <t>CYBB;HCK;ITGAL;STAT1;LAPTM5;LGALS1</t>
  </si>
  <si>
    <t>http://www.broadinstitute.org/gsea/msigdb/cards/KHETCHOUMIAN_TRIM24_TARGETS_UP.html</t>
  </si>
  <si>
    <t>BROWNE_HCMV_INFECTION_48HR_DN</t>
  </si>
  <si>
    <t>27334;9214;4068;3458;3689;3676;2350;11151;6772;2014;719;5800;9056;80342;10154;5816;2358;3988;11010;3003;10235</t>
  </si>
  <si>
    <t>P2RY10;FCMR;SH2D1A;IFNG;ITGB2;ITGA4;FOLR2;CORO1A;STAT1;EMP3;C3AR1;PTPRO;SLC7A7;TRAF3IP3;PLXNC1;PVALB;FPR2;LIPA;GLIPR1;GZMK;RASGRP2</t>
  </si>
  <si>
    <t>http://www.broadinstitute.org/gsea/msigdb/cards/BROWNE_HCMV_INFECTION_48HR_DN.html</t>
  </si>
  <si>
    <t>REACTOME_SEMAPHORIN_INTERACTIONS</t>
  </si>
  <si>
    <t>7305;5788;971;391;54209;10154;10507</t>
  </si>
  <si>
    <t>TYROBP;PTPRC;CD72;RHOG;TREM2;PLXNC1;SEMA4D</t>
  </si>
  <si>
    <t>http://www.broadinstitute.org/gsea/msigdb/cards/REACTOME_SEMAPHORIN_INTERACTIONS.html</t>
  </si>
  <si>
    <t>BASSO_CD40_SIGNALING_DN</t>
  </si>
  <si>
    <t>3695;1439;199;4689;6518;4050;10235</t>
  </si>
  <si>
    <t>ITGB7;CSF2RB;AIF1;NCF4;SLC2A5;LTB;RASGRP2</t>
  </si>
  <si>
    <t>http://www.broadinstitute.org/gsea/msigdb/cards/BASSO_CD40_SIGNALING_DN.html</t>
  </si>
  <si>
    <t>MCCABE_BOUND_BY_HOXC6</t>
  </si>
  <si>
    <t>6036;923;1439;4354;8477;8530;5552;6037;5724;6507;969;11009;3824;161176;206358;25780;80821;84329;81553;22900</t>
  </si>
  <si>
    <t>RNASE2;CD6;CSF2RB;MPP1;GPR65;CST7;SRGN;RNASE3;PTAFR;SLC1A3;CD69;IL24;KLRD1;SYNE3;SLC36A1;RASGRP3;DDHD1;HVCN1;FAM49A;CARD8</t>
  </si>
  <si>
    <t>http://www.broadinstitute.org/gsea/msigdb/cards/MCCABE_BOUND_BY_HOXC6.html</t>
  </si>
  <si>
    <t>PID_RAS_PATHWAY</t>
  </si>
  <si>
    <t>5579;3956;10235;25780;115727</t>
  </si>
  <si>
    <t>PRKCB;LGALS1;RASGRP2;RASGRP3;RASGRP4</t>
  </si>
  <si>
    <t>http://www.broadinstitute.org/gsea/msigdb/cards/PID_RAS_PATHWAY.html</t>
  </si>
  <si>
    <t>PLASARI_TGFB1_SIGNALING_VIA_NFIC_10HR_DN</t>
  </si>
  <si>
    <t>2313;283897;1794;4066;9935</t>
  </si>
  <si>
    <t>FLI1;C16orf54;DOCK2;LYL1;MAFB</t>
  </si>
  <si>
    <t>http://www.broadinstitute.org/gsea/msigdb/cards/PLASARI_TGFB1_SIGNALING_VIA_NFIC_10HR_DN.html</t>
  </si>
  <si>
    <t>KEGG_COMPLEMENT_AND_COAGULATION_CASCADES</t>
  </si>
  <si>
    <t>712;713;714;1378;719;2162;728</t>
  </si>
  <si>
    <t>C1QA;C1QB;C1QC;CR1;C3AR1;F13A1;C5AR1</t>
  </si>
  <si>
    <t>http://www.broadinstitute.org/gsea/msigdb/cards/KEGG_COMPLEMENT_AND_COAGULATION_CASCADES.html</t>
  </si>
  <si>
    <t>HOWLIN_PUBERTAL_MAMMARY_GLAND</t>
  </si>
  <si>
    <t>951;2123;1508;4481;3290;2213;54518</t>
  </si>
  <si>
    <t>CD37;EVI2A;CTSB;MSR1;HSD11B1;FCGR2B;APBB1IP</t>
  </si>
  <si>
    <t>http://www.broadinstitute.org/gsea/msigdb/cards/HOWLIN_PUBERTAL_MAMMARY_GLAND.html</t>
  </si>
  <si>
    <t>LINDSTEDT_DENDRITIC_CELL_MATURATION_C</t>
  </si>
  <si>
    <t>1236;2322;942;29909;3115;6776;90634</t>
  </si>
  <si>
    <t>CCR7;FLT3;CD86;GPR171;HLA-DPB1;STAT5A;N4BP2L1</t>
  </si>
  <si>
    <t>http://www.broadinstitute.org/gsea/msigdb/cards/LINDSTEDT_DENDRITIC_CELL_MATURATION_C.html</t>
  </si>
  <si>
    <t>KOINUMA_COLON_CANCER_MSI_UP</t>
  </si>
  <si>
    <t>3627;51056;4283;3109</t>
  </si>
  <si>
    <t>CXCL10;LAP3;CXCL9;HLA-DMB</t>
  </si>
  <si>
    <t>http://www.broadinstitute.org/gsea/msigdb/cards/KOINUMA_COLON_CANCER_MSI_UP.html</t>
  </si>
  <si>
    <t>REACTOME_TOLL_RECEPTOR_CASCADES</t>
  </si>
  <si>
    <t>9450;929;695;4064;51311;51284;7099;1508;4208</t>
  </si>
  <si>
    <t>LY86;CD14;BTK;CD180;TLR8;TLR7;TLR4;CTSB;MEF2C</t>
  </si>
  <si>
    <t>http://www.broadinstitute.org/gsea/msigdb/cards/REACTOME_TOLL_RECEPTOR_CASCADES.html</t>
  </si>
  <si>
    <t>BRUINS_UVC_RESPONSE_VIA_TP53_GROUP_B</t>
  </si>
  <si>
    <t>10663;1318;3683;944;23048;64407;55589;10019;9034;8742;6037;2113;2999;728;3108;3004;4973;6891;4240;10462;55013;29126</t>
  </si>
  <si>
    <t>CXCR6;SLC31A2;ITGAL;TNFSF8;FNBP1;RGS18;BMP2K;SH2B3;CCRL2;TNFSF12;RNASE3;ETS1;GZMH;C5AR1;HLA-DMA;GZMM;OLR1;TAP2;MFGE8;CLEC10A;MCUB;CD274</t>
  </si>
  <si>
    <t>http://www.broadinstitute.org/gsea/msigdb/cards/BRUINS_UVC_RESPONSE_VIA_TP53_GROUP_B.html</t>
  </si>
  <si>
    <t>WANG_IMMORTALIZED_BY_HOXA9_AND_MEIS1_UP</t>
  </si>
  <si>
    <t>22797;10261;7099;3290;64581</t>
  </si>
  <si>
    <t>TFEC;IGSF6;TLR4;HSD11B1;CLEC7A</t>
  </si>
  <si>
    <t>http://www.broadinstitute.org/gsea/msigdb/cards/WANG_IMMORTALIZED_BY_HOXA9_AND_MEIS1_UP.html</t>
  </si>
  <si>
    <t>22797;10261;3458;951;1378;2123;4245;3561;2633;2124;942;6890;4671;6504;3587;9332;8477;55340;23048;55589;8832;29992;353514;27299;7439;6793;19;341;1508;3162;1435;596;6402;3113;7454;6556;3718;3604;10235;25780;11027;10077;4215;64581;7462;54861;56606;9935;51513</t>
  </si>
  <si>
    <t>TFEC;IGSF6;IFNG;CD37;CR1;EVI2A;MGAT1;IL2RG;GBP1;EVI2B;CD86;TAP1;NAIP;SLAMF1;IL10RA;CD163;GPR65;GIMAP5;FNBP1;BMP2K;CD84;PILRA;LILRA5;ADAMDEC1;BEST1;STK10;ABCA1;APOC1;CTSB;HMOX1;CSF1;BCL2;SELL;HLA-DPA1;WAS;SLC11A1;JAK3;TNFRSF9;RASGRP2;RASGRP3;LILRA2;TSPAN32;MAP3K3;CLEC7A;LAT2;SNRK;SLC2A9;MAFB;ETV7</t>
  </si>
  <si>
    <t>http://www.broadinstitute.org/gsea/msigdb/cards/BLALOCK_ALZHEIMERS_DISEASE_UP.html</t>
  </si>
  <si>
    <t>JECHLINGER_EPITHELIAL_TO_MESENCHYMAL_TRANSITION_UP</t>
  </si>
  <si>
    <t>6772;115361;1508;1601;5376;7941;1522</t>
  </si>
  <si>
    <t>STAT1;GBP4;CTSB;DAB2;PMP22;PLA2G7;CTSZ</t>
  </si>
  <si>
    <t>http://www.broadinstitute.org/gsea/msigdb/cards/JECHLINGER_EPITHELIAL_TO_MESENCHYMAL_TRANSITION_UP.html</t>
  </si>
  <si>
    <t>FIGUEROA_AML_METHYLATION_CLUSTER_5_DN</t>
  </si>
  <si>
    <t>915;3689;962;917;170575;55340</t>
  </si>
  <si>
    <t>CD3D;ITGB2;CD48;CD3G;GIMAP1;GIMAP5</t>
  </si>
  <si>
    <t>http://www.broadinstitute.org/gsea/msigdb/cards/FIGUEROA_AML_METHYLATION_CLUSTER_5_DN.html</t>
  </si>
  <si>
    <t>SASAKI_ADULT_T_CELL_LEUKEMIA</t>
  </si>
  <si>
    <t>3559;915;11151;6772;7634;3662;80342;27306;6402;2113;3718</t>
  </si>
  <si>
    <t>IL2RA;CD3D;CORO1A;STAT1;ZNF80;IRF4;TRAF3IP3;HPGDS;SELL;ETS1;JAK3</t>
  </si>
  <si>
    <t>http://www.broadinstitute.org/gsea/msigdb/cards/SASAKI_ADULT_T_CELL_LEUKEMIA.html</t>
  </si>
  <si>
    <t>MIKKELSEN_MEF_ICP_WITH_H3K27ME3</t>
  </si>
  <si>
    <t>712;915;2268;971;64333;4049;5452;5816;943;4261;115727;53831</t>
  </si>
  <si>
    <t>C1QA;CD3D;FGR;CD72;ARHGAP9;LTA;POU2F2;PVALB;TNFRSF8;CIITA;RASGRP4;GPR84</t>
  </si>
  <si>
    <t>http://www.broadinstitute.org/gsea/msigdb/cards/MIKKELSEN_MEF_ICP_WITH_H3K27ME3.html</t>
  </si>
  <si>
    <t>HAN_SATB1_TARGETS_DN</t>
  </si>
  <si>
    <t>9402;80833;3575;2124;7535;6890;91752;3553;341;3111;5552;3988;3718;5376;8809;10457;51762;1522;25939</t>
  </si>
  <si>
    <t>GRAP2;APOL3;IL7R;EVI2B;ZAP70;TAP1;ZNF804A;IL1B;APOC1;HLA-DOA;SRGN;LIPA;JAK3;PMP22;IL18R1;GPNMB;RAB8B;CTSZ;SAMHD1</t>
  </si>
  <si>
    <t>http://www.broadinstitute.org/gsea/msigdb/cards/HAN_SATB1_TARGETS_DN.html</t>
  </si>
  <si>
    <t>XU_HGF_TARGETS_REPRESSED_BY_AKT1_DN</t>
  </si>
  <si>
    <t>963;2207;941;3702;6504;23533;19;6614</t>
  </si>
  <si>
    <t>CD53;FCER1G;CD80;ITK;SLAMF1;PIK3R5;ABCA1;SIGLEC1</t>
  </si>
  <si>
    <t>http://www.broadinstitute.org/gsea/msigdb/cards/XU_HGF_TARGETS_REPRESSED_BY_AKT1_DN.html</t>
  </si>
  <si>
    <t>REACTOME_CD28_CO_STIMULATION</t>
  </si>
  <si>
    <t>9402;3932;940;941;942</t>
  </si>
  <si>
    <t>GRAP2;LCK;CD28;CD80;CD86</t>
  </si>
  <si>
    <t>http://www.broadinstitute.org/gsea/msigdb/cards/REACTOME_CD28_CO_STIMULATION.html</t>
  </si>
  <si>
    <t>BIOCARTA_LAIR_PATHWAY</t>
  </si>
  <si>
    <t>3689;3676;3683;6404</t>
  </si>
  <si>
    <t>ITGB2;ITGA4;ITGAL;SELPLG</t>
  </si>
  <si>
    <t>http://www.broadinstitute.org/gsea/msigdb/cards/BIOCARTA_LAIR_PATHWAY.html</t>
  </si>
  <si>
    <t>RUAN_RESPONSE_TO_TNF_TROGLITAZONE_UP</t>
  </si>
  <si>
    <t>http://www.broadinstitute.org/gsea/msigdb/cards/RUAN_RESPONSE_TO_TNF_TROGLITAZONE_UP.html</t>
  </si>
  <si>
    <t>KLEIN_PRIMARY_EFFUSION_LYMPHOMA_UP</t>
  </si>
  <si>
    <t>3001;3560;6404;3662;3586;943</t>
  </si>
  <si>
    <t>GZMA;IL2RB;SELPLG;IRF4;IL10;TNFRSF8</t>
  </si>
  <si>
    <t>http://www.broadinstitute.org/gsea/msigdb/cards/KLEIN_PRIMARY_EFFUSION_LYMPHOMA_UP.html</t>
  </si>
  <si>
    <t>SEITZ_NEOPLASTIC_TRANSFORMATION_BY_8P_DELETION_UP</t>
  </si>
  <si>
    <t>3627;6352;2633;2124;5734;7099;6373</t>
  </si>
  <si>
    <t>CXCL10;CCL5;GBP1;EVI2B;PTGER4;TLR4;CXCL11</t>
  </si>
  <si>
    <t>http://www.broadinstitute.org/gsea/msigdb/cards/SEITZ_NEOPLASTIC_TRANSFORMATION_BY_8P_DELETION_UP.html</t>
  </si>
  <si>
    <t>ZHOU_INFLAMMATORY_RESPONSE_LIVE_UP</t>
  </si>
  <si>
    <t>9839;3627;2209;6351;941;3394;51284;730249;9034;19;3553;3586;6776;3604;7185;57514;23312;9754;5027;53831</t>
  </si>
  <si>
    <t>ZEB2;CXCL10;FCGR1A;CCL4;CD80;IRF8;TLR7;ACOD1;CCRL2;ABCA1;IL1B;IL10;STAT5A;TNFRSF9;TRAF1;ARHGAP31;DMXL2;STARD8;P2RX7;GPR84</t>
  </si>
  <si>
    <t>http://www.broadinstitute.org/gsea/msigdb/cards/ZHOU_INFLAMMATORY_RESPONSE_LIVE_UP.html</t>
  </si>
  <si>
    <t>DUTTA_APOPTOSIS_VIA_NFKB</t>
  </si>
  <si>
    <t>596;356;7185;597;29126</t>
  </si>
  <si>
    <t>BCL2;FASLG;TRAF1;BCL2A1;CD274</t>
  </si>
  <si>
    <t>http://www.broadinstitute.org/gsea/msigdb/cards/DUTTA_APOPTOSIS_VIA_NFKB.html</t>
  </si>
  <si>
    <t>ZHAN_LATE_DIFFERENTIATION_GENES_UP</t>
  </si>
  <si>
    <t>3676;2014;6404;596;729230</t>
  </si>
  <si>
    <t>ITGA4;EMP3;SELPLG;BCL2;CCR2</t>
  </si>
  <si>
    <t>http://www.broadinstitute.org/gsea/msigdb/cards/ZHAN_LATE_DIFFERENTIATION_GENES_UP.html</t>
  </si>
  <si>
    <t>CAIRO_HEPATOBLASTOMA_CLASSES_DN</t>
  </si>
  <si>
    <t>9404;3932;3560;3820;55340;29909;9881;366;3290;9363;54861;8605</t>
  </si>
  <si>
    <t>LPXN;LCK;IL2RB;KLRB1;GIMAP5;GPR171;TRANK1;AQP9;HSD11B1;RAB33A;SNRK;PLA2G4C</t>
  </si>
  <si>
    <t>http://www.broadinstitute.org/gsea/msigdb/cards/CAIRO_HEPATOBLASTOMA_CLASSES_DN.html</t>
  </si>
  <si>
    <t>PLASARI_TGFB1_SIGNALING_VIA_NFIC_1HR_UP</t>
  </si>
  <si>
    <t>2123;3561;1234;2313;116442</t>
  </si>
  <si>
    <t>EVI2A;IL2RG;CCR5;FLI1;RAB39B</t>
  </si>
  <si>
    <t>http://www.broadinstitute.org/gsea/msigdb/cards/PLASARI_TGFB1_SIGNALING_VIA_NFIC_1HR_UP.html</t>
  </si>
  <si>
    <t>REACTOME_TRANSMEMBRANE_TRANSPORT_OF_SMALL_MOLECULES</t>
  </si>
  <si>
    <t>11309;3101;51296;225;9056;366;3162;526;6518;6546;6507;6556;54331;206358;245972;79895;59345;56606</t>
  </si>
  <si>
    <t>SLCO2B1;HK3;SLC15A3;ABCD2;SLC7A7;AQP9;HMOX1;ATP6V1B2;SLC2A5;SLC8A1;SLC1A3;SLC11A1;GNG2;SLC36A1;ATP6V0D2;ATP8B4;GNB4;SLC2A9</t>
  </si>
  <si>
    <t>http://www.broadinstitute.org/gsea/msigdb/cards/REACTOME_TRANSMEMBRANE_TRANSPORT_OF_SMALL_MOLECULES.html</t>
  </si>
  <si>
    <t>914;6772;64092;3717;3956;3059;4818;132160</t>
  </si>
  <si>
    <t>CD2;STAT1;SAMSN1;JAK2;LGALS1;HCLS1;NKG7;PPM1M</t>
  </si>
  <si>
    <t>http://www.broadinstitute.org/gsea/msigdb/cards/GAVIN_FOXP3_TARGETS_CLUSTER_T7.html</t>
  </si>
  <si>
    <t>MIKKELSEN_MCV6_ICP_WITH_H3K27ME3</t>
  </si>
  <si>
    <t>11151;10875;64333;5452;924;5816;51676</t>
  </si>
  <si>
    <t>CORO1A;FGL2;ARHGAP9;POU2F2;CD7;PVALB;ASB2</t>
  </si>
  <si>
    <t>http://www.broadinstitute.org/gsea/msigdb/cards/MIKKELSEN_MCV6_ICP_WITH_H3K27ME3.html</t>
  </si>
  <si>
    <t>MOREIRA_RESPONSE_TO_TSA_DN</t>
  </si>
  <si>
    <t>3559;915;916;919</t>
  </si>
  <si>
    <t>IL2RA;CD3D;CD3E;CD247</t>
  </si>
  <si>
    <t>http://www.broadinstitute.org/gsea/msigdb/cards/MOREIRA_RESPONSE_TO_TSA_DN.html</t>
  </si>
  <si>
    <t>TUOMISTO_TUMOR_SUPPRESSION_BY_COL13A1_UP</t>
  </si>
  <si>
    <t>93978;3117;3108;3109</t>
  </si>
  <si>
    <t>CLEC6A;HLA-DQA1;HLA-DMA;HLA-DMB</t>
  </si>
  <si>
    <t>http://www.broadinstitute.org/gsea/msigdb/cards/TUOMISTO_TUMOR_SUPPRESSION_BY_COL13A1_UP.html</t>
  </si>
  <si>
    <t>ROSS_AML_WITH_AML1_ETO_FUSION</t>
  </si>
  <si>
    <t>7805;9459;51744;27306;3936;4261;7462</t>
  </si>
  <si>
    <t>LAPTM5;ARHGEF6;CD244;HPGDS;LCP1;CIITA;LAT2</t>
  </si>
  <si>
    <t>http://www.broadinstitute.org/gsea/msigdb/cards/ROSS_AML_WITH_AML1_ETO_FUSION.html</t>
  </si>
  <si>
    <t>TONKS_TARGETS_OF_RUNX1_RUNX1T1_FUSION_SUSTAINED_IN_GRANULOCYTE_DN</t>
  </si>
  <si>
    <t>3587;241;5376</t>
  </si>
  <si>
    <t>IL10RA;ALOX5AP;PMP22</t>
  </si>
  <si>
    <t>http://www.broadinstitute.org/gsea/msigdb/cards/TONKS_TARGETS_OF_RUNX1_RUNX1T1_FUSION_SUSTAINED_IN_GRANULOCYTE_DN.html</t>
  </si>
  <si>
    <t>MCBRYAN_TERMINAL_END_BUD_DN</t>
  </si>
  <si>
    <t>3932;11151;2113</t>
  </si>
  <si>
    <t>LCK;CORO1A;ETS1</t>
  </si>
  <si>
    <t>http://www.broadinstitute.org/gsea/msigdb/cards/MCBRYAN_TERMINAL_END_BUD_DN.html</t>
  </si>
  <si>
    <t>SCHUHMACHER_MYC_TARGETS_DN</t>
  </si>
  <si>
    <t>971;54;9938</t>
  </si>
  <si>
    <t>CD72;ACP5;ARHGAP25</t>
  </si>
  <si>
    <t>http://www.broadinstitute.org/gsea/msigdb/cards/SCHUHMACHER_MYC_TARGETS_DN.html</t>
  </si>
  <si>
    <t>DARWICHE_SKIN_TUMOR_PROMOTER_DN</t>
  </si>
  <si>
    <t>4245;54209;7439;3553;348;6037;4208;597;814;50515;25939</t>
  </si>
  <si>
    <t>MGAT1;TREM2;BEST1;IL1B;APOE;RNASE3;MEF2C;BCL2A1;CAMK4;CHST11;SAMHD1</t>
  </si>
  <si>
    <t>http://www.broadinstitute.org/gsea/msigdb/cards/DARWICHE_SKIN_TUMOR_PROMOTER_DN.html</t>
  </si>
  <si>
    <t>KEGG_PRION_DISEASES</t>
  </si>
  <si>
    <t>712;713;714;6352;3553</t>
  </si>
  <si>
    <t>C1QA;C1QB;C1QC;CCL5;IL1B</t>
  </si>
  <si>
    <t>http://www.broadinstitute.org/gsea/msigdb/cards/KEGG_PRION_DISEASES.html</t>
  </si>
  <si>
    <t>THEILGAARD_NEUTROPHIL_AT_SKIN_WOUND_UP</t>
  </si>
  <si>
    <t>22797;5341;3937;8477;366;3553;597</t>
  </si>
  <si>
    <t>TFEC;PLEK;LCP2;GPR65;AQP9;IL1B;BCL2A1</t>
  </si>
  <si>
    <t>http://www.broadinstitute.org/gsea/msigdb/cards/THEILGAARD_NEUTROPHIL_AT_SKIN_WOUND_UP.html</t>
  </si>
  <si>
    <t>SEKI_INFLAMMATORY_RESPONSE_LPS_UP</t>
  </si>
  <si>
    <t>8676;3627;2633;51296;115361;9034;1435</t>
  </si>
  <si>
    <t>STX11;CXCL10;GBP1;SLC15A3;GBP4;CCRL2;CSF1</t>
  </si>
  <si>
    <t>http://www.broadinstitute.org/gsea/msigdb/cards/SEKI_INFLAMMATORY_RESPONSE_LPS_UP.html</t>
  </si>
  <si>
    <t>MIKKELSEN_MEF_LCP_WITH_H3K4ME3</t>
  </si>
  <si>
    <t>7453;2633;2014;7099;100506736;80709;79630;79690;4327</t>
  </si>
  <si>
    <t>WARS;GBP1;EMP3;TLR4;SLFN12L;AKNA;C1orf54;GAL3ST4;MMP19</t>
  </si>
  <si>
    <t>http://www.broadinstitute.org/gsea/msigdb/cards/MIKKELSEN_MEF_LCP_WITH_H3K4ME3.html</t>
  </si>
  <si>
    <t>CHIARETTI_T_ALL_RELAPSE_PROGNOSIS</t>
  </si>
  <si>
    <t>925;914;1102;4033</t>
  </si>
  <si>
    <t>CD8A;CD2;RCBTB2;LRMP</t>
  </si>
  <si>
    <t>http://www.broadinstitute.org/gsea/msigdb/cards/CHIARETTI_T_ALL_RELAPSE_PROGNOSIS.html</t>
  </si>
  <si>
    <t>SHEDDEN_LUNG_CANCER_GOOD_SURVIVAL_A12</t>
  </si>
  <si>
    <t>259197;9595;3662;399;4064;81030;11314;27299;3111;3002;596;6518;23312;50515;57823</t>
  </si>
  <si>
    <t>NCR3;CYTIP;IRF4;RHOH;CD180;ZBP1;CD300A;ADAMDEC1;HLA-DOA;GZMB;BCL2;SLC2A5;DMXL2;CHST11;SLAMF7</t>
  </si>
  <si>
    <t>http://www.broadinstitute.org/gsea/msigdb/cards/SHEDDEN_LUNG_CANCER_GOOD_SURVIVAL_A12.html</t>
  </si>
  <si>
    <t>TARTE_PLASMA_CELL_VS_B_LYMPHOCYTE_UP</t>
  </si>
  <si>
    <t>6404;10875;3662;5552;6693;729230;2833</t>
  </si>
  <si>
    <t>SELPLG;FGL2;IRF4;SRGN;SPN;CCR2;CXCR3</t>
  </si>
  <si>
    <t>http://www.broadinstitute.org/gsea/msigdb/cards/TARTE_PLASMA_CELL_VS_B_LYMPHOCYTE_UP.html</t>
  </si>
  <si>
    <t>COATES_MACROPHAGE_M1_VS_M2_DN</t>
  </si>
  <si>
    <t>4542;9595;10068;713;714;4240;245972</t>
  </si>
  <si>
    <t>MYO1F;CYTIP;IL18BP;C1QB;C1QC;MFGE8;ATP6V0D2</t>
  </si>
  <si>
    <t>http://www.broadinstitute.org/gsea/msigdb/cards/COATES_MACROPHAGE_M1_VS_M2_DN.html</t>
  </si>
  <si>
    <t>BOSCO_INTERFERON_INDUCED_ANTIVIRAL_MODULE</t>
  </si>
  <si>
    <t>3676;941;115361;81030;64231;57823;29126</t>
  </si>
  <si>
    <t>ITGA4;CD80;GBP4;ZBP1;MS4A6A;SLAMF7;CD274</t>
  </si>
  <si>
    <t>http://www.broadinstitute.org/gsea/msigdb/cards/BOSCO_INTERFERON_INDUCED_ANTIVIRAL_MODULE.html</t>
  </si>
  <si>
    <t>MATTIOLI_MULTIPLE_MYELOMA_WITH_14Q32_TRANSLOCATIONS</t>
  </si>
  <si>
    <t>1536;3695;7099;4094;9935</t>
  </si>
  <si>
    <t>CYBB;ITGB7;TLR4;MAF;MAFB</t>
  </si>
  <si>
    <t>http://www.broadinstitute.org/gsea/msigdb/cards/MATTIOLI_MULTIPLE_MYELOMA_WITH_14Q32_TRANSLOCATIONS.html</t>
  </si>
  <si>
    <t>HENDRICKS_SMARCA4_TARGETS_UP</t>
  </si>
  <si>
    <t>5778;2014;1508;3956;10437;4240</t>
  </si>
  <si>
    <t>PTPN7;EMP3;CTSB;LGALS1;IFI30;MFGE8</t>
  </si>
  <si>
    <t>http://www.broadinstitute.org/gsea/msigdb/cards/HENDRICKS_SMARCA4_TARGETS_UP.html</t>
  </si>
  <si>
    <t>BORCZUK_MALIGNANT_MESOTHELIOMA_DN</t>
  </si>
  <si>
    <t>9214;9402;3575;923;9744;80342;6891;7185</t>
  </si>
  <si>
    <t>FCMR;GRAP2;IL7R;CD6;ACAP1;TRAF3IP3;TAP2;TRAF1</t>
  </si>
  <si>
    <t>http://www.broadinstitute.org/gsea/msigdb/cards/BORCZUK_MALIGNANT_MESOTHELIOMA_DN.html</t>
  </si>
  <si>
    <t>DIRMEIER_LMP1_RESPONSE_LATE_UP</t>
  </si>
  <si>
    <t>5341;7133;391;3162;6776;7185</t>
  </si>
  <si>
    <t>PLEK;TNFRSF1B;RHOG;HMOX1;STAT5A;TRAF1</t>
  </si>
  <si>
    <t>http://www.broadinstitute.org/gsea/msigdb/cards/DIRMEIER_LMP1_RESPONSE_LATE_UP.html</t>
  </si>
  <si>
    <t>WOO_LIVER_CANCER_RECURRENCE_UP</t>
  </si>
  <si>
    <t>9839;54209;596;1601;5376;4208;64780;51466</t>
  </si>
  <si>
    <t>ZEB2;TREM2;BCL2;DAB2;PMP22;MEF2C;MICAL1;EVL</t>
  </si>
  <si>
    <t>http://www.broadinstitute.org/gsea/msigdb/cards/WOO_LIVER_CANCER_RECURRENCE_UP.html</t>
  </si>
  <si>
    <t>CAIRO_LIVER_DEVELOPMENT_DN</t>
  </si>
  <si>
    <t>712;1536;917;9056;366;3717;3117;348;3162;3936;241;729230</t>
  </si>
  <si>
    <t>C1QA;CYBB;CD3G;SLC7A7;AQP9;JAK2;HLA-DQA1;APOE;HMOX1;LCP1;ALOX5AP;CCR2</t>
  </si>
  <si>
    <t>http://www.broadinstitute.org/gsea/msigdb/cards/CAIRO_LIVER_DEVELOPMENT_DN.html</t>
  </si>
  <si>
    <t>RICKMAN_HEAD_AND_NECK_CANCER_D</t>
  </si>
  <si>
    <t>3820;3117;4033;25890;6363</t>
  </si>
  <si>
    <t>KLRB1;HLA-DQA1;LRMP;ABI3BP;CCL19</t>
  </si>
  <si>
    <t>http://www.broadinstitute.org/gsea/msigdb/cards/RICKMAN_HEAD_AND_NECK_CANCER_D.html</t>
  </si>
  <si>
    <t>FONTAINE_PAPILLARY_THYROID_CARCINOMA_DN</t>
  </si>
  <si>
    <t>11025;3559;6688;945;11009;3824;29126</t>
  </si>
  <si>
    <t>LILRB3;IL2RA;SPI1;CD33;IL24;KLRD1;CD274</t>
  </si>
  <si>
    <t>http://www.broadinstitute.org/gsea/msigdb/cards/FONTAINE_PAPILLARY_THYROID_CARCINOMA_DN.html</t>
  </si>
  <si>
    <t>GRABARCZYK_BCL11B_TARGETS_UP</t>
  </si>
  <si>
    <t>5551;3560;3695;1236;3956;5376;4818</t>
  </si>
  <si>
    <t>PRF1;IL2RB;ITGB7;CCR7;LGALS1;PMP22;NKG7</t>
  </si>
  <si>
    <t>http://www.broadinstitute.org/gsea/msigdb/cards/GRABARCZYK_BCL11B_TARGETS_UP.html</t>
  </si>
  <si>
    <t>LEE_BMP2_TARGETS_UP</t>
  </si>
  <si>
    <t>1318;11309;5341;929;11151;2633;10875;92241;115361;23048;9056;3717;4094;19;348;1508;54331;27163;6891;4240;9806;84329;51676;5027;54861;55281</t>
  </si>
  <si>
    <t>SLC31A2;SLCO2B1;PLEK;CD14;CORO1A;GBP1;FGL2;RCSD1;GBP4;FNBP1;SLC7A7;JAK2;MAF;ABCA1;APOE;CTSB;GNG2;NAAA;TAP2;MFGE8;SPOCK2;HVCN1;ASB2;P2RX7;SNRK;TMEM140</t>
  </si>
  <si>
    <t>http://www.broadinstitute.org/gsea/msigdb/cards/LEE_BMP2_TARGETS_UP.html</t>
  </si>
  <si>
    <t>SCHLOSSER_SERUM_RESPONSE_UP</t>
  </si>
  <si>
    <t>3659;3561;391;9744;9881;5452;596;9938;4050</t>
  </si>
  <si>
    <t>IRF1;IL2RG;RHOG;ACAP1;TRANK1;POU2F2;BCL2;ARHGAP25;LTB</t>
  </si>
  <si>
    <t>http://www.broadinstitute.org/gsea/msigdb/cards/SCHLOSSER_SERUM_RESPONSE_UP.html</t>
  </si>
  <si>
    <t>GEISS_RESPONSE_TO_DSRNA_UP</t>
  </si>
  <si>
    <t>3659;6351;2633;6890;7185</t>
  </si>
  <si>
    <t>IRF1;CCL4;GBP1;TAP1;TRAF1</t>
  </si>
  <si>
    <t>http://www.broadinstitute.org/gsea/msigdb/cards/GEISS_RESPONSE_TO_DSRNA_UP.html</t>
  </si>
  <si>
    <t>REACTOME_CTLA4_INHIBITORY_SIGNALING</t>
  </si>
  <si>
    <t>3932;1493;941;942</t>
  </si>
  <si>
    <t>LCK;CTLA4;CD80;CD86</t>
  </si>
  <si>
    <t>http://www.broadinstitute.org/gsea/msigdb/cards/REACTOME_CTLA4_INHIBITORY_SIGNALING.html</t>
  </si>
  <si>
    <t>PEREZ_TP53_TARGETS</t>
  </si>
  <si>
    <t>3659;3560;7535;2313;3587;9459;3662;255231;81704;89857;3635;54209;10019;51393;4094;19;8320;3684;54;5724;3109;54331;27163;597;57589;89846;151556;10507;84329;51676;84034;7462;81553;55803;9935;51513</t>
  </si>
  <si>
    <t>IRF1;IL2RB;ZAP70;FLI1;IL10RA;ARHGEF6;IRF4;MCOLN2;DOCK8;KLHL6;INPP5D;TREM2;SH2B3;TRPV2;MAF;ABCA1;EOMES;ITGAM;ACP5;PTAFR;HLA-DMB;GNG2;NAAA;BCL2A1;RIC1;FGD3;GPR155;SEMA4D;HVCN1;ASB2;EMILIN2;LAT2;FAM49A;ADAP2;MAFB;ETV7</t>
  </si>
  <si>
    <t>http://www.broadinstitute.org/gsea/msigdb/cards/PEREZ_TP53_TARGETS.html</t>
  </si>
  <si>
    <t>GAZDA_DIAMOND_BLACKFAN_ANEMIA_PROGENITOR_UP</t>
  </si>
  <si>
    <t>7940;3117;3113;526;10507</t>
  </si>
  <si>
    <t>LST1;HLA-DQA1;HLA-DPA1;ATP6V1B2;SEMA4D</t>
  </si>
  <si>
    <t>http://www.broadinstitute.org/gsea/msigdb/cards/GAZDA_DIAMOND_BLACKFAN_ANEMIA_PROGENITOR_UP.html</t>
  </si>
  <si>
    <t>MA_MYELOID_DIFFERENTIATION_UP</t>
  </si>
  <si>
    <t>712;3695;2014;3002;6363</t>
  </si>
  <si>
    <t>C1QA;ITGB7;EMP3;GZMB;CCL19</t>
  </si>
  <si>
    <t>http://www.broadinstitute.org/gsea/msigdb/cards/MA_MYELOID_DIFFERENTIATION_UP.html</t>
  </si>
  <si>
    <t>ACEVEDO_LIVER_CANCER_WITH_H3K27ME3_UP</t>
  </si>
  <si>
    <t>9595;5294;4354;10320;387357;81704;84868;6039;51311;3363;6507;202309;84230;64581</t>
  </si>
  <si>
    <t>CYTIP;PIK3CG;MPP1;IKZF1;THEMIS;DOCK8;HAVCR2;RNASE6;TLR8;HTR7;SLC1A3;GAPT;LRRC8C;CLEC7A</t>
  </si>
  <si>
    <t>http://www.broadinstitute.org/gsea/msigdb/cards/ACEVEDO_LIVER_CANCER_WITH_H3K27ME3_UP.html</t>
  </si>
  <si>
    <t>BIOCARTA_CYTOKINE_PATHWAY</t>
  </si>
  <si>
    <t>3458;3603;4049;3586</t>
  </si>
  <si>
    <t>IFNG;IL16;LTA;IL10</t>
  </si>
  <si>
    <t>http://www.broadinstitute.org/gsea/msigdb/cards/BIOCARTA_CYTOKINE_PATHWAY.html</t>
  </si>
  <si>
    <t>PID_CMYB_PATHWAY</t>
  </si>
  <si>
    <t>22797;920;1436;6688;4094;596;2113</t>
  </si>
  <si>
    <t>TFEC;CD4;CSF1R;SPI1;MAF;BCL2;ETS1</t>
  </si>
  <si>
    <t>http://www.broadinstitute.org/gsea/msigdb/cards/PID_CMYB_PATHWAY.html</t>
  </si>
  <si>
    <t>REACTOME_CD28_DEPENDENT_PI3K_AKT_SIGNALING</t>
  </si>
  <si>
    <t>http://www.broadinstitute.org/gsea/msigdb/cards/REACTOME_CD28_DEPENDENT_PI3K_AKT_SIGNALING.html</t>
  </si>
  <si>
    <t>CHEOK_RESPONSE_TO_MERCAPTOPURINE_DN</t>
  </si>
  <si>
    <t>7940;5551;6039;9806</t>
  </si>
  <si>
    <t>LST1;PRF1;RNASE6;SPOCK2</t>
  </si>
  <si>
    <t>http://www.broadinstitute.org/gsea/msigdb/cards/CHEOK_RESPONSE_TO_MERCAPTOPURINE_DN.html</t>
  </si>
  <si>
    <t>PID_IFNG_PATHWAY</t>
  </si>
  <si>
    <t>3458;3659;6772;3717;3553</t>
  </si>
  <si>
    <t>IFNG;IRF1;STAT1;JAK2;IL1B</t>
  </si>
  <si>
    <t>http://www.broadinstitute.org/gsea/msigdb/cards/PID_IFNG_PATHWAY.html</t>
  </si>
  <si>
    <t>WAMUNYOKOLI_OVARIAN_CANCER_LMP_DN</t>
  </si>
  <si>
    <t>4332;139818;4094;8905;140885;1601;5376;10457;9806;54504;80183</t>
  </si>
  <si>
    <t>MNDA;DOCK11;MAF;AP1S2;SIRPA;DAB2;PMP22;GPNMB;SPOCK2;CPVL;RUBCNL</t>
  </si>
  <si>
    <t>http://www.broadinstitute.org/gsea/msigdb/cards/WAMUNYOKOLI_OVARIAN_CANCER_LMP_DN.html</t>
  </si>
  <si>
    <t>RASHI_RESPONSE_TO_IONIZING_RADIATION_4</t>
  </si>
  <si>
    <t>3575;7535;170575;3112;10507;64747</t>
  </si>
  <si>
    <t>IL7R;ZAP70;GIMAP1;HLA-DOB;SEMA4D;MFSD1</t>
  </si>
  <si>
    <t>http://www.broadinstitute.org/gsea/msigdb/cards/RASHI_RESPONSE_TO_IONIZING_RADIATION_4.html</t>
  </si>
  <si>
    <t>BOYLAN_MULTIPLE_MYELOMA_D_CLUSTER_DN</t>
  </si>
  <si>
    <t>3575;26051;3956;55704;51676</t>
  </si>
  <si>
    <t>IL7R;PPP1R16B;LGALS1;CCDC88A;ASB2</t>
  </si>
  <si>
    <t>http://www.broadinstitute.org/gsea/msigdb/cards/BOYLAN_MULTIPLE_MYELOMA_D_CLUSTER_DN.html</t>
  </si>
  <si>
    <t>FIGUEROA_AML_METHYLATION_CLUSTER_2_DN</t>
  </si>
  <si>
    <t>915;3689;917</t>
  </si>
  <si>
    <t>CD3D;ITGB2;CD3G</t>
  </si>
  <si>
    <t>http://www.broadinstitute.org/gsea/msigdb/cards/FIGUEROA_AML_METHYLATION_CLUSTER_2_DN.html</t>
  </si>
  <si>
    <t>9214;9404;9595;4068;963;3394;10320;399;117289;2213;11010;3003;4050;10235;147138;80183;50515</t>
  </si>
  <si>
    <t>FCMR;LPXN;CYTIP;SH2D1A;CD53;IRF8;IKZF1;RHOH;TAGAP;FCGR2B;GLIPR1;GZMK;LTB;RASGRP2;TMC8;RUBCNL;CHST11</t>
  </si>
  <si>
    <t>LAIHO_COLORECTAL_CANCER_SERRATED_UP</t>
  </si>
  <si>
    <t>2633;2014;3937;1508;3956;5376;3123;54861</t>
  </si>
  <si>
    <t>GBP1;EMP3;LCP2;CTSB;LGALS1;PMP22;HLA-DRB1;SNRK</t>
  </si>
  <si>
    <t>http://www.broadinstitute.org/gsea/msigdb/cards/LAIHO_COLORECTAL_CANCER_SERRATED_UP.html</t>
  </si>
  <si>
    <t>ALCALAY_AML_BY_NPM1_LOCALIZATION_UP</t>
  </si>
  <si>
    <t>719;7099;27299;2162;526;9938;4050;25780;10004</t>
  </si>
  <si>
    <t>C3AR1;TLR4;ADAMDEC1;F13A1;ATP6V1B2;ARHGAP25;LTB;RASGRP3;NAALADL1</t>
  </si>
  <si>
    <t>http://www.broadinstitute.org/gsea/msigdb/cards/ALCALAY_AML_BY_NPM1_LOCALIZATION_UP.html</t>
  </si>
  <si>
    <t>OSWALD_HEMATOPOIETIC_STEM_CELL_IN_COLLAGEN_GEL_UP</t>
  </si>
  <si>
    <t>9402;11309;3627;929;6351;3560;5734;719;3553;1601;597;83937</t>
  </si>
  <si>
    <t>GRAP2;SLCO2B1;CXCL10;CD14;CCL4;IL2RB;PTGER4;C3AR1;IL1B;DAB2;BCL2A1;RASSF4</t>
  </si>
  <si>
    <t>http://www.broadinstitute.org/gsea/msigdb/cards/OSWALD_HEMATOPOIETIC_STEM_CELL_IN_COLLAGEN_GEL_UP.html</t>
  </si>
  <si>
    <t>9535;3627;972;914;6352;7453;51056;6890;4283;7805;55340;115361;58475;23228;10537;3122;5552;3936;2113;3988;6507;8905;10672;206358;168537;79630;55619;54504;64747;8605;9935</t>
  </si>
  <si>
    <t>GMFG;CXCL10;CD74;CD2;CCL5;WARS;LAP3;TAP1;CXCL9;LAPTM5;GIMAP5;GBP4;MS4A7;PLCL2;UBD;HLA-DRA;SRGN;LCP1;ETS1;LIPA;SLC1A3;AP1S2;GNA13;SLC36A1;GIMAP7;C1orf54;DOCK10;CPVL;MFSD1;PLA2G4C;MAFB</t>
  </si>
  <si>
    <t>http://www.broadinstitute.org/gsea/msigdb/cards/ACEVEDO_LIVER_CANCER_UP.html</t>
  </si>
  <si>
    <t>GHANDHI_BYSTANDER_IRRADIATION_UP</t>
  </si>
  <si>
    <t>3627;3575;9120;3553;3290;969;597</t>
  </si>
  <si>
    <t>CXCL10;IL7R;SLC16A6;IL1B;HSD11B1;CD69;BCL2A1</t>
  </si>
  <si>
    <t>http://www.broadinstitute.org/gsea/msigdb/cards/GHANDHI_BYSTANDER_IRRADIATION_UP.html</t>
  </si>
  <si>
    <t>BIOCARTA_GLEEVEC_PATHWAY</t>
  </si>
  <si>
    <t>6772;5294;3717;6776</t>
  </si>
  <si>
    <t>STAT1;PIK3CG;JAK2;STAT5A</t>
  </si>
  <si>
    <t>http://www.broadinstitute.org/gsea/msigdb/cards/BIOCARTA_GLEEVEC_PATHWAY.html</t>
  </si>
  <si>
    <t>UROSEVIC_RESPONSE_TO_IMIQUIMOD</t>
  </si>
  <si>
    <t>1236;6772;6373;10437</t>
  </si>
  <si>
    <t>CCR7;STAT1;CXCL11;IFI30</t>
  </si>
  <si>
    <t>http://www.broadinstitute.org/gsea/msigdb/cards/UROSEVIC_RESPONSE_TO_IMIQUIMOD.html</t>
  </si>
  <si>
    <t>SAFFORD_T_LYMPHOCYTE_ANERGY</t>
  </si>
  <si>
    <t>8676;959;3662;1435;5552;3902;3718</t>
  </si>
  <si>
    <t>STX11;CD40LG;IRF4;CSF1;SRGN;LAG3;JAK3</t>
  </si>
  <si>
    <t>http://www.broadinstitute.org/gsea/msigdb/cards/SAFFORD_T_LYMPHOCYTE_ANERGY.html</t>
  </si>
  <si>
    <t>PID_UPA_UPAR_PATHWAY</t>
  </si>
  <si>
    <t>3689;3684;2357;2359;2358</t>
  </si>
  <si>
    <t>ITGB2;ITGAM;FPR1;FPR3;FPR2</t>
  </si>
  <si>
    <t>http://www.broadinstitute.org/gsea/msigdb/cards/PID_UPA_UPAR_PATHWAY.html</t>
  </si>
  <si>
    <t>KIM_BIPOLAR_DISORDER_OLIGODENDROCYTE_DENSITY_CORR_DN</t>
  </si>
  <si>
    <t>259197;9402;971;29851;4049;1621;2529</t>
  </si>
  <si>
    <t>NCR3;GRAP2;CD72;ICOS;LTA;DBH;FUT7</t>
  </si>
  <si>
    <t>http://www.broadinstitute.org/gsea/msigdb/cards/KIM_BIPOLAR_DISORDER_OLIGODENDROCYTE_DENSITY_CORR_DN.html</t>
  </si>
  <si>
    <t>SENGUPTA_EBNA1_ANTICORRELATED</t>
  </si>
  <si>
    <t>1493;919;8514;221472;84166;64926;80342;27036;8742;6793</t>
  </si>
  <si>
    <t>CTLA4;CD247;KCNAB2;FGD2;NLRC5;RASAL3;TRAF3IP3;SIGLEC7;TNFSF12;STK10</t>
  </si>
  <si>
    <t>http://www.broadinstitute.org/gsea/msigdb/cards/SENGUPTA_EBNA1_ANTICORRELATED.html</t>
  </si>
  <si>
    <t>HERNANDEZ_MITOTIC_ARREST_BY_DOCETAXEL_2_UP</t>
  </si>
  <si>
    <t>915;4094;19;1435;3936;969</t>
  </si>
  <si>
    <t>CD3D;MAF;ABCA1;CSF1;LCP1;CD69</t>
  </si>
  <si>
    <t>http://www.broadinstitute.org/gsea/msigdb/cards/HERNANDEZ_MITOTIC_ARREST_BY_DOCETAXEL_2_UP.html</t>
  </si>
  <si>
    <t>HORIUCHI_WTAP_TARGETS_UP</t>
  </si>
  <si>
    <t>22797;9839;3676;3575;89857;6373;19;3162;1435;54;8905;5376;9363;9935</t>
  </si>
  <si>
    <t>TFEC;ZEB2;ITGA4;IL7R;KLHL6;CXCL11;ABCA1;HMOX1;CSF1;ACP5;AP1S2;PMP22;RAB33A;MAFB</t>
  </si>
  <si>
    <t>http://www.broadinstitute.org/gsea/msigdb/cards/HORIUCHI_WTAP_TARGETS_UP.html</t>
  </si>
  <si>
    <t>BRUINS_UVC_RESPONSE_VIA_TP53_GROUP_A</t>
  </si>
  <si>
    <t>9839;9404;3001;919;3937;399;8477;255231;170575;23048;80896;55303;23228;7099;596;54;3718;1601;27163;4208;969;9363;10235;151556;23312;51676;64919;7462;4644</t>
  </si>
  <si>
    <t>ZEB2;LPXN;GZMA;CD247;LCP2;RHOH;GPR65;MCOLN2;GIMAP1;FNBP1;NPL;GIMAP4;PLCL2;TLR4;BCL2;ACP5;JAK3;DAB2;NAAA;MEF2C;CD69;RAB33A;RASGRP2;GPR155;DMXL2;ASB2;BCL11B;LAT2;MYO5A</t>
  </si>
  <si>
    <t>http://www.broadinstitute.org/gsea/msigdb/cards/BRUINS_UVC_RESPONSE_VIA_TP53_GROUP_A.html</t>
  </si>
  <si>
    <t>ST_INTERFERON_GAMMA_PATHWAY</t>
  </si>
  <si>
    <t>3458;6772;3717</t>
  </si>
  <si>
    <t>IFNG;STAT1;JAK2</t>
  </si>
  <si>
    <t>http://www.broadinstitute.org/gsea/msigdb/cards/ST_INTERFERON_GAMMA_PATHWAY.html</t>
  </si>
  <si>
    <t>REACTOME_CREATION_OF_C4_AND_C2_ACTIVATORS</t>
  </si>
  <si>
    <t>712;713;714</t>
  </si>
  <si>
    <t>C1QA;C1QB;C1QC</t>
  </si>
  <si>
    <t>http://www.broadinstitute.org/gsea/msigdb/cards/REACTOME_CREATION_OF_C4_AND_C2_ACTIVATORS.html</t>
  </si>
  <si>
    <t>GRAHAM_CML_DIVIDING_VS_NORMAL_DIVIDING_DN</t>
  </si>
  <si>
    <t>3117;3002;4050</t>
  </si>
  <si>
    <t>HLA-DQA1;GZMB;LTB</t>
  </si>
  <si>
    <t>http://www.broadinstitute.org/gsea/msigdb/cards/GRAHAM_CML_DIVIDING_VS_NORMAL_DIVIDING_DN.html</t>
  </si>
  <si>
    <t>PID_TCPTP_PATHWAY</t>
  </si>
  <si>
    <t>1436;6772;1435;6776;3718</t>
  </si>
  <si>
    <t>CSF1R;STAT1;CSF1;STAT5A;JAK3</t>
  </si>
  <si>
    <t>http://www.broadinstitute.org/gsea/msigdb/cards/PID_TCPTP_PATHWAY.html</t>
  </si>
  <si>
    <t>KUMAR_PATHOGEN_LOAD_BY_MACROPHAGES</t>
  </si>
  <si>
    <t>7940;7453;6890;128611;348378;151888;54899;2210;53829;51311;10019;84541;55013</t>
  </si>
  <si>
    <t>LST1;WARS;TAP1;ZNF831;SHISAL2A;BTLA;PXK;FCGR1B;P2RY13;TLR8;SH2B3;KBTBD8;MCUB</t>
  </si>
  <si>
    <t>http://www.broadinstitute.org/gsea/msigdb/cards/KUMAR_PATHOGEN_LOAD_BY_MACROPHAGES.html</t>
  </si>
  <si>
    <t>GARGALOVIC_RESPONSE_TO_OXIDIZED_PHOSPHOLIPIDS_RED_DN</t>
  </si>
  <si>
    <t>286336;170575;9815;9935</t>
  </si>
  <si>
    <t>FAM78A;GIMAP1;GIT2;MAFB</t>
  </si>
  <si>
    <t>http://www.broadinstitute.org/gsea/msigdb/cards/GARGALOVIC_RESPONSE_TO_OXIDIZED_PHOSPHOLIPIDS_RED_DN.html</t>
  </si>
  <si>
    <t>VALK_AML_WITH_EVI1</t>
  </si>
  <si>
    <t>6036;26051;6037;23312</t>
  </si>
  <si>
    <t>RNASE2;PPP1R16B;RNASE3;DMXL2</t>
  </si>
  <si>
    <t>http://www.broadinstitute.org/gsea/msigdb/cards/VALK_AML_WITH_EVI1.html</t>
  </si>
  <si>
    <t>BRUNO_HEMATOPOIESIS</t>
  </si>
  <si>
    <t>963;366;596;100506736;10077;7462</t>
  </si>
  <si>
    <t>CD53;AQP9;BCL2;SLFN12L;TSPAN32;LAT2</t>
  </si>
  <si>
    <t>http://www.broadinstitute.org/gsea/msigdb/cards/BRUNO_HEMATOPOIESIS.html</t>
  </si>
  <si>
    <t>MA_MYELOID_DIFFERENTIATION_DN</t>
  </si>
  <si>
    <t>929;3001;1493;7941;10672</t>
  </si>
  <si>
    <t>CD14;GZMA;CTLA4;PLA2G7;GNA13</t>
  </si>
  <si>
    <t>http://www.broadinstitute.org/gsea/msigdb/cards/MA_MYELOID_DIFFERENTIATION_DN.html</t>
  </si>
  <si>
    <t>WANG_TARGETS_OF_MLL_CBP_FUSION_UP</t>
  </si>
  <si>
    <t>929;2123;7805;83706;6793</t>
  </si>
  <si>
    <t>CD14;EVI2A;LAPTM5;FERMT3;STK10</t>
  </si>
  <si>
    <t>http://www.broadinstitute.org/gsea/msigdb/cards/WANG_TARGETS_OF_MLL_CBP_FUSION_UP.html</t>
  </si>
  <si>
    <t>CHUNG_BLISTER_CYTOTOXICITY_DN</t>
  </si>
  <si>
    <t>5579;4332;64407;6402;84106</t>
  </si>
  <si>
    <t>PRKCB;MNDA;RGS18;SELL;PRAM1</t>
  </si>
  <si>
    <t>http://www.broadinstitute.org/gsea/msigdb/cards/CHUNG_BLISTER_CYTOTOXICITY_DN.html</t>
  </si>
  <si>
    <t>ZHAN_MULTIPLE_MYELOMA_LB_DN</t>
  </si>
  <si>
    <t>7456;3659;6772;729230;80709</t>
  </si>
  <si>
    <t>WIPF1;IRF1;STAT1;CCR2;AKNA</t>
  </si>
  <si>
    <t>http://www.broadinstitute.org/gsea/msigdb/cards/ZHAN_MULTIPLE_MYELOMA_LB_DN.html</t>
  </si>
  <si>
    <t>PLASARI_TGFB1_TARGETS_10HR_DN</t>
  </si>
  <si>
    <t>5341;2123;2633;6772;719;1102;4360;1601;5376;4208;27314;25780</t>
  </si>
  <si>
    <t>PLEK;EVI2A;GBP1;STAT1;C3AR1;RCBTB2;MRC1;DAB2;PMP22;MEF2C;RAB30;RASGRP3</t>
  </si>
  <si>
    <t>http://www.broadinstitute.org/gsea/msigdb/cards/PLASARI_TGFB1_TARGETS_10HR_DN.html</t>
  </si>
  <si>
    <t>BIOCARTA_SET_PATHWAY</t>
  </si>
  <si>
    <t>3001;5551;3002</t>
  </si>
  <si>
    <t>GZMA;PRF1;GZMB</t>
  </si>
  <si>
    <t>http://www.broadinstitute.org/gsea/msigdb/cards/BIOCARTA_SET_PATHWAY.html</t>
  </si>
  <si>
    <t>FOURNIER_ACINAR_DEVELOPMENT_LATE_UP</t>
  </si>
  <si>
    <t>348;10457;9935</t>
  </si>
  <si>
    <t>APOE;GPNMB;MAFB</t>
  </si>
  <si>
    <t>http://www.broadinstitute.org/gsea/msigdb/cards/FOURNIER_ACINAR_DEVELOPMENT_LATE_UP.html</t>
  </si>
  <si>
    <t>IIZUKA_LIVER_CANCER_EARLY_RECURRENCE</t>
  </si>
  <si>
    <t>7805;3122;4208</t>
  </si>
  <si>
    <t>LAPTM5;HLA-DRA;MEF2C</t>
  </si>
  <si>
    <t>http://www.broadinstitute.org/gsea/msigdb/cards/IIZUKA_LIVER_CANCER_EARLY_RECURRENCE.html</t>
  </si>
  <si>
    <t>ZHAN_MULTIPLE_MYELOMA_CD1_UP</t>
  </si>
  <si>
    <t>3683;53346;9363;147138;51676</t>
  </si>
  <si>
    <t>ITGAL;TM6SF1;RAB33A;TMC8;ASB2</t>
  </si>
  <si>
    <t>http://www.broadinstitute.org/gsea/msigdb/cards/ZHAN_MULTIPLE_MYELOMA_CD1_UP.html</t>
  </si>
  <si>
    <t>ST_INTERLEUKIN_4_PATHWAY</t>
  </si>
  <si>
    <t>3561;3635;3717;3718</t>
  </si>
  <si>
    <t>IL2RG;INPP5D;JAK2;JAK3</t>
  </si>
  <si>
    <t>http://www.broadinstitute.org/gsea/msigdb/cards/ST_INTERLEUKIN_4_PATHWAY.html</t>
  </si>
  <si>
    <t>CHEN_LIVER_METABOLISM_QTL_CIS</t>
  </si>
  <si>
    <t>962;2207;114836;51744;64407;8564;2213</t>
  </si>
  <si>
    <t>CD48;FCER1G;SLAMF6;CD244;RGS18;KMO;FCGR2B</t>
  </si>
  <si>
    <t>http://www.broadinstitute.org/gsea/msigdb/cards/CHEN_LIVER_METABOLISM_QTL_CIS.html</t>
  </si>
  <si>
    <t>HAHTOLA_CTCL_CUTANEOUS</t>
  </si>
  <si>
    <t>6772;51338;353514;11010</t>
  </si>
  <si>
    <t>STAT1;MS4A4A;LILRA5;GLIPR1</t>
  </si>
  <si>
    <t>http://www.broadinstitute.org/gsea/msigdb/cards/HAHTOLA_CTCL_CUTANEOUS.html</t>
  </si>
  <si>
    <t>BROWNE_HCMV_INFECTION_30MIN_DN</t>
  </si>
  <si>
    <t>27334;3458;3689;7133;7805;80342;5816;3003;140885</t>
  </si>
  <si>
    <t>P2RY10;IFNG;ITGB2;TNFRSF1B;LAPTM5;TRAF3IP3;PVALB;GZMK;SIRPA</t>
  </si>
  <si>
    <t>http://www.broadinstitute.org/gsea/msigdb/cards/BROWNE_HCMV_INFECTION_30MIN_DN.html</t>
  </si>
  <si>
    <t>KEGG_LYSOSOME</t>
  </si>
  <si>
    <t>7805;1508;54;3988;6556;8905;245972;1522</t>
  </si>
  <si>
    <t>LAPTM5;CTSB;ACP5;LIPA;SLC11A1;AP1S2;ATP6V0D2;CTSZ</t>
  </si>
  <si>
    <t>http://www.broadinstitute.org/gsea/msigdb/cards/KEGG_LYSOSOME.html</t>
  </si>
  <si>
    <t>ZHOU_INFLAMMATORY_RESPONSE_FIMA_UP</t>
  </si>
  <si>
    <t>9839;3627;6351;941;3394;58475;51284;730249;9034;3553;1435;3737;2358;6776;3604;7185;57514;79690;149699;53831</t>
  </si>
  <si>
    <t>ZEB2;CXCL10;CCL4;CD80;IRF8;MS4A7;TLR7;ACOD1;CCRL2;IL1B;CSF1;KCNA2;FPR2;STAT5A;TNFRSF9;TRAF1;ARHGAP31;GAL3ST4;GTSF1L;GPR84</t>
  </si>
  <si>
    <t>http://www.broadinstitute.org/gsea/msigdb/cards/ZHOU_INFLAMMATORY_RESPONSE_FIMA_UP.html</t>
  </si>
  <si>
    <t>BIOCARTA_KERATINOCYTE_PATHWAY</t>
  </si>
  <si>
    <t>5579;7133;596;2113;356</t>
  </si>
  <si>
    <t>PRKCB;TNFRSF1B;BCL2;ETS1;FASLG</t>
  </si>
  <si>
    <t>http://www.broadinstitute.org/gsea/msigdb/cards/BIOCARTA_KERATINOCYTE_PATHWAY.html</t>
  </si>
  <si>
    <t>SIG_BCR_SIGNALING_PATHWAY</t>
  </si>
  <si>
    <t>5788;695;3635;11184;596</t>
  </si>
  <si>
    <t>PTPRC;BTK;INPP5D;MAP4K1;BCL2</t>
  </si>
  <si>
    <t>http://www.broadinstitute.org/gsea/msigdb/cards/SIG_BCR_SIGNALING_PATHWAY.html</t>
  </si>
  <si>
    <t>OSADA_ASCL1_TARGETS_UP</t>
  </si>
  <si>
    <t>26051;1235;4050;25780;83937</t>
  </si>
  <si>
    <t>PPP1R16B;CCR6;LTB;RASGRP3;RASSF4</t>
  </si>
  <si>
    <t>http://www.broadinstitute.org/gsea/msigdb/cards/OSADA_ASCL1_TARGETS_UP.html</t>
  </si>
  <si>
    <t>NUTT_GBM_VS_AO_GLIOMA_UP</t>
  </si>
  <si>
    <t>972;6772;7805;8905;10184</t>
  </si>
  <si>
    <t>CD74;STAT1;LAPTM5;AP1S2;LHFPL2</t>
  </si>
  <si>
    <t>http://www.broadinstitute.org/gsea/msigdb/cards/NUTT_GBM_VS_AO_GLIOMA_UP.html</t>
  </si>
  <si>
    <t>TURASHVILI_BREAST_LOBULAR_CARCINOMA_VS_DUCTAL_NORMAL_UP</t>
  </si>
  <si>
    <t>7456;117289;10154;728;969;10672</t>
  </si>
  <si>
    <t>WIPF1;TAGAP;PLXNC1;C5AR1;CD69;GNA13</t>
  </si>
  <si>
    <t>http://www.broadinstitute.org/gsea/msigdb/cards/TURASHVILI_BREAST_LOBULAR_CARCINOMA_VS_DUCTAL_NORMAL_UP.html</t>
  </si>
  <si>
    <t>OKUMURA_INFLAMMATORY_RESPONSE_LPS</t>
  </si>
  <si>
    <t>6352;1236;5734;3717;2212;943;6776;140885;4973;55619</t>
  </si>
  <si>
    <t>CCL5;CCR7;PTGER4;JAK2;FCGR2A;TNFRSF8;STAT5A;SIRPA;OLR1;DOCK10</t>
  </si>
  <si>
    <t>http://www.broadinstitute.org/gsea/msigdb/cards/OKUMURA_INFLAMMATORY_RESPONSE_LPS.html</t>
  </si>
  <si>
    <t>PID_IL3_PATHWAY</t>
  </si>
  <si>
    <t>1439;3635;3717;6776</t>
  </si>
  <si>
    <t>CSF2RB;INPP5D;JAK2;STAT5A</t>
  </si>
  <si>
    <t>http://www.broadinstitute.org/gsea/msigdb/cards/PID_IL3_PATHWAY.html</t>
  </si>
  <si>
    <t>YE_METASTATIC_LIVER_CANCER</t>
  </si>
  <si>
    <t>10663;951;3560;11027</t>
  </si>
  <si>
    <t>CXCR6;CD37;IL2RB;LILRA2</t>
  </si>
  <si>
    <t>http://www.broadinstitute.org/gsea/msigdb/cards/YE_METASTATIC_LIVER_CANCER.html</t>
  </si>
  <si>
    <t>BRACHAT_RESPONSE_TO_METHOTREXATE_DN</t>
  </si>
  <si>
    <t>54440;596;6776;84034</t>
  </si>
  <si>
    <t>SASH3;BCL2;STAT5A;EMILIN2</t>
  </si>
  <si>
    <t>http://www.broadinstitute.org/gsea/msigdb/cards/BRACHAT_RESPONSE_TO_METHOTREXATE_DN.html</t>
  </si>
  <si>
    <t>GARY_CD5_TARGETS_DN</t>
  </si>
  <si>
    <t>1536;2633;942;3394;11262;10320;399;89790;55589;8564;2113;3113;3108;2213;4050;84541;50515</t>
  </si>
  <si>
    <t>CYBB;GBP1;CD86;IRF8;SP140;IKZF1;RHOH;SIGLEC10;BMP2K;KMO;ETS1;HLA-DPA1;HLA-DMA;FCGR2B;LTB;KBTBD8;CHST11</t>
  </si>
  <si>
    <t>http://www.broadinstitute.org/gsea/msigdb/cards/GARY_CD5_TARGETS_DN.html</t>
  </si>
  <si>
    <t>REACTOME_G_ALPHA_Q_SIGNALLING_EVENTS</t>
  </si>
  <si>
    <t>27334;8477;64407;57105;2358;5724;2829;54331;10235;59345</t>
  </si>
  <si>
    <t>P2RY10;GPR65;RGS18;CYSLTR2;FPR2;PTAFR;XCR1;GNG2;RASGRP2;GNB4</t>
  </si>
  <si>
    <t>http://www.broadinstitute.org/gsea/msigdb/cards/REACTOME_G_ALPHA_Q_SIGNALLING_EVENTS.html</t>
  </si>
  <si>
    <t>RAGHAVACHARI_PLATELET_SPECIFIC_GENES</t>
  </si>
  <si>
    <t>7456;5579;6352;4354;2162;55281</t>
  </si>
  <si>
    <t>WIPF1;PRKCB;CCL5;MPP1;F13A1;TMEM140</t>
  </si>
  <si>
    <t>http://www.broadinstitute.org/gsea/msigdb/cards/RAGHAVACHARI_PLATELET_SPECIFIC_GENES.html</t>
  </si>
  <si>
    <t>ZHAN_MULTIPLE_MYELOMA_MF_UP</t>
  </si>
  <si>
    <t>3695;3937;6039;7099;83937</t>
  </si>
  <si>
    <t>ITGB7;LCP2;RNASE6;TLR4;RASSF4</t>
  </si>
  <si>
    <t>http://www.broadinstitute.org/gsea/msigdb/cards/ZHAN_MULTIPLE_MYELOMA_MF_UP.html</t>
  </si>
  <si>
    <t>TONKS_TARGETS_OF_RUNX1_RUNX1T1_FUSION_HSC_UP</t>
  </si>
  <si>
    <t>2123;10666;64092;27306;348;3162;1601;969;9363;11027</t>
  </si>
  <si>
    <t>EVI2A;CD226;SAMSN1;HPGDS;APOE;HMOX1;DAB2;CD69;RAB33A;LILRA2</t>
  </si>
  <si>
    <t>http://www.broadinstitute.org/gsea/msigdb/cards/TONKS_TARGETS_OF_RUNX1_RUNX1T1_FUSION_HSC_UP.html</t>
  </si>
  <si>
    <t>REACTOME_P2Y_RECEPTORS</t>
  </si>
  <si>
    <t>27334;53829;64805</t>
  </si>
  <si>
    <t>P2RY10;P2RY13;P2RY12</t>
  </si>
  <si>
    <t>http://www.broadinstitute.org/gsea/msigdb/cards/REACTOME_P2Y_RECEPTORS.html</t>
  </si>
  <si>
    <t>GRAHAM_CML_QUIESCENT_VS_NORMAL_DIVIDING_DN</t>
  </si>
  <si>
    <t>199;3117;3002</t>
  </si>
  <si>
    <t>AIF1;HLA-DQA1;GZMB</t>
  </si>
  <si>
    <t>http://www.broadinstitute.org/gsea/msigdb/cards/GRAHAM_CML_QUIESCENT_VS_NORMAL_DIVIDING_DN.html</t>
  </si>
  <si>
    <t>FUNG_IL2_SIGNALING_2</t>
  </si>
  <si>
    <t>3662;64170;1235</t>
  </si>
  <si>
    <t>IRF4;CARD9;CCR6</t>
  </si>
  <si>
    <t>http://www.broadinstitute.org/gsea/msigdb/cards/FUNG_IL2_SIGNALING_2.html</t>
  </si>
  <si>
    <t>WUNDER_INFLAMMATORY_RESPONSE_AND_CHOLESTEROL_DN</t>
  </si>
  <si>
    <t>4283;219972;3117</t>
  </si>
  <si>
    <t>CXCL9;MPEG1;HLA-DQA1</t>
  </si>
  <si>
    <t>http://www.broadinstitute.org/gsea/msigdb/cards/WUNDER_INFLAMMATORY_RESPONSE_AND_CHOLESTEROL_DN.html</t>
  </si>
  <si>
    <t>GUTIERREZ_CHRONIC_LYMPHOCYTIC_LEUKEMIA_UP</t>
  </si>
  <si>
    <t>1536;3676;10154</t>
  </si>
  <si>
    <t>CYBB;ITGA4;PLXNC1</t>
  </si>
  <si>
    <t>http://www.broadinstitute.org/gsea/msigdb/cards/GUTIERREZ_CHRONIC_LYMPHOCYTIC_LEUKEMIA_UP.html</t>
  </si>
  <si>
    <t>LABBE_WNT3A_TARGETS_DN</t>
  </si>
  <si>
    <t>5579;929;945;7133;2322;719;9363</t>
  </si>
  <si>
    <t>PRKCB;CD14;CD33;TNFRSF1B;FLT3;C3AR1;RAB33A</t>
  </si>
  <si>
    <t>http://www.broadinstitute.org/gsea/msigdb/cards/LABBE_WNT3A_TARGETS_DN.html</t>
  </si>
  <si>
    <t>DANG_REGULATED_BY_MYC_DN</t>
  </si>
  <si>
    <t>3627;916;962;3683;1508;3162;54;6518;9938;6556;5376;4033</t>
  </si>
  <si>
    <t>CXCL10;CD3E;CD48;ITGAL;CTSB;HMOX1;ACP5;SLC2A5;ARHGAP25;SLC11A1;PMP22;LRMP</t>
  </si>
  <si>
    <t>http://www.broadinstitute.org/gsea/msigdb/cards/DANG_REGULATED_BY_MYC_DN.html</t>
  </si>
  <si>
    <t>BIOCARTA_GH_PATHWAY</t>
  </si>
  <si>
    <t>5579;5294;3717;6776</t>
  </si>
  <si>
    <t>PRKCB;PIK3CG;JAK2;STAT5A</t>
  </si>
  <si>
    <t>http://www.broadinstitute.org/gsea/msigdb/cards/BIOCARTA_GH_PATHWAY.html</t>
  </si>
  <si>
    <t>FAELT_B_CLL_WITH_VH_REARRANGEMENTS_UP</t>
  </si>
  <si>
    <t>2014;10875;4689;3717;90634</t>
  </si>
  <si>
    <t>EMP3;FGL2;NCF4;JAK2;N4BP2L1</t>
  </si>
  <si>
    <t>http://www.broadinstitute.org/gsea/msigdb/cards/FAELT_B_CLL_WITH_VH_REARRANGEMENTS_UP.html</t>
  </si>
  <si>
    <t>ENGELMANN_CANCER_PROGENITORS_UP</t>
  </si>
  <si>
    <t>7456;596;5376;1522;4644</t>
  </si>
  <si>
    <t>WIPF1;BCL2;PMP22;CTSZ;MYO5A</t>
  </si>
  <si>
    <t>http://www.broadinstitute.org/gsea/msigdb/cards/ENGELMANN_CANCER_PROGENITORS_UP.html</t>
  </si>
  <si>
    <t>TIAN_TNF_SIGNALING_VIA_NFKB</t>
  </si>
  <si>
    <t>3659;3575;3604;7185</t>
  </si>
  <si>
    <t>IRF1;IL7R;TNFRSF9;TRAF1</t>
  </si>
  <si>
    <t>http://www.broadinstitute.org/gsea/msigdb/cards/TIAN_TNF_SIGNALING_VIA_NFKB.html</t>
  </si>
  <si>
    <t>KAMIKUBO_MYELOID_CEBPA_NETWORK</t>
  </si>
  <si>
    <t>1536;3394;3956;3684</t>
  </si>
  <si>
    <t>CYBB;IRF8;LGALS1;ITGAM</t>
  </si>
  <si>
    <t>http://www.broadinstitute.org/gsea/msigdb/cards/KAMIKUBO_MYELOID_CEBPA_NETWORK.html</t>
  </si>
  <si>
    <t>FIGUEROA_AML_METHYLATION_CLUSTER_1_DN</t>
  </si>
  <si>
    <t>962;5551;2672;58484;10184</t>
  </si>
  <si>
    <t>CD48;PRF1;GFI1;NLRC4;LHFPL2</t>
  </si>
  <si>
    <t>http://www.broadinstitute.org/gsea/msigdb/cards/FIGUEROA_AML_METHYLATION_CLUSTER_1_DN.html</t>
  </si>
  <si>
    <t>WANG_MLL_TARGETS</t>
  </si>
  <si>
    <t>9404;5341;929;9459;54209;4094;3290;6776;1601;25890;80183;55281;9935</t>
  </si>
  <si>
    <t>LPXN;PLEK;CD14;ARHGEF6;TREM2;MAF;HSD11B1;STAT5A;DAB2;ABI3BP;RUBCNL;TMEM140;MAFB</t>
  </si>
  <si>
    <t>http://www.broadinstitute.org/gsea/msigdb/cards/WANG_MLL_TARGETS.html</t>
  </si>
  <si>
    <t>1234;2313;9034;3902;10507</t>
  </si>
  <si>
    <t>CCR5;FLI1;CCRL2;LAG3;SEMA4D</t>
  </si>
  <si>
    <t>http://www.broadinstitute.org/gsea/msigdb/cards/ZHAN_MULTIPLE_MYELOMA_HP_UP.html</t>
  </si>
  <si>
    <t>9839;712;713;714;4481;4360;6507;4240;10457;25890;23166</t>
  </si>
  <si>
    <t>ZEB2;C1QA;C1QB;C1QC;MSR1;MRC1;SLC1A3;MFGE8;GPNMB;ABI3BP;STAB1</t>
  </si>
  <si>
    <t>http://www.broadinstitute.org/gsea/msigdb/cards/RODWELL_AGING_KIDNEY_NO_BLOOD_UP.html</t>
  </si>
  <si>
    <t>HOSHIDA_LIVER_CANCER_SURVIVAL_UP</t>
  </si>
  <si>
    <t>7456;962;596;10437;1601;6363</t>
  </si>
  <si>
    <t>WIPF1;CD48;BCL2;IFI30;DAB2;CCL19</t>
  </si>
  <si>
    <t>http://www.broadinstitute.org/gsea/msigdb/cards/HOSHIDA_LIVER_CANCER_SURVIVAL_UP.html</t>
  </si>
  <si>
    <t>PID_TCR_CALCIUM_PATHWAY</t>
  </si>
  <si>
    <t>3458;3559;959;356</t>
  </si>
  <si>
    <t>IFNG;IL2RA;CD40LG;FASLG</t>
  </si>
  <si>
    <t>http://www.broadinstitute.org/gsea/msigdb/cards/PID_TCR_CALCIUM_PATHWAY.html</t>
  </si>
  <si>
    <t>WANG_RESPONSE_TO_BEXAROTENE_DN</t>
  </si>
  <si>
    <t>3689;944;356;168537</t>
  </si>
  <si>
    <t>ITGB2;TNFSF8;FASLG;GIMAP7</t>
  </si>
  <si>
    <t>http://www.broadinstitute.org/gsea/msigdb/cards/WANG_RESPONSE_TO_BEXAROTENE_DN.html</t>
  </si>
  <si>
    <t>BYSTRYKH_HEMATOPOIESIS_STEM_CELL_QTL_CIS</t>
  </si>
  <si>
    <t>3594;2313;80896;3122;526;729230;59345;4644</t>
  </si>
  <si>
    <t>IL12RB1;FLI1;NPL;HLA-DRA;ATP6V1B2;CCR2;GNB4;MYO5A</t>
  </si>
  <si>
    <t>http://www.broadinstitute.org/gsea/msigdb/cards/BYSTRYKH_HEMATOPOIESIS_STEM_CELL_QTL_CIS.html</t>
  </si>
  <si>
    <t>BALLIF_DEVELOPMENTAL_DISABILITY_P16_P12_DELETION</t>
  </si>
  <si>
    <t>5579;50615;146183</t>
  </si>
  <si>
    <t>PRKCB;IL21R;OTOA</t>
  </si>
  <si>
    <t>http://www.broadinstitute.org/gsea/msigdb/cards/BALLIF_DEVELOPMENTAL_DISABILITY_P16_P12_DELETION.html</t>
  </si>
  <si>
    <t>NIKOLSKY_BREAST_CANCER_1Q32_AMPLICON</t>
  </si>
  <si>
    <t>9214;3586;11009</t>
  </si>
  <si>
    <t>FCMR;IL10;IL24</t>
  </si>
  <si>
    <t>http://www.broadinstitute.org/gsea/msigdb/cards/NIKOLSKY_BREAST_CANCER_1Q32_AMPLICON.html</t>
  </si>
  <si>
    <t>9214;3575;971;7805;3662;10288;240;4261;4208;969;4033;11027;80183</t>
  </si>
  <si>
    <t>FCMR;IL7R;CD72;LAPTM5;IRF4;LILRB2;ALOX5;CIITA;MEF2C;CD69;LRMP;LILRA2;RUBCNL</t>
  </si>
  <si>
    <t>MARTINELLI_IMMATURE_NEUTROPHIL_DN</t>
  </si>
  <si>
    <t>313;2212;4688</t>
  </si>
  <si>
    <t>AOAH;FCGR2A;NCF2</t>
  </si>
  <si>
    <t>http://www.broadinstitute.org/gsea/msigdb/cards/MARTINELLI_IMMATURE_NEUTROPHIL_DN.html</t>
  </si>
  <si>
    <t>CROONQUIST_STROMAL_STIMULATION_DN</t>
  </si>
  <si>
    <t>653361;1237;10672</t>
  </si>
  <si>
    <t>NCF1;CCR8;GNA13</t>
  </si>
  <si>
    <t>http://www.broadinstitute.org/gsea/msigdb/cards/CROONQUIST_STROMAL_STIMULATION_DN.html</t>
  </si>
  <si>
    <t>HOFFMANN_SMALL_PRE_BII_TO_IMMATURE_B_LYMPHOCYTE_DN</t>
  </si>
  <si>
    <t>3575;10875;341;2212;3004</t>
  </si>
  <si>
    <t>IL7R;FGL2;APOC1;FCGR2A;GZMM</t>
  </si>
  <si>
    <t>http://www.broadinstitute.org/gsea/msigdb/cards/HOFFMANN_SMALL_PRE_BII_TO_IMMATURE_B_LYMPHOCYTE_DN.html</t>
  </si>
  <si>
    <t>DER_IFN_ALPHA_RESPONSE_UP</t>
  </si>
  <si>
    <t>3659;2633;6772;6890;10437;3988</t>
  </si>
  <si>
    <t>IRF1;GBP1;STAT1;TAP1;IFI30;LIPA</t>
  </si>
  <si>
    <t>http://www.broadinstitute.org/gsea/msigdb/cards/DER_IFN_ALPHA_RESPONSE_UP.html</t>
  </si>
  <si>
    <t>LEE_METASTASIS_AND_ALTERNATIVE_SPLICING_UP</t>
  </si>
  <si>
    <t>3594;695;4671;3956;597;145864</t>
  </si>
  <si>
    <t>IL12RB1;BTK;NAIP;LGALS1;BCL2A1;HAPLN3</t>
  </si>
  <si>
    <t>http://www.broadinstitute.org/gsea/msigdb/cards/LEE_METASTASIS_AND_ALTERNATIVE_SPLICING_UP.html</t>
  </si>
  <si>
    <t>MIYAGAWA_TARGETS_OF_EWSR1_ETS_FUSIONS_UP</t>
  </si>
  <si>
    <t>9839;3689;2313;9459;57580;23048;10019;8564;3684;140885;80183;9935</t>
  </si>
  <si>
    <t>ZEB2;ITGB2;FLI1;ARHGEF6;PREX1;FNBP1;SH2B3;KMO;ITGAM;SIRPA;RUBCNL;MAFB</t>
  </si>
  <si>
    <t>http://www.broadinstitute.org/gsea/msigdb/cards/MIYAGAWA_TARGETS_OF_EWSR1_ETS_FUSIONS_UP.html</t>
  </si>
  <si>
    <t>BROWNE_HCMV_INFECTION_10HR_UP</t>
  </si>
  <si>
    <t>6352;2633;4332;6373;4688;11009;54861</t>
  </si>
  <si>
    <t>CCL5;GBP1;MNDA;CXCL11;NCF2;IL24;SNRK</t>
  </si>
  <si>
    <t>http://www.broadinstitute.org/gsea/msigdb/cards/BROWNE_HCMV_INFECTION_10HR_UP.html</t>
  </si>
  <si>
    <t>LIU_BREAST_CANCER</t>
  </si>
  <si>
    <t>5800;1508;9815;6614</t>
  </si>
  <si>
    <t>PTPRO;CTSB;GIT2;SIGLEC1</t>
  </si>
  <si>
    <t>http://www.broadinstitute.org/gsea/msigdb/cards/LIU_BREAST_CANCER.html</t>
  </si>
  <si>
    <t>SHIN_B_CELL_LYMPHOMA_CLUSTER_2</t>
  </si>
  <si>
    <t>5294;3662;10673;6776</t>
  </si>
  <si>
    <t>PIK3CG;IRF4;TNFSF13B;STAT5A</t>
  </si>
  <si>
    <t>http://www.broadinstitute.org/gsea/msigdb/cards/SHIN_B_CELL_LYMPHOMA_CLUSTER_2.html</t>
  </si>
  <si>
    <t>NAKAJIMA_EOSINOPHIL</t>
  </si>
  <si>
    <t>27334;6036;6351;4973</t>
  </si>
  <si>
    <t>P2RY10;RNASE2;CCL4;OLR1</t>
  </si>
  <si>
    <t>http://www.broadinstitute.org/gsea/msigdb/cards/NAKAJIMA_EOSINOPHIL.html</t>
  </si>
  <si>
    <t>CHIARETTI_T_ALL_REFRACTORY_TO_THERAPY</t>
  </si>
  <si>
    <t>2533;2672;29851;6402</t>
  </si>
  <si>
    <t>FYB1;GFI1;ICOS;SELL</t>
  </si>
  <si>
    <t>http://www.broadinstitute.org/gsea/msigdb/cards/CHIARETTI_T_ALL_REFRACTORY_TO_THERAPY.html</t>
  </si>
  <si>
    <t>SHETH_LIVER_CANCER_VS_TXNIP_LOSS_PAM4</t>
  </si>
  <si>
    <t>9839;916;959;1234;5800;9332;2219;27299;10154;6518;90634;25890</t>
  </si>
  <si>
    <t>ZEB2;CD3E;CD40LG;CCR5;PTPRO;CD163;FCN1;ADAMDEC1;PLXNC1;SLC2A5;N4BP2L1;ABI3BP</t>
  </si>
  <si>
    <t>http://www.broadinstitute.org/gsea/msigdb/cards/SHETH_LIVER_CANCER_VS_TXNIP_LOSS_PAM4.html</t>
  </si>
  <si>
    <t>ZHANG_ANTIVIRAL_RESPONSE_TO_RIBAVIRIN_DN</t>
  </si>
  <si>
    <t>6351;3561;4688;2833;3604</t>
  </si>
  <si>
    <t>CCL4;IL2RG;NCF2;CXCR3;TNFRSF9</t>
  </si>
  <si>
    <t>http://www.broadinstitute.org/gsea/msigdb/cards/ZHANG_ANTIVIRAL_RESPONSE_TO_RIBAVIRIN_DN.html</t>
  </si>
  <si>
    <t>http://www.broadinstitute.org/gsea/msigdb/cards/REACTOME_HOST_INTERACTIONS_OF_HIV_FACTORS.html</t>
  </si>
  <si>
    <t>KYNG_DNA_DAMAGE_DN</t>
  </si>
  <si>
    <t>1318;3932;963;3683;2633;1439;5734;3117;969;10507</t>
  </si>
  <si>
    <t>SLC31A2;LCK;CD53;ITGAL;GBP1;CSF2RB;PTGER4;HLA-DQA1;CD69;SEMA4D</t>
  </si>
  <si>
    <t>http://www.broadinstitute.org/gsea/msigdb/cards/KYNG_DNA_DAMAGE_DN.html</t>
  </si>
  <si>
    <t>BIOCARTA_CLASSIC_PATHWAY</t>
  </si>
  <si>
    <t>http://www.broadinstitute.org/gsea/msigdb/cards/BIOCARTA_CLASSIC_PATHWAY.html</t>
  </si>
  <si>
    <t>PID_IL5_PATHWAY</t>
  </si>
  <si>
    <t>1439;3717;6776</t>
  </si>
  <si>
    <t>CSF2RB;JAK2;STAT5A</t>
  </si>
  <si>
    <t>http://www.broadinstitute.org/gsea/msigdb/cards/PID_IL5_PATHWAY.html</t>
  </si>
  <si>
    <t>REACTOME_TRAFFICKING_AND_PROCESSING_OF_ENDOSOMAL_TLR</t>
  </si>
  <si>
    <t>51311;51284;1508</t>
  </si>
  <si>
    <t>TLR8;TLR7;CTSB</t>
  </si>
  <si>
    <t>http://www.broadinstitute.org/gsea/msigdb/cards/REACTOME_TRAFFICKING_AND_PROCESSING_OF_ENDOSOMAL_TLR.html</t>
  </si>
  <si>
    <t>REACTOME_REGULATION_OF_IFNG_SIGNALING</t>
  </si>
  <si>
    <t>http://www.broadinstitute.org/gsea/msigdb/cards/REACTOME_REGULATION_OF_IFNG_SIGNALING.html</t>
  </si>
  <si>
    <t>RADAEVA_RESPONSE_TO_IFNA1_UP</t>
  </si>
  <si>
    <t>3627;3659;6772;6373;596</t>
  </si>
  <si>
    <t>CXCL10;IRF1;STAT1;CXCL11;BCL2</t>
  </si>
  <si>
    <t>http://www.broadinstitute.org/gsea/msigdb/cards/RADAEVA_RESPONSE_TO_IFNA1_UP.html</t>
  </si>
  <si>
    <t>PARK_APL_PATHOGENESIS_UP</t>
  </si>
  <si>
    <t>3001;6404;4208</t>
  </si>
  <si>
    <t>GZMA;SELPLG;MEF2C</t>
  </si>
  <si>
    <t>http://www.broadinstitute.org/gsea/msigdb/cards/PARK_APL_PATHOGENESIS_UP.html</t>
  </si>
  <si>
    <t>PID_CD40_PATHWAY</t>
  </si>
  <si>
    <t>959;6776;3718;7185</t>
  </si>
  <si>
    <t>CD40LG;STAT5A;JAK3;TRAF1</t>
  </si>
  <si>
    <t>http://www.broadinstitute.org/gsea/msigdb/cards/PID_CD40_PATHWAY.html</t>
  </si>
  <si>
    <t>PID_P38_ALPHA_BETA_PATHWAY</t>
  </si>
  <si>
    <t>3932;3055;2268;4215</t>
  </si>
  <si>
    <t>LCK;HCK;FGR;MAP3K3</t>
  </si>
  <si>
    <t>http://www.broadinstitute.org/gsea/msigdb/cards/PID_P38_ALPHA_BETA_PATHWAY.html</t>
  </si>
  <si>
    <t>REACTOME_SIGNAL_AMPLIFICATION</t>
  </si>
  <si>
    <t>54331;10672;64805;59345</t>
  </si>
  <si>
    <t>GNG2;GNA13;P2RY12;GNB4</t>
  </si>
  <si>
    <t>http://www.broadinstitute.org/gsea/msigdb/cards/REACTOME_SIGNAL_AMPLIFICATION.html</t>
  </si>
  <si>
    <t>NOJIMA_SFRP2_TARGETS_UP</t>
  </si>
  <si>
    <t>7453;1435;3604;11009</t>
  </si>
  <si>
    <t>WARS;CSF1;TNFRSF9;IL24</t>
  </si>
  <si>
    <t>http://www.broadinstitute.org/gsea/msigdb/cards/NOJIMA_SFRP2_TARGETS_UP.html</t>
  </si>
  <si>
    <t>MOREAUX_MULTIPLE_MYELOMA_BY_TACI_UP</t>
  </si>
  <si>
    <t>1378;941;719;497189;23533;27036;2811;5452;3002;596;3109;943;1235;54331;145581;51513</t>
  </si>
  <si>
    <t>CR1;CD80;C3AR1;TIFAB;PIK3R5;SIGLEC7;GP1BA;POU2F2;GZMB;BCL2;HLA-DMB;TNFRSF8;CCR6;GNG2;LRFN5;ETV7</t>
  </si>
  <si>
    <t>http://www.broadinstitute.org/gsea/msigdb/cards/MOREAUX_MULTIPLE_MYELOMA_BY_TACI_UP.html</t>
  </si>
  <si>
    <t>BENNETT_SYSTEMIC_LUPUS_ERYTHEMATOSUS</t>
  </si>
  <si>
    <t>6036;6772;6890;2358</t>
  </si>
  <si>
    <t>RNASE2;STAT1;TAP1;FPR2</t>
  </si>
  <si>
    <t>http://www.broadinstitute.org/gsea/msigdb/cards/BENNETT_SYSTEMIC_LUPUS_ERYTHEMATOSUS.html</t>
  </si>
  <si>
    <t>DORSEY_GAB2_TARGETS</t>
  </si>
  <si>
    <t>9034;9938;3604;969</t>
  </si>
  <si>
    <t>CCRL2;ARHGAP25;TNFRSF9;CD69</t>
  </si>
  <si>
    <t>http://www.broadinstitute.org/gsea/msigdb/cards/DORSEY_GAB2_TARGETS.html</t>
  </si>
  <si>
    <t>MOSERLE_IFNA_RESPONSE</t>
  </si>
  <si>
    <t>3627;2633;6772;29126</t>
  </si>
  <si>
    <t>CXCL10;GBP1;STAT1;CD274</t>
  </si>
  <si>
    <t>http://www.broadinstitute.org/gsea/msigdb/cards/MOSERLE_IFNA_RESPONSE.html</t>
  </si>
  <si>
    <t>BOQUEST_STEM_CELL_CULTURED_VS_FRESH_DN</t>
  </si>
  <si>
    <t>929;5734;348;54504</t>
  </si>
  <si>
    <t>CD14;PTGER4;APOE;CPVL</t>
  </si>
  <si>
    <t>http://www.broadinstitute.org/gsea/msigdb/cards/BOQUEST_STEM_CELL_CULTURED_VS_FRESH_DN.html</t>
  </si>
  <si>
    <t>VALK_AML_CLUSTER_4</t>
  </si>
  <si>
    <t>3676;50852;27306;924</t>
  </si>
  <si>
    <t>ITGA4;TRAT1;HPGDS;CD7</t>
  </si>
  <si>
    <t>http://www.broadinstitute.org/gsea/msigdb/cards/VALK_AML_CLUSTER_4.html</t>
  </si>
  <si>
    <t>AMUNDSON_GENOTOXIC_SIGNATURE</t>
  </si>
  <si>
    <t>962;3676;3937;2672;4208;4240;10507</t>
  </si>
  <si>
    <t>CD48;ITGA4;LCP2;GFI1;MEF2C;MFGE8;SEMA4D</t>
  </si>
  <si>
    <t>http://www.broadinstitute.org/gsea/msigdb/cards/AMUNDSON_GENOTOXIC_SIGNATURE.html</t>
  </si>
  <si>
    <t>KEGG_MAPK_SIGNALING_PATHWAY</t>
  </si>
  <si>
    <t>5579;929;5778;11184;3553;356;4208;10235;25780;115727;4215;26279</t>
  </si>
  <si>
    <t>PRKCB;CD14;PTPN7;MAP4K1;IL1B;FASLG;MEF2C;RASGRP2;RASGRP3;RASGRP4;MAP3K3;PLA2G2D</t>
  </si>
  <si>
    <t>http://www.broadinstitute.org/gsea/msigdb/cards/KEGG_MAPK_SIGNALING_PATHWAY.html</t>
  </si>
  <si>
    <t>REACTOME_SIGNALING_BY_SCF_KIT</t>
  </si>
  <si>
    <t>9402;3932;6772;10019;3717;6776</t>
  </si>
  <si>
    <t>GRAP2;LCK;STAT1;SH2B3;JAK2;STAT5A</t>
  </si>
  <si>
    <t>http://www.broadinstitute.org/gsea/msigdb/cards/REACTOME_SIGNALING_BY_SCF_KIT.html</t>
  </si>
  <si>
    <t>BIOCARTA_PDGF_PATHWAY</t>
  </si>
  <si>
    <t>5579;6772;5294;6776</t>
  </si>
  <si>
    <t>PRKCB;STAT1;PIK3CG;STAT5A</t>
  </si>
  <si>
    <t>http://www.broadinstitute.org/gsea/msigdb/cards/BIOCARTA_PDGF_PATHWAY.html</t>
  </si>
  <si>
    <t>REACTOME_SEMA4D_IN_SEMAPHORIN_SIGNALING</t>
  </si>
  <si>
    <t>5788;971;391;10507</t>
  </si>
  <si>
    <t>PTPRC;CD72;RHOG;SEMA4D</t>
  </si>
  <si>
    <t>http://www.broadinstitute.org/gsea/msigdb/cards/REACTOME_SEMA4D_IN_SEMAPHORIN_SIGNALING.html</t>
  </si>
  <si>
    <t>REACTOME_COMPLEMENT_CASCADE</t>
  </si>
  <si>
    <t>712;713;714;1378</t>
  </si>
  <si>
    <t>C1QA;C1QB;C1QC;CR1</t>
  </si>
  <si>
    <t>http://www.broadinstitute.org/gsea/msigdb/cards/REACTOME_COMPLEMENT_CASCADE.html</t>
  </si>
  <si>
    <t>BAUS_TFF2_TARGETS_UP</t>
  </si>
  <si>
    <t>6890;4050;100506736;25939</t>
  </si>
  <si>
    <t>TAP1;LTB;SLFN12L;SAMHD1</t>
  </si>
  <si>
    <t>http://www.broadinstitute.org/gsea/msigdb/cards/BAUS_TFF2_TARGETS_UP.html</t>
  </si>
  <si>
    <t>SENESE_HDAC1_TARGETS_UP</t>
  </si>
  <si>
    <t>9404;3575;8477;114548;5552;3936;2113;11010;4050;11009;10672;597;84541;51762;55619;50515;57823</t>
  </si>
  <si>
    <t>LPXN;IL7R;GPR65;NLRP3;SRGN;LCP1;ETS1;GLIPR1;LTB;IL24;GNA13;BCL2A1;KBTBD8;RAB8B;DOCK10;CHST11;SLAMF7</t>
  </si>
  <si>
    <t>http://www.broadinstitute.org/gsea/msigdb/cards/SENESE_HDAC1_TARGETS_UP.html</t>
  </si>
  <si>
    <t>PEDRIOLI_MIR31_TARGETS_DN</t>
  </si>
  <si>
    <t>9046;3695;10875;92241;83706;10537;3111;4688;3274;4050;90634;9806;5027;84034;55281;8605</t>
  </si>
  <si>
    <t>DOK2;ITGB7;FGL2;RCSD1;FERMT3;UBD;HLA-DOA;NCF2;HRH2;LTB;N4BP2L1;SPOCK2;P2RX7;EMILIN2;TMEM140;PLA2G4C</t>
  </si>
  <si>
    <t>http://www.broadinstitute.org/gsea/msigdb/cards/PEDRIOLI_MIR31_TARGETS_DN.html</t>
  </si>
  <si>
    <t>BIOCARTA_IL3_PATHWAY</t>
  </si>
  <si>
    <t>http://www.broadinstitute.org/gsea/msigdb/cards/BIOCARTA_IL3_PATHWAY.html</t>
  </si>
  <si>
    <t>BIOCARTA_STEM_PATHWAY</t>
  </si>
  <si>
    <t>920;925;1435</t>
  </si>
  <si>
    <t>CD4;CD8A;CSF1</t>
  </si>
  <si>
    <t>http://www.broadinstitute.org/gsea/msigdb/cards/BIOCARTA_STEM_PATHWAY.html</t>
  </si>
  <si>
    <t>REACTOME_OTHER_SEMAPHORIN_INTERACTIONS</t>
  </si>
  <si>
    <t>7305;54209;10154</t>
  </si>
  <si>
    <t>TYROBP;TREM2;PLXNC1</t>
  </si>
  <si>
    <t>http://www.broadinstitute.org/gsea/msigdb/cards/REACTOME_OTHER_SEMAPHORIN_INTERACTIONS.html</t>
  </si>
  <si>
    <t>PIEPOLI_LGI1_TARGETS_UP</t>
  </si>
  <si>
    <t>10875;4094;8530</t>
  </si>
  <si>
    <t>FGL2;MAF;CST7</t>
  </si>
  <si>
    <t>http://www.broadinstitute.org/gsea/msigdb/cards/PIEPOLI_LGI1_TARGETS_UP.html</t>
  </si>
  <si>
    <t>HUMMEL_BURKITTS_LYMPHOMA_DN</t>
  </si>
  <si>
    <t>23048;9938;597</t>
  </si>
  <si>
    <t>FNBP1;ARHGAP25;BCL2A1</t>
  </si>
  <si>
    <t>http://www.broadinstitute.org/gsea/msigdb/cards/HUMMEL_BURKITTS_LYMPHOMA_DN.html</t>
  </si>
  <si>
    <t>GRAESSMANN_APOPTOSIS_BY_DOXORUBICIN_UP</t>
  </si>
  <si>
    <t>9051;3627;929;2214;2123;11151;5734;6772;7535;2014;6890;3635;81030;9056;1508;3162;1435;10437;5816;526;3718;1601;4240;11009;10672;3123;90634;132160;51063;55281;29126;4644;9935</t>
  </si>
  <si>
    <t>PSTPIP1;CXCL10;CD14;FCGR3A;EVI2A;CORO1A;PTGER4;STAT1;ZAP70;EMP3;TAP1;INPP5D;ZBP1;SLC7A7;CTSB;HMOX1;CSF1;IFI30;PVALB;ATP6V1B2;JAK3;DAB2;MFGE8;IL24;GNA13;HLA-DRB1;N4BP2L1;PPM1M;CALHM2;TMEM140;CD274;MYO5A;MAFB</t>
  </si>
  <si>
    <t>http://www.broadinstitute.org/gsea/msigdb/cards/GRAESSMANN_APOPTOSIS_BY_DOXORUBICIN_UP.html</t>
  </si>
  <si>
    <t>EHRLICH_ICF_SYNDROM_DN</t>
  </si>
  <si>
    <t>3695;3162;4208</t>
  </si>
  <si>
    <t>ITGB7;HMOX1;MEF2C</t>
  </si>
  <si>
    <t>http://www.broadinstitute.org/gsea/msigdb/cards/EHRLICH_ICF_SYNDROM_DN.html</t>
  </si>
  <si>
    <t>FIGUEROA_AML_METHYLATION_CLUSTER_4_DN</t>
  </si>
  <si>
    <t>3559;1236;51225</t>
  </si>
  <si>
    <t>IL2RA;CCR7;ABI3</t>
  </si>
  <si>
    <t>http://www.broadinstitute.org/gsea/msigdb/cards/FIGUEROA_AML_METHYLATION_CLUSTER_4_DN.html</t>
  </si>
  <si>
    <t>RIZKI_TUMOR_INVASIVENESS_3D_DN</t>
  </si>
  <si>
    <t>10663;2533;1318;7305;11309;5788;2350;10154;10437;3902;1601;4208</t>
  </si>
  <si>
    <t>CXCR6;FYB1;SLC31A2;TYROBP;SLCO2B1;PTPRC;FOLR2;PLXNC1;IFI30;LAG3;DAB2;MEF2C</t>
  </si>
  <si>
    <t>http://www.broadinstitute.org/gsea/msigdb/cards/RIZKI_TUMOR_INVASIVENESS_3D_DN.html</t>
  </si>
  <si>
    <t>PEPPER_CHRONIC_LYMPHOCYTIC_LEUKEMIA_UP</t>
  </si>
  <si>
    <t>313;11024;3553;3363</t>
  </si>
  <si>
    <t>AOAH;LILRA1;IL1B;HTR7</t>
  </si>
  <si>
    <t>http://www.broadinstitute.org/gsea/msigdb/cards/PEPPER_CHRONIC_LYMPHOCYTIC_LEUKEMIA_UP.html</t>
  </si>
  <si>
    <t>VALK_AML_CLUSTER_6</t>
  </si>
  <si>
    <t>972;11151;3122;3113</t>
  </si>
  <si>
    <t>CD74;CORO1A;HLA-DRA;HLA-DPA1</t>
  </si>
  <si>
    <t>http://www.broadinstitute.org/gsea/msigdb/cards/VALK_AML_CLUSTER_6.html</t>
  </si>
  <si>
    <t>SMIRNOV_RESPONSE_TO_IR_2HR_DN</t>
  </si>
  <si>
    <t>3603;27033;3717;596;1235</t>
  </si>
  <si>
    <t>IL16;ZBTB32;JAK2;BCL2;CCR6</t>
  </si>
  <si>
    <t>http://www.broadinstitute.org/gsea/msigdb/cards/SMIRNOV_RESPONSE_TO_IR_2HR_DN.html</t>
  </si>
  <si>
    <t>7305;1436;3676;83706;9332;84868;53346;64231;29992;348;5552;3002;241;4481;2213;3988;140885;9815;10672</t>
  </si>
  <si>
    <t>TYROBP;CSF1R;ITGA4;FERMT3;CD163;HAVCR2;TM6SF1;MS4A6A;PILRA;APOE;SRGN;GZMB;ALOX5AP;MSR1;FCGR2B;LIPA;SIRPA;GIT2;GNA13</t>
  </si>
  <si>
    <t>http://www.broadinstitute.org/gsea/msigdb/cards/MARTINEZ_RB1_TARGETS_DN.html</t>
  </si>
  <si>
    <t>MAHAJAN_RESPONSE_TO_IL1A_UP</t>
  </si>
  <si>
    <t>6352;3575;6772;7439;3553;4033</t>
  </si>
  <si>
    <t>CCL5;IL7R;STAT1;BEST1;IL1B;LRMP</t>
  </si>
  <si>
    <t>http://www.broadinstitute.org/gsea/msigdb/cards/MAHAJAN_RESPONSE_TO_IL1A_UP.html</t>
  </si>
  <si>
    <t>KYNG_DNA_DAMAGE_BY_GAMMA_RADIATION</t>
  </si>
  <si>
    <t>925;1536;2633;11262;1794;3059</t>
  </si>
  <si>
    <t>CD8A;CYBB;GBP1;SP140;DOCK2;HCLS1</t>
  </si>
  <si>
    <t>http://www.broadinstitute.org/gsea/msigdb/cards/KYNG_DNA_DAMAGE_BY_GAMMA_RADIATION.html</t>
  </si>
  <si>
    <t>KEGG_CYTOSOLIC_DNA_SENSING_PATHWAY</t>
  </si>
  <si>
    <t>3627;6351;6352;81030;3553</t>
  </si>
  <si>
    <t>CXCL10;CCL4;CCL5;ZBP1;IL1B</t>
  </si>
  <si>
    <t>http://www.broadinstitute.org/gsea/msigdb/cards/KEGG_CYTOSOLIC_DNA_SENSING_PATHWAY.html</t>
  </si>
  <si>
    <t>LEE_LIVER_CANCER_MYC_E2F1_UP</t>
  </si>
  <si>
    <t>972;971;4283;3117;597</t>
  </si>
  <si>
    <t>CD74;CD72;CXCL9;HLA-DQA1;BCL2A1</t>
  </si>
  <si>
    <t>http://www.broadinstitute.org/gsea/msigdb/cards/LEE_LIVER_CANCER_MYC_E2F1_UP.html</t>
  </si>
  <si>
    <t>REACTOME_GASTRIN_CREB_SIGNALLING_PATHWAY_VIA_PKC_AND_MAPK</t>
  </si>
  <si>
    <t>http://www.broadinstitute.org/gsea/msigdb/cards/REACTOME_GASTRIN_CREB_SIGNALLING_PATHWAY_VIA_PKC_AND_MAPK.html</t>
  </si>
  <si>
    <t>1378;3561;11262;5800;53346;5724;2213;729230;4033;25780;79630;10077</t>
  </si>
  <si>
    <t>CR1;IL2RG;SP140;PTPRO;TM6SF1;PTAFR;FCGR2B;CCR2;LRMP;RASGRP3;C1orf54;TSPAN32</t>
  </si>
  <si>
    <t>PID_REG_GR_PATHWAY</t>
  </si>
  <si>
    <t>3458;3659;6688;6772;30009;6776</t>
  </si>
  <si>
    <t>IFNG;IRF1;SPI1;STAT1;TBX21;STAT5A</t>
  </si>
  <si>
    <t>http://www.broadinstitute.org/gsea/msigdb/cards/PID_REG_GR_PATHWAY.html</t>
  </si>
  <si>
    <t>REACTOME_NUCLEOTIDE_LIKE_PURINERGIC_RECEPTORS</t>
  </si>
  <si>
    <t>http://www.broadinstitute.org/gsea/msigdb/cards/REACTOME_NUCLEOTIDE_LIKE_PURINERGIC_RECEPTORS.html</t>
  </si>
  <si>
    <t>REACTOME_INITIAL_TRIGGERING_OF_COMPLEMENT</t>
  </si>
  <si>
    <t>http://www.broadinstitute.org/gsea/msigdb/cards/REACTOME_INITIAL_TRIGGERING_OF_COMPLEMENT.html</t>
  </si>
  <si>
    <t>XU_RESPONSE_TO_TRETINOIN_UP</t>
  </si>
  <si>
    <t>7456;1102;7454</t>
  </si>
  <si>
    <t>WIPF1;RCBTB2;WAS</t>
  </si>
  <si>
    <t>http://www.broadinstitute.org/gsea/msigdb/cards/XU_RESPONSE_TO_TRETINOIN_UP.html</t>
  </si>
  <si>
    <t>RAY_TARGETS_OF_P210_BCR_ABL_FUSION_DN</t>
  </si>
  <si>
    <t>199;8514;5552</t>
  </si>
  <si>
    <t>AIF1;KCNAB2;SRGN</t>
  </si>
  <si>
    <t>http://www.broadinstitute.org/gsea/msigdb/cards/RAY_TARGETS_OF_P210_BCR_ABL_FUSION_DN.html</t>
  </si>
  <si>
    <t>ZHAN_LATE_DIFFERENTIATION_GENES_DN</t>
  </si>
  <si>
    <t>3932;399;4033</t>
  </si>
  <si>
    <t>LCK;RHOH;LRMP</t>
  </si>
  <si>
    <t>http://www.broadinstitute.org/gsea/msigdb/cards/ZHAN_LATE_DIFFERENTIATION_GENES_DN.html</t>
  </si>
  <si>
    <t>SCHOEN_NFKB_SIGNALING</t>
  </si>
  <si>
    <t>5734;3553;5376;3604</t>
  </si>
  <si>
    <t>PTGER4;IL1B;PMP22;TNFRSF9</t>
  </si>
  <si>
    <t>http://www.broadinstitute.org/gsea/msigdb/cards/SCHOEN_NFKB_SIGNALING.html</t>
  </si>
  <si>
    <t>YAMASHITA_METHYLATED_IN_PROSTATE_CANCER</t>
  </si>
  <si>
    <t>283897;51393;10457;64174;55013</t>
  </si>
  <si>
    <t>C16orf54;TRPV2;GPNMB;DPEP2;MCUB</t>
  </si>
  <si>
    <t>http://www.broadinstitute.org/gsea/msigdb/cards/YAMASHITA_METHYLATED_IN_PROSTATE_CANCER.html</t>
  </si>
  <si>
    <t>EBAUER_TARGETS_OF_PAX3_FOXO1_FUSION_UP</t>
  </si>
  <si>
    <t>2533;3627;5341;1234;9459;6793;6693;4208;7462;83937</t>
  </si>
  <si>
    <t>FYB1;CXCL10;PLEK;CCR5;ARHGEF6;STK10;SPN;MEF2C;LAT2;RASSF4</t>
  </si>
  <si>
    <t>http://www.broadinstitute.org/gsea/msigdb/cards/EBAUER_TARGETS_OF_PAX3_FOXO1_FUSION_UP.html</t>
  </si>
  <si>
    <t>BLALOCK_ALZHEIMERS_DISEASE_INCIPIENT_UP</t>
  </si>
  <si>
    <t>3458;1378;3561;2633;6504;3587;23048;19;341;1435;3113;7454;3718;3604;54861</t>
  </si>
  <si>
    <t>IFNG;CR1;IL2RG;GBP1;SLAMF1;IL10RA;FNBP1;ABCA1;APOC1;CSF1;HLA-DPA1;WAS;JAK3;TNFRSF9;SNRK</t>
  </si>
  <si>
    <t>http://www.broadinstitute.org/gsea/msigdb/cards/BLALOCK_ALZHEIMERS_DISEASE_INCIPIENT_UP.html</t>
  </si>
  <si>
    <t>HIRSCH_CELLULAR_TRANSFORMATION_SIGNATURE_UP</t>
  </si>
  <si>
    <t>2123;7453;2124;6890;19;3553;1508;4973;597;10184;51466</t>
  </si>
  <si>
    <t>EVI2A;WARS;EVI2B;TAP1;ABCA1;IL1B;CTSB;OLR1;BCL2A1;LHFPL2;EVL</t>
  </si>
  <si>
    <t>http://www.broadinstitute.org/gsea/msigdb/cards/HIRSCH_CELLULAR_TRANSFORMATION_SIGNATURE_UP.html</t>
  </si>
  <si>
    <t>OISHI_CHOLANGIOMA_STEM_CELL_LIKE_DN</t>
  </si>
  <si>
    <t>8676;3932;1378;3561;2014;51393;366;240;6518;5376;25890;51513</t>
  </si>
  <si>
    <t>STX11;LCK;CR1;IL2RG;EMP3;TRPV2;AQP9;ALOX5;SLC2A5;PMP22;ABI3BP;ETV7</t>
  </si>
  <si>
    <t>http://www.broadinstitute.org/gsea/msigdb/cards/OISHI_CHOLANGIOMA_STEM_CELL_LIKE_DN.html</t>
  </si>
  <si>
    <t>PID_HIV_NEF_PATHWAY</t>
  </si>
  <si>
    <t>919;596;356;7185</t>
  </si>
  <si>
    <t>CD247;BCL2;FASLG;TRAF1</t>
  </si>
  <si>
    <t>http://www.broadinstitute.org/gsea/msigdb/cards/PID_HIV_NEF_PATHWAY.html</t>
  </si>
  <si>
    <t>FIRESTEIN_PROLIFERATION</t>
  </si>
  <si>
    <t>3055;5294;695;3702;92241;3635;3002;814;118788</t>
  </si>
  <si>
    <t>HCK;PIK3CG;BTK;ITK;RCSD1;INPP5D;GZMB;CAMK4;PIK3AP1</t>
  </si>
  <si>
    <t>http://www.broadinstitute.org/gsea/msigdb/cards/FIRESTEIN_PROLIFERATION.html</t>
  </si>
  <si>
    <t>BASSO_B_LYMPHOCYTE_NETWORK</t>
  </si>
  <si>
    <t>27334;9214;5579;7133;7805;3956;5552;90634</t>
  </si>
  <si>
    <t>P2RY10;FCMR;PRKCB;TNFRSF1B;LAPTM5;LGALS1;SRGN;N4BP2L1</t>
  </si>
  <si>
    <t>http://www.broadinstitute.org/gsea/msigdb/cards/BASSO_B_LYMPHOCYTE_NETWORK.html</t>
  </si>
  <si>
    <t>CHANG_IMMORTALIZED_BY_HPV31_UP</t>
  </si>
  <si>
    <t>942;51338;64231;3115;3956;10004</t>
  </si>
  <si>
    <t>CD86;MS4A4A;MS4A6A;HLA-DPB1;LGALS1;NAALADL1</t>
  </si>
  <si>
    <t>http://www.broadinstitute.org/gsea/msigdb/cards/CHANG_IMMORTALIZED_BY_HPV31_UP.html</t>
  </si>
  <si>
    <t>BIOCARTA_PML_PATHWAY</t>
  </si>
  <si>
    <t>7133;356;84106</t>
  </si>
  <si>
    <t>TNFRSF1B;FASLG;PRAM1</t>
  </si>
  <si>
    <t>http://www.broadinstitute.org/gsea/msigdb/cards/BIOCARTA_PML_PATHWAY.html</t>
  </si>
  <si>
    <t>XU_RESPONSE_TO_TRETINOIN_AND_NSC682994_UP</t>
  </si>
  <si>
    <t>963;6772;6793</t>
  </si>
  <si>
    <t>CD53;STAT1;STK10</t>
  </si>
  <si>
    <t>http://www.broadinstitute.org/gsea/msigdb/cards/XU_RESPONSE_TO_TRETINOIN_AND_NSC682994_UP.html</t>
  </si>
  <si>
    <t>SIG_PIP3_SIGNALING_IN_B_LYMPHOCYTES</t>
  </si>
  <si>
    <t>5788;695;57580;23533</t>
  </si>
  <si>
    <t>PTPRC;BTK;PREX1;PIK3R5</t>
  </si>
  <si>
    <t>http://www.broadinstitute.org/gsea/msigdb/cards/SIG_PIP3_SIGNALING_IN_B_LYMPHOCYTES.html</t>
  </si>
  <si>
    <t>KEGG_ACUTE_MYELOID_LEUKEMIA</t>
  </si>
  <si>
    <t>6688;2322;5294;23533;6776</t>
  </si>
  <si>
    <t>SPI1;FLT3;PIK3CG;PIK3R5;STAT5A</t>
  </si>
  <si>
    <t>http://www.broadinstitute.org/gsea/msigdb/cards/KEGG_ACUTE_MYELOID_LEUKEMIA.html</t>
  </si>
  <si>
    <t>HUTTMANN_B_CLL_POOR_SURVIVAL_DN</t>
  </si>
  <si>
    <t>6504;27299;19;11010;4208</t>
  </si>
  <si>
    <t>SLAMF1;ADAMDEC1;ABCA1;GLIPR1;MEF2C</t>
  </si>
  <si>
    <t>http://www.broadinstitute.org/gsea/msigdb/cards/HUTTMANN_B_CLL_POOR_SURVIVAL_DN.html</t>
  </si>
  <si>
    <t>BENPORATH_SUZ12_TARGETS</t>
  </si>
  <si>
    <t>9839;925;3676;7133;5734;2322;2313;92241;348378;55340;2672;56659;30009;4094;8320;1435;240;596;3363;203100;5376;3604;9363;54518;84230;9806;145581;55803;22806;9935</t>
  </si>
  <si>
    <t>ZEB2;CD8A;ITGA4;TNFRSF1B;PTGER4;FLT3;FLI1;RCSD1;SHISAL2A;GIMAP5;GFI1;KCNK13;TBX21;MAF;EOMES;CSF1;ALOX5;BCL2;HTR7;HTRA4;PMP22;TNFRSF9;RAB33A;APBB1IP;LRRC8C;SPOCK2;LRFN5;ADAP2;IKZF3;MAFB</t>
  </si>
  <si>
    <t>http://www.broadinstitute.org/gsea/msigdb/cards/BENPORATH_SUZ12_TARGETS.html</t>
  </si>
  <si>
    <t>BIOCARTA_PAR1_PATHWAY</t>
  </si>
  <si>
    <t>5579;5294;9459;10672</t>
  </si>
  <si>
    <t>PRKCB;PIK3CG;ARHGEF6;GNA13</t>
  </si>
  <si>
    <t>http://www.broadinstitute.org/gsea/msigdb/cards/BIOCARTA_PAR1_PATHWAY.html</t>
  </si>
  <si>
    <t>KIM_ALL_DISORDERS_CALB1_CORR_DN</t>
  </si>
  <si>
    <t>3635;2672;9120;6753</t>
  </si>
  <si>
    <t>INPP5D;GFI1;SLC16A6;SSTR3</t>
  </si>
  <si>
    <t>http://www.broadinstitute.org/gsea/msigdb/cards/KIM_ALL_DISORDERS_CALB1_CORR_DN.html</t>
  </si>
  <si>
    <t>BIOCARTA_ETS_PATHWAY</t>
  </si>
  <si>
    <t>1436;1435;2113</t>
  </si>
  <si>
    <t>CSF1R;CSF1;ETS1</t>
  </si>
  <si>
    <t>http://www.broadinstitute.org/gsea/msigdb/cards/BIOCARTA_ETS_PATHWAY.html</t>
  </si>
  <si>
    <t>BIOCARTA_TNFR2_PATHWAY</t>
  </si>
  <si>
    <t>7133;4049;7185</t>
  </si>
  <si>
    <t>TNFRSF1B;LTA;TRAF1</t>
  </si>
  <si>
    <t>http://www.broadinstitute.org/gsea/msigdb/cards/BIOCARTA_TNFR2_PATHWAY.html</t>
  </si>
  <si>
    <t>BOWIE_RESPONSE_TO_TAMOXIFEN</t>
  </si>
  <si>
    <t>3659;6352;6772</t>
  </si>
  <si>
    <t>IRF1;CCL5;STAT1</t>
  </si>
  <si>
    <t>http://www.broadinstitute.org/gsea/msigdb/cards/BOWIE_RESPONSE_TO_TAMOXIFEN.html</t>
  </si>
  <si>
    <t>SHIN_B_CELL_LYMPHOMA_CLUSTER_5</t>
  </si>
  <si>
    <t>2672;59067;4261</t>
  </si>
  <si>
    <t>GFI1;IL21;CIITA</t>
  </si>
  <si>
    <t>http://www.broadinstitute.org/gsea/msigdb/cards/SHIN_B_CELL_LYMPHOMA_CLUSTER_5.html</t>
  </si>
  <si>
    <t>NIELSEN_LEIOMYOSARCOMA_UP</t>
  </si>
  <si>
    <t>6352;4283;56833</t>
  </si>
  <si>
    <t>CCL5;CXCL9;SLAMF8</t>
  </si>
  <si>
    <t>http://www.broadinstitute.org/gsea/msigdb/cards/NIELSEN_LEIOMYOSARCOMA_UP.html</t>
  </si>
  <si>
    <t>TORCHIA_TARGETS_OF_EWSR1_FLI1_FUSION_TOP20_DN</t>
  </si>
  <si>
    <t>55843;3956;55619</t>
  </si>
  <si>
    <t>ARHGAP15;LGALS1;DOCK10</t>
  </si>
  <si>
    <t>http://www.broadinstitute.org/gsea/msigdb/cards/TORCHIA_TARGETS_OF_EWSR1_FLI1_FUSION_TOP20_DN.html</t>
  </si>
  <si>
    <t>KEGG_APOPTOSIS</t>
  </si>
  <si>
    <t>1439;5294;23533;3553;596;356</t>
  </si>
  <si>
    <t>CSF2RB;PIK3CG;PIK3R5;IL1B;BCL2;FASLG</t>
  </si>
  <si>
    <t>http://www.broadinstitute.org/gsea/msigdb/cards/KEGG_APOPTOSIS.html</t>
  </si>
  <si>
    <t>27334;4242;9404;4068;9450;5341;951;3676;7453;11151;3561;5778;10225;3594;5294;3071;3394;695;10320;3662;399;91752;1794;11184;4064;2672;27036;9120;4049;3111;2811;3936;5816;4261;3363;6776;7454;4033;9815;10672;27314;206358;27240</t>
  </si>
  <si>
    <t>P2RY10;MFNG;LPXN;SH2D1A;LY86;PLEK;CD37;ITGA4;WARS;CORO1A;IL2RG;PTPN7;CD96;IL12RB1;PIK3CG;NCKAP1L;IRF8;BTK;IKZF1;IRF4;RHOH;ZNF804A;DOCK2;MAP4K1;CD180;GFI1;SIGLEC7;SLC16A6;LTA;HLA-DOA;GP1BA;LCP1;PVALB;CIITA;HTR7;STAT5A;WAS;LRMP;GIT2;GNA13;RAB30;SLC36A1;SIT1</t>
  </si>
  <si>
    <t>http://www.broadinstitute.org/gsea/msigdb/cards/PUJANA_BRCA1_PCC_NETWORK.html</t>
  </si>
  <si>
    <t>GOZGIT_ESR1_TARGETS_UP</t>
  </si>
  <si>
    <t>5734;128611;55589;23228;240;55619;81553;64174</t>
  </si>
  <si>
    <t>PTGER4;ZNF831;BMP2K;PLCL2;ALOX5;DOCK10;FAM49A;DPEP2</t>
  </si>
  <si>
    <t>http://www.broadinstitute.org/gsea/msigdb/cards/GOZGIT_ESR1_TARGETS_UP.html</t>
  </si>
  <si>
    <t>PID_RAC1_REG_PATHWAY</t>
  </si>
  <si>
    <t>9459;57580;1794;64333</t>
  </si>
  <si>
    <t>ARHGEF6;PREX1;DOCK2;ARHGAP9</t>
  </si>
  <si>
    <t>http://www.broadinstitute.org/gsea/msigdb/cards/PID_RAC1_REG_PATHWAY.html</t>
  </si>
  <si>
    <t>NAKAMURA_ADIPOGENESIS_EARLY_DN</t>
  </si>
  <si>
    <t>3055;11010;1601;25890</t>
  </si>
  <si>
    <t>HCK;GLIPR1;DAB2;ABI3BP</t>
  </si>
  <si>
    <t>http://www.broadinstitute.org/gsea/msigdb/cards/NAKAMURA_ADIPOGENESIS_EARLY_DN.html</t>
  </si>
  <si>
    <t>FIGUEROA_AML_METHYLATION_CLUSTER_6_DN</t>
  </si>
  <si>
    <t>915;5341;917;3561</t>
  </si>
  <si>
    <t>CD3D;PLEK;CD3G;IL2RG</t>
  </si>
  <si>
    <t>http://www.broadinstitute.org/gsea/msigdb/cards/FIGUEROA_AML_METHYLATION_CLUSTER_6_DN.html</t>
  </si>
  <si>
    <t>3689;3117;3684;2212;4360;140885</t>
  </si>
  <si>
    <t>ITGB2;HLA-DQA1;ITGAM;FCGR2A;MRC1;SIRPA</t>
  </si>
  <si>
    <t>http://www.broadinstitute.org/gsea/msigdb/cards/SWEET_KRAS_ONCOGENIC_SIGNATURE.html</t>
  </si>
  <si>
    <t>KEGG_ENDOCYTOSIS</t>
  </si>
  <si>
    <t>3559;1436;3560;3561;1234;9744;116986;1601;9815</t>
  </si>
  <si>
    <t>IL2RA;CSF1R;IL2RB;IL2RG;CCR5;ACAP1;AGAP2;DAB2;GIT2</t>
  </si>
  <si>
    <t>http://www.broadinstitute.org/gsea/msigdb/cards/KEGG_ENDOCYTOSIS.html</t>
  </si>
  <si>
    <t>ZHONG_RESPONSE_TO_AZACITIDINE_AND_TSA_UP</t>
  </si>
  <si>
    <t>11184;10019;6793;10437;3059;25900;10235;7462;9935</t>
  </si>
  <si>
    <t>MAP4K1;SH2B3;STK10;IFI30;HCLS1;IFFO1;RASGRP2;LAT2;MAFB</t>
  </si>
  <si>
    <t>http://www.broadinstitute.org/gsea/msigdb/cards/ZHONG_RESPONSE_TO_AZACITIDINE_AND_TSA_UP.html</t>
  </si>
  <si>
    <t>BIOCARTA_TID_PATHWAY</t>
  </si>
  <si>
    <t>3458;7133;3717</t>
  </si>
  <si>
    <t>IFNG;TNFRSF1B;JAK2</t>
  </si>
  <si>
    <t>http://www.broadinstitute.org/gsea/msigdb/cards/BIOCARTA_TID_PATHWAY.html</t>
  </si>
  <si>
    <t>BIOCARTA_COMP_PATHWAY</t>
  </si>
  <si>
    <t>http://www.broadinstitute.org/gsea/msigdb/cards/BIOCARTA_COMP_PATHWAY.html</t>
  </si>
  <si>
    <t>SA_CASPASE_CASCADE</t>
  </si>
  <si>
    <t>5551;3002;356</t>
  </si>
  <si>
    <t>PRF1;GZMB;FASLG</t>
  </si>
  <si>
    <t>http://www.broadinstitute.org/gsea/msigdb/cards/SA_CASPASE_CASCADE.html</t>
  </si>
  <si>
    <t>HAHTOLA_MYCOSIS_FUNGOIDES_UP</t>
  </si>
  <si>
    <t>6772;353514;55281</t>
  </si>
  <si>
    <t>STAT1;LILRA5;TMEM140</t>
  </si>
  <si>
    <t>http://www.broadinstitute.org/gsea/msigdb/cards/HAHTOLA_MYCOSIS_FUNGOIDES_UP.html</t>
  </si>
  <si>
    <t>OUYANG_PROSTATE_CANCER_MARKERS</t>
  </si>
  <si>
    <t>1508;596;2113</t>
  </si>
  <si>
    <t>CTSB;BCL2;ETS1</t>
  </si>
  <si>
    <t>http://www.broadinstitute.org/gsea/msigdb/cards/OUYANG_PROSTATE_CANCER_MARKERS.html</t>
  </si>
  <si>
    <t>GENTLES_LEUKEMIC_STEM_CELL_DN</t>
  </si>
  <si>
    <t>6036;6352;6037</t>
  </si>
  <si>
    <t>RNASE2;CCL5;RNASE3</t>
  </si>
  <si>
    <t>http://www.broadinstitute.org/gsea/msigdb/cards/GENTLES_LEUKEMIC_STEM_CELL_DN.html</t>
  </si>
  <si>
    <t>BILBAN_B_CLL_LPL_UP</t>
  </si>
  <si>
    <t>1236;3662;51284;55281;27240</t>
  </si>
  <si>
    <t>CCR7;IRF4;TLR7;TMEM140;SIT1</t>
  </si>
  <si>
    <t>http://www.broadinstitute.org/gsea/msigdb/cards/BILBAN_B_CLL_LPL_UP.html</t>
  </si>
  <si>
    <t>KYNG_DNA_DAMAGE_BY_4NQO_OR_UV</t>
  </si>
  <si>
    <t>1318;3683;719;8809;10507</t>
  </si>
  <si>
    <t>SLC31A2;ITGAL;C3AR1;IL18R1;SEMA4D</t>
  </si>
  <si>
    <t>http://www.broadinstitute.org/gsea/msigdb/cards/KYNG_DNA_DAMAGE_BY_4NQO_OR_UV.html</t>
  </si>
  <si>
    <t>CASORELLI_APL_SECONDARY_VS_DE_NOVO_UP</t>
  </si>
  <si>
    <t>22797;2124;53346;206358</t>
  </si>
  <si>
    <t>TFEC;EVI2B;TM6SF1;SLC36A1</t>
  </si>
  <si>
    <t>http://www.broadinstitute.org/gsea/msigdb/cards/CASORELLI_APL_SECONDARY_VS_DE_NOVO_UP.html</t>
  </si>
  <si>
    <t>ZHU_CMV_ALL_UP</t>
  </si>
  <si>
    <t>3627;3659;6352;3575;7453;2633;6890</t>
  </si>
  <si>
    <t>CXCL10;IRF1;CCL5;IL7R;WARS;GBP1;TAP1</t>
  </si>
  <si>
    <t>http://www.broadinstitute.org/gsea/msigdb/cards/ZHU_CMV_ALL_UP.html</t>
  </si>
  <si>
    <t>HAN_JNK_SINGALING_DN</t>
  </si>
  <si>
    <t>972;929;19;3290</t>
  </si>
  <si>
    <t>CD74;CD14;ABCA1;HSD11B1</t>
  </si>
  <si>
    <t>http://www.broadinstitute.org/gsea/msigdb/cards/HAN_JNK_SINGALING_DN.html</t>
  </si>
  <si>
    <t>BROWNE_HCMV_INFECTION_2HR_UP</t>
  </si>
  <si>
    <t>2533;3659;348;90634</t>
  </si>
  <si>
    <t>FYB1;IRF1;APOE;N4BP2L1</t>
  </si>
  <si>
    <t>http://www.broadinstitute.org/gsea/msigdb/cards/BROWNE_HCMV_INFECTION_2HR_UP.html</t>
  </si>
  <si>
    <t>AZARE_NEOPLASTIC_TRANSFORMATION_BY_STAT3_UP</t>
  </si>
  <si>
    <t>7456;9404;2014;2313;6373;5552;9938</t>
  </si>
  <si>
    <t>WIPF1;LPXN;EMP3;FLI1;CXCL11;SRGN;ARHGAP25</t>
  </si>
  <si>
    <t>http://www.broadinstitute.org/gsea/msigdb/cards/AZARE_NEOPLASTIC_TRANSFORMATION_BY_STAT3_UP.html</t>
  </si>
  <si>
    <t>PETROVA_PROX1_TARGETS_DN</t>
  </si>
  <si>
    <t>22797;9404;2014;5552;4066</t>
  </si>
  <si>
    <t>TFEC;LPXN;EMP3;SRGN;LYL1</t>
  </si>
  <si>
    <t>http://www.broadinstitute.org/gsea/msigdb/cards/PETROVA_PROX1_TARGETS_DN.html</t>
  </si>
  <si>
    <t>YOSHIOKA_LIVER_CANCER_EARLY_RECURRENCE_UP</t>
  </si>
  <si>
    <t>4689;84166;64926;2162</t>
  </si>
  <si>
    <t>NCF4;NLRC5;RASAL3;F13A1</t>
  </si>
  <si>
    <t>http://www.broadinstitute.org/gsea/msigdb/cards/YOSHIOKA_LIVER_CANCER_EARLY_RECURRENCE_UP.html</t>
  </si>
  <si>
    <t>BIOCARTA_CCR5_PATHWAY</t>
  </si>
  <si>
    <t>5579;6351;1234</t>
  </si>
  <si>
    <t>PRKCB;CCL4;CCR5</t>
  </si>
  <si>
    <t>http://www.broadinstitute.org/gsea/msigdb/cards/BIOCARTA_CCR5_PATHWAY.html</t>
  </si>
  <si>
    <t>LIU_TARGETS_OF_VMYB_VS_CMYB_UP</t>
  </si>
  <si>
    <t>10068;10875;3988</t>
  </si>
  <si>
    <t>IL18BP;FGL2;LIPA</t>
  </si>
  <si>
    <t>http://www.broadinstitute.org/gsea/msigdb/cards/LIU_TARGETS_OF_VMYB_VS_CMYB_UP.html</t>
  </si>
  <si>
    <t>MAHADEVAN_RESPONSE_TO_MP470_UP</t>
  </si>
  <si>
    <t>3627;6352;6373</t>
  </si>
  <si>
    <t>CXCL10;CCL5;CXCL11</t>
  </si>
  <si>
    <t>http://www.broadinstitute.org/gsea/msigdb/cards/MAHADEVAN_RESPONSE_TO_MP470_UP.html</t>
  </si>
  <si>
    <t>TORCHIA_TARGETS_OF_EWSR1_FLI1_FUSION_TOP20_UP</t>
  </si>
  <si>
    <t>6504;348;240</t>
  </si>
  <si>
    <t>SLAMF1;APOE;ALOX5</t>
  </si>
  <si>
    <t>http://www.broadinstitute.org/gsea/msigdb/cards/TORCHIA_TARGETS_OF_EWSR1_FLI1_FUSION_TOP20_UP.html</t>
  </si>
  <si>
    <t>GOLDRATH_IMMUNE_MEMORY</t>
  </si>
  <si>
    <t>3587;255231;366;8320;7185</t>
  </si>
  <si>
    <t>IL10RA;MCOLN2;AQP9;EOMES;TRAF1</t>
  </si>
  <si>
    <t>http://www.broadinstitute.org/gsea/msigdb/cards/GOLDRATH_IMMUNE_MEMORY.html</t>
  </si>
  <si>
    <t>WANG_RESPONSE_TO_GSK3_INHIBITOR_SB216763_DN</t>
  </si>
  <si>
    <t>9535;9595;3676;653361;5778;114548;4064;6518;1230;729230;2529;10235;59345;50515</t>
  </si>
  <si>
    <t>GMFG;CYTIP;ITGA4;NCF1;PTPN7;NLRP3;CD180;SLC2A5;CCR1;CCR2;FUT7;RASGRP2;GNB4;CHST11</t>
  </si>
  <si>
    <t>http://www.broadinstitute.org/gsea/msigdb/cards/WANG_RESPONSE_TO_GSK3_INHIBITOR_SB216763_DN.html</t>
  </si>
  <si>
    <t>CADWELL_ATG16L1_TARGETS_UP</t>
  </si>
  <si>
    <t>54440;9332;1621;3002;10184;56670</t>
  </si>
  <si>
    <t>SASH3;CD163;DBH;GZMB;LHFPL2;SUCNR1</t>
  </si>
  <si>
    <t>http://www.broadinstitute.org/gsea/msigdb/cards/CADWELL_ATG16L1_TARGETS_UP.html</t>
  </si>
  <si>
    <t>BIOCARTA_FCER1_PATHWAY</t>
  </si>
  <si>
    <t>5579;2207;5294;695</t>
  </si>
  <si>
    <t>PRKCB;FCER1G;PIK3CG;BTK</t>
  </si>
  <si>
    <t>http://www.broadinstitute.org/gsea/msigdb/cards/BIOCARTA_FCER1_PATHWAY.html</t>
  </si>
  <si>
    <t>FLECHNER_PBL_KIDNEY_TRANSPLANT_OK_VS_DONOR_DN</t>
  </si>
  <si>
    <t>963;2313;80342;3553</t>
  </si>
  <si>
    <t>CD53;FLI1;TRAF3IP3;IL1B</t>
  </si>
  <si>
    <t>http://www.broadinstitute.org/gsea/msigdb/cards/FLECHNER_PBL_KIDNEY_TRANSPLANT_OK_VS_DONOR_DN.html</t>
  </si>
  <si>
    <t>SHETH_LIVER_CANCER_VS_TXNIP_LOSS_PAM5</t>
  </si>
  <si>
    <t>925;6504;399;7099;3112;55013</t>
  </si>
  <si>
    <t>CD8A;SLAMF1;RHOH;TLR4;HLA-DOB;MCUB</t>
  </si>
  <si>
    <t>http://www.broadinstitute.org/gsea/msigdb/cards/SHETH_LIVER_CANCER_VS_TXNIP_LOSS_PAM5.html</t>
  </si>
  <si>
    <t>TAKEDA_TARGETS_OF_NUP98_HOXA9_FUSION_8D_UP</t>
  </si>
  <si>
    <t>1236;2633;2322;6772;341;3002;4208;51676</t>
  </si>
  <si>
    <t>CCR7;GBP1;FLT3;STAT1;APOC1;GZMB;MEF2C;ASB2</t>
  </si>
  <si>
    <t>http://www.broadinstitute.org/gsea/msigdb/cards/TAKEDA_TARGETS_OF_NUP98_HOXA9_FUSION_8D_UP.html</t>
  </si>
  <si>
    <t>KEGG_ALDOSTERONE_REGULATED_SODIUM_REABSORPTION</t>
  </si>
  <si>
    <t>5579;5294;23533;3290</t>
  </si>
  <si>
    <t>PRKCB;PIK3CG;PIK3R5;HSD11B1</t>
  </si>
  <si>
    <t>http://www.broadinstitute.org/gsea/msigdb/cards/KEGG_ALDOSTERONE_REGULATED_SODIUM_REABSORPTION.html</t>
  </si>
  <si>
    <t>REACTOME_ADP_SIGNALLING_THROUGH_P2RY12</t>
  </si>
  <si>
    <t>54331;64805;59345</t>
  </si>
  <si>
    <t>GNG2;P2RY12;GNB4</t>
  </si>
  <si>
    <t>http://www.broadinstitute.org/gsea/msigdb/cards/REACTOME_ADP_SIGNALLING_THROUGH_P2RY12.html</t>
  </si>
  <si>
    <t>4332;10875;9459;64231</t>
  </si>
  <si>
    <t>MNDA;FGL2;ARHGEF6;MS4A6A</t>
  </si>
  <si>
    <t>ZIRN_TRETINOIN_RESPONSE_DN</t>
  </si>
  <si>
    <t>719;25890</t>
  </si>
  <si>
    <t>C3AR1;ABI3BP</t>
  </si>
  <si>
    <t>http://www.broadinstitute.org/gsea/msigdb/cards/ZIRN_TRETINOIN_RESPONSE_DN.html</t>
  </si>
  <si>
    <t>BENPORATH_ES_WITH_H3K27ME3</t>
  </si>
  <si>
    <t>9839;925;5579;3676;7133;5734;2313;6890;3587;3662;286336;92241;348378;139716;55340;116986;84636;56659;30009;10154;8320;1435;596;3363;5376;9363;145581;55803;22806;9935;51513</t>
  </si>
  <si>
    <t>ZEB2;CD8A;PRKCB;ITGA4;TNFRSF1B;PTGER4;FLI1;TAP1;IL10RA;IRF4;FAM78A;RCSD1;SHISAL2A;GAB3;GIMAP5;AGAP2;GPR174;KCNK13;TBX21;PLXNC1;EOMES;CSF1;BCL2;HTR7;PMP22;RAB33A;LRFN5;ADAP2;IKZF3;MAFB;ETV7</t>
  </si>
  <si>
    <t>http://www.broadinstitute.org/gsea/msigdb/cards/BENPORATH_ES_WITH_H3K27ME3.html</t>
  </si>
  <si>
    <t>IIZUKA_LIVER_CANCER_PROGRESSION_L0_L1_DN</t>
  </si>
  <si>
    <t>972;3115;10437</t>
  </si>
  <si>
    <t>CD74;HLA-DPB1;IFI30</t>
  </si>
  <si>
    <t>http://www.broadinstitute.org/gsea/msigdb/cards/IIZUKA_LIVER_CANCER_PROGRESSION_L0_L1_DN.html</t>
  </si>
  <si>
    <t>CHIARETTI_ACUTE_LYMPHOBLASTIC_LEUKEMIA_ZAP70</t>
  </si>
  <si>
    <t>3932;2268;7133;7535;3820</t>
  </si>
  <si>
    <t>LCK;FGR;TNFRSF1B;ZAP70;KLRB1</t>
  </si>
  <si>
    <t>http://www.broadinstitute.org/gsea/msigdb/cards/CHIARETTI_ACUTE_LYMPHOBLASTIC_LEUKEMIA_ZAP70.html</t>
  </si>
  <si>
    <t>CHEN_LVAD_SUPPORT_OF_FAILING_HEART_DN</t>
  </si>
  <si>
    <t>929;5734;55303;1508</t>
  </si>
  <si>
    <t>CD14;PTGER4;GIMAP4;CTSB</t>
  </si>
  <si>
    <t>http://www.broadinstitute.org/gsea/msigdb/cards/CHEN_LVAD_SUPPORT_OF_FAILING_HEART_DN.html</t>
  </si>
  <si>
    <t>MIKKELSEN_ES_LCP_WITH_H3K4ME3_AND_H3K27ME3</t>
  </si>
  <si>
    <t>2529;79690</t>
  </si>
  <si>
    <t>FUT7;GAL3ST4</t>
  </si>
  <si>
    <t>http://www.broadinstitute.org/gsea/msigdb/cards/MIKKELSEN_ES_LCP_WITH_H3K4ME3_AND_H3K27ME3.html</t>
  </si>
  <si>
    <t>KASLER_HDAC7_TARGETS_2_UP</t>
  </si>
  <si>
    <t>962;8530</t>
  </si>
  <si>
    <t>CD48;CST7</t>
  </si>
  <si>
    <t>http://www.broadinstitute.org/gsea/msigdb/cards/KASLER_HDAC7_TARGETS_2_UP.html</t>
  </si>
  <si>
    <t>KEGG_NEUROTROPHIN_SIGNALING_PATHWAY</t>
  </si>
  <si>
    <t>5294;23533;10019;596;356;814;4215</t>
  </si>
  <si>
    <t>PIK3CG;PIK3R5;SH2B3;BCL2;FASLG;CAMK4;MAP3K3</t>
  </si>
  <si>
    <t>http://www.broadinstitute.org/gsea/msigdb/cards/KEGG_NEUROTROPHIN_SIGNALING_PATHWAY.html</t>
  </si>
  <si>
    <t>CHIARADONNA_NEOPLASTIC_TRANSFORMATION_KRAS_UP</t>
  </si>
  <si>
    <t>9595;5579;2123;3695;1508;54518;51466</t>
  </si>
  <si>
    <t>CYTIP;PRKCB;EVI2A;ITGB7;CTSB;APBB1IP;EVL</t>
  </si>
  <si>
    <t>http://www.broadinstitute.org/gsea/msigdb/cards/CHIARADONNA_NEOPLASTIC_TRANSFORMATION_KRAS_UP.html</t>
  </si>
  <si>
    <t>IZADPANAH_STEM_CELL_ADIPOSE_VS_BONE_UP</t>
  </si>
  <si>
    <t>51056;57580;4094;3162;5552;2113;53831</t>
  </si>
  <si>
    <t>LAP3;PREX1;MAF;HMOX1;SRGN;ETS1;GPR84</t>
  </si>
  <si>
    <t>http://www.broadinstitute.org/gsea/msigdb/cards/IZADPANAH_STEM_CELL_ADIPOSE_VS_BONE_UP.html</t>
  </si>
  <si>
    <t>MIKKELSEN_MEF_HCP_WITH_H3_UNMETHYLATED</t>
  </si>
  <si>
    <t>124535;79626;51296;10673;341;3902;6518;3718;147138;56606</t>
  </si>
  <si>
    <t>HSF5;TNFAIP8L2;SLC15A3;TNFSF13B;APOC1;LAG3;SLC2A5;JAK3;TMC8;SLC2A9</t>
  </si>
  <si>
    <t>http://www.broadinstitute.org/gsea/msigdb/cards/MIKKELSEN_MEF_HCP_WITH_H3_UNMETHYLATED.html</t>
  </si>
  <si>
    <t>HELLER_HDAC_TARGETS_SILENCED_BY_METHYLATION_UP</t>
  </si>
  <si>
    <t>22797;5579;5734;6772;55589;6373;10537;3117;348;3115;3113;4208;3123;10235;81553;9935</t>
  </si>
  <si>
    <t>TFEC;PRKCB;PTGER4;STAT1;BMP2K;CXCL11;UBD;HLA-DQA1;APOE;HLA-DPB1;HLA-DPA1;MEF2C;HLA-DRB1;RASGRP2;FAM49A;MAFB</t>
  </si>
  <si>
    <t>http://www.broadinstitute.org/gsea/msigdb/cards/HELLER_HDAC_TARGETS_SILENCED_BY_METHYLATION_UP.html</t>
  </si>
  <si>
    <t>DAVICIONI_TARGETS_OF_PAX_FOXO1_FUSIONS_DN</t>
  </si>
  <si>
    <t>6351;9459;55843;9806;80183</t>
  </si>
  <si>
    <t>CCL4;ARHGEF6;ARHGAP15;SPOCK2;RUBCNL</t>
  </si>
  <si>
    <t>http://www.broadinstitute.org/gsea/msigdb/cards/DAVICIONI_TARGETS_OF_PAX_FOXO1_FUSIONS_DN.html</t>
  </si>
  <si>
    <t>HOLLMANN_APOPTOSIS_VIA_CD40_DN</t>
  </si>
  <si>
    <t>9535;6772;7535;11262;6039;2162;6891;25900;10235;54504;80183</t>
  </si>
  <si>
    <t>GMFG;STAT1;ZAP70;SP140;RNASE6;F13A1;TAP2;IFFO1;RASGRP2;CPVL;RUBCNL</t>
  </si>
  <si>
    <t>http://www.broadinstitute.org/gsea/msigdb/cards/HOLLMANN_APOPTOSIS_VIA_CD40_DN.html</t>
  </si>
  <si>
    <t>REACTOME_NRAGE_SIGNALS_DEATH_THROUGH_JNK</t>
  </si>
  <si>
    <t>9459;221472;57580;89846</t>
  </si>
  <si>
    <t>ARHGEF6;FGD2;PREX1;FGD3</t>
  </si>
  <si>
    <t>http://www.broadinstitute.org/gsea/msigdb/cards/REACTOME_NRAGE_SIGNALS_DEATH_THROUGH_JNK.html</t>
  </si>
  <si>
    <t>FUJII_YBX1_TARGETS_UP</t>
  </si>
  <si>
    <t>6352;7453;84166;26157</t>
  </si>
  <si>
    <t>CCL5;WARS;NLRC5;GIMAP2</t>
  </si>
  <si>
    <t>http://www.broadinstitute.org/gsea/msigdb/cards/FUJII_YBX1_TARGETS_UP.html</t>
  </si>
  <si>
    <t>9839;91752;10154;6546;6507;4208;10672;9806;81553</t>
  </si>
  <si>
    <t>ZEB2;ZNF804A;PLXNC1;SLC8A1;SLC1A3;MEF2C;GNA13;SPOCK2;FAM49A</t>
  </si>
  <si>
    <t>RYTTCCTG_ETS2_B</t>
  </si>
  <si>
    <t>22797;4210;7456;9051;7305;9839;8676;54440;920;3932;916;5788;2268;5551;3575;6688;3683;919;959;923;2207;5778;10225;942;5294;1233;695;6504;8514;9744;4689;399;55843;50852;124460;257106;83706;8477;11184;26051;4064;116986;2672;1240;64170;10870;10019;80342;10673;6793;921;9103;4066;3936;3059;2113;3737;3902;4688;3586;3290;2213;1230;7454;2833;3718;4208;4050;11009;55704;79865;85464;120425;10462;25780;202309;131450;64581;56606;51466</t>
  </si>
  <si>
    <t>TFEC;MEFV;WIPF1;PSTPIP1;TYROBP;ZEB2;STX11;SASH3;CD4;LCK;CD3E;PTPRC;FGR;PRF1;IL7R;SPI1;ITGAL;CD247;CD40LG;CD6;FCER1G;PTPN7;CD96;CD86;PIK3CG;CCR4;BTK;SLAMF1;KCNAB2;ACAP1;NCF4;RHOH;ARHGAP15;TRAT1;SNX20;ARHGAP30;FERMT3;GPR65;MAP4K1;PPP1R16B;CD180;AGAP2;GFI1;CMKLR1;CARD9;HCST;SH2B3;TRAF3IP3;TNFSF13B;STK10;CD5;FCGR2A;LYL1;LCP1;HCLS1;ETS1;KCNA2;LAG3;NCF2;IL10;HSD11B1;FCGR2B;CCR1;WAS;CXCR3;JAK3;MEF2C;LTB;IL24;CCDC88A;TREML2;SSH2;JAML;CLEC10A;RASGRP3;GAPT;CD200R1;CLEC7A;SLC2A9;EVL</t>
  </si>
  <si>
    <t>http://www.broadinstitute.org/gsea/msigdb/cards/RYTTCCTG_ETS2_B.html</t>
  </si>
  <si>
    <t>RGAGGAARY_PU1_Q6</t>
  </si>
  <si>
    <t>27334;7305;9046;951;6688;3683;3695;1236;2124;5778;5294;3071;3394;3937;139818;257106;221472;374403;128346;259307;116986;84174;64092;55303;51225;27128;51393;7099;9120;10154;4049;921;1435;596;4066;5724;6776;2833;55911;4033;9815;79865;150771;118788;25780;131450;51676;51063;23166</t>
  </si>
  <si>
    <t>P2RY10;TYROBP;DOK2;CD37;SPI1;ITGAL;ITGB7;CCR7;EVI2B;PTPN7;PIK3CG;NCKAP1L;IRF8;LCP2;DOCK11;ARHGAP30;FGD2;TBC1D10C;C1orf162;IL4I1;AGAP2;SLA2;SAMSN1;GIMAP4;ABI3;CYTH4;TRPV2;TLR4;SLC16A6;PLXNC1;LTA;CD5;CSF1;BCL2;LYL1;PTAFR;STAT5A;CXCR3;APOBR;LRMP;GIT2;TREML2;ITPRIPL1;PIK3AP1;RASGRP3;CD200R1;ASB2;CALHM2;STAB1</t>
  </si>
  <si>
    <t>http://www.broadinstitute.org/gsea/msigdb/cards/RGAGGAARY_PU1_Q6.html</t>
  </si>
  <si>
    <t>RACCACAR_AML_Q6</t>
  </si>
  <si>
    <t>1318;9839;9046;9595;54440;3458;3932;940;6351;3575;2123;3695;923;2207;391;2313;257106;126014;117289;84174;51393;29909;10154;1230;7454;2833;8905;1601;969;55911;151556;50943</t>
  </si>
  <si>
    <t>SLC31A2;ZEB2;DOK2;CYTIP;SASH3;IFNG;LCK;CD28;CCL4;IL7R;EVI2A;ITGB7;CD6;FCER1G;RHOG;FLI1;ARHGAP30;OSCAR;TAGAP;SLA2;TRPV2;GPR171;PLXNC1;CCR1;WAS;CXCR3;AP1S2;DAB2;CD69;APOBR;GPR155;FOXP3</t>
  </si>
  <si>
    <t>http://www.broadinstitute.org/gsea/msigdb/cards/RACCACAR_AML_Q6.html</t>
  </si>
  <si>
    <t>PEA3_Q6</t>
  </si>
  <si>
    <t>9404;10068;3559;3932;916;5788;2214;5551;6688;963;919;391;2313;8514;257106;83706;374403;114548;2672;8832;921;6402;3902;4688;969;4033;27314;120425;116071;51063</t>
  </si>
  <si>
    <t>LPXN;IL18BP;IL2RA;LCK;CD3E;PTPRC;FCGR3A;PRF1;SPI1;CD53;CD247;RHOG;FLI1;KCNAB2;ARHGAP30;FERMT3;TBC1D10C;NLRP3;GFI1;CD84;CD5;SELL;LAG3;NCF2;CD69;LRMP;RAB30;JAML;BATF2;CALHM2</t>
  </si>
  <si>
    <t>http://www.broadinstitute.org/gsea/msigdb/cards/PEA3_Q6.html</t>
  </si>
  <si>
    <t>ELF1_Q6</t>
  </si>
  <si>
    <t>27334;7305;712;951;3575;3695;2207;199;3071;3394;388325;221472;53346;64170;64092;51225;80342;7099;1435;3902;241;7454;55911;25780;23166;29126;22806</t>
  </si>
  <si>
    <t>P2RY10;TYROBP;C1QA;CD37;IL7R;ITGB7;FCER1G;AIF1;NCKAP1L;IRF8;SCIMP;FGD2;TM6SF1;CARD9;SAMSN1;ABI3;TRAF3IP3;TLR4;CSF1;LAG3;ALOX5AP;WAS;APOBR;RASGRP3;STAB1;CD274;IKZF3</t>
  </si>
  <si>
    <t>http://www.broadinstitute.org/gsea/msigdb/cards/ELF1_Q6.html</t>
  </si>
  <si>
    <t>IRF_Q6</t>
  </si>
  <si>
    <t>9839;9450;10068;3627;1536;653361;3695;941;2313;9459;5800;51296;81030;51284;10019;10673;27033;10154;8320;9103;6402;6518;2213;4261;116071;167465;161145</t>
  </si>
  <si>
    <t>ZEB2;LY86;IL18BP;CXCL10;CYBB;NCF1;ITGB7;CD80;FLI1;ARHGEF6;PTPRO;SLC15A3;ZBP1;TLR7;SH2B3;TNFSF13B;ZBTB32;PLXNC1;EOMES;FCGR2A;SELL;SLC2A5;FCGR2B;CIITA;BATF2;ZNF366;TMEM229B</t>
  </si>
  <si>
    <t>http://www.broadinstitute.org/gsea/msigdb/cards/IRF_Q6.html</t>
  </si>
  <si>
    <t>PU1_Q6</t>
  </si>
  <si>
    <t>951;2209;2124;5294;3071;3394;3937;3903;257106;374403;128346;55016;55303;51225;7099;4049;1435;4688;140885;55911;9815;150771;161145;51762;51063</t>
  </si>
  <si>
    <t>CD37;FCGR1A;EVI2B;PIK3CG;NCKAP1L;IRF8;LCP2;LAIR1;ARHGAP30;TBC1D10C;C1orf162;MARCH1;GIMAP4;ABI3;TLR4;LTA;CSF1;NCF2;SIRPA;APOBR;GIT2;ITPRIPL1;TMEM229B;RAB8B;CALHM2</t>
  </si>
  <si>
    <t>http://www.broadinstitute.org/gsea/msigdb/cards/PU1_Q6.html</t>
  </si>
  <si>
    <t>STTTCRNTTT_IRF_Q6</t>
  </si>
  <si>
    <t>9402;10068;3627;653361;3695;3594;6890;9459;51296;81030;80231;10673;10537;10154;4261;4033;116071;167465;161145;131450;51466</t>
  </si>
  <si>
    <t>GRAP2;IL18BP;CXCL10;NCF1;ITGB7;IL12RB1;TAP1;ARHGEF6;SLC15A3;ZBP1;CXorf21;TNFSF13B;UBD;PLXNC1;CIITA;LRMP;BATF2;ZNF366;TMEM229B;CD200R1;EVL</t>
  </si>
  <si>
    <t>http://www.broadinstitute.org/gsea/msigdb/cards/STTTCRNTTT_IRF_Q6.html</t>
  </si>
  <si>
    <t>4242;7456;9404;10068;3559;5551;963;919;3695;959;1236;2124;5294;3937;7805;9459;55843;221472;374403;81704;57580;116986;2672;64170;64092;55589;27128;29992;51393;7099;2219;6793;3936;2833;1235;55911;9815;150771;85464;116071;53831;27240</t>
  </si>
  <si>
    <t>MFNG;WIPF1;LPXN;IL18BP;IL2RA;PRF1;CD53;CD247;ITGB7;CD40LG;CCR7;EVI2B;PIK3CG;LCP2;LAPTM5;ARHGEF6;ARHGAP15;FGD2;TBC1D10C;DOCK8;PREX1;AGAP2;GFI1;CARD9;SAMSN1;BMP2K;CYTH4;PILRA;TRPV2;TLR4;FCN1;STK10;LCP1;CXCR3;CCR6;APOBR;GIT2;ITPRIPL1;SSH2;BATF2;GPR84;SIT1</t>
  </si>
  <si>
    <t>http://www.broadinstitute.org/gsea/msigdb/cards/MGGAAGTG_GABP_B.html</t>
  </si>
  <si>
    <t>ETS_Q4</t>
  </si>
  <si>
    <t>259197;9535;9404;919;3695;11151;3937;8514;9744;55843;139818;257106;374403;11184;26051;116986;2672;10870;3936;3059;79865;150771;56670</t>
  </si>
  <si>
    <t>NCR3;GMFG;LPXN;CD247;ITGB7;CORO1A;LCP2;KCNAB2;ACAP1;ARHGAP15;DOCK11;ARHGAP30;TBC1D10C;MAP4K1;PPP1R16B;AGAP2;GFI1;HCST;LCP1;HCLS1;TREML2;ITPRIPL1;SUCNR1</t>
  </si>
  <si>
    <t>http://www.broadinstitute.org/gsea/msigdb/cards/ETS_Q4.html</t>
  </si>
  <si>
    <t>TGANTCA_AP1_C</t>
  </si>
  <si>
    <t>9051;8676;1436;5551;3575;3687;1236;6772;3101;2014;391;2313;695;3603;719;353345;83706;55016;2672;51744;59067;51225;27033;9120;3717;8530;6793;3956;3002;3059;3737;5816;3586;6556;4973;5376;4208;3604;55911;11009;9815;10457;27314;814;85464;245972;84541;9754;4327;81553;55803;85479</t>
  </si>
  <si>
    <t>PSTPIP1;STX11;CSF1R;PRF1;IL7R;ITGAX;CCR7;STAT1;HK3;EMP3;RHOG;FLI1;BTK;IL16;C3AR1;GPR141;FERMT3;MARCH1;GFI1;CD244;IL21;ABI3;ZBTB32;SLC16A6;JAK2;CST7;STK10;LGALS1;GZMB;HCLS1;KCNA2;PVALB;IL10;SLC11A1;OLR1;PMP22;MEF2C;TNFRSF9;APOBR;IL24;GIT2;GPNMB;RAB30;CAMK4;SSH2;ATP6V0D2;KBTBD8;STARD8;MMP19;FAM49A;ADAP2;DNAJC5B</t>
  </si>
  <si>
    <t>http://www.broadinstitute.org/gsea/msigdb/cards/TGANTCA_AP1_C.html</t>
  </si>
  <si>
    <t>COREBINDINGFACTOR_Q6</t>
  </si>
  <si>
    <t>9595;9402;54440;940;6351;3575;2123;3695;923;2207;391;2313;201633;55843;117289;84174;4063;64407;29909;3002;1230;969;50943;11217</t>
  </si>
  <si>
    <t>CYTIP;GRAP2;SASH3;CD28;CCL4;IL7R;EVI2A;ITGB7;CD6;FCER1G;RHOG;FLI1;TIGIT;ARHGAP15;TAGAP;SLA2;LY9;RGS18;GPR171;GZMB;CCR1;CD69;FOXP3;AKAP2</t>
  </si>
  <si>
    <t>http://www.broadinstitute.org/gsea/msigdb/cards/COREBINDINGFACTOR_Q6.html</t>
  </si>
  <si>
    <t>NFKAPPAB_01</t>
  </si>
  <si>
    <t>27334;3559;3627;3659;6352;7133;4283;259307;80231;64092;55589;56833;10870;10019;6373;10537;4049;3718;8905;4050;3604;2529;10148</t>
  </si>
  <si>
    <t>P2RY10;IL2RA;CXCL10;IRF1;CCL5;TNFRSF1B;CXCL9;IL4I1;CXorf21;SAMSN1;BMP2K;SLAMF8;HCST;SH2B3;CXCL11;UBD;LTA;JAK3;AP1S2;LTB;TNFRSF9;FUT7;EBI3</t>
  </si>
  <si>
    <t>http://www.broadinstitute.org/gsea/msigdb/cards/NFKAPPAB_01.html</t>
  </si>
  <si>
    <t>CREL_01</t>
  </si>
  <si>
    <t>3559;3627;972;1436;6352;7133;1439;942;55589;56833;51225;10870;10019;6373;10537;9120;3718;4050;3604;969;2529;115727;22806</t>
  </si>
  <si>
    <t>IL2RA;CXCL10;CD74;CSF1R;CCL5;TNFRSF1B;CSF2RB;CD86;BMP2K;SLAMF8;ABI3;HCST;SH2B3;CXCL11;UBD;SLC16A6;JAK3;LTB;TNFRSF9;CD69;FUT7;RASGRP4;IKZF3</t>
  </si>
  <si>
    <t>http://www.broadinstitute.org/gsea/msigdb/cards/CREL_01.html</t>
  </si>
  <si>
    <t>STAT6_02</t>
  </si>
  <si>
    <t>22797;9839;54440;5579;3932;3575;6688;2313;139818;79930;57580;64170;51225;27128;3902;3290;6776;3003;4208;131450;4215;23166;29126</t>
  </si>
  <si>
    <t>TFEC;ZEB2;SASH3;PRKCB;LCK;IL7R;SPI1;FLI1;DOCK11;DOK3;PREX1;CARD9;ABI3;CYTH4;LAG3;HSD11B1;STAT5A;GZMK;MEF2C;CD200R1;MAP3K3;STAB1;CD274</t>
  </si>
  <si>
    <t>http://www.broadinstitute.org/gsea/msigdb/cards/STAT6_02.html</t>
  </si>
  <si>
    <t>IRF1_Q6</t>
  </si>
  <si>
    <t>7305;9839;9450;10068;5579;951;963;3695;1236;2313;8477;2672;10673;10537;10154;3117;9103;2213;4261;4208;81553</t>
  </si>
  <si>
    <t>TYROBP;ZEB2;LY86;IL18BP;PRKCB;CD37;CD53;ITGB7;CCR7;FLI1;GPR65;GFI1;TNFSF13B;UBD;PLXNC1;HLA-DQA1;FCGR2A;FCGR2B;CIITA;MEF2C;FAM49A</t>
  </si>
  <si>
    <t>http://www.broadinstitute.org/gsea/msigdb/cards/IRF1_Q6.html</t>
  </si>
  <si>
    <t>AML_Q6</t>
  </si>
  <si>
    <t>27334;9046;9595;9402;54440;3932;940;3575;2123;3695;923;5778;2313;114548;2672;9120;1230;969;6503;145864;50943</t>
  </si>
  <si>
    <t>P2RY10;DOK2;CYTIP;GRAP2;SASH3;LCK;CD28;IL7R;EVI2A;ITGB7;CD6;PTPN7;FLI1;NLRP3;GFI1;SLC16A6;CCR1;CD69;SLA;HAPLN3;FOXP3</t>
  </si>
  <si>
    <t>http://www.broadinstitute.org/gsea/msigdb/cards/AML_Q6.html</t>
  </si>
  <si>
    <t>GGGNNTTTCC_NFKB_Q6_01</t>
  </si>
  <si>
    <t>22797;972;1436;6352;7133;1439;942;55589;56833;10019;10537;3718;4050;3604;2529</t>
  </si>
  <si>
    <t>TFEC;CD74;CSF1R;CCL5;TNFRSF1B;CSF2RB;CD86;BMP2K;SLAMF8;SH2B3;UBD;JAK3;LTB;TNFRSF9;FUT7</t>
  </si>
  <si>
    <t>http://www.broadinstitute.org/gsea/msigdb/cards/GGGNNTTTCC_NFKB_Q6_01.html</t>
  </si>
  <si>
    <t>IRF1_01</t>
  </si>
  <si>
    <t>22797;8676;3627;5579;6352;959;6890;9459;55016;80231;56833;10673;6373;10537;10154;4033;167465;161145;131450;50515</t>
  </si>
  <si>
    <t>TFEC;STX11;CXCL10;PRKCB;CCL5;CD40LG;TAP1;ARHGEF6;MARCH1;CXorf21;SLAMF8;TNFSF13B;CXCL11;UBD;PLXNC1;LRMP;ZNF366;TMEM229B;CD200R1;CHST11</t>
  </si>
  <si>
    <t>http://www.broadinstitute.org/gsea/msigdb/cards/IRF1_01.html</t>
  </si>
  <si>
    <t>NFKB_Q6_01</t>
  </si>
  <si>
    <t>3559;6352;7133;391;259307;80231;55589;56833;10019;10537;4049;3718;8905;4050;3604;969;2529;10148;115727</t>
  </si>
  <si>
    <t>IL2RA;CCL5;TNFRSF1B;RHOG;IL4I1;CXorf21;BMP2K;SLAMF8;SH2B3;UBD;LTA;JAK3;AP1S2;LTB;TNFRSF9;CD69;FUT7;EBI3;RASGRP4</t>
  </si>
  <si>
    <t>http://www.broadinstitute.org/gsea/msigdb/cards/NFKB_Q6_01.html</t>
  </si>
  <si>
    <t>NFKAPPAB65_01</t>
  </si>
  <si>
    <t>3627;1436;6352;7133;1439;942;55589;56833;51225;10019;6373;10537;9120;3718;4050;3604;969;2529;115727</t>
  </si>
  <si>
    <t>CXCL10;CSF1R;CCL5;TNFRSF1B;CSF2RB;CD86;BMP2K;SLAMF8;ABI3;SH2B3;CXCL11;UBD;SLC16A6;JAK3;LTB;TNFRSF9;CD69;FUT7;RASGRP4</t>
  </si>
  <si>
    <t>http://www.broadinstitute.org/gsea/msigdb/cards/NFKAPPAB65_01.html</t>
  </si>
  <si>
    <t>ISRE_01</t>
  </si>
  <si>
    <t>9839;9450;3627;199;9459;8477;81030;80231;51284;30009;10019;10673;6373;10154;4208;6503;116071;59345;22806</t>
  </si>
  <si>
    <t>ZEB2;LY86;CXCL10;AIF1;ARHGEF6;GPR65;ZBP1;CXorf21;TLR7;TBX21;SH2B3;TNFSF13B;CXCL11;PLXNC1;MEF2C;SLA;BATF2;GNB4;IKZF3</t>
  </si>
  <si>
    <t>http://www.broadinstitute.org/gsea/msigdb/cards/ISRE_01.html</t>
  </si>
  <si>
    <t>ICSBP_Q6</t>
  </si>
  <si>
    <t>22797;9839;9450;10068;199;6890;11262;9459;51296;53829;81030;59067;51284;10673;3003;4033;116071;167465;55013</t>
  </si>
  <si>
    <t>TFEC;ZEB2;LY86;IL18BP;AIF1;TAP1;SP140;ARHGEF6;SLC15A3;P2RY13;ZBP1;IL21;TLR7;TNFSF13B;GZMK;LRMP;BATF2;ZNF366;MCUB</t>
  </si>
  <si>
    <t>http://www.broadinstitute.org/gsea/msigdb/cards/ICSBP_Q6.html</t>
  </si>
  <si>
    <t>TGGAAA_NFAT_Q4_01</t>
  </si>
  <si>
    <t>2533;7456;9839;3458;3627;972;6351;6352;5551;1493;3575;7133;971;7453;51056;959;2207;3561;942;2313;3603;9744;3662;5800;126014;117289;170575;152789;2672;59067;55589;51225;225;10019;27033;10537;9120;8320;3956;2113;3737;3902;5816;3290;943;3363;356;203100;1601;5376;4208;2529;6503;8809;27314;25780;202309;131450;115727;10507;51762;50943;51063;50515;11217</t>
  </si>
  <si>
    <t>FYB1;WIPF1;ZEB2;IFNG;CXCL10;CD74;CCL4;CCL5;PRF1;CTLA4;IL7R;TNFRSF1B;CD72;WARS;LAP3;CD40LG;FCER1G;IL2RG;CD86;FLI1;IL16;ACAP1;IRF4;PTPRO;OSCAR;TAGAP;GIMAP1;JAKMIP1;GFI1;IL21;BMP2K;ABI3;ABCD2;SH2B3;ZBTB32;UBD;SLC16A6;EOMES;LGALS1;ETS1;KCNA2;LAG3;PVALB;HSD11B1;TNFRSF8;HTR7;FASLG;HTRA4;DAB2;PMP22;MEF2C;FUT7;SLA;IL18R1;RAB30;RASGRP3;GAPT;CD200R1;RASGRP4;SEMA4D;RAB8B;FOXP3;CALHM2;CHST11;AKAP2</t>
  </si>
  <si>
    <t>http://www.broadinstitute.org/gsea/msigdb/cards/TGGAAA_NFAT_Q4_01.html</t>
  </si>
  <si>
    <t>CAGCTG_AP4_Q5</t>
  </si>
  <si>
    <t>4542;4242;9839;5579;3932;1436;2268;6351;919;971;2207;5294;2014;6404;9459;4689;92241;79930;55016;246329;26051;116986;2672;1240;2857;10019;4094;8320;4049;1621;3956;3162;3002;2113;3737;5816;3586;3290;6776;8905;5376;4208;11009;9363;27314;118788;10184;338339;9806;145581;51676;4215;64919;9033;11217</t>
  </si>
  <si>
    <t>MYO1F;MFNG;ZEB2;PRKCB;LCK;CSF1R;FGR;CCL4;CD247;CD72;FCER1G;PIK3CG;EMP3;SELPLG;ARHGEF6;NCF4;RCSD1;DOK3;MARCH1;STAC3;PPP1R16B;AGAP2;GFI1;CMKLR1;GPR34;SH2B3;MAF;EOMES;LTA;DBH;LGALS1;HMOX1;GZMB;ETS1;KCNA2;PVALB;IL10;HSD11B1;STAT5A;AP1S2;PMP22;MEF2C;IL24;RAB33A;RAB30;PIK3AP1;LHFPL2;CLEC4D;SPOCK2;LRFN5;ASB2;MAP3K3;BCL11B;PKD2L1;AKAP2</t>
  </si>
  <si>
    <t>http://www.broadinstitute.org/gsea/msigdb/cards/CAGCTG_AP4_Q5.html</t>
  </si>
  <si>
    <t>ETS2_B</t>
  </si>
  <si>
    <t>7940;7305;9839;2268;3575;6688;3695;2313;9459;139818;257106;374403;11184;4066;3936;55911;4033;9815;79865</t>
  </si>
  <si>
    <t>LST1;TYROBP;ZEB2;FGR;IL7R;SPI1;ITGB7;FLI1;ARHGEF6;DOCK11;ARHGAP30;TBC1D10C;MAP4K1;LYL1;LCP1;APOBR;LRMP;GIT2;TREML2</t>
  </si>
  <si>
    <t>http://www.broadinstitute.org/gsea/msigdb/cards/ETS2_B.html</t>
  </si>
  <si>
    <t>P53_DECAMER_Q2</t>
  </si>
  <si>
    <t>9839;714;3575;695;9459;54899;30009;4094;3586;5724;3290;6507;25900;11009;375686;116071;9754;64919</t>
  </si>
  <si>
    <t>ZEB2;C1QC;IL7R;BTK;ARHGEF6;PXK;TBX21;MAF;IL10;PTAFR;HSD11B1;SLC1A3;IFFO1;IL24;SPATC1;BATF2;STARD8;BCL11B</t>
  </si>
  <si>
    <t>http://www.broadinstitute.org/gsea/msigdb/cards/P53_DECAMER_Q2.html</t>
  </si>
  <si>
    <t>TGACATY_UNKNOWN</t>
  </si>
  <si>
    <t>7456;9404;925;5788;6688;919;959;11151;3702;9459;139818;257106;117289;115362;27033;9120;8742;596;3112;3290;943;4208;4033;27314;25890;84541;9806;51762;145581;55691;85479</t>
  </si>
  <si>
    <t>WIPF1;LPXN;CD8A;PTPRC;SPI1;CD247;CD40LG;CORO1A;ITK;ARHGEF6;DOCK11;ARHGAP30;TAGAP;GBP5;ZBTB32;SLC16A6;TNFSF12;BCL2;HLA-DOB;HSD11B1;TNFRSF8;MEF2C;LRMP;RAB30;ABI3BP;KBTBD8;SPOCK2;RAB8B;LRFN5;FRMD4A;DNAJC5B</t>
  </si>
  <si>
    <t>http://www.broadinstitute.org/gsea/msigdb/cards/TGACATY_UNKNOWN.html</t>
  </si>
  <si>
    <t>AML1_01</t>
  </si>
  <si>
    <t>3458;3932;3695;923;2207;5778;391;2313;257106;51296;4063;64407;10154;3002;969;27314;10077;55691</t>
  </si>
  <si>
    <t>IFNG;LCK;ITGB7;CD6;FCER1G;PTPN7;RHOG;FLI1;ARHGAP30;SLC15A3;LY9;RGS18;PLXNC1;GZMB;CD69;RAB30;TSPAN32;FRMD4A</t>
  </si>
  <si>
    <t>http://www.broadinstitute.org/gsea/msigdb/cards/AML1_01.html</t>
  </si>
  <si>
    <t>AML1_Q6</t>
  </si>
  <si>
    <t>http://www.broadinstitute.org/gsea/msigdb/cards/AML1_Q6.html</t>
  </si>
  <si>
    <t>TTGTTT_FOXO4_01</t>
  </si>
  <si>
    <t>22797;7456;9051;9839;9402;714;972;916;3001;1493;3575;959;11151;10225;5294;2313;3937;6404;9459;3662;139818;91752;353345;257106;54899;374403;117289;256380;55016;54557;23048;80231;6373;9120;366;4094;596;2113;3902;8905;140885;203100;4208;4240;8809;9363;27314;85464;25780;91010;167465;161145;145581;4215;64581;50943;64919;54504;59345;55013;55691;85479;51466;22806</t>
  </si>
  <si>
    <t>TFEC;WIPF1;PSTPIP1;ZEB2;GRAP2;C1QC;CD74;CD3E;GZMA;CTLA4;IL7R;CD40LG;CORO1A;CD96;PIK3CG;FLI1;LCP2;SELPLG;ARHGEF6;IRF4;DOCK11;ZNF804A;GPR141;ARHGAP30;PXK;TBC1D10C;TAGAP;SCML4;MARCH1;SGTB;FNBP1;CXorf21;CXCL11;SLC16A6;AQP9;MAF;BCL2;ETS1;LAG3;AP1S2;SIRPA;HTRA4;MEF2C;MFGE8;IL18R1;RAB33A;RAB30;SSH2;RASGRP3;FMNL3;ZNF366;TMEM229B;LRFN5;MAP3K3;CLEC7A;FOXP3;BCL11B;CPVL;GNB4;MCUB;FRMD4A;DNAJC5B;EVL;IKZF3</t>
  </si>
  <si>
    <t>http://www.broadinstitute.org/gsea/msigdb/cards/TTGTTT_FOXO4_01.html</t>
  </si>
  <si>
    <t>ETS1_B</t>
  </si>
  <si>
    <t>54440;3932;11151;5294;3937;8514;9744;55843;374403;116986;55303;6793;4066;3936;3902;9815;79865</t>
  </si>
  <si>
    <t>SASH3;LCK;CORO1A;PIK3CG;LCP2;KCNAB2;ACAP1;ARHGAP15;TBC1D10C;AGAP2;GIMAP4;STK10;LYL1;LCP1;LAG3;GIT2;TREML2</t>
  </si>
  <si>
    <t>http://www.broadinstitute.org/gsea/msigdb/cards/ETS1_B.html</t>
  </si>
  <si>
    <t>NFKB_C</t>
  </si>
  <si>
    <t>3559;3627;972;3659;6352;919;391;2313;259307;80231;56833;10019;3718;4050;2529;8809;10672</t>
  </si>
  <si>
    <t>IL2RA;CXCL10;CD74;IRF1;CCL5;CD247;RHOG;FLI1;IL4I1;CXorf21;SLAMF8;SH2B3;JAK3;LTB;FUT7;IL18R1;GNA13</t>
  </si>
  <si>
    <t>http://www.broadinstitute.org/gsea/msigdb/cards/NFKB_C.html</t>
  </si>
  <si>
    <t>ELK1_01</t>
  </si>
  <si>
    <t>54440;3932;951;3575;3695;3071;9459;257106;374403;11184;6793;4066;10437;3936;7454;140885;9815</t>
  </si>
  <si>
    <t>SASH3;LCK;CD37;IL7R;ITGB7;NCKAP1L;ARHGEF6;ARHGAP30;TBC1D10C;MAP4K1;STK10;LYL1;IFI30;LCP1;WAS;SIRPA;GIT2</t>
  </si>
  <si>
    <t>http://www.broadinstitute.org/gsea/msigdb/cards/ELK1_01.html</t>
  </si>
  <si>
    <t>TTCYNRGAA_STAT5B_01</t>
  </si>
  <si>
    <t>7456;10068;6352;919;959;3394;695;3937;6504;3662;5800;51284;6373;4049;3002;5816;3604;4818;84541</t>
  </si>
  <si>
    <t>WIPF1;IL18BP;CCL5;CD247;CD40LG;IRF8;BTK;LCP2;SLAMF1;IRF4;PTPRO;TLR7;CXCL11;LTA;GZMB;PVALB;TNFRSF9;NKG7;KBTBD8</t>
  </si>
  <si>
    <t>http://www.broadinstitute.org/gsea/msigdb/cards/TTCYNRGAA_STAT5B_01.html</t>
  </si>
  <si>
    <t>NERF_Q2</t>
  </si>
  <si>
    <t>7940;11309;2268;959;2207;11151;5294;257106;11184;2848;9103;4066;3059;2213;6776;9754</t>
  </si>
  <si>
    <t>LST1;SLCO2B1;FGR;CD40LG;FCER1G;CORO1A;PIK3CG;ARHGAP30;MAP4K1;GPR25;FCGR2A;LYL1;HCLS1;FCGR2B;STAT5A;STARD8</t>
  </si>
  <si>
    <t>http://www.broadinstitute.org/gsea/msigdb/cards/NERF_Q2.html</t>
  </si>
  <si>
    <t>CTTTGA_LEF1_Q2</t>
  </si>
  <si>
    <t>9839;4068;9402;915;5579;1493;919;959;1236;5294;3702;3587;9459;10666;5800;120939;139818;54899;117289;225;30009;10673;27033;3684;2113;3290;1230;6753;2829;8905;4208;8809;27314;85464;25890;25780;91526;338339;9806;29126;22806;11217</t>
  </si>
  <si>
    <t>ZEB2;SH2D1A;GRAP2;CD3D;PRKCB;CTLA4;CD247;CD40LG;CCR7;PIK3CG;ITK;IL10RA;ARHGEF6;CD226;PTPRO;TMEM52B;DOCK11;PXK;TAGAP;ABCD2;TBX21;TNFSF13B;ZBTB32;ITGAM;ETS1;HSD11B1;CCR1;SSTR3;XCR1;AP1S2;MEF2C;IL18R1;RAB30;SSH2;ABI3BP;RASGRP3;ANKRD44;CLEC4D;SPOCK2;CD274;IKZF3;AKAP2</t>
  </si>
  <si>
    <t>http://www.broadinstitute.org/gsea/msigdb/cards/CTTTGA_LEF1_Q2.html</t>
  </si>
  <si>
    <t>AREB6_04</t>
  </si>
  <si>
    <t>7940;9839;9595;3575;1240;84174;10019;80342;4049;3902;4261;64581;80183;59345;9935</t>
  </si>
  <si>
    <t>LST1;ZEB2;CYTIP;IL7R;CMKLR1;SLA2;SH2B3;TRAF3IP3;LTA;LAG3;CIITA;CLEC7A;RUBCNL;GNB4;MAFB</t>
  </si>
  <si>
    <t>http://www.broadinstitute.org/gsea/msigdb/cards/AREB6_04.html</t>
  </si>
  <si>
    <t>AP1_Q6_01</t>
  </si>
  <si>
    <t>695;7805;83706;51225;27033;3059;3737;6556;4973;3604;55911;9815;27314;84541;4327</t>
  </si>
  <si>
    <t>BTK;LAPTM5;FERMT3;ABI3;ZBTB32;HCLS1;KCNA2;SLC11A1;OLR1;TNFRSF9;APOBR;GIT2;RAB30;KBTBD8;MMP19</t>
  </si>
  <si>
    <t>http://www.broadinstitute.org/gsea/msigdb/cards/AP1_Q6_01.html</t>
  </si>
  <si>
    <t>IRF7_01</t>
  </si>
  <si>
    <t>8676;10068;3627;3695;959;2313;6890;80231;51225;10154;10672;116071;161145;51466</t>
  </si>
  <si>
    <t>STX11;IL18BP;CXCL10;ITGB7;CD40LG;FLI1;TAP1;CXorf21;ABI3;PLXNC1;GNA13;BATF2;TMEM229B;EVL</t>
  </si>
  <si>
    <t>http://www.broadinstitute.org/gsea/msigdb/cards/IRF7_01.html</t>
  </si>
  <si>
    <t>NFKB_Q6</t>
  </si>
  <si>
    <t>27334;3559;3627;1536;6352;942;4283;259307;80231;64092;56833;3718;8905;4050</t>
  </si>
  <si>
    <t>P2RY10;IL2RA;CXCL10;CYBB;CCL5;CD86;CXCL9;IL4I1;CXorf21;SAMSN1;SLAMF8;JAK3;AP1S2;LTB</t>
  </si>
  <si>
    <t>http://www.broadinstitute.org/gsea/msigdb/cards/NFKB_Q6.html</t>
  </si>
  <si>
    <t>CAGGTG_E12_Q6</t>
  </si>
  <si>
    <t>4242;9051;9839;9214;712;714;2268;3659;6688;919;4245;959;11151;2322;5294;7634;8514;7805;9744;399;5800;117289;23533;54557;246329;152789;259307;26051;116986;56659;9120;10154;7439;4049;596;4066;3936;6402;3290;6753;8905;140885;5376;4208;4050;55911;9363;9815;10672;79865;161176;389197;118788;85464;10235;161145;84541;84230;9806;145581;51676;64919;81553;57823;9033;55691;27240</t>
  </si>
  <si>
    <t>MFNG;PSTPIP1;ZEB2;FCMR;C1QA;C1QC;FGR;IRF1;SPI1;CD247;MGAT1;CD40LG;CORO1A;FLT3;PIK3CG;ZNF80;KCNAB2;LAPTM5;ACAP1;RHOH;PTPRO;TAGAP;PIK3R5;SGTB;STAC3;JAKMIP1;IL4I1;PPP1R16B;AGAP2;KCNK13;SLC16A6;PLXNC1;BEST1;LTA;BCL2;LYL1;LCP1;SELL;HSD11B1;SSTR3;AP1S2;SIRPA;PMP22;MEF2C;LTB;APOBR;RAB33A;GIT2;GNA13;TREML2;SYNE3;C4orf50;PIK3AP1;SSH2;RASGRP2;TMEM229B;KBTBD8;LRRC8C;SPOCK2;LRFN5;ASB2;BCL11B;FAM49A;SLAMF7;PKD2L1;FRMD4A;SIT1</t>
  </si>
  <si>
    <t>http://www.broadinstitute.org/gsea/msigdb/cards/CAGGTG_E12_Q6.html</t>
  </si>
  <si>
    <t>GGGAGGRR_MAZ_Q6</t>
  </si>
  <si>
    <t>9535;8676;54440;712;714;3932;6688;971;959;11151;1236;5778;391;2313;11262;3603;9744;55843;149628;79930;221472;83706;374403;246329;152789;26051;116986;56659;51225;27128;10019;9120;10154;3717;19;8320;2162;3956;9103;4066;3902;5816;5724;3108;3290;2213;8905;11009;7941;9363;118788;10235;84230;9754;145581;51676;79690;4215;64919;54861;23166;27240</t>
  </si>
  <si>
    <t>GMFG;STX11;SASH3;C1QA;C1QC;LCK;SPI1;CD72;CD40LG;CORO1A;CCR7;PTPN7;RHOG;FLI1;SP140;IL16;ACAP1;ARHGAP15;PYHIN1;DOK3;FGD2;FERMT3;TBC1D10C;STAC3;JAKMIP1;PPP1R16B;AGAP2;KCNK13;ABI3;CYTH4;SH2B3;SLC16A6;PLXNC1;JAK2;ABCA1;EOMES;F13A1;LGALS1;FCGR2A;LYL1;LAG3;PVALB;PTAFR;HLA-DMA;HSD11B1;FCGR2B;AP1S2;IL24;PLA2G7;RAB33A;PIK3AP1;RASGRP2;LRRC8C;STARD8;LRFN5;ASB2;GAL3ST4;MAP3K3;BCL11B;SNRK;STAB1;SIT1</t>
  </si>
  <si>
    <t>http://www.broadinstitute.org/gsea/msigdb/cards/GGGAGGRR_MAZ_Q6.html</t>
  </si>
  <si>
    <t>STAT4_01</t>
  </si>
  <si>
    <t>9839;915;5579;2313;79930;53829;59067;10019;2113;3290;6776;4208;131450;23166</t>
  </si>
  <si>
    <t>ZEB2;CD3D;PRKCB;FLI1;DOK3;P2RY13;IL21;SH2B3;ETS1;HSD11B1;STAT5A;MEF2C;CD200R1;STAB1</t>
  </si>
  <si>
    <t>http://www.broadinstitute.org/gsea/msigdb/cards/STAT4_01.html</t>
  </si>
  <si>
    <t>IRF2_01</t>
  </si>
  <si>
    <t>3627;6890;9459;55016;80231;10673;10537;10154;161145</t>
  </si>
  <si>
    <t>CXCL10;TAP1;ARHGEF6;MARCH1;CXorf21;TNFSF13B;UBD;PLXNC1;TMEM229B</t>
  </si>
  <si>
    <t>http://www.broadinstitute.org/gsea/msigdb/cards/IRF2_01.html</t>
  </si>
  <si>
    <t>STAT5A_04</t>
  </si>
  <si>
    <t>22797;9839;959;2313;151888;23048;51311;2857;6373;2113;50943;64805</t>
  </si>
  <si>
    <t>TFEC;ZEB2;CD40LG;FLI1;BTLA;FNBP1;TLR8;GPR34;CXCL11;ETS1;FOXP3;P2RY12</t>
  </si>
  <si>
    <t>http://www.broadinstitute.org/gsea/msigdb/cards/STAT5A_04.html</t>
  </si>
  <si>
    <t>STAT5B_01</t>
  </si>
  <si>
    <t>7456;9839;3659;6352;959;3394;695;3937;6504;3662;51284;6373;5816</t>
  </si>
  <si>
    <t>WIPF1;ZEB2;IRF1;CCL5;CD40LG;IRF8;BTK;LCP2;SLAMF1;IRF4;TLR7;CXCL11;PVALB</t>
  </si>
  <si>
    <t>http://www.broadinstitute.org/gsea/msigdb/cards/STAT5B_01.html</t>
  </si>
  <si>
    <t>CEBP_Q3</t>
  </si>
  <si>
    <t>117289;81704;55016;51311;64407;366;140885;27314;131450;4215;50943;64919;11217</t>
  </si>
  <si>
    <t>TAGAP;DOCK8;MARCH1;TLR8;RGS18;AQP9;SIRPA;RAB30;CD200R1;MAP3K3;FOXP3;BCL11B;AKAP2</t>
  </si>
  <si>
    <t>http://www.broadinstitute.org/gsea/msigdb/cards/CEBP_Q3.html</t>
  </si>
  <si>
    <t>RTAAACA_FREAC2_01</t>
  </si>
  <si>
    <t>4242;9535;5294;2313;3937;3603;10875;9459;3662;257106;54899;117289;54557;80380;59067;9120;4094;19;2113;3902;3290;4050;27314;25890;338339;9806;5027;64919;81553;55691</t>
  </si>
  <si>
    <t>MFNG;GMFG;PIK3CG;FLI1;LCP2;IL16;FGL2;ARHGEF6;IRF4;ARHGAP30;PXK;TAGAP;SGTB;PDCD1LG2;IL21;SLC16A6;MAF;ABCA1;ETS1;LAG3;HSD11B1;LTB;RAB30;ABI3BP;CLEC4D;SPOCK2;P2RX7;BCL11B;FAM49A;FRMD4A</t>
  </si>
  <si>
    <t>http://www.broadinstitute.org/gsea/msigdb/cards/RTAAACA_FREAC2_01.html</t>
  </si>
  <si>
    <t>TGTYNNNNNRGCARM_UNKNOWN</t>
  </si>
  <si>
    <t>9839;6404;55016;943;10672;81553;55691</t>
  </si>
  <si>
    <t>ZEB2;SELPLG;MARCH1;TNFRSF8;GNA13;FAM49A;FRMD4A</t>
  </si>
  <si>
    <t>http://www.broadinstitute.org/gsea/msigdb/cards/TGTYNNNNNRGCARM_UNKNOWN.html</t>
  </si>
  <si>
    <t>SREBP1_02</t>
  </si>
  <si>
    <t>6688;919;11151;391;6753;4208;9363</t>
  </si>
  <si>
    <t>SPI1;CD247;CORO1A;RHOG;SSTR3;MEF2C;RAB33A</t>
  </si>
  <si>
    <t>http://www.broadinstitute.org/gsea/msigdb/cards/SREBP1_02.html</t>
  </si>
  <si>
    <t>YTATTTTNR_MEF2_02</t>
  </si>
  <si>
    <t>4068;81704;246329;23048;26051;4064;51284;2857;2162;1621;2113;5816;3586;3290;140885;9363;91526;84230;10507;51676;7462;64805;59345;55691</t>
  </si>
  <si>
    <t>SH2D1A;DOCK8;STAC3;FNBP1;PPP1R16B;CD180;TLR7;GPR34;F13A1;DBH;ETS1;PVALB;IL10;HSD11B1;SIRPA;RAB33A;ANKRD44;LRRC8C;SEMA4D;ASB2;LAT2;P2RY12;GNB4;FRMD4A</t>
  </si>
  <si>
    <t>http://www.broadinstitute.org/gsea/msigdb/cards/YTATTTTNR_MEF2_02.html</t>
  </si>
  <si>
    <t>TGCTGAY_UNKNOWN</t>
  </si>
  <si>
    <t>27334;1318;9839;11309;3932;199;391;256380;54557;26051;84174;9120;3120;27314;3123;150771;25890;64780;9806;23166</t>
  </si>
  <si>
    <t>P2RY10;SLC31A2;ZEB2;SLCO2B1;LCK;AIF1;RHOG;SCML4;SGTB;PPP1R16B;SLA2;SLC16A6;HLA-DQB2;RAB30;HLA-DRB1;ITPRIPL1;ABI3BP;MICAL1;SPOCK2;STAB1</t>
  </si>
  <si>
    <t>http://www.broadinstitute.org/gsea/msigdb/cards/TGCTGAY_UNKNOWN.html</t>
  </si>
  <si>
    <t>FOXM1_01</t>
  </si>
  <si>
    <t>27334;2014;8477;54557;64333;4094;3737;3290;4261;4208;85464;5027</t>
  </si>
  <si>
    <t>P2RY10;EMP3;GPR65;SGTB;ARHGAP9;MAF;KCNA2;HSD11B1;CIITA;MEF2C;SSH2;P2RX7</t>
  </si>
  <si>
    <t>http://www.broadinstitute.org/gsea/msigdb/cards/FOXM1_01.html</t>
  </si>
  <si>
    <t>E47_01</t>
  </si>
  <si>
    <t>714;3659;6688;4245;11151;2322;3956;9815;79865;51676;4215;64919</t>
  </si>
  <si>
    <t>C1QC;IRF1;SPI1;MGAT1;CORO1A;FLT3;LGALS1;GIT2;TREML2;ASB2;MAP3K3;BCL11B</t>
  </si>
  <si>
    <t>http://www.broadinstitute.org/gsea/msigdb/cards/E47_01.html</t>
  </si>
  <si>
    <t>CEBPGAMMA_Q6</t>
  </si>
  <si>
    <t>3071;2313;4283;257106;80342;27033;3586;3290;203100;4208;85464;25780</t>
  </si>
  <si>
    <t>NCKAP1L;FLI1;CXCL9;ARHGAP30;TRAF3IP3;ZBTB32;IL10;HSD11B1;HTRA4;MEF2C;SSH2;RASGRP3</t>
  </si>
  <si>
    <t>http://www.broadinstitute.org/gsea/msigdb/cards/CEBPGAMMA_Q6.html</t>
  </si>
  <si>
    <t>OSF2_Q6</t>
  </si>
  <si>
    <t>27334;1318;9404;3458;3575;2123;2322;3603;84174;6546;1601;55911</t>
  </si>
  <si>
    <t>P2RY10;SLC31A2;LPXN;IFNG;IL7R;EVI2A;FLT3;IL16;SLA2;SLC8A1;DAB2;APOBR</t>
  </si>
  <si>
    <t>http://www.broadinstitute.org/gsea/msigdb/cards/OSF2_Q6.html</t>
  </si>
  <si>
    <t>AP1_Q2</t>
  </si>
  <si>
    <t>2124;2313;7805;54557;51744;58484;9120;3586;4240;55911;85464;4327</t>
  </si>
  <si>
    <t>EVI2B;FLI1;LAPTM5;SGTB;CD244;NLRC4;SLC16A6;IL10;MFGE8;APOBR;SSH2;MMP19</t>
  </si>
  <si>
    <t>http://www.broadinstitute.org/gsea/msigdb/cards/AP1_Q2.html</t>
  </si>
  <si>
    <t>AGCATTA_MIR155</t>
  </si>
  <si>
    <t>1436;1493;6688;3702;3635;2113;6503;85464</t>
  </si>
  <si>
    <t>CSF1R;CTLA4;SPI1;ITK;INPP5D;ETS1;SLA;SSH2</t>
  </si>
  <si>
    <t>http://www.broadinstitute.org/gsea/msigdb/cards/AGCATTA_MIR155.html</t>
  </si>
  <si>
    <t>AP1_01</t>
  </si>
  <si>
    <t>3687;2014;695;51225;3737;5816;6556;4973;85464;245972;84541;81553</t>
  </si>
  <si>
    <t>ITGAX;EMP3;BTK;ABI3;KCNA2;PVALB;SLC11A1;OLR1;SSH2;ATP6V0D2;KBTBD8;FAM49A</t>
  </si>
  <si>
    <t>http://www.broadinstitute.org/gsea/msigdb/cards/AP1_01.html</t>
  </si>
  <si>
    <t>FOXJ2_02</t>
  </si>
  <si>
    <t>22797;3559;5800;4064;4094;3290;4973;25900;85464;161145;55013</t>
  </si>
  <si>
    <t>TFEC;IL2RA;PTPRO;CD180;MAF;HSD11B1;OLR1;IFFO1;SSH2;TMEM229B;MCUB</t>
  </si>
  <si>
    <t>http://www.broadinstitute.org/gsea/msigdb/cards/FOXJ2_02.html</t>
  </si>
  <si>
    <t>MODULE_84</t>
  </si>
  <si>
    <t>7940;7305;9535;11025;8676;54440;11309;10261;920;925;713;714;972;915;1536;3689;3932;914;1436;5341;929;5788;3055;2214;962;2268;6036;3659;951;3001;6351;6352;2350;5551;3560;3575;963;7133;3683;919;971;2123;3695;313;51056;923;2207;11151;3561;2633;2124;5778;4332;942;6772;3101;2014;199;3394;6890;4283;3937;10320;7805;3587;6404;10875;9459;4689;399;719;55843;3903;79626;83706;9332;8477;10288;80301;1794;6039;51338;58475;64092;55303;56833;11314;27128;9056;11326;51393;2219;10537;366;8742;8530;19;2162;3553;3122;3117;348;341;3115;240;5552;3002;926;3684;2212;10437;54;3936;6402;3059;4688;3113;241;2357;10578;4360;2358;3108;1043;2213;1230;3988;3003;4973;1601;4050;969;4033;7941;6503;10457;597;4818;3123;3127;90634;11027;10507;6363;54504;80183;30835;27240;9935</t>
  </si>
  <si>
    <t>LST1;TYROBP;GMFG;LILRB3;STX11;SASH3;SLCO2B1;IGSF6;CD4;CD8A;C1QB;C1QC;CD74;CD3D;CYBB;ITGB2;LCK;CD2;CSF1R;PLEK;CD14;PTPRC;HCK;FCGR3A;CD48;FGR;RNASE2;IRF1;CD37;GZMA;CCL4;CCL5;FOLR2;PRF1;IL2RB;IL7R;CD53;TNFRSF1B;ITGAL;CD247;CD72;EVI2A;ITGB7;AOAH;LAP3;CD6;FCER1G;CORO1A;IL2RG;GBP1;EVI2B;PTPN7;MNDA;CD86;STAT1;HK3;EMP3;AIF1;IRF8;TAP1;CXCL9;LCP2;IKZF1;LAPTM5;IL10RA;SELPLG;FGL2;ARHGEF6;NCF4;RHOH;C3AR1;ARHGAP15;LAIR1;TNFAIP8L2;FERMT3;CD163;GPR65;LILRB2;PLEKHO2;DOCK2;RNASE6;MS4A4A;MS4A7;SAMSN1;GIMAP4;SLAMF8;CD300A;CYTH4;SLC7A7;VSIG4;TRPV2;FCN1;UBD;AQP9;TNFSF12;CST7;ABCA1;F13A1;IL1B;HLA-DRA;HLA-DQA1;APOE;APOC1;HLA-DPB1;ALOX5;SRGN;GZMB;CD8B;ITGAM;FCGR2A;IFI30;ACP5;LCP1;SELL;HCLS1;NCF2;HLA-DPA1;ALOX5AP;FPR1;GNLY;MRC1;FPR2;HLA-DMA;CD52;FCGR2B;CCR1;LIPA;GZMK;OLR1;DAB2;LTB;CD69;LRMP;PLA2G7;SLA;GPNMB;BCL2A1;NKG7;HLA-DRB1;HLA-DRB5;N4BP2L1;LILRA2;SEMA4D;CCL19;CPVL;RUBCNL;CD209;SIT1;MAFB</t>
  </si>
  <si>
    <t>http://www.broadinstitute.org/gsea/msigdb/cards/MODULE_84.html</t>
  </si>
  <si>
    <t>MODULE_45</t>
  </si>
  <si>
    <t>27334;7940;2533;1318;9535;9046;9214;9404;11025;8676;54440;9450;10261;925;915;1536;3689;5579;3932;914;916;5341;929;5788;3055;2214;962;2268;6036;3659;951;3001;6352;5551;3560;3575;6688;963;7133;3683;919;2123;3695;313;923;2207;11151;3561;2633;1439;2124;5778;2322;4332;942;6772;3101;2014;199;391;4354;6890;10871;3937;8514;10320;7805;3587;6404;10875;9744;9459;4689;3903;10288;80301;1794;3635;11184;6039;11314;9056;23228;11326;2219;9881;9120;366;10990;8530;1102;19;2162;3553;240;5552;3002;926;3684;2212;3936;6402;3059;6693;4688;241;10578;2358;5724;3108;1043;2213;1230;3363;3988;6776;9938;7454;11010;6556;3003;3718;4050;25900;2529;4033;6503;9815;597;4818;90634;11027;10507;54504;54861;23166</t>
  </si>
  <si>
    <t>P2RY10;LST1;FYB1;SLC31A2;GMFG;DOK2;FCMR;LPXN;LILRB3;STX11;SASH3;LY86;IGSF6;CD8A;CD3D;CYBB;ITGB2;PRKCB;LCK;CD2;CD3E;PLEK;CD14;PTPRC;HCK;FCGR3A;CD48;FGR;RNASE2;IRF1;CD37;GZMA;CCL5;PRF1;IL2RB;IL7R;SPI1;CD53;TNFRSF1B;ITGAL;CD247;EVI2A;ITGB7;AOAH;CD6;FCER1G;CORO1A;IL2RG;GBP1;CSF2RB;EVI2B;PTPN7;FLT3;MNDA;CD86;STAT1;HK3;EMP3;AIF1;RHOG;MPP1;TAP1;CD300C;LCP2;KCNAB2;IKZF1;LAPTM5;IL10RA;SELPLG;FGL2;ACAP1;ARHGEF6;NCF4;LAIR1;LILRB2;PLEKHO2;DOCK2;INPP5D;MAP4K1;RNASE6;CD300A;SLC7A7;PLCL2;VSIG4;FCN1;TRANK1;SLC16A6;AQP9;LILRB5;CST7;RCBTB2;ABCA1;F13A1;IL1B;ALOX5;SRGN;GZMB;CD8B;ITGAM;FCGR2A;LCP1;SELL;HCLS1;SPN;NCF2;ALOX5AP;GNLY;FPR2;PTAFR;HLA-DMA;CD52;FCGR2B;CCR1;HTR7;LIPA;STAT5A;ARHGAP25;WAS;GLIPR1;SLC11A1;GZMK;JAK3;LTB;IFFO1;FUT7;LRMP;SLA;GIT2;BCL2A1;NKG7;N4BP2L1;LILRA2;SEMA4D;CPVL;SNRK;STAB1</t>
  </si>
  <si>
    <t>http://www.broadinstitute.org/gsea/msigdb/cards/MODULE_45.html</t>
  </si>
  <si>
    <t>MODULE_46</t>
  </si>
  <si>
    <t>7940;2533;9051;7305;4068;11025;9402;9450;10261;920;925;712;3627;915;1536;3689;914;929;2214;962;917;2268;3659;3001;6351;5551;3560;3575;1378;963;919;971;2123;923;2207;3561;2633;1439;5734;2322;4332;942;6772;1234;2014;3394;4283;10871;3702;3937;6504;3603;4689;719;8477;10288;11006;6039;2219;6373;10537;366;8742;11024;10990;8530;4049;3553;3122;348;921;3111;1435;596;926;2212;6402;2113;4688;728;10578;5724;3109;1230;4261;729230;6776;356;1601;4050;969;11009;8809;5133;3127;11027;10507;3805;6363</t>
  </si>
  <si>
    <t>LST1;FYB1;PSTPIP1;TYROBP;SH2D1A;LILRB3;GRAP2;LY86;IGSF6;CD4;CD8A;C1QA;CXCL10;CD3D;CYBB;ITGB2;CD2;CD14;FCGR3A;CD48;CD3G;FGR;IRF1;GZMA;CCL4;PRF1;IL2RB;IL7R;CR1;CD53;CD247;CD72;EVI2A;CD6;FCER1G;IL2RG;GBP1;CSF2RB;PTGER4;FLT3;MNDA;CD86;STAT1;CCR5;EMP3;IRF8;CXCL9;CD300C;ITK;LCP2;SLAMF1;IL16;NCF4;C3AR1;GPR65;LILRB2;LILRB4;RNASE6;FCN1;CXCL11;UBD;AQP9;TNFSF12;LILRA1;LILRB5;CST7;LTA;IL1B;HLA-DRA;APOE;CD5;HLA-DOA;CSF1;BCL2;CD8B;FCGR2A;SELL;ETS1;NCF2;C5AR1;GNLY;PTAFR;HLA-DMB;CCR1;CIITA;CCR2;STAT5A;FASLG;DAB2;LTB;CD69;IL24;IL18R1;PDCD1;HLA-DRB5;LILRA2;SEMA4D;KIR2DL4;CCL19</t>
  </si>
  <si>
    <t>http://www.broadinstitute.org/gsea/msigdb/cards/MODULE_46.html</t>
  </si>
  <si>
    <t>MODULE_75</t>
  </si>
  <si>
    <t>7940;2533;9051;7305;9535;4068;11025;9450;10261;920;925;712;3627;915;1536;3689;3932;914;929;2214;962;917;2268;3659;3001;6351;5551;3560;3575;1378;963;919;971;2123;923;2207;3561;2633;1439;5734;2322;4332;942;6772;1234;2014;199;3394;4283;10871;3702;3937;6504;3603;4689;719;8477;10288;11006;6039;2219;6373;10537;366;8742;11024;10990;8530;4049;3553;3122;348;921;3111;1435;926;2212;6402;2113;4688;728;10578;5724;3109;1230;729230;6776;356;1601;4050;969;11009;8809;5133;3127;11027;10507;3805;6363</t>
  </si>
  <si>
    <t>LST1;FYB1;PSTPIP1;TYROBP;GMFG;SH2D1A;LILRB3;LY86;IGSF6;CD4;CD8A;C1QA;CXCL10;CD3D;CYBB;ITGB2;LCK;CD2;CD14;FCGR3A;CD48;CD3G;FGR;IRF1;GZMA;CCL4;PRF1;IL2RB;IL7R;CR1;CD53;CD247;CD72;EVI2A;CD6;FCER1G;IL2RG;GBP1;CSF2RB;PTGER4;FLT3;MNDA;CD86;STAT1;CCR5;EMP3;AIF1;IRF8;CXCL9;CD300C;ITK;LCP2;SLAMF1;IL16;NCF4;C3AR1;GPR65;LILRB2;LILRB4;RNASE6;FCN1;CXCL11;UBD;AQP9;TNFSF12;LILRA1;LILRB5;CST7;LTA;IL1B;HLA-DRA;APOE;CD5;HLA-DOA;CSF1;CD8B;FCGR2A;SELL;ETS1;NCF2;C5AR1;GNLY;PTAFR;HLA-DMB;CCR1;CCR2;STAT5A;FASLG;DAB2;LTB;CD69;IL24;IL18R1;PDCD1;HLA-DRB5;LILRA2;SEMA4D;KIR2DL4;CCL19</t>
  </si>
  <si>
    <t>http://www.broadinstitute.org/gsea/msigdb/cards/MODULE_75.html</t>
  </si>
  <si>
    <t>MODULE_64</t>
  </si>
  <si>
    <t>27334;10663;7305;4068;11025;10261;3458;920;925;3627;915;3689;3932;914;916;929;5788;2214;917;2268;951;2209;6351;2350;3560;3575;963;7133;3683;3687;919;2123;3695;923;2207;3561;1439;2322;10225;942;6772;1234;3101;3071;4283;10871;6504;7805;3587;719;5800;9332;8477;10288;6373;27299;366;8742;11024;19;4049;3553;3122;348;921;3111;1435;926;3684;2212;6402;6693;3902;2357;728;4360;2358;5724;3109;1230;3363;729230;356;1237;4973;4050;969;4033;11009;6503;8809;814;4818;3127;11027;10507;5027;3805;6363</t>
  </si>
  <si>
    <t>P2RY10;CXCR6;TYROBP;SH2D1A;LILRB3;IGSF6;IFNG;CD4;CD8A;CXCL10;CD3D;ITGB2;LCK;CD2;CD3E;CD14;PTPRC;FCGR3A;CD3G;FGR;CD37;FCGR1A;CCL4;FOLR2;IL2RB;IL7R;CD53;TNFRSF1B;ITGAL;ITGAX;CD247;EVI2A;ITGB7;CD6;FCER1G;IL2RG;CSF2RB;FLT3;CD96;CD86;STAT1;CCR5;HK3;NCKAP1L;CXCL9;CD300C;SLAMF1;LAPTM5;IL10RA;C3AR1;PTPRO;CD163;GPR65;LILRB2;CXCL11;ADAMDEC1;AQP9;TNFSF12;LILRA1;ABCA1;LTA;IL1B;HLA-DRA;APOE;CD5;HLA-DOA;CSF1;CD8B;ITGAM;FCGR2A;SELL;SPN;LAG3;FPR1;C5AR1;MRC1;FPR2;PTAFR;HLA-DMB;CCR1;HTR7;CCR2;FASLG;CCR8;OLR1;LTB;CD69;LRMP;IL24;SLA;IL18R1;CAMK4;NKG7;HLA-DRB5;LILRA2;SEMA4D;P2RX7;KIR2DL4;CCL19</t>
  </si>
  <si>
    <t>http://www.broadinstitute.org/gsea/msigdb/cards/MODULE_64.html</t>
  </si>
  <si>
    <t>MODULE_44</t>
  </si>
  <si>
    <t>27334;2533;9535;9214;9404;11309;925;713;915;3689;3932;914;916;929;5788;962;951;3575;963;7133;919;923;11151;3561;2124;5778;6772;2014;391;3394;6890;3937;10320;7805;10875;9459;4689;399;3903;9332;1794;3635;6039;11326;9881;10537;2162;3117;348;341;5552;596;926;54;3936;6402;3059;2113;241;4360;3108;1043;3988;6776;7454;1601;4050;969;6503;10457;90634;6363;54504;23166;27240</t>
  </si>
  <si>
    <t>P2RY10;FYB1;GMFG;FCMR;LPXN;SLCO2B1;CD8A;C1QB;CD3D;ITGB2;LCK;CD2;CD3E;CD14;PTPRC;CD48;CD37;IL7R;CD53;TNFRSF1B;CD247;CD6;CORO1A;IL2RG;EVI2B;PTPN7;STAT1;EMP3;RHOG;IRF8;TAP1;LCP2;IKZF1;LAPTM5;FGL2;ARHGEF6;NCF4;RHOH;LAIR1;CD163;DOCK2;INPP5D;RNASE6;VSIG4;TRANK1;UBD;F13A1;HLA-DQA1;APOE;APOC1;SRGN;BCL2;CD8B;ACP5;LCP1;SELL;HCLS1;ETS1;ALOX5AP;MRC1;HLA-DMA;CD52;LIPA;STAT5A;WAS;DAB2;LTB;CD69;SLA;GPNMB;N4BP2L1;CCL19;CPVL;STAB1;SIT1</t>
  </si>
  <si>
    <t>http://www.broadinstitute.org/gsea/msigdb/cards/MODULE_44.html</t>
  </si>
  <si>
    <t>MODULE_27</t>
  </si>
  <si>
    <t>27334;10663;11025;10261;3559;920;925;915;3689;914;929;5788;2214;917;2209;2350;3560;3575;1378;7133;3683;3687;919;971;2123;3695;923;2207;3561;1439;941;2322;10225;942;3594;1234;10871;6504;3587;719;5800;9332;8477;10288;11006;4064;29909;11024;3122;921;3111;2811;926;3684;2212;2357;728;4360;2358;5724;3109;943;1230;4261;729230;1237;4973;969;8809;3127;11027;10507;3805</t>
  </si>
  <si>
    <t>P2RY10;CXCR6;LILRB3;IGSF6;IL2RA;CD4;CD8A;CD3D;ITGB2;CD2;CD14;PTPRC;FCGR3A;CD3G;FCGR1A;FOLR2;IL2RB;IL7R;CR1;TNFRSF1B;ITGAL;ITGAX;CD247;CD72;EVI2A;ITGB7;CD6;FCER1G;IL2RG;CSF2RB;CD80;FLT3;CD96;CD86;IL12RB1;CCR5;CD300C;SLAMF1;IL10RA;C3AR1;PTPRO;CD163;GPR65;LILRB2;LILRB4;CD180;GPR171;LILRA1;HLA-DRA;CD5;HLA-DOA;GP1BA;CD8B;ITGAM;FCGR2A;FPR1;C5AR1;MRC1;FPR2;PTAFR;HLA-DMB;TNFRSF8;CCR1;CIITA;CCR2;CCR8;OLR1;CD69;IL18R1;HLA-DRB5;LILRA2;SEMA4D;KIR2DL4</t>
  </si>
  <si>
    <t>http://www.broadinstitute.org/gsea/msigdb/cards/MODULE_27.html</t>
  </si>
  <si>
    <t>GNF2_CASP1</t>
  </si>
  <si>
    <t>4542;7940;9051;7305;9535;11025;8676;10261;1536;3689;3055;2268;945;7133;2123;313;2207;2124;4332;942;3101;199;391;4671;3587;10875;10288;64231;51311;29992;50856;2219;11024;3684;6402;3059;4688;1230;8905;27163;79168;11027;4215;54504;64747;64174;25939;9935</t>
  </si>
  <si>
    <t>MYO1F;LST1;PSTPIP1;TYROBP;GMFG;LILRB3;STX11;IGSF6;CYBB;ITGB2;HCK;FGR;CD33;TNFRSF1B;EVI2A;AOAH;FCER1G;EVI2B;MNDA;CD86;HK3;AIF1;RHOG;NAIP;IL10RA;FGL2;LILRB2;MS4A6A;TLR8;PILRA;CLEC4A;FCN1;LILRA1;ITGAM;SELL;HCLS1;NCF2;CCR1;AP1S2;NAAA;LILRA6;LILRA2;MAP3K3;CPVL;MFSD1;DPEP2;SAMHD1;MAFB</t>
  </si>
  <si>
    <t>http://www.broadinstitute.org/gsea/msigdb/cards/GNF2_CASP1.html</t>
  </si>
  <si>
    <t>GNF2_HCK</t>
  </si>
  <si>
    <t>4542;7940;7305;11025;8676;10261;1536;3689;929;3055;2268;6688;7133;3687;2123;2207;2124;4332;3101;199;391;10875;10288;64231;51311;29992;9056;50856;353514;2219;11024;2212;4688;2357;728;1230;8905;79168;11027;64581;54504;64174</t>
  </si>
  <si>
    <t>MYO1F;LST1;TYROBP;LILRB3;STX11;IGSF6;CYBB;ITGB2;CD14;HCK;FGR;SPI1;TNFRSF1B;ITGAX;EVI2A;FCER1G;EVI2B;MNDA;HK3;AIF1;RHOG;FGL2;LILRB2;MS4A6A;TLR8;PILRA;SLC7A7;CLEC4A;LILRA5;FCN1;LILRA1;FCGR2A;NCF2;FPR1;C5AR1;CCR1;AP1S2;LILRA6;LILRA2;CLEC7A;CPVL;DPEP2</t>
  </si>
  <si>
    <t>http://www.broadinstitute.org/gsea/msigdb/cards/GNF2_HCK.html</t>
  </si>
  <si>
    <t>MODULE_117</t>
  </si>
  <si>
    <t>7940;10663;4242;22797;2533;9051;7305;9595;4068;11025;8676;54440;10261;3458;3559;713;3627;1536;917;2209;3001;6351;5551;3560;1378;919;313;11151;1439;941;2124;4332;1234;3101;3394;695;4283;3702;3937;8514;3662;399;50852;8477;11006;114548;4064;29851;2219;6373;27299;8564;11024;4049;921;3111;3002;3684;3902;241;10578;5724;943;1043;2213;729230;6507;356;3003;3004;1235;1237;4033;11009;7941;8809;9815;27314;597;25780;3805;6363;54504;1522</t>
  </si>
  <si>
    <t>LST1;CXCR6;MFNG;TFEC;FYB1;PSTPIP1;TYROBP;CYTIP;SH2D1A;LILRB3;STX11;SASH3;IGSF6;IFNG;IL2RA;C1QB;CXCL10;CYBB;CD3G;FCGR1A;GZMA;CCL4;PRF1;IL2RB;CR1;CD247;AOAH;CORO1A;CSF2RB;CD80;EVI2B;MNDA;CCR5;HK3;IRF8;BTK;CXCL9;ITK;LCP2;KCNAB2;IRF4;RHOH;TRAT1;GPR65;LILRB4;NLRP3;CD180;ICOS;FCN1;CXCL11;ADAMDEC1;KMO;LILRA1;LTA;CD5;HLA-DOA;GZMB;ITGAM;LAG3;ALOX5AP;GNLY;PTAFR;TNFRSF8;CD52;FCGR2B;CCR2;SLC1A3;FASLG;GZMK;GZMM;CCR6;CCR8;LRMP;IL24;PLA2G7;IL18R1;GIT2;RAB30;BCL2A1;RASGRP3;KIR2DL4;CCL19;CPVL;CTSZ</t>
  </si>
  <si>
    <t>http://www.broadinstitute.org/gsea/msigdb/cards/MODULE_117.html</t>
  </si>
  <si>
    <t>MODULE_5</t>
  </si>
  <si>
    <t>7940;9535;9404;11025;11309;713;1536;3689;929;5788;3055;2214;2268;3659;951;6352;3575;963;7133;2207;11151;3561;2633;1439;4332;6772;2014;199;391;6890;3937;7805;4689;3903;9332;9056;11326;2219;8530;2162;3553;3117;348;341;3162;240;5552;3684;2212;54;3936;6402;3059;241;4360;3108;1043;1230;3988;7454;1601;6503;10457;4818;54861;23166;11217</t>
  </si>
  <si>
    <t>LST1;GMFG;LPXN;LILRB3;SLCO2B1;C1QB;CYBB;ITGB2;CD14;PTPRC;HCK;FCGR3A;FGR;IRF1;CD37;CCL5;IL7R;CD53;TNFRSF1B;FCER1G;CORO1A;IL2RG;GBP1;CSF2RB;MNDA;STAT1;EMP3;AIF1;RHOG;TAP1;LCP2;LAPTM5;NCF4;LAIR1;CD163;SLC7A7;VSIG4;FCN1;CST7;F13A1;IL1B;HLA-DQA1;APOE;APOC1;HMOX1;ALOX5;SRGN;ITGAM;FCGR2A;ACP5;LCP1;SELL;HCLS1;ALOX5AP;MRC1;HLA-DMA;CD52;CCR1;LIPA;WAS;DAB2;SLA;GPNMB;NKG7;SNRK;STAB1;AKAP2</t>
  </si>
  <si>
    <t>http://www.broadinstitute.org/gsea/msigdb/cards/MODULE_5.html</t>
  </si>
  <si>
    <t>GNF2_CARD15</t>
  </si>
  <si>
    <t>7940;7305;11025;8676;10261;1536;929;3055;2209;945;7133;4332;942;3101;199;4671;10875;10288;64231;51311;29992;9056;50856;2219;11024;4688;2357;1230;8905;79168;11027;54504;64747;9935</t>
  </si>
  <si>
    <t>LST1;TYROBP;LILRB3;STX11;IGSF6;CYBB;CD14;HCK;FCGR1A;CD33;TNFRSF1B;MNDA;CD86;HK3;AIF1;NAIP;FGL2;LILRB2;MS4A6A;TLR8;PILRA;SLC7A7;CLEC4A;FCN1;LILRA1;NCF2;FPR1;CCR1;AP1S2;LILRA6;LILRA2;CPVL;MFSD1;MAFB</t>
  </si>
  <si>
    <t>http://www.broadinstitute.org/gsea/msigdb/cards/GNF2_CARD15.html</t>
  </si>
  <si>
    <t>GNF2_TNFRSF1B</t>
  </si>
  <si>
    <t>7940;9051;7305;9046;11025;10261;1536;3689;3055;2268;7133;313;2207;199;391;10875;10288;64231;29992;9056;50856;2219;11024;4688;1230;8905;79168;11027;54504;64174</t>
  </si>
  <si>
    <t>LST1;PSTPIP1;TYROBP;DOK2;LILRB3;IGSF6;CYBB;ITGB2;HCK;FGR;TNFRSF1B;AOAH;FCER1G;AIF1;RHOG;FGL2;LILRB2;MS4A6A;PILRA;SLC7A7;CLEC4A;FCN1;LILRA1;NCF2;CCR1;AP1S2;LILRA6;LILRA2;CPVL;DPEP2</t>
  </si>
  <si>
    <t>http://www.broadinstitute.org/gsea/msigdb/cards/GNF2_TNFRSF1B.html</t>
  </si>
  <si>
    <t>MODULE_436</t>
  </si>
  <si>
    <t>27334;80833;972;915;914;929;951;3560;1493;3575;2633;942;6772;6890;4283;92241;84166;55016;26051;64092;23228;366;3122;3117;3115;921;5452;3113;2357;10578;3108;3109;814;84329;64174;80183;30817</t>
  </si>
  <si>
    <t>P2RY10;APOL3;CD74;CD3D;CD2;CD14;CD37;IL2RB;CTLA4;IL7R;GBP1;CD86;STAT1;TAP1;CXCL9;RCSD1;NLRC5;MARCH1;PPP1R16B;SAMSN1;PLCL2;AQP9;HLA-DRA;HLA-DQA1;HLA-DPB1;CD5;POU2F2;HLA-DPA1;FPR1;GNLY;HLA-DMA;HLA-DMB;CAMK4;HVCN1;DPEP2;RUBCNL;ADGRE2</t>
  </si>
  <si>
    <t>http://www.broadinstitute.org/gsea/msigdb/cards/MODULE_436.html</t>
  </si>
  <si>
    <t>MODULE_292</t>
  </si>
  <si>
    <t>27334;80833;972;915;3932;914;929;962;951;3560;3575;971;2633;942;4283;11262;3603;84166;26051;64092;366;3122;3117;3115;921;5452;6402;3113;2357;10578;3108;3109;814;84329;80183;30817</t>
  </si>
  <si>
    <t>P2RY10;APOL3;CD74;CD3D;LCK;CD2;CD14;CD48;CD37;IL2RB;IL7R;CD72;GBP1;CD86;CXCL9;SP140;IL16;NLRC5;PPP1R16B;SAMSN1;AQP9;HLA-DRA;HLA-DQA1;HLA-DPB1;CD5;POU2F2;SELL;HLA-DPA1;FPR1;GNLY;HLA-DMA;HLA-DMB;CAMK4;HVCN1;RUBCNL;ADGRE2</t>
  </si>
  <si>
    <t>http://www.broadinstitute.org/gsea/msigdb/cards/MODULE_292.html</t>
  </si>
  <si>
    <t>GNF2_CD33</t>
  </si>
  <si>
    <t>7305;11025;8676;1536;929;2209;945;3101;4671;10875;9332;10288;114548;64231;51311;9056;50856;2219;11024;10437;8905;79168;54504;64747;9935</t>
  </si>
  <si>
    <t>TYROBP;LILRB3;STX11;CYBB;CD14;FCGR1A;CD33;HK3;NAIP;FGL2;CD163;LILRB2;NLRP3;MS4A6A;TLR8;SLC7A7;CLEC4A;FCN1;LILRA1;IFI30;AP1S2;LILRA6;CPVL;MFSD1;MAFB</t>
  </si>
  <si>
    <t>http://www.broadinstitute.org/gsea/msigdb/cards/GNF2_CD33.html</t>
  </si>
  <si>
    <t>MODULE_165</t>
  </si>
  <si>
    <t>2533;3627;5341;3055;6688;919;3695;2322;4332;3101;3394;4283;3937;4689;399;2219;3684;4688;728;3988;3003;4033;7941;597;4818;11027;10507;6363</t>
  </si>
  <si>
    <t>FYB1;CXCL10;PLEK;HCK;SPI1;CD247;ITGB7;FLT3;MNDA;HK3;IRF8;CXCL9;LCP2;NCF4;RHOH;FCN1;ITGAM;NCF2;C5AR1;LIPA;GZMK;LRMP;PLA2G7;BCL2A1;NKG7;LILRA2;SEMA4D;CCL19</t>
  </si>
  <si>
    <t>http://www.broadinstitute.org/gsea/msigdb/cards/MODULE_165.html</t>
  </si>
  <si>
    <t>GNF2_S100A4</t>
  </si>
  <si>
    <t>4542;7940;9051;7305;9046;11025;10261;3689;3055;2268;7133;2207;199;10875;10288;29992;50856;2219;11024;4688;1230;11027;54504;64174</t>
  </si>
  <si>
    <t>MYO1F;LST1;PSTPIP1;TYROBP;DOK2;LILRB3;IGSF6;ITGB2;HCK;FGR;TNFRSF1B;FCER1G;AIF1;FGL2;LILRB2;PILRA;CLEC4A;FCN1;LILRA1;NCF2;CCR1;LILRA2;CPVL;DPEP2</t>
  </si>
  <si>
    <t>http://www.broadinstitute.org/gsea/msigdb/cards/GNF2_S100A4.html</t>
  </si>
  <si>
    <t>MODULE_171</t>
  </si>
  <si>
    <t>27334;10663;80833;915;914;929;962;3001;3560;3575;2633;942;4283;3587;84166;26051;1240;64092;9056;366;3122;3117;3115;921;926;6402;3113;2357;10578;814;84329;54504;25939</t>
  </si>
  <si>
    <t>P2RY10;CXCR6;APOL3;CD3D;CD2;CD14;CD48;GZMA;IL2RB;IL7R;GBP1;CD86;CXCL9;IL10RA;NLRC5;PPP1R16B;CMKLR1;SAMSN1;SLC7A7;AQP9;HLA-DRA;HLA-DQA1;HLA-DPB1;CD5;CD8B;SELL;HLA-DPA1;FPR1;GNLY;CAMK4;HVCN1;CPVL;SAMHD1</t>
  </si>
  <si>
    <t>http://www.broadinstitute.org/gsea/msigdb/cards/MODULE_171.html</t>
  </si>
  <si>
    <t>MODULE_345</t>
  </si>
  <si>
    <t>27334;80833;972;915;914;929;951;3560;3575;2633;942;6772;6890;4283;26051;64092;366;3122;3117;3115;921;5452;6402;3113;2357;10578;3108;3109;814;84329;80183;30817</t>
  </si>
  <si>
    <t>P2RY10;APOL3;CD74;CD3D;CD2;CD14;CD37;IL2RB;IL7R;GBP1;CD86;STAT1;TAP1;CXCL9;PPP1R16B;SAMSN1;AQP9;HLA-DRA;HLA-DQA1;HLA-DPB1;CD5;POU2F2;SELL;HLA-DPA1;FPR1;GNLY;HLA-DMA;HLA-DMB;CAMK4;HVCN1;RUBCNL;ADGRE2</t>
  </si>
  <si>
    <t>http://www.broadinstitute.org/gsea/msigdb/cards/MODULE_345.html</t>
  </si>
  <si>
    <t>GNF2_ITGB2</t>
  </si>
  <si>
    <t>4542;7940;9051;7305;9535;9046;3689;3055;2268;3659;7133;3687;313;2207;5734;199;391;3587;6404;11024;3684;3059;7454;55911;64174</t>
  </si>
  <si>
    <t>MYO1F;LST1;PSTPIP1;TYROBP;GMFG;DOK2;ITGB2;HCK;FGR;IRF1;TNFRSF1B;ITGAX;AOAH;FCER1G;PTGER4;AIF1;RHOG;IL10RA;SELPLG;LILRA1;ITGAM;HCLS1;WAS;APOBR;DPEP2</t>
  </si>
  <si>
    <t>http://www.broadinstitute.org/gsea/msigdb/cards/GNF2_ITGB2.html</t>
  </si>
  <si>
    <t>MODULE_208</t>
  </si>
  <si>
    <t>27334;80833;972;915;914;929;962;3001;3560;3575;2633;942;4283;84166;26051;1240;64092;366;3122;3117;3115;921;926;3113;2357;10578;3108;3109;814;84329;54504</t>
  </si>
  <si>
    <t>P2RY10;APOL3;CD74;CD3D;CD2;CD14;CD48;GZMA;IL2RB;IL7R;GBP1;CD86;CXCL9;NLRC5;PPP1R16B;CMKLR1;SAMSN1;AQP9;HLA-DRA;HLA-DQA1;HLA-DPB1;CD5;CD8B;HLA-DPA1;FPR1;GNLY;HLA-DMA;HLA-DMB;CAMK4;HVCN1;CPVL</t>
  </si>
  <si>
    <t>http://www.broadinstitute.org/gsea/msigdb/cards/MODULE_208.html</t>
  </si>
  <si>
    <t>GNF2_CD1D</t>
  </si>
  <si>
    <t>7305;11025;8676;10261;1536;929;3055;945;7133;942;3101;199;10875;10288;64231;9056;50856;2219;11024;8905;79168;54504;9935</t>
  </si>
  <si>
    <t>TYROBP;LILRB3;STX11;IGSF6;CYBB;CD14;HCK;CD33;TNFRSF1B;CD86;HK3;AIF1;FGL2;LILRB2;MS4A6A;SLC7A7;CLEC4A;FCN1;LILRA1;AP1S2;LILRA6;CPVL;MAFB</t>
  </si>
  <si>
    <t>http://www.broadinstitute.org/gsea/msigdb/cards/GNF2_CD1D.html</t>
  </si>
  <si>
    <t>GNF2_PECAM1</t>
  </si>
  <si>
    <t>7940;7305;11025;10261;1536;3689;3055;7133;2207;199;10875;10288;64231;51311;50856;2219;11024;4688;1230;8905;79168;11027;64747;9935</t>
  </si>
  <si>
    <t>LST1;TYROBP;LILRB3;IGSF6;CYBB;ITGB2;HCK;TNFRSF1B;FCER1G;AIF1;FGL2;LILRB2;MS4A6A;TLR8;CLEC4A;FCN1;LILRA1;NCF2;CCR1;AP1S2;LILRA6;LILRA2;MFSD1;MAFB</t>
  </si>
  <si>
    <t>http://www.broadinstitute.org/gsea/msigdb/cards/GNF2_PECAM1.html</t>
  </si>
  <si>
    <t>MODULE_128</t>
  </si>
  <si>
    <t>10663;7305;80833;1536;3689;1436;929;2209;6352;3560;2207;2633;1234;199;4283;719;3111;1508;2212;10437;3902;2357;10578;1230;729230;3003;1601</t>
  </si>
  <si>
    <t>CXCR6;TYROBP;APOL3;CYBB;ITGB2;CSF1R;CD14;FCGR1A;CCL5;IL2RB;FCER1G;GBP1;CCR5;AIF1;CXCL9;C3AR1;HLA-DOA;CTSB;FCGR2A;IFI30;LAG3;FPR1;GNLY;CCR1;CCR2;GZMK;DAB2</t>
  </si>
  <si>
    <t>http://www.broadinstitute.org/gsea/msigdb/cards/MODULE_128.html</t>
  </si>
  <si>
    <t>MODULE_79</t>
  </si>
  <si>
    <t>http://www.broadinstitute.org/gsea/msigdb/cards/MODULE_79.html</t>
  </si>
  <si>
    <t>MODULE_170</t>
  </si>
  <si>
    <t>http://www.broadinstitute.org/gsea/msigdb/cards/MODULE_170.html</t>
  </si>
  <si>
    <t>GNF2_TNFSF10</t>
  </si>
  <si>
    <t>4542;7940;10261;3055;6688;2124;4332;199;53829;29992;10154;2212;4688;2357;728;1230;11027;64581;64174</t>
  </si>
  <si>
    <t>MYO1F;LST1;IGSF6;HCK;SPI1;EVI2B;MNDA;AIF1;P2RY13;PILRA;PLXNC1;FCGR2A;NCF2;FPR1;C5AR1;CCR1;LILRA2;CLEC7A;DPEP2</t>
  </si>
  <si>
    <t>http://www.broadinstitute.org/gsea/msigdb/cards/GNF2_TNFSF10.html</t>
  </si>
  <si>
    <t>MODULE_223</t>
  </si>
  <si>
    <t>11025;9450;920;925;3627;914;962;2123;3561;942;2014;6504;4689;11006;6039;11024;10990;3553;3122;921;3111;1435;926;6402;3109;1601;969;3127;11027</t>
  </si>
  <si>
    <t>LILRB3;LY86;CD4;CD8A;CXCL10;CD2;CD48;EVI2A;IL2RG;CD86;EMP3;SLAMF1;NCF4;LILRB4;RNASE6;LILRA1;LILRB5;IL1B;HLA-DRA;CD5;HLA-DOA;CSF1;CD8B;SELL;HLA-DMB;DAB2;CD69;HLA-DRB5;LILRA2</t>
  </si>
  <si>
    <t>http://www.broadinstitute.org/gsea/msigdb/cards/MODULE_223.html</t>
  </si>
  <si>
    <t>MODULE_15</t>
  </si>
  <si>
    <t>7940;9535;5341;5788;6036;951;3676;963;3695;11151;3561;2124;5778;2322;2014;199;391;4354;3937;7805;9459;4689;3903;1794;3635;11184;9881;8530;3553;3117;341;5552;3936;6402;3059;3108;1043;3363;3988;7454;969</t>
  </si>
  <si>
    <t>LST1;GMFG;PLEK;PTPRC;RNASE2;CD37;ITGA4;CD53;ITGB7;CORO1A;IL2RG;EVI2B;PTPN7;FLT3;EMP3;AIF1;RHOG;MPP1;LCP2;LAPTM5;ARHGEF6;NCF4;LAIR1;DOCK2;INPP5D;MAP4K1;TRANK1;CST7;IL1B;HLA-DQA1;APOC1;SRGN;LCP1;SELL;HCLS1;HLA-DMA;CD52;HTR7;LIPA;WAS;CD69</t>
  </si>
  <si>
    <t>http://www.broadinstitute.org/gsea/msigdb/cards/MODULE_15.html</t>
  </si>
  <si>
    <t>MODULE_188</t>
  </si>
  <si>
    <t>27334;9214;5579;2268;1493;3695;3394;6890;3587;5800;92241;55016;1240;80231;80342;921;240;596;2213;9938;11009;84329;10077;64174;80183;30817;10004;11217</t>
  </si>
  <si>
    <t>P2RY10;FCMR;PRKCB;FGR;CTLA4;ITGB7;IRF8;TAP1;IL10RA;PTPRO;RCSD1;MARCH1;CMKLR1;CXorf21;TRAF3IP3;CD5;ALOX5;BCL2;FCGR2B;ARHGAP25;IL24;HVCN1;TSPAN32;DPEP2;RUBCNL;ADGRE2;NAALADL1;AKAP2</t>
  </si>
  <si>
    <t>http://www.broadinstitute.org/gsea/msigdb/cards/MODULE_188.html</t>
  </si>
  <si>
    <t>MODULE_63</t>
  </si>
  <si>
    <t>3559;1536;3689;914;2214;2209;2350;3560;3575;7133;3683;3687;3695;3561;1439;941;942;3587;5800;8477;10288;11006;4064;366;3684;2212;2357;4360;4973;11027;10507;5027</t>
  </si>
  <si>
    <t>IL2RA;CYBB;ITGB2;CD2;FCGR3A;FCGR1A;FOLR2;IL2RB;IL7R;TNFRSF1B;ITGAL;ITGAX;ITGB7;IL2RG;CSF2RB;CD80;CD86;IL10RA;PTPRO;GPR65;LILRB2;LILRB4;CD180;AQP9;ITGAM;FCGR2A;FPR1;MRC1;OLR1;LILRA2;SEMA4D;P2RX7</t>
  </si>
  <si>
    <t>http://www.broadinstitute.org/gsea/msigdb/cards/MODULE_63.html</t>
  </si>
  <si>
    <t>MODULE_361</t>
  </si>
  <si>
    <t>27334;9214;5579;962;2268;951;1493;963;3695;3394;11262;3587;92241;55016;1240;80231;23228;921;240;596;11009;84329;10077;64174;80183;1522;30817;10004</t>
  </si>
  <si>
    <t>P2RY10;FCMR;PRKCB;CD48;FGR;CD37;CTLA4;CD53;ITGB7;IRF8;SP140;IL10RA;RCSD1;MARCH1;CMKLR1;CXorf21;PLCL2;CD5;ALOX5;BCL2;IL24;HVCN1;TSPAN32;DPEP2;RUBCNL;CTSZ;ADGRE2;NAALADL1</t>
  </si>
  <si>
    <t>http://www.broadinstitute.org/gsea/msigdb/cards/MODULE_361.html</t>
  </si>
  <si>
    <t>GNF2_MCL1</t>
  </si>
  <si>
    <t>8676;10261;1536;3689;3055;2124;4332;199;4671;51311;50856;11024;6402;4688;1230;8905;79168;64747;64174;25939</t>
  </si>
  <si>
    <t>STX11;IGSF6;CYBB;ITGB2;HCK;EVI2B;MNDA;AIF1;NAIP;TLR8;CLEC4A;LILRA1;SELL;NCF2;CCR1;AP1S2;LILRA6;MFSD1;DPEP2;SAMHD1</t>
  </si>
  <si>
    <t>http://www.broadinstitute.org/gsea/msigdb/cards/GNF2_MCL1.html</t>
  </si>
  <si>
    <t>GNF2_PTPRC</t>
  </si>
  <si>
    <t>2533;7456;9051;9595;5788;962;963;3683;11151;2313;3937;3587;474344;8477;80342;6793;3059;7454;10507;54861;29125</t>
  </si>
  <si>
    <t>FYB1;WIPF1;PSTPIP1;CYTIP;PTPRC;CD48;CD53;ITGAL;CORO1A;FLI1;LCP2;IL10RA;GIMAP6;GPR65;TRAF3IP3;STK10;HCLS1;WAS;SEMA4D;SNRK;C11orf21</t>
  </si>
  <si>
    <t>http://www.broadinstitute.org/gsea/msigdb/cards/GNF2_PTPRC.html</t>
  </si>
  <si>
    <t>GNF2_CD7</t>
  </si>
  <si>
    <t>3001;6351;5551;3560;3683;919;10225;7535;3820;474344;30009;8530;924;2999;10578;3004;3824;4818</t>
  </si>
  <si>
    <t>GZMA;CCL4;PRF1;IL2RB;ITGAL;CD247;CD96;ZAP70;KLRB1;GIMAP6;TBX21;CST7;CD7;GZMH;GNLY;GZMM;KLRD1;NKG7</t>
  </si>
  <si>
    <t>http://www.broadinstitute.org/gsea/msigdb/cards/GNF2_CD7.html</t>
  </si>
  <si>
    <t>MODULE_53</t>
  </si>
  <si>
    <t>7940;915;3689;916;5788;3055;2268;951;6351;6352;3575;963;945;2207;11151;3561;5778;4332;2014;199;6890;7805;9459;3903;1794;11326;8530;19;3117;5552;3936;3059;241;3108;3988;969;4033;6503;597;27240</t>
  </si>
  <si>
    <t>LST1;CD3D;ITGB2;CD3E;PTPRC;HCK;FGR;CD37;CCL4;CCL5;IL7R;CD53;CD33;FCER1G;CORO1A;IL2RG;PTPN7;MNDA;EMP3;AIF1;TAP1;LAPTM5;ARHGEF6;LAIR1;DOCK2;VSIG4;CST7;ABCA1;HLA-DQA1;SRGN;LCP1;HCLS1;ALOX5AP;HLA-DMA;LIPA;CD69;LRMP;SLA;BCL2A1;SIT1</t>
  </si>
  <si>
    <t>http://www.broadinstitute.org/gsea/msigdb/cards/MODULE_53.html</t>
  </si>
  <si>
    <t>MODULE_301</t>
  </si>
  <si>
    <t>27334;9214;5579;2268;1493;3695;3394;6890;3587;5800;92241;55016;1240;80231;80342;921;240;596;9938;11009;84329;10077;64174;80183;1522;30817;10004</t>
  </si>
  <si>
    <t>P2RY10;FCMR;PRKCB;FGR;CTLA4;ITGB7;IRF8;TAP1;IL10RA;PTPRO;RCSD1;MARCH1;CMKLR1;CXorf21;TRAF3IP3;CD5;ALOX5;BCL2;ARHGAP25;IL24;HVCN1;TSPAN32;DPEP2;RUBCNL;CTSZ;ADGRE2;NAALADL1</t>
  </si>
  <si>
    <t>http://www.broadinstitute.org/gsea/msigdb/cards/MODULE_301.html</t>
  </si>
  <si>
    <t>MODULE_119</t>
  </si>
  <si>
    <t>27334;10663;80833;972;3932;5788;962;3659;3001;3695;3587;3603;3662;84166;64092;9056;23228;5452;240;6402;3108;3109;4033;84329;54504;25939</t>
  </si>
  <si>
    <t>P2RY10;CXCR6;APOL3;CD74;LCK;PTPRC;CD48;IRF1;GZMA;ITGB7;IL10RA;IL16;IRF4;NLRC5;SAMSN1;SLC7A7;PLCL2;POU2F2;ALOX5;SELL;HLA-DMA;HLA-DMB;LRMP;HVCN1;CPVL;SAMHD1</t>
  </si>
  <si>
    <t>http://www.broadinstitute.org/gsea/msigdb/cards/MODULE_119.html</t>
  </si>
  <si>
    <t>GNF2_CD97</t>
  </si>
  <si>
    <t>4542;9051;9046;9595;3689;5788;3683;313;5734;3587;6404;474344;8477;51744;11314;6793;55911</t>
  </si>
  <si>
    <t>MYO1F;PSTPIP1;DOK2;CYTIP;ITGB2;PTPRC;ITGAL;AOAH;PTGER4;IL10RA;SELPLG;GIMAP6;GPR65;CD244;CD300A;STK10;APOBR</t>
  </si>
  <si>
    <t>http://www.broadinstitute.org/gsea/msigdb/cards/GNF2_CD97.html</t>
  </si>
  <si>
    <t>MODULE_16</t>
  </si>
  <si>
    <t>7940;9404;1536;3689;5341;5788;3055;2268;6036;6351;6352;963;945;7133;2207;11151;3561;5778;2322;4332;3101;2014;199;391;3937;7805;9459;4689;3903;1794;3635;11326;8530;5552;926;3936;3059;6693;241;3363;7454;2529;6503;11027</t>
  </si>
  <si>
    <t>LST1;LPXN;CYBB;ITGB2;PLEK;PTPRC;HCK;FGR;RNASE2;CCL4;CCL5;CD53;CD33;TNFRSF1B;FCER1G;CORO1A;IL2RG;PTPN7;FLT3;MNDA;HK3;EMP3;AIF1;RHOG;LCP2;LAPTM5;ARHGEF6;NCF4;LAIR1;DOCK2;INPP5D;VSIG4;CST7;SRGN;CD8B;LCP1;HCLS1;SPN;ALOX5AP;HTR7;WAS;FUT7;SLA;LILRA2</t>
  </si>
  <si>
    <t>http://www.broadinstitute.org/gsea/msigdb/cards/MODULE_16.html</t>
  </si>
  <si>
    <t>GNF2_ICAM3</t>
  </si>
  <si>
    <t>4542;7940;9051;9535;3689;5788;3659;2124;2014;6402;3059;9938;7454;55911;6503;9815;64174</t>
  </si>
  <si>
    <t>MYO1F;LST1;PSTPIP1;GMFG;ITGB2;PTPRC;IRF1;EVI2B;EMP3;SELL;HCLS1;ARHGAP25;WAS;APOBR;SLA;GIT2;DPEP2</t>
  </si>
  <si>
    <t>http://www.broadinstitute.org/gsea/msigdb/cards/GNF2_ICAM3.html</t>
  </si>
  <si>
    <t>MODULE_76</t>
  </si>
  <si>
    <t>9450;3627;1536;929;6351;313;1234;199;4283;719;6373;3553;240;241;2357;2358;5724;1230;729230;7941;6363</t>
  </si>
  <si>
    <t>LY86;CXCL10;CYBB;CD14;CCL4;AOAH;CCR5;AIF1;CXCL9;C3AR1;CXCL11;IL1B;ALOX5;ALOX5AP;FPR1;FPR2;PTAFR;CCR1;CCR2;PLA2G7;CCL19</t>
  </si>
  <si>
    <t>http://www.broadinstitute.org/gsea/msigdb/cards/MODULE_76.html</t>
  </si>
  <si>
    <t>MODULE_238</t>
  </si>
  <si>
    <t>http://www.broadinstitute.org/gsea/msigdb/cards/MODULE_238.html</t>
  </si>
  <si>
    <t>GNF2_FOS</t>
  </si>
  <si>
    <t>8676;1536;945;3101;4671;10875;9332;10288;114548;64231;2219;11024;8905;79168;54504;64747;9935</t>
  </si>
  <si>
    <t>STX11;CYBB;CD33;HK3;NAIP;FGL2;CD163;LILRB2;NLRP3;MS4A6A;FCN1;LILRA1;AP1S2;LILRA6;CPVL;MFSD1;MAFB</t>
  </si>
  <si>
    <t>http://www.broadinstitute.org/gsea/msigdb/cards/GNF2_FOS.html</t>
  </si>
  <si>
    <t>GNF2_PTPN4</t>
  </si>
  <si>
    <t>259197;3001;6351;5551;3560;3683;919;7535;3820;8477;30009;8530;924;2999;10578;3004;3824;4818</t>
  </si>
  <si>
    <t>NCR3;GZMA;CCL4;PRF1;IL2RB;ITGAL;CD247;ZAP70;KLRB1;GPR65;TBX21;CST7;CD7;GZMH;GNLY;GZMM;KLRD1;NKG7</t>
  </si>
  <si>
    <t>http://www.broadinstitute.org/gsea/msigdb/cards/GNF2_PTPN4.html</t>
  </si>
  <si>
    <t>GNF2_CD14</t>
  </si>
  <si>
    <t>7305;11025;8676;929;3055;945;3101;10875;10288;64231;9056;2219;11024;10437;8905;9935</t>
  </si>
  <si>
    <t>TYROBP;LILRB3;STX11;CD14;HCK;CD33;HK3;FGL2;LILRB2;MS4A6A;SLC7A7;FCN1;LILRA1;IFI30;AP1S2;MAFB</t>
  </si>
  <si>
    <t>http://www.broadinstitute.org/gsea/msigdb/cards/GNF2_CD14.html</t>
  </si>
  <si>
    <t>GNF2_FGR</t>
  </si>
  <si>
    <t>7305;11025;3689;3055;2268;7133;313;2207;199;391;10875;10288;11024;3684;10437</t>
  </si>
  <si>
    <t>TYROBP;LILRB3;ITGB2;HCK;FGR;TNFRSF1B;AOAH;FCER1G;AIF1;RHOG;FGL2;LILRB2;LILRA1;ITGAM;IFI30</t>
  </si>
  <si>
    <t>http://www.broadinstitute.org/gsea/msigdb/cards/GNF2_FGR.html</t>
  </si>
  <si>
    <t>MODULE_60</t>
  </si>
  <si>
    <t>7940;925;713;3932;916;929;2268;951;6352;5551;7133;3695;2207;11151;2014;6890;3903;80301;11326;9881;8530;19;348;341;3162;926;3059;2358;3108;1043;1230;7454;3718;4050;25900;10457;4818;23166</t>
  </si>
  <si>
    <t>LST1;CD8A;C1QB;LCK;CD3E;CD14;FGR;CD37;CCL5;PRF1;TNFRSF1B;ITGB7;FCER1G;CORO1A;EMP3;TAP1;LAIR1;PLEKHO2;VSIG4;TRANK1;CST7;ABCA1;APOE;APOC1;HMOX1;CD8B;HCLS1;FPR2;HLA-DMA;CD52;CCR1;WAS;JAK3;LTB;IFFO1;GPNMB;NKG7;STAB1</t>
  </si>
  <si>
    <t>http://www.broadinstitute.org/gsea/msigdb/cards/MODULE_60.html</t>
  </si>
  <si>
    <t>GNF2_SPI1</t>
  </si>
  <si>
    <t>4542;7940;10261;3055;6688;4332;53829;29992;366;10154;2212;4688;2357;728;64581</t>
  </si>
  <si>
    <t>MYO1F;LST1;IGSF6;HCK;SPI1;MNDA;P2RY13;PILRA;AQP9;PLXNC1;FCGR2A;NCF2;FPR1;C5AR1;CLEC7A</t>
  </si>
  <si>
    <t>http://www.broadinstitute.org/gsea/msigdb/cards/GNF2_SPI1.html</t>
  </si>
  <si>
    <t>GNF2_ITGAL</t>
  </si>
  <si>
    <t>9595;5788;3683;919;10225;7535;3820;3937;474344;8477;80342;6793;924;3004;10507;54861;29125</t>
  </si>
  <si>
    <t>CYTIP;PTPRC;ITGAL;CD247;CD96;ZAP70;KLRB1;LCP2;GIMAP6;GPR65;TRAF3IP3;STK10;CD7;GZMM;SEMA4D;SNRK;C11orf21</t>
  </si>
  <si>
    <t>http://www.broadinstitute.org/gsea/msigdb/cards/GNF2_ITGAL.html</t>
  </si>
  <si>
    <t>GNF2_IL2RB</t>
  </si>
  <si>
    <t>259197;3001;6351;5551;3560;919;51744;30009;8530;924;2999;10578;3812;3004;3824;4818</t>
  </si>
  <si>
    <t>NCR3;GZMA;CCL4;PRF1;IL2RB;CD247;CD244;TBX21;CST7;CD7;GZMH;GNLY;KIR3DL2;GZMM;KLRD1;NKG7</t>
  </si>
  <si>
    <t>http://www.broadinstitute.org/gsea/msigdb/cards/GNF2_IL2RB.html</t>
  </si>
  <si>
    <t>GNF2_CD53</t>
  </si>
  <si>
    <t>4242;7456;9595;54440;5788;962;963;11151;6890;7805;1794;3635;3936;6402;3059;7454;9815</t>
  </si>
  <si>
    <t>MFNG;WIPF1;CYTIP;SASH3;PTPRC;CD48;CD53;CORO1A;TAP1;LAPTM5;DOCK2;INPP5D;LCP1;SELL;HCLS1;WAS;GIT2</t>
  </si>
  <si>
    <t>http://www.broadinstitute.org/gsea/msigdb/cards/GNF2_CD53.html</t>
  </si>
  <si>
    <t>GNF2_MYD88</t>
  </si>
  <si>
    <t>7940;7305;1536;3689;963;7133;2207;11151;6404;1794;27128;10019;6402;3059;7454;79168</t>
  </si>
  <si>
    <t>LST1;TYROBP;CYBB;ITGB2;CD53;TNFRSF1B;FCER1G;CORO1A;SELPLG;DOCK2;CYTH4;SH2B3;SELL;HCLS1;WAS;LILRA6</t>
  </si>
  <si>
    <t>http://www.broadinstitute.org/gsea/msigdb/cards/GNF2_MYD88.html</t>
  </si>
  <si>
    <t>MODULE_108</t>
  </si>
  <si>
    <t>3627;6351;1234;4283;3603;719;6373;2357;728;2359;2358;1230;729230;2833;6363</t>
  </si>
  <si>
    <t>CXCL10;CCL4;CCR5;CXCL9;IL16;C3AR1;CXCL11;FPR1;C5AR1;FPR3;FPR2;CCR1;CCR2;CXCR3;CCL19</t>
  </si>
  <si>
    <t>http://www.broadinstitute.org/gsea/msigdb/cards/MODULE_108.html</t>
  </si>
  <si>
    <t>GNF2_CASP8</t>
  </si>
  <si>
    <t>2533;9595;5788;3683;3937;474344;55303;80342;6793;10507;54861;29125</t>
  </si>
  <si>
    <t>FYB1;CYTIP;PTPRC;ITGAL;LCP2;GIMAP6;GIMAP4;TRAF3IP3;STK10;SEMA4D;SNRK;C11orf21</t>
  </si>
  <si>
    <t>http://www.broadinstitute.org/gsea/msigdb/cards/GNF2_CASP8.html</t>
  </si>
  <si>
    <t>MODULE_118</t>
  </si>
  <si>
    <t>915;3689;5788;3055;951;6351;6352;3575;963;945;2207;11151;3561;5778;4332;2014;199;7805;9459;3903;1794;11326;8530;19;3117;341;5552;3936;241;4033;6503;597;27240</t>
  </si>
  <si>
    <t>CD3D;ITGB2;PTPRC;HCK;CD37;CCL4;CCL5;IL7R;CD53;CD33;FCER1G;CORO1A;IL2RG;PTPN7;MNDA;EMP3;AIF1;LAPTM5;ARHGEF6;LAIR1;DOCK2;VSIG4;CST7;ABCA1;HLA-DQA1;APOC1;SRGN;LCP1;ALOX5AP;LRMP;SLA;BCL2A1;SIT1</t>
  </si>
  <si>
    <t>http://www.broadinstitute.org/gsea/msigdb/cards/MODULE_118.html</t>
  </si>
  <si>
    <t>MODULE_399</t>
  </si>
  <si>
    <t>9450;914;929;5551;7133;6772;2014;8477;3553;3956;3002;2999;11009;7185</t>
  </si>
  <si>
    <t>LY86;CD2;CD14;PRF1;TNFRSF1B;STAT1;EMP3;GPR65;IL1B;LGALS1;GZMB;GZMH;IL24;TRAF1</t>
  </si>
  <si>
    <t>http://www.broadinstitute.org/gsea/msigdb/cards/MODULE_399.html</t>
  </si>
  <si>
    <t>GNF2_INPP5D</t>
  </si>
  <si>
    <t>4242;7456;9595;54440;962;963;11151;6890;7805;3635;6793;3059;7454</t>
  </si>
  <si>
    <t>MFNG;WIPF1;CYTIP;SASH3;CD48;CD53;CORO1A;TAP1;LAPTM5;INPP5D;STK10;HCLS1;WAS</t>
  </si>
  <si>
    <t>http://www.broadinstitute.org/gsea/msigdb/cards/GNF2_INPP5D.html</t>
  </si>
  <si>
    <t>MODULE_145</t>
  </si>
  <si>
    <t>9214;2268;1493;3695;3394;6890;5800;92241;55016;1240;921;240;596;11009;84329;64174;80183;11217</t>
  </si>
  <si>
    <t>FCMR;FGR;CTLA4;ITGB7;IRF8;TAP1;PTPRO;RCSD1;MARCH1;CMKLR1;CD5;ALOX5;BCL2;IL24;HVCN1;DPEP2;RUBCNL;AKAP2</t>
  </si>
  <si>
    <t>http://www.broadinstitute.org/gsea/msigdb/cards/MODULE_145.html</t>
  </si>
  <si>
    <t>MODULE_169</t>
  </si>
  <si>
    <t>915;1536;3689;914;3055;6351;6352;3676;3560;3575;942;79626;89857;3111;6518;597;814</t>
  </si>
  <si>
    <t>CD3D;CYBB;ITGB2;CD2;HCK;CCL4;CCL5;ITGA4;IL2RB;IL7R;CD86;TNFAIP8L2;KLHL6;HLA-DOA;SLC2A5;BCL2A1;CAMK4</t>
  </si>
  <si>
    <t>http://www.broadinstitute.org/gsea/msigdb/cards/MODULE_169.html</t>
  </si>
  <si>
    <t>GNF2_RAB7L1</t>
  </si>
  <si>
    <t>259197;9595;3001;6351;5551;3560;919;8477;6793;2999;3824;4818</t>
  </si>
  <si>
    <t>NCR3;CYTIP;GZMA;CCL4;PRF1;IL2RB;CD247;GPR65;STK10;GZMH;KLRD1;NKG7</t>
  </si>
  <si>
    <t>http://www.broadinstitute.org/gsea/msigdb/cards/GNF2_RAB7L1.html</t>
  </si>
  <si>
    <t>GNF2_VAV1</t>
  </si>
  <si>
    <t>9595;54440;5788;962;963;11151;7805;1794;3635;3059;7454;9815</t>
  </si>
  <si>
    <t>CYTIP;SASH3;PTPRC;CD48;CD53;CORO1A;LAPTM5;DOCK2;INPP5D;HCLS1;WAS;GIT2</t>
  </si>
  <si>
    <t>http://www.broadinstitute.org/gsea/msigdb/cards/GNF2_VAV1.html</t>
  </si>
  <si>
    <t>GNF2_PTPN6</t>
  </si>
  <si>
    <t>5788;962;963;11151;2124;2014;7805;6402;3059;9938;7454;9815;64174</t>
  </si>
  <si>
    <t>PTPRC;CD48;CD53;CORO1A;EVI2B;EMP3;LAPTM5;SELL;HCLS1;ARHGAP25;WAS;GIT2;DPEP2</t>
  </si>
  <si>
    <t>http://www.broadinstitute.org/gsea/msigdb/cards/GNF2_PTPN6.html</t>
  </si>
  <si>
    <t>GNF2_SNRK</t>
  </si>
  <si>
    <t>9595;5788;6352;3683;3820;3937;474344;8477;6793;10507;54861</t>
  </si>
  <si>
    <t>CYTIP;PTPRC;CCL5;ITGAL;KLRB1;LCP2;GIMAP6;GPR65;STK10;SEMA4D;SNRK</t>
  </si>
  <si>
    <t>http://www.broadinstitute.org/gsea/msigdb/cards/GNF2_SNRK.html</t>
  </si>
  <si>
    <t>MODULE_263</t>
  </si>
  <si>
    <t>3627;6351;1234;4283;3603;719;6373;2357;728;2358;1230;6363</t>
  </si>
  <si>
    <t>CXCL10;CCL4;CCR5;CXCL9;IL16;C3AR1;CXCL11;FPR1;C5AR1;FPR2;CCR1;CCL19</t>
  </si>
  <si>
    <t>http://www.broadinstitute.org/gsea/msigdb/cards/MODULE_263.html</t>
  </si>
  <si>
    <t>GNF2_MATK</t>
  </si>
  <si>
    <t>3001;5551;3560;919;7535;3820;2999;3004;3824;4818</t>
  </si>
  <si>
    <t>GZMA;PRF1;IL2RB;CD247;ZAP70;KLRB1;GZMH;GZMM;KLRD1;NKG7</t>
  </si>
  <si>
    <t>http://www.broadinstitute.org/gsea/msigdb/cards/GNF2_MATK.html</t>
  </si>
  <si>
    <t>GNF2_HLA_C</t>
  </si>
  <si>
    <t>9595;54440;5788;962;3659;963;11151;6890;7805;3635;3059;7454</t>
  </si>
  <si>
    <t>CYTIP;SASH3;PTPRC;CD48;IRF1;CD53;CORO1A;TAP1;LAPTM5;INPP5D;HCLS1;WAS</t>
  </si>
  <si>
    <t>http://www.broadinstitute.org/gsea/msigdb/cards/GNF2_HLA_C.html</t>
  </si>
  <si>
    <t>MODULE_375</t>
  </si>
  <si>
    <t>27334;10663;1234;4283;719;8477;2357;728;2358;5724;1230;729230;1237;9815;10672</t>
  </si>
  <si>
    <t>P2RY10;CXCR6;CCR5;CXCL9;C3AR1;GPR65;FPR1;C5AR1;FPR2;PTAFR;CCR1;CCR2;CCR8;GIT2;GNA13</t>
  </si>
  <si>
    <t>http://www.broadinstitute.org/gsea/msigdb/cards/MODULE_375.html</t>
  </si>
  <si>
    <t>GNF2_ZAP70</t>
  </si>
  <si>
    <t>4068;3001;3683;919;10225;7535;3820;924;3004;4818</t>
  </si>
  <si>
    <t>SH2D1A;GZMA;ITGAL;CD247;CD96;ZAP70;KLRB1;CD7;GZMM;NKG7</t>
  </si>
  <si>
    <t>http://www.broadinstitute.org/gsea/msigdb/cards/GNF2_ZAP70.html</t>
  </si>
  <si>
    <t>GNF2_STAT6</t>
  </si>
  <si>
    <t>962;963;11151;2124;2014;7805;1794;3635;3936;6402;3059;7454;9815;7462</t>
  </si>
  <si>
    <t>CD48;CD53;CORO1A;EVI2B;EMP3;LAPTM5;DOCK2;INPP5D;LCP1;SELL;HCLS1;WAS;GIT2;LAT2</t>
  </si>
  <si>
    <t>http://www.broadinstitute.org/gsea/msigdb/cards/GNF2_STAT6.html</t>
  </si>
  <si>
    <t>MODULE_134</t>
  </si>
  <si>
    <t>10663;1233;1234;719;2357;728;2358;1230;3363;729230</t>
  </si>
  <si>
    <t>CXCR6;CCR4;CCR5;C3AR1;FPR1;C5AR1;FPR2;CCR1;HTR7;CCR2</t>
  </si>
  <si>
    <t>http://www.broadinstitute.org/gsea/msigdb/cards/MODULE_134.html</t>
  </si>
  <si>
    <t>MODULE_177</t>
  </si>
  <si>
    <t>5788;962;963;3683;3561;5778;199;4354;3117;240;3936;3059;3109;1043;6503</t>
  </si>
  <si>
    <t>PTPRC;CD48;CD53;ITGAL;IL2RG;PTPN7;AIF1;MPP1;HLA-DQA1;ALOX5;LCP1;HCLS1;HLA-DMB;CD52;SLA</t>
  </si>
  <si>
    <t>http://www.broadinstitute.org/gsea/msigdb/cards/MODULE_177.html</t>
  </si>
  <si>
    <t>MODULE_146</t>
  </si>
  <si>
    <t>27334;10663;1234;719;8477;29909;2811;2357;728;2359;2358;1230;3363;729230;1237</t>
  </si>
  <si>
    <t>P2RY10;CXCR6;CCR5;C3AR1;GPR65;GPR171;GP1BA;FPR1;C5AR1;FPR3;FPR2;CCR1;HTR7;CCR2;CCR8</t>
  </si>
  <si>
    <t>http://www.broadinstitute.org/gsea/msigdb/cards/MODULE_146.html</t>
  </si>
  <si>
    <t>MODULE_300</t>
  </si>
  <si>
    <t>9450;3559;914;929;7133;6772;8477;3553;7185;5133</t>
  </si>
  <si>
    <t>LY86;IL2RA;CD2;CD14;TNFRSF1B;STAT1;GPR65;IL1B;TRAF1;PDCD1</t>
  </si>
  <si>
    <t>http://www.broadinstitute.org/gsea/msigdb/cards/MODULE_300.html</t>
  </si>
  <si>
    <t>MODULE_289</t>
  </si>
  <si>
    <t>27334;10663;1234;4283;719;8477;29909;2357;728;2358;5724;1230;729230;1237;9815;10672</t>
  </si>
  <si>
    <t>P2RY10;CXCR6;CCR5;CXCL9;C3AR1;GPR65;GPR171;FPR1;C5AR1;FPR2;PTAFR;CCR1;CCR2;CCR8;GIT2;GNA13</t>
  </si>
  <si>
    <t>http://www.broadinstitute.org/gsea/msigdb/cards/MODULE_289.html</t>
  </si>
  <si>
    <t>MODULE_33</t>
  </si>
  <si>
    <t>7940;2533;3627;1536;3055;6352;919;3695;923;11151;8514;719;11006;2219;54;6402;2113;728;5724;3988;3718;4050;5133;10462;9806;3805;23166</t>
  </si>
  <si>
    <t>LST1;FYB1;CXCL10;CYBB;HCK;CCL5;CD247;ITGB7;CD6;CORO1A;KCNAB2;C3AR1;LILRB4;FCN1;ACP5;SELL;ETS1;C5AR1;PTAFR;LIPA;JAK3;LTB;PDCD1;CLEC10A;SPOCK2;KIR2DL4;STAB1</t>
  </si>
  <si>
    <t>http://www.broadinstitute.org/gsea/msigdb/cards/MODULE_33.html</t>
  </si>
  <si>
    <t>GNF2_SELL</t>
  </si>
  <si>
    <t>9535;963;11151;2124;7805;27128;6402;3059;7454;9815;64174</t>
  </si>
  <si>
    <t>GMFG;CD53;CORO1A;EVI2B;LAPTM5;CYTH4;SELL;HCLS1;WAS;GIT2;DPEP2</t>
  </si>
  <si>
    <t>http://www.broadinstitute.org/gsea/msigdb/cards/GNF2_SELL.html</t>
  </si>
  <si>
    <t>MODULE_288</t>
  </si>
  <si>
    <t>10663;1234;719;2357;728;2358;1230;729230;1235;1237</t>
  </si>
  <si>
    <t>CXCR6;CCR5;C3AR1;FPR1;C5AR1;FPR2;CCR1;CCR2;CCR6;CCR8</t>
  </si>
  <si>
    <t>http://www.broadinstitute.org/gsea/msigdb/cards/MODULE_288.html</t>
  </si>
  <si>
    <t>MODULE_88</t>
  </si>
  <si>
    <t>7940;11309;713;929;6036;951;5551;3575;945;7133;923;2207;11151;3561;2014;7805;5800;3903;9332;80301;9056;11326;366;8530;19;348;341;3162;5552;6037;54;2358;3108;3290;1230;3718;27163;4208;10457;90634;23166</t>
  </si>
  <si>
    <t>LST1;SLCO2B1;C1QB;CD14;RNASE2;CD37;PRF1;IL7R;CD33;TNFRSF1B;CD6;FCER1G;CORO1A;IL2RG;EMP3;LAPTM5;PTPRO;LAIR1;CD163;PLEKHO2;SLC7A7;VSIG4;AQP9;CST7;ABCA1;APOE;APOC1;HMOX1;SRGN;RNASE3;ACP5;FPR2;HLA-DMA;HSD11B1;CCR1;JAK3;NAAA;MEF2C;GPNMB;N4BP2L1;STAB1</t>
  </si>
  <si>
    <t>http://www.broadinstitute.org/gsea/msigdb/cards/MODULE_88.html</t>
  </si>
  <si>
    <t>GNF2_LYN</t>
  </si>
  <si>
    <t>7805;3122;6402;3108;3109;7454;9815;3123;7462</t>
  </si>
  <si>
    <t>LAPTM5;HLA-DRA;SELL;HLA-DMA;HLA-DMB;WAS;GIT2;HLA-DRB1;LAT2</t>
  </si>
  <si>
    <t>http://www.broadinstitute.org/gsea/msigdb/cards/GNF2_LYN.html</t>
  </si>
  <si>
    <t>MODULE_121</t>
  </si>
  <si>
    <t>920;925;3627;914;2123;3561;942;2014;6504;3553;921;1435;926;1601</t>
  </si>
  <si>
    <t>CD4;CD8A;CXCL10;CD2;EVI2A;IL2RG;CD86;EMP3;SLAMF1;IL1B;CD5;CSF1;CD8B;DAB2</t>
  </si>
  <si>
    <t>http://www.broadinstitute.org/gsea/msigdb/cards/MODULE_121.html</t>
  </si>
  <si>
    <t>GNF2_CD48</t>
  </si>
  <si>
    <t>54440;5788;962;963;11151;7805;1794;3635;3059</t>
  </si>
  <si>
    <t>SASH3;PTPRC;CD48;CD53;CORO1A;LAPTM5;DOCK2;INPP5D;HCLS1</t>
  </si>
  <si>
    <t>http://www.broadinstitute.org/gsea/msigdb/cards/GNF2_CD48.html</t>
  </si>
  <si>
    <t>GNF2_JAK1</t>
  </si>
  <si>
    <t>259197;9595;5788;3683;919;3820;8477;6793;54861</t>
  </si>
  <si>
    <t>NCR3;CYTIP;PTPRC;ITGAL;CD247;KLRB1;GPR65;STK10;SNRK</t>
  </si>
  <si>
    <t>http://www.broadinstitute.org/gsea/msigdb/cards/GNF2_JAK1.html</t>
  </si>
  <si>
    <t>MODULE_38</t>
  </si>
  <si>
    <t>11309;713;929;2268;2350;7133;1439;2014;4354;7805;4689;5800;3903;80301;11326;19;2162;348;5452;3162;3059;2213;7454;3718;1601;10457;10507;23166</t>
  </si>
  <si>
    <t>SLCO2B1;C1QB;CD14;FGR;FOLR2;TNFRSF1B;CSF2RB;EMP3;MPP1;LAPTM5;NCF4;PTPRO;LAIR1;PLEKHO2;VSIG4;ABCA1;F13A1;APOE;POU2F2;HMOX1;HCLS1;FCGR2B;WAS;JAK3;DAB2;GPNMB;SEMA4D;STAB1</t>
  </si>
  <si>
    <t>http://www.broadinstitute.org/gsea/msigdb/cards/MODULE_38.html</t>
  </si>
  <si>
    <t>MODULE_73</t>
  </si>
  <si>
    <t>10663;3559;3560;3575;3561;1439;3587;8809</t>
  </si>
  <si>
    <t>CXCR6;IL2RA;IL2RB;IL7R;IL2RG;CSF2RB;IL10RA;IL18R1</t>
  </si>
  <si>
    <t>http://www.broadinstitute.org/gsea/msigdb/cards/MODULE_73.html</t>
  </si>
  <si>
    <t>MODULE_174</t>
  </si>
  <si>
    <t>929;2350;3560;6688;4245;313;6504;719;2113;3902;728;1230;10507</t>
  </si>
  <si>
    <t>CD14;FOLR2;IL2RB;SPI1;MGAT1;AOAH;SLAMF1;C3AR1;ETS1;LAG3;C5AR1;CCR1;SEMA4D</t>
  </si>
  <si>
    <t>http://www.broadinstitute.org/gsea/msigdb/cards/MODULE_174.html</t>
  </si>
  <si>
    <t>MODULE_241</t>
  </si>
  <si>
    <t>929;3560;6688;4245;313;719;2113;3902;728;1230;10507</t>
  </si>
  <si>
    <t>CD14;IL2RB;SPI1;MGAT1;AOAH;C3AR1;ETS1;LAG3;C5AR1;CCR1;SEMA4D</t>
  </si>
  <si>
    <t>http://www.broadinstitute.org/gsea/msigdb/cards/MODULE_241.html</t>
  </si>
  <si>
    <t>MODULE_111</t>
  </si>
  <si>
    <t>2268;945;3561;199;3071;4283;3635;921;926;2212;3112;2213;7454;4208;2529</t>
  </si>
  <si>
    <t>FGR;CD33;IL2RG;AIF1;NCKAP1L;CXCL9;INPP5D;CD5;CD8B;FCGR2A;HLA-DOB;FCGR2B;WAS;MEF2C;FUT7</t>
  </si>
  <si>
    <t>http://www.broadinstitute.org/gsea/msigdb/cards/MODULE_111.html</t>
  </si>
  <si>
    <t>MODULE_213</t>
  </si>
  <si>
    <t>914;5788;3561;5778;199;7805;348;10437;3108;10457;4818</t>
  </si>
  <si>
    <t>CD2;PTPRC;IL2RG;PTPN7;AIF1;LAPTM5;APOE;IFI30;HLA-DMA;GPNMB;NKG7</t>
  </si>
  <si>
    <t>http://www.broadinstitute.org/gsea/msigdb/cards/MODULE_213.html</t>
  </si>
  <si>
    <t>MODULE_23</t>
  </si>
  <si>
    <t>11309;713;916;929;2268;5551;3575;7133;3903;11326;366;8530;348;341;596;926;3108;3290;3363;7454;6556;3718;27163;4208;4818;90634;10462;10507;23166</t>
  </si>
  <si>
    <t>SLCO2B1;C1QB;CD3E;CD14;FGR;PRF1;IL7R;TNFRSF1B;LAIR1;VSIG4;AQP9;CST7;APOE;APOC1;BCL2;CD8B;HLA-DMA;HSD11B1;HTR7;WAS;SLC11A1;JAK3;NAAA;MEF2C;NKG7;N4BP2L1;CLEC10A;SEMA4D;STAB1</t>
  </si>
  <si>
    <t>http://www.broadinstitute.org/gsea/msigdb/cards/MODULE_23.html</t>
  </si>
  <si>
    <t>MODULE_291</t>
  </si>
  <si>
    <t>929;3560;6688;4245;719;2113;3902;728;1230;10507</t>
  </si>
  <si>
    <t>CD14;IL2RB;SPI1;MGAT1;C3AR1;ETS1;LAG3;C5AR1;CCR1;SEMA4D</t>
  </si>
  <si>
    <t>http://www.broadinstitute.org/gsea/msigdb/cards/MODULE_291.html</t>
  </si>
  <si>
    <t>MODULE_410</t>
  </si>
  <si>
    <t>971;2219;3956;6402;4360;4973;969;10462</t>
  </si>
  <si>
    <t>CD72;FCN1;LGALS1;SELL;MRC1;OLR1;CD69;CLEC10A</t>
  </si>
  <si>
    <t>http://www.broadinstitute.org/gsea/msigdb/cards/MODULE_410.html</t>
  </si>
  <si>
    <t>MODULE_96</t>
  </si>
  <si>
    <t>http://www.broadinstitute.org/gsea/msigdb/cards/MODULE_96.html</t>
  </si>
  <si>
    <t>MODULE_220</t>
  </si>
  <si>
    <t>4242;9839;920;925;3627;3689;917;3695;2014;8477;11184;8742;348;1435;926;5376;4208;4033;5133;9806;10507</t>
  </si>
  <si>
    <t>MFNG;ZEB2;CD4;CD8A;CXCL10;ITGB2;CD3G;ITGB7;EMP3;GPR65;MAP4K1;TNFSF12;APOE;CSF1;CD8B;PMP22;MEF2C;LRMP;PDCD1;SPOCK2;SEMA4D</t>
  </si>
  <si>
    <t>http://www.broadinstitute.org/gsea/msigdb/cards/MODULE_220.html</t>
  </si>
  <si>
    <t>MODULE_248</t>
  </si>
  <si>
    <t>7305;9595;4068;9402;3932;5341;2268;4354;3702;3603;7439;3718;6503</t>
  </si>
  <si>
    <t>TYROBP;CYTIP;SH2D1A;GRAP2;LCK;PLEK;FGR;MPP1;ITK;IL16;BEST1;JAK3;SLA</t>
  </si>
  <si>
    <t>http://www.broadinstitute.org/gsea/msigdb/cards/MODULE_248.html</t>
  </si>
  <si>
    <t>MODULE_456</t>
  </si>
  <si>
    <t>9595;8676;925;3932;2123;5734;6504;8477;89857;64092;3553;7185</t>
  </si>
  <si>
    <t>CYTIP;STX11;CD8A;LCK;EVI2A;PTGER4;SLAMF1;GPR65;KLHL6;SAMSN1;IL1B;TRAF1</t>
  </si>
  <si>
    <t>http://www.broadinstitute.org/gsea/msigdb/cards/MODULE_456.html</t>
  </si>
  <si>
    <t>MODULE_378</t>
  </si>
  <si>
    <t>9840;9450;925;3627;3676;51056;1439;3702;55843;9332;6039;116986;4063;51225;10019;1435;3684;4066;4688;2358;8809;64747;57823;1522</t>
  </si>
  <si>
    <t>TESPA1;LY86;CD8A;CXCL10;ITGA4;LAP3;CSF2RB;ITK;ARHGAP15;CD163;RNASE6;AGAP2;LY9;ABI3;SH2B3;CSF1;ITGAM;LYL1;NCF2;FPR2;IL18R1;MFSD1;SLAMF7;CTSZ</t>
  </si>
  <si>
    <t>http://www.broadinstitute.org/gsea/msigdb/cards/MODULE_378.html</t>
  </si>
  <si>
    <t>MODULE_543</t>
  </si>
  <si>
    <t>3122;3111;3956;3112;4360;3109</t>
  </si>
  <si>
    <t>HLA-DRA;HLA-DOA;LGALS1;HLA-DOB;MRC1;HLA-DMB</t>
  </si>
  <si>
    <t>http://www.broadinstitute.org/gsea/msigdb/cards/MODULE_543.html</t>
  </si>
  <si>
    <t>MODULE_317</t>
  </si>
  <si>
    <t>http://www.broadinstitute.org/gsea/msigdb/cards/MODULE_317.html</t>
  </si>
  <si>
    <t>MODULE_265</t>
  </si>
  <si>
    <t>10663;3560;3575;3561;1439;3587;8809</t>
  </si>
  <si>
    <t>CXCR6;IL2RB;IL7R;IL2RG;CSF2RB;IL10RA;IL18R1</t>
  </si>
  <si>
    <t>http://www.broadinstitute.org/gsea/msigdb/cards/MODULE_265.html</t>
  </si>
  <si>
    <t>MODULE_122</t>
  </si>
  <si>
    <t>3689;914;6351;3683;3687;3695;923;921;3684;6402;2358;1230;4240</t>
  </si>
  <si>
    <t>ITGB2;CD2;CCL4;ITGAL;ITGAX;ITGB7;CD6;CD5;ITGAM;SELL;FPR2;CCR1;MFGE8</t>
  </si>
  <si>
    <t>http://www.broadinstitute.org/gsea/msigdb/cards/MODULE_122.html</t>
  </si>
  <si>
    <t>MODULE_424</t>
  </si>
  <si>
    <t>11025;2214;2207;10288;2212;4261</t>
  </si>
  <si>
    <t>LILRB3;FCGR3A;FCER1G;LILRB2;FCGR2A;CIITA</t>
  </si>
  <si>
    <t>http://www.broadinstitute.org/gsea/msigdb/cards/MODULE_424.html</t>
  </si>
  <si>
    <t>MODULE_55</t>
  </si>
  <si>
    <t>11309;713;929;6036;5551;3575;945;7133;923;3561;2014;7805;5800;3903;9332;9056;11326;366;8530;19;348;341;5452;3162;5552;6037;54;2358;3108;3290;3718;27163;4208;90634;23166</t>
  </si>
  <si>
    <t>SLCO2B1;C1QB;CD14;RNASE2;PRF1;IL7R;CD33;TNFRSF1B;CD6;IL2RG;EMP3;LAPTM5;PTPRO;LAIR1;CD163;SLC7A7;VSIG4;AQP9;CST7;ABCA1;APOE;APOC1;POU2F2;HMOX1;SRGN;RNASE3;ACP5;FPR2;HLA-DMA;HSD11B1;JAK3;NAAA;MEF2C;N4BP2L1;STAB1</t>
  </si>
  <si>
    <t>http://www.broadinstitute.org/gsea/msigdb/cards/MODULE_55.html</t>
  </si>
  <si>
    <t>MODULE_255</t>
  </si>
  <si>
    <t>http://www.broadinstitute.org/gsea/msigdb/cards/MODULE_255.html</t>
  </si>
  <si>
    <t>MODULE_41</t>
  </si>
  <si>
    <t>9046;920;925;916;5551;945;971;942;10871;11262;10320;11184;152789;11326;8530;19;2212;3112;6693;2358;3363;4208;2529;5133;90634;10507;27240</t>
  </si>
  <si>
    <t>DOK2;CD4;CD8A;CD3E;PRF1;CD33;CD72;CD86;CD300C;SP140;IKZF1;MAP4K1;JAKMIP1;VSIG4;CST7;ABCA1;FCGR2A;HLA-DOB;SPN;FPR2;HTR7;MEF2C;FUT7;PDCD1;N4BP2L1;SEMA4D;SIT1</t>
  </si>
  <si>
    <t>http://www.broadinstitute.org/gsea/msigdb/cards/MODULE_41.html</t>
  </si>
  <si>
    <t>MODULE_459</t>
  </si>
  <si>
    <t>9840;9450;925;3627;3676;51056;1439;3702;55843;9332;6039;4063;51225;10019;1435;3684;4066;4688;2358;8809;64747;57823;1522</t>
  </si>
  <si>
    <t>TESPA1;LY86;CD8A;CXCL10;ITGA4;LAP3;CSF2RB;ITK;ARHGAP15;CD163;RNASE6;LY9;ABI3;SH2B3;CSF1;ITGAM;LYL1;NCF2;FPR2;IL18R1;MFSD1;SLAMF7;CTSZ</t>
  </si>
  <si>
    <t>http://www.broadinstitute.org/gsea/msigdb/cards/MODULE_459.html</t>
  </si>
  <si>
    <t>MODULE_94</t>
  </si>
  <si>
    <t>2533;10261;3627;962;6036;2123;3695;313;3394;5800;366;3111;3162;54;3290;4240;7941;5133;597;10462;22900</t>
  </si>
  <si>
    <t>FYB1;IGSF6;CXCL10;CD48;RNASE2;EVI2A;ITGB7;AOAH;IRF8;PTPRO;AQP9;HLA-DOA;HMOX1;ACP5;HSD11B1;MFGE8;PLA2G7;PDCD1;BCL2A1;CLEC10A;CARD8</t>
  </si>
  <si>
    <t>http://www.broadinstitute.org/gsea/msigdb/cards/MODULE_94.html</t>
  </si>
  <si>
    <t>MODULE_179</t>
  </si>
  <si>
    <t>http://www.broadinstitute.org/gsea/msigdb/cards/MODULE_179.html</t>
  </si>
  <si>
    <t>MODULE_525</t>
  </si>
  <si>
    <t>286530;117289;6793;3988;969;91526;84541;51762;85479</t>
  </si>
  <si>
    <t>P2RY8;TAGAP;STK10;LIPA;CD69;ANKRD44;KBTBD8;RAB8B;DNAJC5B</t>
  </si>
  <si>
    <t>http://www.broadinstitute.org/gsea/msigdb/cards/MODULE_525.html</t>
  </si>
  <si>
    <t>MODULE_575</t>
  </si>
  <si>
    <t>3001;5551;3002;2999;3004</t>
  </si>
  <si>
    <t>GZMA;PRF1;GZMB;GZMH;GZMM</t>
  </si>
  <si>
    <t>http://www.broadinstitute.org/gsea/msigdb/cards/MODULE_575.html</t>
  </si>
  <si>
    <t>GNF2_CASP4</t>
  </si>
  <si>
    <t>9051;9535;7805;6402;3059;7454</t>
  </si>
  <si>
    <t>PSTPIP1;GMFG;LAPTM5;SELL;HCLS1;WAS</t>
  </si>
  <si>
    <t>http://www.broadinstitute.org/gsea/msigdb/cards/GNF2_CASP4.html</t>
  </si>
  <si>
    <t>MODULE_143</t>
  </si>
  <si>
    <t>3122;3111;3112;3109;3127</t>
  </si>
  <si>
    <t>HLA-DRA;HLA-DOA;HLA-DOB;HLA-DMB;HLA-DRB5</t>
  </si>
  <si>
    <t>http://www.broadinstitute.org/gsea/msigdb/cards/MODULE_143.html</t>
  </si>
  <si>
    <t>MODULE_172</t>
  </si>
  <si>
    <t>3001;51056;10537;341;1508;3002;3988;3003;4973;7941</t>
  </si>
  <si>
    <t>GZMA;LAP3;UBD;APOC1;CTSB;GZMB;LIPA;GZMK;OLR1;PLA2G7</t>
  </si>
  <si>
    <t>http://www.broadinstitute.org/gsea/msigdb/cards/MODULE_172.html</t>
  </si>
  <si>
    <t>MODULE_532</t>
  </si>
  <si>
    <t>9840;9450;925;3627;51056;1439;3702;55843;9332;6039;4063;51225;10019;1435;3684;4066;4688;2358;8809;64747;57823</t>
  </si>
  <si>
    <t>TESPA1;LY86;CD8A;CXCL10;LAP3;CSF2RB;ITK;ARHGAP15;CD163;RNASE6;LY9;ABI3;SH2B3;CSF1;ITGAM;LYL1;NCF2;FPR2;IL18R1;MFSD1;SLAMF7</t>
  </si>
  <si>
    <t>http://www.broadinstitute.org/gsea/msigdb/cards/MODULE_532.html</t>
  </si>
  <si>
    <t>GNF2_PAK2</t>
  </si>
  <si>
    <t>9535;963;1794;6402;3059;7454</t>
  </si>
  <si>
    <t>GMFG;CD53;DOCK2;SELL;HCLS1;WAS</t>
  </si>
  <si>
    <t>http://www.broadinstitute.org/gsea/msigdb/cards/GNF2_PAK2.html</t>
  </si>
  <si>
    <t>MODULE_358</t>
  </si>
  <si>
    <t>http://www.broadinstitute.org/gsea/msigdb/cards/MODULE_358.html</t>
  </si>
  <si>
    <t>MODULE_24</t>
  </si>
  <si>
    <t>11309;713;929;6036;7133;4354;7805;5800;3903;9332;11326;8530;19;348;341;3162;5552;6037;6693;7454;3718;23166</t>
  </si>
  <si>
    <t>SLCO2B1;C1QB;CD14;RNASE2;TNFRSF1B;MPP1;LAPTM5;PTPRO;LAIR1;CD163;VSIG4;CST7;ABCA1;APOE;APOC1;HMOX1;SRGN;RNASE3;SPN;WAS;JAK3;STAB1</t>
  </si>
  <si>
    <t>http://www.broadinstitute.org/gsea/msigdb/cards/MODULE_24.html</t>
  </si>
  <si>
    <t>MODULE_488</t>
  </si>
  <si>
    <t>2014;199;3553;6753;5376;10457</t>
  </si>
  <si>
    <t>EMP3;AIF1;IL1B;SSTR3;PMP22;GPNMB</t>
  </si>
  <si>
    <t>http://www.broadinstitute.org/gsea/msigdb/cards/MODULE_488.html</t>
  </si>
  <si>
    <t>3702;9744;80342;29909;3003;10235</t>
  </si>
  <si>
    <t>ITK;ACAP1;TRAF3IP3;GPR171;GZMK;RASGRP2</t>
  </si>
  <si>
    <t>MODULE_324</t>
  </si>
  <si>
    <t>5551;3683;3687;51056;199;2219;2162;240;3684;4360;9806</t>
  </si>
  <si>
    <t>PRF1;ITGAL;ITGAX;LAP3;AIF1;FCN1;F13A1;ALOX5;ITGAM;MRC1;SPOCK2</t>
  </si>
  <si>
    <t>http://www.broadinstitute.org/gsea/msigdb/cards/MODULE_324.html</t>
  </si>
  <si>
    <t>MODULE_209</t>
  </si>
  <si>
    <t>3001;51056;10537;341;3002;3988;3003;4973;7941</t>
  </si>
  <si>
    <t>GZMA;LAP3;UBD;APOC1;GZMB;LIPA;GZMK;OLR1;PLA2G7</t>
  </si>
  <si>
    <t>http://www.broadinstitute.org/gsea/msigdb/cards/MODULE_209.html</t>
  </si>
  <si>
    <t>MODULE_478</t>
  </si>
  <si>
    <t>11025;2214;2207;10288;2212</t>
  </si>
  <si>
    <t>LILRB3;FCGR3A;FCER1G;LILRB2;FCGR2A</t>
  </si>
  <si>
    <t>http://www.broadinstitute.org/gsea/msigdb/cards/MODULE_478.html</t>
  </si>
  <si>
    <t>MODULE_123</t>
  </si>
  <si>
    <t>10663;9839;3659;5734;4332;6772;5294;199;4283;29909;2113;2357;728;2359;10672</t>
  </si>
  <si>
    <t>CXCR6;ZEB2;IRF1;PTGER4;MNDA;STAT1;PIK3CG;AIF1;CXCL9;GPR171;ETS1;FPR1;C5AR1;FPR3;GNA13</t>
  </si>
  <si>
    <t>http://www.broadinstitute.org/gsea/msigdb/cards/MODULE_123.html</t>
  </si>
  <si>
    <t>GNF2_RAP1B</t>
  </si>
  <si>
    <t>9595;5788;3683;8477;3635;6793</t>
  </si>
  <si>
    <t>CYTIP;PTPRC;ITGAL;GPR65;INPP5D;STK10</t>
  </si>
  <si>
    <t>http://www.broadinstitute.org/gsea/msigdb/cards/GNF2_RAP1B.html</t>
  </si>
  <si>
    <t>MODULE_175</t>
  </si>
  <si>
    <t>917;3560;313;11262;1230;6556;10507</t>
  </si>
  <si>
    <t>CD3G;IL2RB;AOAH;SP140;CCR1;SLC11A1;SEMA4D</t>
  </si>
  <si>
    <t>http://www.broadinstitute.org/gsea/msigdb/cards/MODULE_175.html</t>
  </si>
  <si>
    <t>MODULE_92</t>
  </si>
  <si>
    <t>9402;712;3627;6351;1234;4283;10288;3553;1230;356;4050</t>
  </si>
  <si>
    <t>GRAP2;C1QA;CXCL10;CCL4;CCR5;CXCL9;LILRB2;IL1B;CCR1;FASLG;LTB</t>
  </si>
  <si>
    <t>http://www.broadinstitute.org/gsea/msigdb/cards/MODULE_92.html</t>
  </si>
  <si>
    <t>MODULE_261</t>
  </si>
  <si>
    <t>http://www.broadinstitute.org/gsea/msigdb/cards/MODULE_261.html</t>
  </si>
  <si>
    <t>MODULE_7</t>
  </si>
  <si>
    <t>920;925;971;923;942;11262;10320;19;6693;3363;4208;6503;5133;90634</t>
  </si>
  <si>
    <t>CD4;CD8A;CD72;CD6;CD86;SP140;IKZF1;ABCA1;SPN;HTR7;MEF2C;SLA;PDCD1;N4BP2L1</t>
  </si>
  <si>
    <t>http://www.broadinstitute.org/gsea/msigdb/cards/MODULE_7.html</t>
  </si>
  <si>
    <t>MODULE_107</t>
  </si>
  <si>
    <t>3001;51056;10537;341;1508;3002;3003;4973</t>
  </si>
  <si>
    <t>GZMA;LAP3;UBD;APOC1;CTSB;GZMB;GZMK;OLR1</t>
  </si>
  <si>
    <t>http://www.broadinstitute.org/gsea/msigdb/cards/MODULE_107.html</t>
  </si>
  <si>
    <t>MODULE_293</t>
  </si>
  <si>
    <t>3122;3111;3109;3127</t>
  </si>
  <si>
    <t>HLA-DRA;HLA-DOA;HLA-DMB;HLA-DRB5</t>
  </si>
  <si>
    <t>http://www.broadinstitute.org/gsea/msigdb/cards/MODULE_293.html</t>
  </si>
  <si>
    <t>MODULE_412</t>
  </si>
  <si>
    <t>3689;3683;3687;3684</t>
  </si>
  <si>
    <t>ITGB2;ITGAL;ITGAX;ITGAM</t>
  </si>
  <si>
    <t>http://www.broadinstitute.org/gsea/msigdb/cards/MODULE_412.html</t>
  </si>
  <si>
    <t>MODULE_157</t>
  </si>
  <si>
    <t>2268;945;3561;199;926;3112;4208;2529;6503</t>
  </si>
  <si>
    <t>FGR;CD33;IL2RG;AIF1;CD8B;HLA-DOB;MEF2C;FUT7;SLA</t>
  </si>
  <si>
    <t>http://www.broadinstitute.org/gsea/msigdb/cards/MODULE_157.html</t>
  </si>
  <si>
    <t>MODULE_204</t>
  </si>
  <si>
    <t>11025;3627;3055;2633;2219;3117;6363;54504</t>
  </si>
  <si>
    <t>LILRB3;CXCL10;HCK;GBP1;FCN1;HLA-DQA1;CCL19;CPVL</t>
  </si>
  <si>
    <t>http://www.broadinstitute.org/gsea/msigdb/cards/MODULE_204.html</t>
  </si>
  <si>
    <t>MODULE_112</t>
  </si>
  <si>
    <t>2214;6351;2633;1439;5800;9332;5452;2357;6507;3718;4208;2529;10457;3805</t>
  </si>
  <si>
    <t>FCGR3A;CCL4;GBP1;CSF2RB;PTPRO;CD163;POU2F2;FPR1;SLC1A3;JAK3;MEF2C;FUT7;GPNMB;KIR2DL4</t>
  </si>
  <si>
    <t>http://www.broadinstitute.org/gsea/msigdb/cards/MODULE_112.html</t>
  </si>
  <si>
    <t>GNF2_CBFB</t>
  </si>
  <si>
    <t>4242;1794;3635;23048;3936</t>
  </si>
  <si>
    <t>MFNG;DOCK2;INPP5D;FNBP1;LCP1</t>
  </si>
  <si>
    <t>http://www.broadinstitute.org/gsea/msigdb/cards/GNF2_CBFB.html</t>
  </si>
  <si>
    <t>MODULE_275</t>
  </si>
  <si>
    <t>3689;3683;3695;3684</t>
  </si>
  <si>
    <t>ITGB2;ITGAL;ITGB7;ITGAM</t>
  </si>
  <si>
    <t>http://www.broadinstitute.org/gsea/msigdb/cards/MODULE_275.html</t>
  </si>
  <si>
    <t>GNF2_TYK2</t>
  </si>
  <si>
    <t>11151;3071;1794;3936;3059</t>
  </si>
  <si>
    <t>CORO1A;NCKAP1L;DOCK2;LCP1;HCLS1</t>
  </si>
  <si>
    <t>http://www.broadinstitute.org/gsea/msigdb/cards/GNF2_TYK2.html</t>
  </si>
  <si>
    <t>MODULE_522</t>
  </si>
  <si>
    <t>3575;6504;11024;3111;3902</t>
  </si>
  <si>
    <t>IL7R;SLAMF1;LILRA1;HLA-DOA;LAG3</t>
  </si>
  <si>
    <t>http://www.broadinstitute.org/gsea/msigdb/cards/MODULE_522.html</t>
  </si>
  <si>
    <t>MODULE_129</t>
  </si>
  <si>
    <t>915;3001;2350;919;8742;10990;341;240;4360;1043;3003;4050</t>
  </si>
  <si>
    <t>CD3D;GZMA;FOLR2;CD247;TNFSF12;LILRB5;APOC1;ALOX5;MRC1;CD52;GZMK;LTB</t>
  </si>
  <si>
    <t>http://www.broadinstitute.org/gsea/msigdb/cards/MODULE_129.html</t>
  </si>
  <si>
    <t>MODULE_51</t>
  </si>
  <si>
    <t>920;925;3937;924;926</t>
  </si>
  <si>
    <t>CD4;CD8A;LCP2;CD7;CD8B</t>
  </si>
  <si>
    <t>http://www.broadinstitute.org/gsea/msigdb/cards/MODULE_51.html</t>
  </si>
  <si>
    <t>MODULE_12</t>
  </si>
  <si>
    <t>713;929;7133;2014;7805;9459;11326;348;341;5552;3988;6507;8905;1601;10184;23166</t>
  </si>
  <si>
    <t>C1QB;CD14;TNFRSF1B;EMP3;LAPTM5;ARHGEF6;VSIG4;APOE;APOC1;SRGN;LIPA;SLC1A3;AP1S2;DAB2;LHFPL2;STAB1</t>
  </si>
  <si>
    <t>http://www.broadinstitute.org/gsea/msigdb/cards/MODULE_12.html</t>
  </si>
  <si>
    <t>MODULE_237</t>
  </si>
  <si>
    <t>2124;6402;90634;85464;10077;64098</t>
  </si>
  <si>
    <t>EVI2B;SELL;N4BP2L1;SSH2;TSPAN32;PARVG</t>
  </si>
  <si>
    <t>http://www.broadinstitute.org/gsea/msigdb/cards/MODULE_237.html</t>
  </si>
  <si>
    <t>MODULE_439</t>
  </si>
  <si>
    <t>914;51056;6037;597</t>
  </si>
  <si>
    <t>CD2;LAP3;RNASE3;BCL2A1</t>
  </si>
  <si>
    <t>http://www.broadinstitute.org/gsea/msigdb/cards/MODULE_439.html</t>
  </si>
  <si>
    <t>MODULE_109</t>
  </si>
  <si>
    <t>3001;3002;2999;3003;3004</t>
  </si>
  <si>
    <t>GZMA;GZMB;GZMH;GZMK;GZMM</t>
  </si>
  <si>
    <t>http://www.broadinstitute.org/gsea/msigdb/cards/MODULE_109.html</t>
  </si>
  <si>
    <t>MODULE_254</t>
  </si>
  <si>
    <t>914;3553;3956;356;969;597</t>
  </si>
  <si>
    <t>CD2;IL1B;LGALS1;FASLG;CD69;BCL2A1</t>
  </si>
  <si>
    <t>http://www.broadinstitute.org/gsea/msigdb/cards/MODULE_254.html</t>
  </si>
  <si>
    <t>MODULE_176</t>
  </si>
  <si>
    <t>2214;6351;2633;1439;5800;9332;5452;2357;3718;4208;2529;3805</t>
  </si>
  <si>
    <t>FCGR3A;CCL4;GBP1;CSF2RB;PTPRO;CD163;POU2F2;FPR1;JAK3;MEF2C;FUT7;KIR2DL4</t>
  </si>
  <si>
    <t>http://www.broadinstitute.org/gsea/msigdb/cards/MODULE_176.html</t>
  </si>
  <si>
    <t>GNF2_MSN</t>
  </si>
  <si>
    <t>3689;2014;3059;7454</t>
  </si>
  <si>
    <t>ITGB2;EMP3;HCLS1;WAS</t>
  </si>
  <si>
    <t>http://www.broadinstitute.org/gsea/msigdb/cards/GNF2_MSN.html</t>
  </si>
  <si>
    <t>MODULE_259</t>
  </si>
  <si>
    <t>3560;3575;3561;1439;3587</t>
  </si>
  <si>
    <t>IL2RB;IL7R;IL2RG;CSF2RB;IL10RA</t>
  </si>
  <si>
    <t>http://www.broadinstitute.org/gsea/msigdb/cards/MODULE_259.html</t>
  </si>
  <si>
    <t>GCM_HMGA2</t>
  </si>
  <si>
    <t>1493;926;2212;2213;6753;7454;10148;4327</t>
  </si>
  <si>
    <t>CTLA4;CD8B;FCGR2A;FCGR2B;SSTR3;WAS;EBI3;MMP19</t>
  </si>
  <si>
    <t>http://www.broadinstitute.org/gsea/msigdb/cards/GCM_HMGA2.html</t>
  </si>
  <si>
    <t>MODULE_308</t>
  </si>
  <si>
    <t>11151;1794;2672;80231;3956;3988</t>
  </si>
  <si>
    <t>CORO1A;DOCK2;GFI1;CXorf21;LGALS1;LIPA</t>
  </si>
  <si>
    <t>http://www.broadinstitute.org/gsea/msigdb/cards/MODULE_308.html</t>
  </si>
  <si>
    <t>MODULE_13</t>
  </si>
  <si>
    <t>9046;9404;945;4245;199;5800;3903;3635;11326;1435;926;2212;3112;6693;3363;2529;10507;5027;27240</t>
  </si>
  <si>
    <t>DOK2;LPXN;CD33;MGAT1;AIF1;PTPRO;LAIR1;INPP5D;VSIG4;CSF1;CD8B;FCGR2A;HLA-DOB;SPN;HTR7;FUT7;SEMA4D;P2RX7;SIT1</t>
  </si>
  <si>
    <t>http://www.broadinstitute.org/gsea/msigdb/cards/MODULE_13.html</t>
  </si>
  <si>
    <t>MODULE_367</t>
  </si>
  <si>
    <t>1234;719;1230;729230</t>
  </si>
  <si>
    <t>CCR5;C3AR1;CCR1;CCR2</t>
  </si>
  <si>
    <t>http://www.broadinstitute.org/gsea/msigdb/cards/MODULE_367.html</t>
  </si>
  <si>
    <t>MODULE_85</t>
  </si>
  <si>
    <t>http://www.broadinstitute.org/gsea/msigdb/cards/MODULE_85.html</t>
  </si>
  <si>
    <t>MODULE_360</t>
  </si>
  <si>
    <t>6036;6039;6037</t>
  </si>
  <si>
    <t>RNASE2;RNASE6;RNASE3</t>
  </si>
  <si>
    <t>http://www.broadinstitute.org/gsea/msigdb/cards/MODULE_360.html</t>
  </si>
  <si>
    <t>MODULE_69</t>
  </si>
  <si>
    <t>9840;9450;925;3676;3702;55843;3903;116986;51225;10019;1435;3684;4066;2358;6776;8809;6363;57823;1522</t>
  </si>
  <si>
    <t>TESPA1;LY86;CD8A;ITGA4;ITK;ARHGAP15;LAIR1;AGAP2;ABI3;SH2B3;CSF1;ITGAM;LYL1;FPR2;STAT5A;IL18R1;CCL19;SLAMF7;CTSZ</t>
  </si>
  <si>
    <t>http://www.broadinstitute.org/gsea/msigdb/cards/MODULE_69.html</t>
  </si>
  <si>
    <t>GNF2_BNIP2</t>
  </si>
  <si>
    <t>9535;7805;1794;3059</t>
  </si>
  <si>
    <t>GMFG;LAPTM5;DOCK2;HCLS1</t>
  </si>
  <si>
    <t>http://www.broadinstitute.org/gsea/msigdb/cards/GNF2_BNIP2.html</t>
  </si>
  <si>
    <t>MODULE_401</t>
  </si>
  <si>
    <t>313;3988;7941</t>
  </si>
  <si>
    <t>AOAH;LIPA;PLA2G7</t>
  </si>
  <si>
    <t>http://www.broadinstitute.org/gsea/msigdb/cards/MODULE_401.html</t>
  </si>
  <si>
    <t>MODULE_199</t>
  </si>
  <si>
    <t>http://www.broadinstitute.org/gsea/msigdb/cards/MODULE_199.html</t>
  </si>
  <si>
    <t>MODULE_19</t>
  </si>
  <si>
    <t>713;929;2014;9332;11326;348;341;3059;4360;3108;1601;4208;23166</t>
  </si>
  <si>
    <t>C1QB;CD14;EMP3;CD163;VSIG4;APOE;APOC1;HCLS1;MRC1;HLA-DMA;DAB2;MEF2C;STAB1</t>
  </si>
  <si>
    <t>http://www.broadinstitute.org/gsea/msigdb/cards/MODULE_19.html</t>
  </si>
  <si>
    <t>MODULE_537</t>
  </si>
  <si>
    <t>914;597;10507</t>
  </si>
  <si>
    <t>CD2;BCL2A1;SEMA4D</t>
  </si>
  <si>
    <t>http://www.broadinstitute.org/gsea/msigdb/cards/MODULE_537.html</t>
  </si>
  <si>
    <t>MODULE_521</t>
  </si>
  <si>
    <t>916;942;6504;1435</t>
  </si>
  <si>
    <t>CD3E;CD86;SLAMF1;CSF1</t>
  </si>
  <si>
    <t>http://www.broadinstitute.org/gsea/msigdb/cards/MODULE_521.html</t>
  </si>
  <si>
    <t>MODULE_37</t>
  </si>
  <si>
    <t>9840;9450;925;3702;6404;55843;3903;116986;51225;10019;1435;3684;4066;2358;8809;57823;1522</t>
  </si>
  <si>
    <t>TESPA1;LY86;CD8A;ITK;SELPLG;ARHGAP15;LAIR1;AGAP2;ABI3;SH2B3;CSF1;ITGAM;LYL1;FPR2;IL18R1;SLAMF7;CTSZ</t>
  </si>
  <si>
    <t>http://www.broadinstitute.org/gsea/msigdb/cards/MODULE_37.html</t>
  </si>
  <si>
    <t>MODULE_247</t>
  </si>
  <si>
    <t>929;8564;6037;10578</t>
  </si>
  <si>
    <t>CD14;KMO;RNASE3;GNLY</t>
  </si>
  <si>
    <t>http://www.broadinstitute.org/gsea/msigdb/cards/MODULE_247.html</t>
  </si>
  <si>
    <t>MODULE_426</t>
  </si>
  <si>
    <t>6688;58475;341;3115;240;56606</t>
  </si>
  <si>
    <t>SPI1;MS4A7;APOC1;HLA-DPB1;ALOX5;SLC2A9</t>
  </si>
  <si>
    <t>http://www.broadinstitute.org/gsea/msigdb/cards/MODULE_426.html</t>
  </si>
  <si>
    <t>MODULE_136</t>
  </si>
  <si>
    <t>9840;9450;925;3676;3702;55843;116986;4063;51225;10019;1435;3684;4066;2358;8809;57823;1522</t>
  </si>
  <si>
    <t>TESPA1;LY86;CD8A;ITGA4;ITK;ARHGAP15;AGAP2;LY9;ABI3;SH2B3;CSF1;ITGAM;LYL1;FPR2;IL18R1;SLAMF7;CTSZ</t>
  </si>
  <si>
    <t>http://www.broadinstitute.org/gsea/msigdb/cards/MODULE_136.html</t>
  </si>
  <si>
    <t>MODULE_362</t>
  </si>
  <si>
    <t>4242;8742;4327</t>
  </si>
  <si>
    <t>MFNG;TNFSF12;MMP19</t>
  </si>
  <si>
    <t>http://www.broadinstitute.org/gsea/msigdb/cards/MODULE_362.html</t>
  </si>
  <si>
    <t>MODULE_97</t>
  </si>
  <si>
    <t>117289;6793;3988;84541;51762;85479</t>
  </si>
  <si>
    <t>TAGAP;STK10;LIPA;KBTBD8;RAB8B;DNAJC5B</t>
  </si>
  <si>
    <t>http://www.broadinstitute.org/gsea/msigdb/cards/MODULE_97.html</t>
  </si>
  <si>
    <t>MODULE_448</t>
  </si>
  <si>
    <t>1439;921;943;25780</t>
  </si>
  <si>
    <t>CSF2RB;CD5;TNFRSF8;RASGRP3</t>
  </si>
  <si>
    <t>http://www.broadinstitute.org/gsea/msigdb/cards/MODULE_448.html</t>
  </si>
  <si>
    <t>MODULE_182</t>
  </si>
  <si>
    <t>http://www.broadinstitute.org/gsea/msigdb/cards/MODULE_182.html</t>
  </si>
  <si>
    <t>GO_IMMUNE_SYSTEM_PROCESS</t>
  </si>
  <si>
    <t>7940;4242;259197;2533;4210;7456;9051;7305;9046;9214;4068;11025;9402;9450;10261;10068;3458;3559;920;925;712;713;714;3627;972;915;1536;3689;5579;3932;914;1436;916;5341;929;5788;3055;2214;962;917;2268;940;3659;2209;3001;6351;6352;3676;2350;5551;653361;3560;1493;3575;1378;6688;7133;3683;3687;919;3695;959;923;2207;11151;3561;1236;2633;944;941;5734;2322;10225;4332;942;6772;3594;7535;5294;1233;1234;199;3071;2313;3394;6890;695;4283;10871;3702;4671;3937;6504;8514;10320;3603;6404;4689;3662;399;719;5800;93978;3903;79626;50852;197358;151888;84166;8477;387357;10288;150372;81704;11006;55016;57580;84868;146722;139716;89857;1794;2210;3635;114836;114548;115362;4064;2672;1240;80380;84636;51744;81030;64170;84174;59067;50615;4063;58484;51311;57105;51284;54209;55423;11314;8832;30009;9056;50856;23228;10019;10673;11326;29851;353514;730249;7099;2219;6373;27299;10537;366;8742;3717;11024;10990;8530;56253;8320;4049;3553;3122;3117;3115;3120;921;3111;1508;5452;1621;3956;924;3162;1435;3002;596;926;3684;2212;9103;6037;4066;10437;54;3112;3936;6402;3059;2113;6693;4688;3113;2999;728;3586;4360;3274;5724;3108;3109;943;2213;1230;4261;729230;7454;356;6556;2833;3004;1235;1237;3718;8905;140885;4973;6891;4208;4050;3604;2529;4033;11009;3824;8809;9363;10148;5133;814;3123;3127;342510;79865;79168;118788;54518;375387;120425;10462;257101;11027;116071;202309;115727;338339;10507;51762;5027;6363;64581;50943;64919;7462;30835;57823;54861;29126;30817;22806;26279;27240;25939;9935</t>
  </si>
  <si>
    <t>LST1;MFNG;NCR3;FYB1;MEFV;WIPF1;PSTPIP1;TYROBP;DOK2;FCMR;SH2D1A;LILRB3;GRAP2;LY86;IGSF6;IL18BP;IFNG;IL2RA;CD4;CD8A;C1QA;C1QB;C1QC;CXCL10;CD74;CD3D;CYBB;ITGB2;PRKCB;LCK;CD2;CSF1R;CD3E;PLEK;CD14;PTPRC;HCK;FCGR3A;CD48;CD3G;FGR;CD28;IRF1;FCGR1A;GZMA;CCL4;CCL5;ITGA4;FOLR2;PRF1;NCF1;IL2RB;CTLA4;IL7R;CR1;SPI1;TNFRSF1B;ITGAL;ITGAX;CD247;ITGB7;CD40LG;CD6;FCER1G;CORO1A;IL2RG;CCR7;GBP1;TNFSF8;CD80;PTGER4;FLT3;CD96;MNDA;CD86;STAT1;IL12RB1;ZAP70;PIK3CG;CCR4;CCR5;AIF1;NCKAP1L;FLI1;IRF8;TAP1;BTK;CXCL9;CD300C;ITK;NAIP;LCP2;SLAMF1;KCNAB2;IKZF1;IL16;SELPLG;NCF4;IRF4;RHOH;C3AR1;PTPRO;CLEC6A;LAIR1;TNFAIP8L2;TRAT1;NLRC3;BTLA;NLRC5;GPR65;THEMIS;LILRB2;NFAM1;DOCK8;LILRB4;MARCH1;PREX1;HAVCR2;CD300LF;GAB3;KLHL6;DOCK2;FCGR1B;INPP5D;SLAMF6;NLRP3;GBP5;CD180;GFI1;CMKLR1;PDCD1LG2;GPR174;CD244;ZBP1;CARD9;SLA2;IL21;IL21R;LY9;NLRC4;TLR8;CYSLTR2;TLR7;TREM2;SIRPG;CD300A;CD84;TBX21;SLC7A7;CLEC4A;PLCL2;SH2B3;TNFSF13B;VSIG4;ICOS;LILRA5;ACOD1;TLR4;FCN1;CXCL11;ADAMDEC1;UBD;AQP9;TNFSF12;JAK2;LILRA1;LILRB5;CST7;CRTAM;EOMES;LTA;IL1B;HLA-DRA;HLA-DQA1;HLA-DPB1;HLA-DQB2;CD5;HLA-DOA;CTSB;POU2F2;DBH;LGALS1;CD7;HMOX1;CSF1;GZMB;BCL2;CD8B;ITGAM;FCGR2A;FCGR2A;RNASE3;LYL1;IFI30;ACP5;HLA-DOB;LCP1;SELL;HCLS1;ETS1;SPN;NCF2;HLA-DPA1;GZMH;C5AR1;IL10;MRC1;HRH2;PTAFR;HLA-DMA;HLA-DMB;TNFRSF8;FCGR2B;CCR1;CIITA;CCR2;WAS;FASLG;SLC11A1;CXCR3;GZMM;CCR6;CCR8;JAK3;AP1S2;SIRPA;OLR1;TAP2;MEF2C;LTB;TNFRSF9;FUT7;LRMP;IL24;KLRD1;IL18R1;RAB33A;EBI3;PDCD1;CAMK4;HLA-DRB1;HLA-DRB5;CD300E;TREML2;LILRA6;PIK3AP1;APBB1IP;NRROS;JAML;CLEC10A;ZNF683;LILRA2;BATF2;GAPT;RASGRP4;CLEC4D;SEMA4D;RAB8B;P2RX7;CCL19;CLEC7A;FOXP3;BCL11B;LAT2;CD209;SLAMF7;SNRK;CD274;ADGRE2;IKZF3;PLA2G2D;SIT1;SAMHD1;MAFB</t>
  </si>
  <si>
    <t>http://www.broadinstitute.org/gsea/msigdb/cards/GO_IMMUNE_SYSTEM_PROCESS.html</t>
  </si>
  <si>
    <t>GO_IMMUNE_RESPONSE</t>
  </si>
  <si>
    <t>7940;4242;259197;2533;4210;9051;7305;4068;11025;9450;10261;10068;3458;3559;920;925;712;713;714;3627;972;1536;5579;3932;1436;929;3055;2214;2268;940;3659;2209;3001;6351;6352;5551;653361;1493;3575;1378;7133;3683;959;923;2207;11151;3561;1236;2633;944;5734;10225;942;6772;3594;7535;5294;1233;1234;199;3394;6890;695;4283;3702;4671;3937;6504;3603;4689;3662;719;93978;3903;79626;50852;151888;84166;8477;387357;10288;11006;55016;84868;89857;1794;2210;3635;114836;114548;115362;4064;1240;80380;51744;81030;64170;84174;59067;4063;58484;51311;57105;51284;54209;8832;50856;23228;10673;11326;29851;353514;730249;7099;2219;6373;27299;10537;366;8742;3717;11024;10990;8530;56253;8320;4049;3553;3122;3117;3115;3120;3111;5452;3956;924;1435;3002;596;926;9103;6037;10437;3112;3936;2113;6693;4688;3113;2999;728;3586;4360;3274;5724;3108;3109;943;2213;1230;4261;729230;7454;356;6556;3004;1235;1237;3718;6891;4208;4050;3604;2529;11009;3824;8809;10148;5133;814;3123;3127;342510;79168;54518;375387;10462;11027;202309;338339;10507;6363;64581;50943;7462;30835;57823;29126;27240;25939</t>
  </si>
  <si>
    <t>LST1;MFNG;NCR3;FYB1;MEFV;PSTPIP1;TYROBP;SH2D1A;LILRB3;LY86;IGSF6;IL18BP;IFNG;IL2RA;CD4;CD8A;C1QA;C1QB;C1QC;CXCL10;CD74;CYBB;PRKCB;LCK;CSF1R;CD14;HCK;FCGR3A;FGR;CD28;IRF1;FCGR1A;GZMA;CCL4;CCL5;PRF1;NCF1;CTLA4;IL7R;CR1;TNFRSF1B;ITGAL;CD40LG;CD6;FCER1G;CORO1A;IL2RG;CCR7;GBP1;TNFSF8;PTGER4;CD96;CD86;STAT1;IL12RB1;ZAP70;PIK3CG;CCR4;CCR5;AIF1;IRF8;TAP1;BTK;CXCL9;ITK;NAIP;LCP2;SLAMF1;IL16;NCF4;IRF4;C3AR1;CLEC6A;LAIR1;TNFAIP8L2;TRAT1;BTLA;NLRC5;GPR65;THEMIS;LILRB2;LILRB4;MARCH1;HAVCR2;KLHL6;DOCK2;FCGR1B;INPP5D;SLAMF6;NLRP3;GBP5;CD180;CMKLR1;PDCD1LG2;CD244;ZBP1;CARD9;SLA2;IL21;LY9;NLRC4;TLR8;CYSLTR2;TLR7;TREM2;CD84;CLEC4A;PLCL2;TNFSF13B;VSIG4;ICOS;LILRA5;ACOD1;TLR4;FCN1;CXCL11;ADAMDEC1;UBD;AQP9;TNFSF12;JAK2;LILRA1;LILRB5;CST7;CRTAM;EOMES;LTA;IL1B;HLA-DRA;HLA-DQA1;HLA-DPB1;HLA-DQB2;HLA-DOA;POU2F2;LGALS1;CD7;CSF1;GZMB;BCL2;CD8B;FCGR2A;RNASE3;IFI30;HLA-DOB;LCP1;ETS1;SPN;NCF2;HLA-DPA1;GZMH;C5AR1;IL10;MRC1;HRH2;PTAFR;HLA-DMA;HLA-DMB;TNFRSF8;FCGR2B;CCR1;CIITA;CCR2;WAS;FASLG;SLC11A1;GZMM;CCR6;CCR8;JAK3;TAP2;MEF2C;LTB;TNFRSF9;FUT7;IL24;KLRD1;IL18R1;EBI3;PDCD1;CAMK4;HLA-DRB1;HLA-DRB5;CD300E;LILRA6;APBB1IP;NRROS;CLEC10A;LILRA2;GAPT;CLEC4D;SEMA4D;CCL19;CLEC7A;FOXP3;LAT2;CD209;SLAMF7;CD274;SIT1;SAMHD1</t>
  </si>
  <si>
    <t>http://www.broadinstitute.org/gsea/msigdb/cards/GO_IMMUNE_RESPONSE.html</t>
  </si>
  <si>
    <t>GO_REGULATION_OF_IMMUNE_SYSTEM_PROCESS</t>
  </si>
  <si>
    <t>9840;7940;259197;2533;7456;7305;9404;4068;11025;9402;54440;3458;3559;920;925;712;713;714;3627;972;915;3689;5579;3932;914;1436;916;929;5788;3055;2214;917;2268;940;3659;2209;6351;6352;3676;1493;3575;1378;6688;945;3683;919;3695;959;923;2207;11151;1236;2633;941;5734;10225;4332;942;6772;3594;7535;199;3071;53347;4354;6890;695;4283;10871;3702;3820;3937;6504;3662;10666;719;201633;93978;3903;79626;50852;151888;84166;64926;374403;126014;387357;10288;150372;11006;84868;146722;89857;1794;2210;3635;114836;114548;115362;4064;2672;1240;80380;51744;64170;84174;59067;58484;51311;64092;51284;54209;55423;10870;11314;8832;30009;50856;23228;10673;11326;27036;27180;29851;730249;7099;2219;6373;29909;3717;11024;6793;56253;4049;3553;3122;3117;3115;3120;921;3111;1508;3956;3162;1435;596;926;3684;2212;3112;6402;3059;2113;6693;3902;3113;728;3586;5724;3109;2213;1230;729230;7454;6507;3812;6556;2833;1235;3718;8905;6891;4208;7941;3824;10148;5133;814;3123;3127;342510;79865;146850;118788;120425;131450;338339;51676;84106;10077;5027;3805;6363;64581;50943;7462;64805;30835;57823;283316;29126;22806;26279;27240;25939;9935</t>
  </si>
  <si>
    <t>TESPA1;LST1;NCR3;FYB1;WIPF1;TYROBP;LPXN;SH2D1A;LILRB3;GRAP2;SASH3;IFNG;IL2RA;CD4;CD8A;C1QA;C1QB;C1QC;CXCL10;CD74;CD3D;ITGB2;PRKCB;LCK;CD2;CSF1R;CD3E;CD14;PTPRC;HCK;FCGR3A;CD3G;FGR;CD28;IRF1;FCGR1A;CCL4;CCL5;ITGA4;CTLA4;IL7R;CR1;SPI1;CD33;ITGAL;CD247;ITGB7;CD40LG;CD6;FCER1G;CORO1A;CCR7;GBP1;CD80;PTGER4;CD96;MNDA;CD86;STAT1;IL12RB1;ZAP70;AIF1;NCKAP1L;UBASH3A;MPP1;TAP1;BTK;CXCL9;CD300C;ITK;KLRB1;LCP2;SLAMF1;IRF4;CD226;C3AR1;TIGIT;CLEC6A;LAIR1;TNFAIP8L2;TRAT1;BTLA;NLRC5;RASAL3;TBC1D10C;OSCAR;THEMIS;LILRB2;NFAM1;LILRB4;HAVCR2;CD300LF;KLHL6;DOCK2;FCGR1B;INPP5D;SLAMF6;NLRP3;GBP5;CD180;GFI1;CMKLR1;PDCD1LG2;CD244;CARD9;SLA2;IL21;NLRC4;TLR8;SAMSN1;TLR7;TREM2;SIRPG;HCST;CD300A;CD84;TBX21;CLEC4A;PLCL2;TNFSF13B;VSIG4;SIGLEC7;SIGLEC9;ICOS;ACOD1;TLR4;FCN1;CXCL11;GPR171;JAK2;LILRA1;STK10;CRTAM;LTA;IL1B;HLA-DRA;HLA-DQA1;HLA-DPB1;HLA-DQB2;CD5;HLA-DOA;CTSB;LGALS1;HMOX1;CSF1;BCL2;CD8B;ITGAM;FCGR2A;HLA-DOB;SELL;HCLS1;ETS1;SPN;LAG3;HLA-DPA1;C5AR1;IL10;PTAFR;HLA-DMB;FCGR2B;CCR1;CCR2;WAS;SLC1A3;KIR3DL2;SLC11A1;CXCR3;CCR6;JAK3;AP1S2;TAP2;MEF2C;PLA2G7;KLRD1;EBI3;PDCD1;CAMK4;HLA-DRB1;HLA-DRB5;CD300E;TREML2;PIK3R6;PIK3AP1;JAML;CD200R1;CLEC4D;ASB2;PRAM1;TSPAN32;P2RX7;KIR2DL4;CCL19;CLEC7A;FOXP3;LAT2;P2RY12;CD209;SLAMF7;CD163L1;CD274;IKZF3;PLA2G2D;SIT1;SAMHD1;MAFB</t>
  </si>
  <si>
    <t>http://www.broadinstitute.org/gsea/msigdb/cards/GO_REGULATION_OF_IMMUNE_SYSTEM_PROCESS.html</t>
  </si>
  <si>
    <t>GO_REGULATION_OF_IMMUNE_RESPONSE</t>
  </si>
  <si>
    <t>9840;259197;2533;7456;7305;9404;4068;9402;54440;3458;3559;920;925;712;713;714;972;915;3689;5579;3932;916;929;5788;3055;2214;917;2268;940;3659;2209;6352;3676;1493;3575;1378;945;3683;919;3695;959;2207;1236;2633;941;10225;4332;942;6772;3594;7535;3071;53347;6890;695;10871;3702;3820;3937;6504;3662;10666;719;93978;3903;50852;84166;126014;387357;10288;150372;84868;146722;89857;2210;3635;114836;114548;115362;4064;2672;64170;84174;59067;58484;51311;64092;51284;54209;10870;11314;8832;30009;50856;23228;11326;27036;27180;730249;7099;2219;3717;11024;56253;4049;3553;3122;3117;3115;3120;1508;3162;596;926;3684;2212;6402;6693;3902;3113;728;3586;5724;3109;2213;729230;7454;3812;6556;3718;4208;3824;3123;3127;342510;79865;146850;118788;120425;131450;338339;84106;5027;3805;6363;64581;50943;7462;30835;57823;25939</t>
  </si>
  <si>
    <t>TESPA1;NCR3;FYB1;WIPF1;TYROBP;LPXN;SH2D1A;GRAP2;SASH3;IFNG;IL2RA;CD4;CD8A;C1QA;C1QB;C1QC;CD74;CD3D;ITGB2;PRKCB;LCK;CD3E;CD14;PTPRC;HCK;FCGR3A;CD3G;FGR;CD28;IRF1;FCGR1A;CCL5;ITGA4;CTLA4;IL7R;CR1;CD33;ITGAL;CD247;ITGB7;CD40LG;FCER1G;CCR7;GBP1;CD80;CD96;MNDA;CD86;STAT1;IL12RB1;ZAP70;NCKAP1L;UBASH3A;TAP1;BTK;CD300C;ITK;KLRB1;LCP2;SLAMF1;IRF4;CD226;C3AR1;CLEC6A;LAIR1;TRAT1;NLRC5;OSCAR;THEMIS;LILRB2;NFAM1;HAVCR2;CD300LF;KLHL6;FCGR1B;INPP5D;SLAMF6;NLRP3;GBP5;CD180;GFI1;CARD9;SLA2;IL21;NLRC4;TLR8;SAMSN1;TLR7;TREM2;HCST;CD300A;CD84;TBX21;CLEC4A;PLCL2;VSIG4;SIGLEC7;SIGLEC9;ACOD1;TLR4;FCN1;JAK2;LILRA1;CRTAM;LTA;IL1B;HLA-DRA;HLA-DQA1;HLA-DPB1;HLA-DQB2;CTSB;HMOX1;BCL2;CD8B;ITGAM;FCGR2A;SELL;SPN;LAG3;HLA-DPA1;C5AR1;IL10;PTAFR;HLA-DMB;FCGR2B;CCR2;WAS;KIR3DL2;SLC11A1;JAK3;MEF2C;KLRD1;HLA-DRB1;HLA-DRB5;CD300E;TREML2;PIK3R6;PIK3AP1;JAML;CD200R1;CLEC4D;PRAM1;P2RX7;KIR2DL4;CCL19;CLEC7A;FOXP3;LAT2;CD209;SLAMF7;SAMHD1</t>
  </si>
  <si>
    <t>http://www.broadinstitute.org/gsea/msigdb/cards/GO_REGULATION_OF_IMMUNE_RESPONSE.html</t>
  </si>
  <si>
    <t>GO_DEFENSE_RESPONSE</t>
  </si>
  <si>
    <t>10663;259197;4210;9051;7305;9214;4068;11025;80833;9450;3458;3559;920;925;712;713;714;3627;972;1536;3689;3932;1436;929;5788;3055;962;2268;3659;2209;6351;6352;2350;5551;653361;1378;7133;3683;313;959;923;2207;11151;1236;2633;944;4332;942;6772;3594;7535;5294;1233;1234;199;3394;6890;695;4283;10871;3702;4671;6504;11262;3662;719;93978;79626;50852;54899;9332;84166;10288;150372;84868;2210;6039;114836;114548;115362;4064;51744;81030;64170;4063;58484;51311;51284;54209;8832;50856;11326;353514;730249;7099;9034;2219;6373;10537;3717;11024;10990;4049;3553;3122;3117;3115;3120;3162;1435;240;3002;596;6037;10437;54;6693;4688;3113;728;3586;10578;4360;2358;5724;943;1230;4261;3988;729230;7454;6507;3812;2829;6556;2833;3004;1235;3718;4973;3604;11009;3824;814;3123;3127;342510;375387;10462;11027;116071;338339;51676;10077;5027;3805;6363;64581;6614;30835;57823;283316;23166;30817;26279;8605;25939</t>
  </si>
  <si>
    <t>CXCR6;NCR3;MEFV;PSTPIP1;TYROBP;FCMR;SH2D1A;LILRB3;APOL3;LY86;IFNG;IL2RA;CD4;CD8A;C1QA;C1QB;C1QC;CXCL10;CD74;CYBB;ITGB2;LCK;CSF1R;CD14;PTPRC;HCK;CD48;FGR;IRF1;FCGR1A;CCL4;CCL5;FOLR2;PRF1;NCF1;CR1;TNFRSF1B;ITGAL;AOAH;CD40LG;CD6;FCER1G;CORO1A;CCR7;GBP1;TNFSF8;MNDA;CD86;STAT1;IL12RB1;ZAP70;PIK3CG;CCR4;CCR5;AIF1;IRF8;TAP1;BTK;CXCL9;CD300C;ITK;NAIP;SLAMF1;SP140;IRF4;C3AR1;CLEC6A;TNFAIP8L2;TRAT1;PXK;CD163;NLRC5;LILRB2;NFAM1;HAVCR2;FCGR1B;RNASE6;SLAMF6;NLRP3;GBP5;CD180;CD244;ZBP1;CARD9;LY9;NLRC4;TLR8;TLR7;TREM2;CD84;CLEC4A;VSIG4;LILRA5;ACOD1;TLR4;CCRL2;FCN1;CXCL11;UBD;JAK2;LILRA1;LILRB5;LTA;IL1B;HLA-DRA;HLA-DQA1;HLA-DPB1;HLA-DQB2;HMOX1;CSF1;ALOX5;GZMB;BCL2;RNASE3;IFI30;ACP5;SPN;NCF2;HLA-DPA1;C5AR1;IL10;GNLY;MRC1;FPR2;PTAFR;TNFRSF8;CCR1;CIITA;LIPA;CCR2;WAS;SLC1A3;KIR3DL2;XCR1;SLC11A1;CXCR3;GZMM;CCR6;JAK3;OLR1;TNFRSF9;IL24;KLRD1;CAMK4;HLA-DRB1;HLA-DRB5;CD300E;NRROS;CLEC10A;LILRA2;BATF2;CLEC4D;ASB2;TSPAN32;P2RX7;KIR2DL4;CCL19;CLEC7A;SIGLEC1;CD209;SLAMF7;CD163L1;STAB1;ADGRE2;PLA2G2D;PLA2G4C;SAMHD1</t>
  </si>
  <si>
    <t>http://www.broadinstitute.org/gsea/msigdb/cards/GO_DEFENSE_RESPONSE.html</t>
  </si>
  <si>
    <t>GO_POSITIVE_REGULATION_OF_IMMUNE_SYSTEM_PROCESS</t>
  </si>
  <si>
    <t>9840;259197;2533;7456;4068;9402;54440;3458;3559;920;712;713;714;3627;972;915;3689;5579;3932;914;1436;916;929;5788;3055;2214;917;2268;940;2209;6351;6352;3676;1493;3575;1378;919;959;923;2207;11151;1236;941;5734;4332;942;3594;7535;199;3071;6890;695;4283;3702;3937;6504;10666;719;93978;50852;151888;84166;64926;387357;10288;150372;84868;89857;3635;114836;114548;115362;4064;1240;80380;51744;64170;84174;59067;58484;51311;51284;54209;55423;11314;8832;30009;50856;10673;11326;29851;730249;7099;2219;6373;56253;4049;3553;3122;3117;3115;3120;921;1508;3956;3162;1435;596;3684;2212;3059;2113;6693;3902;3113;728;5724;3109;1230;729230;7454;6556;1235;3718;6891;4208;7941;10148;5133;3123;3127;146850;118788;338339;5027;6363;64581;50943;7462;30835;29126</t>
  </si>
  <si>
    <t>TESPA1;NCR3;FYB1;WIPF1;SH2D1A;GRAP2;SASH3;IFNG;IL2RA;CD4;C1QA;C1QB;C1QC;CXCL10;CD74;CD3D;ITGB2;PRKCB;LCK;CD2;CSF1R;CD3E;CD14;PTPRC;HCK;FCGR3A;CD3G;FGR;CD28;FCGR1A;CCL4;CCL5;ITGA4;CTLA4;IL7R;CR1;CD247;CD40LG;CD6;FCER1G;CORO1A;CCR7;CD80;PTGER4;MNDA;CD86;IL12RB1;ZAP70;AIF1;NCKAP1L;TAP1;BTK;CXCL9;ITK;LCP2;SLAMF1;CD226;C3AR1;CLEC6A;TRAT1;BTLA;NLRC5;RASAL3;THEMIS;LILRB2;NFAM1;HAVCR2;KLHL6;INPP5D;SLAMF6;NLRP3;GBP5;CD180;CMKLR1;PDCD1LG2;CD244;CARD9;SLA2;IL21;NLRC4;TLR8;TLR7;TREM2;SIRPG;CD300A;CD84;TBX21;CLEC4A;TNFSF13B;VSIG4;ICOS;ACOD1;TLR4;FCN1;CXCL11;CRTAM;LTA;IL1B;HLA-DRA;HLA-DQA1;HLA-DPB1;HLA-DQB2;CD5;CTSB;LGALS1;HMOX1;CSF1;BCL2;ITGAM;FCGR2A;HCLS1;ETS1;SPN;LAG3;HLA-DPA1;C5AR1;PTAFR;HLA-DMB;CCR1;CCR2;WAS;SLC11A1;CCR6;JAK3;TAP2;MEF2C;PLA2G7;EBI3;PDCD1;HLA-DRB1;HLA-DRB5;PIK3R6;PIK3AP1;CLEC4D;P2RX7;CCL19;CLEC7A;FOXP3;LAT2;CD209;CD274</t>
  </si>
  <si>
    <t>http://www.broadinstitute.org/gsea/msigdb/cards/GO_POSITIVE_REGULATION_OF_IMMUNE_SYSTEM_PROCESS.html</t>
  </si>
  <si>
    <t>GO_LEUKOCYTE_ACTIVATION</t>
  </si>
  <si>
    <t>4242;7305;3458;920;925;972;915;3689;5579;3932;914;916;5788;917;940;3659;6352;3676;5551;3560;3575;6688;3683;959;923;2207;11151;1236;944;941;5734;2322;942;7535;5294;199;695;3702;3937;6504;10320;6404;3662;399;197358;387357;150372;81704;57580;84868;1794;114836;4064;51744;84174;50615;4063;51311;51284;30009;23228;7099;10537;56253;8320;5452;3956;924;1435;596;926;4066;3936;6693;3586;7454;6556;3718;4208;2529;8809;10148;814;79865;54518;120425;257101;116071;202309;338339;5027;6363;64581;50943;64919;7462;57823;22806;26279;9935</t>
  </si>
  <si>
    <t>MFNG;TYROBP;IFNG;CD4;CD8A;CD74;CD3D;ITGB2;PRKCB;LCK;CD2;CD3E;PTPRC;CD3G;CD28;IRF1;CCL5;ITGA4;PRF1;IL2RB;IL7R;SPI1;ITGAL;CD40LG;CD6;FCER1G;CORO1A;CCR7;TNFSF8;CD80;PTGER4;FLT3;CD86;ZAP70;PIK3CG;AIF1;BTK;ITK;LCP2;SLAMF1;IKZF1;SELPLG;IRF4;RHOH;NLRC3;THEMIS;NFAM1;DOCK8;PREX1;HAVCR2;DOCK2;SLAMF6;CD180;CD244;SLA2;IL21R;LY9;TLR8;TLR7;TBX21;PLCL2;TLR4;UBD;CRTAM;EOMES;POU2F2;LGALS1;CD7;CSF1;BCL2;CD8B;LYL1;LCP1;SPN;IL10;WAS;SLC11A1;JAK3;MEF2C;FUT7;IL18R1;EBI3;CAMK4;TREML2;APBB1IP;JAML;ZNF683;BATF2;GAPT;CLEC4D;P2RX7;CCL19;CLEC7A;FOXP3;BCL11B;LAT2;SLAMF7;IKZF3;PLA2G2D;MAFB</t>
  </si>
  <si>
    <t>http://www.broadinstitute.org/gsea/msigdb/cards/GO_LEUKOCYTE_ACTIVATION.html</t>
  </si>
  <si>
    <t>GO_CELL_ACTIVATION</t>
  </si>
  <si>
    <t>4242;7305;3458;920;925;3627;972;915;3689;5579;3932;914;916;5341;5788;917;940;3659;6352;3676;5551;3560;3575;6688;3683;959;923;2207;11151;1236;944;941;5734;2322;942;7535;5294;199;391;695;3702;3937;6504;10320;6404;3662;399;197358;83706;387357;150372;81704;57580;84868;23533;1794;114836;4064;51744;84174;50615;4063;51311;51284;30009;23228;7099;10537;56253;8320;2811;5452;3956;924;1435;596;926;4066;3936;6693;3586;7454;6556;3718;54331;4208;2529;8809;10148;10672;814;79865;146850;54518;120425;257101;116071;202309;338339;10077;5027;6363;64581;50943;64919;7462;64805;57823;22806;26279;9935</t>
  </si>
  <si>
    <t>MFNG;TYROBP;IFNG;CD4;CD8A;CXCL10;CD74;CD3D;ITGB2;PRKCB;LCK;CD2;CD3E;PLEK;PTPRC;CD3G;CD28;IRF1;CCL5;ITGA4;PRF1;IL2RB;IL7R;SPI1;ITGAL;CD40LG;CD6;FCER1G;CORO1A;CCR7;TNFSF8;CD80;PTGER4;FLT3;CD86;ZAP70;PIK3CG;AIF1;RHOG;BTK;ITK;LCP2;SLAMF1;IKZF1;SELPLG;IRF4;RHOH;NLRC3;FERMT3;THEMIS;NFAM1;DOCK8;PREX1;HAVCR2;PIK3R5;DOCK2;SLAMF6;CD180;CD244;SLA2;IL21R;LY9;TLR8;TLR7;TBX21;PLCL2;TLR4;UBD;CRTAM;EOMES;GP1BA;POU2F2;LGALS1;CD7;CSF1;BCL2;CD8B;LYL1;LCP1;SPN;IL10;WAS;SLC11A1;JAK3;GNG2;MEF2C;FUT7;IL18R1;EBI3;GNA13;CAMK4;TREML2;PIK3R6;APBB1IP;JAML;ZNF683;BATF2;GAPT;CLEC4D;TSPAN32;P2RX7;CCL19;CLEC7A;FOXP3;BCL11B;LAT2;P2RY12;SLAMF7;IKZF3;PLA2G2D;MAFB</t>
  </si>
  <si>
    <t>http://www.broadinstitute.org/gsea/msigdb/cards/GO_CELL_ACTIVATION.html</t>
  </si>
  <si>
    <t>GO_LYMPHOCYTE_ACTIVATION</t>
  </si>
  <si>
    <t>4242;3458;920;925;972;915;3689;5579;3932;914;916;5788;917;940;3659;3676;5551;3560;3575;6688;3683;959;923;2207;11151;1236;944;941;5734;2322;942;7535;5294;695;3702;6504;10320;3662;399;197358;387357;150372;81704;57580;1794;114836;4064;51744;84174;50615;4063;30009;23228;7099;56253;8320;5452;3956;924;596;926;4066;3936;6693;3586;7454;6556;3718;4208;2529;8809;10148;79865;54518;120425;257101;202309;338339;5027;6363;64581;50943;64919;7462;57823;22806;26279;9935</t>
  </si>
  <si>
    <t>MFNG;IFNG;CD4;CD8A;CD74;CD3D;ITGB2;PRKCB;LCK;CD2;CD3E;PTPRC;CD3G;CD28;IRF1;ITGA4;PRF1;IL2RB;IL7R;SPI1;ITGAL;CD40LG;CD6;FCER1G;CORO1A;CCR7;TNFSF8;CD80;PTGER4;FLT3;CD86;ZAP70;PIK3CG;BTK;ITK;SLAMF1;IKZF1;IRF4;RHOH;NLRC3;THEMIS;NFAM1;DOCK8;PREX1;DOCK2;SLAMF6;CD180;CD244;SLA2;IL21R;LY9;TBX21;PLCL2;TLR4;CRTAM;EOMES;POU2F2;LGALS1;CD7;BCL2;CD8B;LYL1;LCP1;SPN;IL10;WAS;SLC11A1;JAK3;MEF2C;FUT7;IL18R1;EBI3;TREML2;APBB1IP;JAML;ZNF683;GAPT;CLEC4D;P2RX7;CCL19;CLEC7A;FOXP3;BCL11B;LAT2;SLAMF7;IKZF3;PLA2G2D;MAFB</t>
  </si>
  <si>
    <t>http://www.broadinstitute.org/gsea/msigdb/cards/GO_LYMPHOCYTE_ACTIVATION.html</t>
  </si>
  <si>
    <t>GO_REGULATION_OF_CELL_ACTIVATION</t>
  </si>
  <si>
    <t>9840;7940;9402;54440;3458;3559;920;972;915;3932;914;916;5341;5788;917;2268;940;3659;6352;1493;3575;919;959;923;2207;11151;1236;941;4332;942;3594;7535;199;3071;695;6504;3662;10666;201633;79626;151888;64926;374403;10288;150372;84868;3635;114548;80380;51744;84174;59067;64092;55423;11314;8832;30009;10673;29851;7099;3717;3553;3122;3117;348;3115;3120;921;3111;3956;3162;596;6693;3902;3113;3586;5724;3109;729230;3718;4208;10148;5133;814;3123;3127;146850;84106;10077;6363;50943;30835;29126;22806;26279;27240</t>
  </si>
  <si>
    <t>TESPA1;LST1;GRAP2;SASH3;IFNG;IL2RA;CD4;CD74;CD3D;LCK;CD2;CD3E;PLEK;PTPRC;CD3G;FGR;CD28;IRF1;CCL5;CTLA4;IL7R;CD247;CD40LG;CD6;FCER1G;CORO1A;CCR7;CD80;MNDA;CD86;IL12RB1;ZAP70;AIF1;NCKAP1L;BTK;SLAMF1;IRF4;CD226;TIGIT;TNFAIP8L2;BTLA;RASAL3;TBC1D10C;LILRB2;NFAM1;HAVCR2;INPP5D;NLRP3;PDCD1LG2;CD244;SLA2;IL21;SAMSN1;SIRPG;CD300A;CD84;TBX21;TNFSF13B;ICOS;TLR4;JAK2;IL1B;HLA-DRA;HLA-DQA1;APOE;HLA-DPB1;HLA-DQB2;CD5;HLA-DOA;LGALS1;HMOX1;BCL2;SPN;LAG3;HLA-DPA1;IL10;PTAFR;HLA-DMB;CCR2;JAK3;MEF2C;EBI3;PDCD1;CAMK4;HLA-DRB1;HLA-DRB5;PIK3R6;PRAM1;TSPAN32;CCL19;FOXP3;CD209;CD274;IKZF3;PLA2G2D;SIT1</t>
  </si>
  <si>
    <t>http://www.broadinstitute.org/gsea/msigdb/cards/GO_REGULATION_OF_CELL_ACTIVATION.html</t>
  </si>
  <si>
    <t>GO_POSITIVE_REGULATION_OF_IMMUNE_RESPONSE</t>
  </si>
  <si>
    <t>259197;2533;7456;4068;9402;54440;3458;920;712;713;714;972;915;3689;5579;3932;916;929;5788;3055;2214;917;2268;940;2209;6352;1493;1378;919;2207;1236;941;4332;942;3594;7535;3071;695;3702;3937;10666;719;93978;50852;84166;387357;150372;84868;89857;3635;114836;114548;115362;4064;64170;84174;59067;58484;51311;51284;30009;50856;11326;730249;7099;2219;56253;4049;3553;3122;3117;3115;3120;1508;596;3684;2212;3902;3113;728;5724;3109;729230;7454;6556;3718;4208;3123;3127;118788;338339;5027;6363;64581;50943;7462;30835</t>
  </si>
  <si>
    <t>NCR3;FYB1;WIPF1;SH2D1A;GRAP2;SASH3;IFNG;CD4;C1QA;C1QB;C1QC;CD74;CD3D;ITGB2;PRKCB;LCK;CD3E;CD14;PTPRC;HCK;FCGR3A;CD3G;FGR;CD28;FCGR1A;CCL5;CTLA4;CR1;CD247;FCER1G;CCR7;CD80;MNDA;CD86;IL12RB1;ZAP70;NCKAP1L;BTK;ITK;LCP2;CD226;C3AR1;CLEC6A;TRAT1;NLRC5;THEMIS;NFAM1;HAVCR2;KLHL6;INPP5D;SLAMF6;NLRP3;GBP5;CD180;CARD9;SLA2;IL21;NLRC4;TLR8;TLR7;TBX21;CLEC4A;VSIG4;ACOD1;TLR4;FCN1;CRTAM;LTA;IL1B;HLA-DRA;HLA-DQA1;HLA-DPB1;HLA-DQB2;CTSB;BCL2;ITGAM;FCGR2A;LAG3;HLA-DPA1;C5AR1;PTAFR;HLA-DMB;CCR2;WAS;SLC11A1;JAK3;MEF2C;HLA-DRB1;HLA-DRB5;PIK3AP1;CLEC4D;P2RX7;CCL19;CLEC7A;FOXP3;LAT2;CD209</t>
  </si>
  <si>
    <t>http://www.broadinstitute.org/gsea/msigdb/cards/GO_POSITIVE_REGULATION_OF_IMMUNE_RESPONSE.html</t>
  </si>
  <si>
    <t>GO_POSITIVE_REGULATION_OF_RESPONSE_TO_STIMULUS</t>
  </si>
  <si>
    <t>9840;4242;259197;2533;7456;9839;4068;9402;54440;80833;9450;3458;920;925;712;713;714;3627;972;915;3689;5579;3932;1436;916;5341;929;5788;3055;2214;917;2268;940;2209;6351;6352;1493;1378;7133;919;959;923;2207;1236;941;5734;2322;4332;942;3594;7535;5294;199;3071;695;4283;3702;3937;6504;3603;10666;719;93978;50852;388325;221472;84166;387357;150372;84868;23533;89857;3635;11184;114836;114548;115362;4064;2672;1240;64170;84174;59067;58484;51311;57105;51284;54209;10870;30009;50856;10019;11326;730249;7099;2219;6373;10537;8742;3717;56253;4049;3553;3122;3117;3115;3120;1508;3956;3162;1435;3002;596;3684;2212;3059;2113;3902;3113;2357;728;3586;5724;3109;1230;729230;7454;356;6556;2833;1235;3718;1601;4208;11009;7941;6503;8809;3123;3127;146850;118788;115727;338339;10507;5027;6363;4215;64581;50943;7462;30835</t>
  </si>
  <si>
    <t>TESPA1;MFNG;NCR3;FYB1;WIPF1;ZEB2;SH2D1A;GRAP2;SASH3;APOL3;LY86;IFNG;CD4;CD8A;C1QA;C1QB;C1QC;CXCL10;CD74;CD3D;ITGB2;PRKCB;LCK;CSF1R;CD3E;PLEK;CD14;PTPRC;HCK;FCGR3A;CD3G;FGR;CD28;FCGR1A;CCL4;CCL5;CTLA4;CR1;TNFRSF1B;CD247;CD40LG;CD6;FCER1G;CCR7;CD80;PTGER4;FLT3;MNDA;CD86;IL12RB1;ZAP70;PIK3CG;AIF1;NCKAP1L;BTK;CXCL9;ITK;LCP2;SLAMF1;IL16;CD226;C3AR1;CLEC6A;TRAT1;SCIMP;FGD2;NLRC5;THEMIS;NFAM1;HAVCR2;PIK3R5;KLHL6;INPP5D;MAP4K1;SLAMF6;NLRP3;GBP5;CD180;GFI1;CMKLR1;CARD9;SLA2;IL21;NLRC4;TLR8;CYSLTR2;TLR7;TREM2;HCST;TBX21;CLEC4A;SH2B3;VSIG4;ACOD1;TLR4;FCN1;CXCL11;UBD;TNFSF12;JAK2;CRTAM;LTA;IL1B;HLA-DRA;HLA-DQA1;HLA-DPB1;HLA-DQB2;CTSB;LGALS1;HMOX1;CSF1;GZMB;BCL2;ITGAM;FCGR2A;HCLS1;ETS1;LAG3;HLA-DPA1;FPR1;C5AR1;IL10;PTAFR;HLA-DMB;CCR1;CCR2;WAS;FASLG;SLC11A1;CXCR3;CCR6;JAK3;DAB2;MEF2C;IL24;PLA2G7;SLA;IL18R1;HLA-DRB1;HLA-DRB5;PIK3R6;PIK3AP1;RASGRP4;CLEC4D;SEMA4D;P2RX7;CCL19;MAP3K3;CLEC7A;FOXP3;LAT2;CD209</t>
  </si>
  <si>
    <t>http://www.broadinstitute.org/gsea/msigdb/cards/GO_POSITIVE_REGULATION_OF_RESPONSE_TO_STIMULUS.html</t>
  </si>
  <si>
    <t>GO_BIOLOGICAL_ADHESION</t>
  </si>
  <si>
    <t>259197;9051;9404;3458;920;925;972;915;3689;3932;914;916;5341;5788;3055;917;940;3659;6351;6352;3676;3575;945;3683;3687;971;3695;959;923;2207;11151;1236;944;941;5734;10225;942;7535;5294;3702;6504;6404;3662;399;10666;201633;197358;83706;387357;10288;81704;57580;1794;114836;89790;84174;4063;55423;11314;8832;30009;50856;27036;27180;29851;10154;6793;56253;8320;3553;2811;924;596;926;3684;3936;6402;6693;2358;1230;7454;6556;2833;1237;140885;4973;4240;2529;8809;10148;10457;79865;146183;54518;120425;338339;10507;10077;114132;145864;5027;6363;64581;84034;50943;6614;64919;64805;64098;30835;57823;23166;30817;26279;9935</t>
  </si>
  <si>
    <t>NCR3;PSTPIP1;LPXN;IFNG;CD4;CD8A;CD74;CD3D;ITGB2;LCK;CD2;CD3E;PLEK;PTPRC;HCK;CD3G;CD28;IRF1;CCL4;CCL5;ITGA4;IL7R;CD33;ITGAL;ITGAX;CD72;ITGB7;CD40LG;CD6;FCER1G;CORO1A;CCR7;TNFSF8;CD80;PTGER4;CD96;CD86;ZAP70;PIK3CG;ITK;SLAMF1;SELPLG;IRF4;RHOH;CD226;TIGIT;NLRC3;FERMT3;THEMIS;LILRB2;DOCK8;PREX1;DOCK2;SLAMF6;SIGLEC10;SLA2;LY9;SIRPG;CD300A;CD84;TBX21;CLEC4A;SIGLEC7;SIGLEC9;ICOS;PLXNC1;STK10;CRTAM;EOMES;IL1B;GP1BA;CD7;BCL2;CD8B;ITGAM;LCP1;SELL;SPN;FPR2;CCR1;WAS;SLC11A1;CXCR3;CCR8;SIRPA;OLR1;MFGE8;FUT7;IL18R1;EBI3;GPNMB;TREML2;OTOA;APBB1IP;JAML;CLEC4D;SEMA4D;TSPAN32;SIGLEC11;HAPLN3;P2RX7;CCL19;CLEC7A;EMILIN2;FOXP3;SIGLEC1;BCL11B;P2RY12;PARVG;CD209;SLAMF7;STAB1;ADGRE2;PLA2G2D;MAFB</t>
  </si>
  <si>
    <t>http://www.broadinstitute.org/gsea/msigdb/cards/GO_BIOLOGICAL_ADHESION.html</t>
  </si>
  <si>
    <t>GO_ADAPTIVE_IMMUNE_RESPONSE</t>
  </si>
  <si>
    <t>4068;11025;10068;3458;920;925;712;713;714;972;5579;1493;1378;959;923;2207;942;7535;5294;6890;695;3702;6504;3662;719;93978;3903;50852;151888;387357;10288;11006;84868;89857;2210;3635;114836;51744;84174;4063;51311;8832;50856;7099;3717;11024;10990;56253;8320;5452;924;926;6556;3718;6891;4208;8809;10148;814;3123;3127;79168;10462;11027;202309;338339;50943;7462;30835;57823;27240</t>
  </si>
  <si>
    <t>SH2D1A;LILRB3;IL18BP;IFNG;CD4;CD8A;C1QA;C1QB;C1QC;CD74;PRKCB;CTLA4;CR1;CD40LG;CD6;FCER1G;CD86;ZAP70;PIK3CG;TAP1;BTK;ITK;SLAMF1;IRF4;C3AR1;CLEC6A;LAIR1;TRAT1;BTLA;THEMIS;LILRB2;LILRB4;HAVCR2;KLHL6;FCGR1B;INPP5D;SLAMF6;CD244;SLA2;LY9;TLR8;CD84;CLEC4A;TLR4;JAK2;LILRA1;LILRB5;CRTAM;EOMES;POU2F2;CD7;CD8B;SLC11A1;JAK3;TAP2;MEF2C;IL18R1;EBI3;CAMK4;HLA-DRB1;HLA-DRB5;LILRA6;CLEC10A;LILRA2;GAPT;CLEC4D;FOXP3;LAT2;CD209;SLAMF7;SIT1</t>
  </si>
  <si>
    <t>http://www.broadinstitute.org/gsea/msigdb/cards/GO_ADAPTIVE_IMMUNE_RESPONSE.html</t>
  </si>
  <si>
    <t>GO_INTRINSIC_COMPONENT_OF_PLASMA_MEMBRANE</t>
  </si>
  <si>
    <t>10663;259197;1318;7305;11025;11309;10261;925;1536;3689;914;1436;916;929;5788;962;917;940;951;3676;2350;653361;3560;1493;1378;963;945;7133;3683;3687;971;3695;959;923;2207;3561;1439;944;2124;2322;10225;3594;1233;1234;3071;4354;10871;8514;7805;6404;4689;10666;719;5800;201633;50852;9332;64926;8477;10288;4064;1240;53829;56659;57105;51284;8832;29992;9056;50856;2857;27036;27180;51393;29851;284417;2848;7099;9034;29909;9120;366;8742;10154;7439;19;56253;3122;3117;921;2811;926;3684;6402;6693;3737;4688;3113;728;4481;6518;4360;3274;5724;943;1043;1230;6546;6753;3363;729230;3812;2829;356;6556;2833;1235;1237;4973;1601;3604;969;4033;10457;4818;3123;441168;25780;84230;10507;84329;10077;5027;3805;64805;51063;53831;23166;27240</t>
  </si>
  <si>
    <t>CXCR6;NCR3;SLC31A2;TYROBP;LILRB3;SLCO2B1;IGSF6;CD8A;CYBB;ITGB2;CD2;CSF1R;CD3E;CD14;PTPRC;CD48;CD3G;CD28;CD37;ITGA4;FOLR2;NCF1;IL2RB;CTLA4;CR1;CD53;CD33;TNFRSF1B;ITGAL;ITGAX;CD72;ITGB7;CD40LG;CD6;FCER1G;IL2RG;CSF2RB;TNFSF8;EVI2B;FLT3;CD96;IL12RB1;CCR4;CCR5;NCKAP1L;MPP1;CD300C;KCNAB2;LAPTM5;SELPLG;NCF4;CD226;C3AR1;PTPRO;TIGIT;TRAT1;CD163;RASAL3;GPR65;LILRB2;CD180;CMKLR1;P2RY13;KCNK13;CYSLTR2;TLR7;CD84;PILRA;SLC7A7;CLEC4A;GPR34;SIGLEC7;SIGLEC9;TRPV2;ICOS;TMEM150B;GPR25;TLR4;CCRL2;GPR171;SLC16A6;AQP9;TNFSF12;PLXNC1;BEST1;ABCA1;CRTAM;HLA-DRA;HLA-DQA1;CD5;GP1BA;CD8B;ITGAM;SELL;SPN;KCNA2;NCF2;HLA-DPA1;C5AR1;MSR1;SLC2A5;MRC1;HRH2;PTAFR;TNFRSF8;CD52;CCR1;SLC8A1;SSTR3;HTR7;CCR2;KIR3DL2;XCR1;FASLG;SLC11A1;CXCR3;CCR6;CCR8;OLR1;DAB2;TNFRSF9;CD69;LRMP;GPNMB;NKG7;HLA-DRB1;CALHM6;RASGRP3;LRRC8C;SEMA4D;HVCN1;TSPAN32;P2RX7;KIR2DL4;P2RY12;CALHM2;GPR84;STAB1;SIT1</t>
  </si>
  <si>
    <t>http://www.broadinstitute.org/gsea/msigdb/cards/GO_INTRINSIC_COMPONENT_OF_PLASMA_MEMBRANE.html</t>
  </si>
  <si>
    <t>GO_LEUKOCYTE_CELL_CELL_ADHESION</t>
  </si>
  <si>
    <t>3458;920;925;972;915;3689;3932;914;916;5788;917;940;3659;6352;3676;3575;3683;3695;959;2207;1236;944;941;5734;942;7535;5294;3702;3662;399;197358;83706;387357;81704;57580;1794;114836;84174;4063;30009;6793;56253;8320;3553;924;596;926;3936;6693;7454;6556;4973;2529;8809;10148;79865;54518;120425;338339;10507;5027;6363;64581;50943;64919;30835;26279;9935</t>
  </si>
  <si>
    <t>IFNG;CD4;CD8A;CD74;CD3D;ITGB2;LCK;CD2;CD3E;PTPRC;CD3G;CD28;IRF1;CCL5;ITGA4;IL7R;ITGAL;ITGB7;CD40LG;FCER1G;CCR7;TNFSF8;CD80;PTGER4;CD86;ZAP70;PIK3CG;ITK;IRF4;RHOH;NLRC3;FERMT3;THEMIS;DOCK8;PREX1;DOCK2;SLAMF6;SLA2;LY9;TBX21;STK10;CRTAM;EOMES;IL1B;CD7;BCL2;CD8B;LCP1;SPN;WAS;SLC11A1;OLR1;FUT7;IL18R1;EBI3;TREML2;APBB1IP;JAML;CLEC4D;SEMA4D;P2RX7;CCL19;CLEC7A;FOXP3;BCL11B;CD209;PLA2G2D;MAFB</t>
  </si>
  <si>
    <t>http://www.broadinstitute.org/gsea/msigdb/cards/GO_LEUKOCYTE_CELL_CELL_ADHESION.html</t>
  </si>
  <si>
    <t>GO_POSITIVE_REGULATION_OF_CELL_ACTIVATION</t>
  </si>
  <si>
    <t>9840;9402;54440;3458;3559;920;972;915;3932;914;916;5341;5788;917;2268;940;6352;1493;3575;919;959;923;2207;11151;1236;941;942;3594;7535;199;3071;695;6504;10666;151888;64926;10288;84868;3635;114548;80380;51744;59067;55423;30009;10673;29851;7099;3717;3553;3122;3117;3115;3120;921;3956;596;6693;3113;5724;3109;729230;3718;4208;10148;5133;3123;3127;146850;6363;50943;29126</t>
  </si>
  <si>
    <t>TESPA1;GRAP2;SASH3;IFNG;IL2RA;CD4;CD74;CD3D;LCK;CD2;CD3E;PLEK;PTPRC;CD3G;FGR;CD28;CCL5;CTLA4;IL7R;CD247;CD40LG;CD6;FCER1G;CORO1A;CCR7;CD80;CD86;IL12RB1;ZAP70;AIF1;NCKAP1L;BTK;SLAMF1;CD226;BTLA;RASAL3;LILRB2;HAVCR2;INPP5D;NLRP3;PDCD1LG2;CD244;IL21;SIRPG;TBX21;TNFSF13B;ICOS;TLR4;JAK2;IL1B;HLA-DRA;HLA-DQA1;HLA-DPB1;HLA-DQB2;CD5;LGALS1;BCL2;SPN;HLA-DPA1;PTAFR;HLA-DMB;CCR2;JAK3;MEF2C;EBI3;PDCD1;HLA-DRB1;HLA-DRB5;PIK3R6;CCL19;FOXP3;CD274</t>
  </si>
  <si>
    <t>http://www.broadinstitute.org/gsea/msigdb/cards/GO_POSITIVE_REGULATION_OF_CELL_ACTIVATION.html</t>
  </si>
  <si>
    <t>GO_RECEPTOR_ACTIVITY</t>
  </si>
  <si>
    <t>27334;10663;259197;11025;10261;3559;920;925;972;915;3689;914;1436;916;929;5788;917;940;3676;2350;3560;3575;1378;945;7133;3683;3687;919;971;2123;3695;923;2207;3561;1236;1439;941;5734;2322;942;3594;1233;1234;10871;3820;6504;3587;6404;10666;719;5800;201633;353345;9332;286530;8477;221188;10288;150372;11006;2210;4064;1240;53829;84636;51744;50615;51311;57105;51284;54209;11314;50856;2857;27036;2848;7099;9034;2219;29909;10154;11024;10990;19;56253;3122;3117;3120;921;3111;2811;924;926;9103;3112;6693;3902;3113;2357;728;4481;4360;3274;2359;2358;5724;943;1230;6753;3363;729230;2829;2833;1235;1237;4973;1601;3604;969;55911;3824;8809;10148;3123;79865;11027;10507;5027;3805;56670;64581;64805;30835;53831;283316;23166;9033;30817</t>
  </si>
  <si>
    <t>P2RY10;CXCR6;NCR3;LILRB3;IGSF6;IL2RA;CD4;CD8A;CD74;CD3D;ITGB2;CD2;CSF1R;CD3E;CD14;PTPRC;CD3G;CD28;ITGA4;FOLR2;IL2RB;IL7R;CR1;CD33;TNFRSF1B;ITGAL;ITGAX;CD247;CD72;EVI2A;ITGB7;CD6;FCER1G;IL2RG;CCR7;CSF2RB;CD80;PTGER4;FLT3;CD86;IL12RB1;CCR4;CCR5;CD300C;KLRB1;SLAMF1;IL10RA;SELPLG;CD226;C3AR1;PTPRO;TIGIT;GPR141;CD163;P2RY8;GPR65;ADGRG5;LILRB2;NFAM1;LILRB4;FCGR1B;CD180;CMKLR1;P2RY13;GPR174;CD244;IL21R;TLR8;CYSLTR2;TLR7;TREM2;CD300A;CLEC4A;GPR34;SIGLEC7;GPR25;TLR4;CCRL2;FCN1;GPR171;PLXNC1;LILRA1;LILRB5;ABCA1;CRTAM;HLA-DRA;HLA-DQA1;HLA-DQB2;CD5;HLA-DOA;GP1BA;CD7;CD8B;FCGR2A;HLA-DOB;SPN;LAG3;HLA-DPA1;FPR1;C5AR1;MSR1;MRC1;HRH2;FPR3;FPR2;PTAFR;TNFRSF8;CCR1;SSTR3;HTR7;CCR2;XCR1;CXCR3;CCR6;CCR8;OLR1;DAB2;TNFRSF9;CD69;APOBR;KLRD1;IL18R1;EBI3;HLA-DRB1;TREML2;LILRA2;SEMA4D;P2RX7;KIR2DL4;SUCNR1;CLEC7A;P2RY12;CD209;GPR84;CD163L1;STAB1;PKD2L1;ADGRE2</t>
  </si>
  <si>
    <t>http://www.broadinstitute.org/gsea/msigdb/cards/GO_RECEPTOR_ACTIVITY.html</t>
  </si>
  <si>
    <t>GO_REGULATION_OF_HOMOTYPIC_CELL_CELL_ADHESION</t>
  </si>
  <si>
    <t>9840;9402;54440;3458;3559;920;972;915;3932;914;916;5788;917;940;3659;6352;1493;3575;919;959;923;11151;1236;941;942;3594;7535;199;3071;6504;3662;201633;79626;151888;64926;10288;84868;114548;80380;51744;59067;55423;11314;29851;3553;3122;3117;3115;3120;921;3111;3956;6693;3902;3113;3586;3109;729230;3718;10148;5133;814;3123;3127;146850;6363;50943;30835;29126;26279;27240</t>
  </si>
  <si>
    <t>TESPA1;GRAP2;SASH3;IFNG;IL2RA;CD4;CD74;CD3D;LCK;CD2;CD3E;PTPRC;CD3G;CD28;IRF1;CCL5;CTLA4;IL7R;CD247;CD40LG;CD6;CORO1A;CCR7;CD80;CD86;IL12RB1;ZAP70;AIF1;NCKAP1L;SLAMF1;IRF4;TIGIT;TNFAIP8L2;BTLA;RASAL3;LILRB2;HAVCR2;NLRP3;PDCD1LG2;CD244;IL21;SIRPG;CD300A;ICOS;IL1B;HLA-DRA;HLA-DQA1;HLA-DPB1;HLA-DQB2;CD5;HLA-DOA;LGALS1;SPN;LAG3;HLA-DPA1;IL10;HLA-DMB;CCR2;JAK3;EBI3;PDCD1;CAMK4;HLA-DRB1;HLA-DRB5;PIK3R6;CCL19;FOXP3;CD209;CD274;PLA2G2D;SIT1</t>
  </si>
  <si>
    <t>http://www.broadinstitute.org/gsea/msigdb/cards/GO_REGULATION_OF_HOMOTYPIC_CELL_CELL_ADHESION.html</t>
  </si>
  <si>
    <t>GO_INNATE_IMMUNE_RESPONSE</t>
  </si>
  <si>
    <t>4210;9051;7305;4068;9450;3458;712;713;714;1536;3932;1436;929;3055;2268;3659;2209;6351;6352;653361;1378;923;2207;11151;2633;942;6772;3594;7535;5294;199;3394;695;3702;4671;6504;3662;93978;79626;84166;84868;2210;114836;114548;115362;4064;51744;81030;64170;4063;58484;51311;51284;54209;8832;50856;11326;353514;730249;7099;2219;10537;3717;3122;3117;3115;3120;1435;3002;6037;10437;4688;3113;4360;5724;4261;6556;3004;3718;3824;3123;3127;342510;375387;10462;338339;6363;64581;30835;57823;25939</t>
  </si>
  <si>
    <t>MEFV;PSTPIP1;TYROBP;SH2D1A;LY86;IFNG;C1QA;C1QB;C1QC;CYBB;LCK;CSF1R;CD14;HCK;FGR;IRF1;FCGR1A;CCL4;CCL5;NCF1;CR1;CD6;FCER1G;CORO1A;GBP1;CD86;STAT1;IL12RB1;ZAP70;PIK3CG;AIF1;IRF8;BTK;ITK;NAIP;SLAMF1;IRF4;CLEC6A;TNFAIP8L2;NLRC5;HAVCR2;FCGR1B;SLAMF6;NLRP3;GBP5;CD180;CD244;ZBP1;CARD9;LY9;NLRC4;TLR8;TLR7;TREM2;CD84;CLEC4A;VSIG4;LILRA5;ACOD1;TLR4;FCN1;UBD;JAK2;HLA-DRA;HLA-DQA1;HLA-DPB1;HLA-DQB2;CSF1;GZMB;RNASE3;IFI30;NCF2;HLA-DPA1;MRC1;PTAFR;CIITA;SLC11A1;GZMM;JAK3;KLRD1;HLA-DRB1;HLA-DRB5;CD300E;NRROS;CLEC10A;CLEC4D;CCL19;CLEC7A;CD209;SLAMF7;SAMHD1</t>
  </si>
  <si>
    <t>http://www.broadinstitute.org/gsea/msigdb/cards/GO_INNATE_IMMUNE_RESPONSE.html</t>
  </si>
  <si>
    <t>GO_REGULATION_OF_CELL_CELL_ADHESION</t>
  </si>
  <si>
    <t>9840;9402;54440;3458;3559;920;972;915;3932;914;916;5788;917;940;3659;6352;3676;1493;3575;919;959;923;11151;1236;941;942;3594;7535;199;3071;6504;3662;201633;79626;151888;83706;64926;10288;84868;114548;80380;51744;59067;55423;11314;29851;3717;3553;3122;3117;3115;3120;921;3111;3956;2113;6693;3902;3113;3586;5724;3109;729230;3718;10148;5133;814;3123;3127;146850;6363;50943;30835;29126;26279;27240</t>
  </si>
  <si>
    <t>TESPA1;GRAP2;SASH3;IFNG;IL2RA;CD4;CD74;CD3D;LCK;CD2;CD3E;PTPRC;CD3G;CD28;IRF1;CCL5;ITGA4;CTLA4;IL7R;CD247;CD40LG;CD6;CORO1A;CCR7;CD80;CD86;IL12RB1;ZAP70;AIF1;NCKAP1L;SLAMF1;IRF4;TIGIT;TNFAIP8L2;BTLA;FERMT3;RASAL3;LILRB2;HAVCR2;NLRP3;PDCD1LG2;CD244;IL21;SIRPG;CD300A;ICOS;JAK2;IL1B;HLA-DRA;HLA-DQA1;HLA-DPB1;HLA-DQB2;CD5;HLA-DOA;LGALS1;ETS1;SPN;LAG3;HLA-DPA1;IL10;PTAFR;HLA-DMB;CCR2;JAK3;EBI3;PDCD1;CAMK4;HLA-DRB1;HLA-DRB5;PIK3R6;CCL19;FOXP3;CD209;CD274;PLA2G2D;SIT1</t>
  </si>
  <si>
    <t>http://www.broadinstitute.org/gsea/msigdb/cards/GO_REGULATION_OF_CELL_CELL_ADHESION.html</t>
  </si>
  <si>
    <t>GO_REGULATION_OF_CELL_ADHESION</t>
  </si>
  <si>
    <t>9840;9404;9595;9402;54440;3458;3559;920;972;915;3932;914;916;5788;917;940;3659;6352;3676;1493;3575;919;959;923;11151;1236;2633;941;5734;942;3594;7535;5294;199;3071;6504;3662;5800;201633;79626;151888;83706;64926;10288;57580;84868;114548;80380;51744;59067;55423;11314;29851;27299;3717;3553;3122;3117;3115;3120;921;3111;3956;1435;596;54;2113;6693;3902;3113;3586;5724;3109;729230;3718;10148;5133;814;3123;3127;146850;54518;25890;9806;10507;6363;50943;30835;29126;26279;27240</t>
  </si>
  <si>
    <t>TESPA1;LPXN;CYTIP;GRAP2;SASH3;IFNG;IL2RA;CD4;CD74;CD3D;LCK;CD2;CD3E;PTPRC;CD3G;CD28;IRF1;CCL5;ITGA4;CTLA4;IL7R;CD247;CD40LG;CD6;CORO1A;CCR7;GBP1;CD80;PTGER4;CD86;IL12RB1;ZAP70;PIK3CG;AIF1;NCKAP1L;SLAMF1;IRF4;PTPRO;TIGIT;TNFAIP8L2;BTLA;FERMT3;RASAL3;LILRB2;PREX1;HAVCR2;NLRP3;PDCD1LG2;CD244;IL21;SIRPG;CD300A;ICOS;ADAMDEC1;JAK2;IL1B;HLA-DRA;HLA-DQA1;HLA-DPB1;HLA-DQB2;CD5;HLA-DOA;LGALS1;CSF1;BCL2;ACP5;ETS1;SPN;LAG3;HLA-DPA1;IL10;PTAFR;HLA-DMB;CCR2;JAK3;EBI3;PDCD1;CAMK4;HLA-DRB1;HLA-DRB5;PIK3R6;APBB1IP;ABI3BP;SPOCK2;SEMA4D;CCL19;FOXP3;CD209;CD274;PLA2G2D;SIT1</t>
  </si>
  <si>
    <t>http://www.broadinstitute.org/gsea/msigdb/cards/GO_REGULATION_OF_CELL_ADHESION.html</t>
  </si>
  <si>
    <t>GO_REGULATION_OF_CYTOKINE_PRODUCTION</t>
  </si>
  <si>
    <t>4210;54440;3458;920;972;914;1436;916;929;2268;940;3659;959;923;2207;1236;2633;941;5734;942;3594;3071;53347;3394;695;6504;3662;719;201633;93978;197358;84166;10288;150372;84868;3635;114836;114548;115362;1240;80380;51744;81030;64170;59067;4063;51311;51284;8832;730249;7099;2219;3717;56253;4049;3553;3115;3162;5552;54;6693;3902;3113;728;3586;5724;943;729230;6556;3718;4050;3604;8809;10148;10457;3123;3127;5027;6363;50943;29126;22900</t>
  </si>
  <si>
    <t>MEFV;SASH3;IFNG;CD4;CD74;CD2;CSF1R;CD3E;CD14;FGR;CD28;IRF1;CD40LG;CD6;FCER1G;CCR7;GBP1;CD80;PTGER4;CD86;IL12RB1;NCKAP1L;UBASH3A;IRF8;BTK;SLAMF1;IRF4;C3AR1;TIGIT;CLEC6A;NLRC3;NLRC5;LILRB2;NFAM1;HAVCR2;INPP5D;SLAMF6;NLRP3;GBP5;CMKLR1;PDCD1LG2;CD244;ZBP1;CARD9;IL21;LY9;TLR8;TLR7;CD84;ACOD1;TLR4;FCN1;JAK2;CRTAM;LTA;IL1B;HLA-DPB1;HMOX1;SRGN;ACP5;SPN;LAG3;HLA-DPA1;C5AR1;IL10;PTAFR;TNFRSF8;CCR2;SLC11A1;JAK3;LTB;TNFRSF9;IL18R1;EBI3;GPNMB;HLA-DRB1;HLA-DRB5;P2RX7;CCL19;FOXP3;CD274;CARD8</t>
  </si>
  <si>
    <t>http://www.broadinstitute.org/gsea/msigdb/cards/GO_REGULATION_OF_CYTOKINE_PRODUCTION.html</t>
  </si>
  <si>
    <t>GO_INFLAMMATORY_RESPONSE</t>
  </si>
  <si>
    <t>10663;259197;4210;9051;80833;9450;3559;3627;1536;3689;1436;929;3055;6351;6352;2350;7133;3683;313;959;923;2207;1236;7535;5294;1233;1234;199;4283;4671;719;54899;9332;150372;84868;114548;115362;4064;58484;51311;51284;730249;7099;9034;6373;3553;3162;1435;240;728;3586;2358;5724;943;1230;3988;729230;2829;6556;2833;4973;3604;11009;814;3123;3127;375387;5027;6363;64581;6614;23166;30817;26279;8605</t>
  </si>
  <si>
    <t>CXCR6;NCR3;MEFV;PSTPIP1;APOL3;LY86;IL2RA;CXCL10;CYBB;ITGB2;CSF1R;CD14;HCK;CCL4;CCL5;FOLR2;TNFRSF1B;ITGAL;AOAH;CD40LG;CD6;FCER1G;CCR7;ZAP70;PIK3CG;CCR4;CCR5;AIF1;CXCL9;NAIP;C3AR1;PXK;CD163;NFAM1;HAVCR2;NLRP3;GBP5;CD180;NLRC4;TLR8;TLR7;ACOD1;TLR4;CCRL2;CXCL11;IL1B;HMOX1;CSF1;ALOX5;C5AR1;IL10;FPR2;PTAFR;TNFRSF8;CCR1;LIPA;CCR2;XCR1;SLC11A1;CXCR3;OLR1;TNFRSF9;IL24;CAMK4;HLA-DRB1;HLA-DRB5;NRROS;P2RX7;CCL19;CLEC7A;SIGLEC1;STAB1;ADGRE2;PLA2G2D;PLA2G4C</t>
  </si>
  <si>
    <t>http://www.broadinstitute.org/gsea/msigdb/cards/GO_INFLAMMATORY_RESPONSE.html</t>
  </si>
  <si>
    <t>GO_SINGLE_ORGANISM_CELL_ADHESION</t>
  </si>
  <si>
    <t>3458;920;925;972;915;3689;3932;914;916;5341;5788;917;940;3659;6352;3676;3575;3683;3687;3695;959;2207;1236;944;941;5734;942;7535;5294;3702;3662;399;197358;83706;387357;10288;81704;57580;1794;114836;84174;4063;30009;29851;6793;56253;8320;3553;924;596;926;3936;6693;7454;6556;4973;2529;8809;10148;79865;54518;120425;338339;10507;10077;5027;6363;64581;50943;6614;64919;64805;30835;26279;9935</t>
  </si>
  <si>
    <t>IFNG;CD4;CD8A;CD74;CD3D;ITGB2;LCK;CD2;CD3E;PLEK;PTPRC;CD3G;CD28;IRF1;CCL5;ITGA4;IL7R;ITGAL;ITGAX;ITGB7;CD40LG;FCER1G;CCR7;TNFSF8;CD80;PTGER4;CD86;ZAP70;PIK3CG;ITK;IRF4;RHOH;NLRC3;FERMT3;THEMIS;LILRB2;DOCK8;PREX1;DOCK2;SLAMF6;SLA2;LY9;TBX21;ICOS;STK10;CRTAM;EOMES;IL1B;CD7;BCL2;CD8B;LCP1;SPN;WAS;SLC11A1;OLR1;FUT7;IL18R1;EBI3;TREML2;APBB1IP;JAML;CLEC4D;SEMA4D;TSPAN32;P2RX7;CCL19;CLEC7A;FOXP3;SIGLEC1;BCL11B;P2RY12;CD209;PLA2G2D;MAFB</t>
  </si>
  <si>
    <t>http://www.broadinstitute.org/gsea/msigdb/cards/GO_SINGLE_ORGANISM_CELL_ADHESION.html</t>
  </si>
  <si>
    <t>GO_POSITIVE_REGULATION_OF_CELL_CELL_ADHESION</t>
  </si>
  <si>
    <t>9840;9402;54440;3458;3559;920;972;915;3932;916;5788;917;940;6352;3676;1493;3575;919;959;923;11151;941;942;3594;7535;199;3071;6504;151888;64926;10288;84868;114548;80380;51744;59067;55423;29851;3553;3122;3117;3115;3120;921;3956;2113;6693;3113;5724;3109;729230;3718;10148;5133;3123;3127;146850;6363;50943;29126</t>
  </si>
  <si>
    <t>TESPA1;GRAP2;SASH3;IFNG;IL2RA;CD4;CD74;CD3D;LCK;CD3E;PTPRC;CD3G;CD28;CCL5;ITGA4;CTLA4;IL7R;CD247;CD40LG;CD6;CORO1A;CD80;CD86;IL12RB1;ZAP70;AIF1;NCKAP1L;SLAMF1;BTLA;RASAL3;LILRB2;HAVCR2;NLRP3;PDCD1LG2;CD244;IL21;SIRPG;ICOS;IL1B;HLA-DRA;HLA-DQA1;HLA-DPB1;HLA-DQB2;CD5;LGALS1;ETS1;SPN;HLA-DPA1;PTAFR;HLA-DMB;CCR2;JAK3;EBI3;PDCD1;HLA-DRB1;HLA-DRB5;PIK3R6;CCL19;FOXP3;CD274</t>
  </si>
  <si>
    <t>http://www.broadinstitute.org/gsea/msigdb/cards/GO_POSITIVE_REGULATION_OF_CELL_CELL_ADHESION.html</t>
  </si>
  <si>
    <t>GO_IMMUNE_EFFECTOR_PROCESS</t>
  </si>
  <si>
    <t>4242;7456;7305;3458;925;712;713;714;3627;972;5788;3055;2214;917;2268;3659;2209;5551;1378;3683;919;959;2207;11151;2633;5734;942;6772;7535;5294;3071;4283;6504;3662;84166;84868;1794;3635;114836;114548;4064;51744;64170;84174;4063;51311;51284;23228;11326;7099;2219;56253;8320;5452;1621;3956;3002;596;2212;3936;7454;6556;2529;3824;8809;814;3123;3127;54518;202309;338339;64581;50943;7462;57823;25939</t>
  </si>
  <si>
    <t>MFNG;WIPF1;TYROBP;IFNG;CD8A;C1QA;C1QB;C1QC;CXCL10;CD74;PTPRC;HCK;FCGR3A;CD3G;FGR;IRF1;FCGR1A;PRF1;CR1;ITGAL;CD247;CD40LG;FCER1G;CORO1A;GBP1;PTGER4;CD86;STAT1;ZAP70;PIK3CG;NCKAP1L;CXCL9;SLAMF1;IRF4;NLRC5;HAVCR2;DOCK2;INPP5D;SLAMF6;NLRP3;CD180;CD244;CARD9;SLA2;LY9;TLR8;TLR7;PLCL2;VSIG4;TLR4;FCN1;CRTAM;EOMES;POU2F2;DBH;LGALS1;GZMB;BCL2;FCGR2A;LCP1;WAS;SLC11A1;FUT7;KLRD1;IL18R1;CAMK4;HLA-DRB1;HLA-DRB5;APBB1IP;GAPT;CLEC4D;CLEC7A;FOXP3;LAT2;SLAMF7;SAMHD1</t>
  </si>
  <si>
    <t>http://www.broadinstitute.org/gsea/msigdb/cards/GO_IMMUNE_EFFECTOR_PROCESS.html</t>
  </si>
  <si>
    <t>GO_SIDE_OF_MEMBRANE</t>
  </si>
  <si>
    <t>3458;3559;920;925;3627;972;3932;914;916;929;5788;3055;2214;2268;940;2350;3560;1493;3575;945;959;2207;3561;1236;941;5778;942;3594;7535;1233;1234;695;4283;3702;6504;8514;10666;64926;51744;29851;7099;2219;3717;19;3122;3117;3115;3120;921;2811;1508;926;6402;6693;3902;3113;1230;356;2833;3718;54331;3604;969;4240;3824;10672;5133;3123;3127;5027;64805;29126</t>
  </si>
  <si>
    <t>IFNG;IL2RA;CD4;CD8A;CXCL10;CD74;LCK;CD2;CD3E;CD14;PTPRC;HCK;FCGR3A;FGR;CD28;FOLR2;IL2RB;CTLA4;IL7R;CD33;CD40LG;FCER1G;IL2RG;CCR7;CD80;PTPN7;CD86;IL12RB1;ZAP70;CCR4;CCR5;BTK;CXCL9;ITK;SLAMF1;KCNAB2;CD226;RASAL3;CD244;ICOS;TLR4;FCN1;JAK2;ABCA1;HLA-DRA;HLA-DQA1;HLA-DPB1;HLA-DQB2;CD5;GP1BA;CTSB;CD8B;SELL;SPN;LAG3;HLA-DPA1;CCR1;FASLG;CXCR3;JAK3;GNG2;TNFRSF9;CD69;MFGE8;KLRD1;GNA13;PDCD1;HLA-DRB1;HLA-DRB5;P2RX7;P2RY12;CD274</t>
  </si>
  <si>
    <t>http://www.broadinstitute.org/gsea/msigdb/cards/GO_SIDE_OF_MEMBRANE.html</t>
  </si>
  <si>
    <t>GO_SIGNAL_TRANSDUCER_ACTIVITY</t>
  </si>
  <si>
    <t>27334;10663;7305;9046;11025;80833;10261;3559;920;925;972;915;3689;1436;916;929;5788;917;940;2209;3676;3560;3575;1378;7133;3683;919;971;2123;2207;3561;1236;1439;941;5734;2322;942;6772;3594;1233;1234;10871;3820;6504;3587;719;5800;50852;353345;286530;8477;221188;10288;150372;2210;11184;1240;53829;84636;50615;57105;51284;11314;50856;2857;23228;10019;2848;7099;9034;2219;29909;10154;11024;10990;6793;19;3122;3117;3120;921;3111;2811;3956;3162;926;9103;3112;6693;3902;3113;2357;728;4360;3274;2359;2358;5724;943;1230;6753;3363;729230;6776;2829;2833;1235;1237;54331;3604;969;3824;8809;10148;10672;5133;3123;25780;10507;5027;3805;4215;56670;64581;64805;59345;53831;9033;30817</t>
  </si>
  <si>
    <t>P2RY10;CXCR6;TYROBP;DOK2;LILRB3;APOL3;IGSF6;IL2RA;CD4;CD8A;CD74;CD3D;ITGB2;CSF1R;CD3E;CD14;PTPRC;CD3G;CD28;FCGR1A;ITGA4;IL2RB;IL7R;CR1;TNFRSF1B;ITGAL;CD247;CD72;EVI2A;FCER1G;IL2RG;CCR7;CSF2RB;CD80;PTGER4;FLT3;CD86;STAT1;IL12RB1;CCR4;CCR5;CD300C;KLRB1;SLAMF1;IL10RA;C3AR1;PTPRO;TRAT1;GPR141;P2RY8;GPR65;ADGRG5;LILRB2;NFAM1;FCGR1B;MAP4K1;CMKLR1;P2RY13;GPR174;IL21R;CYSLTR2;TLR7;CD300A;CLEC4A;GPR34;PLCL2;SH2B3;GPR25;TLR4;CCRL2;FCN1;GPR171;PLXNC1;LILRA1;LILRB5;STK10;ABCA1;HLA-DRA;HLA-DQA1;HLA-DQB2;CD5;HLA-DOA;GP1BA;LGALS1;HMOX1;CD8B;FCGR2A;HLA-DOB;SPN;LAG3;HLA-DPA1;FPR1;C5AR1;MRC1;HRH2;FPR3;FPR2;PTAFR;TNFRSF8;CCR1;SSTR3;HTR7;CCR2;STAT5A;XCR1;CXCR3;CCR6;CCR8;GNG2;TNFRSF9;CD69;KLRD1;IL18R1;EBI3;GNA13;PDCD1;HLA-DRB1;RASGRP3;SEMA4D;P2RX7;KIR2DL4;MAP3K3;SUCNR1;CLEC7A;P2RY12;GNB4;GPR84;PKD2L1;ADGRE2</t>
  </si>
  <si>
    <t>http://www.broadinstitute.org/gsea/msigdb/cards/GO_SIGNAL_TRANSDUCER_ACTIVITY.html</t>
  </si>
  <si>
    <t>GO_POSITIVE_REGULATION_OF_CELL_ADHESION</t>
  </si>
  <si>
    <t>9840;9402;54440;3458;3559;920;972;915;3932;916;5788;917;940;6352;3676;1493;3575;919;959;923;11151;1236;941;5734;942;3594;7535;199;3071;6504;151888;64926;10288;57580;84868;114548;80380;51744;59067;55423;29851;3717;3553;3122;3117;3115;3120;921;3956;1435;2113;6693;3113;5724;3109;729230;3718;10148;5133;3123;3127;146850;54518;25890;9806;6363;50943;29126</t>
  </si>
  <si>
    <t>TESPA1;GRAP2;SASH3;IFNG;IL2RA;CD4;CD74;CD3D;LCK;CD3E;PTPRC;CD3G;CD28;CCL5;ITGA4;CTLA4;IL7R;CD247;CD40LG;CD6;CORO1A;CCR7;CD80;PTGER4;CD86;IL12RB1;ZAP70;AIF1;NCKAP1L;SLAMF1;BTLA;RASAL3;LILRB2;PREX1;HAVCR2;NLRP3;PDCD1LG2;CD244;IL21;SIRPG;ICOS;JAK2;IL1B;HLA-DRA;HLA-DQA1;HLA-DPB1;HLA-DQB2;CD5;LGALS1;CSF1;ETS1;SPN;HLA-DPA1;PTAFR;HLA-DMB;CCR2;JAK3;EBI3;PDCD1;HLA-DRB1;HLA-DRB5;PIK3R6;APBB1IP;ABI3BP;SPOCK2;CCL19;FOXP3;CD274</t>
  </si>
  <si>
    <t>http://www.broadinstitute.org/gsea/msigdb/cards/GO_POSITIVE_REGULATION_OF_CELL_ADHESION.html</t>
  </si>
  <si>
    <t>GO_RESPONSE_TO_CYTOKINE</t>
  </si>
  <si>
    <t>10663;4210;10068;3458;3559;3627;972;1436;929;3055;3659;2209;6351;6352;3676;3560;3575;7133;959;11151;3561;1236;2633;1439;5734;2322;942;6772;3594;1233;1234;199;3394;4283;3587;6404;3662;2210;115362;1240;50615;10673;730249;9034;6373;10537;8742;3717;4049;3553;3122;3117;3115;3120;2811;1508;1435;596;10437;54;3059;2113;3113;4360;5724;943;1230;4261;729230;6776;2829;6556;2833;1235;1237;3718;4050;3604;11009;8809;10148;3123;3127;6363;29126;25939</t>
  </si>
  <si>
    <t>CXCR6;MEFV;IL18BP;IFNG;IL2RA;CXCL10;CD74;CSF1R;CD14;HCK;IRF1;FCGR1A;CCL4;CCL5;ITGA4;IL2RB;IL7R;TNFRSF1B;CD40LG;CORO1A;IL2RG;CCR7;GBP1;CSF2RB;PTGER4;FLT3;CD86;STAT1;IL12RB1;CCR4;CCR5;AIF1;IRF8;CXCL9;IL10RA;SELPLG;IRF4;FCGR1B;GBP5;CMKLR1;IL21R;TNFSF13B;ACOD1;CCRL2;CXCL11;UBD;TNFSF12;JAK2;LTA;IL1B;HLA-DRA;HLA-DQA1;HLA-DPB1;HLA-DQB2;GP1BA;CTSB;CSF1;BCL2;IFI30;ACP5;HCLS1;ETS1;HLA-DPA1;MRC1;PTAFR;TNFRSF8;CCR1;CIITA;CCR2;STAT5A;XCR1;SLC11A1;CXCR3;CCR6;CCR8;JAK3;LTB;TNFRSF9;IL24;IL18R1;EBI3;HLA-DRB1;HLA-DRB5;CCL19;CD274;SAMHD1</t>
  </si>
  <si>
    <t>http://www.broadinstitute.org/gsea/msigdb/cards/GO_RESPONSE_TO_CYTOKINE.html</t>
  </si>
  <si>
    <t>GO_CELL_SURFACE</t>
  </si>
  <si>
    <t>9051;7305;3458;3559;920;925;3627;972;3689;914;1436;916;929;5788;2214;940;3676;2350;3560;1493;3575;1378;963;945;3683;3687;3695;959;2207;3561;1236;941;942;3594;1233;1234;4283;6504;10666;201633;10288;150372;84868;51744;4063;10870;51393;29851;7099;2219;19;3122;3115;921;2811;1508;3956;926;3684;6402;6693;3902;3113;728;4360;3108;1230;729230;6507;356;2833;1235;3604;969;4240;3824;5133;3123;3127;79865;146183;145581;10077;5027;64805;30835;29126;9033</t>
  </si>
  <si>
    <t>PSTPIP1;TYROBP;IFNG;IL2RA;CD4;CD8A;CXCL10;CD74;ITGB2;CD2;CSF1R;CD3E;CD14;PTPRC;FCGR3A;CD28;ITGA4;FOLR2;IL2RB;CTLA4;IL7R;CR1;CD53;CD33;ITGAL;ITGAX;ITGB7;CD40LG;FCER1G;IL2RG;CCR7;CD80;CD86;IL12RB1;CCR4;CCR5;CXCL9;SLAMF1;CD226;TIGIT;LILRB2;NFAM1;HAVCR2;CD244;LY9;HCST;TRPV2;ICOS;TLR4;FCN1;ABCA1;HLA-DRA;HLA-DPB1;CD5;GP1BA;CTSB;LGALS1;CD8B;ITGAM;SELL;SPN;LAG3;HLA-DPA1;C5AR1;MRC1;HLA-DMA;CCR1;CCR2;SLC1A3;FASLG;CXCR3;CCR6;TNFRSF9;CD69;MFGE8;KLRD1;PDCD1;HLA-DRB1;HLA-DRB5;TREML2;OTOA;LRFN5;TSPAN32;P2RX7;P2RY12;CD209;CD274;PKD2L1</t>
  </si>
  <si>
    <t>http://www.broadinstitute.org/gsea/msigdb/cards/GO_CELL_SURFACE.html</t>
  </si>
  <si>
    <t>GO_IMMUNE_SYSTEM_DEVELOPMENT</t>
  </si>
  <si>
    <t>4242;3458;920;925;972;915;3932;1436;916;5341;5788;940;3659;3676;3575;6688;959;2207;1236;944;5734;2322;942;7535;1233;3071;2313;3394;3702;6504;8514;10320;3662;399;719;387357;150372;57580;84868;139716;1794;114836;2672;4063;54209;30009;23228;10019;29851;730249;10537;3717;8320;4049;5452;3956;1435;596;4066;54;3059;6693;3586;3718;4208;4050;2529;8809;814;257101;116071;115727;338339;6363;50943;64919;54861;26279;9935</t>
  </si>
  <si>
    <t>MFNG;IFNG;CD4;CD8A;CD74;CD3D;LCK;CSF1R;CD3E;PLEK;PTPRC;CD28;IRF1;ITGA4;IL7R;SPI1;CD40LG;FCER1G;CCR7;TNFSF8;PTGER4;FLT3;CD86;ZAP70;CCR4;NCKAP1L;FLI1;IRF8;ITK;SLAMF1;KCNAB2;IKZF1;IRF4;RHOH;C3AR1;THEMIS;NFAM1;PREX1;HAVCR2;GAB3;DOCK2;SLAMF6;GFI1;LY9;TREM2;TBX21;PLCL2;SH2B3;ICOS;ACOD1;UBD;JAK2;EOMES;LTA;POU2F2;LGALS1;CSF1;BCL2;LYL1;ACP5;HCLS1;SPN;IL10;JAK3;MEF2C;LTB;FUT7;IL18R1;CAMK4;ZNF683;BATF2;RASGRP4;CLEC4D;CCL19;FOXP3;BCL11B;SNRK;PLA2G2D;MAFB</t>
  </si>
  <si>
    <t>http://www.broadinstitute.org/gsea/msigdb/cards/GO_IMMUNE_SYSTEM_DEVELOPMENT.html</t>
  </si>
  <si>
    <t>GO_ACTIVATION_OF_IMMUNE_RESPONSE</t>
  </si>
  <si>
    <t>2533;7456;9402;3458;920;712;713;714;915;3689;5579;3932;916;929;5788;3055;2214;917;2268;940;2209;1493;1378;919;2207;4332;942;7535;3071;695;3702;3937;719;93978;50852;387357;150372;84868;89857;3635;4064;64170;84174;58484;51311;51284;50856;11326;7099;2219;3122;3117;3115;3120;1508;596;3684;2212;3113;728;7454;4208;3123;3127;118788;338339;64581;50943;7462;30835</t>
  </si>
  <si>
    <t>FYB1;WIPF1;GRAP2;IFNG;CD4;C1QA;C1QB;C1QC;CD3D;ITGB2;PRKCB;LCK;CD3E;CD14;PTPRC;HCK;FCGR3A;CD3G;FGR;CD28;FCGR1A;CTLA4;CR1;CD247;FCER1G;MNDA;CD86;ZAP70;NCKAP1L;BTK;ITK;LCP2;C3AR1;CLEC6A;TRAT1;THEMIS;NFAM1;HAVCR2;KLHL6;INPP5D;CD180;CARD9;SLA2;NLRC4;TLR8;TLR7;CLEC4A;VSIG4;TLR4;FCN1;HLA-DRA;HLA-DQA1;HLA-DPB1;HLA-DQB2;CTSB;BCL2;ITGAM;FCGR2A;HLA-DPA1;C5AR1;WAS;MEF2C;HLA-DRB1;HLA-DRB5;PIK3AP1;CLEC4D;CLEC7A;FOXP3;LAT2;CD209</t>
  </si>
  <si>
    <t>http://www.broadinstitute.org/gsea/msigdb/cards/GO_ACTIVATION_OF_IMMUNE_RESPONSE.html</t>
  </si>
  <si>
    <t>GO_LEUKOCYTE_DIFFERENTIATION</t>
  </si>
  <si>
    <t>4242;3458;920;925;972;915;3932;1436;916;5788;940;3659;3676;3575;6688;959;2207;1236;944;5734;2322;942;7535;3702;6504;10320;3662;399;387357;150372;57580;139716;1794;114836;4063;54209;30009;23228;10537;8320;5452;3956;1435;596;4066;54;6693;3586;3718;4208;2529;8809;814;257101;116071;338339;6363;50943;64919;26279;9935</t>
  </si>
  <si>
    <t>MFNG;IFNG;CD4;CD8A;CD74;CD3D;LCK;CSF1R;CD3E;PTPRC;CD28;IRF1;ITGA4;IL7R;SPI1;CD40LG;FCER1G;CCR7;TNFSF8;PTGER4;FLT3;CD86;ZAP70;ITK;SLAMF1;IKZF1;IRF4;RHOH;THEMIS;NFAM1;PREX1;GAB3;DOCK2;SLAMF6;LY9;TREM2;TBX21;PLCL2;UBD;EOMES;POU2F2;LGALS1;CSF1;BCL2;LYL1;ACP5;SPN;IL10;JAK3;MEF2C;FUT7;IL18R1;CAMK4;ZNF683;BATF2;CLEC4D;CCL19;FOXP3;BCL11B;PLA2G2D;MAFB</t>
  </si>
  <si>
    <t>http://www.broadinstitute.org/gsea/msigdb/cards/GO_LEUKOCYTE_DIFFERENTIATION.html</t>
  </si>
  <si>
    <t>GO_CELL_CELL_ADHESION</t>
  </si>
  <si>
    <t>259197;3458;920;925;972;915;3689;3932;914;916;5341;5788;917;940;3659;6352;3676;3575;3683;3687;3695;959;923;2207;1236;944;941;5734;942;7535;5294;3702;3662;399;10666;201633;197358;83706;387357;10288;81704;57580;1794;114836;84174;4063;8832;30009;29851;6793;56253;8320;3553;924;596;926;3936;6693;7454;6556;4973;2529;8809;10148;79865;54518;120425;338339;10507;10077;5027;6363;64581;50943;6614;64919;64805;30835;26279;9935</t>
  </si>
  <si>
    <t>NCR3;IFNG;CD4;CD8A;CD74;CD3D;ITGB2;LCK;CD2;CD3E;PLEK;PTPRC;CD3G;CD28;IRF1;CCL5;ITGA4;IL7R;ITGAL;ITGAX;ITGB7;CD40LG;CD6;FCER1G;CCR7;TNFSF8;CD80;PTGER4;CD86;ZAP70;PIK3CG;ITK;IRF4;RHOH;CD226;TIGIT;NLRC3;FERMT3;THEMIS;LILRB2;DOCK8;PREX1;DOCK2;SLAMF6;SLA2;LY9;CD84;TBX21;ICOS;STK10;CRTAM;EOMES;IL1B;CD7;BCL2;CD8B;LCP1;SPN;WAS;SLC11A1;OLR1;FUT7;IL18R1;EBI3;TREML2;APBB1IP;JAML;CLEC4D;SEMA4D;TSPAN32;P2RX7;CCL19;CLEC7A;FOXP3;SIGLEC1;BCL11B;P2RY12;CD209;PLA2G2D;MAFB</t>
  </si>
  <si>
    <t>http://www.broadinstitute.org/gsea/msigdb/cards/GO_CELL_CELL_ADHESION.html</t>
  </si>
  <si>
    <t>GO_REGULATION_OF_LEUKOCYTE_PROLIFERATION</t>
  </si>
  <si>
    <t>7940;54440;3458;3559;920;972;916;5788;940;3659;6352;1493;959;923;11151;941;4332;942;3594;7535;199;3071;6504;64926;10288;84868;3635;80380;51744;59067;11314;10673;7099;3553;3115;1435;596;6693;3113;3586;3109;729230;3718;4208;10148;3123;3127;6363;50943;30835;29126;22806;26279</t>
  </si>
  <si>
    <t>LST1;SASH3;IFNG;IL2RA;CD4;CD74;CD3E;PTPRC;CD28;IRF1;CCL5;CTLA4;CD40LG;CD6;CORO1A;CD80;MNDA;CD86;IL12RB1;ZAP70;AIF1;NCKAP1L;SLAMF1;RASAL3;LILRB2;HAVCR2;INPP5D;PDCD1LG2;CD244;IL21;CD300A;TNFSF13B;TLR4;IL1B;HLA-DPB1;CSF1;BCL2;SPN;HLA-DPA1;IL10;HLA-DMB;CCR2;JAK3;MEF2C;EBI3;HLA-DRB1;HLA-DRB5;CCL19;FOXP3;CD209;CD274;IKZF3;PLA2G2D</t>
  </si>
  <si>
    <t>http://www.broadinstitute.org/gsea/msigdb/cards/GO_REGULATION_OF_LEUKOCYTE_PROLIFERATION.html</t>
  </si>
  <si>
    <t>GO_CELLULAR_RESPONSE_TO_CYTOKINE_STIMULUS</t>
  </si>
  <si>
    <t>10663;10068;3458;3559;3627;972;1436;3055;3659;2209;6351;6352;3676;3560;3575;7133;959;11151;3561;1236;2633;1439;5734;2322;942;6772;3594;1233;1234;199;3394;4283;3587;6404;3662;2210;115362;1240;50615;10673;730249;9034;6373;8742;3717;4049;3553;3122;3117;3115;3120;2811;1435;10437;3059;3113;4360;5724;943;1230;4261;729230;6776;2829;2833;1235;1237;3718;4050;3604;11009;8809;10148;3123;3127;6363;25939</t>
  </si>
  <si>
    <t>CXCR6;IL18BP;IFNG;IL2RA;CXCL10;CD74;CSF1R;HCK;IRF1;FCGR1A;CCL4;CCL5;ITGA4;IL2RB;IL7R;TNFRSF1B;CD40LG;CORO1A;IL2RG;CCR7;GBP1;CSF2RB;PTGER4;FLT3;CD86;STAT1;IL12RB1;CCR4;CCR5;AIF1;IRF8;CXCL9;IL10RA;SELPLG;IRF4;FCGR1B;GBP5;CMKLR1;IL21R;TNFSF13B;ACOD1;CCRL2;CXCL11;TNFSF12;JAK2;LTA;IL1B;HLA-DRA;HLA-DQA1;HLA-DPB1;HLA-DQB2;GP1BA;CSF1;IFI30;HCLS1;HLA-DPA1;MRC1;PTAFR;TNFRSF8;CCR1;CIITA;CCR2;STAT5A;XCR1;CXCR3;CCR6;CCR8;JAK3;LTB;TNFRSF9;IL24;IL18R1;EBI3;HLA-DRB1;HLA-DRB5;CCL19;SAMHD1</t>
  </si>
  <si>
    <t>http://www.broadinstitute.org/gsea/msigdb/cards/GO_CELLULAR_RESPONSE_TO_CYTOKINE_STIMULUS.html</t>
  </si>
  <si>
    <t>GO_EXTERNAL_SIDE_OF_PLASMA_MEMBRANE</t>
  </si>
  <si>
    <t>3458;3559;920;925;3627;972;914;916;929;5788;2214;940;2350;3560;1493;3575;945;959;2207;3561;1236;941;942;3594;1233;1234;4283;6504;10666;51744;29851;7099;2219;19;921;2811;1508;926;6402;6693;3902;1230;356;2833;3604;969;4240;3824;5133;3123;3127;5027;64805;29126</t>
  </si>
  <si>
    <t>IFNG;IL2RA;CD4;CD8A;CXCL10;CD74;CD2;CD3E;CD14;PTPRC;FCGR3A;CD28;FOLR2;IL2RB;CTLA4;IL7R;CD33;CD40LG;FCER1G;IL2RG;CCR7;CD80;CD86;IL12RB1;CCR4;CCR5;CXCL9;SLAMF1;CD226;CD244;ICOS;TLR4;FCN1;ABCA1;CD5;GP1BA;CTSB;CD8B;SELL;SPN;LAG3;CCR1;FASLG;CXCR3;TNFRSF9;CD69;MFGE8;KLRD1;PDCD1;HLA-DRB1;HLA-DRB5;P2RX7;P2RY12;CD274</t>
  </si>
  <si>
    <t>http://www.broadinstitute.org/gsea/msigdb/cards/GO_EXTERNAL_SIDE_OF_PLASMA_MEMBRANE.html</t>
  </si>
  <si>
    <t>GO_SIGNALING_RECEPTOR_ACTIVITY</t>
  </si>
  <si>
    <t>27334;10663;11025;10261;3559;920;925;972;915;3689;1436;916;929;5788;917;940;3676;3560;3575;1378;7133;3683;919;971;2123;2207;3561;1236;1439;941;5734;2322;942;3594;1233;1234;10871;3820;6504;3587;719;5800;353345;286530;8477;221188;10288;150372;2210;1240;53829;84636;50615;57105;51284;11314;50856;2857;2848;7099;9034;2219;29909;10154;11024;10990;19;3122;3117;3120;921;3111;2811;926;9103;3112;6693;3902;3113;2357;728;4360;3274;2359;2358;5724;943;1230;6753;3363;729230;2829;2833;1235;1237;3604;969;3824;8809;10148;3123;10507;5027;3805;56670;64581;64805;53831;9033;30817</t>
  </si>
  <si>
    <t>P2RY10;CXCR6;LILRB3;IGSF6;IL2RA;CD4;CD8A;CD74;CD3D;ITGB2;CSF1R;CD3E;CD14;PTPRC;CD3G;CD28;ITGA4;IL2RB;IL7R;CR1;TNFRSF1B;ITGAL;CD247;CD72;EVI2A;FCER1G;IL2RG;CCR7;CSF2RB;CD80;PTGER4;FLT3;CD86;IL12RB1;CCR4;CCR5;CD300C;KLRB1;SLAMF1;IL10RA;C3AR1;PTPRO;GPR141;P2RY8;GPR65;ADGRG5;LILRB2;NFAM1;FCGR1B;CMKLR1;P2RY13;GPR174;IL21R;CYSLTR2;TLR7;CD300A;CLEC4A;GPR34;GPR25;TLR4;CCRL2;FCN1;GPR171;PLXNC1;LILRA1;LILRB5;ABCA1;HLA-DRA;HLA-DQA1;HLA-DQB2;CD5;HLA-DOA;GP1BA;CD8B;FCGR2A;HLA-DOB;SPN;LAG3;HLA-DPA1;FPR1;C5AR1;MRC1;HRH2;FPR3;FPR2;PTAFR;TNFRSF8;CCR1;SSTR3;HTR7;CCR2;XCR1;CXCR3;CCR6;CCR8;TNFRSF9;CD69;KLRD1;IL18R1;EBI3;HLA-DRB1;SEMA4D;P2RX7;KIR2DL4;SUCNR1;CLEC7A;P2RY12;GPR84;PKD2L1;ADGRE2</t>
  </si>
  <si>
    <t>http://www.broadinstitute.org/gsea/msigdb/cards/GO_SIGNALING_RECEPTOR_ACTIVITY.html</t>
  </si>
  <si>
    <t>GO_POSITIVE_REGULATION_OF_CYTOKINE_PRODUCTION</t>
  </si>
  <si>
    <t>54440;3458;920;972;914;1436;916;929;2268;940;3659;959;923;2207;1236;941;5734;942;3594;3394;6504;3662;719;201633;93978;10288;150372;84868;114836;114548;115362;51744;81030;64170;59067;4063;51311;51284;7099;2219;3717;56253;4049;3553;3115;3162;6693;3113;728;3586;5724;943;729230;6556;4050;8809;10148;5027;6363;50943;29126;22900</t>
  </si>
  <si>
    <t>SASH3;IFNG;CD4;CD74;CD2;CSF1R;CD3E;CD14;FGR;CD28;IRF1;CD40LG;CD6;FCER1G;CCR7;CD80;PTGER4;CD86;IL12RB1;IRF8;SLAMF1;IRF4;C3AR1;TIGIT;CLEC6A;LILRB2;NFAM1;HAVCR2;SLAMF6;NLRP3;GBP5;CD244;ZBP1;CARD9;IL21;LY9;TLR8;TLR7;TLR4;FCN1;JAK2;CRTAM;LTA;IL1B;HLA-DPB1;HMOX1;SPN;HLA-DPA1;C5AR1;IL10;PTAFR;TNFRSF8;CCR2;SLC11A1;LTB;IL18R1;EBI3;P2RX7;CCL19;FOXP3;CD274;CARD8</t>
  </si>
  <si>
    <t>http://www.broadinstitute.org/gsea/msigdb/cards/GO_POSITIVE_REGULATION_OF_CYTOKINE_PRODUCTION.html</t>
  </si>
  <si>
    <t>GO_RESPONSE_TO_EXTERNAL_STIMULUS</t>
  </si>
  <si>
    <t>10663;7456;10068;3458;920;925;3627;3689;1436;916;929;5788;3055;2268;6036;3659;6351;6352;2350;5551;7133;923;2207;11151;1236;2633;944;941;5734;942;6772;5294;1233;1234;199;3071;391;3394;4283;3587;3603;3662;719;5800;93978;84166;10288;57580;84868;1794;114548;4064;2672;1240;64170;58484;51311;51284;54209;30009;730249;7099;9034;6373;10154;3717;7439;19;4049;3553;348;1508;3162;240;596;6037;54;2113;6693;2357;728;3586;10578;4360;2359;2358;5724;943;1230;6546;6753;729230;6507;2829;356;6556;2833;1235;1237;4208;3604;11009;3123;3127;375387;120425;116071;115727;338339;10507;51676;10077;5027;6363;64581;50943;64919;283316;23166;9033;30817;51466;25939</t>
  </si>
  <si>
    <t>CXCR6;WIPF1;IL18BP;IFNG;CD4;CD8A;CXCL10;ITGB2;CSF1R;CD3E;CD14;PTPRC;HCK;FGR;RNASE2;IRF1;CCL4;CCL5;FOLR2;PRF1;TNFRSF1B;CD6;FCER1G;CORO1A;CCR7;GBP1;TNFSF8;CD80;PTGER4;CD86;STAT1;PIK3CG;CCR4;CCR5;AIF1;NCKAP1L;RHOG;IRF8;CXCL9;IL10RA;IL16;IRF4;C3AR1;PTPRO;CLEC6A;NLRC5;LILRB2;PREX1;HAVCR2;DOCK2;NLRP3;CD180;GFI1;CMKLR1;CARD9;NLRC4;TLR8;TLR7;TREM2;TBX21;ACOD1;TLR4;CCRL2;CXCL11;PLXNC1;JAK2;BEST1;ABCA1;LTA;IL1B;APOE;CTSB;HMOX1;ALOX5;BCL2;RNASE3;ACP5;ETS1;SPN;FPR1;C5AR1;IL10;GNLY;MRC1;FPR3;FPR2;PTAFR;TNFRSF8;CCR1;SLC8A1;SSTR3;CCR2;SLC1A3;XCR1;FASLG;SLC11A1;CXCR3;CCR6;CCR8;MEF2C;TNFRSF9;IL24;HLA-DRB1;HLA-DRB5;NRROS;JAML;BATF2;RASGRP4;CLEC4D;SEMA4D;ASB2;TSPAN32;P2RX7;CCL19;CLEC7A;FOXP3;BCL11B;CD163L1;STAB1;PKD2L1;ADGRE2;EVL;SAMHD1</t>
  </si>
  <si>
    <t>http://www.broadinstitute.org/gsea/msigdb/cards/GO_RESPONSE_TO_EXTERNAL_STIMULUS.html</t>
  </si>
  <si>
    <t>GO_LYMPHOCYTE_DIFFERENTIATION</t>
  </si>
  <si>
    <t>4242;3458;920;925;972;915;3932;916;5788;940;3659;3676;3575;6688;959;2207;1236;944;5734;2322;7535;3702;6504;10320;3662;399;387357;150372;57580;1794;114836;4063;30009;23228;8320;5452;3956;596;4066;6693;3586;3718;2529;8809;257101;338339;50943;64919;26279;9935</t>
  </si>
  <si>
    <t>MFNG;IFNG;CD4;CD8A;CD74;CD3D;LCK;CD3E;PTPRC;CD28;IRF1;ITGA4;IL7R;SPI1;CD40LG;FCER1G;CCR7;TNFSF8;PTGER4;FLT3;ZAP70;ITK;SLAMF1;IKZF1;IRF4;RHOH;THEMIS;NFAM1;PREX1;DOCK2;SLAMF6;LY9;TBX21;PLCL2;EOMES;POU2F2;LGALS1;BCL2;LYL1;SPN;IL10;JAK3;FUT7;IL18R1;ZNF683;CLEC4D;FOXP3;BCL11B;PLA2G2D;MAFB</t>
  </si>
  <si>
    <t>http://www.broadinstitute.org/gsea/msigdb/cards/GO_LYMPHOCYTE_DIFFERENTIATION.html</t>
  </si>
  <si>
    <t>GO_LOCOMOTION</t>
  </si>
  <si>
    <t>10663;9051;9839;9046;3458;920;3627;972;3689;3932;914;1436;5788;3055;962;2268;6036;6351;6352;3676;2350;1378;3683;3687;3695;2207;11151;1236;941;942;6772;7535;5294;1233;1234;3071;391;4283;6504;3603;6404;719;5800;81704;57580;1794;3635;1240;51744;55423;8832;30009;9056;9034;6373;8742;10154;3717;3553;1508;1621;3684;3936;6402;2113;6693;2357;728;3586;4360;2359;2358;5724;1230;729230;2829;2833;1235;1237;3718;140885;4973;4208;2529;3123;55704;120425;91010;10507;6363;64919;64805;30835;30817;51466;4644</t>
  </si>
  <si>
    <t>CXCR6;PSTPIP1;ZEB2;DOK2;IFNG;CD4;CXCL10;CD74;ITGB2;LCK;CD2;CSF1R;PTPRC;HCK;CD48;FGR;RNASE2;CCL4;CCL5;ITGA4;FOLR2;CR1;ITGAL;ITGAX;ITGB7;FCER1G;CORO1A;CCR7;CD80;CD86;STAT1;ZAP70;PIK3CG;CCR4;CCR5;NCKAP1L;RHOG;CXCL9;SLAMF1;IL16;SELPLG;C3AR1;PTPRO;DOCK8;PREX1;DOCK2;INPP5D;CMKLR1;CD244;SIRPG;CD84;TBX21;SLC7A7;CCRL2;CXCL11;TNFSF12;PLXNC1;JAK2;IL1B;CTSB;DBH;ITGAM;LCP1;SELL;ETS1;SPN;FPR1;C5AR1;IL10;MRC1;FPR3;FPR2;PTAFR;CCR1;CCR2;XCR1;CXCR3;CCR6;CCR8;JAK3;SIRPA;OLR1;MEF2C;FUT7;HLA-DRB1;CCDC88A;JAML;FMNL3;SEMA4D;CCL19;BCL11B;P2RY12;CD209;ADGRE2;EVL;MYO5A</t>
  </si>
  <si>
    <t>http://www.broadinstitute.org/gsea/msigdb/cards/GO_LOCOMOTION.html</t>
  </si>
  <si>
    <t>GO_CYTOKINE_MEDIATED_SIGNALING_PATHWAY</t>
  </si>
  <si>
    <t>10663;3458;3559;3627;972;1436;3055;3659;2209;6351;6352;3560;3575;7133;959;3561;1236;2633;1439;2322;6772;3594;1233;1234;3394;4283;3587;3662;2210;1240;50615;10673;9034;6373;8742;3717;4049;3553;3122;3117;3115;3120;2811;1435;10437;3113;5724;943;1230;4261;729230;6776;2829;2833;1235;1237;3718;4050;3604;8809;10148;3123;3127;6363;25939</t>
  </si>
  <si>
    <t>CXCR6;IFNG;IL2RA;CXCL10;CD74;CSF1R;HCK;IRF1;FCGR1A;CCL4;CCL5;IL2RB;IL7R;TNFRSF1B;CD40LG;IL2RG;CCR7;GBP1;CSF2RB;FLT3;STAT1;IL12RB1;CCR4;CCR5;IRF8;CXCL9;IL10RA;IRF4;FCGR1B;CMKLR1;IL21R;TNFSF13B;CCRL2;CXCL11;TNFSF12;JAK2;LTA;IL1B;HLA-DRA;HLA-DQA1;HLA-DPB1;HLA-DQB2;GP1BA;CSF1;IFI30;HLA-DPA1;PTAFR;TNFRSF8;CCR1;CIITA;CCR2;STAT5A;XCR1;CXCR3;CCR6;CCR8;JAK3;LTB;TNFRSF9;IL18R1;EBI3;HLA-DRB1;HLA-DRB5;CCL19;SAMHD1</t>
  </si>
  <si>
    <t>http://www.broadinstitute.org/gsea/msigdb/cards/GO_CYTOKINE_MEDIATED_SIGNALING_PATHWAY.html</t>
  </si>
  <si>
    <t>GO_LEUKOCYTE_MIGRATION</t>
  </si>
  <si>
    <t>9046;3458;3627;972;3689;3932;914;3055;962;6351;6352;3676;2350;3683;3687;3695;2207;11151;1236;7535;5294;1234;3071;3603;6404;5800;81704;57580;3635;51744;55423;8832;30009;9056;6373;3553;1621;3684;6402;6693;728;3586;1230;729230;2833;1235;140885;4973;2529;120425;6363;30817</t>
  </si>
  <si>
    <t>DOK2;IFNG;CXCL10;CD74;ITGB2;LCK;CD2;HCK;CD48;CCL4;CCL5;ITGA4;FOLR2;ITGAL;ITGAX;ITGB7;FCER1G;CORO1A;CCR7;ZAP70;PIK3CG;CCR5;NCKAP1L;IL16;SELPLG;PTPRO;DOCK8;PREX1;INPP5D;CD244;SIRPG;CD84;TBX21;SLC7A7;CXCL11;IL1B;DBH;ITGAM;SELL;SPN;C5AR1;IL10;CCR1;CCR2;CXCR3;CCR6;SIRPA;OLR1;FUT7;JAML;CCL19;ADGRE2</t>
  </si>
  <si>
    <t>http://www.broadinstitute.org/gsea/msigdb/cards/GO_LEUKOCYTE_MIGRATION.html</t>
  </si>
  <si>
    <t>GO_REGULATION_OF_DEFENSE_RESPONSE</t>
  </si>
  <si>
    <t>259197;4210;4068;3458;3559;920;3689;3932;929;3055;2268;940;3659;6351;6352;1378;7133;919;923;2207;1236;5734;942;6772;3594;5294;6890;695;3662;10666;719;93978;79626;84166;84868;1794;114836;114548;115362;4064;2672;64170;59067;58484;51311;51284;50856;730249;7099;2219;3717;56253;4049;3553;348;1508;926;3684;54;2113;6693;3902;728;3586;729230;6507;8905;4208;7941;146850;118788;338339;51676;10077;64581;50943;30835;283316;25939</t>
  </si>
  <si>
    <t>NCR3;MEFV;SH2D1A;IFNG;IL2RA;CD4;ITGB2;LCK;CD14;HCK;FGR;CD28;IRF1;CCL4;CCL5;CR1;TNFRSF1B;CD247;CD6;FCER1G;CCR7;PTGER4;CD86;STAT1;IL12RB1;PIK3CG;TAP1;BTK;IRF4;CD226;C3AR1;CLEC6A;TNFAIP8L2;NLRC5;HAVCR2;DOCK2;SLAMF6;NLRP3;GBP5;CD180;GFI1;CARD9;IL21;NLRC4;TLR8;TLR7;CLEC4A;ACOD1;TLR4;FCN1;JAK2;CRTAM;LTA;IL1B;APOE;CTSB;CD8B;ITGAM;ACP5;ETS1;SPN;LAG3;C5AR1;IL10;CCR2;SLC1A3;AP1S2;MEF2C;PLA2G7;PIK3R6;PIK3AP1;CLEC4D;ASB2;TSPAN32;CLEC7A;FOXP3;CD209;CD163L1;SAMHD1</t>
  </si>
  <si>
    <t>http://www.broadinstitute.org/gsea/msigdb/cards/GO_REGULATION_OF_DEFENSE_RESPONSE.html</t>
  </si>
  <si>
    <t>GO_IMMUNE_RESPONSE_REGULATING_CELL_SURFACE_RECEPTOR_SIGNALING_PATHWAY</t>
  </si>
  <si>
    <t>2533;7456;9402;3458;920;915;5579;3932;916;5788;3055;2214;917;2268;940;2209;1493;1378;919;2207;4332;7535;3071;695;3702;3937;719;93978;50852;387357;10288;150372;89857;2210;3635;64170;84174;50856;2219;3122;3117;3115;3120;596;2212;3113;728;7454;4208;3123;3127;338339;64581;50943;7462;30835</t>
  </si>
  <si>
    <t>FYB1;WIPF1;GRAP2;IFNG;CD4;CD3D;PRKCB;LCK;CD3E;PTPRC;HCK;FCGR3A;CD3G;FGR;CD28;FCGR1A;CTLA4;CR1;CD247;FCER1G;MNDA;ZAP70;NCKAP1L;BTK;ITK;LCP2;C3AR1;CLEC6A;TRAT1;THEMIS;LILRB2;NFAM1;KLHL6;FCGR1B;INPP5D;CARD9;SLA2;CLEC4A;FCN1;HLA-DRA;HLA-DQA1;HLA-DPB1;HLA-DQB2;BCL2;FCGR2A;HLA-DPA1;C5AR1;WAS;MEF2C;HLA-DRB1;HLA-DRB5;CLEC4D;CLEC7A;FOXP3;LAT2;CD209</t>
  </si>
  <si>
    <t>http://www.broadinstitute.org/gsea/msigdb/cards/GO_IMMUNE_RESPONSE_REGULATING_CELL_SURFACE_RECEPTOR_SIGNALING_PATHWAY.html</t>
  </si>
  <si>
    <t>GO_REGULATION_OF_IMMUNE_EFFECTOR_PROCESS</t>
  </si>
  <si>
    <t>259197;4068;54440;3458;3559;920;972;3932;5788;3055;2268;940;3575;1378;919;959;2207;941;942;3594;7535;6890;695;6504;3662;10666;719;84868;1794;114836;114548;51744;59067;11314;8832;30009;7099;56253;4049;3553;3162;926;6693;3902;728;3586;5724;3109;729230;7454;6507;3718;8905;146850;51676;84106;10077;5027;6363;50943;283316</t>
  </si>
  <si>
    <t>NCR3;SH2D1A;SASH3;IFNG;IL2RA;CD4;CD74;LCK;PTPRC;HCK;FGR;CD28;IL7R;CR1;CD247;CD40LG;FCER1G;CD80;CD86;IL12RB1;ZAP70;TAP1;BTK;SLAMF1;IRF4;CD226;C3AR1;HAVCR2;DOCK2;SLAMF6;NLRP3;CD244;IL21;CD300A;CD84;TBX21;TLR4;CRTAM;LTA;IL1B;HMOX1;CD8B;SPN;LAG3;C5AR1;IL10;PTAFR;HLA-DMB;CCR2;WAS;SLC1A3;JAK3;AP1S2;PIK3R6;ASB2;PRAM1;TSPAN32;P2RX7;CCL19;FOXP3;CD163L1</t>
  </si>
  <si>
    <t>http://www.broadinstitute.org/gsea/msigdb/cards/GO_REGULATION_OF_IMMUNE_EFFECTOR_PROCESS.html</t>
  </si>
  <si>
    <t>GO_POSITIVE_REGULATION_OF_LEUKOCYTE_PROLIFERATION</t>
  </si>
  <si>
    <t>54440;3458;3559;920;972;916;5788;940;6352;959;923;11151;941;942;3594;7535;199;3071;6504;64926;10288;84868;80380;51744;59067;10673;7099;3553;3115;1435;596;6693;3113;3109;729230;3718;4208;10148;6363;50943;29126</t>
  </si>
  <si>
    <t>SASH3;IFNG;IL2RA;CD4;CD74;CD3E;PTPRC;CD28;CCL5;CD40LG;CD6;CORO1A;CD80;CD86;IL12RB1;ZAP70;AIF1;NCKAP1L;SLAMF1;RASAL3;LILRB2;HAVCR2;PDCD1LG2;CD244;IL21;TNFSF13B;TLR4;IL1B;HLA-DPB1;CSF1;BCL2;SPN;HLA-DPA1;HLA-DMB;CCR2;JAK3;MEF2C;EBI3;CCL19;FOXP3;CD274</t>
  </si>
  <si>
    <t>http://www.broadinstitute.org/gsea/msigdb/cards/GO_POSITIVE_REGULATION_OF_LEUKOCYTE_PROLIFERATION.html</t>
  </si>
  <si>
    <t>GO_REGULATION_OF_T_CELL_PROLIFERATION</t>
  </si>
  <si>
    <t>54440;3458;3559;920;916;5788;940;3659;6352;959;923;11151;941;942;3594;7535;199;3071;6504;64926;10288;84868;80380;51744;59067;3553;3115;6693;3113;3586;3109;729230;3718;10148;3123;3127;6363;50943;30835;29126;26279</t>
  </si>
  <si>
    <t>SASH3;IFNG;IL2RA;CD4;CD3E;PTPRC;CD28;IRF1;CCL5;CD40LG;CD6;CORO1A;CD80;CD86;IL12RB1;ZAP70;AIF1;NCKAP1L;SLAMF1;RASAL3;LILRB2;HAVCR2;PDCD1LG2;CD244;IL21;IL1B;HLA-DPB1;SPN;HLA-DPA1;IL10;HLA-DMB;CCR2;JAK3;EBI3;HLA-DRB1;HLA-DRB5;CCL19;FOXP3;CD209;CD274;PLA2G2D</t>
  </si>
  <si>
    <t>http://www.broadinstitute.org/gsea/msigdb/cards/GO_REGULATION_OF_T_CELL_PROLIFERATION.html</t>
  </si>
  <si>
    <t>GO_RESPONSE_TO_BIOTIC_STIMULUS</t>
  </si>
  <si>
    <t>7456;10068;3458;920;925;3627;929;5788;3055;2268;3659;6351;6352;5551;7133;923;2207;1236;2633;944;941;5734;942;6772;1234;3394;4283;3587;3662;93978;84166;10288;84868;114548;4064;2672;64170;58484;51311;51284;54209;30009;730249;7099;6373;3717;19;56253;4049;3553;596;6037;54;6693;728;3586;10578;4360;5724;943;729230;6507;356;6556;4208;3604;11009;3123;3127;375387;116071;338339;51676;10077;5027;6363;64581;50943;283316;23166;25939</t>
  </si>
  <si>
    <t>WIPF1;IL18BP;IFNG;CD4;CD8A;CXCL10;CD14;PTPRC;HCK;FGR;IRF1;CCL4;CCL5;PRF1;TNFRSF1B;CD6;FCER1G;CCR7;GBP1;TNFSF8;CD80;PTGER4;CD86;STAT1;CCR5;IRF8;CXCL9;IL10RA;IRF4;CLEC6A;NLRC5;LILRB2;HAVCR2;NLRP3;CD180;GFI1;CARD9;NLRC4;TLR8;TLR7;TREM2;TBX21;ACOD1;TLR4;CXCL11;JAK2;ABCA1;CRTAM;LTA;IL1B;BCL2;RNASE3;ACP5;SPN;C5AR1;IL10;GNLY;MRC1;PTAFR;TNFRSF8;CCR2;SLC1A3;FASLG;SLC11A1;MEF2C;TNFRSF9;IL24;HLA-DRB1;HLA-DRB5;NRROS;BATF2;CLEC4D;ASB2;TSPAN32;P2RX7;CCL19;CLEC7A;FOXP3;CD163L1;STAB1;SAMHD1</t>
  </si>
  <si>
    <t>http://www.broadinstitute.org/gsea/msigdb/cards/GO_RESPONSE_TO_BIOTIC_STIMULUS.html</t>
  </si>
  <si>
    <t>GO_POSITIVE_REGULATION_OF_T_CELL_PROLIFERATION</t>
  </si>
  <si>
    <t>54440;3458;3559;920;916;5788;940;6352;959;923;11151;941;942;3594;7535;199;3071;6504;64926;10288;84868;80380;51744;59067;3553;3115;6693;3113;3109;729230;3718;10148;6363;50943;29126</t>
  </si>
  <si>
    <t>SASH3;IFNG;IL2RA;CD4;CD3E;PTPRC;CD28;CCL5;CD40LG;CD6;CORO1A;CD80;CD86;IL12RB1;ZAP70;AIF1;NCKAP1L;SLAMF1;RASAL3;LILRB2;HAVCR2;PDCD1LG2;CD244;IL21;IL1B;HLA-DPB1;SPN;HLA-DPA1;HLA-DMB;CCR2;JAK3;EBI3;CCL19;FOXP3;CD274</t>
  </si>
  <si>
    <t>http://www.broadinstitute.org/gsea/msigdb/cards/GO_POSITIVE_REGULATION_OF_T_CELL_PROLIFERATION.html</t>
  </si>
  <si>
    <t>GO_POSITIVE_REGULATION_OF_MULTICELLULAR_ORGANISMAL_PROCESS</t>
  </si>
  <si>
    <t>9840;9839;54440;3458;3559;920;972;3689;5579;914;1436;916;5341;929;2268;940;3659;6352;3575;959;923;2207;1236;941;5734;942;3594;7535;199;3071;3394;695;6504;3662;719;201633;93978;10288;150372;84868;3635;114836;114548;115362;26051;51744;81030;64170;59067;4063;51311;57105;51284;30009;51393;7099;2219;8742;3717;56253;4049;3553;348;3115;1621;3956;3162;1435;240;596;3059;2113;6693;3113;728;3586;3274;5724;943;1230;6546;729230;6776;6556;2833;1235;1601;4208;4050;8809;10148;146850;10507;51762;5027;6363;50943;29126;22900</t>
  </si>
  <si>
    <t>TESPA1;ZEB2;SASH3;IFNG;IL2RA;CD4;CD74;ITGB2;PRKCB;CD2;CSF1R;CD3E;PLEK;CD14;FGR;CD28;IRF1;CCL5;IL7R;CD40LG;CD6;FCER1G;CCR7;CD80;PTGER4;CD86;IL12RB1;ZAP70;AIF1;NCKAP1L;IRF8;BTK;SLAMF1;IRF4;C3AR1;TIGIT;CLEC6A;LILRB2;NFAM1;HAVCR2;INPP5D;SLAMF6;NLRP3;GBP5;PPP1R16B;CD244;ZBP1;CARD9;IL21;LY9;TLR8;CYSLTR2;TLR7;TBX21;TRPV2;TLR4;FCN1;TNFSF12;JAK2;CRTAM;LTA;IL1B;APOE;HLA-DPB1;DBH;LGALS1;HMOX1;CSF1;ALOX5;BCL2;HCLS1;ETS1;SPN;HLA-DPA1;C5AR1;IL10;HRH2;PTAFR;TNFRSF8;CCR1;SLC8A1;CCR2;STAT5A;SLC11A1;CXCR3;CCR6;DAB2;MEF2C;LTB;IL18R1;EBI3;PIK3R6;SEMA4D;RAB8B;P2RX7;CCL19;FOXP3;CD274;CARD8</t>
  </si>
  <si>
    <t>http://www.broadinstitute.org/gsea/msigdb/cards/GO_POSITIVE_REGULATION_OF_MULTICELLULAR_ORGANISMAL_PROCESS.html</t>
  </si>
  <si>
    <t>GO_NEGATIVE_REGULATION_OF_IMMUNE_SYSTEM_PROCESS</t>
  </si>
  <si>
    <t>7940;9404;11025;3559;714;972;929;5788;3659;1493;3575;1378;2207;2633;5734;4332;942;53347;6890;6504;3662;201633;79626;84166;374403;10288;11006;84868;3635;80380;84174;64092;11314;8832;23228;730249;7099;29909;3111;3162;3112;6693;3902;3586;729230;3718;5133;3123;3127;118788;10077;50943;29126;26279;9935</t>
  </si>
  <si>
    <t>LST1;LPXN;LILRB3;IL2RA;C1QC;CD74;CD14;PTPRC;IRF1;CTLA4;IL7R;CR1;FCER1G;GBP1;PTGER4;MNDA;CD86;UBASH3A;TAP1;SLAMF1;IRF4;TIGIT;TNFAIP8L2;NLRC5;TBC1D10C;LILRB2;LILRB4;HAVCR2;INPP5D;PDCD1LG2;SLA2;SAMSN1;CD300A;CD84;PLCL2;ACOD1;TLR4;GPR171;HLA-DOA;HMOX1;HLA-DOB;SPN;LAG3;IL10;CCR2;JAK3;PDCD1;HLA-DRB1;HLA-DRB5;PIK3AP1;TSPAN32;FOXP3;CD274;PLA2G2D;MAFB</t>
  </si>
  <si>
    <t>http://www.broadinstitute.org/gsea/msigdb/cards/GO_NEGATIVE_REGULATION_OF_IMMUNE_SYSTEM_PROCESS.html</t>
  </si>
  <si>
    <t>GO_CELLULAR_RESPONSE_TO_ORGANIC_SUBSTANCE</t>
  </si>
  <si>
    <t>10663;10068;3458;3559;3627;972;3689;5579;1436;929;3055;3659;2209;6351;6352;3676;2350;3560;3575;6688;7133;959;923;2207;11151;3561;1236;2633;1439;941;5734;2322;942;6772;3594;5294;1233;1234;199;3394;4283;3587;6404;3662;10288;84868;2210;114548;115362;4064;2672;1240;53829;50615;54209;30009;10673;730249;7099;9034;6373;366;8742;3717;19;4049;3553;3122;3117;3115;3120;2811;1508;3956;1435;596;10437;3059;3113;526;4481;3586;6518;4360;5724;943;1230;6546;6753;4261;729230;6776;2829;2833;1235;1237;3718;54331;4208;4050;3604;11009;8809;10148;3123;3127;245972;5027;6363;64581;64805;59345;25939;4644</t>
  </si>
  <si>
    <t>CXCR6;IL18BP;IFNG;IL2RA;CXCL10;CD74;ITGB2;PRKCB;CSF1R;CD14;HCK;IRF1;FCGR1A;CCL4;CCL5;ITGA4;FOLR2;IL2RB;IL7R;SPI1;TNFRSF1B;CD40LG;CD6;FCER1G;CORO1A;IL2RG;CCR7;GBP1;CSF2RB;CD80;PTGER4;FLT3;CD86;STAT1;IL12RB1;PIK3CG;CCR4;CCR5;AIF1;IRF8;CXCL9;IL10RA;SELPLG;IRF4;LILRB2;HAVCR2;FCGR1B;NLRP3;GBP5;CD180;GFI1;CMKLR1;P2RY13;IL21R;TREM2;TBX21;TNFSF13B;ACOD1;TLR4;CCRL2;CXCL11;AQP9;TNFSF12;JAK2;ABCA1;LTA;IL1B;HLA-DRA;HLA-DQA1;HLA-DPB1;HLA-DQB2;GP1BA;CTSB;LGALS1;CSF1;BCL2;IFI30;HCLS1;HLA-DPA1;ATP6V1B2;MSR1;IL10;SLC2A5;MRC1;PTAFR;TNFRSF8;CCR1;SLC8A1;SSTR3;CIITA;CCR2;STAT5A;XCR1;CXCR3;CCR6;CCR8;JAK3;GNG2;MEF2C;LTB;TNFRSF9;IL24;IL18R1;EBI3;HLA-DRB1;HLA-DRB5;ATP6V0D2;P2RX7;CCL19;CLEC7A;P2RY12;GNB4;SAMHD1;MYO5A</t>
  </si>
  <si>
    <t>http://www.broadinstitute.org/gsea/msigdb/cards/GO_CELLULAR_RESPONSE_TO_ORGANIC_SUBSTANCE.html</t>
  </si>
  <si>
    <t>GO_REGULATION_OF_CELL_PROLIFERATION</t>
  </si>
  <si>
    <t>7940;54440;3458;3559;920;3627;972;3932;1436;916;5788;3055;2268;940;3659;6352;2350;1493;945;7133;7453;959;923;11151;941;5734;2322;4332;942;6772;3594;7535;2014;199;3071;391;695;4283;3702;6504;719;64926;10288;84868;3635;26051;80380;51744;59067;55423;11314;10673;51393;7099;6373;8742;3717;27306;4049;3553;348;3115;1621;3162;1435;596;10437;3059;2113;6693;3113;728;3586;5724;3109;943;6753;729230;6776;356;2833;3718;5376;4208;3604;4240;11009;10148;10457;3123;3127;55704;120425;10077;6363;50943;64919;30835;50515;29126;22806;26279</t>
  </si>
  <si>
    <t>LST1;SASH3;IFNG;IL2RA;CD4;CXCL10;CD74;LCK;CSF1R;CD3E;PTPRC;HCK;FGR;CD28;IRF1;CCL5;FOLR2;CTLA4;CD33;TNFRSF1B;WARS;CD40LG;CD6;CORO1A;CD80;PTGER4;FLT3;MNDA;CD86;STAT1;IL12RB1;ZAP70;EMP3;AIF1;NCKAP1L;RHOG;BTK;CXCL9;ITK;SLAMF1;C3AR1;RASAL3;LILRB2;HAVCR2;INPP5D;PPP1R16B;PDCD1LG2;CD244;IL21;SIRPG;CD300A;TNFSF13B;TRPV2;TLR4;CXCL11;TNFSF12;JAK2;HPGDS;LTA;IL1B;APOE;HLA-DPB1;DBH;HMOX1;CSF1;BCL2;IFI30;HCLS1;ETS1;SPN;HLA-DPA1;C5AR1;IL10;PTAFR;HLA-DMB;TNFRSF8;SSTR3;CCR2;STAT5A;FASLG;CXCR3;JAK3;PMP22;MEF2C;TNFRSF9;MFGE8;IL24;EBI3;GPNMB;HLA-DRB1;HLA-DRB5;CCDC88A;JAML;TSPAN32;CCL19;FOXP3;BCL11B;CD209;CHST11;CD274;IKZF3;PLA2G2D</t>
  </si>
  <si>
    <t>http://www.broadinstitute.org/gsea/msigdb/cards/GO_REGULATION_OF_CELL_PROLIFERATION.html</t>
  </si>
  <si>
    <t>GO_REGULATION_OF_LEUKOCYTE_MEDIATED_IMMUNITY</t>
  </si>
  <si>
    <t>259197;4068;54440;3458;5788;2268;940;3575;1378;2207;3594;7535;6890;695;6504;10666;84868;114836;114548;59067;11314;8832;30009;7099;56253;4049;3553;3162;6693;3902;3586;5724;729230;7454;3718;146850;84106;5027;50943</t>
  </si>
  <si>
    <t>NCR3;SH2D1A;SASH3;IFNG;PTPRC;FGR;CD28;IL7R;CR1;FCER1G;IL12RB1;ZAP70;TAP1;BTK;SLAMF1;CD226;HAVCR2;SLAMF6;NLRP3;IL21;CD300A;CD84;TBX21;TLR4;CRTAM;LTA;IL1B;HMOX1;SPN;LAG3;IL10;PTAFR;CCR2;WAS;JAK3;PIK3R6;PRAM1;P2RX7;FOXP3</t>
  </si>
  <si>
    <t>http://www.broadinstitute.org/gsea/msigdb/cards/GO_REGULATION_OF_LEUKOCYTE_MEDIATED_IMMUNITY.html</t>
  </si>
  <si>
    <t>GO_T_CELL_DIFFERENTIATION</t>
  </si>
  <si>
    <t>3458;920;925;972;915;3932;916;5788;940;3659;3575;2207;1236;944;5734;7535;3702;3662;399;387357;57580;1794;114836;4063;30009;8320;596;6693;2529;8809;338339;50943;64919;26279;9935</t>
  </si>
  <si>
    <t>IFNG;CD4;CD8A;CD74;CD3D;LCK;CD3E;PTPRC;CD28;IRF1;IL7R;FCER1G;CCR7;TNFSF8;PTGER4;ZAP70;ITK;IRF4;RHOH;THEMIS;PREX1;DOCK2;SLAMF6;LY9;TBX21;EOMES;BCL2;SPN;FUT7;IL18R1;CLEC4D;FOXP3;BCL11B;PLA2G2D;MAFB</t>
  </si>
  <si>
    <t>http://www.broadinstitute.org/gsea/msigdb/cards/GO_T_CELL_DIFFERENTIATION.html</t>
  </si>
  <si>
    <t>GO_REGULATION_OF_LEUKOCYTE_DIFFERENTIATION</t>
  </si>
  <si>
    <t>9840;7305;11025;54440;3458;3559;714;972;914;1436;940;3659;6352;1493;3575;941;942;3594;7535;3071;695;3662;10288;150372;11006;3635;114548;7099;3553;3111;3956;1435;3059;1230;3718;814;146850;6363;50943;22806;9935</t>
  </si>
  <si>
    <t>TESPA1;TYROBP;LILRB3;SASH3;IFNG;IL2RA;C1QC;CD74;CD2;CSF1R;CD28;IRF1;CCL5;CTLA4;IL7R;CD80;CD86;IL12RB1;ZAP70;NCKAP1L;BTK;IRF4;LILRB2;NFAM1;LILRB4;INPP5D;NLRP3;TLR4;IL1B;HLA-DOA;LGALS1;CSF1;HCLS1;CCR1;JAK3;CAMK4;PIK3R6;CCL19;FOXP3;IKZF3;MAFB</t>
  </si>
  <si>
    <t>http://www.broadinstitute.org/gsea/msigdb/cards/GO_REGULATION_OF_LEUKOCYTE_DIFFERENTIATION.html</t>
  </si>
  <si>
    <t>GO_REGULATION_OF_RESPONSE_TO_STRESS</t>
  </si>
  <si>
    <t>259197;4210;9839;4068;3458;3559;920;972;3689;3932;5341;929;3055;2268;940;3659;6351;6352;1378;7133;919;959;923;2207;1236;5734;942;6772;3594;7535;5294;6890;695;6504;3662;10666;719;93978;79626;221472;84166;84868;1794;11184;114836;114548;115362;4064;2672;64170;59067;58484;51311;51284;50856;730249;7099;2219;3717;56253;4049;3553;348;2811;1508;926;3684;54;2113;6693;3902;526;728;3586;729230;6507;8905;4208;7941;9363;146850;118788;245972;338339;51676;10077;6363;4215;64581;50943;30835;283316;25939</t>
  </si>
  <si>
    <t>NCR3;MEFV;ZEB2;SH2D1A;IFNG;IL2RA;CD4;CD74;ITGB2;LCK;PLEK;CD14;HCK;FGR;CD28;IRF1;CCL4;CCL5;CR1;TNFRSF1B;CD247;CD40LG;CD6;FCER1G;CCR7;PTGER4;CD86;STAT1;IL12RB1;ZAP70;PIK3CG;TAP1;BTK;SLAMF1;IRF4;CD226;C3AR1;CLEC6A;TNFAIP8L2;FGD2;NLRC5;HAVCR2;DOCK2;MAP4K1;SLAMF6;NLRP3;GBP5;CD180;GFI1;CARD9;IL21;NLRC4;TLR8;TLR7;CLEC4A;ACOD1;TLR4;FCN1;JAK2;CRTAM;LTA;IL1B;APOE;GP1BA;CTSB;CD8B;ITGAM;ACP5;ETS1;SPN;LAG3;ATP6V1B2;C5AR1;IL10;CCR2;SLC1A3;AP1S2;MEF2C;PLA2G7;RAB33A;PIK3R6;PIK3AP1;ATP6V0D2;CLEC4D;ASB2;TSPAN32;CCL19;MAP3K3;CLEC7A;FOXP3;CD209;CD163L1;SAMHD1</t>
  </si>
  <si>
    <t>http://www.broadinstitute.org/gsea/msigdb/cards/GO_REGULATION_OF_RESPONSE_TO_STRESS.html</t>
  </si>
  <si>
    <t>GO_CELL_MOTILITY</t>
  </si>
  <si>
    <t>9051;9839;9046;3458;3627;972;3689;3932;914;5788;3055;962;2268;6351;6352;3676;2350;3683;3687;3695;2207;11151;1236;6772;7535;5294;1233;1234;3071;391;4283;3603;6404;5800;81704;57580;3635;51744;55423;8832;30009;9056;6373;8742;3717;3553;1621;3684;3936;6402;2113;6693;728;3586;1230;729230;2833;1235;3718;140885;4973;4208;2529;55704;120425;91010;10507;6363;64805;30817</t>
  </si>
  <si>
    <t>PSTPIP1;ZEB2;DOK2;IFNG;CXCL10;CD74;ITGB2;LCK;CD2;PTPRC;HCK;CD48;FGR;CCL4;CCL5;ITGA4;FOLR2;ITGAL;ITGAX;ITGB7;FCER1G;CORO1A;CCR7;STAT1;ZAP70;PIK3CG;CCR4;CCR5;NCKAP1L;RHOG;CXCL9;IL16;SELPLG;PTPRO;DOCK8;PREX1;INPP5D;CD244;SIRPG;CD84;TBX21;SLC7A7;CXCL11;TNFSF12;JAK2;IL1B;DBH;ITGAM;LCP1;SELL;ETS1;SPN;C5AR1;IL10;CCR1;CCR2;CXCR3;CCR6;JAK3;SIRPA;OLR1;MEF2C;FUT7;CCDC88A;JAML;FMNL3;SEMA4D;CCL19;P2RY12;ADGRE2</t>
  </si>
  <si>
    <t>http://www.broadinstitute.org/gsea/msigdb/cards/GO_CELL_MOTILITY.html</t>
  </si>
  <si>
    <t>GO_REGULATION_OF_HEMOPOIESIS</t>
  </si>
  <si>
    <t>9840;7305;11025;54440;3458;3559;714;972;914;1436;940;3659;6352;1493;3575;6688;941;942;3594;7535;3071;695;3662;10288;150372;11006;3635;114548;7099;29909;3553;3111;3956;1435;3059;2113;1230;3718;4208;814;146850;6363;50943;22806;9935</t>
  </si>
  <si>
    <t>TESPA1;TYROBP;LILRB3;SASH3;IFNG;IL2RA;C1QC;CD74;CD2;CSF1R;CD28;IRF1;CCL5;CTLA4;IL7R;SPI1;CD80;CD86;IL12RB1;ZAP70;NCKAP1L;BTK;IRF4;LILRB2;NFAM1;LILRB4;INPP5D;NLRP3;TLR4;GPR171;IL1B;HLA-DOA;LGALS1;CSF1;HCLS1;ETS1;CCR1;JAK3;MEF2C;CAMK4;PIK3R6;CCL19;FOXP3;IKZF3;MAFB</t>
  </si>
  <si>
    <t>http://www.broadinstitute.org/gsea/msigdb/cards/GO_REGULATION_OF_HEMOPOIESIS.html</t>
  </si>
  <si>
    <t>GO_LYMPHOCYTE_COSTIMULATION</t>
  </si>
  <si>
    <t>9402;920;915;3932;916;917;940;1493;919;959;941;942;151888;80380;29851;3122;3117;3115;3120;921;3956;6693;3113;5133;3123;3127;6363;29126</t>
  </si>
  <si>
    <t>GRAP2;CD4;CD3D;LCK;CD3E;CD3G;CD28;CTLA4;CD247;CD40LG;CD80;CD86;BTLA;PDCD1LG2;ICOS;HLA-DRA;HLA-DQA1;HLA-DPB1;HLA-DQB2;CD5;LGALS1;SPN;HLA-DPA1;PDCD1;HLA-DRB1;HLA-DRB5;CCL19;CD274</t>
  </si>
  <si>
    <t>http://www.broadinstitute.org/gsea/msigdb/cards/GO_LYMPHOCYTE_COSTIMULATION.html</t>
  </si>
  <si>
    <t>GO_ANTIGEN_RECEPTOR_MEDIATED_SIGNALING_PATHWAY</t>
  </si>
  <si>
    <t>2533;9402;3458;920;915;5579;3932;916;5788;917;940;1493;919;4332;7535;3071;695;3702;3937;50852;387357;150372;89857;3635;84174;3122;3117;3115;3120;596;3113;7454;4208;3123;3127;50943;7462</t>
  </si>
  <si>
    <t>FYB1;GRAP2;IFNG;CD4;CD3D;PRKCB;LCK;CD3E;PTPRC;CD3G;CD28;CTLA4;CD247;MNDA;ZAP70;NCKAP1L;BTK;ITK;LCP2;TRAT1;THEMIS;NFAM1;KLHL6;INPP5D;SLA2;HLA-DRA;HLA-DQA1;HLA-DPB1;HLA-DQB2;BCL2;HLA-DPA1;WAS;MEF2C;HLA-DRB1;HLA-DRB5;FOXP3;LAT2</t>
  </si>
  <si>
    <t>http://www.broadinstitute.org/gsea/msigdb/cards/GO_ANTIGEN_RECEPTOR_MEDIATED_SIGNALING_PATHWAY.html</t>
  </si>
  <si>
    <t>GO_RESPONSE_TO_BACTERIUM</t>
  </si>
  <si>
    <t>10068;3458;920;3627;929;3055;2268;6352;7133;923;2207;1236;944;941;5734;942;1234;3394;4283;3587;10288;84868;114548;4064;2672;64170;58484;54209;730249;7099;6373;3717;19;4049;3553;6037;54;6693;728;3586;10578;4360;5724;943;729230;356;6556;4208;3604;11009;3123;3127;338339;5027;23166</t>
  </si>
  <si>
    <t>IL18BP;IFNG;CD4;CXCL10;CD14;HCK;FGR;CCL5;TNFRSF1B;CD6;FCER1G;CCR7;TNFSF8;CD80;PTGER4;CD86;CCR5;IRF8;CXCL9;IL10RA;LILRB2;HAVCR2;NLRP3;CD180;GFI1;CARD9;NLRC4;TREM2;ACOD1;TLR4;CXCL11;JAK2;ABCA1;LTA;IL1B;RNASE3;ACP5;SPN;C5AR1;IL10;GNLY;MRC1;PTAFR;TNFRSF8;CCR2;FASLG;SLC11A1;MEF2C;TNFRSF9;IL24;HLA-DRB1;HLA-DRB5;CLEC4D;P2RX7;STAB1</t>
  </si>
  <si>
    <t>http://www.broadinstitute.org/gsea/msigdb/cards/GO_RESPONSE_TO_BACTERIUM.html</t>
  </si>
  <si>
    <t>GO_REGULATION_OF_RESPONSE_TO_EXTERNAL_STIMULUS</t>
  </si>
  <si>
    <t>4210;9450;3559;920;3627;972;3932;5341;3055;940;6351;6352;1378;7133;919;923;2207;1236;5734;3594;7535;5294;199;3071;4354;4283;3603;719;5800;79626;84868;1794;114548;115362;4064;1240;59067;51284;730249;7099;6373;10154;3717;4049;3553;348;2811;1435;926;54;2113;6693;526;728;3586;1230;729230;6507;2833;1235;8905;7941;9363;118788;245972;10507;51676;10077;6363;50943;283316</t>
  </si>
  <si>
    <t>MEFV;LY86;IL2RA;CD4;CXCL10;CD74;LCK;PLEK;HCK;CD28;CCL4;CCL5;CR1;TNFRSF1B;CD247;CD6;FCER1G;CCR7;PTGER4;IL12RB1;ZAP70;PIK3CG;AIF1;NCKAP1L;MPP1;CXCL9;IL16;C3AR1;PTPRO;TNFAIP8L2;HAVCR2;DOCK2;NLRP3;GBP5;CD180;CMKLR1;IL21;TLR7;ACOD1;TLR4;CXCL11;PLXNC1;JAK2;LTA;IL1B;APOE;GP1BA;CSF1;CD8B;ACP5;ETS1;SPN;ATP6V1B2;C5AR1;IL10;CCR1;CCR2;SLC1A3;CXCR3;CCR6;AP1S2;PLA2G7;RAB33A;PIK3AP1;ATP6V0D2;SEMA4D;ASB2;TSPAN32;CCL19;FOXP3;CD163L1</t>
  </si>
  <si>
    <t>http://www.broadinstitute.org/gsea/msigdb/cards/GO_REGULATION_OF_RESPONSE_TO_EXTERNAL_STIMULUS.html</t>
  </si>
  <si>
    <t>GO_REGULATION_OF_INTERFERON_GAMMA_PRODUCTION</t>
  </si>
  <si>
    <t>54440;914;916;929;1236;3594;3394;6504;84868;114836;80380;51744;59067;51311;51284;7099;4049;3553;3115;3113;3586;729230;6556;8809;10148;3123;3127;50943;29126</t>
  </si>
  <si>
    <t>SASH3;CD2;CD3E;CD14;CCR7;IL12RB1;IRF8;SLAMF1;HAVCR2;SLAMF6;PDCD1LG2;CD244;IL21;TLR8;TLR7;TLR4;LTA;IL1B;HLA-DPB1;HLA-DPA1;IL10;CCR2;SLC11A1;IL18R1;EBI3;HLA-DRB1;HLA-DRB5;FOXP3;CD274</t>
  </si>
  <si>
    <t>http://www.broadinstitute.org/gsea/msigdb/cards/GO_REGULATION_OF_INTERFERON_GAMMA_PRODUCTION.html</t>
  </si>
  <si>
    <t>GO_REGULATION_OF_ADAPTIVE_IMMUNE_RESPONSE</t>
  </si>
  <si>
    <t>259197;54440;3458;920;5788;940;3659;3575;1378;2207;941;3594;695;6504;10666;84868;114548;64092;30009;4049;3553;6693;3586;729230;7454;6556;3718;4208;5027;6363;50943</t>
  </si>
  <si>
    <t>NCR3;SASH3;IFNG;CD4;PTPRC;CD28;IRF1;IL7R;CR1;FCER1G;CD80;IL12RB1;BTK;SLAMF1;CD226;HAVCR2;NLRP3;SAMSN1;TBX21;LTA;IL1B;SPN;IL10;CCR2;WAS;SLC11A1;JAK3;MEF2C;P2RX7;CCL19;FOXP3</t>
  </si>
  <si>
    <t>http://www.broadinstitute.org/gsea/msigdb/cards/GO_REGULATION_OF_ADAPTIVE_IMMUNE_RESPONSE.html</t>
  </si>
  <si>
    <t>GO_POSITIVE_REGULATION_OF_CELL_PROLIFERATION</t>
  </si>
  <si>
    <t>54440;3458;3559;920;3627;972;1436;916;5788;3055;940;6352;2350;959;923;11151;941;5734;2322;942;6772;3594;7535;199;3071;391;6504;719;64926;10288;84868;26051;80380;51744;59067;55423;10673;7099;8742;3717;4049;3553;3115;3162;1435;596;3059;2113;6693;3113;728;5724;3109;729230;6776;356;2833;3718;4208;4240;11009;10148;120425;6363;50943;29126</t>
  </si>
  <si>
    <t>SASH3;IFNG;IL2RA;CD4;CXCL10;CD74;CSF1R;CD3E;PTPRC;HCK;CD28;CCL5;FOLR2;CD40LG;CD6;CORO1A;CD80;PTGER4;FLT3;CD86;STAT1;IL12RB1;ZAP70;AIF1;NCKAP1L;RHOG;SLAMF1;C3AR1;RASAL3;LILRB2;HAVCR2;PPP1R16B;PDCD1LG2;CD244;IL21;SIRPG;TNFSF13B;TLR4;TNFSF12;JAK2;LTA;IL1B;HLA-DPB1;HMOX1;CSF1;BCL2;HCLS1;ETS1;SPN;HLA-DPA1;C5AR1;PTAFR;HLA-DMB;CCR2;STAT5A;FASLG;CXCR3;JAK3;MEF2C;MFGE8;IL24;EBI3;JAML;CCL19;FOXP3;CD274</t>
  </si>
  <si>
    <t>http://www.broadinstitute.org/gsea/msigdb/cards/GO_POSITIVE_REGULATION_OF_CELL_PROLIFERATION.html</t>
  </si>
  <si>
    <t>GO_RECEPTOR_BINDING</t>
  </si>
  <si>
    <t>9840;259197;2533;7305;9535;9046;10068;3458;920;925;3627;972;5579;3932;914;916;3055;917;2268;6351;6352;971;959;944;2322;942;6772;3594;7535;5294;6890;695;4283;3702;3603;6404;10666;201633;50852;79930;83706;10288;55016;1794;152789;51744;59067;10870;29992;23228;10673;9034;2219;6373;8742;10154;3717;19;56253;4049;3553;348;1435;926;3902;2357;3586;6753;729230;356;3718;6891;4050;4240;11009;7185;3824;10148;10672;10457;120425;147138;167465;338339;10507;51762;5027;6363;64581</t>
  </si>
  <si>
    <t>TESPA1;NCR3;FYB1;TYROBP;GMFG;DOK2;IL18BP;IFNG;CD4;CD8A;CXCL10;CD74;PRKCB;LCK;CD2;CD3E;HCK;CD3G;FGR;CCL4;CCL5;CD72;CD40LG;TNFSF8;FLT3;CD86;STAT1;IL12RB1;ZAP70;PIK3CG;TAP1;BTK;CXCL9;ITK;IL16;SELPLG;CD226;TIGIT;TRAT1;DOK3;FERMT3;LILRB2;MARCH1;DOCK2;JAKMIP1;CD244;IL21;HCST;PILRA;PLCL2;TNFSF13B;CCRL2;FCN1;CXCL11;TNFSF12;PLXNC1;JAK2;ABCA1;CRTAM;LTA;IL1B;APOE;CSF1;CD8B;LAG3;FPR1;IL10;SSTR3;CCR2;FASLG;JAK3;TAP2;LTB;MFGE8;IL24;TRAF1;KLRD1;EBI3;GNA13;GPNMB;JAML;TMC8;ZNF366;CLEC4D;SEMA4D;RAB8B;P2RX7;CCL19;CLEC7A</t>
  </si>
  <si>
    <t>http://www.broadinstitute.org/gsea/msigdb/cards/GO_RECEPTOR_BINDING.html</t>
  </si>
  <si>
    <t>GO_MOVEMENT_OF_CELL_OR_SUBCELLULAR_COMPONENT</t>
  </si>
  <si>
    <t>7456;9051;9839;9046;3458;3627;972;3689;3932;914;1436;5788;3055;962;2268;6351;6352;3676;2350;3683;3687;3695;2207;11151;1236;6772;7535;5294;1233;1234;3071;391;4283;3603;6404;5800;81704;57580;3635;51744;55423;51225;8832;30009;9056;6373;8742;10154;3717;3553;1621;3684;3936;6402;2113;6693;2357;728;3586;2359;2358;1230;729230;7454;2833;1235;3718;140885;4973;4208;2529;10672;55704;120425;91010;10507;6363;64919;64805;30817;51466;4644</t>
  </si>
  <si>
    <t>WIPF1;PSTPIP1;ZEB2;DOK2;IFNG;CXCL10;CD74;ITGB2;LCK;CD2;CSF1R;PTPRC;HCK;CD48;FGR;CCL4;CCL5;ITGA4;FOLR2;ITGAL;ITGAX;ITGB7;FCER1G;CORO1A;CCR7;STAT1;ZAP70;PIK3CG;CCR4;CCR5;NCKAP1L;RHOG;CXCL9;IL16;SELPLG;PTPRO;DOCK8;PREX1;INPP5D;CD244;SIRPG;ABI3;CD84;TBX21;SLC7A7;CXCL11;TNFSF12;PLXNC1;JAK2;IL1B;DBH;ITGAM;LCP1;SELL;ETS1;SPN;FPR1;C5AR1;IL10;FPR3;FPR2;CCR1;CCR2;WAS;CXCR3;CCR6;JAK3;SIRPA;OLR1;MEF2C;FUT7;GNA13;CCDC88A;JAML;FMNL3;SEMA4D;CCL19;BCL11B;P2RY12;ADGRE2;EVL;MYO5A</t>
  </si>
  <si>
    <t>http://www.broadinstitute.org/gsea/msigdb/cards/GO_MOVEMENT_OF_CELL_OR_SUBCELLULAR_COMPONENT.html</t>
  </si>
  <si>
    <t>GO_RESPONSE_TO_INTERFERON_GAMMA</t>
  </si>
  <si>
    <t>4210;3458;3055;3659;2209;6351;6352;2633;942;6772;3594;199;3394;3662;2210;115362;730249;10537;3717;3122;3117;3115;3120;10437;3113;4360;5724;4261;6556;3123;3127;6363</t>
  </si>
  <si>
    <t>MEFV;IFNG;HCK;IRF1;FCGR1A;CCL4;CCL5;GBP1;CD86;STAT1;IL12RB1;AIF1;IRF8;IRF4;FCGR1B;GBP5;ACOD1;UBD;JAK2;HLA-DRA;HLA-DQA1;HLA-DPB1;HLA-DQB2;IFI30;HLA-DPA1;MRC1;PTAFR;CIITA;SLC11A1;HLA-DRB1;HLA-DRB5;CCL19</t>
  </si>
  <si>
    <t>http://www.broadinstitute.org/gsea/msigdb/cards/GO_RESPONSE_TO_INTERFERON_GAMMA.html</t>
  </si>
  <si>
    <t>GO_RESPONSE_TO_MOLECULE_OF_BACTERIAL_ORIGIN</t>
  </si>
  <si>
    <t>10068;3458;3627;929;3055;6352;7133;923;1236;941;5734;942;1234;3394;4283;3587;10288;84868;114548;4064;2672;64170;54209;730249;7099;6373;3717;19;4049;3553;54;728;3586;4360;5724;943;729230;356;6556;4208;3604;11009;5027</t>
  </si>
  <si>
    <t>IL18BP;IFNG;CXCL10;CD14;HCK;CCL5;TNFRSF1B;CD6;CCR7;CD80;PTGER4;CD86;CCR5;IRF8;CXCL9;IL10RA;LILRB2;HAVCR2;NLRP3;CD180;GFI1;CARD9;TREM2;ACOD1;TLR4;CXCL11;JAK2;ABCA1;LTA;IL1B;ACP5;C5AR1;IL10;MRC1;PTAFR;TNFRSF8;CCR2;FASLG;SLC11A1;MEF2C;TNFRSF9;IL24;P2RX7</t>
  </si>
  <si>
    <t>http://www.broadinstitute.org/gsea/msigdb/cards/GO_RESPONSE_TO_MOLECULE_OF_BACTERIAL_ORIGIN.html</t>
  </si>
  <si>
    <t>GO_POSITIVE_REGULATION_OF_DEFENSE_RESPONSE</t>
  </si>
  <si>
    <t>259197;4068;3689;929;3055;940;6351;6352;923;2207;1236;5734;942;5294;695;10666;93978;84166;84868;114836;115362;4064;64170;59067;58484;51311;51284;50856;7099;2219;3717;56253;4049;3553;1508;3684;2113;3902;729230;4208;7941;118788;338339;64581;30835</t>
  </si>
  <si>
    <t>NCR3;SH2D1A;ITGB2;CD14;HCK;CD28;CCL4;CCL5;CD6;FCER1G;CCR7;PTGER4;CD86;PIK3CG;BTK;CD226;CLEC6A;NLRC5;HAVCR2;SLAMF6;GBP5;CD180;CARD9;IL21;NLRC4;TLR8;TLR7;CLEC4A;TLR4;FCN1;JAK2;CRTAM;LTA;IL1B;CTSB;ITGAM;ETS1;LAG3;CCR2;MEF2C;PLA2G7;PIK3AP1;CLEC4D;CLEC7A;CD209</t>
  </si>
  <si>
    <t>http://www.broadinstitute.org/gsea/msigdb/cards/GO_POSITIVE_REGULATION_OF_DEFENSE_RESPONSE.html</t>
  </si>
  <si>
    <t>GO_CELL_ACTIVATION_INVOLVED_IN_IMMUNE_RESPONSE</t>
  </si>
  <si>
    <t>4242;7305;3458;3683;959;2207;11151;5734;942;7535;5294;6504;3662;84868;1794;114836;4064;51744;4063;23228;7099;8320;3956;3936;6556;8809;54518;202309;338339;64581;7462</t>
  </si>
  <si>
    <t>MFNG;TYROBP;IFNG;ITGAL;CD40LG;FCER1G;CORO1A;PTGER4;CD86;ZAP70;PIK3CG;SLAMF1;IRF4;HAVCR2;DOCK2;SLAMF6;CD180;CD244;LY9;PLCL2;TLR4;EOMES;LGALS1;LCP1;SLC11A1;IL18R1;APBB1IP;GAPT;CLEC4D;CLEC7A;LAT2</t>
  </si>
  <si>
    <t>http://www.broadinstitute.org/gsea/msigdb/cards/GO_CELL_ACTIVATION_INVOLVED_IN_IMMUNE_RESPONSE.html</t>
  </si>
  <si>
    <t>GO_REGULATION_OF_INTRACELLULAR_SIGNAL_TRANSDUCTION</t>
  </si>
  <si>
    <t>9839;80833;3458;920;925;3627;972;5579;3932;1436;916;5341;2268;940;6351;6352;7133;959;1236;2633;941;5734;2322;942;6772;7535;5294;391;4283;6504;9459;399;55843;93978;50852;388325;197358;257106;221472;64926;374403;117289;57580;84868;23533;11184;114548;26051;1240;64333;64170;84174;59067;57105;51284;54209;10870;11314;27128;7099;6373;10537;3717;19;3553;348;2811;3956;3162;1435;596;3059;2357;728;3586;1230;9938;356;2833;11009;8809;57514;89846;146850;118788;115727;9754;10507;5027;6363;4215;22900;4644</t>
  </si>
  <si>
    <t>ZEB2;APOL3;IFNG;CD4;CD8A;CXCL10;CD74;PRKCB;LCK;CSF1R;CD3E;PLEK;FGR;CD28;CCL4;CCL5;TNFRSF1B;CD40LG;CCR7;GBP1;CD80;PTGER4;FLT3;CD86;STAT1;ZAP70;PIK3CG;RHOG;CXCL9;SLAMF1;ARHGEF6;RHOH;ARHGAP15;CLEC6A;TRAT1;SCIMP;NLRC3;ARHGAP30;FGD2;RASAL3;TBC1D10C;TAGAP;PREX1;HAVCR2;PIK3R5;MAP4K1;NLRP3;PPP1R16B;CMKLR1;ARHGAP9;CARD9;SLA2;IL21;CYSLTR2;TLR7;TREM2;HCST;CD300A;CYTH4;TLR4;CXCL11;UBD;JAK2;ABCA1;IL1B;APOE;GP1BA;LGALS1;HMOX1;CSF1;BCL2;HCLS1;FPR1;C5AR1;IL10;CCR1;ARHGAP25;FASLG;CXCR3;IL24;IL18R1;ARHGAP31;FGD3;PIK3R6;PIK3AP1;RASGRP4;STARD8;SEMA4D;P2RX7;CCL19;MAP3K3;CARD8;MYO5A</t>
  </si>
  <si>
    <t>http://www.broadinstitute.org/gsea/msigdb/cards/GO_REGULATION_OF_INTRACELLULAR_SIGNAL_TRANSDUCTION.html</t>
  </si>
  <si>
    <t>GO_REGULATION_OF_LYMPHOCYTE_MEDIATED_IMMUNITY</t>
  </si>
  <si>
    <t>259197;4068;54440;3458;5788;940;3575;1378;2207;3594;6890;695;6504;10666;84868;114836;114548;59067;30009;56253;4049;3553;6693;3902;3586;7454;146850;5027;50943</t>
  </si>
  <si>
    <t>NCR3;SH2D1A;SASH3;IFNG;PTPRC;CD28;IL7R;CR1;FCER1G;IL12RB1;TAP1;BTK;SLAMF1;CD226;HAVCR2;SLAMF6;NLRP3;IL21;TBX21;CRTAM;LTA;IL1B;SPN;LAG3;IL10;WAS;PIK3R6;P2RX7;FOXP3</t>
  </si>
  <si>
    <t>http://www.broadinstitute.org/gsea/msigdb/cards/GO_REGULATION_OF_LYMPHOCYTE_MEDIATED_IMMUNITY.html</t>
  </si>
  <si>
    <t>GO_REGULATION_OF_INNATE_IMMUNE_RESPONSE</t>
  </si>
  <si>
    <t>259197;4068;3458;3689;929;3055;2268;3659;6352;1378;2207;942;6772;6890;695;3662;10666;93978;84166;84868;114836;115362;4064;2672;64170;59067;58484;51311;51284;50856;730249;7099;2219;3717;56253;1508;3684;3902;146850;118788;338339;64581;30835;25939</t>
  </si>
  <si>
    <t>NCR3;SH2D1A;IFNG;ITGB2;CD14;HCK;FGR;IRF1;CCL5;CR1;FCER1G;CD86;STAT1;TAP1;BTK;IRF4;CD226;CLEC6A;NLRC5;HAVCR2;SLAMF6;GBP5;CD180;GFI1;CARD9;IL21;NLRC4;TLR8;TLR7;CLEC4A;ACOD1;TLR4;FCN1;JAK2;CRTAM;CTSB;ITGAM;LAG3;PIK3R6;PIK3AP1;CLEC4D;CLEC7A;CD209;SAMHD1</t>
  </si>
  <si>
    <t>http://www.broadinstitute.org/gsea/msigdb/cards/GO_REGULATION_OF_INNATE_IMMUNE_RESPONSE.html</t>
  </si>
  <si>
    <t>GO_INTRACELLULAR_SIGNAL_TRANSDUCTION</t>
  </si>
  <si>
    <t>2533;7305;9046;9402;3559;5579;3932;1436;5341;929;940;6352;3560;7133;959;3561;1439;941;5734;942;6772;7535;5294;1234;199;391;695;3702;3937;9459;399;139818;50852;79930;197358;64926;150372;81704;57580;23533;1794;3635;11184;246329;116986;64170;59067;51311;51284;55423;23228;10019;7099;3717;3553;348;3162;596;3936;3059;2357;5724;6546;729230;6776;2833;3718;4208;9363;10672;27314;597;814;57514;55704;10235;151556;25780;115727;51762;55619;116442;51676;6363;4215;7462;64805;30835;54861;8605</t>
  </si>
  <si>
    <t>FYB1;TYROBP;DOK2;GRAP2;IL2RA;PRKCB;LCK;CSF1R;PLEK;CD14;CD28;CCL5;IL2RB;TNFRSF1B;CD40LG;IL2RG;CSF2RB;CD80;PTGER4;CD86;STAT1;ZAP70;PIK3CG;CCR5;AIF1;RHOG;BTK;ITK;LCP2;ARHGEF6;RHOH;DOCK11;TRAT1;DOK3;NLRC3;RASAL3;NFAM1;DOCK8;PREX1;PIK3R5;DOCK2;INPP5D;MAP4K1;STAC3;AGAP2;CARD9;IL21;TLR8;TLR7;SIRPG;PLCL2;SH2B3;TLR4;JAK2;IL1B;APOE;HMOX1;BCL2;LCP1;HCLS1;FPR1;PTAFR;SLC8A1;CCR2;STAT5A;CXCR3;JAK3;MEF2C;RAB33A;GNA13;RAB30;BCL2A1;CAMK4;ARHGAP31;CCDC88A;RASGRP2;GPR155;RASGRP3;RASGRP4;RAB8B;DOCK10;RAB39B;ASB2;CCL19;MAP3K3;LAT2;P2RY12;CD209;SNRK;PLA2G4C</t>
  </si>
  <si>
    <t>http://www.broadinstitute.org/gsea/msigdb/cards/GO_INTRACELLULAR_SIGNAL_TRANSDUCTION.html</t>
  </si>
  <si>
    <t>GO_POSITIVE_REGULATION_OF_IMMUNE_EFFECTOR_PROCESS</t>
  </si>
  <si>
    <t>259197;4068;54440;3458;972;2268;940;2207;941;942;3594;7535;10666;114836;114548;51744;59067;11314;8832;30009;7099;56253;4049;3553;3162;3902;5724;3109;729230;5027;6363;50943</t>
  </si>
  <si>
    <t>NCR3;SH2D1A;SASH3;IFNG;CD74;FGR;CD28;FCER1G;CD80;CD86;IL12RB1;ZAP70;CD226;SLAMF6;NLRP3;CD244;IL21;CD300A;CD84;TBX21;TLR4;CRTAM;LTA;IL1B;HMOX1;LAG3;PTAFR;HLA-DMB;CCR2;P2RX7;CCL19;FOXP3</t>
  </si>
  <si>
    <t>http://www.broadinstitute.org/gsea/msigdb/cards/GO_POSITIVE_REGULATION_OF_IMMUNE_EFFECTOR_PROCESS.html</t>
  </si>
  <si>
    <t>GO_POSITIVE_REGULATION_OF_MOLECULAR_FUNCTION</t>
  </si>
  <si>
    <t>4242;4210;9535;9839;3458;3559;920;972;3689;5579;3932;1436;5341;5788;2268;6351;6352;3560;1378;959;3561;1236;1439;2322;5294;3071;391;695;3702;3937;9744;9459;4689;3662;55843;139818;257106;221472;64926;374403;8477;117289;150372;81704;57580;23533;1794;11184;114548;23048;116986;64333;58484;64407;11314;27128;23228;7099;3717;1102;3553;348;341;1435;596;241;2357;728;3586;5724;9938;356;6556;3718;4208;7185;9815;10672;57514;55704;57589;89846;146850;10235;25780;115727;9754;10507;55619;5027;6363;4215;64805;55803;22900</t>
  </si>
  <si>
    <t>MFNG;MEFV;GMFG;ZEB2;IFNG;IL2RA;CD4;CD74;ITGB2;PRKCB;LCK;CSF1R;PLEK;PTPRC;FGR;CCL4;CCL5;IL2RB;CR1;CD40LG;IL2RG;CCR7;CSF2RB;FLT3;PIK3CG;NCKAP1L;RHOG;BTK;ITK;LCP2;ACAP1;ARHGEF6;NCF4;IRF4;ARHGAP15;DOCK11;ARHGAP30;FGD2;RASAL3;TBC1D10C;GPR65;TAGAP;NFAM1;DOCK8;PREX1;PIK3R5;DOCK2;MAP4K1;NLRP3;FNBP1;AGAP2;ARHGAP9;NLRC4;RGS18;CD300A;CYTH4;PLCL2;TLR4;JAK2;RCBTB2;IL1B;APOE;APOC1;CSF1;BCL2;ALOX5AP;FPR1;C5AR1;IL10;PTAFR;ARHGAP25;FASLG;SLC11A1;JAK3;MEF2C;TRAF1;GIT2;GNA13;ARHGAP31;CCDC88A;RIC1;FGD3;PIK3R6;RASGRP2;RASGRP3;RASGRP4;STARD8;SEMA4D;DOCK10;P2RX7;CCL19;MAP3K3;P2RY12;ADAP2;CARD8</t>
  </si>
  <si>
    <t>http://www.broadinstitute.org/gsea/msigdb/cards/GO_POSITIVE_REGULATION_OF_MOLECULAR_FUNCTION.html</t>
  </si>
  <si>
    <t>GO_POSITIVE_REGULATION_OF_CATALYTIC_ACTIVITY</t>
  </si>
  <si>
    <t>4210;9535;9839;3458;3559;920;972;3932;1436;5341;5788;2268;6351;6352;3560;1378;959;3561;1236;1439;2322;5294;3071;391;3702;3937;9744;9459;4689;55843;139818;257106;221472;64926;374403;8477;117289;81704;57580;23533;1794;11184;114548;23048;116986;64333;58484;64407;11314;27128;7099;3717;1102;3553;348;341;1435;596;241;2357;728;5724;9938;356;6556;3718;4208;9815;10672;57514;55704;57589;89846;146850;10235;25780;115727;9754;10507;55619;5027;6363;4215;64805;55803;22900</t>
  </si>
  <si>
    <t>MEFV;GMFG;ZEB2;IFNG;IL2RA;CD4;CD74;LCK;CSF1R;PLEK;PTPRC;FGR;CCL4;CCL5;IL2RB;CR1;CD40LG;IL2RG;CCR7;CSF2RB;FLT3;PIK3CG;NCKAP1L;RHOG;ITK;LCP2;ACAP1;ARHGEF6;NCF4;ARHGAP15;DOCK11;ARHGAP30;FGD2;RASAL3;TBC1D10C;GPR65;TAGAP;DOCK8;PREX1;PIK3R5;DOCK2;MAP4K1;NLRP3;FNBP1;AGAP2;ARHGAP9;NLRC4;RGS18;CD300A;CYTH4;TLR4;JAK2;RCBTB2;IL1B;APOE;APOC1;CSF1;BCL2;ALOX5AP;FPR1;C5AR1;PTAFR;ARHGAP25;FASLG;SLC11A1;JAK3;MEF2C;GIT2;GNA13;ARHGAP31;CCDC88A;RIC1;FGD3;PIK3R6;RASGRP2;RASGRP3;RASGRP4;STARD8;SEMA4D;DOCK10;P2RX7;CCL19;MAP3K3;P2RY12;ADAP2;CARD8</t>
  </si>
  <si>
    <t>http://www.broadinstitute.org/gsea/msigdb/cards/GO_POSITIVE_REGULATION_OF_CATALYTIC_ACTIVITY.html</t>
  </si>
  <si>
    <t>GO_REGULATION_OF_LYMPHOCYTE_DIFFERENTIATION</t>
  </si>
  <si>
    <t>9840;54440;3458;3559;972;914;940;3659;1493;3575;941;942;3594;7535;3071;695;3662;10288;150372;3635;114548;3553;3111;3718;814;146850;6363;50943;22806</t>
  </si>
  <si>
    <t>TESPA1;SASH3;IFNG;IL2RA;CD74;CD2;CD28;IRF1;CTLA4;IL7R;CD80;CD86;IL12RB1;ZAP70;NCKAP1L;BTK;IRF4;LILRB2;NFAM1;INPP5D;NLRP3;IL1B;HLA-DOA;JAK3;CAMK4;PIK3R6;CCL19;FOXP3;IKZF3</t>
  </si>
  <si>
    <t>http://www.broadinstitute.org/gsea/msigdb/cards/GO_REGULATION_OF_LYMPHOCYTE_DIFFERENTIATION.html</t>
  </si>
  <si>
    <t>GO_CELLULAR_RESPONSE_TO_INTERFERON_GAMMA</t>
  </si>
  <si>
    <t>3458;3055;3659;2209;6351;6352;2633;6772;3594;199;3394;3662;2210;115362;730249;3717;3122;3117;3115;3120;10437;3113;4360;5724;4261;3123;3127;6363</t>
  </si>
  <si>
    <t>IFNG;HCK;IRF1;FCGR1A;CCL4;CCL5;GBP1;STAT1;IL12RB1;AIF1;IRF8;IRF4;FCGR1B;GBP5;ACOD1;JAK2;HLA-DRA;HLA-DQA1;HLA-DPB1;HLA-DQB2;IFI30;HLA-DPA1;MRC1;PTAFR;CIITA;HLA-DRB1;HLA-DRB5;CCL19</t>
  </si>
  <si>
    <t>http://www.broadinstitute.org/gsea/msigdb/cards/GO_CELLULAR_RESPONSE_TO_INTERFERON_GAMMA.html</t>
  </si>
  <si>
    <t>GO_TAXIS</t>
  </si>
  <si>
    <t>10663;3458;3627;3689;1436;6036;6351;6352;2350;2207;11151;1236;5294;1233;1234;3071;391;4283;3603;719;5800;57580;1794;1240;9034;6373;10154;3553;6693;2357;728;3586;2359;2358;5724;1230;729230;2829;2833;1235;1237;120425;10507;6363;64919;30817;51466</t>
  </si>
  <si>
    <t>CXCR6;IFNG;CXCL10;ITGB2;CSF1R;RNASE2;CCL4;CCL5;FOLR2;FCER1G;CORO1A;CCR7;PIK3CG;CCR4;CCR5;NCKAP1L;RHOG;CXCL9;IL16;C3AR1;PTPRO;PREX1;DOCK2;CMKLR1;CCRL2;CXCL11;PLXNC1;IL1B;SPN;FPR1;C5AR1;IL10;FPR3;FPR2;PTAFR;CCR1;CCR2;XCR1;CXCR3;CCR6;CCR8;JAML;SEMA4D;CCL19;BCL11B;ADGRE2;EVL</t>
  </si>
  <si>
    <t>http://www.broadinstitute.org/gsea/msigdb/cards/GO_TAXIS.html</t>
  </si>
  <si>
    <t>GO_NEGATIVE_REGULATION_OF_CELL_ACTIVATION</t>
  </si>
  <si>
    <t>7940;3559;972;3659;1493;4332;201633;79626;374403;10288;84868;3635;80380;84174;64092;11314;8832;348;3162;6693;3902;3586;729230;3718;3123;3127;10077;50943;29126;26279</t>
  </si>
  <si>
    <t>LST1;IL2RA;CD74;IRF1;CTLA4;MNDA;TIGIT;TNFAIP8L2;TBC1D10C;LILRB2;HAVCR2;INPP5D;PDCD1LG2;SLA2;SAMSN1;CD300A;CD84;APOE;HMOX1;SPN;LAG3;IL10;CCR2;JAK3;HLA-DRB1;HLA-DRB5;TSPAN32;FOXP3;CD274;PLA2G2D</t>
  </si>
  <si>
    <t>http://www.broadinstitute.org/gsea/msigdb/cards/GO_NEGATIVE_REGULATION_OF_CELL_ACTIVATION.html</t>
  </si>
  <si>
    <t>GO_REGULATION_OF_CYTOKINE_BIOSYNTHETIC_PROCESS</t>
  </si>
  <si>
    <t>3458;920;916;940;3659;941;942;3662;3635;64170;59067;51311;51284;7099;3553;3162;6693;3902;3586;5724;943;729230;4050;10148;50943</t>
  </si>
  <si>
    <t>IFNG;CD4;CD3E;CD28;IRF1;CD80;CD86;IRF4;INPP5D;CARD9;IL21;TLR8;TLR7;TLR4;IL1B;HMOX1;SPN;LAG3;IL10;PTAFR;TNFRSF8;CCR2;LTB;EBI3;FOXP3</t>
  </si>
  <si>
    <t>http://www.broadinstitute.org/gsea/msigdb/cards/GO_REGULATION_OF_CYTOKINE_BIOSYNTHETIC_PROCESS.html</t>
  </si>
  <si>
    <t>GO_REGULATION_OF_CYTOKINE_SECRETION</t>
  </si>
  <si>
    <t>3458;914;1436;929;2268;1236;2633;5734;6504;93978;84868;114548;51744;51311;7099;2219;56253;3553;5552;3586;729230;3604;3123;3127;5027;6363;50943;29126;22900</t>
  </si>
  <si>
    <t>IFNG;CD2;CSF1R;CD14;FGR;CCR7;GBP1;PTGER4;SLAMF1;CLEC6A;HAVCR2;NLRP3;CD244;TLR8;TLR4;FCN1;CRTAM;IL1B;SRGN;IL10;CCR2;TNFRSF9;HLA-DRB1;HLA-DRB5;P2RX7;CCL19;FOXP3;CD274;CARD8</t>
  </si>
  <si>
    <t>http://www.broadinstitute.org/gsea/msigdb/cards/GO_REGULATION_OF_CYTOKINE_SECRETION.html</t>
  </si>
  <si>
    <t>GO_POSITIVE_REGULATION_OF_CELL_COMMUNICATION</t>
  </si>
  <si>
    <t>9840;4242;9839;4068;9402;80833;9450;3458;920;925;3627;972;5579;3932;1436;916;5788;2268;940;6351;6352;7133;959;1236;941;5734;2322;7535;5294;4283;6504;10666;93978;50852;388325;221472;84166;150372;84868;23533;11184;4064;2672;64170;84174;59067;57105;51284;54209;10870;10019;7099;6373;10537;8742;3717;3553;3956;3162;1435;3002;596;3059;2357;728;3586;1230;6507;356;2833;1601;11009;6503;8809;3123;3127;146850;118788;115727;10507;51762;5027;6363;4215</t>
  </si>
  <si>
    <t>TESPA1;MFNG;ZEB2;SH2D1A;GRAP2;APOL3;LY86;IFNG;CD4;CD8A;CXCL10;CD74;PRKCB;LCK;CSF1R;CD3E;PTPRC;FGR;CD28;CCL4;CCL5;TNFRSF1B;CD40LG;CCR7;CD80;PTGER4;FLT3;ZAP70;PIK3CG;CXCL9;SLAMF1;CD226;CLEC6A;TRAT1;SCIMP;FGD2;NLRC5;NFAM1;HAVCR2;PIK3R5;MAP4K1;CD180;GFI1;CARD9;SLA2;IL21;CYSLTR2;TLR7;TREM2;HCST;SH2B3;TLR4;CXCL11;UBD;TNFSF12;JAK2;IL1B;LGALS1;HMOX1;CSF1;GZMB;BCL2;HCLS1;FPR1;C5AR1;IL10;CCR1;SLC1A3;FASLG;CXCR3;DAB2;IL24;SLA;IL18R1;HLA-DRB1;HLA-DRB5;PIK3R6;PIK3AP1;RASGRP4;SEMA4D;RAB8B;P2RX7;CCL19;MAP3K3</t>
  </si>
  <si>
    <t>http://www.broadinstitute.org/gsea/msigdb/cards/GO_POSITIVE_REGULATION_OF_CELL_COMMUNICATION.html</t>
  </si>
  <si>
    <t>GO_REGULATION_OF_MULTICELLULAR_ORGANISMAL_DEVELOPMENT</t>
  </si>
  <si>
    <t>9840;7305;9839;11025;54440;3458;3559;714;3627;972;3689;5579;914;1436;916;940;3659;6352;1493;3575;6688;7453;941;5734;942;6772;3594;7535;3071;695;3662;719;5800;10288;150372;11006;57580;84868;3635;114548;26051;2672;57105;55589;30009;51393;7099;29909;8742;10154;4094;8320;4049;3553;348;3111;3956;3162;1435;5552;596;3059;2113;728;3586;1230;6546;729230;356;2833;3718;1601;5376;4208;5133;814;55704;146850;85464;10507;5027;6363;50943;64919;64805;23166;22806;9935</t>
  </si>
  <si>
    <t>TESPA1;TYROBP;ZEB2;LILRB3;SASH3;IFNG;IL2RA;C1QC;CXCL10;CD74;ITGB2;PRKCB;CD2;CSF1R;CD3E;CD28;IRF1;CCL5;CTLA4;IL7R;SPI1;WARS;CD80;PTGER4;CD86;STAT1;IL12RB1;ZAP70;NCKAP1L;BTK;IRF4;C3AR1;PTPRO;LILRB2;NFAM1;LILRB4;PREX1;HAVCR2;INPP5D;NLRP3;PPP1R16B;GFI1;CYSLTR2;BMP2K;TBX21;TRPV2;TLR4;GPR171;TNFSF12;PLXNC1;MAF;EOMES;LTA;IL1B;APOE;HLA-DOA;LGALS1;HMOX1;CSF1;SRGN;BCL2;HCLS1;ETS1;C5AR1;IL10;CCR1;SLC8A1;CCR2;FASLG;CXCR3;JAK3;DAB2;PMP22;MEF2C;PDCD1;CAMK4;CCDC88A;PIK3R6;SSH2;SEMA4D;P2RX7;CCL19;FOXP3;BCL11B;P2RY12;STAB1;IKZF3;MAFB</t>
  </si>
  <si>
    <t>http://www.broadinstitute.org/gsea/msigdb/cards/GO_REGULATION_OF_MULTICELLULAR_ORGANISMAL_DEVELOPMENT.html</t>
  </si>
  <si>
    <t>GO_MYELOID_LEUKOCYTE_ACTIVATION</t>
  </si>
  <si>
    <t>7305;6352;6688;2207;942;7535;5294;199;3937;6504;3662;399;57580;84868;1794;51744;51311;51284;7099;10537;1435;6556;814;116071;7462</t>
  </si>
  <si>
    <t>TYROBP;CCL5;SPI1;FCER1G;CD86;ZAP70;PIK3CG;AIF1;LCP2;SLAMF1;IRF4;RHOH;PREX1;HAVCR2;DOCK2;CD244;TLR8;TLR7;TLR4;UBD;CSF1;SLC11A1;CAMK4;BATF2;LAT2</t>
  </si>
  <si>
    <t>http://www.broadinstitute.org/gsea/msigdb/cards/GO_MYELOID_LEUKOCYTE_ACTIVATION.html</t>
  </si>
  <si>
    <t>GO_POSITIVE_REGULATION_OF_INTRACELLULAR_SIGNAL_TRANSDUCTION</t>
  </si>
  <si>
    <t>9839;80833;3458;920;925;3627;972;5579;3932;1436;916;2268;940;6351;6352;7133;959;1236;5734;2322;7535;5294;4283;6504;93978;50852;388325;221472;84868;23533;11184;64170;59067;57105;51284;54209;10870;7099;6373;10537;3717;3553;3956;3162;1435;596;3059;2357;728;3586;1230;356;2833;11009;8809;146850;118788;115727;10507;5027;6363;4215</t>
  </si>
  <si>
    <t>ZEB2;APOL3;IFNG;CD4;CD8A;CXCL10;CD74;PRKCB;LCK;CSF1R;CD3E;FGR;CD28;CCL4;CCL5;TNFRSF1B;CD40LG;CCR7;PTGER4;FLT3;ZAP70;PIK3CG;CXCL9;SLAMF1;CLEC6A;TRAT1;SCIMP;FGD2;HAVCR2;PIK3R5;MAP4K1;CARD9;IL21;CYSLTR2;TLR7;TREM2;HCST;TLR4;CXCL11;UBD;JAK2;IL1B;LGALS1;HMOX1;CSF1;BCL2;HCLS1;FPR1;C5AR1;IL10;CCR1;FASLG;CXCR3;IL24;IL18R1;PIK3R6;PIK3AP1;RASGRP4;SEMA4D;P2RX7;CCL19;MAP3K3</t>
  </si>
  <si>
    <t>http://www.broadinstitute.org/gsea/msigdb/cards/GO_POSITIVE_REGULATION_OF_INTRACELLULAR_SIGNAL_TRANSDUCTION.html</t>
  </si>
  <si>
    <t>GO_POSITIVE_REGULATION_OF_INTERFERON_GAMMA_PRODUCTION</t>
  </si>
  <si>
    <t>54440;914;916;929;3594;3394;6504;84868;114836;51744;59067;51311;51284;7099;4049;3553;3115;3113;729230;6556;8809;10148</t>
  </si>
  <si>
    <t>SASH3;CD2;CD3E;CD14;IL12RB1;IRF8;SLAMF1;HAVCR2;SLAMF6;CD244;IL21;TLR8;TLR7;TLR4;LTA;IL1B;HLA-DPB1;HLA-DPA1;CCR2;SLC11A1;IL18R1;EBI3</t>
  </si>
  <si>
    <t>http://www.broadinstitute.org/gsea/msigdb/cards/GO_POSITIVE_REGULATION_OF_INTERFERON_GAMMA_PRODUCTION.html</t>
  </si>
  <si>
    <t>GO_ADAPTIVE_IMMUNE_RESPONSE_BASED_ON_SOMATIC_RECOMBINATION_OF_IMMUNE_RECEPTORS_BUILT_FROM_IMMUNOGLOBULIN_SUPERFAMILY_DOMAINS</t>
  </si>
  <si>
    <t>10068;925;712;713;714;972;1378;959;2207;6504;3662;719;89857;3635;114836;84174;4063;51311;7099;56253;5452;6556;4208;8809;10148;3123;3127;202309;50943</t>
  </si>
  <si>
    <t>IL18BP;CD8A;C1QA;C1QB;C1QC;CD74;CR1;CD40LG;FCER1G;SLAMF1;IRF4;C3AR1;KLHL6;INPP5D;SLAMF6;SLA2;LY9;TLR8;TLR4;CRTAM;POU2F2;SLC11A1;MEF2C;IL18R1;EBI3;HLA-DRB1;HLA-DRB5;GAPT;FOXP3</t>
  </si>
  <si>
    <t>http://www.broadinstitute.org/gsea/msigdb/cards/GO_ADAPTIVE_IMMUNE_RESPONSE_BASED_ON_SOMATIC_RECOMBINATION_OF_IMMUNE_RECEPTORS_BUILT_FROM_IMMUNOGLOBULIN_SUPERFAMILY_DOMAINS.html</t>
  </si>
  <si>
    <t>GO_CYTOKINE_RECEPTOR_ACTIVITY</t>
  </si>
  <si>
    <t>10663;3559;972;3560;3575;3561;1236;1439;2322;3594;1233;1234;3587;1240;50615;9034;1230;729230;2829;2833;1235;1237;8809;10148</t>
  </si>
  <si>
    <t>CXCR6;IL2RA;CD74;IL2RB;IL7R;IL2RG;CCR7;CSF2RB;FLT3;IL12RB1;CCR4;CCR5;IL10RA;CMKLR1;IL21R;CCRL2;CCR1;CCR2;XCR1;CXCR3;CCR6;CCR8;IL18R1;EBI3</t>
  </si>
  <si>
    <t>http://www.broadinstitute.org/gsea/msigdb/cards/GO_CYTOKINE_RECEPTOR_ACTIVITY.html</t>
  </si>
  <si>
    <t>GO_POSITIVE_REGULATION_OF_RESPONSE_TO_EXTERNAL_STIMULUS</t>
  </si>
  <si>
    <t>9450;3627;972;940;6351;6352;923;2207;1236;5734;5294;199;3071;4283;3603;719;84868;115362;4064;1240;59067;51284;730249;7099;6373;3717;4049;3553;1435;2113;728;1230;729230;2833;1235;7941;6363</t>
  </si>
  <si>
    <t>LY86;CXCL10;CD74;CD28;CCL4;CCL5;CD6;FCER1G;CCR7;PTGER4;PIK3CG;AIF1;NCKAP1L;CXCL9;IL16;C3AR1;HAVCR2;GBP5;CD180;CMKLR1;IL21;TLR7;ACOD1;TLR4;CXCL11;JAK2;LTA;IL1B;CSF1;ETS1;C5AR1;CCR1;CCR2;CXCR3;CCR6;PLA2G7;CCL19</t>
  </si>
  <si>
    <t>http://www.broadinstitute.org/gsea/msigdb/cards/GO_POSITIVE_REGULATION_OF_RESPONSE_TO_EXTERNAL_STIMULUS.html</t>
  </si>
  <si>
    <t>GO_NEGATIVE_REGULATION_OF_MULTICELLULAR_ORGANISMAL_PROCESS</t>
  </si>
  <si>
    <t>4210;11025;3458;714;3627;972;3659;1493;2633;5734;942;6772;5294;3071;695;6504;5800;201633;197358;84166;11006;84868;3635;114548;2672;1240;80380;8832;730249;7099;29909;3717;27306;3553;348;341;2811;3956;3162;5552;596;54;3902;3586;1230;4261;729230;356;6556;2833;3718;5376;4208;3604;10457;5133;3123;3127;10507;5027;50943;23166;29126;51466;9935</t>
  </si>
  <si>
    <t>MEFV;LILRB3;IFNG;C1QC;CXCL10;CD74;IRF1;CTLA4;GBP1;PTGER4;CD86;STAT1;PIK3CG;NCKAP1L;BTK;SLAMF1;PTPRO;TIGIT;NLRC3;NLRC5;LILRB4;HAVCR2;INPP5D;NLRP3;GFI1;CMKLR1;PDCD1LG2;CD84;ACOD1;TLR4;GPR171;JAK2;HPGDS;IL1B;APOE;APOC1;GP1BA;LGALS1;HMOX1;SRGN;BCL2;ACP5;LAG3;IL10;CCR1;CIITA;CCR2;FASLG;SLC11A1;CXCR3;JAK3;PMP22;MEF2C;TNFRSF9;GPNMB;PDCD1;HLA-DRB1;HLA-DRB5;SEMA4D;P2RX7;FOXP3;STAB1;CD274;EVL;MAFB</t>
  </si>
  <si>
    <t>http://www.broadinstitute.org/gsea/msigdb/cards/GO_NEGATIVE_REGULATION_OF_MULTICELLULAR_ORGANISMAL_PROCESS.html</t>
  </si>
  <si>
    <t>GO_LEUKOCYTE_CHEMOTAXIS</t>
  </si>
  <si>
    <t>3458;3627;3689;6351;6352;2350;2207;11151;1236;5294;1234;3071;3603;5800;57580;6373;3553;728;3586;1230;729230;2833;1235;120425;6363;30817</t>
  </si>
  <si>
    <t>IFNG;CXCL10;ITGB2;CCL4;CCL5;FOLR2;FCER1G;CORO1A;CCR7;PIK3CG;CCR5;NCKAP1L;IL16;PTPRO;PREX1;CXCL11;IL1B;C5AR1;IL10;CCR1;CCR2;CXCR3;CCR6;JAML;CCL19;ADGRE2</t>
  </si>
  <si>
    <t>http://www.broadinstitute.org/gsea/msigdb/cards/GO_LEUKOCYTE_CHEMOTAXIS.html</t>
  </si>
  <si>
    <t>GO_REGULATION_OF_T_CELL_DIFFERENTIATION</t>
  </si>
  <si>
    <t>9840;54440;3458;3559;972;914;940;3659;1493;3575;941;942;3594;7535;3071;3662;10288;114548;3553;3111;3718;814;146850;6363;50943</t>
  </si>
  <si>
    <t>TESPA1;SASH3;IFNG;IL2RA;CD74;CD2;CD28;IRF1;CTLA4;IL7R;CD80;CD86;IL12RB1;ZAP70;NCKAP1L;IRF4;LILRB2;NLRP3;IL1B;HLA-DOA;JAK3;CAMK4;PIK3R6;CCL19;FOXP3</t>
  </si>
  <si>
    <t>http://www.broadinstitute.org/gsea/msigdb/cards/GO_REGULATION_OF_T_CELL_DIFFERENTIATION.html</t>
  </si>
  <si>
    <t>GO_REGULATION_OF_LEUKOCYTE_MIGRATION</t>
  </si>
  <si>
    <t>3627;972;6351;6352;3676;1236;5734;199;3071;4354;4283;719;1240;11314;6373;6793;3553;3162;1435;728;5724;1230;729230;2833;1235;7941;6363;64805</t>
  </si>
  <si>
    <t>CXCL10;CD74;CCL4;CCL5;ITGA4;CCR7;PTGER4;AIF1;NCKAP1L;MPP1;CXCL9;C3AR1;CMKLR1;CD300A;CXCL11;STK10;IL1B;HMOX1;CSF1;C5AR1;PTAFR;CCR1;CCR2;CXCR3;CCR6;PLA2G7;CCL19;P2RY12</t>
  </si>
  <si>
    <t>http://www.broadinstitute.org/gsea/msigdb/cards/GO_REGULATION_OF_LEUKOCYTE_MIGRATION.html</t>
  </si>
  <si>
    <t>GO_DEFENSE_RESPONSE_TO_OTHER_ORGANISM</t>
  </si>
  <si>
    <t>3458;920;925;3627;5788;2268;3659;5551;2207;2633;944;942;6772;3394;4283;3662;93978;84166;84868;114548;64170;58484;51311;51284;7099;4049;596;6037;54;6693;728;3586;10578;729230;6507;6556;375387;116071;338339;51676;10077;5027;64581;283316;23166;25939</t>
  </si>
  <si>
    <t>IFNG;CD4;CD8A;CXCL10;PTPRC;FGR;IRF1;PRF1;FCER1G;GBP1;TNFSF8;CD86;STAT1;IRF8;CXCL9;IRF4;CLEC6A;NLRC5;HAVCR2;NLRP3;CARD9;NLRC4;TLR8;TLR7;TLR4;LTA;BCL2;RNASE3;ACP5;SPN;C5AR1;IL10;GNLY;CCR2;SLC1A3;SLC11A1;NRROS;BATF2;CLEC4D;ASB2;TSPAN32;P2RX7;CLEC7A;CD163L1;STAB1;SAMHD1</t>
  </si>
  <si>
    <t>http://www.broadinstitute.org/gsea/msigdb/cards/GO_DEFENSE_RESPONSE_TO_OTHER_ORGANISM.html</t>
  </si>
  <si>
    <t>GO_VACUOLE</t>
  </si>
  <si>
    <t>1318;4210;9595;9402;920;972;929;3055;6036;2209;5551;653361;11151;5294;1234;7805;9744;4689;124460;221472;51296;55016;84868;2210;55340;259307;23048;53346;84174;51311;51284;284417;7099;3717;3553;3122;3117;348;3115;3120;3111;1508;5552;926;10437;54;3112;4688;3113;526;2357;4360;3108;3109;3988;729230;356;6556;8905;1601;27163;6503;3123;3127;206358;245972;7462;59345;1522;4644</t>
  </si>
  <si>
    <t>SLC31A2;MEFV;CYTIP;GRAP2;CD4;CD74;CD14;HCK;RNASE2;FCGR1A;PRF1;NCF1;CORO1A;PIK3CG;CCR5;LAPTM5;ACAP1;NCF4;SNX20;FGD2;SLC15A3;MARCH1;HAVCR2;FCGR1B;GIMAP5;IL4I1;FNBP1;TM6SF1;SLA2;TLR8;TLR7;TMEM150B;TLR4;JAK2;IL1B;HLA-DRA;HLA-DQA1;APOE;HLA-DPB1;HLA-DQB2;HLA-DOA;CTSB;SRGN;CD8B;IFI30;ACP5;HLA-DOB;NCF2;HLA-DPA1;ATP6V1B2;FPR1;MRC1;HLA-DMA;HLA-DMB;LIPA;CCR2;FASLG;SLC11A1;AP1S2;DAB2;NAAA;SLA;HLA-DRB1;HLA-DRB5;SLC36A1;ATP6V0D2;LAT2;GNB4;CTSZ;MYO5A</t>
  </si>
  <si>
    <t>http://www.broadinstitute.org/gsea/msigdb/cards/GO_VACUOLE.html</t>
  </si>
  <si>
    <t>GO_POSITIVE_REGULATION_OF_CYTOKINE_BIOSYNTHETIC_PROCESS</t>
  </si>
  <si>
    <t>3458;920;916;940;3659;941;942;3662;59067;51311;51284;7099;3553;3162;6693;5724;943;729230;4050;10148</t>
  </si>
  <si>
    <t>IFNG;CD4;CD3E;CD28;IRF1;CD80;CD86;IRF4;IL21;TLR8;TLR7;TLR4;IL1B;HMOX1;SPN;PTAFR;TNFRSF8;CCR2;LTB;EBI3</t>
  </si>
  <si>
    <t>http://www.broadinstitute.org/gsea/msigdb/cards/GO_POSITIVE_REGULATION_OF_CYTOKINE_BIOSYNTHETIC_PROCESS.html</t>
  </si>
  <si>
    <t>GO_RESPONSE_TO_OXYGEN_CONTAINING_COMPOUND</t>
  </si>
  <si>
    <t>10068;3458;920;3627;1536;5579;929;3055;6352;2350;6688;7133;923;1236;941;5734;942;6772;5294;1234;199;3394;4283;4671;3587;10288;84868;114548;4064;2672;64170;54209;730249;7099;6373;366;3717;19;4049;3553;348;1508;1621;3956;3162;596;54;6402;2113;526;728;3586;6518;4360;5724;943;6546;6753;729230;6776;356;6556;3718;54331;4973;4208;3604;11009;245972;4327;5027;6363;64581;64805;59345;4644</t>
  </si>
  <si>
    <t>IL18BP;IFNG;CD4;CXCL10;CYBB;PRKCB;CD14;HCK;CCL5;FOLR2;SPI1;TNFRSF1B;CD6;CCR7;CD80;PTGER4;CD86;STAT1;PIK3CG;CCR5;AIF1;IRF8;CXCL9;NAIP;IL10RA;LILRB2;HAVCR2;NLRP3;CD180;GFI1;CARD9;TREM2;ACOD1;TLR4;CXCL11;AQP9;JAK2;ABCA1;LTA;IL1B;APOE;CTSB;DBH;LGALS1;HMOX1;BCL2;ACP5;SELL;ETS1;ATP6V1B2;C5AR1;IL10;SLC2A5;MRC1;PTAFR;TNFRSF8;SLC8A1;SSTR3;CCR2;STAT5A;FASLG;SLC11A1;JAK3;GNG2;OLR1;MEF2C;TNFRSF9;IL24;ATP6V0D2;MMP19;P2RX7;CCL19;CLEC7A;P2RY12;GNB4;MYO5A</t>
  </si>
  <si>
    <t>http://www.broadinstitute.org/gsea/msigdb/cards/GO_RESPONSE_TO_OXYGEN_CONTAINING_COMPOUND.html</t>
  </si>
  <si>
    <t>GO_NEGATIVE_REGULATION_OF_CYTOKINE_PRODUCTION</t>
  </si>
  <si>
    <t>4210;3458;2633;5734;3071;695;6504;201633;197358;84166;84868;3635;114548;1240;80380;8832;730249;7099;3162;5552;54;3902;3586;6556;3718;3604;10457;3123;3127;50943;29126</t>
  </si>
  <si>
    <t>MEFV;IFNG;GBP1;PTGER4;NCKAP1L;BTK;SLAMF1;TIGIT;NLRC3;NLRC5;HAVCR2;INPP5D;NLRP3;CMKLR1;PDCD1LG2;CD84;ACOD1;TLR4;HMOX1;SRGN;ACP5;LAG3;IL10;SLC11A1;JAK3;TNFRSF9;GPNMB;HLA-DRB1;HLA-DRB5;FOXP3;CD274</t>
  </si>
  <si>
    <t>http://www.broadinstitute.org/gsea/msigdb/cards/GO_NEGATIVE_REGULATION_OF_CYTOKINE_PRODUCTION.html</t>
  </si>
  <si>
    <t>GO_CELL_CHEMOTAXIS</t>
  </si>
  <si>
    <t>3458;3627;3689;6351;6352;2350;2207;11151;1236;5294;1234;3071;391;4283;3603;5800;57580;6373;3553;728;3586;1230;729230;2833;1235;120425;6363;30817</t>
  </si>
  <si>
    <t>IFNG;CXCL10;ITGB2;CCL4;CCL5;FOLR2;FCER1G;CORO1A;CCR7;PIK3CG;CCR5;NCKAP1L;RHOG;CXCL9;IL16;PTPRO;PREX1;CXCL11;IL1B;C5AR1;IL10;CCR1;CCR2;CXCR3;CCR6;JAML;CCL19;ADGRE2</t>
  </si>
  <si>
    <t>http://www.broadinstitute.org/gsea/msigdb/cards/GO_CELL_CHEMOTAXIS.html</t>
  </si>
  <si>
    <t>GO_LYTIC_VACUOLE</t>
  </si>
  <si>
    <t>972;3055;6036;5551;653361;5294;7805;4689;51296;55016;55340;259307;23048;53346;51311;51284;284417;3553;3122;3117;3115;3120;3111;1508;5552;10437;54;3112;4688;3113;526;3108;3109;3988;356;6556;8905;1601;27163;3123;3127;206358;7462;59345;1522;4644</t>
  </si>
  <si>
    <t>CD74;HCK;RNASE2;PRF1;NCF1;PIK3CG;LAPTM5;NCF4;SLC15A3;MARCH1;GIMAP5;IL4I1;FNBP1;TM6SF1;TLR8;TLR7;TMEM150B;IL1B;HLA-DRA;HLA-DQA1;HLA-DPB1;HLA-DQB2;HLA-DOA;CTSB;SRGN;IFI30;ACP5;HLA-DOB;NCF2;HLA-DPA1;ATP6V1B2;HLA-DMA;HLA-DMB;LIPA;FASLG;SLC11A1;AP1S2;DAB2;NAAA;HLA-DRB1;HLA-DRB5;SLC36A1;LAT2;GNB4;CTSZ;MYO5A</t>
  </si>
  <si>
    <t>http://www.broadinstitute.org/gsea/msigdb/cards/GO_LYTIC_VACUOLE.html</t>
  </si>
  <si>
    <t>GO_CELLULAR_DEFENSE_RESPONSE</t>
  </si>
  <si>
    <t>7305;9214;4068;5551;653361;4332;1234;4283;10871;3702;50852;10288;6693;4688;728;10578;729230;3812;1235;3805</t>
  </si>
  <si>
    <t>TYROBP;FCMR;SH2D1A;PRF1;NCF1;MNDA;CCR5;CXCL9;CD300C;ITK;TRAT1;LILRB2;SPN;NCF2;C5AR1;GNLY;CCR2;KIR3DL2;CCR6;KIR2DL4</t>
  </si>
  <si>
    <t>http://www.broadinstitute.org/gsea/msigdb/cards/GO_CELLULAR_DEFENSE_RESPONSE.html</t>
  </si>
  <si>
    <t>GO_REGULATION_OF_B_CELL_ACTIVATION</t>
  </si>
  <si>
    <t>54440;3458;972;5788;940;1493;4332;7535;3071;695;374403;150372;3635;84174;59067;64092;11314;30009;10673;7099;596;3586;4208;50943;22806</t>
  </si>
  <si>
    <t>SASH3;IFNG;CD74;PTPRC;CD28;CTLA4;MNDA;ZAP70;NCKAP1L;BTK;TBC1D10C;NFAM1;INPP5D;SLA2;IL21;SAMSN1;CD300A;TBX21;TNFSF13B;TLR4;BCL2;IL10;MEF2C;FOXP3;IKZF3</t>
  </si>
  <si>
    <t>http://www.broadinstitute.org/gsea/msigdb/cards/GO_REGULATION_OF_B_CELL_ACTIVATION.html</t>
  </si>
  <si>
    <t>GO_ENDOCYTOSIS</t>
  </si>
  <si>
    <t>7456;9051;3689;929;3055;2214;917;2268;2209;3676;2350;919;923;2207;11151;5294;199;3071;3394;6504;9332;1794;2210;23048;54209;2219;19;348;921;2212;4481;4360;7454;6556;4973;1601;4240;55911;10462;5027;64581;6614;30835;283316;23166</t>
  </si>
  <si>
    <t>WIPF1;PSTPIP1;ITGB2;CD14;HCK;FCGR3A;CD3G;FGR;FCGR1A;ITGA4;FOLR2;CD247;CD6;FCER1G;CORO1A;PIK3CG;AIF1;NCKAP1L;IRF8;SLAMF1;CD163;DOCK2;FCGR1B;FNBP1;TREM2;FCN1;ABCA1;APOE;CD5;FCGR2A;MSR1;MRC1;WAS;SLC11A1;OLR1;DAB2;MFGE8;APOBR;CLEC10A;P2RX7;CLEC7A;SIGLEC1;CD209;CD163L1;STAB1</t>
  </si>
  <si>
    <t>http://www.broadinstitute.org/gsea/msigdb/cards/GO_ENDOCYTOSIS.html</t>
  </si>
  <si>
    <t>GO_LYMPHOCYTE_ACTIVATION_INVOLVED_IN_IMMUNE_RESPONSE</t>
  </si>
  <si>
    <t>4242;3458;3683;959;2207;11151;5734;942;3662;114836;4064;51744;4063;23228;7099;8320;3956;3936;6556;8809;54518;202309;338339</t>
  </si>
  <si>
    <t>MFNG;IFNG;ITGAL;CD40LG;FCER1G;CORO1A;PTGER4;CD86;IRF4;SLAMF6;CD180;CD244;LY9;PLCL2;TLR4;EOMES;LGALS1;LCP1;SLC11A1;IL18R1;APBB1IP;GAPT;CLEC4D</t>
  </si>
  <si>
    <t>http://www.broadinstitute.org/gsea/msigdb/cards/GO_LYMPHOCYTE_ACTIVATION_INVOLVED_IN_IMMUNE_RESPONSE.html</t>
  </si>
  <si>
    <t>GO_LEUKOCYTE_PROLIFERATION</t>
  </si>
  <si>
    <t>5788;3575;959;2322;942;5294;6504;81704;1794;114836;4064;23228;7099;56253;1435;596;3586;6556;4208;10148;202309;5027</t>
  </si>
  <si>
    <t>PTPRC;IL7R;CD40LG;FLT3;CD86;PIK3CG;SLAMF1;DOCK8;DOCK2;SLAMF6;CD180;PLCL2;TLR4;CRTAM;CSF1;BCL2;IL10;SLC11A1;MEF2C;EBI3;GAPT;P2RX7</t>
  </si>
  <si>
    <t>http://www.broadinstitute.org/gsea/msigdb/cards/GO_LEUKOCYTE_PROLIFERATION.html</t>
  </si>
  <si>
    <t>GO_REGULATION_OF_TUMOR_NECROSIS_FACTOR_SUPERFAMILY_CYTOKINE_PRODUCTION</t>
  </si>
  <si>
    <t>54440;3458;914;929;2207;5734;942;6504;197358;84868;64170;7099;3717;54;6693;3586;5724;943;729230;10457;6363;50943;29126</t>
  </si>
  <si>
    <t>SASH3;IFNG;CD2;CD14;FCER1G;PTGER4;CD86;SLAMF1;NLRC3;HAVCR2;CARD9;TLR4;JAK2;ACP5;SPN;IL10;PTAFR;TNFRSF8;CCR2;GPNMB;CCL19;FOXP3;CD274</t>
  </si>
  <si>
    <t>http://www.broadinstitute.org/gsea/msigdb/cards/GO_REGULATION_OF_TUMOR_NECROSIS_FACTOR_SUPERFAMILY_CYTOKINE_PRODUCTION.html</t>
  </si>
  <si>
    <t>GO_POSITIVE_REGULATION_OF_INNATE_IMMUNE_RESPONSE</t>
  </si>
  <si>
    <t>259197;4068;3689;929;3055;6352;2207;942;695;10666;93978;84166;84868;114836;115362;4064;64170;59067;58484;51311;51284;50856;7099;2219;56253;1508;3684;3902;118788;338339;64581;30835</t>
  </si>
  <si>
    <t>NCR3;SH2D1A;ITGB2;CD14;HCK;CCL5;FCER1G;CD86;BTK;CD226;CLEC6A;NLRC5;HAVCR2;SLAMF6;GBP5;CD180;CARD9;IL21;NLRC4;TLR8;TLR7;CLEC4A;TLR4;FCN1;CRTAM;CTSB;ITGAM;LAG3;PIK3AP1;CLEC4D;CLEC7A;CD209</t>
  </si>
  <si>
    <t>http://www.broadinstitute.org/gsea/msigdb/cards/GO_POSITIVE_REGULATION_OF_INNATE_IMMUNE_RESPONSE.html</t>
  </si>
  <si>
    <t>GO_POSITIVE_REGULATION_OF_HYDROLASE_ACTIVITY</t>
  </si>
  <si>
    <t>4210;3458;3559;3932;5341;6351;6352;3560;1378;3561;1236;1439;3071;391;3702;9744;9459;55843;139818;257106;221472;64926;374403;8477;117289;81704;57580;1794;114548;23048;116986;64333;58484;64407;11314;27128;3717;1102;728;5724;9938;356;3718;4208;9815;10672;57514;57589;89846;10235;25780;115727;9754;10507;55619;6363;64805;55803;22900</t>
  </si>
  <si>
    <t>MEFV;IFNG;IL2RA;LCK;PLEK;CCL4;CCL5;IL2RB;CR1;IL2RG;CCR7;CSF2RB;NCKAP1L;RHOG;ITK;ACAP1;ARHGEF6;ARHGAP15;DOCK11;ARHGAP30;FGD2;RASAL3;TBC1D10C;GPR65;TAGAP;DOCK8;PREX1;DOCK2;NLRP3;FNBP1;AGAP2;ARHGAP9;NLRC4;RGS18;CD300A;CYTH4;JAK2;RCBTB2;C5AR1;PTAFR;ARHGAP25;FASLG;JAK3;MEF2C;GIT2;GNA13;ARHGAP31;RIC1;FGD3;RASGRP2;RASGRP3;RASGRP4;STARD8;SEMA4D;DOCK10;CCL19;P2RY12;ADAP2;CARD8</t>
  </si>
  <si>
    <t>http://www.broadinstitute.org/gsea/msigdb/cards/GO_POSITIVE_REGULATION_OF_HYDROLASE_ACTIVITY.html</t>
  </si>
  <si>
    <t>GO_POSITIVE_REGULATION_OF_LEUKOCYTE_DIFFERENTIATION</t>
  </si>
  <si>
    <t>9840;54440;3458;3559;972;1436;6352;3575;941;942;3594;7535;3071;695;10288;3635;114548;3553;3956;1435;3059;1230;146850;6363;50943</t>
  </si>
  <si>
    <t>TESPA1;SASH3;IFNG;IL2RA;CD74;CSF1R;CCL5;IL7R;CD80;CD86;IL12RB1;ZAP70;NCKAP1L;BTK;LILRB2;INPP5D;NLRP3;IL1B;LGALS1;CSF1;HCLS1;CCR1;PIK3R6;CCL19;FOXP3</t>
  </si>
  <si>
    <t>http://www.broadinstitute.org/gsea/msigdb/cards/GO_POSITIVE_REGULATION_OF_LEUKOCYTE_DIFFERENTIATION.html</t>
  </si>
  <si>
    <t>GO_T_CELL_RECEPTOR_SIGNALING_PATHWAY</t>
  </si>
  <si>
    <t>2533;9402;3458;920;915;3932;916;5788;917;940;919;7535;3702;3937;50852;387357;3635;3122;3117;3115;3120;3113;7454;3123;3127;50943</t>
  </si>
  <si>
    <t>FYB1;GRAP2;IFNG;CD4;CD3D;LCK;CD3E;PTPRC;CD3G;CD28;CD247;ZAP70;ITK;LCP2;TRAT1;THEMIS;INPP5D;HLA-DRA;HLA-DQA1;HLA-DPB1;HLA-DQB2;HLA-DPA1;WAS;HLA-DRB1;HLA-DRB5;FOXP3</t>
  </si>
  <si>
    <t>http://www.broadinstitute.org/gsea/msigdb/cards/GO_T_CELL_RECEPTOR_SIGNALING_PATHWAY.html</t>
  </si>
  <si>
    <t>GO_ANTIGEN_PROCESSING_AND_PRESENTATION</t>
  </si>
  <si>
    <t>3458;925;972;1536;2209;653361;2207;6890;4689;55016;2210;3122;3117;3115;3120;3111;10437;3112;4688;3113;3108;3109;6556;8905;6891;9363;3123;3127;51762;30835</t>
  </si>
  <si>
    <t>IFNG;CD8A;CD74;CYBB;FCGR1A;NCF1;FCER1G;TAP1;NCF4;MARCH1;FCGR1B;HLA-DRA;HLA-DQA1;HLA-DPB1;HLA-DQB2;HLA-DOA;IFI30;HLA-DOB;NCF2;HLA-DPA1;HLA-DMA;HLA-DMB;SLC11A1;AP1S2;TAP2;RAB33A;HLA-DRB1;HLA-DRB5;RAB8B;CD209</t>
  </si>
  <si>
    <t>http://www.broadinstitute.org/gsea/msigdb/cards/GO_ANTIGEN_PROCESSING_AND_PRESENTATION.html</t>
  </si>
  <si>
    <t>GO_CELLULAR_RESPONSE_TO_BIOTIC_STIMULUS</t>
  </si>
  <si>
    <t>3458;3627;929;3055;6352;7133;923;941;942;1234;3394;10288;84868;114548;4064;2672;54209;730249;7099;19;3553;3586;4360;5724;4208;11009;64581</t>
  </si>
  <si>
    <t>IFNG;CXCL10;CD14;HCK;CCL5;TNFRSF1B;CD6;CD80;CD86;CCR5;IRF8;LILRB2;HAVCR2;NLRP3;CD180;GFI1;TREM2;ACOD1;TLR4;ABCA1;IL1B;IL10;MRC1;PTAFR;MEF2C;IL24;CLEC7A</t>
  </si>
  <si>
    <t>http://www.broadinstitute.org/gsea/msigdb/cards/GO_CELLULAR_RESPONSE_TO_BIOTIC_STIMULUS.html</t>
  </si>
  <si>
    <t>GO_REGULATION_OF_ALPHA_BETA_T_CELL_ACTIVATION</t>
  </si>
  <si>
    <t>54440;3458;916;940;3659;941;942;3594;7535;3071;3662;64926;114548;51744;11314;729230;3718;10148;6363;50943</t>
  </si>
  <si>
    <t>SASH3;IFNG;CD3E;CD28;IRF1;CD80;CD86;IL12RB1;ZAP70;NCKAP1L;IRF4;RASAL3;NLRP3;CD244;CD300A;CCR2;JAK3;EBI3;CCL19;FOXP3</t>
  </si>
  <si>
    <t>http://www.broadinstitute.org/gsea/msigdb/cards/GO_REGULATION_OF_ALPHA_BETA_T_CELL_ACTIVATION.html</t>
  </si>
  <si>
    <t>GO_POSITIVE_REGULATION_OF_LOCOMOTION</t>
  </si>
  <si>
    <t>3458;3627;972;1436;5788;2268;6351;6352;3676;11151;1236;5734;199;3071;4283;3603;719;83706;1240;6373;3717;3553;3956;1435;596;54;2113;728;5724;1230;6546;729230;6776;2833;1235;1601;7941;10507;6363;29126</t>
  </si>
  <si>
    <t>IFNG;CXCL10;CD74;CSF1R;PTPRC;FGR;CCL4;CCL5;ITGA4;CORO1A;CCR7;PTGER4;AIF1;NCKAP1L;CXCL9;IL16;C3AR1;FERMT3;CMKLR1;CXCL11;JAK2;IL1B;LGALS1;CSF1;BCL2;ACP5;ETS1;C5AR1;PTAFR;CCR1;SLC8A1;CCR2;STAT5A;CXCR3;CCR6;DAB2;PLA2G7;SEMA4D;CCL19;CD274</t>
  </si>
  <si>
    <t>http://www.broadinstitute.org/gsea/msigdb/cards/GO_POSITIVE_REGULATION_OF_LOCOMOTION.html</t>
  </si>
  <si>
    <t>GO_CYTOKINE_PRODUCTION</t>
  </si>
  <si>
    <t>920;940;1236;5294;3702;3937;6504;10666;114548;115362;58484;7099;4094;19;8320;3553;1621;5724;3988;6556;2833;814;6363;50943</t>
  </si>
  <si>
    <t>CD4;CD28;CCR7;PIK3CG;ITK;LCP2;SLAMF1;CD226;NLRP3;GBP5;NLRC4;TLR4;MAF;ABCA1;EOMES;IL1B;DBH;PTAFR;LIPA;SLC11A1;CXCR3;CAMK4;CCL19;FOXP3</t>
  </si>
  <si>
    <t>http://www.broadinstitute.org/gsea/msigdb/cards/GO_CYTOKINE_PRODUCTION.html</t>
  </si>
  <si>
    <t>GO_REGULATION_OF_INFLAMMATORY_RESPONSE</t>
  </si>
  <si>
    <t>4210;3559;3055;940;6351;6352;1378;7133;923;2207;1236;5734;5294;719;79626;114548;115362;59067;51284;730249;7099;3717;4049;3553;348;54;2113;6693;728;3586;729230;7941;118788;50943</t>
  </si>
  <si>
    <t>MEFV;IL2RA;HCK;CD28;CCL4;CCL5;CR1;TNFRSF1B;CD6;FCER1G;CCR7;PTGER4;PIK3CG;C3AR1;TNFAIP8L2;NLRP3;GBP5;IL21;TLR7;ACOD1;TLR4;JAK2;LTA;IL1B;APOE;ACP5;ETS1;SPN;C5AR1;IL10;CCR2;PLA2G7;PIK3AP1;FOXP3</t>
  </si>
  <si>
    <t>http://www.broadinstitute.org/gsea/msigdb/cards/GO_REGULATION_OF_INFLAMMATORY_RESPONSE.html</t>
  </si>
  <si>
    <t>GO_INTERFERON_GAMMA_MEDIATED_SIGNALING_PATHWAY</t>
  </si>
  <si>
    <t>3458;3055;3659;2209;2633;6772;3394;3662;2210;3717;3122;3117;3115;3120;10437;3113;5724;4261;3123;3127</t>
  </si>
  <si>
    <t>IFNG;HCK;IRF1;FCGR1A;GBP1;STAT1;IRF8;IRF4;FCGR1B;JAK2;HLA-DRA;HLA-DQA1;HLA-DPB1;HLA-DQB2;IFI30;HLA-DPA1;PTAFR;CIITA;HLA-DRB1;HLA-DRB5</t>
  </si>
  <si>
    <t>http://www.broadinstitute.org/gsea/msigdb/cards/GO_INTERFERON_GAMMA_MEDIATED_SIGNALING_PATHWAY.html</t>
  </si>
  <si>
    <t>GO_REGULATION_OF_TRANSPORT</t>
  </si>
  <si>
    <t>1318;3458;920;3627;972;1536;5579;914;1436;929;3055;2268;6036;6351;6352;3687;959;2207;11151;1236;2633;5734;7535;5294;3071;4283;6504;8514;93978;50852;54899;374403;10288;84868;1794;114548;51744;56659;51311;51284;11314;8832;51393;7099;2219;6373;3717;7439;19;56253;3553;348;341;3162;5552;3002;596;3936;3059;3737;3586;5724;1230;6546;729230;6556;2833;3718;1601;4208;3604;4240;8809;3123;3127;84230;51762;84329;84106;5027;6363;50943;64805;29126;22900;4644</t>
  </si>
  <si>
    <t>SLC31A2;IFNG;CD4;CXCL10;CD74;CYBB;PRKCB;CD2;CSF1R;CD14;HCK;FGR;RNASE2;CCL4;CCL5;ITGAX;CD40LG;FCER1G;CORO1A;CCR7;GBP1;PTGER4;ZAP70;PIK3CG;NCKAP1L;CXCL9;SLAMF1;KCNAB2;CLEC6A;TRAT1;PXK;TBC1D10C;LILRB2;HAVCR2;DOCK2;NLRP3;CD244;KCNK13;TLR8;TLR7;CD300A;CD84;TRPV2;TLR4;FCN1;CXCL11;JAK2;BEST1;ABCA1;CRTAM;IL1B;APOE;APOC1;HMOX1;SRGN;GZMB;BCL2;LCP1;HCLS1;KCNA2;IL10;PTAFR;CCR1;SLC8A1;CCR2;SLC11A1;CXCR3;JAK3;DAB2;MEF2C;TNFRSF9;MFGE8;IL18R1;HLA-DRB1;HLA-DRB5;LRRC8C;RAB8B;HVCN1;PRAM1;P2RX7;CCL19;FOXP3;P2RY12;CD274;CARD8;MYO5A</t>
  </si>
  <si>
    <t>http://www.broadinstitute.org/gsea/msigdb/cards/GO_REGULATION_OF_TRANSPORT.html</t>
  </si>
  <si>
    <t>GO_POSITIVE_REGULATION_OF_LEUKOCYTE_MEDIATED_IMMUNITY</t>
  </si>
  <si>
    <t>259197;4068;54440;3458;2268;940;2207;3594;7535;10666;114836;114548;59067;30009;56253;4049;3553;3902;5724;5027;50943</t>
  </si>
  <si>
    <t>NCR3;SH2D1A;SASH3;IFNG;FGR;CD28;FCER1G;IL12RB1;ZAP70;CD226;SLAMF6;NLRP3;IL21;TBX21;CRTAM;LTA;IL1B;LAG3;PTAFR;P2RX7;FOXP3</t>
  </si>
  <si>
    <t>http://www.broadinstitute.org/gsea/msigdb/cards/GO_POSITIVE_REGULATION_OF_LEUKOCYTE_MEDIATED_IMMUNITY.html</t>
  </si>
  <si>
    <t>GO_POSITIVE_REGULATION_OF_PHOSPHORUS_METABOLIC_PROCESS</t>
  </si>
  <si>
    <t>9839;3458;920;3627;972;1436;916;5341;5788;2268;6351;6352;7133;959;1236;941;5734;2322;5294;199;3071;4283;3937;6504;388325;221472;8477;84868;23533;11184;26051;51744;64170;59067;57105;54209;11314;7099;6373;3717;19;3553;348;1435;596;3059;6693;2357;728;5724;1230;6556;2833;1601;4208;11009;55704;146850;10507;5027;6363;4215</t>
  </si>
  <si>
    <t>ZEB2;IFNG;CD4;CXCL10;CD74;CSF1R;CD3E;PLEK;PTPRC;FGR;CCL4;CCL5;TNFRSF1B;CD40LG;CCR7;CD80;PTGER4;FLT3;PIK3CG;AIF1;NCKAP1L;CXCL9;LCP2;SLAMF1;SCIMP;FGD2;GPR65;HAVCR2;PIK3R5;MAP4K1;PPP1R16B;CD244;CARD9;IL21;CYSLTR2;TREM2;CD300A;TLR4;CXCL11;JAK2;ABCA1;IL1B;APOE;CSF1;BCL2;HCLS1;SPN;FPR1;C5AR1;PTAFR;CCR1;SLC11A1;CXCR3;DAB2;MEF2C;IL24;CCDC88A;PIK3R6;SEMA4D;P2RX7;CCL19;MAP3K3</t>
  </si>
  <si>
    <t>http://www.broadinstitute.org/gsea/msigdb/cards/GO_POSITIVE_REGULATION_OF_PHOSPHORUS_METABOLIC_PROCESS.html</t>
  </si>
  <si>
    <t>GO_T_CELL_SELECTION</t>
  </si>
  <si>
    <t>920;972;915;916;940;1236;7535;3662;387357;1794;114836;4063;596;6693;50943;64919</t>
  </si>
  <si>
    <t>CD4;CD74;CD3D;CD3E;CD28;CCR7;ZAP70;IRF4;THEMIS;DOCK2;SLAMF6;LY9;BCL2;SPN;FOXP3;BCL11B</t>
  </si>
  <si>
    <t>http://www.broadinstitute.org/gsea/msigdb/cards/GO_T_CELL_SELECTION.html</t>
  </si>
  <si>
    <t>GO_POSITIVE_REGULATION_OF_HEMOPOIESIS</t>
  </si>
  <si>
    <t>9840;54440;3458;3559;972;1436;6352;3575;941;942;3594;7535;3071;695;10288;3635;114548;3553;3956;1435;3059;2113;1230;146850;6363;50943</t>
  </si>
  <si>
    <t>TESPA1;SASH3;IFNG;IL2RA;CD74;CSF1R;CCL5;IL7R;CD80;CD86;IL12RB1;ZAP70;NCKAP1L;BTK;LILRB2;INPP5D;NLRP3;IL1B;LGALS1;CSF1;HCLS1;ETS1;CCR1;PIK3R6;CCL19;FOXP3</t>
  </si>
  <si>
    <t>http://www.broadinstitute.org/gsea/msigdb/cards/GO_POSITIVE_REGULATION_OF_HEMOPOIESIS.html</t>
  </si>
  <si>
    <t>GO_B_CELL_ACTIVATION</t>
  </si>
  <si>
    <t>4242;5579;5788;3676;3575;959;2322;942;7535;695;150372;4064;23228;7099;5452;3956;596;4066;3586;3718;4208;202309;7462;22806</t>
  </si>
  <si>
    <t>MFNG;PRKCB;PTPRC;ITGA4;IL7R;CD40LG;FLT3;CD86;ZAP70;BTK;NFAM1;CD180;PLCL2;TLR4;POU2F2;LGALS1;BCL2;LYL1;IL10;JAK3;MEF2C;GAPT;LAT2;IKZF3</t>
  </si>
  <si>
    <t>http://www.broadinstitute.org/gsea/msigdb/cards/GO_B_CELL_ACTIVATION.html</t>
  </si>
  <si>
    <t>GO_REGULATION_OF_CELLULAR_COMPONENT_MOVEMENT</t>
  </si>
  <si>
    <t>3458;3627;972;1436;5788;2268;6351;6352;3676;11151;1236;5734;199;3071;4354;4283;719;5800;83706;1240;51225;11314;6373;10154;3717;6793;3553;348;3162;1435;596;54;2113;728;5724;1230;6546;729230;6776;7454;2833;1235;1601;11009;7941;10672;10507;55619;6363;64805;29126;51466</t>
  </si>
  <si>
    <t>IFNG;CXCL10;CD74;CSF1R;PTPRC;FGR;CCL4;CCL5;ITGA4;CORO1A;CCR7;PTGER4;AIF1;NCKAP1L;MPP1;CXCL9;C3AR1;PTPRO;FERMT3;CMKLR1;ABI3;CD300A;CXCL11;PLXNC1;JAK2;STK10;IL1B;APOE;HMOX1;CSF1;BCL2;ACP5;ETS1;C5AR1;PTAFR;CCR1;SLC8A1;CCR2;STAT5A;WAS;CXCR3;CCR6;DAB2;IL24;PLA2G7;GNA13;SEMA4D;DOCK10;CCL19;P2RY12;CD274;EVL</t>
  </si>
  <si>
    <t>http://www.broadinstitute.org/gsea/msigdb/cards/GO_REGULATION_OF_CELLULAR_COMPONENT_MOVEMENT.html</t>
  </si>
  <si>
    <t>GO_REGULATION_OF_CELL_DIFFERENTIATION</t>
  </si>
  <si>
    <t>9840;7305;9839;11025;54440;3458;3559;714;3627;972;914;1436;940;3659;6352;1493;3575;6688;963;2633;941;5734;942;6772;3594;7535;3071;695;4283;3662;5800;10288;150372;11006;57580;3635;114548;2672;1240;51393;7099;29909;10154;3717;4094;19;8320;4049;3553;348;3111;3956;1435;596;3059;2113;4481;1230;729230;3718;1601;5376;4208;814;55704;146850;85464;9806;10507;6363;50943;64919;64805;22806;9935</t>
  </si>
  <si>
    <t>TESPA1;TYROBP;ZEB2;LILRB3;SASH3;IFNG;IL2RA;C1QC;CXCL10;CD74;CD2;CSF1R;CD28;IRF1;CCL5;CTLA4;IL7R;SPI1;CD53;GBP1;CD80;PTGER4;CD86;STAT1;IL12RB1;ZAP70;NCKAP1L;BTK;CXCL9;IRF4;PTPRO;LILRB2;NFAM1;LILRB4;PREX1;INPP5D;NLRP3;GFI1;CMKLR1;TRPV2;TLR4;GPR171;PLXNC1;JAK2;MAF;ABCA1;EOMES;LTA;IL1B;APOE;HLA-DOA;LGALS1;CSF1;BCL2;HCLS1;ETS1;MSR1;CCR1;CCR2;JAK3;DAB2;PMP22;MEF2C;CAMK4;CCDC88A;PIK3R6;SSH2;SPOCK2;SEMA4D;CCL19;FOXP3;BCL11B;P2RY12;IKZF3;MAFB</t>
  </si>
  <si>
    <t>http://www.broadinstitute.org/gsea/msigdb/cards/GO_REGULATION_OF_CELL_DIFFERENTIATION.html</t>
  </si>
  <si>
    <t>GO_PLASMA_MEMBRANE_PROTEIN_COMPLEX</t>
  </si>
  <si>
    <t>920;925;972;915;1536;3689;916;917;3676;653361;3683;3687;919;3695;923;2207;1439;3594;7535;8514;4689;50852;3122;3117;3115;3120;3111;926;3684;3112;3737;4688;3113;3108;3109;54331;1601;10672;3123;3127;54518;10077</t>
  </si>
  <si>
    <t>CD4;CD8A;CD74;CD3D;CYBB;ITGB2;CD3E;CD3G;ITGA4;NCF1;ITGAL;ITGAX;CD247;ITGB7;CD6;FCER1G;CSF2RB;IL12RB1;ZAP70;KCNAB2;NCF4;TRAT1;HLA-DRA;HLA-DQA1;HLA-DPB1;HLA-DQB2;HLA-DOA;CD8B;ITGAM;HLA-DOB;KCNA2;NCF2;HLA-DPA1;HLA-DMA;HLA-DMB;GNG2;DAB2;GNA13;HLA-DRB1;HLA-DRB5;APBB1IP;TSPAN32</t>
  </si>
  <si>
    <t>http://www.broadinstitute.org/gsea/msigdb/cards/GO_PLASMA_MEMBRANE_PROTEIN_COMPLEX.html</t>
  </si>
  <si>
    <t>GO_POSITIVE_REGULATION_OF_LEUKOCYTE_MIGRATION</t>
  </si>
  <si>
    <t>3627;972;6351;6352;3676;1236;5734;199;3071;4283;719;1240;6373;3553;1435;728;5724;1230;729230;1235;7941;6363</t>
  </si>
  <si>
    <t>CXCL10;CD74;CCL4;CCL5;ITGA4;CCR7;PTGER4;AIF1;NCKAP1L;CXCL9;C3AR1;CMKLR1;CXCL11;IL1B;CSF1;C5AR1;PTAFR;CCR1;CCR2;CCR6;PLA2G7;CCL19</t>
  </si>
  <si>
    <t>http://www.broadinstitute.org/gsea/msigdb/cards/GO_POSITIVE_REGULATION_OF_LEUKOCYTE_MIGRATION.html</t>
  </si>
  <si>
    <t>GO_LEUKOCYTE_MEDIATED_IMMUNITY</t>
  </si>
  <si>
    <t>925;712;713;714;972;1378;959;2207;11151;5294;6504;3635;84174;51311;56253;5452;1621;3002;6556;3824;814;3123;3127;202309;50943;7462;57823</t>
  </si>
  <si>
    <t>CD8A;C1QA;C1QB;C1QC;CD74;CR1;CD40LG;FCER1G;CORO1A;PIK3CG;SLAMF1;INPP5D;SLA2;TLR8;CRTAM;POU2F2;DBH;GZMB;SLC11A1;KLRD1;CAMK4;HLA-DRB1;HLA-DRB5;GAPT;FOXP3;LAT2;SLAMF7</t>
  </si>
  <si>
    <t>http://www.broadinstitute.org/gsea/msigdb/cards/GO_LEUKOCYTE_MEDIATED_IMMUNITY.html</t>
  </si>
  <si>
    <t>GO_ANTIGEN_PROCESSING_AND_PRESENTATION_OF_PEPTIDE_ANTIGEN</t>
  </si>
  <si>
    <t>972;1536;2209;653361;2207;6890;4689;55016;2210;3122;3117;3115;3120;3111;10437;3112;4688;3113;3108;3109;6556;8905;6891;3123;3127;30835</t>
  </si>
  <si>
    <t>CD74;CYBB;FCGR1A;NCF1;FCER1G;TAP1;NCF4;MARCH1;FCGR1B;HLA-DRA;HLA-DQA1;HLA-DPB1;HLA-DQB2;HLA-DOA;IFI30;HLA-DOB;NCF2;HLA-DPA1;HLA-DMA;HLA-DMB;SLC11A1;AP1S2;TAP2;HLA-DRB1;HLA-DRB5;CD209</t>
  </si>
  <si>
    <t>http://www.broadinstitute.org/gsea/msigdb/cards/GO_ANTIGEN_PROCESSING_AND_PRESENTATION_OF_PEPTIDE_ANTIGEN.html</t>
  </si>
  <si>
    <t>GO_POSITIVE_REGULATION_OF_PROTEIN_METABOLIC_PROCESS</t>
  </si>
  <si>
    <t>4210;9839;3458;920;972;3932;1436;916;5341;5788;940;3659;6351;6352;1378;7133;959;1236;941;5734;2322;942;5294;199;3071;3937;6504;3662;388325;221472;84868;23533;11184;114548;26051;64170;59067;58484;51311;57105;51284;54209;11314;7099;8742;3717;3553;348;3162;1435;596;3059;6693;2357;728;5724;943;1230;729230;356;6556;1601;4208;4050;11009;10148;55704;146850;10507;5027;6363;4215;50943;22900</t>
  </si>
  <si>
    <t>MEFV;ZEB2;IFNG;CD4;CD74;LCK;CSF1R;CD3E;PLEK;PTPRC;CD28;IRF1;CCL4;CCL5;CR1;TNFRSF1B;CD40LG;CCR7;CD80;PTGER4;FLT3;CD86;PIK3CG;AIF1;NCKAP1L;LCP2;SLAMF1;IRF4;SCIMP;FGD2;HAVCR2;PIK3R5;MAP4K1;NLRP3;PPP1R16B;CARD9;IL21;NLRC4;TLR8;CYSLTR2;TLR7;TREM2;CD300A;TLR4;TNFSF12;JAK2;IL1B;APOE;HMOX1;CSF1;BCL2;HCLS1;SPN;FPR1;C5AR1;PTAFR;TNFRSF8;CCR1;CCR2;FASLG;SLC11A1;DAB2;MEF2C;LTB;IL24;EBI3;CCDC88A;PIK3R6;SEMA4D;P2RX7;CCL19;MAP3K3;FOXP3;CARD8</t>
  </si>
  <si>
    <t>http://www.broadinstitute.org/gsea/msigdb/cards/GO_POSITIVE_REGULATION_OF_PROTEIN_METABOLIC_PROCESS.html</t>
  </si>
  <si>
    <t>GO_REGULATION_OF_CELL_DEATH</t>
  </si>
  <si>
    <t>9214;3458;972;3932;1436;916;3055;917;3001;6352;3560;1493;7133;959;2207;11151;1236;2322;4332;6772;5294;199;3071;695;4671;9459;221472;81704;3635;114548;116986;64170;58484;57105;10537;8742;3717;4049;3553;348;1508;1621;3956;3162;3002;596;3059;2113;728;3586;943;729230;356;2833;3718;1601;4208;3604;7185;5133;597;89846;147138;155038;64780;10507;5027;6363;64919;50515;29126;22806;22900</t>
  </si>
  <si>
    <t>FCMR;IFNG;CD74;LCK;CSF1R;CD3E;HCK;CD3G;GZMA;CCL5;IL2RB;CTLA4;TNFRSF1B;CD40LG;FCER1G;CORO1A;CCR7;FLT3;MNDA;STAT1;PIK3CG;AIF1;NCKAP1L;BTK;NAIP;ARHGEF6;FGD2;DOCK8;INPP5D;NLRP3;AGAP2;CARD9;NLRC4;CYSLTR2;UBD;TNFSF12;JAK2;LTA;IL1B;APOE;CTSB;DBH;LGALS1;HMOX1;GZMB;BCL2;HCLS1;ETS1;C5AR1;IL10;TNFRSF8;CCR2;FASLG;CXCR3;JAK3;DAB2;MEF2C;TNFRSF9;TRAF1;PDCD1;BCL2A1;FGD3;TMC8;GIMAP8;MICAL1;SEMA4D;P2RX7;CCL19;BCL11B;CHST11;CD274;IKZF3;CARD8</t>
  </si>
  <si>
    <t>http://www.broadinstitute.org/gsea/msigdb/cards/GO_REGULATION_OF_CELL_DEATH.html</t>
  </si>
  <si>
    <t>GO_ALPHA_BETA_T_CELL_ACTIVATION</t>
  </si>
  <si>
    <t>3458;3659;944;5734;7535;3702;3662;1794;114836;4063;8320;596;2529;8809;50943;64919;26279</t>
  </si>
  <si>
    <t>IFNG;IRF1;TNFSF8;PTGER4;ZAP70;ITK;IRF4;DOCK2;SLAMF6;LY9;EOMES;BCL2;FUT7;IL18R1;FOXP3;BCL11B;PLA2G2D</t>
  </si>
  <si>
    <t>http://www.broadinstitute.org/gsea/msigdb/cards/GO_ALPHA_BETA_T_CELL_ACTIVATION.html</t>
  </si>
  <si>
    <t>GO_REGULATION_OF_PHOSPHORUS_METABOLIC_PROCESS</t>
  </si>
  <si>
    <t>9535;9839;3458;920;3627;972;3689;1436;916;5341;5788;2268;6351;6352;7133;959;1236;2633;941;5734;2322;5294;199;3071;4283;3937;6504;399;388325;221472;84166;374403;8477;84868;23533;11184;26051;53829;51744;64170;59067;51311;57105;64092;51284;54209;11314;23228;7099;6373;3717;19;3553;348;341;2811;1435;596;3059;6693;2357;728;5724;1230;729230;6556;2833;1601;4208;11009;55704;146850;64780;10507;5027;6363;4215</t>
  </si>
  <si>
    <t>GMFG;ZEB2;IFNG;CD4;CXCL10;CD74;ITGB2;CSF1R;CD3E;PLEK;PTPRC;FGR;CCL4;CCL5;TNFRSF1B;CD40LG;CCR7;GBP1;CD80;PTGER4;FLT3;PIK3CG;AIF1;NCKAP1L;CXCL9;LCP2;SLAMF1;RHOH;SCIMP;FGD2;NLRC5;TBC1D10C;GPR65;HAVCR2;PIK3R5;MAP4K1;PPP1R16B;P2RY13;CD244;CARD9;IL21;TLR8;CYSLTR2;SAMSN1;TLR7;TREM2;CD300A;PLCL2;TLR4;CXCL11;JAK2;ABCA1;IL1B;APOE;APOC1;GP1BA;CSF1;BCL2;HCLS1;SPN;FPR1;C5AR1;PTAFR;CCR1;CCR2;SLC11A1;CXCR3;DAB2;MEF2C;IL24;CCDC88A;PIK3R6;MICAL1;SEMA4D;P2RX7;CCL19;MAP3K3</t>
  </si>
  <si>
    <t>http://www.broadinstitute.org/gsea/msigdb/cards/GO_REGULATION_OF_PHOSPHORUS_METABOLIC_PROCESS.html</t>
  </si>
  <si>
    <t>GO_REGULATION_OF_RESPONSE_TO_WOUNDING</t>
  </si>
  <si>
    <t>4210;3559;5341;3055;940;6351;6352;1378;7133;923;2207;1236;5734;7535;5294;719;79626;114548;115362;59067;51284;730249;7099;3717;4049;3553;348;2811;54;2113;6693;728;3586;729230;7941;118788;50943</t>
  </si>
  <si>
    <t>MEFV;IL2RA;PLEK;HCK;CD28;CCL4;CCL5;CR1;TNFRSF1B;CD6;FCER1G;CCR7;PTGER4;ZAP70;PIK3CG;C3AR1;TNFAIP8L2;NLRP3;GBP5;IL21;TLR7;ACOD1;TLR4;JAK2;LTA;IL1B;APOE;GP1BA;ACP5;ETS1;SPN;C5AR1;IL10;CCR2;PLA2G7;PIK3AP1;FOXP3</t>
  </si>
  <si>
    <t>http://www.broadinstitute.org/gsea/msigdb/cards/GO_REGULATION_OF_RESPONSE_TO_WOUNDING.html</t>
  </si>
  <si>
    <t>GO_NEGATIVE_REGULATION_OF_CELL_PROLIFERATION</t>
  </si>
  <si>
    <t>7940;3458;3559;1436;3659;1493;945;7453;4332;6772;2014;199;10288;84868;3635;80380;55423;11314;51393;3717;27306;4049;3553;348;3162;596;10437;2113;6693;3586;943;6753;729230;2833;5376;4208;3604;11009;10457;3123;3127;10077;50943;64919;29126;26279</t>
  </si>
  <si>
    <t>LST1;IFNG;IL2RA;CSF1R;IRF1;CTLA4;CD33;WARS;MNDA;STAT1;EMP3;AIF1;LILRB2;HAVCR2;INPP5D;PDCD1LG2;SIRPG;CD300A;TRPV2;JAK2;HPGDS;LTA;IL1B;APOE;HMOX1;BCL2;IFI30;ETS1;SPN;IL10;TNFRSF8;SSTR3;CCR2;CXCR3;PMP22;MEF2C;TNFRSF9;IL24;GPNMB;HLA-DRB1;HLA-DRB5;TSPAN32;FOXP3;BCL11B;CD274;PLA2G2D</t>
  </si>
  <si>
    <t>http://www.broadinstitute.org/gsea/msigdb/cards/GO_NEGATIVE_REGULATION_OF_CELL_PROLIFERATION.html</t>
  </si>
  <si>
    <t>GO_ALPHA_BETA_T_CELL_DIFFERENTIATION</t>
  </si>
  <si>
    <t>3458;3659;944;5734;7535;3702;3662;114836;4063;8320;596;2529;8809;50943;64919;26279</t>
  </si>
  <si>
    <t>IFNG;IRF1;TNFSF8;PTGER4;ZAP70;ITK;IRF4;SLAMF6;LY9;EOMES;BCL2;FUT7;IL18R1;FOXP3;BCL11B;PLA2G2D</t>
  </si>
  <si>
    <t>http://www.broadinstitute.org/gsea/msigdb/cards/GO_ALPHA_BETA_T_CELL_DIFFERENTIATION.html</t>
  </si>
  <si>
    <t>GO_NEGATIVE_REGULATION_OF_CELL_ADHESION</t>
  </si>
  <si>
    <t>9404;3559;972;5788;3659;1493;2633;5800;201633;79626;10288;84868;80380;11314;27299;3717;3956;54;6693;3902;3586;3718;3123;3127;10507;50943;29126;26279</t>
  </si>
  <si>
    <t>LPXN;IL2RA;CD74;PTPRC;IRF1;CTLA4;GBP1;PTPRO;TIGIT;TNFAIP8L2;LILRB2;HAVCR2;PDCD1LG2;CD300A;ADAMDEC1;JAK2;LGALS1;ACP5;SPN;LAG3;IL10;JAK3;HLA-DRB1;HLA-DRB5;SEMA4D;FOXP3;CD274;PLA2G2D</t>
  </si>
  <si>
    <t>http://www.broadinstitute.org/gsea/msigdb/cards/GO_NEGATIVE_REGULATION_OF_CELL_ADHESION.html</t>
  </si>
  <si>
    <t>GO_CELL_DEATH</t>
  </si>
  <si>
    <t>9450;3458;3559;3689;5579;3932;914;916;929;940;3659;3001;5551;6688;7133;944;6772;5294;2014;695;4671;9459;8477;3635;114548;58484;7099;8742;3717;4049;3553;921;3956;3162;5552;3002;596;6693;2999;728;943;6753;729230;356;2833;3004;4973;1601;5376;4208;3604;11009;7185;5133;597;64780;5027;22900</t>
  </si>
  <si>
    <t>LY86;IFNG;IL2RA;ITGB2;PRKCB;LCK;CD2;CD3E;CD14;CD28;IRF1;GZMA;PRF1;SPI1;TNFRSF1B;TNFSF8;STAT1;PIK3CG;EMP3;BTK;NAIP;ARHGEF6;GPR65;INPP5D;NLRP3;NLRC4;TLR4;TNFSF12;JAK2;LTA;IL1B;CD5;LGALS1;HMOX1;SRGN;GZMB;BCL2;SPN;GZMH;C5AR1;TNFRSF8;SSTR3;CCR2;FASLG;CXCR3;GZMM;OLR1;DAB2;PMP22;MEF2C;TNFRSF9;IL24;TRAF1;PDCD1;BCL2A1;MICAL1;P2RX7;CARD8</t>
  </si>
  <si>
    <t>http://www.broadinstitute.org/gsea/msigdb/cards/GO_CELL_DEATH.html</t>
  </si>
  <si>
    <t>GO_POSITIVE_REGULATION_OF_LYMPHOCYTE_DIFFERENTIATION</t>
  </si>
  <si>
    <t>9840;54440;3458;3559;972;3575;941;942;3594;7535;3071;695;10288;3635;114548;3553;146850;6363;50943</t>
  </si>
  <si>
    <t>TESPA1;SASH3;IFNG;IL2RA;CD74;IL7R;CD80;CD86;IL12RB1;ZAP70;NCKAP1L;BTK;LILRB2;INPP5D;NLRP3;IL1B;PIK3R6;CCL19;FOXP3</t>
  </si>
  <si>
    <t>http://www.broadinstitute.org/gsea/msigdb/cards/GO_POSITIVE_REGULATION_OF_LYMPHOCYTE_DIFFERENTIATION.html</t>
  </si>
  <si>
    <t>GO_POSITIVE_REGULATION_OF_LEUKOCYTE_CHEMOTAXIS</t>
  </si>
  <si>
    <t>3627;972;6351;6352;1236;199;3071;4283;719;1240;6373;3553;1435;728;1230;729230;1235;7941;6363</t>
  </si>
  <si>
    <t>CXCL10;CD74;CCL4;CCL5;CCR7;AIF1;NCKAP1L;CXCL9;C3AR1;CMKLR1;CXCL11;IL1B;CSF1;C5AR1;CCR1;CCR2;CCR6;PLA2G7;CCL19</t>
  </si>
  <si>
    <t>http://www.broadinstitute.org/gsea/msigdb/cards/GO_POSITIVE_REGULATION_OF_LEUKOCYTE_CHEMOTAXIS.html</t>
  </si>
  <si>
    <t>GO_POSITIVE_REGULATION_OF_LYMPHOCYTE_MEDIATED_IMMUNITY</t>
  </si>
  <si>
    <t>259197;4068;54440;3458;940;2207;3594;10666;114836;114548;59067;30009;56253;4049;3553;3902;5027;50943</t>
  </si>
  <si>
    <t>NCR3;SH2D1A;SASH3;IFNG;CD28;FCER1G;IL12RB1;CD226;SLAMF6;NLRP3;IL21;TBX21;CRTAM;LTA;IL1B;LAG3;P2RX7;FOXP3</t>
  </si>
  <si>
    <t>http://www.broadinstitute.org/gsea/msigdb/cards/GO_POSITIVE_REGULATION_OF_LYMPHOCYTE_MEDIATED_IMMUNITY.html</t>
  </si>
  <si>
    <t>GO_POSITIVE_REGULATION_OF_CYTOKINE_SECRETION</t>
  </si>
  <si>
    <t>3458;914;1436;929;2268;5734;6504;93978;84868;114548;51744;2219;56253;3553;3586;729230;5027;6363;29126;22900</t>
  </si>
  <si>
    <t>IFNG;CD2;CSF1R;CD14;FGR;PTGER4;SLAMF1;CLEC6A;HAVCR2;NLRP3;CD244;FCN1;CRTAM;IL1B;IL10;CCR2;P2RX7;CCL19;CD274;CARD8</t>
  </si>
  <si>
    <t>http://www.broadinstitute.org/gsea/msigdb/cards/GO_POSITIVE_REGULATION_OF_CYTOKINE_SECRETION.html</t>
  </si>
  <si>
    <t>GO_REGULATION_OF_LEUKOCYTE_CHEMOTAXIS</t>
  </si>
  <si>
    <t>3627;972;6351;6352;1236;199;3071;4354;4283;719;1240;6373;3553;1435;728;1230;729230;1235;7941;6363</t>
  </si>
  <si>
    <t>CXCL10;CD74;CCL4;CCL5;CCR7;AIF1;NCKAP1L;MPP1;CXCL9;C3AR1;CMKLR1;CXCL11;IL1B;CSF1;C5AR1;CCR1;CCR2;CCR6;PLA2G7;CCL19</t>
  </si>
  <si>
    <t>http://www.broadinstitute.org/gsea/msigdb/cards/GO_REGULATION_OF_LEUKOCYTE_CHEMOTAXIS.html</t>
  </si>
  <si>
    <t>GO_MHC_CLASS_II_PROTEIN_COMPLEX</t>
  </si>
  <si>
    <t>972;3122;3117;3115;3120;3111;3112;3113;3108;3109;3123;3127</t>
  </si>
  <si>
    <t>CD74;HLA-DRA;HLA-DQA1;HLA-DPB1;HLA-DQB2;HLA-DOA;HLA-DOB;HLA-DPA1;HLA-DMA;HLA-DMB;HLA-DRB1;HLA-DRB5</t>
  </si>
  <si>
    <t>http://www.broadinstitute.org/gsea/msigdb/cards/GO_MHC_CLASS_II_PROTEIN_COMPLEX.html</t>
  </si>
  <si>
    <t>GO_CHEMOKINE_MEDIATED_SIGNALING_PATHWAY</t>
  </si>
  <si>
    <t>10663;3627;6351;6352;1236;1233;1234;4283;1240;9034;6373;1230;729230;2829;2833;1235;1237;6363</t>
  </si>
  <si>
    <t>CXCR6;CXCL10;CCL4;CCL5;CCR7;CCR4;CCR5;CXCL9;CMKLR1;CCRL2;CXCL11;CCR1;CCR2;XCR1;CXCR3;CCR6;CCR8;CCL19</t>
  </si>
  <si>
    <t>http://www.broadinstitute.org/gsea/msigdb/cards/GO_CHEMOKINE_MEDIATED_SIGNALING_PATHWAY.html</t>
  </si>
  <si>
    <t>GO_POSITIVE_REGULATION_OF_ADAPTIVE_IMMUNE_RESPONSE</t>
  </si>
  <si>
    <t>259197;54440;3458;920;940;2207;941;3594;10666;114548;30009;4049;3553;729230;6556;5027;6363;50943</t>
  </si>
  <si>
    <t>NCR3;SASH3;IFNG;CD4;CD28;FCER1G;CD80;IL12RB1;CD226;NLRP3;TBX21;LTA;IL1B;CCR2;SLC11A1;P2RX7;CCL19;FOXP3</t>
  </si>
  <si>
    <t>http://www.broadinstitute.org/gsea/msigdb/cards/GO_POSITIVE_REGULATION_OF_ADAPTIVE_IMMUNE_RESPONSE.html</t>
  </si>
  <si>
    <t>GO_ANTIGEN_BINDING</t>
  </si>
  <si>
    <t>972;3676;3575;6890;6504;11006;11024;3122;3117;3115;3111;3112;3902;3113;3108;3109;3824;3123;3127;11027;30835</t>
  </si>
  <si>
    <t>CD74;ITGA4;IL7R;TAP1;SLAMF1;LILRB4;LILRA1;HLA-DRA;HLA-DQA1;HLA-DPB1;HLA-DOA;HLA-DOB;LAG3;HLA-DPA1;HLA-DMA;HLA-DMB;KLRD1;HLA-DRB1;HLA-DRB5;LILRA2;CD209</t>
  </si>
  <si>
    <t>http://www.broadinstitute.org/gsea/msigdb/cards/GO_ANTIGEN_BINDING.html</t>
  </si>
  <si>
    <t>GO_REGULATION_OF_CHEMOTAXIS</t>
  </si>
  <si>
    <t>3627;972;6351;6352;1236;199;3071;4354;4283;3603;719;5800;1240;6373;10154;3553;1435;728;1230;729230;2833;1235;7941;10507;6363</t>
  </si>
  <si>
    <t>CXCL10;CD74;CCL4;CCL5;CCR7;AIF1;NCKAP1L;MPP1;CXCL9;IL16;C3AR1;PTPRO;CMKLR1;CXCL11;PLXNC1;IL1B;CSF1;C5AR1;CCR1;CCR2;CXCR3;CCR6;PLA2G7;SEMA4D;CCL19</t>
  </si>
  <si>
    <t>http://www.broadinstitute.org/gsea/msigdb/cards/GO_REGULATION_OF_CHEMOTAXIS.html</t>
  </si>
  <si>
    <t>GO_LYMPHOCYTE_MEDIATED_IMMUNITY</t>
  </si>
  <si>
    <t>925;712;713;714;972;1378;959;2207;11151;6504;3635;84174;51311;56253;5452;3002;6556;3824;3123;3127;202309;50943;57823</t>
  </si>
  <si>
    <t>CD8A;C1QA;C1QB;C1QC;CD74;CR1;CD40LG;FCER1G;CORO1A;SLAMF1;INPP5D;SLA2;TLR8;CRTAM;POU2F2;GZMB;SLC11A1;KLRD1;HLA-DRB1;HLA-DRB5;GAPT;FOXP3;SLAMF7</t>
  </si>
  <si>
    <t>http://www.broadinstitute.org/gsea/msigdb/cards/GO_LYMPHOCYTE_MEDIATED_IMMUNITY.html</t>
  </si>
  <si>
    <t>GO_REGULATION_OF_INTERLEUKIN_12_PRODUCTION</t>
  </si>
  <si>
    <t>4210;3458;3659;959;1236;3394;6504;201633;1240;7099;54;3586;3718;4050;3604;6363</t>
  </si>
  <si>
    <t>MEFV;IFNG;IRF1;CD40LG;CCR7;IRF8;SLAMF1;TIGIT;CMKLR1;TLR4;ACP5;IL10;JAK3;LTB;TNFRSF9;CCL19</t>
  </si>
  <si>
    <t>http://www.broadinstitute.org/gsea/msigdb/cards/GO_REGULATION_OF_INTERLEUKIN_12_PRODUCTION.html</t>
  </si>
  <si>
    <t>GO_POSITIVE_REGULATION_OF_ALPHA_BETA_T_CELL_ACTIVATION</t>
  </si>
  <si>
    <t>54440;3458;916;940;941;942;3594;7535;3071;64926;114548;51744;729230;10148;6363;50943</t>
  </si>
  <si>
    <t>SASH3;IFNG;CD3E;CD28;CD80;CD86;IL12RB1;ZAP70;NCKAP1L;RASAL3;NLRP3;CD244;CCR2;EBI3;CCL19;FOXP3</t>
  </si>
  <si>
    <t>http://www.broadinstitute.org/gsea/msigdb/cards/GO_POSITIVE_REGULATION_OF_ALPHA_BETA_T_CELL_ACTIVATION.html</t>
  </si>
  <si>
    <t>GO_HOMEOSTATIC_PROCESS</t>
  </si>
  <si>
    <t>1318;54440;3458;3559;1536;5579;3932;5788;6352;653361;3575;6688;11151;1236;5734;2322;6772;5294;1233;1234;3101;3071;6890;10320;4689;719;84636;7099;366;3717;19;3553;348;1621;3956;924;3162;1435;596;54;3059;4688;5816;526;728;1043;1230;6546;3988;729230;2829;356;6556;2833;1235;1237;3718;6891;4208;10672;147138;202309;245972;5027;6363;50943;55013</t>
  </si>
  <si>
    <t>SLC31A2;SASH3;IFNG;IL2RA;CYBB;PRKCB;LCK;PTPRC;CCL5;NCF1;IL7R;SPI1;CORO1A;CCR7;PTGER4;FLT3;STAT1;PIK3CG;CCR4;CCR5;HK3;NCKAP1L;TAP1;IKZF1;NCF4;C3AR1;GPR174;TLR4;AQP9;JAK2;ABCA1;IL1B;APOE;DBH;LGALS1;CD7;HMOX1;CSF1;BCL2;ACP5;HCLS1;NCF2;PVALB;ATP6V1B2;C5AR1;CD52;CCR1;SLC8A1;LIPA;CCR2;XCR1;FASLG;SLC11A1;CXCR3;CCR6;CCR8;JAK3;TAP2;MEF2C;GNA13;TMC8;GAPT;ATP6V0D2;P2RX7;CCL19;FOXP3;MCUB</t>
  </si>
  <si>
    <t>http://www.broadinstitute.org/gsea/msigdb/cards/GO_HOMEOSTATIC_PROCESS.html</t>
  </si>
  <si>
    <t>GO_REGULATION_OF_CELL_KILLING</t>
  </si>
  <si>
    <t>259197;4068;3458;5788;3575;3594;6890;10666;84868;114836;59067;56253;3902;3586;729230;146850;5027</t>
  </si>
  <si>
    <t>NCR3;SH2D1A;IFNG;PTPRC;IL7R;IL12RB1;TAP1;CD226;HAVCR2;SLAMF6;IL21;CRTAM;LAG3;IL10;CCR2;PIK3R6;P2RX7</t>
  </si>
  <si>
    <t>http://www.broadinstitute.org/gsea/msigdb/cards/GO_REGULATION_OF_CELL_KILLING.html</t>
  </si>
  <si>
    <t>GO_RESPONSE_TO_LIPID</t>
  </si>
  <si>
    <t>10068;3458;920;3627;929;3055;6352;7133;923;1236;941;5734;2322;942;1234;199;3394;4283;3587;10288;84868;114548;4064;2672;54209;730249;7099;6373;3717;19;4049;3553;3162;596;54;2113;728;3586;4360;5724;943;6753;729230;356;6556;54331;4208;3604;4240;11009;167465;5027;6363</t>
  </si>
  <si>
    <t>IL18BP;IFNG;CD4;CXCL10;CD14;HCK;CCL5;TNFRSF1B;CD6;CCR7;CD80;PTGER4;FLT3;CD86;CCR5;AIF1;IRF8;CXCL9;IL10RA;LILRB2;HAVCR2;NLRP3;CD180;GFI1;TREM2;ACOD1;TLR4;CXCL11;JAK2;ABCA1;LTA;IL1B;HMOX1;BCL2;ACP5;ETS1;C5AR1;IL10;MRC1;PTAFR;TNFRSF8;SSTR3;CCR2;FASLG;SLC11A1;GNG2;MEF2C;TNFRSF9;MFGE8;IL24;ZNF366;P2RX7;CCL19</t>
  </si>
  <si>
    <t>http://www.broadinstitute.org/gsea/msigdb/cards/GO_RESPONSE_TO_LIPID.html</t>
  </si>
  <si>
    <t>8676;920;925;972;915;1536;3689;916;929;917;3676;653361;3683;3687;919;3695;923;2207;1439;3594;7535;5294;6890;8514;4689;50852;23533;7099;7439;3122;3117;3115;3120;3111;596;926;3684;3112;3737;4688;3113;526;3108;3109;8905;54331;1601;6891;10672;3123;3127;146850;54518;245972;10077;55013;9033</t>
  </si>
  <si>
    <t>STX11;CD4;CD8A;CD74;CD3D;CYBB;ITGB2;CD3E;CD14;CD3G;ITGA4;NCF1;ITGAL;ITGAX;CD247;ITGB7;CD6;FCER1G;CSF2RB;IL12RB1;ZAP70;PIK3CG;TAP1;KCNAB2;NCF4;TRAT1;PIK3R5;TLR4;BEST1;HLA-DRA;HLA-DQA1;HLA-DPB1;HLA-DQB2;HLA-DOA;BCL2;CD8B;ITGAM;HLA-DOB;KCNA2;NCF2;HLA-DPA1;ATP6V1B2;HLA-DMA;HLA-DMB;AP1S2;GNG2;DAB2;TAP2;GNA13;HLA-DRB1;HLA-DRB5;PIK3R6;APBB1IP;ATP6V0D2;TSPAN32;MCUB;PKD2L1</t>
  </si>
  <si>
    <t>http://www.broadinstitute.org/gsea/msigdb/cards/GO_MEMBRANE_PROTEIN_COMPLEX.html</t>
  </si>
  <si>
    <t>GO_POSITIVE_REGULATION_OF_CHEMOTAXIS</t>
  </si>
  <si>
    <t>3627;972;6351;6352;1236;199;3071;4283;3603;719;1240;6373;3553;1435;728;1230;729230;2833;1235;7941;6363</t>
  </si>
  <si>
    <t>CXCL10;CD74;CCL4;CCL5;CCR7;AIF1;NCKAP1L;CXCL9;IL16;C3AR1;CMKLR1;CXCL11;IL1B;CSF1;C5AR1;CCR1;CCR2;CXCR3;CCR6;PLA2G7;CCL19</t>
  </si>
  <si>
    <t>http://www.broadinstitute.org/gsea/msigdb/cards/GO_POSITIVE_REGULATION_OF_CHEMOTAXIS.html</t>
  </si>
  <si>
    <t>GO_REGULATION_OF_HYDROLASE_ACTIVITY</t>
  </si>
  <si>
    <t>4210;3458;3559;3932;5341;3001;6351;6352;3560;1378;3561;1236;1439;3071;391;3702;4671;9744;9459;399;55843;139818;257106;221472;54899;64926;374403;8477;117289;81704;57580;1794;114548;23048;116986;64333;58484;64407;11314;27128;3717;8530;1102;341;728;5724;9938;356;3718;4208;9815;10672;57514;57589;89846;10235;25780;115727;64780;9754;10507;55619;6363;64805;55803;22900</t>
  </si>
  <si>
    <t>MEFV;IFNG;IL2RA;LCK;PLEK;GZMA;CCL4;CCL5;IL2RB;CR1;IL2RG;CCR7;CSF2RB;NCKAP1L;RHOG;ITK;NAIP;ACAP1;ARHGEF6;RHOH;ARHGAP15;DOCK11;ARHGAP30;FGD2;PXK;RASAL3;TBC1D10C;GPR65;TAGAP;DOCK8;PREX1;DOCK2;NLRP3;FNBP1;AGAP2;ARHGAP9;NLRC4;RGS18;CD300A;CYTH4;JAK2;CST7;RCBTB2;APOC1;C5AR1;PTAFR;ARHGAP25;FASLG;JAK3;MEF2C;GIT2;GNA13;ARHGAP31;RIC1;FGD3;RASGRP2;RASGRP3;RASGRP4;MICAL1;STARD8;SEMA4D;DOCK10;CCL19;P2RY12;ADAP2;CARD8</t>
  </si>
  <si>
    <t>http://www.broadinstitute.org/gsea/msigdb/cards/GO_REGULATION_OF_HYDROLASE_ACTIVITY.html</t>
  </si>
  <si>
    <t>GO_REGULATION_OF_GTPASE_ACTIVITY</t>
  </si>
  <si>
    <t>3559;6351;6352;3560;3561;1236;1439;3071;391;9744;9459;399;55843;139818;257106;221472;64926;374403;8477;117289;81704;57580;1794;23048;116986;64333;64407;27128;3717;1102;9938;3718;9815;57514;57589;89846;10235;25780;115727;9754;10507;55619;6363;64805;55803</t>
  </si>
  <si>
    <t>IL2RA;CCL4;CCL5;IL2RB;IL2RG;CCR7;CSF2RB;NCKAP1L;RHOG;ACAP1;ARHGEF6;RHOH;ARHGAP15;DOCK11;ARHGAP30;FGD2;RASAL3;TBC1D10C;GPR65;TAGAP;DOCK8;PREX1;DOCK2;FNBP1;AGAP2;ARHGAP9;RGS18;CYTH4;JAK2;RCBTB2;ARHGAP25;JAK3;GIT2;ARHGAP31;RIC1;FGD3;RASGRP2;RASGRP3;RASGRP4;STARD8;SEMA4D;DOCK10;CCL19;P2RY12;ADAP2</t>
  </si>
  <si>
    <t>http://www.broadinstitute.org/gsea/msigdb/cards/GO_REGULATION_OF_GTPASE_ACTIVITY.html</t>
  </si>
  <si>
    <t>GO_HOMEOSTASIS_OF_NUMBER_OF_CELLS</t>
  </si>
  <si>
    <t>54440;3458;3559;3575;6688;11151;1236;2322;1233;3071;10320;84636;3717;924;3162;1435;596;3059;3988;3718;4208;202309;5027;50943</t>
  </si>
  <si>
    <t>SASH3;IFNG;IL2RA;IL7R;SPI1;CORO1A;CCR7;FLT3;CCR4;NCKAP1L;IKZF1;GPR174;JAK2;CD7;HMOX1;CSF1;BCL2;HCLS1;LIPA;JAK3;MEF2C;GAPT;P2RX7;FOXP3</t>
  </si>
  <si>
    <t>http://www.broadinstitute.org/gsea/msigdb/cards/GO_HOMEOSTASIS_OF_NUMBER_OF_CELLS.html</t>
  </si>
  <si>
    <t>GO_REGULATION_OF_INTERLEUKIN_10_PRODUCTION</t>
  </si>
  <si>
    <t>54440;940;959;2207;5734;3662;201633;80380;7099;3718;3604;3123;3127;50943;29126</t>
  </si>
  <si>
    <t>SASH3;CD28;CD40LG;FCER1G;PTGER4;IRF4;TIGIT;PDCD1LG2;TLR4;JAK3;TNFRSF9;HLA-DRB1;HLA-DRB5;FOXP3;CD274</t>
  </si>
  <si>
    <t>http://www.broadinstitute.org/gsea/msigdb/cards/GO_REGULATION_OF_INTERLEUKIN_10_PRODUCTION.html</t>
  </si>
  <si>
    <t>GO_REGULATION_OF_CELLULAR_LOCALIZATION</t>
  </si>
  <si>
    <t>3458;920;3627;914;1436;929;2268;6036;6352;3687;959;2207;11151;1236;2633;5734;7535;391;4283;6504;8514;93978;374403;84868;114548;51744;51311;51284;54209;11314;8832;7099;2219;6373;3717;56253;3553;3162;5552;3002;596;3936;3059;3737;3586;5724;6546;729230;2833;1601;4208;3604;8809;3123;3127;51762;84106;5027;6363;50943;64805;29126;22900;4644</t>
  </si>
  <si>
    <t>IFNG;CD4;CXCL10;CD2;CSF1R;CD14;FGR;RNASE2;CCL5;ITGAX;CD40LG;FCER1G;CORO1A;CCR7;GBP1;PTGER4;ZAP70;RHOG;CXCL9;SLAMF1;KCNAB2;CLEC6A;TBC1D10C;HAVCR2;NLRP3;CD244;TLR8;TLR7;TREM2;CD300A;CD84;TLR4;FCN1;CXCL11;JAK2;CRTAM;IL1B;HMOX1;SRGN;GZMB;BCL2;LCP1;HCLS1;KCNA2;IL10;PTAFR;SLC8A1;CCR2;CXCR3;DAB2;MEF2C;TNFRSF9;IL18R1;HLA-DRB1;HLA-DRB5;RAB8B;PRAM1;P2RX7;CCL19;FOXP3;P2RY12;CD274;CARD8;MYO5A</t>
  </si>
  <si>
    <t>http://www.broadinstitute.org/gsea/msigdb/cards/GO_REGULATION_OF_CELLULAR_LOCALIZATION.html</t>
  </si>
  <si>
    <t>GO_CELLULAR_RESPONSE_TO_OXYGEN_CONTAINING_COMPOUND</t>
  </si>
  <si>
    <t>10068;3458;3627;5579;929;3055;6352;2350;6688;7133;923;941;5734;942;5294;1234;199;3394;10288;84868;114548;4064;2672;54209;730249;7099;366;3717;19;3553;3956;2113;526;3586;6518;4360;5724;6546;6753;6776;3718;54331;4208;11009;245972;64581;64805;59345;4644</t>
  </si>
  <si>
    <t>IL18BP;IFNG;CXCL10;PRKCB;CD14;HCK;CCL5;FOLR2;SPI1;TNFRSF1B;CD6;CD80;PTGER4;CD86;PIK3CG;CCR5;AIF1;IRF8;LILRB2;HAVCR2;NLRP3;CD180;GFI1;TREM2;ACOD1;TLR4;AQP9;JAK2;ABCA1;IL1B;LGALS1;ETS1;ATP6V1B2;IL10;SLC2A5;MRC1;PTAFR;SLC8A1;SSTR3;STAT5A;JAK3;GNG2;MEF2C;IL24;ATP6V0D2;CLEC7A;P2RY12;GNB4;MYO5A</t>
  </si>
  <si>
    <t>http://www.broadinstitute.org/gsea/msigdb/cards/GO_CELLULAR_RESPONSE_TO_OXYGEN_CONTAINING_COMPOUND.html</t>
  </si>
  <si>
    <t>GO_RECEPTOR_COMPLEX</t>
  </si>
  <si>
    <t>920;925;972;915;3689;916;929;917;3676;3683;3687;919;3695;923;1439;3594;7535;50852;51284;7099;10154;926;3684;4973;1601;3824;54518;131450;10077;53831;9033</t>
  </si>
  <si>
    <t>CD4;CD8A;CD74;CD3D;ITGB2;CD3E;CD14;CD3G;ITGA4;ITGAL;ITGAX;CD247;ITGB7;CD6;CSF2RB;IL12RB1;ZAP70;TRAT1;TLR7;TLR4;PLXNC1;CD8B;ITGAM;OLR1;DAB2;KLRD1;APBB1IP;CD200R1;TSPAN32;GPR84;PKD2L1</t>
  </si>
  <si>
    <t>http://www.broadinstitute.org/gsea/msigdb/cards/GO_RECEPTOR_COMPLEX.html</t>
  </si>
  <si>
    <t>GO_POSITIVE_REGULATION_OF_TRANSPORT</t>
  </si>
  <si>
    <t>3458;920;3627;914;1436;929;2268;6036;6351;6352;3687;2207;5734;7535;3071;4283;6504;93978;84868;1794;114548;51744;51284;51393;7099;2219;6373;3717;19;56253;3553;348;3002;596;3059;3586;5724;1230;729230;6556;2833;3718;1601;4240;8809;3123;3127;51762;5027;6363;64805;29126;22900</t>
  </si>
  <si>
    <t>IFNG;CD4;CXCL10;CD2;CSF1R;CD14;FGR;RNASE2;CCL4;CCL5;ITGAX;FCER1G;PTGER4;ZAP70;NCKAP1L;CXCL9;SLAMF1;CLEC6A;HAVCR2;DOCK2;NLRP3;CD244;TLR7;TRPV2;TLR4;FCN1;CXCL11;JAK2;ABCA1;CRTAM;IL1B;APOE;GZMB;BCL2;HCLS1;IL10;PTAFR;CCR1;CCR2;SLC11A1;CXCR3;JAK3;DAB2;MFGE8;IL18R1;HLA-DRB1;HLA-DRB5;RAB8B;P2RX7;CCL19;P2RY12;CD274;CARD8</t>
  </si>
  <si>
    <t>http://www.broadinstitute.org/gsea/msigdb/cards/GO_POSITIVE_REGULATION_OF_TRANSPORT.html</t>
  </si>
  <si>
    <t>GO_MHC_PROTEIN_BINDING</t>
  </si>
  <si>
    <t>920;925;972;6890;10288;55016;51744;29992;926;3902;6891;3824;64581</t>
  </si>
  <si>
    <t>CD4;CD8A;CD74;TAP1;LILRB2;MARCH1;CD244;PILRA;CD8B;LAG3;TAP2;KLRD1;CLEC7A</t>
  </si>
  <si>
    <t>http://www.broadinstitute.org/gsea/msigdb/cards/GO_MHC_PROTEIN_BINDING.html</t>
  </si>
  <si>
    <t>GO_PEPTIDE_RECEPTOR_ACTIVITY</t>
  </si>
  <si>
    <t>10663;1236;1233;1234;719;1240;57105;9034;2811;2357;728;2359;2358;1230;6753;729230;2829;2833;1235;1237;53831</t>
  </si>
  <si>
    <t>CXCR6;CCR7;CCR4;CCR5;C3AR1;CMKLR1;CYSLTR2;CCRL2;GP1BA;FPR1;C5AR1;FPR3;FPR2;CCR1;SSTR3;CCR2;XCR1;CXCR3;CCR6;CCR8;GPR84</t>
  </si>
  <si>
    <t>http://www.broadinstitute.org/gsea/msigdb/cards/GO_PEPTIDE_RECEPTOR_ACTIVITY.html</t>
  </si>
  <si>
    <t>GO_NEGATIVE_REGULATION_OF_HOMOTYPIC_CELL_CELL_ADHESION</t>
  </si>
  <si>
    <t>3559;972;3659;1493;201633;79626;10288;84868;80380;11314;6693;3902;3586;3718;3123;3127;50943;29126;26279</t>
  </si>
  <si>
    <t>IL2RA;CD74;IRF1;CTLA4;TIGIT;TNFAIP8L2;LILRB2;HAVCR2;PDCD1LG2;CD300A;SPN;LAG3;IL10;JAK3;HLA-DRB1;HLA-DRB5;FOXP3;CD274;PLA2G2D</t>
  </si>
  <si>
    <t>http://www.broadinstitute.org/gsea/msigdb/cards/GO_NEGATIVE_REGULATION_OF_HOMOTYPIC_CELL_CELL_ADHESION.html</t>
  </si>
  <si>
    <t>GO_NEGATIVE_REGULATION_OF_IMMUNE_RESPONSE</t>
  </si>
  <si>
    <t>3559;5788;3575;1378;6890;6504;84166;10288;84868;3635;64092;11314;8832;730249;3162;6693;3586;729230;3718;50943</t>
  </si>
  <si>
    <t>IL2RA;PTPRC;IL7R;CR1;TAP1;SLAMF1;NLRC5;LILRB2;HAVCR2;INPP5D;SAMSN1;CD300A;CD84;ACOD1;HMOX1;SPN;IL10;CCR2;JAK3;FOXP3</t>
  </si>
  <si>
    <t>http://www.broadinstitute.org/gsea/msigdb/cards/GO_NEGATIVE_REGULATION_OF_IMMUNE_RESPONSE.html</t>
  </si>
  <si>
    <t>GO_IMMUNOLOGICAL_SYNAPSE</t>
  </si>
  <si>
    <t>3932;916;940;951;3001;963;923;11151;7535;399;388325;84868;3002</t>
  </si>
  <si>
    <t>LCK;CD3E;CD28;CD37;GZMA;CD53;CD6;CORO1A;ZAP70;RHOH;SCIMP;HAVCR2;GZMB</t>
  </si>
  <si>
    <t>http://www.broadinstitute.org/gsea/msigdb/cards/GO_IMMUNOLOGICAL_SYNAPSE.html</t>
  </si>
  <si>
    <t>GO_ENDOCYTIC_VESICLE</t>
  </si>
  <si>
    <t>972;1536;2209;653361;1493;11151;6504;4689;9332;2210;51284;19;3122;3117;348;3115;3120;4688;3113;4481;6556;8905;3123;3127;245972;51762;23166</t>
  </si>
  <si>
    <t>CD74;CYBB;FCGR1A;NCF1;CTLA4;CORO1A;SLAMF1;NCF4;CD163;FCGR1B;TLR7;ABCA1;HLA-DRA;HLA-DQA1;APOE;HLA-DPB1;HLA-DQB2;NCF2;HLA-DPA1;MSR1;SLC11A1;AP1S2;HLA-DRB1;HLA-DRB5;ATP6V0D2;RAB8B;STAB1</t>
  </si>
  <si>
    <t>http://www.broadinstitute.org/gsea/msigdb/cards/GO_ENDOCYTIC_VESICLE.html</t>
  </si>
  <si>
    <t>GO_REGULATION_OF_MULTI_ORGANISM_PROCESS</t>
  </si>
  <si>
    <t>9450;3458;3559;920;3932;3055;940;6351;6352;919;6772;3594;3394;6890;84868;1794;4064;730249;2219;27306;4049;348;3956;596;926;6693;3586;5724;729230;6507;8905;6891;51676;10077;5027;283316</t>
  </si>
  <si>
    <t>LY86;IFNG;IL2RA;CD4;LCK;HCK;CD28;CCL4;CCL5;CD247;STAT1;IL12RB1;IRF8;TAP1;HAVCR2;DOCK2;CD180;ACOD1;FCN1;HPGDS;LTA;APOE;LGALS1;BCL2;CD8B;SPN;IL10;PTAFR;CCR2;SLC1A3;AP1S2;TAP2;ASB2;TSPAN32;P2RX7;CD163L1</t>
  </si>
  <si>
    <t>http://www.broadinstitute.org/gsea/msigdb/cards/GO_REGULATION_OF_MULTI_ORGANISM_PROCESS.html</t>
  </si>
  <si>
    <t>GO_G_PROTEIN_COUPLED_CHEMOATTRACTANT_RECEPTOR_ACTIVITY</t>
  </si>
  <si>
    <t>10663;1236;1233;1234;1240;9034;1230;729230;2829;2833;1235;1237</t>
  </si>
  <si>
    <t>CXCR6;CCR7;CCR4;CCR5;CMKLR1;CCRL2;CCR1;CCR2;XCR1;CXCR3;CCR6;CCR8</t>
  </si>
  <si>
    <t>http://www.broadinstitute.org/gsea/msigdb/cards/GO_G_PROTEIN_COUPLED_CHEMOATTRACTANT_RECEPTOR_ACTIVITY.html</t>
  </si>
  <si>
    <t>GO_REGULATION_OF_B_CELL_PROLIFERATION</t>
  </si>
  <si>
    <t>54440;972;5788;1493;4332;3071;3635;59067;11314;10673;7099;596;3586;4208;22806</t>
  </si>
  <si>
    <t>SASH3;CD74;PTPRC;CTLA4;MNDA;NCKAP1L;INPP5D;IL21;CD300A;TNFSF13B;TLR4;BCL2;IL10;MEF2C;IKZF3</t>
  </si>
  <si>
    <t>http://www.broadinstitute.org/gsea/msigdb/cards/GO_REGULATION_OF_B_CELL_PROLIFERATION.html</t>
  </si>
  <si>
    <t>GO_VESICLE_MEDIATED_TRANSPORT</t>
  </si>
  <si>
    <t>7456;9051;8676;3689;5341;929;3055;2214;917;2268;2209;6352;3676;2350;919;923;2207;11151;5294;199;3071;3394;6504;9332;374403;1794;2210;23048;54209;2219;19;2162;348;921;5552;2212;4481;4360;5724;1230;7454;6556;8905;4973;1601;4240;55911;4033;57589;10462;51762;116442;5027;64581;6614;7462;30835;283316;23166;1522;4644</t>
  </si>
  <si>
    <t>WIPF1;PSTPIP1;STX11;ITGB2;PLEK;CD14;HCK;FCGR3A;CD3G;FGR;FCGR1A;CCL5;ITGA4;FOLR2;CD247;CD6;FCER1G;CORO1A;PIK3CG;AIF1;NCKAP1L;IRF8;SLAMF1;CD163;TBC1D10C;DOCK2;FCGR1B;FNBP1;TREM2;FCN1;ABCA1;F13A1;APOE;CD5;SRGN;FCGR2A;MSR1;MRC1;PTAFR;CCR1;WAS;SLC11A1;AP1S2;OLR1;DAB2;MFGE8;APOBR;LRMP;RIC1;CLEC10A;RAB8B;RAB39B;P2RX7;CLEC7A;SIGLEC1;LAT2;CD209;CD163L1;STAB1;CTSZ;MYO5A</t>
  </si>
  <si>
    <t>http://www.broadinstitute.org/gsea/msigdb/cards/GO_VESICLE_MEDIATED_TRANSPORT.html</t>
  </si>
  <si>
    <t>GO_REGULATION_OF_SECRETION</t>
  </si>
  <si>
    <t>3458;972;914;1436;929;2268;6352;959;2207;1236;2633;5734;7535;6504;93978;84868;114548;51744;51311;11314;8832;7099;2219;3717;56253;3553;3162;5552;3737;3586;5724;729230;4208;3604;3123;3127;51762;84106;5027;6363;50943;64805;29126;22900</t>
  </si>
  <si>
    <t>IFNG;CD74;CD2;CSF1R;CD14;FGR;CCL5;CD40LG;FCER1G;CCR7;GBP1;PTGER4;ZAP70;SLAMF1;CLEC6A;HAVCR2;NLRP3;CD244;TLR8;CD300A;CD84;TLR4;FCN1;JAK2;CRTAM;IL1B;HMOX1;SRGN;KCNA2;IL10;PTAFR;CCR2;MEF2C;TNFRSF9;HLA-DRB1;HLA-DRB5;RAB8B;PRAM1;P2RX7;CCL19;FOXP3;P2RY12;CD274;CARD8</t>
  </si>
  <si>
    <t>http://www.broadinstitute.org/gsea/msigdb/cards/GO_REGULATION_OF_SECRETION.html</t>
  </si>
  <si>
    <t>GO_POSITIVE_REGULATION_OF_DEVELOPMENTAL_PROCESS</t>
  </si>
  <si>
    <t>9840;9839;54440;3458;3559;972;3689;5579;1436;916;940;6352;3575;963;941;5734;942;3594;7535;3071;695;4283;719;10288;57580;3635;114548;26051;1240;57105;30009;51393;8742;3717;8320;4049;3553;348;3956;3162;1435;596;3059;2113;728;4481;1230;6546;729230;2833;1601;4208;146850;80821;10507;5027;6363;50943</t>
  </si>
  <si>
    <t>TESPA1;ZEB2;SASH3;IFNG;IL2RA;CD74;ITGB2;PRKCB;CSF1R;CD3E;CD28;CCL5;IL7R;CD53;CD80;PTGER4;CD86;IL12RB1;ZAP70;NCKAP1L;BTK;CXCL9;C3AR1;LILRB2;PREX1;INPP5D;NLRP3;PPP1R16B;CMKLR1;CYSLTR2;TBX21;TRPV2;TNFSF12;JAK2;EOMES;LTA;IL1B;APOE;LGALS1;HMOX1;CSF1;BCL2;HCLS1;ETS1;C5AR1;MSR1;CCR1;SLC8A1;CCR2;CXCR3;DAB2;MEF2C;PIK3R6;DDHD1;SEMA4D;P2RX7;CCL19;FOXP3</t>
  </si>
  <si>
    <t>http://www.broadinstitute.org/gsea/msigdb/cards/GO_POSITIVE_REGULATION_OF_DEVELOPMENTAL_PROCESS.html</t>
  </si>
  <si>
    <t>GO_NEGATIVE_REGULATION_OF_LEUKOCYTE_PROLIFERATION</t>
  </si>
  <si>
    <t>7940;3559;1493;4332;10288;84868;3635;80380;11314;6693;3586;3123;3127;50943;29126;26279</t>
  </si>
  <si>
    <t>LST1;IL2RA;CTLA4;MNDA;LILRB2;HAVCR2;INPP5D;PDCD1LG2;CD300A;SPN;IL10;HLA-DRB1;HLA-DRB5;FOXP3;CD274;PLA2G2D</t>
  </si>
  <si>
    <t>http://www.broadinstitute.org/gsea/msigdb/cards/GO_NEGATIVE_REGULATION_OF_LEUKOCYTE_PROLIFERATION.html</t>
  </si>
  <si>
    <t>GO_POSITIVE_REGULATION_OF_TUMOR_NECROSIS_FACTOR_SUPERFAMILY_CYTOKINE_PRODUCTION</t>
  </si>
  <si>
    <t>54440;3458;914;929;2207;942;84868;64170;7099;3717;6693;5724;943;729230;6363</t>
  </si>
  <si>
    <t>SASH3;IFNG;CD2;CD14;FCER1G;CD86;HAVCR2;CARD9;TLR4;JAK2;SPN;PTAFR;TNFRSF8;CCR2;CCL19</t>
  </si>
  <si>
    <t>http://www.broadinstitute.org/gsea/msigdb/cards/GO_POSITIVE_REGULATION_OF_TUMOR_NECROSIS_FACTOR_SUPERFAMILY_CYTOKINE_PRODUCTION.html</t>
  </si>
  <si>
    <t>GO_RESPONSE_TO_WOUNDING</t>
  </si>
  <si>
    <t>5579;3932;5341;3659;959;2207;5294;199;391;4671;3937;139818;83706;81704;23533;10019;3717;2162;3553;2811;1508;3956;3162;596;3936;2113;1230;729230;7454;6507;6556;54331;11009;10672;146850;120425;10077;5027;64805</t>
  </si>
  <si>
    <t>PRKCB;LCK;PLEK;IRF1;CD40LG;FCER1G;PIK3CG;AIF1;RHOG;NAIP;LCP2;DOCK11;FERMT3;DOCK8;PIK3R5;SH2B3;JAK2;F13A1;IL1B;GP1BA;CTSB;LGALS1;HMOX1;BCL2;LCP1;ETS1;CCR1;CCR2;WAS;SLC1A3;SLC11A1;GNG2;IL24;GNA13;PIK3R6;JAML;TSPAN32;P2RX7;P2RY12</t>
  </si>
  <si>
    <t>http://www.broadinstitute.org/gsea/msigdb/cards/GO_RESPONSE_TO_WOUNDING.html</t>
  </si>
  <si>
    <t>GO_T_CELL_RECEPTOR_COMPLEX</t>
  </si>
  <si>
    <t>920;925;915;916;917;919;923;7535;50852;926;54518</t>
  </si>
  <si>
    <t>CD4;CD8A;CD3D;CD3E;CD3G;CD247;CD6;ZAP70;TRAT1;CD8B;APBB1IP</t>
  </si>
  <si>
    <t>http://www.broadinstitute.org/gsea/msigdb/cards/GO_T_CELL_RECEPTOR_COMPLEX.html</t>
  </si>
  <si>
    <t>GO_MHC_PROTEIN_COMPLEX</t>
  </si>
  <si>
    <t>http://www.broadinstitute.org/gsea/msigdb/cards/GO_MHC_PROTEIN_COMPLEX.html</t>
  </si>
  <si>
    <t>GO_REGULATION_OF_INTERLEUKIN_2_PRODUCTION</t>
  </si>
  <si>
    <t>54440;920;916;940;2633;941;942;3662;84868;64170;3553;3902;729230;50943</t>
  </si>
  <si>
    <t>SASH3;CD4;CD3E;CD28;GBP1;CD80;CD86;IRF4;HAVCR2;CARD9;IL1B;LAG3;CCR2;FOXP3</t>
  </si>
  <si>
    <t>http://www.broadinstitute.org/gsea/msigdb/cards/GO_REGULATION_OF_INTERLEUKIN_2_PRODUCTION.html</t>
  </si>
  <si>
    <t>GO_PROTEIN_COMPLEX_BINDING</t>
  </si>
  <si>
    <t>2533;7456;9535;9046;920;972;3689;916;2214;917;2268;2209;3683;2207;11151;2322;199;3071;10666;92241;79930;83706;23533;1794;2210;152789;10537;3122;3111;1508;5552;2212;9103;3112;3936;3059;3108;3109;2213;4261;4240;3824;9815;10672;10457;3123;55704;161176;25890;120425;59345</t>
  </si>
  <si>
    <t>FYB1;WIPF1;GMFG;DOK2;CD4;CD74;ITGB2;CD3E;FCGR3A;CD3G;FGR;FCGR1A;ITGAL;FCER1G;CORO1A;FLT3;AIF1;NCKAP1L;CD226;RCSD1;DOK3;FERMT3;PIK3R5;DOCK2;FCGR1B;JAKMIP1;UBD;HLA-DRA;HLA-DOA;CTSB;SRGN;FCGR2A;FCGR2A;HLA-DOB;LCP1;HCLS1;HLA-DMA;HLA-DMB;FCGR2B;CIITA;MFGE8;KLRD1;GIT2;GNA13;GPNMB;HLA-DRB1;CCDC88A;SYNE3;ABI3BP;JAML;GNB4</t>
  </si>
  <si>
    <t>http://www.broadinstitute.org/gsea/msigdb/cards/GO_PROTEIN_COMPLEX_BINDING.html</t>
  </si>
  <si>
    <t>GO_REGULATION_OF_PROTEIN_SECRETION</t>
  </si>
  <si>
    <t>3458;914;1436;929;2268;6352;959;1236;2633;5734;6504;93978;84868;114548;51744;51311;7099;2219;3717;56253;3553;5552;3586;729230;3604;3123;3127;5027;6363;50943;29126;22900</t>
  </si>
  <si>
    <t>IFNG;CD2;CSF1R;CD14;FGR;CCL5;CD40LG;CCR7;GBP1;PTGER4;SLAMF1;CLEC6A;HAVCR2;NLRP3;CD244;TLR8;TLR4;FCN1;JAK2;CRTAM;IL1B;SRGN;IL10;CCR2;TNFRSF9;HLA-DRB1;HLA-DRB5;P2RX7;CCL19;FOXP3;CD274;CARD8</t>
  </si>
  <si>
    <t>http://www.broadinstitute.org/gsea/msigdb/cards/GO_REGULATION_OF_PROTEIN_SECRETION.html</t>
  </si>
  <si>
    <t>GO_PHAGOCYTOSIS</t>
  </si>
  <si>
    <t>7456;929;3055;2214;917;2268;2209;919;2207;11151;199;3071;3394;6504;54209;2219;19;2212;7454;6556;4240;5027;64581</t>
  </si>
  <si>
    <t>WIPF1;CD14;HCK;FCGR3A;CD3G;FGR;FCGR1A;CD247;FCER1G;CORO1A;AIF1;NCKAP1L;IRF8;SLAMF1;TREM2;FCN1;ABCA1;FCGR2A;WAS;SLC11A1;MFGE8;P2RX7;CLEC7A</t>
  </si>
  <si>
    <t>http://www.broadinstitute.org/gsea/msigdb/cards/GO_PHAGOCYTOSIS.html</t>
  </si>
  <si>
    <t>GO_DIVALENT_INORGANIC_CATION_HOMEOSTASIS</t>
  </si>
  <si>
    <t>5579;3932;5788;6352;1236;5294;1233;1234;719;3717;3553;348;596;5816;728;1043;1230;6546;729230;2829;6556;2833;1235;1237;3718;10672;147138;5027;6363;55013</t>
  </si>
  <si>
    <t>PRKCB;LCK;PTPRC;CCL5;CCR7;PIK3CG;CCR4;CCR5;C3AR1;JAK2;IL1B;APOE;BCL2;PVALB;C5AR1;CD52;CCR1;SLC8A1;CCR2;XCR1;SLC11A1;CXCR3;CCR6;CCR8;JAK3;GNA13;TMC8;P2RX7;CCL19;MCUB</t>
  </si>
  <si>
    <t>http://www.broadinstitute.org/gsea/msigdb/cards/GO_DIVALENT_INORGANIC_CATION_HOMEOSTASIS.html</t>
  </si>
  <si>
    <t>GO_POSITIVE_T_CELL_SELECTION</t>
  </si>
  <si>
    <t>972;915;7535;3662;387357;1794;114836;4063;596;50943;64919</t>
  </si>
  <si>
    <t>CD74;CD3D;ZAP70;IRF4;THEMIS;DOCK2;SLAMF6;LY9;BCL2;FOXP3;BCL11B</t>
  </si>
  <si>
    <t>http://www.broadinstitute.org/gsea/msigdb/cards/GO_POSITIVE_T_CELL_SELECTION.html</t>
  </si>
  <si>
    <t>GO_NEGATIVE_REGULATION_OF_CELL_CELL_ADHESION</t>
  </si>
  <si>
    <t>3559;972;3659;1493;201633;79626;10288;84868;80380;11314;3717;6693;3902;3586;3718;3123;3127;50943;29126;26279</t>
  </si>
  <si>
    <t>IL2RA;CD74;IRF1;CTLA4;TIGIT;TNFAIP8L2;LILRB2;HAVCR2;PDCD1LG2;CD300A;JAK2;SPN;LAG3;IL10;JAK3;HLA-DRB1;HLA-DRB5;FOXP3;CD274;PLA2G2D</t>
  </si>
  <si>
    <t>http://www.broadinstitute.org/gsea/msigdb/cards/GO_NEGATIVE_REGULATION_OF_CELL_CELL_ADHESION.html</t>
  </si>
  <si>
    <t>GO_CELLULAR_HOMEOSTASIS</t>
  </si>
  <si>
    <t>1318;1536;5579;3932;5788;6352;653361;1236;5734;5294;1233;1234;3101;4689;719;366;3717;3553;348;3956;3162;596;4688;5816;526;728;1043;1230;6546;729230;2829;356;6556;2833;1235;1237;3718;10672;245972;5027;6363;55013</t>
  </si>
  <si>
    <t>SLC31A2;CYBB;PRKCB;LCK;PTPRC;CCL5;NCF1;CCR7;PTGER4;PIK3CG;CCR4;CCR5;HK3;NCF4;C3AR1;AQP9;JAK2;IL1B;APOE;LGALS1;HMOX1;BCL2;NCF2;PVALB;ATP6V1B2;C5AR1;CD52;CCR1;SLC8A1;CCR2;XCR1;FASLG;SLC11A1;CXCR3;CCR6;CCR8;JAK3;GNA13;ATP6V0D2;P2RX7;CCL19;MCUB</t>
  </si>
  <si>
    <t>http://www.broadinstitute.org/gsea/msigdb/cards/GO_CELLULAR_HOMEOSTASIS.html</t>
  </si>
  <si>
    <t>GO_G_PROTEIN_COUPLED_RECEPTOR_SIGNALING_PATHWAY</t>
  </si>
  <si>
    <t>27334;10663;3627;916;5341;6351;6352;1236;5734;5294;1233;1234;4283;719;353345;286530;8477;221188;57580;23533;1240;53829;84636;64407;57105;2857;23228;2848;9034;2219;6373;29909;3717;19;348;2811;2357;728;3274;2359;2358;5724;1230;6753;3363;729230;2829;2833;1235;1237;54331;10672;146850;6363;56670;64805;53831;30817</t>
  </si>
  <si>
    <t>P2RY10;CXCR6;CXCL10;CD3E;PLEK;CCL4;CCL5;CCR7;PTGER4;PIK3CG;CCR4;CCR5;CXCL9;C3AR1;GPR141;P2RY8;GPR65;ADGRG5;PREX1;PIK3R5;CMKLR1;P2RY13;GPR174;RGS18;CYSLTR2;GPR34;PLCL2;GPR25;CCRL2;FCN1;CXCL11;GPR171;JAK2;ABCA1;APOE;GP1BA;FPR1;C5AR1;HRH2;FPR3;FPR2;PTAFR;CCR1;SSTR3;HTR7;CCR2;XCR1;CXCR3;CCR6;CCR8;GNG2;GNA13;PIK3R6;CCL19;SUCNR1;P2RY12;GPR84;ADGRE2</t>
  </si>
  <si>
    <t>http://www.broadinstitute.org/gsea/msigdb/cards/GO_G_PROTEIN_COUPLED_RECEPTOR_SIGNALING_PATHWAY.html</t>
  </si>
  <si>
    <t>GO_CYTOKINE_BINDING</t>
  </si>
  <si>
    <t>10663;10068;3559;972;1436;3676;3560;3561;1236;2633;3594;1234;3587;1230;729230;2833;3604</t>
  </si>
  <si>
    <t>CXCR6;IL18BP;IL2RA;CD74;CSF1R;ITGA4;IL2RB;IL2RG;CCR7;GBP1;IL12RB1;CCR5;IL10RA;CCR1;CCR2;CXCR3;TNFRSF9</t>
  </si>
  <si>
    <t>http://www.broadinstitute.org/gsea/msigdb/cards/GO_CYTOKINE_BINDING.html</t>
  </si>
  <si>
    <t>GO_REGULATION_OF_LEUKOCYTE_MEDIATED_CYTOTOXICITY</t>
  </si>
  <si>
    <t>259197;4068;5788;3575;3594;6890;10666;84868;114836;59067;56253;3902;146850;5027</t>
  </si>
  <si>
    <t>NCR3;SH2D1A;PTPRC;IL7R;IL12RB1;TAP1;CD226;HAVCR2;SLAMF6;IL21;CRTAM;LAG3;PIK3R6;P2RX7</t>
  </si>
  <si>
    <t>http://www.broadinstitute.org/gsea/msigdb/cards/GO_REGULATION_OF_LEUKOCYTE_MEDIATED_CYTOTOXICITY.html</t>
  </si>
  <si>
    <t>GO_REGULATION_OF_LEUKOCYTE_APOPTOTIC_PROCESS</t>
  </si>
  <si>
    <t>972;917;6352;2207;1236;695;81704;3059;3586;3718;4208;5133;155038;5027;6363;29126</t>
  </si>
  <si>
    <t>CD74;CD3G;CCL5;FCER1G;CCR7;BTK;DOCK8;HCLS1;IL10;JAK3;MEF2C;PDCD1;GIMAP8;P2RX7;CCL19;CD274</t>
  </si>
  <si>
    <t>http://www.broadinstitute.org/gsea/msigdb/cards/GO_REGULATION_OF_LEUKOCYTE_APOPTOTIC_PROCESS.html</t>
  </si>
  <si>
    <t>GO_REGULATION_OF_ANTIGEN_PROCESSING_AND_PRESENTATION</t>
  </si>
  <si>
    <t>972;1236;6890;10288;54209;3111;3112;7454;6556;6891;6363</t>
  </si>
  <si>
    <t>CD74;CCR7;TAP1;LILRB2;TREM2;HLA-DOA;HLA-DOB;WAS;SLC11A1;TAP2;CCL19</t>
  </si>
  <si>
    <t>http://www.broadinstitute.org/gsea/msigdb/cards/GO_REGULATION_OF_ANTIGEN_PROCESSING_AND_PRESENTATION.html</t>
  </si>
  <si>
    <t>GO_CELLULAR_CHEMICAL_HOMEOSTASIS</t>
  </si>
  <si>
    <t>1318;5579;3932;5788;6352;1236;5734;5294;1233;1234;3101;719;366;3717;3553;348;3956;3162;596;5816;526;728;1043;1230;6546;729230;2829;356;6556;2833;1235;1237;3718;10672;245972;5027;6363;55013</t>
  </si>
  <si>
    <t>SLC31A2;PRKCB;LCK;PTPRC;CCL5;CCR7;PTGER4;PIK3CG;CCR4;CCR5;HK3;C3AR1;AQP9;JAK2;IL1B;APOE;LGALS1;HMOX1;BCL2;PVALB;ATP6V1B2;C5AR1;CD52;CCR1;SLC8A1;CCR2;XCR1;FASLG;SLC11A1;CXCR3;CCR6;CCR8;JAK3;GNA13;ATP6V0D2;P2RX7;CCL19;MCUB</t>
  </si>
  <si>
    <t>http://www.broadinstitute.org/gsea/msigdb/cards/GO_CELLULAR_CHEMICAL_HOMEOSTASIS.html</t>
  </si>
  <si>
    <t>GO_REGULATION_OF_CYTOSOLIC_CALCIUM_ION_CONCENTRATION</t>
  </si>
  <si>
    <t>3932;5788;1236;5294;1233;1234;719;3717;3553;5816;728;1043;1230;6546;729230;2829;2833;1235;1237;3718;10672;5027;6363</t>
  </si>
  <si>
    <t>LCK;PTPRC;CCR7;PIK3CG;CCR4;CCR5;C3AR1;JAK2;IL1B;PVALB;C5AR1;CD52;CCR1;SLC8A1;CCR2;XCR1;CXCR3;CCR6;CCR8;JAK3;GNA13;P2RX7;CCL19</t>
  </si>
  <si>
    <t>http://www.broadinstitute.org/gsea/msigdb/cards/GO_REGULATION_OF_CYTOSOLIC_CALCIUM_ION_CONCENTRATION.html</t>
  </si>
  <si>
    <t>GO_VACUOLAR_PART</t>
  </si>
  <si>
    <t>972;929;2209;5551;7805;9744;4689;124460;221472;51296;55016;2210;53346;84174;51311;51284;7099;3717;3122;3117;3115;3120;3111;1508;926;10437;3112;3113;526;4360;3108;3109;356;6556;8905;1601;27163;3123;3127;206358;245972;59345</t>
  </si>
  <si>
    <t>CD74;CD14;FCGR1A;PRF1;LAPTM5;ACAP1;NCF4;SNX20;FGD2;SLC15A3;MARCH1;FCGR1B;TM6SF1;SLA2;TLR8;TLR7;TLR4;JAK2;HLA-DRA;HLA-DQA1;HLA-DPB1;HLA-DQB2;HLA-DOA;CTSB;CD8B;IFI30;HLA-DOB;HLA-DPA1;ATP6V1B2;MRC1;HLA-DMA;HLA-DMB;FASLG;SLC11A1;AP1S2;DAB2;NAAA;HLA-DRB1;HLA-DRB5;SLC36A1;ATP6V0D2;GNB4</t>
  </si>
  <si>
    <t>http://www.broadinstitute.org/gsea/msigdb/cards/GO_VACUOLAR_PART.html</t>
  </si>
  <si>
    <t>GO_POSITIVE_REGULATION_OF_INFLAMMATORY_RESPONSE</t>
  </si>
  <si>
    <t>940;6351;6352;923;2207;1236;5734;5294;115362;59067;51284;7099;3717;4049;3553;2113;729230;7941</t>
  </si>
  <si>
    <t>CD28;CCL4;CCL5;CD6;FCER1G;CCR7;PTGER4;PIK3CG;GBP5;IL21;TLR7;TLR4;JAK2;LTA;IL1B;ETS1;CCR2;PLA2G7</t>
  </si>
  <si>
    <t>http://www.broadinstitute.org/gsea/msigdb/cards/GO_POSITIVE_REGULATION_OF_INFLAMMATORY_RESPONSE.html</t>
  </si>
  <si>
    <t>GO_NEGATIVE_REGULATION_OF_RESPONSE_TO_STIMULUS</t>
  </si>
  <si>
    <t>4210;9404;10068;3559;972;5579;916;5341;929;5788;6352;3575;1378;7133;2633;5734;6772;199;53347;6890;6504;3662;399;5800;79626;197358;84166;64926;374403;10288;84868;3635;114548;84174;64407;64092;11314;8832;23228;730249;7099;3553;348;2811;3162;596;54;2113;6693;3586;729230;356;3718;203100;1601;118788;167465;10507;5027;50943;50515;22900</t>
  </si>
  <si>
    <t>MEFV;LPXN;IL18BP;IL2RA;CD74;PRKCB;CD3E;PLEK;CD14;PTPRC;CCL5;IL7R;CR1;TNFRSF1B;GBP1;PTGER4;STAT1;AIF1;UBASH3A;TAP1;SLAMF1;IRF4;RHOH;PTPRO;TNFAIP8L2;NLRC3;NLRC5;RASAL3;TBC1D10C;LILRB2;HAVCR2;INPP5D;NLRP3;SLA2;RGS18;SAMSN1;CD300A;CD84;PLCL2;ACOD1;TLR4;IL1B;APOE;GP1BA;HMOX1;BCL2;ACP5;ETS1;SPN;IL10;CCR2;FASLG;JAK3;HTRA4;DAB2;PIK3AP1;ZNF366;SEMA4D;P2RX7;FOXP3;CHST11;CARD8</t>
  </si>
  <si>
    <t>http://www.broadinstitute.org/gsea/msigdb/cards/GO_NEGATIVE_REGULATION_OF_RESPONSE_TO_STIMULUS.html</t>
  </si>
  <si>
    <t>GO_MYELOID_CELL_DIFFERENTIATION</t>
  </si>
  <si>
    <t>1436;6688;1236;942;3071;2313;3394;10320;3662;139716;2672;10537;3717;1435;54;3059;4208;814;116071;115727;6363;54861</t>
  </si>
  <si>
    <t>CSF1R;SPI1;CCR7;CD86;NCKAP1L;FLI1;IRF8;IKZF1;IRF4;GAB3;GFI1;UBD;JAK2;CSF1;ACP5;HCLS1;MEF2C;CAMK4;BATF2;RASGRP4;CCL19;SNRK</t>
  </si>
  <si>
    <t>http://www.broadinstitute.org/gsea/msigdb/cards/GO_MYELOID_CELL_DIFFERENTIATION.html</t>
  </si>
  <si>
    <t>GO_POSITIVE_REGULATION_OF_PROTEIN_SECRETION</t>
  </si>
  <si>
    <t>3458;914;1436;929;2268;5734;6504;93978;84868;114548;51744;2219;3717;56253;3553;3586;729230;3123;3127;5027;6363;29126;22900</t>
  </si>
  <si>
    <t>IFNG;CD2;CSF1R;CD14;FGR;PTGER4;SLAMF1;CLEC6A;HAVCR2;NLRP3;CD244;FCN1;JAK2;CRTAM;IL1B;IL10;CCR2;HLA-DRB1;HLA-DRB5;P2RX7;CCL19;CD274;CARD8</t>
  </si>
  <si>
    <t>http://www.broadinstitute.org/gsea/msigdb/cards/GO_POSITIVE_REGULATION_OF_PROTEIN_SECRETION.html</t>
  </si>
  <si>
    <t>GO_REGULATION_OF_INTERLEUKIN_1_PRODUCTION</t>
  </si>
  <si>
    <t>4210;3458;1236;5734;84868;114548;7099;3717;54;3586;729230;5027;6363;22900</t>
  </si>
  <si>
    <t>MEFV;IFNG;CCR7;PTGER4;HAVCR2;NLRP3;TLR4;JAK2;ACP5;IL10;CCR2;P2RX7;CCL19;CARD8</t>
  </si>
  <si>
    <t>http://www.broadinstitute.org/gsea/msigdb/cards/GO_REGULATION_OF_INTERLEUKIN_1_PRODUCTION.html</t>
  </si>
  <si>
    <t>GO_REGULATION_OF_INTERLEUKIN_2_BIOSYNTHETIC_PROCESS</t>
  </si>
  <si>
    <t>920;916;940;941;942;3662;64170;3553;3902;50943</t>
  </si>
  <si>
    <t>CD4;CD3E;CD28;CD80;CD86;IRF4;CARD9;IL1B;LAG3;FOXP3</t>
  </si>
  <si>
    <t>http://www.broadinstitute.org/gsea/msigdb/cards/GO_REGULATION_OF_INTERLEUKIN_2_BIOSYNTHETIC_PROCESS.html</t>
  </si>
  <si>
    <t>GO_NEGATIVE_REGULATION_OF_LEUKOCYTE_MEDIATED_IMMUNITY</t>
  </si>
  <si>
    <t>5788;3575;1378;6890;6504;84868;11314;8832;3162;6693;729230;3718;50943</t>
  </si>
  <si>
    <t>PTPRC;IL7R;CR1;TAP1;SLAMF1;HAVCR2;CD300A;CD84;HMOX1;SPN;CCR2;JAK3;FOXP3</t>
  </si>
  <si>
    <t>http://www.broadinstitute.org/gsea/msigdb/cards/GO_NEGATIVE_REGULATION_OF_LEUKOCYTE_MEDIATED_IMMUNITY.html</t>
  </si>
  <si>
    <t>GO_T_CELL_ACTIVATION_INVOLVED_IN_IMMUNE_RESPONSE</t>
  </si>
  <si>
    <t>3458;3683;2207;5734;942;3662;114836;4063;8320;3936;6556;8809;54518;338339</t>
  </si>
  <si>
    <t>IFNG;ITGAL;FCER1G;PTGER4;CD86;IRF4;SLAMF6;LY9;EOMES;LCP1;SLC11A1;IL18R1;APBB1IP;CLEC4D</t>
  </si>
  <si>
    <t>http://www.broadinstitute.org/gsea/msigdb/cards/GO_T_CELL_ACTIVATION_INVOLVED_IN_IMMUNE_RESPONSE.html</t>
  </si>
  <si>
    <t>GO_PLASMA_MEMBRANE_RECEPTOR_COMPLEX</t>
  </si>
  <si>
    <t>920;925;915;3689;916;917;3676;3683;3687;919;3695;923;1439;3594;7535;50852;926;3684;1601;54518;10077</t>
  </si>
  <si>
    <t>CD4;CD8A;CD3D;ITGB2;CD3E;CD3G;ITGA4;ITGAL;ITGAX;CD247;ITGB7;CD6;CSF2RB;IL12RB1;ZAP70;TRAT1;CD8B;ITGAM;DAB2;APBB1IP;TSPAN32</t>
  </si>
  <si>
    <t>http://www.broadinstitute.org/gsea/msigdb/cards/GO_PLASMA_MEMBRANE_RECEPTOR_COMPLEX.html</t>
  </si>
  <si>
    <t>GO_MOLECULAR_FUNCTION_REGULATOR</t>
  </si>
  <si>
    <t>9535;9839;10068;3559;3627;5579;6352;3560;3561;1439;3071;4671;8514;9744;9459;4689;399;55843;139818;257106;221472;64926;374403;117289;81704;57580;23533;1794;23048;26051;116986;64333;58484;64407;55589;27128;3717;8530;1102;348;341;2811;596;241;9938;7454;3718;9815;57514;57589;89846;146850;10235;25780;115727;9754;55619;64805;55803;55013;22900</t>
  </si>
  <si>
    <t>GMFG;ZEB2;IL18BP;IL2RA;CXCL10;PRKCB;CCL5;IL2RB;IL2RG;CSF2RB;NCKAP1L;NAIP;KCNAB2;ACAP1;ARHGEF6;NCF4;RHOH;ARHGAP15;DOCK11;ARHGAP30;FGD2;RASAL3;TBC1D10C;TAGAP;DOCK8;PREX1;PIK3R5;DOCK2;FNBP1;PPP1R16B;AGAP2;ARHGAP9;NLRC4;RGS18;BMP2K;CYTH4;JAK2;CST7;RCBTB2;APOE;APOC1;GP1BA;BCL2;ALOX5AP;ARHGAP25;WAS;JAK3;GIT2;ARHGAP31;RIC1;FGD3;PIK3R6;RASGRP2;RASGRP3;RASGRP4;STARD8;DOCK10;P2RY12;ADAP2;MCUB;CARD8</t>
  </si>
  <si>
    <t>http://www.broadinstitute.org/gsea/msigdb/cards/GO_MOLECULAR_FUNCTION_REGULATOR.html</t>
  </si>
  <si>
    <t>GO_REGULATION_OF_INTERLEUKIN_6_PRODUCTION</t>
  </si>
  <si>
    <t>3458;2207;3071;6504;197358;10288;84868;3635;64170;51284;7099;3553;3586;5724;729230;5027;50943</t>
  </si>
  <si>
    <t>IFNG;FCER1G;NCKAP1L;SLAMF1;NLRC3;LILRB2;HAVCR2;INPP5D;CARD9;TLR7;TLR4;IL1B;IL10;PTAFR;CCR2;P2RX7;FOXP3</t>
  </si>
  <si>
    <t>http://www.broadinstitute.org/gsea/msigdb/cards/GO_REGULATION_OF_INTERLEUKIN_6_PRODUCTION.html</t>
  </si>
  <si>
    <t>GO_RESPONSE_TO_VIRUS</t>
  </si>
  <si>
    <t>3458;925;3627;5788;2268;3659;6351;6352;5551;2633;942;6772;4283;84166;114548;64170;51311;51284;30009;596;4208;6363;50943;25939</t>
  </si>
  <si>
    <t>IFNG;CD8A;CXCL10;PTPRC;FGR;IRF1;CCL4;CCL5;PRF1;GBP1;CD86;STAT1;CXCL9;NLRC5;NLRP3;CARD9;TLR8;TLR7;TBX21;BCL2;MEF2C;CCL19;FOXP3;SAMHD1</t>
  </si>
  <si>
    <t>http://www.broadinstitute.org/gsea/msigdb/cards/GO_RESPONSE_TO_VIRUS.html</t>
  </si>
  <si>
    <t>GO_ACTIVATION_OF_INNATE_IMMUNE_RESPONSE</t>
  </si>
  <si>
    <t>3689;929;3055;2207;942;695;93978;84868;4064;64170;58484;51311;51284;50856;7099;2219;1508;3684;118788;338339;64581;30835</t>
  </si>
  <si>
    <t>ITGB2;CD14;HCK;FCER1G;CD86;BTK;CLEC6A;HAVCR2;CD180;CARD9;NLRC4;TLR8;TLR7;CLEC4A;TLR4;FCN1;CTSB;ITGAM;PIK3AP1;CLEC4D;CLEC7A;CD209</t>
  </si>
  <si>
    <t>http://www.broadinstitute.org/gsea/msigdb/cards/GO_ACTIVATION_OF_INNATE_IMMUNE_RESPONSE.html</t>
  </si>
  <si>
    <t>GO_CYTOKINE_RECEPTOR_BINDING</t>
  </si>
  <si>
    <t>3458;3627;6351;6352;959;944;6772;3594;4283;59067;10673;9034;6373;8742;3717;4049;3553;1435;3586;729230;356;4050;7185;10148;6363</t>
  </si>
  <si>
    <t>IFNG;CXCL10;CCL4;CCL5;CD40LG;TNFSF8;STAT1;IL12RB1;CXCL9;IL21;TNFSF13B;CCRL2;CXCL11;TNFSF12;JAK2;LTA;IL1B;CSF1;IL10;CCR2;FASLG;LTB;TRAF1;EBI3;CCL19</t>
  </si>
  <si>
    <t>http://www.broadinstitute.org/gsea/msigdb/cards/GO_CYTOKINE_RECEPTOR_BINDING.html</t>
  </si>
  <si>
    <t>GO_ANTIGEN_PROCESSING_AND_PRESENTATION_OF_PEPTIDE_OR_POLYSACCHARIDE_ANTIGEN_VIA_MHC_CLASS_II</t>
  </si>
  <si>
    <t>972;2207;55016;3122;3117;3115;3120;3111;10437;3112;3113;3108;3109;8905;3123;3127</t>
  </si>
  <si>
    <t>CD74;FCER1G;MARCH1;HLA-DRA;HLA-DQA1;HLA-DPB1;HLA-DQB2;HLA-DOA;IFI30;HLA-DOB;HLA-DPA1;HLA-DMA;HLA-DMB;AP1S2;HLA-DRB1;HLA-DRB5</t>
  </si>
  <si>
    <t>http://www.broadinstitute.org/gsea/msigdb/cards/GO_ANTIGEN_PROCESSING_AND_PRESENTATION_OF_PEPTIDE_OR_POLYSACCHARIDE_ANTIGEN_VIA_MHC_CLASS_II.html</t>
  </si>
  <si>
    <t>GO_REGULATION_OF_ANTIGEN_RECEPTOR_MEDIATED_SIGNALING_PATHWAY</t>
  </si>
  <si>
    <t>9840;9404;5579;3932;5788;1236;2633;53347;50852;150372;11314;23228</t>
  </si>
  <si>
    <t>TESPA1;LPXN;PRKCB;LCK;PTPRC;CCR7;GBP1;UBASH3A;TRAT1;NFAM1;CD300A;PLCL2</t>
  </si>
  <si>
    <t>http://www.broadinstitute.org/gsea/msigdb/cards/GO_REGULATION_OF_ANTIGEN_RECEPTOR_MEDIATED_SIGNALING_PATHWAY.html</t>
  </si>
  <si>
    <t>GO_HUMORAL_IMMUNE_RESPONSE</t>
  </si>
  <si>
    <t>4068;9450;3458;712;713;714;940;1378;54209;11326;2219;4049;5452;596;6037;1235;4208;10148;5133;3123;3127</t>
  </si>
  <si>
    <t>SH2D1A;LY86;IFNG;C1QA;C1QB;C1QC;CD28;CR1;TREM2;VSIG4;FCN1;LTA;POU2F2;BCL2;RNASE3;CCR6;MEF2C;EBI3;PDCD1;HLA-DRB1;HLA-DRB5</t>
  </si>
  <si>
    <t>http://www.broadinstitute.org/gsea/msigdb/cards/GO_HUMORAL_IMMUNE_RESPONSE.html</t>
  </si>
  <si>
    <t>GO_REGULATION_OF_INTERLEUKIN_4_PRODUCTION</t>
  </si>
  <si>
    <t>54440;916;940;959;942;3662;84868;114548;3123;3127;50943</t>
  </si>
  <si>
    <t>SASH3;CD3E;CD28;CD40LG;CD86;IRF4;HAVCR2;NLRP3;HLA-DRB1;HLA-DRB5;FOXP3</t>
  </si>
  <si>
    <t>http://www.broadinstitute.org/gsea/msigdb/cards/GO_REGULATION_OF_INTERLEUKIN_4_PRODUCTION.html</t>
  </si>
  <si>
    <t>GO_CARBOHYDRATE_BINDING</t>
  </si>
  <si>
    <t>945;971;3101;3820;93978;160365;89790;50856;27036;27180;2219;1621;3956;6402;6518;4360;4973;969;3824;10462;338339;114132;64581;6614;30835</t>
  </si>
  <si>
    <t>CD33;CD72;HK3;KLRB1;CLEC6A;CLECL1;SIGLEC10;CLEC4A;SIGLEC7;SIGLEC9;FCN1;DBH;LGALS1;SELL;SLC2A5;MRC1;OLR1;CD69;KLRD1;CLEC10A;CLEC4D;SIGLEC11;CLEC7A;SIGLEC1;CD209</t>
  </si>
  <si>
    <t>http://www.broadinstitute.org/gsea/msigdb/cards/GO_CARBOHYDRATE_BINDING.html</t>
  </si>
  <si>
    <t>GO_B_CELL_RECEPTOR_SIGNALING_PATHWAY</t>
  </si>
  <si>
    <t>5579;3932;5788;1493;4332;7535;3071;695;150372;89857;596;4208;7462</t>
  </si>
  <si>
    <t>PRKCB;LCK;PTPRC;CTLA4;MNDA;ZAP70;NCKAP1L;BTK;NFAM1;KLHL6;BCL2;MEF2C;LAT2</t>
  </si>
  <si>
    <t>http://www.broadinstitute.org/gsea/msigdb/cards/GO_B_CELL_RECEPTOR_SIGNALING_PATHWAY.html</t>
  </si>
  <si>
    <t>GO_INTEGRIN_MEDIATED_SIGNALING_PATHWAY</t>
  </si>
  <si>
    <t>7305;3689;5341;3055;2268;3676;3683;3687;3695;2207;83706;3684;1601;84106;10077</t>
  </si>
  <si>
    <t>TYROBP;ITGB2;PLEK;HCK;FGR;ITGA4;ITGAL;ITGAX;ITGB7;FCER1G;FERMT3;ITGAM;DAB2;PRAM1;TSPAN32</t>
  </si>
  <si>
    <t>http://www.broadinstitute.org/gsea/msigdb/cards/GO_INTEGRIN_MEDIATED_SIGNALING_PATHWAY.html</t>
  </si>
  <si>
    <t>GO_ENDOCYTIC_VESICLE_MEMBRANE</t>
  </si>
  <si>
    <t>972;1536;2209;11151;9332;2210;3122;3117;3115;3120;3113;4481;6556;8905;3123;3127;245972;51762;23166</t>
  </si>
  <si>
    <t>CD74;CYBB;FCGR1A;CORO1A;CD163;FCGR1B;HLA-DRA;HLA-DQA1;HLA-DPB1;HLA-DQB2;HLA-DPA1;MSR1;SLC11A1;AP1S2;HLA-DRB1;HLA-DRB5;ATP6V0D2;RAB8B;STAB1</t>
  </si>
  <si>
    <t>http://www.broadinstitute.org/gsea/msigdb/cards/GO_ENDOCYTIC_VESICLE_MEMBRANE.html</t>
  </si>
  <si>
    <t>GO_MYELOID_LEUKOCYTE_MIGRATION</t>
  </si>
  <si>
    <t>3458;3689;6351;6352;2350;2207;1236;5294;3071;5800;57580;3553;728;120425;6363;30817</t>
  </si>
  <si>
    <t>IFNG;ITGB2;CCL4;CCL5;FOLR2;FCER1G;CCR7;PIK3CG;NCKAP1L;PTPRO;PREX1;IL1B;C5AR1;JAML;CCL19;ADGRE2</t>
  </si>
  <si>
    <t>http://www.broadinstitute.org/gsea/msigdb/cards/GO_MYELOID_LEUKOCYTE_MIGRATION.html</t>
  </si>
  <si>
    <t>GO_REGULATION_OF_ANATOMICAL_STRUCTURE_MORPHOGENESIS</t>
  </si>
  <si>
    <t>7940;7456;9839;3458;3627;3689;5579;1436;3055;2268;6352;963;7453;11151;2633;5734;6772;4283;719;5800;55843;221472;374403;57580;26051;57105;51393;8742;10154;3553;348;3162;1435;596;2113;728;729230;356;2833;1601;4208;10672;89846;146850;161176;85464;91010;80821;10507;23166</t>
  </si>
  <si>
    <t>LST1;WIPF1;ZEB2;IFNG;CXCL10;ITGB2;PRKCB;CSF1R;HCK;FGR;CCL5;CD53;WARS;CORO1A;GBP1;PTGER4;STAT1;CXCL9;C3AR1;PTPRO;ARHGAP15;FGD2;TBC1D10C;PREX1;PPP1R16B;CYSLTR2;TRPV2;TNFSF12;PLXNC1;IL1B;APOE;HMOX1;CSF1;BCL2;ETS1;C5AR1;CCR2;FASLG;CXCR3;DAB2;MEF2C;GNA13;FGD3;PIK3R6;SYNE3;SSH2;FMNL3;DDHD1;SEMA4D;STAB1</t>
  </si>
  <si>
    <t>http://www.broadinstitute.org/gsea/msigdb/cards/GO_REGULATION_OF_ANATOMICAL_STRUCTURE_MORPHOGENESIS.html</t>
  </si>
  <si>
    <t>GO_ION_HOMEOSTASIS</t>
  </si>
  <si>
    <t>1318;5579;3932;5788;6352;1236;5294;1233;1234;719;3717;19;3553;348;3162;596;5816;526;728;1043;1230;6546;729230;2829;356;6556;2833;1235;1237;3718;10672;147138;245972;5027;6363;55013</t>
  </si>
  <si>
    <t>SLC31A2;PRKCB;LCK;PTPRC;CCL5;CCR7;PIK3CG;CCR4;CCR5;C3AR1;JAK2;ABCA1;IL1B;APOE;HMOX1;BCL2;PVALB;ATP6V1B2;C5AR1;CD52;CCR1;SLC8A1;CCR2;XCR1;FASLG;SLC11A1;CXCR3;CCR6;CCR8;JAK3;GNA13;TMC8;ATP6V0D2;P2RX7;CCL19;MCUB</t>
  </si>
  <si>
    <t>http://www.broadinstitute.org/gsea/msigdb/cards/GO_ION_HOMEOSTASIS.html</t>
  </si>
  <si>
    <t>GO_ENDOSOME</t>
  </si>
  <si>
    <t>1318;9595;9402;920;972;929;2209;5551;11151;1234;9744;4689;124460;221472;55016;84868;2210;84174;51311;51284;7099;3717;3122;3117;348;3115;3120;3111;1508;926;3112;3113;2357;4360;3108;3109;729230;6556;6503;3123;3127;245972;4644</t>
  </si>
  <si>
    <t>SLC31A2;CYTIP;GRAP2;CD4;CD74;CD14;FCGR1A;PRF1;CORO1A;CCR5;ACAP1;NCF4;SNX20;FGD2;MARCH1;HAVCR2;FCGR1B;SLA2;TLR8;TLR7;TLR4;JAK2;HLA-DRA;HLA-DQA1;APOE;HLA-DPB1;HLA-DQB2;HLA-DOA;CTSB;CD8B;HLA-DOB;HLA-DPA1;FPR1;MRC1;HLA-DMA;HLA-DMB;CCR2;SLC11A1;SLA;HLA-DRB1;HLA-DRB5;ATP6V0D2;MYO5A</t>
  </si>
  <si>
    <t>http://www.broadinstitute.org/gsea/msigdb/cards/GO_ENDOSOME.html</t>
  </si>
  <si>
    <t>GO_REGULATION_OF_PRODUCTION_OF_MOLECULAR_MEDIATOR_OF_IMMUNE_RESPONSE</t>
  </si>
  <si>
    <t>54440;3458;972;940;959;2207;695;6504;114548;51744;30009;7099;3162;3586;3718;50943</t>
  </si>
  <si>
    <t>SASH3;IFNG;CD74;CD28;CD40LG;FCER1G;BTK;SLAMF1;NLRP3;CD244;TBX21;TLR4;HMOX1;IL10;JAK3;FOXP3</t>
  </si>
  <si>
    <t>http://www.broadinstitute.org/gsea/msigdb/cards/GO_REGULATION_OF_PRODUCTION_OF_MOLECULAR_MEDIATOR_OF_IMMUNE_RESPONSE.html</t>
  </si>
  <si>
    <t>GO_POSITIVE_REGULATION_OF_PROTEIN_MODIFICATION_PROCESS</t>
  </si>
  <si>
    <t>9839;3458;920;972;1436;916;5341;5788;6351;6352;7133;959;1236;941;5734;2322;5294;199;3071;3937;6504;388325;221472;84868;23533;11184;26051;64170;59067;57105;54209;11314;7099;3717;3553;1435;596;3059;6693;2357;728;1230;6556;1601;4208;11009;55704;146850;10507;5027;6363;4215;50943</t>
  </si>
  <si>
    <t>ZEB2;IFNG;CD4;CD74;CSF1R;CD3E;PLEK;PTPRC;CCL4;CCL5;TNFRSF1B;CD40LG;CCR7;CD80;PTGER4;FLT3;PIK3CG;AIF1;NCKAP1L;LCP2;SLAMF1;SCIMP;FGD2;HAVCR2;PIK3R5;MAP4K1;PPP1R16B;CARD9;IL21;CYSLTR2;TREM2;CD300A;TLR4;JAK2;IL1B;CSF1;BCL2;HCLS1;SPN;FPR1;C5AR1;CCR1;SLC11A1;DAB2;MEF2C;IL24;CCDC88A;PIK3R6;SEMA4D;P2RX7;CCL19;MAP3K3;FOXP3</t>
  </si>
  <si>
    <t>http://www.broadinstitute.org/gsea/msigdb/cards/GO_POSITIVE_REGULATION_OF_PROTEIN_MODIFICATION_PROCESS.html</t>
  </si>
  <si>
    <t>GO_POSITIVE_REGULATION_OF_B_CELL_ACTIVATION</t>
  </si>
  <si>
    <t>54440;3458;972;5788;940;7535;3071;695;3635;59067;30009;10673;7099;596;4208</t>
  </si>
  <si>
    <t>SASH3;IFNG;CD74;PTPRC;CD28;ZAP70;NCKAP1L;BTK;INPP5D;IL21;TBX21;TNFSF13B;TLR4;BCL2;MEF2C</t>
  </si>
  <si>
    <t>http://www.broadinstitute.org/gsea/msigdb/cards/GO_POSITIVE_REGULATION_OF_B_CELL_ACTIVATION.html</t>
  </si>
  <si>
    <t>GO_VACUOLAR_MEMBRANE</t>
  </si>
  <si>
    <t>972;929;2209;7805;9744;4689;124460;221472;51296;55016;2210;53346;84174;51311;51284;7099;3122;3117;3115;3120;3111;926;3112;3113;526;4360;3108;3109;6556;8905;1601;3123;3127;206358;245972;59345</t>
  </si>
  <si>
    <t>CD74;CD14;FCGR1A;LAPTM5;ACAP1;NCF4;SNX20;FGD2;SLC15A3;MARCH1;FCGR1B;TM6SF1;SLA2;TLR8;TLR7;TLR4;HLA-DRA;HLA-DQA1;HLA-DPB1;HLA-DQB2;HLA-DOA;CD8B;HLA-DOB;HLA-DPA1;ATP6V1B2;MRC1;HLA-DMA;HLA-DMB;SLC11A1;AP1S2;DAB2;HLA-DRB1;HLA-DRB5;SLC36A1;ATP6V0D2;GNB4</t>
  </si>
  <si>
    <t>http://www.broadinstitute.org/gsea/msigdb/cards/GO_VACUOLAR_MEMBRANE.html</t>
  </si>
  <si>
    <t>GO_REGULATION_OF_ALPHA_BETA_T_CELL_DIFFERENTIATION</t>
  </si>
  <si>
    <t>54440;3458;941;942;3594;7535;3071;3662;114548;3718;6363;50943</t>
  </si>
  <si>
    <t>SASH3;IFNG;CD80;CD86;IL12RB1;ZAP70;NCKAP1L;IRF4;NLRP3;JAK3;CCL19;FOXP3</t>
  </si>
  <si>
    <t>http://www.broadinstitute.org/gsea/msigdb/cards/GO_REGULATION_OF_ALPHA_BETA_T_CELL_DIFFERENTIATION.html</t>
  </si>
  <si>
    <t>GO_REGULATION_OF_PROTEIN_MODIFICATION_PROCESS</t>
  </si>
  <si>
    <t>9535;9839;3458;920;3627;972;3689;1436;916;5341;5788;2268;6351;6352;6688;7133;959;1236;2633;941;5734;2322;5294;199;3071;3937;6504;388325;221472;374403;84868;23533;11184;26051;2672;64170;59067;51311;57105;64092;51284;54209;11314;23228;7099;3717;3553;348;2811;1435;596;3059;6693;2357;728;1230;6556;1601;4208;11009;55704;146850;64780;10507;5027;6363;4215;50943</t>
  </si>
  <si>
    <t>GMFG;ZEB2;IFNG;CD4;CXCL10;CD74;ITGB2;CSF1R;CD3E;PLEK;PTPRC;FGR;CCL4;CCL5;SPI1;TNFRSF1B;CD40LG;CCR7;GBP1;CD80;PTGER4;FLT3;PIK3CG;AIF1;NCKAP1L;LCP2;SLAMF1;SCIMP;FGD2;TBC1D10C;HAVCR2;PIK3R5;MAP4K1;PPP1R16B;GFI1;CARD9;IL21;TLR8;CYSLTR2;SAMSN1;TLR7;TREM2;CD300A;PLCL2;TLR4;JAK2;IL1B;APOE;GP1BA;CSF1;BCL2;HCLS1;SPN;FPR1;C5AR1;CCR1;SLC11A1;DAB2;MEF2C;IL24;CCDC88A;PIK3R6;MICAL1;SEMA4D;P2RX7;CCL19;MAP3K3;FOXP3</t>
  </si>
  <si>
    <t>http://www.broadinstitute.org/gsea/msigdb/cards/GO_REGULATION_OF_PROTEIN_MODIFICATION_PROCESS.html</t>
  </si>
  <si>
    <t>GO_POSITIVE_REGULATION_OF_RESPONSE_TO_WOUNDING</t>
  </si>
  <si>
    <t>5341;940;6351;6352;923;2207;1236;5734;5294;115362;59067;51284;7099;3717;4049;3553;2113;729230;7941</t>
  </si>
  <si>
    <t>PLEK;CD28;CCL4;CCL5;CD6;FCER1G;CCR7;PTGER4;PIK3CG;GBP5;IL21;TLR7;TLR4;JAK2;LTA;IL1B;ETS1;CCR2;PLA2G7</t>
  </si>
  <si>
    <t>http://www.broadinstitute.org/gsea/msigdb/cards/GO_POSITIVE_REGULATION_OF_RESPONSE_TO_WOUNDING.html</t>
  </si>
  <si>
    <t>GO_POSITIVE_REGULATION_OF_ESTABLISHMENT_OF_PROTEIN_LOCALIZATION</t>
  </si>
  <si>
    <t>3458;914;1436;929;2268;6036;3687;5734;391;6504;93978;84868;114548;51744;51284;7099;2219;3717;56253;3553;3002;596;3059;3586;729230;1601;8809;3123;3127;5027;6363;29126;22900</t>
  </si>
  <si>
    <t>IFNG;CD2;CSF1R;CD14;FGR;RNASE2;ITGAX;PTGER4;RHOG;SLAMF1;CLEC6A;HAVCR2;NLRP3;CD244;TLR7;TLR4;FCN1;JAK2;CRTAM;IL1B;GZMB;BCL2;HCLS1;IL10;CCR2;DAB2;IL18R1;HLA-DRB1;HLA-DRB5;P2RX7;CCL19;CD274;CARD8</t>
  </si>
  <si>
    <t>http://www.broadinstitute.org/gsea/msigdb/cards/GO_POSITIVE_REGULATION_OF_ESTABLISHMENT_OF_PROTEIN_LOCALIZATION.html</t>
  </si>
  <si>
    <t>GO_POSITIVE_REGULATION_OF_CELL_DIFFERENTIATION</t>
  </si>
  <si>
    <t>9840;9839;54440;3458;3559;972;1436;6352;3575;963;941;5734;942;3594;7535;3071;695;4283;10288;57580;3635;114548;1240;51393;3717;8320;4049;3553;348;3956;1435;596;3059;2113;4481;1230;729230;1601;4208;146850;10507;6363;50943</t>
  </si>
  <si>
    <t>TESPA1;ZEB2;SASH3;IFNG;IL2RA;CD74;CSF1R;CCL5;IL7R;CD53;CD80;PTGER4;CD86;IL12RB1;ZAP70;NCKAP1L;BTK;CXCL9;LILRB2;PREX1;INPP5D;NLRP3;CMKLR1;TRPV2;JAK2;EOMES;LTA;IL1B;APOE;LGALS1;CSF1;BCL2;HCLS1;ETS1;MSR1;CCR1;CCR2;DAB2;MEF2C;PIK3R6;SEMA4D;CCL19;FOXP3</t>
  </si>
  <si>
    <t>http://www.broadinstitute.org/gsea/msigdb/cards/GO_POSITIVE_REGULATION_OF_CELL_DIFFERENTIATION.html</t>
  </si>
  <si>
    <t>GO_ENDOSOMAL_PART</t>
  </si>
  <si>
    <t>929;2209;5551;9744;4689;124460;221472;55016;2210;84174;51311;51284;7099;3717;3122;3117;3115;3120;3111;1508;926;3112;3113;4360;3108;3109;6556;3123;3127;245972</t>
  </si>
  <si>
    <t>CD14;FCGR1A;PRF1;ACAP1;NCF4;SNX20;FGD2;MARCH1;FCGR1B;SLA2;TLR8;TLR7;TLR4;JAK2;HLA-DRA;HLA-DQA1;HLA-DPB1;HLA-DQB2;HLA-DOA;CTSB;CD8B;HLA-DOB;HLA-DPA1;MRC1;HLA-DMA;HLA-DMB;SLC11A1;HLA-DRB1;HLA-DRB5;ATP6V0D2</t>
  </si>
  <si>
    <t>http://www.broadinstitute.org/gsea/msigdb/cards/GO_ENDOSOMAL_PART.html</t>
  </si>
  <si>
    <t>GO_REGULATION_OF_CD4_POSITIVE_ALPHA_BETA_T_CELL_ACTIVATION</t>
  </si>
  <si>
    <t>54440;3458;941;942;3594;3071;3662;114548;3718;6363;50943</t>
  </si>
  <si>
    <t>SASH3;IFNG;CD80;CD86;IL12RB1;NCKAP1L;IRF4;NLRP3;JAK3;CCL19;FOXP3</t>
  </si>
  <si>
    <t>http://www.broadinstitute.org/gsea/msigdb/cards/GO_REGULATION_OF_CD4_POSITIVE_ALPHA_BETA_T_CELL_ACTIVATION.html</t>
  </si>
  <si>
    <t>GO_IDENTICAL_PROTEIN_BINDING</t>
  </si>
  <si>
    <t>259197;7305;920;925;713;972;3932;914;1436;5341;940;3001;6351;6352;919;11151;2633;2322;6772;6890;695;10666;5800;201633;246329;115362;23048;64170;58484;225;27306;6793;56253;348;3956;3162;1435;596;3936;2113;5816;729230;7454;6556;597;55704;118788;120425;168537;5027;50943;9033;22806;22900</t>
  </si>
  <si>
    <t>NCR3;TYROBP;CD4;CD8A;C1QB;CD74;LCK;CD2;CSF1R;PLEK;CD28;GZMA;CCL4;CCL5;CD247;CORO1A;GBP1;FLT3;STAT1;TAP1;BTK;CD226;PTPRO;TIGIT;STAC3;GBP5;FNBP1;CARD9;NLRC4;ABCD2;HPGDS;STK10;CRTAM;APOE;LGALS1;HMOX1;CSF1;BCL2;LCP1;ETS1;PVALB;CCR2;WAS;SLC11A1;BCL2A1;CCDC88A;PIK3AP1;JAML;GIMAP7;P2RX7;FOXP3;PKD2L1;IKZF3;CARD8</t>
  </si>
  <si>
    <t>http://www.broadinstitute.org/gsea/msigdb/cards/GO_IDENTICAL_PROTEIN_BINDING.html</t>
  </si>
  <si>
    <t>GO_CELL_PROLIFERATION</t>
  </si>
  <si>
    <t>9839;9450;3559;972;1436;5788;3575;959;944;2322;942;6772;5294;6504;81704;1794;11184;114836;4064;23228;10673;7099;56253;921;3162;1435;596;728;3586;3988;6556;54331;1601;4208;10148;202309;115727;5027</t>
  </si>
  <si>
    <t>ZEB2;LY86;IL2RA;CD74;CSF1R;PTPRC;IL7R;CD40LG;TNFSF8;FLT3;CD86;STAT1;PIK3CG;SLAMF1;DOCK8;DOCK2;MAP4K1;SLAMF6;CD180;PLCL2;TNFSF13B;TLR4;CRTAM;CD5;HMOX1;CSF1;BCL2;C5AR1;IL10;LIPA;SLC11A1;GNG2;DAB2;MEF2C;EBI3;GAPT;RASGRP4;P2RX7</t>
  </si>
  <si>
    <t>http://www.broadinstitute.org/gsea/msigdb/cards/GO_CELL_PROLIFERATION.html</t>
  </si>
  <si>
    <t>GO_REGULATION_OF_GRANULOCYTE_CHEMOTAXIS</t>
  </si>
  <si>
    <t>972;6352;1236;3071;4354;719;1240;3553;1435;728;6363</t>
  </si>
  <si>
    <t>CD74;CCL5;CCR7;NCKAP1L;MPP1;C3AR1;CMKLR1;IL1B;CSF1;C5AR1;CCL19</t>
  </si>
  <si>
    <t>http://www.broadinstitute.org/gsea/msigdb/cards/GO_REGULATION_OF_GRANULOCYTE_CHEMOTAXIS.html</t>
  </si>
  <si>
    <t>GO_POSITIVE_REGULATION_OF_CELL_KILLING</t>
  </si>
  <si>
    <t>259197;4068;3458;3594;10666;114836;59067;56253;3902;729230;5027</t>
  </si>
  <si>
    <t>NCR3;SH2D1A;IFNG;IL12RB1;CD226;SLAMF6;IL21;CRTAM;LAG3;CCR2;P2RX7</t>
  </si>
  <si>
    <t>http://www.broadinstitute.org/gsea/msigdb/cards/GO_POSITIVE_REGULATION_OF_CELL_KILLING.html</t>
  </si>
  <si>
    <t>GO_MACROMOLECULAR_COMPLEX_BINDING</t>
  </si>
  <si>
    <t>2533;7456;9535;9046;920;972;3689;5579;916;2214;917;2268;342618;2209;3683;2207;11151;2322;199;3071;2313;10666;92241;79930;83706;23533;1794;2210;152789;10537;8320;3122;348;3111;1508;5552;2212;9103;3112;3936;3059;4481;3108;3109;2213;4261;4208;4240;3824;9815;10672;10457;3123;55704;161176;25890;120425;59345;23166</t>
  </si>
  <si>
    <t>FYB1;WIPF1;GMFG;DOK2;CD4;CD74;ITGB2;PRKCB;CD3E;FCGR3A;CD3G;FGR;SLFN14;FCGR1A;ITGAL;FCER1G;CORO1A;FLT3;AIF1;NCKAP1L;FLI1;CD226;RCSD1;DOK3;FERMT3;PIK3R5;DOCK2;FCGR1B;JAKMIP1;UBD;EOMES;HLA-DRA;APOE;HLA-DOA;CTSB;SRGN;FCGR2A;FCGR2A;HLA-DOB;LCP1;HCLS1;MSR1;HLA-DMA;HLA-DMB;FCGR2B;CIITA;MEF2C;MFGE8;KLRD1;GIT2;GNA13;GPNMB;HLA-DRB1;CCDC88A;SYNE3;ABI3BP;JAML;GNB4;STAB1</t>
  </si>
  <si>
    <t>http://www.broadinstitute.org/gsea/msigdb/cards/GO_MACROMOLECULAR_COMPLEX_BINDING.html</t>
  </si>
  <si>
    <t>GO_REGULATION_OF_T_CELL_MEDIATED_IMMUNITY</t>
  </si>
  <si>
    <t>259197;54440;5788;3575;3594;6504;114548;3553;6693;7454;5027;50943</t>
  </si>
  <si>
    <t>NCR3;SASH3;PTPRC;IL7R;IL12RB1;SLAMF1;NLRP3;IL1B;SPN;WAS;P2RX7;FOXP3</t>
  </si>
  <si>
    <t>http://www.broadinstitute.org/gsea/msigdb/cards/GO_REGULATION_OF_T_CELL_MEDIATED_IMMUNITY.html</t>
  </si>
  <si>
    <t>GO_REGULATION_OF_RESPONSE_TO_BIOTIC_STIMULUS</t>
  </si>
  <si>
    <t>259197;9450;3559;920;3932;3055;940;919;3594;10666;84868;1794;4064;730249;56253;926;6693;6507;8905;51676;10077;283316</t>
  </si>
  <si>
    <t>NCR3;LY86;IL2RA;CD4;LCK;HCK;CD28;CD247;IL12RB1;CD226;HAVCR2;DOCK2;CD180;ACOD1;CRTAM;CD8B;SPN;SLC1A3;AP1S2;ASB2;TSPAN32;CD163L1</t>
  </si>
  <si>
    <t>http://www.broadinstitute.org/gsea/msigdb/cards/GO_REGULATION_OF_RESPONSE_TO_BIOTIC_STIMULUS.html</t>
  </si>
  <si>
    <t>GO_DEFENSE_RESPONSE_TO_BACTERIUM</t>
  </si>
  <si>
    <t>3458;920;2268;2207;944;3394;84868;64170;58484;7099;4049;6037;54;6693;728;3586;10578;729230;6556;338339;5027;23166</t>
  </si>
  <si>
    <t>IFNG;CD4;FGR;FCER1G;TNFSF8;IRF8;HAVCR2;CARD9;NLRC4;TLR4;LTA;RNASE3;ACP5;SPN;C5AR1;IL10;GNLY;CCR2;SLC11A1;CLEC4D;P2RX7;STAB1</t>
  </si>
  <si>
    <t>http://www.broadinstitute.org/gsea/msigdb/cards/GO_DEFENSE_RESPONSE_TO_BACTERIUM.html</t>
  </si>
  <si>
    <t>GO_CHEMICAL_HOMEOSTASIS</t>
  </si>
  <si>
    <t>1318;5579;3932;5788;6352;1236;5734;6772;5294;1233;1234;3101;6890;719;366;3717;19;3553;348;1621;3956;3162;596;5816;526;728;1043;1230;6546;729230;2829;356;6556;2833;1235;1237;3718;6891;10672;147138;245972;5027;6363;55013</t>
  </si>
  <si>
    <t>SLC31A2;PRKCB;LCK;PTPRC;CCL5;CCR7;PTGER4;STAT1;PIK3CG;CCR4;CCR5;HK3;TAP1;C3AR1;AQP9;JAK2;ABCA1;IL1B;APOE;DBH;LGALS1;HMOX1;BCL2;PVALB;ATP6V1B2;C5AR1;CD52;CCR1;SLC8A1;CCR2;XCR1;FASLG;SLC11A1;CXCR3;CCR6;CCR8;JAK3;TAP2;GNA13;TMC8;ATP6V0D2;P2RX7;CCL19;MCUB</t>
  </si>
  <si>
    <t>http://www.broadinstitute.org/gsea/msigdb/cards/GO_CHEMICAL_HOMEOSTASIS.html</t>
  </si>
  <si>
    <t>GO_WOUND_HEALING</t>
  </si>
  <si>
    <t>5579;3932;5341;3659;959;2207;5294;391;3937;139818;83706;81704;23533;10019;3717;2162;3553;2811;3162;3936;2113;7454;6556;54331;11009;10672;146850;120425;10077;5027;64805</t>
  </si>
  <si>
    <t>PRKCB;LCK;PLEK;IRF1;CD40LG;FCER1G;PIK3CG;RHOG;LCP2;DOCK11;FERMT3;DOCK8;PIK3R5;SH2B3;JAK2;F13A1;IL1B;GP1BA;HMOX1;LCP1;ETS1;WAS;SLC11A1;GNG2;IL24;GNA13;PIK3R6;JAML;TSPAN32;P2RX7;P2RY12</t>
  </si>
  <si>
    <t>http://www.broadinstitute.org/gsea/msigdb/cards/GO_WOUND_HEALING.html</t>
  </si>
  <si>
    <t>GO_INTRACELLULAR_VESICLE</t>
  </si>
  <si>
    <t>4210;7456;8676;972;1536;3689;3055;2209;5551;653361;1493;11151;695;6504;4689;257106;9332;55016;2210;115362;23048;84174;51284;51393;19;2162;3553;3122;3117;348;3115;3120;1508;1621;5552;4688;3113;526;728;4481;356;6556;8905;1601;10672;10457;3123;3127;55704;245972;23312;51762;23166;1522;4644</t>
  </si>
  <si>
    <t>MEFV;WIPF1;STX11;CD74;CYBB;ITGB2;HCK;FCGR1A;PRF1;NCF1;CTLA4;CORO1A;BTK;SLAMF1;NCF4;ARHGAP30;CD163;MARCH1;FCGR1B;GBP5;FNBP1;SLA2;TLR7;TRPV2;ABCA1;F13A1;IL1B;HLA-DRA;HLA-DQA1;APOE;HLA-DPB1;HLA-DQB2;CTSB;DBH;SRGN;NCF2;HLA-DPA1;ATP6V1B2;C5AR1;MSR1;FASLG;SLC11A1;AP1S2;DAB2;GNA13;GPNMB;HLA-DRB1;HLA-DRB5;CCDC88A;ATP6V0D2;DMXL2;RAB8B;STAB1;CTSZ;MYO5A</t>
  </si>
  <si>
    <t>http://www.broadinstitute.org/gsea/msigdb/cards/GO_INTRACELLULAR_VESICLE.html</t>
  </si>
  <si>
    <t>GO_RESPONSE_TO_PROTOZOAN</t>
  </si>
  <si>
    <t>3458;3394;3662;6693;3586;6556;116071;10077;64581</t>
  </si>
  <si>
    <t>IFNG;IRF8;IRF4;SPN;IL10;SLC11A1;BATF2;TSPAN32;CLEC7A</t>
  </si>
  <si>
    <t>http://www.broadinstitute.org/gsea/msigdb/cards/GO_RESPONSE_TO_PROTOZOAN.html</t>
  </si>
  <si>
    <t>GO_PROTEIN_PHOSPHORYLATION</t>
  </si>
  <si>
    <t>2533;9535;3559;5579;3932;1436;3055;2268;6352;3560;959;3561;1439;5734;2322;3594;7535;5294;1234;695;3702;9459;54899;64926;11184;59067;55589;51284;51225;10870;7099;3717;6793;3553;596;6776;3718;4208;11009;814;25780;115727;5027;6363;4215;54861</t>
  </si>
  <si>
    <t>FYB1;GMFG;IL2RA;PRKCB;LCK;CSF1R;HCK;FGR;CCL5;IL2RB;CD40LG;IL2RG;CSF2RB;PTGER4;FLT3;IL12RB1;ZAP70;PIK3CG;CCR5;BTK;ITK;ARHGEF6;PXK;RASAL3;MAP4K1;IL21;BMP2K;TLR7;ABI3;HCST;TLR4;JAK2;STK10;IL1B;BCL2;STAT5A;JAK3;MEF2C;IL24;CAMK4;RASGRP3;RASGRP4;P2RX7;CCL19;MAP3K3;SNRK</t>
  </si>
  <si>
    <t>http://www.broadinstitute.org/gsea/msigdb/cards/GO_PROTEIN_PHOSPHORYLATION.html</t>
  </si>
  <si>
    <t>GO_HEMOSTASIS</t>
  </si>
  <si>
    <t>5579;3932;5341;3659;959;2207;5294;391;2313;3937;139818;83706;81704;23533;10019;3717;2162;2811;7454;54331;10672;146850;10077;5027;64805</t>
  </si>
  <si>
    <t>PRKCB;LCK;PLEK;IRF1;CD40LG;FCER1G;PIK3CG;RHOG;FLI1;LCP2;DOCK11;FERMT3;DOCK8;PIK3R5;SH2B3;JAK2;F13A1;GP1BA;WAS;GNG2;GNA13;PIK3R6;TSPAN32;P2RX7;P2RY12</t>
  </si>
  <si>
    <t>http://www.broadinstitute.org/gsea/msigdb/cards/GO_HEMOSTASIS.html</t>
  </si>
  <si>
    <t>2533;9535;3559;5579;3932;1436;3055;2268;940;6352;3560;959;3561;1439;941;5734;2322;942;3594;7535;5294;1234;3101;695;3702;9459;50852;54899;64926;23533;11184;59067;55589;51284;51225;10870;7099;3717;6793;3553;596;4261;6776;3718;4208;11009;814;146850;25780;115727;5027;6363;4215;54861</t>
  </si>
  <si>
    <t>FYB1;GMFG;IL2RA;PRKCB;LCK;CSF1R;HCK;FGR;CD28;CCL5;IL2RB;CD40LG;IL2RG;CSF2RB;CD80;PTGER4;FLT3;CD86;IL12RB1;ZAP70;PIK3CG;CCR5;HK3;BTK;ITK;ARHGEF6;TRAT1;PXK;RASAL3;PIK3R5;MAP4K1;IL21;BMP2K;TLR7;ABI3;HCST;TLR4;JAK2;STK10;IL1B;BCL2;CIITA;STAT5A;JAK3;MEF2C;IL24;CAMK4;PIK3R6;RASGRP3;RASGRP4;P2RX7;CCL19;MAP3K3;SNRK</t>
  </si>
  <si>
    <t>http://www.broadinstitute.org/gsea/msigdb/cards/GO_PHOSPHORYLATION.html</t>
  </si>
  <si>
    <t>GO_EXTRACELLULAR_SPACE</t>
  </si>
  <si>
    <t>4242;9450;10068;3458;712;713;714;3627;929;6351;6352;959;944;4283;3603;10875;10288;59067;10673;6373;8742;19;2162;4049;3553;348;341;1508;3956;3162;1435;240;5552;3684;6037;54;3936;6693;4481;3586;10578;356;4050;3604;4240;55911;11009;7941;10148;3127;85464;25890;147138;23312;10507;145864;6363;1522</t>
  </si>
  <si>
    <t>MFNG;LY86;IL18BP;IFNG;C1QA;C1QB;C1QC;CXCL10;CD14;CCL4;CCL5;CD40LG;TNFSF8;CXCL9;IL16;FGL2;LILRB2;IL21;TNFSF13B;CXCL11;TNFSF12;ABCA1;F13A1;LTA;IL1B;APOE;APOC1;CTSB;LGALS1;HMOX1;CSF1;ALOX5;SRGN;ITGAM;RNASE3;ACP5;LCP1;SPN;MSR1;IL10;GNLY;FASLG;LTB;TNFRSF9;MFGE8;APOBR;IL24;PLA2G7;EBI3;HLA-DRB5;SSH2;ABI3BP;TMC8;DMXL2;SEMA4D;HAPLN3;CCL19;CTSZ</t>
  </si>
  <si>
    <t>http://www.broadinstitute.org/gsea/msigdb/cards/GO_EXTRACELLULAR_SPACE.html</t>
  </si>
  <si>
    <t>GO_REGULATION_OF_HOMEOSTATIC_PROCESS</t>
  </si>
  <si>
    <t>3559;920;3627;972;3932;1436;5788;6352;6688;2207;11151;1236;5734;1234;3071;4283;3635;6373;3553;596;2113;6546;729230;2833;3123;3127;5027;6363;4644;9935</t>
  </si>
  <si>
    <t>IL2RA;CD4;CXCL10;CD74;LCK;CSF1R;PTPRC;CCL5;SPI1;FCER1G;CORO1A;CCR7;PTGER4;CCR5;NCKAP1L;CXCL9;INPP5D;CXCL11;IL1B;BCL2;ETS1;SLC8A1;CCR2;CXCR3;HLA-DRB1;HLA-DRB5;P2RX7;CCL19;MYO5A;MAFB</t>
  </si>
  <si>
    <t>http://www.broadinstitute.org/gsea/msigdb/cards/GO_REGULATION_OF_HOMEOSTATIC_PROCESS.html</t>
  </si>
  <si>
    <t>GO_CYTOKINE_ACTIVITY</t>
  </si>
  <si>
    <t>3458;3627;6351;6352;959;944;4283;3603;59067;10673;6373;8742;4049;3553;1435;3586;356;4050;11009;10148;6363</t>
  </si>
  <si>
    <t>IFNG;CXCL10;CCL4;CCL5;CD40LG;TNFSF8;CXCL9;IL16;IL21;TNFSF13B;CXCL11;TNFSF12;LTA;IL1B;CSF1;IL10;FASLG;LTB;IL24;EBI3;CCL19</t>
  </si>
  <si>
    <t>http://www.broadinstitute.org/gsea/msigdb/cards/GO_CYTOKINE_ACTIVITY.html</t>
  </si>
  <si>
    <t>GO_POSITIVE_REGULATION_OF_BIOSYNTHETIC_PROCESS</t>
  </si>
  <si>
    <t>9839;3458;920;3627;915;3689;5579;916;940;3659;6352;6688;959;1236;944;941;5734;942;6772;199;391;2313;3394;695;10320;3662;719;84166;8477;150372;114548;51744;59067;58484;51311;51284;30009;7099;3717;4094;19;8320;3553;348;5452;3162;4066;3059;2113;6693;3586;5724;943;4261;729230;6556;2833;1601;4208;4050;7185;10148;814;80709;6363;50943;64919;22806;9935</t>
  </si>
  <si>
    <t>ZEB2;IFNG;CD4;CXCL10;CD3D;ITGB2;PRKCB;CD3E;CD28;IRF1;CCL5;SPI1;CD40LG;CCR7;TNFSF8;CD80;PTGER4;CD86;STAT1;AIF1;RHOG;FLI1;IRF8;BTK;IKZF1;IRF4;C3AR1;NLRC5;GPR65;NFAM1;NLRP3;CD244;IL21;NLRC4;TLR8;TLR7;TBX21;TLR4;JAK2;MAF;ABCA1;EOMES;IL1B;APOE;POU2F2;HMOX1;LYL1;HCLS1;ETS1;SPN;IL10;PTAFR;TNFRSF8;CIITA;CCR2;SLC11A1;CXCR3;DAB2;MEF2C;LTB;TRAF1;EBI3;CAMK4;AKNA;CCL19;FOXP3;BCL11B;IKZF3;MAFB</t>
  </si>
  <si>
    <t>http://www.broadinstitute.org/gsea/msigdb/cards/GO_POSITIVE_REGULATION_OF_BIOSYNTHETIC_PROCESS.html</t>
  </si>
  <si>
    <t>GO_NEGATIVE_T_CELL_SELECTION</t>
  </si>
  <si>
    <t>972;916;940;1236;7535;387357;1794;6693</t>
  </si>
  <si>
    <t>CD74;CD3E;CD28;CCR7;ZAP70;THEMIS;DOCK2;SPN</t>
  </si>
  <si>
    <t>http://www.broadinstitute.org/gsea/msigdb/cards/GO_NEGATIVE_T_CELL_SELECTION.html</t>
  </si>
  <si>
    <t>GO_PROTEIN_HOMODIMERIZATION_ACTIVITY</t>
  </si>
  <si>
    <t>259197;920;925;713;914;1436;5341;3001;6352;919;11151;2322;6772;6890;10666;5800;201633;64170;58484;225;27306;6793;56253;348;3956;3162;1435;596;5816;729230;6556;597;55704;120425;168537;5027;50943;22806;22900</t>
  </si>
  <si>
    <t>NCR3;CD4;CD8A;C1QB;CD2;CSF1R;PLEK;GZMA;CCL5;CD247;CORO1A;FLT3;STAT1;TAP1;CD226;PTPRO;TIGIT;CARD9;NLRC4;ABCD2;HPGDS;STK10;CRTAM;APOE;LGALS1;HMOX1;CSF1;BCL2;PVALB;CCR2;SLC11A1;BCL2A1;CCDC88A;JAML;GIMAP7;P2RX7;FOXP3;IKZF3;CARD8</t>
  </si>
  <si>
    <t>http://www.broadinstitute.org/gsea/msigdb/cards/GO_PROTEIN_HOMODIMERIZATION_ACTIVITY.html</t>
  </si>
  <si>
    <t>GO_DENDRITIC_CELL_MIGRATION</t>
  </si>
  <si>
    <t>6352;1236;5294;1234;81704;1230;729230;1235;6363</t>
  </si>
  <si>
    <t>CCL5;CCR7;PIK3CG;CCR5;DOCK8;CCR1;CCR2;CCR6;CCL19</t>
  </si>
  <si>
    <t>http://www.broadinstitute.org/gsea/msigdb/cards/GO_DENDRITIC_CELL_MIGRATION.html</t>
  </si>
  <si>
    <t>GO_POSITIVE_REGULATION_OF_SECRETION</t>
  </si>
  <si>
    <t>3458;914;1436;929;2268;2207;5734;7535;6504;93978;84868;114548;51744;2219;3717;56253;3553;3586;5724;729230;3123;3127;51762;5027;6363;29126;22900</t>
  </si>
  <si>
    <t>IFNG;CD2;CSF1R;CD14;FGR;FCER1G;PTGER4;ZAP70;SLAMF1;CLEC6A;HAVCR2;NLRP3;CD244;FCN1;JAK2;CRTAM;IL1B;IL10;PTAFR;CCR2;HLA-DRB1;HLA-DRB5;RAB8B;P2RX7;CCL19;CD274;CARD8</t>
  </si>
  <si>
    <t>http://www.broadinstitute.org/gsea/msigdb/cards/GO_POSITIVE_REGULATION_OF_SECRETION.html</t>
  </si>
  <si>
    <t>GO_NEGATIVE_REGULATION_OF_IMMUNE_EFFECTOR_PROCESS</t>
  </si>
  <si>
    <t>3559;5788;3575;1378;6890;6504;84868;11314;8832;3162;6693;3586;729230;3718;50943</t>
  </si>
  <si>
    <t>IL2RA;PTPRC;IL7R;CR1;TAP1;SLAMF1;HAVCR2;CD300A;CD84;HMOX1;SPN;IL10;CCR2;JAK3;FOXP3</t>
  </si>
  <si>
    <t>http://www.broadinstitute.org/gsea/msigdb/cards/GO_NEGATIVE_REGULATION_OF_IMMUNE_EFFECTOR_PROCESS.html</t>
  </si>
  <si>
    <t>GO_CELLULAR_RESPONSE_TO_LIPID</t>
  </si>
  <si>
    <t>3458;3627;929;3055;6352;7133;923;941;5734;2322;942;1234;3394;10288;84868;114548;4064;2672;730249;7099;3717;19;3553;3586;4360;5724;6753;54331;4208;11009</t>
  </si>
  <si>
    <t>IFNG;CXCL10;CD14;HCK;CCL5;TNFRSF1B;CD6;CD80;PTGER4;FLT3;CD86;CCR5;IRF8;LILRB2;HAVCR2;NLRP3;CD180;GFI1;ACOD1;TLR4;JAK2;ABCA1;IL1B;IL10;MRC1;PTAFR;SSTR3;GNG2;MEF2C;IL24</t>
  </si>
  <si>
    <t>http://www.broadinstitute.org/gsea/msigdb/cards/GO_CELLULAR_RESPONSE_TO_LIPID.html</t>
  </si>
  <si>
    <t>GO_POSITIVE_REGULATION_OF_INTERLEUKIN_4_PRODUCTION</t>
  </si>
  <si>
    <t>54440;916;940;959;942;3662;84868;114548;50943</t>
  </si>
  <si>
    <t>SASH3;CD3E;CD28;CD40LG;CD86;IRF4;HAVCR2;NLRP3;FOXP3</t>
  </si>
  <si>
    <t>http://www.broadinstitute.org/gsea/msigdb/cards/GO_POSITIVE_REGULATION_OF_INTERLEUKIN_4_PRODUCTION.html</t>
  </si>
  <si>
    <t>GO_CELL_LEADING_EDGE</t>
  </si>
  <si>
    <t>4210;7456;9051;5341;2268;11151;199;9459;5800;388325;221472;81704;64092;51225;51393;3936;3737;526;57514;55704;89846;10235;54518;30817;51466;4644</t>
  </si>
  <si>
    <t>MEFV;WIPF1;PSTPIP1;PLEK;FGR;CORO1A;AIF1;ARHGEF6;PTPRO;SCIMP;FGD2;DOCK8;SAMSN1;ABI3;TRPV2;LCP1;KCNA2;ATP6V1B2;ARHGAP31;CCDC88A;FGD3;RASGRP2;APBB1IP;ADGRE2;EVL;MYO5A</t>
  </si>
  <si>
    <t>http://www.broadinstitute.org/gsea/msigdb/cards/GO_CELL_LEADING_EDGE.html</t>
  </si>
  <si>
    <t>GO_LYTIC_VACUOLE_MEMBRANE</t>
  </si>
  <si>
    <t>972;7805;51296;55016;53346;51311;51284;3122;3117;3115;3120;3111;3112;3113;526;3108;3109;8905;1601;3123;3127;206358;59345</t>
  </si>
  <si>
    <t>CD74;LAPTM5;SLC15A3;MARCH1;TM6SF1;TLR8;TLR7;HLA-DRA;HLA-DQA1;HLA-DPB1;HLA-DQB2;HLA-DOA;HLA-DOB;HLA-DPA1;ATP6V1B2;HLA-DMA;HLA-DMB;AP1S2;DAB2;HLA-DRB1;HLA-DRB5;SLC36A1;GNB4</t>
  </si>
  <si>
    <t>http://www.broadinstitute.org/gsea/msigdb/cards/GO_LYTIC_VACUOLE_MEMBRANE.html</t>
  </si>
  <si>
    <t>GO_REGULATION_OF_MYELOID_CELL_DIFFERENTIATION</t>
  </si>
  <si>
    <t>7305;11025;3458;714;1436;6352;6688;3071;11006;3635;7099;29909;1435;3059;2113;1230;4208;814;9935</t>
  </si>
  <si>
    <t>TYROBP;LILRB3;IFNG;C1QC;CSF1R;CCL5;SPI1;NCKAP1L;LILRB4;INPP5D;TLR4;GPR171;CSF1;HCLS1;ETS1;CCR1;MEF2C;CAMK4;MAFB</t>
  </si>
  <si>
    <t>http://www.broadinstitute.org/gsea/msigdb/cards/GO_REGULATION_OF_MYELOID_CELL_DIFFERENTIATION.html</t>
  </si>
  <si>
    <t>GO_DENDRITIC_CELL_DIFFERENTIATION</t>
  </si>
  <si>
    <t>6688;1236;2322;942;3662;54209;10537;814;116071;6363</t>
  </si>
  <si>
    <t>SPI1;CCR7;FLT3;CD86;IRF4;TREM2;UBD;CAMK4;BATF2;CCL19</t>
  </si>
  <si>
    <t>http://www.broadinstitute.org/gsea/msigdb/cards/GO_DENDRITIC_CELL_DIFFERENTIATION.html</t>
  </si>
  <si>
    <t>GO_REGULATION_OF_ALPHA_BETA_T_CELL_PROLIFERATION</t>
  </si>
  <si>
    <t>916;940;3659;941;7535;64926;51744;729230;10148</t>
  </si>
  <si>
    <t>CD3E;CD28;IRF1;CD80;ZAP70;RASAL3;CD244;CCR2;EBI3</t>
  </si>
  <si>
    <t>http://www.broadinstitute.org/gsea/msigdb/cards/GO_REGULATION_OF_ALPHA_BETA_T_CELL_PROLIFERATION.html</t>
  </si>
  <si>
    <t>GO_THYMOCYTE_AGGREGATION</t>
  </si>
  <si>
    <t>972;915;916;940;1236;7535;1794;596;6693;64919;9935</t>
  </si>
  <si>
    <t>CD74;CD3D;CD3E;CD28;CCR7;ZAP70;DOCK2;BCL2;SPN;BCL11B;MAFB</t>
  </si>
  <si>
    <t>http://www.broadinstitute.org/gsea/msigdb/cards/GO_THYMOCYTE_AGGREGATION.html</t>
  </si>
  <si>
    <t>GO_NEGATIVE_REGULATION_OF_DEFENSE_RESPONSE</t>
  </si>
  <si>
    <t>4210;3559;1378;7133;5734;6890;79626;84166;84868;114548;730249;348;54;2113;6693;3586;50943</t>
  </si>
  <si>
    <t>MEFV;IL2RA;CR1;TNFRSF1B;PTGER4;TAP1;TNFAIP8L2;NLRC5;HAVCR2;NLRP3;ACOD1;APOE;ACP5;ETS1;SPN;IL10;FOXP3</t>
  </si>
  <si>
    <t>http://www.broadinstitute.org/gsea/msigdb/cards/GO_NEGATIVE_REGULATION_OF_DEFENSE_RESPONSE.html</t>
  </si>
  <si>
    <t>GO_NEGATIVE_REGULATION_OF_INTERLEUKIN_12_PRODUCTION</t>
  </si>
  <si>
    <t>4210;6504;201633;1240;54;3586;3718;3604</t>
  </si>
  <si>
    <t>MEFV;SLAMF1;TIGIT;CMKLR1;ACP5;IL10;JAK3;TNFRSF9</t>
  </si>
  <si>
    <t>http://www.broadinstitute.org/gsea/msigdb/cards/GO_NEGATIVE_REGULATION_OF_INTERLEUKIN_12_PRODUCTION.html</t>
  </si>
  <si>
    <t>GO_REGULATION_OF_CALCIUM_ION_TRANSPORT</t>
  </si>
  <si>
    <t>920;3627;6351;6352;11151;5294;4283;10288;8832;51393;6373;7439;596;1230;6546;2833;3718;5027;64805;4644</t>
  </si>
  <si>
    <t>CD4;CXCL10;CCL4;CCL5;CORO1A;PIK3CG;CXCL9;LILRB2;CD84;TRPV2;CXCL11;BEST1;BCL2;CCR1;SLC8A1;CXCR3;JAK3;P2RX7;P2RY12;MYO5A</t>
  </si>
  <si>
    <t>http://www.broadinstitute.org/gsea/msigdb/cards/GO_REGULATION_OF_CALCIUM_ION_TRANSPORT.html</t>
  </si>
  <si>
    <t>GO_REGULATION_OF_PROTEIN_LOCALIZATION</t>
  </si>
  <si>
    <t>3458;914;1436;929;2268;6036;6352;3687;959;1236;2633;5734;391;6504;8514;93978;374403;84868;114548;51744;51311;51284;54209;7099;2219;3717;56253;3553;5552;3002;596;3936;3059;3586;729230;1601;3604;8809;3123;3127;5027;6363;50943;29126;22900</t>
  </si>
  <si>
    <t>IFNG;CD2;CSF1R;CD14;FGR;RNASE2;CCL5;ITGAX;CD40LG;CCR7;GBP1;PTGER4;RHOG;SLAMF1;KCNAB2;CLEC6A;TBC1D10C;HAVCR2;NLRP3;CD244;TLR8;TLR7;TREM2;TLR4;FCN1;JAK2;CRTAM;IL1B;SRGN;GZMB;BCL2;LCP1;HCLS1;IL10;CCR2;DAB2;TNFRSF9;IL18R1;HLA-DRB1;HLA-DRB5;P2RX7;CCL19;FOXP3;CD274;CARD8</t>
  </si>
  <si>
    <t>http://www.broadinstitute.org/gsea/msigdb/cards/GO_REGULATION_OF_PROTEIN_LOCALIZATION.html</t>
  </si>
  <si>
    <t>GO_REGULATION_OF_I_KAPPAB_KINASE_NF_KAPPAB_SIGNALING</t>
  </si>
  <si>
    <t>80833;5579;1236;6772;399;93978;197358;114548;64170;51284;7099;10537;3553;3956;3162;3586;356;8809;6363;4215;22900</t>
  </si>
  <si>
    <t>APOL3;PRKCB;CCR7;STAT1;RHOH;CLEC6A;NLRC3;NLRP3;CARD9;TLR7;TLR4;UBD;IL1B;LGALS1;HMOX1;IL10;FASLG;IL18R1;CCL19;MAP3K3;CARD8</t>
  </si>
  <si>
    <t>http://www.broadinstitute.org/gsea/msigdb/cards/GO_REGULATION_OF_I_KAPPAB_KINASE_NF_KAPPAB_SIGNALING.html</t>
  </si>
  <si>
    <t>GO_LEUKOCYTE_HOMEOSTASIS</t>
  </si>
  <si>
    <t>3458;3559;11151;2322;3071;84636;596;3718;4208;202309;5027;50943</t>
  </si>
  <si>
    <t>IFNG;IL2RA;CORO1A;FLT3;NCKAP1L;GPR174;BCL2;JAK3;MEF2C;GAPT;P2RX7;FOXP3</t>
  </si>
  <si>
    <t>http://www.broadinstitute.org/gsea/msigdb/cards/GO_LEUKOCYTE_HOMEOSTASIS.html</t>
  </si>
  <si>
    <t>GO_REGULATION_OF_NATURAL_KILLER_CELL_MEDIATED_IMMUNITY</t>
  </si>
  <si>
    <t>259197;4068;6890;10666;84868;114836;59067;56253;3902;146850</t>
  </si>
  <si>
    <t>NCR3;SH2D1A;TAP1;CD226;HAVCR2;SLAMF6;IL21;CRTAM;LAG3;PIK3R6</t>
  </si>
  <si>
    <t>http://www.broadinstitute.org/gsea/msigdb/cards/GO_REGULATION_OF_NATURAL_KILLER_CELL_MEDIATED_IMMUNITY.html</t>
  </si>
  <si>
    <t>GO_CELL_RECOGNITION</t>
  </si>
  <si>
    <t>259197;5551;923;11151;1236;10666;201633;81704;1794;2219;56253;921;4240;84329;6363;64581;30835</t>
  </si>
  <si>
    <t>NCR3;PRF1;CD6;CORO1A;CCR7;CD226;TIGIT;DOCK8;DOCK2;FCN1;CRTAM;CD5;MFGE8;HVCN1;CCL19;CLEC7A;CD209</t>
  </si>
  <si>
    <t>http://www.broadinstitute.org/gsea/msigdb/cards/GO_CELL_RECOGNITION.html</t>
  </si>
  <si>
    <t>GO_DENDRITIC_CELL_CHEMOTAXIS</t>
  </si>
  <si>
    <t>6352;1236;5294;1234;1230;729230;1235;6363</t>
  </si>
  <si>
    <t>CCL5;CCR7;PIK3CG;CCR5;CCR1;CCR2;CCR6;CCL19</t>
  </si>
  <si>
    <t>http://www.broadinstitute.org/gsea/msigdb/cards/GO_DENDRITIC_CELL_CHEMOTAXIS.html</t>
  </si>
  <si>
    <t>GO_REGULATION_OF_BODY_FLUID_LEVELS</t>
  </si>
  <si>
    <t>5579;3932;5341;3659;959;2207;5734;7535;5294;391;2313;3937;5800;139818;83706;81704;23533;10019;7099;3717;2162;348;2811;6776;7454;54331;10672;146850;10077;5027;64805</t>
  </si>
  <si>
    <t>PRKCB;LCK;PLEK;IRF1;CD40LG;FCER1G;PTGER4;ZAP70;PIK3CG;RHOG;FLI1;LCP2;PTPRO;DOCK11;FERMT3;DOCK8;PIK3R5;SH2B3;TLR4;JAK2;F13A1;APOE;GP1BA;STAT5A;WAS;GNG2;GNA13;PIK3R6;TSPAN32;P2RX7;P2RY12</t>
  </si>
  <si>
    <t>http://www.broadinstitute.org/gsea/msigdb/cards/GO_REGULATION_OF_BODY_FLUID_LEVELS.html</t>
  </si>
  <si>
    <t>GO_CLATHRIN_COATED_ENDOCYTIC_VESICLE_MEMBRANE</t>
  </si>
  <si>
    <t>972;2209;2210;3122;3117;3115;3120;3113;8905;3123;3127</t>
  </si>
  <si>
    <t>CD74;FCGR1A;FCGR1B;HLA-DRA;HLA-DQA1;HLA-DPB1;HLA-DQB2;HLA-DPA1;AP1S2;HLA-DRB1;HLA-DRB5</t>
  </si>
  <si>
    <t>http://www.broadinstitute.org/gsea/msigdb/cards/GO_CLATHRIN_COATED_ENDOCYTIC_VESICLE_MEMBRANE.html</t>
  </si>
  <si>
    <t>GO_LYMPHOCYTE_MIGRATION</t>
  </si>
  <si>
    <t>3627;6352;3695;1236;7535;5294;30009;6373;729230;2833;6363</t>
  </si>
  <si>
    <t>CXCL10;CCL5;ITGB7;CCR7;ZAP70;PIK3CG;TBX21;CXCL11;CCR2;CXCR3;CCL19</t>
  </si>
  <si>
    <t>http://www.broadinstitute.org/gsea/msigdb/cards/GO_LYMPHOCYTE_MIGRATION.html</t>
  </si>
  <si>
    <t>GO_REGULATION_OF_OSTEOCLAST_DIFFERENTIATION</t>
  </si>
  <si>
    <t>7305;11025;3458;1436;6352;11006;3635;7099;1435;1230;814;9935</t>
  </si>
  <si>
    <t>TYROBP;LILRB3;IFNG;CSF1R;CCL5;LILRB4;INPP5D;TLR4;CSF1;CCR1;CAMK4;MAFB</t>
  </si>
  <si>
    <t>http://www.broadinstitute.org/gsea/msigdb/cards/GO_REGULATION_OF_OSTEOCLAST_DIFFERENTIATION.html</t>
  </si>
  <si>
    <t>GO_MYELOID_DENDRITIC_CELL_ACTIVATION</t>
  </si>
  <si>
    <t>6688;942;6504;3662;1794;51744;10537;814;116071</t>
  </si>
  <si>
    <t>SPI1;CD86;SLAMF1;IRF4;DOCK2;CD244;UBD;CAMK4;BATF2</t>
  </si>
  <si>
    <t>http://www.broadinstitute.org/gsea/msigdb/cards/GO_MYELOID_DENDRITIC_CELL_ACTIVATION.html</t>
  </si>
  <si>
    <t>GO_POSITIVE_REGULATION_OF_ALPHA_BETA_T_CELL_DIFFERENTIATION</t>
  </si>
  <si>
    <t>54440;3458;941;942;3594;7535;3071;114548;6363;50943</t>
  </si>
  <si>
    <t>SASH3;IFNG;CD80;CD86;IL12RB1;ZAP70;NCKAP1L;NLRP3;CCL19;FOXP3</t>
  </si>
  <si>
    <t>http://www.broadinstitute.org/gsea/msigdb/cards/GO_POSITIVE_REGULATION_OF_ALPHA_BETA_T_CELL_DIFFERENTIATION.html</t>
  </si>
  <si>
    <t>GO_B_CELL_PROLIFERATION</t>
  </si>
  <si>
    <t>5788;3575;959;4064;23228;7099;596;3586;4208;202309</t>
  </si>
  <si>
    <t>PTPRC;IL7R;CD40LG;CD180;PLCL2;TLR4;BCL2;IL10;MEF2C;GAPT</t>
  </si>
  <si>
    <t>http://www.broadinstitute.org/gsea/msigdb/cards/GO_B_CELL_PROLIFERATION.html</t>
  </si>
  <si>
    <t>GO_CORECEPTOR_ACTIVITY</t>
  </si>
  <si>
    <t>10663;920;925;940;3676;941;942;1234;926;1237</t>
  </si>
  <si>
    <t>CXCR6;CD4;CD8A;CD28;ITGA4;CD80;CD86;CCR5;CD8B;CCR8</t>
  </si>
  <si>
    <t>http://www.broadinstitute.org/gsea/msigdb/cards/GO_CORECEPTOR_ACTIVITY.html</t>
  </si>
  <si>
    <t>GO_CLATHRIN_COATED_ENDOCYTIC_VESICLE</t>
  </si>
  <si>
    <t>972;2209;1493;2210;3122;3117;3115;3120;3113;8905;3123;3127</t>
  </si>
  <si>
    <t>CD74;FCGR1A;CTLA4;FCGR1B;HLA-DRA;HLA-DQA1;HLA-DPB1;HLA-DQB2;HLA-DPA1;AP1S2;HLA-DRB1;HLA-DRB5</t>
  </si>
  <si>
    <t>http://www.broadinstitute.org/gsea/msigdb/cards/GO_CLATHRIN_COATED_ENDOCYTIC_VESICLE.html</t>
  </si>
  <si>
    <t>GO_POSITIVE_REGULATION_OF_CD4_POSITIVE_ALPHA_BETA_T_CELL_ACTIVATION</t>
  </si>
  <si>
    <t>54440;3458;941;942;3594;3071;114548;6363;50943</t>
  </si>
  <si>
    <t>SASH3;IFNG;CD80;CD86;IL12RB1;NCKAP1L;NLRP3;CCL19;FOXP3</t>
  </si>
  <si>
    <t>http://www.broadinstitute.org/gsea/msigdb/cards/GO_POSITIVE_REGULATION_OF_CD4_POSITIVE_ALPHA_BETA_T_CELL_ACTIVATION.html</t>
  </si>
  <si>
    <t>GO_PHOSPHATE_CONTAINING_COMPOUND_METABOLIC_PROCESS</t>
  </si>
  <si>
    <t>2533;9535;3559;5579;3932;1436;5341;5788;3055;2268;940;6352;3560;959;3561;1439;941;5778;5734;2322;942;3594;7535;5294;1234;3101;4354;695;3702;8514;9459;5800;50852;54899;64926;23533;3635;11184;59067;55589;51284;51225;10870;7099;8564;3717;6793;3553;596;54;526;5724;4261;6776;3718;4208;11009;814;146850;85464;25780;80821;115727;132160;5027;6363;4215;54861;26279;8605;25939</t>
  </si>
  <si>
    <t>FYB1;GMFG;IL2RA;PRKCB;LCK;CSF1R;PLEK;PTPRC;HCK;FGR;CD28;CCL5;IL2RB;CD40LG;IL2RG;CSF2RB;CD80;PTPN7;PTGER4;FLT3;CD86;IL12RB1;ZAP70;PIK3CG;CCR5;HK3;MPP1;BTK;ITK;KCNAB2;ARHGEF6;PTPRO;TRAT1;PXK;RASAL3;PIK3R5;INPP5D;MAP4K1;IL21;BMP2K;TLR7;ABI3;HCST;TLR4;KMO;JAK2;STK10;IL1B;BCL2;ACP5;ATP6V1B2;PTAFR;CIITA;STAT5A;JAK3;MEF2C;IL24;CAMK4;PIK3R6;SSH2;RASGRP3;DDHD1;RASGRP4;PPM1M;P2RX7;CCL19;MAP3K3;SNRK;PLA2G2D;PLA2G4C;SAMHD1</t>
  </si>
  <si>
    <t>http://www.broadinstitute.org/gsea/msigdb/cards/GO_PHOSPHATE_CONTAINING_COMPOUND_METABOLIC_PROCESS.html</t>
  </si>
  <si>
    <t>GO_B_CELL_MEDIATED_IMMUNITY</t>
  </si>
  <si>
    <t>712;713;714;972;1378;959;2207;3635;84174;51311;5452;3123;3127;202309</t>
  </si>
  <si>
    <t>C1QA;C1QB;C1QC;CD74;CR1;CD40LG;FCER1G;INPP5D;SLA2;TLR8;POU2F2;HLA-DRB1;HLA-DRB5;GAPT</t>
  </si>
  <si>
    <t>http://www.broadinstitute.org/gsea/msigdb/cards/GO_B_CELL_MEDIATED_IMMUNITY.html</t>
  </si>
  <si>
    <t>GO_NEGATIVE_REGULATION_OF_T_CELL_PROLIFERATION</t>
  </si>
  <si>
    <t>3559;10288;84868;80380;6693;3586;3123;3127;50943;29126;26279</t>
  </si>
  <si>
    <t>IL2RA;LILRB2;HAVCR2;PDCD1LG2;SPN;IL10;HLA-DRB1;HLA-DRB5;FOXP3;CD274;PLA2G2D</t>
  </si>
  <si>
    <t>http://www.broadinstitute.org/gsea/msigdb/cards/GO_NEGATIVE_REGULATION_OF_T_CELL_PROLIFERATION.html</t>
  </si>
  <si>
    <t>GO_MEMBRANE_REGION</t>
  </si>
  <si>
    <t>920;3932;5341;929;5788;3055;962;2268;7133;7535;199;695;4671;3937;10666;5800;388325;221472;374403;150372;3635;23048;9056;366;3717;7439;19;1508;3162;3936;3737;728;6518;6753;6507;356;8905;4973;1601;10672;10235;146183;245972;7462;64805;56606;9033;30817;10004</t>
  </si>
  <si>
    <t>CD4;LCK;PLEK;CD14;PTPRC;HCK;CD48;FGR;TNFRSF1B;ZAP70;AIF1;BTK;NAIP;LCP2;CD226;PTPRO;SCIMP;FGD2;TBC1D10C;NFAM1;INPP5D;FNBP1;SLC7A7;AQP9;JAK2;BEST1;ABCA1;CTSB;HMOX1;LCP1;KCNA2;C5AR1;SLC2A5;SSTR3;SLC1A3;FASLG;AP1S2;OLR1;DAB2;GNA13;RASGRP2;OTOA;ATP6V0D2;LAT2;P2RY12;SLC2A9;PKD2L1;ADGRE2;NAALADL1</t>
  </si>
  <si>
    <t>http://www.broadinstitute.org/gsea/msigdb/cards/GO_MEMBRANE_REGION.html</t>
  </si>
  <si>
    <t>GO_IMMUNOLOGICAL_SYNAPSE_FORMATION</t>
  </si>
  <si>
    <t>5551;923;11151;1236;81704;1794;6363</t>
  </si>
  <si>
    <t>PRF1;CD6;CORO1A;CCR7;DOCK8;DOCK2;CCL19</t>
  </si>
  <si>
    <t>http://www.broadinstitute.org/gsea/msigdb/cards/GO_IMMUNOLOGICAL_SYNAPSE_FORMATION.html</t>
  </si>
  <si>
    <t>GO_POSITIVE_REGULATION_OF_MAPK_CASCADE</t>
  </si>
  <si>
    <t>9839;972;1436;6351;6352;7133;959;1236;2322;5294;6504;388325;221472;84868;23533;11184;64170;57105;54209;7099;3717;3553;2357;728;1230;146850;5027;6363;4215</t>
  </si>
  <si>
    <t>ZEB2;CD74;CSF1R;CCL4;CCL5;TNFRSF1B;CD40LG;CCR7;FLT3;PIK3CG;SLAMF1;SCIMP;FGD2;HAVCR2;PIK3R5;MAP4K1;CARD9;CYSLTR2;TREM2;TLR4;JAK2;IL1B;FPR1;C5AR1;CCR1;PIK3R6;P2RX7;CCL19;MAP3K3</t>
  </si>
  <si>
    <t>http://www.broadinstitute.org/gsea/msigdb/cards/GO_POSITIVE_REGULATION_OF_MAPK_CASCADE.html</t>
  </si>
  <si>
    <t>GO_GUANYL_NUCLEOTIDE_EXCHANGE_FACTOR_ACTIVITY</t>
  </si>
  <si>
    <t>3559;3560;3561;1439;9459;139818;221472;117289;81704;57580;1794;23048;27128;3717;1102;3718;57589;89846;10235;25780;115727;55619;64805</t>
  </si>
  <si>
    <t>IL2RA;IL2RB;IL2RG;CSF2RB;ARHGEF6;DOCK11;FGD2;TAGAP;DOCK8;PREX1;DOCK2;FNBP1;CYTH4;JAK2;RCBTB2;JAK3;RIC1;FGD3;RASGRP2;RASGRP3;RASGRP4;DOCK10;P2RY12</t>
  </si>
  <si>
    <t>http://www.broadinstitute.org/gsea/msigdb/cards/GO_GUANYL_NUCLEOTIDE_EXCHANGE_FACTOR_ACTIVITY.html</t>
  </si>
  <si>
    <t>GO_THYMIC_T_CELL_SELECTION</t>
  </si>
  <si>
    <t>972;915;916;940;1236;7535;1794;6693</t>
  </si>
  <si>
    <t>CD74;CD3D;CD3E;CD28;CCR7;ZAP70;DOCK2;SPN</t>
  </si>
  <si>
    <t>http://www.broadinstitute.org/gsea/msigdb/cards/GO_THYMIC_T_CELL_SELECTION.html</t>
  </si>
  <si>
    <t>GO_POSITIVE_REGULATION_OF_ALPHA_BETA_T_CELL_PROLIFERATION</t>
  </si>
  <si>
    <t>916;940;941;7535;64926;51744;729230;10148</t>
  </si>
  <si>
    <t>CD3E;CD28;CD80;ZAP70;RASAL3;CD244;CCR2;EBI3</t>
  </si>
  <si>
    <t>http://www.broadinstitute.org/gsea/msigdb/cards/GO_POSITIVE_REGULATION_OF_ALPHA_BETA_T_CELL_PROLIFERATION.html</t>
  </si>
  <si>
    <t>GO_MHC_PROTEIN_COMPLEX_BINDING</t>
  </si>
  <si>
    <t>972;3122;3111;3112;3108;3109;3824;3123</t>
  </si>
  <si>
    <t>CD74;HLA-DRA;HLA-DOA;HLA-DOB;HLA-DMA;HLA-DMB;KLRD1;HLA-DRB1</t>
  </si>
  <si>
    <t>http://www.broadinstitute.org/gsea/msigdb/cards/GO_MHC_PROTEIN_COMPLEX_BINDING.html</t>
  </si>
  <si>
    <t>GO_T_CELL_DIFFERENTIATION_INVOLVED_IN_IMMUNE_RESPONSE</t>
  </si>
  <si>
    <t>3458;2207;5734;3662;114836;4063;8320;8809;338339</t>
  </si>
  <si>
    <t>IFNG;FCER1G;PTGER4;IRF4;SLAMF6;LY9;EOMES;IL18R1;CLEC4D</t>
  </si>
  <si>
    <t>http://www.broadinstitute.org/gsea/msigdb/cards/GO_T_CELL_DIFFERENTIATION_INVOLVED_IN_IMMUNE_RESPONSE.html</t>
  </si>
  <si>
    <t>GO_POSITIVE_REGULATION_OF_INTERLEUKIN_10_PRODUCTION</t>
  </si>
  <si>
    <t>54440;940;959;2207;5734;3662;201633;7099;29126</t>
  </si>
  <si>
    <t>SASH3;CD28;CD40LG;FCER1G;PTGER4;IRF4;TIGIT;TLR4;CD274</t>
  </si>
  <si>
    <t>http://www.broadinstitute.org/gsea/msigdb/cards/GO_POSITIVE_REGULATION_OF_INTERLEUKIN_10_PRODUCTION.html</t>
  </si>
  <si>
    <t>GO_LIPID_BINDING</t>
  </si>
  <si>
    <t>80833;5341;929;653361;923;695;4689;124460;221472;54899;57580;23048;64333;54209;11314;27128;7099;19;348;341;6402;241;5724;4240;7941;55704;57705;10235;25780;115727;9754;84106;5027;55803;8605</t>
  </si>
  <si>
    <t>APOL3;PLEK;CD14;NCF1;CD6;BTK;NCF4;SNX20;FGD2;PXK;PREX1;FNBP1;ARHGAP9;TREM2;CD300A;CYTH4;TLR4;ABCA1;APOE;APOC1;SELL;ALOX5AP;PTAFR;MFGE8;PLA2G7;CCDC88A;WDFY4;RASGRP2;RASGRP3;RASGRP4;STARD8;PRAM1;P2RX7;ADAP2;PLA2G4C</t>
  </si>
  <si>
    <t>http://www.broadinstitute.org/gsea/msigdb/cards/GO_LIPID_BINDING.html</t>
  </si>
  <si>
    <t>GO_REGULATION_OF_LYMPHOCYTE_APOPTOTIC_PROCESS</t>
  </si>
  <si>
    <t>972;917;6352;695;81704;3586;3718;5133;155038;5027;29126</t>
  </si>
  <si>
    <t>CD74;CD3G;CCL5;BTK;DOCK8;IL10;JAK3;PDCD1;GIMAP8;P2RX7;CD274</t>
  </si>
  <si>
    <t>http://www.broadinstitute.org/gsea/msigdb/cards/GO_REGULATION_OF_LYMPHOCYTE_APOPTOTIC_PROCESS.html</t>
  </si>
  <si>
    <t>GO_REGULATION_OF_B_CELL_MEDIATED_IMMUNITY</t>
  </si>
  <si>
    <t>3458;940;1378;2207;695;10666;30009;4049;3586;50943</t>
  </si>
  <si>
    <t>IFNG;CD28;CR1;FCER1G;BTK;CD226;TBX21;LTA;IL10;FOXP3</t>
  </si>
  <si>
    <t>http://www.broadinstitute.org/gsea/msigdb/cards/GO_REGULATION_OF_B_CELL_MEDIATED_IMMUNITY.html</t>
  </si>
  <si>
    <t>GO_PLATELET_ACTIVATION</t>
  </si>
  <si>
    <t>5579;3932;5341;959;2207;5294;391;3937;83706;23533;2811;54331;10672;146850;10077;64805</t>
  </si>
  <si>
    <t>PRKCB;LCK;PLEK;CD40LG;FCER1G;PIK3CG;RHOG;LCP2;FERMT3;PIK3R5;GP1BA;GNG2;GNA13;PIK3R6;TSPAN32;P2RY12</t>
  </si>
  <si>
    <t>http://www.broadinstitute.org/gsea/msigdb/cards/GO_PLATELET_ACTIVATION.html</t>
  </si>
  <si>
    <t>GO_NATURAL_KILLER_CELL_ACTIVATION</t>
  </si>
  <si>
    <t>3689;914;3560;11151;6504;114836;51744;50615;8809;257101;57823</t>
  </si>
  <si>
    <t>ITGB2;CD2;IL2RB;CORO1A;SLAMF1;SLAMF6;CD244;IL21R;IL18R1;ZNF683;SLAMF7</t>
  </si>
  <si>
    <t>http://www.broadinstitute.org/gsea/msigdb/cards/GO_NATURAL_KILLER_CELL_ACTIVATION.html</t>
  </si>
  <si>
    <t>GO_PROTEIN_DIMERIZATION_ACTIVITY</t>
  </si>
  <si>
    <t>259197;22797;920;925;713;915;1536;3689;914;1436;916;5341;917;3001;6352;3683;919;11151;2322;6772;6890;4689;10666;5800;201633;64170;58484;225;27306;6793;56253;348;3956;3162;1435;596;4066;5816;729230;6556;4208;597;55704;120425;168537;5027;50943;22806;22900</t>
  </si>
  <si>
    <t>NCR3;TFEC;CD4;CD8A;C1QB;CD3D;CYBB;ITGB2;CD2;CSF1R;CD3E;PLEK;CD3G;GZMA;CCL5;ITGAL;CD247;CORO1A;FLT3;STAT1;TAP1;NCF4;CD226;PTPRO;TIGIT;CARD9;NLRC4;ABCD2;HPGDS;STK10;CRTAM;APOE;LGALS1;HMOX1;CSF1;BCL2;LYL1;PVALB;CCR2;SLC11A1;MEF2C;BCL2A1;CCDC88A;JAML;GIMAP7;P2RX7;FOXP3;IKZF3;CARD8</t>
  </si>
  <si>
    <t>http://www.broadinstitute.org/gsea/msigdb/cards/GO_PROTEIN_DIMERIZATION_ACTIVITY.html</t>
  </si>
  <si>
    <t>GO_DEFENSE_RESPONSE_TO_VIRUS</t>
  </si>
  <si>
    <t>3458;925;3627;5788;3659;5551;2633;942;6772;4283;84166;114548;64170;51311;51284;596;25939</t>
  </si>
  <si>
    <t>IFNG;CD8A;CXCL10;PTPRC;IRF1;PRF1;GBP1;CD86;STAT1;CXCL9;NLRC5;NLRP3;CARD9;TLR8;TLR7;BCL2;SAMHD1</t>
  </si>
  <si>
    <t>http://www.broadinstitute.org/gsea/msigdb/cards/GO_DEFENSE_RESPONSE_TO_VIRUS.html</t>
  </si>
  <si>
    <t>GO_NEGATIVE_REGULATION_OF_B_CELL_ACTIVATION</t>
  </si>
  <si>
    <t>1493;4332;374403;3635;84174;64092;11314;3586;50943</t>
  </si>
  <si>
    <t>CTLA4;MNDA;TBC1D10C;INPP5D;SLA2;SAMSN1;CD300A;IL10;FOXP3</t>
  </si>
  <si>
    <t>http://www.broadinstitute.org/gsea/msigdb/cards/GO_NEGATIVE_REGULATION_OF_B_CELL_ACTIVATION.html</t>
  </si>
  <si>
    <t>GO_TUMOR_NECROSIS_FACTOR_RECEPTOR_BINDING</t>
  </si>
  <si>
    <t>959;944;6772;10673;8742;4049;356;4050;7185</t>
  </si>
  <si>
    <t>CD40LG;TNFSF8;STAT1;TNFSF13B;TNFSF12;LTA;FASLG;LTB;TRAF1</t>
  </si>
  <si>
    <t>http://www.broadinstitute.org/gsea/msigdb/cards/GO_TUMOR_NECROSIS_FACTOR_RECEPTOR_BINDING.html</t>
  </si>
  <si>
    <t>GO_REGULATION_OF_VASCULATURE_DEVELOPMENT</t>
  </si>
  <si>
    <t>3627;3689;5579;6352;7453;5734;6772;719;26051;57105;8742;3553;3162;2113;728;729230;356;2833;146850;23166</t>
  </si>
  <si>
    <t>CXCL10;ITGB2;PRKCB;CCL5;WARS;PTGER4;STAT1;C3AR1;PPP1R16B;CYSLTR2;TNFSF12;IL1B;HMOX1;ETS1;C5AR1;CCR2;FASLG;CXCR3;PIK3R6;STAB1</t>
  </si>
  <si>
    <t>http://www.broadinstitute.org/gsea/msigdb/cards/GO_REGULATION_OF_VASCULATURE_DEVELOPMENT.html</t>
  </si>
  <si>
    <t>GO_POSITIVE_REGULATION_OF_INTERLEUKIN_2_BIOSYNTHETIC_PROCESS</t>
  </si>
  <si>
    <t>920;916;940;941;942;3662;3553</t>
  </si>
  <si>
    <t>CD4;CD3E;CD28;CD80;CD86;IRF4;IL1B</t>
  </si>
  <si>
    <t>http://www.broadinstitute.org/gsea/msigdb/cards/GO_POSITIVE_REGULATION_OF_INTERLEUKIN_2_BIOSYNTHETIC_PROCESS.html</t>
  </si>
  <si>
    <t>GO_MHC_CLASS_II_RECEPTOR_ACTIVITY</t>
  </si>
  <si>
    <t>3122;3117;3120;3111;3112;3113;3123</t>
  </si>
  <si>
    <t>HLA-DRA;HLA-DQA1;HLA-DQB2;HLA-DOA;HLA-DOB;HLA-DPA1;HLA-DRB1</t>
  </si>
  <si>
    <t>http://www.broadinstitute.org/gsea/msigdb/cards/GO_MHC_CLASS_II_RECEPTOR_ACTIVITY.html</t>
  </si>
  <si>
    <t>GO_IGG_BINDING</t>
  </si>
  <si>
    <t>2214;2209;2207;2210;2212;9103;2213</t>
  </si>
  <si>
    <t>FCGR3A;FCGR1A;FCER1G;FCGR1B;FCGR2A;FCGR2A;FCGR2B</t>
  </si>
  <si>
    <t>http://www.broadinstitute.org/gsea/msigdb/cards/GO_IGG_BINDING.html</t>
  </si>
  <si>
    <t>GO_C_C_CHEMOKINE_RECEPTOR_ACTIVITY</t>
  </si>
  <si>
    <t>1236;1233;1234;1230;729230;1235;1237</t>
  </si>
  <si>
    <t>CCR7;CCR4;CCR5;CCR1;CCR2;CCR6;CCR8</t>
  </si>
  <si>
    <t>http://www.broadinstitute.org/gsea/msigdb/cards/GO_C_C_CHEMOKINE_RECEPTOR_ACTIVITY.html</t>
  </si>
  <si>
    <t>GO_CELL_CELL_SIGNALING</t>
  </si>
  <si>
    <t>4068;8676;9402;712;3627;3689;6351;6352;945;944;941;942;1234;4283;10288;246329;55423;6373;4049;3553;348;1621;3586;1230;6753;3363;6507;356;5376;27163;4208;4050;145581;10077;79690;5027;23166;4644</t>
  </si>
  <si>
    <t>SH2D1A;STX11;GRAP2;C1QA;CXCL10;ITGB2;CCL4;CCL5;CD33;TNFSF8;CD80;CD86;CCR5;CXCL9;LILRB2;STAC3;SIRPG;CXCL11;LTA;IL1B;APOE;DBH;IL10;CCR1;SSTR3;HTR7;SLC1A3;FASLG;PMP22;NAAA;MEF2C;LTB;LRFN5;TSPAN32;GAL3ST4;P2RX7;STAB1;MYO5A</t>
  </si>
  <si>
    <t>http://www.broadinstitute.org/gsea/msigdb/cards/GO_CELL_CELL_SIGNALING.html</t>
  </si>
  <si>
    <t>GO_POSITIVE_REGULATION_OF_INTERLEUKIN_2_PRODUCTION</t>
  </si>
  <si>
    <t>54440;920;916;940;941;942;3662;3553;729230</t>
  </si>
  <si>
    <t>SASH3;CD4;CD3E;CD28;CD80;CD86;IRF4;IL1B;CCR2</t>
  </si>
  <si>
    <t>http://www.broadinstitute.org/gsea/msigdb/cards/GO_POSITIVE_REGULATION_OF_INTERLEUKIN_2_PRODUCTION.html</t>
  </si>
  <si>
    <t>GO_REGULATION_OF_CYTOKINE_PRODUCTION_INVOLVED_IN_IMMUNE_RESPONSE</t>
  </si>
  <si>
    <t>54440;972;2207;695;6504;114548;7099;3162;3586;3718;50943</t>
  </si>
  <si>
    <t>SASH3;CD74;FCER1G;BTK;SLAMF1;NLRP3;TLR4;HMOX1;IL10;JAK3;FOXP3</t>
  </si>
  <si>
    <t>http://www.broadinstitute.org/gsea/msigdb/cards/GO_REGULATION_OF_CYTOKINE_PRODUCTION_INVOLVED_IN_IMMUNE_RESPONSE.html</t>
  </si>
  <si>
    <t>GO_REGULATION_OF_MYELOID_LEUKOCYTE_DIFFERENTIATION</t>
  </si>
  <si>
    <t>7305;11025;3458;714;1436;6352;11006;3635;7099;1435;3059;1230;814;9935</t>
  </si>
  <si>
    <t>TYROBP;LILRB3;IFNG;C1QC;CSF1R;CCL5;LILRB4;INPP5D;TLR4;CSF1;HCLS1;CCR1;CAMK4;MAFB</t>
  </si>
  <si>
    <t>http://www.broadinstitute.org/gsea/msigdb/cards/GO_REGULATION_OF_MYELOID_LEUKOCYTE_DIFFERENTIATION.html</t>
  </si>
  <si>
    <t>GO_NEGATIVE_REGULATION_OF_TUMOR_NECROSIS_FACTOR_SUPERFAMILY_CYTOKINE_PRODUCTION</t>
  </si>
  <si>
    <t>5734;6504;197358;84868;7099;54;3586;10457;50943;29126</t>
  </si>
  <si>
    <t>PTGER4;SLAMF1;NLRC3;HAVCR2;TLR4;ACP5;IL10;GPNMB;FOXP3;CD274</t>
  </si>
  <si>
    <t>http://www.broadinstitute.org/gsea/msigdb/cards/GO_NEGATIVE_REGULATION_OF_TUMOR_NECROSIS_FACTOR_SUPERFAMILY_CYTOKINE_PRODUCTION.html</t>
  </si>
  <si>
    <t>GO_REGULATION_OF_NEUTROPHIL_MIGRATION</t>
  </si>
  <si>
    <t>972;1236;5734;3071;4354;719;3553;728;6363</t>
  </si>
  <si>
    <t>CD74;CCR7;PTGER4;NCKAP1L;MPP1;C3AR1;IL1B;C5AR1;CCL19</t>
  </si>
  <si>
    <t>http://www.broadinstitute.org/gsea/msigdb/cards/GO_REGULATION_OF_NEUTROPHIL_MIGRATION.html</t>
  </si>
  <si>
    <t>GO_PATTERN_RECOGNITION_RECEPTOR_SIGNALING_PATHWAY</t>
  </si>
  <si>
    <t>3689;929;942;695;84868;4064;51311;51284;7099;2219;1508;3684;118788;64581</t>
  </si>
  <si>
    <t>ITGB2;CD14;CD86;BTK;HAVCR2;CD180;TLR8;TLR7;TLR4;FCN1;CTSB;ITGAM;PIK3AP1;CLEC7A</t>
  </si>
  <si>
    <t>http://www.broadinstitute.org/gsea/msigdb/cards/GO_PATTERN_RECOGNITION_RECEPTOR_SIGNALING_PATHWAY.html</t>
  </si>
  <si>
    <t>GO_PURINERGIC_NUCLEOTIDE_RECEPTOR_SIGNALING_PATHWAY</t>
  </si>
  <si>
    <t>27334;286530;53829;2857;29909;5724;5027;64805</t>
  </si>
  <si>
    <t>P2RY10;P2RY8;P2RY13;GPR34;GPR171;PTAFR;P2RX7;P2RY12</t>
  </si>
  <si>
    <t>http://www.broadinstitute.org/gsea/msigdb/cards/GO_PURINERGIC_NUCLEOTIDE_RECEPTOR_SIGNALING_PATHWAY.html</t>
  </si>
  <si>
    <t>GO_GRANULOCYTE_MIGRATION</t>
  </si>
  <si>
    <t>3458;3689;6351;6352;2207;5294;3071;57580;3553;728;120425;30817</t>
  </si>
  <si>
    <t>IFNG;ITGB2;CCL4;CCL5;FCER1G;PIK3CG;NCKAP1L;PREX1;IL1B;C5AR1;JAML;ADGRE2</t>
  </si>
  <si>
    <t>http://www.broadinstitute.org/gsea/msigdb/cards/GO_GRANULOCYTE_MIGRATION.html</t>
  </si>
  <si>
    <t>GO_REGULATION_OF_CALCIUM_MEDIATED_SIGNALING</t>
  </si>
  <si>
    <t>920;925;916;5341;6351;2633;7535;50852;1240;84174;54209;4644</t>
  </si>
  <si>
    <t>CD4;CD8A;CD3E;PLEK;CCL4;GBP1;ZAP70;TRAT1;CMKLR1;SLA2;TREM2;MYO5A</t>
  </si>
  <si>
    <t>http://www.broadinstitute.org/gsea/msigdb/cards/GO_REGULATION_OF_CALCIUM_MEDIATED_SIGNALING.html</t>
  </si>
  <si>
    <t>GO_TRANSMEMBRANE_RECEPTOR_PROTEIN_TYROSINE_KINASE_SIGNALING_PATHWAY</t>
  </si>
  <si>
    <t>9046;920;925;1536;3932;1436;916;3055;2268;653361;2322;7535;3071;695;3702;3937;4689;50852;29992;3717;924;1435;926;4688;526;6776;3718;245972;115727</t>
  </si>
  <si>
    <t>DOK2;CD4;CD8A;CYBB;LCK;CSF1R;CD3E;HCK;FGR;NCF1;FLT3;ZAP70;NCKAP1L;BTK;ITK;LCP2;NCF4;TRAT1;PILRA;JAK2;CD7;CSF1;CD8B;NCF2;ATP6V1B2;STAT5A;JAK3;ATP6V0D2;RASGRP4</t>
  </si>
  <si>
    <t>http://www.broadinstitute.org/gsea/msigdb/cards/GO_TRANSMEMBRANE_RECEPTOR_PROTEIN_TYROSINE_KINASE_SIGNALING_PATHWAY.html</t>
  </si>
  <si>
    <t>GO_REGULATION_OF_ION_TRANSPORT</t>
  </si>
  <si>
    <t>1318;920;3627;1536;6351;6352;11151;5294;4283;8514;54899;10288;56659;8832;51393;6373;7439;3553;348;596;3737;5724;1230;6546;2833;3718;4208;84230;84329;5027;64805;4644</t>
  </si>
  <si>
    <t>SLC31A2;CD4;CXCL10;CYBB;CCL4;CCL5;CORO1A;PIK3CG;CXCL9;KCNAB2;PXK;LILRB2;KCNK13;CD84;TRPV2;CXCL11;BEST1;IL1B;APOE;BCL2;KCNA2;PTAFR;CCR1;SLC8A1;CXCR3;JAK3;MEF2C;LRRC8C;HVCN1;P2RX7;P2RY12;MYO5A</t>
  </si>
  <si>
    <t>http://www.broadinstitute.org/gsea/msigdb/cards/GO_REGULATION_OF_ION_TRANSPORT.html</t>
  </si>
  <si>
    <t>GO_IMMUNOGLOBULIN_BINDING</t>
  </si>
  <si>
    <t>920;2214;2209;2207;2210;2212;9103;2213</t>
  </si>
  <si>
    <t>CD4;FCGR3A;FCGR1A;FCER1G;FCGR1B;FCGR2A;FCGR2A;FCGR2B</t>
  </si>
  <si>
    <t>http://www.broadinstitute.org/gsea/msigdb/cards/GO_IMMUNOGLOBULIN_BINDING.html</t>
  </si>
  <si>
    <t>GO_G_PROTEIN_COUPLED_PURINERGIC_NUCLEOTIDE_RECEPTOR_SIGNALING_PATHWAY</t>
  </si>
  <si>
    <t>27334;286530;53829;2857;29909;5724;64805</t>
  </si>
  <si>
    <t>P2RY10;P2RY8;P2RY13;GPR34;GPR171;PTAFR;P2RY12</t>
  </si>
  <si>
    <t>http://www.broadinstitute.org/gsea/msigdb/cards/GO_G_PROTEIN_COUPLED_PURINERGIC_NUCLEOTIDE_RECEPTOR_SIGNALING_PATHWAY.html</t>
  </si>
  <si>
    <t>GO_T_CELL_MIGRATION</t>
  </si>
  <si>
    <t>3627;3695;7535;5294;6373;729230;2833</t>
  </si>
  <si>
    <t>CXCL10;ITGB7;ZAP70;PIK3CG;CXCL11;CCR2;CXCR3</t>
  </si>
  <si>
    <t>http://www.broadinstitute.org/gsea/msigdb/cards/GO_T_CELL_MIGRATION.html</t>
  </si>
  <si>
    <t>GO_INTERACTION_WITH_HOST</t>
  </si>
  <si>
    <t>920;1378;3695;941;942;1234;6890;6504;6404;1508;4360;729230;6891;3123;30835</t>
  </si>
  <si>
    <t>CD4;CR1;ITGB7;CD80;CD86;CCR5;TAP1;SLAMF1;SELPLG;CTSB;MRC1;CCR2;TAP2;HLA-DRB1;CD209</t>
  </si>
  <si>
    <t>http://www.broadinstitute.org/gsea/msigdb/cards/GO_INTERACTION_WITH_HOST.html</t>
  </si>
  <si>
    <t>GO_MYELOID_LEUKOCYTE_DIFFERENTIATION</t>
  </si>
  <si>
    <t>1436;6688;1236;942;3662;139716;10537;1435;54;4208;814;116071;6363</t>
  </si>
  <si>
    <t>CSF1R;SPI1;CCR7;CD86;IRF4;GAB3;UBD;CSF1;ACP5;MEF2C;CAMK4;BATF2;CCL19</t>
  </si>
  <si>
    <t>http://www.broadinstitute.org/gsea/msigdb/cards/GO_MYELOID_LEUKOCYTE_DIFFERENTIATION.html</t>
  </si>
  <si>
    <t>GO_REGULATION_OF_INTERLEUKIN_1_BETA_PRODUCTION</t>
  </si>
  <si>
    <t>4210;3458;1236;114548;3717;54;729230;5027;6363;22900</t>
  </si>
  <si>
    <t>MEFV;IFNG;CCR7;NLRP3;JAK2;ACP5;CCR2;P2RX7;CCL19;CARD8</t>
  </si>
  <si>
    <t>http://www.broadinstitute.org/gsea/msigdb/cards/GO_REGULATION_OF_INTERLEUKIN_1_BETA_PRODUCTION.html</t>
  </si>
  <si>
    <t>GO_NEGATIVE_REGULATION_OF_INTERFERON_GAMMA_PRODUCTION</t>
  </si>
  <si>
    <t>6504;84868;80380;7099;3586;3123;3127;50943;29126</t>
  </si>
  <si>
    <t>SLAMF1;HAVCR2;PDCD1LG2;TLR4;IL10;HLA-DRB1;HLA-DRB5;FOXP3;CD274</t>
  </si>
  <si>
    <t>http://www.broadinstitute.org/gsea/msigdb/cards/GO_NEGATIVE_REGULATION_OF_INTERFERON_GAMMA_PRODUCTION.html</t>
  </si>
  <si>
    <t>GO_POSITIVE_REGULATION_OF_ANTIGEN_RECEPTOR_MEDIATED_SIGNALING_PATHWAY</t>
  </si>
  <si>
    <t>9840;5579;3932;5788;1236;50852;150372</t>
  </si>
  <si>
    <t>TESPA1;PRKCB;LCK;PTPRC;CCR7;TRAT1;NFAM1</t>
  </si>
  <si>
    <t>http://www.broadinstitute.org/gsea/msigdb/cards/GO_POSITIVE_REGULATION_OF_ANTIGEN_RECEPTOR_MEDIATED_SIGNALING_PATHWAY.html</t>
  </si>
  <si>
    <t>GO_RESPIRATORY_BURST</t>
  </si>
  <si>
    <t>1536;3055;653361;5294;4688;1043;6556</t>
  </si>
  <si>
    <t>CYBB;HCK;NCF1;PIK3CG;NCF2;CD52;SLC11A1</t>
  </si>
  <si>
    <t>http://www.broadinstitute.org/gsea/msigdb/cards/GO_RESPIRATORY_BURST.html</t>
  </si>
  <si>
    <t>GO_POSITIVE_REGULATION_OF_INTERLEUKIN_1_PRODUCTION</t>
  </si>
  <si>
    <t>3458;84868;114548;7099;3717;729230;5027;6363;22900</t>
  </si>
  <si>
    <t>IFNG;HAVCR2;NLRP3;TLR4;JAK2;CCR2;P2RX7;CCL19;CARD8</t>
  </si>
  <si>
    <t>http://www.broadinstitute.org/gsea/msigdb/cards/GO_POSITIVE_REGULATION_OF_INTERLEUKIN_1_PRODUCTION.html</t>
  </si>
  <si>
    <t>GO_POSITIVE_REGULATION_OF_CELL_DEATH</t>
  </si>
  <si>
    <t>3458;3932;3001;6352;1493;959;4332;9459;221472;3635;114548;58484;57105;10537;8742;3717;4049;3553;348;3002;596;3586;943;729230;356;2833;4208;5133;597;89846;5027;22900</t>
  </si>
  <si>
    <t>IFNG;LCK;GZMA;CCL5;CTLA4;CD40LG;MNDA;ARHGEF6;FGD2;INPP5D;NLRP3;NLRC4;CYSLTR2;UBD;TNFSF12;JAK2;LTA;IL1B;APOE;GZMB;BCL2;IL10;TNFRSF8;CCR2;FASLG;CXCR3;MEF2C;PDCD1;BCL2A1;FGD3;P2RX7;CARD8</t>
  </si>
  <si>
    <t>http://www.broadinstitute.org/gsea/msigdb/cards/GO_POSITIVE_REGULATION_OF_CELL_DEATH.html</t>
  </si>
  <si>
    <t>GO_CLATHRIN_COATED_VESICLE_MEMBRANE</t>
  </si>
  <si>
    <t>972;2209;2210;3122;3117;3115;3120;3113;8905;1601;3123;3127</t>
  </si>
  <si>
    <t>CD74;FCGR1A;FCGR1B;HLA-DRA;HLA-DQA1;HLA-DPB1;HLA-DQB2;HLA-DPA1;AP1S2;DAB2;HLA-DRB1;HLA-DRB5</t>
  </si>
  <si>
    <t>http://www.broadinstitute.org/gsea/msigdb/cards/GO_CLATHRIN_COATED_VESICLE_MEMBRANE.html</t>
  </si>
  <si>
    <t>GO_FC_RECEPTOR_SIGNALING_PATHWAY</t>
  </si>
  <si>
    <t>7456;9402;3055;2214;917;2268;2209;919;2207;3071;695;3702;3937;2210;2212;7454;338339;7462</t>
  </si>
  <si>
    <t>WIPF1;GRAP2;HCK;FCGR3A;CD3G;FGR;FCGR1A;CD247;FCER1G;NCKAP1L;BTK;ITK;LCP2;FCGR1B;FCGR2A;WAS;CLEC4D;LAT2</t>
  </si>
  <si>
    <t>http://www.broadinstitute.org/gsea/msigdb/cards/GO_FC_RECEPTOR_SIGNALING_PATHWAY.html</t>
  </si>
  <si>
    <t>GO_LYMPHOCYTE_HOMEOSTASIS</t>
  </si>
  <si>
    <t>3559;11151;3071;84636;596;3718;4208;202309;5027;50943</t>
  </si>
  <si>
    <t>IL2RA;CORO1A;NCKAP1L;GPR174;BCL2;JAK3;MEF2C;GAPT;P2RX7;FOXP3</t>
  </si>
  <si>
    <t>http://www.broadinstitute.org/gsea/msigdb/cards/GO_LYMPHOCYTE_HOMEOSTASIS.html</t>
  </si>
  <si>
    <t>GO_POSITIVE_REGULATION_OF_KINASE_ACTIVITY</t>
  </si>
  <si>
    <t>9839;920;972;1436;5788;2268;6352;959;1236;2322;5294;3071;3937;221472;23533;11184;7099;3717;3553;1435;2357;728;6556;55704;146850;5027;6363;4215</t>
  </si>
  <si>
    <t>ZEB2;CD4;CD74;CSF1R;PTPRC;FGR;CCL5;CD40LG;CCR7;FLT3;PIK3CG;NCKAP1L;LCP2;FGD2;PIK3R5;MAP4K1;TLR4;JAK2;IL1B;CSF1;FPR1;C5AR1;SLC11A1;CCDC88A;PIK3R6;P2RX7;CCL19;MAP3K3</t>
  </si>
  <si>
    <t>http://www.broadinstitute.org/gsea/msigdb/cards/GO_POSITIVE_REGULATION_OF_KINASE_ACTIVITY.html</t>
  </si>
  <si>
    <t>GO_NEGATIVE_REGULATION_OF_INFLAMMATORY_RESPONSE</t>
  </si>
  <si>
    <t>4210;3559;7133;5734;79626;114548;730249;348;54;2113;6693;3586;50943</t>
  </si>
  <si>
    <t>MEFV;IL2RA;TNFRSF1B;PTGER4;TNFAIP8L2;NLRP3;ACOD1;APOE;ACP5;ETS1;SPN;IL10;FOXP3</t>
  </si>
  <si>
    <t>http://www.broadinstitute.org/gsea/msigdb/cards/GO_NEGATIVE_REGULATION_OF_INFLAMMATORY_RESPONSE.html</t>
  </si>
  <si>
    <t>GO_NEGATIVE_REGULATION_OF_ADAPTIVE_IMMUNE_RESPONSE</t>
  </si>
  <si>
    <t>5788;3575;1378;6504;84868;64092;6693;3718;50943</t>
  </si>
  <si>
    <t>PTPRC;IL7R;CR1;SLAMF1;HAVCR2;SAMSN1;SPN;JAK3;FOXP3</t>
  </si>
  <si>
    <t>http://www.broadinstitute.org/gsea/msigdb/cards/GO_NEGATIVE_REGULATION_OF_ADAPTIVE_IMMUNE_RESPONSE.html</t>
  </si>
  <si>
    <t>GO_POSITIVE_REGULATION_OF_B_CELL_PROLIFERATION</t>
  </si>
  <si>
    <t>54440;972;5788;3071;59067;10673;7099;596;4208</t>
  </si>
  <si>
    <t>SASH3;CD74;PTPRC;NCKAP1L;IL21;TNFSF13B;TLR4;BCL2;MEF2C</t>
  </si>
  <si>
    <t>http://www.broadinstitute.org/gsea/msigdb/cards/GO_POSITIVE_REGULATION_OF_B_CELL_PROLIFERATION.html</t>
  </si>
  <si>
    <t>GO_POSITIVE_REGULATION_OF_ANTIGEN_PROCESSING_AND_PRESENTATION</t>
  </si>
  <si>
    <t>972;1236;6890;54209;6556;6891;6363</t>
  </si>
  <si>
    <t>CD74;CCR7;TAP1;TREM2;SLC11A1;TAP2;CCL19</t>
  </si>
  <si>
    <t>http://www.broadinstitute.org/gsea/msigdb/cards/GO_POSITIVE_REGULATION_OF_ANTIGEN_PROCESSING_AND_PRESENTATION.html</t>
  </si>
  <si>
    <t>GO_MHC_CLASS_II_PROTEIN_COMPLEX_BINDING</t>
  </si>
  <si>
    <t>972;3122;3111;3112;3108;3109;3123</t>
  </si>
  <si>
    <t>CD74;HLA-DRA;HLA-DOA;HLA-DOB;HLA-DMA;HLA-DMB;HLA-DRB1</t>
  </si>
  <si>
    <t>http://www.broadinstitute.org/gsea/msigdb/cards/GO_MHC_CLASS_II_PROTEIN_COMPLEX_BINDING.html</t>
  </si>
  <si>
    <t>GO_REGULATION_OF_T_HELPER_CELL_DIFFERENTIATION</t>
  </si>
  <si>
    <t>941;942;3594;3662;114548;3718;6363;50943</t>
  </si>
  <si>
    <t>CD80;CD86;IL12RB1;IRF4;NLRP3;JAK3;CCL19;FOXP3</t>
  </si>
  <si>
    <t>http://www.broadinstitute.org/gsea/msigdb/cards/GO_REGULATION_OF_T_HELPER_CELL_DIFFERENTIATION.html</t>
  </si>
  <si>
    <t>GO_MEMBRANE_MICRODOMAIN</t>
  </si>
  <si>
    <t>920;3932;929;5788;3055;962;7133;7535;695;3937;10666;150372;3635;3717;19;1508;3162;356;4973;7462;64805</t>
  </si>
  <si>
    <t>CD4;LCK;CD14;PTPRC;HCK;CD48;TNFRSF1B;ZAP70;BTK;LCP2;CD226;NFAM1;INPP5D;JAK2;ABCA1;CTSB;HMOX1;FASLG;OLR1;LAT2;P2RY12</t>
  </si>
  <si>
    <t>http://www.broadinstitute.org/gsea/msigdb/cards/GO_MEMBRANE_MICRODOMAIN.html</t>
  </si>
  <si>
    <t>GO_APOPTOTIC_SIGNALING_PATHWAY</t>
  </si>
  <si>
    <t>3458;916;929;940;7133;695;7099;8742;3717;3553;921;3162;5552;596;6693;943;6753;356;3604;597;5027</t>
  </si>
  <si>
    <t>IFNG;CD3E;CD14;CD28;TNFRSF1B;BTK;TLR4;TNFSF12;JAK2;IL1B;CD5;HMOX1;SRGN;BCL2;SPN;TNFRSF8;SSTR3;FASLG;TNFRSF9;BCL2A1;P2RX7</t>
  </si>
  <si>
    <t>http://www.broadinstitute.org/gsea/msigdb/cards/GO_APOPTOTIC_SIGNALING_PATHWAY.html</t>
  </si>
  <si>
    <t>GO_TOLL_LIKE_RECEPTOR_SIGNALING_PATHWAY</t>
  </si>
  <si>
    <t>3689;929;942;695;84868;4064;51311;51284;7099;1508;3684;118788</t>
  </si>
  <si>
    <t>ITGB2;CD14;CD86;BTK;HAVCR2;CD180;TLR8;TLR7;TLR4;CTSB;ITGAM;PIK3AP1</t>
  </si>
  <si>
    <t>http://www.broadinstitute.org/gsea/msigdb/cards/GO_TOLL_LIKE_RECEPTOR_SIGNALING_PATHWAY.html</t>
  </si>
  <si>
    <t>GO_REGULATION_OF_PEPTIDYL_TYROSINE_PHOSPHORYLATION</t>
  </si>
  <si>
    <t>3458;920;972;3689;1436;916;6352;941;5734;2322;59067;64092;54209;11314;3717;3059;11009;10507</t>
  </si>
  <si>
    <t>IFNG;CD4;CD74;ITGB2;CSF1R;CD3E;CCL5;CD80;PTGER4;FLT3;IL21;SAMSN1;TREM2;CD300A;JAK2;HCLS1;IL24;SEMA4D</t>
  </si>
  <si>
    <t>http://www.broadinstitute.org/gsea/msigdb/cards/GO_REGULATION_OF_PEPTIDYL_TYROSINE_PHOSPHORYLATION.html</t>
  </si>
  <si>
    <t>GO_POSITIVE_REGULATION_OF_NEUTROPHIL_MIGRATION</t>
  </si>
  <si>
    <t>972;1236;5734;3071;719;3553;728;6363</t>
  </si>
  <si>
    <t>CD74;CCR7;PTGER4;NCKAP1L;C3AR1;IL1B;C5AR1;CCL19</t>
  </si>
  <si>
    <t>http://www.broadinstitute.org/gsea/msigdb/cards/GO_POSITIVE_REGULATION_OF_NEUTROPHIL_MIGRATION.html</t>
  </si>
  <si>
    <t>GO_REGULATION_OF_NEUTROPHIL_CHEMOTAXIS</t>
  </si>
  <si>
    <t>972;1236;3071;4354;719;3553;728;6363</t>
  </si>
  <si>
    <t>CD74;CCR7;NCKAP1L;MPP1;C3AR1;IL1B;C5AR1;CCL19</t>
  </si>
  <si>
    <t>http://www.broadinstitute.org/gsea/msigdb/cards/GO_REGULATION_OF_NEUTROPHIL_CHEMOTAXIS.html</t>
  </si>
  <si>
    <t>GO_MOVEMENT_IN_ENVIRONMENT_OF_OTHER_ORGANISM_INVOLVED_IN_SYMBIOTIC_INTERACTION</t>
  </si>
  <si>
    <t>920;1378;3695;941;942;1234;6504;6404;1508;4360;3123;30835</t>
  </si>
  <si>
    <t>CD4;CR1;ITGB7;CD80;CD86;CCR5;SLAMF1;SELPLG;CTSB;MRC1;HLA-DRB1;CD209</t>
  </si>
  <si>
    <t>http://www.broadinstitute.org/gsea/msigdb/cards/GO_MOVEMENT_IN_ENVIRONMENT_OF_OTHER_ORGANISM_INVOLVED_IN_SYMBIOTIC_INTERACTION.html</t>
  </si>
  <si>
    <t>GO_REGULATION_OF_MAPK_CASCADE</t>
  </si>
  <si>
    <t>9839;972;1436;6351;6352;7133;959;1236;2633;2322;5294;6504;388325;221472;374403;84868;23533;11184;64170;57105;54209;11314;7099;3717;3553;348;2357;728;1230;146850;5027;6363;4215</t>
  </si>
  <si>
    <t>ZEB2;CD74;CSF1R;CCL4;CCL5;TNFRSF1B;CD40LG;CCR7;GBP1;FLT3;PIK3CG;SLAMF1;SCIMP;FGD2;TBC1D10C;HAVCR2;PIK3R5;MAP4K1;CARD9;CYSLTR2;TREM2;CD300A;TLR4;JAK2;IL1B;APOE;FPR1;C5AR1;CCR1;PIK3R6;P2RX7;CCL19;MAP3K3</t>
  </si>
  <si>
    <t>http://www.broadinstitute.org/gsea/msigdb/cards/GO_REGULATION_OF_MAPK_CASCADE.html</t>
  </si>
  <si>
    <t>GO_VIRUS_RECEPTOR_ACTIVITY</t>
  </si>
  <si>
    <t>920;1378;3695;941;942;1234;6504;6404;4360;3123;30835</t>
  </si>
  <si>
    <t>CD4;CR1;ITGB7;CD80;CD86;CCR5;SLAMF1;SELPLG;MRC1;HLA-DRB1;CD209</t>
  </si>
  <si>
    <t>http://www.broadinstitute.org/gsea/msigdb/cards/GO_VIRUS_RECEPTOR_ACTIVITY.html</t>
  </si>
  <si>
    <t>GO_PURINERGIC_RECEPTOR_SIGNALING_PATHWAY</t>
  </si>
  <si>
    <t>http://www.broadinstitute.org/gsea/msigdb/cards/GO_PURINERGIC_RECEPTOR_SIGNALING_PATHWAY.html</t>
  </si>
  <si>
    <t>GO_REGULATION_OF_SEQUESTERING_OF_CALCIUM_ION</t>
  </si>
  <si>
    <t>3627;3932;5788;11151;1236;1234;4283;6373;6546;2833;5027;6363;4644</t>
  </si>
  <si>
    <t>CXCL10;LCK;PTPRC;CORO1A;CCR7;CCR5;CXCL9;CXCL11;SLC8A1;CXCR3;P2RX7;CCL19;MYO5A</t>
  </si>
  <si>
    <t>http://www.broadinstitute.org/gsea/msigdb/cards/GO_REGULATION_OF_SEQUESTERING_OF_CALCIUM_ION.html</t>
  </si>
  <si>
    <t>GO_REGULATION_OF_TOLERANCE_INDUCTION</t>
  </si>
  <si>
    <t>3559;916;942;10288;84868;5133;50943</t>
  </si>
  <si>
    <t>IL2RA;CD3E;CD86;LILRB2;HAVCR2;PDCD1;FOXP3</t>
  </si>
  <si>
    <t>http://www.broadinstitute.org/gsea/msigdb/cards/GO_REGULATION_OF_TOLERANCE_INDUCTION.html</t>
  </si>
  <si>
    <t>GO_REGULATION_OF_ANATOMICAL_STRUCTURE_SIZE</t>
  </si>
  <si>
    <t>7456;9535;5341;3055;3575;11151;1236;3071;57580;51393;366;10154;348;1621;3162;240;3059;3274;5724;6546;3363;729230;7454;85464;10507;5027;51466</t>
  </si>
  <si>
    <t>WIPF1;GMFG;PLEK;HCK;IL7R;CORO1A;CCR7;NCKAP1L;PREX1;TRPV2;AQP9;PLXNC1;APOE;DBH;HMOX1;ALOX5;HCLS1;HRH2;PTAFR;SLC8A1;HTR7;CCR2;WAS;SSH2;SEMA4D;P2RX7;EVL</t>
  </si>
  <si>
    <t>http://www.broadinstitute.org/gsea/msigdb/cards/GO_REGULATION_OF_ANATOMICAL_STRUCTURE_SIZE.html</t>
  </si>
  <si>
    <t>GO_REGULATION_OF_METAL_ION_TRANSPORT</t>
  </si>
  <si>
    <t>1318;920;3627;6351;6352;11151;5294;4283;8514;10288;8832;51393;6373;7439;596;1230;6546;2833;3718;5027;64805;4644</t>
  </si>
  <si>
    <t>SLC31A2;CD4;CXCL10;CCL4;CCL5;CORO1A;PIK3CG;CXCL9;KCNAB2;LILRB2;CD84;TRPV2;CXCL11;BEST1;BCL2;CCR1;SLC8A1;CXCR3;JAK3;P2RX7;P2RY12;MYO5A</t>
  </si>
  <si>
    <t>http://www.broadinstitute.org/gsea/msigdb/cards/GO_REGULATION_OF_METAL_ION_TRANSPORT.html</t>
  </si>
  <si>
    <t>GO_REGULATION_OF_LEUKOCYTE_DEGRANULATION</t>
  </si>
  <si>
    <t>2268;2207;7535;11314;8832;3162;5724;729230;84106</t>
  </si>
  <si>
    <t>FGR;FCER1G;ZAP70;CD300A;CD84;HMOX1;PTAFR;CCR2;PRAM1</t>
  </si>
  <si>
    <t>http://www.broadinstitute.org/gsea/msigdb/cards/GO_REGULATION_OF_LEUKOCYTE_DEGRANULATION.html</t>
  </si>
  <si>
    <t>GO_B_CELL_DIFFERENTIATION</t>
  </si>
  <si>
    <t>4242;3676;959;2322;150372;23228;5452;3956;596;4066;3586;3718</t>
  </si>
  <si>
    <t>MFNG;ITGA4;CD40LG;FLT3;NFAM1;PLCL2;POU2F2;LGALS1;BCL2;LYL1;IL10;JAK3</t>
  </si>
  <si>
    <t>http://www.broadinstitute.org/gsea/msigdb/cards/GO_B_CELL_DIFFERENTIATION.html</t>
  </si>
  <si>
    <t>GO_REGULATION_OF_DEFENSE_RESPONSE_TO_VIRUS_BY_VIRUS</t>
  </si>
  <si>
    <t>http://www.broadinstitute.org/gsea/msigdb/cards/GO_REGULATION_OF_DEFENSE_RESPONSE_TO_VIRUS_BY_VIRUS.html</t>
  </si>
  <si>
    <t>GO_G_PROTEIN_COUPLED_RECEPTOR_ACTIVITY</t>
  </si>
  <si>
    <t>27334;10663;1236;5734;1233;1234;719;353345;286530;8477;221188;1240;53829;84636;57105;2857;2848;9034;29909;2811;2357;728;3274;2359;2358;5724;1230;6753;3363;729230;2829;2833;1235;1237;56670;64805;53831;9033;30817</t>
  </si>
  <si>
    <t>P2RY10;CXCR6;CCR7;PTGER4;CCR4;CCR5;C3AR1;GPR141;P2RY8;GPR65;ADGRG5;CMKLR1;P2RY13;GPR174;CYSLTR2;GPR34;GPR25;CCRL2;GPR171;GP1BA;FPR1;C5AR1;HRH2;FPR3;FPR2;PTAFR;CCR1;SSTR3;HTR7;CCR2;XCR1;CXCR3;CCR6;CCR8;SUCNR1;P2RY12;GPR84;PKD2L1;ADGRE2</t>
  </si>
  <si>
    <t>http://www.broadinstitute.org/gsea/msigdb/cards/GO_G_PROTEIN_COUPLED_RECEPTOR_ACTIVITY.html</t>
  </si>
  <si>
    <t>GO_REGULATION_OF_ACUTE_INFLAMMATORY_RESPONSE</t>
  </si>
  <si>
    <t>6352;1378;2207;1236;5294;719;114548;3553;6693;728;729230</t>
  </si>
  <si>
    <t>CCL5;CR1;FCER1G;CCR7;PIK3CG;C3AR1;NLRP3;IL1B;SPN;C5AR1;CCR2</t>
  </si>
  <si>
    <t>http://www.broadinstitute.org/gsea/msigdb/cards/GO_REGULATION_OF_ACUTE_INFLAMMATORY_RESPONSE.html</t>
  </si>
  <si>
    <t>GO_EXTRINSIC_COMPONENT_OF_MEMBRANE</t>
  </si>
  <si>
    <t>3932;3055;2268;653361;7535;5294;695;3702;8514;23533;152789;2219;3717;3718;54331;4240;10672;146850;57705</t>
  </si>
  <si>
    <t>LCK;HCK;FGR;NCF1;ZAP70;PIK3CG;BTK;ITK;KCNAB2;PIK3R5;JAKMIP1;FCN1;JAK2;JAK3;GNG2;MFGE8;GNA13;PIK3R6;WDFY4</t>
  </si>
  <si>
    <t>http://www.broadinstitute.org/gsea/msigdb/cards/GO_EXTRINSIC_COMPONENT_OF_MEMBRANE.html</t>
  </si>
  <si>
    <t>GO_POSITIVE_REGULATION_OF_VASCULATURE_DEVELOPMENT</t>
  </si>
  <si>
    <t>3689;5579;6352;719;26051;57105;8742;3553;3162;2113;728;729230;2833;146850</t>
  </si>
  <si>
    <t>ITGB2;PRKCB;CCL5;C3AR1;PPP1R16B;CYSLTR2;TNFSF12;IL1B;HMOX1;ETS1;C5AR1;CCR2;CXCR3;PIK3R6</t>
  </si>
  <si>
    <t>http://www.broadinstitute.org/gsea/msigdb/cards/GO_POSITIVE_REGULATION_OF_VASCULATURE_DEVELOPMENT.html</t>
  </si>
  <si>
    <t>GO_MACROPHAGE_ACTIVATION</t>
  </si>
  <si>
    <t>7305;7535;199;84868;51311;51284;7099;6556</t>
  </si>
  <si>
    <t>TYROBP;ZAP70;AIF1;HAVCR2;TLR8;TLR7;TLR4;SLC11A1</t>
  </si>
  <si>
    <t>http://www.broadinstitute.org/gsea/msigdb/cards/GO_MACROPHAGE_ACTIVATION.html</t>
  </si>
  <si>
    <t>GO_PEPTIDE_ANTIGEN_BINDING</t>
  </si>
  <si>
    <t>6890;3122;3117;3115;3113;3123;3127;30835</t>
  </si>
  <si>
    <t>TAP1;HLA-DRA;HLA-DQA1;HLA-DPB1;HLA-DPA1;HLA-DRB1;HLA-DRB5;CD209</t>
  </si>
  <si>
    <t>http://www.broadinstitute.org/gsea/msigdb/cards/GO_PEPTIDE_ANTIGEN_BINDING.html</t>
  </si>
  <si>
    <t>GO_G_PROTEIN_COUPLED_PURINERGIC_RECEPTOR_SIGNALING_PATHWAY</t>
  </si>
  <si>
    <t>http://www.broadinstitute.org/gsea/msigdb/cards/GO_G_PROTEIN_COUPLED_PURINERGIC_RECEPTOR_SIGNALING_PATHWAY.html</t>
  </si>
  <si>
    <t>GO_FC_GAMMA_RECEPTOR_SIGNALING_PATHWAY</t>
  </si>
  <si>
    <t>7456;3055;2214;917;2268;2209;919;2207;3071;2212;7454;338339</t>
  </si>
  <si>
    <t>WIPF1;HCK;FCGR3A;CD3G;FGR;FCGR1A;CD247;FCER1G;NCKAP1L;FCGR2A;WAS;CLEC4D</t>
  </si>
  <si>
    <t>http://www.broadinstitute.org/gsea/msigdb/cards/GO_FC_GAMMA_RECEPTOR_SIGNALING_PATHWAY.html</t>
  </si>
  <si>
    <t>GO_RECEPTOR_MEDIATED_ENDOCYTOSIS</t>
  </si>
  <si>
    <t>3689;929;2209;3676;2350;923;2207;9332;2210;348;921;4481;4360;4973;1601;55911;283316;23166</t>
  </si>
  <si>
    <t>ITGB2;CD14;FCGR1A;ITGA4;FOLR2;CD6;FCER1G;CD163;FCGR1B;APOE;CD5;MSR1;MRC1;OLR1;DAB2;APOBR;CD163L1;STAB1</t>
  </si>
  <si>
    <t>http://www.broadinstitute.org/gsea/msigdb/cards/GO_RECEPTOR_MEDIATED_ENDOCYTOSIS.html</t>
  </si>
  <si>
    <t>GO_REGULATION_OF_INTRACELLULAR_TRANSPORT</t>
  </si>
  <si>
    <t>920;3627;2268;6036;3687;2207;11151;7535;4283;374403;114548;51284;11314;8832;7099;6373;3717;3553;3162;3002;596;3936;3059;3586;6546;2833;1601;8809;5027;6363;4644</t>
  </si>
  <si>
    <t>CD4;CXCL10;FGR;RNASE2;ITGAX;FCER1G;CORO1A;ZAP70;CXCL9;TBC1D10C;NLRP3;TLR7;CD300A;CD84;TLR4;CXCL11;JAK2;IL1B;HMOX1;GZMB;BCL2;LCP1;HCLS1;IL10;SLC8A1;CXCR3;DAB2;IL18R1;P2RX7;CCL19;MYO5A</t>
  </si>
  <si>
    <t>http://www.broadinstitute.org/gsea/msigdb/cards/GO_REGULATION_OF_INTRACELLULAR_TRANSPORT.html</t>
  </si>
  <si>
    <t>GO_PROTEIN_SECRETION</t>
  </si>
  <si>
    <t>5341;959;1236;3937;114548;115362;58484;7099;19;5452;51762;6363;4644</t>
  </si>
  <si>
    <t>PLEK;CD40LG;CCR7;LCP2;NLRP3;GBP5;NLRC4;TLR4;ABCA1;POU2F2;RAB8B;CCL19;MYO5A</t>
  </si>
  <si>
    <t>http://www.broadinstitute.org/gsea/msigdb/cards/GO_PROTEIN_SECRETION.html</t>
  </si>
  <si>
    <t>GO_T_HELPER_1_TYPE_IMMUNE_RESPONSE</t>
  </si>
  <si>
    <t>10068;6504;7099;8809;10148;3123;3127</t>
  </si>
  <si>
    <t>IL18BP;SLAMF1;TLR4;IL18R1;EBI3;HLA-DRB1;HLA-DRB5</t>
  </si>
  <si>
    <t>http://www.broadinstitute.org/gsea/msigdb/cards/GO_T_HELPER_1_TYPE_IMMUNE_RESPONSE.html</t>
  </si>
  <si>
    <t>GO_POSITIVE_REGULATION_OF_NATURAL_KILLER_CELL_MEDIATED_IMMUNITY</t>
  </si>
  <si>
    <t>259197;4068;10666;114836;59067;56253;3902</t>
  </si>
  <si>
    <t>NCR3;SH2D1A;CD226;SLAMF6;IL21;CRTAM;LAG3</t>
  </si>
  <si>
    <t>http://www.broadinstitute.org/gsea/msigdb/cards/GO_POSITIVE_REGULATION_OF_NATURAL_KILLER_CELL_MEDIATED_IMMUNITY.html</t>
  </si>
  <si>
    <t>GO_CHEMOKINE_BINDING</t>
  </si>
  <si>
    <t>10663;3676;1236;1234;1230;729230;2833</t>
  </si>
  <si>
    <t>CXCR6;ITGA4;CCR7;CCR5;CCR1;CCR2;CXCR3</t>
  </si>
  <si>
    <t>http://www.broadinstitute.org/gsea/msigdb/cards/GO_CHEMOKINE_BINDING.html</t>
  </si>
  <si>
    <t>GO_REGULATION_OF_PHOSPHATIDYLINOSITOL_3_KINASE_SIGNALING</t>
  </si>
  <si>
    <t>3932;2268;940;6352;941;2322;942;50852;26051;10870;3717;3059;118788;10507</t>
  </si>
  <si>
    <t>LCK;FGR;CD28;CCL5;CD80;FLT3;CD86;TRAT1;PPP1R16B;HCST;JAK2;HCLS1;PIK3AP1;SEMA4D</t>
  </si>
  <si>
    <t>http://www.broadinstitute.org/gsea/msigdb/cards/GO_REGULATION_OF_PHOSPHATIDYLINOSITOL_3_KINASE_SIGNALING.html</t>
  </si>
  <si>
    <t>GO_TOLERANCE_INDUCTION</t>
  </si>
  <si>
    <t>1233;719;84868;29851;730249;50943</t>
  </si>
  <si>
    <t>CCR4;C3AR1;HAVCR2;ICOS;ACOD1;FOXP3</t>
  </si>
  <si>
    <t>http://www.broadinstitute.org/gsea/msigdb/cards/GO_TOLERANCE_INDUCTION.html</t>
  </si>
  <si>
    <t>GO_REGULATION_OF_CELL_SHAPE</t>
  </si>
  <si>
    <t>7940;7456;3689;1436;3055;2268;11151;55843;221472;10672;89846;161176;91010;10507</t>
  </si>
  <si>
    <t>LST1;WIPF1;ITGB2;CSF1R;HCK;FGR;CORO1A;ARHGAP15;FGD2;GNA13;FGD3;SYNE3;FMNL3;SEMA4D</t>
  </si>
  <si>
    <t>http://www.broadinstitute.org/gsea/msigdb/cards/GO_REGULATION_OF_CELL_SHAPE.html</t>
  </si>
  <si>
    <t>GO_POSITIVE_REGULATION_OF_INTERLEUKIN_12_PRODUCTION</t>
  </si>
  <si>
    <t>3458;3659;959;1236;3394;7099;4050;6363</t>
  </si>
  <si>
    <t>IFNG;IRF1;CD40LG;CCR7;IRF8;TLR4;LTB;CCL19</t>
  </si>
  <si>
    <t>http://www.broadinstitute.org/gsea/msigdb/cards/GO_POSITIVE_REGULATION_OF_INTERLEUKIN_12_PRODUCTION.html</t>
  </si>
  <si>
    <t>GO_NEGATIVE_REGULATION_OF_CELL_DEATH</t>
  </si>
  <si>
    <t>9214;972;1436;3055;6352;3560;959;2207;11151;1236;5294;199;3071;4671;81704;116986;58484;3717;3553;348;1508;3162;596;3059;728;3586;356;2833;3718;1601;4208;5133;597;64780;10507;6363;64919;50515</t>
  </si>
  <si>
    <t>FCMR;CD74;CSF1R;HCK;CCL5;IL2RB;CD40LG;FCER1G;CORO1A;CCR7;PIK3CG;AIF1;NCKAP1L;NAIP;DOCK8;AGAP2;NLRC4;JAK2;IL1B;APOE;CTSB;HMOX1;BCL2;HCLS1;C5AR1;IL10;FASLG;CXCR3;JAK3;DAB2;MEF2C;PDCD1;BCL2A1;MICAL1;SEMA4D;CCL19;BCL11B;CHST11</t>
  </si>
  <si>
    <t>http://www.broadinstitute.org/gsea/msigdb/cards/GO_NEGATIVE_REGULATION_OF_CELL_DEATH.html</t>
  </si>
  <si>
    <t>GO_REGULATION_OF_INTERLEUKIN_1_SECRETION</t>
  </si>
  <si>
    <t>3458;1236;5734;114548;729230;5027;6363;22900</t>
  </si>
  <si>
    <t>IFNG;CCR7;PTGER4;NLRP3;CCR2;P2RX7;CCL19;CARD8</t>
  </si>
  <si>
    <t>http://www.broadinstitute.org/gsea/msigdb/cards/GO_REGULATION_OF_INTERLEUKIN_1_SECRETION.html</t>
  </si>
  <si>
    <t>GO_LUMENAL_SIDE_OF_MEMBRANE</t>
  </si>
  <si>
    <t>972;3122;3117;3115;3120;3113;3123;3127</t>
  </si>
  <si>
    <t>CD74;HLA-DRA;HLA-DQA1;HLA-DPB1;HLA-DQB2;HLA-DPA1;HLA-DRB1;HLA-DRB5</t>
  </si>
  <si>
    <t>http://www.broadinstitute.org/gsea/msigdb/cards/GO_LUMENAL_SIDE_OF_MEMBRANE.html</t>
  </si>
  <si>
    <t>10663;920;3932;3055;6351;6352;3560;1378;919;3695;3561;941;942;6772;1234;6890;6504;3603;6404;2672;29992;3122;348;1508;4360;2213;729230;6891;4240;3123;131450;30835</t>
  </si>
  <si>
    <t>CXCR6;CD4;LCK;HCK;CCL4;CCL5;IL2RB;CR1;CD247;ITGB7;IL2RG;CD80;CD86;STAT1;CCR5;TAP1;SLAMF1;IL16;SELPLG;GFI1;PILRA;HLA-DRA;APOE;CTSB;MRC1;FCGR2B;CCR2;TAP2;MFGE8;HLA-DRB1;CD200R1;CD209</t>
  </si>
  <si>
    <t>http://www.broadinstitute.org/gsea/msigdb/cards/GO_INTERSPECIES_INTERACTION_BETWEEN_ORGANISMS.html</t>
  </si>
  <si>
    <t>GO_POSITIVE_REGULATION_OF_PEPTIDYL_TYROSINE_PHOSPHORYLATION</t>
  </si>
  <si>
    <t>3458;920;972;1436;916;6352;941;5734;2322;59067;54209;3717;3059;11009;10507</t>
  </si>
  <si>
    <t>IFNG;CD4;CD74;CSF1R;CD3E;CCL5;CD80;PTGER4;FLT3;IL21;TREM2;JAK2;HCLS1;IL24;SEMA4D</t>
  </si>
  <si>
    <t>http://www.broadinstitute.org/gsea/msigdb/cards/GO_POSITIVE_REGULATION_OF_PEPTIDYL_TYROSINE_PHOSPHORYLATION.html</t>
  </si>
  <si>
    <t>GO_TUMOR_NECROSIS_FACTOR_RECEPTOR_SUPERFAMILY_BINDING</t>
  </si>
  <si>
    <t>http://www.broadinstitute.org/gsea/msigdb/cards/GO_TUMOR_NECROSIS_FACTOR_RECEPTOR_SUPERFAMILY_BINDING.html</t>
  </si>
  <si>
    <t>GO_REGULATION_OF_INTERLEUKIN_17_PRODUCTION</t>
  </si>
  <si>
    <t>3458;3071;114836;59067;4063;7099;50943</t>
  </si>
  <si>
    <t>IFNG;NCKAP1L;SLAMF6;IL21;LY9;TLR4;FOXP3</t>
  </si>
  <si>
    <t>http://www.broadinstitute.org/gsea/msigdb/cards/GO_REGULATION_OF_INTERLEUKIN_17_PRODUCTION.html</t>
  </si>
  <si>
    <t>GO_REGULATION_OF_T_HELPER_1_TYPE_IMMUNE_RESPONSE</t>
  </si>
  <si>
    <t>941;3594;84868;729230;6556;3718;6363</t>
  </si>
  <si>
    <t>CD80;IL12RB1;HAVCR2;CCR2;SLC11A1;JAK3;CCL19</t>
  </si>
  <si>
    <t>http://www.broadinstitute.org/gsea/msigdb/cards/GO_REGULATION_OF_T_HELPER_1_TYPE_IMMUNE_RESPONSE.html</t>
  </si>
  <si>
    <t>GO_T_CELL_HOMEOSTASIS</t>
  </si>
  <si>
    <t>3559;11151;3071;84636;596;3718;5027;50943</t>
  </si>
  <si>
    <t>IL2RA;CORO1A;NCKAP1L;GPR174;BCL2;JAK3;P2RX7;FOXP3</t>
  </si>
  <si>
    <t>http://www.broadinstitute.org/gsea/msigdb/cards/GO_T_CELL_HOMEOSTASIS.html</t>
  </si>
  <si>
    <t>GO_CD4_POSITIVE_ALPHA_BETA_T_CELL_ACTIVATION</t>
  </si>
  <si>
    <t>5734;3662;114836;4063;2529;8809;50943;26279</t>
  </si>
  <si>
    <t>PTGER4;IRF4;SLAMF6;LY9;FUT7;IL18R1;FOXP3;PLA2G2D</t>
  </si>
  <si>
    <t>http://www.broadinstitute.org/gsea/msigdb/cards/GO_CD4_POSITIVE_ALPHA_BETA_T_CELL_ACTIVATION.html</t>
  </si>
  <si>
    <t>GO_TRANS_GOLGI_NETWORK_MEMBRANE</t>
  </si>
  <si>
    <t>972;55016;3122;3117;3115;3120;3113;8905;3123;3127;57589</t>
  </si>
  <si>
    <t>CD74;MARCH1;HLA-DRA;HLA-DQA1;HLA-DPB1;HLA-DQB2;HLA-DPA1;AP1S2;HLA-DRB1;HLA-DRB5;RIC1</t>
  </si>
  <si>
    <t>http://www.broadinstitute.org/gsea/msigdb/cards/GO_TRANS_GOLGI_NETWORK_MEMBRANE.html</t>
  </si>
  <si>
    <t>GO_ENZYME_ACTIVATOR_ACTIVITY</t>
  </si>
  <si>
    <t>9535;6352;3071;9744;9459;4689;55843;257106;64926;374403;117289;57580;1794;116986;64333;64407;348;341;241;9938;9815;57514;25780;9754;55803;22900</t>
  </si>
  <si>
    <t>GMFG;CCL5;NCKAP1L;ACAP1;ARHGEF6;NCF4;ARHGAP15;ARHGAP30;RASAL3;TBC1D10C;TAGAP;PREX1;DOCK2;AGAP2;ARHGAP9;RGS18;APOE;APOC1;ALOX5AP;ARHGAP25;GIT2;ARHGAP31;RASGRP3;STARD8;ADAP2;CARD8</t>
  </si>
  <si>
    <t>http://www.broadinstitute.org/gsea/msigdb/cards/GO_ENZYME_ACTIVATOR_ACTIVITY.html</t>
  </si>
  <si>
    <t>GO_NEGATIVE_REGULATION_OF_LEUKOCYTE_DIFFERENTIATION</t>
  </si>
  <si>
    <t>11025;714;972;3659;1493;11006;3635;7099;3718;50943;9935</t>
  </si>
  <si>
    <t>LILRB3;C1QC;CD74;IRF1;CTLA4;LILRB4;INPP5D;TLR4;JAK3;FOXP3;MAFB</t>
  </si>
  <si>
    <t>http://www.broadinstitute.org/gsea/msigdb/cards/GO_NEGATIVE_REGULATION_OF_LEUKOCYTE_DIFFERENTIATION.html</t>
  </si>
  <si>
    <t>GO_REGULATION_OF_REGULATORY_T_CELL_DIFFERENTIATION</t>
  </si>
  <si>
    <t>3458;940;3659;1493;10288;50943</t>
  </si>
  <si>
    <t>IFNG;CD28;IRF1;CTLA4;LILRB2;FOXP3</t>
  </si>
  <si>
    <t>http://www.broadinstitute.org/gsea/msigdb/cards/GO_REGULATION_OF_REGULATORY_T_CELL_DIFFERENTIATION.html</t>
  </si>
  <si>
    <t>GO_REGULATION_OF_CHEMOKINE_PRODUCTION</t>
  </si>
  <si>
    <t>4210;3458;972;1436;84868;51284;7099;3553;3162;3586</t>
  </si>
  <si>
    <t>MEFV;IFNG;CD74;CSF1R;HAVCR2;TLR7;TLR4;IL1B;HMOX1;IL10</t>
  </si>
  <si>
    <t>http://www.broadinstitute.org/gsea/msigdb/cards/GO_REGULATION_OF_CHEMOKINE_PRODUCTION.html</t>
  </si>
  <si>
    <t>GO_PRODUCTION_OF_MOLECULAR_MEDIATOR_OF_IMMUNE_RESPONSE</t>
  </si>
  <si>
    <t>5788;3575;959;6504;5452;6556;814;3123;3127;202309</t>
  </si>
  <si>
    <t>PTPRC;IL7R;CD40LG;SLAMF1;POU2F2;SLC11A1;CAMK4;HLA-DRB1;HLA-DRB5;GAPT</t>
  </si>
  <si>
    <t>http://www.broadinstitute.org/gsea/msigdb/cards/GO_PRODUCTION_OF_MOLECULAR_MEDIATOR_OF_IMMUNE_RESPONSE.html</t>
  </si>
  <si>
    <t>GO_NEGATIVE_REGULATION_OF_INTERLEUKIN_6_PRODUCTION</t>
  </si>
  <si>
    <t>3071;6504;197358;84868;3635;7099;3586;50943</t>
  </si>
  <si>
    <t>NCKAP1L;SLAMF1;NLRC3;HAVCR2;INPP5D;TLR4;IL10;FOXP3</t>
  </si>
  <si>
    <t>http://www.broadinstitute.org/gsea/msigdb/cards/GO_NEGATIVE_REGULATION_OF_INTERLEUKIN_6_PRODUCTION.html</t>
  </si>
  <si>
    <t>GO_CARGO_RECEPTOR_ACTIVITY</t>
  </si>
  <si>
    <t>2350;923;9332;921;4481;4973;1601;55911;283316;23166</t>
  </si>
  <si>
    <t>FOLR2;CD6;CD163;CD5;MSR1;OLR1;DAB2;APOBR;CD163L1;STAB1</t>
  </si>
  <si>
    <t>http://www.broadinstitute.org/gsea/msigdb/cards/GO_CARGO_RECEPTOR_ACTIVITY.html</t>
  </si>
  <si>
    <t>GO_T_CELL_PROLIFERATION</t>
  </si>
  <si>
    <t>942;5294;81704;1794;56253;6556;10148;5027</t>
  </si>
  <si>
    <t>CD86;PIK3CG;DOCK8;DOCK2;CRTAM;SLC11A1;EBI3;P2RX7</t>
  </si>
  <si>
    <t>http://www.broadinstitute.org/gsea/msigdb/cards/GO_T_CELL_PROLIFERATION.html</t>
  </si>
  <si>
    <t>GO_NEGATIVE_REGULATION_OF_LYMPHOCYTE_MEDIATED_IMMUNITY</t>
  </si>
  <si>
    <t>5788;3575;1378;6890;6504;84868;6693;50943</t>
  </si>
  <si>
    <t>PTPRC;IL7R;CR1;TAP1;SLAMF1;HAVCR2;SPN;FOXP3</t>
  </si>
  <si>
    <t>http://www.broadinstitute.org/gsea/msigdb/cards/GO_NEGATIVE_REGULATION_OF_LYMPHOCYTE_MEDIATED_IMMUNITY.html</t>
  </si>
  <si>
    <t>GO_NUCLEOSIDE_TRIPHOSPHATASE_REGULATOR_ACTIVITY</t>
  </si>
  <si>
    <t>3071;9744;9459;399;55843;257106;64926;374403;117289;57580;1794;116986;64333;64407;9938;7454;9815;57514;25780;9754;55803</t>
  </si>
  <si>
    <t>NCKAP1L;ACAP1;ARHGEF6;RHOH;ARHGAP15;ARHGAP30;RASAL3;TBC1D10C;TAGAP;PREX1;DOCK2;AGAP2;ARHGAP9;RGS18;ARHGAP25;WAS;GIT2;ARHGAP31;RASGRP3;STARD8;ADAP2</t>
  </si>
  <si>
    <t>http://www.broadinstitute.org/gsea/msigdb/cards/GO_NUCLEOSIDE_TRIPHOSPHATASE_REGULATOR_ACTIVITY.html</t>
  </si>
  <si>
    <t>GO_RESPONSE_TO_NITROGEN_COMPOUND</t>
  </si>
  <si>
    <t>6352;2350;1236;5734;2322;6772;5294;199;4671;64170;54209;10537;366;3717;3553;1508;1621;3162;596;6402;526;728;3586;5724;6546;6753;6776;3718;54331;4208;245972;4327;5027;6363;64805;59345;4644</t>
  </si>
  <si>
    <t>CCL5;FOLR2;CCR7;PTGER4;FLT3;STAT1;PIK3CG;AIF1;NAIP;CARD9;TREM2;UBD;AQP9;JAK2;IL1B;CTSB;DBH;HMOX1;BCL2;SELL;ATP6V1B2;C5AR1;IL10;PTAFR;SLC8A1;SSTR3;STAT5A;JAK3;GNG2;MEF2C;ATP6V0D2;MMP19;P2RX7;CCL19;P2RY12;GNB4;MYO5A</t>
  </si>
  <si>
    <t>http://www.broadinstitute.org/gsea/msigdb/cards/GO_RESPONSE_TO_NITROGEN_COMPOUND.html</t>
  </si>
  <si>
    <t>GO_POSITIVE_REGULATION_OF_ERK1_AND_ERK2_CASCADE</t>
  </si>
  <si>
    <t>972;1436;6351;6352;1236;6504;388325;84868;57105;54209;7099;3553;728;1230;6363</t>
  </si>
  <si>
    <t>CD74;CSF1R;CCL4;CCL5;CCR7;SLAMF1;SCIMP;HAVCR2;CYSLTR2;TREM2;TLR4;IL1B;C5AR1;CCR1;CCL19</t>
  </si>
  <si>
    <t>http://www.broadinstitute.org/gsea/msigdb/cards/GO_POSITIVE_REGULATION_OF_ERK1_AND_ERK2_CASCADE.html</t>
  </si>
  <si>
    <t>GO_LAMELLIPODIUM</t>
  </si>
  <si>
    <t>4210;9051;11151;199;9459;5800;221472;51225;51393;3737;57514;55704;89846;54518;51466</t>
  </si>
  <si>
    <t>MEFV;PSTPIP1;CORO1A;AIF1;ARHGEF6;PTPRO;FGD2;ABI3;TRPV2;KCNA2;ARHGAP31;CCDC88A;FGD3;APBB1IP;EVL</t>
  </si>
  <si>
    <t>http://www.broadinstitute.org/gsea/msigdb/cards/GO_LAMELLIPODIUM.html</t>
  </si>
  <si>
    <t>GO_PHAGOCYTIC_VESICLE</t>
  </si>
  <si>
    <t>1536;653361;11151;6504;4689;51284;19;4688;6556;245972;51762</t>
  </si>
  <si>
    <t>CYBB;NCF1;CORO1A;SLAMF1;NCF4;TLR7;ABCA1;NCF2;SLC11A1;ATP6V0D2;RAB8B</t>
  </si>
  <si>
    <t>http://www.broadinstitute.org/gsea/msigdb/cards/GO_PHAGOCYTIC_VESICLE.html</t>
  </si>
  <si>
    <t>GO_POSITIVE_REGULATION_OF_INTERLEUKIN_6_PRODUCTION</t>
  </si>
  <si>
    <t>3458;2207;10288;64170;51284;7099;3553;5724;729230;5027</t>
  </si>
  <si>
    <t>IFNG;FCER1G;LILRB2;CARD9;TLR7;TLR4;IL1B;PTAFR;CCR2;P2RX7</t>
  </si>
  <si>
    <t>http://www.broadinstitute.org/gsea/msigdb/cards/GO_POSITIVE_REGULATION_OF_INTERLEUKIN_6_PRODUCTION.html</t>
  </si>
  <si>
    <t>GO_ACTIN_POLYMERIZATION_OR_DEPOLYMERIZATION</t>
  </si>
  <si>
    <t>7456;199;57580;3717;3059;7454;64780;51466</t>
  </si>
  <si>
    <t>WIPF1;AIF1;PREX1;JAK2;HCLS1;WAS;MICAL1;EVL</t>
  </si>
  <si>
    <t>http://www.broadinstitute.org/gsea/msigdb/cards/GO_ACTIN_POLYMERIZATION_OR_DEPOLYMERIZATION.html</t>
  </si>
  <si>
    <t>GO_SECRETION_BY_CELL</t>
  </si>
  <si>
    <t>8676;5341;3055;6352;959;2207;11151;1236;5294;3937;114548;115362;58484;7099;19;2162;5452;5552;1230;6507;27163;51762;5027;6363;7462;4644</t>
  </si>
  <si>
    <t>STX11;PLEK;HCK;CCL5;CD40LG;FCER1G;CORO1A;CCR7;PIK3CG;LCP2;NLRP3;GBP5;NLRC4;TLR4;ABCA1;F13A1;POU2F2;SRGN;CCR1;SLC1A3;NAAA;RAB8B;P2RX7;CCL19;LAT2;MYO5A</t>
  </si>
  <si>
    <t>http://www.broadinstitute.org/gsea/msigdb/cards/GO_SECRETION_BY_CELL.html</t>
  </si>
  <si>
    <t>GO_REGULATION_OF_SMALL_GTPASE_MEDIATED_SIGNAL_TRANSDUCTION</t>
  </si>
  <si>
    <t>391;9459;399;55843;257106;221472;64926;117289;57580;64333;27128;19;348;1435;9938;57514;89846;115727;9754</t>
  </si>
  <si>
    <t>RHOG;ARHGEF6;RHOH;ARHGAP15;ARHGAP30;FGD2;RASAL3;TAGAP;PREX1;ARHGAP9;CYTH4;ABCA1;APOE;CSF1;ARHGAP25;ARHGAP31;FGD3;RASGRP4;STARD8</t>
  </si>
  <si>
    <t>http://www.broadinstitute.org/gsea/msigdb/cards/GO_REGULATION_OF_SMALL_GTPASE_MEDIATED_SIGNAL_TRANSDUCTION.html</t>
  </si>
  <si>
    <t>GO_SECRETION</t>
  </si>
  <si>
    <t>8676;5341;3055;6352;959;2207;11151;1236;5294;3937;114548;115362;58484;7099;366;19;2162;5452;5552;3274;1230;6776;6507;27163;51762;5027;6363;7462;4644</t>
  </si>
  <si>
    <t>STX11;PLEK;HCK;CCL5;CD40LG;FCER1G;CORO1A;CCR7;PIK3CG;LCP2;NLRP3;GBP5;NLRC4;TLR4;AQP9;ABCA1;F13A1;POU2F2;SRGN;HRH2;CCR1;STAT5A;SLC1A3;NAAA;RAB8B;P2RX7;CCL19;LAT2;MYO5A</t>
  </si>
  <si>
    <t>http://www.broadinstitute.org/gsea/msigdb/cards/GO_SECRETION.html</t>
  </si>
  <si>
    <t>GO_CYTOKINE_SECRETION</t>
  </si>
  <si>
    <t>1236;3937;114548;115362;58484;7099;19;6363</t>
  </si>
  <si>
    <t>CCR7;LCP2;NLRP3;GBP5;NLRC4;TLR4;ABCA1;CCL19</t>
  </si>
  <si>
    <t>http://www.broadinstitute.org/gsea/msigdb/cards/GO_CYTOKINE_SECRETION.html</t>
  </si>
  <si>
    <t>GO_INTERLEUKIN_1_PRODUCTION</t>
  </si>
  <si>
    <t>114548;115362;58484;7099;19;3553</t>
  </si>
  <si>
    <t>NLRP3;GBP5;NLRC4;TLR4;ABCA1;IL1B</t>
  </si>
  <si>
    <t>http://www.broadinstitute.org/gsea/msigdb/cards/GO_INTERLEUKIN_1_PRODUCTION.html</t>
  </si>
  <si>
    <t>GO_POSITIVE_REGULATION_OF_MONOCYTE_CHEMOTAXIS</t>
  </si>
  <si>
    <t>3627;6352;199;1230;729230;7941</t>
  </si>
  <si>
    <t>CXCL10;CCL5;AIF1;CCR1;CCR2;PLA2G7</t>
  </si>
  <si>
    <t>http://www.broadinstitute.org/gsea/msigdb/cards/GO_POSITIVE_REGULATION_OF_MONOCYTE_CHEMOTAXIS.html</t>
  </si>
  <si>
    <t>GO_NEGATIVE_REGULATION_OF_DEVELOPMENTAL_PROCESS</t>
  </si>
  <si>
    <t>11025;3458;714;3627;972;3659;1493;2633;5734;942;6772;5800;11006;3635;2672;7099;29909;19;3553;348;3956;5552;596;1230;729230;356;2833;3718;5376;5133;10507;50943;64805;23166;9935</t>
  </si>
  <si>
    <t>LILRB3;IFNG;C1QC;CXCL10;CD74;IRF1;CTLA4;GBP1;PTGER4;CD86;STAT1;PTPRO;LILRB4;INPP5D;GFI1;TLR4;GPR171;ABCA1;IL1B;APOE;LGALS1;SRGN;BCL2;CCR1;CCR2;FASLG;CXCR3;JAK3;PMP22;PDCD1;SEMA4D;FOXP3;P2RY12;STAB1;MAFB</t>
  </si>
  <si>
    <t>http://www.broadinstitute.org/gsea/msigdb/cards/GO_NEGATIVE_REGULATION_OF_DEVELOPMENTAL_PROCESS.html</t>
  </si>
  <si>
    <t>GO_REGULATION_OF_ION_HOMEOSTASIS</t>
  </si>
  <si>
    <t>920;3627;3932;5788;11151;1236;5734;1234;4283;6373;596;6546;2833;5027;6363;4644</t>
  </si>
  <si>
    <t>CD4;CXCL10;LCK;PTPRC;CORO1A;CCR7;PTGER4;CCR5;CXCL9;CXCL11;BCL2;SLC8A1;CXCR3;P2RX7;CCL19;MYO5A</t>
  </si>
  <si>
    <t>http://www.broadinstitute.org/gsea/msigdb/cards/GO_REGULATION_OF_ION_HOMEOSTASIS.html</t>
  </si>
  <si>
    <t>GO_PEPTIDYL_TYROSINE_AUTOPHOSPHORYLATION</t>
  </si>
  <si>
    <t>3932;3055;2268;7535;695;3702;3717;3718</t>
  </si>
  <si>
    <t>LCK;HCK;FGR;ZAP70;BTK;ITK;JAK2;JAK3</t>
  </si>
  <si>
    <t>http://www.broadinstitute.org/gsea/msigdb/cards/GO_PEPTIDYL_TYROSINE_AUTOPHOSPHORYLATION.html</t>
  </si>
  <si>
    <t>GO_POSITIVE_REGULATION_OF_I_KAPPAB_KINASE_NF_KAPPAB_SIGNALING</t>
  </si>
  <si>
    <t>80833;5579;1236;93978;64170;51284;7099;10537;3553;3956;3162;356;8809;6363;4215</t>
  </si>
  <si>
    <t>APOL3;PRKCB;CCR7;CLEC6A;CARD9;TLR7;TLR4;UBD;IL1B;LGALS1;HMOX1;FASLG;IL18R1;CCL19;MAP3K3</t>
  </si>
  <si>
    <t>http://www.broadinstitute.org/gsea/msigdb/cards/GO_POSITIVE_REGULATION_OF_I_KAPPAB_KINASE_NF_KAPPAB_SIGNALING.html</t>
  </si>
  <si>
    <t>GO_NEGATIVE_REGULATION_OF_RESPONSE_TO_WOUNDING</t>
  </si>
  <si>
    <t>4210;3559;7133;5734;79626;114548;730249;348;2811;54;2113;6693;3586;50943</t>
  </si>
  <si>
    <t>MEFV;IL2RA;TNFRSF1B;PTGER4;TNFAIP8L2;NLRP3;ACOD1;APOE;GP1BA;ACP5;ETS1;SPN;IL10;FOXP3</t>
  </si>
  <si>
    <t>http://www.broadinstitute.org/gsea/msigdb/cards/GO_NEGATIVE_REGULATION_OF_RESPONSE_TO_WOUNDING.html</t>
  </si>
  <si>
    <t>GO_REGULATION_OF_ACTIVATED_T_CELL_PROLIFERATION</t>
  </si>
  <si>
    <t>3559;942;3594;6504;80380;3718;50943;29126</t>
  </si>
  <si>
    <t>IL2RA;CD86;IL12RB1;SLAMF1;PDCD1LG2;JAK3;FOXP3;CD274</t>
  </si>
  <si>
    <t>http://www.broadinstitute.org/gsea/msigdb/cards/GO_REGULATION_OF_ACTIVATED_T_CELL_PROLIFERATION.html</t>
  </si>
  <si>
    <t>GO_REGULATION_OF_KINASE_ACTIVITY</t>
  </si>
  <si>
    <t>9535;9839;920;3627;972;1436;5788;2268;6352;959;1236;2322;5294;3071;3937;221472;84166;23533;11184;11314;7099;3717;3553;348;2811;1435;2357;728;6556;55704;146850;5027;6363;4215</t>
  </si>
  <si>
    <t>GMFG;ZEB2;CD4;CXCL10;CD74;CSF1R;PTPRC;FGR;CCL5;CD40LG;CCR7;FLT3;PIK3CG;NCKAP1L;LCP2;FGD2;NLRC5;PIK3R5;MAP4K1;CD300A;TLR4;JAK2;IL1B;APOE;GP1BA;CSF1;FPR1;C5AR1;SLC11A1;CCDC88A;PIK3R6;P2RX7;CCL19;MAP3K3</t>
  </si>
  <si>
    <t>http://www.broadinstitute.org/gsea/msigdb/cards/GO_REGULATION_OF_KINASE_ACTIVITY.html</t>
  </si>
  <si>
    <t>GO_DETECTION_OF_BIOTIC_STIMULUS</t>
  </si>
  <si>
    <t>114548;58484;54209;7099;56253;3123;3127</t>
  </si>
  <si>
    <t>NLRP3;NLRC4;TREM2;TLR4;CRTAM;HLA-DRB1;HLA-DRB5</t>
  </si>
  <si>
    <t>http://www.broadinstitute.org/gsea/msigdb/cards/GO_DETECTION_OF_BIOTIC_STIMULUS.html</t>
  </si>
  <si>
    <t>GO_POSITIVE_REGULATION_OF_STAT_CASCADE</t>
  </si>
  <si>
    <t>3458;1436;6352;5734;2322;59067;3717;3059;3586;11009</t>
  </si>
  <si>
    <t>IFNG;CSF1R;CCL5;PTGER4;FLT3;IL21;JAK2;HCLS1;IL10;IL24</t>
  </si>
  <si>
    <t>http://www.broadinstitute.org/gsea/msigdb/cards/GO_POSITIVE_REGULATION_OF_STAT_CASCADE.html</t>
  </si>
  <si>
    <t>GO_RESPONSE_TO_TUMOR_NECROSIS_FACTOR</t>
  </si>
  <si>
    <t>10068;929;6351;6352;7133;959;6772;10673;730249;10537;8742;3717;4049;943;4050;3604;6363</t>
  </si>
  <si>
    <t>IL18BP;CD14;CCL4;CCL5;TNFRSF1B;CD40LG;STAT1;TNFSF13B;ACOD1;UBD;TNFSF12;JAK2;LTA;TNFRSF8;LTB;TNFRSF9;CCL19</t>
  </si>
  <si>
    <t>http://www.broadinstitute.org/gsea/msigdb/cards/GO_RESPONSE_TO_TUMOR_NECROSIS_FACTOR.html</t>
  </si>
  <si>
    <t>GO_MYELOID_CELL_ACTIVATION_INVOLVED_IN_IMMUNE_RESPONSE</t>
  </si>
  <si>
    <t>7305;2207;7535;5294;6504;84868;1794;7462</t>
  </si>
  <si>
    <t>TYROBP;FCER1G;ZAP70;PIK3CG;SLAMF1;HAVCR2;DOCK2;LAT2</t>
  </si>
  <si>
    <t>http://www.broadinstitute.org/gsea/msigdb/cards/GO_MYELOID_CELL_ACTIVATION_INVOLVED_IN_IMMUNE_RESPONSE.html</t>
  </si>
  <si>
    <t>GO_EXTRINSIC_COMPONENT_OF_PLASMA_MEMBRANE</t>
  </si>
  <si>
    <t>3932;3055;2268;7535;695;3702;8514;2219;3717;3718;54331;4240;10672</t>
  </si>
  <si>
    <t>LCK;HCK;FGR;ZAP70;BTK;ITK;KCNAB2;FCN1;JAK2;JAK3;GNG2;MFGE8;GNA13</t>
  </si>
  <si>
    <t>http://www.broadinstitute.org/gsea/msigdb/cards/GO_EXTRINSIC_COMPONENT_OF_PLASMA_MEMBRANE.html</t>
  </si>
  <si>
    <t>GO_REGULATION_OF_T_CELL_RECEPTOR_SIGNALING_PATHWAY</t>
  </si>
  <si>
    <t>9840;3932;1236;2633;53347;50852;11314</t>
  </si>
  <si>
    <t>TESPA1;LCK;CCR7;GBP1;UBASH3A;TRAT1;CD300A</t>
  </si>
  <si>
    <t>http://www.broadinstitute.org/gsea/msigdb/cards/GO_REGULATION_OF_T_CELL_RECEPTOR_SIGNALING_PATHWAY.html</t>
  </si>
  <si>
    <t>GO_SMALL_GTPASE_MEDIATED_SIGNAL_TRANSDUCTION</t>
  </si>
  <si>
    <t>9046;9402;199;391;399;139818;79930;81704;1794;116986;3162;9363;10672;27314;57514;10235;25780;115727;51762;55619;116442</t>
  </si>
  <si>
    <t>DOK2;GRAP2;AIF1;RHOG;RHOH;DOCK11;DOK3;DOCK8;DOCK2;AGAP2;HMOX1;RAB33A;GNA13;RAB30;ARHGAP31;RASGRP2;RASGRP3;RASGRP4;RAB8B;DOCK10;RAB39B</t>
  </si>
  <si>
    <t>http://www.broadinstitute.org/gsea/msigdb/cards/GO_SMALL_GTPASE_MEDIATED_SIGNAL_TRANSDUCTION.html</t>
  </si>
  <si>
    <t>GO_REGULATION_OF_ERK1_AND_ERK2_CASCADE</t>
  </si>
  <si>
    <t>972;1436;6351;6352;1236;2633;6504;388325;374403;84868;57105;54209;7099;3553;728;1230;6363</t>
  </si>
  <si>
    <t>CD74;CSF1R;CCL4;CCL5;CCR7;GBP1;SLAMF1;SCIMP;TBC1D10C;HAVCR2;CYSLTR2;TREM2;TLR4;IL1B;C5AR1;CCR1;CCL19</t>
  </si>
  <si>
    <t>http://www.broadinstitute.org/gsea/msigdb/cards/GO_REGULATION_OF_ERK1_AND_ERK2_CASCADE.html</t>
  </si>
  <si>
    <t>GO_PEPTIDYL_TYROSINE_MODIFICATION</t>
  </si>
  <si>
    <t>3932;1436;3055;2268;1439;2322;3594;7535;695;3702;59067;51225;3717;6776;3718</t>
  </si>
  <si>
    <t>LCK;CSF1R;HCK;FGR;CSF2RB;FLT3;IL12RB1;ZAP70;BTK;ITK;IL21;ABI3;JAK2;STAT5A;JAK3</t>
  </si>
  <si>
    <t>http://www.broadinstitute.org/gsea/msigdb/cards/GO_PEPTIDYL_TYROSINE_MODIFICATION.html</t>
  </si>
  <si>
    <t>GO_NEGATIVE_REGULATION_OF_LEUKOCYTE_APOPTOTIC_PROCESS</t>
  </si>
  <si>
    <t>972;6352;2207;1236;81704;3059;3718;6363</t>
  </si>
  <si>
    <t>CD74;CCL5;FCER1G;CCR7;DOCK8;HCLS1;JAK3;CCL19</t>
  </si>
  <si>
    <t>http://www.broadinstitute.org/gsea/msigdb/cards/GO_NEGATIVE_REGULATION_OF_LEUKOCYTE_APOPTOTIC_PROCESS.html</t>
  </si>
  <si>
    <t>GO_TRANSMEMBRANE_TRANSPORT</t>
  </si>
  <si>
    <t>1318;3932;5788;5551;1236;1234;6890;8514;51296;255231;56659;225;9056;51393;9120;366;7439;19;596;3737;526;6518;6546;6507;6556;6891;597;441168;206358;151556;245972;84230;51762;84329;5027;6363;64805;64747;51063;56606;55013;9033</t>
  </si>
  <si>
    <t>SLC31A2;LCK;PTPRC;PRF1;CCR7;CCR5;TAP1;KCNAB2;SLC15A3;MCOLN2;KCNK13;ABCD2;SLC7A7;TRPV2;SLC16A6;AQP9;BEST1;ABCA1;BCL2;KCNA2;ATP6V1B2;SLC2A5;SLC8A1;SLC1A3;SLC11A1;TAP2;BCL2A1;CALHM6;SLC36A1;GPR155;ATP6V0D2;LRRC8C;RAB8B;HVCN1;P2RX7;CCL19;P2RY12;MFSD1;CALHM2;SLC2A9;MCUB;PKD2L1</t>
  </si>
  <si>
    <t>http://www.broadinstitute.org/gsea/msigdb/cards/GO_TRANSMEMBRANE_TRANSPORT.html</t>
  </si>
  <si>
    <t>GO_REGULATION_OF_TUMOR_NECROSIS_FACTOR_BIOSYNTHETIC_PROCESS</t>
  </si>
  <si>
    <t>64170;7099;6693;3586;943;729230</t>
  </si>
  <si>
    <t>CARD9;TLR4;SPN;IL10;TNFRSF8;CCR2</t>
  </si>
  <si>
    <t>http://www.broadinstitute.org/gsea/msigdb/cards/GO_REGULATION_OF_TUMOR_NECROSIS_FACTOR_BIOSYNTHETIC_PROCESS.html</t>
  </si>
  <si>
    <t>GO_CELL_CELL_RECOGNITION</t>
  </si>
  <si>
    <t>5551;923;11151;1236;81704;1794;84329;6363;30835</t>
  </si>
  <si>
    <t>PRF1;CD6;CORO1A;CCR7;DOCK8;DOCK2;HVCN1;CCL19;CD209</t>
  </si>
  <si>
    <t>http://www.broadinstitute.org/gsea/msigdb/cards/GO_CELL_CELL_RECOGNITION.html</t>
  </si>
  <si>
    <t>GO_REGULATION_OF_DEFENSE_RESPONSE_TO_VIRUS</t>
  </si>
  <si>
    <t>3559;920;3932;3055;940;919;3594;1794;926;6693;6507;8905;51676;10077;283316</t>
  </si>
  <si>
    <t>IL2RA;CD4;LCK;HCK;CD28;CD247;IL12RB1;DOCK2;CD8B;SPN;SLC1A3;AP1S2;ASB2;TSPAN32;CD163L1</t>
  </si>
  <si>
    <t>http://www.broadinstitute.org/gsea/msigdb/cards/GO_REGULATION_OF_DEFENSE_RESPONSE_TO_VIRUS.html</t>
  </si>
  <si>
    <t>GO_EXTRINSIC_COMPONENT_OF_CYTOPLASMIC_SIDE_OF_PLASMA_MEMBRANE</t>
  </si>
  <si>
    <t>3932;3055;2268;7535;695;3702;8514;3717;3718;54331;10672</t>
  </si>
  <si>
    <t>LCK;HCK;FGR;ZAP70;BTK;ITK;KCNAB2;JAK2;JAK3;GNG2;GNA13</t>
  </si>
  <si>
    <t>http://www.broadinstitute.org/gsea/msigdb/cards/GO_EXTRINSIC_COMPONENT_OF_CYTOPLASMIC_SIDE_OF_PLASMA_MEMBRANE.html</t>
  </si>
  <si>
    <t>GO_POSITIVE_REGULATION_OF_INTERLEUKIN_1_BETA_PRODUCTION</t>
  </si>
  <si>
    <t>3458;114548;3717;729230;5027;6363;22900</t>
  </si>
  <si>
    <t>IFNG;NLRP3;JAK2;CCR2;P2RX7;CCL19;CARD8</t>
  </si>
  <si>
    <t>http://www.broadinstitute.org/gsea/msigdb/cards/GO_POSITIVE_REGULATION_OF_INTERLEUKIN_1_BETA_PRODUCTION.html</t>
  </si>
  <si>
    <t>GO_PROTEIN_COMPLEX_INVOLVED_IN_CELL_ADHESION</t>
  </si>
  <si>
    <t>3689;3676;3683;3687;3695;3684;10077</t>
  </si>
  <si>
    <t>ITGB2;ITGA4;ITGAL;ITGAX;ITGB7;ITGAM;TSPAN32</t>
  </si>
  <si>
    <t>http://www.broadinstitute.org/gsea/msigdb/cards/GO_PROTEIN_COMPLEX_INVOLVED_IN_CELL_ADHESION.html</t>
  </si>
  <si>
    <t>GO_REGULATION_OF_INTERLEUKIN_8_PRODUCTION</t>
  </si>
  <si>
    <t>914;5734;51744;51311;51284;7099;2219;3553;3586</t>
  </si>
  <si>
    <t>CD2;PTGER4;CD244;TLR8;TLR7;TLR4;FCN1;IL1B;IL10</t>
  </si>
  <si>
    <t>http://www.broadinstitute.org/gsea/msigdb/cards/GO_REGULATION_OF_INTERLEUKIN_8_PRODUCTION.html</t>
  </si>
  <si>
    <t>GO_POSITIVE_REGULATION_OF_INTERLEUKIN_8_PRODUCTION</t>
  </si>
  <si>
    <t>914;5734;51744;51311;51284;7099;2219;3553</t>
  </si>
  <si>
    <t>CD2;PTGER4;CD244;TLR8;TLR7;TLR4;FCN1;IL1B</t>
  </si>
  <si>
    <t>http://www.broadinstitute.org/gsea/msigdb/cards/GO_POSITIVE_REGULATION_OF_INTERLEUKIN_8_PRODUCTION.html</t>
  </si>
  <si>
    <t>GO_HETEROPHILIC_CELL_CELL_ADHESION_VIA_PLASMA_MEMBRANE_CELL_ADHESION_MOLECULES</t>
  </si>
  <si>
    <t>259197;3683;923;10666;201633;56253;120425;30835</t>
  </si>
  <si>
    <t>NCR3;ITGAL;CD6;CD226;TIGIT;CRTAM;JAML;CD209</t>
  </si>
  <si>
    <t>http://www.broadinstitute.org/gsea/msigdb/cards/GO_HETEROPHILIC_CELL_CELL_ADHESION_VIA_PLASMA_MEMBRANE_CELL_ADHESION_MOLECULES.html</t>
  </si>
  <si>
    <t>GO_NEGATIVE_REGULATION_OF_RESPONSE_TO_EXTERNAL_STIMULUS</t>
  </si>
  <si>
    <t>4210;3559;7133;5734;199;5800;79626;84868;114548;730249;348;2811;54;2113;6693;3586;10507;50943</t>
  </si>
  <si>
    <t>MEFV;IL2RA;TNFRSF1B;PTGER4;AIF1;PTPRO;TNFAIP8L2;HAVCR2;NLRP3;ACOD1;APOE;GP1BA;ACP5;ETS1;SPN;IL10;SEMA4D;FOXP3</t>
  </si>
  <si>
    <t>http://www.broadinstitute.org/gsea/msigdb/cards/GO_NEGATIVE_REGULATION_OF_RESPONSE_TO_EXTERNAL_STIMULUS.html</t>
  </si>
  <si>
    <t>GO_NEGATIVE_REGULATION_OF_TRANSPORT</t>
  </si>
  <si>
    <t>972;5579;11151;2633;5734;6504;50852;54899;374403;10288;114548;11314;8832;3553;348;341;3162;5552;596;3586;729230;3604;50943;64805</t>
  </si>
  <si>
    <t>CD74;PRKCB;CORO1A;GBP1;PTGER4;SLAMF1;TRAT1;PXK;TBC1D10C;LILRB2;NLRP3;CD300A;CD84;IL1B;APOE;APOC1;HMOX1;SRGN;BCL2;IL10;CCR2;TNFRSF9;FOXP3;P2RY12</t>
  </si>
  <si>
    <t>http://www.broadinstitute.org/gsea/msigdb/cards/GO_NEGATIVE_REGULATION_OF_TRANSPORT.html</t>
  </si>
  <si>
    <t>GO_LIPOPOLYSACCHARIDE_MEDIATED_SIGNALING_PATHWAY</t>
  </si>
  <si>
    <t>929;3055;6352;923;7099;3553;5724</t>
  </si>
  <si>
    <t>CD14;HCK;CCL5;CD6;TLR4;IL1B;PTAFR</t>
  </si>
  <si>
    <t>http://www.broadinstitute.org/gsea/msigdb/cards/GO_LIPOPOLYSACCHARIDE_MEDIATED_SIGNALING_PATHWAY.html</t>
  </si>
  <si>
    <t>GO_HOMEOSTASIS_OF_NUMBER_OF_CELLS_WITHIN_A_TISSUE</t>
  </si>
  <si>
    <t>54440;11151;924;1435;596;3988;5027</t>
  </si>
  <si>
    <t>SASH3;CORO1A;CD7;CSF1;BCL2;LIPA;P2RX7</t>
  </si>
  <si>
    <t>http://www.broadinstitute.org/gsea/msigdb/cards/GO_HOMEOSTASIS_OF_NUMBER_OF_CELLS_WITHIN_A_TISSUE.html</t>
  </si>
  <si>
    <t>GO_REGULATION_OF_INFLAMMATORY_RESPONSE_TO_ANTIGENIC_STIMULUS</t>
  </si>
  <si>
    <t>940;2207;1236;4049;6693;3586</t>
  </si>
  <si>
    <t>CD28;FCER1G;CCR7;LTA;SPN;IL10</t>
  </si>
  <si>
    <t>http://www.broadinstitute.org/gsea/msigdb/cards/GO_REGULATION_OF_INFLAMMATORY_RESPONSE_TO_ANTIGENIC_STIMULUS.html</t>
  </si>
  <si>
    <t>GO_MHC_CLASS_I_PROTEIN_BINDING</t>
  </si>
  <si>
    <t>925;6890;10288;51744;29992;926</t>
  </si>
  <si>
    <t>CD8A;TAP1;LILRB2;CD244;PILRA;CD8B</t>
  </si>
  <si>
    <t>http://www.broadinstitute.org/gsea/msigdb/cards/GO_MHC_CLASS_I_PROTEIN_BINDING.html</t>
  </si>
  <si>
    <t>GO_POSITIVE_REGULATION_OF_PHOSPHATIDYLINOSITOL_3_KINASE_SIGNALING</t>
  </si>
  <si>
    <t>2268;940;6352;2322;10870;3717;3059;118788;10507</t>
  </si>
  <si>
    <t>FGR;CD28;CCL5;FLT3;HCST;JAK2;HCLS1;PIK3AP1;SEMA4D</t>
  </si>
  <si>
    <t>http://www.broadinstitute.org/gsea/msigdb/cards/GO_POSITIVE_REGULATION_OF_PHOSPHATIDYLINOSITOL_3_KINASE_SIGNALING.html</t>
  </si>
  <si>
    <t>GO_REGULATION_OF_SEQUENCE_SPECIFIC_DNA_BINDING_TRANSCRIPTION_FACTOR_ACTIVITY</t>
  </si>
  <si>
    <t>3689;5579;3055;959;695;197358;84166;150372;84868;114548;2672;1240;58484;730249;7099;3717;3553;3162;3586;7185;50943</t>
  </si>
  <si>
    <t>ITGB2;PRKCB;HCK;CD40LG;BTK;NLRC3;NLRC5;NFAM1;HAVCR2;NLRP3;GFI1;CMKLR1;NLRC4;ACOD1;TLR4;JAK2;IL1B;HMOX1;IL10;TRAF1;FOXP3</t>
  </si>
  <si>
    <t>http://www.broadinstitute.org/gsea/msigdb/cards/GO_REGULATION_OF_SEQUENCE_SPECIFIC_DNA_BINDING_TRANSCRIPTION_FACTOR_ACTIVITY.html</t>
  </si>
  <si>
    <t>GO_ENZYME_REGULATOR_ACTIVITY</t>
  </si>
  <si>
    <t>9535;9839;3627;6352;3071;4671;9744;9459;4689;399;55843;257106;64926;374403;117289;57580;23533;1794;26051;116986;64333;58484;64407;55589;8530;348;341;2811;241;9938;7454;9815;57514;146850;25780;9754;55803;22900</t>
  </si>
  <si>
    <t>GMFG;ZEB2;CXCL10;CCL5;NCKAP1L;NAIP;ACAP1;ARHGEF6;NCF4;RHOH;ARHGAP15;ARHGAP30;RASAL3;TBC1D10C;TAGAP;PREX1;PIK3R5;DOCK2;PPP1R16B;AGAP2;ARHGAP9;NLRC4;RGS18;BMP2K;CST7;APOE;APOC1;GP1BA;ALOX5AP;ARHGAP25;WAS;GIT2;ARHGAP31;PIK3R6;RASGRP3;STARD8;ADAP2;CARD8</t>
  </si>
  <si>
    <t>http://www.broadinstitute.org/gsea/msigdb/cards/GO_ENZYME_REGULATOR_ACTIVITY.html</t>
  </si>
  <si>
    <t>GO_NEGATIVE_REGULATION_OF_CYTOKINE_SECRETION</t>
  </si>
  <si>
    <t>2633;5734;6504;114548;5552;3586;3604;50943</t>
  </si>
  <si>
    <t>GBP1;PTGER4;SLAMF1;NLRP3;SRGN;IL10;TNFRSF9;FOXP3</t>
  </si>
  <si>
    <t>http://www.broadinstitute.org/gsea/msigdb/cards/GO_NEGATIVE_REGULATION_OF_CYTOKINE_SECRETION.html</t>
  </si>
  <si>
    <t>GO_CYTOPLASMIC_SIDE_OF_MEMBRANE</t>
  </si>
  <si>
    <t>3932;914;3055;2268;5778;7535;695;3702;8514;64926;3717;3718;54331;10672</t>
  </si>
  <si>
    <t>LCK;CD2;HCK;FGR;PTPN7;ZAP70;BTK;ITK;KCNAB2;RASAL3;JAK2;JAK3;GNG2;GNA13</t>
  </si>
  <si>
    <t>http://www.broadinstitute.org/gsea/msigdb/cards/GO_CYTOPLASMIC_SIDE_OF_MEMBRANE.html</t>
  </si>
  <si>
    <t>GO_NON_MEMBRANE_SPANNING_PROTEIN_TYROSINE_KINASE_ACTIVITY</t>
  </si>
  <si>
    <t>http://www.broadinstitute.org/gsea/msigdb/cards/GO_NON_MEMBRANE_SPANNING_PROTEIN_TYROSINE_KINASE_ACTIVITY.html</t>
  </si>
  <si>
    <t>GO_REGULATION_OF_CELLULAR_COMPONENT_SIZE</t>
  </si>
  <si>
    <t>7456;9535;5341;3055;3575;11151;1236;3071;57580;51393;366;10154;348;3059;729230;7454;85464;10507;5027;51466</t>
  </si>
  <si>
    <t>WIPF1;GMFG;PLEK;HCK;IL7R;CORO1A;CCR7;NCKAP1L;PREX1;TRPV2;AQP9;PLXNC1;APOE;HCLS1;CCR2;WAS;SSH2;SEMA4D;P2RX7;EVL</t>
  </si>
  <si>
    <t>http://www.broadinstitute.org/gsea/msigdb/cards/GO_REGULATION_OF_CELLULAR_COMPONENT_SIZE.html</t>
  </si>
  <si>
    <t>GO_CALCIUM_ION_TRANSPORT</t>
  </si>
  <si>
    <t>5579;3932;5788;6352;11151;1236;1234;255231;51393;1230;6546;5027;6363;64805;55013;9033</t>
  </si>
  <si>
    <t>PRKCB;LCK;PTPRC;CCL5;CORO1A;CCR7;CCR5;MCOLN2;TRPV2;CCR1;SLC8A1;P2RX7;CCL19;P2RY12;MCUB;PKD2L1</t>
  </si>
  <si>
    <t>http://www.broadinstitute.org/gsea/msigdb/cards/GO_CALCIUM_ION_TRANSPORT.html</t>
  </si>
  <si>
    <t>GO_POSITIVE_REGULATION_OF_T_CELL_MEDIATED_IMMUNITY</t>
  </si>
  <si>
    <t>259197;54440;3594;114548;3553;5027;50943</t>
  </si>
  <si>
    <t>NCR3;SASH3;IL12RB1;NLRP3;IL1B;P2RX7;FOXP3</t>
  </si>
  <si>
    <t>http://www.broadinstitute.org/gsea/msigdb/cards/GO_POSITIVE_REGULATION_OF_T_CELL_MEDIATED_IMMUNITY.html</t>
  </si>
  <si>
    <t>GO_POSITIVE_REGULATION_OF_INTRACELLULAR_TRANSPORT</t>
  </si>
  <si>
    <t>920;3627;2268;6036;3687;2207;7535;4283;51284;7099;6373;3717;3553;3002;596;3059;2833;1601;8809;5027;6363</t>
  </si>
  <si>
    <t>CD4;CXCL10;FGR;RNASE2;ITGAX;FCER1G;ZAP70;CXCL9;TLR7;TLR4;CXCL11;JAK2;IL1B;GZMB;BCL2;HCLS1;CXCR3;DAB2;IL18R1;P2RX7;CCL19</t>
  </si>
  <si>
    <t>http://www.broadinstitute.org/gsea/msigdb/cards/GO_POSITIVE_REGULATION_OF_INTRACELLULAR_TRANSPORT.html</t>
  </si>
  <si>
    <t>GO_POSITIVE_REGULATION_OF_PRODUCTION_OF_MOLECULAR_MEDIATOR_OF_IMMUNE_RESPONSE</t>
  </si>
  <si>
    <t>54440;3458;972;940;2207;114548;51744;30009;7099</t>
  </si>
  <si>
    <t>SASH3;IFNG;CD74;CD28;FCER1G;NLRP3;CD244;TBX21;TLR4</t>
  </si>
  <si>
    <t>http://www.broadinstitute.org/gsea/msigdb/cards/GO_POSITIVE_REGULATION_OF_PRODUCTION_OF_MOLECULAR_MEDIATOR_OF_IMMUNE_RESPONSE.html</t>
  </si>
  <si>
    <t>GO_MYELOID_DENDRITIC_CELL_DIFFERENTIATION</t>
  </si>
  <si>
    <t>6688;942;3662;10537;814;116071</t>
  </si>
  <si>
    <t>SPI1;CD86;IRF4;UBD;CAMK4;BATF2</t>
  </si>
  <si>
    <t>http://www.broadinstitute.org/gsea/msigdb/cards/GO_MYELOID_DENDRITIC_CELL_DIFFERENTIATION.html</t>
  </si>
  <si>
    <t>GO_REGULATION_OF_MONOCYTE_CHEMOTAXIS</t>
  </si>
  <si>
    <t>http://www.broadinstitute.org/gsea/msigdb/cards/GO_REGULATION_OF_MONOCYTE_CHEMOTAXIS.html</t>
  </si>
  <si>
    <t>GO_NEGATIVE_REGULATION_OF_SECRETION</t>
  </si>
  <si>
    <t>972;2633;5734;6504;114548;11314;8832;3553;3162;5552;3586;729230;3604;50943;64805</t>
  </si>
  <si>
    <t>CD74;GBP1;PTGER4;SLAMF1;NLRP3;CD300A;CD84;IL1B;HMOX1;SRGN;IL10;CCR2;TNFRSF9;FOXP3;P2RY12</t>
  </si>
  <si>
    <t>http://www.broadinstitute.org/gsea/msigdb/cards/GO_NEGATIVE_REGULATION_OF_SECRETION.html</t>
  </si>
  <si>
    <t>GO_RAS_GUANYL_NUCLEOTIDE_EXCHANGE_FACTOR_ACTIVITY</t>
  </si>
  <si>
    <t>3559;3560;3561;1439;9459;139818;221472;57580;1794;3717;1102;3718;57589;89846;25780;115727</t>
  </si>
  <si>
    <t>IL2RA;IL2RB;IL2RG;CSF2RB;ARHGEF6;DOCK11;FGD2;PREX1;DOCK2;JAK2;RCBTB2;JAK3;RIC1;FGD3;RASGRP3;RASGRP4</t>
  </si>
  <si>
    <t>http://www.broadinstitute.org/gsea/msigdb/cards/GO_RAS_GUANYL_NUCLEOTIDE_EXCHANGE_FACTOR_ACTIVITY.html</t>
  </si>
  <si>
    <t>GO_NEGATIVE_REGULATION_OF_HEMOPOIESIS</t>
  </si>
  <si>
    <t>11025;714;972;3659;1493;11006;3635;7099;29909;3718;50943;9935</t>
  </si>
  <si>
    <t>LILRB3;C1QC;CD74;IRF1;CTLA4;LILRB4;INPP5D;TLR4;GPR171;JAK3;FOXP3;MAFB</t>
  </si>
  <si>
    <t>http://www.broadinstitute.org/gsea/msigdb/cards/GO_NEGATIVE_REGULATION_OF_HEMOPOIESIS.html</t>
  </si>
  <si>
    <t>GO_POSITIVE_REGULATION_OF_CALCIUM_ION_TRANSPORT</t>
  </si>
  <si>
    <t>920;3627;6351;6352;4283;51393;6373;1230;2833;3718;5027</t>
  </si>
  <si>
    <t>CD4;CXCL10;CCL4;CCL5;CXCL9;TRPV2;CXCL11;CCR1;CXCR3;JAK3;P2RX7</t>
  </si>
  <si>
    <t>http://www.broadinstitute.org/gsea/msigdb/cards/GO_POSITIVE_REGULATION_OF_CALCIUM_ION_TRANSPORT.html</t>
  </si>
  <si>
    <t>GO_LIPOPOLYSACCHARIDE_BINDING</t>
  </si>
  <si>
    <t>929;923;54209;7099;5724;5027</t>
  </si>
  <si>
    <t>CD14;CD6;TREM2;TLR4;PTAFR;P2RX7</t>
  </si>
  <si>
    <t>http://www.broadinstitute.org/gsea/msigdb/cards/GO_LIPOPOLYSACCHARIDE_BINDING.html</t>
  </si>
  <si>
    <t>GO_POSITIVE_REGULATION_OF_CHEMOKINE_PRODUCTION</t>
  </si>
  <si>
    <t>3458;972;1436;84868;51284;7099;3553;3162</t>
  </si>
  <si>
    <t>IFNG;CD74;CSF1R;HAVCR2;TLR7;TLR4;IL1B;HMOX1</t>
  </si>
  <si>
    <t>http://www.broadinstitute.org/gsea/msigdb/cards/GO_POSITIVE_REGULATION_OF_CHEMOKINE_PRODUCTION.html</t>
  </si>
  <si>
    <t>GO_POSITIVE_REGULATION_OF_MACROPHAGE_CHEMOTAXIS</t>
  </si>
  <si>
    <t>6352;719;1240;1435;728</t>
  </si>
  <si>
    <t>CCL5;C3AR1;CMKLR1;CSF1;C5AR1</t>
  </si>
  <si>
    <t>http://www.broadinstitute.org/gsea/msigdb/cards/GO_POSITIVE_REGULATION_OF_MACROPHAGE_CHEMOTAXIS.html</t>
  </si>
  <si>
    <t>GO_CD4_POSITIVE_OR_CD8_POSITIVE_ALPHA_BETA_T_CELL_LINEAGE_COMMITMENT</t>
  </si>
  <si>
    <t>3662;114836;4063;596;50943</t>
  </si>
  <si>
    <t>IRF4;SLAMF6;LY9;BCL2;FOXP3</t>
  </si>
  <si>
    <t>http://www.broadinstitute.org/gsea/msigdb/cards/GO_CD4_POSITIVE_OR_CD8_POSITIVE_ALPHA_BETA_T_CELL_LINEAGE_COMMITMENT.html</t>
  </si>
  <si>
    <t>GO_REGULATION_OF_SYMBIOSIS_ENCOMPASSING_MUTUALISM_THROUGH_PARASITISM</t>
  </si>
  <si>
    <t>3458;940;6351;6352;6772;3394;6890;2219;4049;348;3956;596;3586;729230;6891</t>
  </si>
  <si>
    <t>IFNG;CD28;CCL4;CCL5;STAT1;IRF8;TAP1;FCN1;LTA;APOE;LGALS1;BCL2;IL10;CCR2;TAP2</t>
  </si>
  <si>
    <t>http://www.broadinstitute.org/gsea/msigdb/cards/GO_REGULATION_OF_SYMBIOSIS_ENCOMPASSING_MUTUALISM_THROUGH_PARASITISM.html</t>
  </si>
  <si>
    <t>GO_ION_TRANSPORT</t>
  </si>
  <si>
    <t>1318;11309;1536;5579;3932;5788;6352;2350;2207;11151;1236;1234;8514;51296;255231;56659;225;9056;51393;9120;366;7439;19;348;341;3737;526;1230;6546;6507;6556;441168;206358;147138;245972;84230;79895;84329;5027;6363;64805;51063;56606;55013;9033</t>
  </si>
  <si>
    <t>SLC31A2;SLCO2B1;CYBB;PRKCB;LCK;PTPRC;CCL5;FOLR2;FCER1G;CORO1A;CCR7;CCR5;KCNAB2;SLC15A3;MCOLN2;KCNK13;ABCD2;SLC7A7;TRPV2;SLC16A6;AQP9;BEST1;ABCA1;APOE;APOC1;KCNA2;ATP6V1B2;CCR1;SLC8A1;SLC1A3;SLC11A1;CALHM6;SLC36A1;TMC8;ATP6V0D2;LRRC8C;ATP8B4;HVCN1;P2RX7;CCL19;P2RY12;CALHM2;SLC2A9;MCUB;PKD2L1</t>
  </si>
  <si>
    <t>http://www.broadinstitute.org/gsea/msigdb/cards/GO_ION_TRANSPORT.html</t>
  </si>
  <si>
    <t>GO_REGULATION_OF_MAP_KINASE_ACTIVITY</t>
  </si>
  <si>
    <t>9839;972;959;2322;5294;221472;23533;11184;11314;7099;3717;3553;348;2357;728;146850;5027;6363;4215</t>
  </si>
  <si>
    <t>ZEB2;CD74;CD40LG;FLT3;PIK3CG;FGD2;PIK3R5;MAP4K1;CD300A;TLR4;JAK2;IL1B;APOE;FPR1;C5AR1;PIK3R6;P2RX7;CCL19;MAP3K3</t>
  </si>
  <si>
    <t>http://www.broadinstitute.org/gsea/msigdb/cards/GO_REGULATION_OF_MAP_KINASE_ACTIVITY.html</t>
  </si>
  <si>
    <t>GO_REGULATION_OF_TYROSINE_PHOSPHORYLATION_OF_STAT_PROTEIN</t>
  </si>
  <si>
    <t>3458;1436;6352;5734;2322;59067;3717;3059;11009</t>
  </si>
  <si>
    <t>IFNG;CSF1R;CCL5;PTGER4;FLT3;IL21;JAK2;HCLS1;IL24</t>
  </si>
  <si>
    <t>http://www.broadinstitute.org/gsea/msigdb/cards/GO_REGULATION_OF_TYROSINE_PHOSPHORYLATION_OF_STAT_PROTEIN.html</t>
  </si>
  <si>
    <t>GO_REGULATION_OF_PHAGOCYTOSIS</t>
  </si>
  <si>
    <t>3055;2268;2207;3071;1794;11314;3553;6556;4240</t>
  </si>
  <si>
    <t>HCK;FGR;FCER1G;NCKAP1L;DOCK2;CD300A;IL1B;SLC11A1;MFGE8</t>
  </si>
  <si>
    <t>http://www.broadinstitute.org/gsea/msigdb/cards/GO_REGULATION_OF_PHAGOCYTOSIS.html</t>
  </si>
  <si>
    <t>GO_POSITIVE_REGULATION_OF_TRANSFERASE_ACTIVITY</t>
  </si>
  <si>
    <t>http://www.broadinstitute.org/gsea/msigdb/cards/GO_POSITIVE_REGULATION_OF_TRANSFERASE_ACTIVITY.html</t>
  </si>
  <si>
    <t>GO_B_CELL_ACTIVATION_INVOLVED_IN_IMMUNE_RESPONSE</t>
  </si>
  <si>
    <t>4242;959;4064;23228;7099;3956;202309</t>
  </si>
  <si>
    <t>MFNG;CD40LG;CD180;PLCL2;TLR4;LGALS1;GAPT</t>
  </si>
  <si>
    <t>http://www.broadinstitute.org/gsea/msigdb/cards/GO_B_CELL_ACTIVATION_INVOLVED_IN_IMMUNE_RESPONSE.html</t>
  </si>
  <si>
    <t>GO_REGULATION_OF_B_CELL_DIFFERENTIATION</t>
  </si>
  <si>
    <t>7535;3071;695;150372;3635;22806</t>
  </si>
  <si>
    <t>ZAP70;NCKAP1L;BTK;NFAM1;INPP5D;IKZF3</t>
  </si>
  <si>
    <t>http://www.broadinstitute.org/gsea/msigdb/cards/GO_REGULATION_OF_B_CELL_DIFFERENTIATION.html</t>
  </si>
  <si>
    <t>GO_POSITIVE_REGULATION_OF_MAP_KINASE_ACTIVITY</t>
  </si>
  <si>
    <t>9839;972;959;2322;5294;221472;23533;11184;7099;3553;2357;728;146850;5027;6363</t>
  </si>
  <si>
    <t>ZEB2;CD74;CD40LG;FLT3;PIK3CG;FGD2;PIK3R5;MAP4K1;TLR4;IL1B;FPR1;C5AR1;PIK3R6;P2RX7;CCL19</t>
  </si>
  <si>
    <t>http://www.broadinstitute.org/gsea/msigdb/cards/GO_POSITIVE_REGULATION_OF_MAP_KINASE_ACTIVITY.html</t>
  </si>
  <si>
    <t>GO_RUFFLE</t>
  </si>
  <si>
    <t>4210;7456;5341;2268;199;221472;64092;3936;526;89846;10235;30817;4644</t>
  </si>
  <si>
    <t>MEFV;WIPF1;PLEK;FGR;AIF1;FGD2;SAMSN1;LCP1;ATP6V1B2;FGD3;RASGRP2;ADGRE2;MYO5A</t>
  </si>
  <si>
    <t>http://www.broadinstitute.org/gsea/msigdb/cards/GO_RUFFLE.html</t>
  </si>
  <si>
    <t>GO_CLATHRIN_COATED_VESICLE</t>
  </si>
  <si>
    <t>972;2209;1493;2210;3122;3117;3115;3120;3113;8905;1601;3123;3127</t>
  </si>
  <si>
    <t>CD74;FCGR1A;CTLA4;FCGR1B;HLA-DRA;HLA-DQA1;HLA-DPB1;HLA-DQB2;HLA-DPA1;AP1S2;DAB2;HLA-DRB1;HLA-DRB5</t>
  </si>
  <si>
    <t>http://www.broadinstitute.org/gsea/msigdb/cards/GO_CLATHRIN_COATED_VESICLE.html</t>
  </si>
  <si>
    <t>GO_REGULATION_OF_INTERLEUKIN_10_SECRETION</t>
  </si>
  <si>
    <t>5734;3604;3123;3127;29126</t>
  </si>
  <si>
    <t>PTGER4;TNFRSF9;HLA-DRB1;HLA-DRB5;CD274</t>
  </si>
  <si>
    <t>http://www.broadinstitute.org/gsea/msigdb/cards/GO_REGULATION_OF_INTERLEUKIN_10_SECRETION.html</t>
  </si>
  <si>
    <t>GO_REGULATION_OF_T_CELL_TOLERANCE_INDUCTION</t>
  </si>
  <si>
    <t>3559;916;942;10288;50943</t>
  </si>
  <si>
    <t>IL2RA;CD3E;CD86;LILRB2;FOXP3</t>
  </si>
  <si>
    <t>http://www.broadinstitute.org/gsea/msigdb/cards/GO_REGULATION_OF_T_CELL_TOLERANCE_INDUCTION.html</t>
  </si>
  <si>
    <t>GO_RESPONSE_TO_ORGANIC_CYCLIC_COMPOUND</t>
  </si>
  <si>
    <t>920;3627;6352;2350;5734;2322;6772;5294;1234;199;53829;64170;730249;366;3717;19;3553;1508;3956;3162;596;54;6402;2113;4481;3586;5724;6546;6753;54331;4208;4240;167465;4327;5027;64805</t>
  </si>
  <si>
    <t>CD4;CXCL10;CCL5;FOLR2;PTGER4;FLT3;STAT1;PIK3CG;CCR5;AIF1;P2RY13;CARD9;ACOD1;AQP9;JAK2;ABCA1;IL1B;CTSB;LGALS1;HMOX1;BCL2;ACP5;SELL;ETS1;MSR1;IL10;PTAFR;SLC8A1;SSTR3;GNG2;MEF2C;MFGE8;ZNF366;MMP19;P2RX7;P2RY12</t>
  </si>
  <si>
    <t>http://www.broadinstitute.org/gsea/msigdb/cards/GO_RESPONSE_TO_ORGANIC_CYCLIC_COMPOUND.html</t>
  </si>
  <si>
    <t>GO_REGULATION_OF_CELL_MORPHOGENESIS</t>
  </si>
  <si>
    <t>7940;7456;9839;3689;1436;3055;2268;11151;2633;6772;5800;55843;221472;374403;57580;51393;10154;348;729230;1601;10672;89846;161176;85464;91010;10507</t>
  </si>
  <si>
    <t>LST1;WIPF1;ZEB2;ITGB2;CSF1R;HCK;FGR;CORO1A;GBP1;STAT1;PTPRO;ARHGAP15;FGD2;TBC1D10C;PREX1;TRPV2;PLXNC1;APOE;CCR2;DAB2;GNA13;FGD3;SYNE3;SSH2;FMNL3;SEMA4D</t>
  </si>
  <si>
    <t>http://www.broadinstitute.org/gsea/msigdb/cards/GO_REGULATION_OF_CELL_MORPHOGENESIS.html</t>
  </si>
  <si>
    <t>GO_CYTOLYSIS</t>
  </si>
  <si>
    <t>3001;5551;3002;2999;3004;5027</t>
  </si>
  <si>
    <t>GZMA;PRF1;GZMB;GZMH;GZMM;P2RX7</t>
  </si>
  <si>
    <t>http://www.broadinstitute.org/gsea/msigdb/cards/GO_CYTOLYSIS.html</t>
  </si>
  <si>
    <t>GO_DIVALENT_INORGANIC_CATION_TRANSPORT</t>
  </si>
  <si>
    <t>5579;3932;5788;6352;11151;1236;1234;255231;51393;1230;6546;6556;5027;6363;64805;55013;9033</t>
  </si>
  <si>
    <t>PRKCB;LCK;PTPRC;CCL5;CORO1A;CCR7;CCR5;MCOLN2;TRPV2;CCR1;SLC8A1;SLC11A1;P2RX7;CCL19;P2RY12;MCUB;PKD2L1</t>
  </si>
  <si>
    <t>http://www.broadinstitute.org/gsea/msigdb/cards/GO_DIVALENT_INORGANIC_CATION_TRANSPORT.html</t>
  </si>
  <si>
    <t>GO_ER_TO_GOLGI_TRANSPORT_VESICLE</t>
  </si>
  <si>
    <t>972;3122;3117;3115;3120;3113;3123;3127;1522</t>
  </si>
  <si>
    <t>CD74;HLA-DRA;HLA-DQA1;HLA-DPB1;HLA-DQB2;HLA-DPA1;HLA-DRB1;HLA-DRB5;CTSZ</t>
  </si>
  <si>
    <t>http://www.broadinstitute.org/gsea/msigdb/cards/GO_ER_TO_GOLGI_TRANSPORT_VESICLE.html</t>
  </si>
  <si>
    <t>GO_REGULATION_OF_NITRIC_OXIDE_BIOSYNTHETIC_PROCESS</t>
  </si>
  <si>
    <t>3458;3689;199;7099;3717;3553;54;3586</t>
  </si>
  <si>
    <t>IFNG;ITGB2;AIF1;TLR4;JAK2;IL1B;ACP5;IL10</t>
  </si>
  <si>
    <t>http://www.broadinstitute.org/gsea/msigdb/cards/GO_REGULATION_OF_NITRIC_OXIDE_BIOSYNTHETIC_PROCESS.html</t>
  </si>
  <si>
    <t>GO_ANTIGEN_PROCESSING_AND_PRESENTATION_OF_PEPTIDE_ANTIGEN_VIA_MHC_CLASS_I</t>
  </si>
  <si>
    <t>1536;2209;653361;2207;6890;4689;2210;10437;4688;6891</t>
  </si>
  <si>
    <t>CYBB;FCGR1A;NCF1;FCER1G;TAP1;NCF4;FCGR1B;IFI30;NCF2;TAP2</t>
  </si>
  <si>
    <t>http://www.broadinstitute.org/gsea/msigdb/cards/GO_ANTIGEN_PROCESSING_AND_PRESENTATION_OF_PEPTIDE_ANTIGEN_VIA_MHC_CLASS_I.html</t>
  </si>
  <si>
    <t>GO_CELL_ADHESION_MOLECULE_BINDING</t>
  </si>
  <si>
    <t>259197;3689;3676;3683;3695;10666;201633;83706;10288;56253;6402;4240;10457;120425</t>
  </si>
  <si>
    <t>NCR3;ITGB2;ITGA4;ITGAL;ITGB7;CD226;TIGIT;FERMT3;LILRB2;CRTAM;SELL;MFGE8;GPNMB;JAML</t>
  </si>
  <si>
    <t>http://www.broadinstitute.org/gsea/msigdb/cards/GO_CELL_ADHESION_MOLECULE_BINDING.html</t>
  </si>
  <si>
    <t>GO_PHOSPHOLIPID_BINDING</t>
  </si>
  <si>
    <t>5341;653361;695;4689;124460;221472;54899;57580;64333;11314;19;348;341;5724;4240;7941;55704;57705;55803;8605</t>
  </si>
  <si>
    <t>PLEK;NCF1;BTK;NCF4;SNX20;FGD2;PXK;PREX1;ARHGAP9;CD300A;ABCA1;APOE;APOC1;PTAFR;MFGE8;PLA2G7;CCDC88A;WDFY4;ADAP2;PLA2G4C</t>
  </si>
  <si>
    <t>http://www.broadinstitute.org/gsea/msigdb/cards/GO_PHOSPHOLIPID_BINDING.html</t>
  </si>
  <si>
    <t>GO_REGULATION_OF_CALCIUM_ION_TRANSPORT_INTO_CYTOSOL</t>
  </si>
  <si>
    <t>920;3627;11151;4283;6373;596;6546;2833;5027;4644</t>
  </si>
  <si>
    <t>CD4;CXCL10;CORO1A;CXCL9;CXCL11;BCL2;SLC8A1;CXCR3;P2RX7;MYO5A</t>
  </si>
  <si>
    <t>http://www.broadinstitute.org/gsea/msigdb/cards/GO_REGULATION_OF_CALCIUM_ION_TRANSPORT_INTO_CYTOSOL.html</t>
  </si>
  <si>
    <t>GO_DEFENSE_RESPONSE_TO_GRAM_POSITIVE_BACTERIUM</t>
  </si>
  <si>
    <t>2268;944;84868;64170;4049;6037;54;728;5027</t>
  </si>
  <si>
    <t>FGR;TNFSF8;HAVCR2;CARD9;LTA;RNASE3;ACP5;C5AR1;P2RX7</t>
  </si>
  <si>
    <t>http://www.broadinstitute.org/gsea/msigdb/cards/GO_DEFENSE_RESPONSE_TO_GRAM_POSITIVE_BACTERIUM.html</t>
  </si>
  <si>
    <t>GO_ACTIN_BINDING</t>
  </si>
  <si>
    <t>4542;4210;7456;9535;11151;2633;1234;199;92241;54899;3936;3059;7454;55704;161176;85464;91010;64780;64098;51466;4644</t>
  </si>
  <si>
    <t>MYO1F;MEFV;WIPF1;GMFG;CORO1A;GBP1;CCR5;AIF1;RCSD1;PXK;LCP1;HCLS1;WAS;CCDC88A;SYNE3;SSH2;FMNL3;MICAL1;PARVG;EVL;MYO5A</t>
  </si>
  <si>
    <t>http://www.broadinstitute.org/gsea/msigdb/cards/GO_ACTIN_BINDING.html</t>
  </si>
  <si>
    <t>GO_POSITIVE_REGULATION_OF_INTERLEUKIN_1_SECRETION</t>
  </si>
  <si>
    <t>3458;114548;729230;5027;6363;22900</t>
  </si>
  <si>
    <t>IFNG;NLRP3;CCR2;P2RX7;CCL19;CARD8</t>
  </si>
  <si>
    <t>http://www.broadinstitute.org/gsea/msigdb/cards/GO_POSITIVE_REGULATION_OF_INTERLEUKIN_1_SECRETION.html</t>
  </si>
  <si>
    <t>GO_REGULATION_OF_ANTIGEN_PROCESSING_AND_PRESENTATION_OF_PEPTIDE_ANTIGEN</t>
  </si>
  <si>
    <t>6890;54209;3111;3112;6891</t>
  </si>
  <si>
    <t>TAP1;TREM2;HLA-DOA;HLA-DOB;TAP2</t>
  </si>
  <si>
    <t>http://www.broadinstitute.org/gsea/msigdb/cards/GO_REGULATION_OF_ANTIGEN_PROCESSING_AND_PRESENTATION_OF_PEPTIDE_ANTIGEN.html</t>
  </si>
  <si>
    <t>GO_REGULATION_OF_MHC_CLASS_II_BIOSYNTHETIC_PROCESS</t>
  </si>
  <si>
    <t>3458;6688;7099;3586;4261</t>
  </si>
  <si>
    <t>IFNG;SPI1;TLR4;IL10;CIITA</t>
  </si>
  <si>
    <t>http://www.broadinstitute.org/gsea/msigdb/cards/GO_REGULATION_OF_MHC_CLASS_II_BIOSYNTHETIC_PROCESS.html</t>
  </si>
  <si>
    <t>GO_POSITIVE_REGULATION_OF_CALCIUM_MEDIATED_SIGNALING</t>
  </si>
  <si>
    <t>920;925;916;6351;7535;50852;54209</t>
  </si>
  <si>
    <t>CD4;CD8A;CD3E;CCL4;ZAP70;TRAT1;TREM2</t>
  </si>
  <si>
    <t>http://www.broadinstitute.org/gsea/msigdb/cards/GO_POSITIVE_REGULATION_OF_CALCIUM_MEDIATED_SIGNALING.html</t>
  </si>
  <si>
    <t>GO_LYMPHOCYTE_CHEMOTAXIS</t>
  </si>
  <si>
    <t>3627;6352;5294;6373;729230;2833;6363</t>
  </si>
  <si>
    <t>CXCL10;CCL5;PIK3CG;CXCL11;CCR2;CXCR3;CCL19</t>
  </si>
  <si>
    <t>http://www.broadinstitute.org/gsea/msigdb/cards/GO_LYMPHOCYTE_CHEMOTAXIS.html</t>
  </si>
  <si>
    <t>GO_REGULATION_OF_LYMPHOCYTE_MIGRATION</t>
  </si>
  <si>
    <t>3627;6351;6352;3676;199;6793;729230</t>
  </si>
  <si>
    <t>CXCL10;CCL4;CCL5;ITGA4;AIF1;STK10;CCR2</t>
  </si>
  <si>
    <t>http://www.broadinstitute.org/gsea/msigdb/cards/GO_REGULATION_OF_LYMPHOCYTE_MIGRATION.html</t>
  </si>
  <si>
    <t>GO_POSITIVE_REGULATION_OF_HOMEOSTATIC_PROCESS</t>
  </si>
  <si>
    <t>920;3627;6352;5734;3071;4283;3635;6373;3553;2113;729230;2833;3123;3127;5027</t>
  </si>
  <si>
    <t>CD4;CXCL10;CCL5;PTGER4;NCKAP1L;CXCL9;INPP5D;CXCL11;IL1B;ETS1;CCR2;CXCR3;HLA-DRB1;HLA-DRB5;P2RX7</t>
  </si>
  <si>
    <t>http://www.broadinstitute.org/gsea/msigdb/cards/GO_POSITIVE_REGULATION_OF_HOMEOSTATIC_PROCESS.html</t>
  </si>
  <si>
    <t>GO_REGULATION_OF_VESICLE_MEDIATED_TRANSPORT</t>
  </si>
  <si>
    <t>3458;929;3055;2268;2207;11151;7535;3071;6504;374403;1794;11314;8832;3553;341;3162;5724;729230;6556;1601;4240;84106;6363</t>
  </si>
  <si>
    <t>IFNG;CD14;HCK;FGR;FCER1G;CORO1A;ZAP70;NCKAP1L;SLAMF1;TBC1D10C;DOCK2;CD300A;CD84;IL1B;APOC1;HMOX1;PTAFR;CCR2;SLC11A1;DAB2;MFGE8;PRAM1;CCL19</t>
  </si>
  <si>
    <t>http://www.broadinstitute.org/gsea/msigdb/cards/GO_REGULATION_OF_VESICLE_MEDIATED_TRANSPORT.html</t>
  </si>
  <si>
    <t>GO_COATED_VESICLE_MEMBRANE</t>
  </si>
  <si>
    <t>http://www.broadinstitute.org/gsea/msigdb/cards/GO_COATED_VESICLE_MEMBRANE.html</t>
  </si>
  <si>
    <t>GO_ER_TO_GOLGI_TRANSPORT_VESICLE_MEMBRANE</t>
  </si>
  <si>
    <t>http://www.broadinstitute.org/gsea/msigdb/cards/GO_ER_TO_GOLGI_TRANSPORT_VESICLE_MEMBRANE.html</t>
  </si>
  <si>
    <t>GO_CYTOPLASMIC_VESICLE_PART</t>
  </si>
  <si>
    <t>972;1536;2209;11151;9332;55016;2210;2162;3122;3117;348;3115;3120;1621;5552;3113;4481;356;6556;8905;1601;3123;3127;245972;23312;51762;23166</t>
  </si>
  <si>
    <t>CD74;CYBB;FCGR1A;CORO1A;CD163;MARCH1;FCGR1B;F13A1;HLA-DRA;HLA-DQA1;APOE;HLA-DPB1;HLA-DQB2;DBH;SRGN;HLA-DPA1;MSR1;FASLG;SLC11A1;AP1S2;DAB2;HLA-DRB1;HLA-DRB5;ATP6V0D2;DMXL2;RAB8B;STAB1</t>
  </si>
  <si>
    <t>http://www.broadinstitute.org/gsea/msigdb/cards/GO_CYTOPLASMIC_VESICLE_PART.html</t>
  </si>
  <si>
    <t>GO_REGULATION_OF_MAST_CELL_ACTIVATION</t>
  </si>
  <si>
    <t>2268;2207;7535;10666;11314;8832;3162</t>
  </si>
  <si>
    <t>FGR;FCER1G;ZAP70;CD226;CD300A;CD84;HMOX1</t>
  </si>
  <si>
    <t>http://www.broadinstitute.org/gsea/msigdb/cards/GO_REGULATION_OF_MAST_CELL_ACTIVATION.html</t>
  </si>
  <si>
    <t>GO_CELLULAR_EXTRAVASATION</t>
  </si>
  <si>
    <t>3689;3676;3695;5294;6404;120425</t>
  </si>
  <si>
    <t>ITGB2;ITGA4;ITGB7;PIK3CG;SELPLG;JAML</t>
  </si>
  <si>
    <t>http://www.broadinstitute.org/gsea/msigdb/cards/GO_CELLULAR_EXTRAVASATION.html</t>
  </si>
  <si>
    <t>GO_LIPASE_ACTIVITY</t>
  </si>
  <si>
    <t>6352;313;1234;719;23228;3162;1230;3988;7941;26279;8605</t>
  </si>
  <si>
    <t>CCL5;AOAH;CCR5;C3AR1;PLCL2;HMOX1;CCR1;LIPA;PLA2G7;PLA2G2D;PLA2G4C</t>
  </si>
  <si>
    <t>http://www.broadinstitute.org/gsea/msigdb/cards/GO_LIPASE_ACTIVITY.html</t>
  </si>
  <si>
    <t>GO_PROTEIN_AUTOPHOSPHORYLATION</t>
  </si>
  <si>
    <t>3932;1436;3055;2268;2322;7535;695;3702;11184;3717;6793;3718;814;4215</t>
  </si>
  <si>
    <t>LCK;CSF1R;HCK;FGR;FLT3;ZAP70;BTK;ITK;MAP4K1;JAK2;STK10;JAK3;CAMK4;MAP3K3</t>
  </si>
  <si>
    <t>http://www.broadinstitute.org/gsea/msigdb/cards/GO_PROTEIN_AUTOPHOSPHORYLATION.html</t>
  </si>
  <si>
    <t>GO_TRANS_GOLGI_NETWORK</t>
  </si>
  <si>
    <t>972;51056;55016;23048;3122;3117;3115;3120;3113;8905;27314;3123;3127;57589</t>
  </si>
  <si>
    <t>CD74;LAP3;MARCH1;FNBP1;HLA-DRA;HLA-DQA1;HLA-DPB1;HLA-DQB2;HLA-DPA1;AP1S2;RAB30;HLA-DRB1;HLA-DRB5;RIC1</t>
  </si>
  <si>
    <t>http://www.broadinstitute.org/gsea/msigdb/cards/GO_TRANS_GOLGI_NETWORK.html</t>
  </si>
  <si>
    <t>GO_RIBONUCLEOTIDE_BINDING</t>
  </si>
  <si>
    <t>4542;5579;3932;1436;3055;2268;342618;7453;2633;2322;7535;5294;3101;391;6890;695;3702;4671;399;474344;197358;54899;84166;170575;11184;55340;114548;115362;115361;116986;58484;55589;55303;225;9881;3717;6793;19;526;4261;3718;6891;9363;10672;27314;814;100506736;155038;168537;79895;51762;116442;79690;5027;4215;54861;26157;4644</t>
  </si>
  <si>
    <t>MYO1F;PRKCB;LCK;CSF1R;HCK;FGR;SLFN14;WARS;GBP1;FLT3;ZAP70;PIK3CG;HK3;RHOG;TAP1;BTK;ITK;NAIP;RHOH;GIMAP6;NLRC3;PXK;NLRC5;GIMAP1;MAP4K1;GIMAP5;NLRP3;GBP5;GBP4;AGAP2;NLRC4;BMP2K;GIMAP4;ABCD2;TRANK1;JAK2;STK10;ABCA1;ATP6V1B2;CIITA;JAK3;TAP2;RAB33A;GNA13;RAB30;CAMK4;SLFN12L;GIMAP8;GIMAP7;ATP8B4;RAB8B;RAB39B;GAL3ST4;P2RX7;MAP3K3;SNRK;GIMAP2;MYO5A</t>
  </si>
  <si>
    <t>http://www.broadinstitute.org/gsea/msigdb/cards/GO_RIBONUCLEOTIDE_BINDING.html</t>
  </si>
  <si>
    <t>GO_CHEMOKINE_RECEPTOR_BINDING</t>
  </si>
  <si>
    <t>3627;6351;6352;4283;9034;6373;729230;6363</t>
  </si>
  <si>
    <t>CXCL10;CCL4;CCL5;CXCL9;CCRL2;CXCL11;CCR2;CCL19</t>
  </si>
  <si>
    <t>http://www.broadinstitute.org/gsea/msigdb/cards/GO_CHEMOKINE_RECEPTOR_BINDING.html</t>
  </si>
  <si>
    <t>GO_NEGATIVE_REGULATION_OF_CELL_DIFFERENTIATION</t>
  </si>
  <si>
    <t>11025;3458;714;3627;972;3659;1493;2633;6772;5800;11006;3635;2672;7099;29909;19;3553;348;3956;596;729230;3718;5376;10507;50943;64805;9935</t>
  </si>
  <si>
    <t>LILRB3;IFNG;C1QC;CXCL10;CD74;IRF1;CTLA4;GBP1;STAT1;PTPRO;LILRB4;INPP5D;GFI1;TLR4;GPR171;ABCA1;IL1B;APOE;LGALS1;BCL2;CCR2;JAK3;PMP22;SEMA4D;FOXP3;P2RY12;MAFB</t>
  </si>
  <si>
    <t>http://www.broadinstitute.org/gsea/msigdb/cards/GO_NEGATIVE_REGULATION_OF_CELL_DIFFERENTIATION.html</t>
  </si>
  <si>
    <t>GO_POSITIVE_REGULATION_OF_GENE_EXPRESSION</t>
  </si>
  <si>
    <t>9839;3458;3627;915;3689;5579;916;940;3659;6352;3575;6688;959;944;941;5734;942;6772;391;2313;3394;695;10320;3662;84166;150372;114548;58484;30009;7099;3717;4094;8320;3553;5452;1435;4066;3059;2113;3586;5724;4261;729230;6556;2833;1601;4208;7185;814;80709;5027;50943;64919;22806;9935</t>
  </si>
  <si>
    <t>ZEB2;IFNG;CXCL10;CD3D;ITGB2;PRKCB;CD3E;CD28;IRF1;CCL5;IL7R;SPI1;CD40LG;TNFSF8;CD80;PTGER4;CD86;STAT1;RHOG;FLI1;IRF8;BTK;IKZF1;IRF4;NLRC5;NFAM1;NLRP3;NLRC4;TBX21;TLR4;JAK2;MAF;EOMES;IL1B;POU2F2;CSF1;LYL1;HCLS1;ETS1;IL10;PTAFR;CIITA;CCR2;SLC11A1;CXCR3;DAB2;MEF2C;TRAF1;CAMK4;AKNA;P2RX7;FOXP3;BCL11B;IKZF3;MAFB</t>
  </si>
  <si>
    <t>http://www.broadinstitute.org/gsea/msigdb/cards/GO_POSITIVE_REGULATION_OF_GENE_EXPRESSION.html</t>
  </si>
  <si>
    <t>GO_POSITIVE_REGULATION_OF_LYMPHOCYTE_MIGRATION</t>
  </si>
  <si>
    <t>3627;6351;6352;3676;199;729230</t>
  </si>
  <si>
    <t>CXCL10;CCL4;CCL5;ITGA4;AIF1;CCR2</t>
  </si>
  <si>
    <t>http://www.broadinstitute.org/gsea/msigdb/cards/GO_POSITIVE_REGULATION_OF_LYMPHOCYTE_MIGRATION.html</t>
  </si>
  <si>
    <t>GO_POSITIVE_REGULATION_OF_B_CELL_MEDIATED_IMMUNITY</t>
  </si>
  <si>
    <t>3458;940;2207;10666;30009;4049</t>
  </si>
  <si>
    <t>IFNG;CD28;FCER1G;CD226;TBX21;LTA</t>
  </si>
  <si>
    <t>http://www.broadinstitute.org/gsea/msigdb/cards/GO_POSITIVE_REGULATION_OF_B_CELL_MEDIATED_IMMUNITY.html</t>
  </si>
  <si>
    <t>GO_REGULATION_OF_STAT_CASCADE</t>
  </si>
  <si>
    <t>3458;1436;6352;5734;2322;59067;11314;3717;2811;3059;3586;11009</t>
  </si>
  <si>
    <t>IFNG;CSF1R;CCL5;PTGER4;FLT3;IL21;CD300A;JAK2;GP1BA;HCLS1;IL10;IL24</t>
  </si>
  <si>
    <t>http://www.broadinstitute.org/gsea/msigdb/cards/GO_REGULATION_OF_STAT_CASCADE.html</t>
  </si>
  <si>
    <t>GO_POSITIVE_REGULATION_OF_RESPONSE_TO_BIOTIC_STIMULUS</t>
  </si>
  <si>
    <t>259197;9450;10666;84868;4064;730249;56253</t>
  </si>
  <si>
    <t>NCR3;LY86;CD226;HAVCR2;CD180;ACOD1;CRTAM</t>
  </si>
  <si>
    <t>http://www.broadinstitute.org/gsea/msigdb/cards/GO_POSITIVE_REGULATION_OF_RESPONSE_TO_BIOTIC_STIMULUS.html</t>
  </si>
  <si>
    <t>259197;9404;914;916;5788;3055;3676;963;51056;11151;10225;7535;391;3702;3937;8514;10666;201633;83706;387357;84868;56253;10437;3936;3737;6546;7454;1601;5376;9815;10672;57514;10235;54518;120425;23312;9754;5027;64098;55691;51466</t>
  </si>
  <si>
    <t>NCR3;LPXN;CD2;CD3E;PTPRC;HCK;ITGA4;CD53;LAP3;CORO1A;CD96;ZAP70;RHOG;ITK;LCP2;KCNAB2;CD226;TIGIT;FERMT3;THEMIS;HAVCR2;CRTAM;IFI30;LCP1;KCNA2;SLC8A1;WAS;DAB2;PMP22;GIT2;GNA13;ARHGAP31;RASGRP2;APBB1IP;JAML;DMXL2;STARD8;P2RX7;PARVG;FRMD4A;EVL</t>
  </si>
  <si>
    <t>http://www.broadinstitute.org/gsea/msigdb/cards/GO_CELL_JUNCTION.html</t>
  </si>
  <si>
    <t>GO_NEGATIVE_REGULATION_OF_CELL_COMMUNICATION</t>
  </si>
  <si>
    <t>9404;10068;972;5579;916;5341;929;5788;6352;2633;6772;53347;6504;3662;399;5800;197358;84166;64926;374403;3635;114548;84174;64407;11314;23228;730249;7099;3553;348;2811;3162;596;3586;356;203100;1601;118788;167465;5027;50515;22900</t>
  </si>
  <si>
    <t>LPXN;IL18BP;CD74;PRKCB;CD3E;PLEK;CD14;PTPRC;CCL5;GBP1;STAT1;UBASH3A;SLAMF1;IRF4;RHOH;PTPRO;NLRC3;NLRC5;RASAL3;TBC1D10C;INPP5D;NLRP3;SLA2;RGS18;CD300A;PLCL2;ACOD1;TLR4;IL1B;APOE;GP1BA;HMOX1;BCL2;IL10;FASLG;HTRA4;DAB2;PIK3AP1;ZNF366;P2RX7;CHST11;CARD8</t>
  </si>
  <si>
    <t>http://www.broadinstitute.org/gsea/msigdb/cards/GO_NEGATIVE_REGULATION_OF_CELL_COMMUNICATION.html</t>
  </si>
  <si>
    <t>GO_EXTRINSIC_APOPTOTIC_SIGNALING_PATHWAY</t>
  </si>
  <si>
    <t>3458;7133;8742;3717;3553;596;356;3604;597;5027</t>
  </si>
  <si>
    <t>IFNG;TNFRSF1B;TNFSF12;JAK2;IL1B;BCL2;FASLG;TNFRSF9;BCL2A1;P2RX7</t>
  </si>
  <si>
    <t>http://www.broadinstitute.org/gsea/msigdb/cards/GO_EXTRINSIC_APOPTOTIC_SIGNALING_PATHWAY.html</t>
  </si>
  <si>
    <t>GO_ENZYME_LINKED_RECEPTOR_PROTEIN_SIGNALING_PATHWAY</t>
  </si>
  <si>
    <t>http://www.broadinstitute.org/gsea/msigdb/cards/GO_ENZYME_LINKED_RECEPTOR_PROTEIN_SIGNALING_PATHWAY.html</t>
  </si>
  <si>
    <t>GO_REGULATION_OF_B_CELL_RECEPTOR_SIGNALING_PATHWAY</t>
  </si>
  <si>
    <t>9404;5579;150372;11314;23228</t>
  </si>
  <si>
    <t>LPXN;PRKCB;NFAM1;CD300A;PLCL2</t>
  </si>
  <si>
    <t>http://www.broadinstitute.org/gsea/msigdb/cards/GO_REGULATION_OF_B_CELL_RECEPTOR_SIGNALING_PATHWAY.html</t>
  </si>
  <si>
    <t>GO_POSITIVE_REGULATION_OF_T_HELPER_1_TYPE_IMMUNE_RESPONSE</t>
  </si>
  <si>
    <t>941;3594;729230;6556;6363</t>
  </si>
  <si>
    <t>CD80;IL12RB1;CCR2;SLC11A1;CCL19</t>
  </si>
  <si>
    <t>http://www.broadinstitute.org/gsea/msigdb/cards/GO_POSITIVE_REGULATION_OF_T_HELPER_1_TYPE_IMMUNE_RESPONSE.html</t>
  </si>
  <si>
    <t>GO_INFLAMMATORY_RESPONSE_TO_ANTIGENIC_STIMULUS</t>
  </si>
  <si>
    <t>3559;923;3553;729230;3123;3127</t>
  </si>
  <si>
    <t>IL2RA;CD6;IL1B;CCR2;HLA-DRB1;HLA-DRB5</t>
  </si>
  <si>
    <t>http://www.broadinstitute.org/gsea/msigdb/cards/GO_INFLAMMATORY_RESPONSE_TO_ANTIGENIC_STIMULUS.html</t>
  </si>
  <si>
    <t>GO_NEGATIVE_REGULATION_OF_B_CELL_PROLIFERATION</t>
  </si>
  <si>
    <t>1493;4332;3635;11314;3586</t>
  </si>
  <si>
    <t>CTLA4;MNDA;INPP5D;CD300A;IL10</t>
  </si>
  <si>
    <t>http://www.broadinstitute.org/gsea/msigdb/cards/GO_NEGATIVE_REGULATION_OF_B_CELL_PROLIFERATION.html</t>
  </si>
  <si>
    <t>GO_T_CELL_LINEAGE_COMMITMENT</t>
  </si>
  <si>
    <t>http://www.broadinstitute.org/gsea/msigdb/cards/GO_T_CELL_LINEAGE_COMMITMENT.html</t>
  </si>
  <si>
    <t>GO_HETEROTYPIC_CELL_CELL_ADHESION</t>
  </si>
  <si>
    <t>3689;914;3676;3687;3695;10288</t>
  </si>
  <si>
    <t>ITGB2;CD2;ITGA4;ITGAX;ITGB7;LILRB2</t>
  </si>
  <si>
    <t>http://www.broadinstitute.org/gsea/msigdb/cards/GO_HETEROTYPIC_CELL_CELL_ADHESION.html</t>
  </si>
  <si>
    <t>GO_VESICLE_MEMBRANE</t>
  </si>
  <si>
    <t>972;1536;2209;11151;9332;55016;2210;3122;3117;3115;3120;1621;3113;4481;7454;6556;8905;1601;3123;3127;245972;23312;51762;23166</t>
  </si>
  <si>
    <t>CD74;CYBB;FCGR1A;CORO1A;CD163;MARCH1;FCGR1B;HLA-DRA;HLA-DQA1;HLA-DPB1;HLA-DQB2;DBH;HLA-DPA1;MSR1;WAS;SLC11A1;AP1S2;DAB2;HLA-DRB1;HLA-DRB5;ATP6V0D2;DMXL2;RAB8B;STAB1</t>
  </si>
  <si>
    <t>http://www.broadinstitute.org/gsea/msigdb/cards/GO_VESICLE_MEMBRANE.html</t>
  </si>
  <si>
    <t>GO_REGULATION_OF_CYTOPLASMIC_TRANSPORT</t>
  </si>
  <si>
    <t>920;3627;6036;3687;11151;4283;374403;114548;51284;7099;6373;3717;3553;596;3059;3586;6546;2833;1601;8809;5027;6363;4644</t>
  </si>
  <si>
    <t>CD4;CXCL10;RNASE2;ITGAX;CORO1A;CXCL9;TBC1D10C;NLRP3;TLR7;TLR4;CXCL11;JAK2;IL1B;BCL2;HCLS1;IL10;SLC8A1;CXCR3;DAB2;IL18R1;P2RX7;CCL19;MYO5A</t>
  </si>
  <si>
    <t>http://www.broadinstitute.org/gsea/msigdb/cards/GO_REGULATION_OF_CYTOPLASMIC_TRANSPORT.html</t>
  </si>
  <si>
    <t>GO_NEGATIVE_REGULATION_OF_HOMEOSTATIC_PROCESS</t>
  </si>
  <si>
    <t>972;3932;5788;2207;1236;1234;3635;596;5027;6363;9935</t>
  </si>
  <si>
    <t>CD74;LCK;PTPRC;FCER1G;CCR7;CCR5;INPP5D;BCL2;P2RX7;CCL19;MAFB</t>
  </si>
  <si>
    <t>http://www.broadinstitute.org/gsea/msigdb/cards/GO_NEGATIVE_REGULATION_OF_HOMEOSTATIC_PROCESS.html</t>
  </si>
  <si>
    <t>GO_POSITIVE_REGULATION_OF_ACUTE_INFLAMMATORY_RESPONSE</t>
  </si>
  <si>
    <t>6352;2207;1236;5294;3553;729230</t>
  </si>
  <si>
    <t>CCL5;FCER1G;CCR7;PIK3CG;IL1B;CCR2</t>
  </si>
  <si>
    <t>http://www.broadinstitute.org/gsea/msigdb/cards/GO_POSITIVE_REGULATION_OF_ACUTE_INFLAMMATORY_RESPONSE.html</t>
  </si>
  <si>
    <t>GO_ACTIN_FILAMENT_BASED_PROCESS</t>
  </si>
  <si>
    <t>7456;5341;11151;199;3071;391;221472;8477;57580;1794;3717;596;3936;3059;7454;89846;85464;91010;64780;64098;51466;4644</t>
  </si>
  <si>
    <t>WIPF1;PLEK;CORO1A;AIF1;NCKAP1L;RHOG;FGD2;GPR65;PREX1;DOCK2;JAK2;BCL2;LCP1;HCLS1;WAS;FGD3;SSH2;FMNL3;MICAL1;PARVG;EVL;MYO5A</t>
  </si>
  <si>
    <t>http://www.broadinstitute.org/gsea/msigdb/cards/GO_ACTIN_FILAMENT_BASED_PROCESS.html</t>
  </si>
  <si>
    <t>GO_REGULATION_OF_MONONUCLEAR_CELL_MIGRATION</t>
  </si>
  <si>
    <t>http://www.broadinstitute.org/gsea/msigdb/cards/GO_REGULATION_OF_MONONUCLEAR_CELL_MIGRATION.html</t>
  </si>
  <si>
    <t>GO_REGULATION_OF_INTERFERON_GAMMA_BIOSYNTHETIC_PROCESS</t>
  </si>
  <si>
    <t>59067;51311;51284;10148;50943</t>
  </si>
  <si>
    <t>IL21;TLR8;TLR7;EBI3;FOXP3</t>
  </si>
  <si>
    <t>http://www.broadinstitute.org/gsea/msigdb/cards/GO_REGULATION_OF_INTERFERON_GAMMA_BIOSYNTHETIC_PROCESS.html</t>
  </si>
  <si>
    <t>GO_REGULATION_OF_MACROPHAGE_CHEMOTAXIS</t>
  </si>
  <si>
    <t>http://www.broadinstitute.org/gsea/msigdb/cards/GO_REGULATION_OF_MACROPHAGE_CHEMOTAXIS.html</t>
  </si>
  <si>
    <t>GO_NEGATIVE_REGULATION_OF_INTERLEUKIN_10_PRODUCTION</t>
  </si>
  <si>
    <t>80380;3718;3604;50943;29126</t>
  </si>
  <si>
    <t>PDCD1LG2;JAK3;TNFRSF9;FOXP3;CD274</t>
  </si>
  <si>
    <t>http://www.broadinstitute.org/gsea/msigdb/cards/GO_NEGATIVE_REGULATION_OF_INTERLEUKIN_10_PRODUCTION.html</t>
  </si>
  <si>
    <t>GO_POSITIVE_REGULATION_OF_MYELOID_CELL_DIFFERENTIATION</t>
  </si>
  <si>
    <t>3458;1436;6352;3071;3635;1435;3059;2113;1230</t>
  </si>
  <si>
    <t>IFNG;CSF1R;CCL5;NCKAP1L;INPP5D;CSF1;HCLS1;ETS1;CCR1</t>
  </si>
  <si>
    <t>http://www.broadinstitute.org/gsea/msigdb/cards/GO_POSITIVE_REGULATION_OF_MYELOID_CELL_DIFFERENTIATION.html</t>
  </si>
  <si>
    <t>GO_NEGATIVE_REGULATION_OF_T_CELL_MEDIATED_IMMUNITY</t>
  </si>
  <si>
    <t>5788;3575;6504;6693;50943</t>
  </si>
  <si>
    <t>PTPRC;IL7R;SLAMF1;SPN;FOXP3</t>
  </si>
  <si>
    <t>http://www.broadinstitute.org/gsea/msigdb/cards/GO_NEGATIVE_REGULATION_OF_T_CELL_MEDIATED_IMMUNITY.html</t>
  </si>
  <si>
    <t>GO_REGULATION_OF_INTERLEUKIN_6_BIOSYNTHETIC_PROCESS</t>
  </si>
  <si>
    <t>3458;3635;64170;3553;5724</t>
  </si>
  <si>
    <t>IFNG;INPP5D;CARD9;IL1B;PTAFR</t>
  </si>
  <si>
    <t>http://www.broadinstitute.org/gsea/msigdb/cards/GO_REGULATION_OF_INTERLEUKIN_6_BIOSYNTHETIC_PROCESS.html</t>
  </si>
  <si>
    <t>GO_NEGATIVE_REGULATION_OF_MULTI_ORGANISM_PROCESS</t>
  </si>
  <si>
    <t>3458;3559;6351;6352;6772;3394;84868;730249;2219;27306;4049;3586</t>
  </si>
  <si>
    <t>IFNG;IL2RA;CCL4;CCL5;STAT1;IRF8;HAVCR2;ACOD1;FCN1;HPGDS;LTA;IL10</t>
  </si>
  <si>
    <t>http://www.broadinstitute.org/gsea/msigdb/cards/GO_NEGATIVE_REGULATION_OF_MULTI_ORGANISM_PROCESS.html</t>
  </si>
  <si>
    <t>GO_GLYCOSAMINOGLYCAN_BINDING</t>
  </si>
  <si>
    <t>3627;6352;114548;54209;6373;348;6402;10457;25890;9806;145864;23166;30817;26279</t>
  </si>
  <si>
    <t>CXCL10;CCL5;NLRP3;TREM2;CXCL11;APOE;SELL;GPNMB;ABI3BP;SPOCK2;HAPLN3;STAB1;ADGRE2;PLA2G2D</t>
  </si>
  <si>
    <t>http://www.broadinstitute.org/gsea/msigdb/cards/GO_GLYCOSAMINOGLYCAN_BINDING.html</t>
  </si>
  <si>
    <t>GO_REGULATION_OF_ALCOHOL_BIOSYNTHETIC_PROCESS</t>
  </si>
  <si>
    <t>3458;5341;2672;51744;3553;348;5724</t>
  </si>
  <si>
    <t>IFNG;PLEK;GFI1;CD244;IL1B;APOE;PTAFR</t>
  </si>
  <si>
    <t>http://www.broadinstitute.org/gsea/msigdb/cards/GO_REGULATION_OF_ALCOHOL_BIOSYNTHETIC_PROCESS.html</t>
  </si>
  <si>
    <t>GO_GUANYL_NUCLEOTIDE_BINDING</t>
  </si>
  <si>
    <t>2633;391;399;474344;170575;55340;115362;115361;116986;55303;4261;9363;10672;27314;155038;168537;51762;116442;26157;25939</t>
  </si>
  <si>
    <t>GBP1;RHOG;RHOH;GIMAP6;GIMAP1;GIMAP5;GBP5;GBP4;AGAP2;GIMAP4;CIITA;RAB33A;GNA13;RAB30;GIMAP8;GIMAP7;RAB8B;RAB39B;GIMAP2;SAMHD1</t>
  </si>
  <si>
    <t>http://www.broadinstitute.org/gsea/msigdb/cards/GO_GUANYL_NUCLEOTIDE_BINDING.html</t>
  </si>
  <si>
    <t>GO_POSITIVE_REGULATION_OF_ION_TRANSPORT</t>
  </si>
  <si>
    <t>920;3627;6351;6352;4283;51393;6373;3553;348;5724;1230;2833;3718;5027;64805</t>
  </si>
  <si>
    <t>CD4;CXCL10;CCL4;CCL5;CXCL9;TRPV2;CXCL11;IL1B;APOE;PTAFR;CCR1;CXCR3;JAK3;P2RX7;P2RY12</t>
  </si>
  <si>
    <t>http://www.broadinstitute.org/gsea/msigdb/cards/GO_POSITIVE_REGULATION_OF_ION_TRANSPORT.html</t>
  </si>
  <si>
    <t>GO_SIGNALING_PATTERN_RECOGNITION_RECEPTOR_ACTIVITY</t>
  </si>
  <si>
    <t>929;7099;2219;5724;64581</t>
  </si>
  <si>
    <t>CD14;TLR4;FCN1;PTAFR;CLEC7A</t>
  </si>
  <si>
    <t>http://www.broadinstitute.org/gsea/msigdb/cards/GO_SIGNALING_PATTERN_RECOGNITION_RECEPTOR_ACTIVITY.html</t>
  </si>
  <si>
    <t>GO_REGULATION_OF_ACTIN_FILAMENT_LENGTH</t>
  </si>
  <si>
    <t>7456;9535;5341;3055;11151;1236;3071;57580;3059;7454;85464;51466</t>
  </si>
  <si>
    <t>WIPF1;GMFG;PLEK;HCK;CORO1A;CCR7;NCKAP1L;PREX1;HCLS1;WAS;SSH2;EVL</t>
  </si>
  <si>
    <t>http://www.broadinstitute.org/gsea/msigdb/cards/GO_REGULATION_OF_ACTIN_FILAMENT_LENGTH.html</t>
  </si>
  <si>
    <t>GO_RESPONSE_TO_MECHANICAL_STIMULUS</t>
  </si>
  <si>
    <t>3627;3659;5734;51311;51284;7099;3553;1508;2113;943;6546;6507;5027;9033</t>
  </si>
  <si>
    <t>CXCL10;IRF1;PTGER4;TLR8;TLR7;TLR4;IL1B;CTSB;ETS1;TNFRSF8;SLC8A1;SLC1A3;P2RX7;PKD2L1</t>
  </si>
  <si>
    <t>http://www.broadinstitute.org/gsea/msigdb/cards/GO_RESPONSE_TO_MECHANICAL_STIMULUS.html</t>
  </si>
  <si>
    <t>GO_CALCIUM_ION_IMPORT</t>
  </si>
  <si>
    <t>3932;5788;1236;1234;6546;5027;6363;55013</t>
  </si>
  <si>
    <t>LCK;PTPRC;CCR7;CCR5;SLC8A1;P2RX7;CCL19;MCUB</t>
  </si>
  <si>
    <t>http://www.broadinstitute.org/gsea/msigdb/cards/GO_CALCIUM_ION_IMPORT.html</t>
  </si>
  <si>
    <t>GO_REGULATION_OF_REACTIVE_OXYGEN_SPECIES_BIOSYNTHETIC_PROCESS</t>
  </si>
  <si>
    <t>http://www.broadinstitute.org/gsea/msigdb/cards/GO_REGULATION_OF_REACTIVE_OXYGEN_SPECIES_BIOSYNTHETIC_PROCESS.html</t>
  </si>
  <si>
    <t>GO_RESPONSE_TO_INTERLEUKIN_4</t>
  </si>
  <si>
    <t>11151;3561;1508;4360;3718;11009</t>
  </si>
  <si>
    <t>CORO1A;IL2RG;CTSB;MRC1;JAK3;IL24</t>
  </si>
  <si>
    <t>http://www.broadinstitute.org/gsea/msigdb/cards/GO_RESPONSE_TO_INTERLEUKIN_4.html</t>
  </si>
  <si>
    <t>GO_REGULATION_OF_MAST_CELL_ACTIVATION_INVOLVED_IN_IMMUNE_RESPONSE</t>
  </si>
  <si>
    <t>2268;2207;7535;11314;8832;3162</t>
  </si>
  <si>
    <t>FGR;FCER1G;ZAP70;CD300A;CD84;HMOX1</t>
  </si>
  <si>
    <t>http://www.broadinstitute.org/gsea/msigdb/cards/GO_REGULATION_OF_MAST_CELL_ACTIVATION_INVOLVED_IN_IMMUNE_RESPONSE.html</t>
  </si>
  <si>
    <t>GO_REGULATION_OF_IMMUNOGLOBULIN_PRODUCTION</t>
  </si>
  <si>
    <t>54440;3458;940;959;30009;3586;50943</t>
  </si>
  <si>
    <t>SASH3;IFNG;CD28;CD40LG;TBX21;IL10;FOXP3</t>
  </si>
  <si>
    <t>http://www.broadinstitute.org/gsea/msigdb/cards/GO_REGULATION_OF_IMMUNOGLOBULIN_PRODUCTION.html</t>
  </si>
  <si>
    <t>GO_CELLULAR_RESPONSE_TO_ORGANIC_CYCLIC_COMPOUND</t>
  </si>
  <si>
    <t>6352;2350;2322;6772;5294;199;53829;730249;366;3717;19;3553;3956;4481;3586;5724;6546;6753;54331;4208;5027;64805</t>
  </si>
  <si>
    <t>CCL5;FOLR2;FLT3;STAT1;PIK3CG;AIF1;P2RY13;ACOD1;AQP9;JAK2;ABCA1;IL1B;LGALS1;MSR1;IL10;PTAFR;SLC8A1;SSTR3;GNG2;MEF2C;P2RX7;P2RY12</t>
  </si>
  <si>
    <t>http://www.broadinstitute.org/gsea/msigdb/cards/GO_CELLULAR_RESPONSE_TO_ORGANIC_CYCLIC_COMPOUND.html</t>
  </si>
  <si>
    <t>GO_POSITIVE_REGULATION_OF_CELLULAR_COMPONENT_ORGANIZATION</t>
  </si>
  <si>
    <t>7456;9839;3458;5341;929;3055;6036;940;963;3687;2207;1236;3071;391;3394;4283;8477;57580;1794;115362;54209;51393;7099;3553;348;3002;596;3936;3059;7454;6556;1601;4240;80821;10507;51762;5027;6363;50943;51466</t>
  </si>
  <si>
    <t>WIPF1;ZEB2;IFNG;PLEK;CD14;HCK;RNASE2;CD28;CD53;ITGAX;FCER1G;CCR7;NCKAP1L;RHOG;IRF8;CXCL9;GPR65;PREX1;DOCK2;GBP5;TREM2;TRPV2;TLR4;IL1B;APOE;GZMB;BCL2;LCP1;HCLS1;WAS;SLC11A1;DAB2;MFGE8;DDHD1;SEMA4D;RAB8B;P2RX7;CCL19;FOXP3;EVL</t>
  </si>
  <si>
    <t>http://www.broadinstitute.org/gsea/msigdb/cards/GO_POSITIVE_REGULATION_OF_CELLULAR_COMPONENT_ORGANIZATION.html</t>
  </si>
  <si>
    <t>GO_TOLL_LIKE_RECEPTOR_4_SIGNALING_PATHWAY</t>
  </si>
  <si>
    <t>3689;929;7099;3684;118788</t>
  </si>
  <si>
    <t>ITGB2;CD14;TLR4;ITGAM;PIK3AP1</t>
  </si>
  <si>
    <t>http://www.broadinstitute.org/gsea/msigdb/cards/GO_TOLL_LIKE_RECEPTOR_4_SIGNALING_PATHWAY.html</t>
  </si>
  <si>
    <t>GO_POSITIVE_REGULATION_OF_T_HELPER_CELL_DIFFERENTIATION</t>
  </si>
  <si>
    <t>941;942;3594;114548;6363</t>
  </si>
  <si>
    <t>CD80;CD86;IL12RB1;NLRP3;CCL19</t>
  </si>
  <si>
    <t>http://www.broadinstitute.org/gsea/msigdb/cards/GO_POSITIVE_REGULATION_OF_T_HELPER_CELL_DIFFERENTIATION.html</t>
  </si>
  <si>
    <t>GO_ANTIGEN_PROCESSING_AND_PRESENTATION_OF_EXOGENOUS_PEPTIDE_ANTIGEN_VIA_MHC_CLASS_I</t>
  </si>
  <si>
    <t>1536;2209;653361;2207;4689;2210;10437;4688</t>
  </si>
  <si>
    <t>CYBB;FCGR1A;NCF1;FCER1G;NCF4;FCGR1B;IFI30;NCF2</t>
  </si>
  <si>
    <t>http://www.broadinstitute.org/gsea/msigdb/cards/GO_ANTIGEN_PROCESSING_AND_PRESENTATION_OF_EXOGENOUS_PEPTIDE_ANTIGEN_VIA_MHC_CLASS_I.html</t>
  </si>
  <si>
    <t>GO_CALCIUM_ION_TRANSMEMBRANE_TRANSPORT</t>
  </si>
  <si>
    <t>3932;5788;1236;1234;255231;51393;6546;5027;6363;64805;55013;9033</t>
  </si>
  <si>
    <t>LCK;PTPRC;CCR7;CCR5;MCOLN2;TRPV2;SLC8A1;P2RX7;CCL19;P2RY12;MCUB;PKD2L1</t>
  </si>
  <si>
    <t>http://www.broadinstitute.org/gsea/msigdb/cards/GO_CALCIUM_ION_TRANSMEMBRANE_TRANSPORT.html</t>
  </si>
  <si>
    <t>GO_RESPONSE_TO_ENDOGENOUS_STIMULUS</t>
  </si>
  <si>
    <t>920;3689;6352;2350;2207;11151;1236;5734;2322;6772;5294;199;4671;64170;54209;730249;10537;366;3717;19;3553;1508;1621;3162;596;6402;3059;2113;526;728;3586;5724;6546;6753;6776;3718;54331;4208;4240;167465;245972;4327;5027;6363;64805;59345;4644</t>
  </si>
  <si>
    <t>CD4;ITGB2;CCL5;FOLR2;FCER1G;CORO1A;CCR7;PTGER4;FLT3;STAT1;PIK3CG;AIF1;NAIP;CARD9;TREM2;ACOD1;UBD;AQP9;JAK2;ABCA1;IL1B;CTSB;DBH;HMOX1;BCL2;SELL;HCLS1;ETS1;ATP6V1B2;C5AR1;IL10;PTAFR;SLC8A1;SSTR3;STAT5A;JAK3;GNG2;MEF2C;MFGE8;ZNF366;ATP6V0D2;MMP19;P2RX7;CCL19;P2RY12;GNB4;MYO5A</t>
  </si>
  <si>
    <t>http://www.broadinstitute.org/gsea/msigdb/cards/GO_RESPONSE_TO_ENDOGENOUS_STIMULUS.html</t>
  </si>
  <si>
    <t>GO_IMMUNOGLOBULIN_PRODUCTION</t>
  </si>
  <si>
    <t>5788;3575;959;5452;3123;3127;202309</t>
  </si>
  <si>
    <t>PTPRC;IL7R;CD40LG;POU2F2;HLA-DRB1;HLA-DRB5;GAPT</t>
  </si>
  <si>
    <t>http://www.broadinstitute.org/gsea/msigdb/cards/GO_IMMUNOGLOBULIN_PRODUCTION.html</t>
  </si>
  <si>
    <t>GO_REGULATION_OF_NF_KAPPAB_IMPORT_INTO_NUCLEUS</t>
  </si>
  <si>
    <t>114548;51284;7099;3553;3586;8809;6363</t>
  </si>
  <si>
    <t>NLRP3;TLR7;TLR4;IL1B;IL10;IL18R1;CCL19</t>
  </si>
  <si>
    <t>http://www.broadinstitute.org/gsea/msigdb/cards/GO_REGULATION_OF_NF_KAPPAB_IMPORT_INTO_NUCLEUS.html</t>
  </si>
  <si>
    <t>GO_POSITIVE_REGULATION_OF_STRESS_ACTIVATED_PROTEIN_KINASE_SIGNALING_CASCADE</t>
  </si>
  <si>
    <t>9839;959;1236;6504;221472;11184;64170;7099;3553;6363;4215</t>
  </si>
  <si>
    <t>ZEB2;CD40LG;CCR7;SLAMF1;FGD2;MAP4K1;CARD9;TLR4;IL1B;CCL19;MAP3K3</t>
  </si>
  <si>
    <t>http://www.broadinstitute.org/gsea/msigdb/cards/GO_POSITIVE_REGULATION_OF_STRESS_ACTIVATED_PROTEIN_KINASE_SIGNALING_CASCADE.html</t>
  </si>
  <si>
    <t>GO_REGULATION_OF_TYPE_I_INTERFERON_PRODUCTION</t>
  </si>
  <si>
    <t>929;3659;84166;84868;81030;51311;51284;730249;7099;3586</t>
  </si>
  <si>
    <t>CD14;IRF1;NLRC5;HAVCR2;ZBP1;TLR8;TLR7;ACOD1;TLR4;IL10</t>
  </si>
  <si>
    <t>http://www.broadinstitute.org/gsea/msigdb/cards/GO_REGULATION_OF_TYPE_I_INTERFERON_PRODUCTION.html</t>
  </si>
  <si>
    <t>GO_SIGNAL_TRANSDUCTION_BY_PROTEIN_PHOSPHORYLATION</t>
  </si>
  <si>
    <t>3559;6352;3560;959;3561;1439;5734;1234;9459;64926;11184;3717;6793;3553;3718;4208;25780;115727;6363;4215</t>
  </si>
  <si>
    <t>IL2RA;CCL5;IL2RB;CD40LG;IL2RG;CSF2RB;PTGER4;CCR5;ARHGEF6;RASAL3;MAP4K1;JAK2;STK10;IL1B;JAK3;MEF2C;RASGRP3;RASGRP4;CCL19;MAP3K3</t>
  </si>
  <si>
    <t>http://www.broadinstitute.org/gsea/msigdb/cards/GO_SIGNAL_TRANSDUCTION_BY_PROTEIN_PHOSPHORYLATION.html</t>
  </si>
  <si>
    <t>GO_REGULATION_OF_TOLL_LIKE_RECEPTOR_SIGNALING_PATHWAY</t>
  </si>
  <si>
    <t>929;3659;3662;2672;730249;7099;118788</t>
  </si>
  <si>
    <t>CD14;IRF1;IRF4;GFI1;ACOD1;TLR4;PIK3AP1</t>
  </si>
  <si>
    <t>http://www.broadinstitute.org/gsea/msigdb/cards/GO_REGULATION_OF_TOLL_LIKE_RECEPTOR_SIGNALING_PATHWAY.html</t>
  </si>
  <si>
    <t>GO_NEGATIVE_REGULATION_OF_NF_KAPPAB_TRANSCRIPTION_FACTOR_ACTIVITY</t>
  </si>
  <si>
    <t>197358;84166;84868;114548;2672;1240;730249;50943</t>
  </si>
  <si>
    <t>NLRC3;NLRC5;HAVCR2;NLRP3;GFI1;CMKLR1;ACOD1;FOXP3</t>
  </si>
  <si>
    <t>http://www.broadinstitute.org/gsea/msigdb/cards/GO_NEGATIVE_REGULATION_OF_NF_KAPPAB_TRANSCRIPTION_FACTOR_ACTIVITY.html</t>
  </si>
  <si>
    <t>GO_NEGATIVE_REGULATION_OF_INTERLEUKIN_1_PRODUCTION</t>
  </si>
  <si>
    <t>4210;5734;114548;54;3586</t>
  </si>
  <si>
    <t>MEFV;PTGER4;NLRP3;ACP5;IL10</t>
  </si>
  <si>
    <t>http://www.broadinstitute.org/gsea/msigdb/cards/GO_NEGATIVE_REGULATION_OF_INTERLEUKIN_1_PRODUCTION.html</t>
  </si>
  <si>
    <t>GO_REGULATION_OF_INTERFERON_ALPHA_PRODUCTION</t>
  </si>
  <si>
    <t>84868;51311;51284;7099;3586</t>
  </si>
  <si>
    <t>HAVCR2;TLR8;TLR7;TLR4;IL10</t>
  </si>
  <si>
    <t>http://www.broadinstitute.org/gsea/msigdb/cards/GO_REGULATION_OF_INTERFERON_ALPHA_PRODUCTION.html</t>
  </si>
  <si>
    <t>GO_REGULATION_OF_T_CELL_APOPTOTIC_PROCESS</t>
  </si>
  <si>
    <t>6352;81704;3718;5133;155038;29126</t>
  </si>
  <si>
    <t>CCL5;DOCK8;JAK3;PDCD1;GIMAP8;CD274</t>
  </si>
  <si>
    <t>http://www.broadinstitute.org/gsea/msigdb/cards/GO_REGULATION_OF_T_CELL_APOPTOTIC_PROCESS.html</t>
  </si>
  <si>
    <t>GO_REGULATION_OF_ACTIN_FILAMENT_BASED_PROCESS</t>
  </si>
  <si>
    <t>7456;9535;1436;5341;3055;11151;1236;5734;3071;8477;57580;3059;7454;4208;55704;85464;51466</t>
  </si>
  <si>
    <t>WIPF1;GMFG;CSF1R;PLEK;HCK;CORO1A;CCR7;PTGER4;NCKAP1L;GPR65;PREX1;HCLS1;WAS;MEF2C;CCDC88A;SSH2;EVL</t>
  </si>
  <si>
    <t>http://www.broadinstitute.org/gsea/msigdb/cards/GO_REGULATION_OF_ACTIN_FILAMENT_BASED_PROCESS.html</t>
  </si>
  <si>
    <t>GO_PHOSPHATIDYLINOSITOL_3_KINASE_ACTIVITY</t>
  </si>
  <si>
    <t>3932;940;941;942;5294;50852;23533;146850</t>
  </si>
  <si>
    <t>LCK;CD28;CD80;CD86;PIK3CG;TRAT1;PIK3R5;PIK3R6</t>
  </si>
  <si>
    <t>http://www.broadinstitute.org/gsea/msigdb/cards/GO_PHOSPHATIDYLINOSITOL_3_KINASE_ACTIVITY.html</t>
  </si>
  <si>
    <t>GO_PHOSPHATIDYLINOSITOL_METABOLIC_PROCESS</t>
  </si>
  <si>
    <t>3932;1436;5341;940;941;942;5294;50852;23533;3635;146850;26279;8605</t>
  </si>
  <si>
    <t>LCK;CSF1R;PLEK;CD28;CD80;CD86;PIK3CG;TRAT1;PIK3R5;INPP5D;PIK3R6;PLA2G2D;PLA2G4C</t>
  </si>
  <si>
    <t>http://www.broadinstitute.org/gsea/msigdb/cards/GO_PHOSPHATIDYLINOSITOL_METABOLIC_PROCESS.html</t>
  </si>
  <si>
    <t>GO_POSITIVE_REGULATION_OF_CYTOPLASMIC_TRANSPORT</t>
  </si>
  <si>
    <t>920;3627;6036;3687;4283;51284;7099;6373;3717;3553;3059;2833;1601;8809;5027;6363</t>
  </si>
  <si>
    <t>CD4;CXCL10;RNASE2;ITGAX;CXCL9;TLR7;TLR4;CXCL11;JAK2;IL1B;HCLS1;CXCR3;DAB2;IL18R1;P2RX7;CCL19</t>
  </si>
  <si>
    <t>http://www.broadinstitute.org/gsea/msigdb/cards/GO_POSITIVE_REGULATION_OF_CYTOPLASMIC_TRANSPORT.html</t>
  </si>
  <si>
    <t>GO_NEGATIVE_REGULATION_OF_ANTIGEN_RECEPTOR_MEDIATED_SIGNALING_PATHWAY</t>
  </si>
  <si>
    <t>9404;2633;53347;11314;23228</t>
  </si>
  <si>
    <t>LPXN;GBP1;UBASH3A;CD300A;PLCL2</t>
  </si>
  <si>
    <t>http://www.broadinstitute.org/gsea/msigdb/cards/GO_NEGATIVE_REGULATION_OF_ANTIGEN_RECEPTOR_MEDIATED_SIGNALING_PATHWAY.html</t>
  </si>
  <si>
    <t>GO_PHOSPHOLIPASE_ACTIVITY</t>
  </si>
  <si>
    <t>6352;1234;719;23228;3162;1230;7941;26279;8605</t>
  </si>
  <si>
    <t>CCL5;CCR5;C3AR1;PLCL2;HMOX1;CCR1;PLA2G7;PLA2G2D;PLA2G4C</t>
  </si>
  <si>
    <t>http://www.broadinstitute.org/gsea/msigdb/cards/GO_PHOSPHOLIPASE_ACTIVITY.html</t>
  </si>
  <si>
    <t>GO_REGULATION_OF_PEPTIDE_TRANSPORT</t>
  </si>
  <si>
    <t>3458;972;6352;5734;114548;51284;7099;3717;3553;3586;8809;3123;3127;51762;6363</t>
  </si>
  <si>
    <t>IFNG;CD74;CCL5;PTGER4;NLRP3;TLR7;TLR4;JAK2;IL1B;IL10;IL18R1;HLA-DRB1;HLA-DRB5;RAB8B;CCL19</t>
  </si>
  <si>
    <t>http://www.broadinstitute.org/gsea/msigdb/cards/GO_REGULATION_OF_PEPTIDE_TRANSPORT.html</t>
  </si>
  <si>
    <t>GO_B_CELL_HOMEOSTASIS</t>
  </si>
  <si>
    <t>3071;596;4208;202309;50943</t>
  </si>
  <si>
    <t>NCKAP1L;BCL2;MEF2C;GAPT;FOXP3</t>
  </si>
  <si>
    <t>http://www.broadinstitute.org/gsea/msigdb/cards/GO_B_CELL_HOMEOSTASIS.html</t>
  </si>
  <si>
    <t>GO_MAST_CELL_ACTIVATION</t>
  </si>
  <si>
    <t>2207;5294;3937;399;7462</t>
  </si>
  <si>
    <t>FCER1G;PIK3CG;LCP2;RHOH;LAT2</t>
  </si>
  <si>
    <t>http://www.broadinstitute.org/gsea/msigdb/cards/GO_MAST_CELL_ACTIVATION.html</t>
  </si>
  <si>
    <t>GO_GRANULOCYTE_ACTIVATION</t>
  </si>
  <si>
    <t>7305;6352;2207;7535;57580</t>
  </si>
  <si>
    <t>TYROBP;CCL5;FCER1G;ZAP70;PREX1</t>
  </si>
  <si>
    <t>http://www.broadinstitute.org/gsea/msigdb/cards/GO_GRANULOCYTE_ACTIVATION.html</t>
  </si>
  <si>
    <t>GO_REGULATION_OF_MEMBRANE_PROTEIN_ECTODOMAIN_PROTEOLYSIS</t>
  </si>
  <si>
    <t>3458;7133;3553;348;3586</t>
  </si>
  <si>
    <t>IFNG;TNFRSF1B;IL1B;APOE;IL10</t>
  </si>
  <si>
    <t>http://www.broadinstitute.org/gsea/msigdb/cards/GO_REGULATION_OF_MEMBRANE_PROTEIN_ECTODOMAIN_PROTEOLYSIS.html</t>
  </si>
  <si>
    <t>GO_TUMOR_NECROSIS_FACTOR_MEDIATED_SIGNALING_PATHWAY</t>
  </si>
  <si>
    <t>7133;959;6772;10673;8742;3717;4049;943;4050;3604</t>
  </si>
  <si>
    <t>TNFRSF1B;CD40LG;STAT1;TNFSF13B;TNFSF12;JAK2;LTA;TNFRSF8;LTB;TNFRSF9</t>
  </si>
  <si>
    <t>http://www.broadinstitute.org/gsea/msigdb/cards/GO_TUMOR_NECROSIS_FACTOR_MEDIATED_SIGNALING_PATHWAY.html</t>
  </si>
  <si>
    <t>GO_CYTOSOLIC_CALCIUM_ION_TRANSPORT</t>
  </si>
  <si>
    <t>3932;5788;1236;1234;6546;5027;6363</t>
  </si>
  <si>
    <t>LCK;PTPRC;CCR7;CCR5;SLC8A1;P2RX7;CCL19</t>
  </si>
  <si>
    <t>http://www.broadinstitute.org/gsea/msigdb/cards/GO_CYTOSOLIC_CALCIUM_ION_TRANSPORT.html</t>
  </si>
  <si>
    <t>GO_REGULATION_OF_TRANSCRIPTION_FACTOR_IMPORT_INTO_NUCLEUS</t>
  </si>
  <si>
    <t>374403;114548;51284;7099;3553;3059;3586;8809;6363</t>
  </si>
  <si>
    <t>TBC1D10C;NLRP3;TLR7;TLR4;IL1B;HCLS1;IL10;IL18R1;CCL19</t>
  </si>
  <si>
    <t>http://www.broadinstitute.org/gsea/msigdb/cards/GO_REGULATION_OF_TRANSCRIPTION_FACTOR_IMPORT_INTO_NUCLEUS.html</t>
  </si>
  <si>
    <t>GO_REGULATION_OF_RESPONSE_TO_CYTOKINE_STIMULUS</t>
  </si>
  <si>
    <t>3458;972;5788;6352;6772;84166;2672;54209;3717;1435;7185</t>
  </si>
  <si>
    <t>IFNG;CD74;PTPRC;CCL5;STAT1;NLRC5;GFI1;TREM2;JAK2;CSF1;TRAF1</t>
  </si>
  <si>
    <t>http://www.broadinstitute.org/gsea/msigdb/cards/GO_REGULATION_OF_RESPONSE_TO_CYTOKINE_STIMULUS.html</t>
  </si>
  <si>
    <t>GO_REGULATION_OF_TRANSFERASE_ACTIVITY</t>
  </si>
  <si>
    <t>http://www.broadinstitute.org/gsea/msigdb/cards/GO_REGULATION_OF_TRANSFERASE_ACTIVITY.html</t>
  </si>
  <si>
    <t>GO_POSITIVE_REGULATION_OF_PROTEIN_SERINE_THREONINE_KINASE_ACTIVITY</t>
  </si>
  <si>
    <t>9839;972;1436;959;2322;5294;221472;23533;11184;7099;3553;2357;728;146850;5027;6363</t>
  </si>
  <si>
    <t>ZEB2;CD74;CSF1R;CD40LG;FLT3;PIK3CG;FGD2;PIK3R5;MAP4K1;TLR4;IL1B;FPR1;C5AR1;PIK3R6;P2RX7;CCL19</t>
  </si>
  <si>
    <t>http://www.broadinstitute.org/gsea/msigdb/cards/GO_POSITIVE_REGULATION_OF_PROTEIN_SERINE_THREONINE_KINASE_ACTIVITY.html</t>
  </si>
  <si>
    <t>GO_REGULATION_OF_ENDOCYTOSIS</t>
  </si>
  <si>
    <t>929;3055;2268;2207;3071;1794;11314;3553;341;6556;1601;4240;6363</t>
  </si>
  <si>
    <t>CD14;HCK;FGR;FCER1G;NCKAP1L;DOCK2;CD300A;IL1B;APOC1;SLC11A1;DAB2;MFGE8;CCL19</t>
  </si>
  <si>
    <t>http://www.broadinstitute.org/gsea/msigdb/cards/GO_REGULATION_OF_ENDOCYTOSIS.html</t>
  </si>
  <si>
    <t>10663;920;1378;3695;941;942;1234;6890;6504;6404;348;1508;4360;6891;3123;30835</t>
  </si>
  <si>
    <t>CXCR6;CD4;CR1;ITGB7;CD80;CD86;CCR5;TAP1;SLAMF1;SELPLG;APOE;CTSB;MRC1;TAP2;HLA-DRB1;CD209</t>
  </si>
  <si>
    <t>http://www.broadinstitute.org/gsea/msigdb/cards/GO_VIRAL_LIFE_CYCLE.html</t>
  </si>
  <si>
    <t>GO_SIGNALING_ADAPTOR_ACTIVITY</t>
  </si>
  <si>
    <t>9046;4068;9402;940;50852;84174;10019;6503</t>
  </si>
  <si>
    <t>DOK2;SH2D1A;GRAP2;CD28;TRAT1;SLA2;SH2B3;SLA</t>
  </si>
  <si>
    <t>http://www.broadinstitute.org/gsea/msigdb/cards/GO_SIGNALING_ADAPTOR_ACTIVITY.html</t>
  </si>
  <si>
    <t>GO_NEGATIVE_REGULATION_OF_CYTOKINE_PRODUCTION_INVOLVED_IN_IMMUNE_RESPONSE</t>
  </si>
  <si>
    <t>6504;3162;3586;3718;50943</t>
  </si>
  <si>
    <t>SLAMF1;HMOX1;IL10;JAK3;FOXP3</t>
  </si>
  <si>
    <t>http://www.broadinstitute.org/gsea/msigdb/cards/GO_NEGATIVE_REGULATION_OF_CYTOKINE_PRODUCTION_INVOLVED_IN_IMMUNE_RESPONSE.html</t>
  </si>
  <si>
    <t>GO_CATION_TRANSPORT</t>
  </si>
  <si>
    <t>1318;5579;3932;5788;6352;2207;11151;1236;1234;8514;51296;255231;56659;51393;3737;526;1230;6546;6556;441168;206358;245972;84329;5027;6363;64805;51063;56606;55013;9033</t>
  </si>
  <si>
    <t>SLC31A2;PRKCB;LCK;PTPRC;CCL5;FCER1G;CORO1A;CCR7;CCR5;KCNAB2;SLC15A3;MCOLN2;KCNK13;TRPV2;KCNA2;ATP6V1B2;CCR1;SLC8A1;SLC11A1;CALHM6;SLC36A1;ATP6V0D2;HVCN1;P2RX7;CCL19;P2RY12;CALHM2;SLC2A9;MCUB;PKD2L1</t>
  </si>
  <si>
    <t>http://www.broadinstitute.org/gsea/msigdb/cards/GO_CATION_TRANSPORT.html</t>
  </si>
  <si>
    <t>GO_TRANSMEMBRANE_TRANSPORTER_ACTIVITY</t>
  </si>
  <si>
    <t>1318;11309;1536;5551;6890;8514;51296;255231;56659;225;9056;51393;9120;366;7439;19;596;3737;526;6518;6546;6507;6556;6891;597;441168;206358;245972;84230;84329;5027;51063;56606;55013;9033</t>
  </si>
  <si>
    <t>SLC31A2;SLCO2B1;CYBB;PRF1;TAP1;KCNAB2;SLC15A3;MCOLN2;KCNK13;ABCD2;SLC7A7;TRPV2;SLC16A6;AQP9;BEST1;ABCA1;BCL2;KCNA2;ATP6V1B2;SLC2A5;SLC8A1;SLC1A3;SLC11A1;TAP2;BCL2A1;CALHM6;SLC36A1;ATP6V0D2;LRRC8C;HVCN1;P2RX7;CALHM2;SLC2A9;MCUB;PKD2L1</t>
  </si>
  <si>
    <t>http://www.broadinstitute.org/gsea/msigdb/cards/GO_TRANSMEMBRANE_TRANSPORTER_ACTIVITY.html</t>
  </si>
  <si>
    <t>GO_PROTEIN_TYROSINE_KINASE_ACTIVITY</t>
  </si>
  <si>
    <t>3932;1436;3055;2268;1439;2322;7535;695;3702;3717;6776;3718</t>
  </si>
  <si>
    <t>LCK;CSF1R;HCK;FGR;CSF2RB;FLT3;ZAP70;BTK;ITK;JAK2;STAT5A;JAK3</t>
  </si>
  <si>
    <t>http://www.broadinstitute.org/gsea/msigdb/cards/GO_PROTEIN_TYROSINE_KINASE_ACTIVITY.html</t>
  </si>
  <si>
    <t>GO_PHAGOCYTOSIS_ENGULFMENT</t>
  </si>
  <si>
    <t>2209;2207;199;54209;19;4240</t>
  </si>
  <si>
    <t>FCGR1A;FCER1G;AIF1;TREM2;ABCA1;MFGE8</t>
  </si>
  <si>
    <t>http://www.broadinstitute.org/gsea/msigdb/cards/GO_PHAGOCYTOSIS_ENGULFMENT.html</t>
  </si>
  <si>
    <t>GO_COATED_VESICLE</t>
  </si>
  <si>
    <t>972;2209;1493;2210;3122;3117;3115;3120;3113;8905;1601;3123;3127;1522</t>
  </si>
  <si>
    <t>CD74;FCGR1A;CTLA4;FCGR1B;HLA-DRA;HLA-DQA1;HLA-DPB1;HLA-DQB2;HLA-DPA1;AP1S2;DAB2;HLA-DRB1;HLA-DRB5;CTSZ</t>
  </si>
  <si>
    <t>http://www.broadinstitute.org/gsea/msigdb/cards/GO_COATED_VESICLE.html</t>
  </si>
  <si>
    <t>GO_REGULATION_OF_CHRONIC_INFLAMMATORY_RESPONSE</t>
  </si>
  <si>
    <t>6352;4049;3586;50943</t>
  </si>
  <si>
    <t>CCL5;LTA;IL10;FOXP3</t>
  </si>
  <si>
    <t>http://www.broadinstitute.org/gsea/msigdb/cards/GO_REGULATION_OF_CHRONIC_INFLAMMATORY_RESPONSE.html</t>
  </si>
  <si>
    <t>GO_NEGATIVE_REGULATION_OF_LEUKOCYTE_DEGRANULATION</t>
  </si>
  <si>
    <t>11314;8832;3162;729230</t>
  </si>
  <si>
    <t>CD300A;CD84;HMOX1;CCR2</t>
  </si>
  <si>
    <t>http://www.broadinstitute.org/gsea/msigdb/cards/GO_NEGATIVE_REGULATION_OF_LEUKOCYTE_DEGRANULATION.html</t>
  </si>
  <si>
    <t>GO_NEGATIVE_REGULATION_OF_INTERLEUKIN_17_PRODUCTION</t>
  </si>
  <si>
    <t>3458;3071;7099;50943</t>
  </si>
  <si>
    <t>IFNG;NCKAP1L;TLR4;FOXP3</t>
  </si>
  <si>
    <t>http://www.broadinstitute.org/gsea/msigdb/cards/GO_NEGATIVE_REGULATION_OF_INTERLEUKIN_17_PRODUCTION.html</t>
  </si>
  <si>
    <t>GO_REGULATION_OF_T_CELL_MEDIATED_CYTOTOXICITY</t>
  </si>
  <si>
    <t>259197;5788;3575;3594;5027</t>
  </si>
  <si>
    <t>NCR3;PTPRC;IL7R;IL12RB1;P2RX7</t>
  </si>
  <si>
    <t>http://www.broadinstitute.org/gsea/msigdb/cards/GO_REGULATION_OF_T_CELL_MEDIATED_CYTOTOXICITY.html</t>
  </si>
  <si>
    <t>GO_ACTIN_FILAMENT_POLYMERIZATION</t>
  </si>
  <si>
    <t>199;57580;3717;3059;7454</t>
  </si>
  <si>
    <t>AIF1;PREX1;JAK2;HCLS1;WAS</t>
  </si>
  <si>
    <t>http://www.broadinstitute.org/gsea/msigdb/cards/GO_ACTIN_FILAMENT_POLYMERIZATION.html</t>
  </si>
  <si>
    <t>GO_KINASE_ACTIVITY</t>
  </si>
  <si>
    <t>5579;3932;1436;3055;2268;940;6352;1439;941;2322;942;7535;5294;3101;4354;695;3702;50852;54899;23533;11184;55589;3717;6793;4261;6776;3718;814;146850;4215;54861</t>
  </si>
  <si>
    <t>PRKCB;LCK;CSF1R;HCK;FGR;CD28;CCL5;CSF2RB;CD80;FLT3;CD86;ZAP70;PIK3CG;HK3;MPP1;BTK;ITK;TRAT1;PXK;PIK3R5;MAP4K1;BMP2K;JAK2;STK10;CIITA;STAT5A;JAK3;CAMK4;PIK3R6;MAP3K3;SNRK</t>
  </si>
  <si>
    <t>http://www.broadinstitute.org/gsea/msigdb/cards/GO_KINASE_ACTIVITY.html</t>
  </si>
  <si>
    <t>GO_REGULATION_OF_CELLULAR_COMPONENT_BIOGENESIS</t>
  </si>
  <si>
    <t>4210;7456;9535;5341;3055;11151;1236;5734;3071;391;3394;374403;8477;57580;115362;26051;197135;7099;348;3936;3059;7454;4208;9363;85464;147138;5027;6363;51466</t>
  </si>
  <si>
    <t>MEFV;WIPF1;GMFG;PLEK;HCK;CORO1A;CCR7;PTGER4;NCKAP1L;RHOG;IRF8;TBC1D10C;GPR65;PREX1;GBP5;PPP1R16B;PATL2;TLR4;APOE;LCP1;HCLS1;WAS;MEF2C;RAB33A;SSH2;TMC8;P2RX7;CCL19;EVL</t>
  </si>
  <si>
    <t>http://www.broadinstitute.org/gsea/msigdb/cards/GO_REGULATION_OF_CELLULAR_COMPONENT_BIOGENESIS.html</t>
  </si>
  <si>
    <t>GO_REGULATION_OF_CELL_ADHESION_MEDIATED_BY_INTEGRIN</t>
  </si>
  <si>
    <t>9404;6352;7535;5294;3071;83706</t>
  </si>
  <si>
    <t>LPXN;CCL5;ZAP70;PIK3CG;NCKAP1L;FERMT3</t>
  </si>
  <si>
    <t>http://www.broadinstitute.org/gsea/msigdb/cards/GO_REGULATION_OF_CELL_ADHESION_MEDIATED_BY_INTEGRIN.html</t>
  </si>
  <si>
    <t>GO_REGULATION_OF_REACTIVE_OXYGEN_SPECIES_METABOLIC_PROCESS</t>
  </si>
  <si>
    <t>3458;3689;5734;199;730249;7099;3717;3553;596;54;3586</t>
  </si>
  <si>
    <t>IFNG;ITGB2;PTGER4;AIF1;ACOD1;TLR4;JAK2;IL1B;BCL2;ACP5;IL10</t>
  </si>
  <si>
    <t>http://www.broadinstitute.org/gsea/msigdb/cards/GO_REGULATION_OF_REACTIVE_OXYGEN_SPECIES_METABOLIC_PROCESS.html</t>
  </si>
  <si>
    <t>GO_POSITIVE_REGULATION_OF_OSTEOCLAST_DIFFERENTIATION</t>
  </si>
  <si>
    <t>3458;1436;6352;1435;1230</t>
  </si>
  <si>
    <t>IFNG;CSF1R;CCL5;CSF1;CCR1</t>
  </si>
  <si>
    <t>http://www.broadinstitute.org/gsea/msigdb/cards/GO_POSITIVE_REGULATION_OF_OSTEOCLAST_DIFFERENTIATION.html</t>
  </si>
  <si>
    <t>GO_IMMUNOGLOBULIN_PRODUCTION_INVOLVED_IN_IMMUNOGLOBULIN_MEDIATED_IMMUNE_RESPONSE</t>
  </si>
  <si>
    <t>959;5452;3123;3127;202309</t>
  </si>
  <si>
    <t>CD40LG;POU2F2;HLA-DRB1;HLA-DRB5;GAPT</t>
  </si>
  <si>
    <t>http://www.broadinstitute.org/gsea/msigdb/cards/GO_IMMUNOGLOBULIN_PRODUCTION_INVOLVED_IN_IMMUNOGLOBULIN_MEDIATED_IMMUNE_RESPONSE.html</t>
  </si>
  <si>
    <t>GO_REGULATION_OF_ISOTYPE_SWITCHING</t>
  </si>
  <si>
    <t>3458;940;30009;3586;50943</t>
  </si>
  <si>
    <t>IFNG;CD28;TBX21;IL10;FOXP3</t>
  </si>
  <si>
    <t>http://www.broadinstitute.org/gsea/msigdb/cards/GO_REGULATION_OF_ISOTYPE_SWITCHING.html</t>
  </si>
  <si>
    <t>GO_REGULATION_OF_T_CELL_MIGRATION</t>
  </si>
  <si>
    <t>3627;6352;3676;199;729230</t>
  </si>
  <si>
    <t>CXCL10;CCL5;ITGA4;AIF1;CCR2</t>
  </si>
  <si>
    <t>http://www.broadinstitute.org/gsea/msigdb/cards/GO_REGULATION_OF_T_CELL_MIGRATION.html</t>
  </si>
  <si>
    <t>GO_REGULATION_OF_PHOSPHATIDYLINOSITOL_3_KINASE_ACTIVITY</t>
  </si>
  <si>
    <t>2268;1236;2322;23533;146850;6363</t>
  </si>
  <si>
    <t>FGR;CCR7;FLT3;PIK3R5;PIK3R6;CCL19</t>
  </si>
  <si>
    <t>http://www.broadinstitute.org/gsea/msigdb/cards/GO_REGULATION_OF_PHOSPHATIDYLINOSITOL_3_KINASE_ACTIVITY.html</t>
  </si>
  <si>
    <t>GO_PROTEIN_LIPID_COMPLEX</t>
  </si>
  <si>
    <t>19;348;341;4481;55911;7941</t>
  </si>
  <si>
    <t>ABCA1;APOE;APOC1;MSR1;APOBR;PLA2G7</t>
  </si>
  <si>
    <t>http://www.broadinstitute.org/gsea/msigdb/cards/GO_PROTEIN_LIPID_COMPLEX.html</t>
  </si>
  <si>
    <t>GO_CELLULAR_RESPONSE_TO_MECHANICAL_STIMULUS</t>
  </si>
  <si>
    <t>3659;5734;51311;51284;7099;3553;1508;943</t>
  </si>
  <si>
    <t>IRF1;PTGER4;TLR8;TLR7;TLR4;IL1B;CTSB;TNFRSF8</t>
  </si>
  <si>
    <t>http://www.broadinstitute.org/gsea/msigdb/cards/GO_CELLULAR_RESPONSE_TO_MECHANICAL_STIMULUS.html</t>
  </si>
  <si>
    <t>GO_POSITIVE_REGULATION_OF_CELLULAR_EXTRAVASATION</t>
  </si>
  <si>
    <t>3676;5734;5724;729230</t>
  </si>
  <si>
    <t>ITGA4;PTGER4;PTAFR;CCR2</t>
  </si>
  <si>
    <t>http://www.broadinstitute.org/gsea/msigdb/cards/GO_POSITIVE_REGULATION_OF_CELLULAR_EXTRAVASATION.html</t>
  </si>
  <si>
    <t>GO_POSITIVE_REGULATION_OF_THYMOCYTE_AGGREGATION</t>
  </si>
  <si>
    <t>9840;3575;3553;50943</t>
  </si>
  <si>
    <t>TESPA1;IL7R;IL1B;FOXP3</t>
  </si>
  <si>
    <t>http://www.broadinstitute.org/gsea/msigdb/cards/GO_POSITIVE_REGULATION_OF_THYMOCYTE_AGGREGATION.html</t>
  </si>
  <si>
    <t>GO_POSITIVE_REGULATION_OF_INTERFERON_GAMMA_BIOSYNTHETIC_PROCESS</t>
  </si>
  <si>
    <t>59067;51311;51284;10148</t>
  </si>
  <si>
    <t>IL21;TLR8;TLR7;EBI3</t>
  </si>
  <si>
    <t>http://www.broadinstitute.org/gsea/msigdb/cards/GO_POSITIVE_REGULATION_OF_INTERFERON_GAMMA_BIOSYNTHETIC_PROCESS.html</t>
  </si>
  <si>
    <t>GO_POSITIVE_REGULATION_OF_CAMP_MEDIATED_SIGNALING</t>
  </si>
  <si>
    <t>3627;4283;6373;2833</t>
  </si>
  <si>
    <t>CXCL10;CXCL9;CXCL11;CXCR3</t>
  </si>
  <si>
    <t>http://www.broadinstitute.org/gsea/msigdb/cards/GO_POSITIVE_REGULATION_OF_CAMP_MEDIATED_SIGNALING.html</t>
  </si>
  <si>
    <t>GO_CELL_TRAILING_EDGE</t>
  </si>
  <si>
    <t>9051;6404;388325;6693</t>
  </si>
  <si>
    <t>PSTPIP1;SELPLG;SCIMP;SPN</t>
  </si>
  <si>
    <t>http://www.broadinstitute.org/gsea/msigdb/cards/GO_CELL_TRAILING_EDGE.html</t>
  </si>
  <si>
    <t>GO_NEGATIVE_REGULATION_OF_OSTEOCLAST_DIFFERENTIATION</t>
  </si>
  <si>
    <t>11025;11006;3635;7099;9935</t>
  </si>
  <si>
    <t>LILRB3;LILRB4;INPP5D;TLR4;MAFB</t>
  </si>
  <si>
    <t>http://www.broadinstitute.org/gsea/msigdb/cards/GO_NEGATIVE_REGULATION_OF_OSTEOCLAST_DIFFERENTIATION.html</t>
  </si>
  <si>
    <t>GO_GOLGI_MEMBRANE</t>
  </si>
  <si>
    <t>7940;4242;972;4245;2633;55016;170575;115362;115361;51311;51284;27128;3122;3117;3115;3120;5552;3113;8905;2529;27314;3123;3127;57589;79690;50515;1522</t>
  </si>
  <si>
    <t>LST1;MFNG;CD74;MGAT1;GBP1;MARCH1;GIMAP1;GBP5;GBP4;TLR8;TLR7;CYTH4;HLA-DRA;HLA-DQA1;HLA-DPB1;HLA-DQB2;SRGN;HLA-DPA1;AP1S2;FUT7;RAB30;HLA-DRB1;HLA-DRB5;RIC1;GAL3ST4;CHST11;CTSZ</t>
  </si>
  <si>
    <t>http://www.broadinstitute.org/gsea/msigdb/cards/GO_GOLGI_MEMBRANE.html</t>
  </si>
  <si>
    <t>GO_POSITIVE_REGULATION_OF_MULTI_ORGANISM_PROCESS</t>
  </si>
  <si>
    <t>9450;3458;940;6352;84868;4064;730249;348;3956;5724;729230</t>
  </si>
  <si>
    <t>LY86;IFNG;CD28;CCL5;HAVCR2;CD180;ACOD1;APOE;LGALS1;PTAFR;CCR2</t>
  </si>
  <si>
    <t>http://www.broadinstitute.org/gsea/msigdb/cards/GO_POSITIVE_REGULATION_OF_MULTI_ORGANISM_PROCESS.html</t>
  </si>
  <si>
    <t>GO_ION_TRANSMEMBRANE_TRANSPORT</t>
  </si>
  <si>
    <t>1318;3932;5788;1236;1234;8514;255231;56659;9056;51393;9120;366;7439;19;3737;526;6546;6507;6556;441168;206358;245972;84230;84329;5027;6363;64805;51063;55013;9033</t>
  </si>
  <si>
    <t>SLC31A2;LCK;PTPRC;CCR7;CCR5;KCNAB2;MCOLN2;KCNK13;SLC7A7;TRPV2;SLC16A6;AQP9;BEST1;ABCA1;KCNA2;ATP6V1B2;SLC8A1;SLC1A3;SLC11A1;CALHM6;SLC36A1;ATP6V0D2;LRRC8C;HVCN1;P2RX7;CCL19;P2RY12;CALHM2;MCUB;PKD2L1</t>
  </si>
  <si>
    <t>http://www.broadinstitute.org/gsea/msigdb/cards/GO_ION_TRANSMEMBRANE_TRANSPORT.html</t>
  </si>
  <si>
    <t>GO_REGULATION_OF_PROTEIN_COMPLEX_ASSEMBLY</t>
  </si>
  <si>
    <t>4210;7456;9535;5341;3055;11151;1236;5734;3071;3394;57580;115362;7099;3936;3059;7454;147138;51466</t>
  </si>
  <si>
    <t>MEFV;WIPF1;GMFG;PLEK;HCK;CORO1A;CCR7;PTGER4;NCKAP1L;IRF8;PREX1;GBP5;TLR4;LCP1;HCLS1;WAS;TMC8;EVL</t>
  </si>
  <si>
    <t>http://www.broadinstitute.org/gsea/msigdb/cards/GO_REGULATION_OF_PROTEIN_COMPLEX_ASSEMBLY.html</t>
  </si>
  <si>
    <t>GO_REGULATION_OF_PHOSPHOLIPID_METABOLIC_PROCESS</t>
  </si>
  <si>
    <t>2268;1236;2322;23533;341;146850;6363</t>
  </si>
  <si>
    <t>FGR;CCR7;FLT3;PIK3R5;APOC1;PIK3R6;CCL19</t>
  </si>
  <si>
    <t>http://www.broadinstitute.org/gsea/msigdb/cards/GO_REGULATION_OF_PHOSPHOLIPID_METABOLIC_PROCESS.html</t>
  </si>
  <si>
    <t>GO_CALCIUM_ION_IMPORT_INTO_CYTOSOL</t>
  </si>
  <si>
    <t>3932;5788;1236;1234;5027;6363</t>
  </si>
  <si>
    <t>LCK;PTPRC;CCR7;CCR5;P2RX7;CCL19</t>
  </si>
  <si>
    <t>http://www.broadinstitute.org/gsea/msigdb/cards/GO_CALCIUM_ION_IMPORT_INTO_CYTOSOL.html</t>
  </si>
  <si>
    <t>GO_CELLULAR_RESPONSE_TO_INTERLEUKIN_4</t>
  </si>
  <si>
    <t>11151;3561;4360;3718;11009</t>
  </si>
  <si>
    <t>CORO1A;IL2RG;MRC1;JAK3;IL24</t>
  </si>
  <si>
    <t>http://www.broadinstitute.org/gsea/msigdb/cards/GO_CELLULAR_RESPONSE_TO_INTERLEUKIN_4.html</t>
  </si>
  <si>
    <t>GO_REGULATION_OF_THYMOCYTE_AGGREGATION</t>
  </si>
  <si>
    <t>9840;3575;3553;814;50943</t>
  </si>
  <si>
    <t>TESPA1;IL7R;IL1B;CAMK4;FOXP3</t>
  </si>
  <si>
    <t>http://www.broadinstitute.org/gsea/msigdb/cards/GO_REGULATION_OF_THYMOCYTE_AGGREGATION.html</t>
  </si>
  <si>
    <t>GO_ORGANELLE_SUBCOMPARTMENT</t>
  </si>
  <si>
    <t>972;51056;55016;23048;3122;3117;3115;3120;3113;8905;2529;27314;3123;3127;57589;79690</t>
  </si>
  <si>
    <t>CD74;LAP3;MARCH1;FNBP1;HLA-DRA;HLA-DQA1;HLA-DPB1;HLA-DQB2;HLA-DPA1;AP1S2;FUT7;RAB30;HLA-DRB1;HLA-DRB5;RIC1;GAL3ST4</t>
  </si>
  <si>
    <t>http://www.broadinstitute.org/gsea/msigdb/cards/GO_ORGANELLE_SUBCOMPARTMENT.html</t>
  </si>
  <si>
    <t>GO_REGULATION_OF_RESPONSE_TO_TUMOR_CELL</t>
  </si>
  <si>
    <t>259197;10666;84868;56253</t>
  </si>
  <si>
    <t>NCR3;CD226;HAVCR2;CRTAM</t>
  </si>
  <si>
    <t>http://www.broadinstitute.org/gsea/msigdb/cards/GO_REGULATION_OF_RESPONSE_TO_TUMOR_CELL.html</t>
  </si>
  <si>
    <t>GO_NEGATIVE_REGULATION_OF_PROTEIN_SECRETION</t>
  </si>
  <si>
    <t>2633;5734;6504;114548;3553;5552;3586;3604;50943</t>
  </si>
  <si>
    <t>GBP1;PTGER4;SLAMF1;NLRP3;IL1B;SRGN;IL10;TNFRSF9;FOXP3</t>
  </si>
  <si>
    <t>http://www.broadinstitute.org/gsea/msigdb/cards/GO_NEGATIVE_REGULATION_OF_PROTEIN_SECRETION.html</t>
  </si>
  <si>
    <t>GO_CELL_CELL_JUNCTION</t>
  </si>
  <si>
    <t>259197;914;916;963;11151;7535;3702;3937;10666;201633;387357;56253;6546;7454;5376;120425;5027;55691</t>
  </si>
  <si>
    <t>NCR3;CD2;CD3E;CD53;CORO1A;ZAP70;ITK;LCP2;CD226;TIGIT;THEMIS;CRTAM;SLC8A1;WAS;PMP22;JAML;P2RX7;FRMD4A</t>
  </si>
  <si>
    <t>http://www.broadinstitute.org/gsea/msigdb/cards/GO_CELL_CELL_JUNCTION.html</t>
  </si>
  <si>
    <t>GO_POSITIVE_REGULATION_OF_NF_KAPPAB_IMPORT_INTO_NUCLEUS</t>
  </si>
  <si>
    <t>51284;7099;3553;8809;6363</t>
  </si>
  <si>
    <t>TLR7;TLR4;IL1B;IL18R1;CCL19</t>
  </si>
  <si>
    <t>http://www.broadinstitute.org/gsea/msigdb/cards/GO_POSITIVE_REGULATION_OF_NF_KAPPAB_IMPORT_INTO_NUCLEUS.html</t>
  </si>
  <si>
    <t>GO_RESPONSE_TO_NUTRIENT</t>
  </si>
  <si>
    <t>920;3627;916;6352;2350;19;4049;3553;3162;240;54;6546</t>
  </si>
  <si>
    <t>CD4;CXCL10;CD3E;CCL5;FOLR2;ABCA1;LTA;IL1B;HMOX1;ALOX5;ACP5;SLC8A1</t>
  </si>
  <si>
    <t>http://www.broadinstitute.org/gsea/msigdb/cards/GO_RESPONSE_TO_NUTRIENT.html</t>
  </si>
  <si>
    <t>GO_NEGATIVE_REGULATION_OF_MYELOID_LEUKOCYTE_DIFFERENTIATION</t>
  </si>
  <si>
    <t>11025;714;11006;3635;7099;9935</t>
  </si>
  <si>
    <t>LILRB3;C1QC;LILRB4;INPP5D;TLR4;MAFB</t>
  </si>
  <si>
    <t>http://www.broadinstitute.org/gsea/msigdb/cards/GO_NEGATIVE_REGULATION_OF_MYELOID_LEUKOCYTE_DIFFERENTIATION.html</t>
  </si>
  <si>
    <t>GO_INTRINSIC_COMPONENT_OF_ENDOPLASMIC_RETICULUM_MEMBRANE</t>
  </si>
  <si>
    <t>972;6890;3122;3117;3115;3120;3113;6891;3123;3127</t>
  </si>
  <si>
    <t>CD74;TAP1;HLA-DRA;HLA-DQA1;HLA-DPB1;HLA-DQB2;HLA-DPA1;TAP2;HLA-DRB1;HLA-DRB5</t>
  </si>
  <si>
    <t>http://www.broadinstitute.org/gsea/msigdb/cards/GO_INTRINSIC_COMPONENT_OF_ENDOPLASMIC_RETICULUM_MEMBRANE.html</t>
  </si>
  <si>
    <t>GO_TOLL_LIKE_RECEPTOR_9_SIGNALING_PATHWAY</t>
  </si>
  <si>
    <t>84868;51311;51284;118788</t>
  </si>
  <si>
    <t>HAVCR2;TLR8;TLR7;PIK3AP1</t>
  </si>
  <si>
    <t>http://www.broadinstitute.org/gsea/msigdb/cards/GO_TOLL_LIKE_RECEPTOR_9_SIGNALING_PATHWAY.html</t>
  </si>
  <si>
    <t>GO_CELL_SUBSTRATE_ADHESION</t>
  </si>
  <si>
    <t>3689;3676;3683;3695;11151;10225;83706;596;146183;6614;64098</t>
  </si>
  <si>
    <t>ITGB2;ITGA4;ITGAL;ITGB7;CORO1A;CD96;FERMT3;BCL2;OTOA;SIGLEC1;PARVG</t>
  </si>
  <si>
    <t>http://www.broadinstitute.org/gsea/msigdb/cards/GO_CELL_SUBSTRATE_ADHESION.html</t>
  </si>
  <si>
    <t>GO_POSITIVE_REGULATION_OF_B_CELL_DIFFERENTIATION</t>
  </si>
  <si>
    <t>7535;3071;695;3635</t>
  </si>
  <si>
    <t>ZAP70;NCKAP1L;BTK;INPP5D</t>
  </si>
  <si>
    <t>http://www.broadinstitute.org/gsea/msigdb/cards/GO_POSITIVE_REGULATION_OF_B_CELL_DIFFERENTIATION.html</t>
  </si>
  <si>
    <t>GO_LOW_DENSITY_LIPOPROTEIN_PARTICLE</t>
  </si>
  <si>
    <t>348;4481;55911;7941</t>
  </si>
  <si>
    <t>APOE;MSR1;APOBR;PLA2G7</t>
  </si>
  <si>
    <t>http://www.broadinstitute.org/gsea/msigdb/cards/GO_LOW_DENSITY_LIPOPROTEIN_PARTICLE.html</t>
  </si>
  <si>
    <t>GO_REGULATION_OF_PLASMA_LIPOPROTEIN_PARTICLE_LEVELS</t>
  </si>
  <si>
    <t>19;348;341;3162;4481;7941</t>
  </si>
  <si>
    <t>ABCA1;APOE;APOC1;HMOX1;MSR1;PLA2G7</t>
  </si>
  <si>
    <t>http://www.broadinstitute.org/gsea/msigdb/cards/GO_REGULATION_OF_PLASMA_LIPOPROTEIN_PARTICLE_LEVELS.html</t>
  </si>
  <si>
    <t>GO_SCAVENGER_RECEPTOR_ACTIVITY</t>
  </si>
  <si>
    <t>923;9332;921;4481;283316;23166</t>
  </si>
  <si>
    <t>CD6;CD163;CD5;MSR1;CD163L1;STAB1</t>
  </si>
  <si>
    <t>http://www.broadinstitute.org/gsea/msigdb/cards/GO_SCAVENGER_RECEPTOR_ACTIVITY.html</t>
  </si>
  <si>
    <t>GO_POSITIVE_REGULATION_OF_LEUKOCYTE_APOPTOTIC_PROCESS</t>
  </si>
  <si>
    <t>6352;3586;4208;5133;5027</t>
  </si>
  <si>
    <t>CCL5;IL10;MEF2C;PDCD1;P2RX7</t>
  </si>
  <si>
    <t>http://www.broadinstitute.org/gsea/msigdb/cards/GO_POSITIVE_REGULATION_OF_LEUKOCYTE_APOPTOTIC_PROCESS.html</t>
  </si>
  <si>
    <t>GO_POSITIVE_REGULATION_OF_ACTIVATED_T_CELL_PROLIFERATION</t>
  </si>
  <si>
    <t>3559;942;3594;6504;3718</t>
  </si>
  <si>
    <t>IL2RA;CD86;IL12RB1;SLAMF1;JAK3</t>
  </si>
  <si>
    <t>http://www.broadinstitute.org/gsea/msigdb/cards/GO_POSITIVE_REGULATION_OF_ACTIVATED_T_CELL_PROLIFERATION.html</t>
  </si>
  <si>
    <t>GO_T_CELL_MEDIATED_IMMUNITY</t>
  </si>
  <si>
    <t>925;6504;56253;6556;50943</t>
  </si>
  <si>
    <t>CD8A;SLAMF1;CRTAM;SLC11A1;FOXP3</t>
  </si>
  <si>
    <t>http://www.broadinstitute.org/gsea/msigdb/cards/GO_T_CELL_MEDIATED_IMMUNITY.html</t>
  </si>
  <si>
    <t>GO_POSITIVE_REGULATION_OF_PHOSPHATASE_ACTIVITY</t>
  </si>
  <si>
    <t>3458;5341;11314;3717;4208</t>
  </si>
  <si>
    <t>IFNG;PLEK;CD300A;JAK2;MEF2C</t>
  </si>
  <si>
    <t>http://www.broadinstitute.org/gsea/msigdb/cards/GO_POSITIVE_REGULATION_OF_PHOSPHATASE_ACTIVITY.html</t>
  </si>
  <si>
    <t>3458;6688;3071;10320;3717;3162;3059;50943</t>
  </si>
  <si>
    <t>IFNG;SPI1;NCKAP1L;IKZF1;JAK2;HMOX1;HCLS1;FOXP3</t>
  </si>
  <si>
    <t>http://www.broadinstitute.org/gsea/msigdb/cards/GO_MYELOID_CELL_HOMEOSTASIS.html</t>
  </si>
  <si>
    <t>GO_RESPONSE_TO_ORGANOPHOSPHORUS</t>
  </si>
  <si>
    <t>6772;5294;366;3553;6402;5724;6546;4327;5027;64805</t>
  </si>
  <si>
    <t>STAT1;PIK3CG;AQP9;IL1B;SELL;PTAFR;SLC8A1;MMP19;P2RX7;P2RY12</t>
  </si>
  <si>
    <t>http://www.broadinstitute.org/gsea/msigdb/cards/GO_RESPONSE_TO_ORGANOPHOSPHORUS.html</t>
  </si>
  <si>
    <t>GO_GLYCEROLIPID_METABOLIC_PROCESS</t>
  </si>
  <si>
    <t>3932;1436;5341;940;941;942;5294;50852;23533;3635;348;341;55911;146850;80821;26279;8605</t>
  </si>
  <si>
    <t>LCK;CSF1R;PLEK;CD28;CD80;CD86;PIK3CG;TRAT1;PIK3R5;INPP5D;APOE;APOC1;APOBR;PIK3R6;DDHD1;PLA2G2D;PLA2G4C</t>
  </si>
  <si>
    <t>http://www.broadinstitute.org/gsea/msigdb/cards/GO_GLYCEROLIPID_METABOLIC_PROCESS.html</t>
  </si>
  <si>
    <t>GO_REGULATION_OF_TRANSMEMBRANE_TRANSPORT</t>
  </si>
  <si>
    <t>1318;3627;1536;11151;5294;4283;8514;56659;51393;6373;596;3737;5724;6546;2833;4208;84329;5027;4644</t>
  </si>
  <si>
    <t>SLC31A2;CXCL10;CYBB;CORO1A;PIK3CG;CXCL9;KCNAB2;KCNK13;TRPV2;CXCL11;BCL2;KCNA2;PTAFR;SLC8A1;CXCR3;MEF2C;HVCN1;P2RX7;MYO5A</t>
  </si>
  <si>
    <t>http://www.broadinstitute.org/gsea/msigdb/cards/GO_REGULATION_OF_TRANSMEMBRANE_TRANSPORT.html</t>
  </si>
  <si>
    <t>GO_PLASMA_MEMBRANE_REGION</t>
  </si>
  <si>
    <t>5341;3055;2268;199;4671;3937;5800;388325;221472;374403;9056;366;3717;7439;1508;3162;3936;3737;728;6518;6753;6507;356;10672;10235;146183;245972;64805;56606;9033;30817;10004</t>
  </si>
  <si>
    <t>PLEK;HCK;FGR;AIF1;NAIP;LCP2;PTPRO;SCIMP;FGD2;TBC1D10C;SLC7A7;AQP9;JAK2;BEST1;CTSB;HMOX1;LCP1;KCNA2;C5AR1;SLC2A5;SSTR3;SLC1A3;FASLG;GNA13;RASGRP2;OTOA;ATP6V0D2;P2RY12;SLC2A9;PKD2L1;ADGRE2;NAALADL1</t>
  </si>
  <si>
    <t>http://www.broadinstitute.org/gsea/msigdb/cards/GO_PLASMA_MEMBRANE_REGION.html</t>
  </si>
  <si>
    <t>GO_POSITIVE_REGULATION_OF_PHAGOCYTOSIS</t>
  </si>
  <si>
    <t>2207;3071;1794;3553;6556;4240</t>
  </si>
  <si>
    <t>FCER1G;NCKAP1L;DOCK2;IL1B;SLC11A1;MFGE8</t>
  </si>
  <si>
    <t>http://www.broadinstitute.org/gsea/msigdb/cards/GO_POSITIVE_REGULATION_OF_PHAGOCYTOSIS.html</t>
  </si>
  <si>
    <t>GO_POSITIVE_REGULATION_OF_ENDOCYTOSIS</t>
  </si>
  <si>
    <t>929;2207;3071;1794;3553;6556;1601;4240;6363</t>
  </si>
  <si>
    <t>CD14;FCER1G;NCKAP1L;DOCK2;IL1B;SLC11A1;DAB2;MFGE8;CCL19</t>
  </si>
  <si>
    <t>http://www.broadinstitute.org/gsea/msigdb/cards/GO_POSITIVE_REGULATION_OF_ENDOCYTOSIS.html</t>
  </si>
  <si>
    <t>GO_NEGATIVE_REGULATION_OF_PRODUCTION_OF_MOLECULAR_MEDIATOR_OF_IMMUNE_RESPONSE</t>
  </si>
  <si>
    <t>http://www.broadinstitute.org/gsea/msigdb/cards/GO_NEGATIVE_REGULATION_OF_PRODUCTION_OF_MOLECULAR_MEDIATOR_OF_IMMUNE_RESPONSE.html</t>
  </si>
  <si>
    <t>GO_NEGATIVE_REGULATION_OF_TOLL_LIKE_RECEPTOR_SIGNALING_PATHWAY</t>
  </si>
  <si>
    <t>929;3662;730249;7099;118788</t>
  </si>
  <si>
    <t>CD14;IRF4;ACOD1;TLR4;PIK3AP1</t>
  </si>
  <si>
    <t>http://www.broadinstitute.org/gsea/msigdb/cards/GO_NEGATIVE_REGULATION_OF_TOLL_LIKE_RECEPTOR_SIGNALING_PATHWAY.html</t>
  </si>
  <si>
    <t>GO_GOLGI_APPARATUS</t>
  </si>
  <si>
    <t>7940;4242;8676;972;929;3055;1493;4245;51056;2633;221472;55016;170575;115362;115361;23048;51311;51284;27128;19;3122;3117;348;3115;3120;5552;3113;8905;2529;27314;3123;3127;55704;57589;89846;147138;155038;84541;79895;116442;79690;50515;1522;4644</t>
  </si>
  <si>
    <t>LST1;MFNG;STX11;CD74;CD14;HCK;CTLA4;MGAT1;LAP3;GBP1;FGD2;MARCH1;GIMAP1;GBP5;GBP4;FNBP1;TLR8;TLR7;CYTH4;ABCA1;HLA-DRA;HLA-DQA1;APOE;HLA-DPB1;HLA-DQB2;SRGN;HLA-DPA1;AP1S2;FUT7;RAB30;HLA-DRB1;HLA-DRB5;CCDC88A;RIC1;FGD3;TMC8;GIMAP8;KBTBD8;ATP8B4;RAB39B;GAL3ST4;CHST11;CTSZ;MYO5A</t>
  </si>
  <si>
    <t>http://www.broadinstitute.org/gsea/msigdb/cards/GO_GOLGI_APPARATUS.html</t>
  </si>
  <si>
    <t>2533;8676;3458;920;972;3689;5579;5341;917;3676;653361;3683;3695;959;2207;1236;391;6890;3937;9744;399;124460;374403;51296;152789;114548;115362;116986;58484;7099;2219;3717;19;348;5452;5552;526;4481;3586;6556;3718;8905;1601;6891;9363;27314;161176;245972;51762;116442;6363;4644</t>
  </si>
  <si>
    <t>FYB1;STX11;IFNG;CD4;CD74;ITGB2;PRKCB;PLEK;CD3G;ITGA4;NCF1;ITGAL;ITGB7;CD40LG;FCER1G;CCR7;RHOG;TAP1;LCP2;ACAP1;RHOH;SNX20;TBC1D10C;SLC15A3;JAKMIP1;NLRP3;GBP5;AGAP2;NLRC4;TLR4;FCN1;JAK2;ABCA1;APOE;POU2F2;SRGN;ATP6V1B2;MSR1;IL10;SLC11A1;JAK3;AP1S2;DAB2;TAP2;RAB33A;RAB30;SYNE3;ATP6V0D2;RAB8B;RAB39B;CCL19;MYO5A</t>
  </si>
  <si>
    <t>http://www.broadinstitute.org/gsea/msigdb/cards/GO_PROTEIN_LOCALIZATION.html</t>
  </si>
  <si>
    <t>GO_POSITIVE_REGULATION_OF_MEMBRANE_PROTEIN_ECTODOMAIN_PROTEOLYSIS</t>
  </si>
  <si>
    <t>3458;7133;3553;348</t>
  </si>
  <si>
    <t>IFNG;TNFRSF1B;IL1B;APOE</t>
  </si>
  <si>
    <t>http://www.broadinstitute.org/gsea/msigdb/cards/GO_POSITIVE_REGULATION_OF_MEMBRANE_PROTEIN_ECTODOMAIN_PROTEOLYSIS.html</t>
  </si>
  <si>
    <t>GO_RESPONSE_TO_ANTIBIOTIC</t>
  </si>
  <si>
    <t>3717;3553;2113;4261;6507;4208</t>
  </si>
  <si>
    <t>JAK2;IL1B;ETS1;CIITA;SLC1A3;MEF2C</t>
  </si>
  <si>
    <t>http://www.broadinstitute.org/gsea/msigdb/cards/GO_RESPONSE_TO_ANTIBIOTIC.html</t>
  </si>
  <si>
    <t>GO_POSITIVE_REGULATION_OF_DEPHOSPHORYLATION</t>
  </si>
  <si>
    <t>3458;5341;26051;11314;3717;4208</t>
  </si>
  <si>
    <t>IFNG;PLEK;PPP1R16B;CD300A;JAK2;MEF2C</t>
  </si>
  <si>
    <t>http://www.broadinstitute.org/gsea/msigdb/cards/GO_POSITIVE_REGULATION_OF_DEPHOSPHORYLATION.html</t>
  </si>
  <si>
    <t>GO_TRANSPORTER_ACTIVITY</t>
  </si>
  <si>
    <t>1318;11309;80833;1536;2350;5551;6890;8514;51296;255231;56659;225;9056;51393;9120;366;7439;19;348;596;3737;526;6518;6546;6507;6556;8905;6891;597;441168;206358;245972;84230;79895;84329;5027;51063;56606;55013;9033</t>
  </si>
  <si>
    <t>SLC31A2;SLCO2B1;APOL3;CYBB;FOLR2;PRF1;TAP1;KCNAB2;SLC15A3;MCOLN2;KCNK13;ABCD2;SLC7A7;TRPV2;SLC16A6;AQP9;BEST1;ABCA1;APOE;BCL2;KCNA2;ATP6V1B2;SLC2A5;SLC8A1;SLC1A3;SLC11A1;AP1S2;TAP2;BCL2A1;CALHM6;SLC36A1;ATP6V0D2;LRRC8C;ATP8B4;HVCN1;P2RX7;CALHM2;SLC2A9;MCUB;PKD2L1</t>
  </si>
  <si>
    <t>http://www.broadinstitute.org/gsea/msigdb/cards/GO_TRANSPORTER_ACTIVITY.html</t>
  </si>
  <si>
    <t>GO_CELLULAR_RESPONSE_TO_NITROGEN_COMPOUND</t>
  </si>
  <si>
    <t>6352;2350;5294;199;54209;366;3717;3553;526;5724;6546;6753;6776;3718;54331;4208;245972;5027;64805;59345;4644</t>
  </si>
  <si>
    <t>CCL5;FOLR2;PIK3CG;AIF1;TREM2;AQP9;JAK2;IL1B;ATP6V1B2;PTAFR;SLC8A1;SSTR3;STAT5A;JAK3;GNG2;MEF2C;ATP6V0D2;P2RX7;P2RY12;GNB4;MYO5A</t>
  </si>
  <si>
    <t>http://www.broadinstitute.org/gsea/msigdb/cards/GO_CELLULAR_RESPONSE_TO_NITROGEN_COMPOUND.html</t>
  </si>
  <si>
    <t>GO_SH3_DOMAIN_BINDING</t>
  </si>
  <si>
    <t>916;653361;3635;3059;7454;140885;57514;64780;51466</t>
  </si>
  <si>
    <t>CD3E;NCF1;INPP5D;HCLS1;WAS;SIRPA;ARHGAP31;MICAL1;EVL</t>
  </si>
  <si>
    <t>http://www.broadinstitute.org/gsea/msigdb/cards/GO_SH3_DOMAIN_BINDING.html</t>
  </si>
  <si>
    <t>GO_POSITIVE_REGULATION_OF_CYTOKINE_PRODUCTION_INVOLVED_IN_IMMUNE_RESPONSE</t>
  </si>
  <si>
    <t>54440;972;2207;114548;7099</t>
  </si>
  <si>
    <t>SASH3;CD74;FCER1G;NLRP3;TLR4</t>
  </si>
  <si>
    <t>http://www.broadinstitute.org/gsea/msigdb/cards/GO_POSITIVE_REGULATION_OF_CYTOKINE_PRODUCTION_INVOLVED_IN_IMMUNE_RESPONSE.html</t>
  </si>
  <si>
    <t>GO_RESPONSE_TO_ATP</t>
  </si>
  <si>
    <t>3553;6402;6546;5027;64805</t>
  </si>
  <si>
    <t>IL1B;SELL;SLC8A1;P2RX7;P2RY12</t>
  </si>
  <si>
    <t>http://www.broadinstitute.org/gsea/msigdb/cards/GO_RESPONSE_TO_ATP.html</t>
  </si>
  <si>
    <t>GO_PHOSPHATIDYLINOSITOL_3_KINASE_BINDING</t>
  </si>
  <si>
    <t>3932;11151;10870;3717;118788</t>
  </si>
  <si>
    <t>LCK;CORO1A;HCST;JAK2;PIK3AP1</t>
  </si>
  <si>
    <t>http://www.broadinstitute.org/gsea/msigdb/cards/GO_PHOSPHATIDYLINOSITOL_3_KINASE_BINDING.html</t>
  </si>
  <si>
    <t>GO_POSITIVE_REGULATION_OF_REACTIVE_OXYGEN_SPECIES_BIOSYNTHETIC_PROCESS</t>
  </si>
  <si>
    <t>3458;3689;199;7099;3717;3553</t>
  </si>
  <si>
    <t>IFNG;ITGB2;AIF1;TLR4;JAK2;IL1B</t>
  </si>
  <si>
    <t>http://www.broadinstitute.org/gsea/msigdb/cards/GO_POSITIVE_REGULATION_OF_REACTIVE_OXYGEN_SPECIES_BIOSYNTHETIC_PROCESS.html</t>
  </si>
  <si>
    <t>GO_METAL_ION_TRANSPORT</t>
  </si>
  <si>
    <t>1318;5579;3932;5788;6352;11151;1236;1234;8514;255231;56659;51393;3737;526;1230;6546;6556;245972;5027;6363;64805;55013;9033</t>
  </si>
  <si>
    <t>SLC31A2;PRKCB;LCK;PTPRC;CCL5;CORO1A;CCR7;CCR5;KCNAB2;MCOLN2;KCNK13;TRPV2;KCNA2;ATP6V1B2;CCR1;SLC8A1;SLC11A1;ATP6V0D2;P2RX7;CCL19;P2RY12;MCUB;PKD2L1</t>
  </si>
  <si>
    <t>http://www.broadinstitute.org/gsea/msigdb/cards/GO_METAL_ION_TRANSPORT.html</t>
  </si>
  <si>
    <t>GO_REGULATION_OF_LIPID_KINASE_ACTIVITY</t>
  </si>
  <si>
    <t>http://www.broadinstitute.org/gsea/msigdb/cards/GO_REGULATION_OF_LIPID_KINASE_ACTIVITY.html</t>
  </si>
  <si>
    <t>GO_RESPONSE_TO_ABIOTIC_STIMULUS</t>
  </si>
  <si>
    <t>22797;3627;5579;929;3659;6352;5734;199;92241;8477;51311;51284;51393;7099;8564;366;7439;4049;3553;1508;1621;3162;240;596;2113;3274;5724;943;6546;729230;6507;84329;5027;9033</t>
  </si>
  <si>
    <t>TFEC;CXCL10;PRKCB;CD14;IRF1;CCL5;PTGER4;AIF1;RCSD1;GPR65;TLR8;TLR7;TRPV2;TLR4;KMO;AQP9;BEST1;LTA;IL1B;CTSB;DBH;HMOX1;ALOX5;BCL2;ETS1;HRH2;PTAFR;TNFRSF8;SLC8A1;CCR2;SLC1A3;HVCN1;P2RX7;PKD2L1</t>
  </si>
  <si>
    <t>http://www.broadinstitute.org/gsea/msigdb/cards/GO_RESPONSE_TO_ABIOTIC_STIMULUS.html</t>
  </si>
  <si>
    <t>GO_MEMBRANE_INVAGINATION</t>
  </si>
  <si>
    <t>http://www.broadinstitute.org/gsea/msigdb/cards/GO_MEMBRANE_INVAGINATION.html</t>
  </si>
  <si>
    <t>GO_REGULATION_OF_PROTEIN_SERINE_THREONINE_KINASE_ACTIVITY</t>
  </si>
  <si>
    <t>9839;972;1436;959;2322;5294;221472;23533;11184;11314;7099;3717;3553;348;2357;728;146850;5027;6363;4215</t>
  </si>
  <si>
    <t>ZEB2;CD74;CSF1R;CD40LG;FLT3;PIK3CG;FGD2;PIK3R5;MAP4K1;CD300A;TLR4;JAK2;IL1B;APOE;FPR1;C5AR1;PIK3R6;P2RX7;CCL19;MAP3K3</t>
  </si>
  <si>
    <t>http://www.broadinstitute.org/gsea/msigdb/cards/GO_REGULATION_OF_PROTEIN_SERINE_THREONINE_KINASE_ACTIVITY.html</t>
  </si>
  <si>
    <t>GO_CHEMOKINE_ACTIVITY</t>
  </si>
  <si>
    <t>3627;6351;6352;4283;6373;6363</t>
  </si>
  <si>
    <t>CXCL10;CCL4;CCL5;CXCL9;CXCL11;CCL19</t>
  </si>
  <si>
    <t>http://www.broadinstitute.org/gsea/msigdb/cards/GO_CHEMOKINE_ACTIVITY.html</t>
  </si>
  <si>
    <t>GO_CELLULAR_RESPONSE_TO_EXTERNAL_STIMULUS</t>
  </si>
  <si>
    <t>3659;6352;2350;5734;199;51311;51284;7099;3553;1508;3162;596;943;5027</t>
  </si>
  <si>
    <t>IRF1;CCL5;FOLR2;PTGER4;AIF1;TLR8;TLR7;TLR4;IL1B;CTSB;HMOX1;BCL2;TNFRSF8;P2RX7</t>
  </si>
  <si>
    <t>http://www.broadinstitute.org/gsea/msigdb/cards/GO_CELLULAR_RESPONSE_TO_EXTERNAL_STIMULUS.html</t>
  </si>
  <si>
    <t>GO_MODULATION_OF_GROWTH_OF_SYMBIONT_INVOLVED_IN_INTERACTION_WITH_HOST</t>
  </si>
  <si>
    <t>3458;3394;4049;3586</t>
  </si>
  <si>
    <t>IFNG;IRF8;LTA;IL10</t>
  </si>
  <si>
    <t>http://www.broadinstitute.org/gsea/msigdb/cards/GO_MODULATION_OF_GROWTH_OF_SYMBIONT_INVOLVED_IN_INTERACTION_WITH_HOST.html</t>
  </si>
  <si>
    <t>GO_POSITIVE_REGULATION_OF_MAST_CELL_ACTIVATION</t>
  </si>
  <si>
    <t>2268;2207;7535;10666</t>
  </si>
  <si>
    <t>FGR;FCER1G;ZAP70;CD226</t>
  </si>
  <si>
    <t>http://www.broadinstitute.org/gsea/msigdb/cards/GO_POSITIVE_REGULATION_OF_MAST_CELL_ACTIVATION.html</t>
  </si>
  <si>
    <t>GO_NEGATIVE_REGULATION_OF_INTERLEUKIN_2_PRODUCTION</t>
  </si>
  <si>
    <t>2633;84868;3902;50943</t>
  </si>
  <si>
    <t>GBP1;HAVCR2;LAG3;FOXP3</t>
  </si>
  <si>
    <t>http://www.broadinstitute.org/gsea/msigdb/cards/GO_NEGATIVE_REGULATION_OF_INTERLEUKIN_2_PRODUCTION.html</t>
  </si>
  <si>
    <t>GO_BINDING_BRIDGING</t>
  </si>
  <si>
    <t>9046;4068;9402;940;50852;84174;10019;1601;6503;55803;55691</t>
  </si>
  <si>
    <t>DOK2;SH2D1A;GRAP2;CD28;TRAT1;SLA2;SH2B3;DAB2;SLA;ADAP2;FRMD4A</t>
  </si>
  <si>
    <t>http://www.broadinstitute.org/gsea/msigdb/cards/GO_BINDING_BRIDGING.html</t>
  </si>
  <si>
    <t>GO_OXIDOREDUCTASE_ACTIVITY_ACTING_ON_NAD_P_H_OXYGEN_AS_ACCEPTOR</t>
  </si>
  <si>
    <t>1536;653361;8564;4688</t>
  </si>
  <si>
    <t>CYBB;NCF1;KMO;NCF2</t>
  </si>
  <si>
    <t>http://www.broadinstitute.org/gsea/msigdb/cards/GO_OXIDOREDUCTASE_ACTIVITY_ACTING_ON_NAD_P_H_OXYGEN_AS_ACCEPTOR.html</t>
  </si>
  <si>
    <t>GO_NEGATIVE_REGULATION_OF_INTRACELLULAR_SIGNAL_TRANSDUCTION</t>
  </si>
  <si>
    <t>972;5341;2633;6772;399;197358;64926;374403;114548;84174;11314;7099;3553;348;2811;596;3586;5027;22900</t>
  </si>
  <si>
    <t>CD74;PLEK;GBP1;STAT1;RHOH;NLRC3;RASAL3;TBC1D10C;NLRP3;SLA2;CD300A;TLR4;IL1B;APOE;GP1BA;BCL2;IL10;P2RX7;CARD8</t>
  </si>
  <si>
    <t>http://www.broadinstitute.org/gsea/msigdb/cards/GO_NEGATIVE_REGULATION_OF_INTRACELLULAR_SIGNAL_TRANSDUCTION.html</t>
  </si>
  <si>
    <t>GO_I_KAPPAB_KINASE_NF_KAPPAB_SIGNALING</t>
  </si>
  <si>
    <t>929;695;197358;64170;51311;51284;7099</t>
  </si>
  <si>
    <t>CD14;BTK;NLRC3;CARD9;TLR8;TLR7;TLR4</t>
  </si>
  <si>
    <t>http://www.broadinstitute.org/gsea/msigdb/cards/GO_I_KAPPAB_KINASE_NF_KAPPAB_SIGNALING.html</t>
  </si>
  <si>
    <t>GO_ACTIN_FILAMENT</t>
  </si>
  <si>
    <t>7456;3055;11151;199;92241;3936;4644</t>
  </si>
  <si>
    <t>WIPF1;HCK;CORO1A;AIF1;RCSD1;LCP1;MYO5A</t>
  </si>
  <si>
    <t>http://www.broadinstitute.org/gsea/msigdb/cards/GO_ACTIN_FILAMENT.html</t>
  </si>
  <si>
    <t>GO_ACTIN_FILAMENT_ORGANIZATION</t>
  </si>
  <si>
    <t>7456;11151;199;57580;3717;596;3936;3059;7454;64780;51466</t>
  </si>
  <si>
    <t>WIPF1;CORO1A;AIF1;PREX1;JAK2;BCL2;LCP1;HCLS1;WAS;MICAL1;EVL</t>
  </si>
  <si>
    <t>http://www.broadinstitute.org/gsea/msigdb/cards/GO_ACTIN_FILAMENT_ORGANIZATION.html</t>
  </si>
  <si>
    <t>GO_REGULATION_OF_PLATELET_ACTIVATION</t>
  </si>
  <si>
    <t>5341;2207;7535;7099;348</t>
  </si>
  <si>
    <t>PLEK;FCER1G;ZAP70;TLR4;APOE</t>
  </si>
  <si>
    <t>http://www.broadinstitute.org/gsea/msigdb/cards/GO_REGULATION_OF_PLATELET_ACTIVATION.html</t>
  </si>
  <si>
    <t>GO_PHOSPHOLIPASE_C_ACTIVITY</t>
  </si>
  <si>
    <t>6352;1234;719;23228;1230</t>
  </si>
  <si>
    <t>CCL5;CCR5;C3AR1;PLCL2;CCR1</t>
  </si>
  <si>
    <t>http://www.broadinstitute.org/gsea/msigdb/cards/GO_PHOSPHOLIPASE_C_ACTIVITY.html</t>
  </si>
  <si>
    <t>GO_CELL_MATRIX_ADHESION</t>
  </si>
  <si>
    <t>3689;3676;3683;3695;10225;596;146183;6614;64098</t>
  </si>
  <si>
    <t>ITGB2;ITGA4;ITGAL;ITGB7;CD96;BCL2;OTOA;SIGLEC1;PARVG</t>
  </si>
  <si>
    <t>http://www.broadinstitute.org/gsea/msigdb/cards/GO_CELL_MATRIX_ADHESION.html</t>
  </si>
  <si>
    <t>GO_ENZYME_BINDING</t>
  </si>
  <si>
    <t>9046;920;925;972;3689;5579;3932;1436;916;5341;5788;2268;940;7133;2633;6772;399;10666;139818;50852;221472;374403;10288;57580;152789;3717;19;3162;596;3936;6402;3059;2113;4688;5724;729230;7454;3718;4208;7185;55704;57589;89846;25780;91010;23312;64780;50943;27240;4644</t>
  </si>
  <si>
    <t>DOK2;CD4;CD8A;CD74;ITGB2;PRKCB;LCK;CSF1R;CD3E;PLEK;PTPRC;FGR;CD28;TNFRSF1B;GBP1;STAT1;RHOH;CD226;DOCK11;TRAT1;FGD2;TBC1D10C;LILRB2;PREX1;JAKMIP1;JAK2;ABCA1;HMOX1;BCL2;LCP1;SELL;HCLS1;ETS1;NCF2;PTAFR;CCR2;WAS;JAK3;MEF2C;TRAF1;CCDC88A;RIC1;FGD3;RASGRP3;FMNL3;DMXL2;MICAL1;FOXP3;SIT1;MYO5A</t>
  </si>
  <si>
    <t>http://www.broadinstitute.org/gsea/msigdb/cards/GO_ENZYME_BINDING.html</t>
  </si>
  <si>
    <t>2533;8676;3458;972;5579;5341;917;653361;959;1236;391;6890;3937;9744;399;124460;374403;51296;152789;114548;115362;116986;58484;7099;3717;19;348;5452;526;4481;6556;3718;8905;1601;6891;9363;27314;161176;245972;51762;116442;6363;4644</t>
  </si>
  <si>
    <t>FYB1;STX11;IFNG;CD74;PRKCB;PLEK;CD3G;NCF1;CD40LG;CCR7;RHOG;TAP1;LCP2;ACAP1;RHOH;SNX20;TBC1D10C;SLC15A3;JAKMIP1;NLRP3;GBP5;AGAP2;NLRC4;TLR4;JAK2;ABCA1;APOE;POU2F2;ATP6V1B2;MSR1;SLC11A1;JAK3;AP1S2;DAB2;TAP2;RAB33A;RAB30;SYNE3;ATP6V0D2;RAB8B;RAB39B;CCL19;MYO5A</t>
  </si>
  <si>
    <t>http://www.broadinstitute.org/gsea/msigdb/cards/GO_ESTABLISHMENT_OF_PROTEIN_LOCALIZATION.html</t>
  </si>
  <si>
    <t>GO_STAT_CASCADE</t>
  </si>
  <si>
    <t>6772;59067;3717;729230;6776;3718</t>
  </si>
  <si>
    <t>STAT1;IL21;JAK2;CCR2;STAT5A;JAK3</t>
  </si>
  <si>
    <t>http://www.broadinstitute.org/gsea/msigdb/cards/GO_STAT_CASCADE.html</t>
  </si>
  <si>
    <t>GO_POSITIVE_REGULATION_OF_MYELOID_LEUKOCYTE_DIFFERENTIATION</t>
  </si>
  <si>
    <t>3458;1436;6352;1435;3059;1230</t>
  </si>
  <si>
    <t>IFNG;CSF1R;CCL5;CSF1;HCLS1;CCR1</t>
  </si>
  <si>
    <t>http://www.broadinstitute.org/gsea/msigdb/cards/GO_POSITIVE_REGULATION_OF_MYELOID_LEUKOCYTE_DIFFERENTIATION.html</t>
  </si>
  <si>
    <t>GO_CELL_PROJECTION</t>
  </si>
  <si>
    <t>4210;7456;9051;9404;5341;3055;2268;7133;11151;5734;6772;199;4354;4671;8514;6404;9459;5800;388325;221472;83706;374403;57580;26051;64092;51225;51393;348;240;3936;6693;3737;5816;526;6546;6753;729230;6507;10672;57514;55704;89846;10235;54518;116442;5027;64919;9033;30817;51466;4644</t>
  </si>
  <si>
    <t>MEFV;WIPF1;PSTPIP1;LPXN;PLEK;HCK;FGR;TNFRSF1B;CORO1A;PTGER4;STAT1;AIF1;MPP1;NAIP;KCNAB2;SELPLG;ARHGEF6;PTPRO;SCIMP;FGD2;FERMT3;TBC1D10C;PREX1;PPP1R16B;SAMSN1;ABI3;TRPV2;APOE;ALOX5;LCP1;SPN;KCNA2;PVALB;ATP6V1B2;SLC8A1;SSTR3;CCR2;SLC1A3;GNA13;ARHGAP31;CCDC88A;FGD3;RASGRP2;APBB1IP;RAB39B;P2RX7;BCL11B;PKD2L1;ADGRE2;EVL;MYO5A</t>
  </si>
  <si>
    <t>http://www.broadinstitute.org/gsea/msigdb/cards/GO_CELL_PROJECTION.html</t>
  </si>
  <si>
    <t>GO_RESPONSE_TO_INORGANIC_SUBSTANCE</t>
  </si>
  <si>
    <t>10068;712;929;342618;1236;942;366;3553;3162;596;54;2113;241;6546;4973;4208;10235;84329;5027;6363</t>
  </si>
  <si>
    <t>IL18BP;C1QA;CD14;SLFN14;CCR7;CD86;AQP9;IL1B;HMOX1;BCL2;ACP5;ETS1;ALOX5AP;SLC8A1;OLR1;MEF2C;RASGRP2;HVCN1;P2RX7;CCL19</t>
  </si>
  <si>
    <t>http://www.broadinstitute.org/gsea/msigdb/cards/GO_RESPONSE_TO_INORGANIC_SUBSTANCE.html</t>
  </si>
  <si>
    <t>GO_MYD88_DEPENDENT_TOLL_LIKE_RECEPTOR_SIGNALING_PATHWAY</t>
  </si>
  <si>
    <t>929;695;51311;51284;7099</t>
  </si>
  <si>
    <t>CD14;BTK;TLR8;TLR7;TLR4</t>
  </si>
  <si>
    <t>http://www.broadinstitute.org/gsea/msigdb/cards/GO_MYD88_DEPENDENT_TOLL_LIKE_RECEPTOR_SIGNALING_PATHWAY.html</t>
  </si>
  <si>
    <t>GO_NEGATIVE_REGULATION_OF_T_CELL_DIFFERENTIATION</t>
  </si>
  <si>
    <t>972;3659;1493;3718;50943</t>
  </si>
  <si>
    <t>CD74;IRF1;CTLA4;JAK3;FOXP3</t>
  </si>
  <si>
    <t>http://www.broadinstitute.org/gsea/msigdb/cards/GO_NEGATIVE_REGULATION_OF_T_CELL_DIFFERENTIATION.html</t>
  </si>
  <si>
    <t>GO_MATURE_B_CELL_DIFFERENTIATION</t>
  </si>
  <si>
    <t>4242;23228;5452;3956</t>
  </si>
  <si>
    <t>MFNG;PLCL2;POU2F2;LGALS1</t>
  </si>
  <si>
    <t>http://www.broadinstitute.org/gsea/msigdb/cards/GO_MATURE_B_CELL_DIFFERENTIATION.html</t>
  </si>
  <si>
    <t>GO_POSITIVE_REGULATION_OF_TRANSCRIPTION_FACTOR_IMPORT_INTO_NUCLEUS</t>
  </si>
  <si>
    <t>51284;7099;3553;3059;8809;6363</t>
  </si>
  <si>
    <t>TLR7;TLR4;IL1B;HCLS1;IL18R1;CCL19</t>
  </si>
  <si>
    <t>http://www.broadinstitute.org/gsea/msigdb/cards/GO_POSITIVE_REGULATION_OF_TRANSCRIPTION_FACTOR_IMPORT_INTO_NUCLEUS.html</t>
  </si>
  <si>
    <t>GO_NEGATIVE_REGULATION_OF_I_KAPPAB_KINASE_NF_KAPPAB_SIGNALING</t>
  </si>
  <si>
    <t>6772;399;197358;114548;3586;22900</t>
  </si>
  <si>
    <t>STAT1;RHOH;NLRC3;NLRP3;IL10;CARD8</t>
  </si>
  <si>
    <t>http://www.broadinstitute.org/gsea/msigdb/cards/GO_NEGATIVE_REGULATION_OF_I_KAPPAB_KINASE_NF_KAPPAB_SIGNALING.html</t>
  </si>
  <si>
    <t>GO_REGULATION_OF_CELL_PROJECTION_ORGANIZATION</t>
  </si>
  <si>
    <t>9839;1236;391;5800;374403;57580;26051;2672;51393;10154;348;3956;729230;5376;4208;55704;85464;10507;51762;5027;6363;51466</t>
  </si>
  <si>
    <t>ZEB2;CCR7;RHOG;PTPRO;TBC1D10C;PREX1;PPP1R16B;GFI1;TRPV2;PLXNC1;APOE;LGALS1;CCR2;PMP22;MEF2C;CCDC88A;SSH2;SEMA4D;RAB8B;P2RX7;CCL19;EVL</t>
  </si>
  <si>
    <t>http://www.broadinstitute.org/gsea/msigdb/cards/GO_REGULATION_OF_CELL_PROJECTION_ORGANIZATION.html</t>
  </si>
  <si>
    <t>GO_AMIDE_TRANSPORT</t>
  </si>
  <si>
    <t>2350;6890;51296;366;19;6891;30835;4644</t>
  </si>
  <si>
    <t>FOLR2;TAP1;SLC15A3;AQP9;ABCA1;TAP2;CD209;MYO5A</t>
  </si>
  <si>
    <t>http://www.broadinstitute.org/gsea/msigdb/cards/GO_AMIDE_TRANSPORT.html</t>
  </si>
  <si>
    <t>GO_SUPEROXIDE_METABOLIC_PROCESS</t>
  </si>
  <si>
    <t>1536;653361;57580;4688;375387</t>
  </si>
  <si>
    <t>CYBB;NCF1;PREX1;NCF2;NRROS</t>
  </si>
  <si>
    <t>http://www.broadinstitute.org/gsea/msigdb/cards/GO_SUPEROXIDE_METABOLIC_PROCESS.html</t>
  </si>
  <si>
    <t>GO_POSITIVE_REGULATION_OF_RESPONSE_TO_CYTOKINE_STIMULUS</t>
  </si>
  <si>
    <t>972;84166;2672;54209;1435</t>
  </si>
  <si>
    <t>CD74;NLRC5;GFI1;TREM2;CSF1</t>
  </si>
  <si>
    <t>http://www.broadinstitute.org/gsea/msigdb/cards/GO_POSITIVE_REGULATION_OF_RESPONSE_TO_CYTOKINE_STIMULUS.html</t>
  </si>
  <si>
    <t>GO_TRANSPORT_VESICLE_MEMBRANE</t>
  </si>
  <si>
    <t>972;3122;3117;3115;3120;1621;3113;3123;3127;23312</t>
  </si>
  <si>
    <t>CD74;HLA-DRA;HLA-DQA1;HLA-DPB1;HLA-DQB2;DBH;HLA-DPA1;HLA-DRB1;HLA-DRB5;DMXL2</t>
  </si>
  <si>
    <t>http://www.broadinstitute.org/gsea/msigdb/cards/GO_TRANSPORT_VESICLE_MEMBRANE.html</t>
  </si>
  <si>
    <t>GO_POSITIVE_REGULATION_OF_CALCIUM_ION_TRANSPORT_INTO_CYTOSOL</t>
  </si>
  <si>
    <t>920;3627;4283;6373;2833;5027</t>
  </si>
  <si>
    <t>CD4;CXCL10;CXCL9;CXCL11;CXCR3;P2RX7</t>
  </si>
  <si>
    <t>http://www.broadinstitute.org/gsea/msigdb/cards/GO_POSITIVE_REGULATION_OF_CALCIUM_ION_TRANSPORT_INTO_CYTOSOL.html</t>
  </si>
  <si>
    <t>GO_REGULATION_OF_HUMORAL_IMMUNE_RESPONSE</t>
  </si>
  <si>
    <t>1378;1236;719;730249;4049;728</t>
  </si>
  <si>
    <t>CR1;CCR7;C3AR1;ACOD1;LTA;C5AR1</t>
  </si>
  <si>
    <t>http://www.broadinstitute.org/gsea/msigdb/cards/GO_REGULATION_OF_HUMORAL_IMMUNE_RESPONSE.html</t>
  </si>
  <si>
    <t>GO_RESPONSE_TO_FUNGUS</t>
  </si>
  <si>
    <t>942;93978;64170;7099;10578;64581</t>
  </si>
  <si>
    <t>CD86;CLEC6A;CARD9;TLR4;GNLY;CLEC7A</t>
  </si>
  <si>
    <t>http://www.broadinstitute.org/gsea/msigdb/cards/GO_RESPONSE_TO_FUNGUS.html</t>
  </si>
  <si>
    <t>GO_SERINE_HYDROLASE_ACTIVITY</t>
  </si>
  <si>
    <t>712;713;714;3001;2219;1508;3002;2999;3003;3004;203100;4327;54504</t>
  </si>
  <si>
    <t>C1QA;C1QB;C1QC;GZMA;FCN1;CTSB;GZMB;GZMH;GZMK;GZMM;HTRA4;MMP19;CPVL</t>
  </si>
  <si>
    <t>http://www.broadinstitute.org/gsea/msigdb/cards/GO_SERINE_HYDROLASE_ACTIVITY.html</t>
  </si>
  <si>
    <t>GO_INOSITOL_LIPID_MEDIATED_SIGNALING</t>
  </si>
  <si>
    <t>3932;1436;940;941;942;5294;50852;23533;5724</t>
  </si>
  <si>
    <t>LCK;CSF1R;CD28;CD80;CD86;PIK3CG;TRAT1;PIK3R5;PTAFR</t>
  </si>
  <si>
    <t>http://www.broadinstitute.org/gsea/msigdb/cards/GO_INOSITOL_LIPID_MEDIATED_SIGNALING.html</t>
  </si>
  <si>
    <t>GO_POSITIVE_REGULATION_OF_LEUKOCYTE_DEGRANULATION</t>
  </si>
  <si>
    <t>2268;2207;7535;5724</t>
  </si>
  <si>
    <t>FGR;FCER1G;ZAP70;PTAFR</t>
  </si>
  <si>
    <t>http://www.broadinstitute.org/gsea/msigdb/cards/GO_POSITIVE_REGULATION_OF_LEUKOCYTE_DEGRANULATION.html</t>
  </si>
  <si>
    <t>GO_NEGATIVE_REGULATION_OF_CELL_KILLING</t>
  </si>
  <si>
    <t>5788;3575;6890;84868</t>
  </si>
  <si>
    <t>PTPRC;IL7R;TAP1;HAVCR2</t>
  </si>
  <si>
    <t>http://www.broadinstitute.org/gsea/msigdb/cards/GO_NEGATIVE_REGULATION_OF_CELL_KILLING.html</t>
  </si>
  <si>
    <t>GO_POSITIVE_REGULATION_OF_MYELOID_LEUKOCYTE_MEDIATED_IMMUNITY</t>
  </si>
  <si>
    <t>http://www.broadinstitute.org/gsea/msigdb/cards/GO_POSITIVE_REGULATION_OF_MYELOID_LEUKOCYTE_MEDIATED_IMMUNITY.html</t>
  </si>
  <si>
    <t>259197;9404;5788;3055;3676;51056;10225;391;10666;201633;56253;3936;1601;9815;10672;57514;54518;9754;64098;51466</t>
  </si>
  <si>
    <t>NCR3;LPXN;PTPRC;HCK;ITGA4;LAP3;CD96;RHOG;CD226;TIGIT;CRTAM;LCP1;DAB2;GIT2;GNA13;ARHGAP31;APBB1IP;STARD8;PARVG;EVL</t>
  </si>
  <si>
    <t>http://www.broadinstitute.org/gsea/msigdb/cards/GO_ANCHORING_JUNCTION.html</t>
  </si>
  <si>
    <t>GO_LIPID_PHOSPHORYLATION</t>
  </si>
  <si>
    <t>http://www.broadinstitute.org/gsea/msigdb/cards/GO_LIPID_PHOSPHORYLATION.html</t>
  </si>
  <si>
    <t>GO_POSITIVE_REGULATION_OF_PHOSPHOLIPASE_ACTIVITY</t>
  </si>
  <si>
    <t>6352;3702;728;5724;10672;115727</t>
  </si>
  <si>
    <t>CCL5;ITK;C5AR1;PTAFR;GNA13;RASGRP4</t>
  </si>
  <si>
    <t>http://www.broadinstitute.org/gsea/msigdb/cards/GO_POSITIVE_REGULATION_OF_PHOSPHOLIPASE_ACTIVITY.html</t>
  </si>
  <si>
    <t>GO_REGULATION_OF_RELEASE_OF_SEQUESTERED_CALCIUM_ION_INTO_CYTOSOL</t>
  </si>
  <si>
    <t>3627;11151;4283;6373;6546;2833;4644</t>
  </si>
  <si>
    <t>CXCL10;CORO1A;CXCL9;CXCL11;SLC8A1;CXCR3;MYO5A</t>
  </si>
  <si>
    <t>http://www.broadinstitute.org/gsea/msigdb/cards/GO_REGULATION_OF_RELEASE_OF_SEQUESTERED_CALCIUM_ION_INTO_CYTOSOL.html</t>
  </si>
  <si>
    <t>GO_REGULATION_OF_PROTEIN_IMPORT</t>
  </si>
  <si>
    <t>374403;114548;51284;7099;3717;3553;3059;3586;1601;8809;6363</t>
  </si>
  <si>
    <t>TBC1D10C;NLRP3;TLR7;TLR4;JAK2;IL1B;HCLS1;IL10;DAB2;IL18R1;CCL19</t>
  </si>
  <si>
    <t>http://www.broadinstitute.org/gsea/msigdb/cards/GO_REGULATION_OF_PROTEIN_IMPORT.html</t>
  </si>
  <si>
    <t>GO_ACTIVATION_OF_PROTEIN_KINASE_ACTIVITY</t>
  </si>
  <si>
    <t>972;959;3071;11184;7099;3717;3553;2357;728;6556;55704;5027;6363;4215</t>
  </si>
  <si>
    <t>CD74;CD40LG;NCKAP1L;MAP4K1;TLR4;JAK2;IL1B;FPR1;C5AR1;SLC11A1;CCDC88A;P2RX7;CCL19;MAP3K3</t>
  </si>
  <si>
    <t>http://www.broadinstitute.org/gsea/msigdb/cards/GO_ACTIVATION_OF_PROTEIN_KINASE_ACTIVITY.html</t>
  </si>
  <si>
    <t>GO_REGULATION_OF_CYCLIC_NUCLEOTIDE_METABOLIC_PROCESS</t>
  </si>
  <si>
    <t>3627;5734;4283;8477;53829;6373;19;348;729230;2833</t>
  </si>
  <si>
    <t>CXCL10;PTGER4;CXCL9;GPR65;P2RY13;CXCL11;ABCA1;APOE;CCR2;CXCR3</t>
  </si>
  <si>
    <t>http://www.broadinstitute.org/gsea/msigdb/cards/GO_REGULATION_OF_CYCLIC_NUCLEOTIDE_METABOLIC_PROCESS.html</t>
  </si>
  <si>
    <t>GO_RESPONSE_TO_HORMONE</t>
  </si>
  <si>
    <t>920;6352;1236;5734;2322;6772;199;730249;3717;3553;1508;3162;596;3059;2113;526;3586;5724;6753;6776;3718;54331;4208;4240;167465;245972;4327;6363;59345;4644</t>
  </si>
  <si>
    <t>CD4;CCL5;CCR7;PTGER4;FLT3;STAT1;AIF1;ACOD1;JAK2;IL1B;CTSB;HMOX1;BCL2;HCLS1;ETS1;ATP6V1B2;IL10;PTAFR;SSTR3;STAT5A;JAK3;GNG2;MEF2C;MFGE8;ZNF366;ATP6V0D2;MMP19;CCL19;GNB4;MYO5A</t>
  </si>
  <si>
    <t>http://www.broadinstitute.org/gsea/msigdb/cards/GO_RESPONSE_TO_HORMONE.html</t>
  </si>
  <si>
    <t>GO_CCR_CHEMOKINE_RECEPTOR_BINDING</t>
  </si>
  <si>
    <t>6351;6352;9034;729230;6363</t>
  </si>
  <si>
    <t>CCL4;CCL5;CCRL2;CCR2;CCL19</t>
  </si>
  <si>
    <t>http://www.broadinstitute.org/gsea/msigdb/cards/GO_CCR_CHEMOKINE_RECEPTOR_BINDING.html</t>
  </si>
  <si>
    <t>GO_DETECTION_OF_OTHER_ORGANISM</t>
  </si>
  <si>
    <t>58484;7099;3123;3127</t>
  </si>
  <si>
    <t>NLRC4;TLR4;HLA-DRB1;HLA-DRB5</t>
  </si>
  <si>
    <t>http://www.broadinstitute.org/gsea/msigdb/cards/GO_DETECTION_OF_OTHER_ORGANISM.html</t>
  </si>
  <si>
    <t>GO_MACROPHAGE_DIFFERENTIATION</t>
  </si>
  <si>
    <t>1436;6688;139716;1435</t>
  </si>
  <si>
    <t>CSF1R;SPI1;GAB3;CSF1</t>
  </si>
  <si>
    <t>http://www.broadinstitute.org/gsea/msigdb/cards/GO_MACROPHAGE_DIFFERENTIATION.html</t>
  </si>
  <si>
    <t>GO_POSITIVE_REGULATION_OF_LIPID_METABOLIC_PROCESS</t>
  </si>
  <si>
    <t>3458;2268;1236;2322;225;3553;348;341;6363</t>
  </si>
  <si>
    <t>IFNG;FGR;CCR7;FLT3;ABCD2;IL1B;APOE;APOC1;CCL19</t>
  </si>
  <si>
    <t>http://www.broadinstitute.org/gsea/msigdb/cards/GO_POSITIVE_REGULATION_OF_LIPID_METABOLIC_PROCESS.html</t>
  </si>
  <si>
    <t>GO_AMIDE_TRANSMEMBRANE_TRANSPORTER_ACTIVITY</t>
  </si>
  <si>
    <t>6890;51296;366;6891</t>
  </si>
  <si>
    <t>TAP1;SLC15A3;AQP9;TAP2</t>
  </si>
  <si>
    <t>http://www.broadinstitute.org/gsea/msigdb/cards/GO_AMIDE_TRANSMEMBRANE_TRANSPORTER_ACTIVITY.html</t>
  </si>
  <si>
    <t>GO_REGULATION_OF_LIPID_METABOLIC_PROCESS</t>
  </si>
  <si>
    <t>3458;2268;1236;2322;5294;23533;2672;225;3553;348;341;146850;6363;64919</t>
  </si>
  <si>
    <t>IFNG;FGR;CCR7;FLT3;PIK3CG;PIK3R5;GFI1;ABCD2;IL1B;APOE;APOC1;PIK3R6;CCL19;BCL11B</t>
  </si>
  <si>
    <t>http://www.broadinstitute.org/gsea/msigdb/cards/GO_REGULATION_OF_LIPID_METABOLIC_PROCESS.html</t>
  </si>
  <si>
    <t>GO_REGULATION_OF_CAMP_METABOLIC_PROCESS</t>
  </si>
  <si>
    <t>3627;5734;4283;8477;53829;6373;19;729230;2833</t>
  </si>
  <si>
    <t>CXCL10;PTGER4;CXCL9;GPR65;P2RY13;CXCL11;ABCA1;CCR2;CXCR3</t>
  </si>
  <si>
    <t>http://www.broadinstitute.org/gsea/msigdb/cards/GO_REGULATION_OF_CAMP_METABOLIC_PROCESS.html</t>
  </si>
  <si>
    <t>GO_RESPONSE_TO_PURINE_CONTAINING_COMPOUND</t>
  </si>
  <si>
    <t>http://www.broadinstitute.org/gsea/msigdb/cards/GO_RESPONSE_TO_PURINE_CONTAINING_COMPOUND.html</t>
  </si>
  <si>
    <t>GO_REGULATION_OF_CALCIUM_ION_IMPORT</t>
  </si>
  <si>
    <t>3627;11151;4283;51393;6373;6546;2833;4644</t>
  </si>
  <si>
    <t>CXCL10;CORO1A;CXCL9;TRPV2;CXCL11;SLC8A1;CXCR3;MYO5A</t>
  </si>
  <si>
    <t>http://www.broadinstitute.org/gsea/msigdb/cards/GO_REGULATION_OF_CALCIUM_ION_IMPORT.html</t>
  </si>
  <si>
    <t>2533;8676;920;3689;5579;914;2209;3676;653361;3683;3695;2207;1234;199;1794;54209;19;348;3002;596;4240;4033;597;55704;161176;79895;51762;5027;1522;4644</t>
  </si>
  <si>
    <t>FYB1;STX11;CD4;ITGB2;PRKCB;CD2;FCGR1A;ITGA4;NCF1;ITGAL;ITGB7;FCER1G;CCR5;AIF1;DOCK2;TREM2;ABCA1;APOE;GZMB;BCL2;MFGE8;LRMP;BCL2A1;CCDC88A;SYNE3;ATP8B4;RAB8B;P2RX7;CTSZ;MYO5A</t>
  </si>
  <si>
    <t>http://www.broadinstitute.org/gsea/msigdb/cards/GO_MEMBRANE_ORGANIZATION.html</t>
  </si>
  <si>
    <t>GO_REGULATION_OF_ERYTHROCYTE_DIFFERENTIATION</t>
  </si>
  <si>
    <t>6688;3071;3635;2113;9935</t>
  </si>
  <si>
    <t>SPI1;NCKAP1L;INPP5D;ETS1;MAFB</t>
  </si>
  <si>
    <t>http://www.broadinstitute.org/gsea/msigdb/cards/GO_REGULATION_OF_ERYTHROCYTE_DIFFERENTIATION.html</t>
  </si>
  <si>
    <t>GO_REGULATION_OF_REGULATED_SECRETORY_PATHWAY</t>
  </si>
  <si>
    <t>http://www.broadinstitute.org/gsea/msigdb/cards/GO_REGULATION_OF_REGULATED_SECRETORY_PATHWAY.html</t>
  </si>
  <si>
    <t>GO_CELL_KILLING</t>
  </si>
  <si>
    <t>11151;56253;3002;10578;729230;57823</t>
  </si>
  <si>
    <t>CORO1A;CRTAM;GZMB;GNLY;CCR2;SLAMF7</t>
  </si>
  <si>
    <t>http://www.broadinstitute.org/gsea/msigdb/cards/GO_CELL_KILLING.html</t>
  </si>
  <si>
    <t>GO_REGULATION_OF_JNK_CASCADE</t>
  </si>
  <si>
    <t>9839;959;1236;6504;221472;11184;64170;7099;3553;6363</t>
  </si>
  <si>
    <t>ZEB2;CD40LG;CCR7;SLAMF1;FGD2;MAP4K1;CARD9;TLR4;IL1B;CCL19</t>
  </si>
  <si>
    <t>http://www.broadinstitute.org/gsea/msigdb/cards/GO_REGULATION_OF_JNK_CASCADE.html</t>
  </si>
  <si>
    <t>GO_POSITIVE_REGULATION_OF_PROTEIN_IMPORT</t>
  </si>
  <si>
    <t>51284;7099;3717;3553;3059;1601;8809;6363</t>
  </si>
  <si>
    <t>TLR7;TLR4;JAK2;IL1B;HCLS1;DAB2;IL18R1;CCL19</t>
  </si>
  <si>
    <t>http://www.broadinstitute.org/gsea/msigdb/cards/GO_POSITIVE_REGULATION_OF_PROTEIN_IMPORT.html</t>
  </si>
  <si>
    <t>GO_POSITIVE_REGULATION_OF_LYMPHOCYTE_APOPTOTIC_PROCESS</t>
  </si>
  <si>
    <t>6352;3586;5133;5027</t>
  </si>
  <si>
    <t>CCL5;IL10;PDCD1;P2RX7</t>
  </si>
  <si>
    <t>http://www.broadinstitute.org/gsea/msigdb/cards/GO_POSITIVE_REGULATION_OF_LYMPHOCYTE_APOPTOTIC_PROCESS.html</t>
  </si>
  <si>
    <t>GO_REGULATION_OF_LYMPHOCYTE_CHEMOTAXIS</t>
  </si>
  <si>
    <t>3627;6351;6352;729230</t>
  </si>
  <si>
    <t>CXCL10;CCL4;CCL5;CCR2</t>
  </si>
  <si>
    <t>http://www.broadinstitute.org/gsea/msigdb/cards/GO_REGULATION_OF_LYMPHOCYTE_CHEMOTAXIS.html</t>
  </si>
  <si>
    <t>GO_RESPONSE_TO_LIPOPROTEIN_PARTICLE</t>
  </si>
  <si>
    <t>3689;6352;2207;19</t>
  </si>
  <si>
    <t>ITGB2;CCL5;FCER1G;ABCA1</t>
  </si>
  <si>
    <t>http://www.broadinstitute.org/gsea/msigdb/cards/GO_RESPONSE_TO_LIPOPROTEIN_PARTICLE.html</t>
  </si>
  <si>
    <t>GO_ACTIVE_TRANSMEMBRANE_TRANSPORTER_ACTIVITY</t>
  </si>
  <si>
    <t>11309;6890;51296;225;9056;9120;366;19;526;6546;6507;6556;6891;206358;56606;55013</t>
  </si>
  <si>
    <t>SLCO2B1;TAP1;SLC15A3;ABCD2;SLC7A7;SLC16A6;AQP9;ABCA1;ATP6V1B2;SLC8A1;SLC1A3;SLC11A1;TAP2;SLC36A1;SLC2A9;MCUB</t>
  </si>
  <si>
    <t>http://www.broadinstitute.org/gsea/msigdb/cards/GO_ACTIVE_TRANSMEMBRANE_TRANSPORTER_ACTIVITY.html</t>
  </si>
  <si>
    <t>GO_POSITIVE_REGULATION_OF_NF_KAPPAB_TRANSCRIPTION_FACTOR_ACTIVITY</t>
  </si>
  <si>
    <t>3689;5579;959;695;114548;58484;7099;3553;7185</t>
  </si>
  <si>
    <t>ITGB2;PRKCB;CD40LG;BTK;NLRP3;NLRC4;TLR4;IL1B;TRAF1</t>
  </si>
  <si>
    <t>http://www.broadinstitute.org/gsea/msigdb/cards/GO_POSITIVE_REGULATION_OF_NF_KAPPAB_TRANSCRIPTION_FACTOR_ACTIVITY.html</t>
  </si>
  <si>
    <t>GO_NEGATIVE_REGULATION_OF_VASCULATURE_DEVELOPMENT</t>
  </si>
  <si>
    <t>3627;5734;6772;729230;356;2833;23166</t>
  </si>
  <si>
    <t>CXCL10;PTGER4;STAT1;CCR2;FASLG;CXCR3;STAB1</t>
  </si>
  <si>
    <t>http://www.broadinstitute.org/gsea/msigdb/cards/GO_NEGATIVE_REGULATION_OF_VASCULATURE_DEVELOPMENT.html</t>
  </si>
  <si>
    <t>GO_POSITIVE_REGULATION_OF_TYROSINE_PHOSPHORYLATION_OF_STAT3_PROTEIN</t>
  </si>
  <si>
    <t>1436;5734;59067;3717;11009</t>
  </si>
  <si>
    <t>CSF1R;PTGER4;IL21;JAK2;IL24</t>
  </si>
  <si>
    <t>http://www.broadinstitute.org/gsea/msigdb/cards/GO_POSITIVE_REGULATION_OF_TYROSINE_PHOSPHORYLATION_OF_STAT3_PROTEIN.html</t>
  </si>
  <si>
    <t>GO_RUFFLE_MEMBRANE</t>
  </si>
  <si>
    <t>5341;2268;199;221472;3936;10235;30817</t>
  </si>
  <si>
    <t>PLEK;FGR;AIF1;FGD2;LCP1;RASGRP2;ADGRE2</t>
  </si>
  <si>
    <t>http://www.broadinstitute.org/gsea/msigdb/cards/GO_RUFFLE_MEMBRANE.html</t>
  </si>
  <si>
    <t>GO_RESPONSE_TO_REACTIVE_OXYGEN_SPECIES</t>
  </si>
  <si>
    <t>10068;1536;1236;3553;348;3162;596;2113;6546;4973;6363</t>
  </si>
  <si>
    <t>IL18BP;CYBB;CCR7;IL1B;APOE;HMOX1;BCL2;ETS1;SLC8A1;OLR1;CCL19</t>
  </si>
  <si>
    <t>http://www.broadinstitute.org/gsea/msigdb/cards/GO_RESPONSE_TO_REACTIVE_OXYGEN_SPECIES.html</t>
  </si>
  <si>
    <t>GO_RESPONSE_TO_DRUG</t>
  </si>
  <si>
    <t>3458;3932;6352;5734;942;3071;64170;19;4049;3553;3956;596;3586;6546;6507;4208;969;5027</t>
  </si>
  <si>
    <t>IFNG;LCK;CCL5;PTGER4;CD86;NCKAP1L;CARD9;ABCA1;LTA;IL1B;LGALS1;BCL2;IL10;SLC8A1;SLC1A3;MEF2C;CD69;P2RX7</t>
  </si>
  <si>
    <t>http://www.broadinstitute.org/gsea/msigdb/cards/GO_RESPONSE_TO_DRUG.html</t>
  </si>
  <si>
    <t>GO_POSITIVE_REGULATION_OF_NUCLEOTIDE_METABOLIC_PROCESS</t>
  </si>
  <si>
    <t>3627;5734;4283;8477;6373;19;348;2833;5027</t>
  </si>
  <si>
    <t>CXCL10;PTGER4;CXCL9;GPR65;CXCL11;ABCA1;APOE;CXCR3;P2RX7</t>
  </si>
  <si>
    <t>http://www.broadinstitute.org/gsea/msigdb/cards/GO_POSITIVE_REGULATION_OF_NUCLEOTIDE_METABOLIC_PROCESS.html</t>
  </si>
  <si>
    <t>GO_INNATE_IMMUNE_RESPONSE_ACTIVATING_CELL_SURFACE_RECEPTOR_SIGNALING_PATHWAY</t>
  </si>
  <si>
    <t>2207;93978;64170;50856;2219;338339;64581;30835</t>
  </si>
  <si>
    <t>FCER1G;CLEC6A;CARD9;CLEC4A;FCN1;CLEC4D;CLEC7A;CD209</t>
  </si>
  <si>
    <t>http://www.broadinstitute.org/gsea/msigdb/cards/GO_INNATE_IMMUNE_RESPONSE_ACTIVATING_CELL_SURFACE_RECEPTOR_SIGNALING_PATHWAY.html</t>
  </si>
  <si>
    <t>GO_REGULATION_OF_DNA_RECOMBINATION</t>
  </si>
  <si>
    <t>3458;940;3575;30009;3586;50943</t>
  </si>
  <si>
    <t>IFNG;CD28;IL7R;TBX21;IL10;FOXP3</t>
  </si>
  <si>
    <t>http://www.broadinstitute.org/gsea/msigdb/cards/GO_REGULATION_OF_DNA_RECOMBINATION.html</t>
  </si>
  <si>
    <t>GO_LEADING_EDGE_MEMBRANE</t>
  </si>
  <si>
    <t>5341;2268;199;388325;221472;3936;3737;10235;30817</t>
  </si>
  <si>
    <t>PLEK;FGR;AIF1;SCIMP;FGD2;LCP1;KCNA2;RASGRP2;ADGRE2</t>
  </si>
  <si>
    <t>http://www.broadinstitute.org/gsea/msigdb/cards/GO_LEADING_EDGE_MEMBRANE.html</t>
  </si>
  <si>
    <t>GO_NEGATIVE_REGULATION_OF_INNATE_IMMUNE_RESPONSE</t>
  </si>
  <si>
    <t>1378;6890;84166;84868;730249</t>
  </si>
  <si>
    <t>CR1;TAP1;NLRC5;HAVCR2;ACOD1</t>
  </si>
  <si>
    <t>http://www.broadinstitute.org/gsea/msigdb/cards/GO_NEGATIVE_REGULATION_OF_INNATE_IMMUNE_RESPONSE.html</t>
  </si>
  <si>
    <t>GO_PLASMA_LIPOPROTEIN_PARTICLE_CLEARANCE</t>
  </si>
  <si>
    <t>348;341;3162;4481</t>
  </si>
  <si>
    <t>APOE;APOC1;HMOX1;MSR1</t>
  </si>
  <si>
    <t>http://www.broadinstitute.org/gsea/msigdb/cards/GO_PLASMA_LIPOPROTEIN_PARTICLE_CLEARANCE.html</t>
  </si>
  <si>
    <t>GO_RUFFLE_ORGANIZATION</t>
  </si>
  <si>
    <t>1436;5341;1236;199</t>
  </si>
  <si>
    <t>CSF1R;PLEK;CCR7;AIF1</t>
  </si>
  <si>
    <t>http://www.broadinstitute.org/gsea/msigdb/cards/GO_RUFFLE_ORGANIZATION.html</t>
  </si>
  <si>
    <t>GO_NEGATIVE_REGULATION_OF_NEURON_APOPTOTIC_PROCESS</t>
  </si>
  <si>
    <t>11151;4671;116986;3717;348;3162;596;728;4208</t>
  </si>
  <si>
    <t>CORO1A;NAIP;AGAP2;JAK2;APOE;HMOX1;BCL2;C5AR1;MEF2C</t>
  </si>
  <si>
    <t>http://www.broadinstitute.org/gsea/msigdb/cards/GO_NEGATIVE_REGULATION_OF_NEURON_APOPTOTIC_PROCESS.html</t>
  </si>
  <si>
    <t>GO_PROTEIN_COMPLEX_BIOGENESIS</t>
  </si>
  <si>
    <t>9840;7456;9404;972;916;917;6352;5551;3560;199;3071;83706;57580;114548;115362;58484;9056;3717;3122;3162;3059;3737;241;3108;3109;7454;3604;7185;3123;3127;5027;9033;1522;51466;25939</t>
  </si>
  <si>
    <t>TESPA1;WIPF1;LPXN;CD74;CD3E;CD3G;CCL5;PRF1;IL2RB;AIF1;NCKAP1L;FERMT3;PREX1;NLRP3;GBP5;NLRC4;SLC7A7;JAK2;HLA-DRA;HMOX1;HCLS1;KCNA2;ALOX5AP;HLA-DMA;HLA-DMB;WAS;TNFRSF9;TRAF1;HLA-DRB1;HLA-DRB5;P2RX7;PKD2L1;CTSZ;EVL;SAMHD1</t>
  </si>
  <si>
    <t>http://www.broadinstitute.org/gsea/msigdb/cards/GO_PROTEIN_COMPLEX_BIOGENESIS.html</t>
  </si>
  <si>
    <t>GO_NEGATIVE_REGULATION_OF_SEQUENCE_SPECIFIC_DNA_BINDING_TRANSCRIPTION_FACTOR_ACTIVITY</t>
  </si>
  <si>
    <t>197358;84166;84868;114548;2672;1240;730249;3162;50943</t>
  </si>
  <si>
    <t>NLRC3;NLRC5;HAVCR2;NLRP3;GFI1;CMKLR1;ACOD1;HMOX1;FOXP3</t>
  </si>
  <si>
    <t>http://www.broadinstitute.org/gsea/msigdb/cards/GO_NEGATIVE_REGULATION_OF_SEQUENCE_SPECIFIC_DNA_BINDING_TRANSCRIPTION_FACTOR_ACTIVITY.html</t>
  </si>
  <si>
    <t>GO_REGULATION_OF_LIPASE_ACTIVITY</t>
  </si>
  <si>
    <t>6352;3702;341;728;5724;10672;115727</t>
  </si>
  <si>
    <t>CCL5;ITK;APOC1;C5AR1;PTAFR;GNA13;RASGRP4</t>
  </si>
  <si>
    <t>http://www.broadinstitute.org/gsea/msigdb/cards/GO_REGULATION_OF_LIPASE_ACTIVITY.html</t>
  </si>
  <si>
    <t>GO_REGULATION_OF_CELLULAR_PROTEIN_LOCALIZATION</t>
  </si>
  <si>
    <t>3458;6036;3687;2633;391;8514;374403;114548;51284;54209;7099;3717;3553;3002;596;3936;3059;3586;1601;8809;6363</t>
  </si>
  <si>
    <t>IFNG;RNASE2;ITGAX;GBP1;RHOG;KCNAB2;TBC1D10C;NLRP3;TLR7;TREM2;TLR4;JAK2;IL1B;GZMB;BCL2;LCP1;HCLS1;IL10;DAB2;IL18R1;CCL19</t>
  </si>
  <si>
    <t>http://www.broadinstitute.org/gsea/msigdb/cards/GO_REGULATION_OF_CELLULAR_PROTEIN_LOCALIZATION.html</t>
  </si>
  <si>
    <t>GO_POSITIVE_REGULATION_OF_TRANSCRIPTION_FROM_RNA_POLYMERASE_II_PROMOTER</t>
  </si>
  <si>
    <t>9839;3458;3627;915;940;3659;6688;944;6772;2313;3394;10320;3662;84166;114548;7099;4094;8320;3553;5452;3059;2113;3586;4261;6556;2833;4208;80709;50943;64919;22806;9935</t>
  </si>
  <si>
    <t>ZEB2;IFNG;CXCL10;CD3D;CD28;IRF1;SPI1;TNFSF8;STAT1;FLI1;IRF8;IKZF1;IRF4;NLRC5;NLRP3;TLR4;MAF;EOMES;IL1B;POU2F2;HCLS1;ETS1;IL10;CIITA;SLC11A1;CXCR3;MEF2C;AKNA;FOXP3;BCL11B;IKZF3;MAFB</t>
  </si>
  <si>
    <t>http://www.broadinstitute.org/gsea/msigdb/cards/GO_POSITIVE_REGULATION_OF_TRANSCRIPTION_FROM_RNA_POLYMERASE_II_PROMOTER.html</t>
  </si>
  <si>
    <t>GO_POSITIVE_REGULATION_OF_SEQUENCE_SPECIFIC_DNA_BINDING_TRANSCRIPTION_FACTOR_ACTIVITY</t>
  </si>
  <si>
    <t>3689;5579;959;695;150372;114548;58484;7099;3717;3553;3586;7185</t>
  </si>
  <si>
    <t>ITGB2;PRKCB;CD40LG;BTK;NFAM1;NLRP3;NLRC4;TLR4;JAK2;IL1B;IL10;TRAF1</t>
  </si>
  <si>
    <t>http://www.broadinstitute.org/gsea/msigdb/cards/GO_POSITIVE_REGULATION_OF_SEQUENCE_SPECIFIC_DNA_BINDING_TRANSCRIPTION_FACTOR_ACTIVITY.html</t>
  </si>
  <si>
    <t>GO_REGULATION_OF_ORGANELLE_ORGANIZATION</t>
  </si>
  <si>
    <t>7456;9535;9839;1436;5341;3055;6036;940;6688;3687;11151;1236;5734;3071;6504;374403;8477;57580;2672;58484;197135;3553;3002;596;3936;3059;7454;4208;9363;55704;85464;80821;5027;50943;51466;4644</t>
  </si>
  <si>
    <t>WIPF1;GMFG;ZEB2;CSF1R;PLEK;HCK;RNASE2;CD28;SPI1;ITGAX;CORO1A;CCR7;PTGER4;NCKAP1L;SLAMF1;TBC1D10C;GPR65;PREX1;GFI1;NLRC4;PATL2;IL1B;GZMB;BCL2;LCP1;HCLS1;WAS;MEF2C;RAB33A;CCDC88A;SSH2;DDHD1;P2RX7;FOXP3;EVL;MYO5A</t>
  </si>
  <si>
    <t>http://www.broadinstitute.org/gsea/msigdb/cards/GO_REGULATION_OF_ORGANELLE_ORGANIZATION.html</t>
  </si>
  <si>
    <t>GO_PLATELET_AGGREGATION</t>
  </si>
  <si>
    <t>5341;5294;83706;10077;64805</t>
  </si>
  <si>
    <t>PLEK;PIK3CG;FERMT3;TSPAN32;P2RY12</t>
  </si>
  <si>
    <t>http://www.broadinstitute.org/gsea/msigdb/cards/GO_PLATELET_AGGREGATION.html</t>
  </si>
  <si>
    <t>GO_POSITIVE_REGULATION_OF_CYCLIC_NUCLEOTIDE_METABOLIC_PROCESS</t>
  </si>
  <si>
    <t>3627;5734;4283;8477;6373;19;348;2833</t>
  </si>
  <si>
    <t>CXCL10;PTGER4;CXCL9;GPR65;CXCL11;ABCA1;APOE;CXCR3</t>
  </si>
  <si>
    <t>http://www.broadinstitute.org/gsea/msigdb/cards/GO_POSITIVE_REGULATION_OF_CYCLIC_NUCLEOTIDE_METABOLIC_PROCESS.html</t>
  </si>
  <si>
    <t>GO_GTPASE_BINDING</t>
  </si>
  <si>
    <t>399;139818;221472;374403;19;3936;4688;57589;89846;25780;91010;23312;64780;4644</t>
  </si>
  <si>
    <t>RHOH;DOCK11;FGD2;TBC1D10C;ABCA1;LCP1;NCF2;RIC1;FGD3;RASGRP3;FMNL3;DMXL2;MICAL1;MYO5A</t>
  </si>
  <si>
    <t>http://www.broadinstitute.org/gsea/msigdb/cards/GO_GTPASE_BINDING.html</t>
  </si>
  <si>
    <t>GO_POSITIVE_REGULATION_OF_SMOOTH_MUSCLE_CELL_PROLIFERATION</t>
  </si>
  <si>
    <t>6352;6772;199;719;3162;5724</t>
  </si>
  <si>
    <t>CCL5;STAT1;AIF1;C3AR1;HMOX1;PTAFR</t>
  </si>
  <si>
    <t>http://www.broadinstitute.org/gsea/msigdb/cards/GO_POSITIVE_REGULATION_OF_SMOOTH_MUSCLE_CELL_PROLIFERATION.html</t>
  </si>
  <si>
    <t>GO_CIRCULATORY_SYSTEM_PROCESS</t>
  </si>
  <si>
    <t>3627;6772;2313;719;5800;348;1621;3162;240;6518;3274;5724;6546;3363;4973;1522</t>
  </si>
  <si>
    <t>CXCL10;STAT1;FLI1;C3AR1;PTPRO;APOE;DBH;HMOX1;ALOX5;SLC2A5;HRH2;PTAFR;SLC8A1;HTR7;OLR1;CTSZ</t>
  </si>
  <si>
    <t>http://www.broadinstitute.org/gsea/msigdb/cards/GO_CIRCULATORY_SYSTEM_PROCESS.html</t>
  </si>
  <si>
    <t>GO_ACTIVATION_OF_MAPK_ACTIVITY</t>
  </si>
  <si>
    <t>972;959;11184;7099;3553;2357;728;5027;6363</t>
  </si>
  <si>
    <t>CD74;CD40LG;MAP4K1;TLR4;IL1B;FPR1;C5AR1;P2RX7;CCL19</t>
  </si>
  <si>
    <t>http://www.broadinstitute.org/gsea/msigdb/cards/GO_ACTIVATION_OF_MAPK_ACTIVITY.html</t>
  </si>
  <si>
    <t>GO_REGULATION_OF_STRESS_ACTIVATED_PROTEIN_KINASE_SIGNALING_CASCADE</t>
  </si>
  <si>
    <t>http://www.broadinstitute.org/gsea/msigdb/cards/GO_REGULATION_OF_STRESS_ACTIVATED_PROTEIN_KINASE_SIGNALING_CASCADE.html</t>
  </si>
  <si>
    <t>GO_NEGATIVE_REGULATION_OF_REGULATED_SECRETORY_PATHWAY</t>
  </si>
  <si>
    <t>http://www.broadinstitute.org/gsea/msigdb/cards/GO_NEGATIVE_REGULATION_OF_REGULATED_SECRETORY_PATHWAY.html</t>
  </si>
  <si>
    <t>GO_REGULATION_OF_CELLULAR_EXTRAVASATION</t>
  </si>
  <si>
    <t>http://www.broadinstitute.org/gsea/msigdb/cards/GO_REGULATION_OF_CELLULAR_EXTRAVASATION.html</t>
  </si>
  <si>
    <t>GO_REGULATION_OF_T_CELL_CYTOKINE_PRODUCTION</t>
  </si>
  <si>
    <t>54440;6504;114548;50943</t>
  </si>
  <si>
    <t>SASH3;SLAMF1;NLRP3;FOXP3</t>
  </si>
  <si>
    <t>http://www.broadinstitute.org/gsea/msigdb/cards/GO_REGULATION_OF_T_CELL_CYTOKINE_PRODUCTION.html</t>
  </si>
  <si>
    <t>GO_REGULATION_OF_RESPONSE_TO_INTERFERON_GAMMA</t>
  </si>
  <si>
    <t>3458;6772;84166;3717</t>
  </si>
  <si>
    <t>IFNG;STAT1;NLRC5;JAK2</t>
  </si>
  <si>
    <t>http://www.broadinstitute.org/gsea/msigdb/cards/GO_REGULATION_OF_RESPONSE_TO_INTERFERON_GAMMA.html</t>
  </si>
  <si>
    <t>GO_NEGATIVE_REGULATION_OF_MYELOID_CELL_DIFFERENTIATION</t>
  </si>
  <si>
    <t>11025;714;11006;3635;7099;29909;9935</t>
  </si>
  <si>
    <t>LILRB3;C1QC;LILRB4;INPP5D;TLR4;GPR171;MAFB</t>
  </si>
  <si>
    <t>http://www.broadinstitute.org/gsea/msigdb/cards/GO_NEGATIVE_REGULATION_OF_MYELOID_CELL_DIFFERENTIATION.html</t>
  </si>
  <si>
    <t>GO_NEGATIVE_REGULATION_OF_LOCOMOTION</t>
  </si>
  <si>
    <t>5734;199;5800;11314;2219;348;3162;596;729230;7454;11009;10507;51466</t>
  </si>
  <si>
    <t>PTGER4;AIF1;PTPRO;CD300A;FCN1;APOE;HMOX1;BCL2;CCR2;WAS;IL24;SEMA4D;EVL</t>
  </si>
  <si>
    <t>http://www.broadinstitute.org/gsea/msigdb/cards/GO_NEGATIVE_REGULATION_OF_LOCOMOTION.html</t>
  </si>
  <si>
    <t>GO_RESPONSE_TO_EXTRACELLULAR_STIMULUS</t>
  </si>
  <si>
    <t>920;3627;916;6352;2350;199;19;4049;3553;348;3162;240;596;54;6546;6753;115727;5027</t>
  </si>
  <si>
    <t>CD4;CXCL10;CD3E;CCL5;FOLR2;AIF1;ABCA1;LTA;IL1B;APOE;HMOX1;ALOX5;BCL2;ACP5;SLC8A1;SSTR3;RASGRP4;P2RX7</t>
  </si>
  <si>
    <t>http://www.broadinstitute.org/gsea/msigdb/cards/GO_RESPONSE_TO_EXTRACELLULAR_STIMULUS.html</t>
  </si>
  <si>
    <t>GO_GLYCEROPHOSPHOLIPID_METABOLIC_PROCESS</t>
  </si>
  <si>
    <t>3932;1436;5341;940;941;942;5294;50852;23533;3635;146850;80821;26279;8605</t>
  </si>
  <si>
    <t>LCK;CSF1R;PLEK;CD28;CD80;CD86;PIK3CG;TRAT1;PIK3R5;INPP5D;PIK3R6;DDHD1;PLA2G2D;PLA2G4C</t>
  </si>
  <si>
    <t>http://www.broadinstitute.org/gsea/msigdb/cards/GO_GLYCEROPHOSPHOLIPID_METABOLIC_PROCESS.html</t>
  </si>
  <si>
    <t>GO_NEGATIVE_REGULATION_OF_LYMPHOCYTE_DIFFERENTIATION</t>
  </si>
  <si>
    <t>http://www.broadinstitute.org/gsea/msigdb/cards/GO_NEGATIVE_REGULATION_OF_LYMPHOCYTE_DIFFERENTIATION.html</t>
  </si>
  <si>
    <t>GO_POSITIVE_REGULATION_OF_REACTIVE_OXYGEN_SPECIES_METABOLIC_PROCESS</t>
  </si>
  <si>
    <t>3458;3689;199;730249;7099;3717;3553</t>
  </si>
  <si>
    <t>IFNG;ITGB2;AIF1;ACOD1;TLR4;JAK2;IL1B</t>
  </si>
  <si>
    <t>http://www.broadinstitute.org/gsea/msigdb/cards/GO_POSITIVE_REGULATION_OF_REACTIVE_OXYGEN_SPECIES_METABOLIC_PROCESS.html</t>
  </si>
  <si>
    <t>GO_PLASMA_MEMBRANE_RAFT</t>
  </si>
  <si>
    <t>3055;3937;3717;1508;3162;356;64805</t>
  </si>
  <si>
    <t>HCK;LCP2;JAK2;CTSB;HMOX1;FASLG;P2RY12</t>
  </si>
  <si>
    <t>http://www.broadinstitute.org/gsea/msigdb/cards/GO_PLASMA_MEMBRANE_RAFT.html</t>
  </si>
  <si>
    <t>GO_POSITIVE_REGULATION_OF_ALCOHOL_BIOSYNTHETIC_PROCESS</t>
  </si>
  <si>
    <t>3458;51744;3553;5724</t>
  </si>
  <si>
    <t>IFNG;CD244;IL1B;PTAFR</t>
  </si>
  <si>
    <t>http://www.broadinstitute.org/gsea/msigdb/cards/GO_POSITIVE_REGULATION_OF_ALCOHOL_BIOSYNTHETIC_PROCESS.html</t>
  </si>
  <si>
    <t>GO_REGULATION_OF_CAMP_MEDIATED_SIGNALING</t>
  </si>
  <si>
    <t>http://www.broadinstitute.org/gsea/msigdb/cards/GO_REGULATION_OF_CAMP_MEDIATED_SIGNALING.html</t>
  </si>
  <si>
    <t>GO_POSITIVE_REGULATION_OF_STEROID_METABOLIC_PROCESS</t>
  </si>
  <si>
    <t>3458;3553;348;341</t>
  </si>
  <si>
    <t>IFNG;IL1B;APOE;APOC1</t>
  </si>
  <si>
    <t>http://www.broadinstitute.org/gsea/msigdb/cards/GO_POSITIVE_REGULATION_OF_STEROID_METABOLIC_PROCESS.html</t>
  </si>
  <si>
    <t>GO_MONOCYTE_CHEMOTAXIS</t>
  </si>
  <si>
    <t>6351;6352;2350;5800;6363</t>
  </si>
  <si>
    <t>CCL4;CCL5;FOLR2;PTPRO;CCL19</t>
  </si>
  <si>
    <t>http://www.broadinstitute.org/gsea/msigdb/cards/GO_MONOCYTE_CHEMOTAXIS.html</t>
  </si>
  <si>
    <t>GO_RECEPTOR_CLUSTERING</t>
  </si>
  <si>
    <t>3689;3676;3683;3695;348</t>
  </si>
  <si>
    <t>ITGB2;ITGA4;ITGAL;ITGB7;APOE</t>
  </si>
  <si>
    <t>http://www.broadinstitute.org/gsea/msigdb/cards/GO_RECEPTOR_CLUSTERING.html</t>
  </si>
  <si>
    <t>GO_NEGATIVE_REGULATION_OF_NEURON_DEATH</t>
  </si>
  <si>
    <t>6352;11151;4671;116986;3717;348;3162;596;728;4208</t>
  </si>
  <si>
    <t>CCL5;CORO1A;NAIP;AGAP2;JAK2;APOE;HMOX1;BCL2;C5AR1;MEF2C</t>
  </si>
  <si>
    <t>http://www.broadinstitute.org/gsea/msigdb/cards/GO_NEGATIVE_REGULATION_OF_NEURON_DEATH.html</t>
  </si>
  <si>
    <t>GO_POSITIVE_REGULATION_OF_JUN_KINASE_ACTIVITY</t>
  </si>
  <si>
    <t>9839;959;221472;11184;3553;6363</t>
  </si>
  <si>
    <t>ZEB2;CD40LG;FGD2;MAP4K1;IL1B;CCL19</t>
  </si>
  <si>
    <t>http://www.broadinstitute.org/gsea/msigdb/cards/GO_POSITIVE_REGULATION_OF_JUN_KINASE_ACTIVITY.html</t>
  </si>
  <si>
    <t>GO_GOLGI_APPARATUS_PART</t>
  </si>
  <si>
    <t>7940;4242;972;4245;51056;2633;55016;170575;115362;115361;23048;51311;51284;27128;3122;3117;3115;3120;5552;3113;8905;2529;27314;3123;3127;57589;79690;50515;1522</t>
  </si>
  <si>
    <t>LST1;MFNG;CD74;MGAT1;LAP3;GBP1;MARCH1;GIMAP1;GBP5;GBP4;FNBP1;TLR8;TLR7;CYTH4;HLA-DRA;HLA-DQA1;HLA-DPB1;HLA-DQB2;SRGN;HLA-DPA1;AP1S2;FUT7;RAB30;HLA-DRB1;HLA-DRB5;RIC1;GAL3ST4;CHST11;CTSZ</t>
  </si>
  <si>
    <t>http://www.broadinstitute.org/gsea/msigdb/cards/GO_GOLGI_APPARATUS_PART.html</t>
  </si>
  <si>
    <t>GO_G_PROTEIN_COUPLED_RECEPTOR_SIGNALING_PATHWAY_COUPLED_TO_CYCLIC_NUCLEOTIDE_SECOND_MESSENGER</t>
  </si>
  <si>
    <t>5734;2357;3274;1230;6753;3363;2829;54331;10672;64805</t>
  </si>
  <si>
    <t>PTGER4;FPR1;HRH2;CCR1;SSTR3;HTR7;XCR1;GNG2;GNA13;P2RY12</t>
  </si>
  <si>
    <t>http://www.broadinstitute.org/gsea/msigdb/cards/GO_G_PROTEIN_COUPLED_RECEPTOR_SIGNALING_PATHWAY_COUPLED_TO_CYCLIC_NUCLEOTIDE_SECOND_MESSENGER.html</t>
  </si>
  <si>
    <t>GO_KINASE_BINDING</t>
  </si>
  <si>
    <t>9046;920;925;3689;5579;3932;916;5341;5788;2268;940;10666;50852;152789;3717;3059;5724;729230;7454;55704;25780;27240</t>
  </si>
  <si>
    <t>DOK2;CD4;CD8A;ITGB2;PRKCB;LCK;CD3E;PLEK;PTPRC;FGR;CD28;CD226;TRAT1;JAKMIP1;JAK2;HCLS1;PTAFR;CCR2;WAS;CCDC88A;RASGRP3;SIT1</t>
  </si>
  <si>
    <t>http://www.broadinstitute.org/gsea/msigdb/cards/GO_KINASE_BINDING.html</t>
  </si>
  <si>
    <t>GO_REGULATION_OF_PROTEIN_POLYMERIZATION</t>
  </si>
  <si>
    <t>7456;9535;3055;11151;1236;3071;57580;3059;7454;51466</t>
  </si>
  <si>
    <t>WIPF1;GMFG;HCK;CORO1A;CCR7;NCKAP1L;PREX1;HCLS1;WAS;EVL</t>
  </si>
  <si>
    <t>http://www.broadinstitute.org/gsea/msigdb/cards/GO_REGULATION_OF_PROTEIN_POLYMERIZATION.html</t>
  </si>
  <si>
    <t>GO_REGULATION_OF_CELL_SUBSTRATE_ADHESION</t>
  </si>
  <si>
    <t>1236;2633;5800;57580;3717;3956;1435;596;25890;9806</t>
  </si>
  <si>
    <t>CCR7;GBP1;PTPRO;PREX1;JAK2;LGALS1;CSF1;BCL2;ABI3BP;SPOCK2</t>
  </si>
  <si>
    <t>http://www.broadinstitute.org/gsea/msigdb/cards/GO_REGULATION_OF_CELL_SUBSTRATE_ADHESION.html</t>
  </si>
  <si>
    <t>GO_REGULATION_OF_PHOSPHOLIPASE_ACTIVITY</t>
  </si>
  <si>
    <t>http://www.broadinstitute.org/gsea/msigdb/cards/GO_REGULATION_OF_PHOSPHOLIPASE_ACTIVITY.html</t>
  </si>
  <si>
    <t>GO_REGULATION_OF_MYELOID_CELL_APOPTOTIC_PROCESS</t>
  </si>
  <si>
    <t>6352;2207;596;4208</t>
  </si>
  <si>
    <t>CCL5;FCER1G;BCL2;MEF2C</t>
  </si>
  <si>
    <t>http://www.broadinstitute.org/gsea/msigdb/cards/GO_REGULATION_OF_MYELOID_CELL_APOPTOTIC_PROCESS.html</t>
  </si>
  <si>
    <t>GO_RESPONSE_TO_STEROL</t>
  </si>
  <si>
    <t>6352;1234;19;54</t>
  </si>
  <si>
    <t>CCL5;CCR5;ABCA1;ACP5</t>
  </si>
  <si>
    <t>http://www.broadinstitute.org/gsea/msigdb/cards/GO_RESPONSE_TO_STEROL.html</t>
  </si>
  <si>
    <t>GO_TYROSINE_PHOSPHORYLATION_OF_STAT_PROTEIN</t>
  </si>
  <si>
    <t>59067;3717;3718</t>
  </si>
  <si>
    <t>IL21;JAK2;JAK3</t>
  </si>
  <si>
    <t>http://www.broadinstitute.org/gsea/msigdb/cards/GO_TYROSINE_PHOSPHORYLATION_OF_STAT_PROTEIN.html</t>
  </si>
  <si>
    <t>GO_AMIDE_BINDING</t>
  </si>
  <si>
    <t>972;2350;6890;3122;3117;348;3115;1508;3113;6753;3123;3127;30835</t>
  </si>
  <si>
    <t>CD74;FOLR2;TAP1;HLA-DRA;HLA-DQA1;APOE;HLA-DPB1;CTSB;HLA-DPA1;SSTR3;HLA-DRB1;HLA-DRB5;CD209</t>
  </si>
  <si>
    <t>http://www.broadinstitute.org/gsea/msigdb/cards/GO_AMIDE_BINDING.html</t>
  </si>
  <si>
    <t>GO_POSITIVE_REGULATION_OF_CAMP_METABOLIC_PROCESS</t>
  </si>
  <si>
    <t>3627;5734;4283;8477;6373;19;2833</t>
  </si>
  <si>
    <t>CXCL10;PTGER4;CXCL9;GPR65;CXCL11;ABCA1;CXCR3</t>
  </si>
  <si>
    <t>http://www.broadinstitute.org/gsea/msigdb/cards/GO_POSITIVE_REGULATION_OF_CAMP_METABOLIC_PROCESS.html</t>
  </si>
  <si>
    <t>GO_REGULATION_OF_CALCIUM_ION_TRANSMEMBRANE_TRANSPORT</t>
  </si>
  <si>
    <t>3627;11151;5294;4283;6373;6546;2833;4644</t>
  </si>
  <si>
    <t>CXCL10;CORO1A;PIK3CG;CXCL9;CXCL11;SLC8A1;CXCR3;MYO5A</t>
  </si>
  <si>
    <t>http://www.broadinstitute.org/gsea/msigdb/cards/GO_REGULATION_OF_CALCIUM_ION_TRANSMEMBRANE_TRANSPORT.html</t>
  </si>
  <si>
    <t>GO_PHOSPHATIDYLINOSITOL_PHOSPHATE_BINDING</t>
  </si>
  <si>
    <t>5341;653361;695;4689;124460;221472;64333;55803</t>
  </si>
  <si>
    <t>PLEK;NCF1;BTK;NCF4;SNX20;FGD2;ARHGAP9;ADAP2</t>
  </si>
  <si>
    <t>http://www.broadinstitute.org/gsea/msigdb/cards/GO_PHOSPHATIDYLINOSITOL_PHOSPHATE_BINDING.html</t>
  </si>
  <si>
    <t>GO_POSITIVE_REGULATION_OF_CYTOSKELETON_ORGANIZATION</t>
  </si>
  <si>
    <t>7456;5341;3055;1236;3071;8477;3059;7454;5027;51466</t>
  </si>
  <si>
    <t>WIPF1;PLEK;HCK;CCR7;NCKAP1L;GPR65;HCLS1;WAS;P2RX7;EVL</t>
  </si>
  <si>
    <t>http://www.broadinstitute.org/gsea/msigdb/cards/GO_POSITIVE_REGULATION_OF_CYTOSKELETON_ORGANIZATION.html</t>
  </si>
  <si>
    <t>GO_EXOCYTOSIS</t>
  </si>
  <si>
    <t>8676;5341;3055;6352;2207;11151;5294;2162;5552;1230;51762;5027;7462;4644</t>
  </si>
  <si>
    <t>STX11;PLEK;HCK;CCL5;FCER1G;CORO1A;PIK3CG;F13A1;SRGN;CCR1;RAB8B;P2RX7;LAT2;MYO5A</t>
  </si>
  <si>
    <t>http://www.broadinstitute.org/gsea/msigdb/cards/GO_EXOCYTOSIS.html</t>
  </si>
  <si>
    <t>GO_NEGATIVE_REGULATION_OF_MOLECULAR_FUNCTION</t>
  </si>
  <si>
    <t>9535;5788;3001;3676;1378;3071;4671;399;197358;54899;84166;84868;114548;2672;1240;53829;58484;11314;730249;3717;8530;3553;348;341;2811;3162;3586;729230;1601;147138;64780;10507;50943</t>
  </si>
  <si>
    <t>GMFG;PTPRC;GZMA;ITGA4;CR1;NCKAP1L;NAIP;RHOH;NLRC3;PXK;NLRC5;HAVCR2;NLRP3;GFI1;CMKLR1;P2RY13;NLRC4;CD300A;ACOD1;JAK2;CST7;IL1B;APOE;APOC1;GP1BA;HMOX1;IL10;CCR2;DAB2;TMC8;MICAL1;SEMA4D;FOXP3</t>
  </si>
  <si>
    <t>http://www.broadinstitute.org/gsea/msigdb/cards/GO_NEGATIVE_REGULATION_OF_MOLECULAR_FUNCTION.html</t>
  </si>
  <si>
    <t>GO_RESPONSE_TO_PROSTAGLANDIN_E</t>
  </si>
  <si>
    <t>1236;5734;54331;6363</t>
  </si>
  <si>
    <t>CCR7;PTGER4;GNG2;CCL19</t>
  </si>
  <si>
    <t>http://www.broadinstitute.org/gsea/msigdb/cards/GO_RESPONSE_TO_PROSTAGLANDIN_E.html</t>
  </si>
  <si>
    <t>GO_TRANSFERASE_ACTIVITY_TRANSFERRING_PHOSPHORUS_CONTAINING_GROUPS</t>
  </si>
  <si>
    <t>http://www.broadinstitute.org/gsea/msigdb/cards/GO_TRANSFERASE_ACTIVITY_TRANSFERRING_PHOSPHORUS_CONTAINING_GROUPS.html</t>
  </si>
  <si>
    <t>GO_POSITIVE_REGULATION_OF_LIPASE_ACTIVITY</t>
  </si>
  <si>
    <t>http://www.broadinstitute.org/gsea/msigdb/cards/GO_POSITIVE_REGULATION_OF_LIPASE_ACTIVITY.html</t>
  </si>
  <si>
    <t>GO_REGULATION_OF_TYROSINE_PHOSPHORYLATION_OF_STAT3_PROTEIN</t>
  </si>
  <si>
    <t>http://www.broadinstitute.org/gsea/msigdb/cards/GO_REGULATION_OF_TYROSINE_PHOSPHORYLATION_OF_STAT3_PROTEIN.html</t>
  </si>
  <si>
    <t>GO_HYDROLASE_ACTIVITY_ACTING_ON_ESTER_BONDS</t>
  </si>
  <si>
    <t>340152;3932;5788;342618;6036;6352;313;5778;1234;719;5800;3635;6039;23228;3162;6037;54;1230;3988;7941;85464;132160;26279;8605;25939</t>
  </si>
  <si>
    <t>ZC3H12D;LCK;PTPRC;SLFN14;RNASE2;CCL5;AOAH;PTPN7;CCR5;C3AR1;PTPRO;INPP5D;RNASE6;PLCL2;HMOX1;RNASE3;ACP5;CCR1;LIPA;PLA2G7;SSH2;PPM1M;PLA2G2D;PLA2G4C;SAMHD1</t>
  </si>
  <si>
    <t>http://www.broadinstitute.org/gsea/msigdb/cards/GO_HYDROLASE_ACTIVITY_ACTING_ON_ESTER_BONDS.html</t>
  </si>
  <si>
    <t>GO_REGULATION_OF_OSSIFICATION</t>
  </si>
  <si>
    <t>5734;55589;1435;5552;596;1230;6546;4208;10507;5027</t>
  </si>
  <si>
    <t>PTGER4;BMP2K;CSF1;SRGN;BCL2;CCR1;SLC8A1;MEF2C;SEMA4D;P2RX7</t>
  </si>
  <si>
    <t>http://www.broadinstitute.org/gsea/msigdb/cards/GO_REGULATION_OF_OSSIFICATION.html</t>
  </si>
  <si>
    <t>GO_LIPID_MODIFICATION</t>
  </si>
  <si>
    <t>3932;940;941;942;5294;50852;23533;3635;225;7941;146850</t>
  </si>
  <si>
    <t>LCK;CD28;CD80;CD86;PIK3CG;TRAT1;PIK3R5;INPP5D;ABCD2;PLA2G7;PIK3R6</t>
  </si>
  <si>
    <t>http://www.broadinstitute.org/gsea/msigdb/cards/GO_LIPID_MODIFICATION.html</t>
  </si>
  <si>
    <t>GO_REGULATION_OF_NUCLEOTIDE_METABOLIC_PROCESS</t>
  </si>
  <si>
    <t>3627;5734;4283;8477;53829;6373;19;348;729230;2833;5027</t>
  </si>
  <si>
    <t>CXCL10;PTGER4;CXCL9;GPR65;P2RY13;CXCL11;ABCA1;APOE;CCR2;CXCR3;P2RX7</t>
  </si>
  <si>
    <t>http://www.broadinstitute.org/gsea/msigdb/cards/GO_REGULATION_OF_NUCLEOTIDE_METABOLIC_PROCESS.html</t>
  </si>
  <si>
    <t>GO_REGULATION_OF_NLRP3_INFLAMMASOME_COMPLEX_ASSEMBLY</t>
  </si>
  <si>
    <t>4210;115362;7099</t>
  </si>
  <si>
    <t>MEFV;GBP5;TLR4</t>
  </si>
  <si>
    <t>http://www.broadinstitute.org/gsea/msigdb/cards/GO_REGULATION_OF_NLRP3_INFLAMMASOME_COMPLEX_ASSEMBLY.html</t>
  </si>
  <si>
    <t>GO_REGULATION_OF_T_CELL_CHEMOTAXIS</t>
  </si>
  <si>
    <t>3627;6352;729230</t>
  </si>
  <si>
    <t>CXCL10;CCL5;CCR2</t>
  </si>
  <si>
    <t>http://www.broadinstitute.org/gsea/msigdb/cards/GO_REGULATION_OF_T_CELL_CHEMOTAXIS.html</t>
  </si>
  <si>
    <t>GO_MACROPHAGE_ACTIVATION_INVOLVED_IN_IMMUNE_RESPONSE</t>
  </si>
  <si>
    <t>7305;7535;84868</t>
  </si>
  <si>
    <t>TYROBP;ZAP70;HAVCR2</t>
  </si>
  <si>
    <t>http://www.broadinstitute.org/gsea/msigdb/cards/GO_MACROPHAGE_ACTIVATION_INVOLVED_IN_IMMUNE_RESPONSE.html</t>
  </si>
  <si>
    <t>GO_REGULATION_BY_VIRUS_OF_VIRAL_PROTEIN_LEVELS_IN_HOST_CELL</t>
  </si>
  <si>
    <t>6772;6890;6891</t>
  </si>
  <si>
    <t>STAT1;TAP1;TAP2</t>
  </si>
  <si>
    <t>http://www.broadinstitute.org/gsea/msigdb/cards/GO_REGULATION_BY_VIRUS_OF_VIRAL_PROTEIN_LEVELS_IN_HOST_CELL.html</t>
  </si>
  <si>
    <t>GO_REGULATION_OF_FEVER_GENERATION</t>
  </si>
  <si>
    <t>6352;3553;729230</t>
  </si>
  <si>
    <t>CCL5;IL1B;CCR2</t>
  </si>
  <si>
    <t>http://www.broadinstitute.org/gsea/msigdb/cards/GO_REGULATION_OF_FEVER_GENERATION.html</t>
  </si>
  <si>
    <t>GO_POSITIVE_REGULATION_OF_RESPONSE_TO_TUMOR_CELL</t>
  </si>
  <si>
    <t>259197;10666;56253</t>
  </si>
  <si>
    <t>NCR3;CD226;CRTAM</t>
  </si>
  <si>
    <t>http://www.broadinstitute.org/gsea/msigdb/cards/GO_POSITIVE_REGULATION_OF_RESPONSE_TO_TUMOR_CELL.html</t>
  </si>
  <si>
    <t>GO_NEGATIVE_REGULATION_OF_MAST_CELL_ACTIVATION</t>
  </si>
  <si>
    <t>11314;8832;3162</t>
  </si>
  <si>
    <t>CD300A;CD84;HMOX1</t>
  </si>
  <si>
    <t>http://www.broadinstitute.org/gsea/msigdb/cards/GO_NEGATIVE_REGULATION_OF_MAST_CELL_ACTIVATION.html</t>
  </si>
  <si>
    <t>GO_POSITIVE_REGULATION_OF_MYELOID_LEUKOCYTE_CYTOKINE_PRODUCTION_INVOLVED_IN_IMMUNE_RESPONSE</t>
  </si>
  <si>
    <t>972;2207;7099</t>
  </si>
  <si>
    <t>CD74;FCER1G;TLR4</t>
  </si>
  <si>
    <t>http://www.broadinstitute.org/gsea/msigdb/cards/GO_POSITIVE_REGULATION_OF_MYELOID_LEUKOCYTE_CYTOKINE_PRODUCTION_INVOLVED_IN_IMMUNE_RESPONSE.html</t>
  </si>
  <si>
    <t>GO_REGULATION_OF_INTERFERON_GAMMA_SECRETION</t>
  </si>
  <si>
    <t>914;6504;51744</t>
  </si>
  <si>
    <t>CD2;SLAMF1;CD244</t>
  </si>
  <si>
    <t>http://www.broadinstitute.org/gsea/msigdb/cards/GO_REGULATION_OF_INTERFERON_GAMMA_SECRETION.html</t>
  </si>
  <si>
    <t>GO_NEUTROPHIL_ACTIVATION_INVOLVED_IN_IMMUNE_RESPONSE</t>
  </si>
  <si>
    <t>7305;2207;7535</t>
  </si>
  <si>
    <t>TYROBP;FCER1G;ZAP70</t>
  </si>
  <si>
    <t>http://www.broadinstitute.org/gsea/msigdb/cards/GO_NEUTROPHIL_ACTIVATION_INVOLVED_IN_IMMUNE_RESPONSE.html</t>
  </si>
  <si>
    <t>GO_LYMPHOID_PROGENITOR_CELL_DIFFERENTIATION</t>
  </si>
  <si>
    <t>6688;2322;596</t>
  </si>
  <si>
    <t>SPI1;FLT3;BCL2</t>
  </si>
  <si>
    <t>http://www.broadinstitute.org/gsea/msigdb/cards/GO_LYMPHOID_PROGENITOR_CELL_DIFFERENTIATION.html</t>
  </si>
  <si>
    <t>GO_DIACYLGLYCEROL_BINDING</t>
  </si>
  <si>
    <t>10235;25780;115727</t>
  </si>
  <si>
    <t>RASGRP2;RASGRP3;RASGRP4</t>
  </si>
  <si>
    <t>http://www.broadinstitute.org/gsea/msigdb/cards/GO_DIACYLGLYCEROL_BINDING.html</t>
  </si>
  <si>
    <t>GO_SUPEROXIDE_GENERATING_NADPH_OXIDASE_ACTIVITY</t>
  </si>
  <si>
    <t>1536;653361;4688</t>
  </si>
  <si>
    <t>CYBB;NCF1;NCF2</t>
  </si>
  <si>
    <t>http://www.broadinstitute.org/gsea/msigdb/cards/GO_SUPEROXIDE_GENERATING_NADPH_OXIDASE_ACTIVITY.html</t>
  </si>
  <si>
    <t>GO_CELLULAR_LIPID_METABOLIC_PROCESS</t>
  </si>
  <si>
    <t>972;3932;1436;5341;940;941;942;5294;50852;23533;3635;225;27306;3553;348;341;240;241;3988;6776;55911;7941;146850;80821;79690;5027;26279;8605;4644</t>
  </si>
  <si>
    <t>CD74;LCK;CSF1R;PLEK;CD28;CD80;CD86;PIK3CG;TRAT1;PIK3R5;INPP5D;ABCD2;HPGDS;IL1B;APOE;APOC1;ALOX5;ALOX5AP;LIPA;STAT5A;APOBR;PLA2G7;PIK3R6;DDHD1;GAL3ST4;P2RX7;PLA2G2D;PLA2G4C;MYO5A</t>
  </si>
  <si>
    <t>http://www.broadinstitute.org/gsea/msigdb/cards/GO_CELLULAR_LIPID_METABOLIC_PROCESS.html</t>
  </si>
  <si>
    <t>GO_NEGATIVE_REGULATION_OF_PHOSPHORUS_METABOLIC_PROCESS</t>
  </si>
  <si>
    <t>9535;5341;5788;2633;3071;399;374403;26051;53829;64092;11314;7099;3553;348;341;2811;729230;64780;10507;5027</t>
  </si>
  <si>
    <t>GMFG;PLEK;PTPRC;GBP1;NCKAP1L;RHOH;TBC1D10C;PPP1R16B;P2RY13;SAMSN1;CD300A;TLR4;IL1B;APOE;APOC1;GP1BA;CCR2;MICAL1;SEMA4D;P2RX7</t>
  </si>
  <si>
    <t>http://www.broadinstitute.org/gsea/msigdb/cards/GO_NEGATIVE_REGULATION_OF_PHOSPHORUS_METABOLIC_PROCESS.html</t>
  </si>
  <si>
    <t>GO_REGULATION_OF_CYTOSKELETON_ORGANIZATION</t>
  </si>
  <si>
    <t>7456;9535;1436;5341;3055;11151;1236;5734;3071;8477;57580;58484;3059;7454;4208;55704;85464;5027;51466</t>
  </si>
  <si>
    <t>WIPF1;GMFG;CSF1R;PLEK;HCK;CORO1A;CCR7;PTGER4;NCKAP1L;GPR65;PREX1;NLRC4;HCLS1;WAS;MEF2C;CCDC88A;SSH2;P2RX7;EVL</t>
  </si>
  <si>
    <t>http://www.broadinstitute.org/gsea/msigdb/cards/GO_REGULATION_OF_CYTOSKELETON_ORGANIZATION.html</t>
  </si>
  <si>
    <t>GO_REGULATION_OF_TYPE_2_IMMUNE_RESPONSE</t>
  </si>
  <si>
    <t>972;942;114548;729230</t>
  </si>
  <si>
    <t>CD74;CD86;NLRP3;CCR2</t>
  </si>
  <si>
    <t>http://www.broadinstitute.org/gsea/msigdb/cards/GO_REGULATION_OF_TYPE_2_IMMUNE_RESPONSE.html</t>
  </si>
  <si>
    <t>GO_NATURAL_KILLER_CELL_MEDIATED_IMMUNITY</t>
  </si>
  <si>
    <t>11151;3002;3824;57823</t>
  </si>
  <si>
    <t>CORO1A;GZMB;KLRD1;SLAMF7</t>
  </si>
  <si>
    <t>http://www.broadinstitute.org/gsea/msigdb/cards/GO_NATURAL_KILLER_CELL_MEDIATED_IMMUNITY.html</t>
  </si>
  <si>
    <t>GO_PASSIVE_TRANSMEMBRANE_TRANSPORTER_ACTIVITY</t>
  </si>
  <si>
    <t>1536;5551;8514;255231;56659;51393;366;7439;596;3737;597;441168;84230;84329;5027;51063;55013;9033</t>
  </si>
  <si>
    <t>CYBB;PRF1;KCNAB2;MCOLN2;KCNK13;TRPV2;AQP9;BEST1;BCL2;KCNA2;BCL2A1;CALHM6;LRRC8C;HVCN1;P2RX7;CALHM2;MCUB;PKD2L1</t>
  </si>
  <si>
    <t>http://www.broadinstitute.org/gsea/msigdb/cards/GO_PASSIVE_TRANSMEMBRANE_TRANSPORTER_ACTIVITY.html</t>
  </si>
  <si>
    <t>GO_LATE_ENDOSOME</t>
  </si>
  <si>
    <t>1318;972;55016;84174;3122;3108;3109;6556;3123;3127;4644</t>
  </si>
  <si>
    <t>SLC31A2;CD74;MARCH1;SLA2;HLA-DRA;HLA-DMA;HLA-DMB;SLC11A1;HLA-DRB1;HLA-DRB5;MYO5A</t>
  </si>
  <si>
    <t>http://www.broadinstitute.org/gsea/msigdb/cards/GO_LATE_ENDOSOME.html</t>
  </si>
  <si>
    <t>GO_POSITIVE_REGULATION_OF_NUCLEOCYTOPLASMIC_TRANSPORT</t>
  </si>
  <si>
    <t>http://www.broadinstitute.org/gsea/msigdb/cards/GO_POSITIVE_REGULATION_OF_NUCLEOCYTOPLASMIC_TRANSPORT.html</t>
  </si>
  <si>
    <t>GO_INTRINSIC_COMPONENT_OF_ORGANELLE_MEMBRANE</t>
  </si>
  <si>
    <t>4242;972;6890;3122;3117;3115;3120;3113;6891;3123;3127;5027;55013</t>
  </si>
  <si>
    <t>MFNG;CD74;TAP1;HLA-DRA;HLA-DQA1;HLA-DPB1;HLA-DQB2;HLA-DPA1;TAP2;HLA-DRB1;HLA-DRB5;P2RX7;MCUB</t>
  </si>
  <si>
    <t>http://www.broadinstitute.org/gsea/msigdb/cards/GO_INTRINSIC_COMPONENT_OF_ORGANELLE_MEMBRANE.html</t>
  </si>
  <si>
    <t>GO_INORGANIC_ION_TRANSMEMBRANE_TRANSPORT</t>
  </si>
  <si>
    <t>1318;3932;5788;1236;1234;8514;255231;56659;51393;7439;3737;526;6546;6556;206358;245972;5027;6363;64805;55013;9033</t>
  </si>
  <si>
    <t>SLC31A2;LCK;PTPRC;CCR7;CCR5;KCNAB2;MCOLN2;KCNK13;TRPV2;BEST1;KCNA2;ATP6V1B2;SLC8A1;SLC11A1;SLC36A1;ATP6V0D2;P2RX7;CCL19;P2RY12;MCUB;PKD2L1</t>
  </si>
  <si>
    <t>http://www.broadinstitute.org/gsea/msigdb/cards/GO_INORGANIC_ION_TRANSMEMBRANE_TRANSPORT.html</t>
  </si>
  <si>
    <t>GO_LOCALIZATION_WITHIN_MEMBRANE</t>
  </si>
  <si>
    <t>3689;914;3676;3683;3695;1794;348;1522</t>
  </si>
  <si>
    <t>ITGB2;CD2;ITGA4;ITGAL;ITGB7;DOCK2;APOE;CTSZ</t>
  </si>
  <si>
    <t>http://www.broadinstitute.org/gsea/msigdb/cards/GO_LOCALIZATION_WITHIN_MEMBRANE.html</t>
  </si>
  <si>
    <t>GO_HUMORAL_IMMUNE_RESPONSE_MEDIATED_BY_CIRCULATING_IMMUNOGLOBULIN</t>
  </si>
  <si>
    <t>712;713;714;1378;3123;3127</t>
  </si>
  <si>
    <t>C1QA;C1QB;C1QC;CR1;HLA-DRB1;HLA-DRB5</t>
  </si>
  <si>
    <t>http://www.broadinstitute.org/gsea/msigdb/cards/GO_HUMORAL_IMMUNE_RESPONSE_MEDIATED_BY_CIRCULATING_IMMUNOGLOBULIN.html</t>
  </si>
  <si>
    <t>GO_REGULATION_OF_CELL_DEVELOPMENT</t>
  </si>
  <si>
    <t>7305;9839;3458;6352;2633;6772;5800;57580;2672;51393;10154;8320;4049;3553;348;3956;1435;596;729230;1601;5376;4208;55704;85464;10507;64919;64805</t>
  </si>
  <si>
    <t>TYROBP;ZEB2;IFNG;CCL5;GBP1;STAT1;PTPRO;PREX1;GFI1;TRPV2;PLXNC1;EOMES;LTA;IL1B;APOE;LGALS1;CSF1;BCL2;CCR2;DAB2;PMP22;MEF2C;CCDC88A;SSH2;SEMA4D;BCL11B;P2RY12</t>
  </si>
  <si>
    <t>http://www.broadinstitute.org/gsea/msigdb/cards/GO_REGULATION_OF_CELL_DEVELOPMENT.html</t>
  </si>
  <si>
    <t>GO_REGULATION_OF_ACTIN_NUCLEATION</t>
  </si>
  <si>
    <t>7456;9535;11151;7454</t>
  </si>
  <si>
    <t>WIPF1;GMFG;CORO1A;WAS</t>
  </si>
  <si>
    <t>http://www.broadinstitute.org/gsea/msigdb/cards/GO_REGULATION_OF_ACTIN_NUCLEATION.html</t>
  </si>
  <si>
    <t>GO_NEGATIVE_REGULATION_OF_LYMPHOCYTE_APOPTOTIC_PROCESS</t>
  </si>
  <si>
    <t>972;6352;81704;3718</t>
  </si>
  <si>
    <t>CD74;CCL5;DOCK8;JAK3</t>
  </si>
  <si>
    <t>http://www.broadinstitute.org/gsea/msigdb/cards/GO_NEGATIVE_REGULATION_OF_LYMPHOCYTE_APOPTOTIC_PROCESS.html</t>
  </si>
  <si>
    <t>GO_REGULATION_OF_RAS_PROTEIN_SIGNAL_TRANSDUCTION</t>
  </si>
  <si>
    <t>9459;221472;64926;57580;27128;19;348;1435;89846;115727</t>
  </si>
  <si>
    <t>ARHGEF6;FGD2;RASAL3;PREX1;CYTH4;ABCA1;APOE;CSF1;FGD3;RASGRP4</t>
  </si>
  <si>
    <t>http://www.broadinstitute.org/gsea/msigdb/cards/GO_REGULATION_OF_RAS_PROTEIN_SIGNAL_TRANSDUCTION.html</t>
  </si>
  <si>
    <t>GO_POSITIVE_REGULATION_OF_TYPE_I_INTERFERON_PRODUCTION</t>
  </si>
  <si>
    <t>929;3659;81030;51311;51284;7099</t>
  </si>
  <si>
    <t>CD14;IRF1;ZBP1;TLR8;TLR7;TLR4</t>
  </si>
  <si>
    <t>http://www.broadinstitute.org/gsea/msigdb/cards/GO_POSITIVE_REGULATION_OF_TYPE_I_INTERFERON_PRODUCTION.html</t>
  </si>
  <si>
    <t>GO_REACTIVE_OXYGEN_SPECIES_METABOLIC_PROCESS</t>
  </si>
  <si>
    <t>1536;653361;57580;596;4688;375387;5027</t>
  </si>
  <si>
    <t>CYBB;NCF1;PREX1;BCL2;NCF2;NRROS;P2RX7</t>
  </si>
  <si>
    <t>http://www.broadinstitute.org/gsea/msigdb/cards/GO_REACTIVE_OXYGEN_SPECIES_METABOLIC_PROCESS.html</t>
  </si>
  <si>
    <t>GO_NATURAL_KILLER_CELL_DIFFERENTIATION</t>
  </si>
  <si>
    <t>6504;114836;257101</t>
  </si>
  <si>
    <t>SLAMF1;SLAMF6;ZNF683</t>
  </si>
  <si>
    <t>http://www.broadinstitute.org/gsea/msigdb/cards/GO_NATURAL_KILLER_CELL_DIFFERENTIATION.html</t>
  </si>
  <si>
    <t>GO_REGULATION_OF_VITAMIN_METABOLIC_PROCESS</t>
  </si>
  <si>
    <t>3458;2672;3553</t>
  </si>
  <si>
    <t>IFNG;GFI1;IL1B</t>
  </si>
  <si>
    <t>http://www.broadinstitute.org/gsea/msigdb/cards/GO_REGULATION_OF_VITAMIN_METABOLIC_PROCESS.html</t>
  </si>
  <si>
    <t>GO_PRODUCTION_OF_MOLECULAR_MEDIATOR_INVOLVED_IN_INFLAMMATORY_RESPONSE</t>
  </si>
  <si>
    <t>2207;7099;240</t>
  </si>
  <si>
    <t>FCER1G;TLR4;ALOX5</t>
  </si>
  <si>
    <t>http://www.broadinstitute.org/gsea/msigdb/cards/GO_PRODUCTION_OF_MOLECULAR_MEDIATOR_INVOLVED_IN_INFLAMMATORY_RESPONSE.html</t>
  </si>
  <si>
    <t>GO_MICROGLIAL_CELL_ACTIVATION</t>
  </si>
  <si>
    <t>199;51311;51284</t>
  </si>
  <si>
    <t>AIF1;TLR8;TLR7</t>
  </si>
  <si>
    <t>http://www.broadinstitute.org/gsea/msigdb/cards/GO_MICROGLIAL_CELL_ACTIVATION.html</t>
  </si>
  <si>
    <t>GO_REGULATION_OF_CHEMOKINE_BIOSYNTHETIC_PROCESS</t>
  </si>
  <si>
    <t>3458;3553;3162</t>
  </si>
  <si>
    <t>IFNG;IL1B;HMOX1</t>
  </si>
  <si>
    <t>http://www.broadinstitute.org/gsea/msigdb/cards/GO_REGULATION_OF_CHEMOKINE_BIOSYNTHETIC_PROCESS.html</t>
  </si>
  <si>
    <t>GO_REGULATION_OF_INTERLEUKIN_8_BIOSYNTHETIC_PROCESS</t>
  </si>
  <si>
    <t>51311;51284;7099</t>
  </si>
  <si>
    <t>TLR8;TLR7;TLR4</t>
  </si>
  <si>
    <t>http://www.broadinstitute.org/gsea/msigdb/cards/GO_REGULATION_OF_INTERLEUKIN_8_BIOSYNTHETIC_PROCESS.html</t>
  </si>
  <si>
    <t>GO_INFLAMMASOME_COMPLEX</t>
  </si>
  <si>
    <t>114548;58484;22900</t>
  </si>
  <si>
    <t>NLRP3;NLRC4;CARD8</t>
  </si>
  <si>
    <t>http://www.broadinstitute.org/gsea/msigdb/cards/GO_INFLAMMASOME_COMPLEX.html</t>
  </si>
  <si>
    <t>GO_REGULATION_OF_PROTEIN_LOCALIZATION_TO_NUCLEUS</t>
  </si>
  <si>
    <t>http://www.broadinstitute.org/gsea/msigdb/cards/GO_REGULATION_OF_PROTEIN_LOCALIZATION_TO_NUCLEUS.html</t>
  </si>
  <si>
    <t>GO_REGULATION_OF_EXOCYTOSIS</t>
  </si>
  <si>
    <t>3458;2268;2207;7535;11314;8832;3162;5724;729230;84106</t>
  </si>
  <si>
    <t>IFNG;FGR;FCER1G;ZAP70;CD300A;CD84;HMOX1;PTAFR;CCR2;PRAM1</t>
  </si>
  <si>
    <t>http://www.broadinstitute.org/gsea/msigdb/cards/GO_REGULATION_OF_EXOCYTOSIS.html</t>
  </si>
  <si>
    <t>GO_POSITIVE_REGULATION_OF_CELLULAR_PROTEIN_LOCALIZATION</t>
  </si>
  <si>
    <t>3458;6036;3687;391;51284;54209;7099;3717;3553;3002;596;3059;1601;8809;6363</t>
  </si>
  <si>
    <t>IFNG;RNASE2;ITGAX;RHOG;TLR7;TREM2;TLR4;JAK2;IL1B;GZMB;BCL2;HCLS1;DAB2;IL18R1;CCL19</t>
  </si>
  <si>
    <t>http://www.broadinstitute.org/gsea/msigdb/cards/GO_POSITIVE_REGULATION_OF_CELLULAR_PROTEIN_LOCALIZATION.html</t>
  </si>
  <si>
    <t>GO_RESPONSE_TO_AXON_INJURY</t>
  </si>
  <si>
    <t>199;4671;3717;3956;596</t>
  </si>
  <si>
    <t>AIF1;NAIP;JAK2;LGALS1;BCL2</t>
  </si>
  <si>
    <t>http://www.broadinstitute.org/gsea/msigdb/cards/GO_RESPONSE_TO_AXON_INJURY.html</t>
  </si>
  <si>
    <t>GO_NEGATIVE_REGULATION_OF_EXOCYTOSIS</t>
  </si>
  <si>
    <t>http://www.broadinstitute.org/gsea/msigdb/cards/GO_NEGATIVE_REGULATION_OF_EXOCYTOSIS.html</t>
  </si>
  <si>
    <t>GO_NEGATIVE_REGULATION_OF_CYTOKINE_BIOSYNTHETIC_PROCESS</t>
  </si>
  <si>
    <t>3635;3902;3586;50943</t>
  </si>
  <si>
    <t>INPP5D;LAG3;IL10;FOXP3</t>
  </si>
  <si>
    <t>http://www.broadinstitute.org/gsea/msigdb/cards/GO_NEGATIVE_REGULATION_OF_CYTOKINE_BIOSYNTHETIC_PROCESS.html</t>
  </si>
  <si>
    <t>GO_REGULATION_OF_NEURON_DIFFERENTIATION</t>
  </si>
  <si>
    <t>9839;3458;6352;5800;57580;2672;51393;10154;8320;3553;348;3956;596;729230;5376;4208;55704;85464;10507;64919</t>
  </si>
  <si>
    <t>ZEB2;IFNG;CCL5;PTPRO;PREX1;GFI1;TRPV2;PLXNC1;EOMES;IL1B;APOE;LGALS1;BCL2;CCR2;PMP22;MEF2C;CCDC88A;SSH2;SEMA4D;BCL11B</t>
  </si>
  <si>
    <t>http://www.broadinstitute.org/gsea/msigdb/cards/GO_REGULATION_OF_NEURON_DIFFERENTIATION.html</t>
  </si>
  <si>
    <t>GO_REGULATION_OF_NUCLEOCYTOPLASMIC_TRANSPORT</t>
  </si>
  <si>
    <t>http://www.broadinstitute.org/gsea/msigdb/cards/GO_REGULATION_OF_NUCLEOCYTOPLASMIC_TRANSPORT.html</t>
  </si>
  <si>
    <t>GO_NEGATIVE_REGULATION_OF_NITROGEN_COMPOUND_METABOLIC_PROCESS</t>
  </si>
  <si>
    <t>340152;22797;9839;3458;3659;3001;6351;6352;6688;6772;3394;10320;197358;84166;11006;84868;114548;2672;1240;53829;84174;27033;730249;197135;4094;8320;3553;348;341;3162;54;3059;3586;4261;729230;356;1601;4208;167465;10507;50943;51513</t>
  </si>
  <si>
    <t>ZC3H12D;TFEC;ZEB2;IFNG;IRF1;GZMA;CCL4;CCL5;SPI1;STAT1;IRF8;IKZF1;NLRC3;NLRC5;LILRB4;HAVCR2;NLRP3;GFI1;CMKLR1;P2RY13;SLA2;ZBTB32;ACOD1;PATL2;MAF;EOMES;IL1B;APOE;APOC1;HMOX1;ACP5;HCLS1;IL10;CIITA;CCR2;FASLG;DAB2;MEF2C;ZNF366;SEMA4D;FOXP3;ETV7</t>
  </si>
  <si>
    <t>http://www.broadinstitute.org/gsea/msigdb/cards/GO_NEGATIVE_REGULATION_OF_NITROGEN_COMPOUND_METABOLIC_PROCESS.html</t>
  </si>
  <si>
    <t>GO_RESPONSE_TO_ALCOHOL</t>
  </si>
  <si>
    <t>920;3627;929;6352;6688;1234;19;3553;1508;1621;54;2113;3586;5724;6753</t>
  </si>
  <si>
    <t>CD4;CXCL10;CD14;CCL5;SPI1;CCR5;ABCA1;IL1B;CTSB;DBH;ACP5;ETS1;IL10;PTAFR;SSTR3</t>
  </si>
  <si>
    <t>http://www.broadinstitute.org/gsea/msigdb/cards/GO_RESPONSE_TO_ALCOHOL.html</t>
  </si>
  <si>
    <t>GO_HEMATOPOIETIC_PROGENITOR_CELL_DIFFERENTIATION</t>
  </si>
  <si>
    <t>5341;5788;6688;2322;2313;8514;596</t>
  </si>
  <si>
    <t>PLEK;PTPRC;SPI1;FLT3;FLI1;KCNAB2;BCL2</t>
  </si>
  <si>
    <t>http://www.broadinstitute.org/gsea/msigdb/cards/GO_HEMATOPOIETIC_PROGENITOR_CELL_DIFFERENTIATION.html</t>
  </si>
  <si>
    <t>GO_PEPTIDE_TRANSPORT</t>
  </si>
  <si>
    <t>6890;51296;19;6891;30835;4644</t>
  </si>
  <si>
    <t>TAP1;SLC15A3;ABCA1;TAP2;CD209;MYO5A</t>
  </si>
  <si>
    <t>http://www.broadinstitute.org/gsea/msigdb/cards/GO_PEPTIDE_TRANSPORT.html</t>
  </si>
  <si>
    <t>GO_PROTEIN_ACTIVATION_CASCADE</t>
  </si>
  <si>
    <t>712;713;714;1378;11326;2219;2811</t>
  </si>
  <si>
    <t>C1QA;C1QB;C1QC;CR1;VSIG4;FCN1;GP1BA</t>
  </si>
  <si>
    <t>http://www.broadinstitute.org/gsea/msigdb/cards/GO_PROTEIN_ACTIVATION_CASCADE.html</t>
  </si>
  <si>
    <t>GO_PROTEIN_KINASE_ACTIVITY</t>
  </si>
  <si>
    <t>5579;3932;1436;3055;2268;6352;1439;2322;7535;5294;695;3702;54899;11184;55589;3717;6793;6776;3718;814;4215;54861</t>
  </si>
  <si>
    <t>PRKCB;LCK;CSF1R;HCK;FGR;CCL5;CSF2RB;FLT3;ZAP70;PIK3CG;BTK;ITK;PXK;MAP4K1;BMP2K;JAK2;STK10;STAT5A;JAK3;CAMK4;MAP3K3;SNRK</t>
  </si>
  <si>
    <t>http://www.broadinstitute.org/gsea/msigdb/cards/GO_PROTEIN_KINASE_ACTIVITY.html</t>
  </si>
  <si>
    <t>6688;3071;10320;3717;3162;3059</t>
  </si>
  <si>
    <t>SPI1;NCKAP1L;IKZF1;JAK2;HMOX1;HCLS1</t>
  </si>
  <si>
    <t>http://www.broadinstitute.org/gsea/msigdb/cards/GO_ERYTHROCYTE_HOMEOSTASIS.html</t>
  </si>
  <si>
    <t>GO_LIPID_METABOLIC_PROCESS</t>
  </si>
  <si>
    <t>972;3932;1436;5341;940;313;941;942;5294;50852;23533;3635;225;23228;27306;19;3553;348;341;240;241;3290;3988;6776;27163;55911;7941;146850;80821;79690;5027;26279;8605;4644</t>
  </si>
  <si>
    <t>CD74;LCK;CSF1R;PLEK;CD28;AOAH;CD80;CD86;PIK3CG;TRAT1;PIK3R5;INPP5D;ABCD2;PLCL2;HPGDS;ABCA1;IL1B;APOE;APOC1;ALOX5;ALOX5AP;HSD11B1;LIPA;STAT5A;NAAA;APOBR;PLA2G7;PIK3R6;DDHD1;GAL3ST4;P2RX7;PLA2G2D;PLA2G4C;MYO5A</t>
  </si>
  <si>
    <t>http://www.broadinstitute.org/gsea/msigdb/cards/GO_LIPID_METABOLIC_PROCESS.html</t>
  </si>
  <si>
    <t>GO_SH2_DOMAIN_BINDING</t>
  </si>
  <si>
    <t>3932;3717;7462;27240</t>
  </si>
  <si>
    <t>LCK;JAK2;LAT2;SIT1</t>
  </si>
  <si>
    <t>http://www.broadinstitute.org/gsea/msigdb/cards/GO_SH2_DOMAIN_BINDING.html</t>
  </si>
  <si>
    <t>GO_CELLULAR_RESPONSE_TO_LIPOPROTEIN_PARTICLE_STIMULUS</t>
  </si>
  <si>
    <t>3689;6352;2207</t>
  </si>
  <si>
    <t>ITGB2;CCL5;FCER1G</t>
  </si>
  <si>
    <t>http://www.broadinstitute.org/gsea/msigdb/cards/GO_CELLULAR_RESPONSE_TO_LIPOPROTEIN_PARTICLE_STIMULUS.html</t>
  </si>
  <si>
    <t>GO_POSITIVE_REGULATION_OF_INTERLEUKIN_8_SECRETION</t>
  </si>
  <si>
    <t>914;51744;2219</t>
  </si>
  <si>
    <t>CD2;CD244;FCN1</t>
  </si>
  <si>
    <t>http://www.broadinstitute.org/gsea/msigdb/cards/GO_POSITIVE_REGULATION_OF_INTERLEUKIN_8_SECRETION.html</t>
  </si>
  <si>
    <t>GO_POSITIVE_REGULATION_OF_MAST_CELL_ACTIVATION_INVOLVED_IN_IMMUNE_RESPONSE</t>
  </si>
  <si>
    <t>2268;2207;7535</t>
  </si>
  <si>
    <t>FGR;FCER1G;ZAP70</t>
  </si>
  <si>
    <t>http://www.broadinstitute.org/gsea/msigdb/cards/GO_POSITIVE_REGULATION_OF_MAST_CELL_ACTIVATION_INVOLVED_IN_IMMUNE_RESPONSE.html</t>
  </si>
  <si>
    <t>GO_SUPEROXIDE_ANION_GENERATION</t>
  </si>
  <si>
    <t>http://www.broadinstitute.org/gsea/msigdb/cards/GO_SUPEROXIDE_ANION_GENERATION.html</t>
  </si>
  <si>
    <t>GO_POSITIVE_REGULATION_OF_INTERLEUKIN_17_PRODUCTION</t>
  </si>
  <si>
    <t>114836;59067;4063</t>
  </si>
  <si>
    <t>SLAMF6;IL21;LY9</t>
  </si>
  <si>
    <t>http://www.broadinstitute.org/gsea/msigdb/cards/GO_POSITIVE_REGULATION_OF_INTERLEUKIN_17_PRODUCTION.html</t>
  </si>
  <si>
    <t>GO_CHYLOMICRON</t>
  </si>
  <si>
    <t>348;341;55911</t>
  </si>
  <si>
    <t>APOE;APOC1;APOBR</t>
  </si>
  <si>
    <t>http://www.broadinstitute.org/gsea/msigdb/cards/GO_CHYLOMICRON.html</t>
  </si>
  <si>
    <t>GO_MODIFICATION_OF_MORPHOLOGY_OR_PHYSIOLOGY_OF_OTHER_ORGANISM</t>
  </si>
  <si>
    <t>920;6351;6352;348;10578;729230;30835</t>
  </si>
  <si>
    <t>CD4;CCL4;CCL5;APOE;GNLY;CCR2;CD209</t>
  </si>
  <si>
    <t>http://www.broadinstitute.org/gsea/msigdb/cards/GO_MODIFICATION_OF_MORPHOLOGY_OR_PHYSIOLOGY_OF_OTHER_ORGANISM.html</t>
  </si>
  <si>
    <t>GO_REGULATION_OF_SMOOTH_MUSCLE_CELL_PROLIFERATION</t>
  </si>
  <si>
    <t>3458;6352;6772;199;719;3162;5724</t>
  </si>
  <si>
    <t>IFNG;CCL5;STAT1;AIF1;C3AR1;HMOX1;PTAFR</t>
  </si>
  <si>
    <t>http://www.broadinstitute.org/gsea/msigdb/cards/GO_REGULATION_OF_SMOOTH_MUSCLE_CELL_PROLIFERATION.html</t>
  </si>
  <si>
    <t>GO_NEGATIVE_REGULATION_OF_CELLULAR_COMPONENT_ORGANIZATION</t>
  </si>
  <si>
    <t>4210;9535;3627;6688;11151;2633;5734;6772;5800;2672;58484;11314;197135;348;341;3956;729230;1601;5376;147138;10507;50943;51466</t>
  </si>
  <si>
    <t>MEFV;GMFG;CXCL10;SPI1;CORO1A;GBP1;PTGER4;STAT1;PTPRO;GFI1;NLRC4;CD300A;PATL2;APOE;APOC1;LGALS1;CCR2;DAB2;PMP22;TMC8;SEMA4D;FOXP3;EVL</t>
  </si>
  <si>
    <t>http://www.broadinstitute.org/gsea/msigdb/cards/GO_NEGATIVE_REGULATION_OF_CELLULAR_COMPONENT_ORGANIZATION.html</t>
  </si>
  <si>
    <t>GO_POSITIVE_REGULATION_OF_PROTEIN_LOCALIZATION_TO_NUCLEUS</t>
  </si>
  <si>
    <t>http://www.broadinstitute.org/gsea/msigdb/cards/GO_POSITIVE_REGULATION_OF_PROTEIN_LOCALIZATION_TO_NUCLEUS.html</t>
  </si>
  <si>
    <t>GO_CELLULAR_RESPONSE_TO_CARBOHYDRATE_STIMULUS</t>
  </si>
  <si>
    <t>5579;5734;3553;3956;6518;64581</t>
  </si>
  <si>
    <t>PRKCB;PTGER4;IL1B;LGALS1;SLC2A5;CLEC7A</t>
  </si>
  <si>
    <t>http://www.broadinstitute.org/gsea/msigdb/cards/GO_CELLULAR_RESPONSE_TO_CARBOHYDRATE_STIMULUS.html</t>
  </si>
  <si>
    <t>GO_PHOSPHORIC_ESTER_HYDROLASE_ACTIVITY</t>
  </si>
  <si>
    <t>3932;5788;6352;5778;1234;719;5800;3635;23228;3162;54;1230;85464;132160;25939</t>
  </si>
  <si>
    <t>LCK;PTPRC;CCL5;PTPN7;CCR5;C3AR1;PTPRO;INPP5D;PLCL2;HMOX1;ACP5;CCR1;SSH2;PPM1M;SAMHD1</t>
  </si>
  <si>
    <t>http://www.broadinstitute.org/gsea/msigdb/cards/GO_PHOSPHORIC_ESTER_HYDROLASE_ACTIVITY.html</t>
  </si>
  <si>
    <t>GO_REGULATION_OF_NEURON_APOPTOTIC_PROCESS</t>
  </si>
  <si>
    <t>11151;4671;116986;3717;348;3162;596;728;356;4208</t>
  </si>
  <si>
    <t>CORO1A;NAIP;AGAP2;JAK2;APOE;HMOX1;BCL2;C5AR1;FASLG;MEF2C</t>
  </si>
  <si>
    <t>http://www.broadinstitute.org/gsea/msigdb/cards/GO_REGULATION_OF_NEURON_APOPTOTIC_PROCESS.html</t>
  </si>
  <si>
    <t>GO_GLYCOPROTEIN_BINDING</t>
  </si>
  <si>
    <t>920;3689;3932;1508;3956;3684;26279</t>
  </si>
  <si>
    <t>CD4;ITGB2;LCK;CTSB;LGALS1;ITGAM;PLA2G2D</t>
  </si>
  <si>
    <t>http://www.broadinstitute.org/gsea/msigdb/cards/GO_GLYCOPROTEIN_BINDING.html</t>
  </si>
  <si>
    <t>GO_LEUKOCYTE_DEGRANULATION</t>
  </si>
  <si>
    <t>3055;11151;5294;7462</t>
  </si>
  <si>
    <t>HCK;CORO1A;PIK3CG;LAT2</t>
  </si>
  <si>
    <t>http://www.broadinstitute.org/gsea/msigdb/cards/GO_LEUKOCYTE_DEGRANULATION.html</t>
  </si>
  <si>
    <t>GO_POSITIVE_REGULATION_OF_INTERFERON_BETA_PRODUCTION</t>
  </si>
  <si>
    <t>3659;51311;51284;7099</t>
  </si>
  <si>
    <t>IRF1;TLR8;TLR7;TLR4</t>
  </si>
  <si>
    <t>http://www.broadinstitute.org/gsea/msigdb/cards/GO_POSITIVE_REGULATION_OF_INTERFERON_BETA_PRODUCTION.html</t>
  </si>
  <si>
    <t>GO_POSITIVE_REGULATION_OF_SMOOTH_MUSCLE_CELL_MIGRATION</t>
  </si>
  <si>
    <t>6352;5734;199;596</t>
  </si>
  <si>
    <t>CCL5;PTGER4;AIF1;BCL2</t>
  </si>
  <si>
    <t>http://www.broadinstitute.org/gsea/msigdb/cards/GO_POSITIVE_REGULATION_OF_SMOOTH_MUSCLE_CELL_MIGRATION.html</t>
  </si>
  <si>
    <t>GO_REGULATION_OF_BIOMINERAL_TISSUE_DEVELOPMENT</t>
  </si>
  <si>
    <t>55589;5552;1230;6546;4208;5027</t>
  </si>
  <si>
    <t>BMP2K;SRGN;CCR1;SLC8A1;MEF2C;P2RX7</t>
  </si>
  <si>
    <t>http://www.broadinstitute.org/gsea/msigdb/cards/GO_REGULATION_OF_BIOMINERAL_TISSUE_DEVELOPMENT.html</t>
  </si>
  <si>
    <t>GO_HOMOTYPIC_CELL_CELL_ADHESION</t>
  </si>
  <si>
    <t>http://www.broadinstitute.org/gsea/msigdb/cards/GO_HOMOTYPIC_CELL_CELL_ADHESION.html</t>
  </si>
  <si>
    <t>9840;7456;9404;972;916;917;6352;5551;3560;199;3071;83706;57580;114548;115362;58484;9056;197135;3717;19;3122;348;341;3162;3059;3737;241;3108;3109;7454;3604;7185;3123;3127;5027;9033;1522;51466;25939</t>
  </si>
  <si>
    <t>TESPA1;WIPF1;LPXN;CD74;CD3E;CD3G;CCL5;PRF1;IL2RB;AIF1;NCKAP1L;FERMT3;PREX1;NLRP3;GBP5;NLRC4;SLC7A7;PATL2;JAK2;ABCA1;HLA-DRA;APOE;APOC1;HMOX1;HCLS1;KCNA2;ALOX5AP;HLA-DMA;HLA-DMB;WAS;TNFRSF9;TRAF1;HLA-DRB1;HLA-DRB5;P2RX7;PKD2L1;CTSZ;EVL;SAMHD1</t>
  </si>
  <si>
    <t>http://www.broadinstitute.org/gsea/msigdb/cards/GO_MACROMOLECULAR_COMPLEX_ASSEMBLY.html</t>
  </si>
  <si>
    <t>GO_CELL_PROJECTION_MEMBRANE</t>
  </si>
  <si>
    <t>5341;2268;199;388325;221472;374403;3936;3737;6753;10672;10235;9033;30817</t>
  </si>
  <si>
    <t>PLEK;FGR;AIF1;SCIMP;FGD2;TBC1D10C;LCP1;KCNA2;SSTR3;GNA13;RASGRP2;PKD2L1;ADGRE2</t>
  </si>
  <si>
    <t>http://www.broadinstitute.org/gsea/msigdb/cards/GO_CELL_PROJECTION_MEMBRANE.html</t>
  </si>
  <si>
    <t>GO_CYTOSKELETAL_PROTEIN_BINDING</t>
  </si>
  <si>
    <t>4542;4210;7456;9535;11151;2633;1234;199;92241;54899;152789;348;3936;3059;6546;7454;55704;161176;85464;91010;64780;116442;64098;9033;51466;4644</t>
  </si>
  <si>
    <t>MYO1F;MEFV;WIPF1;GMFG;CORO1A;GBP1;CCR5;AIF1;RCSD1;PXK;JAKMIP1;APOE;LCP1;HCLS1;SLC8A1;WAS;CCDC88A;SYNE3;SSH2;FMNL3;MICAL1;RAB39B;PARVG;PKD2L1;EVL;MYO5A</t>
  </si>
  <si>
    <t>http://www.broadinstitute.org/gsea/msigdb/cards/GO_CYTOSKELETAL_PROTEIN_BINDING.html</t>
  </si>
  <si>
    <t>GO_CELLULAR_RESPONSE_TO_ABIOTIC_STIMULUS</t>
  </si>
  <si>
    <t>3659;5734;92241;51311;51284;7099;3553;1508;5724;943;84329;9033</t>
  </si>
  <si>
    <t>IRF1;PTGER4;RCSD1;TLR8;TLR7;TLR4;IL1B;CTSB;PTAFR;TNFRSF8;HVCN1;PKD2L1</t>
  </si>
  <si>
    <t>http://www.broadinstitute.org/gsea/msigdb/cards/GO_CELLULAR_RESPONSE_TO_ABIOTIC_STIMULUS.html</t>
  </si>
  <si>
    <t>GO_COMPLEMENT_ACTIVATION</t>
  </si>
  <si>
    <t>712;713;714;1378;11326;2219</t>
  </si>
  <si>
    <t>C1QA;C1QB;C1QC;CR1;VSIG4;FCN1</t>
  </si>
  <si>
    <t>http://www.broadinstitute.org/gsea/msigdb/cards/GO_COMPLEMENT_ACTIVATION.html</t>
  </si>
  <si>
    <t>GO_POSITIVE_REGULATION_OF_TYPE_2_IMMUNE_RESPONSE</t>
  </si>
  <si>
    <t>972;942;114548</t>
  </si>
  <si>
    <t>CD74;CD86;NLRP3</t>
  </si>
  <si>
    <t>http://www.broadinstitute.org/gsea/msigdb/cards/GO_POSITIVE_REGULATION_OF_TYPE_2_IMMUNE_RESPONSE.html</t>
  </si>
  <si>
    <t>GO_REGULATION_OF_INOSITOL_PHOSPHATE_BIOSYNTHETIC_PROCESS</t>
  </si>
  <si>
    <t>5341;51744;5724</t>
  </si>
  <si>
    <t>PLEK;CD244;PTAFR</t>
  </si>
  <si>
    <t>http://www.broadinstitute.org/gsea/msigdb/cards/GO_REGULATION_OF_INOSITOL_PHOSPHATE_BIOSYNTHETIC_PROCESS.html</t>
  </si>
  <si>
    <t>GO_RESPONSE_TO_LOW_DENSITY_LIPOPROTEIN_PARTICLE</t>
  </si>
  <si>
    <t>3689;2207;19</t>
  </si>
  <si>
    <t>ITGB2;FCER1G;ABCA1</t>
  </si>
  <si>
    <t>http://www.broadinstitute.org/gsea/msigdb/cards/GO_RESPONSE_TO_LOW_DENSITY_LIPOPROTEIN_PARTICLE.html</t>
  </si>
  <si>
    <t>GO_NEGATIVE_REGULATION_OF_MYELOID_CELL_APOPTOTIC_PROCESS</t>
  </si>
  <si>
    <t>6352;2207;596</t>
  </si>
  <si>
    <t>CCL5;FCER1G;BCL2</t>
  </si>
  <si>
    <t>http://www.broadinstitute.org/gsea/msigdb/cards/GO_NEGATIVE_REGULATION_OF_MYELOID_CELL_APOPTOTIC_PROCESS.html</t>
  </si>
  <si>
    <t>GO_LIPID_LOCALIZATION</t>
  </si>
  <si>
    <t>11309;80833;225;366;19;3553;348;341;4481;55911;79895;5027</t>
  </si>
  <si>
    <t>SLCO2B1;APOL3;ABCD2;AQP9;ABCA1;IL1B;APOE;APOC1;MSR1;APOBR;ATP8B4;P2RX7</t>
  </si>
  <si>
    <t>http://www.broadinstitute.org/gsea/msigdb/cards/GO_LIPID_LOCALIZATION.html</t>
  </si>
  <si>
    <t>GO_PHOSPHOLIPID_EFFLUX</t>
  </si>
  <si>
    <t>19;348;341</t>
  </si>
  <si>
    <t>ABCA1;APOE;APOC1</t>
  </si>
  <si>
    <t>http://www.broadinstitute.org/gsea/msigdb/cards/GO_PHOSPHOLIPID_EFFLUX.html</t>
  </si>
  <si>
    <t>GO_SH3_SH2_ADAPTOR_ACTIVITY</t>
  </si>
  <si>
    <t>4068;9402;940;84174;6503</t>
  </si>
  <si>
    <t>SH2D1A;GRAP2;CD28;SLA2;SLA</t>
  </si>
  <si>
    <t>http://www.broadinstitute.org/gsea/msigdb/cards/GO_SH3_SH2_ADAPTOR_ACTIVITY.html</t>
  </si>
  <si>
    <t>GO_POSITIVE_REGULATION_OF_IMMUNOGLOBULIN_PRODUCTION</t>
  </si>
  <si>
    <t>54440;3458;940;30009</t>
  </si>
  <si>
    <t>SASH3;IFNG;CD28;TBX21</t>
  </si>
  <si>
    <t>http://www.broadinstitute.org/gsea/msigdb/cards/GO_POSITIVE_REGULATION_OF_IMMUNOGLOBULIN_PRODUCTION.html</t>
  </si>
  <si>
    <t>GO_REGULATION_OF_VASCULAR_ENDOTHELIAL_GROWTH_FACTOR_PRODUCTION</t>
  </si>
  <si>
    <t>719;3553;728;729230</t>
  </si>
  <si>
    <t>C3AR1;IL1B;C5AR1;CCR2</t>
  </si>
  <si>
    <t>http://www.broadinstitute.org/gsea/msigdb/cards/GO_REGULATION_OF_VASCULAR_ENDOTHELIAL_GROWTH_FACTOR_PRODUCTION.html</t>
  </si>
  <si>
    <t>GO_EARLY_ENDOSOME</t>
  </si>
  <si>
    <t>9595;920;2209;11151;124460;221472;55016;84868;2210;348;926;245972;4644</t>
  </si>
  <si>
    <t>CYTIP;CD4;FCGR1A;CORO1A;SNX20;FGD2;MARCH1;HAVCR2;FCGR1B;APOE;CD8B;ATP6V0D2;MYO5A</t>
  </si>
  <si>
    <t>http://www.broadinstitute.org/gsea/msigdb/cards/GO_EARLY_ENDOSOME.html</t>
  </si>
  <si>
    <t>GO_RHO_GUANYL_NUCLEOTIDE_EXCHANGE_FACTOR_ACTIVITY</t>
  </si>
  <si>
    <t>9459;139818;221472;57580;1794;89846</t>
  </si>
  <si>
    <t>ARHGEF6;DOCK11;FGD2;PREX1;DOCK2;FGD3</t>
  </si>
  <si>
    <t>http://www.broadinstitute.org/gsea/msigdb/cards/GO_RHO_GUANYL_NUCLEOTIDE_EXCHANGE_FACTOR_ACTIVITY.html</t>
  </si>
  <si>
    <t>GO_LATE_ENDOSOME_MEMBRANE</t>
  </si>
  <si>
    <t>55016;3122;3108;3109;6556;3123;3127</t>
  </si>
  <si>
    <t>MARCH1;HLA-DRA;HLA-DMA;HLA-DMB;SLC11A1;HLA-DRB1;HLA-DRB5</t>
  </si>
  <si>
    <t>http://www.broadinstitute.org/gsea/msigdb/cards/GO_LATE_ENDOSOME_MEMBRANE.html</t>
  </si>
  <si>
    <t>GO_POSITIVE_REGULATION_OF_LIPID_KINASE_ACTIVITY</t>
  </si>
  <si>
    <t>2268;1236;2322;6363</t>
  </si>
  <si>
    <t>FGR;CCR7;FLT3;CCL19</t>
  </si>
  <si>
    <t>http://www.broadinstitute.org/gsea/msigdb/cards/GO_POSITIVE_REGULATION_OF_LIPID_KINASE_ACTIVITY.html</t>
  </si>
  <si>
    <t>GO_REGULATION_OF_ACTIN_CYTOSKELETON_REORGANIZATION</t>
  </si>
  <si>
    <t>9535;1436;3055;3059</t>
  </si>
  <si>
    <t>GMFG;CSF1R;HCK;HCLS1</t>
  </si>
  <si>
    <t>http://www.broadinstitute.org/gsea/msigdb/cards/GO_REGULATION_OF_ACTIN_CYTOSKELETON_REORGANIZATION.html</t>
  </si>
  <si>
    <t>GO_NUCLEAR_OUTER_MEMBRANE_ENDOPLASMIC_RETICULUM_MEMBRANE_NETWORK</t>
  </si>
  <si>
    <t>9840;920;972;1536;391;6890;55016;170575;51311;51284;19;3122;3117;3115;3120;3162;596;3737;3113;241;3290;6891;4033;3123;3127;161176;375387;147138;84230;8605</t>
  </si>
  <si>
    <t>TESPA1;CD4;CD74;CYBB;RHOG;TAP1;MARCH1;GIMAP1;TLR8;TLR7;ABCA1;HLA-DRA;HLA-DQA1;HLA-DPB1;HLA-DQB2;HMOX1;BCL2;KCNA2;HLA-DPA1;ALOX5AP;HSD11B1;TAP2;LRMP;HLA-DRB1;HLA-DRB5;SYNE3;NRROS;TMC8;LRRC8C;PLA2G4C</t>
  </si>
  <si>
    <t>http://www.broadinstitute.org/gsea/msigdb/cards/GO_NUCLEAR_OUTER_MEMBRANE_ENDOPLASMIC_RETICULUM_MEMBRANE_NETWORK.html</t>
  </si>
  <si>
    <t>GO_PHOSPHATIDYLINOSITOL_BINDING</t>
  </si>
  <si>
    <t>5341;653361;695;4689;124460;221472;54899;64333;55704;55803</t>
  </si>
  <si>
    <t>PLEK;NCF1;BTK;NCF4;SNX20;FGD2;PXK;ARHGAP9;CCDC88A;ADAP2</t>
  </si>
  <si>
    <t>http://www.broadinstitute.org/gsea/msigdb/cards/GO_PHOSPHATIDYLINOSITOL_BINDING.html</t>
  </si>
  <si>
    <t>GO_POSITIVE_REGULATION_OF_CALCIUM_ION_IMPORT</t>
  </si>
  <si>
    <t>3627;4283;51393;6373;2833</t>
  </si>
  <si>
    <t>CXCL10;CXCL9;TRPV2;CXCL11;CXCR3</t>
  </si>
  <si>
    <t>http://www.broadinstitute.org/gsea/msigdb/cards/GO_POSITIVE_REGULATION_OF_CALCIUM_ION_IMPORT.html</t>
  </si>
  <si>
    <t>GO_REGULATION_OF_HEAT_GENERATION</t>
  </si>
  <si>
    <t>http://www.broadinstitute.org/gsea/msigdb/cards/GO_REGULATION_OF_HEAT_GENERATION.html</t>
  </si>
  <si>
    <t>GO_INTERFERON_GAMMA_PRODUCTION</t>
  </si>
  <si>
    <t>3702;7099;8320</t>
  </si>
  <si>
    <t>ITK;TLR4;EOMES</t>
  </si>
  <si>
    <t>http://www.broadinstitute.org/gsea/msigdb/cards/GO_INTERFERON_GAMMA_PRODUCTION.html</t>
  </si>
  <si>
    <t>GO_REGULATION_OF_GRANULOCYTE_MACROPHAGE_COLONY_STIMULATING_FACTOR_PRODUCTION</t>
  </si>
  <si>
    <t>941;8832;3553</t>
  </si>
  <si>
    <t>CD80;CD84;IL1B</t>
  </si>
  <si>
    <t>http://www.broadinstitute.org/gsea/msigdb/cards/GO_REGULATION_OF_GRANULOCYTE_MACROPHAGE_COLONY_STIMULATING_FACTOR_PRODUCTION.html</t>
  </si>
  <si>
    <t>GO_JAK_STAT_CASCADE_INVOLVED_IN_GROWTH_HORMONE_SIGNALING_PATHWAY</t>
  </si>
  <si>
    <t>3717;6776;3718</t>
  </si>
  <si>
    <t>JAK2;STAT5A;JAK3</t>
  </si>
  <si>
    <t>http://www.broadinstitute.org/gsea/msigdb/cards/GO_JAK_STAT_CASCADE_INVOLVED_IN_GROWTH_HORMONE_SIGNALING_PATHWAY.html</t>
  </si>
  <si>
    <t>GO_NEGATIVE_REGULATION_OF_INTERLEUKIN_1_BETA_PRODUCTION</t>
  </si>
  <si>
    <t>4210;114548;54</t>
  </si>
  <si>
    <t>MEFV;NLRP3;ACP5</t>
  </si>
  <si>
    <t>http://www.broadinstitute.org/gsea/msigdb/cards/GO_NEGATIVE_REGULATION_OF_INTERLEUKIN_1_BETA_PRODUCTION.html</t>
  </si>
  <si>
    <t>GO_RESPONSE_TO_HYDROPEROXIDE</t>
  </si>
  <si>
    <t>6352;199;3717</t>
  </si>
  <si>
    <t>CCL5;AIF1;JAK2</t>
  </si>
  <si>
    <t>http://www.broadinstitute.org/gsea/msigdb/cards/GO_RESPONSE_TO_HYDROPEROXIDE.html</t>
  </si>
  <si>
    <t>GO_CELLULAR_RESPONSE_TO_INTERFERON_BETA</t>
  </si>
  <si>
    <t>3659;6772;730249</t>
  </si>
  <si>
    <t>IRF1;STAT1;ACOD1</t>
  </si>
  <si>
    <t>http://www.broadinstitute.org/gsea/msigdb/cards/GO_CELLULAR_RESPONSE_TO_INTERFERON_BETA.html</t>
  </si>
  <si>
    <t>GO_PHOSPHOTYROSINE_BINDING</t>
  </si>
  <si>
    <t>2268;7535;64092</t>
  </si>
  <si>
    <t>FGR;ZAP70;SAMSN1</t>
  </si>
  <si>
    <t>http://www.broadinstitute.org/gsea/msigdb/cards/GO_PHOSPHOTYROSINE_BINDING.html</t>
  </si>
  <si>
    <t>GO_RESPONSE_TO_CARBOHYDRATE</t>
  </si>
  <si>
    <t>5579;5734;3553;1508;3956;54;6518;6546;64581</t>
  </si>
  <si>
    <t>PRKCB;PTGER4;IL1B;CTSB;LGALS1;ACP5;SLC2A5;SLC8A1;CLEC7A</t>
  </si>
  <si>
    <t>http://www.broadinstitute.org/gsea/msigdb/cards/GO_RESPONSE_TO_CARBOHYDRATE.html</t>
  </si>
  <si>
    <t>GO_REGULATION_OF_PROTEIN_TARGETING</t>
  </si>
  <si>
    <t>6036;3687;374403;114548;51284;7099;3717;3553;3059;3586;1601;8809;6363</t>
  </si>
  <si>
    <t>RNASE2;ITGAX;TBC1D10C;NLRP3;TLR7;TLR4;JAK2;IL1B;HCLS1;IL10;DAB2;IL18R1;CCL19</t>
  </si>
  <si>
    <t>http://www.broadinstitute.org/gsea/msigdb/cards/GO_REGULATION_OF_PROTEIN_TARGETING.html</t>
  </si>
  <si>
    <t>GO_REGULATION_OF_BONE_RESORPTION</t>
  </si>
  <si>
    <t>1436;5734;3635;5027</t>
  </si>
  <si>
    <t>CSF1R;PTGER4;INPP5D;P2RX7</t>
  </si>
  <si>
    <t>http://www.broadinstitute.org/gsea/msigdb/cards/GO_REGULATION_OF_BONE_RESORPTION.html</t>
  </si>
  <si>
    <t>GO_MULTICELLULAR_ORGANISMAL_HOMEOSTASIS</t>
  </si>
  <si>
    <t>54440;11151;7099;3553;1621;924;1435;596;54;3988;6556;5027</t>
  </si>
  <si>
    <t>SASH3;CORO1A;TLR4;IL1B;DBH;CD7;CSF1;BCL2;ACP5;LIPA;SLC11A1;P2RX7</t>
  </si>
  <si>
    <t>http://www.broadinstitute.org/gsea/msigdb/cards/GO_MULTICELLULAR_ORGANISMAL_HOMEOSTASIS.html</t>
  </si>
  <si>
    <t>GO_POSITIVE_REGULATION_OF_PROTEIN_KINASE_B_SIGNALING</t>
  </si>
  <si>
    <t>940;1236;5294;23533;3059;6363</t>
  </si>
  <si>
    <t>CD28;CCR7;PIK3CG;PIK3R5;HCLS1;CCL19</t>
  </si>
  <si>
    <t>http://www.broadinstitute.org/gsea/msigdb/cards/GO_POSITIVE_REGULATION_OF_PROTEIN_KINASE_B_SIGNALING.html</t>
  </si>
  <si>
    <t>GO_REGULATION_OF_JUN_KINASE_ACTIVITY</t>
  </si>
  <si>
    <t>http://www.broadinstitute.org/gsea/msigdb/cards/GO_REGULATION_OF_JUN_KINASE_ACTIVITY.html</t>
  </si>
  <si>
    <t>GO_TISSUE_HOMEOSTASIS</t>
  </si>
  <si>
    <t>54440;11151;7099;924;1435;596;54;3988;5027</t>
  </si>
  <si>
    <t>SASH3;CORO1A;TLR4;CD7;CSF1;BCL2;ACP5;LIPA;P2RX7</t>
  </si>
  <si>
    <t>http://www.broadinstitute.org/gsea/msigdb/cards/GO_TISSUE_HOMEOSTASIS.html</t>
  </si>
  <si>
    <t>GO_ORGANIC_ANION_TRANSPORT</t>
  </si>
  <si>
    <t>11309;2350;225;9056;9120;366;7439;19;348;341;6507;6556;206358;79895;5027</t>
  </si>
  <si>
    <t>SLCO2B1;FOLR2;ABCD2;SLC7A7;SLC16A6;AQP9;BEST1;ABCA1;APOE;APOC1;SLC1A3;SLC11A1;SLC36A1;ATP8B4;P2RX7</t>
  </si>
  <si>
    <t>http://www.broadinstitute.org/gsea/msigdb/cards/GO_ORGANIC_ANION_TRANSPORT.html</t>
  </si>
  <si>
    <t>GO_RESPONSE_TO_FLUID_SHEAR_STRESS</t>
  </si>
  <si>
    <t>19;2113;4208;5027</t>
  </si>
  <si>
    <t>ABCA1;ETS1;MEF2C;P2RX7</t>
  </si>
  <si>
    <t>http://www.broadinstitute.org/gsea/msigdb/cards/GO_RESPONSE_TO_FLUID_SHEAR_STRESS.html</t>
  </si>
  <si>
    <t>GO_POSITIVE_REGULATION_OF_T_CELL_MEDIATED_CYTOTOXICITY</t>
  </si>
  <si>
    <t>259197;3594;5027</t>
  </si>
  <si>
    <t>NCR3;IL12RB1;P2RX7</t>
  </si>
  <si>
    <t>http://www.broadinstitute.org/gsea/msigdb/cards/GO_POSITIVE_REGULATION_OF_T_CELL_MEDIATED_CYTOTOXICITY.html</t>
  </si>
  <si>
    <t>GO_REGULATION_OF_GRANULOCYTE_DIFFERENTIATION</t>
  </si>
  <si>
    <t>714;3635;3059</t>
  </si>
  <si>
    <t>C1QC;INPP5D;HCLS1</t>
  </si>
  <si>
    <t>http://www.broadinstitute.org/gsea/msigdb/cards/GO_REGULATION_OF_GRANULOCYTE_DIFFERENTIATION.html</t>
  </si>
  <si>
    <t>GO_RESPONSE_TO_PROSTAGLANDIN</t>
  </si>
  <si>
    <t>http://www.broadinstitute.org/gsea/msigdb/cards/GO_RESPONSE_TO_PROSTAGLANDIN.html</t>
  </si>
  <si>
    <t>GO_NEGATIVE_REGULATION_OF_T_CELL_APOPTOTIC_PROCESS</t>
  </si>
  <si>
    <t>6352;81704;3718</t>
  </si>
  <si>
    <t>CCL5;DOCK8;JAK3</t>
  </si>
  <si>
    <t>http://www.broadinstitute.org/gsea/msigdb/cards/GO_NEGATIVE_REGULATION_OF_T_CELL_APOPTOTIC_PROCESS.html</t>
  </si>
  <si>
    <t>GO_REGULATION_OF_CELL_SIZE</t>
  </si>
  <si>
    <t>5341;3575;51393;366;10154;348;729230;10507;5027</t>
  </si>
  <si>
    <t>PLEK;IL7R;TRPV2;AQP9;PLXNC1;APOE;CCR2;SEMA4D;P2RX7</t>
  </si>
  <si>
    <t>http://www.broadinstitute.org/gsea/msigdb/cards/GO_REGULATION_OF_CELL_SIZE.html</t>
  </si>
  <si>
    <t>GO_POSITIVE_REGULATION_OF_INTERFERON_ALPHA_PRODUCTION</t>
  </si>
  <si>
    <t>http://www.broadinstitute.org/gsea/msigdb/cards/GO_POSITIVE_REGULATION_OF_INTERFERON_ALPHA_PRODUCTION.html</t>
  </si>
  <si>
    <t>GO_POSITIVE_REGULATION_OF_HUMORAL_IMMUNE_RESPONSE</t>
  </si>
  <si>
    <t>1236;730249;4049</t>
  </si>
  <si>
    <t>CCR7;ACOD1;LTA</t>
  </si>
  <si>
    <t>http://www.broadinstitute.org/gsea/msigdb/cards/GO_POSITIVE_REGULATION_OF_HUMORAL_IMMUNE_RESPONSE.html</t>
  </si>
  <si>
    <t>GO_ENDOLYSOSOME</t>
  </si>
  <si>
    <t>http://www.broadinstitute.org/gsea/msigdb/cards/GO_ENDOLYSOSOME.html</t>
  </si>
  <si>
    <t>GO_LIPOPROTEIN_PARTICLE_RECEPTOR_ACTIVITY</t>
  </si>
  <si>
    <t>4973;55911;23166</t>
  </si>
  <si>
    <t>OLR1;APOBR;STAB1</t>
  </si>
  <si>
    <t>http://www.broadinstitute.org/gsea/msigdb/cards/GO_LIPOPROTEIN_PARTICLE_RECEPTOR_ACTIVITY.html</t>
  </si>
  <si>
    <t>GO_CXCR_CHEMOKINE_RECEPTOR_BINDING</t>
  </si>
  <si>
    <t>3627;4283;6373</t>
  </si>
  <si>
    <t>CXCL10;CXCL9;CXCL11</t>
  </si>
  <si>
    <t>http://www.broadinstitute.org/gsea/msigdb/cards/GO_CXCR_CHEMOKINE_RECEPTOR_BINDING.html</t>
  </si>
  <si>
    <t>GO_ESTABLISHMENT_OR_MAINTENANCE_OF_CELL_POLARITY</t>
  </si>
  <si>
    <t>917;6351;1236;3071;1794;6693;6363;55691</t>
  </si>
  <si>
    <t>CD3G;CCL4;CCR7;NCKAP1L;DOCK2;SPN;CCL19;FRMD4A</t>
  </si>
  <si>
    <t>http://www.broadinstitute.org/gsea/msigdb/cards/GO_ESTABLISHMENT_OR_MAINTENANCE_OF_CELL_POLARITY.html</t>
  </si>
  <si>
    <t>GO_RESPONSE_TO_FATTY_ACID</t>
  </si>
  <si>
    <t>1236;5734;3553;5724;54331;6363</t>
  </si>
  <si>
    <t>CCR7;PTGER4;IL1B;PTAFR;GNG2;CCL19</t>
  </si>
  <si>
    <t>http://www.broadinstitute.org/gsea/msigdb/cards/GO_RESPONSE_TO_FATTY_ACID.html</t>
  </si>
  <si>
    <t>GO_RESPONSE_TO_OXIDATIVE_STRESS</t>
  </si>
  <si>
    <t>10068;1536;6352;1236;199;3717;3553;348;3162;596;2113;6546;4973;6363</t>
  </si>
  <si>
    <t>IL18BP;CYBB;CCL5;CCR7;AIF1;JAK2;IL1B;APOE;HMOX1;BCL2;ETS1;SLC8A1;OLR1;CCL19</t>
  </si>
  <si>
    <t>http://www.broadinstitute.org/gsea/msigdb/cards/GO_RESPONSE_TO_OXIDATIVE_STRESS.html</t>
  </si>
  <si>
    <t>GO_VASCULATURE_DEVELOPMENT</t>
  </si>
  <si>
    <t>6688;7453;5734;5294;8742;348;3162;4066;2113;2833;4208;4240;10672;146850;91010;4327;4215</t>
  </si>
  <si>
    <t>SPI1;WARS;PTGER4;PIK3CG;TNFSF12;APOE;HMOX1;LYL1;ETS1;CXCR3;MEF2C;MFGE8;GNA13;PIK3R6;FMNL3;MMP19;MAP3K3</t>
  </si>
  <si>
    <t>http://www.broadinstitute.org/gsea/msigdb/cards/GO_VASCULATURE_DEVELOPMENT.html</t>
  </si>
  <si>
    <t>GO_REGULATION_OF_CATION_TRANSMEMBRANE_TRANSPORT</t>
  </si>
  <si>
    <t>1318;3627;11151;5294;4283;8514;6373;6546;2833;4644</t>
  </si>
  <si>
    <t>SLC31A2;CXCL10;CORO1A;PIK3CG;CXCL9;KCNAB2;CXCL11;SLC8A1;CXCR3;MYO5A</t>
  </si>
  <si>
    <t>http://www.broadinstitute.org/gsea/msigdb/cards/GO_REGULATION_OF_CATION_TRANSMEMBRANE_TRANSPORT.html</t>
  </si>
  <si>
    <t>GO_LEUKOCYTE_MEDIATED_CYTOTOXICITY</t>
  </si>
  <si>
    <t>11151;56253;3002;57823</t>
  </si>
  <si>
    <t>CORO1A;CRTAM;GZMB;SLAMF7</t>
  </si>
  <si>
    <t>http://www.broadinstitute.org/gsea/msigdb/cards/GO_LEUKOCYTE_MEDIATED_CYTOTOXICITY.html</t>
  </si>
  <si>
    <t>GO_POSITIVE_REGULATION_OF_VASOCONSTRICTION</t>
  </si>
  <si>
    <t>1621;240;3274;5724</t>
  </si>
  <si>
    <t>DBH;ALOX5;HRH2;PTAFR</t>
  </si>
  <si>
    <t>http://www.broadinstitute.org/gsea/msigdb/cards/GO_POSITIVE_REGULATION_OF_VASOCONSTRICTION.html</t>
  </si>
  <si>
    <t>GO_PHOSPHOLIPID_TRANSPORT</t>
  </si>
  <si>
    <t>19;348;341;79895;5027</t>
  </si>
  <si>
    <t>ABCA1;APOE;APOC1;ATP8B4;P2RX7</t>
  </si>
  <si>
    <t>http://www.broadinstitute.org/gsea/msigdb/cards/GO_PHOSPHOLIPID_TRANSPORT.html</t>
  </si>
  <si>
    <t>GO_PHAGOCYTIC_VESICLE_MEMBRANE</t>
  </si>
  <si>
    <t>1536;11151;6556;245972;51762</t>
  </si>
  <si>
    <t>CYBB;CORO1A;SLC11A1;ATP6V0D2;RAB8B</t>
  </si>
  <si>
    <t>http://www.broadinstitute.org/gsea/msigdb/cards/GO_PHAGOCYTIC_VESICLE_MEMBRANE.html</t>
  </si>
  <si>
    <t>GO_RAS_PROTEIN_SIGNAL_TRANSDUCTION</t>
  </si>
  <si>
    <t>9046;9402;199;391;79930;10672;10235;25780</t>
  </si>
  <si>
    <t>DOK2;GRAP2;AIF1;RHOG;DOK3;GNA13;RASGRP2;RASGRP3</t>
  </si>
  <si>
    <t>http://www.broadinstitute.org/gsea/msigdb/cards/GO_RAS_PROTEIN_SIGNAL_TRANSDUCTION.html</t>
  </si>
  <si>
    <t>GO_NEGATIVE_REGULATION_OF_ESTABLISHMENT_OF_PROTEIN_LOCALIZATION</t>
  </si>
  <si>
    <t>2633;5734;6504;374403;114548;3553;5552;3586;3604;50943</t>
  </si>
  <si>
    <t>GBP1;PTGER4;SLAMF1;TBC1D10C;NLRP3;IL1B;SRGN;IL10;TNFRSF9;FOXP3</t>
  </si>
  <si>
    <t>http://www.broadinstitute.org/gsea/msigdb/cards/GO_NEGATIVE_REGULATION_OF_ESTABLISHMENT_OF_PROTEIN_LOCALIZATION.html</t>
  </si>
  <si>
    <t>GO_LYMPH_NODE_DEVELOPMENT</t>
  </si>
  <si>
    <t>3575;4049;4050</t>
  </si>
  <si>
    <t>IL7R;LTA;LTB</t>
  </si>
  <si>
    <t>http://www.broadinstitute.org/gsea/msigdb/cards/GO_LYMPH_NODE_DEVELOPMENT.html</t>
  </si>
  <si>
    <t>GO_NEGATIVE_REGULATION_OF_ALCOHOL_BIOSYNTHETIC_PROCESS</t>
  </si>
  <si>
    <t>5341;2672;348</t>
  </si>
  <si>
    <t>PLEK;GFI1;APOE</t>
  </si>
  <si>
    <t>http://www.broadinstitute.org/gsea/msigdb/cards/GO_NEGATIVE_REGULATION_OF_ALCOHOL_BIOSYNTHETIC_PROCESS.html</t>
  </si>
  <si>
    <t>GO_POSITIVE_REGULATION_OF_CELL_ADHESION_MEDIATED_BY_INTEGRIN</t>
  </si>
  <si>
    <t>6352;7535;3071</t>
  </si>
  <si>
    <t>CCL5;ZAP70;NCKAP1L</t>
  </si>
  <si>
    <t>http://www.broadinstitute.org/gsea/msigdb/cards/GO_POSITIVE_REGULATION_OF_CELL_ADHESION_MEDIATED_BY_INTEGRIN.html</t>
  </si>
  <si>
    <t>GO_NEGATIVE_REGULATION_OF_CELL_PROJECTION_ORGANIZATION</t>
  </si>
  <si>
    <t>5800;2672;348;3956;729230;5376;10507;51466</t>
  </si>
  <si>
    <t>PTPRO;GFI1;APOE;LGALS1;CCR2;PMP22;SEMA4D;EVL</t>
  </si>
  <si>
    <t>http://www.broadinstitute.org/gsea/msigdb/cards/GO_NEGATIVE_REGULATION_OF_CELL_PROJECTION_ORGANIZATION.html</t>
  </si>
  <si>
    <t>GO_CYTOKINE_PRODUCTION_INVOLVED_IN_IMMUNE_RESPONSE</t>
  </si>
  <si>
    <t>6504;6556;814</t>
  </si>
  <si>
    <t>SLAMF1;SLC11A1;CAMK4</t>
  </si>
  <si>
    <t>http://www.broadinstitute.org/gsea/msigdb/cards/GO_CYTOKINE_PRODUCTION_INVOLVED_IN_IMMUNE_RESPONSE.html</t>
  </si>
  <si>
    <t>GO_ANTIGEN_PROCESSING_AND_PRESENTATION_OF_ENDOGENOUS_ANTIGEN</t>
  </si>
  <si>
    <t>972;6890;6891</t>
  </si>
  <si>
    <t>CD74;TAP1;TAP2</t>
  </si>
  <si>
    <t>http://www.broadinstitute.org/gsea/msigdb/cards/GO_ANTIGEN_PROCESSING_AND_PRESENTATION_OF_ENDOGENOUS_ANTIGEN.html</t>
  </si>
  <si>
    <t>GO_NEGATIVE_REGULATION_OF_GENE_EXPRESSION</t>
  </si>
  <si>
    <t>340152;9839;3458;916;940;3659;6351;6352;1378;6688;6772;199;3394;10320;197358;84166;11006;84868;114548;2672;1240;84174;58484;27033;730249;197135;4094;8320;3553;3162;3059;1230;4261;356;1601;4208;167465;10507;50943;51513</t>
  </si>
  <si>
    <t>ZC3H12D;ZEB2;IFNG;CD3E;CD28;IRF1;CCL4;CCL5;CR1;SPI1;STAT1;AIF1;IRF8;IKZF1;NLRC3;NLRC5;LILRB4;HAVCR2;NLRP3;GFI1;CMKLR1;SLA2;NLRC4;ZBTB32;ACOD1;PATL2;MAF;EOMES;IL1B;HMOX1;HCLS1;CCR1;CIITA;FASLG;DAB2;MEF2C;ZNF366;SEMA4D;FOXP3;ETV7</t>
  </si>
  <si>
    <t>http://www.broadinstitute.org/gsea/msigdb/cards/GO_NEGATIVE_REGULATION_OF_GENE_EXPRESSION.html</t>
  </si>
  <si>
    <t>GO_PROTEIN_LIPID_COMPLEX_SUBUNIT_ORGANIZATION</t>
  </si>
  <si>
    <t>19;348;341;7941</t>
  </si>
  <si>
    <t>ABCA1;APOE;APOC1;PLA2G7</t>
  </si>
  <si>
    <t>http://www.broadinstitute.org/gsea/msigdb/cards/GO_PROTEIN_LIPID_COMPLEX_SUBUNIT_ORGANIZATION.html</t>
  </si>
  <si>
    <t>GO_REGULATION_OF_BINDING</t>
  </si>
  <si>
    <t>4242;3001;3676;3662;23228;3717;3162;596;3586;1601;4208;147138</t>
  </si>
  <si>
    <t>MFNG;GZMA;ITGA4;IRF4;PLCL2;JAK2;HMOX1;BCL2;IL10;DAB2;MEF2C;TMC8</t>
  </si>
  <si>
    <t>http://www.broadinstitute.org/gsea/msigdb/cards/GO_REGULATION_OF_BINDING.html</t>
  </si>
  <si>
    <t>GO_REGULATION_OF_TRANSCRIPTION_FROM_RNA_POLYMERASE_II_PROMOTER</t>
  </si>
  <si>
    <t>9839;3458;3627;915;5579;940;3659;6688;944;6772;2313;3394;10320;3662;84166;11006;114548;2672;84174;27033;7099;4094;8320;3553;5452;3162;4066;3059;2113;3586;5724;4261;6776;356;6556;2833;4208;80709;116071;167465;10507;50943;64919;22806;9935;51513</t>
  </si>
  <si>
    <t>ZEB2;IFNG;CXCL10;CD3D;PRKCB;CD28;IRF1;SPI1;TNFSF8;STAT1;FLI1;IRF8;IKZF1;IRF4;NLRC5;LILRB4;NLRP3;GFI1;SLA2;ZBTB32;TLR4;MAF;EOMES;IL1B;POU2F2;HMOX1;LYL1;HCLS1;ETS1;IL10;PTAFR;CIITA;STAT5A;FASLG;SLC11A1;CXCR3;MEF2C;AKNA;BATF2;ZNF366;SEMA4D;FOXP3;BCL11B;IKZF3;MAFB;ETV7</t>
  </si>
  <si>
    <t>http://www.broadinstitute.org/gsea/msigdb/cards/GO_REGULATION_OF_TRANSCRIPTION_FROM_RNA_POLYMERASE_II_PROMOTER.html</t>
  </si>
  <si>
    <t>GO_VACUOLAR_LUMEN</t>
  </si>
  <si>
    <t>972;5551;3717;1508;10437;356;27163</t>
  </si>
  <si>
    <t>CD74;PRF1;JAK2;CTSB;IFI30;FASLG;NAAA</t>
  </si>
  <si>
    <t>http://www.broadinstitute.org/gsea/msigdb/cards/GO_VACUOLAR_LUMEN.html</t>
  </si>
  <si>
    <t>9404;5788;3055;3676;51056;391;3936;1601;9815;10672;57514;54518;9754;64098;51466</t>
  </si>
  <si>
    <t>LPXN;PTPRC;HCK;ITGA4;LAP3;RHOG;LCP1;DAB2;GIT2;GNA13;ARHGAP31;APBB1IP;STARD8;PARVG;EVL</t>
  </si>
  <si>
    <t>http://www.broadinstitute.org/gsea/msigdb/cards/GO_CELL_SUBSTRATE_JUNCTION.html</t>
  </si>
  <si>
    <t>GO_REGULATION_OF_EPITHELIAL_CELL_PROLIFERATION</t>
  </si>
  <si>
    <t>3458;6352;6772;26051;8742;348;728;6776;2833;4208;120425;64919</t>
  </si>
  <si>
    <t>IFNG;CCL5;STAT1;PPP1R16B;TNFSF12;APOE;C5AR1;STAT5A;CXCR3;MEF2C;JAML;BCL11B</t>
  </si>
  <si>
    <t>http://www.broadinstitute.org/gsea/msigdb/cards/GO_REGULATION_OF_EPITHELIAL_CELL_PROLIFERATION.html</t>
  </si>
  <si>
    <t>GO_REGULATION_OF_CYTOKINE_PRODUCTION_INVOLVED_IN_INFLAMMATORY_RESPONSE</t>
  </si>
  <si>
    <t>4210;923;115362</t>
  </si>
  <si>
    <t>MEFV;CD6;GBP5</t>
  </si>
  <si>
    <t>http://www.broadinstitute.org/gsea/msigdb/cards/GO_REGULATION_OF_CYTOKINE_PRODUCTION_INVOLVED_IN_INFLAMMATORY_RESPONSE.html</t>
  </si>
  <si>
    <t>GO_REGULATION_OF_B_CELL_APOPTOTIC_PROCESS</t>
  </si>
  <si>
    <t>972;695;3586</t>
  </si>
  <si>
    <t>CD74;BTK;IL10</t>
  </si>
  <si>
    <t>http://www.broadinstitute.org/gsea/msigdb/cards/GO_REGULATION_OF_B_CELL_APOPTOTIC_PROCESS.html</t>
  </si>
  <si>
    <t>GO_POSITIVE_REGULATION_OF_DNA_RECOMBINATION</t>
  </si>
  <si>
    <t>3458;940;30009</t>
  </si>
  <si>
    <t>IFNG;CD28;TBX21</t>
  </si>
  <si>
    <t>http://www.broadinstitute.org/gsea/msigdb/cards/GO_POSITIVE_REGULATION_OF_DNA_RECOMBINATION.html</t>
  </si>
  <si>
    <t>GO_PHAGOCYTIC_CUP</t>
  </si>
  <si>
    <t>11151;199;3936</t>
  </si>
  <si>
    <t>CORO1A;AIF1;LCP1</t>
  </si>
  <si>
    <t>http://www.broadinstitute.org/gsea/msigdb/cards/GO_PHAGOCYTIC_CUP.html</t>
  </si>
  <si>
    <t>GO_RESPONSE_TO_TRANSITION_METAL_NANOPARTICLE</t>
  </si>
  <si>
    <t>712;342618;366;3162;596;54;84329;5027</t>
  </si>
  <si>
    <t>C1QA;SLFN14;AQP9;HMOX1;BCL2;ACP5;HVCN1;P2RX7</t>
  </si>
  <si>
    <t>http://www.broadinstitute.org/gsea/msigdb/cards/GO_RESPONSE_TO_TRANSITION_METAL_NANOPARTICLE.html</t>
  </si>
  <si>
    <t>GO_REGULATION_OF_COAGULATION</t>
  </si>
  <si>
    <t>5341;2207;7535;7099;348;2811</t>
  </si>
  <si>
    <t>PLEK;FCER1G;ZAP70;TLR4;APOE;GP1BA</t>
  </si>
  <si>
    <t>http://www.broadinstitute.org/gsea/msigdb/cards/GO_REGULATION_OF_COAGULATION.html</t>
  </si>
  <si>
    <t>GO_COLLAGEN_TRIMER</t>
  </si>
  <si>
    <t>712;713;714;2219;4481;84034</t>
  </si>
  <si>
    <t>C1QA;C1QB;C1QC;FCN1;MSR1;EMILIN2</t>
  </si>
  <si>
    <t>http://www.broadinstitute.org/gsea/msigdb/cards/GO_COLLAGEN_TRIMER.html</t>
  </si>
  <si>
    <t>GO_PHOSPHOLIPID_METABOLIC_PROCESS</t>
  </si>
  <si>
    <t>http://www.broadinstitute.org/gsea/msigdb/cards/GO_PHOSPHOLIPID_METABOLIC_PROCESS.html</t>
  </si>
  <si>
    <t>GO_BLOOD_VESSEL_MORPHOGENESIS</t>
  </si>
  <si>
    <t>6688;7453;5734;5294;8742;348;3162;2113;2833;4240;10672;146850;91010;4327</t>
  </si>
  <si>
    <t>SPI1;WARS;PTGER4;PIK3CG;TNFSF12;APOE;HMOX1;ETS1;CXCR3;MFGE8;GNA13;PIK3R6;FMNL3;MMP19</t>
  </si>
  <si>
    <t>http://www.broadinstitute.org/gsea/msigdb/cards/GO_BLOOD_VESSEL_MORPHOGENESIS.html</t>
  </si>
  <si>
    <t>GO_REGULATION_OF_NEURON_DEATH</t>
  </si>
  <si>
    <t>6352;11151;4671;116986;3717;348;3162;596;728;356;4208</t>
  </si>
  <si>
    <t>CCL5;CORO1A;NAIP;AGAP2;JAK2;APOE;HMOX1;BCL2;C5AR1;FASLG;MEF2C</t>
  </si>
  <si>
    <t>http://www.broadinstitute.org/gsea/msigdb/cards/GO_REGULATION_OF_NEURON_DEATH.html</t>
  </si>
  <si>
    <t>GO_PHAGOSOME_MATURATION</t>
  </si>
  <si>
    <t>11151;526;245972;5027</t>
  </si>
  <si>
    <t>CORO1A;ATP6V1B2;ATP6V0D2;P2RX7</t>
  </si>
  <si>
    <t>http://www.broadinstitute.org/gsea/msigdb/cards/GO_PHAGOSOME_MATURATION.html</t>
  </si>
  <si>
    <t>GO_RESPONSE_TO_PEPTIDE</t>
  </si>
  <si>
    <t>6352;6772;64170;3717;3553;1508;526;3586;6753;6776;3718;54331;245972;59345;4644</t>
  </si>
  <si>
    <t>CCL5;STAT1;CARD9;JAK2;IL1B;CTSB;ATP6V1B2;IL10;SSTR3;STAT5A;JAK3;GNG2;ATP6V0D2;GNB4;MYO5A</t>
  </si>
  <si>
    <t>http://www.broadinstitute.org/gsea/msigdb/cards/GO_RESPONSE_TO_PEPTIDE.html</t>
  </si>
  <si>
    <t>GO_REGULATION_OF_TISSUE_REMODELING</t>
  </si>
  <si>
    <t>1436;5734;3635;59067;5027</t>
  </si>
  <si>
    <t>CSF1R;PTGER4;INPP5D;IL21;P2RX7</t>
  </si>
  <si>
    <t>http://www.broadinstitute.org/gsea/msigdb/cards/GO_REGULATION_OF_TISSUE_REMODELING.html</t>
  </si>
  <si>
    <t>GO_RESPONSE_TO_HEAT</t>
  </si>
  <si>
    <t>22797;3627;929;51393;3553;3162</t>
  </si>
  <si>
    <t>TFEC;CXCL10;CD14;TRPV2;IL1B;HMOX1</t>
  </si>
  <si>
    <t>http://www.broadinstitute.org/gsea/msigdb/cards/GO_RESPONSE_TO_HEAT.html</t>
  </si>
  <si>
    <t>GO_ADENYL_NUCLEOTIDE_BINDING</t>
  </si>
  <si>
    <t>4542;5579;3932;1436;3055;2268;342618;7453;2322;7535;5294;3101;6890;695;3702;4671;197358;54899;84166;11184;114548;58484;55589;225;9881;3717;6793;19;526;4261;3718;6891;814;100506736;79895;79690;5027;4215;54861;4644</t>
  </si>
  <si>
    <t>MYO1F;PRKCB;LCK;CSF1R;HCK;FGR;SLFN14;WARS;FLT3;ZAP70;PIK3CG;HK3;TAP1;BTK;ITK;NAIP;NLRC3;PXK;NLRC5;MAP4K1;NLRP3;NLRC4;BMP2K;ABCD2;TRANK1;JAK2;STK10;ABCA1;ATP6V1B2;CIITA;JAK3;TAP2;CAMK4;SLFN12L;ATP8B4;GAL3ST4;P2RX7;MAP3K3;SNRK;MYO5A</t>
  </si>
  <si>
    <t>http://www.broadinstitute.org/gsea/msigdb/cards/GO_ADENYL_NUCLEOTIDE_BINDING.html</t>
  </si>
  <si>
    <t>GO_REGULATION_OF_NITRIC_OXIDE_SYNTHASE_BIOSYNTHETIC_PROCESS</t>
  </si>
  <si>
    <t>5734;7099;3717</t>
  </si>
  <si>
    <t>PTGER4;TLR4;JAK2</t>
  </si>
  <si>
    <t>http://www.broadinstitute.org/gsea/msigdb/cards/GO_REGULATION_OF_NITRIC_OXIDE_SYNTHASE_BIOSYNTHETIC_PROCESS.html</t>
  </si>
  <si>
    <t>GO_REGULATION_OF_LIPOPOLYSACCHARIDE_MEDIATED_SIGNALING_PATHWAY</t>
  </si>
  <si>
    <t>9450;4064;730249</t>
  </si>
  <si>
    <t>LY86;CD180;ACOD1</t>
  </si>
  <si>
    <t>http://www.broadinstitute.org/gsea/msigdb/cards/GO_REGULATION_OF_LIPOPOLYSACCHARIDE_MEDIATED_SIGNALING_PATHWAY.html</t>
  </si>
  <si>
    <t>GO_REGULATION_OF_MYOBLAST_FUSION</t>
  </si>
  <si>
    <t>3627;963;4283</t>
  </si>
  <si>
    <t>CXCL10;CD53;CXCL9</t>
  </si>
  <si>
    <t>http://www.broadinstitute.org/gsea/msigdb/cards/GO_REGULATION_OF_MYOBLAST_FUSION.html</t>
  </si>
  <si>
    <t>GO_REGULATION_OF_INTERLEUKIN_8_SECRETION</t>
  </si>
  <si>
    <t>http://www.broadinstitute.org/gsea/msigdb/cards/GO_REGULATION_OF_INTERLEUKIN_8_SECRETION.html</t>
  </si>
  <si>
    <t>GO_COMPLEMENT_BINDING</t>
  </si>
  <si>
    <t>1378;719;728</t>
  </si>
  <si>
    <t>CR1;C3AR1;C5AR1</t>
  </si>
  <si>
    <t>http://www.broadinstitute.org/gsea/msigdb/cards/GO_COMPLEMENT_BINDING.html</t>
  </si>
  <si>
    <t>GO_PHOSPHORIC_DIESTER_HYDROLASE_ACTIVITY</t>
  </si>
  <si>
    <t>6352;1234;719;23228;3162;1230</t>
  </si>
  <si>
    <t>CCL5;CCR5;C3AR1;PLCL2;HMOX1;CCR1</t>
  </si>
  <si>
    <t>http://www.broadinstitute.org/gsea/msigdb/cards/GO_PHOSPHORIC_DIESTER_HYDROLASE_ACTIVITY.html</t>
  </si>
  <si>
    <t>GO_REGULATION_OF_PHOSPHOLIPASE_C_ACTIVITY</t>
  </si>
  <si>
    <t>3702;728;5724;115727</t>
  </si>
  <si>
    <t>ITK;C5AR1;PTAFR;RASGRP4</t>
  </si>
  <si>
    <t>http://www.broadinstitute.org/gsea/msigdb/cards/GO_REGULATION_OF_PHOSPHOLIPASE_C_ACTIVITY.html</t>
  </si>
  <si>
    <t>GO_PH_REDUCTION</t>
  </si>
  <si>
    <t>526;356;6556;245972</t>
  </si>
  <si>
    <t>ATP6V1B2;FASLG;SLC11A1;ATP6V0D2</t>
  </si>
  <si>
    <t>http://www.broadinstitute.org/gsea/msigdb/cards/GO_PH_REDUCTION.html</t>
  </si>
  <si>
    <t>GO_POSITIVE_REGULATION_OF_RELEASE_OF_SEQUESTERED_CALCIUM_ION_INTO_CYTOSOL</t>
  </si>
  <si>
    <t>http://www.broadinstitute.org/gsea/msigdb/cards/GO_POSITIVE_REGULATION_OF_RELEASE_OF_SEQUESTERED_CALCIUM_ION_INTO_CYTOSOL.html</t>
  </si>
  <si>
    <t>GO_ANCHORED_COMPONENT_OF_MEMBRANE</t>
  </si>
  <si>
    <t>914;929;962;2350;2811;1043;146183;64174</t>
  </si>
  <si>
    <t>CD2;CD14;CD48;FOLR2;GP1BA;CD52;OTOA;DPEP2</t>
  </si>
  <si>
    <t>http://www.broadinstitute.org/gsea/msigdb/cards/GO_ANCHORED_COMPONENT_OF_MEMBRANE.html</t>
  </si>
  <si>
    <t>GO_ANGIOGENESIS</t>
  </si>
  <si>
    <t>6688;7453;5294;8742;3162;2113;2833;4240;10672;146850;91010;4327</t>
  </si>
  <si>
    <t>SPI1;WARS;PIK3CG;TNFSF12;HMOX1;ETS1;CXCR3;MFGE8;GNA13;PIK3R6;FMNL3;MMP19</t>
  </si>
  <si>
    <t>http://www.broadinstitute.org/gsea/msigdb/cards/GO_ANGIOGENESIS.html</t>
  </si>
  <si>
    <t>GO_POSITIVE_REGULATION_OF_ORGANELLE_ORGANIZATION</t>
  </si>
  <si>
    <t>7456;5341;3055;6036;940;3687;1236;3071;8477;3553;3002;596;3936;3059;7454;80821;5027;50943;51466</t>
  </si>
  <si>
    <t>WIPF1;PLEK;HCK;RNASE2;CD28;ITGAX;CCR7;NCKAP1L;GPR65;IL1B;GZMB;BCL2;LCP1;HCLS1;WAS;DDHD1;P2RX7;FOXP3;EVL</t>
  </si>
  <si>
    <t>http://www.broadinstitute.org/gsea/msigdb/cards/GO_POSITIVE_REGULATION_OF_ORGANELLE_ORGANIZATION.html</t>
  </si>
  <si>
    <t>GO_REGULATION_OF_EXTRINSIC_APOPTOTIC_SIGNALING_PATHWAY</t>
  </si>
  <si>
    <t>8742;3553;1621;3162;596;356;7185;147138</t>
  </si>
  <si>
    <t>TNFSF12;IL1B;DBH;HMOX1;BCL2;FASLG;TRAF1;TMC8</t>
  </si>
  <si>
    <t>http://www.broadinstitute.org/gsea/msigdb/cards/GO_REGULATION_OF_EXTRINSIC_APOPTOTIC_SIGNALING_PATHWAY.html</t>
  </si>
  <si>
    <t>GO_RESPONSE_TO_METAL_ION</t>
  </si>
  <si>
    <t>712;929;342618;942;366;3162;596;54;241;4208;10235;84329;5027</t>
  </si>
  <si>
    <t>C1QA;CD14;SLFN14;CD86;AQP9;HMOX1;BCL2;ACP5;ALOX5AP;MEF2C;RASGRP2;HVCN1;P2RX7</t>
  </si>
  <si>
    <t>http://www.broadinstitute.org/gsea/msigdb/cards/GO_RESPONSE_TO_METAL_ION.html</t>
  </si>
  <si>
    <t>GO_NEGATIVE_REGULATION_OF_TYPE_I_INTERFERON_PRODUCTION</t>
  </si>
  <si>
    <t>84166;84868;730249;3586</t>
  </si>
  <si>
    <t>NLRC5;HAVCR2;ACOD1;IL10</t>
  </si>
  <si>
    <t>http://www.broadinstitute.org/gsea/msigdb/cards/GO_NEGATIVE_REGULATION_OF_TYPE_I_INTERFERON_PRODUCTION.html</t>
  </si>
  <si>
    <t>GO_DEVELOPMENTAL_PIGMENTATION</t>
  </si>
  <si>
    <t>9839;596;4208;4644</t>
  </si>
  <si>
    <t>ZEB2;BCL2;MEF2C;MYO5A</t>
  </si>
  <si>
    <t>http://www.broadinstitute.org/gsea/msigdb/cards/GO_DEVELOPMENTAL_PIGMENTATION.html</t>
  </si>
  <si>
    <t>GO_POSITIVE_REGULATION_OF_PEPTIDASE_ACTIVITY</t>
  </si>
  <si>
    <t>4210;3932;1378;114548;58484;3717;356;22900</t>
  </si>
  <si>
    <t>MEFV;LCK;CR1;NLRP3;NLRC4;JAK2;FASLG;CARD8</t>
  </si>
  <si>
    <t>http://www.broadinstitute.org/gsea/msigdb/cards/GO_POSITIVE_REGULATION_OF_PEPTIDASE_ACTIVITY.html</t>
  </si>
  <si>
    <t>GO_G_PROTEIN_COUPLED_RECEPTOR_BINDING</t>
  </si>
  <si>
    <t>3627;6351;6352;4283;9034;2219;6373;3717;729230;10672;6363</t>
  </si>
  <si>
    <t>CXCL10;CCL4;CCL5;CXCL9;CCRL2;FCN1;CXCL11;JAK2;CCR2;GNA13;CCL19</t>
  </si>
  <si>
    <t>http://www.broadinstitute.org/gsea/msigdb/cards/GO_G_PROTEIN_COUPLED_RECEPTOR_BINDING.html</t>
  </si>
  <si>
    <t>GO_CELLULAR_RESPONSE_TO_GROWTH_HORMONE_STIMULUS</t>
  </si>
  <si>
    <t>http://www.broadinstitute.org/gsea/msigdb/cards/GO_CELLULAR_RESPONSE_TO_GROWTH_HORMONE_STIMULUS.html</t>
  </si>
  <si>
    <t>GO_PARTURITION</t>
  </si>
  <si>
    <t>5734;5724;8605</t>
  </si>
  <si>
    <t>PTGER4;PTAFR;PLA2G4C</t>
  </si>
  <si>
    <t>http://www.broadinstitute.org/gsea/msigdb/cards/GO_PARTURITION.html</t>
  </si>
  <si>
    <t>GO_REGULATION_OF_MACROPHAGE_DIFFERENTIATION</t>
  </si>
  <si>
    <t>714;1435;3059</t>
  </si>
  <si>
    <t>C1QC;CSF1;HCLS1</t>
  </si>
  <si>
    <t>http://www.broadinstitute.org/gsea/msigdb/cards/GO_REGULATION_OF_MACROPHAGE_DIFFERENTIATION.html</t>
  </si>
  <si>
    <t>GO_PROTEIN_HOMOTRIMERIZATION</t>
  </si>
  <si>
    <t>241;3604;9033</t>
  </si>
  <si>
    <t>ALOX5AP;TNFRSF9;PKD2L1</t>
  </si>
  <si>
    <t>http://www.broadinstitute.org/gsea/msigdb/cards/GO_PROTEIN_HOMOTRIMERIZATION.html</t>
  </si>
  <si>
    <t>GO_MELANOCYTE_DIFFERENTIATION</t>
  </si>
  <si>
    <t>596;4208;4644</t>
  </si>
  <si>
    <t>BCL2;MEF2C;MYO5A</t>
  </si>
  <si>
    <t>http://www.broadinstitute.org/gsea/msigdb/cards/GO_MELANOCYTE_DIFFERENTIATION.html</t>
  </si>
  <si>
    <t>GO_PHOSPHATIDYLINOSITOL_3_KINASE_COMPLEX</t>
  </si>
  <si>
    <t>5294;23533;146850</t>
  </si>
  <si>
    <t>PIK3CG;PIK3R5;PIK3R6</t>
  </si>
  <si>
    <t>http://www.broadinstitute.org/gsea/msigdb/cards/GO_PHOSPHATIDYLINOSITOL_3_KINASE_COMPLEX.html</t>
  </si>
  <si>
    <t>GO_TRIGLYCERIDE_RICH_LIPOPROTEIN_PARTICLE</t>
  </si>
  <si>
    <t>http://www.broadinstitute.org/gsea/msigdb/cards/GO_TRIGLYCERIDE_RICH_LIPOPROTEIN_PARTICLE.html</t>
  </si>
  <si>
    <t>GO_PHOSPHATIDYLINOSITOL_3_4_BISPHOSPHATE_BINDING</t>
  </si>
  <si>
    <t>5341;653361;55803</t>
  </si>
  <si>
    <t>PLEK;NCF1;ADAP2</t>
  </si>
  <si>
    <t>http://www.broadinstitute.org/gsea/msigdb/cards/GO_PHOSPHATIDYLINOSITOL_3_4_BISPHOSPHATE_BINDING.html</t>
  </si>
  <si>
    <t>GO_ORGANIC_HYDROXY_COMPOUND_TRANSPORT</t>
  </si>
  <si>
    <t>11309;2207;9120;366;19;348;341;4481</t>
  </si>
  <si>
    <t>SLCO2B1;FCER1G;SLC16A6;AQP9;ABCA1;APOE;APOC1;MSR1</t>
  </si>
  <si>
    <t>http://www.broadinstitute.org/gsea/msigdb/cards/GO_ORGANIC_HYDROXY_COMPOUND_TRANSPORT.html</t>
  </si>
  <si>
    <t>GO_REGULATION_OF_CELL_PROJECTION_ASSEMBLY</t>
  </si>
  <si>
    <t>1236;391;374403;26051;85464;5027;6363;51466</t>
  </si>
  <si>
    <t>CCR7;RHOG;TBC1D10C;PPP1R16B;SSH2;P2RX7;CCL19;EVL</t>
  </si>
  <si>
    <t>http://www.broadinstitute.org/gsea/msigdb/cards/GO_REGULATION_OF_CELL_PROJECTION_ASSEMBLY.html</t>
  </si>
  <si>
    <t>GO_CYTOSKELETON_ORGANIZATION</t>
  </si>
  <si>
    <t>7456;5341;11151;199;3071;391;221472;8477;57580;1794;58484;3717;348;596;3936;3059;7454;89846;161176;85464;91010;64780;10077;64098;51466</t>
  </si>
  <si>
    <t>WIPF1;PLEK;CORO1A;AIF1;NCKAP1L;RHOG;FGD2;GPR65;PREX1;DOCK2;NLRC4;JAK2;APOE;BCL2;LCP1;HCLS1;WAS;FGD3;SYNE3;SSH2;FMNL3;MICAL1;TSPAN32;PARVG;EVL</t>
  </si>
  <si>
    <t>http://www.broadinstitute.org/gsea/msigdb/cards/GO_CYTOSKELETON_ORGANIZATION.html</t>
  </si>
  <si>
    <t>GO_REGULATION_OF_NERVOUS_SYSTEM_DEVELOPMENT</t>
  </si>
  <si>
    <t>9839;3458;6352;5800;57580;2672;51393;10154;8320;4049;3553;348;3956;1435;596;729230;5376;4208;55704;85464;10507;64919;64805</t>
  </si>
  <si>
    <t>ZEB2;IFNG;CCL5;PTPRO;PREX1;GFI1;TRPV2;PLXNC1;EOMES;LTA;IL1B;APOE;LGALS1;CSF1;BCL2;CCR2;PMP22;MEF2C;CCDC88A;SSH2;SEMA4D;BCL11B;P2RY12</t>
  </si>
  <si>
    <t>http://www.broadinstitute.org/gsea/msigdb/cards/GO_REGULATION_OF_NERVOUS_SYSTEM_DEVELOPMENT.html</t>
  </si>
  <si>
    <t>GO_REGULATED_EXOCYTOSIS</t>
  </si>
  <si>
    <t>8676;5341;3055;2207;11151;5294;2162;5552;5027;7462</t>
  </si>
  <si>
    <t>STX11;PLEK;HCK;FCER1G;CORO1A;PIK3CG;F13A1;SRGN;P2RX7;LAT2</t>
  </si>
  <si>
    <t>http://www.broadinstitute.org/gsea/msigdb/cards/GO_REGULATED_EXOCYTOSIS.html</t>
  </si>
  <si>
    <t>GO_CATION_TRANSMEMBRANE_TRANSPORTER_ACTIVITY</t>
  </si>
  <si>
    <t>1318;8514;51296;255231;56659;51393;3737;526;6546;6507;6556;441168;206358;245972;84329;5027;51063;56606;55013;9033</t>
  </si>
  <si>
    <t>SLC31A2;KCNAB2;SLC15A3;MCOLN2;KCNK13;TRPV2;KCNA2;ATP6V1B2;SLC8A1;SLC1A3;SLC11A1;CALHM6;SLC36A1;ATP6V0D2;HVCN1;P2RX7;CALHM2;SLC2A9;MCUB;PKD2L1</t>
  </si>
  <si>
    <t>http://www.broadinstitute.org/gsea/msigdb/cards/GO_CATION_TRANSMEMBRANE_TRANSPORTER_ACTIVITY.html</t>
  </si>
  <si>
    <t>GO_ORGANIC_ACID_TRANSPORT</t>
  </si>
  <si>
    <t>11309;2350;225;9056;9120;366;348;6507;6556;206358;56606</t>
  </si>
  <si>
    <t>SLCO2B1;FOLR2;ABCD2;SLC7A7;SLC16A6;AQP9;APOE;SLC1A3;SLC11A1;SLC36A1;SLC2A9</t>
  </si>
  <si>
    <t>http://www.broadinstitute.org/gsea/msigdb/cards/GO_ORGANIC_ACID_TRANSPORT.html</t>
  </si>
  <si>
    <t>GO_ENDOPLASMIC_RETICULUM</t>
  </si>
  <si>
    <t>9840;920;972;1536;2322;391;6890;55016;170575;114548;53829;51311;51284;79974;19;3122;3117;348;341;3115;3120;3162;596;3737;3113;241;3290;6891;4033;3123;3127;55704;161176;206358;375387;147138;155038;84230;9033;1522;8605;4644</t>
  </si>
  <si>
    <t>TESPA1;CD4;CD74;CYBB;FLT3;RHOG;TAP1;MARCH1;GIMAP1;NLRP3;P2RY13;TLR8;TLR7;CPED1;ABCA1;HLA-DRA;HLA-DQA1;APOE;APOC1;HLA-DPB1;HLA-DQB2;HMOX1;BCL2;KCNA2;HLA-DPA1;ALOX5AP;HSD11B1;TAP2;LRMP;HLA-DRB1;HLA-DRB5;CCDC88A;SYNE3;SLC36A1;NRROS;TMC8;GIMAP8;LRRC8C;PKD2L1;CTSZ;PLA2G4C;MYO5A</t>
  </si>
  <si>
    <t>http://www.broadinstitute.org/gsea/msigdb/cards/GO_ENDOPLASMIC_RETICULUM.html</t>
  </si>
  <si>
    <t>GO_PROTEIN_DOMAIN_SPECIFIC_BINDING</t>
  </si>
  <si>
    <t>3932;916;653361;3635;64170;3717;3553;5452;596;3059;7454;140885;4208;57514;64780;51762;7462;51466;22900;27240</t>
  </si>
  <si>
    <t>LCK;CD3E;NCF1;INPP5D;CARD9;JAK2;IL1B;POU2F2;BCL2;HCLS1;WAS;SIRPA;MEF2C;ARHGAP31;MICAL1;RAB8B;LAT2;EVL;CARD8;SIT1</t>
  </si>
  <si>
    <t>http://www.broadinstitute.org/gsea/msigdb/cards/GO_PROTEIN_DOMAIN_SPECIFIC_BINDING.html</t>
  </si>
  <si>
    <t>GO_TRANSPORT_VESICLE</t>
  </si>
  <si>
    <t>8676;972;3055;3122;3117;3115;3120;1621;3113;3123;3127;23312;1522</t>
  </si>
  <si>
    <t>STX11;CD74;HCK;HLA-DRA;HLA-DQA1;HLA-DPB1;HLA-DQB2;DBH;HLA-DPA1;HLA-DRB1;HLA-DRB5;DMXL2;CTSZ</t>
  </si>
  <si>
    <t>http://www.broadinstitute.org/gsea/msigdb/cards/GO_TRANSPORT_VESICLE.html</t>
  </si>
  <si>
    <t>GO_HEPARIN_BINDING</t>
  </si>
  <si>
    <t>3627;6352;6373;348;6402;10457;25890;26279</t>
  </si>
  <si>
    <t>CXCL10;CCL5;CXCL11;APOE;SELL;GPNMB;ABI3BP;PLA2G2D</t>
  </si>
  <si>
    <t>http://www.broadinstitute.org/gsea/msigdb/cards/GO_HEPARIN_BINDING.html</t>
  </si>
  <si>
    <t>GO_NECROPTOTIC_PROCESS</t>
  </si>
  <si>
    <t>929;7099;356</t>
  </si>
  <si>
    <t>CD14;TLR4;FASLG</t>
  </si>
  <si>
    <t>http://www.broadinstitute.org/gsea/msigdb/cards/GO_NECROPTOTIC_PROCESS.html</t>
  </si>
  <si>
    <t>GO_CELL_PROJECTION_ASSEMBLY</t>
  </si>
  <si>
    <t>2014;199;9459;5800;221472;5376;55704;89846;51762;5027;64805</t>
  </si>
  <si>
    <t>EMP3;AIF1;ARHGEF6;PTPRO;FGD2;PMP22;CCDC88A;FGD3;RAB8B;P2RX7;P2RY12</t>
  </si>
  <si>
    <t>http://www.broadinstitute.org/gsea/msigdb/cards/GO_CELL_PROJECTION_ASSEMBLY.html</t>
  </si>
  <si>
    <t>GO_PROTEIN_LIPID_COMPLEX_ASSEMBLY</t>
  </si>
  <si>
    <t>http://www.broadinstitute.org/gsea/msigdb/cards/GO_PROTEIN_LIPID_COMPLEX_ASSEMBLY.html</t>
  </si>
  <si>
    <t>GO_ACTIVATION_OF_CYSTEINE_TYPE_ENDOPEPTIDASE_ACTIVITY</t>
  </si>
  <si>
    <t>3932;114548;58484;3717;356;22900</t>
  </si>
  <si>
    <t>LCK;NLRP3;NLRC4;JAK2;FASLG;CARD8</t>
  </si>
  <si>
    <t>http://www.broadinstitute.org/gsea/msigdb/cards/GO_ACTIVATION_OF_CYSTEINE_TYPE_ENDOPEPTIDASE_ACTIVITY.html</t>
  </si>
  <si>
    <t>GO_PROTEIN_POLYMERIZATION</t>
  </si>
  <si>
    <t>http://www.broadinstitute.org/gsea/msigdb/cards/GO_PROTEIN_POLYMERIZATION.html</t>
  </si>
  <si>
    <t>GO_CELL_REDOX_HOMEOSTASIS</t>
  </si>
  <si>
    <t>1536;653361;4689;4688;6556</t>
  </si>
  <si>
    <t>CYBB;NCF1;NCF4;NCF2;SLC11A1</t>
  </si>
  <si>
    <t>http://www.broadinstitute.org/gsea/msigdb/cards/GO_CELL_REDOX_HOMEOSTASIS.html</t>
  </si>
  <si>
    <t>GO_LIPID_TRANSLOCATION</t>
  </si>
  <si>
    <t>19;79895;5027</t>
  </si>
  <si>
    <t>ABCA1;ATP8B4;P2RX7</t>
  </si>
  <si>
    <t>http://www.broadinstitute.org/gsea/msigdb/cards/GO_LIPID_TRANSLOCATION.html</t>
  </si>
  <si>
    <t>GO_REGULATION_OF_DEPHOSPHORYLATION</t>
  </si>
  <si>
    <t>3458;5341;3071;26051;11314;3717;4208;10507</t>
  </si>
  <si>
    <t>IFNG;PLEK;NCKAP1L;PPP1R16B;CD300A;JAK2;MEF2C;SEMA4D</t>
  </si>
  <si>
    <t>http://www.broadinstitute.org/gsea/msigdb/cards/GO_REGULATION_OF_DEPHOSPHORYLATION.html</t>
  </si>
  <si>
    <t>GO_NEGATIVE_REGULATION_OF_LIPID_CATABOLIC_PROCESS</t>
  </si>
  <si>
    <t>5294;3553;341</t>
  </si>
  <si>
    <t>PIK3CG;IL1B;APOC1</t>
  </si>
  <si>
    <t>http://www.broadinstitute.org/gsea/msigdb/cards/GO_NEGATIVE_REGULATION_OF_LIPID_CATABOLIC_PROCESS.html</t>
  </si>
  <si>
    <t>GO_MAST_CELL_GRANULE</t>
  </si>
  <si>
    <t>5294;5552;7462</t>
  </si>
  <si>
    <t>PIK3CG;SRGN;LAT2</t>
  </si>
  <si>
    <t>http://www.broadinstitute.org/gsea/msigdb/cards/GO_MAST_CELL_GRANULE.html</t>
  </si>
  <si>
    <t>GO_NEGATIVE_REGULATION_OF_REACTIVE_OXYGEN_SPECIES_METABOLIC_PROCESS</t>
  </si>
  <si>
    <t>5734;596;54;3586</t>
  </si>
  <si>
    <t>PTGER4;BCL2;ACP5;IL10</t>
  </si>
  <si>
    <t>http://www.broadinstitute.org/gsea/msigdb/cards/GO_NEGATIVE_REGULATION_OF_REACTIVE_OXYGEN_SPECIES_METABOLIC_PROCESS.html</t>
  </si>
  <si>
    <t>GO_POSITIVE_REGULATION_OF_PHOSPHOLIPID_METABOLIC_PROCESS</t>
  </si>
  <si>
    <t>http://www.broadinstitute.org/gsea/msigdb/cards/GO_POSITIVE_REGULATION_OF_PHOSPHOLIPID_METABOLIC_PROCESS.html</t>
  </si>
  <si>
    <t>GO_REGULATION_OF_BONE_REMODELING</t>
  </si>
  <si>
    <t>http://www.broadinstitute.org/gsea/msigdb/cards/GO_REGULATION_OF_BONE_REMODELING.html</t>
  </si>
  <si>
    <t>GO_REGULATION_OF_WOUND_HEALING</t>
  </si>
  <si>
    <t>5341;2207;5734;7535;7099;348;2811</t>
  </si>
  <si>
    <t>PLEK;FCER1G;PTGER4;ZAP70;TLR4;APOE;GP1BA</t>
  </si>
  <si>
    <t>http://www.broadinstitute.org/gsea/msigdb/cards/GO_REGULATION_OF_WOUND_HEALING.html</t>
  </si>
  <si>
    <t>GO_PROTEIN_MATURATION</t>
  </si>
  <si>
    <t>3932;114548;58484;3717;5552;3002;2999;356;5027;1522;22900</t>
  </si>
  <si>
    <t>LCK;NLRP3;NLRC4;JAK2;SRGN;GZMB;GZMH;FASLG;P2RX7;CTSZ;CARD8</t>
  </si>
  <si>
    <t>http://www.broadinstitute.org/gsea/msigdb/cards/GO_PROTEIN_MATURATION.html</t>
  </si>
  <si>
    <t>GO_RNA_POLYMERASE_II_TRANSCRIPTION_FACTOR_ACTIVITY_SEQUENCE_SPECIFIC_DNA_BINDING</t>
  </si>
  <si>
    <t>9839;3659;6688;6772;2313;3394;3662;2672;4094;5452;4066;2113;4208;80709;116071;50943;64919;22806;9935;51513</t>
  </si>
  <si>
    <t>ZEB2;IRF1;SPI1;STAT1;FLI1;IRF8;IRF4;GFI1;MAF;POU2F2;LYL1;ETS1;MEF2C;AKNA;BATF2;FOXP3;BCL11B;IKZF3;MAFB;ETV7</t>
  </si>
  <si>
    <t>http://www.broadinstitute.org/gsea/msigdb/cards/GO_RNA_POLYMERASE_II_TRANSCRIPTION_FACTOR_ACTIVITY_SEQUENCE_SPECIFIC_DNA_BINDING.html</t>
  </si>
  <si>
    <t>GO_REGULATION_OF_INTRACELLULAR_PROTEIN_TRANSPORT</t>
  </si>
  <si>
    <t>6036;3687;374403;114548;51284;7099;3717;3553;3936;3059;3586;1601;8809;6363</t>
  </si>
  <si>
    <t>RNASE2;ITGAX;TBC1D10C;NLRP3;TLR7;TLR4;JAK2;IL1B;LCP1;HCLS1;IL10;DAB2;IL18R1;CCL19</t>
  </si>
  <si>
    <t>http://www.broadinstitute.org/gsea/msigdb/cards/GO_REGULATION_OF_INTRACELLULAR_PROTEIN_TRANSPORT.html</t>
  </si>
  <si>
    <t>GO_CELLULAR_MONOVALENT_INORGANIC_CATION_HOMEOSTASIS</t>
  </si>
  <si>
    <t>596;526;6546;356;6556;245972</t>
  </si>
  <si>
    <t>BCL2;ATP6V1B2;SLC8A1;FASLG;SLC11A1;ATP6V0D2</t>
  </si>
  <si>
    <t>http://www.broadinstitute.org/gsea/msigdb/cards/GO_CELLULAR_MONOVALENT_INORGANIC_CATION_HOMEOSTASIS.html</t>
  </si>
  <si>
    <t>GO_RESPONSE_TO_TYPE_I_INTERFERON</t>
  </si>
  <si>
    <t>3659;6772;3394;3662;25939</t>
  </si>
  <si>
    <t>IRF1;STAT1;IRF8;IRF4;SAMHD1</t>
  </si>
  <si>
    <t>http://www.broadinstitute.org/gsea/msigdb/cards/GO_RESPONSE_TO_TYPE_I_INTERFERON.html</t>
  </si>
  <si>
    <t>GO_MULTICELLULAR_ORGANISMAL_RESPONSE_TO_STRESS</t>
  </si>
  <si>
    <t>1621;3956;596;54;9815</t>
  </si>
  <si>
    <t>DBH;LGALS1;BCL2;ACP5;GIT2</t>
  </si>
  <si>
    <t>http://www.broadinstitute.org/gsea/msigdb/cards/GO_MULTICELLULAR_ORGANISMAL_RESPONSE_TO_STRESS.html</t>
  </si>
  <si>
    <t>GO_REGULATION_OF_GLYCOPROTEIN_METABOLIC_PROCESS</t>
  </si>
  <si>
    <t>1236;596;3718;6363</t>
  </si>
  <si>
    <t>CCR7;BCL2;JAK3;CCL19</t>
  </si>
  <si>
    <t>http://www.broadinstitute.org/gsea/msigdb/cards/GO_REGULATION_OF_GLYCOPROTEIN_METABOLIC_PROCESS.html</t>
  </si>
  <si>
    <t>GO_ANCHORED_COMPONENT_OF_PLASMA_MEMBRANE</t>
  </si>
  <si>
    <t>914;929;2350;2811</t>
  </si>
  <si>
    <t>CD2;CD14;FOLR2;GP1BA</t>
  </si>
  <si>
    <t>http://www.broadinstitute.org/gsea/msigdb/cards/GO_ANCHORED_COMPONENT_OF_PLASMA_MEMBRANE.html</t>
  </si>
  <si>
    <t>GO_REGULATION_OF_PHOSPHATASE_ACTIVITY</t>
  </si>
  <si>
    <t>3458;5341;3071;11314;3717;4208;10507</t>
  </si>
  <si>
    <t>IFNG;PLEK;NCKAP1L;CD300A;JAK2;MEF2C;SEMA4D</t>
  </si>
  <si>
    <t>http://www.broadinstitute.org/gsea/msigdb/cards/GO_REGULATION_OF_PHOSPHATASE_ACTIVITY.html</t>
  </si>
  <si>
    <t>GO_REGULATION_OF_PROTEIN_HOMODIMERIZATION_ACTIVITY</t>
  </si>
  <si>
    <t>3676;596;4208</t>
  </si>
  <si>
    <t>ITGA4;BCL2;MEF2C</t>
  </si>
  <si>
    <t>http://www.broadinstitute.org/gsea/msigdb/cards/GO_REGULATION_OF_PROTEIN_HOMODIMERIZATION_ACTIVITY.html</t>
  </si>
  <si>
    <t>GO_RESPONSE_TO_INTERFERON_BETA</t>
  </si>
  <si>
    <t>http://www.broadinstitute.org/gsea/msigdb/cards/GO_RESPONSE_TO_INTERFERON_BETA.html</t>
  </si>
  <si>
    <t>GO_NEGATIVE_REGULATION_OF_OSSIFICATION</t>
  </si>
  <si>
    <t>5552;596;1230;4208;10507</t>
  </si>
  <si>
    <t>SRGN;BCL2;CCR1;MEF2C;SEMA4D</t>
  </si>
  <si>
    <t>http://www.broadinstitute.org/gsea/msigdb/cards/GO_NEGATIVE_REGULATION_OF_OSSIFICATION.html</t>
  </si>
  <si>
    <t>GO_ANCHORED_COMPONENT_OF_EXTERNAL_SIDE_OF_PLASMA_MEMBRANE</t>
  </si>
  <si>
    <t>929;2350;2811</t>
  </si>
  <si>
    <t>CD14;FOLR2;GP1BA</t>
  </si>
  <si>
    <t>http://www.broadinstitute.org/gsea/msigdb/cards/GO_ANCHORED_COMPONENT_OF_EXTERNAL_SIDE_OF_PLASMA_MEMBRANE.html</t>
  </si>
  <si>
    <t>GO_RESPONSE_TO_VITAMIN</t>
  </si>
  <si>
    <t>920;3627;6352;2350;3553;54</t>
  </si>
  <si>
    <t>CD4;CXCL10;CCL5;FOLR2;IL1B;ACP5</t>
  </si>
  <si>
    <t>http://www.broadinstitute.org/gsea/msigdb/cards/GO_RESPONSE_TO_VITAMIN.html</t>
  </si>
  <si>
    <t>GO_REGULATION_OF_ENDOTHELIAL_CELL_PROLIFERATION</t>
  </si>
  <si>
    <t>6772;26051;8742;348;6776;2833</t>
  </si>
  <si>
    <t>STAT1;PPP1R16B;TNFSF12;APOE;STAT5A;CXCR3</t>
  </si>
  <si>
    <t>http://www.broadinstitute.org/gsea/msigdb/cards/GO_REGULATION_OF_ENDOTHELIAL_CELL_PROLIFERATION.html</t>
  </si>
  <si>
    <t>9840;916;6352;199;57580;114548;3717;3122;3059;3108;3109;7454;3123</t>
  </si>
  <si>
    <t>TESPA1;CD3E;CCL5;AIF1;PREX1;NLRP3;JAK2;HLA-DRA;HCLS1;HLA-DMA;HLA-DMB;WAS;HLA-DRB1</t>
  </si>
  <si>
    <t>http://www.broadinstitute.org/gsea/msigdb/cards/GO_CELLULAR_PROTEIN_COMPLEX_ASSEMBLY.html</t>
  </si>
  <si>
    <t>GO_POSITIVE_REGULATION_OF_PROTEIN_COMPLEX_ASSEMBLY</t>
  </si>
  <si>
    <t>5341;3055;1236;3071;3394;115362;7099;3936;51466</t>
  </si>
  <si>
    <t>PLEK;HCK;CCR7;NCKAP1L;IRF8;GBP5;TLR4;LCP1;EVL</t>
  </si>
  <si>
    <t>http://www.broadinstitute.org/gsea/msigdb/cards/GO_POSITIVE_REGULATION_OF_PROTEIN_COMPLEX_ASSEMBLY.html</t>
  </si>
  <si>
    <t>GO_SECONDARY_ACTIVE_TRANSMEMBRANE_TRANSPORTER_ACTIVITY</t>
  </si>
  <si>
    <t>11309;51296;9056;9120;6546;6507;6556;206358;56606;55013</t>
  </si>
  <si>
    <t>SLCO2B1;SLC15A3;SLC7A7;SLC16A6;SLC8A1;SLC1A3;SLC11A1;SLC36A1;SLC2A9;MCUB</t>
  </si>
  <si>
    <t>http://www.broadinstitute.org/gsea/msigdb/cards/GO_SECONDARY_ACTIVE_TRANSMEMBRANE_TRANSPORTER_ACTIVITY.html</t>
  </si>
  <si>
    <t>GO_REGULATION_OF_INTERFERON_BETA_PRODUCTION</t>
  </si>
  <si>
    <t>http://www.broadinstitute.org/gsea/msigdb/cards/GO_REGULATION_OF_INTERFERON_BETA_PRODUCTION.html</t>
  </si>
  <si>
    <t>GO_VASCULAR_PROCESS_IN_CIRCULATORY_SYSTEM</t>
  </si>
  <si>
    <t>348;1621;3162;240;3274;5724;6546;3363</t>
  </si>
  <si>
    <t>APOE;DBH;HMOX1;ALOX5;HRH2;PTAFR;SLC8A1;HTR7</t>
  </si>
  <si>
    <t>http://www.broadinstitute.org/gsea/msigdb/cards/GO_VASCULAR_PROCESS_IN_CIRCULATORY_SYSTEM.html</t>
  </si>
  <si>
    <t>GO_MONOSACCHARIDE_BINDING</t>
  </si>
  <si>
    <t>3101;1621;6518;4360;30835</t>
  </si>
  <si>
    <t>HK3;DBH;SLC2A5;MRC1;CD209</t>
  </si>
  <si>
    <t>http://www.broadinstitute.org/gsea/msigdb/cards/GO_MONOSACCHARIDE_BINDING.html</t>
  </si>
  <si>
    <t>GO_POSITIVE_REGULATION_OF_CELL_SUBSTRATE_ADHESION</t>
  </si>
  <si>
    <t>1236;57580;3717;1435;25890;9806</t>
  </si>
  <si>
    <t>CCR7;PREX1;JAK2;CSF1;ABI3BP;SPOCK2</t>
  </si>
  <si>
    <t>http://www.broadinstitute.org/gsea/msigdb/cards/GO_POSITIVE_REGULATION_OF_CELL_SUBSTRATE_ADHESION.html</t>
  </si>
  <si>
    <t>GO_SULFUR_COMPOUND_BINDING</t>
  </si>
  <si>
    <t>3627;6352;6373;348;6402;10457;25890;79690;30817;26279</t>
  </si>
  <si>
    <t>CXCL10;CCL5;CXCL11;APOE;SELL;GPNMB;ABI3BP;GAL3ST4;ADGRE2;PLA2G2D</t>
  </si>
  <si>
    <t>http://www.broadinstitute.org/gsea/msigdb/cards/GO_SULFUR_COMPOUND_BINDING.html</t>
  </si>
  <si>
    <t>RPS14_DN.V1_UP</t>
  </si>
  <si>
    <t>4542;7940;22797;1318;7305;9404;54440;9450;10261;3689;929;3055;1378;3683;3687;2123;2124;5734;4332;199;719;5800;2672;53346;64231;56833;11314;29992;27299;8564;4094;1102;56253;2162;3553;3684;4688;3108;3109;9938;140885;3604;969;7941;10457;597;4818;25780;23312;79895;64581</t>
  </si>
  <si>
    <t>MYO1F;LST1;TFEC;SLC31A2;TYROBP;LPXN;SASH3;LY86;IGSF6;ITGB2;CD14;HCK;CR1;ITGAL;ITGAX;EVI2A;EVI2B;PTGER4;MNDA;AIF1;C3AR1;PTPRO;GFI1;TM6SF1;MS4A6A;SLAMF8;CD300A;PILRA;ADAMDEC1;KMO;MAF;RCBTB2;CRTAM;F13A1;IL1B;ITGAM;NCF2;HLA-DMA;HLA-DMB;ARHGAP25;SIRPA;TNFRSF9;CD69;PLA2G7;GPNMB;BCL2A1;NKG7;RASGRP3;DMXL2;ATP8B4;CLEC7A</t>
  </si>
  <si>
    <t>http://www.broadinstitute.org/gsea/msigdb/cards/RPS14_DN.V1_UP.html</t>
  </si>
  <si>
    <t>STK33_NOMO_UP</t>
  </si>
  <si>
    <t>22797;9839;714;6351;3575;941;10871;3587;719;5800;126364;84868;53346;27180;27299;8564;366;19;8320;3553;3162;54;728;3586;3290;11010;4973;1601;10457;25780;84541;10507;51762;64581;30817</t>
  </si>
  <si>
    <t>TFEC;ZEB2;C1QC;CCL4;IL7R;CD80;CD300C;IL10RA;C3AR1;PTPRO;LRRC25;HAVCR2;TM6SF1;SIGLEC9;ADAMDEC1;KMO;AQP9;ABCA1;EOMES;IL1B;HMOX1;ACP5;C5AR1;IL10;HSD11B1;GLIPR1;OLR1;DAB2;GPNMB;RASGRP3;KBTBD8;SEMA4D;RAB8B;CLEC7A;ADGRE2</t>
  </si>
  <si>
    <t>http://www.broadinstitute.org/gsea/msigdb/cards/STK33_NOMO_UP.html</t>
  </si>
  <si>
    <t>STK33_SKM_UP</t>
  </si>
  <si>
    <t>22797;7305;9404;1536;2268;3659;6351;963;942;2014;3587;10875;5800;219972;8477;58484;27128;2857;10019;11326;8564;1102;3553;3956;3162;4688;728;11010;4973;597;25780;51676;56670;51063;9935</t>
  </si>
  <si>
    <t>TFEC;TYROBP;LPXN;CYBB;FGR;IRF1;CCL4;CD53;CD86;EMP3;IL10RA;FGL2;PTPRO;MPEG1;GPR65;NLRC4;CYTH4;GPR34;SH2B3;VSIG4;KMO;RCBTB2;IL1B;LGALS1;HMOX1;NCF2;C5AR1;GLIPR1;OLR1;BCL2A1;RASGRP3;ASB2;SUCNR1;CALHM2;MAFB</t>
  </si>
  <si>
    <t>http://www.broadinstitute.org/gsea/msigdb/cards/STK33_SKM_UP.html</t>
  </si>
  <si>
    <t>SNF5_DN.V1_UP</t>
  </si>
  <si>
    <t>2533;11025;9450;714;3627;3689;1436;5341;5788;962;2209;6688;963;2123;2633;199;6404;719;23048;348;3936;1043;7454;6891;25890;375387;10507;51466</t>
  </si>
  <si>
    <t>FYB1;LILRB3;LY86;C1QC;CXCL10;ITGB2;CSF1R;PLEK;PTPRC;CD48;FCGR1A;SPI1;CD53;EVI2A;GBP1;AIF1;SELPLG;C3AR1;FNBP1;APOE;LCP1;CD52;WAS;TAP2;ABI3BP;NRROS;SEMA4D;EVL</t>
  </si>
  <si>
    <t>http://www.broadinstitute.org/gsea/msigdb/cards/SNF5_DN.V1_UP.html</t>
  </si>
  <si>
    <t>HOXA9_DN.V1_UP</t>
  </si>
  <si>
    <t>22797;7305;9595;2207;5734;4332;942;3587;10875;51338;64170;64231;8832;3717;1102;3122;10437;4688;3108;729230;11010;25900;30835;55013;25939</t>
  </si>
  <si>
    <t>TFEC;TYROBP;CYTIP;FCER1G;PTGER4;MNDA;CD86;IL10RA;FGL2;MS4A4A;CARD9;MS4A6A;CD84;JAK2;RCBTB2;HLA-DRA;IFI30;NCF2;HLA-DMA;CCR2;GLIPR1;IFFO1;CD209;MCUB;SAMHD1</t>
  </si>
  <si>
    <t>http://www.broadinstitute.org/gsea/msigdb/cards/HOXA9_DN.V1_UP.html</t>
  </si>
  <si>
    <t>STK33_UP</t>
  </si>
  <si>
    <t>22797;7305;9839;6351;3587;10875;5800;219972;8477;126364;84868;58484;2857;11326;27299;8564;366;19;3553;3162;4688;728;11010;4973;597;25780;84541;51676;9935</t>
  </si>
  <si>
    <t>TFEC;TYROBP;ZEB2;CCL4;IL10RA;FGL2;PTPRO;MPEG1;GPR65;LRRC25;HAVCR2;NLRC4;GPR34;VSIG4;ADAMDEC1;KMO;AQP9;ABCA1;IL1B;HMOX1;NCF2;C5AR1;GLIPR1;OLR1;BCL2A1;RASGRP3;KBTBD8;ASB2;MAFB</t>
  </si>
  <si>
    <t>http://www.broadinstitute.org/gsea/msigdb/cards/STK33_UP.html</t>
  </si>
  <si>
    <t>RELA_DN.V1_DN</t>
  </si>
  <si>
    <t>22797;9595;3627;3575;963;919;3561;5778;399;80896;6373;3737;943;2833;7185;27314</t>
  </si>
  <si>
    <t>TFEC;CYTIP;CXCL10;IL7R;CD53;CD247;IL2RG;PTPN7;RHOH;NPL;CXCL11;KCNA2;TNFRSF8;CXCR3;TRAF1;RAB30</t>
  </si>
  <si>
    <t>http://www.broadinstitute.org/gsea/msigdb/cards/RELA_DN.V1_DN.html</t>
  </si>
  <si>
    <t>KRAS.LUNG_UP.V1_UP</t>
  </si>
  <si>
    <t>9595;962;919;2123;941;10320;719;1794;80380;50856;2113;3902;3290;3363;3718;597</t>
  </si>
  <si>
    <t>CYTIP;CD48;CD247;EVI2A;CD80;IKZF1;C3AR1;DOCK2;PDCD1LG2;CLEC4A;ETS1;LAG3;HSD11B1;HTR7;JAK3;BCL2A1</t>
  </si>
  <si>
    <t>http://www.broadinstitute.org/gsea/msigdb/cards/KRAS.LUNG_UP.V1_UP.html</t>
  </si>
  <si>
    <t>P53_DN.V1_DN</t>
  </si>
  <si>
    <t>3676;3560;3683;919;3702;8514;3662;1794;10154;341;3162;54;25900;10457;597;54504;1522;4644</t>
  </si>
  <si>
    <t>ITGA4;IL2RB;ITGAL;CD247;ITK;KCNAB2;IRF4;DOCK2;PLXNC1;APOC1;HMOX1;ACP5;IFFO1;GPNMB;BCL2A1;CPVL;CTSZ;MYO5A</t>
  </si>
  <si>
    <t>http://www.broadinstitute.org/gsea/msigdb/cards/P53_DN.V1_DN.html</t>
  </si>
  <si>
    <t>BMI1_DN.V1_UP</t>
  </si>
  <si>
    <t>3676;3575;6890;719;80380;19;1435;3936;943;140885;3604;4240;10184;50943;50515</t>
  </si>
  <si>
    <t>ITGA4;IL7R;TAP1;C3AR1;PDCD1LG2;ABCA1;CSF1;LCP1;TNFRSF8;SIRPA;TNFRSF9;MFGE8;LHFPL2;FOXP3;CHST11</t>
  </si>
  <si>
    <t>http://www.broadinstitute.org/gsea/msigdb/cards/BMI1_DN.V1_UP.html</t>
  </si>
  <si>
    <t>MEL18_DN.V1_UP</t>
  </si>
  <si>
    <t>22797;3676;3575;6890;719;80380;9120;3117;1435;3936;943;3604;10184;50515</t>
  </si>
  <si>
    <t>TFEC;ITGA4;IL7R;TAP1;C3AR1;PDCD1LG2;SLC16A6;HLA-DQA1;CSF1;LCP1;TNFRSF8;TNFRSF9;LHFPL2;CHST11</t>
  </si>
  <si>
    <t>http://www.broadinstitute.org/gsea/msigdb/cards/MEL18_DN.V1_UP.html</t>
  </si>
  <si>
    <t>STK33_NOMO_DN</t>
  </si>
  <si>
    <t>8676;3932;3001;1378;3695;1236;2322;3101;9744;151888;11184;2162;240;596;6402;2358;6546;8809;284759;84106</t>
  </si>
  <si>
    <t>STX11;LCK;GZMA;CR1;ITGB7;CCR7;FLT3;HK3;ACAP1;BTLA;MAP4K1;F13A1;ALOX5;BCL2;SELL;FPR2;SLC8A1;IL18R1;SIRPB2;PRAM1</t>
  </si>
  <si>
    <t>http://www.broadinstitute.org/gsea/msigdb/cards/STK33_NOMO_DN.html</t>
  </si>
  <si>
    <t>BMI1_DN_MEL18_DN.V1_UP</t>
  </si>
  <si>
    <t>22797;9839;3676;3575;5294;719;80380;19;1435;3936;943;3604;10184;50515</t>
  </si>
  <si>
    <t>TFEC;ZEB2;ITGA4;IL7R;PIK3CG;C3AR1;PDCD1LG2;ABCA1;CSF1;LCP1;TNFRSF8;TNFRSF9;LHFPL2;CHST11</t>
  </si>
  <si>
    <t>http://www.broadinstitute.org/gsea/msigdb/cards/BMI1_DN_MEL18_DN.V1_UP.html</t>
  </si>
  <si>
    <t>PTEN_DN.V1_DN</t>
  </si>
  <si>
    <t>10663;915;2268;2014;6373;3122;3115;3936;6402;3113;3108;3824;3123;79168;10507</t>
  </si>
  <si>
    <t>CXCR6;CD3D;FGR;EMP3;CXCL11;HLA-DRA;HLA-DPB1;LCP1;SELL;HLA-DPA1;HLA-DMA;KLRD1;HLA-DRB1;LILRA6;SEMA4D</t>
  </si>
  <si>
    <t>http://www.broadinstitute.org/gsea/msigdb/cards/PTEN_DN.V1_DN.html</t>
  </si>
  <si>
    <t>NOTCH_DN.V1_DN</t>
  </si>
  <si>
    <t>3575;11262;719;8477;29851;2219;1102;19;3122;3002;10437;943;2833;30835;9033</t>
  </si>
  <si>
    <t>IL7R;SP140;C3AR1;GPR65;ICOS;FCN1;RCBTB2;ABCA1;HLA-DRA;GZMB;IFI30;TNFRSF8;CXCR3;CD209;PKD2L1</t>
  </si>
  <si>
    <t>http://www.broadinstitute.org/gsea/msigdb/cards/NOTCH_DN.V1_DN.html</t>
  </si>
  <si>
    <t>KRAS.KIDNEY_UP.V1_DN</t>
  </si>
  <si>
    <t>7305;8676;3627;1436;929;2350;11006;64170;54209;6373;10437;2113;5133</t>
  </si>
  <si>
    <t>TYROBP;STX11;CXCL10;CSF1R;CD14;FOLR2;LILRB4;CARD9;TREM2;CXCL11;IFI30;ETS1;PDCD1</t>
  </si>
  <si>
    <t>http://www.broadinstitute.org/gsea/msigdb/cards/KRAS.KIDNEY_UP.V1_DN.html</t>
  </si>
  <si>
    <t>LEF1_UP.V1_UP</t>
  </si>
  <si>
    <t>3932;5551;7133;1236;7535;2014;23048;64170;51393;8530;3956;3002;79865;50515;30817</t>
  </si>
  <si>
    <t>LCK;PRF1;TNFRSF1B;CCR7;ZAP70;EMP3;FNBP1;CARD9;TRPV2;CST7;LGALS1;GZMB;TREML2;CHST11;ADGRE2</t>
  </si>
  <si>
    <t>http://www.broadinstitute.org/gsea/msigdb/cards/LEF1_UP.V1_UP.html</t>
  </si>
  <si>
    <t>P53_DN.V2_UP</t>
  </si>
  <si>
    <t>80833;6351;1493;2123;3071;10320;3635;241;2359;3604;969;6503;9033</t>
  </si>
  <si>
    <t>APOL3;CCL4;CTLA4;EVI2A;NCKAP1L;IKZF1;INPP5D;ALOX5AP;FPR3;TNFRSF9;CD69;SLA;PKD2L1</t>
  </si>
  <si>
    <t>http://www.broadinstitute.org/gsea/msigdb/cards/P53_DN.V2_UP.html</t>
  </si>
  <si>
    <t>ATM_DN.V1_DN</t>
  </si>
  <si>
    <t>22797;1536;929;6036;1439;8477;59067;51284;2219;3812;969;11027;10077</t>
  </si>
  <si>
    <t>TFEC;CYBB;CD14;RNASE2;CSF2RB;GPR65;IL21;TLR7;FCN1;KIR3DL2;CD69;LILRA2;TSPAN32</t>
  </si>
  <si>
    <t>http://www.broadinstitute.org/gsea/msigdb/cards/ATM_DN.V1_DN.html</t>
  </si>
  <si>
    <t>KRAS.600_UP.V1_UP</t>
  </si>
  <si>
    <t>9404;3689;2123;941;7805;11184;2672;1240;51311;7099;1621;3902;3290;3363;1235;79168;80183;8605</t>
  </si>
  <si>
    <t>LPXN;ITGB2;EVI2A;CD80;LAPTM5;MAP4K1;GFI1;CMKLR1;TLR8;TLR4;DBH;LAG3;HSD11B1;HTR7;CCR6;LILRA6;RUBCNL;PLA2G4C</t>
  </si>
  <si>
    <t>http://www.broadinstitute.org/gsea/msigdb/cards/KRAS.600_UP.V1_UP.html</t>
  </si>
  <si>
    <t>ALK_DN.V1_UP</t>
  </si>
  <si>
    <t>22797;1236;5294;199;64170;366;4066;3109;6507;6363;50943;57823</t>
  </si>
  <si>
    <t>TFEC;CCR7;PIK3CG;AIF1;CARD9;AQP9;LYL1;HLA-DMB;SLC1A3;CCL19;FOXP3;SLAMF7</t>
  </si>
  <si>
    <t>http://www.broadinstitute.org/gsea/msigdb/cards/ALK_DN.V1_UP.html</t>
  </si>
  <si>
    <t>KRAS.600.LUNG.BREAST_UP.V1_UP</t>
  </si>
  <si>
    <t>951;919;2123;2672;1240;80380;50856;3553;4066;2113;3902;3290;1235;11009;7185;79168;7462</t>
  </si>
  <si>
    <t>CD37;CD247;EVI2A;GFI1;CMKLR1;PDCD1LG2;CLEC4A;IL1B;LYL1;ETS1;LAG3;HSD11B1;CCR6;IL24;TRAF1;LILRA6;LAT2</t>
  </si>
  <si>
    <t>http://www.broadinstitute.org/gsea/msigdb/cards/KRAS.600.LUNG.BREAST_UP.V1_UP.html</t>
  </si>
  <si>
    <t>ATF2_UP.V1_UP</t>
  </si>
  <si>
    <t>925;915;2268;1233;719;64170;353514;3737;6776;3003;4050;10077;84034</t>
  </si>
  <si>
    <t>CD8A;CD3D;FGR;CCR4;C3AR1;CARD9;LILRA5;KCNA2;STAT5A;GZMK;LTB;TSPAN32;EMILIN2</t>
  </si>
  <si>
    <t>http://www.broadinstitute.org/gsea/msigdb/cards/ATF2_UP.V1_UP.html</t>
  </si>
  <si>
    <t>IL15_UP.V1_UP</t>
  </si>
  <si>
    <t>6351;5778;6504;11006;27033;4094;4066;3586;3604;969;55911;50943;57823</t>
  </si>
  <si>
    <t>CCL4;PTPN7;SLAMF1;LILRB4;ZBTB32;MAF;LYL1;IL10;TNFRSF9;CD69;APOBR;FOXP3;SLAMF7</t>
  </si>
  <si>
    <t>http://www.broadinstitute.org/gsea/msigdb/cards/IL15_UP.V1_UP.html</t>
  </si>
  <si>
    <t>IL2_UP.V1_UP</t>
  </si>
  <si>
    <t>8676;7133;5778;1233;6504;11006;27033;27180;3586;1043;3604;969;50943</t>
  </si>
  <si>
    <t>STX11;TNFRSF1B;PTPN7;CCR4;SLAMF1;LILRB4;ZBTB32;SIGLEC9;IL10;CD52;TNFRSF9;CD69;FOXP3</t>
  </si>
  <si>
    <t>http://www.broadinstitute.org/gsea/msigdb/cards/IL2_UP.V1_UP.html</t>
  </si>
  <si>
    <t>CYCLIN_D1_KE_.V1_DN</t>
  </si>
  <si>
    <t>4542;713;929;951;3575;963;3071;11006;6039;5452;5816;4033;814</t>
  </si>
  <si>
    <t>MYO1F;C1QB;CD14;CD37;IL7R;CD53;NCKAP1L;LILRB4;RNASE6;POU2F2;PVALB;LRMP;CAMK4</t>
  </si>
  <si>
    <t>http://www.broadinstitute.org/gsea/msigdb/cards/CYCLIN_D1_KE_.V1_DN.html</t>
  </si>
  <si>
    <t>VEGF_A_UP.V1_UP</t>
  </si>
  <si>
    <t>4542;5788;6373;8742;921;1621;4688;3108;2213;4050;7185;4818;8605</t>
  </si>
  <si>
    <t>MYO1F;PTPRC;CXCL11;TNFSF12;CD5;DBH;NCF2;HLA-DMA;FCGR2B;LTB;TRAF1;NKG7;PLA2G4C</t>
  </si>
  <si>
    <t>http://www.broadinstitute.org/gsea/msigdb/cards/VEGF_A_UP.V1_UP.html</t>
  </si>
  <si>
    <t>P53_DN.V2_DN</t>
  </si>
  <si>
    <t>3676;80896;7439;240;6402;728;2358;3004;10672;11027;51762</t>
  </si>
  <si>
    <t>ITGA4;NPL;BEST1;ALOX5;SELL;C5AR1;FPR2;GZMM;GNA13;LILRA2;RAB8B</t>
  </si>
  <si>
    <t>http://www.broadinstitute.org/gsea/msigdb/cards/P53_DN.V2_DN.html</t>
  </si>
  <si>
    <t>STK33_SKM_DN</t>
  </si>
  <si>
    <t>915;6352;2322;9744;170371;197358;151888;55589;79974;240;596;729230;814;90634;11027;53831</t>
  </si>
  <si>
    <t>CD3D;CCL5;FLT3;ACAP1;TMEM273;NLRC3;BTLA;BMP2K;CPED1;ALOX5;BCL2;CCR2;CAMK4;N4BP2L1;LILRA2;GPR84</t>
  </si>
  <si>
    <t>http://www.broadinstitute.org/gsea/msigdb/cards/STK33_SKM_DN.html</t>
  </si>
  <si>
    <t>KRAS.600_UP.V1_DN</t>
  </si>
  <si>
    <t>259197;80833;2350;959;2633;6504;149628;81030;54209;11314;3111;4261;1237;64919;10004;27240</t>
  </si>
  <si>
    <t>NCR3;APOL3;FOLR2;CD40LG;GBP1;SLAMF1;PYHIN1;ZBP1;TREM2;CD300A;HLA-DOA;CIITA;CCR8;BCL11B;NAALADL1;SIT1</t>
  </si>
  <si>
    <t>http://www.broadinstitute.org/gsea/msigdb/cards/KRAS.600_UP.V1_DN.html</t>
  </si>
  <si>
    <t>KRAS.LUNG.BREAST_UP.V1_UP</t>
  </si>
  <si>
    <t>951;919;2672;1240;80380;2113;3290;1235;7185;79168;7462</t>
  </si>
  <si>
    <t>CD37;CD247;GFI1;CMKLR1;PDCD1LG2;ETS1;HSD11B1;CCR6;TRAF1;LILRA6;LAT2</t>
  </si>
  <si>
    <t>http://www.broadinstitute.org/gsea/msigdb/cards/KRAS.LUNG.BREAST_UP.V1_UP.html</t>
  </si>
  <si>
    <t>KRAS.BREAST_UP.V1_UP</t>
  </si>
  <si>
    <t>3561;2672;1240;51311;27299;3553;4066;3737;3290;7185;79168</t>
  </si>
  <si>
    <t>IL2RG;GFI1;CMKLR1;TLR8;ADAMDEC1;IL1B;LYL1;KCNA2;HSD11B1;TRAF1;LILRA6</t>
  </si>
  <si>
    <t>http://www.broadinstitute.org/gsea/msigdb/cards/KRAS.BREAST_UP.V1_UP.html</t>
  </si>
  <si>
    <t>IL2_UP.V1_DN</t>
  </si>
  <si>
    <t>5341;6036;971;2123;2322;80231;225;2212;6503;25780;55281;8605</t>
  </si>
  <si>
    <t>PLEK;RNASE2;CD72;EVI2A;FLT3;CXorf21;ABCD2;FCGR2A;SLA;RASGRP3;TMEM140;PLA2G4C</t>
  </si>
  <si>
    <t>http://www.broadinstitute.org/gsea/msigdb/cards/IL2_UP.V1_DN.html</t>
  </si>
  <si>
    <t>STK33_DN</t>
  </si>
  <si>
    <t>8676;3932;3001;6352;2322;3101;9744;197358;151888;11184;2162;240;596;6546;84106</t>
  </si>
  <si>
    <t>STX11;LCK;GZMA;CCL5;FLT3;HK3;ACAP1;NLRC3;BTLA;MAP4K1;F13A1;ALOX5;BCL2;SLC8A1;PRAM1</t>
  </si>
  <si>
    <t>http://www.broadinstitute.org/gsea/msigdb/cards/STK33_DN.html</t>
  </si>
  <si>
    <t>GCNP_SHH_UP_EARLY.V1_DN</t>
  </si>
  <si>
    <t>7456;3458;3676;9034;4094;8320;3936;2113;729230;91526;7462</t>
  </si>
  <si>
    <t>WIPF1;IFNG;ITGA4;CCRL2;MAF;EOMES;LCP1;ETS1;CCR2;ANKRD44;LAT2</t>
  </si>
  <si>
    <t>http://www.broadinstitute.org/gsea/msigdb/cards/GCNP_SHH_UP_EARLY.V1_DN.html</t>
  </si>
  <si>
    <t>WNT_UP.V1_DN</t>
  </si>
  <si>
    <t>962;1439;3594;115361;19;921;3737;3109;943;3123;338339</t>
  </si>
  <si>
    <t>CD48;CSF2RB;IL12RB1;GBP4;ABCA1;CD5;KCNA2;HLA-DMB;TNFRSF8;HLA-DRB1;CLEC4D</t>
  </si>
  <si>
    <t>http://www.broadinstitute.org/gsea/msigdb/cards/WNT_UP.V1_DN.html</t>
  </si>
  <si>
    <t>BRCA1_DN.V1_UP</t>
  </si>
  <si>
    <t>915;1493;399;55843;1240;9120;9103;3737;4033;64581</t>
  </si>
  <si>
    <t>CD3D;CTLA4;RHOH;ARHGAP15;CMKLR1;SLC16A6;FCGR2A;KCNA2;LRMP;CLEC7A</t>
  </si>
  <si>
    <t>http://www.broadinstitute.org/gsea/msigdb/cards/BRCA1_DN.V1_UP.html</t>
  </si>
  <si>
    <t>PDGF_UP.V1_DN</t>
  </si>
  <si>
    <t>9450;3575;2123;944;11262;10990;2212;3113;10578;2359</t>
  </si>
  <si>
    <t>LY86;IL7R;EVI2A;TNFSF8;SP140;LILRB5;FCGR2A;HLA-DPA1;GNLY;FPR3</t>
  </si>
  <si>
    <t>http://www.broadinstitute.org/gsea/msigdb/cards/PDGF_UP.V1_DN.html</t>
  </si>
  <si>
    <t>KRAS.AMP.LUNG_UP.V1_UP</t>
  </si>
  <si>
    <t>916;919;2207;6504;719;50856;2848;2162;3718;27314</t>
  </si>
  <si>
    <t>CD3E;CD247;FCER1G;SLAMF1;C3AR1;CLEC4A;GPR25;F13A1;JAK3;RAB30</t>
  </si>
  <si>
    <t>http://www.broadinstitute.org/gsea/msigdb/cards/KRAS.AMP.LUNG_UP.V1_UP.html</t>
  </si>
  <si>
    <t>KRAS.AMP.LUNG_UP.V1_DN</t>
  </si>
  <si>
    <t>10875;149628;3635;11314;7099;2811;2213;5133;9754;84034</t>
  </si>
  <si>
    <t>FGL2;PYHIN1;INPP5D;CD300A;TLR4;GP1BA;FCGR2B;PDCD1;STARD8;EMILIN2</t>
  </si>
  <si>
    <t>http://www.broadinstitute.org/gsea/msigdb/cards/KRAS.AMP.LUNG_UP.V1_DN.html</t>
  </si>
  <si>
    <t>IL15_UP.V1_DN</t>
  </si>
  <si>
    <t>6036;971;2123;79930;80231;225;729230;356;4033;10077;4327</t>
  </si>
  <si>
    <t>RNASE2;CD72;EVI2A;DOK3;CXorf21;ABCD2;CCR2;FASLG;LRMP;TSPAN32;MMP19</t>
  </si>
  <si>
    <t>http://www.broadinstitute.org/gsea/msigdb/cards/IL15_UP.V1_DN.html</t>
  </si>
  <si>
    <t>PRC2_EED_UP.V1_UP</t>
  </si>
  <si>
    <t>3627;5778;3394;9744;51338;51744;55589;921;2359;50515;9033</t>
  </si>
  <si>
    <t>CXCL10;PTPN7;IRF8;ACAP1;MS4A4A;CD244;BMP2K;CD5;FPR3;CHST11;PKD2L1</t>
  </si>
  <si>
    <t>http://www.broadinstitute.org/gsea/msigdb/cards/PRC2_EED_UP.V1_UP.html</t>
  </si>
  <si>
    <t>PKCA_DN.V1_DN</t>
  </si>
  <si>
    <t>9839;3695;2633;83706;51393;341;7454;25890;338339;64581</t>
  </si>
  <si>
    <t>ZEB2;ITGB7;GBP1;FERMT3;TRPV2;APOC1;WAS;ABI3BP;CLEC4D;CLEC7A</t>
  </si>
  <si>
    <t>http://www.broadinstitute.org/gsea/msigdb/cards/PKCA_DN.V1_DN.html</t>
  </si>
  <si>
    <t>CTIP_DN.V1_DN</t>
  </si>
  <si>
    <t>22797;963;3903;1240;54209;924;3002;3112;25890</t>
  </si>
  <si>
    <t>TFEC;CD53;LAIR1;CMKLR1;TREM2;CD7;GZMB;HLA-DOB;ABI3BP</t>
  </si>
  <si>
    <t>http://www.broadinstitute.org/gsea/msigdb/cards/CTIP_DN.V1_DN.html</t>
  </si>
  <si>
    <t>KRAS.PROSTATE_UP.V1_UP</t>
  </si>
  <si>
    <t>3689;3575;941;5778;7805;3587;11184;7099;79168</t>
  </si>
  <si>
    <t>ITGB2;IL7R;CD80;PTPN7;LAPTM5;IL10RA;MAP4K1;TLR4;LILRA6</t>
  </si>
  <si>
    <t>http://www.broadinstitute.org/gsea/msigdb/cards/KRAS.PROSTATE_UP.V1_UP.html</t>
  </si>
  <si>
    <t>KRAS.BREAST_UP.V1_DN</t>
  </si>
  <si>
    <t>259197;80833;2268;3903;6546;8809;5027;64174;10004</t>
  </si>
  <si>
    <t>NCR3;APOL3;FGR;LAIR1;SLC8A1;IL18R1;P2RX7;DPEP2;NAALADL1</t>
  </si>
  <si>
    <t>http://www.broadinstitute.org/gsea/msigdb/cards/KRAS.BREAST_UP.V1_DN.html</t>
  </si>
  <si>
    <t>WNT_UP.V1_UP</t>
  </si>
  <si>
    <t>972;10225;5800;4049;2358;2829;1237;4973;3824;10235</t>
  </si>
  <si>
    <t>CD74;CD96;PTPRO;LTA;FPR2;XCR1;CCR8;OLR1;KLRD1;RASGRP2</t>
  </si>
  <si>
    <t>http://www.broadinstitute.org/gsea/msigdb/cards/WNT_UP.V1_UP.html</t>
  </si>
  <si>
    <t>ESC_J1_UP_EARLY.V1_UP</t>
  </si>
  <si>
    <t>3001;653361;945;5734;2322;114548;27306;1601;27163;91010</t>
  </si>
  <si>
    <t>GZMA;NCF1;CD33;PTGER4;FLT3;NLRP3;HPGDS;DAB2;NAAA;FMNL3</t>
  </si>
  <si>
    <t>http://www.broadinstitute.org/gsea/msigdb/cards/ESC_J1_UP_EARLY.V1_UP.html</t>
  </si>
  <si>
    <t>CYCLIN_D1_UP.V1_DN</t>
  </si>
  <si>
    <t>4542;3575;3071;11006;6039;3122;240;5816;814;3805</t>
  </si>
  <si>
    <t>MYO1F;IL7R;NCKAP1L;LILRB4;RNASE6;HLA-DRA;ALOX5;PVALB;CAMK4;KIR2DL4</t>
  </si>
  <si>
    <t>http://www.broadinstitute.org/gsea/msigdb/cards/CYCLIN_D1_UP.V1_DN.html</t>
  </si>
  <si>
    <t>CYCLIN_D1_UP.V1_UP</t>
  </si>
  <si>
    <t>3101;6890;8514;6404;1043;6776;2833;7185;4818;9806</t>
  </si>
  <si>
    <t>HK3;TAP1;KCNAB2;SELPLG;CD52;STAT5A;CXCR3;TRAF1;NKG7;SPOCK2</t>
  </si>
  <si>
    <t>http://www.broadinstitute.org/gsea/msigdb/cards/CYCLIN_D1_UP.V1_UP.html</t>
  </si>
  <si>
    <t>PRC2_SUZ12_UP.V1_UP</t>
  </si>
  <si>
    <t>9046;7133;9744;51296;55303;3936;6776;2833;50515;9033</t>
  </si>
  <si>
    <t>DOK2;TNFRSF1B;ACAP1;SLC15A3;GIMAP4;LCP1;STAT5A;CXCR3;CHST11;PKD2L1</t>
  </si>
  <si>
    <t>http://www.broadinstitute.org/gsea/msigdb/cards/PRC2_SUZ12_UP.V1_UP.html</t>
  </si>
  <si>
    <t>JNK_DN.V1_DN</t>
  </si>
  <si>
    <t>7456;9450;3689;3560;3394;695;29909;2113;356;9815</t>
  </si>
  <si>
    <t>WIPF1;LY86;ITGB2;IL2RB;IRF8;BTK;GPR171;ETS1;FASLG;GIT2</t>
  </si>
  <si>
    <t>http://www.broadinstitute.org/gsea/msigdb/cards/JNK_DN.V1_DN.html</t>
  </si>
  <si>
    <t>PTEN_DN.V1_UP</t>
  </si>
  <si>
    <t>4210;3689;2123;2207;241;9806;3805;81553;54504;27240</t>
  </si>
  <si>
    <t>MEFV;ITGB2;EVI2A;FCER1G;ALOX5AP;SPOCK2;KIR2DL4;FAM49A;CPVL;SIT1</t>
  </si>
  <si>
    <t>http://www.broadinstitute.org/gsea/msigdb/cards/PTEN_DN.V1_UP.html</t>
  </si>
  <si>
    <t>CAHOY_ASTROGLIAL</t>
  </si>
  <si>
    <t>9051;2014;3162;7185;10457;56670;83937</t>
  </si>
  <si>
    <t>PSTPIP1;EMP3;HMOX1;TRAF1;GPNMB;SUCNR1;RASSF4</t>
  </si>
  <si>
    <t>http://www.broadinstitute.org/gsea/msigdb/cards/CAHOY_ASTROGLIAL.html</t>
  </si>
  <si>
    <t>NFE2L2.V2</t>
  </si>
  <si>
    <t>340152;11309;126014;84636;353514;7099;3111;3162;5552;3112;6693;4688;3586;356;8809;10457;84329;56606</t>
  </si>
  <si>
    <t>ZC3H12D;SLCO2B1;OSCAR;GPR174;LILRA5;TLR4;HLA-DOA;HMOX1;SRGN;HLA-DOB;SPN;NCF2;IL10;FASLG;IL18R1;GPNMB;HVCN1;SLC2A9</t>
  </si>
  <si>
    <t>http://www.broadinstitute.org/gsea/msigdb/cards/NFE2L2.V2.html</t>
  </si>
  <si>
    <t>PRC2_SUZ12_UP.V1_DN</t>
  </si>
  <si>
    <t>27334;22797;919;11151;3587;5800;3117;54;10462;6363</t>
  </si>
  <si>
    <t>P2RY10;TFEC;CD247;CORO1A;IL10RA;PTPRO;HLA-DQA1;ACP5;CLEC10A;CCL19</t>
  </si>
  <si>
    <t>http://www.broadinstitute.org/gsea/msigdb/cards/PRC2_SUZ12_UP.V1_DN.html</t>
  </si>
  <si>
    <t>KRAS.DF.V1_DN</t>
  </si>
  <si>
    <t>914;27128;240;3936;3274;6753;11010;140885;3604;11009</t>
  </si>
  <si>
    <t>CD2;CYTH4;ALOX5;LCP1;HRH2;SSTR3;GLIPR1;SIRPA;TNFRSF9;IL24</t>
  </si>
  <si>
    <t>http://www.broadinstitute.org/gsea/msigdb/cards/KRAS.DF.V1_DN.html</t>
  </si>
  <si>
    <t>CRX_DN.V1_UP</t>
  </si>
  <si>
    <t>4068;81704;3059;3004;4208;116071;161145;80821</t>
  </si>
  <si>
    <t>SH2D1A;DOCK8;HCLS1;GZMM;MEF2C;BATF2;TMEM229B;DDHD1</t>
  </si>
  <si>
    <t>http://www.broadinstitute.org/gsea/msigdb/cards/CRX_DN.V1_UP.html</t>
  </si>
  <si>
    <t>HINATA_NFKB_IMMU_INF</t>
  </si>
  <si>
    <t>3659;3553;4973</t>
  </si>
  <si>
    <t>IRF1;IL1B;OLR1</t>
  </si>
  <si>
    <t>http://www.broadinstitute.org/gsea/msigdb/cards/HINATA_NFKB_IMMU_INF.html</t>
  </si>
  <si>
    <t>KRAS.PROSTATE_UP.V1_DN</t>
  </si>
  <si>
    <t>259197;962;3695;10225;3737;3109;10457;9935</t>
  </si>
  <si>
    <t>NCR3;CD48;ITGB7;CD96;KCNA2;HLA-DMB;GPNMB;MAFB</t>
  </si>
  <si>
    <t>http://www.broadinstitute.org/gsea/msigdb/cards/KRAS.PROSTATE_UP.V1_DN.html</t>
  </si>
  <si>
    <t>ATM_DN.V1_UP</t>
  </si>
  <si>
    <t>925;2209;7439;2162;2212;4261;11009;7185</t>
  </si>
  <si>
    <t>CD8A;FCGR1A;BEST1;F13A1;FCGR2A;CIITA;IL24;TRAF1</t>
  </si>
  <si>
    <t>http://www.broadinstitute.org/gsea/msigdb/cards/ATM_DN.V1_UP.html</t>
  </si>
  <si>
    <t>GCNP_SHH_UP_LATE.V1_DN</t>
  </si>
  <si>
    <t>5734;10320;4049;2811;6402;1043;6556;10148;132160</t>
  </si>
  <si>
    <t>PTGER4;IKZF1;LTA;GP1BA;SELL;CD52;SLC11A1;EBI3;PPM1M</t>
  </si>
  <si>
    <t>http://www.broadinstitute.org/gsea/msigdb/cards/GCNP_SHH_UP_LATE.V1_DN.html</t>
  </si>
  <si>
    <t>ALK_DN.V1_DN</t>
  </si>
  <si>
    <t>10871;10875;79930;3635;1240;1237;6503;79168</t>
  </si>
  <si>
    <t>CD300C;FGL2;DOK3;INPP5D;CMKLR1;CCR8;SLA;LILRA6</t>
  </si>
  <si>
    <t>http://www.broadinstitute.org/gsea/msigdb/cards/ALK_DN.V1_DN.html</t>
  </si>
  <si>
    <t>KRAS.600.LUNG.BREAST_UP.V1_DN</t>
  </si>
  <si>
    <t>259197;80833;923;2633;149628;3635;921;2811;5816;4261;8809;10004</t>
  </si>
  <si>
    <t>NCR3;APOL3;CD6;GBP1;PYHIN1;INPP5D;CD5;GP1BA;PVALB;CIITA;IL18R1;NAALADL1</t>
  </si>
  <si>
    <t>http://www.broadinstitute.org/gsea/msigdb/cards/KRAS.600.LUNG.BREAST_UP.V1_DN.html</t>
  </si>
  <si>
    <t>JAK2_DN.V1_UP</t>
  </si>
  <si>
    <t>5800;79974;10990;926;6693;2999;6546;729230;11009</t>
  </si>
  <si>
    <t>PTPRO;CPED1;LILRB5;CD8B;SPN;GZMH;SLC8A1;CCR2;IL24</t>
  </si>
  <si>
    <t>http://www.broadinstitute.org/gsea/msigdb/cards/JAK2_DN.V1_UP.html</t>
  </si>
  <si>
    <t>JNK_DN.V1_UP</t>
  </si>
  <si>
    <t>22797;11309;951;6351;3594;3587;9056;6373;1522</t>
  </si>
  <si>
    <t>TFEC;SLCO2B1;CD37;CCL4;IL12RB1;IL10RA;SLC7A7;CXCL11;CTSZ</t>
  </si>
  <si>
    <t>http://www.broadinstitute.org/gsea/msigdb/cards/JNK_DN.V1_UP.html</t>
  </si>
  <si>
    <t>DCA_UP.V1_DN</t>
  </si>
  <si>
    <t>3458;2268;3587;55843;116986;8530;4240;83937;8605</t>
  </si>
  <si>
    <t>IFNG;FGR;IL10RA;ARHGAP15;AGAP2;CST7;MFGE8;RASSF4;PLA2G4C</t>
  </si>
  <si>
    <t>http://www.broadinstitute.org/gsea/msigdb/cards/DCA_UP.V1_DN.html</t>
  </si>
  <si>
    <t>NOTCH_DN.V1_UP</t>
  </si>
  <si>
    <t>2533;4210;944;2322;3162;7941;3824;9754;50943</t>
  </si>
  <si>
    <t>FYB1;MEFV;TNFSF8;FLT3;HMOX1;PLA2G7;KLRD1;STARD8;FOXP3</t>
  </si>
  <si>
    <t>http://www.broadinstitute.org/gsea/msigdb/cards/NOTCH_DN.V1_UP.html</t>
  </si>
  <si>
    <t>PIGF_UP.V1_DN</t>
  </si>
  <si>
    <t>4542;259197;9402;8514;8742;341;921;6693;241</t>
  </si>
  <si>
    <t>MYO1F;NCR3;GRAP2;KCNAB2;TNFSF12;APOC1;CD5;SPN;ALOX5AP</t>
  </si>
  <si>
    <t>http://www.broadinstitute.org/gsea/msigdb/cards/PIGF_UP.V1_DN.html</t>
  </si>
  <si>
    <t>HOXA9_DN.V1_DN</t>
  </si>
  <si>
    <t>3676;11314;8530;2212;9103;6518;2213;9363;10672</t>
  </si>
  <si>
    <t>ITGA4;CD300A;CST7;FCGR2A;FCGR2A;SLC2A5;FCGR2B;RAB33A;GNA13</t>
  </si>
  <si>
    <t>http://www.broadinstitute.org/gsea/msigdb/cards/HOXA9_DN.V1_DN.html</t>
  </si>
  <si>
    <t>CAMP_UP.V1_DN</t>
  </si>
  <si>
    <t>27334;5341;5788;3575;64231;64407;4049;4688;9806</t>
  </si>
  <si>
    <t>P2RY10;PLEK;PTPRC;IL7R;MS4A6A;RGS18;LTA;NCF2;SPOCK2</t>
  </si>
  <si>
    <t>http://www.broadinstitute.org/gsea/msigdb/cards/CAMP_UP.V1_DN.html</t>
  </si>
  <si>
    <t>KRAS.50_UP.V1_UP</t>
  </si>
  <si>
    <t>3689;3290;3363;79168</t>
  </si>
  <si>
    <t>ITGB2;HSD11B1;HTR7;LILRA6</t>
  </si>
  <si>
    <t>http://www.broadinstitute.org/gsea/msigdb/cards/KRAS.50_UP.V1_UP.html</t>
  </si>
  <si>
    <t>ESC_V6.5_UP_EARLY.V1_DN</t>
  </si>
  <si>
    <t>951;23228;27033;10537;5376;814;80821;9754</t>
  </si>
  <si>
    <t>CD37;PLCL2;ZBTB32;UBD;PMP22;CAMK4;DDHD1;STARD8</t>
  </si>
  <si>
    <t>http://www.broadinstitute.org/gsea/msigdb/cards/ESC_V6.5_UP_EARLY.V1_DN.html</t>
  </si>
  <si>
    <t>PTEN_DN.V2_UP</t>
  </si>
  <si>
    <t>2533;80833;3575;942;3553;1435;6507</t>
  </si>
  <si>
    <t>FYB1;APOL3;IL7R;CD86;IL1B;CSF1;SLC1A3</t>
  </si>
  <si>
    <t>http://www.broadinstitute.org/gsea/msigdb/cards/PTEN_DN.V2_UP.html</t>
  </si>
  <si>
    <t>KRAS.300_UP.V1_DN</t>
  </si>
  <si>
    <t>259197;959;2633;149628;54209;4261;1237</t>
  </si>
  <si>
    <t>NCR3;CD40LG;GBP1;PYHIN1;TREM2;CIITA;CCR8</t>
  </si>
  <si>
    <t>http://www.broadinstitute.org/gsea/msigdb/cards/KRAS.300_UP.V1_DN.html</t>
  </si>
  <si>
    <t>KRAS.300_UP.V1_UP</t>
  </si>
  <si>
    <t>3689;2123;11184;1621;3290;3363;79168</t>
  </si>
  <si>
    <t>ITGB2;EVI2A;MAP4K1;DBH;HSD11B1;HTR7;LILRA6</t>
  </si>
  <si>
    <t>http://www.broadinstitute.org/gsea/msigdb/cards/KRAS.300_UP.V1_UP.html</t>
  </si>
  <si>
    <t>GSE7218_UNSTIM_VS_ANTIGEN_STIM_THROUGH_IGG_BCELL_DN</t>
  </si>
  <si>
    <t>10663;9404;9402;54440;3559;972;915;3689;3932;914;5551;3560;963;7133;3683;3695;923;11151;1236;5734;7535;53347;2313;3702;6404;4689;399;201633;55843;474344;84166;387357;11006;84868;146722;80380;84636;50615;55303;30009;27033;29851;730249;9034;6373;29909;10537;8530;5552;3003;1237;54331;969;7185;7941;79865;50515;57823;22806;8605</t>
  </si>
  <si>
    <t>CXCR6;LPXN;GRAP2;SASH3;IL2RA;CD74;CD3D;ITGB2;LCK;CD2;PRF1;IL2RB;CD53;TNFRSF1B;ITGAL;ITGB7;CD6;CORO1A;CCR7;PTGER4;ZAP70;UBASH3A;FLI1;ITK;SELPLG;NCF4;RHOH;TIGIT;ARHGAP15;GIMAP6;NLRC5;THEMIS;LILRB4;HAVCR2;CD300LF;PDCD1LG2;GPR174;IL21R;GIMAP4;TBX21;ZBTB32;ICOS;ACOD1;CCRL2;CXCL11;GPR171;UBD;CST7;SRGN;GZMK;CCR8;GNG2;CD69;TRAF1;PLA2G7;TREML2;CHST11;SLAMF7;IKZF3;PLA2G4C</t>
  </si>
  <si>
    <t>http://www.broadinstitute.org/gsea/msigdb/cards/GSE7218_UNSTIM_VS_ANTIGEN_STIM_THROUGH_IGG_BCELL_DN.html</t>
  </si>
  <si>
    <t>GSE3039_NKT_CELL_VS_ALPHAALPHA_CD8_TCELL_DN</t>
  </si>
  <si>
    <t>10663;4068;10068;3458;915;3932;914;916;5788;3055;917;940;3659;3001;6352;3676;5551;3560;1493;919;313;923;3561;6772;3594;6890;3702;474344;84166;387357;170575;1794;26051;4064;81030;4063;55303;30009;27033;8530;921;924;3002;926;6693;3902;3274;356;3003;6891;3824;5133;4818;116071;155038;168537;10507;10077;81553;51063;57823;22806</t>
  </si>
  <si>
    <t>CXCR6;SH2D1A;IL18BP;IFNG;CD3D;LCK;CD2;CD3E;PTPRC;HCK;CD3G;CD28;IRF1;GZMA;CCL5;ITGA4;PRF1;IL2RB;CTLA4;CD247;AOAH;CD6;IL2RG;STAT1;IL12RB1;TAP1;ITK;GIMAP6;NLRC5;THEMIS;GIMAP1;DOCK2;PPP1R16B;CD180;ZBP1;LY9;GIMAP4;TBX21;ZBTB32;CST7;CD5;CD7;GZMB;CD8B;SPN;LAG3;HRH2;FASLG;GZMK;TAP2;KLRD1;PDCD1;NKG7;BATF2;GIMAP8;GIMAP7;SEMA4D;TSPAN32;FAM49A;CALHM2;SLAMF7;IKZF3</t>
  </si>
  <si>
    <t>http://www.broadinstitute.org/gsea/msigdb/cards/GSE3039_NKT_CELL_VS_ALPHAALPHA_CD8_TCELL_DN.html</t>
  </si>
  <si>
    <t>GSE10325_LUPUS_CD4_TCELL_VS_LUPUS_MYELOID_DN</t>
  </si>
  <si>
    <t>7940;22797;1318;7305;11025;10261;972;1536;1436;929;3055;3687;7453;2207;1439;942;3101;199;4354;3394;695;4671;10875;51296;10288;55016;2210;6039;114548;80896;29992;9056;50856;27036;2219;1508;3162;2212;10437;4688;526;2357;728;3108;1230;6556;8905;140885;4208;55911;206358;11027;23312;64581;7462;81553;83937;55803;23166;30817;9935</t>
  </si>
  <si>
    <t>LST1;TFEC;SLC31A2;TYROBP;LILRB3;IGSF6;CD74;CYBB;CSF1R;CD14;HCK;ITGAX;WARS;FCER1G;CSF2RB;CD86;HK3;AIF1;MPP1;IRF8;BTK;NAIP;FGL2;SLC15A3;LILRB2;MARCH1;FCGR1B;RNASE6;NLRP3;NPL;PILRA;SLC7A7;CLEC4A;SIGLEC7;FCN1;CTSB;HMOX1;FCGR2A;IFI30;NCF2;ATP6V1B2;FPR1;C5AR1;HLA-DMA;CCR1;SLC11A1;AP1S2;SIRPA;MEF2C;APOBR;SLC36A1;LILRA2;DMXL2;CLEC7A;LAT2;FAM49A;RASSF4;ADAP2;STAB1;ADGRE2;MAFB</t>
  </si>
  <si>
    <t>http://www.broadinstitute.org/gsea/msigdb/cards/GSE10325_LUPUS_CD4_TCELL_VS_LUPUS_MYELOID_DN.html</t>
  </si>
  <si>
    <t>GSE11057_PBMC_VS_MEM_CD4_TCELL_UP</t>
  </si>
  <si>
    <t>22797;1318;9839;11025;10261;6036;6688;313;942;3101;9332;51296;126014;10288;150372;55016;146722;6039;4064;1240;53829;53346;64170;55589;9056;50856;7099;11024;2162;3111;3162;5552;926;2212;9103;10437;728;2358;5724;943;1230;4208;7941;55704;284759;79168;57705;79895;84329;81553;64805;83937;80183;23166;30817;9935</t>
  </si>
  <si>
    <t>TFEC;SLC31A2;ZEB2;LILRB3;IGSF6;RNASE2;SPI1;AOAH;CD86;HK3;CD163;SLC15A3;OSCAR;LILRB2;NFAM1;MARCH1;CD300LF;RNASE6;CD180;CMKLR1;P2RY13;TM6SF1;CARD9;BMP2K;SLC7A7;CLEC4A;TLR4;LILRA1;F13A1;HLA-DOA;HMOX1;SRGN;CD8B;FCGR2A;FCGR2A;IFI30;C5AR1;FPR2;PTAFR;TNFRSF8;CCR1;MEF2C;PLA2G7;CCDC88A;SIRPB2;LILRA6;WDFY4;ATP8B4;HVCN1;FAM49A;P2RY12;RASSF4;RUBCNL;STAB1;ADGRE2;MAFB</t>
  </si>
  <si>
    <t>http://www.broadinstitute.org/gsea/msigdb/cards/GSE11057_PBMC_VS_MEM_CD4_TCELL_UP.html</t>
  </si>
  <si>
    <t>GSE29618_MONOCYTE_VS_PDC_UP</t>
  </si>
  <si>
    <t>4542;7940;2533;1318;7305;9535;11025;80833;9450;3689;1436;929;5788;3055;2268;6036;6688;945;7133;3687;313;2124;942;199;4671;10875;9332;114548;53829;29992;9056;50856;7099;8742;11024;7439;1102;3162;240;9103;4688;2357;728;140885;7941;6503;597;11027;64581;7462;64174;29125;9935</t>
  </si>
  <si>
    <t>MYO1F;LST1;FYB1;SLC31A2;TYROBP;GMFG;LILRB3;APOL3;LY86;ITGB2;CSF1R;CD14;PTPRC;HCK;FGR;RNASE2;SPI1;CD33;TNFRSF1B;ITGAX;AOAH;EVI2B;CD86;AIF1;NAIP;FGL2;CD163;NLRP3;P2RY13;PILRA;SLC7A7;CLEC4A;TLR4;TNFSF12;LILRA1;BEST1;RCBTB2;HMOX1;ALOX5;FCGR2A;NCF2;FPR1;C5AR1;SIRPA;PLA2G7;SLA;BCL2A1;LILRA2;CLEC7A;LAT2;DPEP2;C11orf21;MAFB</t>
  </si>
  <si>
    <t>http://www.broadinstitute.org/gsea/msigdb/cards/GSE29618_MONOCYTE_VS_PDC_UP.html</t>
  </si>
  <si>
    <t>GSE10325_BCELL_VS_MYELOID_DN</t>
  </si>
  <si>
    <t>4542;7940;1318;11025;10261;1436;7133;313;1234;3101;199;4354;10875;719;9332;10288;2210;114548;1240;53829;80896;53346;51744;64170;64231;11314;29992;9056;50856;10019;366;11024;1508;3162;5552;2212;4688;2357;728;943;1230;729230;6556;140885;27163;55704;10462;11027;64581;54504;30817;9935</t>
  </si>
  <si>
    <t>MYO1F;LST1;SLC31A2;LILRB3;IGSF6;CSF1R;TNFRSF1B;AOAH;CCR5;HK3;AIF1;MPP1;FGL2;C3AR1;CD163;LILRB2;FCGR1B;NLRP3;CMKLR1;P2RY13;NPL;TM6SF1;CD244;CARD9;MS4A6A;CD300A;PILRA;SLC7A7;CLEC4A;SH2B3;AQP9;LILRA1;CTSB;HMOX1;SRGN;FCGR2A;NCF2;FPR1;C5AR1;TNFRSF8;CCR1;CCR2;SLC11A1;SIRPA;NAAA;CCDC88A;CLEC10A;LILRA2;CLEC7A;CPVL;ADGRE2;MAFB</t>
  </si>
  <si>
    <t>http://www.broadinstitute.org/gsea/msigdb/cards/GSE10325_BCELL_VS_MYELOID_DN.html</t>
  </si>
  <si>
    <t>GSE22886_NAIVE_CD8_TCELL_VS_MONOCYTE_DN</t>
  </si>
  <si>
    <t>1318;7305;11025;10261;1536;1436;929;3055;2268;945;7133;7453;4245;2207;1439;4332;3394;7805;10875;51296;10288;80896;64231;29992;9056;50856;27180;2219;9120;10154;1508;3162;240;2212;10437;4688;2357;728;5724;1230;6556;8905;140885;11027;23312;64581;7462;81553;54504;64747;55803;9935</t>
  </si>
  <si>
    <t>SLC31A2;TYROBP;LILRB3;IGSF6;CYBB;CSF1R;CD14;HCK;FGR;CD33;TNFRSF1B;WARS;MGAT1;FCER1G;CSF2RB;MNDA;IRF8;LAPTM5;FGL2;SLC15A3;LILRB2;NPL;MS4A6A;PILRA;SLC7A7;CLEC4A;SIGLEC9;FCN1;SLC16A6;PLXNC1;CTSB;HMOX1;ALOX5;FCGR2A;IFI30;NCF2;FPR1;C5AR1;PTAFR;CCR1;SLC11A1;AP1S2;SIRPA;LILRA2;DMXL2;CLEC7A;LAT2;FAM49A;CPVL;MFSD1;ADAP2;MAFB</t>
  </si>
  <si>
    <t>http://www.broadinstitute.org/gsea/msigdb/cards/GSE22886_NAIVE_CD8_TCELL_VS_MONOCYTE_DN.html</t>
  </si>
  <si>
    <t>GSE24634_TEFF_VS_TCONV_DAY3_IN_CULTURE_DN</t>
  </si>
  <si>
    <t>1318;712;1536;929;3055;2268;6351;3687;313;2207;2124;4332;1234;4354;10875;3903;9332;10288;11006;6039;55340;51338;53829;80896;51311;56833;8832;29992;9056;50856;11326;9034;2219;3162;2212;10437;6402;4688;3108;1230;3988;6556;1601;54504;64747;55803;56606;55013;51466;22806;25939;9935</t>
  </si>
  <si>
    <t>SLC31A2;C1QA;CYBB;CD14;HCK;FGR;CCL4;ITGAX;AOAH;FCER1G;EVI2B;MNDA;CCR5;MPP1;FGL2;LAIR1;CD163;LILRB2;LILRB4;RNASE6;GIMAP5;MS4A4A;P2RY13;NPL;TLR8;SLAMF8;CD84;PILRA;SLC7A7;CLEC4A;VSIG4;CCRL2;FCN1;HMOX1;FCGR2A;IFI30;SELL;NCF2;HLA-DMA;CCR1;LIPA;SLC11A1;DAB2;CPVL;MFSD1;ADAP2;SLC2A9;MCUB;EVL;IKZF3;SAMHD1;MAFB</t>
  </si>
  <si>
    <t>http://www.broadinstitute.org/gsea/msigdb/cards/GSE24634_TEFF_VS_TCONV_DAY3_IN_CULTURE_DN.html</t>
  </si>
  <si>
    <t>GSE34156_TLR1_TLR2_LIGAND_VS_NOD2_AND_TLR1_TLR2_LIGAND_24H_TREATED_MONOCYTE_UP</t>
  </si>
  <si>
    <t>22797;4210;7305;11025;10261;1536;1436;929;3055;7453;1439;942;4354;3820;4689;719;219972;79930;83706;9332;126014;10288;11006;80301;146722;29992;7099;9120;27306;3162;2212;9103;10437;4688;526;4481;2358;5724;1230;6556;140885;5376;55704;79168;10184;23312;5027;7462;59345;1522;30817;9935</t>
  </si>
  <si>
    <t>TFEC;MEFV;TYROBP;LILRB3;IGSF6;CYBB;CSF1R;CD14;HCK;WARS;CSF2RB;CD86;MPP1;KLRB1;NCF4;C3AR1;MPEG1;DOK3;FERMT3;CD163;OSCAR;LILRB2;LILRB4;PLEKHO2;CD300LF;PILRA;TLR4;SLC16A6;HPGDS;HMOX1;FCGR2A;FCGR2A;IFI30;NCF2;ATP6V1B2;MSR1;FPR2;PTAFR;CCR1;SLC11A1;SIRPA;PMP22;CCDC88A;LILRA6;LHFPL2;DMXL2;P2RX7;LAT2;GNB4;CTSZ;ADGRE2;MAFB</t>
  </si>
  <si>
    <t>http://www.broadinstitute.org/gsea/msigdb/cards/GSE34156_TLR1_TLR2_LIGAND_VS_NOD2_AND_TLR1_TLR2_LIGAND_24H_TREATED_MONOCYTE_UP.html</t>
  </si>
  <si>
    <t>GSE10325_CD4_TCELL_VS_MYELOID_DN</t>
  </si>
  <si>
    <t>1318;11025;9450;1536;1436;5341;3055;2268;3687;7453;1439;942;3394;695;10875;4689;51296;55016;2210;6039;53829;80896;64170;51284;9056;8564;366;10154;3115;3120;240;3684;2212;4066;10437;3113;4481;3108;3109;1230;6556;140885;4208;3123;55704;10184;11027;64581;7462;81553;30817</t>
  </si>
  <si>
    <t>SLC31A2;LILRB3;LY86;CYBB;CSF1R;PLEK;HCK;FGR;ITGAX;WARS;CSF2RB;CD86;IRF8;BTK;FGL2;NCF4;SLC15A3;MARCH1;FCGR1B;RNASE6;P2RY13;NPL;CARD9;TLR7;SLC7A7;KMO;AQP9;PLXNC1;HLA-DPB1;HLA-DQB2;ALOX5;ITGAM;FCGR2A;LYL1;IFI30;HLA-DPA1;MSR1;HLA-DMA;HLA-DMB;CCR1;SLC11A1;SIRPA;MEF2C;HLA-DRB1;CCDC88A;LHFPL2;LILRA2;CLEC7A;LAT2;FAM49A;ADGRE2</t>
  </si>
  <si>
    <t>http://www.broadinstitute.org/gsea/msigdb/cards/GSE10325_CD4_TCELL_VS_MYELOID_DN.html</t>
  </si>
  <si>
    <t>GSE24634_TREG_VS_TCONV_POST_DAY10_IL4_CONVERSION_DN</t>
  </si>
  <si>
    <t>22797;1318;7305;10261;712;713;3689;1436;929;3055;2268;945;3687;4332;942;3101;10875;9332;51296;11006;51338;114548;53346;54209;56833;29992;9056;27180;8564;366;3122;341;1508;3162;3684;2212;9103;10437;4360;2359;3109;1230;3988;140885;5376;10184;10462;25780;79630;64581;1522</t>
  </si>
  <si>
    <t>TFEC;SLC31A2;TYROBP;IGSF6;C1QA;C1QB;ITGB2;CSF1R;CD14;HCK;FGR;CD33;ITGAX;MNDA;CD86;HK3;FGL2;CD163;SLC15A3;LILRB4;MS4A4A;NLRP3;TM6SF1;TREM2;SLAMF8;PILRA;SLC7A7;SIGLEC9;KMO;AQP9;HLA-DRA;APOC1;CTSB;HMOX1;ITGAM;FCGR2A;FCGR2A;IFI30;MRC1;FPR3;HLA-DMB;CCR1;LIPA;SIRPA;PMP22;LHFPL2;CLEC10A;RASGRP3;C1orf54;CLEC7A;CTSZ</t>
  </si>
  <si>
    <t>http://www.broadinstitute.org/gsea/msigdb/cards/GSE24634_TREG_VS_TCONV_POST_DAY10_IL4_CONVERSION_DN.html</t>
  </si>
  <si>
    <t>GSE29618_PDC_VS_MDC_DAY7_FLU_VACCINE_DN</t>
  </si>
  <si>
    <t>7940;4242;9051;9535;9046;80833;9450;10261;3689;1436;3055;2268;945;3687;2123;3695;313;5734;4332;942;2014;199;391;4671;10875;9332;114548;53829;29992;50856;2219;10154;8530;1102;3553;3122;3956;2212;9103;10437;4688;4261;140885;55911;10462;79895;64581;7462;29125;51466</t>
  </si>
  <si>
    <t>LST1;MFNG;PSTPIP1;GMFG;DOK2;APOL3;LY86;IGSF6;ITGB2;CSF1R;HCK;FGR;CD33;ITGAX;EVI2A;ITGB7;AOAH;PTGER4;MNDA;CD86;EMP3;AIF1;RHOG;NAIP;FGL2;CD163;NLRP3;P2RY13;PILRA;CLEC4A;FCN1;PLXNC1;CST7;RCBTB2;IL1B;HLA-DRA;LGALS1;FCGR2A;FCGR2A;IFI30;NCF2;CIITA;SIRPA;APOBR;CLEC10A;ATP8B4;CLEC7A;LAT2;C11orf21;EVL</t>
  </si>
  <si>
    <t>http://www.broadinstitute.org/gsea/msigdb/cards/GSE29618_PDC_VS_MDC_DAY7_FLU_VACCINE_DN.html</t>
  </si>
  <si>
    <t>GSE7509_UNSTIM_VS_IFNA_STIM_IMMATURE_DC_DN</t>
  </si>
  <si>
    <t>27334;10663;9046;8676;9402;10068;3559;925;3627;915;3932;916;3659;3001;3683;11151;10225;5294;3071;4283;474344;84166;221188;89857;57105;55303;29851;9034;10537;8530;19;1435;4261;3003;3604;969;8809;5133;441168;116071;91526;79895;10507;81553;59345;57823;8605</t>
  </si>
  <si>
    <t>P2RY10;CXCR6;DOK2;STX11;GRAP2;IL18BP;IL2RA;CD8A;CXCL10;CD3D;LCK;CD3E;IRF1;GZMA;ITGAL;CORO1A;CD96;PIK3CG;NCKAP1L;CXCL9;GIMAP6;NLRC5;ADGRG5;KLHL6;CYSLTR2;GIMAP4;ICOS;CCRL2;UBD;CST7;ABCA1;CSF1;CIITA;GZMK;TNFRSF9;CD69;IL18R1;PDCD1;CALHM6;BATF2;ANKRD44;ATP8B4;SEMA4D;FAM49A;GNB4;SLAMF7;PLA2G4C</t>
  </si>
  <si>
    <t>http://www.broadinstitute.org/gsea/msigdb/cards/GSE7509_UNSTIM_VS_IFNA_STIM_IMMATURE_DC_DN.html</t>
  </si>
  <si>
    <t>GSE10325_LUPUS_BCELL_VS_LUPUS_MYELOID_DN</t>
  </si>
  <si>
    <t>4542;7940;1318;7305;9046;11025;10261;1436;7133;2207;3101;199;391;4354;4671;10875;719;9332;10288;2210;114548;80896;64170;29992;9056;50856;27036;11024;7439;1508;3162;3684;2212;4688;526;728;6556;140885;55911;206358;11027;23312;79630;64581;83937;55803;23166;30817;9935</t>
  </si>
  <si>
    <t>MYO1F;LST1;SLC31A2;TYROBP;DOK2;LILRB3;IGSF6;CSF1R;TNFRSF1B;FCER1G;HK3;AIF1;RHOG;MPP1;NAIP;FGL2;C3AR1;CD163;LILRB2;FCGR1B;NLRP3;NPL;CARD9;PILRA;SLC7A7;CLEC4A;SIGLEC7;LILRA1;BEST1;CTSB;HMOX1;ITGAM;FCGR2A;NCF2;ATP6V1B2;C5AR1;SLC11A1;SIRPA;APOBR;SLC36A1;LILRA2;DMXL2;C1orf54;CLEC7A;RASSF4;ADAP2;STAB1;ADGRE2;MAFB</t>
  </si>
  <si>
    <t>http://www.broadinstitute.org/gsea/msigdb/cards/GSE10325_LUPUS_BCELL_VS_LUPUS_MYELOID_DN.html</t>
  </si>
  <si>
    <t>GSE29618_PDC_VS_MDC_DN</t>
  </si>
  <si>
    <t>7940;9051;9535;8676;80833;9450;3689;5788;3055;2268;6036;6688;945;3687;313;2633;5734;4332;942;2014;199;391;4671;10875;10666;53829;29992;2219;10154;11024;1102;3122;3956;240;596;3684;2212;9103;10437;4688;4261;55911;597;10462;79630;64581;7462;29125;51466</t>
  </si>
  <si>
    <t>LST1;PSTPIP1;GMFG;STX11;APOL3;LY86;ITGB2;PTPRC;HCK;FGR;RNASE2;SPI1;CD33;ITGAX;AOAH;GBP1;PTGER4;MNDA;CD86;EMP3;AIF1;RHOG;NAIP;FGL2;CD226;P2RY13;PILRA;FCN1;PLXNC1;LILRA1;RCBTB2;HLA-DRA;LGALS1;ALOX5;BCL2;ITGAM;FCGR2A;FCGR2A;IFI30;NCF2;CIITA;APOBR;BCL2A1;CLEC10A;C1orf54;CLEC7A;LAT2;C11orf21;EVL</t>
  </si>
  <si>
    <t>http://www.broadinstitute.org/gsea/msigdb/cards/GSE29618_PDC_VS_MDC_DN.html</t>
  </si>
  <si>
    <t>GSE19888_ADENOSINE_A3R_INH_PRETREAT_AND_ACT_BY_A3R_VS_TCELL_MEMBRANES_ACT_MAST_CELL_UP</t>
  </si>
  <si>
    <t>22797;10068;3627;5788;3055;2214;3659;2209;6352;971;7453;313;3561;6772;1234;3101;199;3394;6890;695;4283;3937;10320;219972;3903;6039;115361;4064;53829;81030;64092;55303;56833;7099;6373;10537;3002;6402;3586;27163;441168;118788;116071;161145;168537;59345;57823;29126;25939</t>
  </si>
  <si>
    <t>TFEC;IL18BP;CXCL10;PTPRC;HCK;FCGR3A;IRF1;FCGR1A;CCL5;CD72;WARS;AOAH;IL2RG;STAT1;CCR5;HK3;AIF1;IRF8;TAP1;BTK;CXCL9;LCP2;IKZF1;MPEG1;LAIR1;RNASE6;GBP4;CD180;P2RY13;ZBP1;SAMSN1;GIMAP4;SLAMF8;TLR4;CXCL11;UBD;GZMB;SELL;IL10;NAAA;CALHM6;PIK3AP1;BATF2;TMEM229B;GIMAP7;GNB4;SLAMF7;CD274;SAMHD1</t>
  </si>
  <si>
    <t>http://www.broadinstitute.org/gsea/msigdb/cards/GSE19888_ADENOSINE_A3R_INH_PRETREAT_AND_ACT_BY_A3R_VS_TCELL_MEMBRANES_ACT_MAST_CELL_UP.html</t>
  </si>
  <si>
    <t>GSE22935_WT_VS_MYD88_KO_MACROPHAGE_UP</t>
  </si>
  <si>
    <t>4210;7305;8676;10261;712;1536;3055;962;951;6352;653361;3687;4245;2207;1439;941;5294;3071;4354;695;3937;6404;4689;79930;51296;3635;56833;29992;50856;51393;29851;19;10437;4688;3109;1230;729230;7454;11010;7941;10184;131450;10507;51762;84329;84034;64747;25939</t>
  </si>
  <si>
    <t>MEFV;TYROBP;STX11;IGSF6;C1QA;CYBB;HCK;CD48;CD37;CCL5;NCF1;ITGAX;MGAT1;FCER1G;CSF2RB;CD80;PIK3CG;NCKAP1L;MPP1;BTK;LCP2;SELPLG;NCF4;DOK3;SLC15A3;INPP5D;SLAMF8;PILRA;CLEC4A;TRPV2;ICOS;ABCA1;IFI30;NCF2;HLA-DMB;CCR1;CCR2;WAS;GLIPR1;PLA2G7;LHFPL2;CD200R1;SEMA4D;RAB8B;HVCN1;EMILIN2;MFSD1;SAMHD1</t>
  </si>
  <si>
    <t>http://www.broadinstitute.org/gsea/msigdb/cards/GSE22935_WT_VS_MYD88_KO_MACROPHAGE_UP.html</t>
  </si>
  <si>
    <t>GSE34156_UNTREATED_VS_6H_TLR1_TLR2_LIGAND_TREATED_MONOCYTE_UP</t>
  </si>
  <si>
    <t>22797;11025;10261;1536;1436;929;3055;7453;313;1439;2322;4332;942;4354;4689;219972;79930;9332;126014;10288;11006;146722;29992;9120;19;3956;3162;2212;9103;10437;3112;4688;526;2357;4481;2358;5724;6556;140885;5376;79168;10184;23312;64747;59345;1522;30817;9935</t>
  </si>
  <si>
    <t>TFEC;LILRB3;IGSF6;CYBB;CSF1R;CD14;HCK;WARS;AOAH;CSF2RB;FLT3;MNDA;CD86;MPP1;NCF4;MPEG1;DOK3;CD163;OSCAR;LILRB2;LILRB4;CD300LF;PILRA;SLC16A6;ABCA1;LGALS1;HMOX1;FCGR2A;FCGR2A;IFI30;HLA-DOB;NCF2;ATP6V1B2;FPR1;MSR1;FPR2;PTAFR;SLC11A1;SIRPA;PMP22;LILRA6;LHFPL2;DMXL2;MFSD1;GNB4;CTSZ;ADGRE2;MAFB</t>
  </si>
  <si>
    <t>http://www.broadinstitute.org/gsea/msigdb/cards/GSE34156_UNTREATED_VS_6H_TLR1_TLR2_LIGAND_TREATED_MONOCYTE_UP.html</t>
  </si>
  <si>
    <t>GSE22886_NAIVE_TCELL_VS_MONOCYTE_DN</t>
  </si>
  <si>
    <t>1318;11025;10261;1536;929;2268;945;7133;4245;1439;4332;3101;7805;10875;4689;51296;114548;80896;29992;9056;50856;10019;27180;9120;10154;1508;2212;10437;4688;526;2357;5724;1230;6556;8905;140885;55911;55704;79168;11027;23312;64581;7462;81553;54504;64747;55803</t>
  </si>
  <si>
    <t>SLC31A2;LILRB3;IGSF6;CYBB;CD14;FGR;CD33;TNFRSF1B;MGAT1;CSF2RB;MNDA;HK3;LAPTM5;FGL2;NCF4;SLC15A3;NLRP3;NPL;PILRA;SLC7A7;CLEC4A;SH2B3;SIGLEC9;SLC16A6;PLXNC1;CTSB;FCGR2A;IFI30;NCF2;ATP6V1B2;FPR1;PTAFR;CCR1;SLC11A1;AP1S2;SIRPA;APOBR;CCDC88A;LILRA6;LILRA2;DMXL2;CLEC7A;LAT2;FAM49A;CPVL;MFSD1;ADAP2</t>
  </si>
  <si>
    <t>http://www.broadinstitute.org/gsea/msigdb/cards/GSE22886_NAIVE_TCELL_VS_MONOCYTE_DN.html</t>
  </si>
  <si>
    <t>GSE29618_MONOCYTE_VS_PDC_DAY7_FLU_VACCINE_UP</t>
  </si>
  <si>
    <t>4542;7940;1318;9051;9535;11025;80833;10261;3689;1436;929;3055;2268;6036;945;7133;2123;313;942;199;4671;10875;9332;114548;80896;51744;29992;9056;2219;10154;7439;1102;3162;240;3684;9103;10437;4688;2357;728;140885;206358;64581;7462;64174;55803;9935</t>
  </si>
  <si>
    <t>MYO1F;LST1;SLC31A2;PSTPIP1;GMFG;LILRB3;APOL3;IGSF6;ITGB2;CSF1R;CD14;HCK;FGR;RNASE2;CD33;TNFRSF1B;EVI2A;AOAH;CD86;AIF1;NAIP;FGL2;CD163;NLRP3;NPL;CD244;PILRA;SLC7A7;FCN1;PLXNC1;BEST1;RCBTB2;HMOX1;ALOX5;ITGAM;FCGR2A;IFI30;NCF2;FPR1;C5AR1;SIRPA;SLC36A1;CLEC7A;LAT2;DPEP2;ADAP2;MAFB</t>
  </si>
  <si>
    <t>http://www.broadinstitute.org/gsea/msigdb/cards/GSE29618_MONOCYTE_VS_PDC_DAY7_FLU_VACCINE_UP.html</t>
  </si>
  <si>
    <t>GSE21670_STAT3_KO_VS_WT_CD4_TCELL_TGFB_IL6_TREATED_DN</t>
  </si>
  <si>
    <t>7456;920;3627;3689;3695;959;4332;4354;3603;10875;128611;286336;93978;3903;92241;55016;6039;114548;4064;64333;80896;55423;79974;7099;27299;1102;921;1508;54;4481;1043;6507;2829;10457;55704;284759;10235;206358;54518;338339;6614;54504;64174;57823;23166</t>
  </si>
  <si>
    <t>WIPF1;CD4;CXCL10;ITGB2;ITGB7;CD40LG;MNDA;MPP1;IL16;FGL2;ZNF831;FAM78A;CLEC6A;LAIR1;RCSD1;MARCH1;RNASE6;NLRP3;CD180;ARHGAP9;NPL;SIRPG;CPED1;TLR4;ADAMDEC1;RCBTB2;CD5;CTSB;ACP5;MSR1;CD52;SLC1A3;XCR1;GPNMB;CCDC88A;SIRPB2;RASGRP2;SLC36A1;APBB1IP;CLEC4D;SIGLEC1;CPVL;DPEP2;SLAMF7;STAB1</t>
  </si>
  <si>
    <t>http://www.broadinstitute.org/gsea/msigdb/cards/GSE21670_STAT3_KO_VS_WT_CD4_TCELL_TGFB_IL6_TREATED_DN.html</t>
  </si>
  <si>
    <t>GSE34156_NOD2_LIGAND_VS_TLR1_TLR2_LIGAND_6H_TREATED_MONOCYTE_DN</t>
  </si>
  <si>
    <t>22797;7305;11025;10261;1536;929;3055;7453;1439;942;4354;3820;4689;719;219972;79930;83706;9332;10288;11006;80301;84868;29992;27180;9120;19;2212;9103;10437;4688;526;4481;2358;5724;1230;140885;79168;10184;23312;5027;84034;59345;1522;30817;9935</t>
  </si>
  <si>
    <t>TFEC;TYROBP;LILRB3;IGSF6;CYBB;CD14;HCK;WARS;CSF2RB;CD86;MPP1;KLRB1;NCF4;C3AR1;MPEG1;DOK3;FERMT3;CD163;LILRB2;LILRB4;PLEKHO2;HAVCR2;PILRA;SIGLEC9;SLC16A6;ABCA1;FCGR2A;FCGR2A;IFI30;NCF2;ATP6V1B2;MSR1;FPR2;PTAFR;CCR1;SIRPA;LILRA6;LHFPL2;DMXL2;P2RX7;EMILIN2;GNB4;CTSZ;ADGRE2;MAFB</t>
  </si>
  <si>
    <t>http://www.broadinstitute.org/gsea/msigdb/cards/GSE34156_NOD2_LIGAND_VS_TLR1_TLR2_LIGAND_6H_TREATED_MONOCYTE_DN.html</t>
  </si>
  <si>
    <t>GSE22886_NAIVE_CD4_TCELL_VS_MONOCYTE_DN</t>
  </si>
  <si>
    <t>1318;11025;10261;1536;929;3055;2268;6688;4245;2207;1439;4332;3101;3394;10875;51296;10288;29992;9056;50856;10019;27180;2219;9120;10154;1508;240;3684;2212;10437;4688;2357;728;1230;6556;8905;140885;11027;23312;64581;7462;81553;64747;55803;30817</t>
  </si>
  <si>
    <t>SLC31A2;LILRB3;IGSF6;CYBB;CD14;HCK;FGR;SPI1;MGAT1;FCER1G;CSF2RB;MNDA;HK3;IRF8;FGL2;SLC15A3;LILRB2;PILRA;SLC7A7;CLEC4A;SH2B3;SIGLEC9;FCN1;SLC16A6;PLXNC1;CTSB;ALOX5;ITGAM;FCGR2A;IFI30;NCF2;FPR1;C5AR1;CCR1;SLC11A1;AP1S2;SIRPA;LILRA2;DMXL2;CLEC7A;LAT2;FAM49A;MFSD1;ADAP2;ADGRE2</t>
  </si>
  <si>
    <t>http://www.broadinstitute.org/gsea/msigdb/cards/GSE22886_NAIVE_CD4_TCELL_VS_MONOCYTE_DN.html</t>
  </si>
  <si>
    <t>GSE7218_IGM_VS_IGG_SIGNAL_THGOUGH_ANTIGEN_BCELL_DN</t>
  </si>
  <si>
    <t>10663;1318;9402;10068;3559;925;3627;915;3932;914;940;6352;51056;6772;3594;7535;53347;3702;55843;84166;117289;387357;84868;146722;115362;80380;64092;55303;30009;27033;29851;6373;29909;4261;1237;4050;969;8809;79865;120425;116071;8605</t>
  </si>
  <si>
    <t>CXCR6;SLC31A2;GRAP2;IL18BP;IL2RA;CD8A;CXCL10;CD3D;LCK;CD2;CD28;CCL5;LAP3;STAT1;IL12RB1;ZAP70;UBASH3A;ITK;ARHGAP15;NLRC5;TAGAP;THEMIS;HAVCR2;CD300LF;GBP5;PDCD1LG2;SAMSN1;GIMAP4;TBX21;ZBTB32;ICOS;CXCL11;GPR171;CIITA;CCR8;LTB;CD69;IL18R1;TREML2;JAML;BATF2;PLA2G4C</t>
  </si>
  <si>
    <t>http://www.broadinstitute.org/gsea/msigdb/cards/GSE7218_IGM_VS_IGG_SIGNAL_THGOUGH_ANTIGEN_BCELL_DN.html</t>
  </si>
  <si>
    <t>GSE22886_NAIVE_CD8_TCELL_VS_MONOCYTE_UP</t>
  </si>
  <si>
    <t>27334;259197;9214;4068;9402;925;915;3932;914;916;917;940;3001;5551;3560;919;923;10225;7535;53347;3702;3820;11262;50615;4063;55423;225;29909;921;924;3002;926;2113;2999;10578;2833;3003;4050;969;8809;9363;4818;9806;64919</t>
  </si>
  <si>
    <t>P2RY10;NCR3;FCMR;SH2D1A;GRAP2;CD8A;CD3D;LCK;CD2;CD3E;CD3G;CD28;GZMA;PRF1;IL2RB;CD247;CD6;CD96;ZAP70;UBASH3A;ITK;KLRB1;SP140;IL21R;LY9;SIRPG;ABCD2;GPR171;CD5;CD7;GZMB;CD8B;ETS1;GZMH;GNLY;CXCR3;GZMK;LTB;CD69;IL18R1;RAB33A;NKG7;SPOCK2;BCL11B</t>
  </si>
  <si>
    <t>http://www.broadinstitute.org/gsea/msigdb/cards/GSE22886_NAIVE_CD8_TCELL_VS_MONOCYTE_UP.html</t>
  </si>
  <si>
    <t>GSE29618_MONOCYTE_VS_MDC_UP</t>
  </si>
  <si>
    <t>2533;1318;7305;9535;11025;1536;929;2268;1378;7133;2123;313;2207;199;4354;9332;55340;114548;80896;29992;9056;7099;2219;7439;1102;19;1508;3162;3684;2212;10437;4688;2357;728;1230;6556;25900;7941;597;79168;11027;23312;10507;9935</t>
  </si>
  <si>
    <t>FYB1;SLC31A2;TYROBP;GMFG;LILRB3;CYBB;CD14;FGR;CR1;TNFRSF1B;EVI2A;AOAH;FCER1G;AIF1;MPP1;CD163;GIMAP5;NLRP3;NPL;PILRA;SLC7A7;TLR4;FCN1;BEST1;RCBTB2;ABCA1;CTSB;HMOX1;ITGAM;FCGR2A;IFI30;NCF2;FPR1;C5AR1;CCR1;SLC11A1;IFFO1;PLA2G7;BCL2A1;LILRA6;LILRA2;DMXL2;SEMA4D;MAFB</t>
  </si>
  <si>
    <t>http://www.broadinstitute.org/gsea/msigdb/cards/GSE29618_MONOCYTE_VS_MDC_UP.html</t>
  </si>
  <si>
    <t>GSE34156_UNTREATED_VS_24H_NOD2_LIGAND_TREATED_MONOCYTE_DN</t>
  </si>
  <si>
    <t>22797;1318;11025;10261;1536;1436;929;3055;7453;313;1439;4332;942;4354;4689;219972;79930;9332;10288;11006;146722;29992;27180;9120;19;3956;926;2212;9103;10437;4688;526;2358;5724;3109;6556;140885;10184;23312;84034;64747;59345;30817</t>
  </si>
  <si>
    <t>TFEC;SLC31A2;LILRB3;IGSF6;CYBB;CSF1R;CD14;HCK;WARS;AOAH;CSF2RB;MNDA;CD86;MPP1;NCF4;MPEG1;DOK3;CD163;LILRB2;LILRB4;CD300LF;PILRA;SIGLEC9;SLC16A6;ABCA1;LGALS1;CD8B;FCGR2A;FCGR2A;IFI30;NCF2;ATP6V1B2;FPR2;PTAFR;HLA-DMB;SLC11A1;SIRPA;LHFPL2;DMXL2;EMILIN2;MFSD1;GNB4;ADGRE2</t>
  </si>
  <si>
    <t>http://www.broadinstitute.org/gsea/msigdb/cards/GSE34156_UNTREATED_VS_24H_NOD2_LIGAND_TREATED_MONOCYTE_DN.html</t>
  </si>
  <si>
    <t>GSE7509_UNSTIM_VS_FCGRIIB_STIM_DC_DN</t>
  </si>
  <si>
    <t>27334;9535;9402;3458;3559;925;915;916;917;3659;3001;6352;5551;3560;3683;51056;2313;6504;10320;10875;474344;221188;387357;89857;115362;57105;55303;51393;29851;9034;8530;3002;4261;969;3824;8809;120425;116071;59345;57823</t>
  </si>
  <si>
    <t>P2RY10;GMFG;GRAP2;IFNG;IL2RA;CD8A;CD3D;CD3E;CD3G;IRF1;GZMA;CCL5;PRF1;IL2RB;ITGAL;LAP3;FLI1;SLAMF1;IKZF1;FGL2;GIMAP6;ADGRG5;THEMIS;KLHL6;GBP5;CYSLTR2;GIMAP4;TRPV2;ICOS;CCRL2;CST7;GZMB;CIITA;CD69;KLRD1;IL18R1;JAML;BATF2;GNB4;SLAMF7</t>
  </si>
  <si>
    <t>http://www.broadinstitute.org/gsea/msigdb/cards/GSE7509_UNSTIM_VS_FCGRIIB_STIM_DC_DN.html</t>
  </si>
  <si>
    <t>GSE26495_NAIVE_VS_PD1LOW_CD8_TCELL_DN</t>
  </si>
  <si>
    <t>9839;9046;3001;6351;6352;5551;3560;7133;3683;1234;11262;3587;10666;201633;170371;149628;221188;255231;57580;80301;139716;23533;114836;152789;115362;51744;30009;8742;4094;8530;8320;3956;5552;3002;3902;2999;10578;3824;4818;118788;50515;57823</t>
  </si>
  <si>
    <t>ZEB2;DOK2;GZMA;CCL4;CCL5;PRF1;IL2RB;TNFRSF1B;ITGAL;CCR5;SP140;IL10RA;CD226;TIGIT;TMEM273;PYHIN1;ADGRG5;MCOLN2;PREX1;PLEKHO2;GAB3;PIK3R5;SLAMF6;JAKMIP1;GBP5;CD244;TBX21;TNFSF12;MAF;CST7;EOMES;LGALS1;SRGN;GZMB;LAG3;GZMH;GNLY;KLRD1;NKG7;PIK3AP1;CHST11;SLAMF7</t>
  </si>
  <si>
    <t>http://www.broadinstitute.org/gsea/msigdb/cards/GSE26495_NAIVE_VS_PD1LOW_CD8_TCELL_DN.html</t>
  </si>
  <si>
    <t>GSE32533_MIR17_KO_VS_MIR17_OVEREXPRESS_ACT_CD4_TCELL_UP</t>
  </si>
  <si>
    <t>2533;925;3627;5788;6352;653361;6688;7133;971;2124;942;3101;3394;10320;719;139818;283897;497189;84166;64926;3635;2672;53346;56659;55589;27128;27036;8320;1508;5452;5552;926;54;6693;4688;2213;3003;6503;118788;79895;4644;9935</t>
  </si>
  <si>
    <t>FYB1;CD8A;CXCL10;PTPRC;CCL5;NCF1;SPI1;TNFRSF1B;CD72;EVI2B;CD86;HK3;IRF8;IKZF1;C3AR1;DOCK11;C16orf54;TIFAB;NLRC5;RASAL3;INPP5D;GFI1;TM6SF1;KCNK13;BMP2K;CYTH4;SIGLEC7;EOMES;CTSB;POU2F2;SRGN;CD8B;ACP5;SPN;NCF2;FCGR2B;GZMK;SLA;PIK3AP1;ATP8B4;MYO5A;MAFB</t>
  </si>
  <si>
    <t>http://www.broadinstitute.org/gsea/msigdb/cards/GSE32533_MIR17_KO_VS_MIR17_OVEREXPRESS_ACT_CD4_TCELL_UP.html</t>
  </si>
  <si>
    <t>GSE11057_CD4_EFF_MEM_VS_PBMC_DN</t>
  </si>
  <si>
    <t>1318;11025;972;5341;6036;6688;3687;313;3101;10871;51296;150372;146722;6039;4064;53346;51744;58475;64170;64407;55589;9056;27180;7099;366;10154;3717;3111;5552;9103;526;3109;943;4033;55704;57705;79895;84329;64747;1522;30817</t>
  </si>
  <si>
    <t>SLC31A2;LILRB3;CD74;PLEK;RNASE2;SPI1;ITGAX;AOAH;HK3;CD300C;SLC15A3;NFAM1;CD300LF;RNASE6;CD180;TM6SF1;CD244;MS4A7;CARD9;RGS18;BMP2K;SLC7A7;SIGLEC9;TLR4;AQP9;PLXNC1;JAK2;HLA-DOA;SRGN;FCGR2A;ATP6V1B2;HLA-DMB;TNFRSF8;LRMP;CCDC88A;WDFY4;ATP8B4;HVCN1;MFSD1;CTSZ;ADGRE2</t>
  </si>
  <si>
    <t>http://www.broadinstitute.org/gsea/msigdb/cards/GSE11057_CD4_EFF_MEM_VS_PBMC_DN.html</t>
  </si>
  <si>
    <t>GSE3565_CTRL_VS_LPS_INJECTED_DUSP1_KO_SPLENOCYTES_UP</t>
  </si>
  <si>
    <t>4542;10663;9839;4068;3458;3559;3689;1436;6352;3676;5551;3575;7133;3683;3687;5734;2014;3903;474344;84868;23533;55303;10870;30009;366;3956;3002;2213;729230;3003;3004;8809;4818;118788;245972;116442;57823;22806;4644</t>
  </si>
  <si>
    <t>MYO1F;CXCR6;ZEB2;SH2D1A;IFNG;IL2RA;ITGB2;CSF1R;CCL5;ITGA4;PRF1;IL7R;TNFRSF1B;ITGAL;ITGAX;PTGER4;EMP3;LAIR1;GIMAP6;HAVCR2;PIK3R5;GIMAP4;HCST;TBX21;AQP9;LGALS1;GZMB;FCGR2B;CCR2;GZMK;GZMM;IL18R1;NKG7;PIK3AP1;ATP6V0D2;RAB39B;SLAMF7;IKZF3;MYO5A</t>
  </si>
  <si>
    <t>http://www.broadinstitute.org/gsea/msigdb/cards/GSE3565_CTRL_VS_LPS_INJECTED_DUSP1_KO_SPLENOCYTES_UP.html</t>
  </si>
  <si>
    <t>GSE43863_DAY6_EFF_VS_DAY150_MEM_LY6C_INT_CXCR5POS_CD4_TCELL_DN</t>
  </si>
  <si>
    <t>27334;7305;9535;54440;915;1536;917;3676;11151;5294;2014;2313;3702;7805;6404;9744;219972;92241;79626;374403;139716;1794;3635;6039;89790;64231;55589;51225;10870;6793;3112;6402;2113;2213;3824;90634;85464;10235;80709;84230</t>
  </si>
  <si>
    <t>P2RY10;TYROBP;GMFG;SASH3;CD3D;CYBB;CD3G;ITGA4;CORO1A;PIK3CG;EMP3;FLI1;ITK;LAPTM5;SELPLG;ACAP1;MPEG1;RCSD1;TNFAIP8L2;TBC1D10C;GAB3;DOCK2;INPP5D;RNASE6;SIGLEC10;MS4A6A;BMP2K;ABI3;HCST;STK10;HLA-DOB;SELL;ETS1;FCGR2B;KLRD1;N4BP2L1;SSH2;RASGRP2;AKNA;LRRC8C</t>
  </si>
  <si>
    <t>http://www.broadinstitute.org/gsea/msigdb/cards/GSE43863_DAY6_EFF_VS_DAY150_MEM_LY6C_INT_CXCR5POS_CD4_TCELL_DN.html</t>
  </si>
  <si>
    <t>GSE22313_HEALTHY_VS_SLE_MOUSE_CD4_TCELL_DN</t>
  </si>
  <si>
    <t>313;944;5734;199;4671;6404;9459;719;92241;474344;9332;8477;160365;10288;170575;6039;55340;114548;1240;64407;51225;2857;80342;11326;79974;240;6402;2357;2358;1414;4208;284759;120425;202309;155038;168537;79895;7462;23166</t>
  </si>
  <si>
    <t>AOAH;TNFSF8;PTGER4;AIF1;NAIP;SELPLG;ARHGEF6;C3AR1;RCSD1;GIMAP6;CD163;GPR65;CLECL1;LILRB2;GIMAP1;RNASE6;GIMAP5;NLRP3;CMKLR1;RGS18;ABI3;GPR34;TRAF3IP3;VSIG4;CPED1;ALOX5;SELL;FPR1;FPR2;CRYBB1;MEF2C;SIRPB2;JAML;GAPT;GIMAP8;GIMAP7;ATP8B4;LAT2;STAB1</t>
  </si>
  <si>
    <t>http://www.broadinstitute.org/gsea/msigdb/cards/GSE22313_HEALTHY_VS_SLE_MOUSE_CD4_TCELL_DN.html</t>
  </si>
  <si>
    <t>GSE24634_IL4_VS_CTRL_TREATED_NAIVE_CD4_TCELL_DAY3_DN</t>
  </si>
  <si>
    <t>9214;80833;3627;1536;914;3659;7453;3695;923;2633;6772;7535;6890;4283;11262;3603;8477;2210;55340;51311;55303;11326;6373;27299;10154;11024;6402;241;729230;6776;5376;4050;597;10235;9806;7462;57823;55013;25939</t>
  </si>
  <si>
    <t>FCMR;APOL3;CXCL10;CYBB;CD2;IRF1;WARS;ITGB7;CD6;GBP1;STAT1;ZAP70;TAP1;CXCL9;SP140;IL16;GPR65;FCGR1B;GIMAP5;TLR8;GIMAP4;VSIG4;CXCL11;ADAMDEC1;PLXNC1;LILRA1;SELL;ALOX5AP;CCR2;STAT5A;PMP22;LTB;BCL2A1;RASGRP2;SPOCK2;LAT2;SLAMF7;MCUB;SAMHD1</t>
  </si>
  <si>
    <t>http://www.broadinstitute.org/gsea/msigdb/cards/GSE24634_IL4_VS_CTRL_TREATED_NAIVE_CD4_TCELL_DAY3_DN.html</t>
  </si>
  <si>
    <t>GSE29618_BCELL_VS_MONOCYTE_DN</t>
  </si>
  <si>
    <t>4542;2533;1318;9535;11025;3689;5341;929;6036;945;7453;4245;313;391;4354;4671;6404;114548;80896;55303;11314;29992;9056;50856;353514;7099;7439;1102;1508;3162;10437;526;728;5724;1230;8905;11027;30817;9935</t>
  </si>
  <si>
    <t>MYO1F;FYB1;SLC31A2;GMFG;LILRB3;ITGB2;PLEK;CD14;RNASE2;CD33;WARS;MGAT1;AOAH;RHOG;MPP1;NAIP;SELPLG;NLRP3;NPL;GIMAP4;CD300A;PILRA;SLC7A7;CLEC4A;LILRA5;TLR4;BEST1;RCBTB2;CTSB;HMOX1;IFI30;ATP6V1B2;C5AR1;PTAFR;CCR1;AP1S2;LILRA2;ADGRE2;MAFB</t>
  </si>
  <si>
    <t>http://www.broadinstitute.org/gsea/msigdb/cards/GSE29618_BCELL_VS_MONOCYTE_DN.html</t>
  </si>
  <si>
    <t>GSE21670_UNTREATED_VS_IL6_TREATED_STAT3_KO_CD4_TCELL_UP</t>
  </si>
  <si>
    <t>9214;920;1536;3689;1436;917;2123;959;2124;10225;3071;10875;3903;92241;79626;128346;150372;55016;6039;114548;4064;55423;1102;54;3109;1043;6546;4033;55704;10235;54518;120425;91526;51762;84329;64174;51063;54861;23166</t>
  </si>
  <si>
    <t>FCMR;CD4;CYBB;ITGB2;CSF1R;CD3G;EVI2A;CD40LG;EVI2B;CD96;NCKAP1L;FGL2;LAIR1;RCSD1;TNFAIP8L2;C1orf162;NFAM1;MARCH1;RNASE6;NLRP3;CD180;SIRPG;RCBTB2;ACP5;HLA-DMB;CD52;SLC8A1;LRMP;CCDC88A;RASGRP2;APBB1IP;JAML;ANKRD44;RAB8B;HVCN1;DPEP2;CALHM2;SNRK;STAB1</t>
  </si>
  <si>
    <t>http://www.broadinstitute.org/gsea/msigdb/cards/GSE21670_UNTREATED_VS_IL6_TREATED_STAT3_KO_CD4_TCELL_UP.html</t>
  </si>
  <si>
    <t>GSE37301_HEMATOPOIETIC_STEM_CELL_VS_CD4_TCELL_UP</t>
  </si>
  <si>
    <t>9839;3627;1436;2268;3001;6352;2207;1439;941;6772;5294;3394;4283;10875;353345;84166;51296;11006;57580;146722;81030;30009;9120;8320;5452;240;3002;2357;5724;2213;729230;118788;79630;83937;29126;25939;4644</t>
  </si>
  <si>
    <t>ZEB2;CXCL10;CSF1R;FGR;GZMA;CCL5;FCER1G;CSF2RB;CD80;STAT1;PIK3CG;IRF8;CXCL9;FGL2;GPR141;NLRC5;SLC15A3;LILRB4;PREX1;CD300LF;ZBP1;TBX21;SLC16A6;EOMES;POU2F2;ALOX5;GZMB;FPR1;PTAFR;FCGR2B;CCR2;PIK3AP1;C1orf54;RASSF4;CD274;SAMHD1;MYO5A</t>
  </si>
  <si>
    <t>http://www.broadinstitute.org/gsea/msigdb/cards/GSE37301_HEMATOPOIETIC_STEM_CELL_VS_CD4_TCELL_UP.html</t>
  </si>
  <si>
    <t>GSE41867_MEMORY_VS_EXHAUSTED_CD8_TCELL_DAY30_LCMV_UP</t>
  </si>
  <si>
    <t>10663;22797;3458;1536;3932;5341;3659;6688;3683;3594;3394;9459;474344;257106;84166;51296;8477;115361;23048;51744;64231;80231;51284;8832;7099;4094;4688;3290;9938;356;4050;441168;116071;64780;79895;7462;55281;11217;25939</t>
  </si>
  <si>
    <t>CXCR6;TFEC;IFNG;CYBB;LCK;PLEK;IRF1;SPI1;ITGAL;IL12RB1;IRF8;ARHGEF6;GIMAP6;ARHGAP30;NLRC5;SLC15A3;GPR65;GBP4;FNBP1;CD244;MS4A6A;CXorf21;TLR7;CD84;TLR4;MAF;NCF2;HSD11B1;ARHGAP25;FASLG;LTB;CALHM6;BATF2;MICAL1;ATP8B4;LAT2;TMEM140;AKAP2;SAMHD1</t>
  </si>
  <si>
    <t>http://www.broadinstitute.org/gsea/msigdb/cards/GSE41867_MEMORY_VS_EXHAUSTED_CD8_TCELL_DAY30_LCMV_UP.html</t>
  </si>
  <si>
    <t>GSE22886_NAIVE_BCELL_VS_NEUTROPHIL_DN</t>
  </si>
  <si>
    <t>4542;7940;1318;7305;11025;10261;5341;3055;7133;2123;2207;1439;4332;199;10875;80301;53829;80896;55303;11314;29992;50856;2219;366;10154;5552;2212;4688;526;2357;728;7454;597;11027;10507;64581;55281;30817</t>
  </si>
  <si>
    <t>MYO1F;LST1;SLC31A2;TYROBP;LILRB3;IGSF6;PLEK;HCK;TNFRSF1B;EVI2A;FCER1G;CSF2RB;MNDA;AIF1;FGL2;PLEKHO2;P2RY13;NPL;GIMAP4;CD300A;PILRA;CLEC4A;FCN1;AQP9;PLXNC1;SRGN;FCGR2A;NCF2;ATP6V1B2;FPR1;C5AR1;WAS;BCL2A1;LILRA2;SEMA4D;CLEC7A;TMEM140;ADGRE2</t>
  </si>
  <si>
    <t>http://www.broadinstitute.org/gsea/msigdb/cards/GSE22886_NAIVE_BCELL_VS_NEUTROPHIL_DN.html</t>
  </si>
  <si>
    <t>GSE24634_TEFF_VS_TCONV_DAY7_IN_CULTURE_DN</t>
  </si>
  <si>
    <t>22797;7305;712;713;5341;2268;51056;4332;942;199;10288;11006;80301;6039;64170;11314;8832;3115;1508;3162;3684;10437;54;4688;3108;3290;3988;6556;140885;1601;7941;3123;79168;10184;10462;11027;64581;30817</t>
  </si>
  <si>
    <t>TFEC;TYROBP;C1QA;C1QB;PLEK;FGR;LAP3;MNDA;CD86;AIF1;LILRB2;LILRB4;PLEKHO2;RNASE6;CARD9;CD300A;CD84;HLA-DPB1;CTSB;HMOX1;ITGAM;IFI30;ACP5;NCF2;HLA-DMA;HSD11B1;LIPA;SLC11A1;SIRPA;DAB2;PLA2G7;HLA-DRB1;LILRA6;LHFPL2;CLEC10A;LILRA2;CLEC7A;ADGRE2</t>
  </si>
  <si>
    <t>http://www.broadinstitute.org/gsea/msigdb/cards/GSE24634_TEFF_VS_TCONV_DAY7_IN_CULTURE_DN.html</t>
  </si>
  <si>
    <t>GSE24634_TEFF_VS_TCONV_DAY10_IN_CULTURE_DN</t>
  </si>
  <si>
    <t>9839;8676;712;3689;3575;945;3687;2207;4332;3101;3071;4354;695;10875;51338;1240;80896;51311;51393;3122;3684;9103;10437;4688;4360;2358;3108;1230;3988;6556;1601;10457;10462;9754;30835;56606;9033;1522</t>
  </si>
  <si>
    <t>ZEB2;STX11;C1QA;ITGB2;IL7R;CD33;ITGAX;FCER1G;MNDA;HK3;NCKAP1L;MPP1;BTK;FGL2;MS4A4A;CMKLR1;NPL;TLR8;TRPV2;HLA-DRA;ITGAM;FCGR2A;IFI30;NCF2;MRC1;FPR2;HLA-DMA;CCR1;LIPA;SLC11A1;DAB2;GPNMB;CLEC10A;STARD8;CD209;SLC2A9;PKD2L1;CTSZ</t>
  </si>
  <si>
    <t>http://www.broadinstitute.org/gsea/msigdb/cards/GSE24634_TEFF_VS_TCONV_DAY10_IN_CULTURE_DN.html</t>
  </si>
  <si>
    <t>GSE29618_MONOCYTE_VS_MDC_DAY7_FLU_VACCINE_UP</t>
  </si>
  <si>
    <t>1536;929;2350;1378;7133;2123;199;4354;4689;719;3903;474344;9332;10288;55340;80896;55303;29992;9056;353514;2219;7439;1508;3162;3684;2212;4688;526;728;6556;27163;25900;7941;10184;23312;64581;64174;23166</t>
  </si>
  <si>
    <t>CYBB;CD14;FOLR2;CR1;TNFRSF1B;EVI2A;AIF1;MPP1;NCF4;C3AR1;LAIR1;GIMAP6;CD163;LILRB2;GIMAP5;NPL;GIMAP4;PILRA;SLC7A7;LILRA5;FCN1;BEST1;CTSB;HMOX1;ITGAM;FCGR2A;NCF2;ATP6V1B2;C5AR1;SLC11A1;NAAA;IFFO1;PLA2G7;LHFPL2;DMXL2;CLEC7A;DPEP2;STAB1</t>
  </si>
  <si>
    <t>http://www.broadinstitute.org/gsea/msigdb/cards/GSE29618_MONOCYTE_VS_MDC_DAY7_FLU_VACCINE_UP.html</t>
  </si>
  <si>
    <t>GSE21063_WT_VS_NFATC1_KO_3H_ANTI_IGM_STIM_BCELL_DN</t>
  </si>
  <si>
    <t>22797;9450;10068;972;3659;6352;3687;51056;3561;3101;3394;6890;4283;10875;55843;89857;115361;80380;56833;29992;10537;8530;3122;10437;2358;1043;3363;27163;6891;57514;441168;146850;116071;55619;64581;59345;51466;25939</t>
  </si>
  <si>
    <t>TFEC;LY86;IL18BP;CD74;IRF1;CCL5;ITGAX;LAP3;IL2RG;HK3;IRF8;TAP1;CXCL9;FGL2;ARHGAP15;KLHL6;GBP4;PDCD1LG2;SLAMF8;PILRA;UBD;CST7;HLA-DRA;IFI30;FPR2;CD52;HTR7;NAAA;TAP2;ARHGAP31;CALHM6;PIK3R6;BATF2;DOCK10;CLEC7A;GNB4;EVL;SAMHD1</t>
  </si>
  <si>
    <t>http://www.broadinstitute.org/gsea/msigdb/cards/GSE21063_WT_VS_NFATC1_KO_3H_ANTI_IGM_STIM_BCELL_DN.html</t>
  </si>
  <si>
    <t>GSE39110_UNTREATED_VS_IL2_TREATED_CD8_TCELL_DAY6_POST_IMMUNIZATION_UP</t>
  </si>
  <si>
    <t>4542;10663;9839;3559;5341;3001;6352;3560;3687;3695;1234;3587;6404;3903;197358;139716;3635;9034;366;1102;3956;924;3002;596;3290;2213;729230;356;3004;55911;3824;8809;4818;118788;79895;57823;22806;25939</t>
  </si>
  <si>
    <t>MYO1F;CXCR6;ZEB2;IL2RA;PLEK;GZMA;CCL5;IL2RB;ITGAX;ITGB7;CCR5;IL10RA;SELPLG;LAIR1;NLRC3;GAB3;INPP5D;CCRL2;AQP9;RCBTB2;LGALS1;CD7;GZMB;BCL2;HSD11B1;FCGR2B;CCR2;FASLG;GZMM;APOBR;KLRD1;IL18R1;NKG7;PIK3AP1;ATP8B4;SLAMF7;IKZF3;SAMHD1</t>
  </si>
  <si>
    <t>http://www.broadinstitute.org/gsea/msigdb/cards/GSE39110_UNTREATED_VS_IL2_TREATED_CD8_TCELL_DAY6_POST_IMMUNIZATION_UP.html</t>
  </si>
  <si>
    <t>GSE2935_UV_INACTIVATED_VS_LIVE_SENDAI_VIRUS_INF_MACROPHAGE_DN</t>
  </si>
  <si>
    <t>4542;10663;9839;3458;3559;6352;3676;5551;3575;7133;3683;3687;944;5734;10666;3903;154075;23533;55303;10870;30009;366;8530;8320;3956;2213;729230;2833;3003;3004;8809;4818;245972;81553;57823;4644</t>
  </si>
  <si>
    <t>MYO1F;CXCR6;ZEB2;IFNG;IL2RA;CCL5;ITGA4;PRF1;IL7R;TNFRSF1B;ITGAL;ITGAX;TNFSF8;PTGER4;CD226;LAIR1;SAMD3;PIK3R5;GIMAP4;HCST;TBX21;AQP9;CST7;EOMES;LGALS1;FCGR2B;CCR2;CXCR3;GZMK;GZMM;IL18R1;NKG7;ATP6V0D2;FAM49A;SLAMF7;MYO5A</t>
  </si>
  <si>
    <t>http://www.broadinstitute.org/gsea/msigdb/cards/GSE2935_UV_INACTIVATED_VS_LIVE_SENDAI_VIRUS_INF_MACROPHAGE_DN.html</t>
  </si>
  <si>
    <t>GSE10325_LUPUS_CD4_TCELL_VS_LUPUS_BCELL_UP</t>
  </si>
  <si>
    <t>9840;4242;2533;9535;920;915;3932;914;916;917;940;1493;3575;919;923;944;7535;53347;3702;3820;3937;6404;474344;50852;55340;55303;55423;29851;29909;4094;921;9363;814;9806;10507;64919;55013</t>
  </si>
  <si>
    <t>TESPA1;MFNG;FYB1;GMFG;CD4;CD3D;LCK;CD2;CD3E;CD3G;CD28;CTLA4;IL7R;CD247;CD6;TNFSF8;ZAP70;UBASH3A;ITK;KLRB1;LCP2;SELPLG;GIMAP6;TRAT1;GIMAP5;GIMAP4;SIRPG;ICOS;GPR171;MAF;CD5;RAB33A;CAMK4;SPOCK2;SEMA4D;BCL11B;MCUB</t>
  </si>
  <si>
    <t>http://www.broadinstitute.org/gsea/msigdb/cards/GSE10325_LUPUS_CD4_TCELL_VS_LUPUS_BCELL_UP.html</t>
  </si>
  <si>
    <t>GSE10325_LUPUS_CD4_TCELL_VS_LUPUS_BCELL_DN</t>
  </si>
  <si>
    <t>9450;972;1536;3055;2268;951;971;1439;942;3394;695;10288;55016;6039;4064;9056;27033;8564;3122;3117;3115;240;2212;9103;10437;3112;3113;3108;3109;2213;4208;4033;3123;25780;7462;81553;80183</t>
  </si>
  <si>
    <t>LY86;CD74;CYBB;HCK;FGR;CD37;CD72;CSF2RB;CD86;IRF8;BTK;LILRB2;MARCH1;RNASE6;CD180;SLC7A7;ZBTB32;KMO;HLA-DRA;HLA-DQA1;HLA-DPB1;ALOX5;FCGR2A;FCGR2A;IFI30;HLA-DOB;HLA-DPA1;HLA-DMA;HLA-DMB;FCGR2B;MEF2C;LRMP;HLA-DRB1;RASGRP3;LAT2;FAM49A;RUBCNL</t>
  </si>
  <si>
    <t>http://www.broadinstitute.org/gsea/msigdb/cards/GSE10325_LUPUS_CD4_TCELL_VS_LUPUS_BCELL_DN.html</t>
  </si>
  <si>
    <t>GSE24142_EARLY_THYMIC_PROGENITOR_VS_DN2_THYMOCYTE_UP</t>
  </si>
  <si>
    <t>22797;7305;9450;3689;1436;5341;3055;6352;653361;945;3687;942;1234;695;10875;4064;51744;64407;64092;11314;366;924;2212;1043;729230;356;11010;2833;140885;4208;55911;3824;8809;10148;9754;10077;25939</t>
  </si>
  <si>
    <t>TFEC;TYROBP;LY86;ITGB2;CSF1R;PLEK;HCK;CCL5;NCF1;CD33;ITGAX;CD86;CCR5;BTK;FGL2;CD180;CD244;RGS18;SAMSN1;CD300A;AQP9;CD7;FCGR2A;CD52;CCR2;FASLG;GLIPR1;CXCR3;SIRPA;MEF2C;APOBR;KLRD1;IL18R1;EBI3;STARD8;TSPAN32;SAMHD1</t>
  </si>
  <si>
    <t>http://www.broadinstitute.org/gsea/msigdb/cards/GSE24142_EARLY_THYMIC_PROGENITOR_VS_DN2_THYMOCYTE_UP.html</t>
  </si>
  <si>
    <t>GSE24634_TREG_VS_TCONV_POST_DAY3_IL4_CONVERSION_DN</t>
  </si>
  <si>
    <t>22797;712;713;972;3689;5341;3055;3575;945;2633;4332;942;3903;51296;1240;53829;80896;53346;64170;55589;19;1508;3956;2212;54;3586;3108;3109;6556;1601;7941;79630;81553;64174;51063;57823;1522</t>
  </si>
  <si>
    <t>TFEC;C1QA;C1QB;CD74;ITGB2;PLEK;HCK;IL7R;CD33;GBP1;MNDA;CD86;LAIR1;SLC15A3;CMKLR1;P2RY13;NPL;TM6SF1;CARD9;BMP2K;ABCA1;CTSB;LGALS1;FCGR2A;ACP5;IL10;HLA-DMA;HLA-DMB;SLC11A1;DAB2;PLA2G7;C1orf54;FAM49A;DPEP2;CALHM2;SLAMF7;CTSZ</t>
  </si>
  <si>
    <t>http://www.broadinstitute.org/gsea/msigdb/cards/GSE24634_TREG_VS_TCONV_POST_DAY3_IL4_CONVERSION_DN.html</t>
  </si>
  <si>
    <t>GSE5589_LPS_AND_IL10_VS_LPS_AND_IL6_STIM_IL6_KO_MACROPHAGE_45MIN_UP</t>
  </si>
  <si>
    <t>2533;9404;712;3627;2209;6352;971;2124;942;1234;199;6890;10875;3662;5800;3903;84166;8477;146722;1794;81030;64231;50615;51284;1102;3117;4481;2213;4818;100506736;118788;131450;79895;79630;64581;55691;25939</t>
  </si>
  <si>
    <t>FYB1;LPXN;C1QA;CXCL10;FCGR1A;CCL5;CD72;EVI2B;CD86;CCR5;AIF1;TAP1;FGL2;IRF4;PTPRO;LAIR1;NLRC5;GPR65;CD300LF;DOCK2;ZBP1;MS4A6A;IL21R;TLR7;RCBTB2;HLA-DQA1;MSR1;FCGR2B;NKG7;SLFN12L;PIK3AP1;CD200R1;ATP8B4;C1orf54;CLEC7A;FRMD4A;SAMHD1</t>
  </si>
  <si>
    <t>http://www.broadinstitute.org/gsea/msigdb/cards/GSE5589_LPS_AND_IL10_VS_LPS_AND_IL6_STIM_IL6_KO_MACROPHAGE_45MIN_UP.html</t>
  </si>
  <si>
    <t>GSE19888_CTRL_VS_TCELL_MEMBRANES_ACT_MAST_CELL_PRETREAT_A3R_INH_DN</t>
  </si>
  <si>
    <t>4068;10068;3627;3659;3001;3683;971;3695;3561;1236;2124;3594;3702;10320;399;5800;219972;257106;84166;146722;23533;259307;56833;9034;6373;3002;2358;27163;441168;79865;118788;116071;10507;59345;57823;29126;25939</t>
  </si>
  <si>
    <t>SH2D1A;IL18BP;CXCL10;IRF1;GZMA;ITGAL;CD72;ITGB7;IL2RG;CCR7;EVI2B;IL12RB1;ITK;IKZF1;RHOH;PTPRO;MPEG1;ARHGAP30;NLRC5;CD300LF;PIK3R5;IL4I1;SLAMF8;CCRL2;CXCL11;GZMB;FPR2;NAAA;CALHM6;TREML2;PIK3AP1;BATF2;SEMA4D;GNB4;SLAMF7;CD274;SAMHD1</t>
  </si>
  <si>
    <t>http://www.broadinstitute.org/gsea/msigdb/cards/GSE19888_CTRL_VS_TCELL_MEMBRANES_ACT_MAST_CELL_PRETREAT_A3R_INH_DN.html</t>
  </si>
  <si>
    <t>GSE21774_CD62L_POS_CD56_BRIGHT_VS_CD62L_NEG_CD56_DIM_NK_CELL_UP</t>
  </si>
  <si>
    <t>7305;9450;10261;1536;1436;929;3055;940;653361;6688;942;3394;6404;4689;79626;151888;9332;89790;53346;58475;51284;10673;8564;2162;5452;6402;4360;1043;729230;2833;1601;969;55911;10457;118788;79895;83937</t>
  </si>
  <si>
    <t>TYROBP;LY86;IGSF6;CYBB;CSF1R;CD14;HCK;CD28;NCF1;SPI1;CD86;IRF8;SELPLG;NCF4;TNFAIP8L2;BTLA;CD163;SIGLEC10;TM6SF1;MS4A7;TLR7;TNFSF13B;KMO;F13A1;POU2F2;SELL;MRC1;CD52;CCR2;CXCR3;DAB2;CD69;APOBR;GPNMB;PIK3AP1;ATP8B4;RASSF4</t>
  </si>
  <si>
    <t>http://www.broadinstitute.org/gsea/msigdb/cards/GSE21774_CD62L_POS_CD56_BRIGHT_VS_CD62L_NEG_CD56_DIM_NK_CELL_UP.html</t>
  </si>
  <si>
    <t>GSE3565_CTRL_VS_LPS_INJECTED_SPLENOCYTES_UP</t>
  </si>
  <si>
    <t>4542;10663;9839;3458;3559;3689;962;6352;3676;5551;3575;7133;3683;3687;941;5294;2014;10666;3903;84868;23533;1240;10870;30009;3684;6693;2213;729230;3003;3004;8809;4818;118788;245972;4644</t>
  </si>
  <si>
    <t>MYO1F;CXCR6;ZEB2;IFNG;IL2RA;ITGB2;CD48;CCL5;ITGA4;PRF1;IL7R;TNFRSF1B;ITGAL;ITGAX;CD80;PIK3CG;EMP3;CD226;LAIR1;HAVCR2;PIK3R5;CMKLR1;HCST;TBX21;ITGAM;SPN;FCGR2B;CCR2;GZMK;GZMM;IL18R1;NKG7;PIK3AP1;ATP6V0D2;MYO5A</t>
  </si>
  <si>
    <t>http://www.broadinstitute.org/gsea/msigdb/cards/GSE3565_CTRL_VS_LPS_INJECTED_SPLENOCYTES_UP.html</t>
  </si>
  <si>
    <t>KAECH_NAIVE_VS_DAY15_EFF_CD8_TCELL_DN</t>
  </si>
  <si>
    <t>4542;9535;4068;3458;920;2268;3001;6351;6352;3676;5551;1493;3683;3687;1234;2014;7805;3587;10875;115361;366;56253;8320;3956;5552;3002;2213;729230;356;2833;3003;3004;6503;3824;8809;597</t>
  </si>
  <si>
    <t>MYO1F;GMFG;SH2D1A;IFNG;CD4;FGR;GZMA;CCL4;CCL5;ITGA4;PRF1;CTLA4;ITGAL;ITGAX;CCR5;EMP3;LAPTM5;IL10RA;FGL2;GBP4;AQP9;CRTAM;EOMES;LGALS1;SRGN;GZMB;FCGR2B;CCR2;FASLG;CXCR3;GZMK;GZMM;SLA;KLRD1;IL18R1;BCL2A1</t>
  </si>
  <si>
    <t>http://www.broadinstitute.org/gsea/msigdb/cards/KAECH_NAIVE_VS_DAY15_EFF_CD8_TCELL_DN.html</t>
  </si>
  <si>
    <t>2533;9046;9450;972;6036;951;3676;945;4332;3101;199;695;10320;10875;55016;2210;3635;53829;51744;64231;55303;51284;23228;2219;2162;6402;729230;9938;4208;4033;10235;54518;54504;64174;29125;25939</t>
  </si>
  <si>
    <t>FYB1;DOK2;LY86;CD74;RNASE2;CD37;ITGA4;CD33;MNDA;HK3;AIF1;BTK;IKZF1;FGL2;MARCH1;FCGR1B;INPP5D;P2RY13;CD244;MS4A6A;GIMAP4;TLR7;PLCL2;FCN1;F13A1;SELL;CCR2;ARHGAP25;MEF2C;LRMP;RASGRP2;APBB1IP;CPVL;DPEP2;C11orf21;SAMHD1</t>
  </si>
  <si>
    <t>http://www.broadinstitute.org/gsea/msigdb/cards/GSE22886_DAY0_VS_DAY1_MONOCYTE_IN_CULTURE_UP.html</t>
  </si>
  <si>
    <t>GSE9988_ANTI_TREM1_VS_VEHICLE_TREATED_MONOCYTES_DN</t>
  </si>
  <si>
    <t>4542;9595;54440;80833;1536;1436;929;3055;2123;11151;391;3587;219972;286336;79626;257106;10288;128346;150372;170575;23533;5452;3956;54;2359;5724;729230;25900;9815;118788;80709;202309;155038;79690;4215;51063</t>
  </si>
  <si>
    <t>MYO1F;CYTIP;SASH3;APOL3;CYBB;CSF1R;CD14;HCK;EVI2A;CORO1A;RHOG;IL10RA;MPEG1;FAM78A;TNFAIP8L2;ARHGAP30;LILRB2;C1orf162;NFAM1;GIMAP1;PIK3R5;POU2F2;LGALS1;ACP5;FPR3;PTAFR;CCR2;IFFO1;GIT2;PIK3AP1;AKNA;GAPT;GIMAP8;GAL3ST4;MAP3K3;CALHM2</t>
  </si>
  <si>
    <t>http://www.broadinstitute.org/gsea/msigdb/cards/GSE9988_ANTI_TREM1_VS_VEHICLE_TREATED_MONOCYTES_DN.html</t>
  </si>
  <si>
    <t>GSE2128_CTRL_VS_MIMETOPE_NEGATIVE_SELECTION_DP_THYMOCYTE_NOD_UP</t>
  </si>
  <si>
    <t>7305;9046;9450;10068;712;713;714;1436;929;2214;2209;6351;3575;945;7133;971;2207;3561;3937;3662;399;719;115361;259307;58475;64231;6373;9120;348;1508;2212;54;4240;441168;91010;53831</t>
  </si>
  <si>
    <t>TYROBP;DOK2;LY86;IL18BP;C1QA;C1QB;C1QC;CSF1R;CD14;FCGR3A;FCGR1A;CCL4;IL7R;CD33;TNFRSF1B;CD72;FCER1G;IL2RG;LCP2;IRF4;RHOH;C3AR1;GBP4;IL4I1;MS4A7;MS4A6A;CXCL11;SLC16A6;APOE;CTSB;FCGR2A;ACP5;MFGE8;CALHM6;FMNL3;GPR84</t>
  </si>
  <si>
    <t>http://www.broadinstitute.org/gsea/msigdb/cards/GSE2128_CTRL_VS_MIMETOPE_NEGATIVE_SELECTION_DP_THYMOCYTE_NOD_UP.html</t>
  </si>
  <si>
    <t>GSE19198_CTRL_VS_IL21_TREATED_TCELL_6H_UP</t>
  </si>
  <si>
    <t>9535;10068;5341;962;945;11151;3561;1439;199;4354;2313;4671;3587;6404;4689;219972;92241;126364;10288;55016;3635;55340;23048;53829;10870;27128;2213;9363;146850;375387;120425;79895;84034;6614;64805;30835</t>
  </si>
  <si>
    <t>GMFG;IL18BP;PLEK;CD48;CD33;CORO1A;IL2RG;CSF2RB;AIF1;MPP1;FLI1;NAIP;IL10RA;SELPLG;NCF4;MPEG1;RCSD1;LRRC25;LILRB2;MARCH1;INPP5D;GIMAP5;FNBP1;P2RY13;HCST;CYTH4;FCGR2B;RAB33A;PIK3R6;NRROS;JAML;ATP8B4;EMILIN2;SIGLEC1;P2RY12;CD209</t>
  </si>
  <si>
    <t>http://www.broadinstitute.org/gsea/msigdb/cards/GSE19198_CTRL_VS_IL21_TREATED_TCELL_6H_UP.html</t>
  </si>
  <si>
    <t>GSE23568_CTRL_TRANSDUCED_VS_WT_CD8_TCELL_DN</t>
  </si>
  <si>
    <t>4542;9051;915;3932;916;917;940;6352;3575;919;3695;923;1236;10225;7535;6890;8514;7805;6404;9744;64231;8530;56253;4049;921;6402;356;3718;7185;3824;8809;9806;10077;59345;51466;27240</t>
  </si>
  <si>
    <t>MYO1F;PSTPIP1;CD3D;LCK;CD3E;CD3G;CD28;CCL5;IL7R;CD247;ITGB7;CD6;CCR7;CD96;ZAP70;TAP1;KCNAB2;LAPTM5;SELPLG;ACAP1;MS4A6A;CST7;CRTAM;LTA;CD5;SELL;FASLG;JAK3;TRAF1;KLRD1;IL18R1;SPOCK2;TSPAN32;GNB4;EVL;SIT1</t>
  </si>
  <si>
    <t>http://www.broadinstitute.org/gsea/msigdb/cards/GSE23568_CTRL_TRANSDUCED_VS_WT_CD8_TCELL_DN.html</t>
  </si>
  <si>
    <t>GSE6259_33D1_POS_DC_VS_CD4_TCELL_DN</t>
  </si>
  <si>
    <t>7940;7305;11309;9450;920;5579;971;313;2207;3101;3937;399;3903;115361;1240;53829;80896;51311;8832;27306;4094;1102;19;348;54;4688;6556;10457;441168;23312;5027;64805;1522;9935</t>
  </si>
  <si>
    <t>LST1;TYROBP;SLCO2B1;LY86;CD4;PRKCB;CD72;AOAH;FCER1G;HK3;LCP2;RHOH;LAIR1;GBP4;CMKLR1;P2RY13;NPL;TLR8;CD84;HPGDS;MAF;RCBTB2;ABCA1;APOE;ACP5;NCF2;SLC11A1;GPNMB;CALHM6;DMXL2;P2RX7;P2RY12;CTSZ;MAFB</t>
  </si>
  <si>
    <t>http://www.broadinstitute.org/gsea/msigdb/cards/GSE6259_33D1_POS_DC_VS_CD4_TCELL_DN.html</t>
  </si>
  <si>
    <t>GSE3565_DUSP1_VS_WT_SPLENOCYTES_UP</t>
  </si>
  <si>
    <t>4542;10663;9839;3458;3559;3689;6351;6352;3676;5551;7133;3683;3687;5294;2014;10875;10666;3903;84868;51338;1240;55303;27128;30009;3684;2213;729230;3003;8809;4818;81553;22806;4644</t>
  </si>
  <si>
    <t>MYO1F;CXCR6;ZEB2;IFNG;IL2RA;ITGB2;CCL4;CCL5;ITGA4;PRF1;TNFRSF1B;ITGAL;ITGAX;PIK3CG;EMP3;FGL2;CD226;LAIR1;HAVCR2;MS4A4A;CMKLR1;GIMAP4;CYTH4;TBX21;ITGAM;FCGR2B;CCR2;GZMK;IL18R1;NKG7;FAM49A;IKZF3;MYO5A</t>
  </si>
  <si>
    <t>http://www.broadinstitute.org/gsea/msigdb/cards/GSE3565_DUSP1_VS_WT_SPLENOCYTES_UP.html</t>
  </si>
  <si>
    <t>KAECH_NAIVE_VS_MEMORY_CD8_TCELL_DN</t>
  </si>
  <si>
    <t>4542;4068;3458;3689;2268;6351;6352;3676;5551;1493;3575;7133;3687;3695;1234;3587;10875;115361;366;8530;56253;8320;3956;924;3002;596;2213;729230;356;2833;3003;3004;8809;597;84230</t>
  </si>
  <si>
    <t>MYO1F;SH2D1A;IFNG;ITGB2;FGR;CCL4;CCL5;ITGA4;PRF1;CTLA4;IL7R;TNFRSF1B;ITGAX;ITGB7;CCR5;IL10RA;FGL2;GBP4;AQP9;CST7;CRTAM;EOMES;LGALS1;CD7;GZMB;BCL2;FCGR2B;CCR2;FASLG;CXCR3;GZMK;GZMM;IL18R1;BCL2A1;LRRC8C</t>
  </si>
  <si>
    <t>http://www.broadinstitute.org/gsea/msigdb/cards/KAECH_NAIVE_VS_MEMORY_CD8_TCELL_DN.html</t>
  </si>
  <si>
    <t>GSE10325_CD4_TCELL_VS_BCELL_UP</t>
  </si>
  <si>
    <t>2533;4068;3932;914;917;940;3001;6352;5551;3560;919;923;944;7535;1234;53347;3702;3820;3587;6404;474344;50852;55340;55303;55423;51393;29851;4094;5552;729230;3003;9363;10507;64919;25939</t>
  </si>
  <si>
    <t>FYB1;SH2D1A;LCK;CD2;CD3G;CD28;GZMA;CCL5;PRF1;IL2RB;CD247;CD6;TNFSF8;ZAP70;CCR5;UBASH3A;ITK;KLRB1;IL10RA;SELPLG;GIMAP6;TRAT1;GIMAP5;GIMAP4;SIRPG;TRPV2;ICOS;MAF;SRGN;CCR2;GZMK;RAB33A;SEMA4D;BCL11B;SAMHD1</t>
  </si>
  <si>
    <t>http://www.broadinstitute.org/gsea/msigdb/cards/GSE10325_CD4_TCELL_VS_BCELL_UP.html</t>
  </si>
  <si>
    <t>GSE10325_CD4_TCELL_VS_BCELL_DN</t>
  </si>
  <si>
    <t>9450;1536;5579;971;3394;695;11262;3662;51296;55016;6039;4064;51284;9056;8564;3122;3117;3115;240;9103;4066;3112;3113;3108;3109;2213;4261;4208;4033;27314;3123;10184;25780;7462;80183</t>
  </si>
  <si>
    <t>LY86;CYBB;PRKCB;CD72;IRF8;BTK;SP140;IRF4;SLC15A3;MARCH1;RNASE6;CD180;TLR7;SLC7A7;KMO;HLA-DRA;HLA-DQA1;HLA-DPB1;ALOX5;FCGR2A;LYL1;HLA-DOB;HLA-DPA1;HLA-DMA;HLA-DMB;FCGR2B;CIITA;MEF2C;LRMP;RAB30;HLA-DRB1;LHFPL2;RASGRP3;LAT2;RUBCNL</t>
  </si>
  <si>
    <t>http://www.broadinstitute.org/gsea/msigdb/cards/GSE10325_CD4_TCELL_VS_BCELL_DN.html</t>
  </si>
  <si>
    <t>GSE11057_CD4_CENT_MEM_VS_PBMC_DN</t>
  </si>
  <si>
    <t>1318;11025;10261;5341;6036;6688;313;9332;51296;126014;6039;4064;1240;53346;64170;55589;9056;7099;10154;3717;2162;3111;5552;9103;2358;5724;55911;55704;79168;57705;115727;84329;80183;1522;30817</t>
  </si>
  <si>
    <t>SLC31A2;LILRB3;IGSF6;PLEK;RNASE2;SPI1;AOAH;CD163;SLC15A3;OSCAR;RNASE6;CD180;CMKLR1;TM6SF1;CARD9;BMP2K;SLC7A7;TLR4;PLXNC1;JAK2;F13A1;HLA-DOA;SRGN;FCGR2A;FPR2;PTAFR;APOBR;CCDC88A;LILRA6;WDFY4;RASGRP4;HVCN1;RUBCNL;CTSZ;ADGRE2</t>
  </si>
  <si>
    <t>http://www.broadinstitute.org/gsea/msigdb/cards/GSE11057_CD4_CENT_MEM_VS_PBMC_DN.html</t>
  </si>
  <si>
    <t>GSE15767_MED_VS_SCS_MAC_LN_UP</t>
  </si>
  <si>
    <t>9839;9450;1536;2214;3001;653361;2207;1439;3071;3394;5800;6039;56659;51311;56833;9056;284417;7099;19;3117;54;6402;728;4481;2358;5376;3123;441168;10462;9754;64581;6614;81553;64747;23166</t>
  </si>
  <si>
    <t>ZEB2;LY86;CYBB;FCGR3A;GZMA;NCF1;FCER1G;CSF2RB;NCKAP1L;IRF8;PTPRO;RNASE6;KCNK13;TLR8;SLAMF8;SLC7A7;TMEM150B;TLR4;ABCA1;HLA-DQA1;ACP5;SELL;C5AR1;MSR1;FPR2;PMP22;HLA-DRB1;CALHM6;CLEC10A;STARD8;CLEC7A;SIGLEC1;FAM49A;MFSD1;STAB1</t>
  </si>
  <si>
    <t>http://www.broadinstitute.org/gsea/msigdb/cards/GSE15767_MED_VS_SCS_MAC_LN_UP.html</t>
  </si>
  <si>
    <t>GSE24634_TREG_VS_TCONV_POST_DAY5_IL4_CONVERSION_DN</t>
  </si>
  <si>
    <t>1318;7305;10261;1536;1436;5341;3055;962;4245;2207;942;4671;64231;4063;27128;8832;9056;8564;3115;2811;1508;10437;54;2359;2213;1230;3988;6507;140885;23312;79630;64581;64919;30835;1522</t>
  </si>
  <si>
    <t>SLC31A2;TYROBP;IGSF6;CYBB;CSF1R;PLEK;HCK;CD48;MGAT1;FCER1G;CD86;NAIP;MS4A6A;LY9;CYTH4;CD84;SLC7A7;KMO;HLA-DPB1;GP1BA;CTSB;IFI30;ACP5;FPR3;FCGR2B;CCR1;LIPA;SLC1A3;SIRPA;DMXL2;C1orf54;CLEC7A;BCL11B;CD209;CTSZ</t>
  </si>
  <si>
    <t>http://www.broadinstitute.org/gsea/msigdb/cards/GSE24634_TREG_VS_TCONV_POST_DAY5_IL4_CONVERSION_DN.html</t>
  </si>
  <si>
    <t>GSE26495_NAIVE_VS_PD1HIGH_CD8_TCELL_DN</t>
  </si>
  <si>
    <t>9839;9046;3001;6352;5551;7133;3683;1234;11262;3587;201633;149628;221188;255231;80301;139716;114836;152789;115362;2672;30009;10019;9120;4094;8530;8320;3902;2999;9938;3003;3824;4818;51063;50515;57823</t>
  </si>
  <si>
    <t>ZEB2;DOK2;GZMA;CCL5;PRF1;TNFRSF1B;ITGAL;CCR5;SP140;IL10RA;TIGIT;PYHIN1;ADGRG5;MCOLN2;PLEKHO2;GAB3;SLAMF6;JAKMIP1;GBP5;GFI1;TBX21;SH2B3;SLC16A6;MAF;CST7;EOMES;LAG3;GZMH;ARHGAP25;GZMK;KLRD1;NKG7;CALHM2;CHST11;SLAMF7</t>
  </si>
  <si>
    <t>http://www.broadinstitute.org/gsea/msigdb/cards/GSE26495_NAIVE_VS_PD1HIGH_CD8_TCELL_DN.html</t>
  </si>
  <si>
    <t>GSE29618_BCELL_VS_MONOCYTE_DAY7_FLU_VACCINE_DN</t>
  </si>
  <si>
    <t>4542;7940;1318;9051;7305;11025;8676;920;1436;929;6036;7133;2123;313;942;4354;9332;114548;80896;29992;50856;27180;8742;3162;2357;728;1230;140885;55911;206358;11027;79630;84034;30817;9935</t>
  </si>
  <si>
    <t>MYO1F;LST1;SLC31A2;PSTPIP1;TYROBP;LILRB3;STX11;CD4;CSF1R;CD14;RNASE2;TNFRSF1B;EVI2A;AOAH;CD86;MPP1;CD163;NLRP3;NPL;PILRA;CLEC4A;SIGLEC9;TNFSF12;HMOX1;FPR1;C5AR1;CCR1;SIRPA;APOBR;SLC36A1;LILRA2;C1orf54;EMILIN2;ADGRE2;MAFB</t>
  </si>
  <si>
    <t>http://www.broadinstitute.org/gsea/msigdb/cards/GSE29618_BCELL_VS_MONOCYTE_DAY7_FLU_VACCINE_DN.html</t>
  </si>
  <si>
    <t>GSE3039_ALPHAALPHA_VS_ALPHABETA_CD8_TCELL_DN</t>
  </si>
  <si>
    <t>2533;9214;920;3932;914;5788;3055;917;940;3001;3676;2322;3662;474344;151888;84636;55303;30009;2219;10154;6793;341;921;3111;924;3112;6693;356;27314;4818;25780;51676;51063;22806;26279</t>
  </si>
  <si>
    <t>FYB1;FCMR;CD4;LCK;CD2;PTPRC;HCK;CD3G;CD28;GZMA;ITGA4;FLT3;IRF4;GIMAP6;BTLA;GPR174;GIMAP4;TBX21;FCN1;PLXNC1;STK10;APOC1;CD5;HLA-DOA;CD7;HLA-DOB;SPN;FASLG;RAB30;NKG7;RASGRP3;ASB2;CALHM2;IKZF3;PLA2G2D</t>
  </si>
  <si>
    <t>http://www.broadinstitute.org/gsea/msigdb/cards/GSE3039_ALPHAALPHA_VS_ALPHABETA_CD8_TCELL_DN.html</t>
  </si>
  <si>
    <t>GSE5589_LPS_VS_LPS_AND_IL10_STIM_IL10_KO_MACROPHAGE_45MIN_DN</t>
  </si>
  <si>
    <t>4068;3627;915;3932;2214;2209;1493;3687;3695;11151;2322;3702;151888;221188;2672;81030;29851;9034;6373;3717;3553;2811;5552;2357;4481;3290;4261;356;79865;155038;64919;7462;29126;22806;25939</t>
  </si>
  <si>
    <t>SH2D1A;CXCL10;CD3D;LCK;FCGR3A;FCGR1A;CTLA4;ITGAX;ITGB7;CORO1A;FLT3;ITK;BTLA;ADGRG5;GFI1;ZBP1;ICOS;CCRL2;CXCL11;JAK2;IL1B;GP1BA;SRGN;FPR1;MSR1;HSD11B1;CIITA;FASLG;TREML2;GIMAP8;BCL11B;LAT2;CD274;IKZF3;SAMHD1</t>
  </si>
  <si>
    <t>http://www.broadinstitute.org/gsea/msigdb/cards/GSE5589_LPS_VS_LPS_AND_IL10_STIM_IL10_KO_MACROPHAGE_45MIN_DN.html</t>
  </si>
  <si>
    <t>GSE21360_PRIMARY_VS_TERTIARY_MEMORY_CD8_TCELL_DN</t>
  </si>
  <si>
    <t>2533;1318;3559;713;3627;5341;3659;2209;6352;3676;7453;2633;5734;3394;6890;4283;3937;3587;3662;399;9034;6373;3717;3553;5724;3290;4261;6776;6891;969;7185;597;90634;5027;1522</t>
  </si>
  <si>
    <t>FYB1;SLC31A2;IL2RA;C1QB;CXCL10;PLEK;IRF1;FCGR1A;CCL5;ITGA4;WARS;GBP1;PTGER4;IRF8;TAP1;CXCL9;LCP2;IL10RA;IRF4;RHOH;CCRL2;CXCL11;JAK2;IL1B;PTAFR;HSD11B1;CIITA;STAT5A;TAP2;CD69;TRAF1;BCL2A1;N4BP2L1;P2RX7;CTSZ</t>
  </si>
  <si>
    <t>http://www.broadinstitute.org/gsea/msigdb/cards/GSE21360_PRIMARY_VS_TERTIARY_MEMORY_CD8_TCELL_DN.html</t>
  </si>
  <si>
    <t>GSE23568_ID3_KO_VS_WT_CD8_TCELL_DN</t>
  </si>
  <si>
    <t>9450;3055;951;971;3394;695;3587;4689;3662;54899;255231;259307;55589;9056;10019;19;3117;348;3111;4066;10437;3112;4688;3109;2213;4261;1235;4208;4033;7941;3123;10235;7462;1522;4644</t>
  </si>
  <si>
    <t>LY86;HCK;CD37;CD72;IRF8;BTK;IL10RA;NCF4;IRF4;PXK;MCOLN2;IL4I1;BMP2K;SLC7A7;SH2B3;ABCA1;HLA-DQA1;APOE;HLA-DOA;LYL1;IFI30;HLA-DOB;NCF2;HLA-DMB;FCGR2B;CIITA;CCR6;MEF2C;LRMP;PLA2G7;HLA-DRB1;RASGRP2;LAT2;CTSZ;MYO5A</t>
  </si>
  <si>
    <t>http://www.broadinstitute.org/gsea/msigdb/cards/GSE23568_ID3_KO_VS_WT_CD8_TCELL_DN.html</t>
  </si>
  <si>
    <t>GSE32986_CURDLAN_HIGHDOSE_VS_GMCSF_AND_CURDLAN_HIGHDOSE_STIM_DC_DN</t>
  </si>
  <si>
    <t>1318;4210;8676;3627;3055;3659;6351;7133;1236;5734;942;3937;3587;4689;117289;80301;114548;259307;23048;64092;730249;9034;3717;3553;2358;4261;6776;4973;969;7185;3123;441168;100506736;83937;53831</t>
  </si>
  <si>
    <t>SLC31A2;MEFV;STX11;CXCL10;HCK;IRF1;CCL4;TNFRSF1B;CCR7;PTGER4;CD86;LCP2;IL10RA;NCF4;TAGAP;PLEKHO2;NLRP3;IL4I1;FNBP1;SAMSN1;ACOD1;CCRL2;JAK2;IL1B;FPR2;CIITA;STAT5A;OLR1;CD69;TRAF1;HLA-DRB1;CALHM6;SLFN12L;RASSF4;GPR84</t>
  </si>
  <si>
    <t>http://www.broadinstitute.org/gsea/msigdb/cards/GSE32986_CURDLAN_HIGHDOSE_VS_GMCSF_AND_CURDLAN_HIGHDOSE_STIM_DC_DN.html</t>
  </si>
  <si>
    <t>GSE26343_UNSTIM_VS_LPS_STIM_NFAT5_KO_MACROPHAGE_DN</t>
  </si>
  <si>
    <t>10261;3627;929;3055;2268;3659;3561;1439;5734;942;4283;5800;8477;255231;117289;80301;23533;114548;115361;259307;64092;730249;9034;4049;3363;6776;11010;969;7185;597;57514;80821;84329;57823;53831</t>
  </si>
  <si>
    <t>IGSF6;CXCL10;CD14;HCK;FGR;IRF1;IL2RG;CSF2RB;PTGER4;CD86;CXCL9;PTPRO;GPR65;MCOLN2;TAGAP;PLEKHO2;PIK3R5;NLRP3;GBP4;IL4I1;SAMSN1;ACOD1;CCRL2;LTA;HTR7;STAT5A;GLIPR1;CD69;TRAF1;BCL2A1;ARHGAP31;DDHD1;HVCN1;SLAMF7;GPR84</t>
  </si>
  <si>
    <t>http://www.broadinstitute.org/gsea/msigdb/cards/GSE26343_UNSTIM_VS_LPS_STIM_NFAT5_KO_MACROPHAGE_DN.html</t>
  </si>
  <si>
    <t>4542;2533;1318;3627;1436;2123;51056;2124;4332;942;6772;3071;6890;4283;4671;8514;10875;1794;2210;6039;55589;6373;3717;3115;1508;3162;240;54;2359;3108;1043;25900;79630;51063;55013</t>
  </si>
  <si>
    <t>MYO1F;FYB1;SLC31A2;CXCL10;CSF1R;EVI2A;LAP3;EVI2B;MNDA;CD86;STAT1;NCKAP1L;TAP1;CXCL9;NAIP;KCNAB2;FGL2;DOCK2;FCGR1B;RNASE6;BMP2K;CXCL11;JAK2;HLA-DPB1;CTSB;HMOX1;ALOX5;ACP5;FPR3;HLA-DMA;CD52;IFFO1;C1orf54;CALHM2;MCUB</t>
  </si>
  <si>
    <t>http://www.broadinstitute.org/gsea/msigdb/cards/GSE41176_UNSTIM_VS_ANTI_IGM_STIM_BCELL_1H_DN.html</t>
  </si>
  <si>
    <t>GSE45365_NK_CELL_VS_CD11B_DC_MCMV_INFECTION_DN</t>
  </si>
  <si>
    <t>4542;9051;7305;3932;653361;3683;3695;2207;944;2014;81704;57580;4064;84636;51744;55589;51225;27306;8530;921;3111;241;4360;3108;729230;54331;3824;8809;4818;206358;375387;79895;55619;7462;51063</t>
  </si>
  <si>
    <t>MYO1F;PSTPIP1;TYROBP;LCK;NCF1;ITGAL;ITGB7;FCER1G;TNFSF8;EMP3;DOCK8;PREX1;CD180;GPR174;CD244;BMP2K;ABI3;HPGDS;CST7;CD5;HLA-DOA;ALOX5AP;MRC1;HLA-DMA;CCR2;GNG2;KLRD1;IL18R1;NKG7;SLC36A1;NRROS;ATP8B4;DOCK10;LAT2;CALHM2</t>
  </si>
  <si>
    <t>http://www.broadinstitute.org/gsea/msigdb/cards/GSE45365_NK_CELL_VS_CD11B_DC_MCMV_INFECTION_DN.html</t>
  </si>
  <si>
    <t>GSE15330_LYMPHOID_MULTIPOTENT_VS_MEGAKARYOCYTE_ERYTHROID_PROGENITOR_IKAROS_KO_DN</t>
  </si>
  <si>
    <t>4542;9839;3458;5341;962;3001;6351;6352;5551;3687;941;199;10875;201633;3903;11006;57105;30009;3956;5552;3002;729230;2833;3003;8905;54331;6503;8809;4818;118788;168537;50515;57823</t>
  </si>
  <si>
    <t>MYO1F;ZEB2;IFNG;PLEK;CD48;GZMA;CCL4;CCL5;PRF1;ITGAX;CD80;AIF1;FGL2;TIGIT;LAIR1;LILRB4;CYSLTR2;TBX21;LGALS1;SRGN;GZMB;CCR2;CXCR3;GZMK;AP1S2;GNG2;SLA;IL18R1;NKG7;PIK3AP1;GIMAP7;CHST11;SLAMF7</t>
  </si>
  <si>
    <t>http://www.broadinstitute.org/gsea/msigdb/cards/GSE15330_LYMPHOID_MULTIPOTENT_VS_MEGAKARYOCYTE_ERYTHROID_PROGENITOR_IKAROS_KO_DN.html</t>
  </si>
  <si>
    <t>GSE40685_TREG_VS_FOXP3_KO_TREG_PRECURSOR_DN</t>
  </si>
  <si>
    <t>80833;3559;712;713;714;972;971;51056;6772;3594;149628;84166;115362;115361;80380;55303;284417;9881;3717;3122;3117;3115;3120;3111;2212;2358;3109;3290;3718;91526;145864;56670;6614;30835</t>
  </si>
  <si>
    <t>APOL3;IL2RA;C1QA;C1QB;C1QC;CD74;CD72;LAP3;STAT1;IL12RB1;PYHIN1;NLRC5;GBP5;GBP4;PDCD1LG2;GIMAP4;TMEM150B;TRANK1;JAK2;HLA-DRA;HLA-DQA1;HLA-DPB1;HLA-DQB2;HLA-DOA;FCGR2A;FPR2;HLA-DMB;HSD11B1;JAK3;ANKRD44;HAPLN3;SUCNR1;SIGLEC1;CD209</t>
  </si>
  <si>
    <t>http://www.broadinstitute.org/gsea/msigdb/cards/GSE40685_TREG_VS_FOXP3_KO_TREG_PRECURSOR_DN.html</t>
  </si>
  <si>
    <t>GSE22886_NAIVE_BCELL_VS_MONOCYTE_DN</t>
  </si>
  <si>
    <t>4542;1318;7305;11025;929;3055;7133;3683;2123;7453;4245;2207;1439;4332;391;3587;10288;80896;11314;9056;9120;1508;3956;5552;3684;2212;10437;4688;728;6556;11027;10507;64581;9935</t>
  </si>
  <si>
    <t>MYO1F;SLC31A2;TYROBP;LILRB3;CD14;HCK;TNFRSF1B;ITGAL;EVI2A;WARS;MGAT1;FCER1G;CSF2RB;MNDA;RHOG;IL10RA;LILRB2;NPL;CD300A;SLC7A7;SLC16A6;CTSB;LGALS1;SRGN;ITGAM;FCGR2A;IFI30;NCF2;C5AR1;SLC11A1;LILRA2;SEMA4D;CLEC7A;MAFB</t>
  </si>
  <si>
    <t>http://www.broadinstitute.org/gsea/msigdb/cards/GSE22886_NAIVE_BCELL_VS_MONOCYTE_DN.html</t>
  </si>
  <si>
    <t>GSE30083_SP2_VS_SP4_THYMOCYTE_DN</t>
  </si>
  <si>
    <t>9450;3458;1536;5341;3676;3560;2124;3394;6890;6404;10875;4689;219972;286336;3903;221188;114836;55340;116986;64231;80231;27128;30009;284417;4094;2212;6693;729230;2833;8809;90634;10462;79895;84329</t>
  </si>
  <si>
    <t>LY86;IFNG;CYBB;PLEK;ITGA4;IL2RB;EVI2B;IRF8;TAP1;SELPLG;FGL2;NCF4;MPEG1;FAM78A;LAIR1;ADGRG5;SLAMF6;GIMAP5;AGAP2;MS4A6A;CXorf21;CYTH4;TBX21;TMEM150B;MAF;FCGR2A;SPN;CCR2;CXCR3;IL18R1;N4BP2L1;CLEC10A;ATP8B4;HVCN1</t>
  </si>
  <si>
    <t>http://www.broadinstitute.org/gsea/msigdb/cards/GSE30083_SP2_VS_SP4_THYMOCYTE_DN.html</t>
  </si>
  <si>
    <t>GSE3982_MEMORY_CD4_TCELL_VS_BCELL_UP</t>
  </si>
  <si>
    <t>9046;9404;4068;9402;920;915;3932;914;916;917;940;3560;959;923;2633;10225;7535;53347;3702;3820;3937;3587;6404;474344;50852;55340;55303;29851;29909;3003;3004;10507;64919;25939</t>
  </si>
  <si>
    <t>DOK2;LPXN;SH2D1A;GRAP2;CD4;CD3D;LCK;CD2;CD3E;CD3G;CD28;IL2RB;CD40LG;CD6;GBP1;CD96;ZAP70;UBASH3A;ITK;KLRB1;LCP2;IL10RA;SELPLG;GIMAP6;TRAT1;GIMAP5;GIMAP4;ICOS;GPR171;GZMK;GZMM;SEMA4D;BCL11B;SAMHD1</t>
  </si>
  <si>
    <t>http://www.broadinstitute.org/gsea/msigdb/cards/GSE3982_MEMORY_CD4_TCELL_VS_BCELL_UP.html</t>
  </si>
  <si>
    <t>GSE7460_CD8_TCELL_VS_CD4_TCELL_ACT_UP</t>
  </si>
  <si>
    <t>4542;10663;9404;3458;925;5341;3055;3659;3001;6352;653361;1493;3683;1234;10875;84166;57580;115361;2672;80231;30009;8530;2162;926;356;2833;3003;4818;441168;79895;50515;57823;55691;22806</t>
  </si>
  <si>
    <t>MYO1F;CXCR6;LPXN;IFNG;CD8A;PLEK;HCK;IRF1;GZMA;CCL5;NCF1;CTLA4;ITGAL;CCR5;FGL2;NLRC5;PREX1;GBP4;GFI1;CXorf21;TBX21;CST7;F13A1;CD8B;FASLG;CXCR3;GZMK;NKG7;CALHM6;ATP8B4;CHST11;SLAMF7;FRMD4A;IKZF3</t>
  </si>
  <si>
    <t>http://www.broadinstitute.org/gsea/msigdb/cards/GSE7460_CD8_TCELL_VS_CD4_TCELL_ACT_UP.html</t>
  </si>
  <si>
    <t>GSE9988_LOW_LPS_VS_ANTI_TREM1_AND_LPS_MONOCYTE_UP</t>
  </si>
  <si>
    <t>8676;1536;3659;391;3587;3903;255231;10288;23533;114548;259307;23048;1240;51311;64092;730249;7099;10154;2359;2358;5724;6776;6507;54331;140885;3604;6503;10148;57514;118788;202309;79690;81553;80183</t>
  </si>
  <si>
    <t>STX11;CYBB;IRF1;RHOG;IL10RA;LAIR1;MCOLN2;LILRB2;PIK3R5;NLRP3;IL4I1;FNBP1;CMKLR1;TLR8;SAMSN1;ACOD1;TLR4;PLXNC1;FPR3;FPR2;PTAFR;STAT5A;SLC1A3;GNG2;SIRPA;TNFRSF9;SLA;EBI3;ARHGAP31;PIK3AP1;GAPT;GAL3ST4;FAM49A;RUBCNL</t>
  </si>
  <si>
    <t>http://www.broadinstitute.org/gsea/msigdb/cards/GSE9988_LOW_LPS_VS_ANTI_TREM1_AND_LPS_MONOCYTE_UP.html</t>
  </si>
  <si>
    <t>GSE19888_ADENOSINE_A3R_ACT_VS_TCELL_MEMBRANES_ACT_IN_MAST_CELL_UP</t>
  </si>
  <si>
    <t>4542;7305;54440;713;714;3932;3659;4245;6772;3101;199;3071;3394;4283;6404;4689;3903;497189;257106;83706;150372;64231;4063;10870;51393;10537;3684;3108;6556;54331;55911;441168;79895;1522</t>
  </si>
  <si>
    <t>MYO1F;TYROBP;SASH3;C1QB;C1QC;LCK;IRF1;MGAT1;STAT1;HK3;AIF1;NCKAP1L;IRF8;CXCL9;SELPLG;NCF4;LAIR1;TIFAB;ARHGAP30;FERMT3;NFAM1;MS4A6A;LY9;HCST;TRPV2;UBD;ITGAM;HLA-DMA;SLC11A1;GNG2;APOBR;CALHM6;ATP8B4;CTSZ</t>
  </si>
  <si>
    <t>http://www.broadinstitute.org/gsea/msigdb/cards/GSE19888_ADENOSINE_A3R_ACT_VS_TCELL_MEMBRANES_ACT_IN_MAST_CELL_UP.html</t>
  </si>
  <si>
    <t>GSE6259_FLT3L_INDUCED_33D1_POS_DC_VS_CD4_TCELL_UP</t>
  </si>
  <si>
    <t>7940;11309;9450;2350;313;51056;3101;4354;3937;9332;126364;1240;80896;56659;58484;51311;8832;11326;27306;4094;5452;240;4688;6507;6556;441168;245972;23312;5027;64805;23166;26279</t>
  </si>
  <si>
    <t>LST1;SLCO2B1;LY86;FOLR2;AOAH;LAP3;HK3;MPP1;LCP2;CD163;LRRC25;CMKLR1;NPL;KCNK13;NLRC4;TLR8;CD84;VSIG4;HPGDS;MAF;POU2F2;ALOX5;NCF2;SLC1A3;SLC11A1;CALHM6;ATP6V0D2;DMXL2;P2RX7;P2RY12;STAB1;PLA2G2D</t>
  </si>
  <si>
    <t>http://www.broadinstitute.org/gsea/msigdb/cards/GSE6259_FLT3L_INDUCED_33D1_POS_DC_VS_CD4_TCELL_UP.html</t>
  </si>
  <si>
    <t>GSE24634_TREG_VS_TCONV_POST_DAY7_IL4_CONVERSION_DN</t>
  </si>
  <si>
    <t>7305;712;1536;929;3055;4332;3394;10875;9332;51296;11006;114548;1240;53829;80896;4063;8564;1508;240;54;6518;2359;2213;3988;6507;140885;7941;55704;10184;25780;79630;30835;1522</t>
  </si>
  <si>
    <t>TYROBP;C1QA;CYBB;CD14;HCK;MNDA;IRF8;FGL2;CD163;SLC15A3;LILRB4;NLRP3;CMKLR1;P2RY13;NPL;LY9;KMO;CTSB;ALOX5;ACP5;SLC2A5;FPR3;FCGR2B;LIPA;SLC1A3;SIRPA;PLA2G7;CCDC88A;LHFPL2;RASGRP3;C1orf54;CD209;CTSZ</t>
  </si>
  <si>
    <t>http://www.broadinstitute.org/gsea/msigdb/cards/GSE24634_TREG_VS_TCONV_POST_DAY7_IL4_CONVERSION_DN.html</t>
  </si>
  <si>
    <t>GSE9650_NAIVE_VS_MEMORY_CD8_TCELL_DN</t>
  </si>
  <si>
    <t>4542;4068;3458;2268;6351;6352;3676;5551;1493;7133;3687;3695;1234;3587;10875;115361;366;8530;56253;8320;3956;924;3002;596;2213;729230;356;2833;3003;3004;8809;597;84230</t>
  </si>
  <si>
    <t>MYO1F;SH2D1A;IFNG;FGR;CCL4;CCL5;ITGA4;PRF1;CTLA4;TNFRSF1B;ITGAX;ITGB7;CCR5;IL10RA;FGL2;GBP4;AQP9;CST7;CRTAM;EOMES;LGALS1;CD7;GZMB;BCL2;FCGR2B;CCR2;FASLG;CXCR3;GZMK;GZMM;IL18R1;BCL2A1;LRRC8C</t>
  </si>
  <si>
    <t>http://www.broadinstitute.org/gsea/msigdb/cards/GSE9650_NAIVE_VS_MEMORY_CD8_TCELL_DN.html</t>
  </si>
  <si>
    <t>GSE9988_ANTI_TREM1_AND_LPS_VS_VEHICLE_TREATED_MONOCYTES_DN</t>
  </si>
  <si>
    <t>4542;9046;9595;54440;1436;929;3055;2123;11151;2014;391;7805;3587;219972;286336;79626;257106;80301;23533;58484;51225;3956;10437;54;2359;729230;55911;9815;202309;155038;79690;4215;51063</t>
  </si>
  <si>
    <t>MYO1F;DOK2;CYTIP;SASH3;CSF1R;CD14;HCK;EVI2A;CORO1A;EMP3;RHOG;LAPTM5;IL10RA;MPEG1;FAM78A;TNFAIP8L2;ARHGAP30;PLEKHO2;PIK3R5;NLRC4;ABI3;LGALS1;IFI30;ACP5;FPR3;CCR2;APOBR;GIT2;GAPT;GIMAP8;GAL3ST4;MAP3K3;CALHM2</t>
  </si>
  <si>
    <t>http://www.broadinstitute.org/gsea/msigdb/cards/GSE9988_ANTI_TREM1_AND_LPS_VS_VEHICLE_TREATED_MONOCYTES_DN.html</t>
  </si>
  <si>
    <t>GSE19198_1H_VS_24H_IL21_TREATED_TCELL_DN</t>
  </si>
  <si>
    <t>9051;80833;5341;962;6352;1378;3683;3561;1236;1439;942;3101;150372;64170;4063;27128;10673;11024;5552;3684;4688;3290;7185;150771;375387;120425;245972;79630;10077;57823;29126;29125;85479</t>
  </si>
  <si>
    <t>PSTPIP1;APOL3;PLEK;CD48;CCL5;CR1;ITGAL;IL2RG;CCR7;CSF2RB;CD86;HK3;NFAM1;CARD9;LY9;CYTH4;TNFSF13B;LILRA1;SRGN;ITGAM;NCF2;HSD11B1;TRAF1;ITPRIPL1;NRROS;JAML;ATP6V0D2;C1orf54;TSPAN32;SLAMF7;CD274;C11orf21;DNAJC5B</t>
  </si>
  <si>
    <t>http://www.broadinstitute.org/gsea/msigdb/cards/GSE19198_1H_VS_24H_IL21_TREATED_TCELL_DN.html</t>
  </si>
  <si>
    <t>GSE30971_CTRL_VS_LPS_STIM_MACROPHAGE_WBP7_HET_2H_DN</t>
  </si>
  <si>
    <t>7940;4242;11309;920;6036;3695;2124;4332;199;4354;10875;8477;128346;4064;80896;54209;8832;10673;11326;2219;1102;54;2359;3988;4208;10672;54518;79630;55619;64581;51063;55803;25939</t>
  </si>
  <si>
    <t>LST1;MFNG;SLCO2B1;CD4;RNASE2;ITGB7;EVI2B;MNDA;AIF1;MPP1;FGL2;GPR65;C1orf162;CD180;NPL;TREM2;CD84;TNFSF13B;VSIG4;FCN1;RCBTB2;ACP5;FPR3;LIPA;MEF2C;GNA13;APBB1IP;C1orf54;DOCK10;CLEC7A;CALHM2;ADAP2;SAMHD1</t>
  </si>
  <si>
    <t>http://www.broadinstitute.org/gsea/msigdb/cards/GSE30971_CTRL_VS_LPS_STIM_MACROPHAGE_WBP7_HET_2H_DN.html</t>
  </si>
  <si>
    <t>GSE43863_TH1_VS_TFH_MEMORY_CD4_TCELL_DN</t>
  </si>
  <si>
    <t>9595;972;5788;4245;3561;2124;5294;3702;5800;92241;6039;55589;2857;80342;51393;29851;3717;19;10437;3112;2113;3108;2213;1235;6503;9815;3123;89846;64780;79630;10507;7462;51063</t>
  </si>
  <si>
    <t>CYTIP;CD74;PTPRC;MGAT1;IL2RG;EVI2B;PIK3CG;ITK;PTPRO;RCSD1;RNASE6;BMP2K;GPR34;TRAF3IP3;TRPV2;ICOS;JAK2;ABCA1;IFI30;HLA-DOB;ETS1;HLA-DMA;FCGR2B;CCR6;SLA;GIT2;HLA-DRB1;FGD3;MICAL1;C1orf54;SEMA4D;LAT2;CALHM2</t>
  </si>
  <si>
    <t>http://www.broadinstitute.org/gsea/msigdb/cards/GSE43863_TH1_VS_TFH_MEMORY_CD4_TCELL_DN.html</t>
  </si>
  <si>
    <t>GSE15330_MEGAKARYOCYTE_ERYTHROID_VS_GRANULOCYTE_MONOCYTE_PROGENITOR_UP</t>
  </si>
  <si>
    <t>4542;10663;9535;9839;3458;5341;962;6351;6352;5551;3683;3687;199;3903;170575;57105;30009;5552;6693;2833;8905;54331;6503;8809;4818;118788;168537;64780;81553;50515;57823</t>
  </si>
  <si>
    <t>MYO1F;CXCR6;GMFG;ZEB2;IFNG;PLEK;CD48;CCL4;CCL5;PRF1;ITGAL;ITGAX;AIF1;LAIR1;GIMAP1;CYSLTR2;TBX21;SRGN;SPN;CXCR3;AP1S2;GNG2;SLA;IL18R1;NKG7;PIK3AP1;GIMAP7;MICAL1;FAM49A;CHST11;SLAMF7</t>
  </si>
  <si>
    <t>http://www.broadinstitute.org/gsea/msigdb/cards/GSE15330_MEGAKARYOCYTE_ERYTHROID_VS_GRANULOCYTE_MONOCYTE_PROGENITOR_UP.html</t>
  </si>
  <si>
    <t>GSE10325_CD4_TCELL_VS_MYELOID_UP</t>
  </si>
  <si>
    <t>9840;9404;4068;915;3932;914;917;940;3560;919;923;5778;10225;7535;53347;3702;3820;10666;55843;50852;55340;55423;29851;29909;4094;596;3003;7185;9363;9806;64919;51466</t>
  </si>
  <si>
    <t>TESPA1;LPXN;SH2D1A;CD3D;LCK;CD2;CD3G;CD28;IL2RB;CD247;CD6;PTPN7;CD96;ZAP70;UBASH3A;ITK;KLRB1;CD226;ARHGAP15;TRAT1;GIMAP5;SIRPG;ICOS;GPR171;MAF;BCL2;GZMK;TRAF1;RAB33A;SPOCK2;BCL11B;EVL</t>
  </si>
  <si>
    <t>http://www.broadinstitute.org/gsea/msigdb/cards/GSE10325_CD4_TCELL_VS_MYELOID_UP.html</t>
  </si>
  <si>
    <t>GSE10325_LUPUS_CD4_TCELL_VS_LUPUS_MYELOID_UP</t>
  </si>
  <si>
    <t>9840;9214;9402;915;3932;914;917;940;3560;919;923;3561;10225;7535;53347;3702;3820;6504;3603;9744;399;55340;26051;4063;29851;29909;596;4050;9806;64919;51466;27240</t>
  </si>
  <si>
    <t>TESPA1;FCMR;GRAP2;CD3D;LCK;CD2;CD3G;CD28;IL2RB;CD247;CD6;IL2RG;CD96;ZAP70;UBASH3A;ITK;KLRB1;SLAMF1;IL16;ACAP1;RHOH;GIMAP5;PPP1R16B;LY9;ICOS;GPR171;BCL2;LTB;SPOCK2;BCL11B;EVL;SIT1</t>
  </si>
  <si>
    <t>http://www.broadinstitute.org/gsea/msigdb/cards/GSE10325_LUPUS_CD4_TCELL_VS_LUPUS_MYELOID_UP.html</t>
  </si>
  <si>
    <t>GSE1460_INTRATHYMIC_T_PROGENITOR_VS_CD4_THYMOCYTE_DN</t>
  </si>
  <si>
    <t>9046;9214;9404;3689;5788;3560;963;7133;2123;923;1236;6772;3937;6504;3603;9459;8477;55340;4063;55303;55423;9056;10019;80342;29851;56253;1621;4050;10235;9806;51762;8605</t>
  </si>
  <si>
    <t>DOK2;FCMR;LPXN;ITGB2;PTPRC;IL2RB;CD53;TNFRSF1B;EVI2A;CD6;CCR7;STAT1;LCP2;SLAMF1;IL16;ARHGEF6;GPR65;GIMAP5;LY9;GIMAP4;SIRPG;SLC7A7;SH2B3;TRAF3IP3;ICOS;CRTAM;DBH;LTB;RASGRP2;SPOCK2;RAB8B;PLA2G4C</t>
  </si>
  <si>
    <t>http://www.broadinstitute.org/gsea/msigdb/cards/GSE1460_INTRATHYMIC_T_PROGENITOR_VS_CD4_THYMOCYTE_DN.html</t>
  </si>
  <si>
    <t>GSE16522_MEMORY_VS_NAIVE_ANTI_CD3CD28_STIM_CD8_TCELL_DN</t>
  </si>
  <si>
    <t>10068;925;972;914;3659;653361;919;3695;3561;942;6772;3594;6504;51296;11184;81030;59067;3111;926;3902;3586;3108;3290;356;10672;5133;79865;84329;145581;64919;1522;25939</t>
  </si>
  <si>
    <t>IL18BP;CD8A;CD74;CD2;IRF1;NCF1;CD247;ITGB7;IL2RG;CD86;STAT1;IL12RB1;SLAMF1;SLC15A3;MAP4K1;ZBP1;IL21;HLA-DOA;CD8B;LAG3;IL10;HLA-DMA;HSD11B1;FASLG;GNA13;PDCD1;TREML2;HVCN1;LRFN5;BCL11B;CTSZ;SAMHD1</t>
  </si>
  <si>
    <t>http://www.broadinstitute.org/gsea/msigdb/cards/GSE16522_MEMORY_VS_NAIVE_ANTI_CD3CD28_STIM_CD8_TCELL_DN.html</t>
  </si>
  <si>
    <t>GSE22886_NAIVE_CD4_TCELL_VS_MONOCYTE_UP</t>
  </si>
  <si>
    <t>9840;27334;9214;4068;915;3932;916;917;940;3001;919;959;923;10225;7535;53347;3702;50852;4063;55423;29851;29909;921;924;596;2113;3004;969;9363;814;9806;64919</t>
  </si>
  <si>
    <t>TESPA1;P2RY10;FCMR;SH2D1A;CD3D;LCK;CD3E;CD3G;CD28;GZMA;CD247;CD40LG;CD6;CD96;ZAP70;UBASH3A;ITK;TRAT1;LY9;SIRPG;ICOS;GPR171;CD5;CD7;BCL2;ETS1;GZMM;CD69;RAB33A;CAMK4;SPOCK2;BCL11B</t>
  </si>
  <si>
    <t>http://www.broadinstitute.org/gsea/msigdb/cards/GSE22886_NAIVE_CD4_TCELL_VS_MONOCYTE_UP.html</t>
  </si>
  <si>
    <t>GSE24142_EARLY_THYMIC_PROGENITOR_VS_DN2_THYMOCYTE_DN</t>
  </si>
  <si>
    <t>2533;9404;4068;9402;3559;915;3932;916;917;940;1493;3575;919;4354;3702;6504;399;50852;255231;114836;2672;64333;64231;84174;596;3290;4033;5133;64919;55013;11217;27240</t>
  </si>
  <si>
    <t>FYB1;LPXN;SH2D1A;GRAP2;IL2RA;CD3D;LCK;CD3E;CD3G;CD28;CTLA4;IL7R;CD247;MPP1;ITK;SLAMF1;RHOH;TRAT1;MCOLN2;SLAMF6;GFI1;ARHGAP9;MS4A6A;SLA2;BCL2;HSD11B1;LRMP;PDCD1;BCL11B;MCUB;AKAP2;SIT1</t>
  </si>
  <si>
    <t>http://www.broadinstitute.org/gsea/msigdb/cards/GSE24142_EARLY_THYMIC_PROGENITOR_VS_DN2_THYMOCYTE_DN.html</t>
  </si>
  <si>
    <t>GSE24634_IL4_VS_CTRL_TREATED_NAIVE_CD4_TCELL_DAY5_UP</t>
  </si>
  <si>
    <t>11309;10261;5579;1436;3055;942;4671;3903;51338;80896;64170;50615;55589;54209;29992;10019;2162;3117;3115;2811;240;4360;3109;140885;3604;7941;10148;6363;83937;54504;30835;4644</t>
  </si>
  <si>
    <t>SLCO2B1;IGSF6;PRKCB;CSF1R;HCK;CD86;NAIP;LAIR1;MS4A4A;NPL;CARD9;IL21R;BMP2K;TREM2;PILRA;SH2B3;F13A1;HLA-DQA1;HLA-DPB1;GP1BA;ALOX5;MRC1;HLA-DMB;SIRPA;TNFRSF9;PLA2G7;EBI3;CCL19;RASSF4;CPVL;CD209;MYO5A</t>
  </si>
  <si>
    <t>http://www.broadinstitute.org/gsea/msigdb/cards/GSE24634_IL4_VS_CTRL_TREATED_NAIVE_CD4_TCELL_DAY5_UP.html</t>
  </si>
  <si>
    <t>GSE3337_4H_VS_16H_IFNG_IN_CD8POS_DC_DN</t>
  </si>
  <si>
    <t>7305;9535;9450;713;1436;951;2209;313;2207;4354;10871;8514;83706;4064;64333;50856;3117;921;3111;1508;3956;3162;4066;3108;3109;3988;1235;4208;3123;23166;27240;9935</t>
  </si>
  <si>
    <t>TYROBP;GMFG;LY86;C1QB;CSF1R;CD37;FCGR1A;AOAH;FCER1G;MPP1;CD300C;KCNAB2;FERMT3;CD180;ARHGAP9;CLEC4A;HLA-DQA1;CD5;HLA-DOA;CTSB;LGALS1;HMOX1;LYL1;HLA-DMA;HLA-DMB;LIPA;CCR6;MEF2C;HLA-DRB1;STAB1;SIT1;MAFB</t>
  </si>
  <si>
    <t>http://www.broadinstitute.org/gsea/msigdb/cards/GSE3337_4H_VS_16H_IFNG_IN_CD8POS_DC_DN.html</t>
  </si>
  <si>
    <t>GSE2405_0H_VS_12H_A_PHAGOCYTOPHILUM_STIM_NEUTROPHIL_UP</t>
  </si>
  <si>
    <t>3689;962;5551;3560;7133;1236;6772;6890;3662;64926;8477;59067;4063;27128;8530;56253;924;596;6402;6693;1237;3718;54331;4818;79865;90634;91010;168537;131450;84329;4215;50943</t>
  </si>
  <si>
    <t>ITGB2;CD48;PRF1;IL2RB;TNFRSF1B;CCR7;STAT1;TAP1;IRF4;RASAL3;GPR65;IL21;LY9;CYTH4;CST7;CRTAM;CD7;BCL2;SELL;SPN;CCR8;JAK3;GNG2;NKG7;TREML2;N4BP2L1;FMNL3;GIMAP7;CD200R1;HVCN1;MAP3K3;FOXP3</t>
  </si>
  <si>
    <t>http://www.broadinstitute.org/gsea/msigdb/cards/GSE2405_0H_VS_12H_A_PHAGOCYTOPHILUM_STIM_NEUTROPHIL_UP.html</t>
  </si>
  <si>
    <t>GSE17301_ACD3_ACD28_VS_ACD3_ACD28_AND_IFNA5_STIM_CD8_TCELL_DN</t>
  </si>
  <si>
    <t>22797;7456;7305;9839;972;1536;2207;1439;4332;3394;3587;11006;6039;51338;64231;11314;10019;3717;3122;3115;1508;3002;3113;241;3108;3109;729230;11010;4208;3123;80183;4644</t>
  </si>
  <si>
    <t>TFEC;WIPF1;TYROBP;ZEB2;CD74;CYBB;FCER1G;CSF2RB;MNDA;IRF8;IL10RA;LILRB4;RNASE6;MS4A4A;MS4A6A;CD300A;SH2B3;JAK2;HLA-DRA;HLA-DPB1;CTSB;GZMB;HLA-DPA1;ALOX5AP;HLA-DMA;HLA-DMB;CCR2;GLIPR1;MEF2C;HLA-DRB1;RUBCNL;MYO5A</t>
  </si>
  <si>
    <t>http://www.broadinstitute.org/gsea/msigdb/cards/GSE17301_ACD3_ACD28_VS_ACD3_ACD28_AND_IFNA5_STIM_CD8_TCELL_DN.html</t>
  </si>
  <si>
    <t>GSE45739_UNSTIM_VS_ACD3_ACD28_STIM_NRAS_KO_CD4_TCELL_DN</t>
  </si>
  <si>
    <t>259197;9839;925;5341;3001;6351;6352;5551;3560;971;313;8477;2672;51744;30009;8530;56253;3002;926;3684;3902;2999;10578;3108;3109;356;3003;3604;3824;4818;3805;57823</t>
  </si>
  <si>
    <t>NCR3;ZEB2;CD8A;PLEK;GZMA;CCL4;CCL5;PRF1;IL2RB;CD72;AOAH;GPR65;GFI1;CD244;TBX21;CST7;CRTAM;GZMB;CD8B;ITGAM;LAG3;GZMH;GNLY;HLA-DMA;HLA-DMB;FASLG;GZMK;TNFRSF9;KLRD1;NKG7;KIR2DL4;SLAMF7</t>
  </si>
  <si>
    <t>http://www.broadinstitute.org/gsea/msigdb/cards/GSE45739_UNSTIM_VS_ACD3_ACD28_STIM_NRAS_KO_CD4_TCELL_DN.html</t>
  </si>
  <si>
    <t>GSE14415_INDUCED_TREG_VS_FOXP3_KO_INDUCED_TREG_IL2_CULTURE_UP</t>
  </si>
  <si>
    <t>10663;9839;3627;6351;5551;199;3587;10875;219972;51296;154075;1240;57105;29992;29851;8320;3553;5552;3684;3902;2213;2833;7941;4818;55704;168537;64780;79630;338339;50515</t>
  </si>
  <si>
    <t>CXCR6;ZEB2;CXCL10;CCL4;PRF1;AIF1;IL10RA;FGL2;MPEG1;SLC15A3;SAMD3;CMKLR1;CYSLTR2;PILRA;ICOS;EOMES;IL1B;SRGN;ITGAM;LAG3;FCGR2B;CXCR3;PLA2G7;NKG7;CCDC88A;GIMAP7;MICAL1;C1orf54;CLEC4D;CHST11</t>
  </si>
  <si>
    <t>http://www.broadinstitute.org/gsea/msigdb/cards/GSE14415_INDUCED_TREG_VS_FOXP3_KO_INDUCED_TREG_IL2_CULTURE_UP.html</t>
  </si>
  <si>
    <t>GSE7219_UNSTIM_VS_LPS_AND_ANTI_CD40_STIM_NIK_NFKB2_KO_DC_UP</t>
  </si>
  <si>
    <t>340152;5579;3676;919;1236;944;3903;92241;79626;151888;256380;154075;23533;89857;1794;114836;8832;366;10154;8320;924;3684;6402;2113;3290;2213;3004;10235;151556;81553</t>
  </si>
  <si>
    <t>ZC3H12D;PRKCB;ITGA4;CD247;CCR7;TNFSF8;LAIR1;RCSD1;TNFAIP8L2;BTLA;SCML4;SAMD3;PIK3R5;KLHL6;DOCK2;SLAMF6;CD84;AQP9;PLXNC1;EOMES;CD7;ITGAM;SELL;ETS1;HSD11B1;FCGR2B;GZMM;RASGRP2;GPR155;FAM49A</t>
  </si>
  <si>
    <t>http://www.broadinstitute.org/gsea/msigdb/cards/GSE7219_UNSTIM_VS_LPS_AND_ANTI_CD40_STIM_NIK_NFKB2_KO_DC_UP.html</t>
  </si>
  <si>
    <t>GSE14415_ACT_TCONV_VS_ACT_NATURAL_TREG_DN</t>
  </si>
  <si>
    <t>4542;10663;9839;9450;3627;1536;5551;3687;2207;941;5734;199;219972;3903;353345;115362;57105;64092;11314;29851;7099;5552;3684;1230;8905;140885;7941;79630;50515;4644</t>
  </si>
  <si>
    <t>MYO1F;CXCR6;ZEB2;LY86;CXCL10;CYBB;PRF1;ITGAX;FCER1G;CD80;PTGER4;AIF1;MPEG1;LAIR1;GPR141;GBP5;CYSLTR2;SAMSN1;CD300A;ICOS;TLR4;SRGN;ITGAM;CCR1;AP1S2;SIRPA;PLA2G7;C1orf54;CHST11;MYO5A</t>
  </si>
  <si>
    <t>http://www.broadinstitute.org/gsea/msigdb/cards/GSE14415_ACT_TCONV_VS_ACT_NATURAL_TREG_DN.html</t>
  </si>
  <si>
    <t>GSE14415_INDUCED_TREG_VS_FAILED_INDUCED_TREG_DN</t>
  </si>
  <si>
    <t>4542;10663;9839;4068;9450;3627;962;5551;3683;2207;5734;199;6504;3587;57580;57105;55303;29851;8530;8320;924;5552;3684;3902;8905;6503;64780;10507;50515;4644</t>
  </si>
  <si>
    <t>MYO1F;CXCR6;ZEB2;SH2D1A;LY86;CXCL10;CD48;PRF1;ITGAL;FCER1G;PTGER4;AIF1;SLAMF1;IL10RA;PREX1;CYSLTR2;GIMAP4;ICOS;CST7;EOMES;CD7;SRGN;ITGAM;LAG3;AP1S2;SLA;MICAL1;SEMA4D;CHST11;MYO5A</t>
  </si>
  <si>
    <t>http://www.broadinstitute.org/gsea/msigdb/cards/GSE14415_INDUCED_TREG_VS_FAILED_INDUCED_TREG_DN.html</t>
  </si>
  <si>
    <t>GOLDRATH_NAIVE_VS_MEMORY_CD8_TCELL_DN</t>
  </si>
  <si>
    <t>4542;3458;1536;3001;6351;6352;5551;7133;3687;2123;1234;199;3394;10875;255231;366;8530;56253;8320;3956;3002;2213;729230;356;2833;3003;3004;7185;8809;597;25939</t>
  </si>
  <si>
    <t>MYO1F;IFNG;CYBB;GZMA;CCL4;CCL5;PRF1;TNFRSF1B;ITGAX;EVI2A;CCR5;AIF1;IRF8;FGL2;MCOLN2;AQP9;CST7;CRTAM;EOMES;LGALS1;GZMB;FCGR2B;CCR2;FASLG;CXCR3;GZMK;GZMM;TRAF1;IL18R1;BCL2A1;SAMHD1</t>
  </si>
  <si>
    <t>http://www.broadinstitute.org/gsea/msigdb/cards/GOLDRATH_NAIVE_VS_MEMORY_CD8_TCELL_DN.html</t>
  </si>
  <si>
    <t>4542;9450;1536;962;963;971;11151;695;7805;3603;9459;1794;3635;23048;26051;6793;3115;240;3936;6402;3113;241;1043;9938;4050;969;9815;3123;55619;7462;80183</t>
  </si>
  <si>
    <t>MYO1F;LY86;CYBB;CD48;CD53;CD72;CORO1A;BTK;LAPTM5;IL16;ARHGEF6;DOCK2;INPP5D;FNBP1;PPP1R16B;STK10;HLA-DPB1;ALOX5;LCP1;SELL;HLA-DPA1;ALOX5AP;CD52;ARHGAP25;LTB;CD69;GIT2;HLA-DRB1;DOCK10;LAT2;RUBCNL</t>
  </si>
  <si>
    <t>http://www.broadinstitute.org/gsea/msigdb/cards/GSE13411_PLASMA_CELL_VS_MEMORY_BCELL_DN.html</t>
  </si>
  <si>
    <t>GSE17974_IL4_AND_ANTI_IL12_VS_UNTREATED_72H_ACT_CD4_TCELL_DN</t>
  </si>
  <si>
    <t>7456;8676;3559;2633;5734;6772;3394;6890;4283;6504;11262;10666;55843;50852;151888;170575;115362;115361;84636;55303;10673;4049;6402;3003;10148;161176;151556;155038;168537;50515;29126</t>
  </si>
  <si>
    <t>WIPF1;STX11;IL2RA;GBP1;PTGER4;STAT1;IRF8;TAP1;CXCL9;SLAMF1;SP140;CD226;ARHGAP15;TRAT1;BTLA;GIMAP1;GBP5;GBP4;GPR174;GIMAP4;TNFSF13B;LTA;SELL;GZMK;EBI3;SYNE3;GPR155;GIMAP8;GIMAP7;CHST11;CD274</t>
  </si>
  <si>
    <t>http://www.broadinstitute.org/gsea/msigdb/cards/GSE17974_IL4_AND_ANTI_IL12_VS_UNTREATED_72H_ACT_CD4_TCELL_DN.html</t>
  </si>
  <si>
    <t>GSE22886_CD4_TCELL_VS_BCELL_NAIVE_UP</t>
  </si>
  <si>
    <t>2533;4068;80833;920;915;914;917;940;6352;3575;3683;919;2123;923;2633;7535;199;53347;3702;474344;50852;64092;921;924;5552;3004;814;54518;9806;10507;64919</t>
  </si>
  <si>
    <t>FYB1;SH2D1A;APOL3;CD4;CD3D;CD2;CD3G;CD28;CCL5;IL7R;ITGAL;CD247;EVI2A;CD6;GBP1;ZAP70;AIF1;UBASH3A;ITK;GIMAP6;TRAT1;SAMSN1;CD5;CD7;SRGN;GZMM;CAMK4;APBB1IP;SPOCK2;SEMA4D;BCL11B</t>
  </si>
  <si>
    <t>http://www.broadinstitute.org/gsea/msigdb/cards/GSE22886_CD4_TCELL_VS_BCELL_NAIVE_UP.html</t>
  </si>
  <si>
    <t>GSE24142_EARLY_THYMIC_PROGENITOR_VS_DN3_THYMOCYTE_UP</t>
  </si>
  <si>
    <t>7305;1436;5341;3055;6352;653361;6688;945;3687;695;221472;8477;150372;4064;51744;11314;366;10154;2212;1043;2213;356;140885;4208;3824;10148;10235;79630;338339;10077;51063</t>
  </si>
  <si>
    <t>TYROBP;CSF1R;PLEK;HCK;CCL5;NCF1;SPI1;CD33;ITGAX;BTK;FGD2;GPR65;NFAM1;CD180;CD244;CD300A;AQP9;PLXNC1;FCGR2A;CD52;FCGR2B;FASLG;SIRPA;MEF2C;KLRD1;EBI3;RASGRP2;C1orf54;CLEC4D;TSPAN32;CALHM2</t>
  </si>
  <si>
    <t>http://www.broadinstitute.org/gsea/msigdb/cards/GSE24142_EARLY_THYMIC_PROGENITOR_VS_DN3_THYMOCYTE_UP.html</t>
  </si>
  <si>
    <t>GSE30083_SP3_VS_SP4_THYMOCYTE_DN</t>
  </si>
  <si>
    <t>340152;7305;9450;3458;1536;5341;3676;3560;2124;3394;10875;4689;219972;3903;221188;117289;80231;27128;30009;10154;4094;8320;3002;2833;55911;3824;8809;4818;10462;79895;51466</t>
  </si>
  <si>
    <t>ZC3H12D;TYROBP;LY86;IFNG;CYBB;PLEK;ITGA4;IL2RB;EVI2B;IRF8;FGL2;NCF4;MPEG1;LAIR1;ADGRG5;TAGAP;CXorf21;CYTH4;TBX21;PLXNC1;MAF;EOMES;GZMB;CXCR3;APOBR;KLRD1;IL18R1;NKG7;CLEC10A;ATP8B4;EVL</t>
  </si>
  <si>
    <t>http://www.broadinstitute.org/gsea/msigdb/cards/GSE30083_SP3_VS_SP4_THYMOCYTE_DN.html</t>
  </si>
  <si>
    <t>GSE7460_TCONV_VS_TREG_THYMUS_DN</t>
  </si>
  <si>
    <t>10663;8676;3559;6352;3560;1493;7133;944;5734;10875;4689;115361;29851;4094;8320;5552;3002;2213;2833;1235;3604;8809;10148;597;4818;51762;50943;50515;55281;55013;22806</t>
  </si>
  <si>
    <t>CXCR6;STX11;IL2RA;CCL5;IL2RB;CTLA4;TNFRSF1B;TNFSF8;PTGER4;FGL2;NCF4;GBP4;ICOS;MAF;EOMES;SRGN;GZMB;FCGR2B;CXCR3;CCR6;TNFRSF9;IL18R1;EBI3;BCL2A1;NKG7;RAB8B;FOXP3;CHST11;TMEM140;MCUB;IKZF3</t>
  </si>
  <si>
    <t>http://www.broadinstitute.org/gsea/msigdb/cards/GSE7460_TCONV_VS_TREG_THYMUS_DN.html</t>
  </si>
  <si>
    <t>GSE22140_GERMFREE_VS_SPF_ARTHRITIC_MOUSE_CD4_TCELL_DN</t>
  </si>
  <si>
    <t>54440;10261;713;3627;5341;3055;3659;2209;6352;7453;2207;3561;2633;2313;6890;4283;3587;10875;3662;3635;9056;6373;9881;3717;3117;6402;3290;729230;6776;6891;90634</t>
  </si>
  <si>
    <t>SASH3;IGSF6;C1QB;CXCL10;PLEK;HCK;IRF1;FCGR1A;CCL5;WARS;FCER1G;IL2RG;GBP1;FLI1;TAP1;CXCL9;IL10RA;FGL2;IRF4;INPP5D;SLC7A7;CXCL11;TRANK1;JAK2;HLA-DQA1;SELL;HSD11B1;CCR2;STAT5A;TAP2;N4BP2L1</t>
  </si>
  <si>
    <t>http://www.broadinstitute.org/gsea/msigdb/cards/GSE22140_GERMFREE_VS_SPF_ARTHRITIC_MOUSE_CD4_TCELL_DN.html</t>
  </si>
  <si>
    <t>GSE36078_WT_VS_IL1R_KO_LUNG_DC_AFTER_AD5_INF_UP</t>
  </si>
  <si>
    <t>4542;10663;7305;9839;3559;5341;3001;6352;3560;3687;3695;1234;6404;3903;53346;64092;366;1102;3956;924;3002;2213;729230;3004;55911;3824;4818;118788;79895;57823;25939</t>
  </si>
  <si>
    <t>MYO1F;CXCR6;TYROBP;ZEB2;IL2RA;PLEK;GZMA;CCL5;IL2RB;ITGAX;ITGB7;CCR5;SELPLG;LAIR1;TM6SF1;SAMSN1;AQP9;RCBTB2;LGALS1;CD7;GZMB;FCGR2B;CCR2;GZMM;APOBR;KLRD1;NKG7;PIK3AP1;ATP8B4;SLAMF7;SAMHD1</t>
  </si>
  <si>
    <t>http://www.broadinstitute.org/gsea/msigdb/cards/GSE36078_WT_VS_IL1R_KO_LUNG_DC_AFTER_AD5_INF_UP.html</t>
  </si>
  <si>
    <t>GSE25677_MPL_VS_R848_STIM_BCELL_DN</t>
  </si>
  <si>
    <t>27334;9535;9214;9595;9402;3695;5294;2313;3394;6504;7805;399;139818;151888;84636;50615;23228;3717;19;6402;3290;9938;4208;10672;85464;10235;25780;91526;25939</t>
  </si>
  <si>
    <t>P2RY10;GMFG;FCMR;CYTIP;GRAP2;ITGB7;PIK3CG;FLI1;IRF8;SLAMF1;LAPTM5;RHOH;DOCK11;BTLA;GPR174;IL21R;PLCL2;JAK2;ABCA1;SELL;HSD11B1;ARHGAP25;MEF2C;GNA13;SSH2;RASGRP2;RASGRP3;ANKRD44;SAMHD1</t>
  </si>
  <si>
    <t>http://www.broadinstitute.org/gsea/msigdb/cards/GSE25677_MPL_VS_R848_STIM_BCELL_DN.html</t>
  </si>
  <si>
    <t>GSE13485_CTRL_VS_DAY3_YF17D_VACCINE_PBMC_DN</t>
  </si>
  <si>
    <t>1318;712;713;3627;51056;2633;6772;3394;6890;695;3937;6404;719;221472;128346;55016;2210;51338;10673;6373;8564;10154;3113;25900;57514;118788;116071;6614;55803;25939</t>
  </si>
  <si>
    <t>SLC31A2;C1QA;C1QB;CXCL10;LAP3;GBP1;STAT1;IRF8;TAP1;BTK;LCP2;SELPLG;C3AR1;FGD2;C1orf162;MARCH1;FCGR1B;MS4A4A;TNFSF13B;CXCL11;KMO;PLXNC1;HLA-DPA1;IFFO1;ARHGAP31;PIK3AP1;BATF2;SIGLEC1;ADAP2;SAMHD1</t>
  </si>
  <si>
    <t>http://www.broadinstitute.org/gsea/msigdb/cards/GSE13485_CTRL_VS_DAY3_YF17D_VACCINE_PBMC_DN.html</t>
  </si>
  <si>
    <t>GSE22886_CD8_TCELL_VS_BCELL_NAIVE_UP</t>
  </si>
  <si>
    <t>2533;9402;80833;914;917;3001;6352;5551;3560;3575;3683;919;2633;7535;53347;3820;8514;474344;64092;29909;8530;56253;3956;924;10578;3004;4818;54518;10077;64919</t>
  </si>
  <si>
    <t>FYB1;GRAP2;APOL3;CD2;CD3G;GZMA;CCL5;PRF1;IL2RB;IL7R;ITGAL;CD247;GBP1;ZAP70;UBASH3A;KLRB1;KCNAB2;GIMAP6;SAMSN1;GPR171;CST7;CRTAM;LGALS1;CD7;GNLY;GZMM;NKG7;APBB1IP;TSPAN32;BCL11B</t>
  </si>
  <si>
    <t>http://www.broadinstitute.org/gsea/msigdb/cards/GSE22886_CD8_TCELL_VS_BCELL_NAIVE_UP.html</t>
  </si>
  <si>
    <t>GSE24142_EARLY_THYMIC_PROGENITOR_VS_DN3_THYMOCYTE_DN</t>
  </si>
  <si>
    <t>2533;4068;9402;3559;915;5579;3932;916;940;1493;3575;919;4354;3702;399;256380;114836;2672;64333;64231;84174;596;2113;3290;7185;5133;64919;55013;11217;27240</t>
  </si>
  <si>
    <t>FYB1;SH2D1A;GRAP2;IL2RA;CD3D;PRKCB;LCK;CD3E;CD28;CTLA4;IL7R;CD247;MPP1;ITK;RHOH;SCML4;SLAMF6;GFI1;ARHGAP9;MS4A6A;SLA2;BCL2;ETS1;HSD11B1;TRAF1;PDCD1;BCL11B;MCUB;AKAP2;SIT1</t>
  </si>
  <si>
    <t>http://www.broadinstitute.org/gsea/msigdb/cards/GSE24142_EARLY_THYMIC_PROGENITOR_VS_DN3_THYMOCYTE_DN.html</t>
  </si>
  <si>
    <t>GSE24142_EARLY_THYMIC_PROGENITOR_VS_DN2_THYMOCYTE_ADULT_UP</t>
  </si>
  <si>
    <t>7305;3689;1436;5341;3055;653361;945;2124;2322;942;3394;221472;146722;64407;51284;11314;10154;19;3117;2212;1043;356;11010;4208;55911;3824;8809;10148;3123;90634</t>
  </si>
  <si>
    <t>TYROBP;ITGB2;CSF1R;PLEK;HCK;NCF1;CD33;EVI2B;FLT3;CD86;IRF8;FGD2;CD300LF;RGS18;TLR7;CD300A;PLXNC1;ABCA1;HLA-DQA1;FCGR2A;CD52;FASLG;GLIPR1;MEF2C;APOBR;KLRD1;IL18R1;EBI3;HLA-DRB1;N4BP2L1</t>
  </si>
  <si>
    <t>http://www.broadinstitute.org/gsea/msigdb/cards/GSE24142_EARLY_THYMIC_PROGENITOR_VS_DN2_THYMOCYTE_ADULT_UP.html</t>
  </si>
  <si>
    <t>GSE8835_CD4_VS_CD8_TCELL_CLL_PATIENT_UP</t>
  </si>
  <si>
    <t>8676;3458;3627;917;2209;6352;3695;2014;4283;54899;84166;6039;64407;6373;3002;6402;6693;2358;3363;6776;356;27163;969;3824;8809;10462;80821;79895;59345;25939</t>
  </si>
  <si>
    <t>STX11;IFNG;CXCL10;CD3G;FCGR1A;CCL5;ITGB7;EMP3;CXCL9;PXK;NLRC5;RNASE6;RGS18;CXCL11;GZMB;SELL;SPN;FPR2;HTR7;STAT5A;FASLG;NAAA;CD69;KLRD1;IL18R1;CLEC10A;DDHD1;ATP8B4;GNB4;SAMHD1</t>
  </si>
  <si>
    <t>http://www.broadinstitute.org/gsea/msigdb/cards/GSE8835_CD4_VS_CD8_TCELL_CLL_PATIENT_UP.html</t>
  </si>
  <si>
    <t>GSE9316_IL6_KO_VS_IFNG_KO_INVIVO_EXPANDED_CD4_TCELL_DN</t>
  </si>
  <si>
    <t>3458;3559;3627;929;3659;3001;6351;6352;7453;313;51056;3594;6890;4283;51296;80380;81030;730249;9034;6373;3002;3586;7185;10148;597;116071;59345;50515;53831;55281</t>
  </si>
  <si>
    <t>IFNG;IL2RA;CXCL10;CD14;IRF1;GZMA;CCL4;CCL5;WARS;AOAH;LAP3;IL12RB1;TAP1;CXCL9;SLC15A3;PDCD1LG2;ZBP1;ACOD1;CCRL2;CXCL11;GZMB;IL10;TRAF1;EBI3;BCL2A1;BATF2;GNB4;CHST11;GPR84;TMEM140</t>
  </si>
  <si>
    <t>http://www.broadinstitute.org/gsea/msigdb/cards/GSE9316_IL6_KO_VS_IFNG_KO_INVIVO_EXPANDED_CD4_TCELL_DN.html</t>
  </si>
  <si>
    <t>GSE19401_PAM2CSK4_VS_RETINOIC_ACID_AND_PAM2CSK4_STIM_FOLLICULAR_DC_DN</t>
  </si>
  <si>
    <t>9046;11309;9450;2268;4245;942;4354;3820;4689;5800;3903;9332;55589;11314;23228;8742;348;341;10437;54;2999;4360;3988;5376;25900;4033;10457;10184;10462;1522</t>
  </si>
  <si>
    <t>DOK2;SLCO2B1;LY86;FGR;MGAT1;CD86;MPP1;KLRB1;NCF4;PTPRO;LAIR1;CD163;BMP2K;CD300A;PLCL2;TNFSF12;APOE;APOC1;IFI30;ACP5;GZMH;MRC1;LIPA;PMP22;IFFO1;LRMP;GPNMB;LHFPL2;CLEC10A;CTSZ</t>
  </si>
  <si>
    <t>http://www.broadinstitute.org/gsea/msigdb/cards/GSE19401_PAM2CSK4_VS_RETINOIC_ACID_AND_PAM2CSK4_STIM_FOLLICULAR_DC_DN.html</t>
  </si>
  <si>
    <t>GSE23505_UNTREATED_VS_4DAY_IL6_IL1_IL23_TREATED_CD4_TCELL_DN</t>
  </si>
  <si>
    <t>27334;9214;9595;972;914;962;940;1234;4354;79626;83706;57580;170575;89857;9034;8564;3117;3111;596;3112;3108;3109;4050;25900;3824;10148;3123;441168;79865;11217</t>
  </si>
  <si>
    <t>P2RY10;FCMR;CYTIP;CD74;CD2;CD48;CD28;CCR5;MPP1;TNFAIP8L2;FERMT3;PREX1;GIMAP1;KLHL6;CCRL2;KMO;HLA-DQA1;HLA-DOA;BCL2;HLA-DOB;HLA-DMA;HLA-DMB;LTB;IFFO1;KLRD1;EBI3;HLA-DRB1;CALHM6;TREML2;AKAP2</t>
  </si>
  <si>
    <t>http://www.broadinstitute.org/gsea/msigdb/cards/GSE23505_UNTREATED_VS_4DAY_IL6_IL1_IL23_TREATED_CD4_TCELL_DN.html</t>
  </si>
  <si>
    <t>GSE36888_UNTREATED_VS_IL2_TREATED_STAT5_AB_KNOCKIN_TCELL_6H_UP</t>
  </si>
  <si>
    <t>11025;929;3055;7133;11151;126364;57580;58475;64092;9056;353514;11024;4094;7439;3553;2212;9103;2357;2358;2213;3363;54331;5376;79168;118788;6363;84034;7462;81553;30835</t>
  </si>
  <si>
    <t>LILRB3;CD14;HCK;TNFRSF1B;CORO1A;LRRC25;PREX1;MS4A7;SAMSN1;SLC7A7;LILRA5;LILRA1;MAF;BEST1;IL1B;FCGR2A;FCGR2A;FPR1;FPR2;FCGR2B;HTR7;GNG2;PMP22;LILRA6;PIK3AP1;CCL19;EMILIN2;LAT2;FAM49A;CD209</t>
  </si>
  <si>
    <t>http://www.broadinstitute.org/gsea/msigdb/cards/GSE36888_UNTREATED_VS_IL2_TREATED_STAT5_AB_KNOCKIN_TCELL_6H_UP.html</t>
  </si>
  <si>
    <t>GSE41087_WT_VS_FOXP3_MUT_ANTI_CD3_CD28_STIM_CD4_TCELL_UP</t>
  </si>
  <si>
    <t>9595;3055;3659;7453;3561;1236;1439;1234;3587;3662;51311;2219;9120;366;8530;3122;3117;3115;921;3936;4688;3113;3108;729230;11010;4973;7185;3123;50515;57823</t>
  </si>
  <si>
    <t>CYTIP;HCK;IRF1;WARS;IL2RG;CCR7;CSF2RB;CCR5;IL10RA;IRF4;TLR8;FCN1;SLC16A6;AQP9;CST7;HLA-DRA;HLA-DQA1;HLA-DPB1;CD5;LCP1;NCF2;HLA-DPA1;HLA-DMA;CCR2;GLIPR1;OLR1;TRAF1;HLA-DRB1;CHST11;SLAMF7</t>
  </si>
  <si>
    <t>http://www.broadinstitute.org/gsea/msigdb/cards/GSE41087_WT_VS_FOXP3_MUT_ANTI_CD3_CD28_STIM_CD4_TCELL_UP.html</t>
  </si>
  <si>
    <t>GSE45365_NK_CELL_VS_CD11B_DC_DN</t>
  </si>
  <si>
    <t>4542;4210;9595;8676;3689;929;6351;6688;11151;1439;942;6404;219972;51296;146722;27128;29992;730249;3553;2358;6776;4973;441168;375387;338339;10507;64581;50515;11217;9935</t>
  </si>
  <si>
    <t>MYO1F;MEFV;CYTIP;STX11;ITGB2;CD14;CCL4;SPI1;CORO1A;CSF2RB;CD86;SELPLG;MPEG1;SLC15A3;CD300LF;CYTH4;PILRA;ACOD1;IL1B;FPR2;STAT5A;OLR1;CALHM6;NRROS;CLEC4D;SEMA4D;CLEC7A;CHST11;AKAP2;MAFB</t>
  </si>
  <si>
    <t>http://www.broadinstitute.org/gsea/msigdb/cards/GSE45365_NK_CELL_VS_CD11B_DC_DN.html</t>
  </si>
  <si>
    <t>GSE4590_SMALL_VS_LARGE_PRE_BCELL_UP</t>
  </si>
  <si>
    <t>7305;9839;925;1536;3055;5551;5734;6504;9744;10666;3903;51296;4064;58475;4063;51311;10154;10437;5724;7941;4818;118788;120425;202309;338339;51676;29126;26279</t>
  </si>
  <si>
    <t>TYROBP;ZEB2;CD8A;CYBB;HCK;PRF1;PTGER4;SLAMF1;ACAP1;CD226;LAIR1;SLC15A3;CD180;MS4A7;LY9;TLR8;PLXNC1;IFI30;PTAFR;PLA2G7;NKG7;PIK3AP1;JAML;GAPT;CLEC4D;ASB2;CD274;PLA2G2D</t>
  </si>
  <si>
    <t>http://www.broadinstitute.org/gsea/msigdb/cards/GSE4590_SMALL_VS_LARGE_PRE_BCELL_UP.html</t>
  </si>
  <si>
    <t>GSE40274_CTRL_VS_FOXP3_AND_EOS_TRANSDUCED_ACTIVATED_CD4_TCELL_UP</t>
  </si>
  <si>
    <t>4210;9402;10875;399;124460;83706;150372;115362;64333;51393;6373;6402;2113;3737;4481;3290;4261;54331;79865;25780;91526;64780;9754;81553;51063;55691;25939</t>
  </si>
  <si>
    <t>MEFV;GRAP2;FGL2;RHOH;SNX20;FERMT3;NFAM1;GBP5;ARHGAP9;TRPV2;CXCL11;SELL;ETS1;KCNA2;MSR1;HSD11B1;CIITA;GNG2;TREML2;RASGRP3;ANKRD44;MICAL1;STARD8;FAM49A;CALHM2;FRMD4A;SAMHD1</t>
  </si>
  <si>
    <t>http://www.broadinstitute.org/gsea/msigdb/cards/GSE40274_CTRL_VS_FOXP3_AND_EOS_TRANSDUCED_ACTIVATED_CD4_TCELL_UP.html</t>
  </si>
  <si>
    <t>GSE21670_UNTREATED_VS_TGFB_TREATED_STAT3_KO_CD4_TCELL_DN</t>
  </si>
  <si>
    <t>9840;3559;1493;944;3702;3937;3662;201633;64926;139716;11184;2672;8832;8320;921;1435;596;2113;9938;54331;3604;969;9815;27314;25780;91526;131450;10507;64919</t>
  </si>
  <si>
    <t>TESPA1;IL2RA;CTLA4;TNFSF8;ITK;LCP2;IRF4;TIGIT;RASAL3;GAB3;MAP4K1;GFI1;CD84;EOMES;CD5;CSF1;BCL2;ETS1;ARHGAP25;GNG2;TNFRSF9;CD69;GIT2;RAB30;RASGRP3;ANKRD44;CD200R1;SEMA4D;BCL11B</t>
  </si>
  <si>
    <t>http://www.broadinstitute.org/gsea/msigdb/cards/GSE21670_UNTREATED_VS_TGFB_TREATED_STAT3_KO_CD4_TCELL_DN.html</t>
  </si>
  <si>
    <t>GSE6259_FLT3L_INDUCED_VS_WT_SPLENIC_DC_33D1_POS_UP</t>
  </si>
  <si>
    <t>712;972;929;2350;653361;971;11151;5800;149628;497189;150372;55016;6039;51284;7099;240;2357;728;4261;729230;27163;7185;10148;89846;151556;10462;6614</t>
  </si>
  <si>
    <t>C1QA;CD74;CD14;FOLR2;NCF1;CD72;CORO1A;PTPRO;PYHIN1;TIFAB;NFAM1;MARCH1;RNASE6;TLR7;TLR4;ALOX5;FPR1;C5AR1;CIITA;CCR2;NAAA;TRAF1;EBI3;FGD3;GPR155;CLEC10A;SIGLEC1</t>
  </si>
  <si>
    <t>http://www.broadinstitute.org/gsea/msigdb/cards/GSE6259_FLT3L_INDUCED_VS_WT_SPLENIC_DC_33D1_POS_UP.html</t>
  </si>
  <si>
    <t>GSE11057_NAIVE_VS_EFF_MEMORY_CD4_TCELL_DN</t>
  </si>
  <si>
    <t>4542;4068;8676;3458;972;940;3001;6352;2124;3820;3587;4689;10666;201633;57580;8832;30009;10154;3956;5552;3113;241;729230;11010;2833;3003;1235;51676;51063</t>
  </si>
  <si>
    <t>MYO1F;SH2D1A;STX11;IFNG;CD74;CD28;GZMA;CCL5;EVI2B;KLRB1;IL10RA;NCF4;CD226;TIGIT;PREX1;CD84;TBX21;PLXNC1;LGALS1;SRGN;HLA-DPA1;ALOX5AP;CCR2;GLIPR1;CXCR3;GZMK;CCR6;ASB2;CALHM2</t>
  </si>
  <si>
    <t>http://www.broadinstitute.org/gsea/msigdb/cards/GSE11057_NAIVE_VS_EFF_MEMORY_CD4_TCELL_DN.html</t>
  </si>
  <si>
    <t>GSE12845_PRE_GC_VS_DARKZONE_GC_TONSIL_BCELL_UP</t>
  </si>
  <si>
    <t>7940;7305;9214;1436;929;3055;971;2207;1236;6890;5800;221472;6039;26051;81030;4063;51284;27299;6793;341;1508;54;1235;7941;10457;10235;79630;26279;9935</t>
  </si>
  <si>
    <t>LST1;TYROBP;FCMR;CSF1R;CD14;HCK;CD72;FCER1G;CCR7;TAP1;PTPRO;FGD2;RNASE6;PPP1R16B;ZBP1;LY9;TLR7;ADAMDEC1;STK10;APOC1;CTSB;ACP5;CCR6;PLA2G7;GPNMB;RASGRP2;C1orf54;PLA2G2D;MAFB</t>
  </si>
  <si>
    <t>http://www.broadinstitute.org/gsea/msigdb/cards/GSE12845_PRE_GC_VS_DARKZONE_GC_TONSIL_BCELL_UP.html</t>
  </si>
  <si>
    <t>GSE22886_TCELL_VS_BCELL_NAIVE_UP</t>
  </si>
  <si>
    <t>2533;915;3932;914;916;917;3575;3683;919;2123;2633;7535;53347;391;3702;8514;6404;474344;55340;64092;51393;924;5552;3004;54518;9806;10507;64919;25939</t>
  </si>
  <si>
    <t>FYB1;CD3D;LCK;CD2;CD3E;CD3G;IL7R;ITGAL;CD247;EVI2A;GBP1;ZAP70;UBASH3A;RHOG;ITK;KCNAB2;SELPLG;GIMAP6;GIMAP5;SAMSN1;TRPV2;CD7;SRGN;GZMM;APBB1IP;SPOCK2;SEMA4D;BCL11B;SAMHD1</t>
  </si>
  <si>
    <t>http://www.broadinstitute.org/gsea/msigdb/cards/GSE22886_TCELL_VS_BCELL_NAIVE_UP.html</t>
  </si>
  <si>
    <t>4542;9051;11025;80833;929;962;3659;951;3676;7133;3683;11151;10288;51744;11314;9056;2219;10154;11024;6793;6402;2357;6556;8905;11027;10507;7462;55013;10004</t>
  </si>
  <si>
    <t>MYO1F;PSTPIP1;LILRB3;APOL3;CD14;CD48;IRF1;CD37;ITGA4;TNFRSF1B;ITGAL;CORO1A;LILRB2;CD244;CD300A;SLC7A7;FCN1;PLXNC1;LILRA1;STK10;SELL;FPR1;SLC11A1;AP1S2;LILRA2;SEMA4D;LAT2;MCUB;NAALADL1</t>
  </si>
  <si>
    <t>http://www.broadinstitute.org/gsea/msigdb/cards/GSE22886_DC_VS_MONOCYTE_DN.html</t>
  </si>
  <si>
    <t>GSE24142_EARLY_THYMIC_PROGENITOR_VS_DN2_THYMOCYTE_FETAL_UP</t>
  </si>
  <si>
    <t>3458;3689;1436;5341;945;2322;942;3394;10875;146722;11314;27299;366;10154;19;924;2212;729230;356;2833;1237;140885;4208;55911;6503;3824;8809;375387;25939</t>
  </si>
  <si>
    <t>IFNG;ITGB2;CSF1R;PLEK;CD33;FLT3;CD86;IRF8;FGL2;CD300LF;CD300A;ADAMDEC1;AQP9;PLXNC1;ABCA1;CD7;FCGR2A;CCR2;FASLG;CXCR3;CCR8;SIRPA;MEF2C;APOBR;SLA;KLRD1;IL18R1;NRROS;SAMHD1</t>
  </si>
  <si>
    <t>http://www.broadinstitute.org/gsea/msigdb/cards/GSE24142_EARLY_THYMIC_PROGENITOR_VS_DN2_THYMOCYTE_FETAL_UP.html</t>
  </si>
  <si>
    <t>GSE29618_BCELL_VS_PDC_UP</t>
  </si>
  <si>
    <t>27334;9214;80833;9450;5788;962;951;1378;971;11262;7805;399;55589;240;596;9103;3112;2213;9938;1235;969;11009;27314;597;25780;51762;7462;64174;51466</t>
  </si>
  <si>
    <t>P2RY10;FCMR;APOL3;LY86;PTPRC;CD48;CD37;CR1;CD72;SP140;LAPTM5;RHOH;BMP2K;ALOX5;BCL2;FCGR2A;HLA-DOB;FCGR2B;ARHGAP25;CCR6;CD69;IL24;RAB30;BCL2A1;RASGRP3;RAB8B;LAT2;DPEP2;EVL</t>
  </si>
  <si>
    <t>http://www.broadinstitute.org/gsea/msigdb/cards/GSE29618_BCELL_VS_PDC_UP.html</t>
  </si>
  <si>
    <t>GSE3982_DC_VS_CENT_MEMORY_CD4_TCELL_UP</t>
  </si>
  <si>
    <t>1318;10261;1536;2268;945;3101;3394;695;51296;80896;53346;64170;64231;51284;56833;8564;3122;3956;1435;9103;728;3290;2213;10457;25780;11027;50515;1522;8605</t>
  </si>
  <si>
    <t>SLC31A2;IGSF6;CYBB;FGR;CD33;HK3;IRF8;BTK;SLC15A3;NPL;TM6SF1;CARD9;MS4A6A;TLR7;SLAMF8;KMO;HLA-DRA;LGALS1;CSF1;FCGR2A;C5AR1;HSD11B1;FCGR2B;GPNMB;RASGRP3;LILRA2;CHST11;CTSZ;PLA2G4C</t>
  </si>
  <si>
    <t>http://www.broadinstitute.org/gsea/msigdb/cards/GSE3982_DC_VS_CENT_MEMORY_CD4_TCELL_UP.html</t>
  </si>
  <si>
    <t>GSE7852_TREG_VS_TCONV_THYMUS_UP</t>
  </si>
  <si>
    <t>10663;3559;6352;1493;7133;944;5734;10875;51296;115361;29851;4094;8320;5552;3002;2213;729230;2833;1235;8809;10148;5133;597;4818;51762;50943;50515;55281;55013</t>
  </si>
  <si>
    <t>CXCR6;IL2RA;CCL5;CTLA4;TNFRSF1B;TNFSF8;PTGER4;FGL2;SLC15A3;GBP4;ICOS;MAF;EOMES;SRGN;GZMB;FCGR2B;CCR2;CXCR3;CCR6;IL18R1;EBI3;PDCD1;BCL2A1;NKG7;RAB8B;FOXP3;CHST11;TMEM140;MCUB</t>
  </si>
  <si>
    <t>http://www.broadinstitute.org/gsea/msigdb/cards/GSE7852_TREG_VS_TCONV_THYMUS_UP.html</t>
  </si>
  <si>
    <t>GSE9988_ANTI_TREM1_VS_LPS_MONOCYTE_DN</t>
  </si>
  <si>
    <t>8676;3055;6351;2633;399;92241;255231;117289;55340;114548;23048;64092;51284;29992;730249;366;10154;3553;3586;5724;6776;6507;3604;7185;10148;597;118788;81553;29126</t>
  </si>
  <si>
    <t>STX11;HCK;CCL4;GBP1;RHOH;RCSD1;MCOLN2;TAGAP;GIMAP5;NLRP3;FNBP1;SAMSN1;TLR7;PILRA;ACOD1;AQP9;PLXNC1;IL1B;IL10;PTAFR;STAT5A;SLC1A3;TNFRSF9;TRAF1;EBI3;BCL2A1;PIK3AP1;FAM49A;CD274</t>
  </si>
  <si>
    <t>http://www.broadinstitute.org/gsea/msigdb/cards/GSE9988_ANTI_TREM1_VS_LPS_MONOCYTE_DN.html</t>
  </si>
  <si>
    <t>GSE9988_ANTI_TREM1_VS_LOW_LPS_MONOCYTE_DN</t>
  </si>
  <si>
    <t>8676;10261;3055;6351;2633;399;92241;255231;117289;55340;114548;23048;64092;51284;29992;730249;366;3553;3586;6776;6507;3604;7185;10148;597;118788;81553;53831;29126</t>
  </si>
  <si>
    <t>STX11;IGSF6;HCK;CCL4;GBP1;RHOH;RCSD1;MCOLN2;TAGAP;GIMAP5;NLRP3;FNBP1;SAMSN1;TLR7;PILRA;ACOD1;AQP9;IL1B;IL10;STAT5A;SLC1A3;TNFRSF9;TRAF1;EBI3;BCL2A1;PIK3AP1;FAM49A;GPR84;CD274</t>
  </si>
  <si>
    <t>http://www.broadinstitute.org/gsea/msigdb/cards/GSE9988_ANTI_TREM1_VS_LOW_LPS_MONOCYTE_DN.html</t>
  </si>
  <si>
    <t>GSE2405_HEAT_KILLED_LYSATE_VS_LIVE_A_PHAGOCYTOPHILUM_STIM_NEUTROPHIL_9H_DN</t>
  </si>
  <si>
    <t>925;915;3932;951;3001;5551;919;10225;7535;5294;1233;53347;9459;399;474344;257106;83706;387357;81704;170575;89857;4063;926;6402;3059;10235;131450;4215;27240</t>
  </si>
  <si>
    <t>CD8A;CD3D;LCK;CD37;GZMA;PRF1;CD247;CD96;ZAP70;PIK3CG;CCR4;UBASH3A;ARHGEF6;RHOH;GIMAP6;ARHGAP30;FERMT3;THEMIS;DOCK8;GIMAP1;KLHL6;LY9;CD8B;SELL;HCLS1;RASGRP2;CD200R1;MAP3K3;SIT1</t>
  </si>
  <si>
    <t>http://www.broadinstitute.org/gsea/msigdb/cards/GSE2405_HEAT_KILLED_LYSATE_VS_LIVE_A_PHAGOCYTOPHILUM_STIM_NEUTROPHIL_9H_DN.html</t>
  </si>
  <si>
    <t>GSE22601_IMMATURE_CD4_SINGLE_POSITIVE_VS_CD8_SINGLE_POSITIVE_THYMOCYTE_UP</t>
  </si>
  <si>
    <t>9046;54440;2123;2124;3594;3603;399;286336;79626;474344;124460;374403;2672;84174;27128;80342;51393;921;54;2833;4050;6503;90634;10235;168537;84329;10077;54861;27240</t>
  </si>
  <si>
    <t>DOK2;SASH3;EVI2A;EVI2B;IL12RB1;IL16;RHOH;FAM78A;TNFAIP8L2;GIMAP6;SNX20;TBC1D10C;GFI1;SLA2;CYTH4;TRAF3IP3;TRPV2;CD5;ACP5;CXCR3;LTB;SLA;N4BP2L1;RASGRP2;GIMAP7;HVCN1;TSPAN32;SNRK;SIT1</t>
  </si>
  <si>
    <t>http://www.broadinstitute.org/gsea/msigdb/cards/GSE22601_IMMATURE_CD4_SINGLE_POSITIVE_VS_CD8_SINGLE_POSITIVE_THYMOCYTE_UP.html</t>
  </si>
  <si>
    <t>GSE5679_RARA_AGONIST_AM580_VS_AM580_AND_ROSIGLITAZONE_TREATED_DC_DN</t>
  </si>
  <si>
    <t>3559;3676;653361;3575;3695;10225;3662;10666;286336;3903;23533;64333;30009;2857;80342;6793;1102;921;3002;54;729230;3824;4818;10235;54518;79895;55619;84329;27240</t>
  </si>
  <si>
    <t>IL2RA;ITGA4;NCF1;IL7R;ITGB7;CD96;IRF4;CD226;FAM78A;LAIR1;PIK3R5;ARHGAP9;TBX21;GPR34;TRAF3IP3;STK10;RCBTB2;CD5;GZMB;ACP5;CCR2;KLRD1;NKG7;RASGRP2;APBB1IP;ATP8B4;DOCK10;HVCN1;SIT1</t>
  </si>
  <si>
    <t>http://www.broadinstitute.org/gsea/msigdb/cards/GSE5679_RARA_AGONIST_AM580_VS_AM580_AND_ROSIGLITAZONE_TREATED_DC_DN.html</t>
  </si>
  <si>
    <t>GSE16266_LPS_VS_HEATSHOCK_AND_LPS_STIM_MEF_UP</t>
  </si>
  <si>
    <t>10663;9450;925;972;5341;971;1439;944;2124;3394;695;221472;170575;8530;3117;3111;926;4066;10437;3112;3108;4261;2833;1235;4208;4818;3123;51063;30835</t>
  </si>
  <si>
    <t>CXCR6;LY86;CD8A;CD74;PLEK;CD72;CSF2RB;TNFSF8;EVI2B;IRF8;BTK;FGD2;GIMAP1;CST7;HLA-DQA1;HLA-DOA;CD8B;LYL1;IFI30;HLA-DOB;HLA-DMA;CIITA;CXCR3;CCR6;MEF2C;NKG7;HLA-DRB1;CALHM2;CD209</t>
  </si>
  <si>
    <t>http://www.broadinstitute.org/gsea/msigdb/cards/GSE16266_LPS_VS_HEATSHOCK_AND_LPS_STIM_MEF_UP.html</t>
  </si>
  <si>
    <t>GSE19198_1H_VS_24H_IL21_TREATED_TCELL_UP</t>
  </si>
  <si>
    <t>4542;5579;3932;1436;917;3683;3687;2123;3695;2124;10225;8514;93978;80301;64333;11314;29992;4688;2357;3988;27163;55911;4033;91526;115727;56670;64581;64098;9935</t>
  </si>
  <si>
    <t>MYO1F;PRKCB;LCK;CSF1R;CD3G;ITGAL;ITGAX;EVI2A;ITGB7;EVI2B;CD96;KCNAB2;CLEC6A;PLEKHO2;ARHGAP9;CD300A;PILRA;NCF2;FPR1;LIPA;NAAA;APOBR;LRMP;ANKRD44;RASGRP4;SUCNR1;CLEC7A;PARVG;MAFB</t>
  </si>
  <si>
    <t>http://www.broadinstitute.org/gsea/msigdb/cards/GSE19198_1H_VS_24H_IL21_TREATED_TCELL_UP.html</t>
  </si>
  <si>
    <t>GSE18281_SUBCAPSULAR_VS_CENTRAL_CORTICAL_REGION_OF_THYMUS_DN</t>
  </si>
  <si>
    <t>4210;1536;3055;2268;6352;7453;313;2207;1236;942;6772;6890;4283;93978;81030;64092;56833;9034;6402;2357;2358;3718;6891;100506736;80821;338339;59345;55281;29126</t>
  </si>
  <si>
    <t>MEFV;CYBB;HCK;FGR;CCL5;WARS;AOAH;FCER1G;CCR7;CD86;STAT1;TAP1;CXCL9;CLEC6A;ZBP1;SAMSN1;SLAMF8;CCRL2;SELL;FPR1;FPR2;JAK3;TAP2;SLFN12L;DDHD1;CLEC4D;GNB4;TMEM140;CD274</t>
  </si>
  <si>
    <t>http://www.broadinstitute.org/gsea/msigdb/cards/GSE18281_SUBCAPSULAR_VS_CENTRAL_CORTICAL_REGION_OF_THYMUS_DN.html</t>
  </si>
  <si>
    <t>GSE19888_ADENOSINE_A3R_INH_VS_ACT_WITH_INHIBITOR_PRETREATMENT_IN_MAST_CELL_UP</t>
  </si>
  <si>
    <t>10068;3627;3055;2214;3659;2209;7453;6772;6890;4283;10875;219972;6039;115361;81030;56833;6373;3002;2357;3586;2358;969;4818;441168;118788;116071;59345;29126;25939</t>
  </si>
  <si>
    <t>IL18BP;CXCL10;HCK;FCGR3A;IRF1;FCGR1A;WARS;STAT1;TAP1;CXCL9;FGL2;MPEG1;RNASE6;GBP4;ZBP1;SLAMF8;CXCL11;GZMB;FPR1;IL10;FPR2;CD69;NKG7;CALHM6;PIK3AP1;BATF2;GNB4;CD274;SAMHD1</t>
  </si>
  <si>
    <t>http://www.broadinstitute.org/gsea/msigdb/cards/GSE19888_ADENOSINE_A3R_INH_VS_ACT_WITH_INHIBITOR_PRETREATMENT_IN_MAST_CELL_UP.html</t>
  </si>
  <si>
    <t>GSE19888_ADENOSINE_A3R_INH_VS_ACT_IN_MAST_CELL_DN</t>
  </si>
  <si>
    <t>2214;3659;3676;3695;959;3561;3394;10871;10875;219972;55843;221472;146722;139716;1794;6039;115361;59067;56833;10673;1102;3290;729230;7454;9363;441168;57705;59345;55281</t>
  </si>
  <si>
    <t>FCGR3A;IRF1;ITGA4;ITGB7;CD40LG;IL2RG;IRF8;CD300C;FGL2;MPEG1;ARHGAP15;FGD2;CD300LF;GAB3;DOCK2;RNASE6;GBP4;IL21;SLAMF8;TNFSF13B;RCBTB2;HSD11B1;CCR2;WAS;RAB33A;CALHM6;WDFY4;GNB4;TMEM140</t>
  </si>
  <si>
    <t>http://www.broadinstitute.org/gsea/msigdb/cards/GSE19888_ADENOSINE_A3R_INH_VS_ACT_IN_MAST_CELL_DN.html</t>
  </si>
  <si>
    <t>GSE21380_NON_TFH_VS_TFH_CD4_TCELL_UP</t>
  </si>
  <si>
    <t>22797;9450;951;6351;11151;3071;3394;3937;92241;151888;221472;81704;1794;6039;80380;53346;64407;7099;3111;729230;9938;8905;55911;2529;57514;100506736;10235;79630;81553</t>
  </si>
  <si>
    <t>TFEC;LY86;CD37;CCL4;CORO1A;NCKAP1L;IRF8;LCP2;RCSD1;BTLA;FGD2;DOCK8;DOCK2;RNASE6;PDCD1LG2;TM6SF1;RGS18;TLR4;HLA-DOA;CCR2;ARHGAP25;AP1S2;APOBR;FUT7;ARHGAP31;SLFN12L;RASGRP2;C1orf54;FAM49A</t>
  </si>
  <si>
    <t>http://www.broadinstitute.org/gsea/msigdb/cards/GSE21380_NON_TFH_VS_TFH_CD4_TCELL_UP.html</t>
  </si>
  <si>
    <t>GSE22196_HEALTHY_VS_OBESE_MOUSE_SKIN_GAMMADELTA_TCELL_UP</t>
  </si>
  <si>
    <t>2533;1318;9051;54440;713;3627;3659;2209;945;7453;4245;2633;6890;4283;6504;3587;10875;9034;6373;9881;54;3109;3290;6776;6507;6891;4033;90634;8605</t>
  </si>
  <si>
    <t>FYB1;SLC31A2;PSTPIP1;SASH3;C1QB;CXCL10;IRF1;FCGR1A;CD33;WARS;MGAT1;GBP1;TAP1;CXCL9;SLAMF1;IL10RA;FGL2;CCRL2;CXCL11;TRANK1;ACP5;HLA-DMB;HSD11B1;STAT5A;SLC1A3;TAP2;LRMP;N4BP2L1;PLA2G4C</t>
  </si>
  <si>
    <t>http://www.broadinstitute.org/gsea/msigdb/cards/GSE22196_HEALTHY_VS_OBESE_MOUSE_SKIN_GAMMADELTA_TCELL_UP.html</t>
  </si>
  <si>
    <t>GSE29164_UNTREATED_VS_CD8_TCELL_TREATED_MELANOMA_DAY3_DN</t>
  </si>
  <si>
    <t>7305;54440;10261;5579;1436;3575;944;5294;3937;5800;150372;81030;50615;11314;921;3111;5452;356;3718;25900;85464;151556;375387;80821;55619;51676;56670;81553;1522</t>
  </si>
  <si>
    <t>TYROBP;SASH3;IGSF6;PRKCB;CSF1R;IL7R;TNFSF8;PIK3CG;LCP2;PTPRO;NFAM1;ZBP1;IL21R;CD300A;CD5;HLA-DOA;POU2F2;FASLG;JAK3;IFFO1;SSH2;GPR155;NRROS;DDHD1;DOCK10;ASB2;SUCNR1;FAM49A;CTSZ</t>
  </si>
  <si>
    <t>http://www.broadinstitute.org/gsea/msigdb/cards/GSE29164_UNTREATED_VS_CD8_TCELL_TREATED_MELANOMA_DAY3_DN.html</t>
  </si>
  <si>
    <t>GSE33425_CD8_ALPHAALPHA_VS_ALPHABETA_CD161_HIGH_TCELL_UP</t>
  </si>
  <si>
    <t>9450;972;5579;3055;6688;971;4245;3394;695;4689;259307;55589;10019;19;3117;348;3111;4066;10437;3112;6402;4688;3108;3109;2213;4261;1235;4208;10077</t>
  </si>
  <si>
    <t>LY86;CD74;PRKCB;HCK;SPI1;CD72;MGAT1;IRF8;BTK;NCF4;IL4I1;BMP2K;SH2B3;ABCA1;HLA-DQA1;APOE;HLA-DOA;LYL1;IFI30;HLA-DOB;SELL;NCF2;HLA-DMA;HLA-DMB;FCGR2B;CIITA;CCR6;MEF2C;TSPAN32</t>
  </si>
  <si>
    <t>http://www.broadinstitute.org/gsea/msigdb/cards/GSE33425_CD8_ALPHAALPHA_VS_ALPHABETA_CD161_HIGH_TCELL_UP.html</t>
  </si>
  <si>
    <t>GSE30971_CTRL_VS_LPS_STIM_MACROPHAGE_WBP7_KO_2H_DN</t>
  </si>
  <si>
    <t>7940;4242;11309;6036;2123;2124;199;4354;10875;9332;128346;4064;54209;56833;8832;11326;2219;1102;54;2359;3988;54518;79630;55619;79690;64581;51063;55803;25939</t>
  </si>
  <si>
    <t>LST1;MFNG;SLCO2B1;RNASE2;EVI2A;EVI2B;AIF1;MPP1;FGL2;CD163;C1orf162;CD180;TREM2;SLAMF8;CD84;VSIG4;FCN1;RCBTB2;ACP5;FPR3;LIPA;APBB1IP;C1orf54;DOCK10;GAL3ST4;CLEC7A;CALHM2;ADAP2;SAMHD1</t>
  </si>
  <si>
    <t>http://www.broadinstitute.org/gsea/msigdb/cards/GSE30971_CTRL_VS_LPS_STIM_MACROPHAGE_WBP7_KO_2H_DN.html</t>
  </si>
  <si>
    <t>GSE30971_WBP7_HET_VS_KO_MACROPHAGE_2H_LPS_STIM_UP</t>
  </si>
  <si>
    <t>7940;9404;10068;3689;2123;4354;7805;10875;10666;6039;53346;8832;11326;2219;9120;3684;3059;4688;4360;2359;3988;6507;10672;79630;10507;55619;64581;50515;25939</t>
  </si>
  <si>
    <t>LST1;LPXN;IL18BP;ITGB2;EVI2A;MPP1;LAPTM5;FGL2;CD226;RNASE6;TM6SF1;CD84;VSIG4;FCN1;SLC16A6;ITGAM;HCLS1;NCF2;MRC1;FPR3;LIPA;SLC1A3;GNA13;C1orf54;SEMA4D;DOCK10;CLEC7A;CHST11;SAMHD1</t>
  </si>
  <si>
    <t>http://www.broadinstitute.org/gsea/msigdb/cards/GSE30971_WBP7_HET_VS_KO_MACROPHAGE_2H_LPS_STIM_UP.html</t>
  </si>
  <si>
    <t>GSE36888_UNTREATED_VS_IL2_TREATED_TCELL_6H_UP</t>
  </si>
  <si>
    <t>9595;11025;3559;929;7133;2207;6504;3662;126364;80301;58484;64092;9056;11024;7439;2212;9103;2357;728;2358;5724;943;2213;54331;6503;118788;338339;84034;81553</t>
  </si>
  <si>
    <t>CYTIP;LILRB3;IL2RA;CD14;TNFRSF1B;FCER1G;SLAMF1;IRF4;LRRC25;PLEKHO2;NLRC4;SAMSN1;SLC7A7;LILRA1;BEST1;FCGR2A;FCGR2A;FPR1;C5AR1;FPR2;PTAFR;TNFRSF8;FCGR2B;GNG2;SLA;PIK3AP1;CLEC4D;EMILIN2;FAM49A</t>
  </si>
  <si>
    <t>http://www.broadinstitute.org/gsea/msigdb/cards/GSE36888_UNTREATED_VS_IL2_TREATED_TCELL_6H_UP.html</t>
  </si>
  <si>
    <t>GSE34515_CD16_POS_MONOCYTE_VS_DC_DN</t>
  </si>
  <si>
    <t>340152;3627;1536;2209;3575;3683;5294;3071;4354;3394;84166;89857;23048;64231;51284;9034;348;241;728;8905;5376;4240;9815;441168;90634;57705;118788;91526;79895</t>
  </si>
  <si>
    <t>ZC3H12D;CXCL10;CYBB;FCGR1A;IL7R;ITGAL;PIK3CG;NCKAP1L;MPP1;IRF8;NLRC5;KLHL6;FNBP1;MS4A6A;TLR7;CCRL2;APOE;ALOX5AP;C5AR1;AP1S2;PMP22;MFGE8;GIT2;CALHM6;N4BP2L1;WDFY4;PIK3AP1;ANKRD44;ATP8B4</t>
  </si>
  <si>
    <t>http://www.broadinstitute.org/gsea/msigdb/cards/GSE34515_CD16_POS_MONOCYTE_VS_DC_DN.html</t>
  </si>
  <si>
    <t>GSE40274_FOXP3_VS_FOXP3_AND_PBX1_TRANSDUCED_ACTIVATED_CD4_TCELL_UP</t>
  </si>
  <si>
    <t>4542;9214;972;1536;5341;962;919;1233;1234;3587;9459;50852;89857;53346;30009;29851;2848;4094;3956;3936;3586;729230;11010;3123;57514;168537;51676;5027;22806</t>
  </si>
  <si>
    <t>MYO1F;FCMR;CD74;CYBB;PLEK;CD48;CD247;CCR4;CCR5;IL10RA;ARHGEF6;TRAT1;KLHL6;TM6SF1;TBX21;ICOS;GPR25;MAF;LGALS1;LCP1;IL10;CCR2;GLIPR1;HLA-DRB1;ARHGAP31;GIMAP7;ASB2;P2RX7;IKZF3</t>
  </si>
  <si>
    <t>http://www.broadinstitute.org/gsea/msigdb/cards/GSE40274_FOXP3_VS_FOXP3_AND_PBX1_TRANSDUCED_ACTIVATED_CD4_TCELL_UP.html</t>
  </si>
  <si>
    <t>GSE43863_NAIVE_VS_MEMORY_TFH_CD4_TCELL_D150_LCMV_UP</t>
  </si>
  <si>
    <t>7305;11309;1536;5788;917;5294;2313;7805;6404;9744;79626;139716;1794;6039;64231;55589;51225;10870;9034;6793;19;3112;6402;7941;3824;85464;91526;59345;9935</t>
  </si>
  <si>
    <t>TYROBP;SLCO2B1;CYBB;PTPRC;CD3G;PIK3CG;FLI1;LAPTM5;SELPLG;ACAP1;TNFAIP8L2;GAB3;DOCK2;RNASE6;MS4A6A;BMP2K;ABI3;HCST;CCRL2;STK10;ABCA1;HLA-DOB;SELL;PLA2G7;KLRD1;SSH2;ANKRD44;GNB4;MAFB</t>
  </si>
  <si>
    <t>http://www.broadinstitute.org/gsea/msigdb/cards/GSE43863_NAIVE_VS_MEMORY_TFH_CD4_TCELL_D150_LCMV_UP.html</t>
  </si>
  <si>
    <t>GSE45739_UNSTIM_VS_ACD3_ACD28_STIM_WT_CD4_TCELL_DN</t>
  </si>
  <si>
    <t>259197;9839;4068;3458;925;5341;3001;6351;6352;5551;3560;3683;313;51744;30009;8530;56253;3002;926;3902;2999;356;3003;3824;4818;206358;10077;57823;29125</t>
  </si>
  <si>
    <t>NCR3;ZEB2;SH2D1A;IFNG;CD8A;PLEK;GZMA;CCL4;CCL5;PRF1;IL2RB;ITGAL;AOAH;CD244;TBX21;CST7;CRTAM;GZMB;CD8B;LAG3;GZMH;FASLG;GZMK;KLRD1;NKG7;SLC36A1;TSPAN32;SLAMF7;C11orf21</t>
  </si>
  <si>
    <t>http://www.broadinstitute.org/gsea/msigdb/cards/GSE45739_UNSTIM_VS_ACD3_ACD28_STIM_WT_CD4_TCELL_DN.html</t>
  </si>
  <si>
    <t>7940;54440;9450;920;3689;929;951;2123;2124;4332;942;4354;8514;7805;6404;8477;6039;51338;27128;2219;3115;3162;240;3684;728;3109;1043;64174;55013</t>
  </si>
  <si>
    <t>LST1;SASH3;LY86;CD4;ITGB2;CD14;CD37;EVI2A;EVI2B;MNDA;CD86;MPP1;KCNAB2;LAPTM5;SELPLG;GPR65;RNASE6;MS4A4A;CYTH4;FCN1;HLA-DPB1;HMOX1;ALOX5;ITGAM;C5AR1;HLA-DMB;CD52;DPEP2;MCUB</t>
  </si>
  <si>
    <t>http://www.broadinstitute.org/gsea/msigdb/cards/GSE42088_2H_VS_24H_LEISHMANIA_INF_DC_UP.html</t>
  </si>
  <si>
    <t>GSE21360_TERTIARY_VS_QUATERNARY_MEMORY_CD8_TCELL_DN</t>
  </si>
  <si>
    <t>7940;10663;4210;9214;1536;3676;7133;3561;941;6772;3937;10875;23533;114836;152789;114548;64092;8564;3717;8530;2113;969;7185;10148;57514;146850;57823</t>
  </si>
  <si>
    <t>LST1;CXCR6;MEFV;FCMR;CYBB;ITGA4;TNFRSF1B;IL2RG;CD80;STAT1;LCP2;FGL2;PIK3R5;SLAMF6;JAKMIP1;NLRP3;SAMSN1;KMO;JAK2;CST7;ETS1;CD69;TRAF1;EBI3;ARHGAP31;PIK3R6;SLAMF7</t>
  </si>
  <si>
    <t>http://www.broadinstitute.org/gsea/msigdb/cards/GSE21360_TERTIARY_VS_QUATERNARY_MEMORY_CD8_TCELL_DN.html</t>
  </si>
  <si>
    <t>GSE26488_CTRL_VS_PEPTIDE_INJECTION_OT2_THYMOCYTE_DN</t>
  </si>
  <si>
    <t>9535;9214;3695;11151;2014;2313;6504;399;139818;151888;54899;256380;50615;55303;19;3936;6402;4261;1235;4208;969;89846;10235;80709;25780;91526;25939</t>
  </si>
  <si>
    <t>GMFG;FCMR;ITGB7;CORO1A;EMP3;FLI1;SLAMF1;RHOH;DOCK11;BTLA;PXK;SCML4;IL21R;GIMAP4;ABCA1;LCP1;SELL;CIITA;CCR6;MEF2C;CD69;FGD3;RASGRP2;AKNA;RASGRP3;ANKRD44;SAMHD1</t>
  </si>
  <si>
    <t>http://www.broadinstitute.org/gsea/msigdb/cards/GSE26488_CTRL_VS_PEPTIDE_INJECTION_OT2_THYMOCYTE_DN.html</t>
  </si>
  <si>
    <t>GSE42724_NAIVE_BCELL_VS_PLASMABLAST_DN</t>
  </si>
  <si>
    <t>7940;9046;945;3603;9459;55843;128346;11184;53346;64407;2857;7099;8742;1102;2162;4688;3108;3109;8905;4208;4033;54518;84230;10077;64805;64174;64098;29125</t>
  </si>
  <si>
    <t>LST1;DOK2;CD33;IL16;ARHGEF6;ARHGAP15;C1orf162;MAP4K1;TM6SF1;RGS18;GPR34;TLR4;TNFSF12;RCBTB2;F13A1;NCF2;HLA-DMA;HLA-DMB;AP1S2;MEF2C;LRMP;APBB1IP;LRRC8C;TSPAN32;P2RY12;DPEP2;PARVG;C11orf21</t>
  </si>
  <si>
    <t>http://www.broadinstitute.org/gsea/msigdb/cards/GSE42724_NAIVE_BCELL_VS_PLASMABLAST_DN.html</t>
  </si>
  <si>
    <t>GSE13485_CTRL_VS_DAY7_YF17D_VACCINE_PBMC_DN</t>
  </si>
  <si>
    <t>1318;3627;51056;2633;6772;1234;6890;3937;719;3903;2210;51338;114548;115361;259307;58475;81030;10673;6373;8564;10154;3717;4481;1230;118788;116071;6614;55803</t>
  </si>
  <si>
    <t>SLC31A2;CXCL10;LAP3;GBP1;STAT1;CCR5;TAP1;LCP2;C3AR1;LAIR1;FCGR1B;MS4A4A;NLRP3;GBP4;IL4I1;MS4A7;ZBP1;TNFSF13B;CXCL11;KMO;PLXNC1;JAK2;MSR1;CCR1;PIK3AP1;BATF2;SIGLEC1;ADAP2</t>
  </si>
  <si>
    <t>http://www.broadinstitute.org/gsea/msigdb/cards/GSE13485_CTRL_VS_DAY7_YF17D_VACCINE_PBMC_DN.html</t>
  </si>
  <si>
    <t>GSE13485_PRE_VS_POST_YF17D_VACCINATION_PBMC_DN</t>
  </si>
  <si>
    <t>712;3627;51056;2633;6772;6890;695;10875;719;3903;128346;55016;2210;51338;81030;51311;10673;6373;8564;10154;4481;118788;116071;202309;6614;55803;57823;25939</t>
  </si>
  <si>
    <t>C1QA;CXCL10;LAP3;GBP1;STAT1;TAP1;BTK;FGL2;C3AR1;LAIR1;C1orf162;MARCH1;FCGR1B;MS4A4A;ZBP1;TLR8;TNFSF13B;CXCL11;KMO;PLXNC1;MSR1;PIK3AP1;BATF2;GAPT;SIGLEC1;ADAP2;SLAMF7;SAMHD1</t>
  </si>
  <si>
    <t>http://www.broadinstitute.org/gsea/msigdb/cards/GSE13485_PRE_VS_POST_YF17D_VACCINATION_PBMC_DN.html</t>
  </si>
  <si>
    <t>GSE17974_IL4_AND_ANTI_IL12_VS_UNTREATED_48H_ACT_CD4_TCELL_DN</t>
  </si>
  <si>
    <t>3458;3559;914;7453;51056;2633;6772;3394;6504;11262;128611;149628;50852;255231;23533;55340;115362;55303;10673;27033;29851;4049;10437;6753;4050;6503;168537;55281</t>
  </si>
  <si>
    <t>IFNG;IL2RA;CD2;WARS;LAP3;GBP1;STAT1;IRF8;SLAMF1;SP140;ZNF831;PYHIN1;TRAT1;MCOLN2;PIK3R5;GIMAP5;GBP5;GIMAP4;TNFSF13B;ZBTB32;ICOS;LTA;IFI30;SSTR3;LTB;SLA;GIMAP7;TMEM140</t>
  </si>
  <si>
    <t>http://www.broadinstitute.org/gsea/msigdb/cards/GSE17974_IL4_AND_ANTI_IL12_VS_UNTREATED_48H_ACT_CD4_TCELL_DN.html</t>
  </si>
  <si>
    <t>GSE22886_NAIVE_TCELL_VS_MONOCYTE_UP</t>
  </si>
  <si>
    <t>9214;4068;9402;915;3932;914;916;917;940;919;923;10225;7535;53347;3702;50615;4063;55423;921;924;596;3004;4050;969;9363;9806;64919;51466</t>
  </si>
  <si>
    <t>FCMR;SH2D1A;GRAP2;CD3D;LCK;CD2;CD3E;CD3G;CD28;CD247;CD6;CD96;ZAP70;UBASH3A;ITK;IL21R;LY9;SIRPG;CD5;CD7;BCL2;GZMM;LTB;CD69;RAB33A;SPOCK2;BCL11B;EVL</t>
  </si>
  <si>
    <t>http://www.broadinstitute.org/gsea/msigdb/cards/GSE22886_NAIVE_TCELL_VS_MONOCYTE_UP.html</t>
  </si>
  <si>
    <t>GSE7509_DC_VS_MONOCYTE_DN</t>
  </si>
  <si>
    <t>9535;3627;1536;929;3055;2268;2209;6688;7133;6772;6890;80896;55303;9056;730249;9034;366;3117;54;2357;2358;1235;4973;5376;7185;3123;10507;23166</t>
  </si>
  <si>
    <t>GMFG;CXCL10;CYBB;CD14;HCK;FGR;FCGR1A;SPI1;TNFRSF1B;STAT1;TAP1;NPL;GIMAP4;SLC7A7;ACOD1;CCRL2;AQP9;HLA-DQA1;ACP5;FPR1;FPR2;CCR6;OLR1;PMP22;TRAF1;HLA-DRB1;SEMA4D;STAB1</t>
  </si>
  <si>
    <t>http://www.broadinstitute.org/gsea/msigdb/cards/GSE7509_DC_VS_MONOCYTE_DN.html</t>
  </si>
  <si>
    <t>GSE7831_UNSTIM_VS_INFLUENZA_STIM_PDC_4H_UP</t>
  </si>
  <si>
    <t>972;1436;6688;7133;3687;11151;6890;10871;64333;9056;27299;3122;348;3111;4066;3112;3936;4688;3109;1043;2213;6546;4050;2529;7185;7941;10148;3123</t>
  </si>
  <si>
    <t>CD74;CSF1R;SPI1;TNFRSF1B;ITGAX;CORO1A;TAP1;CD300C;ARHGAP9;SLC7A7;ADAMDEC1;HLA-DRA;APOE;HLA-DOA;LYL1;HLA-DOB;LCP1;NCF2;HLA-DMB;CD52;FCGR2B;SLC8A1;LTB;FUT7;TRAF1;PLA2G7;EBI3;HLA-DRB1</t>
  </si>
  <si>
    <t>http://www.broadinstitute.org/gsea/msigdb/cards/GSE7831_UNSTIM_VS_INFLUENZA_STIM_PDC_4H_UP.html</t>
  </si>
  <si>
    <t>GSE13522_CTRL_VS_T_CRUZI_Y_STRAIN_INF_SKIN_IFNAR_KO_UP</t>
  </si>
  <si>
    <t>7305;9535;9450;5551;919;2207;1236;3702;219972;286336;387357;256380;59067;8564;1102;56253;3117;54;241;3290;3988;356;55911;3824;3123;57705;10462;79895</t>
  </si>
  <si>
    <t>TYROBP;GMFG;LY86;PRF1;CD247;FCER1G;CCR7;ITK;MPEG1;FAM78A;THEMIS;SCML4;IL21;KMO;RCBTB2;CRTAM;HLA-DQA1;ACP5;ALOX5AP;HSD11B1;LIPA;FASLG;APOBR;KLRD1;HLA-DRB1;WDFY4;CLEC10A;ATP8B4</t>
  </si>
  <si>
    <t>http://www.broadinstitute.org/gsea/msigdb/cards/GSE13522_CTRL_VS_T_CRUZI_Y_STRAIN_INF_SKIN_IFNAR_KO_UP.html</t>
  </si>
  <si>
    <t>GSE22140_HEALTHY_VS_ARTHRITIC_GERMFREE_MOUSE_CD4_TCELL_DN</t>
  </si>
  <si>
    <t>3659;6351;2350;3575;7133;944;5734;2014;3394;3937;3903;9332;11326;2162;3553;3956;3162;2212;4360;1230;5376;3604;7185;10457;55619;5027;23166;1522</t>
  </si>
  <si>
    <t>IRF1;CCL4;FOLR2;IL7R;TNFRSF1B;TNFSF8;PTGER4;EMP3;IRF8;LCP2;LAIR1;CD163;VSIG4;F13A1;IL1B;LGALS1;HMOX1;FCGR2A;MRC1;CCR1;PMP22;TNFRSF9;TRAF1;GPNMB;DOCK10;P2RX7;STAB1;CTSZ</t>
  </si>
  <si>
    <t>http://www.broadinstitute.org/gsea/msigdb/cards/GSE22140_HEALTHY_VS_ARTHRITIC_GERMFREE_MOUSE_CD4_TCELL_DN.html</t>
  </si>
  <si>
    <t>GSE22140_GERMFREE_VS_SPF_MOUSE_CD4_TCELL_UP</t>
  </si>
  <si>
    <t>2533;1318;713;3627;5341;3055;3659;2209;7453;2633;1439;10225;942;3394;6890;4283;3937;3587;3662;9034;6373;924;4360;4261;6891;969;597;1522</t>
  </si>
  <si>
    <t>FYB1;SLC31A2;C1QB;CXCL10;PLEK;HCK;IRF1;FCGR1A;WARS;GBP1;CSF2RB;CD96;CD86;IRF8;TAP1;CXCL9;LCP2;IL10RA;IRF4;CCRL2;CXCL11;CD7;MRC1;CIITA;TAP2;CD69;BCL2A1;CTSZ</t>
  </si>
  <si>
    <t>http://www.broadinstitute.org/gsea/msigdb/cards/GSE22140_GERMFREE_VS_SPF_MOUSE_CD4_TCELL_UP.html</t>
  </si>
  <si>
    <t>GSE25123_WT_VS_PPARG_KO_MACROPHAGE_IL4_STIM_DN</t>
  </si>
  <si>
    <t>340152;8676;1493;7133;941;6504;4689;151888;51296;59067;64092;9034;4094;2162;3956;5552;3002;729230;1235;3604;10148;5133;597;245972;51762;50943;50515;22806</t>
  </si>
  <si>
    <t>ZC3H12D;STX11;CTLA4;TNFRSF1B;CD80;SLAMF1;NCF4;BTLA;SLC15A3;IL21;SAMSN1;CCRL2;MAF;F13A1;LGALS1;SRGN;GZMB;CCR2;CCR6;TNFRSF9;EBI3;PDCD1;BCL2A1;ATP6V0D2;RAB8B;FOXP3;CHST11;IKZF3</t>
  </si>
  <si>
    <t>http://www.broadinstitute.org/gsea/msigdb/cards/GSE25123_WT_VS_PPARG_KO_MACROPHAGE_IL4_STIM_DN.html</t>
  </si>
  <si>
    <t>GSE25123_CTRL_VS_ROSIGLITAZONE_STIM_PPARG_KO_MACROPHAGE_UP</t>
  </si>
  <si>
    <t>9595;962;2268;3687;971;2322;9744;497189;114548;51744;9034;2219;9120;366;11024;3553;6402;1043;729230;4973;7185;597;10462;84106;4327;64174;57823;29125</t>
  </si>
  <si>
    <t>CYTIP;CD48;FGR;ITGAX;CD72;FLT3;ACAP1;TIFAB;NLRP3;CD244;CCRL2;FCN1;SLC16A6;AQP9;LILRA1;IL1B;SELL;CD52;CCR2;OLR1;TRAF1;BCL2A1;CLEC10A;PRAM1;MMP19;DPEP2;SLAMF7;C11orf21</t>
  </si>
  <si>
    <t>http://www.broadinstitute.org/gsea/msigdb/cards/GSE25123_CTRL_VS_ROSIGLITAZONE_STIM_PPARG_KO_MACROPHAGE_UP.html</t>
  </si>
  <si>
    <t>GSE17301_CTRL_VS_48H_ACD3_ACD28_STIM_CD8_TCELL_DN</t>
  </si>
  <si>
    <t>2533;1318;8676;10261;972;3055;6352;6688;971;313;3561;5734;3937;4689;23533;29992;50856;730249;5452;3684;2357;2358;7941;10148;89846;83937;53831;1522</t>
  </si>
  <si>
    <t>FYB1;SLC31A2;STX11;IGSF6;CD74;HCK;CCL5;SPI1;CD72;AOAH;IL2RG;PTGER4;LCP2;NCF4;PIK3R5;PILRA;CLEC4A;ACOD1;POU2F2;ITGAM;FPR1;FPR2;PLA2G7;EBI3;FGD3;RASSF4;GPR84;CTSZ</t>
  </si>
  <si>
    <t>http://www.broadinstitute.org/gsea/msigdb/cards/GSE17301_CTRL_VS_48H_ACD3_ACD28_STIM_CD8_TCELL_DN.html</t>
  </si>
  <si>
    <t>GSE23568_ID3_TRANSDUCED_VS_ID3_KO_CD8_TCELL_UP</t>
  </si>
  <si>
    <t>9051;915;916;917;940;6352;1493;3575;7133;919;3695;923;10225;7535;8514;6404;64333;64231;8530;56253;921;356;3718;7185;3824;8809;5133;27240</t>
  </si>
  <si>
    <t>PSTPIP1;CD3D;CD3E;CD3G;CD28;CCL5;CTLA4;IL7R;TNFRSF1B;CD247;ITGB7;CD6;CD96;ZAP70;KCNAB2;SELPLG;ARHGAP9;MS4A6A;CST7;CRTAM;CD5;FASLG;JAK3;TRAF1;KLRD1;IL18R1;PDCD1;SIT1</t>
  </si>
  <si>
    <t>http://www.broadinstitute.org/gsea/msigdb/cards/GSE23568_ID3_TRANSDUCED_VS_ID3_KO_CD8_TCELL_UP.html</t>
  </si>
  <si>
    <t>GSE33424_CD161_HIGH_VS_NEG_CD8_TCELL_UP</t>
  </si>
  <si>
    <t>9450;972;3055;2209;971;4245;695;219972;259307;10019;19;3117;5552;4066;3112;6402;2113;4688;3109;2213;4261;1235;4208;10672;597;3123;161145;4644</t>
  </si>
  <si>
    <t>LY86;CD74;HCK;FCGR1A;CD72;MGAT1;BTK;MPEG1;IL4I1;SH2B3;ABCA1;HLA-DQA1;SRGN;LYL1;HLA-DOB;SELL;ETS1;NCF2;HLA-DMB;FCGR2B;CIITA;CCR6;MEF2C;GNA13;BCL2A1;HLA-DRB1;TMEM229B;MYO5A</t>
  </si>
  <si>
    <t>http://www.broadinstitute.org/gsea/msigdb/cards/GSE33424_CD161_HIGH_VS_NEG_CD8_TCELL_UP.html</t>
  </si>
  <si>
    <t>GSE40274_CTRL_VS_FOXP3_AND_LEF1_TRANSDUCED_ACTIVATED_CD4_TCELL_UP</t>
  </si>
  <si>
    <t>4068;8676;6352;3560;1493;919;959;1233;3702;10875;719;201633;221188;256380;2848;8320;240;3002;926;3684;3902;3586;2833;4818;338339;53831</t>
  </si>
  <si>
    <t>SH2D1A;STX11;CCL5;IL2RB;CTLA4;CD247;CD40LG;CCR4;ITK;FGL2;C3AR1;TIGIT;ADGRG5;SCML4;GPR25;EOMES;ALOX5;GZMB;CD8B;ITGAM;LAG3;IL10;CXCR3;NKG7;CLEC4D;GPR84</t>
  </si>
  <si>
    <t>http://www.broadinstitute.org/gsea/msigdb/cards/GSE40274_CTRL_VS_FOXP3_AND_LEF1_TRANSDUCED_ACTIVATED_CD4_TCELL_UP.html</t>
  </si>
  <si>
    <t>GSE39916_B_CELL_SPLEEN_VS_PLASMA_CELL_BONE_MARROW_DN</t>
  </si>
  <si>
    <t>340152;4542;9404;8676;3458;6352;3560;3575;4689;115361;57105;30009;2857;29851;10154;4094;8530;2833;3003;7185;8809;597;4818;151556;64780;9806;51762;116442</t>
  </si>
  <si>
    <t>ZC3H12D;MYO1F;LPXN;STX11;IFNG;CCL5;IL2RB;IL7R;NCF4;GBP4;CYSLTR2;TBX21;GPR34;ICOS;PLXNC1;MAF;CST7;CXCR3;GZMK;TRAF1;IL18R1;BCL2A1;NKG7;GPR155;MICAL1;SPOCK2;RAB8B;RAB39B</t>
  </si>
  <si>
    <t>http://www.broadinstitute.org/gsea/msigdb/cards/GSE39916_B_CELL_SPLEEN_VS_PLASMA_CELL_BONE_MARROW_DN.html</t>
  </si>
  <si>
    <t>GSE33292_DN3_THYMOCYTE_VS_TCF1_KO_TCELL_LYMPHOMA_UP</t>
  </si>
  <si>
    <t>9214;9404;9450;1536;3689;3932;5341;962;6351;2123;10225;50852;8477;6039;26051;9056;80342;6373;10437;3112;6402;241;1043;3988;9938;1235;27163;4050</t>
  </si>
  <si>
    <t>FCMR;LPXN;LY86;CYBB;ITGB2;LCK;PLEK;CD48;CCL4;EVI2A;CD96;TRAT1;GPR65;RNASE6;PPP1R16B;SLC7A7;TRAF3IP3;CXCL11;IFI30;HLA-DOB;SELL;ALOX5AP;CD52;LIPA;ARHGAP25;CCR6;NAAA;LTB</t>
  </si>
  <si>
    <t>http://www.broadinstitute.org/gsea/msigdb/cards/GSE33292_DN3_THYMOCYTE_VS_TCF1_KO_TCELL_LYMPHOMA_UP.html</t>
  </si>
  <si>
    <t>GSE43863_DAY6_EFF_VS_DAY150_MEM_TH1_CD4_TCELL_UP</t>
  </si>
  <si>
    <t>7456;9214;972;3932;5341;940;3575;963;971;3561;5734;942;7805;3635;23048;2672;8832;8530;3122;4066;2833;1235;5376;3123;10507;84034;7462;50515</t>
  </si>
  <si>
    <t>WIPF1;FCMR;CD74;LCK;PLEK;CD28;IL7R;CD53;CD72;IL2RG;PTGER4;CD86;LAPTM5;INPP5D;FNBP1;GFI1;CD84;CST7;HLA-DRA;LYL1;CXCR3;CCR6;PMP22;HLA-DRB1;SEMA4D;EMILIN2;LAT2;CHST11</t>
  </si>
  <si>
    <t>http://www.broadinstitute.org/gsea/msigdb/cards/GSE43863_DAY6_EFF_VS_DAY150_MEM_TH1_CD4_TCELL_UP.html</t>
  </si>
  <si>
    <t>GSE45382_UNTREATED_VS_TGFB_TREATED_MACROPHAGES_UP</t>
  </si>
  <si>
    <t>7940;945;1234;3101;4354;9459;55843;79626;283897;83706;117289;128346;55016;84868;3635;64170;64407;7099;2162;4066;1230;4033;150771;131450;84230;10077;64098;51466</t>
  </si>
  <si>
    <t>LST1;CD33;CCR5;HK3;MPP1;ARHGEF6;ARHGAP15;TNFAIP8L2;C16orf54;FERMT3;TAGAP;C1orf162;MARCH1;HAVCR2;INPP5D;CARD9;RGS18;TLR4;F13A1;LYL1;CCR1;LRMP;ITPRIPL1;CD200R1;LRRC8C;TSPAN32;PARVG;EVL</t>
  </si>
  <si>
    <t>http://www.broadinstitute.org/gsea/msigdb/cards/GSE45382_UNTREATED_VS_TGFB_TREATED_MACROPHAGES_UP.html</t>
  </si>
  <si>
    <t>GSE3920_UNTREATED_VS_IFNA_TREATED_ENDOTHELIAL_CELL_UP</t>
  </si>
  <si>
    <t>1318;11309;3689;5341;5551;945;942;10875;51296;80301;146722;51338;64092;51284;54209;341;3162;1435;3684;3902;3586;4360;3988;1601;10507;23166</t>
  </si>
  <si>
    <t>SLC31A2;SLCO2B1;ITGB2;PLEK;PRF1;CD33;CD86;FGL2;SLC15A3;PLEKHO2;CD300LF;MS4A4A;SAMSN1;TLR7;TREM2;APOC1;HMOX1;CSF1;ITGAM;LAG3;IL10;MRC1;LIPA;DAB2;SEMA4D;STAB1</t>
  </si>
  <si>
    <t>http://www.broadinstitute.org/gsea/msigdb/cards/GSE3920_UNTREATED_VS_IFNA_TREATED_ENDOTHELIAL_CELL_UP.html</t>
  </si>
  <si>
    <t>GSE2770_IL12_AND_TGFB_VS_IL4_TREATED_ACT_CD4_TCELL_48H_DN</t>
  </si>
  <si>
    <t>972;914;3659;7453;2633;6772;3594;3662;197358;84166;115362;115361;84636;3122;3115;3113;3108;6891;3824;27314;3123;441168;161145;155038;9754;26157;25939</t>
  </si>
  <si>
    <t>CD74;CD2;IRF1;WARS;GBP1;STAT1;IL12RB1;IRF4;NLRC3;NLRC5;GBP5;GBP4;GPR174;HLA-DRA;HLA-DPB1;HLA-DPA1;HLA-DMA;TAP2;KLRD1;RAB30;HLA-DRB1;CALHM6;TMEM229B;GIMAP8;STARD8;GIMAP2;SAMHD1</t>
  </si>
  <si>
    <t>http://www.broadinstitute.org/gsea/msigdb/cards/GSE2770_IL12_AND_TGFB_VS_IL4_TREATED_ACT_CD4_TCELL_48H_DN.html</t>
  </si>
  <si>
    <t>GSE13306_RA_VS_UNTREATED_MEM_CD4_TCELL_UP</t>
  </si>
  <si>
    <t>3689;951;3676;653361;10225;942;170371;2672;53346;64231;55303;27128;1508;54;3112;3108;356;8905;6503;814;10462;161145;80821;168537;64780;51676;50515</t>
  </si>
  <si>
    <t>ITGB2;CD37;ITGA4;NCF1;CD96;CD86;TMEM273;GFI1;TM6SF1;MS4A6A;GIMAP4;CYTH4;CTSB;ACP5;HLA-DOB;HLA-DMA;FASLG;AP1S2;SLA;CAMK4;CLEC10A;TMEM229B;DDHD1;GIMAP7;MICAL1;ASB2;CHST11</t>
  </si>
  <si>
    <t>http://www.broadinstitute.org/gsea/msigdb/cards/GSE13306_RA_VS_UNTREATED_MEM_CD4_TCELL_UP.html</t>
  </si>
  <si>
    <t>GSE1432_CTRL_VS_IFNG_6H_MICROGLIA_DN</t>
  </si>
  <si>
    <t>8676;80833;3627;5341;3659;963;7453;51056;2633;1439;6772;6890;4283;3937;11262;2210;55340;80380;56833;30009;6373;3717;3122;4261;57823;55013;51513</t>
  </si>
  <si>
    <t>STX11;APOL3;CXCL10;PLEK;IRF1;CD53;WARS;LAP3;GBP1;CSF2RB;STAT1;TAP1;CXCL9;LCP2;SP140;FCGR1B;GIMAP5;PDCD1LG2;SLAMF8;TBX21;CXCL11;JAK2;HLA-DRA;CIITA;SLAMF7;MCUB;ETV7</t>
  </si>
  <si>
    <t>http://www.broadinstitute.org/gsea/msigdb/cards/GSE1432_CTRL_VS_IFNG_6H_MICROGLIA_DN.html</t>
  </si>
  <si>
    <t>9595;9450;3560;963;51056;1236;6772;2014;11262;3603;8477;4063;55589;27128;9056;29851;29909;6793;1508;54;6402;2357;2213;597;10235;51762;51466</t>
  </si>
  <si>
    <t>CYTIP;LY86;IL2RB;CD53;LAP3;CCR7;STAT1;EMP3;SP140;IL16;GPR65;LY9;BMP2K;CYTH4;SLC7A7;ICOS;GPR171;STK10;CTSB;ACP5;SELL;FPR1;FCGR2B;BCL2A1;RASGRP2;RAB8B;EVL</t>
  </si>
  <si>
    <t>http://www.broadinstitute.org/gsea/msigdb/cards/GSE1460_DP_VS_CD4_THYMOCYTE_DN.html</t>
  </si>
  <si>
    <t>7305;9046;6036;3695;51056;923;5800;124460;256380;146722;80380;56659;225;11314;3956;4360;3108;4261;729230;27163;4033;10462;64780;64581;64805;59345;55013</t>
  </si>
  <si>
    <t>TYROBP;DOK2;RNASE2;ITGB7;LAP3;CD6;PTPRO;SNX20;SCML4;CD300LF;PDCD1LG2;KCNK13;ABCD2;CD300A;LGALS1;MRC1;HLA-DMA;CIITA;CCR2;NAAA;LRMP;CLEC10A;MICAL1;CLEC7A;P2RY12;GNB4;MCUB</t>
  </si>
  <si>
    <t>http://www.broadinstitute.org/gsea/msigdb/cards/GSE17721_0.5H_VS_24H_CPG_BMDC_UP.html</t>
  </si>
  <si>
    <t>GSE20715_0H_VS_24H_OZONE_LUNG_UP</t>
  </si>
  <si>
    <t>4542;7305;5579;914;5788;917;6352;963;923;11151;3561;4354;4689;83706;11184;64231;10870;51393;924;6402;2113;729230;91010;10507;64581;59345;51466</t>
  </si>
  <si>
    <t>MYO1F;TYROBP;PRKCB;CD2;PTPRC;CD3G;CCL5;CD53;CD6;CORO1A;IL2RG;MPP1;NCF4;FERMT3;MAP4K1;MS4A6A;HCST;TRPV2;CD7;SELL;ETS1;CCR2;FMNL3;SEMA4D;CLEC7A;GNB4;EVL</t>
  </si>
  <si>
    <t>http://www.broadinstitute.org/gsea/msigdb/cards/GSE20715_0H_VS_24H_OZONE_LUNG_UP.html</t>
  </si>
  <si>
    <t>GSE22886_NAIVE_TCELL_VS_DC_DN</t>
  </si>
  <si>
    <t>1318;11309;10261;712;4689;91752;55016;6039;54209;56833;8564;9120;1102;2162;3108;3109;3988;140885;1601;7941;55704;10184;79895;64747;55803;23166;1522</t>
  </si>
  <si>
    <t>SLC31A2;SLCO2B1;IGSF6;C1QA;NCF4;ZNF804A;MARCH1;RNASE6;TREM2;SLAMF8;KMO;SLC16A6;RCBTB2;F13A1;HLA-DMA;HLA-DMB;LIPA;SIRPA;DAB2;PLA2G7;CCDC88A;LHFPL2;ATP8B4;MFSD1;ADAP2;STAB1;CTSZ</t>
  </si>
  <si>
    <t>http://www.broadinstitute.org/gsea/msigdb/cards/GSE22886_NAIVE_TCELL_VS_DC_DN.html</t>
  </si>
  <si>
    <t>914;971;3695;3561;2322;1234;3603;3662;10666;11184;26051;8530;3122;3115;3111;596;3112;3113;4261;1235;1601;8809;55704;10462;64780;51466;25939</t>
  </si>
  <si>
    <t>CD2;CD72;ITGB7;IL2RG;FLT3;CCR5;IL16;IRF4;CD226;MAP4K1;PPP1R16B;CST7;HLA-DRA;HLA-DPB1;HLA-DOA;BCL2;HLA-DOB;HLA-DPA1;CIITA;CCR6;DAB2;IL18R1;CCDC88A;CLEC10A;MICAL1;EVL;SAMHD1</t>
  </si>
  <si>
    <t>http://www.broadinstitute.org/gsea/msigdb/cards/GSE29618_MONOCYTE_VS_MDC_DN.html</t>
  </si>
  <si>
    <t>GSE9988_LPS_VS_VEHICLE_TREATED_MONOCYTE_DN</t>
  </si>
  <si>
    <t>4542;7305;9046;9595;54440;1436;2123;11151;391;7805;219972;286336;79626;257106;80301;58484;3956;4066;10437;54;729230;25900;55911;9815;54518;4215;51063</t>
  </si>
  <si>
    <t>MYO1F;TYROBP;DOK2;CYTIP;SASH3;CSF1R;EVI2A;CORO1A;RHOG;LAPTM5;MPEG1;FAM78A;TNFAIP8L2;ARHGAP30;PLEKHO2;NLRC4;LGALS1;LYL1;IFI30;ACP5;CCR2;IFFO1;APOBR;GIT2;APBB1IP;MAP3K3;CALHM2</t>
  </si>
  <si>
    <t>http://www.broadinstitute.org/gsea/msigdb/cards/GSE9988_LPS_VS_VEHICLE_TREATED_MONOCYTE_DN.html</t>
  </si>
  <si>
    <t>GSE9988_LOW_LPS_VS_VEHICLE_TREATED_MONOCYTE_DN</t>
  </si>
  <si>
    <t>4542;7305;9046;9595;54440;2123;391;7805;219972;286336;79626;79930;257106;80301;58484;1508;4066;10437;1230;729230;25900;55911;9815;54518;155038;4215;51063</t>
  </si>
  <si>
    <t>MYO1F;TYROBP;DOK2;CYTIP;SASH3;EVI2A;RHOG;LAPTM5;MPEG1;FAM78A;TNFAIP8L2;DOK3;ARHGAP30;PLEKHO2;NLRC4;CTSB;LYL1;IFI30;CCR1;CCR2;IFFO1;APOBR;GIT2;APBB1IP;GIMAP8;MAP3K3;CALHM2</t>
  </si>
  <si>
    <t>http://www.broadinstitute.org/gsea/msigdb/cards/GSE9988_LOW_LPS_VS_VEHICLE_TREATED_MONOCYTE_DN.html</t>
  </si>
  <si>
    <t>GSE3039_CD4_TCELL_VS_B1_BCELL_DN</t>
  </si>
  <si>
    <t>1318;4210;7305;6351;963;945;2207;4354;10871;219972;4064;1240;4063;51311;27306;3553;1508;1435;2357;1230;6556;140885;203100;118788;10184;338339;64581</t>
  </si>
  <si>
    <t>SLC31A2;MEFV;TYROBP;CCL4;CD53;CD33;FCER1G;MPP1;CD300C;MPEG1;CD180;CMKLR1;LY9;TLR8;HPGDS;IL1B;CTSB;CSF1;FPR1;CCR1;SLC11A1;SIRPA;HTRA4;PIK3AP1;LHFPL2;CLEC4D;CLEC7A</t>
  </si>
  <si>
    <t>http://www.broadinstitute.org/gsea/msigdb/cards/GSE3039_CD4_TCELL_VS_B1_BCELL_DN.html</t>
  </si>
  <si>
    <t>GSE5589_LPS_VS_LPS_AND_IL10_STIM_MACROPHAGE_180MIN_UP</t>
  </si>
  <si>
    <t>9404;712;972;929;2214;2350;3687;1234;3101;8514;93978;197358;50615;64407;64092;56833;8832;6373;8530;1508;2212;10437;3108;2213;597;131450;7462</t>
  </si>
  <si>
    <t>LPXN;C1QA;CD74;CD14;FCGR3A;FOLR2;ITGAX;CCR5;HK3;KCNAB2;CLEC6A;NLRC3;IL21R;RGS18;SAMSN1;SLAMF8;CD84;CXCL11;CST7;CTSB;FCGR2A;IFI30;HLA-DMA;FCGR2B;BCL2A1;CD200R1;LAT2</t>
  </si>
  <si>
    <t>http://www.broadinstitute.org/gsea/msigdb/cards/GSE5589_LPS_VS_LPS_AND_IL10_STIM_MACROPHAGE_180MIN_UP.html</t>
  </si>
  <si>
    <t>GSE7831_UNSTIM_VS_CPG_STIM_PDC_1H_UP</t>
  </si>
  <si>
    <t>9051;3659;3683;3594;7535;53347;3937;64926;374403;81704;57580;89857;53346;50615;366;4094;1102;3059;1043;11010;2833;5133;441168;151556;161145;84329;51676</t>
  </si>
  <si>
    <t>PSTPIP1;IRF1;ITGAL;IL12RB1;ZAP70;UBASH3A;LCP2;RASAL3;TBC1D10C;DOCK8;PREX1;KLHL6;TM6SF1;IL21R;AQP9;MAF;RCBTB2;HCLS1;CD52;GLIPR1;CXCR3;PDCD1;CALHM6;GPR155;TMEM229B;HVCN1;ASB2</t>
  </si>
  <si>
    <t>http://www.broadinstitute.org/gsea/msigdb/cards/GSE7831_UNSTIM_VS_CPG_STIM_PDC_1H_UP.html</t>
  </si>
  <si>
    <t>GSE12392_WT_VS_IFNAR_KO_CD8A_NEG_SPLEEN_DC_UP</t>
  </si>
  <si>
    <t>54440;10261;5579;3055;3676;10320;170371;374403;117289;89790;259307;50615;11314;29992;27036;9034;3717;27306;921;10437;6693;8905;100506736;64780;10507;64581;81553</t>
  </si>
  <si>
    <t>SASH3;IGSF6;PRKCB;HCK;ITGA4;IKZF1;TMEM273;TBC1D10C;TAGAP;SIGLEC10;IL4I1;IL21R;CD300A;PILRA;SIGLEC7;CCRL2;JAK2;HPGDS;CD5;IFI30;SPN;AP1S2;SLFN12L;MICAL1;SEMA4D;CLEC7A;FAM49A</t>
  </si>
  <si>
    <t>http://www.broadinstitute.org/gsea/msigdb/cards/GSE12392_WT_VS_IFNAR_KO_CD8A_NEG_SPLEEN_DC_UP.html</t>
  </si>
  <si>
    <t>GSE15735_CTRL_VS_HDAC_INHIBITOR_TREATED_CD4_TCELL_2H_DN</t>
  </si>
  <si>
    <t>9404;925;5341;5551;653361;971;6404;221188;255231;139716;53346;84174;9120;8530;56253;8320;3111;926;3108;3004;3824;4818;64780;79895;55619;64098;55691</t>
  </si>
  <si>
    <t>LPXN;CD8A;PLEK;PRF1;NCF1;CD72;SELPLG;ADGRG5;MCOLN2;GAB3;TM6SF1;SLA2;SLC16A6;CST7;CRTAM;EOMES;HLA-DOA;CD8B;HLA-DMA;GZMM;KLRD1;NKG7;MICAL1;ATP8B4;DOCK10;PARVG;FRMD4A</t>
  </si>
  <si>
    <t>http://www.broadinstitute.org/gsea/msigdb/cards/GSE15735_CTRL_VS_HDAC_INHIBITOR_TREATED_CD4_TCELL_2H_DN.html</t>
  </si>
  <si>
    <t>GSE21546_SAP1A_KO_VS_SAP1A_KO_AND_ELK1_KO_ANTI_CD3_STIM_DP_THYMOCYTES_DN</t>
  </si>
  <si>
    <t>22797;9051;9450;5788;951;3683;11151;92241;1794;6039;80896;51744;64407;11314;7099;4688;3290;1230;729230;9938;2529;10148;4818;375387;64581;81553;83937</t>
  </si>
  <si>
    <t>TFEC;PSTPIP1;LY86;PTPRC;CD37;ITGAL;CORO1A;RCSD1;DOCK2;RNASE6;NPL;CD244;RGS18;CD300A;TLR4;NCF2;HSD11B1;CCR1;CCR2;ARHGAP25;FUT7;EBI3;NKG7;NRROS;CLEC7A;FAM49A;RASSF4</t>
  </si>
  <si>
    <t>http://www.broadinstitute.org/gsea/msigdb/cards/GSE21546_SAP1A_KO_VS_SAP1A_KO_AND_ELK1_KO_ANTI_CD3_STIM_DP_THYMOCYTES_DN.html</t>
  </si>
  <si>
    <t>GSE22935_WT_VS_MYD88_KO_MACROPHAGE_48H_MBOVIS_BCG_STIM_DN</t>
  </si>
  <si>
    <t>7456;8676;712;1536;3689;962;653361;942;695;55016;51744;10870;8832;2857;3117;3956;3162;4688;241;3109;1230;3123;161176;10184;84230;51762;7462</t>
  </si>
  <si>
    <t>WIPF1;STX11;C1QA;CYBB;ITGB2;CD48;NCF1;CD86;BTK;MARCH1;CD244;HCST;CD84;GPR34;HLA-DQA1;LGALS1;HMOX1;NCF2;ALOX5AP;HLA-DMB;CCR1;HLA-DRB1;SYNE3;LHFPL2;LRRC8C;RAB8B;LAT2</t>
  </si>
  <si>
    <t>http://www.broadinstitute.org/gsea/msigdb/cards/GSE22935_WT_VS_MYD88_KO_MACROPHAGE_48H_MBOVIS_BCG_STIM_DN.html</t>
  </si>
  <si>
    <t>GSE29164_UNTREATED_VS_CD8_TCELL_TREATED_MELANOMA_DAY7_UP</t>
  </si>
  <si>
    <t>4542;7305;9046;3458;1436;951;3001;6352;5551;7133;2123;3594;7535;1234;3394;10875;259307;4063;55303;348;729230;356;2833;4033;7941;3824;597</t>
  </si>
  <si>
    <t>MYO1F;TYROBP;DOK2;IFNG;CSF1R;CD37;GZMA;CCL5;PRF1;TNFRSF1B;EVI2A;IL12RB1;ZAP70;CCR5;IRF8;FGL2;IL4I1;LY9;GIMAP4;APOE;CCR2;FASLG;CXCR3;LRMP;PLA2G7;KLRD1;BCL2A1</t>
  </si>
  <si>
    <t>http://www.broadinstitute.org/gsea/msigdb/cards/GSE29164_UNTREATED_VS_CD8_TCELL_TREATED_MELANOMA_DAY7_UP.html</t>
  </si>
  <si>
    <t>GSE32164_ALTERNATIVELY_ACT_M2_VS_CMYC_INHIBITED_MACROPHAGE_UP</t>
  </si>
  <si>
    <t>7456;9046;3458;920;3689;914;1436;940;6352;5551;971;923;6890;3603;4689;219972;55303;3117;348;3109;729230;356;2833;4050;3123;10077;27240</t>
  </si>
  <si>
    <t>WIPF1;DOK2;IFNG;CD4;ITGB2;CD2;CSF1R;CD28;CCL5;PRF1;CD72;CD6;TAP1;IL16;NCF4;MPEG1;GIMAP4;HLA-DQA1;APOE;HLA-DMB;CCR2;FASLG;CXCR3;LTB;HLA-DRB1;TSPAN32;SIT1</t>
  </si>
  <si>
    <t>http://www.broadinstitute.org/gsea/msigdb/cards/GSE32164_ALTERNATIVELY_ACT_M2_VS_CMYC_INHIBITED_MACROPHAGE_UP.html</t>
  </si>
  <si>
    <t>GSE33424_CD161_INT_VS_NEG_CD8_TCELL_UP</t>
  </si>
  <si>
    <t>9839;9404;9450;3627;1536;3055;3659;2123;51056;942;6772;3594;219972;84166;8477;146722;81030;51284;9034;29909;1435;969;441168;100506736;55281;29126;25939</t>
  </si>
  <si>
    <t>ZEB2;LPXN;LY86;CXCL10;CYBB;HCK;IRF1;EVI2A;LAP3;CD86;STAT1;IL12RB1;MPEG1;NLRC5;GPR65;CD300LF;ZBP1;TLR7;CCRL2;GPR171;CSF1;CD69;CALHM6;SLFN12L;TMEM140;CD274;SAMHD1</t>
  </si>
  <si>
    <t>http://www.broadinstitute.org/gsea/msigdb/cards/GSE33424_CD161_INT_VS_NEG_CD8_TCELL_UP.html</t>
  </si>
  <si>
    <t>1318;9051;9450;653361;2124;4354;10875;55843;92241;114548;115361;8832;50856;23228;2162;3956;241;4481;3108;1043;729230;11010;100506736;9754;84329;83937;55013</t>
  </si>
  <si>
    <t>SLC31A2;PSTPIP1;LY86;NCF1;EVI2B;MPP1;FGL2;ARHGAP15;RCSD1;NLRP3;GBP4;CD84;CLEC4A;PLCL2;F13A1;LGALS1;ALOX5AP;MSR1;HLA-DMA;CD52;CCR2;GLIPR1;SLFN12L;STARD8;HVCN1;RASSF4;MCUB</t>
  </si>
  <si>
    <t>http://www.broadinstitute.org/gsea/msigdb/cards/GSE26030_TH1_VS_TH17_DAY15_POST_POLARIZATION_DN.html</t>
  </si>
  <si>
    <t>GSE35685_CD34POS_CD10NEG_CD62LPOS_VS_CD34POS_CD10POS_BONE_MARROW_DN</t>
  </si>
  <si>
    <t>10068;3627;3659;2209;6351;963;4245;1439;942;6772;6890;3937;10320;10875;255231;115361;51744;55589;3162;2213;1230;6776;3718;1601;100506736;51762;9935</t>
  </si>
  <si>
    <t>IL18BP;CXCL10;IRF1;FCGR1A;CCL4;CD53;MGAT1;CSF2RB;CD86;STAT1;TAP1;LCP2;IKZF1;FGL2;MCOLN2;GBP4;CD244;BMP2K;HMOX1;FCGR2B;CCR1;STAT5A;JAK3;DAB2;SLFN12L;RAB8B;MAFB</t>
  </si>
  <si>
    <t>http://www.broadinstitute.org/gsea/msigdb/cards/GSE35685_CD34POS_CD10NEG_CD62LPOS_VS_CD34POS_CD10POS_BONE_MARROW_DN.html</t>
  </si>
  <si>
    <t>GSE40068_CXCR5NEG_BCL6NEG_CD4_TCELL_VS_CXCR5POS_BCL6NEG_TFH_DN</t>
  </si>
  <si>
    <t>10663;8676;3689;3560;5734;1234;3903;255231;139716;115361;57105;4094;8530;3956;3290;2213;3004;54331;55911;7185;3824;8809;597;151556;64780;79895;57823</t>
  </si>
  <si>
    <t>CXCR6;STX11;ITGB2;IL2RB;PTGER4;CCR5;LAIR1;MCOLN2;GAB3;GBP4;CYSLTR2;MAF;CST7;LGALS1;HSD11B1;FCGR2B;GZMM;GNG2;APOBR;TRAF1;KLRD1;IL18R1;BCL2A1;GPR155;MICAL1;ATP8B4;SLAMF7</t>
  </si>
  <si>
    <t>http://www.broadinstitute.org/gsea/msigdb/cards/GSE40068_CXCR5NEG_BCL6NEG_CD4_TCELL_VS_CXCR5POS_BCL6NEG_TFH_DN.html</t>
  </si>
  <si>
    <t>GSE28737_WT_VS_BCL6_HET_FOLLICULAR_BCELL_DN</t>
  </si>
  <si>
    <t>22797;9404;54440;920;7133;971;6772;10875;5800;51296;221188;146722;53829;64333;81030;50615;730249;921;3684;2213;140885;7941;151556;79895;84106;84034;10004</t>
  </si>
  <si>
    <t>TFEC;LPXN;SASH3;CD4;TNFRSF1B;CD72;STAT1;FGL2;PTPRO;SLC15A3;ADGRG5;CD300LF;P2RY13;ARHGAP9;ZBP1;IL21R;ACOD1;CD5;ITGAM;FCGR2B;SIRPA;PLA2G7;GPR155;ATP8B4;PRAM1;EMILIN2;NAALADL1</t>
  </si>
  <si>
    <t>http://www.broadinstitute.org/gsea/msigdb/cards/GSE28737_WT_VS_BCL6_HET_FOLLICULAR_BCELL_DN.html</t>
  </si>
  <si>
    <t>GSE39556_UNTREATED_VS_3H_POLYIC_INJ_MOUSE_CD8A_DC_UP</t>
  </si>
  <si>
    <t>9450;3689;3932;3055;962;3575;971;2014;11262;3662;399;50852;8477;6039;26051;4064;9056;6373;8564;10437;3112;1043;1235;4033;6503;27240;25939</t>
  </si>
  <si>
    <t>LY86;ITGB2;LCK;HCK;CD48;IL7R;CD72;EMP3;SP140;IRF4;RHOH;TRAT1;GPR65;RNASE6;PPP1R16B;CD180;SLC7A7;CXCL11;KMO;IFI30;HLA-DOB;CD52;CCR6;LRMP;SLA;SIT1;SAMHD1</t>
  </si>
  <si>
    <t>http://www.broadinstitute.org/gsea/msigdb/cards/GSE39556_UNTREATED_VS_3H_POLYIC_INJ_MOUSE_CD8A_DC_UP.html</t>
  </si>
  <si>
    <t>GSE41867_DAY6_EFFECTOR_VS_DAY30_EXHAUSTED_CD8_TCELL_LCMV_CLONE13_UP</t>
  </si>
  <si>
    <t>22797;3458;3659;3560;2207;942;6772;3594;219972;93978;257106;81704;115361;81030;30009;7099;9034;4094;1435;3002;241;4818;100506736;116071;79630;55281;55691</t>
  </si>
  <si>
    <t>TFEC;IFNG;IRF1;IL2RB;FCER1G;CD86;STAT1;IL12RB1;MPEG1;CLEC6A;ARHGAP30;DOCK8;GBP4;ZBP1;TBX21;TLR4;CCRL2;MAF;CSF1;GZMB;ALOX5AP;NKG7;SLFN12L;BATF2;C1orf54;TMEM140;FRMD4A</t>
  </si>
  <si>
    <t>http://www.broadinstitute.org/gsea/msigdb/cards/GSE41867_DAY6_EFFECTOR_VS_DAY30_EXHAUSTED_CD8_TCELL_LCMV_CLONE13_UP.html</t>
  </si>
  <si>
    <t>GSE46606_IRF4_KO_VS_WT_UNSTIM_BCELL_DN</t>
  </si>
  <si>
    <t>22797;1318;4210;3627;1536;5341;3055;6351;313;3561;5294;114548;81030;64092;56833;29992;27036;3717;3553;54;4973;969;7185;597;146850;145864;29126</t>
  </si>
  <si>
    <t>TFEC;SLC31A2;MEFV;CXCL10;CYBB;PLEK;HCK;CCL4;AOAH;IL2RG;PIK3CG;NLRP3;ZBP1;SAMSN1;SLAMF8;PILRA;SIGLEC7;JAK2;IL1B;ACP5;OLR1;CD69;TRAF1;BCL2A1;PIK3R6;HAPLN3;CD274</t>
  </si>
  <si>
    <t>http://www.broadinstitute.org/gsea/msigdb/cards/GSE46606_IRF4_KO_VS_WT_UNSTIM_BCELL_DN.html</t>
  </si>
  <si>
    <t>GSE7219_WT_VS_NIK_NFKB2_KO_DC_DN</t>
  </si>
  <si>
    <t>340152;5341;3676;3575;919;944;55843;3903;92241;256380;139716;23533;89857;114836;8832;366;56253;924;6402;6693;2213;8809;10235;79895;81553</t>
  </si>
  <si>
    <t>ZC3H12D;PLEK;ITGA4;IL7R;CD247;TNFSF8;ARHGAP15;LAIR1;RCSD1;SCML4;GAB3;PIK3R5;KLHL6;SLAMF6;CD84;AQP9;CRTAM;CD7;SELL;SPN;FCGR2B;IL18R1;RASGRP2;ATP8B4;FAM49A</t>
  </si>
  <si>
    <t>http://www.broadinstitute.org/gsea/msigdb/cards/GSE7219_WT_VS_NIK_NFKB2_KO_DC_DN.html</t>
  </si>
  <si>
    <t>GSE40274_CTRL_VS_XBP1_TRANSDUCED_ACTIVATED_CD4_TCELL_UP</t>
  </si>
  <si>
    <t>9839;940;6352;3560;945;391;6504;3587;54899;57580;89857;55303;29851;6793;240;54331;4818;90634;151556;91010;64780;81553;83937;55691;22806</t>
  </si>
  <si>
    <t>ZEB2;CD28;CCL5;IL2RB;CD33;RHOG;SLAMF1;IL10RA;PXK;PREX1;KLHL6;GIMAP4;ICOS;STK10;ALOX5;GNG2;NKG7;N4BP2L1;GPR155;FMNL3;MICAL1;FAM49A;RASSF4;FRMD4A;IKZF3</t>
  </si>
  <si>
    <t>http://www.broadinstitute.org/gsea/msigdb/cards/GSE40274_CTRL_VS_XBP1_TRANSDUCED_ACTIVATED_CD4_TCELL_UP.html</t>
  </si>
  <si>
    <t>GSE40274_CTRL_VS_FOXP3_AND_GATA1_TRANSDUCED_ACTIVATED_CD4_TCELL_UP</t>
  </si>
  <si>
    <t>4210;7305;9450;915;6352;944;10225;3101;3702;10666;64170;29992;30009;221400;8530;924;3002;6693;3290;729230;7185;8809;55013</t>
  </si>
  <si>
    <t>MEFV;TYROBP;LY86;CD3D;CCL5;TNFSF8;CD96;HK3;ITK;CD226;CARD9;PILRA;TBX21;TDRD6;CST7;CD7;GZMB;SPN;HSD11B1;CCR2;TRAF1;IL18R1;MCUB</t>
  </si>
  <si>
    <t>http://www.broadinstitute.org/gsea/msigdb/cards/GSE40274_CTRL_VS_FOXP3_AND_GATA1_TRANSDUCED_ACTIVATED_CD4_TCELL_UP.html</t>
  </si>
  <si>
    <t>4542;4068;962;3575;1233;53347;2313;10666;149628;474344;8477;4063;27128;9120;3936;6402;54331;4050;89846;90634;168537;10077;81553;64747</t>
  </si>
  <si>
    <t>MYO1F;SH2D1A;CD48;IL7R;CCR4;UBASH3A;FLI1;CD226;PYHIN1;GIMAP6;GPR65;LY9;CYTH4;SLC16A6;LCP1;SELL;GNG2;LTB;FGD3;N4BP2L1;GIMAP7;TSPAN32;FAM49A;MFSD1</t>
  </si>
  <si>
    <t>http://www.broadinstitute.org/gsea/msigdb/cards/GSE21033_CTRL_VS_POLYIC_STIM_DC_12H_UP.html</t>
  </si>
  <si>
    <t>GSE21360_SECONDARY_VS_QUATERNARY_MEMORY_CD8_TCELL_UP</t>
  </si>
  <si>
    <t>8676;5341;929;6351;6352;3575;7133;51296;255231;23533;64092;730249;9034;3553;2357;3586;203100;3604;969;10148;10672;23312;338339;57823;29126</t>
  </si>
  <si>
    <t>STX11;PLEK;CD14;CCL4;CCL5;IL7R;TNFRSF1B;SLC15A3;MCOLN2;PIK3R5;SAMSN1;ACOD1;CCRL2;IL1B;FPR1;IL10;HTRA4;TNFRSF9;CD69;EBI3;GNA13;DMXL2;CLEC4D;SLAMF7;CD274</t>
  </si>
  <si>
    <t>http://www.broadinstitute.org/gsea/msigdb/cards/GSE21360_SECONDARY_VS_QUATERNARY_MEMORY_CD8_TCELL_UP.html</t>
  </si>
  <si>
    <t>GSE40274_CTRL_VS_GATA1_TRANSDUCED_ACTIVATED_CD4_TCELL_UP</t>
  </si>
  <si>
    <t>4542;11025;11309;3676;2207;1439;3071;283897;221188;58475;11314;353514;924;3162;6546;4261;441168;155038;9754;51676;51063;51466</t>
  </si>
  <si>
    <t>MYO1F;LILRB3;SLCO2B1;ITGA4;FCER1G;CSF2RB;NCKAP1L;C16orf54;ADGRG5;MS4A7;CD300A;LILRA5;CD7;HMOX1;SLC8A1;CIITA;CALHM6;GIMAP8;STARD8;ASB2;CALHM2;EVL</t>
  </si>
  <si>
    <t>http://www.broadinstitute.org/gsea/msigdb/cards/GSE40274_CTRL_VS_GATA1_TRANSDUCED_ACTIVATED_CD4_TCELL_UP.html</t>
  </si>
  <si>
    <t>GOLDRATH_NAIVE_VS_EFF_CD8_TCELL_DN</t>
  </si>
  <si>
    <t>4542;3458;962;3001;6351;5551;3687;2207;1234;2014;3394;10875;3662;51744;55589;3956;3002;10437;3902;729230;356;3003;3004;3604;5133;597</t>
  </si>
  <si>
    <t>MYO1F;IFNG;CD48;GZMA;CCL4;PRF1;ITGAX;FCER1G;CCR5;EMP3;IRF8;FGL2;IRF4;CD244;BMP2K;LGALS1;GZMB;IFI30;LAG3;CCR2;FASLG;GZMK;GZMM;TNFRSF9;PDCD1;BCL2A1</t>
  </si>
  <si>
    <t>http://www.broadinstitute.org/gsea/msigdb/cards/GOLDRATH_NAIVE_VS_EFF_CD8_TCELL_DN.html</t>
  </si>
  <si>
    <t>GSE20366_TREG_VS_NAIVE_CD4_TCELL_DEC205_CONVERSION_UP</t>
  </si>
  <si>
    <t>9214;3559;3627;1536;971;10875;115361;11314;9056;2857;9120;3117;3002;3112;6402;3586;4360;3108;1235;3604;7185;3123;79865;118788;5027;50943</t>
  </si>
  <si>
    <t>FCMR;IL2RA;CXCL10;CYBB;CD72;FGL2;GBP4;CD300A;SLC7A7;GPR34;SLC16A6;HLA-DQA1;GZMB;HLA-DOB;SELL;IL10;MRC1;HLA-DMA;CCR6;TNFRSF9;TRAF1;HLA-DRB1;TREML2;PIK3AP1;P2RX7;FOXP3</t>
  </si>
  <si>
    <t>http://www.broadinstitute.org/gsea/msigdb/cards/GSE20366_TREG_VS_NAIVE_CD4_TCELL_DEC205_CONVERSION_UP.html</t>
  </si>
  <si>
    <t>9840;9535;9046;915;5788;940;3659;3001;3575;2633;6772;2014;6890;3937;399;5800;56833;9034;8530;3956;241;1043;1230;356;6503;79630</t>
  </si>
  <si>
    <t>TESPA1;GMFG;DOK2;CD3D;PTPRC;CD28;IRF1;GZMA;IL7R;GBP1;STAT1;EMP3;TAP1;LCP2;RHOH;PTPRO;SLAMF8;CCRL2;CST7;LGALS1;ALOX5AP;CD52;CCR1;FASLG;SLA;C1orf54</t>
  </si>
  <si>
    <t>http://www.broadinstitute.org/gsea/msigdb/cards/GSE24026_PD1_LIGATION_VS_CTRL_IN_ACT_TCELL_LINE_UP.html</t>
  </si>
  <si>
    <t>GSE29618_BCELL_VS_MDC_DAY7_FLU_VACCINE_DN</t>
  </si>
  <si>
    <t>7940;7305;10261;920;1436;945;3687;313;2207;2322;942;199;53829;50856;10019;8530;3956;8905;140885;55911;10462;79895;79630;64581;54504;25939</t>
  </si>
  <si>
    <t>LST1;TYROBP;IGSF6;CD4;CSF1R;CD33;ITGAX;AOAH;FCER1G;FLT3;CD86;AIF1;P2RY13;CLEC4A;SH2B3;CST7;LGALS1;AP1S2;SIRPA;APOBR;CLEC10A;ATP8B4;C1orf54;CLEC7A;CPVL;SAMHD1</t>
  </si>
  <si>
    <t>http://www.broadinstitute.org/gsea/msigdb/cards/GSE29618_BCELL_VS_MDC_DAY7_FLU_VACCINE_DN.html</t>
  </si>
  <si>
    <t>GSE30962_PRIMARY_VS_SECONDARY_CHRONIC_LCMV_INF_CD8_TCELL_DN</t>
  </si>
  <si>
    <t>4242;22797;9839;6352;2207;5734;10225;7535;1234;7805;10875;221188;2672;51744;51225;2857;1435;2999;4481;356;3003;54331;55911;146850;83937;55281</t>
  </si>
  <si>
    <t>MFNG;TFEC;ZEB2;CCL5;FCER1G;PTGER4;CD96;ZAP70;CCR5;LAPTM5;FGL2;ADGRG5;GFI1;CD244;ABI3;GPR34;CSF1;GZMH;MSR1;FASLG;GZMK;GNG2;APOBR;PIK3R6;RASSF4;TMEM140</t>
  </si>
  <si>
    <t>http://www.broadinstitute.org/gsea/msigdb/cards/GSE30962_PRIMARY_VS_SECONDARY_CHRONIC_LCMV_INF_CD8_TCELL_DN.html</t>
  </si>
  <si>
    <t>GSE34205_RSV_VS_FLU_INF_INFANT_PBMC_DN</t>
  </si>
  <si>
    <t>9046;712;713;714;3689;917;6351;5551;3683;3695;1234;391;57580;81030;10870;8832;2219;3002;10437;10578;3824;4818;245972;3805;6614;23166</t>
  </si>
  <si>
    <t>DOK2;C1QA;C1QB;C1QC;ITGB2;CD3G;CCL4;PRF1;ITGAL;ITGB7;CCR5;RHOG;PREX1;ZBP1;HCST;CD84;FCN1;GZMB;IFI30;GNLY;KLRD1;NKG7;ATP6V0D2;KIR2DL4;SIGLEC1;STAB1</t>
  </si>
  <si>
    <t>http://www.broadinstitute.org/gsea/msigdb/cards/GSE34205_RSV_VS_FLU_INF_INFANT_PBMC_DN.html</t>
  </si>
  <si>
    <t>GSE3982_BCELL_VS_CENT_MEMORY_CD4_TCELL_UP</t>
  </si>
  <si>
    <t>1536;5341;929;2268;1439;3394;3662;91752;51296;26051;55589;50856;3122;3115;240;9103;4066;54;3112;3108;3109;2213;4208;3123;25780;7462</t>
  </si>
  <si>
    <t>CYBB;PLEK;CD14;FGR;CSF2RB;IRF8;IRF4;ZNF804A;SLC15A3;PPP1R16B;BMP2K;CLEC4A;HLA-DRA;HLA-DPB1;ALOX5;FCGR2A;LYL1;ACP5;HLA-DOB;HLA-DMA;HLA-DMB;FCGR2B;MEF2C;HLA-DRB1;RASGRP3;LAT2</t>
  </si>
  <si>
    <t>http://www.broadinstitute.org/gsea/msigdb/cards/GSE3982_BCELL_VS_CENT_MEMORY_CD4_TCELL_UP.html</t>
  </si>
  <si>
    <t>GSE9650_NAIVE_VS_EFF_CD8_TCELL_DN</t>
  </si>
  <si>
    <t>4542;4068;3458;962;3001;6352;3676;5551;1493;3683;3687;1234;3587;10875;3956;3002;3684;3290;2213;729230;356;2833;3003;8809;597;23166</t>
  </si>
  <si>
    <t>MYO1F;SH2D1A;IFNG;CD48;GZMA;CCL5;ITGA4;PRF1;CTLA4;ITGAL;ITGAX;CCR5;IL10RA;FGL2;LGALS1;GZMB;ITGAM;HSD11B1;FCGR2B;CCR2;FASLG;CXCR3;GZMK;IL18R1;BCL2A1;STAB1</t>
  </si>
  <si>
    <t>http://www.broadinstitute.org/gsea/msigdb/cards/GSE9650_NAIVE_VS_EFF_CD8_TCELL_DN.html</t>
  </si>
  <si>
    <t>GSE8921_UNSTIM_VS_TLR1_2_STIM_MONOCYTE_24H_UP</t>
  </si>
  <si>
    <t>2533;7456;712;713;5788;3055;940;3683;1236;2124;942;9332;117289;170575;366;27306;3553;924;1235;27314;89846;118788;25780;155038;51466;26279</t>
  </si>
  <si>
    <t>FYB1;WIPF1;C1QA;C1QB;PTPRC;HCK;CD28;ITGAL;CCR7;EVI2B;CD86;CD163;TAGAP;GIMAP1;AQP9;HPGDS;IL1B;CD7;CCR6;RAB30;FGD3;PIK3AP1;RASGRP3;GIMAP8;EVL;PLA2G2D</t>
  </si>
  <si>
    <t>http://www.broadinstitute.org/gsea/msigdb/cards/GSE8921_UNSTIM_VS_TLR1_2_STIM_MONOCYTE_24H_UP.html</t>
  </si>
  <si>
    <t>GSE17186_MEMORY_VS_CD21HIGH_TRANSITIONAL_BCELL_DN</t>
  </si>
  <si>
    <t>2533;10068;920;3627;972;3575;7133;4245;3561;1236;10225;6772;7535;6890;92241;23048;6793;6693;1043;356;4033;6503;10235;91526;161145;29126</t>
  </si>
  <si>
    <t>FYB1;IL18BP;CD4;CXCL10;CD74;IL7R;TNFRSF1B;MGAT1;IL2RG;CCR7;CD96;STAT1;ZAP70;TAP1;RCSD1;FNBP1;STK10;SPN;CD52;FASLG;LRMP;SLA;RASGRP2;ANKRD44;TMEM229B;CD274</t>
  </si>
  <si>
    <t>http://www.broadinstitute.org/gsea/msigdb/cards/GSE17186_MEMORY_VS_CD21HIGH_TRANSITIONAL_BCELL_DN.html</t>
  </si>
  <si>
    <t>GSE19401_UNSTIM_VS_RETINOIC_ACID_AND_PAM2CSK4_STIM_FOLLICULAR_DC_DN</t>
  </si>
  <si>
    <t>3559;6352;2350;3575;944;5734;4354;3394;10320;719;114548;6373;8564;6793;2162;3553;6776;7185;6503;8809;10457;597;81553;54504;23166;1522</t>
  </si>
  <si>
    <t>IL2RA;CCL5;FOLR2;IL7R;TNFSF8;PTGER4;MPP1;IRF8;IKZF1;C3AR1;NLRP3;CXCL11;KMO;STK10;F13A1;IL1B;STAT5A;TRAF1;SLA;IL18R1;GPNMB;BCL2A1;FAM49A;CPVL;STAB1;CTSZ</t>
  </si>
  <si>
    <t>http://www.broadinstitute.org/gsea/msigdb/cards/GSE19401_UNSTIM_VS_RETINOIC_ACID_AND_PAM2CSK4_STIM_FOLLICULAR_DC_DN.html</t>
  </si>
  <si>
    <t>GSE27670_BLIMP1_VS_LMP1_TRANSDUCED_GC_BCELL_UP</t>
  </si>
  <si>
    <t>4542;7305;9450;1536;3689;1436;3055;962;2209;2322;3071;7805;219972;23048;4063;51284;9056;341;5452;54;3059;5816;3988;140885;338339;23166</t>
  </si>
  <si>
    <t>MYO1F;TYROBP;LY86;CYBB;ITGB2;CSF1R;HCK;CD48;FCGR1A;FLT3;NCKAP1L;LAPTM5;MPEG1;FNBP1;LY9;TLR7;SLC7A7;APOC1;POU2F2;ACP5;HCLS1;PVALB;LIPA;SIRPA;CLEC4D;STAB1</t>
  </si>
  <si>
    <t>http://www.broadinstitute.org/gsea/msigdb/cards/GSE27670_BLIMP1_VS_LMP1_TRANSDUCED_GC_BCELL_UP.html</t>
  </si>
  <si>
    <t>GSE32164_RESTING_DIFFERENTIATED_VS_ALTERNATIVELY_ACT_M2_MACROPHAGE_DN</t>
  </si>
  <si>
    <t>7456;9046;3458;3689;940;5551;3575;971;2123;5734;1234;3587;10875;219972;9034;3117;5552;2113;729230;356;2833;8809;10672;597;3123;10077</t>
  </si>
  <si>
    <t>WIPF1;DOK2;IFNG;ITGB2;CD28;PRF1;IL7R;CD72;EVI2A;PTGER4;CCR5;IL10RA;FGL2;MPEG1;CCRL2;HLA-DQA1;SRGN;ETS1;CCR2;FASLG;CXCR3;IL18R1;GNA13;BCL2A1;HLA-DRB1;TSPAN32</t>
  </si>
  <si>
    <t>http://www.broadinstitute.org/gsea/msigdb/cards/GSE32164_RESTING_DIFFERENTIATED_VS_ALTERNATIVELY_ACT_M2_MACROPHAGE_DN.html</t>
  </si>
  <si>
    <t>GSE40274_XBP1_VS_FOXP3_AND_XBP1_TRANSDUCED_ACTIVATED_CD4_TCELL_UP</t>
  </si>
  <si>
    <t>4542;27334;4068;3659;3695;2014;2313;6504;6404;55843;124460;170575;89857;114836;64333;55303;5452;3956;6402;3586;4050;6503;10507;84329;57823;55281</t>
  </si>
  <si>
    <t>MYO1F;P2RY10;SH2D1A;IRF1;ITGB7;EMP3;FLI1;SLAMF1;SELPLG;ARHGAP15;SNX20;GIMAP1;KLHL6;SLAMF6;ARHGAP9;GIMAP4;POU2F2;LGALS1;SELL;IL10;LTB;SLA;SEMA4D;HVCN1;SLAMF7;TMEM140</t>
  </si>
  <si>
    <t>http://www.broadinstitute.org/gsea/msigdb/cards/GSE40274_XBP1_VS_FOXP3_AND_XBP1_TRANSDUCED_ACTIVATED_CD4_TCELL_UP.html</t>
  </si>
  <si>
    <t>GSE41867_DAY15_EFFECTOR_VS_DAY30_EXHAUSTED_CD8_TCELL_LCMV_CLONE13_UP</t>
  </si>
  <si>
    <t>4542;8676;3458;6351;3676;3560;2207;942;6772;8514;3587;93978;81030;30009;29851;7099;9034;4094;6793;1435;54331;4818;79630;55281;51466;25939</t>
  </si>
  <si>
    <t>MYO1F;STX11;IFNG;CCL4;ITGA4;IL2RB;FCER1G;CD86;STAT1;KCNAB2;IL10RA;CLEC6A;ZBP1;TBX21;ICOS;TLR4;CCRL2;MAF;STK10;CSF1;GNG2;NKG7;C1orf54;TMEM140;EVL;SAMHD1</t>
  </si>
  <si>
    <t>http://www.broadinstitute.org/gsea/msigdb/cards/GSE41867_DAY15_EFFECTOR_VS_DAY30_EXHAUSTED_CD8_TCELL_LCMV_CLONE13_UP.html</t>
  </si>
  <si>
    <t>GSE42088_UNINF_VS_LEISHMANIA_INF_DC_24H_UP</t>
  </si>
  <si>
    <t>3689;5579;951;3676;2123;2124;5734;942;2313;8514;3587;9744;1794;3635;27128;7099;3684;728;3108;3109;3988;4208;969;6503;64581;54861</t>
  </si>
  <si>
    <t>ITGB2;PRKCB;CD37;ITGA4;EVI2A;EVI2B;PTGER4;CD86;FLI1;KCNAB2;IL10RA;ACAP1;DOCK2;INPP5D;CYTH4;TLR4;ITGAM;C5AR1;HLA-DMA;HLA-DMB;LIPA;MEF2C;CD69;SLA;CLEC7A;SNRK</t>
  </si>
  <si>
    <t>http://www.broadinstitute.org/gsea/msigdb/cards/GSE42088_UNINF_VS_LEISHMANIA_INF_DC_24H_UP.html</t>
  </si>
  <si>
    <t>GSE18804_SPLEEN_MACROPHAGE_VS_COLON_TUMORAL_MACROPHAGE_UP</t>
  </si>
  <si>
    <t>9404;54440;9450;313;719;81704;57580;1794;3635;11184;4063;27128;50856;10154;8530;348;240;10437;6693;6753;7454;140885;3604;4818;441168;6363</t>
  </si>
  <si>
    <t>LPXN;SASH3;LY86;AOAH;C3AR1;DOCK8;PREX1;DOCK2;INPP5D;MAP4K1;LY9;CYTH4;CLEC4A;PLXNC1;CST7;APOE;ALOX5;IFI30;SPN;SSTR3;WAS;SIRPA;TNFRSF9;NKG7;CALHM6;CCL19</t>
  </si>
  <si>
    <t>http://www.broadinstitute.org/gsea/msigdb/cards/GSE18804_SPLEEN_MACROPHAGE_VS_COLON_TUMORAL_MACROPHAGE_UP.html</t>
  </si>
  <si>
    <t>GSE7219_WT_VS_NIK_NFKB2_KO_DC_UP</t>
  </si>
  <si>
    <t>10663;9404;3559;3627;6351;7133;5734;942;6772;3702;10875;11006;84868;81030;50615;51284;2857;29909;27306;3002;27163;5133;118788;91010;29126</t>
  </si>
  <si>
    <t>CXCR6;LPXN;IL2RA;CXCL10;CCL4;TNFRSF1B;PTGER4;CD86;STAT1;ITK;FGL2;LILRB4;HAVCR2;ZBP1;IL21R;TLR7;GPR34;GPR171;HPGDS;GZMB;NAAA;PDCD1;PIK3AP1;FMNL3;CD274</t>
  </si>
  <si>
    <t>http://www.broadinstitute.org/gsea/msigdb/cards/GSE7219_WT_VS_NIK_NFKB2_KO_DC_UP.html</t>
  </si>
  <si>
    <t>GSE6259_FLT3L_INDUCED_DEC205_POS_DC_VS_CD8_TCELL_DN</t>
  </si>
  <si>
    <t>10068;3559;6351;5551;7453;313;6772;3594;4283;84166;115362;115361;81030;56833;27033;730249;1435;3002;4818;79865;120425;29126;1522;25939</t>
  </si>
  <si>
    <t>IL18BP;IL2RA;CCL4;PRF1;WARS;AOAH;STAT1;IL12RB1;CXCL9;NLRC5;GBP5;GBP4;ZBP1;SLAMF8;ZBTB32;ACOD1;CSF1;GZMB;NKG7;TREML2;JAML;CD274;CTSZ;SAMHD1</t>
  </si>
  <si>
    <t>http://www.broadinstitute.org/gsea/msigdb/cards/GSE6259_FLT3L_INDUCED_DEC205_POS_DC_VS_CD8_TCELL_DN.html</t>
  </si>
  <si>
    <t>GSE7768_OVA_ALONE_VS_OVA_WITH_LPS_IMMUNIZED_MOUSE_WHOLE_SPLEEN_6H_DN</t>
  </si>
  <si>
    <t>4210;10261;1536;5341;929;3055;3659;6351;6352;5734;255231;23533;114548;115362;64092;9034;5724;2213;4973;7185;10672;146850;55619;29126</t>
  </si>
  <si>
    <t>MEFV;IGSF6;CYBB;PLEK;CD14;HCK;IRF1;CCL4;CCL5;PTGER4;MCOLN2;PIK3R5;NLRP3;GBP5;SAMSN1;CCRL2;PTAFR;FCGR2B;OLR1;TRAF1;GNA13;PIK3R6;DOCK10;CD274</t>
  </si>
  <si>
    <t>http://www.broadinstitute.org/gsea/msigdb/cards/GSE7768_OVA_ALONE_VS_OVA_WITH_LPS_IMMUNIZED_MOUSE_WHOLE_SPLEEN_6H_DN.html</t>
  </si>
  <si>
    <t>GSE6259_CD4_TCELL_VS_CD8_TCELL_DN</t>
  </si>
  <si>
    <t>340152;1318;54440;10068;962;3575;79930;353345;84166;4063;51311;23228;27306;2162;10437;3586;729230;6556;203100;441168;118788;245972;55803;55691</t>
  </si>
  <si>
    <t>ZC3H12D;SLC31A2;SASH3;IL18BP;CD48;IL7R;DOK3;GPR141;NLRC5;LY9;TLR8;PLCL2;HPGDS;F13A1;IFI30;IL10;CCR2;SLC11A1;HTRA4;CALHM6;PIK3AP1;ATP6V0D2;ADAP2;FRMD4A</t>
  </si>
  <si>
    <t>http://www.broadinstitute.org/gsea/msigdb/cards/GSE6259_CD4_TCELL_VS_CD8_TCELL_DN.html</t>
  </si>
  <si>
    <t>GSE7219_UNSTIM_VS_LPS_AND_ANTI_CD40_STIM_NIK_NFKB2_KO_DC_DN</t>
  </si>
  <si>
    <t>10663;3559;3627;6351;1493;7133;5734;942;3702;10875;3662;201633;26051;2672;50615;10673;29851;29909;9120;27306;3902;54331;5133;118788;91010</t>
  </si>
  <si>
    <t>CXCR6;IL2RA;CXCL10;CCL4;CTLA4;TNFRSF1B;PTGER4;CD86;ITK;FGL2;IRF4;TIGIT;PPP1R16B;GFI1;IL21R;TNFSF13B;ICOS;GPR171;SLC16A6;HPGDS;LAG3;GNG2;PDCD1;PIK3AP1;FMNL3</t>
  </si>
  <si>
    <t>http://www.broadinstitute.org/gsea/msigdb/cards/GSE7219_UNSTIM_VS_LPS_AND_ANTI_CD40_STIM_NIK_NFKB2_KO_DC_DN.html</t>
  </si>
  <si>
    <t>GSE7219_UNSTIM_VS_LPS_AND_ANTI_CD40_STIM_DC_UP</t>
  </si>
  <si>
    <t>27334;5579;959;1236;944;92241;151888;256380;154075;23533;114836;54557;10154;5452;924;6402;2113;2213;3004;10672;85464;10235;151556;81553</t>
  </si>
  <si>
    <t>P2RY10;PRKCB;CD40LG;CCR7;TNFSF8;RCSD1;BTLA;SCML4;SAMD3;PIK3R5;SLAMF6;SGTB;PLXNC1;POU2F2;CD7;SELL;ETS1;FCGR2B;GZMM;GNA13;SSH2;RASGRP2;GPR155;FAM49A</t>
  </si>
  <si>
    <t>http://www.broadinstitute.org/gsea/msigdb/cards/GSE7219_UNSTIM_VS_LPS_AND_ANTI_CD40_STIM_DC_UP.html</t>
  </si>
  <si>
    <t>GSE40685_TREG_VS_FOXP3_KO_TREG_PRECURSOR_UP</t>
  </si>
  <si>
    <t>1318;4210;3659;4332;6772;3101;6890;4283;92241;474344;84166;55016;115362;115361;55303;10673;9881;3717;2357;6546;441168;25890;116071;145864;26157</t>
  </si>
  <si>
    <t>SLC31A2;MEFV;IRF1;MNDA;STAT1;HK3;TAP1;CXCL9;RCSD1;GIMAP6;NLRC5;MARCH1;GBP5;GBP4;GIMAP4;TNFSF13B;TRANK1;JAK2;FPR1;SLC8A1;CALHM6;ABI3BP;BATF2;HAPLN3;GIMAP2</t>
  </si>
  <si>
    <t>http://www.broadinstitute.org/gsea/msigdb/cards/GSE40685_TREG_VS_FOXP3_KO_TREG_PRECURSOR_UP.html</t>
  </si>
  <si>
    <t>GSE6090_UNSTIM_VS_DC_SIGN_STIM_DC_DN</t>
  </si>
  <si>
    <t>4542;712;917;919;11151;942;6404;497189;197358;221472;150372;23533;152789;64170;56833;341;6753;1237;7941;338339;283316;29126</t>
  </si>
  <si>
    <t>MYO1F;C1QA;CD3G;CD247;CORO1A;CD86;SELPLG;TIFAB;NLRC3;FGD2;NFAM1;PIK3R5;JAKMIP1;CARD9;SLAMF8;APOC1;SSTR3;CCR8;PLA2G7;CLEC4D;CD163L1;CD274</t>
  </si>
  <si>
    <t>http://www.broadinstitute.org/gsea/msigdb/cards/GSE6090_UNSTIM_VS_DC_SIGN_STIM_DC_DN.html</t>
  </si>
  <si>
    <t>GSE13946_CTRL_VS_DSS_COLITIS_GD_TCELL_FROM_COLON_UP</t>
  </si>
  <si>
    <t>4542;27334;10663;9839;940;6351;5551;3687;199;10875;3903;57105;30009;8530;5552;2213;2833;3004;8905;8809;4818;168537;64780;81553</t>
  </si>
  <si>
    <t>MYO1F;P2RY10;CXCR6;ZEB2;CD28;CCL4;PRF1;ITGAX;AIF1;FGL2;LAIR1;CYSLTR2;TBX21;CST7;SRGN;FCGR2B;CXCR3;GZMM;AP1S2;IL18R1;NKG7;GIMAP7;MICAL1;FAM49A</t>
  </si>
  <si>
    <t>http://www.broadinstitute.org/gsea/msigdb/cards/GSE13946_CTRL_VS_DSS_COLITIS_GD_TCELL_FROM_COLON_UP.html</t>
  </si>
  <si>
    <t>GSE16450_CTRL_VS_IFNA_6H_STIM_IMMATURE_NEURON_CELL_LINE_DN</t>
  </si>
  <si>
    <t>27334;2533;9214;3575;3695;2124;3820;7805;719;474344;283897;197358;286530;84166;374403;170575;139716;55303;27128;54;4033;64780;79690;64174;26157</t>
  </si>
  <si>
    <t>P2RY10;FYB1;FCMR;IL7R;ITGB7;EVI2B;KLRB1;LAPTM5;C3AR1;GIMAP6;C16orf54;NLRC3;P2RY8;NLRC5;TBC1D10C;GIMAP1;GAB3;GIMAP4;CYTH4;ACP5;LRMP;MICAL1;GAL3ST4;DPEP2;GIMAP2</t>
  </si>
  <si>
    <t>http://www.broadinstitute.org/gsea/msigdb/cards/GSE16450_CTRL_VS_IFNA_6H_STIM_IMMATURE_NEURON_CELL_LINE_DN.html</t>
  </si>
  <si>
    <t>2533;9214;9404;923;2124;7535;201633;92241;149628;283897;124460;57580;114836;4063;55423;8832;197135;9881;3737;1043;4240;54518;64174;51466;22806</t>
  </si>
  <si>
    <t>FYB1;FCMR;LPXN;CD6;EVI2B;ZAP70;TIGIT;RCSD1;PYHIN1;C16orf54;SNX20;PREX1;SLAMF6;LY9;SIRPG;CD84;PATL2;TRANK1;KCNA2;CD52;MFGE8;APBB1IP;DPEP2;EVL;IKZF3</t>
  </si>
  <si>
    <t>http://www.broadinstitute.org/gsea/msigdb/cards/GSE32986_UNSTIM_VS_CURDLAN_HIGHDOSE_STIM_DC_DN.html</t>
  </si>
  <si>
    <t>GSE30971_CTRL_VS_LPS_STIM_MACROPHAGE_WBP7_KO_4H_DN</t>
  </si>
  <si>
    <t>7940;9404;3689;3695;4332;10875;10666;8477;117289;6039;53346;8832;10673;11326;9120;3059;4688;2359;3988;6507;10672;79630;55619;64581;50515</t>
  </si>
  <si>
    <t>LST1;LPXN;ITGB2;ITGB7;MNDA;FGL2;CD226;GPR65;TAGAP;RNASE6;TM6SF1;CD84;TNFSF13B;VSIG4;SLC16A6;HCLS1;NCF2;FPR3;LIPA;SLC1A3;GNA13;C1orf54;DOCK10;CLEC7A;CHST11</t>
  </si>
  <si>
    <t>http://www.broadinstitute.org/gsea/msigdb/cards/GSE30971_CTRL_VS_LPS_STIM_MACROPHAGE_WBP7_KO_4H_DN.html</t>
  </si>
  <si>
    <t>GSE11057_NAIVE_VS_MEMORY_CD4_TCELL_DN</t>
  </si>
  <si>
    <t>4542;4068;972;3560;7133;2124;3820;3587;201633;149628;255231;57580;81030;8832;10154;4094;3956;5552;11010;2833;3003;1235;3123;50515;4644</t>
  </si>
  <si>
    <t>MYO1F;SH2D1A;CD74;IL2RB;TNFRSF1B;EVI2B;KLRB1;IL10RA;TIGIT;PYHIN1;MCOLN2;PREX1;ZBP1;CD84;PLXNC1;MAF;LGALS1;SRGN;GLIPR1;CXCR3;GZMK;CCR6;HLA-DRB1;CHST11;MYO5A</t>
  </si>
  <si>
    <t>http://www.broadinstitute.org/gsea/msigdb/cards/GSE11057_NAIVE_VS_MEMORY_CD4_TCELL_DN.html</t>
  </si>
  <si>
    <t>GSE1432_CTRL_VS_IFNG_24H_MICROGLIA_DN</t>
  </si>
  <si>
    <t>80833;3627;5341;3659;7453;51056;2633;6772;6890;4283;11262;10875;474344;2210;55303;6373;3717;8530;3115;6402;3902;4261;6891;3123;57823</t>
  </si>
  <si>
    <t>APOL3;CXCL10;PLEK;IRF1;WARS;LAP3;GBP1;STAT1;TAP1;CXCL9;SP140;FGL2;GIMAP6;FCGR1B;GIMAP4;CXCL11;JAK2;CST7;HLA-DPB1;SELL;LAG3;CIITA;TAP2;HLA-DRB1;SLAMF7</t>
  </si>
  <si>
    <t>http://www.broadinstitute.org/gsea/msigdb/cards/GSE1432_CTRL_VS_IFNG_24H_MICROGLIA_DN.html</t>
  </si>
  <si>
    <t>GSE24142_EARLY_THYMIC_PROGENITOR_VS_DN2_THYMOCYTE_ADULT_DN</t>
  </si>
  <si>
    <t>9404;4068;9402;3559;915;3932;917;3001;1493;3575;919;10225;4354;3702;6504;399;114836;64231;3956;54;3290;4033;64919;55013;27240</t>
  </si>
  <si>
    <t>LPXN;SH2D1A;GRAP2;IL2RA;CD3D;LCK;CD3G;GZMA;CTLA4;IL7R;CD247;CD96;MPP1;ITK;SLAMF1;RHOH;SLAMF6;MS4A6A;LGALS1;ACP5;HSD11B1;LRMP;BCL11B;MCUB;SIT1</t>
  </si>
  <si>
    <t>http://www.broadinstitute.org/gsea/msigdb/cards/GSE24142_EARLY_THYMIC_PROGENITOR_VS_DN2_THYMOCYTE_ADULT_DN.html</t>
  </si>
  <si>
    <t>GSE24142_EARLY_THYMIC_PROGENITOR_VS_DN3_THYMOCYTE_ADULT_UP</t>
  </si>
  <si>
    <t>7305;9450;1436;3055;653361;3687;2322;3394;474344;221472;11314;10019;8564;366;19;3112;1043;27163;3824;8809;10148;3123;80709;64780;59345</t>
  </si>
  <si>
    <t>TYROBP;LY86;CSF1R;HCK;NCF1;ITGAX;FLT3;IRF8;GIMAP6;FGD2;CD300A;SH2B3;KMO;AQP9;ABCA1;HLA-DOB;CD52;NAAA;KLRD1;IL18R1;EBI3;HLA-DRB1;AKNA;MICAL1;GNB4</t>
  </si>
  <si>
    <t>http://www.broadinstitute.org/gsea/msigdb/cards/GSE24142_EARLY_THYMIC_PROGENITOR_VS_DN3_THYMOCYTE_ADULT_UP.html</t>
  </si>
  <si>
    <t>27334;3687;971;3695;3561;2322;3662;10666;11184;8530;3122;3115;3111;3112;3113;3108;4261;1235;8809;3123;55704;10462;79895;51466;25939</t>
  </si>
  <si>
    <t>P2RY10;ITGAX;CD72;ITGB7;IL2RG;FLT3;IRF4;CD226;MAP4K1;CST7;HLA-DRA;HLA-DPB1;HLA-DOA;HLA-DOB;HLA-DPA1;HLA-DMA;CIITA;CCR6;IL18R1;HLA-DRB1;CCDC88A;CLEC10A;ATP8B4;EVL;SAMHD1</t>
  </si>
  <si>
    <t>http://www.broadinstitute.org/gsea/msigdb/cards/GSE29618_MONOCYTE_VS_MDC_DAY7_FLU_VACCINE_DN.html</t>
  </si>
  <si>
    <t>GSE9988_ANTI_TREM1_VS_CTRL_TREATED_MONOCYTES_DN</t>
  </si>
  <si>
    <t>4542;11025;54440;1436;929;3055;2123;3071;391;3587;219972;124460;10288;1240;58484;5452;5724;729230;25900;55911;9815;89846;202309;155038;51063</t>
  </si>
  <si>
    <t>MYO1F;LILRB3;SASH3;CSF1R;CD14;HCK;EVI2A;NCKAP1L;RHOG;IL10RA;MPEG1;SNX20;LILRB2;CMKLR1;NLRC4;POU2F2;PTAFR;CCR2;IFFO1;APOBR;GIT2;FGD3;GAPT;GIMAP8;CALHM2</t>
  </si>
  <si>
    <t>http://www.broadinstitute.org/gsea/msigdb/cards/GSE9988_ANTI_TREM1_VS_CTRL_TREATED_MONOCYTES_DN.html</t>
  </si>
  <si>
    <t>GSE9988_LPS_VS_LPS_AND_ANTI_TREM1_MONOCYTE_UP</t>
  </si>
  <si>
    <t>4542;1536;3055;3659;10320;3587;3903;23533;259307;51311;64092;51284;10673;730249;7099;2358;5724;54331;3604;6503;57514;118788;202309;81553;80183</t>
  </si>
  <si>
    <t>MYO1F;CYBB;HCK;IRF1;IKZF1;IL10RA;LAIR1;PIK3R5;IL4I1;TLR8;SAMSN1;TLR7;TNFSF13B;ACOD1;TLR4;FPR2;PTAFR;GNG2;TNFRSF9;SLA;ARHGAP31;PIK3AP1;GAPT;FAM49A;RUBCNL</t>
  </si>
  <si>
    <t>http://www.broadinstitute.org/gsea/msigdb/cards/GSE9988_LPS_VS_LPS_AND_ANTI_TREM1_MONOCYTE_UP.html</t>
  </si>
  <si>
    <t>GSE2405_S_AUREUS_VS_A_PHAGOCYTOPHILUM_NEUTROPHIL_UP</t>
  </si>
  <si>
    <t>340152;5341;3659;6352;7133;971;3695;1439;151888;84166;221188;115361;80380;10537;596;3108;3363;1235;54331;4050;4818;3123;90634;57705;25939</t>
  </si>
  <si>
    <t>ZC3H12D;PLEK;IRF1;CCL5;TNFRSF1B;CD72;ITGB7;CSF2RB;BTLA;NLRC5;ADGRG5;GBP4;PDCD1LG2;UBD;BCL2;HLA-DMA;HTR7;CCR6;GNG2;LTB;NKG7;HLA-DRB1;N4BP2L1;WDFY4;SAMHD1</t>
  </si>
  <si>
    <t>http://www.broadinstitute.org/gsea/msigdb/cards/GSE2405_S_AUREUS_VS_A_PHAGOCYTOPHILUM_NEUTROPHIL_UP.html</t>
  </si>
  <si>
    <t>GSE7831_1H_VS_4H_INFLUENZA_STIM_PDC_DN</t>
  </si>
  <si>
    <t>3559;5579;1436;3575;963;945;3683;6404;286336;497189;197358;51744;55589;29851;2848;8530;3112;1043;8905;57705;118788;80709;25780;79895;10507</t>
  </si>
  <si>
    <t>IL2RA;PRKCB;CSF1R;IL7R;CD53;CD33;ITGAL;SELPLG;FAM78A;TIFAB;NLRC3;CD244;BMP2K;ICOS;GPR25;CST7;HLA-DOB;CD52;AP1S2;WDFY4;PIK3AP1;AKNA;RASGRP3;ATP8B4;SEMA4D</t>
  </si>
  <si>
    <t>http://www.broadinstitute.org/gsea/msigdb/cards/GSE7831_1H_VS_4H_INFLUENZA_STIM_PDC_DN.html</t>
  </si>
  <si>
    <t>GSE8621_LPS_STIM_VS_LPS_PRIMED_AND_LPS_STIM_MACROPHAGE_DN</t>
  </si>
  <si>
    <t>4542;7456;3932;945;942;3394;10320;219972;92241;8477;139716;23533;64092;51284;51225;29851;3112;3936;2113;3109;10672;80709;79895;55619;54861</t>
  </si>
  <si>
    <t>MYO1F;WIPF1;LCK;CD33;CD86;IRF8;IKZF1;MPEG1;RCSD1;GPR65;GAB3;PIK3R5;SAMSN1;TLR7;ABI3;ICOS;HLA-DOB;LCP1;ETS1;HLA-DMB;GNA13;AKNA;ATP8B4;DOCK10;SNRK</t>
  </si>
  <si>
    <t>http://www.broadinstitute.org/gsea/msigdb/cards/GSE8621_LPS_STIM_VS_LPS_PRIMED_AND_LPS_STIM_MACROPHAGE_DN.html</t>
  </si>
  <si>
    <t>GSE13522_WT_VS_IFNAR_KO_SKING_T_CRUZI_Y_STRAIN_INF_UP</t>
  </si>
  <si>
    <t>8676;3559;653361;3560;1493;942;1233;6504;3662;115361;2672;80380;29851;9120;4049;3902;3586;1235;3604;7185;597;5027;50943;22806;25939</t>
  </si>
  <si>
    <t>STX11;IL2RA;NCF1;IL2RB;CTLA4;CD86;CCR4;SLAMF1;IRF4;GBP4;GFI1;PDCD1LG2;ICOS;SLC16A6;LTA;LAG3;IL10;CCR6;TNFRSF9;TRAF1;BCL2A1;P2RX7;FOXP3;IKZF3;SAMHD1</t>
  </si>
  <si>
    <t>http://www.broadinstitute.org/gsea/msigdb/cards/GSE13522_WT_VS_IFNAR_KO_SKING_T_CRUZI_Y_STRAIN_INF_UP.html</t>
  </si>
  <si>
    <t>GSE23502_BM_VS_COLON_TUMOR_MYELOID_DERIVED_SUPPRESSOR_CELL_UP</t>
  </si>
  <si>
    <t>9839;9595;8676;1493;7133;1439;5734;942;1234;10875;255231;146722;26051;55303;9056;27033;3956;3586;2213;1230;3988;140885;969;23312;29126</t>
  </si>
  <si>
    <t>ZEB2;CYTIP;STX11;CTLA4;TNFRSF1B;CSF2RB;PTGER4;CD86;CCR5;FGL2;MCOLN2;CD300LF;PPP1R16B;GIMAP4;SLC7A7;ZBTB32;LGALS1;IL10;FCGR2B;CCR1;LIPA;SIRPA;CD69;DMXL2;CD274</t>
  </si>
  <si>
    <t>http://www.broadinstitute.org/gsea/msigdb/cards/GSE23502_BM_VS_COLON_TUMOR_MYELOID_DERIVED_SUPPRESSOR_CELL_UP.html</t>
  </si>
  <si>
    <t>GSE26290_CTRL_VS_AKT_INHIBITOR_TREATED_ANTI_CD3_AND_IL2_STIM_CD8_TCELL_DN</t>
  </si>
  <si>
    <t>7940;962;971;959;6890;9459;3903;117289;128346;84868;170575;54557;115362;59067;4063;64092;1102;54331;597;151556;375387;120425;64780;51762;84329</t>
  </si>
  <si>
    <t>LST1;CD48;CD72;CD40LG;TAP1;ARHGEF6;LAIR1;TAGAP;C1orf162;HAVCR2;GIMAP1;SGTB;GBP5;IL21;LY9;SAMSN1;RCBTB2;GNG2;BCL2A1;GPR155;NRROS;JAML;MICAL1;RAB8B;HVCN1</t>
  </si>
  <si>
    <t>http://www.broadinstitute.org/gsea/msigdb/cards/GSE26290_CTRL_VS_AKT_INHIBITOR_TREATED_ANTI_CD3_AND_IL2_STIM_CD8_TCELL_DN.html</t>
  </si>
  <si>
    <t>GSE33374_CD8_ALPHAALPHA_VS_ALPHABETA_CD161_HIGH_TCELL_DN</t>
  </si>
  <si>
    <t>9046;3627;3689;3932;916;917;940;3001;6352;5551;919;5734;391;6890;7805;64333;55303;921;7454;7185;3824;10077;5027;51466;27240</t>
  </si>
  <si>
    <t>DOK2;CXCL10;ITGB2;LCK;CD3E;CD3G;CD28;GZMA;CCL5;PRF1;CD247;PTGER4;RHOG;TAP1;LAPTM5;ARHGAP9;GIMAP4;CD5;WAS;TRAF1;KLRD1;TSPAN32;P2RX7;EVL;SIT1</t>
  </si>
  <si>
    <t>http://www.broadinstitute.org/gsea/msigdb/cards/GSE33374_CD8_ALPHAALPHA_VS_ALPHABETA_CD161_HIGH_TCELL_DN.html</t>
  </si>
  <si>
    <t>GSE32986_CURDLAN_LOWDOSE_VS_CURDLAN_HIGHDOSE_STIM_DC_UP</t>
  </si>
  <si>
    <t>9404;3689;940;2313;79626;89857;3635;64333;53346;225;7099;4094;1102;2212;4066;6546;9938;1601;4208;85464;151556;91526;9754;64581;51063</t>
  </si>
  <si>
    <t>LPXN;ITGB2;CD28;FLI1;TNFAIP8L2;KLHL6;INPP5D;ARHGAP9;TM6SF1;ABCD2;TLR4;MAF;RCBTB2;FCGR2A;LYL1;SLC8A1;ARHGAP25;DAB2;MEF2C;SSH2;GPR155;ANKRD44;STARD8;CLEC7A;CALHM2</t>
  </si>
  <si>
    <t>http://www.broadinstitute.org/gsea/msigdb/cards/GSE32986_CURDLAN_LOWDOSE_VS_CURDLAN_HIGHDOSE_STIM_DC_UP.html</t>
  </si>
  <si>
    <t>GSE34392_ST2_KO_VS_WT_DAY8_LCMV_EFFECTOR_CD8_TCELL_DN</t>
  </si>
  <si>
    <t>8676;5341;3560;3561;942;4689;93978;84166;51296;80301;114548;259307;29992;9034;3717;3553;1435;2358;7185;10148;27314;597;57514;84329;53831</t>
  </si>
  <si>
    <t>STX11;PLEK;IL2RB;IL2RG;CD86;NCF4;CLEC6A;NLRC5;SLC15A3;PLEKHO2;NLRP3;IL4I1;PILRA;CCRL2;JAK2;IL1B;CSF1;FPR2;TRAF1;EBI3;RAB30;BCL2A1;ARHGAP31;HVCN1;GPR84</t>
  </si>
  <si>
    <t>http://www.broadinstitute.org/gsea/msigdb/cards/GSE34392_ST2_KO_VS_WT_DAY8_LCMV_EFFECTOR_CD8_TCELL_DN.html</t>
  </si>
  <si>
    <t>GSE30971_WBP7_HET_VS_KO_MACROPHAGE_DN</t>
  </si>
  <si>
    <t>11025;3559;962;3575;7133;6504;10288;2210;51311;64092;9056;353514;366;5452;3586;2358;943;54331;11009;9363;118788;6363;81553;80183;29126</t>
  </si>
  <si>
    <t>LILRB3;IL2RA;CD48;IL7R;TNFRSF1B;SLAMF1;LILRB2;FCGR1B;TLR8;SAMSN1;SLC7A7;LILRA5;AQP9;POU2F2;IL10;FPR2;TNFRSF8;GNG2;IL24;RAB33A;PIK3AP1;CCL19;FAM49A;RUBCNL;CD274</t>
  </si>
  <si>
    <t>http://www.broadinstitute.org/gsea/msigdb/cards/GSE30971_WBP7_HET_VS_KO_MACROPHAGE_DN.html</t>
  </si>
  <si>
    <t>GSE42724_MEMORY_VS_B1_BCELL_DN</t>
  </si>
  <si>
    <t>9840;9595;80833;3559;3659;6352;3575;1236;2633;6890;255231;115361;50615;2811;5552;9938;3718;3604;7185;10148;90634;145864;81553;29126;51513</t>
  </si>
  <si>
    <t>TESPA1;CYTIP;APOL3;IL2RA;IRF1;CCL5;IL7R;CCR7;GBP1;TAP1;MCOLN2;GBP4;IL21R;GP1BA;SRGN;ARHGAP25;JAK3;TNFRSF9;TRAF1;EBI3;N4BP2L1;HAPLN3;FAM49A;CD274;ETV7</t>
  </si>
  <si>
    <t>http://www.broadinstitute.org/gsea/msigdb/cards/GSE42724_MEMORY_VS_B1_BCELL_DN.html</t>
  </si>
  <si>
    <t>GSE46606_UNSTIM_VS_CD40L_IL2_IL5_1DAY_STIMULATED_IRF4_KO_BCELL_UP</t>
  </si>
  <si>
    <t>4242;54440;6352;963;3687;6772;1234;3101;3394;9459;124460;83706;84868;246329;115362;64170;56833;27128;2162;1230;441168;116071;84230;56670;51466</t>
  </si>
  <si>
    <t>MFNG;SASH3;CCL5;CD53;ITGAX;STAT1;CCR5;HK3;IRF8;ARHGEF6;SNX20;FERMT3;HAVCR2;STAC3;GBP5;CARD9;SLAMF8;CYTH4;F13A1;CCR1;CALHM6;BATF2;LRRC8C;SUCNR1;EVL</t>
  </si>
  <si>
    <t>http://www.broadinstitute.org/gsea/msigdb/cards/GSE46606_UNSTIM_VS_CD40L_IL2_IL5_1DAY_STIMULATED_IRF4_KO_BCELL_UP.html</t>
  </si>
  <si>
    <t>GSE21033_CTRL_VS_POLYIC_STIM_DC_24H_UP</t>
  </si>
  <si>
    <t>4542;4242;1236;53347;10666;149628;79626;8477;256380;64170;4063;27128;9120;6402;3737;9938;89846;85464;168537;79895;4215;51466</t>
  </si>
  <si>
    <t>MYO1F;MFNG;CCR7;UBASH3A;CD226;PYHIN1;TNFAIP8L2;GPR65;SCML4;CARD9;LY9;CYTH4;SLC16A6;SELL;KCNA2;ARHGAP25;FGD3;SSH2;GIMAP7;ATP8B4;MAP3K3;EVL</t>
  </si>
  <si>
    <t>http://www.broadinstitute.org/gsea/msigdb/cards/GSE21033_CTRL_VS_POLYIC_STIM_DC_24H_UP.html</t>
  </si>
  <si>
    <t>GSE21360_NAIVE_VS_PRIMARY_MEMORY_CD8_TCELL_UP</t>
  </si>
  <si>
    <t>340152;713;5778;3702;399;9332;53829;50615;19;2162;341;3290;2213;1230;729230;27163;6503;79865;85464;79690;84034;53831;9935</t>
  </si>
  <si>
    <t>ZC3H12D;C1QB;PTPN7;ITK;RHOH;CD163;P2RY13;IL21R;ABCA1;F13A1;APOC1;HSD11B1;FCGR2B;CCR1;CCR2;NAAA;SLA;TREML2;SSH2;GAL3ST4;EMILIN2;GPR84;MAFB</t>
  </si>
  <si>
    <t>http://www.broadinstitute.org/gsea/msigdb/cards/GSE21360_NAIVE_VS_PRIMARY_MEMORY_CD8_TCELL_UP.html</t>
  </si>
  <si>
    <t>GSE27241_CTRL_VS_DIGOXIN_TREATED_RORGT_KO_CD4_TCELL_IN_TH17_POLARIZING_CONDITIONS_DN</t>
  </si>
  <si>
    <t>4542;7305;9404;3559;940;3001;1493;3695;4245;2313;152789;116986;57105;8564;3988;9938;6503;8809;90634;10235;151556;161145;283316</t>
  </si>
  <si>
    <t>MYO1F;TYROBP;LPXN;IL2RA;CD28;GZMA;CTLA4;ITGB7;MGAT1;FLI1;JAKMIP1;AGAP2;CYSLTR2;KMO;LIPA;ARHGAP25;SLA;IL18R1;N4BP2L1;RASGRP2;GPR155;TMEM229B;CD163L1</t>
  </si>
  <si>
    <t>http://www.broadinstitute.org/gsea/msigdb/cards/GSE27241_CTRL_VS_DIGOXIN_TREATED_RORGT_KO_CD4_TCELL_IN_TH17_POLARIZING_CONDITIONS_DN.html</t>
  </si>
  <si>
    <t>GSE16450_IMMATURE_VS_MATURE_NEURON_CELL_LINE_UP</t>
  </si>
  <si>
    <t>9214;80833;3575;3820;7805;3587;283897;197358;286530;84166;256380;23533;1043;11010;3003;25900;4033;89846;85464;64780;9806;79690;64919;64174</t>
  </si>
  <si>
    <t>FCMR;APOL3;IL7R;KLRB1;LAPTM5;IL10RA;C16orf54;NLRC3;P2RY8;NLRC5;SCML4;PIK3R5;CD52;GLIPR1;GZMK;IFFO1;LRMP;FGD3;SSH2;MICAL1;SPOCK2;GAL3ST4;BCL11B;DPEP2</t>
  </si>
  <si>
    <t>http://www.broadinstitute.org/gsea/msigdb/cards/GSE16450_IMMATURE_VS_MATURE_NEURON_CELL_LINE_UP.html</t>
  </si>
  <si>
    <t>GSE11057_NAIVE_CD4_VS_PBMC_CD4_TCELL_DN</t>
  </si>
  <si>
    <t>1318;11025;51056;1439;2014;199;4354;719;53346;51744;64170;9056;10019;3717;3113;10578;2529;8809;79168;57705;115727;84329;4215;1522</t>
  </si>
  <si>
    <t>SLC31A2;LILRB3;LAP3;CSF2RB;EMP3;AIF1;MPP1;C3AR1;TM6SF1;CD244;CARD9;SLC7A7;SH2B3;JAK2;HLA-DPA1;GNLY;FUT7;IL18R1;LILRA6;WDFY4;RASGRP4;HVCN1;MAP3K3;CTSZ</t>
  </si>
  <si>
    <t>http://www.broadinstitute.org/gsea/msigdb/cards/GSE11057_NAIVE_CD4_VS_PBMC_CD4_TCELL_DN.html</t>
  </si>
  <si>
    <t>GSE11864_CSF1_PAM3CYS_VS_CSF1_IFNG_PAM3CYS_IN_MAC_DN</t>
  </si>
  <si>
    <t>3683;51056;1439;2124;3594;6404;81704;2210;246329;115361;80380;51744;10673;9881;3717;3117;3002;9103;3109;6891;155038;80821;64098;55281</t>
  </si>
  <si>
    <t>ITGAL;LAP3;CSF2RB;EVI2B;IL12RB1;SELPLG;DOCK8;FCGR1B;STAC3;GBP4;PDCD1LG2;CD244;TNFSF13B;TRANK1;JAK2;HLA-DQA1;GZMB;FCGR2A;HLA-DMB;TAP2;GIMAP8;DDHD1;PARVG;TMEM140</t>
  </si>
  <si>
    <t>http://www.broadinstitute.org/gsea/msigdb/cards/GSE11864_CSF1_PAM3CYS_VS_CSF1_IFNG_PAM3CYS_IN_MAC_DN.html</t>
  </si>
  <si>
    <t>GSE14000_UNSTIM_VS_4H_LPS_DC_DN</t>
  </si>
  <si>
    <t>22797;1318;5341;3659;6351;6352;3575;7453;2633;941;5734;84166;255231;115362;6373;8564;3553;7185;597;116071;57823;55281;29126;51513</t>
  </si>
  <si>
    <t>TFEC;SLC31A2;PLEK;IRF1;CCL4;CCL5;IL7R;WARS;GBP1;CD80;PTGER4;NLRC5;MCOLN2;GBP5;CXCL11;KMO;IL1B;TRAF1;BCL2A1;BATF2;SLAMF7;TMEM140;CD274;ETV7</t>
  </si>
  <si>
    <t>http://www.broadinstitute.org/gsea/msigdb/cards/GSE14000_UNSTIM_VS_4H_LPS_DC_DN.html</t>
  </si>
  <si>
    <t>GSE1432_1H_VS_24H_IFNG_MICROGLIA_DN</t>
  </si>
  <si>
    <t>80833;972;7453;51056;2633;6772;6890;4283;11262;3587;474344;2210;55303;56833;6373;3717;3122;3115;6402;3902;4261;6891;3123;7462</t>
  </si>
  <si>
    <t>APOL3;CD74;WARS;LAP3;GBP1;STAT1;TAP1;CXCL9;SP140;IL10RA;GIMAP6;FCGR1B;GIMAP4;SLAMF8;CXCL11;JAK2;HLA-DRA;HLA-DPB1;SELL;LAG3;CIITA;TAP2;HLA-DRB1;LAT2</t>
  </si>
  <si>
    <t>http://www.broadinstitute.org/gsea/msigdb/cards/GSE1432_1H_VS_24H_IFNG_MICROGLIA_DN.html</t>
  </si>
  <si>
    <t>GSE15733_BM_VS_SPLEEN_MEMORY_CD4_TCELL_UP</t>
  </si>
  <si>
    <t>10663;7305;3458;1536;2207;219972;221188;246329;53346;284417;9034;366;1102;348;3162;240;241;2358;356;55911;3824;4818;118788;64581</t>
  </si>
  <si>
    <t>CXCR6;TYROBP;IFNG;CYBB;FCER1G;MPEG1;ADGRG5;STAC3;TM6SF1;TMEM150B;CCRL2;AQP9;RCBTB2;APOE;HMOX1;ALOX5;ALOX5AP;FPR2;FASLG;APOBR;KLRD1;NKG7;PIK3AP1;CLEC7A</t>
  </si>
  <si>
    <t>http://www.broadinstitute.org/gsea/msigdb/cards/GSE15733_BM_VS_SPLEEN_MEMORY_CD4_TCELL_UP.html</t>
  </si>
  <si>
    <t>GSE15930_STIM_VS_STIM_AND_IFNAB_48H_CD8_T_CELL_DN</t>
  </si>
  <si>
    <t>3458;713;3627;653361;6772;3594;6890;3587;219972;8477;2672;51744;51284;9034;19;8320;3002;2359;356;1235;10148;3123;100506736;25939</t>
  </si>
  <si>
    <t>IFNG;C1QB;CXCL10;NCF1;STAT1;IL12RB1;TAP1;IL10RA;MPEG1;GPR65;GFI1;CD244;TLR7;CCRL2;ABCA1;EOMES;GZMB;FPR3;FASLG;CCR6;EBI3;HLA-DRB1;SLFN12L;SAMHD1</t>
  </si>
  <si>
    <t>http://www.broadinstitute.org/gsea/msigdb/cards/GSE15930_STIM_VS_STIM_AND_IFNAB_48H_CD8_T_CELL_DN.html</t>
  </si>
  <si>
    <t>GSE18791_UNSTIM_VS_NEWCATSLE_VIRUS_DC_6H_DN</t>
  </si>
  <si>
    <t>1318;3627;3659;7453;51056;2633;6772;3594;6890;4283;124460;84166;117289;115362;116986;81030;6373;9881;116071;10507;6614;29126;26157;51513</t>
  </si>
  <si>
    <t>SLC31A2;CXCL10;IRF1;WARS;LAP3;GBP1;STAT1;IL12RB1;TAP1;CXCL9;SNX20;NLRC5;TAGAP;GBP5;AGAP2;ZBP1;CXCL11;TRANK1;BATF2;SEMA4D;SIGLEC1;CD274;GIMAP2;ETV7</t>
  </si>
  <si>
    <t>http://www.broadinstitute.org/gsea/msigdb/cards/GSE18791_UNSTIM_VS_NEWCATSLE_VIRUS_DC_6H_DN.html</t>
  </si>
  <si>
    <t>GSE20366_TREG_VS_NAIVE_CD4_TCELL_DN</t>
  </si>
  <si>
    <t>2533;3458;920;2123;959;2124;7535;255231;387357;139716;23533;54557;59067;30009;10673;356;8905;4973;8809;597;55704;116071;54504;57823</t>
  </si>
  <si>
    <t>FYB1;IFNG;CD4;EVI2A;CD40LG;EVI2B;ZAP70;MCOLN2;THEMIS;GAB3;PIK3R5;SGTB;IL21;TBX21;TNFSF13B;FASLG;AP1S2;OLR1;IL18R1;BCL2A1;CCDC88A;BATF2;CPVL;SLAMF7</t>
  </si>
  <si>
    <t>http://www.broadinstitute.org/gsea/msigdb/cards/GSE20366_TREG_VS_NAIVE_CD4_TCELL_DN.html</t>
  </si>
  <si>
    <t>GSE22886_CD8_TCELL_VS_BCELL_NAIVE_DN</t>
  </si>
  <si>
    <t>9450;971;941;3394;695;51296;4064;9056;50856;8564;3122;3115;2212;3112;3113;6518;3108;3109;4208;11009;27314;3123;79865;10184</t>
  </si>
  <si>
    <t>LY86;CD72;CD80;IRF8;BTK;SLC15A3;CD180;SLC7A7;CLEC4A;KMO;HLA-DRA;HLA-DPB1;FCGR2A;HLA-DOB;HLA-DPA1;SLC2A5;HLA-DMA;HLA-DMB;MEF2C;IL24;RAB30;HLA-DRB1;TREML2;LHFPL2</t>
  </si>
  <si>
    <t>http://www.broadinstitute.org/gsea/msigdb/cards/GSE22886_CD8_TCELL_VS_BCELL_NAIVE_DN.html</t>
  </si>
  <si>
    <t>GSE22886_NAIVE_BCELL_VS_DC_DN</t>
  </si>
  <si>
    <t>7940;22797;1318;11309;3575;4245;2207;391;53346;64092;54209;29992;51393;9120;1102;3956;3162;5552;3684;10437;140885;7941;55704;64581</t>
  </si>
  <si>
    <t>LST1;TFEC;SLC31A2;SLCO2B1;IL7R;MGAT1;FCER1G;RHOG;TM6SF1;SAMSN1;TREM2;PILRA;TRPV2;SLC16A6;RCBTB2;LGALS1;HMOX1;SRGN;ITGAM;IFI30;SIRPA;PLA2G7;CCDC88A;CLEC7A</t>
  </si>
  <si>
    <t>http://www.broadinstitute.org/gsea/msigdb/cards/GSE22886_NAIVE_BCELL_VS_DC_DN.html</t>
  </si>
  <si>
    <t>9840;4068;914;916;917;940;919;923;1236;10225;53347;3702;10320;29851;4049;921;924;596;2113;969;814;9806;64919;54861</t>
  </si>
  <si>
    <t>TESPA1;SH2D1A;CD2;CD3E;CD3G;CD28;CD247;CD6;CCR7;CD96;UBASH3A;ITK;IKZF1;ICOS;LTA;CD5;CD7;BCL2;ETS1;CD69;CAMK4;SPOCK2;BCL11B;SNRK</t>
  </si>
  <si>
    <t>http://www.broadinstitute.org/gsea/msigdb/cards/GSE22886_NAIVE_CD4_TCELL_VS_DC_UP.html</t>
  </si>
  <si>
    <t>GSE24142_DN2_VS_DN3_THYMOCYTE_UP</t>
  </si>
  <si>
    <t>7305;962;6352;3676;6688;3687;695;51744;64407;366;8530;3956;5552;4066;241;1043;2213;356;11010;10235;10462;168537;79630;338339</t>
  </si>
  <si>
    <t>TYROBP;CD48;CCL5;ITGA4;SPI1;ITGAX;BTK;CD244;RGS18;AQP9;CST7;LGALS1;SRGN;LYL1;ALOX5AP;CD52;FCGR2B;FASLG;GLIPR1;RASGRP2;CLEC10A;GIMAP7;C1orf54;CLEC4D</t>
  </si>
  <si>
    <t>http://www.broadinstitute.org/gsea/msigdb/cards/GSE24142_DN2_VS_DN3_THYMOCYTE_UP.html</t>
  </si>
  <si>
    <t>GSE2706_UNSTIM_VS_8H_R848_DC_DN</t>
  </si>
  <si>
    <t>9595;8676;3627;962;7453;1236;2633;5734;6772;6504;84166;255231;10288;353514;6373;10154;4049;3553;7185;10148;27314;81553;57823;29126</t>
  </si>
  <si>
    <t>CYTIP;STX11;CXCL10;CD48;WARS;CCR7;GBP1;PTGER4;STAT1;SLAMF1;NLRC5;MCOLN2;LILRB2;LILRA5;CXCL11;PLXNC1;LTA;IL1B;TRAF1;EBI3;RAB30;FAM49A;SLAMF7;CD274</t>
  </si>
  <si>
    <t>http://www.broadinstitute.org/gsea/msigdb/cards/GSE2706_UNSTIM_VS_8H_R848_DC_DN.html</t>
  </si>
  <si>
    <t>9404;10068;5551;3560;3695;7535;3820;3603;201633;170371;257106;286530;374403;114836;64333;51744;8320;3115;6693;10578;4360;4261;3824;1522</t>
  </si>
  <si>
    <t>LPXN;IL18BP;PRF1;IL2RB;ITGB7;ZAP70;KLRB1;IL16;TIGIT;TMEM273;ARHGAP30;P2RY8;TBC1D10C;SLAMF6;ARHGAP9;CD244;EOMES;HLA-DPB1;SPN;GNLY;MRC1;CIITA;KLRD1;CTSZ</t>
  </si>
  <si>
    <t>http://www.broadinstitute.org/gsea/msigdb/cards/GSE34205_HEALTHY_VS_RSV_INF_INFANT_PBMC_UP.html</t>
  </si>
  <si>
    <t>GSE360_DC_VS_MAC_T_GONDII_DN</t>
  </si>
  <si>
    <t>9214;9450;929;2209;2350;719;9332;11314;11326;2219;8742;1102;348;341;240;4066;6518;1043;6556;3004;10457;597;11027;23166</t>
  </si>
  <si>
    <t>FCMR;LY86;CD14;FCGR1A;FOLR2;C3AR1;CD163;CD300A;VSIG4;FCN1;TNFSF12;RCBTB2;APOE;APOC1;ALOX5;LYL1;SLC2A5;CD52;SLC11A1;GZMM;GPNMB;BCL2A1;LILRA2;STAB1</t>
  </si>
  <si>
    <t>http://www.broadinstitute.org/gsea/msigdb/cards/GSE360_DC_VS_MAC_T_GONDII_DN.html</t>
  </si>
  <si>
    <t>GSE360_L_DONOVANI_VS_B_MALAYI_LOW_DOSE_DC_DN</t>
  </si>
  <si>
    <t>9046;5579;929;3683;4332;5294;1234;10875;9459;4689;719;9332;1794;9056;11326;3111;3684;3109;1230;1601;4050;4033;54504;23166</t>
  </si>
  <si>
    <t>DOK2;PRKCB;CD14;ITGAL;MNDA;PIK3CG;CCR5;FGL2;ARHGEF6;NCF4;C3AR1;CD163;DOCK2;SLC7A7;VSIG4;HLA-DOA;ITGAM;HLA-DMB;CCR1;DAB2;LTB;LRMP;CPVL;STAB1</t>
  </si>
  <si>
    <t>http://www.broadinstitute.org/gsea/msigdb/cards/GSE360_L_DONOVANI_VS_B_MALAYI_LOW_DOSE_DC_DN.html</t>
  </si>
  <si>
    <t>GSE3982_DC_VS_TH1_UP</t>
  </si>
  <si>
    <t>10261;712;2268;1378;6688;91752;51296;80896;54209;29992;3120;9103;4066;728;2359;1043;2213;25900;10457;10462;11027;79630;55803;29125</t>
  </si>
  <si>
    <t>IGSF6;C1QA;FGR;CR1;SPI1;ZNF804A;SLC15A3;NPL;TREM2;PILRA;HLA-DQB2;FCGR2A;LYL1;C5AR1;FPR3;CD52;FCGR2B;IFFO1;GPNMB;CLEC10A;LILRA2;C1orf54;ADAP2;C11orf21</t>
  </si>
  <si>
    <t>http://www.broadinstitute.org/gsea/msigdb/cards/GSE3982_DC_VS_TH1_UP.html</t>
  </si>
  <si>
    <t>GSE3982_DC_VS_TH2_UP</t>
  </si>
  <si>
    <t>1318;945;3101;51296;114548;56833;29992;9056;50856;353514;3122;3117;3120;9103;4066;3112;728;3290;10462;11027;54504;30835;56606;1522</t>
  </si>
  <si>
    <t>SLC31A2;CD33;HK3;SLC15A3;NLRP3;SLAMF8;PILRA;SLC7A7;CLEC4A;LILRA5;HLA-DRA;HLA-DQA1;HLA-DQB2;FCGR2A;LYL1;HLA-DOB;C5AR1;HSD11B1;CLEC10A;LILRA2;CPVL;CD209;SLC2A9;CTSZ</t>
  </si>
  <si>
    <t>http://www.broadinstitute.org/gsea/msigdb/cards/GSE3982_DC_VS_TH2_UP.html</t>
  </si>
  <si>
    <t>GSE7460_TCONV_VS_TREG_LN_DN</t>
  </si>
  <si>
    <t>340152;9404;3559;3560;1493;7133;5734;942;3394;3587;10875;4689;3662;115361;64092;55589;9034;10154;1235;1237;3604;51762;50943;29126</t>
  </si>
  <si>
    <t>ZC3H12D;LPXN;IL2RA;IL2RB;CTLA4;TNFRSF1B;PTGER4;CD86;IRF8;IL10RA;FGL2;NCF4;IRF4;GBP4;SAMSN1;BMP2K;CCRL2;PLXNC1;CCR6;CCR8;TNFRSF9;RAB8B;FOXP3;CD274</t>
  </si>
  <si>
    <t>http://www.broadinstitute.org/gsea/msigdb/cards/GSE7460_TCONV_VS_TREG_LN_DN.html</t>
  </si>
  <si>
    <t>GSE7764_NKCELL_VS_SPLENOCYTE_DN</t>
  </si>
  <si>
    <t>10663;1536;916;2214;917;2209;1493;1236;695;3662;54899;80301;89790;58475;50856;10154;3111;54;4688;241;3109;2213;27314;4644</t>
  </si>
  <si>
    <t>CXCR6;CYBB;CD3E;FCGR3A;CD3G;FCGR1A;CTLA4;CCR7;BTK;IRF4;PXK;PLEKHO2;SIGLEC10;MS4A7;CLEC4A;PLXNC1;HLA-DOA;ACP5;NCF2;ALOX5AP;HLA-DMB;FCGR2B;RAB30;MYO5A</t>
  </si>
  <si>
    <t>http://www.broadinstitute.org/gsea/msigdb/cards/GSE7764_NKCELL_VS_SPLENOCYTE_DN.html</t>
  </si>
  <si>
    <t>GSE22601_IMMATURE_CD4_SINGLE_POSITIVE_VS_CD8_SINGLE_POSITIVE_THYMOCYTE_DN</t>
  </si>
  <si>
    <t>9595;8676;7133;5734;6772;26051;81030;64092;55589;51225;30009;366;3717;4049;1435;3002;11009;10672;79865;85464;151556;84541;10507;51676</t>
  </si>
  <si>
    <t>CYTIP;STX11;TNFRSF1B;PTGER4;STAT1;PPP1R16B;ZBP1;SAMSN1;BMP2K;ABI3;TBX21;AQP9;JAK2;LTA;CSF1;GZMB;IL24;GNA13;TREML2;SSH2;GPR155;KBTBD8;SEMA4D;ASB2</t>
  </si>
  <si>
    <t>http://www.broadinstitute.org/gsea/msigdb/cards/GSE22601_IMMATURE_CD4_SINGLE_POSITIVE_VS_CD8_SINGLE_POSITIVE_THYMOCYTE_DN.html</t>
  </si>
  <si>
    <t>GSE6092_UNSTIM_VS_IFNG_STIM_ENDOTHELIAL_CELL_DN</t>
  </si>
  <si>
    <t>340152;4542;10663;2533;9535;914;2124;3937;55843;286336;139716;23533;80231;4063;8832;29851;366;19;3111;6402;4050;168537;84230;55013</t>
  </si>
  <si>
    <t>ZC3H12D;MYO1F;CXCR6;FYB1;GMFG;CD2;EVI2B;LCP2;ARHGAP15;FAM78A;GAB3;PIK3R5;CXorf21;LY9;CD84;ICOS;AQP9;ABCA1;HLA-DOA;SELL;LTB;GIMAP7;LRRC8C;MCUB</t>
  </si>
  <si>
    <t>http://www.broadinstitute.org/gsea/msigdb/cards/GSE6092_UNSTIM_VS_IFNG_STIM_ENDOTHELIAL_CELL_DN.html</t>
  </si>
  <si>
    <t>GSE19888_ADENOSINE_A3R_INH_VS_TCELL_MEMBRANES_ACT_MAST_CELL_UP</t>
  </si>
  <si>
    <t>4068;10068;3458;3627;2214;3659;971;6772;6890;4283;84166;115361;81030;6373;10537;3717;3002;2357;7185;3824;4818;116071;29126;25939</t>
  </si>
  <si>
    <t>SH2D1A;IL18BP;IFNG;CXCL10;FCGR3A;IRF1;CD72;STAT1;TAP1;CXCL9;NLRC5;GBP4;ZBP1;CXCL11;UBD;JAK2;GZMB;FPR1;TRAF1;KLRD1;NKG7;BATF2;CD274;SAMHD1</t>
  </si>
  <si>
    <t>http://www.broadinstitute.org/gsea/msigdb/cards/GSE19888_ADENOSINE_A3R_INH_VS_TCELL_MEMBRANES_ACT_MAST_CELL_UP.html</t>
  </si>
  <si>
    <t>GSE21670_TGFB_VS_IL6_TREATED_STAT3_KO_CD4_TCELL_DN</t>
  </si>
  <si>
    <t>6352;5551;2123;2124;10225;9744;151888;256380;64333;10870;8832;3117;924;926;3988;3824;3123;10235;80709;161145;79895;5027;4215;81553</t>
  </si>
  <si>
    <t>CCL5;PRF1;EVI2A;EVI2B;CD96;ACAP1;BTLA;SCML4;ARHGAP9;HCST;CD84;HLA-DQA1;CD7;CD8B;LIPA;KLRD1;HLA-DRB1;RASGRP2;AKNA;TMEM229B;ATP8B4;P2RX7;MAP3K3;FAM49A</t>
  </si>
  <si>
    <t>http://www.broadinstitute.org/gsea/msigdb/cards/GSE21670_TGFB_VS_IL6_TREATED_STAT3_KO_CD4_TCELL_DN.html</t>
  </si>
  <si>
    <t>GSE21774_CD62L_POS_CD56_DIM_VS_CD62L_NEG_CD56_DIM_NK_CELL_DN</t>
  </si>
  <si>
    <t>7305;9450;10261;929;653361;6688;3394;10875;4689;89790;5452;2212;6402;3290;1043;2213;1230;729230;4973;1601;10235;79895;64581;54504</t>
  </si>
  <si>
    <t>TYROBP;LY86;IGSF6;CD14;NCF1;SPI1;IRF8;FGL2;NCF4;SIGLEC10;POU2F2;FCGR2A;SELL;HSD11B1;CD52;FCGR2B;CCR1;CCR2;OLR1;DAB2;RASGRP2;ATP8B4;CLEC7A;CPVL</t>
  </si>
  <si>
    <t>http://www.broadinstitute.org/gsea/msigdb/cards/GSE21774_CD62L_POS_CD56_DIM_VS_CD62L_NEG_CD56_DIM_NK_CELL_DN.html</t>
  </si>
  <si>
    <t>GSE21379_WT_VS_SAP_KO_TFH_CD4_TCELL_DN</t>
  </si>
  <si>
    <t>6351;6352;3695;942;10320;3603;4689;257106;9332;23048;51744;64231;51393;4094;3117;3112;6402;1043;4050;9815;3123;168537;23312;81553</t>
  </si>
  <si>
    <t>CCL4;CCL5;ITGB7;CD86;IKZF1;IL16;NCF4;ARHGAP30;CD163;FNBP1;CD244;MS4A6A;TRPV2;MAF;HLA-DQA1;HLA-DOB;SELL;CD52;LTB;GIT2;HLA-DRB1;GIMAP7;DMXL2;FAM49A</t>
  </si>
  <si>
    <t>http://www.broadinstitute.org/gsea/msigdb/cards/GSE21379_WT_VS_SAP_KO_TFH_CD4_TCELL_DN.html</t>
  </si>
  <si>
    <t>GSE21360_NAIVE_VS_SECONDARY_MEMORY_CD8_TCELL_UP</t>
  </si>
  <si>
    <t>1318;4210;9535;9214;1536;3055;6352;313;5294;126364;23533;64092;27299;19;3059;2113;6693;2213;7185;27314;57514;146850;84230</t>
  </si>
  <si>
    <t>SLC31A2;MEFV;GMFG;FCMR;CYBB;HCK;CCL5;AOAH;PIK3CG;LRRC25;PIK3R5;SAMSN1;ADAMDEC1;ABCA1;HCLS1;ETS1;SPN;FCGR2B;TRAF1;RAB30;ARHGAP31;PIK3R6;LRRC8C</t>
  </si>
  <si>
    <t>http://www.broadinstitute.org/gsea/msigdb/cards/GSE21360_NAIVE_VS_SECONDARY_MEMORY_CD8_TCELL_UP.html</t>
  </si>
  <si>
    <t>GSE22140_GERMFREE_VS_SPF_MOUSE_CD4_TCELL_DN</t>
  </si>
  <si>
    <t>9214;1436;6351;3575;7133;944;2014;10871;3903;9332;80301;4064;11326;6793;3553;54;241;4360;1601;5376;7185;206358;55619;23166</t>
  </si>
  <si>
    <t>FCMR;CSF1R;CCL4;IL7R;TNFRSF1B;TNFSF8;EMP3;CD300C;LAIR1;CD163;PLEKHO2;CD180;VSIG4;STK10;IL1B;ACP5;ALOX5AP;MRC1;DAB2;PMP22;TRAF1;SLC36A1;DOCK10;STAB1</t>
  </si>
  <si>
    <t>http://www.broadinstitute.org/gsea/msigdb/cards/GSE22140_GERMFREE_VS_SPF_MOUSE_CD4_TCELL_DN.html</t>
  </si>
  <si>
    <t>GSE25123_WT_VS_PPARG_KO_MACROPHAGE_UP</t>
  </si>
  <si>
    <t>962;5734;6504;4689;10288;54557;64092;9056;730249;27299;366;19;3553;2212;3936;2357;2358;943;6776;54331;91010;80183;57823;9935</t>
  </si>
  <si>
    <t>CD48;PTGER4;SLAMF1;NCF4;LILRB2;SGTB;SAMSN1;SLC7A7;ACOD1;ADAMDEC1;AQP9;ABCA1;IL1B;FCGR2A;LCP1;FPR1;FPR2;TNFRSF8;STAT5A;GNG2;FMNL3;RUBCNL;SLAMF7;MAFB</t>
  </si>
  <si>
    <t>http://www.broadinstitute.org/gsea/msigdb/cards/GSE25123_WT_VS_PPARG_KO_MACROPHAGE_UP.html</t>
  </si>
  <si>
    <t>GSE25123_IL4_VS_IL4_AND_ROSIGLITAZONE_STIM_PPARG_KO_MACROPHAGE_DAY10_DN</t>
  </si>
  <si>
    <t>9595;3559;5788;6352;963;2123;2207;2124;2014;199;3937;9744;374403;51338;3553;2212;6402;4688;4973;118788;10507;80183;53831;30817</t>
  </si>
  <si>
    <t>CYTIP;IL2RA;PTPRC;CCL5;CD53;EVI2A;FCER1G;EVI2B;EMP3;AIF1;LCP2;ACAP1;TBC1D10C;MS4A4A;IL1B;FCGR2A;SELL;NCF2;OLR1;PIK3AP1;SEMA4D;RUBCNL;GPR84;ADGRE2</t>
  </si>
  <si>
    <t>http://www.broadinstitute.org/gsea/msigdb/cards/GSE25123_IL4_VS_IL4_AND_ROSIGLITAZONE_STIM_PPARG_KO_MACROPHAGE_DAY10_DN.html</t>
  </si>
  <si>
    <t>GSE25085_FETAL_LIVER_VS_FETAL_BM_SP4_THYMIC_IMPLANT_DN</t>
  </si>
  <si>
    <t>9595;972;2214;2268;6352;3575;942;84166;51296;255231;53829;56659;9034;1102;5552;2212;2357;4481;2358;5376;7941;23312;29126;9935</t>
  </si>
  <si>
    <t>CYTIP;CD74;FCGR3A;FGR;CCL5;IL7R;CD86;NLRC5;SLC15A3;MCOLN2;P2RY13;KCNK13;CCRL2;RCBTB2;SRGN;FCGR2A;FPR1;MSR1;FPR2;PMP22;PLA2G7;DMXL2;CD274;MAFB</t>
  </si>
  <si>
    <t>http://www.broadinstitute.org/gsea/msigdb/cards/GSE25085_FETAL_LIVER_VS_FETAL_BM_SP4_THYMIC_IMPLANT_DN.html</t>
  </si>
  <si>
    <t>GSE23502_WT_VS_HDC_KO_MYELOID_DERIVED_SUPPRESSOR_CELL_BM_DN</t>
  </si>
  <si>
    <t>340152;9404;9595;1493;1439;941;5734;1234;10875;255231;114548;80380;3553;921;1435;2212;728;2213;140885;338339;84034;83937;50515;1522</t>
  </si>
  <si>
    <t>ZC3H12D;LPXN;CYTIP;CTLA4;CSF2RB;CD80;PTGER4;CCR5;FGL2;MCOLN2;NLRP3;PDCD1LG2;IL1B;CD5;CSF1;FCGR2A;C5AR1;FCGR2B;SIRPA;CLEC4D;EMILIN2;RASSF4;CHST11;CTSZ</t>
  </si>
  <si>
    <t>http://www.broadinstitute.org/gsea/msigdb/cards/GSE23502_WT_VS_HDC_KO_MYELOID_DERIVED_SUPPRESSOR_CELL_BM_DN.html</t>
  </si>
  <si>
    <t>GSE23502_WT_VS_HDC_KO_MYELOID_DERIVED_SUPPRESSOR_CELL_BM_UP</t>
  </si>
  <si>
    <t>9214;2313;3603;9744;139818;3903;474344;197358;54899;84636;53346;55589;8832;8564;6793;2162;3111;3112;2113;3290;1043;4050;441168;25780</t>
  </si>
  <si>
    <t>FCMR;FLI1;IL16;ACAP1;DOCK11;LAIR1;GIMAP6;NLRC3;PXK;GPR174;TM6SF1;BMP2K;CD84;KMO;STK10;F13A1;HLA-DOA;HLA-DOB;ETS1;HSD11B1;CD52;LTB;CALHM6;RASGRP3</t>
  </si>
  <si>
    <t>http://www.broadinstitute.org/gsea/msigdb/cards/GSE23502_WT_VS_HDC_KO_MYELOID_DERIVED_SUPPRESSOR_CELL_BM_UP.html</t>
  </si>
  <si>
    <t>GSE32533_MIR17_KO_VS_MIR17_OVEREXPRESS_ACT_CD4_TCELL_DN</t>
  </si>
  <si>
    <t>9535;10261;5788;7133;2124;3394;10871;10320;219972;170371;93978;80896;80231;4063;10673;284417;54;3936;943;1043;2213;4818;116071;10507</t>
  </si>
  <si>
    <t>GMFG;IGSF6;PTPRC;TNFRSF1B;EVI2B;IRF8;CD300C;IKZF1;MPEG1;TMEM273;CLEC6A;NPL;CXorf21;LY9;TNFSF13B;TMEM150B;ACP5;LCP1;TNFRSF8;CD52;FCGR2B;NKG7;BATF2;SEMA4D</t>
  </si>
  <si>
    <t>http://www.broadinstitute.org/gsea/msigdb/cards/GSE32533_MIR17_KO_VS_MIR17_OVEREXPRESS_ACT_CD4_TCELL_DN.html</t>
  </si>
  <si>
    <t>GSE32164_RESTING_DIFFERENTIATED_VS_CMYC_INHIBITED_MACROPHAGE_DN</t>
  </si>
  <si>
    <t>9046;3627;3932;1436;917;3001;6352;5551;1493;919;923;5734;10225;1234;8477;64333;921;729230;7454;356;7185;3824;8809;27240</t>
  </si>
  <si>
    <t>DOK2;CXCL10;LCK;CSF1R;CD3G;GZMA;CCL5;PRF1;CTLA4;CD247;CD6;PTGER4;CD96;CCR5;GPR65;ARHGAP9;CD5;CCR2;WAS;FASLG;TRAF1;KLRD1;IL18R1;SIT1</t>
  </si>
  <si>
    <t>http://www.broadinstitute.org/gsea/msigdb/cards/GSE32164_RESTING_DIFFERENTIATED_VS_CMYC_INHIBITED_MACROPHAGE_DN.html</t>
  </si>
  <si>
    <t>GSE32986_CURDLAN_LOWDOSE_VS_CURDLAN_HIGHDOSE_STIM_DC_DN</t>
  </si>
  <si>
    <t>1318;3055;2268;3659;6351;6688;7133;941;3937;4689;124460;84166;56833;3717;5552;2358;4261;4050;7185;10148;597;3123;84329;81553</t>
  </si>
  <si>
    <t>SLC31A2;HCK;FGR;IRF1;CCL4;SPI1;TNFRSF1B;CD80;LCP2;NCF4;SNX20;NLRC5;SLAMF8;JAK2;SRGN;FPR2;CIITA;LTB;TRAF1;EBI3;BCL2A1;HLA-DRB1;HVCN1;FAM49A</t>
  </si>
  <si>
    <t>http://www.broadinstitute.org/gsea/msigdb/cards/GSE32986_CURDLAN_LOWDOSE_VS_CURDLAN_HIGHDOSE_STIM_DC_DN.html</t>
  </si>
  <si>
    <t>GSE30971_WBP7_HET_VS_KO_MACROPHAGE_4H_LPS_STIM_DN</t>
  </si>
  <si>
    <t>9450;3676;4332;4354;9459;221472;4064;64231;51284;54209;10673;1102;2162;341;54;2213;4261;4208;10457;54518;10462;54504;64174;56606</t>
  </si>
  <si>
    <t>LY86;ITGA4;MNDA;MPP1;ARHGEF6;FGD2;CD180;MS4A6A;TLR7;TREM2;TNFSF13B;RCBTB2;F13A1;APOC1;ACP5;FCGR2B;CIITA;MEF2C;GPNMB;APBB1IP;CLEC10A;CPVL;DPEP2;SLC2A9</t>
  </si>
  <si>
    <t>http://www.broadinstitute.org/gsea/msigdb/cards/GSE30971_WBP7_HET_VS_KO_MACROPHAGE_4H_LPS_STIM_DN.html</t>
  </si>
  <si>
    <t>GSE37532_WT_VS_PPARG_KO_VISCERAL_ADIPOSE_TISSUE_TCONV_UP</t>
  </si>
  <si>
    <t>4210;3689;5788;3687;971;3561;5294;3587;64333;80896;51744;11314;27036;27306;3111;4261;1235;8905;140885;4033;100506736;80709;64780;338339</t>
  </si>
  <si>
    <t>MEFV;ITGB2;PTPRC;ITGAX;CD72;IL2RG;PIK3CG;IL10RA;ARHGAP9;NPL;CD244;CD300A;SIGLEC7;HPGDS;HLA-DOA;CIITA;CCR6;AP1S2;SIRPA;LRMP;SLFN12L;AKNA;MICAL1;CLEC4D</t>
  </si>
  <si>
    <t>http://www.broadinstitute.org/gsea/msigdb/cards/GSE37532_WT_VS_PPARG_KO_VISCERAL_ADIPOSE_TISSUE_TCONV_UP.html</t>
  </si>
  <si>
    <t>GSE40274_FOXP3_VS_FOXP3_AND_IRF4_TRANSDUCED_ACTIVATED_CD4_TCELL_DN</t>
  </si>
  <si>
    <t>9535;1536;5341;3676;2124;1233;3587;151888;89857;114836;27128;30009;4094;8530;3936;3586;3290;729230;356;11010;3123;151556;5027;22806</t>
  </si>
  <si>
    <t>GMFG;CYBB;PLEK;ITGA4;EVI2B;CCR4;IL10RA;BTLA;KLHL6;SLAMF6;CYTH4;TBX21;MAF;CST7;LCP1;IL10;HSD11B1;CCR2;FASLG;GLIPR1;HLA-DRB1;GPR155;P2RX7;IKZF3</t>
  </si>
  <si>
    <t>http://www.broadinstitute.org/gsea/msigdb/cards/GSE40274_FOXP3_VS_FOXP3_AND_IRF4_TRANSDUCED_ACTIVATED_CD4_TCELL_DN.html</t>
  </si>
  <si>
    <t>GSE41867_NAIVE_VS_DAY6_LCMV_ARMSTRONG_EFFECTOR_CD8_TCELL_DN</t>
  </si>
  <si>
    <t>4542;8676;3055;3001;3560;3575;3683;919;124460;221472;146722;53346;30009;4094;2162;3586;356;8809;597;4818;79895;51762;51676;22806</t>
  </si>
  <si>
    <t>MYO1F;STX11;HCK;GZMA;IL2RB;IL7R;ITGAL;CD247;SNX20;FGD2;CD300LF;TM6SF1;TBX21;MAF;F13A1;IL10;FASLG;IL18R1;BCL2A1;NKG7;ATP8B4;RAB8B;ASB2;IKZF3</t>
  </si>
  <si>
    <t>http://www.broadinstitute.org/gsea/msigdb/cards/GSE41867_NAIVE_VS_DAY6_LCMV_ARMSTRONG_EFFECTOR_CD8_TCELL_DN.html</t>
  </si>
  <si>
    <t>GSE36826_WT_VS_IL1R_KO_SKIN_UP</t>
  </si>
  <si>
    <t>3687;313;942;2313;3587;221472;6039;51311;3122;3117;348;341;3115;54;3113;3108;3109;27163;3123;10462;5027;54504;64174;8605</t>
  </si>
  <si>
    <t>ITGAX;AOAH;CD86;FLI1;IL10RA;FGD2;RNASE6;TLR8;HLA-DRA;HLA-DQA1;APOE;APOC1;HLA-DPB1;ACP5;HLA-DPA1;HLA-DMA;HLA-DMB;NAAA;HLA-DRB1;CLEC10A;P2RX7;CPVL;DPEP2;PLA2G4C</t>
  </si>
  <si>
    <t>http://www.broadinstitute.org/gsea/msigdb/cards/GSE36826_WT_VS_IL1R_KO_SKIN_UP.html</t>
  </si>
  <si>
    <t>GSE15330_HSC_VS_LYMPHOID_PRIMED_MULTIPOTENT_PROGENITOR_DN</t>
  </si>
  <si>
    <t>4542;10663;9839;5341;962;6351;3683;3687;199;10875;3903;30009;3684;729230;2833;54331;8809;118788;168537;51762;50515;57823;4644</t>
  </si>
  <si>
    <t>MYO1F;CXCR6;ZEB2;PLEK;CD48;CCL4;ITGAL;ITGAX;AIF1;FGL2;LAIR1;TBX21;ITGAM;CCR2;CXCR3;GNG2;IL18R1;PIK3AP1;GIMAP7;RAB8B;CHST11;SLAMF7;MYO5A</t>
  </si>
  <si>
    <t>http://www.broadinstitute.org/gsea/msigdb/cards/GSE15330_HSC_VS_LYMPHOID_PRIMED_MULTIPOTENT_PROGENITOR_DN.html</t>
  </si>
  <si>
    <t>GSE3920_IFNA_VS_IFNB_TREATED_ENDOTHELIAL_CELL_DN</t>
  </si>
  <si>
    <t>9839;2268;3001;3687;5734;3587;201633;154075;51338;1240;84636;10673;8320;3002;3902;3586;9938;3003;4818;118788;57823;22806</t>
  </si>
  <si>
    <t>ZEB2;FGR;GZMA;ITGAX;PTGER4;IL10RA;TIGIT;SAMD3;MS4A4A;CMKLR1;GPR174;TNFSF13B;EOMES;GZMB;LAG3;IL10;ARHGAP25;GZMK;NKG7;PIK3AP1;SLAMF7;IKZF3</t>
  </si>
  <si>
    <t>http://www.broadinstitute.org/gsea/msigdb/cards/GSE3920_IFNA_VS_IFNB_TREATED_ENDOTHELIAL_CELL_DN.html</t>
  </si>
  <si>
    <t>GSE14415_INDUCED_TREG_VS_FOXP3_KO_INDUCED_TREG_DN</t>
  </si>
  <si>
    <t>10663;9839;4068;940;6351;5551;3683;3687;154075;57105;64092;29851;8530;5552;2213;2833;3004;4818;118788;168537;64780;81553;50515</t>
  </si>
  <si>
    <t>CXCR6;ZEB2;SH2D1A;CD28;CCL4;PRF1;ITGAL;ITGAX;SAMD3;CYSLTR2;SAMSN1;ICOS;CST7;SRGN;FCGR2B;CXCR3;GZMM;NKG7;PIK3AP1;GIMAP7;MICAL1;FAM49A;CHST11</t>
  </si>
  <si>
    <t>http://www.broadinstitute.org/gsea/msigdb/cards/GSE14415_INDUCED_TREG_VS_FOXP3_KO_INDUCED_TREG_DN.html</t>
  </si>
  <si>
    <t>GSE21360_SECONDARY_VS_TERTIARY_MEMORY_CD8_TCELL_DN</t>
  </si>
  <si>
    <t>653361;2014;3603;3903;221472;8477;81704;11184;6039;1240;11314;2857;241;4261;2833;4208;4033;150771;206358;91010;64780;79690</t>
  </si>
  <si>
    <t>NCF1;EMP3;IL16;LAIR1;FGD2;GPR65;DOCK8;MAP4K1;RNASE6;CMKLR1;CD300A;GPR34;ALOX5AP;CIITA;CXCR3;MEF2C;LRMP;ITPRIPL1;SLC36A1;FMNL3;MICAL1;GAL3ST4</t>
  </si>
  <si>
    <t>http://www.broadinstitute.org/gsea/msigdb/cards/GSE21360_SECONDARY_VS_TERTIARY_MEMORY_CD8_TCELL_DN.html</t>
  </si>
  <si>
    <t>GSE40666_UNTREATED_VS_IFNA_STIM_EFFECTOR_CD8_TCELL_90MIN_UP</t>
  </si>
  <si>
    <t>4542;9404;3683;3687;3695;942;6890;201633;84166;57580;26051;27033;79974;2848;9881;3956;3162;3684;54;10148;57514;132160;51063</t>
  </si>
  <si>
    <t>MYO1F;LPXN;ITGAL;ITGAX;ITGB7;CD86;TAP1;TIGIT;NLRC5;PREX1;PPP1R16B;ZBTB32;CPED1;GPR25;TRANK1;LGALS1;HMOX1;ITGAM;ACP5;EBI3;ARHGAP31;PPM1M;CALHM2</t>
  </si>
  <si>
    <t>http://www.broadinstitute.org/gsea/msigdb/cards/GSE40666_UNTREATED_VS_IFNA_STIM_EFFECTOR_CD8_TCELL_90MIN_UP.html</t>
  </si>
  <si>
    <t>GSE3920_IFNA_VS_IFNG_TREATED_FIBROBLAST_UP</t>
  </si>
  <si>
    <t>9839;3689;3001;3676;5734;3587;387357;154075;57580;1240;64092;10673;9120;1435;3824;4818;118788;151556;51676;57823;29126;22806</t>
  </si>
  <si>
    <t>ZEB2;ITGB2;GZMA;ITGA4;PTGER4;IL10RA;THEMIS;SAMD3;PREX1;CMKLR1;SAMSN1;TNFSF13B;SLC16A6;CSF1;KLRD1;NKG7;PIK3AP1;GPR155;ASB2;SLAMF7;CD274;IKZF3</t>
  </si>
  <si>
    <t>http://www.broadinstitute.org/gsea/msigdb/cards/GSE3920_IFNA_VS_IFNG_TREATED_FIBROBLAST_UP.html</t>
  </si>
  <si>
    <t>GSE5542_UNTREATED_VS_IFNG_TREATED_EPITHELIAL_CELLS_24H_UP</t>
  </si>
  <si>
    <t>4542;9839;3560;7133;3594;1233;6504;201633;149628;114548;30009;10019;9881;1102;5552;3003;3824;9815;57514;150771;100506736;51063;50515</t>
  </si>
  <si>
    <t>MYO1F;ZEB2;IL2RB;TNFRSF1B;IL12RB1;CCR4;SLAMF1;TIGIT;PYHIN1;NLRP3;TBX21;SH2B3;TRANK1;RCBTB2;SRGN;GZMK;KLRD1;GIT2;ARHGAP31;ITPRIPL1;SLFN12L;CALHM2;CHST11</t>
  </si>
  <si>
    <t>http://www.broadinstitute.org/gsea/msigdb/cards/GSE5542_UNTREATED_VS_IFNG_TREATED_EPITHELIAL_CELLS_24H_UP.html</t>
  </si>
  <si>
    <t>GSE24671_CTRL_VS_SENDAI_VIRUS_INFECTED_MOUSE_SPLENOCYTES_UP</t>
  </si>
  <si>
    <t>4542;920;972;3676;3575;313;2207;199;221188;81704;4049;924;1235;8809;55704;25890;120425;79895;55619;51676;84106</t>
  </si>
  <si>
    <t>MYO1F;CD4;CD74;ITGA4;IL7R;AOAH;FCER1G;AIF1;ADGRG5;DOCK8;LTA;CD7;CCR6;IL18R1;CCDC88A;ABI3BP;JAML;ATP8B4;DOCK10;ASB2;PRAM1</t>
  </si>
  <si>
    <t>http://www.broadinstitute.org/gsea/msigdb/cards/GSE24671_CTRL_VS_SENDAI_VIRUS_INFECTED_MOUSE_SPLENOCYTES_UP.html</t>
  </si>
  <si>
    <t>GSE1740_UNSTIM_VS_IFNA_STIMULATED_MCSF_DERIVED_MACROPHAGE_DN</t>
  </si>
  <si>
    <t>972;3659;7453;2633;6772;3594;6890;55843;197358;84166;115362;115361;84636;3553;3122;3117;3115;3113;597;3123;441168;155038;9754</t>
  </si>
  <si>
    <t>CD74;IRF1;WARS;GBP1;STAT1;IL12RB1;TAP1;ARHGAP15;NLRC3;NLRC5;GBP5;GBP4;GPR174;IL1B;HLA-DRA;HLA-DQA1;HLA-DPB1;HLA-DPA1;BCL2A1;HLA-DRB1;CALHM6;GIMAP8;STARD8</t>
  </si>
  <si>
    <t>http://www.broadinstitute.org/gsea/msigdb/cards/GSE1740_UNSTIM_VS_IFNA_STIMULATED_MCSF_DERIVED_MACROPHAGE_DN.html</t>
  </si>
  <si>
    <t>KAECH_DAY15_EFF_VS_MEMORY_CD8_TCELL_UP</t>
  </si>
  <si>
    <t>9535;9450;920;972;5579;3001;942;3394;7805;259307;4064;51744;3553;3117;3002;4066;943;2213;729230;1235;3824;3123;7462</t>
  </si>
  <si>
    <t>GMFG;LY86;CD4;CD74;PRKCB;GZMA;CD86;IRF8;LAPTM5;IL4I1;CD180;CD244;IL1B;HLA-DQA1;GZMB;LYL1;TNFRSF8;FCGR2B;CCR2;CCR6;KLRD1;HLA-DRB1;LAT2</t>
  </si>
  <si>
    <t>http://www.broadinstitute.org/gsea/msigdb/cards/KAECH_DAY15_EFF_VS_MEMORY_CD8_TCELL_UP.html</t>
  </si>
  <si>
    <t>GSE10325_MYELOID_VS_LUPUS_MYELOID_DN</t>
  </si>
  <si>
    <t>22797;10261;713;3627;5341;51056;2633;6772;6890;4671;3903;2210;55303;6373;9881;8564;9120;366;10507;51762;6614;50515;55013</t>
  </si>
  <si>
    <t>TFEC;IGSF6;C1QB;CXCL10;PLEK;LAP3;GBP1;STAT1;TAP1;NAIP;LAIR1;FCGR1B;GIMAP4;CXCL11;TRANK1;KMO;SLC16A6;AQP9;SEMA4D;RAB8B;SIGLEC1;CHST11;MCUB</t>
  </si>
  <si>
    <t>http://www.broadinstitute.org/gsea/msigdb/cards/GSE10325_MYELOID_VS_LUPUS_MYELOID_DN.html</t>
  </si>
  <si>
    <t>GSE12366_GC_VS_NAIVE_BCELL_DN</t>
  </si>
  <si>
    <t>4542;9051;1378;971;6772;2014;3603;55843;3903;348378;151888;81030;27128;197135;8742;9103;4066;6402;1235;969;90634;202309;55619</t>
  </si>
  <si>
    <t>MYO1F;PSTPIP1;CR1;CD72;STAT1;EMP3;IL16;ARHGAP15;LAIR1;SHISAL2A;BTLA;ZBP1;CYTH4;PATL2;TNFSF12;FCGR2A;LYL1;SELL;CCR6;CD69;N4BP2L1;GAPT;DOCK10</t>
  </si>
  <si>
    <t>http://www.broadinstitute.org/gsea/msigdb/cards/GSE12366_GC_VS_NAIVE_BCELL_DN.html</t>
  </si>
  <si>
    <t>GSE14000_UNSTIM_VS_4H_LPS_DC_TRANSLATED_RNA_DN</t>
  </si>
  <si>
    <t>1318;11025;8676;962;3659;6351;6352;7453;2633;941;5734;6772;84166;255231;115362;6373;3553;7185;597;116071;57823;29126;51513</t>
  </si>
  <si>
    <t>SLC31A2;LILRB3;STX11;CD48;IRF1;CCL4;CCL5;WARS;GBP1;CD80;PTGER4;STAT1;NLRC5;MCOLN2;GBP5;CXCL11;IL1B;TRAF1;BCL2A1;BATF2;SLAMF7;CD274;ETV7</t>
  </si>
  <si>
    <t>http://www.broadinstitute.org/gsea/msigdb/cards/GSE14000_UNSTIM_VS_4H_LPS_DC_TRANSLATED_RNA_DN.html</t>
  </si>
  <si>
    <t>GSE14769_UNSTIM_VS_120MIN_LPS_BMDM_DN</t>
  </si>
  <si>
    <t>22797;1318;10261;972;3659;3662;51296;255231;114548;115361;84636;1435;5552;3586;6776;969;10148;10672;597;80709;338339;57823;29126</t>
  </si>
  <si>
    <t>TFEC;SLC31A2;IGSF6;CD74;IRF1;IRF4;SLC15A3;MCOLN2;NLRP3;GBP4;GPR174;CSF1;SRGN;IL10;STAT5A;CD69;EBI3;GNA13;BCL2A1;AKNA;CLEC4D;SLAMF7;CD274</t>
  </si>
  <si>
    <t>http://www.broadinstitute.org/gsea/msigdb/cards/GSE14769_UNSTIM_VS_120MIN_LPS_BMDM_DN.html</t>
  </si>
  <si>
    <t>GSE16755_CTRL_VS_IFNA_TREATED_MAC_DN</t>
  </si>
  <si>
    <t>1318;8676;80833;3559;3627;3659;3575;51056;2633;3587;84166;255231;115362;158830;6373;3717;596;7185;10148;116071;51762;145864;29126</t>
  </si>
  <si>
    <t>SLC31A2;STX11;APOL3;IL2RA;CXCL10;IRF1;IL7R;LAP3;GBP1;IL10RA;NLRC5;MCOLN2;GBP5;CXorf65;CXCL11;JAK2;BCL2;TRAF1;EBI3;BATF2;RAB8B;HAPLN3;CD274</t>
  </si>
  <si>
    <t>http://www.broadinstitute.org/gsea/msigdb/cards/GSE16755_CTRL_VS_IFNA_TREATED_MAC_DN.html</t>
  </si>
  <si>
    <t>GSE20366_EX_VIVO_VS_DEC205_CONVERSION_NAIVE_CD4_TCELL_UP</t>
  </si>
  <si>
    <t>3001;6352;6772;3594;1234;10875;8477;221188;57105;51225;2857;9120;1102;3002;1230;729230;3003;1235;90634;51676;5027;50515;57823</t>
  </si>
  <si>
    <t>GZMA;CCL5;STAT1;IL12RB1;CCR5;FGL2;GPR65;ADGRG5;CYSLTR2;ABI3;GPR34;SLC16A6;RCBTB2;GZMB;CCR1;CCR2;GZMK;CCR6;N4BP2L1;ASB2;P2RX7;CHST11;SLAMF7</t>
  </si>
  <si>
    <t>http://www.broadinstitute.org/gsea/msigdb/cards/GSE20366_EX_VIVO_VS_DEC205_CONVERSION_NAIVE_CD4_TCELL_UP.html</t>
  </si>
  <si>
    <t>GSE20715_0H_VS_48H_OZONE_TLR4_KO_LUNG_UP</t>
  </si>
  <si>
    <t>54440;915;5579;3932;5788;917;3001;919;3394;6890;3603;399;3903;19;3122;3111;6402;4208;2529;3824;4818;79630;56606</t>
  </si>
  <si>
    <t>SASH3;CD3D;PRKCB;LCK;PTPRC;CD3G;GZMA;CD247;IRF8;TAP1;IL16;RHOH;LAIR1;ABCA1;HLA-DRA;HLA-DOA;SELL;MEF2C;FUT7;KLRD1;NKG7;C1orf54;SLC2A9</t>
  </si>
  <si>
    <t>http://www.broadinstitute.org/gsea/msigdb/cards/GSE20715_0H_VS_48H_OZONE_TLR4_KO_LUNG_UP.html</t>
  </si>
  <si>
    <t>GSE22886_NAIVE_VS_IGM_MEMORY_BCELL_DN</t>
  </si>
  <si>
    <t>22797;9404;5341;7133;2123;3695;4332;11262;3587;4689;51296;11184;26051;64092;9056;27033;3956;3684;2212;10437;54;9938;55619</t>
  </si>
  <si>
    <t>TFEC;LPXN;PLEK;TNFRSF1B;EVI2A;ITGB7;MNDA;SP140;IL10RA;NCF4;SLC15A3;MAP4K1;PPP1R16B;SAMSN1;SLC7A7;ZBTB32;LGALS1;ITGAM;FCGR2A;IFI30;ACP5;ARHGAP25;DOCK10</t>
  </si>
  <si>
    <t>http://www.broadinstitute.org/gsea/msigdb/cards/GSE22886_NAIVE_VS_IGM_MEMORY_BCELL_DN.html</t>
  </si>
  <si>
    <t>GSE22886_NAIVE_CD8_TCELL_VS_NEUTROPHIL_DN</t>
  </si>
  <si>
    <t>7940;7305;920;1536;945;1439;4332;10875;80896;9034;366;3553;240;5552;4688;2357;728;3290;597;79865;4327;64581;80183</t>
  </si>
  <si>
    <t>LST1;TYROBP;CD4;CYBB;CD33;CSF2RB;MNDA;FGL2;NPL;CCRL2;AQP9;IL1B;ALOX5;SRGN;NCF2;FPR1;C5AR1;HSD11B1;BCL2A1;TREML2;MMP19;CLEC7A;RUBCNL</t>
  </si>
  <si>
    <t>http://www.broadinstitute.org/gsea/msigdb/cards/GSE22886_NAIVE_CD8_TCELL_VS_NEUTROPHIL_DN.html</t>
  </si>
  <si>
    <t>9402;914;916;940;3001;5551;3560;923;7535;53347;10320;225;29851;29909;9881;921;924;596;2113;4050;4818;64919;54861</t>
  </si>
  <si>
    <t>GRAP2;CD2;CD3E;CD28;GZMA;PRF1;IL2RB;CD6;ZAP70;UBASH3A;IKZF1;ABCD2;ICOS;GPR171;TRANK1;CD5;CD7;BCL2;ETS1;LTB;NKG7;BCL11B;SNRK</t>
  </si>
  <si>
    <t>http://www.broadinstitute.org/gsea/msigdb/cards/GSE22886_NAIVE_CD8_TCELL_VS_DC_UP.html</t>
  </si>
  <si>
    <t>GSE22886_NAIVE_CD4_TCELL_VS_NEUTROPHIL_DN</t>
  </si>
  <si>
    <t>7940;925;945;1439;4332;10875;80301;53829;80380;366;10154;240;5552;2212;4688;526;2357;3290;3604;597;64581;7462;80183</t>
  </si>
  <si>
    <t>LST1;CD8A;CD33;CSF2RB;MNDA;FGL2;PLEKHO2;P2RY13;PDCD1LG2;AQP9;PLXNC1;ALOX5;SRGN;FCGR2A;NCF2;ATP6V1B2;FPR1;HSD11B1;TNFRSF9;BCL2A1;CLEC7A;LAT2;RUBCNL</t>
  </si>
  <si>
    <t>http://www.broadinstitute.org/gsea/msigdb/cards/GSE22886_NAIVE_CD4_TCELL_VS_NEUTROPHIL_DN.html</t>
  </si>
  <si>
    <t>GSE24634_IL4_VS_CTRL_TREATED_NAIVE_CD4_TCELL_DAY10_DN</t>
  </si>
  <si>
    <t>7305;8676;1536;3659;7453;51056;2633;4332;942;6772;3101;114548;51311;51393;27299;9103;3113;526;5724;3290;1230;6891;55911</t>
  </si>
  <si>
    <t>TYROBP;STX11;CYBB;IRF1;WARS;LAP3;GBP1;MNDA;CD86;STAT1;HK3;NLRP3;TLR8;TRPV2;ADAMDEC1;FCGR2A;HLA-DPA1;ATP6V1B2;PTAFR;HSD11B1;CCR1;TAP2;APOBR</t>
  </si>
  <si>
    <t>http://www.broadinstitute.org/gsea/msigdb/cards/GSE24634_IL4_VS_CTRL_TREATED_NAIVE_CD4_TCELL_DAY10_DN.html</t>
  </si>
  <si>
    <t>GSE25087_TREG_VS_TCONV_ADULT_UP</t>
  </si>
  <si>
    <t>9046;3559;3560;1493;7133;5778;3594;7634;10875;4689;3662;26051;84636;64092;9120;8530;3122;5552;596;1235;4208;118788;80183</t>
  </si>
  <si>
    <t>DOK2;IL2RA;IL2RB;CTLA4;TNFRSF1B;PTPN7;IL12RB1;ZNF80;FGL2;NCF4;IRF4;PPP1R16B;GPR174;SAMSN1;SLC16A6;CST7;HLA-DRA;SRGN;BCL2;CCR6;MEF2C;PIK3AP1;RUBCNL</t>
  </si>
  <si>
    <t>http://www.broadinstitute.org/gsea/msigdb/cards/GSE25087_TREG_VS_TCONV_ADULT_UP.html</t>
  </si>
  <si>
    <t>GSE29618_BCELL_VS_MDC_DN</t>
  </si>
  <si>
    <t>2533;9535;3689;945;3687;11151;2322;1234;391;6404;3122;1508;3956;10437;3936;11010;8905;1601;55911;8809;55704;10462;79630</t>
  </si>
  <si>
    <t>FYB1;GMFG;ITGB2;CD33;ITGAX;CORO1A;FLT3;CCR5;RHOG;SELPLG;HLA-DRA;CTSB;LGALS1;IFI30;LCP1;GLIPR1;AP1S2;DAB2;APOBR;IL18R1;CCDC88A;CLEC10A;C1orf54</t>
  </si>
  <si>
    <t>http://www.broadinstitute.org/gsea/msigdb/cards/GSE29618_BCELL_VS_MDC_DN.html</t>
  </si>
  <si>
    <t>GSE3337_CTRL_VS_16H_IFNG_IN_CD8POS_DC_UP</t>
  </si>
  <si>
    <t>7305;929;2268;2322;3071;10871;4689;719;259307;64333;50856;27299;3553;3117;348;1508;3162;54;728;4360;5724;356;23166</t>
  </si>
  <si>
    <t>TYROBP;CD14;FGR;FLT3;NCKAP1L;CD300C;NCF4;C3AR1;IL4I1;ARHGAP9;CLEC4A;ADAMDEC1;IL1B;HLA-DQA1;APOE;CTSB;HMOX1;ACP5;C5AR1;MRC1;PTAFR;FASLG;STAB1</t>
  </si>
  <si>
    <t>http://www.broadinstitute.org/gsea/msigdb/cards/GSE3337_CTRL_VS_16H_IFNG_IN_CD8POS_DC_UP.html</t>
  </si>
  <si>
    <t>GSE339_CD4POS_VS_CD8POS_DC_UP</t>
  </si>
  <si>
    <t>4542;2268;6351;2350;7133;971;2207;3561;2014;10871;3937;399;64926;64333;4063;9034;3111;1235;4050;7185;4215;7462;25939</t>
  </si>
  <si>
    <t>MYO1F;FGR;CCL4;FOLR2;TNFRSF1B;CD72;FCER1G;IL2RG;EMP3;CD300C;LCP2;RHOH;RASAL3;ARHGAP9;LY9;CCRL2;HLA-DOA;CCR6;LTB;TRAF1;MAP3K3;LAT2;SAMHD1</t>
  </si>
  <si>
    <t>http://www.broadinstitute.org/gsea/msigdb/cards/GSE339_CD4POS_VS_CD8POS_DC_UP.html</t>
  </si>
  <si>
    <t>GSE360_CTRL_VS_M_TUBERCULOSIS_DC_DN</t>
  </si>
  <si>
    <t>8676;3458;6351;7453;3561;1236;2633;1439;941;3937;719;9332;10288;10154;2811;5552;2212;3586;6518;4973;7185;10184;81553</t>
  </si>
  <si>
    <t>STX11;IFNG;CCL4;WARS;IL2RG;CCR7;GBP1;CSF2RB;CD80;LCP2;C3AR1;CD163;LILRB2;PLXNC1;GP1BA;SRGN;FCGR2A;IL10;SLC2A5;OLR1;TRAF1;LHFPL2;FAM49A</t>
  </si>
  <si>
    <t>http://www.broadinstitute.org/gsea/msigdb/cards/GSE360_CTRL_VS_M_TUBERCULOSIS_DC_DN.html</t>
  </si>
  <si>
    <t>GSE360_DC_VS_MAC_L_DONOVANI_DN</t>
  </si>
  <si>
    <t>9450;929;2214;6036;3683;4332;1234;199;4354;11314;9056;6793;1102;348;54;6518;1230;6556;3604;10457;11027;23312;23166</t>
  </si>
  <si>
    <t>LY86;CD14;FCGR3A;RNASE2;ITGAL;MNDA;CCR5;AIF1;MPP1;CD300A;SLC7A7;STK10;RCBTB2;APOE;ACP5;SLC2A5;CCR1;SLC11A1;TNFRSF9;GPNMB;LILRA2;DMXL2;STAB1</t>
  </si>
  <si>
    <t>http://www.broadinstitute.org/gsea/msigdb/cards/GSE360_DC_VS_MAC_L_DONOVANI_DN.html</t>
  </si>
  <si>
    <t>GSE360_DC_VS_MAC_M_TUBERCULOSIS_UP</t>
  </si>
  <si>
    <t>54440;3627;915;3659;6351;6352;3575;1236;2633;5778;5734;8832;6373;8530;3122;4360;3108;3290;3988;9938;4208;7185;90634</t>
  </si>
  <si>
    <t>SASH3;CXCL10;CD3D;IRF1;CCL4;CCL5;IL7R;CCR7;GBP1;PTPN7;PTGER4;CD84;CXCL11;CST7;HLA-DRA;MRC1;HLA-DMA;HSD11B1;LIPA;ARHGAP25;MEF2C;TRAF1;N4BP2L1</t>
  </si>
  <si>
    <t>http://www.broadinstitute.org/gsea/msigdb/cards/GSE360_DC_VS_MAC_M_TUBERCULOSIS_UP.html</t>
  </si>
  <si>
    <t>GSE36392_EOSINOPHIL_VS_NEUTROPHIL_IL25_TREATED_LUNG_UP</t>
  </si>
  <si>
    <t>8676;5341;963;7133;10875;117289;89857;2672;6373;3290;2833;4973;969;55911;10148;89846;79865;118788;85464;91010;79895;4215;50515</t>
  </si>
  <si>
    <t>STX11;PLEK;CD53;TNFRSF1B;FGL2;TAGAP;KLHL6;GFI1;CXCL11;HSD11B1;CXCR3;OLR1;CD69;APOBR;EBI3;FGD3;TREML2;PIK3AP1;SSH2;FMNL3;ATP8B4;MAP3K3;CHST11</t>
  </si>
  <si>
    <t>http://www.broadinstitute.org/gsea/msigdb/cards/GSE36392_EOSINOPHIL_VS_NEUTROPHIL_IL25_TREATED_LUNG_UP.html</t>
  </si>
  <si>
    <t>GSE3982_MAST_CELL_VS_DC_DN</t>
  </si>
  <si>
    <t>1318;1234;3101;3394;4283;6504;3587;6039;64170;56833;29992;27036;8564;3122;3120;2359;3108;3109;3290;3988;51762;30835;25939</t>
  </si>
  <si>
    <t>SLC31A2;CCR5;HK3;IRF8;CXCL9;SLAMF1;IL10RA;RNASE6;CARD9;SLAMF8;PILRA;SIGLEC7;KMO;HLA-DRA;HLA-DQB2;FPR3;HLA-DMA;HLA-DMB;HSD11B1;LIPA;RAB8B;CD209;SAMHD1</t>
  </si>
  <si>
    <t>http://www.broadinstitute.org/gsea/msigdb/cards/GSE3982_MAST_CELL_VS_DC_DN.html</t>
  </si>
  <si>
    <t>GSE3982_CENT_MEMORY_CD4_TCELL_VS_NKCELL_DN</t>
  </si>
  <si>
    <t>259197;9051;925;1436;5341;3001;6352;2207;4332;199;3394;695;91752;2672;80896;53346;51744;51284;11314;27128;3115;728;7462</t>
  </si>
  <si>
    <t>NCR3;PSTPIP1;CD8A;CSF1R;PLEK;GZMA;CCL5;FCER1G;MNDA;AIF1;IRF8;BTK;ZNF804A;GFI1;NPL;TM6SF1;CD244;TLR7;CD300A;CYTH4;HLA-DPB1;C5AR1;LAT2</t>
  </si>
  <si>
    <t>http://www.broadinstitute.org/gsea/msigdb/cards/GSE3982_CENT_MEMORY_CD4_TCELL_VS_NKCELL_DN.html</t>
  </si>
  <si>
    <t>GSE7460_FOXP3_MUT_VS_WT_ACT_TCONV_UP</t>
  </si>
  <si>
    <t>9046;9404;8676;925;3001;4245;3594;3101;58475;80231;64092;10673;29851;29909;4094;8530;3956;3586;10148;5133;597;51676;50515</t>
  </si>
  <si>
    <t>DOK2;LPXN;STX11;CD8A;GZMA;MGAT1;IL12RB1;HK3;MS4A7;CXorf21;SAMSN1;TNFSF13B;ICOS;GPR171;MAF;CST7;LGALS1;IL10;EBI3;PDCD1;BCL2A1;ASB2;CHST11</t>
  </si>
  <si>
    <t>http://www.broadinstitute.org/gsea/msigdb/cards/GSE7460_FOXP3_MUT_VS_WT_ACT_TCONV_UP.html</t>
  </si>
  <si>
    <t>GSE9988_ANTI_TREM1_VS_ANTI_TREM1_AND_LPS_MONOCYTE_DN</t>
  </si>
  <si>
    <t>3559;5341;6351;1236;2633;399;92241;55340;114548;730249;9034;27299;8564;366;3553;3586;6776;6507;3604;7185;597;53831;29126</t>
  </si>
  <si>
    <t>IL2RA;PLEK;CCL4;CCR7;GBP1;RHOH;RCSD1;GIMAP5;NLRP3;ACOD1;CCRL2;ADAMDEC1;KMO;AQP9;IL1B;IL10;STAT5A;SLC1A3;TNFRSF9;TRAF1;BCL2A1;GPR84;CD274</t>
  </si>
  <si>
    <t>http://www.broadinstitute.org/gsea/msigdb/cards/GSE9988_ANTI_TREM1_VS_ANTI_TREM1_AND_LPS_MONOCYTE_DN.html</t>
  </si>
  <si>
    <t>GSE3039_ALPHAALPHA_CD8_TCELL_VS_B2_BCELL_UP</t>
  </si>
  <si>
    <t>9595;914;2322;91752;89790;53829;11314;284417;341;924;6037;6693;3109;4050;4033;7941;100506736;10235;115727;51676;84106;4215;81553</t>
  </si>
  <si>
    <t>CYTIP;CD2;FLT3;ZNF804A;SIGLEC10;P2RY13;CD300A;TMEM150B;APOC1;CD7;RNASE3;SPN;HLA-DMB;LTB;LRMP;PLA2G7;SLFN12L;RASGRP2;RASGRP4;ASB2;PRAM1;MAP3K3;FAM49A</t>
  </si>
  <si>
    <t>http://www.broadinstitute.org/gsea/msigdb/cards/GSE3039_ALPHAALPHA_CD8_TCELL_VS_B2_BCELL_UP.html</t>
  </si>
  <si>
    <t>GSE4748_LPS_VS_LPS_AND_CYANOBACTERIUM_LPSLIKE_STIM_DC_3H_UP</t>
  </si>
  <si>
    <t>9839;1536;1436;6351;5551;2207;5734;7634;7805;3587;149628;84868;1240;51744;58475;4094;3002;8809;4818;284759;257101;83937;9935</t>
  </si>
  <si>
    <t>ZEB2;CYBB;CSF1R;CCL4;PRF1;FCER1G;PTGER4;ZNF80;LAPTM5;IL10RA;PYHIN1;HAVCR2;CMKLR1;CD244;MS4A7;MAF;GZMB;IL18R1;NKG7;SIRPB2;ZNF683;RASSF4;MAFB</t>
  </si>
  <si>
    <t>http://www.broadinstitute.org/gsea/msigdb/cards/GSE4748_LPS_VS_LPS_AND_CYANOBACTERIUM_LPSLIKE_STIM_DC_3H_UP.html</t>
  </si>
  <si>
    <t>GSE14699_DELETIONAL_TOLERANCE_VS_ACTIVATED_CD8_TCELL_UP</t>
  </si>
  <si>
    <t>4542;10663;9839;3683;3687;941;10875;3903;30009;27033;3684;3059;6693;140885;6503;8809;118788;168537;64780;51762;50515;4644</t>
  </si>
  <si>
    <t>MYO1F;CXCR6;ZEB2;ITGAL;ITGAX;CD80;FGL2;LAIR1;TBX21;ZBTB32;ITGAM;HCLS1;SPN;SIRPA;SLA;IL18R1;PIK3AP1;GIMAP7;MICAL1;RAB8B;CHST11;MYO5A</t>
  </si>
  <si>
    <t>http://www.broadinstitute.org/gsea/msigdb/cards/GSE14699_DELETIONAL_TOLERANCE_VS_ACTIVATED_CD8_TCELL_UP.html</t>
  </si>
  <si>
    <t>GSE12392_WT_VS_IFNB_KO_CD8A_NEG_SPLEEN_DC_DN</t>
  </si>
  <si>
    <t>4542;10261;5579;1436;3575;963;5294;3937;89790;80380;51744;50615;4063;3717;3111;10437;3718;146850;85464;151556;54518;51676;81553</t>
  </si>
  <si>
    <t>MYO1F;IGSF6;PRKCB;CSF1R;IL7R;CD53;PIK3CG;LCP2;SIGLEC10;PDCD1LG2;CD244;IL21R;LY9;JAK2;HLA-DOA;IFI30;JAK3;PIK3R6;SSH2;GPR155;APBB1IP;ASB2;FAM49A</t>
  </si>
  <si>
    <t>http://www.broadinstitute.org/gsea/msigdb/cards/GSE12392_WT_VS_IFNB_KO_CD8A_NEG_SPLEEN_DC_DN.html</t>
  </si>
  <si>
    <t>GSE15735_2H_VS_12H_HDAC_INHIBITOR_TREATED_CD4_TCELL_UP</t>
  </si>
  <si>
    <t>9595;3559;920;940;1493;919;5734;50852;151888;64092;55589;921;3684;10437;4688;356;57514;131450;10077;5027;50943;64919;55013</t>
  </si>
  <si>
    <t>CYTIP;IL2RA;CD4;CD28;CTLA4;CD247;PTGER4;TRAT1;BTLA;SAMSN1;BMP2K;CD5;ITGAM;IFI30;NCF2;FASLG;ARHGAP31;CD200R1;TSPAN32;P2RX7;FOXP3;BCL11B;MCUB</t>
  </si>
  <si>
    <t>http://www.broadinstitute.org/gsea/msigdb/cards/GSE15735_2H_VS_12H_HDAC_INHIBITOR_TREATED_CD4_TCELL_UP.html</t>
  </si>
  <si>
    <t>GSE19198_CTRL_VS_IL21_TREATED_TCELL_6H_DN</t>
  </si>
  <si>
    <t>1318;713;4354;117289;57580;80301;139716;23533;4064;1240;64092;9056;11326;10990;3586;5376;8809;10184;85464;6614;64805;64747;55803</t>
  </si>
  <si>
    <t>SLC31A2;C1QB;MPP1;TAGAP;PREX1;PLEKHO2;GAB3;PIK3R5;CD180;CMKLR1;SAMSN1;SLC7A7;VSIG4;LILRB5;IL10;PMP22;IL18R1;LHFPL2;SSH2;SIGLEC1;P2RY12;MFSD1;ADAP2</t>
  </si>
  <si>
    <t>http://www.broadinstitute.org/gsea/msigdb/cards/GSE19198_CTRL_VS_IL21_TREATED_TCELL_6H_DN.html</t>
  </si>
  <si>
    <t>GSE19923_E2A_KO_VS_E2A_AND_HEB_KO_DP_THYMOCYTE_DN</t>
  </si>
  <si>
    <t>6351;6352;963;3687;51056;8514;4689;719;1508;5452;5552;3002;926;54;3902;3586;1043;7185;597;100506736;54518;10507;7462</t>
  </si>
  <si>
    <t>CCL4;CCL5;CD53;ITGAX;LAP3;KCNAB2;NCF4;C3AR1;CTSB;POU2F2;SRGN;GZMB;CD8B;ACP5;LAG3;IL10;CD52;TRAF1;BCL2A1;SLFN12L;APBB1IP;SEMA4D;LAT2</t>
  </si>
  <si>
    <t>http://www.broadinstitute.org/gsea/msigdb/cards/GSE19923_E2A_KO_VS_E2A_AND_HEB_KO_DP_THYMOCYTE_DN.html</t>
  </si>
  <si>
    <t>GSE16450_IMMATURE_VS_MATURE_NEURON_CELL_LINE_12H_IFNA_STIM_UP</t>
  </si>
  <si>
    <t>4542;9535;1536;6352;2124;10225;9744;151888;114836;64333;55303;10870;8832;6793;924;926;10235;80709;9806;84329;5027;4215;81553</t>
  </si>
  <si>
    <t>MYO1F;GMFG;CYBB;CCL5;EVI2B;CD96;ACAP1;BTLA;SLAMF6;ARHGAP9;GIMAP4;HCST;CD84;STK10;CD7;CD8B;RASGRP2;AKNA;SPOCK2;HVCN1;P2RX7;MAP3K3;FAM49A</t>
  </si>
  <si>
    <t>http://www.broadinstitute.org/gsea/msigdb/cards/GSE16450_IMMATURE_VS_MATURE_NEURON_CELL_LINE_12H_IFNA_STIM_UP.html</t>
  </si>
  <si>
    <t>GSE21670_STAT3_KO_VS_WT_CD4_TCELL_UP</t>
  </si>
  <si>
    <t>971;3594;6890;3702;6504;3662;219972;170371;259307;4064;64092;10870;10673;2219;8564;10437;3108;1235;7185;10148;597;84034;85479</t>
  </si>
  <si>
    <t>CD72;IL12RB1;TAP1;ITK;SLAMF1;IRF4;MPEG1;TMEM273;IL4I1;CD180;SAMSN1;HCST;TNFSF13B;FCN1;KMO;IFI30;HLA-DMA;CCR6;TRAF1;EBI3;BCL2A1;EMILIN2;DNAJC5B</t>
  </si>
  <si>
    <t>http://www.broadinstitute.org/gsea/msigdb/cards/GSE21670_STAT3_KO_VS_WT_CD4_TCELL_UP.html</t>
  </si>
  <si>
    <t>GSE21774_CD62L_POS_CD56_DIM_VS_CD62L_NEG_CD56_DIM_NK_CELL_UP</t>
  </si>
  <si>
    <t>4242;22797;9051;5788;971;11151;92241;197358;1794;6039;80896;64407;7099;3111;2113;4688;241;9938;4050;8809;4818;10235;79630</t>
  </si>
  <si>
    <t>MFNG;TFEC;PSTPIP1;PTPRC;CD72;CORO1A;RCSD1;NLRC3;DOCK2;RNASE6;NPL;RGS18;TLR4;HLA-DOA;ETS1;NCF2;ALOX5AP;ARHGAP25;LTB;IL18R1;NKG7;RASGRP2;C1orf54</t>
  </si>
  <si>
    <t>http://www.broadinstitute.org/gsea/msigdb/cards/GSE21774_CD62L_POS_CD56_DIM_VS_CD62L_NEG_CD56_DIM_NK_CELL_UP.html</t>
  </si>
  <si>
    <t>GSE23925_LIGHT_ZONE_VS_NAIVE_BCELL_UP</t>
  </si>
  <si>
    <t>9595;3458;940;6351;7133;923;2124;1233;391;6404;474344;246329;64092;29909;921;5552;596;3290;969;7185;6503;597;375387</t>
  </si>
  <si>
    <t>CYTIP;IFNG;CD28;CCL4;TNFRSF1B;CD6;EVI2B;CCR4;RHOG;SELPLG;GIMAP6;STAC3;SAMSN1;GPR171;CD5;SRGN;BCL2;HSD11B1;CD69;TRAF1;SLA;BCL2A1;NRROS</t>
  </si>
  <si>
    <t>http://www.broadinstitute.org/gsea/msigdb/cards/GSE23925_LIGHT_ZONE_VS_NAIVE_BCELL_UP.html</t>
  </si>
  <si>
    <t>713;972;2209;7453;4283;10875;10666;2210;55303;56833;2219;3122;3117;3115;3684;3113;2359;441168;116071;79630;1522;25939;51513</t>
  </si>
  <si>
    <t>C1QB;CD74;FCGR1A;WARS;CXCL9;FGL2;CD226;FCGR1B;GIMAP4;SLAMF8;FCN1;HLA-DRA;HLA-DQA1;HLA-DPB1;ITGAM;HLA-DPA1;FPR3;CALHM6;BATF2;C1orf54;CTSZ;SAMHD1;ETV7</t>
  </si>
  <si>
    <t>http://www.broadinstitute.org/gsea/msigdb/cards/GSE25123_WT_VS_PPARG_KO_MACROPHAGE_DN.html</t>
  </si>
  <si>
    <t>GSE26912_TUMORICIDAL_VS_CTRL_MACROPHAGE_DN</t>
  </si>
  <si>
    <t>7305;10068;712;3689;1436;951;1236;1234;7805;3662;3635;23048;4063;3108;1043;6776;54331;3824;597;64747;59345;1522;51466</t>
  </si>
  <si>
    <t>TYROBP;IL18BP;C1QA;ITGB2;CSF1R;CD37;CCR7;CCR5;LAPTM5;IRF4;INPP5D;FNBP1;LY9;HLA-DMA;CD52;STAT5A;GNG2;KLRD1;BCL2A1;MFSD1;GNB4;CTSZ;EVL</t>
  </si>
  <si>
    <t>http://www.broadinstitute.org/gsea/msigdb/cards/GSE26912_TUMORICIDAL_VS_CTRL_MACROPHAGE_DN.html</t>
  </si>
  <si>
    <t>10663;2533;11309;951;3575;919;11151;1236;199;7805;6404;9744;1794;80342;9881;6793;4240;25900;10235;9806;4215;8605;27240</t>
  </si>
  <si>
    <t>CXCR6;FYB1;SLCO2B1;CD37;IL7R;CD247;CORO1A;CCR7;AIF1;LAPTM5;SELPLG;ACAP1;DOCK2;TRAF3IP3;TRANK1;STK10;MFGE8;IFFO1;RASGRP2;SPOCK2;MAP3K3;PLA2G4C;SIT1</t>
  </si>
  <si>
    <t>http://www.broadinstitute.org/gsea/msigdb/cards/GSE28726_NAIVE_VS_ACTIVATED_CD4_TCELL_UP.html</t>
  </si>
  <si>
    <t>GSE32164_RESTING_DIFFERENTIATED_VS_CMYC_INHIBITED_MACROPHAGE_UP</t>
  </si>
  <si>
    <t>951;3676;6688;4245;3394;695;3662;54899;255231;259307;3112;6402;3109;2213;4261;1235;4208;10148;10235;80821;7462;59345;4644</t>
  </si>
  <si>
    <t>CD37;ITGA4;SPI1;MGAT1;IRF8;BTK;IRF4;PXK;MCOLN2;IL4I1;HLA-DOB;SELL;HLA-DMB;FCGR2B;CIITA;CCR6;MEF2C;EBI3;RASGRP2;DDHD1;LAT2;GNB4;MYO5A</t>
  </si>
  <si>
    <t>http://www.broadinstitute.org/gsea/msigdb/cards/GSE32164_RESTING_DIFFERENTIATED_VS_CMYC_INHIBITED_MACROPHAGE_UP.html</t>
  </si>
  <si>
    <t>GSE32255_UNSTIM_VS_4H_LPS_STIM_DC_UP</t>
  </si>
  <si>
    <t>4542;951;5734;6504;399;117289;23048;64092;27128;8832;9120;10154;1435;3002;3936;3737;9938;2833;5027;83937;64098;4644</t>
  </si>
  <si>
    <t>MYO1F;CD37;PTGER4;SLAMF1;RHOH;TAGAP;FNBP1;SAMSN1;CYTH4;CD84;SLC16A6;PLXNC1;CSF1;GZMB;LCP1;KCNA2;ARHGAP25;CXCR3;P2RX7;RASSF4;PARVG;MYO5A</t>
  </si>
  <si>
    <t>http://www.broadinstitute.org/gsea/msigdb/cards/GSE32255_UNSTIM_VS_4H_LPS_STIM_DC_UP.html</t>
  </si>
  <si>
    <t>GSE37533_UNTREATED_VS_PIOGLIZATONE_TREATED_CD4_TCELL_PPARG1_AND_FOXP3_TRASDUCED_UP</t>
  </si>
  <si>
    <t>10261;2268;6351;3560;3561;941;56833;8564;3553;2811;3684;4688;241;2358;5724;6507;2833;4973;9363;10148;597;79630;50515</t>
  </si>
  <si>
    <t>IGSF6;FGR;CCL4;IL2RB;IL2RG;CD80;SLAMF8;KMO;IL1B;GP1BA;ITGAM;NCF2;ALOX5AP;FPR2;PTAFR;SLC1A3;CXCR3;OLR1;RAB33A;EBI3;BCL2A1;C1orf54;CHST11</t>
  </si>
  <si>
    <t>http://www.broadinstitute.org/gsea/msigdb/cards/GSE37533_UNTREATED_VS_PIOGLIZATONE_TREATED_CD4_TCELL_PPARG1_AND_FOXP3_TRASDUCED_UP.html</t>
  </si>
  <si>
    <t>GSE38681_WT_VS_LYL1_KO_LYMPHOID_PRIMED_MULTIPOTENT_PROGENITOR_DN</t>
  </si>
  <si>
    <t>7456;3458;3559;3627;3659;3001;6772;1234;6890;3587;3662;8477;115361;81030;9034;3002;356;8809;100506736;151556;55281;29126;25939</t>
  </si>
  <si>
    <t>WIPF1;IFNG;IL2RA;CXCL10;IRF1;GZMA;STAT1;CCR5;TAP1;IL10RA;IRF4;GPR65;GBP4;ZBP1;CCRL2;GZMB;FASLG;IL18R1;SLFN12L;GPR155;TMEM140;CD274;SAMHD1</t>
  </si>
  <si>
    <t>http://www.broadinstitute.org/gsea/msigdb/cards/GSE38681_WT_VS_LYL1_KO_LYMPHOID_PRIMED_MULTIPOTENT_PROGENITOR_DN.html</t>
  </si>
  <si>
    <t>GSE20727_ROS_INH_VS_ROS_INH_AND_DNFB_ALLERGEN_TREATED_DC_UP</t>
  </si>
  <si>
    <t>11309;3575;963;3101;6504;3903;10288;55016;114836;51338;50615;51393;4094;2212;2358;6546;3718;54331;10672;79168;118788;55803;55691</t>
  </si>
  <si>
    <t>SLCO2B1;IL7R;CD53;HK3;SLAMF1;LAIR1;LILRB2;MARCH1;SLAMF6;MS4A4A;IL21R;TRPV2;MAF;FCGR2A;FPR2;SLC8A1;JAK3;GNG2;GNA13;LILRA6;PIK3AP1;ADAP2;FRMD4A</t>
  </si>
  <si>
    <t>http://www.broadinstitute.org/gsea/msigdb/cards/GSE20727_ROS_INH_VS_ROS_INH_AND_DNFB_ALLERGEN_TREATED_DC_UP.html</t>
  </si>
  <si>
    <t>GSE28737_WT_VS_BCL6_KO_FOLLICULAR_BCELL_DN</t>
  </si>
  <si>
    <t>9535;920;5294;9744;170371;3903;124460;57580;53829;64333;51744;9056;50856;27299;10154;8530;921;6776;9938;356;7941;118788;151556</t>
  </si>
  <si>
    <t>GMFG;CD4;PIK3CG;ACAP1;TMEM273;LAIR1;SNX20;PREX1;P2RY13;ARHGAP9;CD244;SLC7A7;CLEC4A;ADAMDEC1;PLXNC1;CST7;CD5;STAT5A;ARHGAP25;FASLG;PLA2G7;PIK3AP1;GPR155</t>
  </si>
  <si>
    <t>http://www.broadinstitute.org/gsea/msigdb/cards/GSE28737_WT_VS_BCL6_KO_FOLLICULAR_BCELL_DN.html</t>
  </si>
  <si>
    <t>GSE46242_CTRL_VS_EGR2_DELETED_ANERGIC_TH1_CD4_TCELL_DN</t>
  </si>
  <si>
    <t>4542;9595;1536;3659;6351;7453;1236;2322;120939;79930;117289;146722;115361;30009;27036;29909;8530;3553;3109;91010;51676;83937;29126</t>
  </si>
  <si>
    <t>MYO1F;CYTIP;CYBB;IRF1;CCL4;WARS;CCR7;FLT3;TMEM52B;DOK3;TAGAP;CD300LF;GBP4;TBX21;SIGLEC7;GPR171;CST7;IL1B;HLA-DMB;FMNL3;ASB2;RASSF4;CD274</t>
  </si>
  <si>
    <t>http://www.broadinstitute.org/gsea/msigdb/cards/GSE46242_CTRL_VS_EGR2_DELETED_ANERGIC_TH1_CD4_TCELL_DN.html</t>
  </si>
  <si>
    <t>GSE43863_DAY6_EFF_VS_DAY150_MEM_TH1_CD4_TCELL_DN</t>
  </si>
  <si>
    <t>3559;3627;3055;653361;51056;1236;6504;257106;115361;64231;55303;30009;10154;4049;596;6402;3902;3586;3290;10148;57589;90634;80709</t>
  </si>
  <si>
    <t>IL2RA;CXCL10;HCK;NCF1;LAP3;CCR7;SLAMF1;ARHGAP30;GBP4;MS4A6A;GIMAP4;TBX21;PLXNC1;LTA;BCL2;SELL;LAG3;IL10;HSD11B1;EBI3;RIC1;N4BP2L1;AKNA</t>
  </si>
  <si>
    <t>http://www.broadinstitute.org/gsea/msigdb/cards/GSE43863_DAY6_EFF_VS_DAY150_MEM_TH1_CD4_TCELL_DN.html</t>
  </si>
  <si>
    <t>GSE46606_IRF4HIGH_VS_WT_CD40L_IL2_IL5_DAY3_STIMULATED_BCELL_DN</t>
  </si>
  <si>
    <t>1536;3055;313;2207;3561;6772;3101;6890;8514;124460;80380;50615;29992;27036;8530;3122;3684;54;2358;2213;6891;147138;79630</t>
  </si>
  <si>
    <t>CYBB;HCK;AOAH;FCER1G;IL2RG;STAT1;HK3;TAP1;KCNAB2;SNX20;PDCD1LG2;IL21R;PILRA;SIGLEC7;CST7;HLA-DRA;ITGAM;ACP5;FPR2;FCGR2B;TAP2;TMC8;C1orf54</t>
  </si>
  <si>
    <t>http://www.broadinstitute.org/gsea/msigdb/cards/GSE46606_IRF4HIGH_VS_WT_CD40L_IL2_IL5_DAY3_STIMULATED_BCELL_DN.html</t>
  </si>
  <si>
    <t>GSE32901_NAIVE_VS_TH1_CD4_TCELL_DN</t>
  </si>
  <si>
    <t>9214;9450;972;1536;5341;6351;941;3394;6039;4064;50615;64092;10437;2213;4208;4033;146850;57705;115727;79630;57823</t>
  </si>
  <si>
    <t>FCMR;LY86;CD74;CYBB;PLEK;CCL4;CD80;IRF8;RNASE6;CD180;IL21R;SAMSN1;IFI30;FCGR2B;MEF2C;LRMP;PIK3R6;WDFY4;RASGRP4;C1orf54;SLAMF7</t>
  </si>
  <si>
    <t>http://www.broadinstitute.org/gsea/msigdb/cards/GSE32901_NAIVE_VS_TH1_CD4_TCELL_DN.html</t>
  </si>
  <si>
    <t>GSE6259_FLT3L_INDUCED_33D1_POS_DC_VS_CD8_TCELL_DN</t>
  </si>
  <si>
    <t>9402;972;3687;971;221188;80380;29992;27299;8530;10437;54;3059;3902;7941;80709;120425;23312;64780;79630;1522</t>
  </si>
  <si>
    <t>GRAP2;CD74;ITGAX;CD72;ADGRG5;PDCD1LG2;PILRA;ADAMDEC1;CST7;IFI30;ACP5;HCLS1;LAG3;PLA2G7;AKNA;JAML;DMXL2;MICAL1;C1orf54;CTSZ</t>
  </si>
  <si>
    <t>http://www.broadinstitute.org/gsea/msigdb/cards/GSE6259_FLT3L_INDUCED_33D1_POS_DC_VS_CD8_TCELL_DN.html</t>
  </si>
  <si>
    <t>GSE40274_CTRL_VS_LEF1_TRANSDUCED_ACTIVATED_CD4_TCELL_UP</t>
  </si>
  <si>
    <t>9839;925;7805;10875;139818;92241;54899;81704;64333;80896;6793;3059;4688;8905;1601;4818;90634;25780;202309;161145;55691</t>
  </si>
  <si>
    <t>ZEB2;CD8A;LAPTM5;FGL2;DOCK11;RCSD1;PXK;DOCK8;ARHGAP9;NPL;STK10;HCLS1;NCF2;AP1S2;DAB2;NKG7;N4BP2L1;RASGRP3;GAPT;TMEM229B;FRMD4A</t>
  </si>
  <si>
    <t>http://www.broadinstitute.org/gsea/msigdb/cards/GSE40274_CTRL_VS_LEF1_TRANSDUCED_ACTIVATED_CD4_TCELL_UP.html</t>
  </si>
  <si>
    <t>GSE21063_CTRL_VS_ANTI_IGM_STIM_BCELL_8H_UP</t>
  </si>
  <si>
    <t>9595;923;5734;3662;497189;151888;146722;84636;81030;64092;11314;8564;921;3274;8905;1601;441168;10184;5027;29126</t>
  </si>
  <si>
    <t>CYTIP;CD6;PTGER4;IRF4;TIFAB;BTLA;CD300LF;GPR174;ZBP1;SAMSN1;CD300A;KMO;CD5;HRH2;AP1S2;DAB2;CALHM6;LHFPL2;P2RX7;CD274</t>
  </si>
  <si>
    <t>http://www.broadinstitute.org/gsea/msigdb/cards/GSE21063_CTRL_VS_ANTI_IGM_STIM_BCELL_8H_UP.html</t>
  </si>
  <si>
    <t>GSE6259_33D1_POS_VS_DEC205_POS_FLT3L_INDUCED_SPLENIC_DC_UP</t>
  </si>
  <si>
    <t>972;6351;6352;945;7133;51296;2672;1240;51284;3717;3553;5552;2357;2213;4973;203100;7185;146850;84230;6614;55013</t>
  </si>
  <si>
    <t>CD74;CCL4;CCL5;CD33;TNFRSF1B;SLC15A3;GFI1;CMKLR1;TLR7;JAK2;IL1B;SRGN;FPR1;FCGR2B;OLR1;HTRA4;TRAF1;PIK3R6;LRRC8C;SIGLEC1;MCUB</t>
  </si>
  <si>
    <t>http://www.broadinstitute.org/gsea/msigdb/cards/GSE6259_33D1_POS_VS_DEC205_POS_FLT3L_INDUCED_SPLENIC_DC_UP.html</t>
  </si>
  <si>
    <t>GSE27241_WT_CTRL_VS_DIGOXIN_TREATED_RORGT_KO_CD4_TCELL_IN_TH17_POLARIZING_CONDITIONS_UP</t>
  </si>
  <si>
    <t>4542;9404;914;923;5294;3394;151888;152789;2848;8564;921;3684;6402;241;8905;6503;8809;151556;91010;5027;283316</t>
  </si>
  <si>
    <t>MYO1F;LPXN;CD2;CD6;PIK3CG;IRF8;BTLA;JAKMIP1;GPR25;KMO;CD5;ITGAM;SELL;ALOX5AP;AP1S2;SLA;IL18R1;GPR155;FMNL3;P2RX7;CD163L1</t>
  </si>
  <si>
    <t>http://www.broadinstitute.org/gsea/msigdb/cards/GSE27241_WT_CTRL_VS_DIGOXIN_TREATED_RORGT_KO_CD4_TCELL_IN_TH17_POLARIZING_CONDITIONS_UP.html</t>
  </si>
  <si>
    <t>GSE4984_LPS_VS_VEHICLE_CTRL_TREATED_DC_DN</t>
  </si>
  <si>
    <t>10663;313;959;3594;1233;1234;64926;139716;114548;26051;51225;4094;1102;3115;921;3113;241;3604;6503;57514;50515;4644</t>
  </si>
  <si>
    <t>CXCR6;AOAH;CD40LG;IL12RB1;CCR4;CCR5;RASAL3;GAB3;NLRP3;PPP1R16B;ABI3;MAF;RCBTB2;HLA-DPB1;CD5;HLA-DPA1;ALOX5AP;TNFRSF9;SLA;ARHGAP31;CHST11;MYO5A</t>
  </si>
  <si>
    <t>http://www.broadinstitute.org/gsea/msigdb/cards/GSE4984_LPS_VS_VEHICLE_CTRL_TREATED_DC_DN.html</t>
  </si>
  <si>
    <t>GSE5542_UNTREATED_VS_IFNA_TREATED_EPITHELIAL_CELLS_6H_UP</t>
  </si>
  <si>
    <t>4542;9839;3560;6504;11262;3662;201633;149628;353345;84868;115361;30009;10019;9881;8530;8320;526;2833;3003;4208;3824;50515</t>
  </si>
  <si>
    <t>MYO1F;ZEB2;IL2RB;SLAMF1;SP140;IRF4;TIGIT;PYHIN1;GPR141;HAVCR2;GBP4;TBX21;SH2B3;TRANK1;CST7;EOMES;ATP6V1B2;CXCR3;GZMK;MEF2C;KLRD1;CHST11</t>
  </si>
  <si>
    <t>http://www.broadinstitute.org/gsea/msigdb/cards/GSE5542_UNTREATED_VS_IFNA_TREATED_EPITHELIAL_CELLS_6H_UP.html</t>
  </si>
  <si>
    <t>GSE1740_MCSF_VS_MCSF_AND_IFNG_DAY2_DERIVED_MACROPHAGE_UP</t>
  </si>
  <si>
    <t>916;3659;7453;2633;6772;3594;6890;197358;84166;115362;115361;197135;3122;3115;3112;3109;6891;27314;3123;441168;161145;155038</t>
  </si>
  <si>
    <t>CD3E;IRF1;WARS;GBP1;STAT1;IL12RB1;TAP1;NLRC3;NLRC5;GBP5;GBP4;PATL2;HLA-DRA;HLA-DPB1;HLA-DOB;HLA-DMB;TAP2;RAB30;HLA-DRB1;CALHM6;TMEM229B;GIMAP8</t>
  </si>
  <si>
    <t>http://www.broadinstitute.org/gsea/msigdb/cards/GSE1740_MCSF_VS_MCSF_AND_IFNG_DAY2_DERIVED_MACROPHAGE_UP.html</t>
  </si>
  <si>
    <t>GSE5542_UNTREATED_VS_IFNG_TREATED_EPITHELIAL_CELLS_6H_DN</t>
  </si>
  <si>
    <t>4542;54440;6352;313;5294;1234;3820;3937;64926;139716;26051;51225;4094;5552;3936;241;4818;3127;100506736;118788;50515;4644</t>
  </si>
  <si>
    <t>MYO1F;SASH3;CCL5;AOAH;PIK3CG;CCR5;KLRB1;LCP2;RASAL3;GAB3;PPP1R16B;ABI3;MAF;SRGN;LCP1;ALOX5AP;NKG7;HLA-DRB5;SLFN12L;PIK3AP1;CHST11;MYO5A</t>
  </si>
  <si>
    <t>http://www.broadinstitute.org/gsea/msigdb/cards/GSE5542_UNTREATED_VS_IFNG_TREATED_EPITHELIAL_CELLS_6H_DN.html</t>
  </si>
  <si>
    <t>GSE43863_NAIVE_VS_MEMORY_TH1_CD4_TCELL_D150_LCMV_UP</t>
  </si>
  <si>
    <t>11309;3627;972;3659;7453;2633;6890;3937;221472;84166;55340;115362;51744;10673;6373;4094;10437;3109;4261;57705;30835;29126</t>
  </si>
  <si>
    <t>SLCO2B1;CXCL10;CD74;IRF1;WARS;GBP1;TAP1;LCP2;FGD2;NLRC5;GIMAP5;GBP5;CD244;TNFSF13B;CXCL11;MAF;IFI30;HLA-DMB;CIITA;WDFY4;CD209;CD274</t>
  </si>
  <si>
    <t>http://www.broadinstitute.org/gsea/msigdb/cards/GSE43863_NAIVE_VS_MEMORY_TH1_CD4_TCELL_D150_LCMV_UP.html</t>
  </si>
  <si>
    <t>GSE1112_HY_CD8AB_VS_HY_CD8AA_THYMOCYTE_RTOC_CULTURE_UP</t>
  </si>
  <si>
    <t>972;3659;7453;2633;6772;3594;84166;115362;115361;56833;3122;3117;3115;3113;6891;597;3123;441168;155038;79895;9754;7462</t>
  </si>
  <si>
    <t>CD74;IRF1;WARS;GBP1;STAT1;IL12RB1;NLRC5;GBP5;GBP4;SLAMF8;HLA-DRA;HLA-DQA1;HLA-DPB1;HLA-DPA1;TAP2;BCL2A1;HLA-DRB1;CALHM6;GIMAP8;ATP8B4;STARD8;LAT2</t>
  </si>
  <si>
    <t>http://www.broadinstitute.org/gsea/msigdb/cards/GSE1112_HY_CD8AB_VS_HY_CD8AA_THYMOCYTE_RTOC_CULTURE_UP.html</t>
  </si>
  <si>
    <t>GSE26030_TH1_VS_TH17_RESTIMULATED_DAY15_POST_POLARIZATION_UP</t>
  </si>
  <si>
    <t>7805;6404;170575;114836;55340;55303;51284;51225;79974;10154;240;6402;2357;1414;284759;202309;155038;168537;10507;5027;56606;26157</t>
  </si>
  <si>
    <t>LAPTM5;SELPLG;GIMAP1;SLAMF6;GIMAP5;GIMAP4;TLR7;ABI3;CPED1;PLXNC1;ALOX5;SELL;FPR1;CRYBB1;SIRPB2;GAPT;GIMAP8;GIMAP7;SEMA4D;P2RX7;SLC2A9;GIMAP2</t>
  </si>
  <si>
    <t>http://www.broadinstitute.org/gsea/msigdb/cards/GSE26030_TH1_VS_TH17_RESTIMULATED_DAY15_POST_POLARIZATION_UP.html</t>
  </si>
  <si>
    <t>GSE11057_PBMC_VS_MEM_CD4_TCELL_DN</t>
  </si>
  <si>
    <t>4068;915;3932;914;916;940;959;923;944;10225;53347;3702;50852;4063;55423;8832;29851;4094;921;9806;145864;51466</t>
  </si>
  <si>
    <t>SH2D1A;CD3D;LCK;CD2;CD3E;CD28;CD40LG;CD6;TNFSF8;CD96;UBASH3A;ITK;TRAT1;LY9;SIRPG;CD84;ICOS;MAF;CD5;SPOCK2;HAPLN3;EVL</t>
  </si>
  <si>
    <t>http://www.broadinstitute.org/gsea/msigdb/cards/GSE11057_PBMC_VS_MEM_CD4_TCELL_DN.html</t>
  </si>
  <si>
    <t>GSE12366_NAIVE_VS_MEMORY_BCELL_DN</t>
  </si>
  <si>
    <t>914;5341;3560;941;2014;89857;58475;64092;2857;9120;4094;3956;5552;3684;241;5724;1230;27163;7185;146850;64805;51063</t>
  </si>
  <si>
    <t>CD2;PLEK;IL2RB;CD80;EMP3;KLHL6;MS4A7;SAMSN1;GPR34;SLC16A6;MAF;LGALS1;SRGN;ITGAM;ALOX5AP;PTAFR;CCR1;NAAA;TRAF1;PIK3R6;P2RY12;CALHM2</t>
  </si>
  <si>
    <t>http://www.broadinstitute.org/gsea/msigdb/cards/GSE12366_NAIVE_VS_MEMORY_BCELL_DN.html</t>
  </si>
  <si>
    <t>GSE13485_DAY1_VS_DAY7_YF17D_VACCINE_PBMC_DN</t>
  </si>
  <si>
    <t>1318;3627;7453;51056;2633;6772;1234;6890;719;84868;51338;115361;81030;55589;51284;7099;8564;3162;1230;441168;118788;6614</t>
  </si>
  <si>
    <t>SLC31A2;CXCL10;WARS;LAP3;GBP1;STAT1;CCR5;TAP1;C3AR1;HAVCR2;MS4A4A;GBP4;ZBP1;BMP2K;TLR7;TLR4;KMO;HMOX1;CCR1;CALHM6;PIK3AP1;SIGLEC1</t>
  </si>
  <si>
    <t>http://www.broadinstitute.org/gsea/msigdb/cards/GSE13485_DAY1_VS_DAY7_YF17D_VACCINE_PBMC_DN.html</t>
  </si>
  <si>
    <t>7456;3627;2214;2124;2014;10320;719;79930;80301;54209;50856;9120;526;1601;3123;131450;79630;4327;7462;54861;23166;11217</t>
  </si>
  <si>
    <t>WIPF1;CXCL10;FCGR3A;EVI2B;EMP3;IKZF1;C3AR1;DOK3;PLEKHO2;TREM2;CLEC4A;SLC16A6;ATP6V1B2;DAB2;HLA-DRB1;CD200R1;C1orf54;MMP19;LAT2;SNRK;STAB1;AKAP2</t>
  </si>
  <si>
    <t>http://www.broadinstitute.org/gsea/msigdb/cards/GSE17721_LPS_VS_POLYIC_24H_BMDC_DN.html</t>
  </si>
  <si>
    <t>GSE18791_CTRL_VS_NEWCASTLE_VIRUS_DC_8H_DN</t>
  </si>
  <si>
    <t>1318;3627;3659;7453;2633;941;6890;4283;11262;84166;115362;115361;116986;81030;6373;2829;116071;10507;6614;55281;29126;51513</t>
  </si>
  <si>
    <t>SLC31A2;CXCL10;IRF1;WARS;GBP1;CD80;TAP1;CXCL9;SP140;NLRC5;GBP5;GBP4;AGAP2;ZBP1;CXCL11;XCR1;BATF2;SEMA4D;SIGLEC1;TMEM140;CD274;ETV7</t>
  </si>
  <si>
    <t>http://www.broadinstitute.org/gsea/msigdb/cards/GSE18791_CTRL_VS_NEWCASTLE_VIRUS_DC_8H_DN.html</t>
  </si>
  <si>
    <t>GSE18791_CTRL_VS_NEWCASTLE_VIRUS_DC_10H_DN</t>
  </si>
  <si>
    <t>1318;8676;3659;7453;941;3394;6890;4283;11262;84166;115362;115361;116986;81030;596;7185;10672;116071;55281;55013;29126;51513</t>
  </si>
  <si>
    <t>SLC31A2;STX11;IRF1;WARS;CD80;IRF8;TAP1;CXCL9;SP140;NLRC5;GBP5;GBP4;AGAP2;ZBP1;BCL2;TRAF1;GNA13;BATF2;TMEM140;MCUB;CD274;ETV7</t>
  </si>
  <si>
    <t>http://www.broadinstitute.org/gsea/msigdb/cards/GSE18791_CTRL_VS_NEWCASTLE_VIRUS_DC_10H_DN.html</t>
  </si>
  <si>
    <t>GSE22886_NAIVE_BCELL_VS_BLOOD_PLASMA_CELL_UP</t>
  </si>
  <si>
    <t>9214;9450;971;3394;3820;7805;8832;50856;8742;3122;3115;3112;6402;3113;3109;4050;969;11009;6503;3123;54518;64581</t>
  </si>
  <si>
    <t>FCMR;LY86;CD72;IRF8;KLRB1;LAPTM5;CD84;CLEC4A;TNFSF12;HLA-DRA;HLA-DPB1;HLA-DOB;SELL;HLA-DPA1;HLA-DMB;LTB;CD69;IL24;SLA;HLA-DRB1;APBB1IP;CLEC7A</t>
  </si>
  <si>
    <t>http://www.broadinstitute.org/gsea/msigdb/cards/GSE22886_NAIVE_BCELL_VS_BLOOD_PLASMA_CELL_UP.html</t>
  </si>
  <si>
    <t>9214;9450;5579;971;11151;3394;7805;3635;50856;3122;3115;6402;3113;526;3108;3109;1043;4050;6503;3123;55013;51466</t>
  </si>
  <si>
    <t>FCMR;LY86;PRKCB;CD72;CORO1A;IRF8;LAPTM5;INPP5D;CLEC4A;HLA-DRA;HLA-DPB1;SELL;HLA-DPA1;ATP6V1B2;HLA-DMA;HLA-DMB;CD52;LTB;SLA;HLA-DRB1;MCUB;EVL</t>
  </si>
  <si>
    <t>http://www.broadinstitute.org/gsea/msigdb/cards/GSE22886_NAIVE_BCELL_VS_BM_PLASMA_CELL_UP.html</t>
  </si>
  <si>
    <t>4542;2533;80833;5788;3676;7133;2123;3587;3603;114548;51744;80342;11024;6793;2212;6402;943;7454;10507;7462;54504;29125</t>
  </si>
  <si>
    <t>MYO1F;FYB1;APOL3;PTPRC;ITGA4;TNFRSF1B;EVI2A;IL10RA;IL16;NLRP3;CD244;TRAF3IP3;LILRA1;STK10;FCGR2A;SELL;TNFRSF8;WAS;SEMA4D;LAT2;CPVL;C11orf21</t>
  </si>
  <si>
    <t>GSE22886_NAIVE_CD8_TCELL_VS_DC_DN</t>
  </si>
  <si>
    <t>7940;1318;972;51056;2207;4332;91752;6039;53346;9120;1102;3117;1508;10437;526;3108;3109;1230;1601;3123;64581;64747</t>
  </si>
  <si>
    <t>LST1;SLC31A2;CD74;LAP3;FCER1G;MNDA;ZNF804A;RNASE6;TM6SF1;SLC16A6;RCBTB2;HLA-DQA1;CTSB;IFI30;ATP6V1B2;HLA-DMA;HLA-DMB;CCR1;DAB2;HLA-DRB1;CLEC7A;MFSD1</t>
  </si>
  <si>
    <t>http://www.broadinstitute.org/gsea/msigdb/cards/GSE22886_NAIVE_CD8_TCELL_VS_DC_DN.html</t>
  </si>
  <si>
    <t>GSE22886_NAIVE_CD4_TCELL_VS_DC_DN</t>
  </si>
  <si>
    <t>1318;972;3687;51056;4332;10875;91752;6039;53346;1102;3122;1508;10437;54;4688;526;3108;1230;3988;3123;64581;64747</t>
  </si>
  <si>
    <t>SLC31A2;CD74;ITGAX;LAP3;MNDA;FGL2;ZNF804A;RNASE6;TM6SF1;RCBTB2;HLA-DRA;CTSB;IFI30;ACP5;NCF2;ATP6V1B2;HLA-DMA;CCR1;LIPA;HLA-DRB1;CLEC7A;MFSD1</t>
  </si>
  <si>
    <t>http://www.broadinstitute.org/gsea/msigdb/cards/GSE22886_NAIVE_CD4_TCELL_VS_DC_DN.html</t>
  </si>
  <si>
    <t>GSE2706_UNSTIM_VS_2H_R848_DC_DN</t>
  </si>
  <si>
    <t>8676;3627;5341;6351;6352;2633;5734;3394;6890;3587;50852;255231;10288;23533;353514;9034;4049;3553;7185;5027;57823;9033</t>
  </si>
  <si>
    <t>STX11;CXCL10;PLEK;CCL4;CCL5;GBP1;PTGER4;IRF8;TAP1;IL10RA;TRAT1;MCOLN2;LILRB2;PIK3R5;LILRA5;CCRL2;LTA;IL1B;TRAF1;P2RX7;SLAMF7;PKD2L1</t>
  </si>
  <si>
    <t>http://www.broadinstitute.org/gsea/msigdb/cards/GSE2706_UNSTIM_VS_2H_R848_DC_DN.html</t>
  </si>
  <si>
    <t>GSE29617_DAY3_VS_DAY7_TIV_FLU_VACCINE_PBMC_2008_UP</t>
  </si>
  <si>
    <t>7940;1318;8676;3627;1436;5341;2633;199;391;83706;128346;58475;64407;11314;10673;27163;3824;118788;3805;56670;30817;25939</t>
  </si>
  <si>
    <t>LST1;SLC31A2;STX11;CXCL10;CSF1R;PLEK;GBP1;AIF1;RHOG;FERMT3;C1orf162;MS4A7;RGS18;CD300A;TNFSF13B;NAAA;KLRD1;PIK3AP1;KIR2DL4;SUCNR1;ADGRE2;SAMHD1</t>
  </si>
  <si>
    <t>http://www.broadinstitute.org/gsea/msigdb/cards/GSE29617_DAY3_VS_DAY7_TIV_FLU_VACCINE_PBMC_2008_UP.html</t>
  </si>
  <si>
    <t>27334;9214;951;971;1236;11262;11184;26051;3111;596;3112;2113;9938;1235;4050;969;11009;27314;10235;25780;80183;51466</t>
  </si>
  <si>
    <t>P2RY10;FCMR;CD37;CD72;CCR7;SP140;MAP4K1;PPP1R16B;HLA-DOA;BCL2;HLA-DOB;ETS1;ARHGAP25;CCR6;LTB;CD69;IL24;RAB30;RASGRP2;RASGRP3;RUBCNL;EVL</t>
  </si>
  <si>
    <t>http://www.broadinstitute.org/gsea/msigdb/cards/GSE29618_BCELL_VS_MONOCYTE_UP.html</t>
  </si>
  <si>
    <t>GSE29618_BCELL_VS_PDC_DAY7_FLU_VACCINE_UP</t>
  </si>
  <si>
    <t>27334;9214;9450;951;1378;971;11262;81030;240;9103;1043;2213;4261;1235;969;11009;597;25780;9806;7462;51466;22806</t>
  </si>
  <si>
    <t>P2RY10;FCMR;LY86;CD37;CR1;CD72;SP140;ZBP1;ALOX5;FCGR2A;CD52;FCGR2B;CIITA;CCR6;CD69;IL24;BCL2A1;RASGRP3;SPOCK2;LAT2;EVL;IKZF3</t>
  </si>
  <si>
    <t>http://www.broadinstitute.org/gsea/msigdb/cards/GSE29618_BCELL_VS_PDC_DAY7_FLU_VACCINE_UP.html</t>
  </si>
  <si>
    <t>GSE30962_ACUTE_VS_CHRONIC_LCMV_PRIMARY_INF_CD8_TCELL_UP</t>
  </si>
  <si>
    <t>4242;9839;3689;3932;3001;10225;6404;286336;79626;64926;139716;23533;30009;366;2213;729230;9938;3004;4050;54518;64919;51466</t>
  </si>
  <si>
    <t>MFNG;ZEB2;ITGB2;LCK;GZMA;CD96;SELPLG;FAM78A;TNFAIP8L2;RASAL3;GAB3;PIK3R5;TBX21;AQP9;FCGR2B;CCR2;ARHGAP25;GZMM;LTB;APBB1IP;BCL11B;EVL</t>
  </si>
  <si>
    <t>http://www.broadinstitute.org/gsea/msigdb/cards/GSE30962_ACUTE_VS_CHRONIC_LCMV_PRIMARY_INF_CD8_TCELL_UP.html</t>
  </si>
  <si>
    <t>GSE339_EX_VIVO_VS_IN_CULTURE_CD4POS_DC_UP</t>
  </si>
  <si>
    <t>4242;9450;5788;3055;3560;923;2322;10871;54899;1794;6793;348;921;3111;4066;3718;4050;161145;80821;4215;54861;25939</t>
  </si>
  <si>
    <t>MFNG;LY86;PTPRC;HCK;IL2RB;CD6;FLT3;CD300C;PXK;DOCK2;STK10;APOE;CD5;HLA-DOA;LYL1;JAK3;LTB;TMEM229B;DDHD1;MAP3K3;SNRK;SAMHD1</t>
  </si>
  <si>
    <t>http://www.broadinstitute.org/gsea/msigdb/cards/GSE339_EX_VIVO_VS_IN_CULTURE_CD4POS_DC_UP.html</t>
  </si>
  <si>
    <t>GSE360_T_GONDII_VS_M_TUBERCULOSIS_DC_DN</t>
  </si>
  <si>
    <t>713;929;2214;2209;6351;3575;923;2207;2633;4332;3071;6890;4283;719;9332;10288;8742;240;241;3988;597;10184</t>
  </si>
  <si>
    <t>C1QB;CD14;FCGR3A;FCGR1A;CCL4;IL7R;CD6;FCER1G;GBP1;MNDA;NCKAP1L;TAP1;CXCL9;C3AR1;CD163;LILRB2;TNFSF12;ALOX5;ALOX5AP;LIPA;BCL2A1;LHFPL2</t>
  </si>
  <si>
    <t>http://www.broadinstitute.org/gsea/msigdb/cards/GSE360_T_GONDII_VS_M_TUBERCULOSIS_DC_DN.html</t>
  </si>
  <si>
    <t>GSE360_T_GONDII_VS_B_MALAYI_HIGH_DOSE_MAC_DN</t>
  </si>
  <si>
    <t>4542;9450;920;3659;6352;945;971;313;199;6890;8514;4689;1794;11326;2219;2162;3115;5724;3109;25900;11027;23166</t>
  </si>
  <si>
    <t>MYO1F;LY86;CD4;IRF1;CCL5;CD33;CD72;AOAH;AIF1;TAP1;KCNAB2;NCF4;DOCK2;VSIG4;FCN1;F13A1;HLA-DPB1;PTAFR;HLA-DMB;IFFO1;LILRA2;STAB1</t>
  </si>
  <si>
    <t>http://www.broadinstitute.org/gsea/msigdb/cards/GSE360_T_GONDII_VS_B_MALAYI_HIGH_DOSE_MAC_DN.html</t>
  </si>
  <si>
    <t>GSE3982_NEUTROPHIL_VS_CENT_MEMORY_CD4_TCELL_UP</t>
  </si>
  <si>
    <t>9595;1536;3689;951;2123;2633;3101;391;695;10875;51296;8477;55589;27128;10154;526;140885;9815;7462;30817;8605;4644</t>
  </si>
  <si>
    <t>CYTIP;CYBB;ITGB2;CD37;EVI2A;GBP1;HK3;RHOG;BTK;FGL2;SLC15A3;GPR65;BMP2K;CYTH4;PLXNC1;ATP6V1B2;SIRPA;GIT2;LAT2;ADGRE2;PLA2G4C;MYO5A</t>
  </si>
  <si>
    <t>http://www.broadinstitute.org/gsea/msigdb/cards/GSE3982_NEUTROPHIL_VS_CENT_MEMORY_CD4_TCELL_UP.html</t>
  </si>
  <si>
    <t>GSE3982_NEUTROPHIL_VS_NKCELL_UP</t>
  </si>
  <si>
    <t>2533;1318;9595;2209;6688;6772;199;695;114548;53346;10154;11024;240;4066;526;728;2358;1230;6503;9815;30817;4644</t>
  </si>
  <si>
    <t>FYB1;SLC31A2;CYTIP;FCGR1A;SPI1;STAT1;AIF1;BTK;NLRP3;TM6SF1;PLXNC1;LILRA1;ALOX5;LYL1;ATP6V1B2;C5AR1;FPR2;CCR1;SLA;GIT2;ADGRE2;MYO5A</t>
  </si>
  <si>
    <t>http://www.broadinstitute.org/gsea/msigdb/cards/GSE3982_NEUTROPHIL_VS_NKCELL_UP.html</t>
  </si>
  <si>
    <t>GSE7852_TREG_VS_TCONV_LN_UP</t>
  </si>
  <si>
    <t>340152;3559;653361;7133;942;3594;1234;4354;3394;6504;10875;4689;3662;115361;64092;9034;8530;729230;1235;10148;50943;29126</t>
  </si>
  <si>
    <t>ZC3H12D;IL2RA;NCF1;TNFRSF1B;CD86;IL12RB1;CCR5;MPP1;IRF8;SLAMF1;FGL2;NCF4;IRF4;GBP4;SAMSN1;CCRL2;CST7;CCR2;CCR6;EBI3;FOXP3;CD274</t>
  </si>
  <si>
    <t>http://www.broadinstitute.org/gsea/msigdb/cards/GSE7852_TREG_VS_TCONV_LN_UP.html</t>
  </si>
  <si>
    <t>GSE369_SOCS3_KO_VS_WT_LIVER_POST_IL6_INJECTION_DN</t>
  </si>
  <si>
    <t>9214;9404;8676;972;5579;1236;10320;89857;6039;89790;115361;55589;51284;3117;4360;3109;4208;3123;79865;118788;151556;64805</t>
  </si>
  <si>
    <t>FCMR;LPXN;STX11;CD74;PRKCB;CCR7;IKZF1;KLHL6;RNASE6;SIGLEC10;GBP4;BMP2K;TLR7;HLA-DQA1;MRC1;HLA-DMB;MEF2C;HLA-DRB1;TREML2;PIK3AP1;GPR155;P2RY12</t>
  </si>
  <si>
    <t>http://www.broadinstitute.org/gsea/msigdb/cards/GSE369_SOCS3_KO_VS_WT_LIVER_POST_IL6_INJECTION_DN.html</t>
  </si>
  <si>
    <t>GSE557_CIITA_KO_VS_I_AB_KO_DC_UP</t>
  </si>
  <si>
    <t>9535;9450;653361;7133;2124;10875;219972;474344;374403;170575;115361;51284;27128;8832;10019;3111;5452;10437;4688;89846;100506736;91526</t>
  </si>
  <si>
    <t>GMFG;LY86;NCF1;TNFRSF1B;EVI2B;FGL2;MPEG1;GIMAP6;TBC1D10C;GIMAP1;GBP4;TLR7;CYTH4;CD84;SH2B3;HLA-DOA;POU2F2;IFI30;NCF2;FGD3;SLFN12L;ANKRD44</t>
  </si>
  <si>
    <t>http://www.broadinstitute.org/gsea/msigdb/cards/GSE557_CIITA_KO_VS_I_AB_KO_DC_UP.html</t>
  </si>
  <si>
    <t>GSE2770_UNTREATED_VS_TGFB_AND_IL4_TREATED_ACT_CD4_TCELL_48H_DN</t>
  </si>
  <si>
    <t>917;3560;963;3687;1439;3937;399;8477;11314;6793;1102;3122;240;241;3109;2213;4973;4050;969;4818;10184;81553</t>
  </si>
  <si>
    <t>CD3G;IL2RB;CD53;ITGAX;CSF2RB;LCP2;RHOH;GPR65;CD300A;STK10;RCBTB2;HLA-DRA;ALOX5;ALOX5AP;HLA-DMB;FCGR2B;OLR1;LTB;CD69;NKG7;LHFPL2;FAM49A</t>
  </si>
  <si>
    <t>http://www.broadinstitute.org/gsea/msigdb/cards/GSE2770_UNTREATED_VS_TGFB_AND_IL4_TREATED_ACT_CD4_TCELL_48H_DN.html</t>
  </si>
  <si>
    <t>GSE22601_DOUBLE_POSITIVE_VS_CD8_SINGLE_POSITIVE_THYMOCYTE_UP</t>
  </si>
  <si>
    <t>4242;9535;9595;4068;963;10225;3702;6504;1794;114836;81030;55303;596;926;6402;2999;3988;54331;3604;85464;375387;29126</t>
  </si>
  <si>
    <t>MFNG;GMFG;CYTIP;SH2D1A;CD53;CD96;ITK;SLAMF1;DOCK2;SLAMF6;ZBP1;GIMAP4;BCL2;CD8B;SELL;GZMH;LIPA;GNG2;TNFRSF9;SSH2;NRROS;CD274</t>
  </si>
  <si>
    <t>http://www.broadinstitute.org/gsea/msigdb/cards/GSE22601_DOUBLE_POSITIVE_VS_CD8_SINGLE_POSITIVE_THYMOCYTE_UP.html</t>
  </si>
  <si>
    <t>GSE8835_CD4_VS_CD8_TCELL_CLL_PATIENT_DN</t>
  </si>
  <si>
    <t>11309;945;170371;9332;64926;221188;89857;80896;29992;80342;10673;27299;1102;348;2212;4261;3988;7941;3123;245972;23312;23166</t>
  </si>
  <si>
    <t>SLCO2B1;CD33;TMEM273;CD163;RASAL3;ADGRG5;KLHL6;NPL;PILRA;TRAF3IP3;TNFSF13B;ADAMDEC1;RCBTB2;APOE;FCGR2A;CIITA;LIPA;PLA2G7;HLA-DRB1;ATP6V0D2;DMXL2;STAB1</t>
  </si>
  <si>
    <t>http://www.broadinstitute.org/gsea/msigdb/cards/GSE8835_CD4_VS_CD8_TCELL_CLL_PATIENT_DN.html</t>
  </si>
  <si>
    <t>GSE3039_B2_VS_B1_BCELL_UP</t>
  </si>
  <si>
    <t>9595;3055;6404;9332;170575;51311;55303;56833;9034;10537;6793;19;3111;10437;6546;4261;11010;54331;8809;10235;25780;57823</t>
  </si>
  <si>
    <t>CYTIP;HCK;SELPLG;CD163;GIMAP1;TLR8;GIMAP4;SLAMF8;CCRL2;UBD;STK10;ABCA1;HLA-DOA;IFI30;SLC8A1;CIITA;GLIPR1;GNG2;IL18R1;RASGRP2;RASGRP3;SLAMF7</t>
  </si>
  <si>
    <t>http://www.broadinstitute.org/gsea/msigdb/cards/GSE3039_B2_VS_B1_BCELL_UP.html</t>
  </si>
  <si>
    <t>GSE4590_LARGE_PRE_BCELL_VS_VPREB_POS_LARGE_PRE_BCELL_DN</t>
  </si>
  <si>
    <t>3689;914;940;7535;1233;10320;3662;151888;114836;4063;55303;3717;921;2113;3988;6503;85464;168537;5027;51466;22806</t>
  </si>
  <si>
    <t>ITGB2;CD2;CD28;ZAP70;CCR4;IKZF1;IRF4;BTLA;SLAMF6;LY9;GIMAP4;JAK2;CD5;ETS1;LIPA;SLA;SSH2;GIMAP7;P2RX7;EVL;IKZF3</t>
  </si>
  <si>
    <t>http://www.broadinstitute.org/gsea/msigdb/cards/GSE4590_LARGE_PRE_BCELL_VS_VPREB_POS_LARGE_PRE_BCELL_DN.html</t>
  </si>
  <si>
    <t>GSE9601_NFKB_INHIBITOR_VS_PI3K_INHIBITOR_TREATED_HCMV_INF_MONOCYTE_DN</t>
  </si>
  <si>
    <t>3458;3559;1536;929;3055;6351;6352;4283;10875;51296;81030;27033;730249;6373;5552;3002;3586;3274;2358;6776;3604;116071</t>
  </si>
  <si>
    <t>IFNG;IL2RA;CYBB;CD14;HCK;CCL4;CCL5;CXCL9;FGL2;SLC15A3;ZBP1;ZBTB32;ACOD1;CXCL11;SRGN;GZMB;IL10;HRH2;FPR2;STAT5A;TNFRSF9;BATF2</t>
  </si>
  <si>
    <t>http://www.broadinstitute.org/gsea/msigdb/cards/GSE9601_NFKB_INHIBITOR_VS_PI3K_INHIBITOR_TREATED_HCMV_INF_MONOCYTE_DN.html</t>
  </si>
  <si>
    <t>GSE6674_PL2_3_VS_ANTI_IGM_AND_CPG_STIM_BCELL_UP</t>
  </si>
  <si>
    <t>54440;712;3659;3594;7535;3937;64926;57580;3635;23048;53346;50615;51225;366;4094;10437;11010;2833;6503;5133;51676;64098</t>
  </si>
  <si>
    <t>SASH3;C1QA;IRF1;IL12RB1;ZAP70;LCP2;RASAL3;PREX1;INPP5D;FNBP1;TM6SF1;IL21R;ABI3;AQP9;MAF;IFI30;GLIPR1;CXCR3;SLA;PDCD1;ASB2;PARVG</t>
  </si>
  <si>
    <t>http://www.broadinstitute.org/gsea/msigdb/cards/GSE6674_PL2_3_VS_ANTI_IGM_AND_CPG_STIM_BCELL_UP.html</t>
  </si>
  <si>
    <t>GSE10240_CTRL_VS_IL22_STIM_PRIMARY_BRONCHIAL_EPITHELIAL_CELLS_UP</t>
  </si>
  <si>
    <t>2533;7305;945;3683;2322;6404;286336;139716;114548;51744;84174;55589;366;10154;6793;19;596;3112;4818;155038;10507;56606</t>
  </si>
  <si>
    <t>FYB1;TYROBP;CD33;ITGAL;FLT3;SELPLG;FAM78A;GAB3;NLRP3;CD244;SLA2;BMP2K;AQP9;PLXNC1;STK10;ABCA1;BCL2;HLA-DOB;NKG7;GIMAP8;SEMA4D;SLC2A9</t>
  </si>
  <si>
    <t>http://www.broadinstitute.org/gsea/msigdb/cards/GSE10240_CTRL_VS_IL22_STIM_PRIMARY_BRONCHIAL_EPITHELIAL_CELLS_UP.html</t>
  </si>
  <si>
    <t>GSE13522_WT_VS_IFNAR_KO_SKIN_UP</t>
  </si>
  <si>
    <t>7305;9535;1536;6352;5551;3687;2207;3702;219972;56253;3117;10437;3112;241;3290;356;27163;55911;3824;3123;57705;79895</t>
  </si>
  <si>
    <t>TYROBP;GMFG;CYBB;CCL5;PRF1;ITGAX;FCER1G;ITK;MPEG1;CRTAM;HLA-DQA1;IFI30;HLA-DOB;ALOX5AP;HSD11B1;FASLG;NAAA;APOBR;KLRD1;HLA-DRB1;WDFY4;ATP8B4</t>
  </si>
  <si>
    <t>http://www.broadinstitute.org/gsea/msigdb/cards/GSE13522_WT_VS_IFNAR_KO_SKIN_UP.html</t>
  </si>
  <si>
    <t>GSE15735_CTRL_VS_HDAC_INHIBITOR_TREATED_CD4_TCELL_2H_UP</t>
  </si>
  <si>
    <t>7305;5579;5341;2268;653361;4245;5294;221472;11184;26051;80231;64407;55589;10019;7099;4049;348;5452;91010;84329;64098;11217</t>
  </si>
  <si>
    <t>TYROBP;PRKCB;PLEK;FGR;NCF1;MGAT1;PIK3CG;FGD2;MAP4K1;PPP1R16B;CXorf21;RGS18;BMP2K;SH2B3;TLR4;LTA;APOE;POU2F2;FMNL3;HVCN1;PARVG;AKAP2</t>
  </si>
  <si>
    <t>http://www.broadinstitute.org/gsea/msigdb/cards/GSE15735_CTRL_VS_HDAC_INHIBITOR_TREATED_CD4_TCELL_2H_UP.html</t>
  </si>
  <si>
    <t>GSE18281_CORTICAL_VS_MEDULLARY_THYMOCYTE_UP</t>
  </si>
  <si>
    <t>10068;3627;972;929;3659;6352;7133;7453;6772;6890;695;219972;115361;259307;730249;9034;3717;1435;6891;10672;100506736;25939</t>
  </si>
  <si>
    <t>IL18BP;CXCL10;CD74;CD14;IRF1;CCL5;TNFRSF1B;WARS;STAT1;TAP1;BTK;MPEG1;GBP4;IL4I1;ACOD1;CCRL2;JAK2;CSF1;TAP2;GNA13;SLFN12L;SAMHD1</t>
  </si>
  <si>
    <t>http://www.broadinstitute.org/gsea/msigdb/cards/GSE18281_CORTICAL_VS_MEDULLARY_THYMOCYTE_UP.html</t>
  </si>
  <si>
    <t>GSE22229_RENAL_TRANSPLANT_IMMUNOSUPP_THERAPY_VS_HEALTHY_PBMC_UP</t>
  </si>
  <si>
    <t>4210;7305;9535;3055;3575;3695;313;51056;2207;53347;81704;51284;2212;4973;147138;161145;84541;115727;84329;64581;64919;83937</t>
  </si>
  <si>
    <t>MEFV;TYROBP;GMFG;HCK;IL7R;ITGB7;AOAH;LAP3;FCER1G;UBASH3A;DOCK8;TLR7;FCGR2A;OLR1;TMC8;TMEM229B;KBTBD8;RASGRP4;HVCN1;CLEC7A;BCL11B;RASSF4</t>
  </si>
  <si>
    <t>http://www.broadinstitute.org/gsea/msigdb/cards/GSE22229_RENAL_TRANSPLANT_IMMUNOSUPP_THERAPY_VS_HEALTHY_PBMC_UP.html</t>
  </si>
  <si>
    <t>GSE25088_IL4_VS_IL4_AND_ROSIGLITAZONE_STIM_STAT6_KO_MACROPHAGE_DAY10_DN</t>
  </si>
  <si>
    <t>9839;54440;2268;5551;4245;11262;3587;23533;51338;259307;29992;9056;3956;3112;10578;6776;6507;6891;10148;597;118788;116071</t>
  </si>
  <si>
    <t>ZEB2;SASH3;FGR;PRF1;MGAT1;SP140;IL10RA;PIK3R5;MS4A4A;IL4I1;PILRA;SLC7A7;LGALS1;HLA-DOB;GNLY;STAT5A;SLC1A3;TAP2;EBI3;BCL2A1;PIK3AP1;BATF2</t>
  </si>
  <si>
    <t>http://www.broadinstitute.org/gsea/msigdb/cards/GSE25088_IL4_VS_IL4_AND_ROSIGLITAZONE_STIM_STAT6_KO_MACROPHAGE_DAY10_DN.html</t>
  </si>
  <si>
    <t>GSE25123_IL4_VS_IL4_AND_ROSIGLITAZONE_STIM_MACROPHAGE_DAY10_UP</t>
  </si>
  <si>
    <t>4542;8676;972;944;51296;114836;115361;26051;59067;64092;10154;8530;3956;5552;3002;729230;3604;2529;5133;597;51676;50515</t>
  </si>
  <si>
    <t>MYO1F;STX11;CD74;TNFSF8;SLC15A3;SLAMF6;GBP4;PPP1R16B;IL21;SAMSN1;PLXNC1;CST7;LGALS1;SRGN;GZMB;CCR2;TNFRSF9;FUT7;PDCD1;BCL2A1;ASB2;CHST11</t>
  </si>
  <si>
    <t>http://www.broadinstitute.org/gsea/msigdb/cards/GSE25123_IL4_VS_IL4_AND_ROSIGLITAZONE_STIM_MACROPHAGE_DAY10_UP.html</t>
  </si>
  <si>
    <t>GSE24726_WT_VS_E2_2_KO_PDC_DAY6_POST_DELETION_DN</t>
  </si>
  <si>
    <t>7456;9595;962;940;2124;1234;4354;10320;9459;92241;221472;4064;53346;64407;225;11314;2857;348;729230;10672;85464;5027</t>
  </si>
  <si>
    <t>WIPF1;CYTIP;CD48;CD28;EVI2B;CCR5;MPP1;IKZF1;ARHGEF6;RCSD1;FGD2;CD180;TM6SF1;RGS18;ABCD2;CD300A;GPR34;APOE;CCR2;GNA13;SSH2;P2RX7</t>
  </si>
  <si>
    <t>http://www.broadinstitute.org/gsea/msigdb/cards/GSE24726_WT_VS_E2_2_KO_PDC_DAY6_POST_DELETION_DN.html</t>
  </si>
  <si>
    <t>GSE23502_BM_VS_COLON_TUMOR_MYELOID_DERIVED_SUPPRESSOR_CELL_DN</t>
  </si>
  <si>
    <t>971;2124;2313;7805;139818;197358;151888;89857;6039;84636;53346;55589;8564;3112;6402;3824;55704;151556;25780;55619;57823;55691</t>
  </si>
  <si>
    <t>CD72;EVI2B;FLI1;LAPTM5;DOCK11;NLRC3;BTLA;KLHL6;RNASE6;GPR174;TM6SF1;BMP2K;KMO;HLA-DOB;SELL;KLRD1;CCDC88A;GPR155;RASGRP3;DOCK10;SLAMF7;FRMD4A</t>
  </si>
  <si>
    <t>http://www.broadinstitute.org/gsea/msigdb/cards/GSE23502_BM_VS_COLON_TUMOR_MYELOID_DERIVED_SUPPRESSOR_CELL_DN.html</t>
  </si>
  <si>
    <t>GSE24972_WT_VS_IRF8_KO_SPLEEN_FOLLICULAR_BCELL_DN</t>
  </si>
  <si>
    <t>5788;6688;695;10871;255231;170575;1794;6039;116986;51225;7439;596;2113;3109;6556;2529;10148;118788;10184;375387;91010;84106</t>
  </si>
  <si>
    <t>PTPRC;SPI1;BTK;CD300C;MCOLN2;GIMAP1;DOCK2;RNASE6;AGAP2;ABI3;BEST1;BCL2;ETS1;HLA-DMB;SLC11A1;FUT7;EBI3;PIK3AP1;LHFPL2;NRROS;FMNL3;PRAM1</t>
  </si>
  <si>
    <t>http://www.broadinstitute.org/gsea/msigdb/cards/GSE24972_WT_VS_IRF8_KO_SPLEEN_FOLLICULAR_BCELL_DN.html</t>
  </si>
  <si>
    <t>GSE27241_CTRL_VS_DIGOXIN_TREATED_CD4_TCELL_IN_TH17_POLARIZING_CONDITIONS_DN</t>
  </si>
  <si>
    <t>4542;3055;959;923;2633;151888;256380;3635;152789;64407;55303;10019;10673;2219;3988;6776;3718;27314;168537;84230;55691;26157</t>
  </si>
  <si>
    <t>MYO1F;HCK;CD40LG;CD6;GBP1;BTLA;SCML4;INPP5D;JAKMIP1;RGS18;GIMAP4;SH2B3;TNFSF13B;FCN1;LIPA;STAT5A;JAK3;RAB30;GIMAP7;LRRC8C;FRMD4A;GIMAP2</t>
  </si>
  <si>
    <t>http://www.broadinstitute.org/gsea/msigdb/cards/GSE27241_CTRL_VS_DIGOXIN_TREATED_CD4_TCELL_IN_TH17_POLARIZING_CONDITIONS_DN.html</t>
  </si>
  <si>
    <t>GSE23568_CTRL_TRANSDUCED_VS_WT_CD8_TCELL_UP</t>
  </si>
  <si>
    <t>3055;951;2123;3394;695;3587;10875;4689;219972;255231;259307;4064;9056;4066;10437;4688;2213;1230;4261;7462;1522;4644</t>
  </si>
  <si>
    <t>HCK;CD37;EVI2A;IRF8;BTK;IL10RA;FGL2;NCF4;MPEG1;MCOLN2;IL4I1;CD180;SLC7A7;LYL1;IFI30;NCF2;FCGR2B;CCR1;CIITA;LAT2;CTSZ;MYO5A</t>
  </si>
  <si>
    <t>http://www.broadinstitute.org/gsea/msigdb/cards/GSE23568_CTRL_TRANSDUCED_VS_WT_CD8_TCELL_UP.html</t>
  </si>
  <si>
    <t>GSE33425_CD8_ALPHAALPHA_VS_ALPHABETA_CD161_HIGH_TCELL_DN</t>
  </si>
  <si>
    <t>4542;915;3932;917;940;6352;3683;7535;3702;3937;7805;6404;2672;64333;8530;596;3936;3902;3604;3824;51762;51466</t>
  </si>
  <si>
    <t>MYO1F;CD3D;LCK;CD3G;CD28;CCL5;ITGAL;ZAP70;ITK;LCP2;LAPTM5;SELPLG;GFI1;ARHGAP9;CST7;BCL2;LCP1;LAG3;TNFRSF9;KLRD1;RAB8B;EVL</t>
  </si>
  <si>
    <t>http://www.broadinstitute.org/gsea/msigdb/cards/GSE33425_CD8_ALPHAALPHA_VS_ALPHABETA_CD161_HIGH_TCELL_DN.html</t>
  </si>
  <si>
    <t>GSE32986_UNSTIM_VS_GMCSF_AND_CURDLAN_LOWDOSE_STIM_DC_DN</t>
  </si>
  <si>
    <t>2533;9214;9404;951;923;2124;7535;92241;149628;283897;57580;114836;4063;8832;9881;1043;3004;4240;54518;84230;51466;22806</t>
  </si>
  <si>
    <t>FYB1;FCMR;LPXN;CD37;CD6;EVI2B;ZAP70;RCSD1;PYHIN1;C16orf54;PREX1;SLAMF6;LY9;CD84;TRANK1;CD52;GZMM;MFGE8;APBB1IP;LRRC8C;EVL;IKZF3</t>
  </si>
  <si>
    <t>http://www.broadinstitute.org/gsea/msigdb/cards/GSE32986_UNSTIM_VS_GMCSF_AND_CURDLAN_LOWDOSE_STIM_DC_DN.html</t>
  </si>
  <si>
    <t>GSE37533_PPARG1_FOXP3_VS_PPARG2_FOXP3_TRANSDUCED_CD4_TCELL_PIOGLITAZONE_TREATED_DN</t>
  </si>
  <si>
    <t>80833;3627;3659;7453;51056;2633;6772;3394;6890;4283;51296;6373;9881;3717;1435;10437;526;6891;54861;55013;25939;51513</t>
  </si>
  <si>
    <t>APOL3;CXCL10;IRF1;WARS;LAP3;GBP1;STAT1;IRF8;TAP1;CXCL9;SLC15A3;CXCL11;TRANK1;JAK2;CSF1;IFI30;ATP6V1B2;TAP2;SNRK;MCUB;SAMHD1;ETV7</t>
  </si>
  <si>
    <t>http://www.broadinstitute.org/gsea/msigdb/cards/GSE37533_PPARG1_FOXP3_VS_PPARG2_FOXP3_TRANSDUCED_CD4_TCELL_PIOGLITAZONE_TREATED_DN.html</t>
  </si>
  <si>
    <t>GSE40273_XBP1_KO_VS_WT_TREG_DN</t>
  </si>
  <si>
    <t>4542;3676;2123;941;942;219972;146722;4064;53829;55303;2857;10154;6693;2833;7185;146850;57705;91010;168537;83937;22806;11217</t>
  </si>
  <si>
    <t>MYO1F;ITGA4;EVI2A;CD80;CD86;MPEG1;CD300LF;CD180;P2RY13;GIMAP4;GPR34;PLXNC1;SPN;CXCR3;TRAF1;PIK3R6;WDFY4;FMNL3;GIMAP7;RASSF4;IKZF3;AKAP2</t>
  </si>
  <si>
    <t>http://www.broadinstitute.org/gsea/msigdb/cards/GSE40273_XBP1_KO_VS_WT_TREG_DN.html</t>
  </si>
  <si>
    <t>GSE40274_CTRL_VS_FOXP3_TRANSDUCED_ACTIVATED_CD4_TCELL_DN</t>
  </si>
  <si>
    <t>9051;3676;653361;2123;3695;1236;2124;2014;6404;139818;8477;146722;55303;51284;19;1235;10235;155038;168537;81553;51063;55281</t>
  </si>
  <si>
    <t>PSTPIP1;ITGA4;NCF1;EVI2A;ITGB7;CCR7;EVI2B;EMP3;SELPLG;DOCK11;GPR65;CD300LF;GIMAP4;TLR7;ABCA1;CCR6;RASGRP2;GIMAP8;GIMAP7;FAM49A;CALHM2;TMEM140</t>
  </si>
  <si>
    <t>http://www.broadinstitute.org/gsea/msigdb/cards/GSE40274_CTRL_VS_FOXP3_TRANSDUCED_ACTIVATED_CD4_TCELL_DN.html</t>
  </si>
  <si>
    <t>GSE40274_HELIOS_VS_FOXP3_AND_HELIOS_TRANSDUCED_ACTIVATED_CD4_TCELL_UP</t>
  </si>
  <si>
    <t>8676;6352;653361;3560;1493;3695;5734;6504;6404;115361;2672;2857;8320;4049;6402;6776;4050;4033;7185;4818;10077;22806</t>
  </si>
  <si>
    <t>STX11;CCL5;NCF1;IL2RB;CTLA4;ITGB7;PTGER4;SLAMF1;SELPLG;GBP4;GFI1;GPR34;EOMES;LTA;SELL;STAT5A;LTB;LRMP;TRAF1;NKG7;TSPAN32;IKZF3</t>
  </si>
  <si>
    <t>http://www.broadinstitute.org/gsea/msigdb/cards/GSE40274_HELIOS_VS_FOXP3_AND_HELIOS_TRANSDUCED_ACTIVATED_CD4_TCELL_UP.html</t>
  </si>
  <si>
    <t>GSE36078_WT_VS_IL1R_KO_LUNG_DC_DN</t>
  </si>
  <si>
    <t>4542;5341;6352;3560;6404;55843;3903;57580;139716;80231;8530;3956;924;3290;2213;2833;55911;3824;8809;4818;57823;22806</t>
  </si>
  <si>
    <t>MYO1F;PLEK;CCL5;IL2RB;SELPLG;ARHGAP15;LAIR1;PREX1;GAB3;CXorf21;CST7;LGALS1;CD7;HSD11B1;FCGR2B;CXCR3;APOBR;KLRD1;IL18R1;NKG7;SLAMF7;IKZF3</t>
  </si>
  <si>
    <t>http://www.broadinstitute.org/gsea/msigdb/cards/GSE36078_WT_VS_IL1R_KO_LUNG_DC_DN.html</t>
  </si>
  <si>
    <t>GSE11961_FOLLICULAR_BCELL_VS_GERMINAL_CENTER_BCELL_DAY40_DN</t>
  </si>
  <si>
    <t>11309;5788;6036;951;3676;653361;3662;5800;51296;23533;89857;114836;51284;54209;10870;730249;596;140885;9815;57705;80709;7462</t>
  </si>
  <si>
    <t>SLCO2B1;PTPRC;RNASE2;CD37;ITGA4;NCF1;IRF4;PTPRO;SLC15A3;PIK3R5;KLHL6;SLAMF6;TLR7;TREM2;HCST;ACOD1;BCL2;SIRPA;GIT2;WDFY4;AKNA;LAT2</t>
  </si>
  <si>
    <t>http://www.broadinstitute.org/gsea/msigdb/cards/GSE11961_FOLLICULAR_BCELL_VS_GERMINAL_CENTER_BCELL_DAY40_DN.html</t>
  </si>
  <si>
    <t>GSE42021_CD24HI_VS_CD24INT_TCONV_THYMUS_DN</t>
  </si>
  <si>
    <t>80833;3627;3659;7453;51056;959;2633;3394;6890;4283;3702;29992;6373;3717;10437;526;3274;5724;79630;55281;55013;51513</t>
  </si>
  <si>
    <t>APOL3;CXCL10;IRF1;WARS;LAP3;CD40LG;GBP1;IRF8;TAP1;CXCL9;ITK;PILRA;CXCL11;JAK2;IFI30;ATP6V1B2;HRH2;PTAFR;C1orf54;TMEM140;MCUB;ETV7</t>
  </si>
  <si>
    <t>http://www.broadinstitute.org/gsea/msigdb/cards/GSE42021_CD24HI_VS_CD24INT_TCONV_THYMUS_DN.html</t>
  </si>
  <si>
    <t>GSE43955_1H_VS_60H_ACT_CD4_TCELL_UP</t>
  </si>
  <si>
    <t>9450;712;713;962;2209;2350;971;5734;1234;10871;6404;4063;51393;3117;3936;3586;1043;5376;7185;8809;597;7462</t>
  </si>
  <si>
    <t>LY86;C1QA;C1QB;CD48;FCGR1A;FOLR2;CD72;PTGER4;CCR5;CD300C;SELPLG;LY9;TRPV2;HLA-DQA1;LCP1;IL10;CD52;PMP22;TRAF1;IL18R1;BCL2A1;LAT2</t>
  </si>
  <si>
    <t>http://www.broadinstitute.org/gsea/msigdb/cards/GSE43955_1H_VS_60H_ACT_CD4_TCELL_UP.html</t>
  </si>
  <si>
    <t>GSE43863_NAIVE_VS_MEMORY_LY6C_INT_CXCR5POS_CD4_TCELL_D150_LCMV_UP</t>
  </si>
  <si>
    <t>9595;54440;713;1436;9744;5800;92241;79626;256380;139716;53829;11314;2857;7439;6793;19;2213;9815;84230;79630;10077;7462</t>
  </si>
  <si>
    <t>CYTIP;SASH3;C1QB;CSF1R;ACAP1;PTPRO;RCSD1;TNFAIP8L2;SCML4;GAB3;P2RY13;CD300A;GPR34;BEST1;STK10;ABCA1;FCGR2B;GIT2;LRRC8C;C1orf54;TSPAN32;LAT2</t>
  </si>
  <si>
    <t>http://www.broadinstitute.org/gsea/msigdb/cards/GSE43863_NAIVE_VS_MEMORY_LY6C_INT_CXCR5POS_CD4_TCELL_D150_LCMV_UP.html</t>
  </si>
  <si>
    <t>GSE41176_WT_VS_TAK1_KO_ANTI_IGM_STIM_BCELL_6H_DN</t>
  </si>
  <si>
    <t>22797;10261;3055;962;6351;3561;2633;941;6772;719;3903;23048;9056;27299;366;5724;6776;969;597;23312;81553;30817</t>
  </si>
  <si>
    <t>TFEC;IGSF6;HCK;CD48;CCL4;IL2RG;GBP1;CD80;STAT1;C3AR1;LAIR1;FNBP1;SLC7A7;ADAMDEC1;AQP9;PTAFR;STAT5A;CD69;BCL2A1;DMXL2;FAM49A;ADGRE2</t>
  </si>
  <si>
    <t>http://www.broadinstitute.org/gsea/msigdb/cards/GSE41176_WT_VS_TAK1_KO_ANTI_IGM_STIM_BCELL_6H_DN.html</t>
  </si>
  <si>
    <t>GSE45365_NK_CELL_VS_CD8_TCELL_MCMV_INFECTION_DN</t>
  </si>
  <si>
    <t>27334;3559;3659;7133;2633;941;2322;6890;26051;59067;5552;6776;3718;3604;2529;7185;10148;90634;51762;6363;83937;57823</t>
  </si>
  <si>
    <t>P2RY10;IL2RA;IRF1;TNFRSF1B;GBP1;CD80;FLT3;TAP1;PPP1R16B;IL21;SRGN;STAT5A;JAK3;TNFRSF9;FUT7;TRAF1;EBI3;N4BP2L1;RAB8B;CCL19;RASSF4;SLAMF7</t>
  </si>
  <si>
    <t>http://www.broadinstitute.org/gsea/msigdb/cards/GSE45365_NK_CELL_VS_CD8_TCELL_MCMV_INFECTION_DN.html</t>
  </si>
  <si>
    <t>GSE37301_HEMATOPOIETIC_STEM_CELL_VS_RAG2_KO_NK_CELL_DN</t>
  </si>
  <si>
    <t>4542;10663;9839;3458;940;3676;3587;117289;1794;2857;27033;4094;2113;3586;729230;2833;969;8809;10148;9806;50515</t>
  </si>
  <si>
    <t>MYO1F;CXCR6;ZEB2;IFNG;CD28;ITGA4;IL10RA;TAGAP;DOCK2;GPR34;ZBTB32;MAF;ETS1;IL10;CCR2;CXCR3;CD69;IL18R1;EBI3;SPOCK2;CHST11</t>
  </si>
  <si>
    <t>http://www.broadinstitute.org/gsea/msigdb/cards/GSE37301_HEMATOPOIETIC_STEM_CELL_VS_RAG2_KO_NK_CELL_DN.html</t>
  </si>
  <si>
    <t>GSE40274_CTRL_VS_FOXP3_AND_PBX1_TRANSDUCED_ACTIVATED_CD4_TCELL_UP</t>
  </si>
  <si>
    <t>11025;5551;3560;3937;3587;10875;399;151888;54899;89857;58484;2162;2113;6546;151556;120425;91526;64780;10077;25939</t>
  </si>
  <si>
    <t>LILRB3;PRF1;IL2RB;LCP2;IL10RA;FGL2;RHOH;BTLA;PXK;KLHL6;NLRC4;F13A1;ETS1;SLC8A1;GPR155;JAML;ANKRD44;MICAL1;TSPAN32;SAMHD1</t>
  </si>
  <si>
    <t>http://www.broadinstitute.org/gsea/msigdb/cards/GSE40274_CTRL_VS_FOXP3_AND_PBX1_TRANSDUCED_ACTIVATED_CD4_TCELL_UP.html</t>
  </si>
  <si>
    <t>GSE27859_MACROPHAGE_VS_DC_UP</t>
  </si>
  <si>
    <t>4210;10261;3055;3659;1233;4283;3937;6504;51296;255231;117289;80301;114548;115362;58484;5724;6891;969;7185;118788</t>
  </si>
  <si>
    <t>MEFV;IGSF6;HCK;IRF1;CCR4;CXCL9;LCP2;SLAMF1;SLC15A3;MCOLN2;TAGAP;PLEKHO2;NLRP3;GBP5;NLRC4;PTAFR;TAP2;CD69;TRAF1;PIK3AP1</t>
  </si>
  <si>
    <t>http://www.broadinstitute.org/gsea/msigdb/cards/GSE27859_MACROPHAGE_VS_DC_UP.html</t>
  </si>
  <si>
    <t>GSE6269_FLU_VS_STAPH_AUREUS_INF_PBMC_DN</t>
  </si>
  <si>
    <t>22797;5341;6036;6688;4354;4689;51296;2210;80896;353514;2219;1508;5552;10437;2357;6556;140885;64581;84034;23166</t>
  </si>
  <si>
    <t>TFEC;PLEK;RNASE2;SPI1;MPP1;NCF4;SLC15A3;FCGR1B;NPL;LILRA5;FCN1;CTSB;SRGN;IFI30;FPR1;SLC11A1;SIRPA;CLEC7A;EMILIN2;STAB1</t>
  </si>
  <si>
    <t>http://www.broadinstitute.org/gsea/msigdb/cards/GSE6269_FLU_VS_STAPH_AUREUS_INF_PBMC_DN.html</t>
  </si>
  <si>
    <t>GSE7219_UNSTIM_VS_LPS_AND_ANTI_CD40_STIM_DC_DN</t>
  </si>
  <si>
    <t>3559;925;917;1493;3575;10225;942;10875;201633;2857;10673;29909;27306;3002;1230;1237;54331;7185;120425;7462</t>
  </si>
  <si>
    <t>IL2RA;CD8A;CD3G;CTLA4;IL7R;CD96;CD86;FGL2;TIGIT;GPR34;TNFSF13B;GPR171;HPGDS;GZMB;CCR1;CCR8;GNG2;TRAF1;JAML;LAT2</t>
  </si>
  <si>
    <t>http://www.broadinstitute.org/gsea/msigdb/cards/GSE7219_UNSTIM_VS_LPS_AND_ANTI_CD40_STIM_DC_DN.html</t>
  </si>
  <si>
    <t>GSE22611_NOD2_TRANSDUCED_VS_CTRL_HEK293T_STIMULATED_WITH_MDP_2H_UP</t>
  </si>
  <si>
    <t>9535;3689;3683;1236;5778;5734;3394;7805;474344;81704;115361;26051;19;526;54331;4208;90634;54861;51466;22806</t>
  </si>
  <si>
    <t>GMFG;ITGB2;ITGAL;CCR7;PTPN7;PTGER4;IRF8;LAPTM5;GIMAP6;DOCK8;GBP4;PPP1R16B;ABCA1;ATP6V1B2;GNG2;MEF2C;N4BP2L1;SNRK;EVL;IKZF3</t>
  </si>
  <si>
    <t>http://www.broadinstitute.org/gsea/msigdb/cards/GSE22611_NOD2_TRANSDUCED_VS_CTRL_HEK293T_STIMULATED_WITH_MDP_2H_UP.html</t>
  </si>
  <si>
    <t>GSE4984_UNTREATED_VS_GALECTIN1_TREATED_DC_UP</t>
  </si>
  <si>
    <t>9839;10261;6688;313;2207;4671;7805;10288;2210;80896;55589;353514;9120;3717;19;1508;2357;6546;115727;5027;53831</t>
  </si>
  <si>
    <t>ZEB2;IGSF6;SPI1;AOAH;FCER1G;NAIP;LAPTM5;LILRB2;FCGR1B;NPL;BMP2K;LILRA5;SLC16A6;JAK2;ABCA1;CTSB;FPR1;SLC8A1;RASGRP4;P2RX7;GPR84</t>
  </si>
  <si>
    <t>http://www.broadinstitute.org/gsea/msigdb/cards/GSE4984_UNTREATED_VS_GALECTIN1_TREATED_DC_UP.html</t>
  </si>
  <si>
    <t>KAECH_NAIVE_VS_DAY8_EFF_CD8_TCELL_DN</t>
  </si>
  <si>
    <t>4542;4068;3458;962;3001;6352;3676;5551;1493;7133;3687;1234;8530;3956;3002;729230;356;2833;3003;8809;597</t>
  </si>
  <si>
    <t>MYO1F;SH2D1A;IFNG;CD48;GZMA;CCL5;ITGA4;PRF1;CTLA4;TNFRSF1B;ITGAX;CCR5;CST7;LGALS1;GZMB;CCR2;FASLG;CXCR3;GZMK;IL18R1;BCL2A1</t>
  </si>
  <si>
    <t>http://www.broadinstitute.org/gsea/msigdb/cards/KAECH_NAIVE_VS_DAY8_EFF_CD8_TCELL_DN.html</t>
  </si>
  <si>
    <t>GSE13484_3H_UNSTIM_VS_YF17D_VACCINE_STIM_PBMC_DN</t>
  </si>
  <si>
    <t>10261;3458;3559;6351;1236;3702;474344;221472;114548;26051;55303;29909;9881;8564;3717;3112;3586;2213;6891;7185;51513</t>
  </si>
  <si>
    <t>IGSF6;IFNG;IL2RA;CCL4;CCR7;ITK;GIMAP6;FGD2;NLRP3;PPP1R16B;GIMAP4;GPR171;TRANK1;KMO;JAK2;HLA-DOB;IL10;FCGR2B;TAP2;TRAF1;ETV7</t>
  </si>
  <si>
    <t>http://www.broadinstitute.org/gsea/msigdb/cards/GSE13484_3H_UNSTIM_VS_YF17D_VACCINE_STIM_PBMC_DN.html</t>
  </si>
  <si>
    <t>GSE14769_UNSTIM_VS_80MIN_LPS_BMDM_DN</t>
  </si>
  <si>
    <t>8676;5341;3659;6351;6352;5734;3587;51296;80231;730249;9034;3553;5552;3586;969;7185;10148;597;100506736;57823;53831</t>
  </si>
  <si>
    <t>STX11;PLEK;IRF1;CCL4;CCL5;PTGER4;IL10RA;SLC15A3;CXorf21;ACOD1;CCRL2;IL1B;SRGN;IL10;CD69;TRAF1;EBI3;BCL2A1;SLFN12L;SLAMF7;GPR84</t>
  </si>
  <si>
    <t>http://www.broadinstitute.org/gsea/msigdb/cards/GSE14769_UNSTIM_VS_80MIN_LPS_BMDM_DN.html</t>
  </si>
  <si>
    <t>GSE17580_UNINFECTED_VS_S_MANSONI_INF_TEFF_DN</t>
  </si>
  <si>
    <t>10663;9404;3458;1493;3594;1234;6504;10875;115361;2672;30009;366;8530;8320;1435;3002;5724;729230;3003;597;55281</t>
  </si>
  <si>
    <t>CXCR6;LPXN;IFNG;CTLA4;IL12RB1;CCR5;SLAMF1;FGL2;GBP4;GFI1;TBX21;AQP9;CST7;EOMES;CSF1;GZMB;PTAFR;CCR2;GZMK;BCL2A1;TMEM140</t>
  </si>
  <si>
    <t>http://www.broadinstitute.org/gsea/msigdb/cards/GSE17580_UNINFECTED_VS_S_MANSONI_INF_TEFF_DN.html</t>
  </si>
  <si>
    <t>GSE17721_LPS_VS_CPG_12H_BMDC_DN</t>
  </si>
  <si>
    <t>1436;962;963;971;2123;3937;719;93978;150372;53346;56659;51311;29992;9056;2113;4481;3988;11010;8905;5376;4240</t>
  </si>
  <si>
    <t>CSF1R;CD48;CD53;CD72;EVI2A;LCP2;C3AR1;CLEC6A;NFAM1;TM6SF1;KCNK13;TLR8;PILRA;SLC7A7;ETS1;MSR1;LIPA;GLIPR1;AP1S2;PMP22;MFGE8</t>
  </si>
  <si>
    <t>http://www.broadinstitute.org/gsea/msigdb/cards/GSE17721_LPS_VS_CPG_12H_BMDC_DN.html</t>
  </si>
  <si>
    <t>GSE17721_12H_VS_24H_GARDIQUIMOD_BMDC_UP</t>
  </si>
  <si>
    <t>4542;6351;942;80301;146722;259307;56833;8832;4049;3553;348;4261;9363;116071;10507;64581;53831;55013;51466;11217;25939</t>
  </si>
  <si>
    <t>MYO1F;CCL4;CD86;PLEKHO2;CD300LF;IL4I1;SLAMF8;CD84;LTA;IL1B;APOE;CIITA;RAB33A;BATF2;SEMA4D;CLEC7A;GPR84;MCUB;EVL;AKAP2;SAMHD1</t>
  </si>
  <si>
    <t>http://www.broadinstitute.org/gsea/msigdb/cards/GSE17721_12H_VS_24H_GARDIQUIMOD_BMDC_UP.html</t>
  </si>
  <si>
    <t>GSE20715_0H_VS_48H_OZONE_LUNG_UP</t>
  </si>
  <si>
    <t>9051;9450;5579;5788;951;6352;3561;2124;3394;5800;170575;64231;55303;10154;5552;4066;1043;729230;4033;80709;64780</t>
  </si>
  <si>
    <t>PSTPIP1;LY86;PRKCB;PTPRC;CD37;CCL5;IL2RG;EVI2B;IRF8;PTPRO;GIMAP1;MS4A6A;GIMAP4;PLXNC1;SRGN;LYL1;CD52;CCR2;LRMP;AKNA;MICAL1</t>
  </si>
  <si>
    <t>http://www.broadinstitute.org/gsea/msigdb/cards/GSE20715_0H_VS_48H_OZONE_LUNG_UP.html</t>
  </si>
  <si>
    <t>GSE22886_NAIVE_VS_IGG_IGA_MEMORY_BCELL_DN</t>
  </si>
  <si>
    <t>4542;22797;9404;80833;919;2123;3695;4332;942;11262;4689;64092;27033;3956;3684;10437;54;9938;2529;10148;55619</t>
  </si>
  <si>
    <t>MYO1F;TFEC;LPXN;APOL3;CD247;EVI2A;ITGB7;MNDA;CD86;SP140;NCF4;SAMSN1;ZBTB32;LGALS1;ITGAM;IFI30;ACP5;ARHGAP25;FUT7;EBI3;DOCK10</t>
  </si>
  <si>
    <t>http://www.broadinstitute.org/gsea/msigdb/cards/GSE22886_NAIVE_VS_IGG_IGA_MEMORY_BCELL_DN.html</t>
  </si>
  <si>
    <t>9214;915;916;917;951;3676;919;3695;923;1236;10225;9744;399;55843;23228;80342;596;6402;10507;64919;54861</t>
  </si>
  <si>
    <t>FCMR;CD3D;CD3E;CD3G;CD37;ITGA4;CD247;ITGB7;CD6;CCR7;CD96;ACAP1;RHOH;ARHGAP15;PLCL2;TRAF3IP3;BCL2;SELL;SEMA4D;BCL11B;SNRK</t>
  </si>
  <si>
    <t>http://www.broadinstitute.org/gsea/msigdb/cards/GSE22886_NAIVE_TCELL_VS_DC_UP.html</t>
  </si>
  <si>
    <t>9051;9046;11309;2313;3603;9459;55016;1794;53346;64231;56833;4094;2162;3108;2213;11010;8905;54518;10462;7462;30835</t>
  </si>
  <si>
    <t>PSTPIP1;DOK2;SLCO2B1;FLI1;IL16;ARHGEF6;MARCH1;DOCK2;TM6SF1;MS4A6A;SLAMF8;MAF;F13A1;HLA-DMA;FCGR2B;GLIPR1;AP1S2;APBB1IP;CLEC10A;LAT2;CD209</t>
  </si>
  <si>
    <t>http://www.broadinstitute.org/gsea/msigdb/cards/GSE22886_CTRL_VS_LPS_24H_DC_UP.html</t>
  </si>
  <si>
    <t>GSE24142_DN2_VS_DN3_THYMOCYTE_DN</t>
  </si>
  <si>
    <t>4068;9402;54440;915;5579;3932;916;917;940;1493;3702;3662;114836;2672;64333;53346;1508;3290;7185;90634;27240</t>
  </si>
  <si>
    <t>SH2D1A;GRAP2;SASH3;CD3D;PRKCB;LCK;CD3E;CD3G;CD28;CTLA4;ITK;IRF4;SLAMF6;GFI1;ARHGAP9;TM6SF1;CTSB;HSD11B1;TRAF1;N4BP2L1;SIT1</t>
  </si>
  <si>
    <t>http://www.broadinstitute.org/gsea/msigdb/cards/GSE24142_DN2_VS_DN3_THYMOCYTE_DN.html</t>
  </si>
  <si>
    <t>GSE24142_EARLY_THYMIC_PROGENITOR_VS_DN2_THYMOCYTE_FETAL_DN</t>
  </si>
  <si>
    <t>2533;9404;9402;3559;915;916;917;3001;919;4354;50852;255231;139716;116986;64231;3956;6402;5133;50943;64919;55013</t>
  </si>
  <si>
    <t>FYB1;LPXN;GRAP2;IL2RA;CD3D;CD3E;CD3G;GZMA;CD247;MPP1;TRAT1;MCOLN2;GAB3;AGAP2;MS4A6A;LGALS1;SELL;PDCD1;FOXP3;BCL11B;MCUB</t>
  </si>
  <si>
    <t>http://www.broadinstitute.org/gsea/msigdb/cards/GSE24142_EARLY_THYMIC_PROGENITOR_VS_DN2_THYMOCYTE_FETAL_DN.html</t>
  </si>
  <si>
    <t>GSE24142_EARLY_THYMIC_PROGENITOR_VS_DN3_THYMOCYTE_FETAL_UP</t>
  </si>
  <si>
    <t>7305;9839;9046;1436;653361;945;695;221472;150372;4064;11314;27299;8530;2213;1237;54331;4208;8809;10462;168537;79630</t>
  </si>
  <si>
    <t>TYROBP;ZEB2;DOK2;CSF1R;NCF1;CD33;BTK;FGD2;NFAM1;CD180;CD300A;ADAMDEC1;CST7;FCGR2B;CCR8;GNG2;MEF2C;IL18R1;CLEC10A;GIMAP7;C1orf54</t>
  </si>
  <si>
    <t>http://www.broadinstitute.org/gsea/msigdb/cards/GSE24142_EARLY_THYMIC_PROGENITOR_VS_DN3_THYMOCYTE_FETAL_UP.html</t>
  </si>
  <si>
    <t>GSE24634_TREG_VS_TCONV_POST_DAY10_IL4_CONVERSION_UP</t>
  </si>
  <si>
    <t>27334;3559;5579;1233;6504;11262;9459;10666;23048;2672;80342;29909;27306;4049;596;3059;729230;7185;8809;10235;51063</t>
  </si>
  <si>
    <t>P2RY10;IL2RA;PRKCB;CCR4;SLAMF1;SP140;ARHGEF6;CD226;FNBP1;GFI1;TRAF3IP3;GPR171;HPGDS;LTA;BCL2;HCLS1;CCR2;TRAF1;IL18R1;RASGRP2;CALHM2</t>
  </si>
  <si>
    <t>http://www.broadinstitute.org/gsea/msigdb/cards/GSE24634_TREG_VS_TCONV_POST_DAY10_IL4_CONVERSION_UP.html</t>
  </si>
  <si>
    <t>GSE24634_TEFF_VS_TCONV_DAY10_IN_CULTURE_UP</t>
  </si>
  <si>
    <t>259197;3676;3560;1493;5734;2322;1233;3937;3603;3662;10666;23048;55423;80342;29909;27306;3956;943;3604;64780;79895</t>
  </si>
  <si>
    <t>NCR3;ITGA4;IL2RB;CTLA4;PTGER4;FLT3;CCR4;LCP2;IL16;IRF4;CD226;FNBP1;SIRPG;TRAF3IP3;GPR171;HPGDS;LGALS1;TNFRSF8;TNFRSF9;MICAL1;ATP8B4</t>
  </si>
  <si>
    <t>http://www.broadinstitute.org/gsea/msigdb/cards/GSE24634_TEFF_VS_TCONV_DAY10_IN_CULTURE_UP.html</t>
  </si>
  <si>
    <t>GSE2706_2H_VS_8H_LPS_STIM_DC_DN</t>
  </si>
  <si>
    <t>3559;962;6352;1236;6890;11262;84166;10288;115361;27033;10154;3717;3718;6891;3604;10148;27314;145864;81553;55281;51513</t>
  </si>
  <si>
    <t>IL2RA;CD48;CCL5;CCR7;TAP1;SP140;NLRC5;LILRB2;GBP4;ZBTB32;PLXNC1;JAK2;JAK3;TAP2;TNFRSF9;EBI3;RAB30;HAPLN3;FAM49A;TMEM140;ETV7</t>
  </si>
  <si>
    <t>http://www.broadinstitute.org/gsea/msigdb/cards/GSE2706_2H_VS_8H_LPS_STIM_DC_DN.html</t>
  </si>
  <si>
    <t>GSE3337_CTRL_VS_4H_IFNG_IN_CD8POS_DC_DN</t>
  </si>
  <si>
    <t>3627;3659;7453;6772;2313;6890;10875;219972;170575;115361;55303;51284;29851;10537;1435;3002;926;6503;55704;100506736;59345</t>
  </si>
  <si>
    <t>CXCL10;IRF1;WARS;STAT1;FLI1;TAP1;FGL2;MPEG1;GIMAP1;GBP4;GIMAP4;TLR7;ICOS;UBD;CSF1;GZMB;CD8B;SLA;CCDC88A;SLFN12L;GNB4</t>
  </si>
  <si>
    <t>http://www.broadinstitute.org/gsea/msigdb/cards/GSE3337_CTRL_VS_4H_IFNG_IN_CD8POS_DC_DN.html</t>
  </si>
  <si>
    <t>GSE360_CTRL_VS_T_GONDII_DC_UP</t>
  </si>
  <si>
    <t>9046;2350;3071;3820;719;1794;3635;6039;8742;4094;1102;56253;2162;341;240;4066;4481;1043;11027;54504;23166</t>
  </si>
  <si>
    <t>DOK2;FOLR2;NCKAP1L;KLRB1;C3AR1;DOCK2;INPP5D;RNASE6;TNFSF12;MAF;RCBTB2;CRTAM;F13A1;APOC1;ALOX5;LYL1;MSR1;CD52;LILRA2;CPVL;STAB1</t>
  </si>
  <si>
    <t>http://www.broadinstitute.org/gsea/msigdb/cards/GSE360_CTRL_VS_T_GONDII_DC_UP.html</t>
  </si>
  <si>
    <t>GSE360_L_DONOVANI_VS_B_MALAYI_HIGH_DOSE_MAC_DN</t>
  </si>
  <si>
    <t>4542;713;3659;951;6352;2350;3683;313;11151;2633;6890;4689;1794;2219;3113;3108;3109;25900;11027;54504;23166</t>
  </si>
  <si>
    <t>MYO1F;C1QB;IRF1;CD37;CCL5;FOLR2;ITGAL;AOAH;CORO1A;GBP1;TAP1;NCF4;DOCK2;FCN1;HLA-DPA1;HLA-DMA;HLA-DMB;IFFO1;LILRA2;CPVL;STAB1</t>
  </si>
  <si>
    <t>http://www.broadinstitute.org/gsea/msigdb/cards/GSE360_L_DONOVANI_VS_B_MALAYI_HIGH_DOSE_MAC_DN.html</t>
  </si>
  <si>
    <t>GSE36392_TYPE_2_MYELOID_VS_EOSINOPHIL_IL25_TREATED_LUNG_DN</t>
  </si>
  <si>
    <t>8676;5788;7133;3683;2313;10871;54899;51296;10673;79974;730249;6373;3717;3112;3290;6503;8809;441168;91010;338339;29126</t>
  </si>
  <si>
    <t>STX11;PTPRC;TNFRSF1B;ITGAL;FLI1;CD300C;PXK;SLC15A3;TNFSF13B;CPED1;ACOD1;CXCL11;JAK2;HLA-DOB;HSD11B1;SLA;IL18R1;CALHM6;FMNL3;CLEC4D;CD274</t>
  </si>
  <si>
    <t>http://www.broadinstitute.org/gsea/msigdb/cards/GSE36392_TYPE_2_MYELOID_VS_EOSINOPHIL_IL25_TREATED_LUNG_DN.html</t>
  </si>
  <si>
    <t>GSE3982_MEMORY_CD4_TCELL_VS_BCELL_DN</t>
  </si>
  <si>
    <t>9450;972;1536;971;7453;3394;3662;51296;4064;55589;51284;50856;240;9103;54;3112;3108;3109;4208;25780;7462</t>
  </si>
  <si>
    <t>LY86;CD74;CYBB;CD72;WARS;IRF8;IRF4;SLC15A3;CD180;BMP2K;TLR7;CLEC4A;ALOX5;FCGR2A;ACP5;HLA-DOB;HLA-DMA;HLA-DMB;MEF2C;RASGRP3;LAT2</t>
  </si>
  <si>
    <t>http://www.broadinstitute.org/gsea/msigdb/cards/GSE3982_MEMORY_CD4_TCELL_VS_BCELL_DN.html</t>
  </si>
  <si>
    <t>GSE3982_DC_VS_BCELL_UP</t>
  </si>
  <si>
    <t>1318;7305;942;1234;3101;199;4354;51338;114548;53346;29992;9034;56253;3290;10462;11027;51762;4327;30835;56606;25939</t>
  </si>
  <si>
    <t>SLC31A2;TYROBP;CD86;CCR5;HK3;AIF1;MPP1;MS4A4A;NLRP3;TM6SF1;PILRA;CCRL2;CRTAM;HSD11B1;CLEC10A;LILRA2;RAB8B;MMP19;CD209;SLC2A9;SAMHD1</t>
  </si>
  <si>
    <t>http://www.broadinstitute.org/gsea/msigdb/cards/GSE3982_DC_VS_BCELL_UP.html</t>
  </si>
  <si>
    <t>GSE3982_BCELL_VS_EFF_MEMORY_CD4_TCELL_UP</t>
  </si>
  <si>
    <t>9450;1536;3394;3662;51296;51284;9056;3115;240;9103;54;3112;6518;3108;3109;4208;25780;64780;7462;81553;80183</t>
  </si>
  <si>
    <t>LY86;CYBB;IRF8;IRF4;SLC15A3;TLR7;SLC7A7;HLA-DPB1;ALOX5;FCGR2A;ACP5;HLA-DOB;SLC2A5;HLA-DMA;HLA-DMB;MEF2C;RASGRP3;MICAL1;LAT2;FAM49A;RUBCNL</t>
  </si>
  <si>
    <t>http://www.broadinstitute.org/gsea/msigdb/cards/GSE3982_BCELL_VS_EFF_MEMORY_CD4_TCELL_UP.html</t>
  </si>
  <si>
    <t>GSE3982_EFF_MEMORY_CD4_TCELL_VS_NKCELL_DN</t>
  </si>
  <si>
    <t>259197;7305;3055;313;5294;3101;10875;4064;11314;27180;11024;3162;6037;4066;10437;728;10578;1230;7462;81553;55691</t>
  </si>
  <si>
    <t>NCR3;TYROBP;HCK;AOAH;PIK3CG;HK3;FGL2;CD180;CD300A;SIGLEC9;LILRA1;HMOX1;RNASE3;LYL1;IFI30;C5AR1;GNLY;CCR1;LAT2;FAM49A;FRMD4A</t>
  </si>
  <si>
    <t>http://www.broadinstitute.org/gsea/msigdb/cards/GSE3982_EFF_MEMORY_CD4_TCELL_VS_NKCELL_DN.html</t>
  </si>
  <si>
    <t>4542;10663;9404;4068;6351;7535;10320;719;57580;53829;3111;729230;3003;4240;4033;814;441168;54518;155038;54861;51466</t>
  </si>
  <si>
    <t>MYO1F;CXCR6;LPXN;SH2D1A;CCL4;ZAP70;IKZF1;C3AR1;PREX1;P2RY13;HLA-DOA;CCR2;GZMK;MFGE8;LRMP;CAMK4;CALHM6;APBB1IP;GIMAP8;SNRK;EVL</t>
  </si>
  <si>
    <t>GSE7764_IL15_NK_CELL_24H_VS_SPLENOCYTE_DN</t>
  </si>
  <si>
    <t>22797;2533;4210;920;917;3676;971;10871;5800;474344;257106;58475;29992;3162;140885;597;814;10077;83937;1522;11217</t>
  </si>
  <si>
    <t>TFEC;FYB1;MEFV;CD4;CD3G;ITGA4;CD72;CD300C;PTPRO;GIMAP6;ARHGAP30;MS4A7;PILRA;HMOX1;SIRPA;BCL2A1;CAMK4;TSPAN32;RASSF4;CTSZ;AKAP2</t>
  </si>
  <si>
    <t>http://www.broadinstitute.org/gsea/msigdb/cards/GSE7764_IL15_NK_CELL_24H_VS_SPLENOCYTE_DN.html</t>
  </si>
  <si>
    <t>GSE7852_TREG_VS_TCONV_DN</t>
  </si>
  <si>
    <t>9402;920;940;2123;2124;7535;3702;10320;3903;474344;387357;256380;23533;59067;55303;29909;1102;3290;3824;79895;81553</t>
  </si>
  <si>
    <t>GRAP2;CD4;CD28;EVI2A;EVI2B;ZAP70;ITK;IKZF1;LAIR1;GIMAP6;THEMIS;SCML4;PIK3R5;IL21;GIMAP4;GPR171;RCBTB2;HSD11B1;KLRD1;ATP8B4;FAM49A</t>
  </si>
  <si>
    <t>http://www.broadinstitute.org/gsea/msigdb/cards/GSE7852_TREG_VS_TCONV_DN.html</t>
  </si>
  <si>
    <t>GSE369_PRE_VS_POST_IL6_INJECTION_IFNG_WT_LIVER_DN</t>
  </si>
  <si>
    <t>9214;5294;2014;6504;5800;283897;151888;117289;256380;259307;4094;19;3290;4261;4240;85464;10235;151556;91526;9754;84329</t>
  </si>
  <si>
    <t>FCMR;PIK3CG;EMP3;SLAMF1;PTPRO;C16orf54;BTLA;TAGAP;SCML4;IL4I1;MAF;ABCA1;HSD11B1;CIITA;MFGE8;SSH2;RASGRP2;GPR155;ANKRD44;STARD8;HVCN1</t>
  </si>
  <si>
    <t>http://www.broadinstitute.org/gsea/msigdb/cards/GSE369_PRE_VS_POST_IL6_INJECTION_IFNG_WT_LIVER_DN.html</t>
  </si>
  <si>
    <t>GSE3039_NKT_CELL_VS_B2_BCELL_UP</t>
  </si>
  <si>
    <t>340152;54440;712;713;714;914;5788;3676;2322;2014;3071;924;6693;4261;55704;10235;79630;81553;51063;30835;51466</t>
  </si>
  <si>
    <t>ZC3H12D;SASH3;C1QA;C1QB;C1QC;CD2;PTPRC;ITGA4;FLT3;EMP3;NCKAP1L;CD7;SPN;CIITA;CCDC88A;RASGRP2;C1orf54;FAM49A;CALHM2;CD209;EVL</t>
  </si>
  <si>
    <t>http://www.broadinstitute.org/gsea/msigdb/cards/GSE3039_NKT_CELL_VS_B2_BCELL_UP.html</t>
  </si>
  <si>
    <t>GSE3039_CD4_TCELL_VS_B1_BCELL_UP</t>
  </si>
  <si>
    <t>9450;3559;712;972;6036;3687;89790;64231;8564;3717;3117;6037;10437;3109;4261;3363;729230;969;3123;10462;51676</t>
  </si>
  <si>
    <t>LY86;IL2RA;C1QA;CD74;RNASE2;ITGAX;SIGLEC10;MS4A6A;KMO;JAK2;HLA-DQA1;RNASE3;IFI30;HLA-DMB;CIITA;HTR7;CCR2;CD69;HLA-DRB1;CLEC10A;ASB2</t>
  </si>
  <si>
    <t>http://www.broadinstitute.org/gsea/msigdb/cards/GSE3039_CD4_TCELL_VS_B1_BCELL_UP.html</t>
  </si>
  <si>
    <t>GSE5542_IFNA_VS_IFNA_AND_IFNG_TREATED_EPITHELIAL_CELLS_24H_UP</t>
  </si>
  <si>
    <t>9404;8676;9450;5788;2214;3575;51056;3635;55340;55303;51284;11326;6793;921;10437;728;4261;597;3123;118788;50515</t>
  </si>
  <si>
    <t>LPXN;STX11;LY86;PTPRC;FCGR3A;IL7R;LAP3;INPP5D;GIMAP5;GIMAP4;TLR7;VSIG4;STK10;CD5;IFI30;C5AR1;CIITA;BCL2A1;HLA-DRB1;PIK3AP1;CHST11</t>
  </si>
  <si>
    <t>http://www.broadinstitute.org/gsea/msigdb/cards/GSE5542_IFNA_VS_IFNA_AND_IFNG_TREATED_EPITHELIAL_CELLS_24H_UP.html</t>
  </si>
  <si>
    <t>GSE5679_CTRL_VS_PPARG_LIGAND_ROSIGLITAZONE_AND_RARA_AGONIST_AM580_TREATED_DC_UP</t>
  </si>
  <si>
    <t>3627;972;1536;313;3394;6890;3937;10320;3587;115361;10537;366;3122;3117;3112;2357;2358;3109;6546;3123;100506736</t>
  </si>
  <si>
    <t>CXCL10;CD74;CYBB;AOAH;IRF8;TAP1;LCP2;IKZF1;IL10RA;GBP4;UBD;AQP9;HLA-DRA;HLA-DQA1;HLA-DOB;FPR1;FPR2;HLA-DMB;SLC8A1;HLA-DRB1;SLFN12L</t>
  </si>
  <si>
    <t>http://www.broadinstitute.org/gsea/msigdb/cards/GSE5679_CTRL_VS_PPARG_LIGAND_ROSIGLITAZONE_AND_RARA_AGONIST_AM580_TREATED_DC_UP.html</t>
  </si>
  <si>
    <t>4242;2533;80833;962;4245;1236;3594;149628;115361;84174;4094;4049;3988;151556;155038;131450;84230;29125;1522;26157;25939</t>
  </si>
  <si>
    <t>MFNG;FYB1;APOL3;CD48;MGAT1;CCR7;IL12RB1;PYHIN1;GBP4;SLA2;MAF;LTA;LIPA;GPR155;GIMAP8;CD200R1;LRRC8C;C11orf21;CTSZ;GIMAP2;SAMHD1</t>
  </si>
  <si>
    <t>http://www.broadinstitute.org/gsea/msigdb/cards/GSE5099_CLASSICAL_M1_VS_ALTERNATIVE_M2_MACROPHAGE_UP.html</t>
  </si>
  <si>
    <t>GSE5589_LPS_AND_IL10_VS_LPS_AND_IL6_STIM_MACROPHAGE_45MIN_DN</t>
  </si>
  <si>
    <t>10663;9046;1236;3594;11184;6039;1240;84636;3717;54;4481;356;6503;441168;55619;51676;84034;50515;53831;51466;25939</t>
  </si>
  <si>
    <t>CXCR6;DOK2;CCR7;IL12RB1;MAP4K1;RNASE6;CMKLR1;GPR174;JAK2;ACP5;MSR1;FASLG;SLA;CALHM6;DOCK10;ASB2;EMILIN2;CHST11;GPR84;EVL;SAMHD1</t>
  </si>
  <si>
    <t>http://www.broadinstitute.org/gsea/msigdb/cards/GSE5589_LPS_AND_IL10_VS_LPS_AND_IL6_STIM_MACROPHAGE_45MIN_DN.html</t>
  </si>
  <si>
    <t>GSE5589_WT_VS_IL6_KO_LPS_AND_IL6_STIM_MACROPHAGE_45MIN_UP</t>
  </si>
  <si>
    <t>712;5579;916;929;2350;3687;971;6504;4689;399;50615;8530;8320;2113;6693;1043;2213;11010;597;338339;55013</t>
  </si>
  <si>
    <t>C1QA;PRKCB;CD3E;CD14;FOLR2;ITGAX;CD72;SLAMF1;NCF4;RHOH;IL21R;CST7;EOMES;ETS1;SPN;CD52;FCGR2B;GLIPR1;BCL2A1;CLEC4D;MCUB</t>
  </si>
  <si>
    <t>http://www.broadinstitute.org/gsea/msigdb/cards/GSE5589_WT_VS_IL6_KO_LPS_AND_IL6_STIM_MACROPHAGE_45MIN_UP.html</t>
  </si>
  <si>
    <t>GSE10273_HIGH_VS_LOW_IL7_TREATED_IRF4_8_NULL_PRE_BCELL_DN</t>
  </si>
  <si>
    <t>9046;713;916;962;923;2124;10871;3903;79626;81704;114836;57105;30009;366;3717;3117;3108;10148;5133;3123;80709</t>
  </si>
  <si>
    <t>DOK2;C1QB;CD3E;CD48;CD6;EVI2B;CD300C;LAIR1;TNFAIP8L2;DOCK8;SLAMF6;CYSLTR2;TBX21;AQP9;JAK2;HLA-DQA1;HLA-DMA;EBI3;PDCD1;HLA-DRB1;AKNA</t>
  </si>
  <si>
    <t>http://www.broadinstitute.org/gsea/msigdb/cards/GSE10273_HIGH_VS_LOW_IL7_TREATED_IRF4_8_NULL_PRE_BCELL_DN.html</t>
  </si>
  <si>
    <t>GSE16697_CD4_TCELL_VS_TFH_CD4_TCELL_DN</t>
  </si>
  <si>
    <t>3689;3932;3695;944;7535;286336;10870;2857;29851;1102;8320;3290;3988;356;1237;8809;57514;79895;51762;5027;81553</t>
  </si>
  <si>
    <t>ITGB2;LCK;ITGB7;TNFSF8;ZAP70;FAM78A;HCST;GPR34;ICOS;RCBTB2;EOMES;HSD11B1;LIPA;FASLG;CCR8;IL18R1;ARHGAP31;ATP8B4;RAB8B;P2RX7;FAM49A</t>
  </si>
  <si>
    <t>http://www.broadinstitute.org/gsea/msigdb/cards/GSE16697_CD4_TCELL_VS_TFH_CD4_TCELL_DN.html</t>
  </si>
  <si>
    <t>GSE16266_CTRL_VS_LPS_STIM_MEF_UP</t>
  </si>
  <si>
    <t>4542;11309;3937;120939;286336;80301;84868;9056;27180;9120;3162;4973;10672;10184;54518;91010;79690;7462;51063;59345;50515</t>
  </si>
  <si>
    <t>MYO1F;SLCO2B1;LCP2;TMEM52B;FAM78A;PLEKHO2;HAVCR2;SLC7A7;SIGLEC9;SLC16A6;HMOX1;OLR1;GNA13;LHFPL2;APBB1IP;FMNL3;GAL3ST4;LAT2;CALHM2;GNB4;CHST11</t>
  </si>
  <si>
    <t>http://www.broadinstitute.org/gsea/msigdb/cards/GSE16266_CTRL_VS_LPS_STIM_MEF_UP.html</t>
  </si>
  <si>
    <t>GSE19198_6H_VS_24H_IL21_TREATED_TCELL_UP</t>
  </si>
  <si>
    <t>9051;80833;5341;6352;3683;3561;1236;942;120939;150372;56659;10673;4688;3290;6546;4973;203100;7185;245972;57823;85479</t>
  </si>
  <si>
    <t>PSTPIP1;APOL3;PLEK;CCL5;ITGAL;IL2RG;CCR7;CD86;TMEM52B;NFAM1;KCNK13;TNFSF13B;NCF2;HSD11B1;SLC8A1;OLR1;HTRA4;TRAF1;ATP6V0D2;SLAMF7;DNAJC5B</t>
  </si>
  <si>
    <t>http://www.broadinstitute.org/gsea/msigdb/cards/GSE19198_6H_VS_24H_IL21_TREATED_TCELL_UP.html</t>
  </si>
  <si>
    <t>GSE19198_6H_VS_24H_IL21_TREATED_TCELL_DN</t>
  </si>
  <si>
    <t>2533;4354;4689;57580;23533;55340;23048;4064;1240;64092;11326;10990;2212;6776;5376;57589;85464;6614;64805;55803;23166</t>
  </si>
  <si>
    <t>FYB1;MPP1;NCF4;PREX1;PIK3R5;GIMAP5;FNBP1;CD180;CMKLR1;SAMSN1;VSIG4;LILRB5;FCGR2A;STAT5A;PMP22;RIC1;SSH2;SIGLEC1;P2RY12;ADAP2;STAB1</t>
  </si>
  <si>
    <t>http://www.broadinstitute.org/gsea/msigdb/cards/GSE19198_6H_VS_24H_IL21_TREATED_TCELL_DN.html</t>
  </si>
  <si>
    <t>GSE16451_CTRL_VS_WEST_EQUINE_ENC_VIRUS_MATURE_NEURON_CELL_LINE_DN</t>
  </si>
  <si>
    <t>3559;923;1233;6504;115361;2672;64092;27033;29851;4094;3956;729230;1235;3718;10148;597;245972;51762;55013;22806;25939</t>
  </si>
  <si>
    <t>IL2RA;CD6;CCR4;SLAMF1;GBP4;GFI1;SAMSN1;ZBTB32;ICOS;MAF;LGALS1;CCR2;CCR6;JAK3;EBI3;BCL2A1;ATP6V0D2;RAB8B;MCUB;IKZF3;SAMHD1</t>
  </si>
  <si>
    <t>http://www.broadinstitute.org/gsea/msigdb/cards/GSE16451_CTRL_VS_WEST_EQUINE_ENC_VIRUS_MATURE_NEURON_CELL_LINE_DN.html</t>
  </si>
  <si>
    <t>GSE21670_UNTREATED_VS_IL6_TREATED_CD4_TCELL_DN</t>
  </si>
  <si>
    <t>9595;972;6352;2123;3695;2124;10320;9744;64926;387357;57580;64333;23228;926;3988;54518;131450;79895;10077;64919;51466</t>
  </si>
  <si>
    <t>CYTIP;CD74;CCL5;EVI2A;ITGB7;EVI2B;IKZF1;ACAP1;RASAL3;THEMIS;PREX1;ARHGAP9;PLCL2;CD8B;LIPA;APBB1IP;CD200R1;ATP8B4;TSPAN32;BCL11B;EVL</t>
  </si>
  <si>
    <t>http://www.broadinstitute.org/gsea/msigdb/cards/GSE21670_UNTREATED_VS_IL6_TREATED_CD4_TCELL_DN.html</t>
  </si>
  <si>
    <t>GSE19401_NAIVE_VS_IMMUNIZED_MOUSE_PLN_FOLLICULAR_DC_DN</t>
  </si>
  <si>
    <t>4542;9051;54440;713;4245;6772;10875;9056;9881;8742;54;3108;3109;729230;6776;9938;6507;4033;9815;90634;8605</t>
  </si>
  <si>
    <t>MYO1F;PSTPIP1;SASH3;C1QB;MGAT1;STAT1;FGL2;SLC7A7;TRANK1;TNFSF12;ACP5;HLA-DMA;HLA-DMB;CCR2;STAT5A;ARHGAP25;SLC1A3;LRMP;GIT2;N4BP2L1;PLA2G4C</t>
  </si>
  <si>
    <t>http://www.broadinstitute.org/gsea/msigdb/cards/GSE19401_NAIVE_VS_IMMUNIZED_MOUSE_PLN_FOLLICULAR_DC_DN.html</t>
  </si>
  <si>
    <t>GSE21033_3H_VS_24H_POLYIC_STIM_DC_UP</t>
  </si>
  <si>
    <t>3702;3937;3603;92241;283897;57580;23533;1794;3635;115361;23048;26051;2672;50615;51393;2162;57514;10507;22806</t>
  </si>
  <si>
    <t>ITK;LCP2;IL16;RCSD1;C16orf54;PREX1;PIK3R5;DOCK2;INPP5D;GBP4;FNBP1;PPP1R16B;GFI1;IL21R;TRPV2;F13A1;ARHGAP31;SEMA4D;IKZF3</t>
  </si>
  <si>
    <t>http://www.broadinstitute.org/gsea/msigdb/cards/GSE21033_3H_VS_24H_POLYIC_STIM_DC_UP.html</t>
  </si>
  <si>
    <t>GSE22432_PDC_VS_TGFB1_TREATEDCOMMON_DC_PROGENITOR_DN</t>
  </si>
  <si>
    <t>54440;3695;4354;2313;6890;695;3937;3587;9744;55843;283897;83706;374403;150372;139716;9034;4261;9938;8905;91010;50515</t>
  </si>
  <si>
    <t>SASH3;ITGB7;MPP1;FLI1;TAP1;BTK;LCP2;IL10RA;ACAP1;ARHGAP15;C16orf54;FERMT3;TBC1D10C;NFAM1;GAB3;CCRL2;CIITA;ARHGAP25;AP1S2;FMNL3;CHST11</t>
  </si>
  <si>
    <t>http://www.broadinstitute.org/gsea/msigdb/cards/GSE22432_PDC_VS_TGFB1_TREATEDCOMMON_DC_PROGENITOR_DN.html</t>
  </si>
  <si>
    <t>GSE25088_IL4_VS_IL4_AND_ROSIGLITAZONE_STIM_MACROPHAGE_DAY10_DN</t>
  </si>
  <si>
    <t>4542;3689;6351;6688;8477;150372;366;3936;526;1235;27163;4050;4033;3824;8809;27314;80709;375387;25780;84106;83937</t>
  </si>
  <si>
    <t>MYO1F;ITGB2;CCL4;SPI1;GPR65;NFAM1;AQP9;LCP1;ATP6V1B2;CCR6;NAAA;LTB;LRMP;KLRD1;IL18R1;RAB30;AKNA;NRROS;RASGRP3;PRAM1;RASSF4</t>
  </si>
  <si>
    <t>http://www.broadinstitute.org/gsea/msigdb/cards/GSE25088_IL4_VS_IL4_AND_ROSIGLITAZONE_STIM_MACROPHAGE_DAY10_DN.html</t>
  </si>
  <si>
    <t>GSE24726_WT_VS_E2_2_KO_PDC_DAY4_POST_DELETION_UP</t>
  </si>
  <si>
    <t>22797;1318;10068;972;1536;3689;2214;124460;1240;64092;8564;19;3117;3111;2212;6556;3123;80821;84230;4327;9935</t>
  </si>
  <si>
    <t>TFEC;SLC31A2;IL18BP;CD74;CYBB;ITGB2;FCGR3A;SNX20;CMKLR1;SAMSN1;KMO;ABCA1;HLA-DQA1;HLA-DOA;FCGR2A;SLC11A1;HLA-DRB1;DDHD1;LRRC8C;MMP19;MAFB</t>
  </si>
  <si>
    <t>http://www.broadinstitute.org/gsea/msigdb/cards/GSE24726_WT_VS_E2_2_KO_PDC_DAY4_POST_DELETION_UP.html</t>
  </si>
  <si>
    <t>GSE25085_FETAL_BM_VS_ADULT_BM_SP4_THYMIC_IMPLANT_DN</t>
  </si>
  <si>
    <t>714;5341;313;5734;93978;51296;255231;114548;58475;56833;730249;2358;7185;7941;89846;80821;10507;81553;83937;53831;1522</t>
  </si>
  <si>
    <t>C1QC;PLEK;AOAH;PTGER4;CLEC6A;SLC15A3;MCOLN2;NLRP3;MS4A7;SLAMF8;ACOD1;FPR2;TRAF1;PLA2G7;FGD3;DDHD1;SEMA4D;FAM49A;RASSF4;GPR84;CTSZ</t>
  </si>
  <si>
    <t>http://www.broadinstitute.org/gsea/msigdb/cards/GSE25085_FETAL_BM_VS_ADULT_BM_SP4_THYMIC_IMPLANT_DN.html</t>
  </si>
  <si>
    <t>GSE23502_WT_VS_HDC_KO_MYELOID_DERIVED_SUPPRESSOR_CELL_COLON_TUMOR_UP</t>
  </si>
  <si>
    <t>2533;9839;10261;713;2214;3575;93978;29992;4094;3553;348;1508;2212;728;4360;2358;6556;5027;64581;84034;59345</t>
  </si>
  <si>
    <t>FYB1;ZEB2;IGSF6;C1QB;FCGR3A;IL7R;CLEC6A;PILRA;MAF;IL1B;APOE;CTSB;FCGR2A;C5AR1;MRC1;FPR2;SLC11A1;P2RX7;CLEC7A;EMILIN2;GNB4</t>
  </si>
  <si>
    <t>http://www.broadinstitute.org/gsea/msigdb/cards/GSE23502_WT_VS_HDC_KO_MYELOID_DERIVED_SUPPRESSOR_CELL_COLON_TUMOR_UP.html</t>
  </si>
  <si>
    <t>GSE27291_0H_VS_7D_STIM_GAMMADELTA_TCELL_DN</t>
  </si>
  <si>
    <t>259197;9046;3932;3683;5778;10225;399;283897;374403;81704;139716;2672;64333;10870;4050;90634;147138;10507;64098;51466;27240</t>
  </si>
  <si>
    <t>NCR3;DOK2;LCK;ITGAL;PTPN7;CD96;RHOH;C16orf54;TBC1D10C;DOCK8;GAB3;GFI1;ARHGAP9;HCST;LTB;N4BP2L1;TMC8;SEMA4D;PARVG;EVL;SIT1</t>
  </si>
  <si>
    <t>http://www.broadinstitute.org/gsea/msigdb/cards/GSE27291_0H_VS_7D_STIM_GAMMADELTA_TCELL_DN.html</t>
  </si>
  <si>
    <t>GSE33425_CD161_HIGH_VS_INT_CD8_TCELL_UP</t>
  </si>
  <si>
    <t>972;5579;914;3055;6688;4245;695;4689;219972;255231;115361;9056;3117;4066;10437;3112;6402;3108;4208;10077;1522</t>
  </si>
  <si>
    <t>CD74;PRKCB;CD2;HCK;SPI1;MGAT1;BTK;NCF4;MPEG1;MCOLN2;GBP4;SLC7A7;HLA-DQA1;LYL1;IFI30;HLA-DOB;SELL;HLA-DMA;MEF2C;TSPAN32;CTSZ</t>
  </si>
  <si>
    <t>http://www.broadinstitute.org/gsea/msigdb/cards/GSE33425_CD161_HIGH_VS_INT_CD8_TCELL_UP.html</t>
  </si>
  <si>
    <t>GSE30971_WBP7_HET_VS_KO_MACROPHAGE_2H_LPS_STIM_DN</t>
  </si>
  <si>
    <t>3559;3575;7133;6504;10288;2210;51311;64092;9056;366;3586;2358;943;54331;11009;7185;9363;597;118788;80183;29126</t>
  </si>
  <si>
    <t>IL2RA;IL7R;TNFRSF1B;SLAMF1;LILRB2;FCGR1B;TLR8;SAMSN1;SLC7A7;AQP9;IL10;FPR2;TNFRSF8;GNG2;IL24;TRAF1;RAB33A;BCL2A1;PIK3AP1;RUBCNL;CD274</t>
  </si>
  <si>
    <t>http://www.broadinstitute.org/gsea/msigdb/cards/GSE30971_WBP7_HET_VS_KO_MACROPHAGE_2H_LPS_STIM_DN.html</t>
  </si>
  <si>
    <t>GSE36888_STAT5_AB_KNOCKIN_VS_WT_TCELL_IL2_TREATED_2H_UP</t>
  </si>
  <si>
    <t>9450;4354;286336;84868;4064;51744;64231;51284;54209;11314;10673;341;3108;3109;4261;4208;10672;3123;10462;54504;64174</t>
  </si>
  <si>
    <t>LY86;MPP1;FAM78A;HAVCR2;CD180;CD244;MS4A6A;TLR7;TREM2;CD300A;TNFSF13B;APOC1;HLA-DMA;HLA-DMB;CIITA;MEF2C;GNA13;HLA-DRB1;CLEC10A;CPVL;DPEP2</t>
  </si>
  <si>
    <t>http://www.broadinstitute.org/gsea/msigdb/cards/GSE36888_STAT5_AB_KNOCKIN_VS_WT_TCELL_IL2_TREATED_2H_UP.html</t>
  </si>
  <si>
    <t>GSE36888_UNTREATED_VS_IL2_TREATED_TCELL_17H_UP</t>
  </si>
  <si>
    <t>9450;942;4354;286336;84868;4064;64231;51284;54209;2857;10673;3122;341;3108;3109;1043;4261;4208;10457;54504;64174</t>
  </si>
  <si>
    <t>LY86;CD86;MPP1;FAM78A;HAVCR2;CD180;MS4A6A;TLR7;TREM2;GPR34;TNFSF13B;HLA-DRA;APOC1;HLA-DMA;HLA-DMB;CD52;CIITA;MEF2C;GPNMB;CPVL;DPEP2</t>
  </si>
  <si>
    <t>http://www.broadinstitute.org/gsea/msigdb/cards/GSE36888_UNTREATED_VS_IL2_TREATED_TCELL_17H_UP.html</t>
  </si>
  <si>
    <t>GSE32034_LY6C_HIGH_VS_LOW_ROSIGLIZATONE_TREATED_MONOCYTE_DN</t>
  </si>
  <si>
    <t>3627;3659;6351;3561;5734;942;10320;255231;4064;51744;730249;3717;3162;5552;10437;2213;1230;2833;3003;3718;54861</t>
  </si>
  <si>
    <t>CXCL10;IRF1;CCL4;IL2RG;PTGER4;CD86;IKZF1;MCOLN2;CD180;CD244;ACOD1;JAK2;HMOX1;SRGN;IFI30;FCGR2B;CCR1;CXCR3;GZMK;JAK3;SNRK</t>
  </si>
  <si>
    <t>http://www.broadinstitute.org/gsea/msigdb/cards/GSE32034_LY6C_HIGH_VS_LOW_ROSIGLIZATONE_TREATED_MONOCYTE_DN.html</t>
  </si>
  <si>
    <t>GSE40274_CTRL_VS_FOXP3_AND_HELIOS_TRANSDUCED_ACTIVATED_CD4_TCELL_UP</t>
  </si>
  <si>
    <t>5579;2124;5734;942;3587;9744;474344;221472;64231;56659;55589;55303;51284;29909;4261;4050;9815;375387;79630;64747;22806</t>
  </si>
  <si>
    <t>PRKCB;EVI2B;PTGER4;CD86;IL10RA;ACAP1;GIMAP6;FGD2;MS4A6A;KCNK13;BMP2K;GIMAP4;TLR7;GPR171;CIITA;LTB;GIT2;NRROS;C1orf54;MFSD1;IKZF3</t>
  </si>
  <si>
    <t>http://www.broadinstitute.org/gsea/msigdb/cards/GSE40274_CTRL_VS_FOXP3_AND_HELIOS_TRANSDUCED_ACTIVATED_CD4_TCELL_UP.html</t>
  </si>
  <si>
    <t>GSE38304_MYC_NEG_VS_POS_GC_BCELL_DN</t>
  </si>
  <si>
    <t>9404;8676;3458;3560;3594;4689;255231;115361;57105;2857;29851;4094;3290;54331;55911;7185;597;151556;80709;116442;57823</t>
  </si>
  <si>
    <t>LPXN;STX11;IFNG;IL2RB;IL12RB1;NCF4;MCOLN2;GBP4;CYSLTR2;GPR34;ICOS;MAF;HSD11B1;GNG2;APOBR;TRAF1;BCL2A1;GPR155;AKNA;RAB39B;SLAMF7</t>
  </si>
  <si>
    <t>http://www.broadinstitute.org/gsea/msigdb/cards/GSE38304_MYC_NEG_VS_POS_GC_BCELL_DN.html</t>
  </si>
  <si>
    <t>GSE41867_NAIVE_VS_DAY6_LCMV_EFFECTOR_CD8_TCELL_UP</t>
  </si>
  <si>
    <t>1318;10068;3689;3676;942;84166;81030;730249;10154;4481;3290;9938;2833;6891;10148;79630;6363;64581;7462;81553;25939</t>
  </si>
  <si>
    <t>SLC31A2;IL18BP;ITGB2;ITGA4;CD86;NLRC5;ZBP1;ACOD1;PLXNC1;MSR1;HSD11B1;ARHGAP25;CXCR3;TAP2;EBI3;C1orf54;CCL19;CLEC7A;LAT2;FAM49A;SAMHD1</t>
  </si>
  <si>
    <t>http://www.broadinstitute.org/gsea/msigdb/cards/GSE41867_NAIVE_VS_DAY6_LCMV_EFFECTOR_CD8_TCELL_UP.html</t>
  </si>
  <si>
    <t>9404;9595;1436;951;4354;6039;80896;53346;10019;9120;8530;1102;3115;3936;241;2357;6556;8905;25900;4215;22900</t>
  </si>
  <si>
    <t>LPXN;CYTIP;CSF1R;CD37;MPP1;RNASE6;NPL;TM6SF1;SH2B3;SLC16A6;CST7;RCBTB2;HLA-DPB1;LCP1;ALOX5AP;FPR1;SLC11A1;AP1S2;IFFO1;MAP3K3;CARD8</t>
  </si>
  <si>
    <t>http://www.broadinstitute.org/gsea/msigdb/cards/GSE36826_NORMAL_VS_STAPH_AUREUS_INF_IL1R_KO_SKIN_DN.html</t>
  </si>
  <si>
    <t>GSE44955_MCSF_VS_MCSF_AND_IL27_STIM_MACROPHAGE_UP</t>
  </si>
  <si>
    <t>4542;1536;5579;2268;3659;6352;1378;7133;971;120939;3903;79930;146722;115361;11314;3553;3109;4973;90634;51676;84106</t>
  </si>
  <si>
    <t>MYO1F;CYBB;PRKCB;FGR;IRF1;CCL5;CR1;TNFRSF1B;CD72;TMEM52B;LAIR1;DOK3;CD300LF;GBP4;CD300A;IL1B;HLA-DMB;OLR1;N4BP2L1;ASB2;PRAM1</t>
  </si>
  <si>
    <t>http://www.broadinstitute.org/gsea/msigdb/cards/GSE44955_MCSF_VS_MCSF_AND_IL27_STIM_MACROPHAGE_UP.html</t>
  </si>
  <si>
    <t>GSE43863_LY6C_INT_CXCR5POS_VS_LY6C_LOW_CXCR5NEG_EFFECTOR_CD4_TCELL_DN</t>
  </si>
  <si>
    <t>3932;5341;5734;51296;8477;117289;2672;30009;3717;8530;3122;5552;3902;1235;5376;3123;84230;51762;84034;7462;50515</t>
  </si>
  <si>
    <t>LCK;PLEK;PTGER4;SLC15A3;GPR65;TAGAP;GFI1;TBX21;JAK2;CST7;HLA-DRA;SRGN;LAG3;CCR6;PMP22;HLA-DRB1;LRRC8C;RAB8B;EMILIN2;LAT2;CHST11</t>
  </si>
  <si>
    <t>http://www.broadinstitute.org/gsea/msigdb/cards/GSE43863_LY6C_INT_CXCR5POS_VS_LY6C_LOW_CXCR5NEG_EFFECTOR_CD4_TCELL_DN.html</t>
  </si>
  <si>
    <t>GSE3720_UNSTIM_VS_LPS_STIM_VD1_GAMMADELTA_TCELL_DN</t>
  </si>
  <si>
    <t>3559;3683;941;2014;6504;3662;10666;387357;84868;27128;3956;2213;8809;118788;79895;55619;55803;57823</t>
  </si>
  <si>
    <t>IL2RA;ITGAL;CD80;EMP3;SLAMF1;IRF4;CD226;THEMIS;HAVCR2;CYTH4;LGALS1;FCGR2B;IL18R1;PIK3AP1;ATP8B4;DOCK10;ADAP2;SLAMF7</t>
  </si>
  <si>
    <t>http://www.broadinstitute.org/gsea/msigdb/cards/GSE3720_UNSTIM_VS_LPS_STIM_VD1_GAMMADELTA_TCELL_DN.html</t>
  </si>
  <si>
    <t>GSE27859_MACROPHAGE_VS_CD11C_INT_F480_INT_DC_UP</t>
  </si>
  <si>
    <t>8676;929;942;1233;3394;6504;3587;4689;56659;55589;56833;10870;3717;8530;1435;5724;1043;3604;27314</t>
  </si>
  <si>
    <t>STX11;CD14;CD86;CCR4;IRF8;SLAMF1;IL10RA;NCF4;KCNK13;BMP2K;SLAMF8;HCST;JAK2;CST7;CSF1;PTAFR;CD52;TNFRSF9;RAB30</t>
  </si>
  <si>
    <t>http://www.broadinstitute.org/gsea/msigdb/cards/GSE27859_MACROPHAGE_VS_CD11C_INT_F480_INT_DC_UP.html</t>
  </si>
  <si>
    <t>GSE37605_TREG_VS_TCONV_C57BL6_FOXP3_FUSION_GFP_DN</t>
  </si>
  <si>
    <t>8676;10261;3458;714;3689;7453;923;53347;283897;58475;56833;30009;11326;27299;10537;2357;2833;150771;245972</t>
  </si>
  <si>
    <t>STX11;IGSF6;IFNG;C1QC;ITGB2;WARS;CD6;UBASH3A;C16orf54;MS4A7;SLAMF8;TBX21;VSIG4;ADAMDEC1;UBD;FPR1;CXCR3;ITPRIPL1;ATP6V0D2</t>
  </si>
  <si>
    <t>http://www.broadinstitute.org/gsea/msigdb/cards/GSE37605_TREG_VS_TCONV_C57BL6_FOXP3_FUSION_GFP_DN.html</t>
  </si>
  <si>
    <t>GSE32901_NAIVE_VS_TH17_NEG_CD4_TCELL_UP</t>
  </si>
  <si>
    <t>9214;9450;972;1536;914;1233;3662;219972;8564;3002;10437;1235;4208;3604;4818;57705;25780;7462;1522</t>
  </si>
  <si>
    <t>FCMR;LY86;CD74;CYBB;CD2;CCR4;IRF4;MPEG1;KMO;GZMB;IFI30;CCR6;MEF2C;TNFRSF9;NKG7;WDFY4;RASGRP3;LAT2;CTSZ</t>
  </si>
  <si>
    <t>http://www.broadinstitute.org/gsea/msigdb/cards/GSE32901_NAIVE_VS_TH17_NEG_CD4_TCELL_UP.html</t>
  </si>
  <si>
    <t>GSE15271_CXCR4_POS_VS_NEG_GC_BCELL_DN</t>
  </si>
  <si>
    <t>9051;7305;10261;3001;6352;1236;23533;23048;64333;51311;27299;5552;79865;57705;80709;54518;64780;79630;283316</t>
  </si>
  <si>
    <t>PSTPIP1;TYROBP;IGSF6;GZMA;CCL5;CCR7;PIK3R5;FNBP1;ARHGAP9;TLR8;ADAMDEC1;SRGN;TREML2;WDFY4;AKNA;APBB1IP;MICAL1;C1orf54;CD163L1</t>
  </si>
  <si>
    <t>http://www.broadinstitute.org/gsea/msigdb/cards/GSE15271_CXCR4_POS_VS_NEG_GC_BCELL_DN.html</t>
  </si>
  <si>
    <t>GSE25677_MPL_VS_R848_STIM_BCELL_UP</t>
  </si>
  <si>
    <t>7305;1536;3055;3683;1439;942;10320;3903;11006;146722;4064;51284;10154;1230;7185;7941;91010;51676;29126</t>
  </si>
  <si>
    <t>TYROBP;CYBB;HCK;ITGAL;CSF2RB;CD86;IKZF1;LAIR1;LILRB4;CD300LF;CD180;TLR7;PLXNC1;CCR1;TRAF1;PLA2G7;FMNL3;ASB2;CD274</t>
  </si>
  <si>
    <t>http://www.broadinstitute.org/gsea/msigdb/cards/GSE25677_MPL_VS_R848_STIM_BCELL_UP.html</t>
  </si>
  <si>
    <t>GSE40274_FOXP3_VS_FOXP3_AND_SATB1_TRANSDUCED_ACTIVATED_CD4_TCELL_DN</t>
  </si>
  <si>
    <t>3559;5579;1493;941;942;4354;92241;151888;255231;89857;114836;55589;27033;921;3684;79865;120425;84541;283316</t>
  </si>
  <si>
    <t>IL2RA;PRKCB;CTLA4;CD80;CD86;MPP1;RCSD1;BTLA;MCOLN2;KLHL6;SLAMF6;BMP2K;ZBTB32;CD5;ITGAM;TREML2;JAML;KBTBD8;CD163L1</t>
  </si>
  <si>
    <t>http://www.broadinstitute.org/gsea/msigdb/cards/GSE40274_FOXP3_VS_FOXP3_AND_SATB1_TRANSDUCED_ACTIVATED_CD4_TCELL_DN.html</t>
  </si>
  <si>
    <t>2533;9535;9214;3627;962;940;313;1236;92241;474344;348378;54557;55589;23228;6402;4481;10235;155038;6614;26157</t>
  </si>
  <si>
    <t>FYB1;GMFG;FCMR;CXCL10;CD48;CD28;AOAH;CCR7;RCSD1;GIMAP6;SHISAL2A;SGTB;BMP2K;PLCL2;SELL;MSR1;RASGRP2;GIMAP8;SIGLEC1;GIMAP2</t>
  </si>
  <si>
    <t>http://www.broadinstitute.org/gsea/msigdb/cards/GSE21670_IL6_VS_TGFB_AND_IL6_TREATED_CD4_TCELL_UP.html</t>
  </si>
  <si>
    <t>GSE34156_UNTREATED_VS_6H_NOD2_AND_TLR1_TLR2_LIGAND_TREATED_MONOCYTE_DN</t>
  </si>
  <si>
    <t>3627;3676;971;6772;6890;10320;10875;257106;115362;116986;81030;64092;2833;118788;161145;115727;84230;25939</t>
  </si>
  <si>
    <t>CXCL10;ITGA4;CD72;STAT1;TAP1;IKZF1;FGL2;ARHGAP30;GBP5;AGAP2;ZBP1;SAMSN1;CXCR3;PIK3AP1;TMEM229B;RASGRP4;LRRC8C;SAMHD1</t>
  </si>
  <si>
    <t>http://www.broadinstitute.org/gsea/msigdb/cards/GSE34156_UNTREATED_VS_6H_NOD2_AND_TLR1_TLR2_LIGAND_TREATED_MONOCYTE_DN.html</t>
  </si>
  <si>
    <t>GSE40274_FOXP3_VS_FOXP3_AND_XBP1_TRANSDUCED_ACTIVATED_CD4_TCELL_DN</t>
  </si>
  <si>
    <t>917;1493;942;4354;92241;151888;255231;387357;114836;50615;55589;27033;1102;921;3684;120425;80821;1522</t>
  </si>
  <si>
    <t>CD3G;CTLA4;CD86;MPP1;RCSD1;BTLA;MCOLN2;THEMIS;SLAMF6;IL21R;BMP2K;ZBTB32;RCBTB2;CD5;ITGAM;JAML;DDHD1;CTSZ</t>
  </si>
  <si>
    <t>http://www.broadinstitute.org/gsea/msigdb/cards/GSE40274_FOXP3_VS_FOXP3_AND_XBP1_TRANSDUCED_ACTIVATED_CD4_TCELL_DN.html</t>
  </si>
  <si>
    <t>GSE40666_UNTREATED_VS_IFNA_STIM_STAT4_KO_EFFECTOR_CD8_TCELL_90MIN_UP</t>
  </si>
  <si>
    <t>4542;9404;3055;3687;391;6890;10666;283897;84166;11006;81030;27033;3162;3684;54;3737;4688;5724;10148;57823</t>
  </si>
  <si>
    <t>MYO1F;LPXN;HCK;ITGAX;RHOG;TAP1;CD226;C16orf54;NLRC5;LILRB4;ZBP1;ZBTB32;HMOX1;ITGAM;ACP5;KCNA2;NCF2;PTAFR;EBI3;SLAMF7</t>
  </si>
  <si>
    <t>http://www.broadinstitute.org/gsea/msigdb/cards/GSE40666_UNTREATED_VS_IFNA_STIM_STAT4_KO_EFFECTOR_CD8_TCELL_90MIN_UP.html</t>
  </si>
  <si>
    <t>GSE21360_PRIMARY_VS_QUATERNARY_MEMORY_CD8_TCELL_UP</t>
  </si>
  <si>
    <t>4542;9595;972;1536;6352;3561;6772;4064;4063;10154;3812;5376;10457;245972;338339;64581;83937;57823;25939</t>
  </si>
  <si>
    <t>MYO1F;CYTIP;CD74;CYBB;CCL5;IL2RG;STAT1;CD180;LY9;PLXNC1;KIR3DL2;PMP22;GPNMB;ATP6V0D2;CLEC4D;CLEC7A;RASSF4;SLAMF7;SAMHD1</t>
  </si>
  <si>
    <t>http://www.broadinstitute.org/gsea/msigdb/cards/GSE21360_PRIMARY_VS_QUATERNARY_MEMORY_CD8_TCELL_UP.html</t>
  </si>
  <si>
    <t>GSE13522_WT_VS_IFNAR_KO_SKIN_DN</t>
  </si>
  <si>
    <t>4542;10663;9535;8676;972;3575;7133;10875;201633;57580;29851;3956;5552;3002;1230;729230;1237;245972;131450</t>
  </si>
  <si>
    <t>MYO1F;CXCR6;GMFG;STX11;CD74;IL7R;TNFRSF1B;FGL2;TIGIT;PREX1;ICOS;LGALS1;SRGN;GZMB;CCR1;CCR2;CCR8;ATP6V0D2;CD200R1</t>
  </si>
  <si>
    <t>http://www.broadinstitute.org/gsea/msigdb/cards/GSE13522_WT_VS_IFNAR_KO_SKIN_DN.html</t>
  </si>
  <si>
    <t>GSE37532_WT_VS_PPARG_KO_LN_TCONV_DN</t>
  </si>
  <si>
    <t>3458;5341;3001;6352;5551;3683;3687;5778;201633;8477;51393;3956;1435;10437;3988;729230;6891;118788;10507</t>
  </si>
  <si>
    <t>IFNG;PLEK;GZMA;CCL5;PRF1;ITGAL;ITGAX;PTPN7;TIGIT;GPR65;TRPV2;LGALS1;CSF1;IFI30;LIPA;CCR2;TAP2;PIK3AP1;SEMA4D</t>
  </si>
  <si>
    <t>http://www.broadinstitute.org/gsea/msigdb/cards/GSE37532_WT_VS_PPARG_KO_LN_TCONV_DN.html</t>
  </si>
  <si>
    <t>GSE9960_HEALTHY_VS_GRAM_POS_SEPSIS_PBMC_DN</t>
  </si>
  <si>
    <t>9595;6352;3575;941;5734;6772;84166;255231;10673;158830;2811;3718;3604;7185;10148;441168;10507;6614;57823;29126</t>
  </si>
  <si>
    <t>CYTIP;CCL5;IL7R;CD80;PTGER4;STAT1;NLRC5;MCOLN2;TNFSF13B;CXorf65;GP1BA;JAK3;TNFRSF9;TRAF1;EBI3;CALHM6;SEMA4D;SIGLEC1;SLAMF7;CD274</t>
  </si>
  <si>
    <t>http://www.broadinstitute.org/gsea/msigdb/cards/GSE9960_HEALTHY_VS_GRAM_POS_SEPSIS_PBMC_DN.html</t>
  </si>
  <si>
    <t>GSE12366_GC_VS_MEMORY_BCELL_DN</t>
  </si>
  <si>
    <t>4542;10068;962;1378;1236;6772;5800;151888;64926;8477;80301;10154;9103;9938;1235;27163;90634;147138;55619;64098</t>
  </si>
  <si>
    <t>MYO1F;IL18BP;CD48;CR1;CCR7;STAT1;PTPRO;BTLA;RASAL3;GPR65;PLEKHO2;PLXNC1;FCGR2A;ARHGAP25;CCR6;NAAA;N4BP2L1;TMC8;DOCK10;PARVG</t>
  </si>
  <si>
    <t>http://www.broadinstitute.org/gsea/msigdb/cards/GSE12366_GC_VS_MEMORY_BCELL_DN.html</t>
  </si>
  <si>
    <t>9535;54440;1536;5788;2268;3394;695;9459;124535;55843;348378;3635;114836;10019;80342;1235;6503;10235;64174;59345</t>
  </si>
  <si>
    <t>GMFG;SASH3;CYBB;PTPRC;FGR;IRF8;BTK;ARHGEF6;HSF5;ARHGAP15;SHISAL2A;INPP5D;SLAMF6;SH2B3;TRAF3IP3;CCR6;SLA;RASGRP2;DPEP2;GNB4</t>
  </si>
  <si>
    <t>http://www.broadinstitute.org/gsea/msigdb/cards/GSE12366_PLASMA_CELL_VS_NAIVE_BCELL_DN.html</t>
  </si>
  <si>
    <t>GSE13738_RESTING_VS_BYSTANDER_ACTIVATED_CD4_TCELL_DN</t>
  </si>
  <si>
    <t>3560;7133;1439;6504;4689;3662;26051;84174;10870;8742;4094;1102;4049;3956;240;54331;3604;150771;50515;4644</t>
  </si>
  <si>
    <t>IL2RB;TNFRSF1B;CSF2RB;SLAMF1;NCF4;IRF4;PPP1R16B;SLA2;HCST;TNFSF12;MAF;RCBTB2;LTA;LGALS1;ALOX5;GNG2;TNFRSF9;ITPRIPL1;CHST11;MYO5A</t>
  </si>
  <si>
    <t>http://www.broadinstitute.org/gsea/msigdb/cards/GSE13738_RESTING_VS_BYSTANDER_ACTIVATED_CD4_TCELL_DN.html</t>
  </si>
  <si>
    <t>GSE14769_UNSTIM_VS_60MIN_LPS_BMDM_DN</t>
  </si>
  <si>
    <t>8676;5341;929;3659;6351;6352;3587;80231;730249;9034;3553;5552;3586;969;597;100506736;375387;57823;53831;55691</t>
  </si>
  <si>
    <t>STX11;PLEK;CD14;IRF1;CCL4;CCL5;IL10RA;CXorf21;ACOD1;CCRL2;IL1B;SRGN;IL10;CD69;BCL2A1;SLFN12L;NRROS;SLAMF7;GPR84;FRMD4A</t>
  </si>
  <si>
    <t>http://www.broadinstitute.org/gsea/msigdb/cards/GSE14769_UNSTIM_VS_60MIN_LPS_BMDM_DN.html</t>
  </si>
  <si>
    <t>GSE17721_PAM3CSK4_VS_GADIQUIMOD_4H_BMDC_DN</t>
  </si>
  <si>
    <t>3627;3055;2322;10225;1234;4354;3394;6404;4689;399;8477;146722;27036;9034;2213;1230;8905;7185;161145;55281</t>
  </si>
  <si>
    <t>CXCL10;HCK;FLT3;CD96;CCR5;MPP1;IRF8;SELPLG;NCF4;RHOH;GPR65;CD300LF;SIGLEC7;CCRL2;FCGR2B;CCR1;AP1S2;TRAF1;TMEM229B;TMEM140</t>
  </si>
  <si>
    <t>http://www.broadinstitute.org/gsea/msigdb/cards/GSE17721_PAM3CSK4_VS_GADIQUIMOD_4H_BMDC_DN.html</t>
  </si>
  <si>
    <t>GSE17721_ALL_VS_24H_PAM3CSK4_BMDC_UP</t>
  </si>
  <si>
    <t>972;2268;6036;3575;963;3687;2014;5800;56833;3117;348;1508;1435;3109;4261;3123;100506736;10462;64581;51466</t>
  </si>
  <si>
    <t>CD74;FGR;RNASE2;IL7R;CD53;ITGAX;EMP3;PTPRO;SLAMF8;HLA-DQA1;APOE;CTSB;CSF1;HLA-DMB;CIITA;HLA-DRB1;SLFN12L;CLEC10A;CLEC7A;EVL</t>
  </si>
  <si>
    <t>http://www.broadinstitute.org/gsea/msigdb/cards/GSE17721_ALL_VS_24H_PAM3CSK4_BMDC_UP.html</t>
  </si>
  <si>
    <t>GSE17721_0.5H_VS_24H_CPG_BMDC_DN</t>
  </si>
  <si>
    <t>2533;2214;6352;971;313;6890;51296;115361;58475;3717;19;5452;54;3059;2357;11010;6556;6503;10148;57823</t>
  </si>
  <si>
    <t>FYB1;FCGR3A;CCL5;CD72;AOAH;TAP1;SLC15A3;GBP4;MS4A7;JAK2;ABCA1;POU2F2;ACP5;HCLS1;FPR1;GLIPR1;SLC11A1;SLA;EBI3;SLAMF7</t>
  </si>
  <si>
    <t>http://www.broadinstitute.org/gsea/msigdb/cards/GSE17721_0.5H_VS_24H_CPG_BMDC_DN.html</t>
  </si>
  <si>
    <t>GSE17974_IL4_AND_ANTI_IL12_VS_UNTREATED_24H_ACT_CD4_TCELL_DN</t>
  </si>
  <si>
    <t>3627;6351;2207;11262;55843;128611;79626;170575;114836;115362;55303;30009;10673;3002;3290;2833;151556;79690;57823;55281</t>
  </si>
  <si>
    <t>CXCL10;CCL4;FCER1G;SP140;ARHGAP15;ZNF831;TNFAIP8L2;GIMAP1;SLAMF6;GBP5;GIMAP4;TBX21;TNFSF13B;GZMB;HSD11B1;CXCR3;GPR155;GAL3ST4;SLAMF7;TMEM140</t>
  </si>
  <si>
    <t>http://www.broadinstitute.org/gsea/msigdb/cards/GSE17974_IL4_AND_ANTI_IL12_VS_UNTREATED_24H_ACT_CD4_TCELL_DN.html</t>
  </si>
  <si>
    <t>GSE18791_CTRL_VS_NEWCASTLE_VIRUS_DC_6H_DN</t>
  </si>
  <si>
    <t>1318;8676;3627;3659;2633;6772;6890;4283;84166;115362;116986;81030;6373;9881;10672;116071;10507;6614;55281;29126</t>
  </si>
  <si>
    <t>SLC31A2;STX11;CXCL10;IRF1;GBP1;STAT1;TAP1;CXCL9;NLRC5;GBP5;AGAP2;ZBP1;CXCL11;TRANK1;GNA13;BATF2;SEMA4D;SIGLEC1;TMEM140;CD274</t>
  </si>
  <si>
    <t>http://www.broadinstitute.org/gsea/msigdb/cards/GSE18791_CTRL_VS_NEWCASTLE_VIRUS_DC_6H_DN.html</t>
  </si>
  <si>
    <t>916;917;940;3575;1236;944;53347;3702;6504;5800;55843;4063;55423;225;29851;921;926;4050;814;27240</t>
  </si>
  <si>
    <t>CD3E;CD3G;CD28;IL7R;CCR7;TNFSF8;UBASH3A;ITK;SLAMF1;PTPRO;ARHGAP15;LY9;SIRPG;ABCD2;ICOS;CD5;CD8B;LTB;CAMK4;SIT1</t>
  </si>
  <si>
    <t>http://www.broadinstitute.org/gsea/msigdb/cards/GSE22886_NAIVE_CD8_TCELL_VS_NKCELL_UP.html</t>
  </si>
  <si>
    <t>GSE22886_TCELL_VS_BCELL_NAIVE_DN</t>
  </si>
  <si>
    <t>9450;971;941;3394;695;4064;50856;8564;19;3111;3112;2358;3108;3109;2213;4208;11009;27314;79865;80183</t>
  </si>
  <si>
    <t>LY86;CD72;CD80;IRF8;BTK;CD180;CLEC4A;KMO;ABCA1;HLA-DOA;HLA-DOB;FPR2;HLA-DMA;HLA-DMB;FCGR2B;MEF2C;IL24;RAB30;TREML2;RUBCNL</t>
  </si>
  <si>
    <t>http://www.broadinstitute.org/gsea/msigdb/cards/GSE22886_TCELL_VS_BCELL_NAIVE_DN.html</t>
  </si>
  <si>
    <t>GSE24142_DN2_VS_DN3_THYMOCYTE_FETAL_DN</t>
  </si>
  <si>
    <t>9402;914;940;6890;6504;5800;256380;114836;53346;64231;2857;348;3111;1508;926;3586;3290;2833;7185;27240</t>
  </si>
  <si>
    <t>GRAP2;CD2;CD28;TAP1;SLAMF1;PTPRO;SCML4;SLAMF6;TM6SF1;MS4A6A;GPR34;APOE;HLA-DOA;CTSB;CD8B;IL10;HSD11B1;CXCR3;TRAF1;SIT1</t>
  </si>
  <si>
    <t>http://www.broadinstitute.org/gsea/msigdb/cards/GSE24142_DN2_VS_DN3_THYMOCYTE_FETAL_DN.html</t>
  </si>
  <si>
    <t>GSE24634_IL4_VS_CTRL_TREATED_NAIVE_CD4_TCELL_DAY10_UP</t>
  </si>
  <si>
    <t>9214;4068;11309;915;914;3676;5734;10225;3937;3603;23048;2672;55423;80342;10154;27306;2162;596;11009;10507</t>
  </si>
  <si>
    <t>FCMR;SH2D1A;SLCO2B1;CD3D;CD2;ITGA4;PTGER4;CD96;LCP2;IL16;FNBP1;GFI1;SIRPG;TRAF3IP3;PLXNC1;HPGDS;F13A1;BCL2;IL24;SEMA4D</t>
  </si>
  <si>
    <t>http://www.broadinstitute.org/gsea/msigdb/cards/GSE24634_IL4_VS_CTRL_TREATED_NAIVE_CD4_TCELL_DAY10_UP.html</t>
  </si>
  <si>
    <t>GSE2706_UNSTIM_VS_2H_LPS_AND_R848_DC_DN</t>
  </si>
  <si>
    <t>8676;3627;3659;1236;2633;5734;3394;4283;6504;3587;9034;6373;4049;7185;27314;116071;5027;81553;57823;29126</t>
  </si>
  <si>
    <t>STX11;CXCL10;IRF1;CCR7;GBP1;PTGER4;IRF8;CXCL9;SLAMF1;IL10RA;CCRL2;CXCL11;LTA;TRAF1;RAB30;BATF2;P2RX7;FAM49A;SLAMF7;CD274</t>
  </si>
  <si>
    <t>http://www.broadinstitute.org/gsea/msigdb/cards/GSE2706_UNSTIM_VS_2H_LPS_AND_R848_DC_DN.html</t>
  </si>
  <si>
    <t>GSE29618_BCELL_VS_PDC_DN</t>
  </si>
  <si>
    <t>5341;1439;2322;3394;6404;3662;11006;1240;51284;11314;27128;29909;1508;3002;241;11010;1601;8809;55704;10184</t>
  </si>
  <si>
    <t>PLEK;CSF2RB;FLT3;IRF8;SELPLG;IRF4;LILRB4;CMKLR1;TLR7;CD300A;CYTH4;GPR171;CTSB;GZMB;ALOX5AP;GLIPR1;DAB2;IL18R1;CCDC88A;LHFPL2</t>
  </si>
  <si>
    <t>http://www.broadinstitute.org/gsea/msigdb/cards/GSE29618_BCELL_VS_PDC_DN.html</t>
  </si>
  <si>
    <t>GSE3337_CTRL_VS_16H_IFNG_IN_CD8POS_DC_DN</t>
  </si>
  <si>
    <t>4242;10068;3659;951;7453;3594;3394;6890;4283;11184;4064;730249;10537;3111;3059;3108;2833;6891;3123;25939</t>
  </si>
  <si>
    <t>MFNG;IL18BP;IRF1;CD37;WARS;IL12RB1;IRF8;TAP1;CXCL9;MAP4K1;CD180;ACOD1;UBD;HLA-DOA;HCLS1;HLA-DMA;CXCR3;TAP2;HLA-DRB1;SAMHD1</t>
  </si>
  <si>
    <t>http://www.broadinstitute.org/gsea/msigdb/cards/GSE3337_CTRL_VS_16H_IFNG_IN_CD8POS_DC_DN.html</t>
  </si>
  <si>
    <t>GSE360_T_GONDII_VS_B_MALAYI_LOW_DOSE_DC_DN</t>
  </si>
  <si>
    <t>9046;9450;2350;4332;10875;719;1794;6039;8742;4094;1102;2162;341;240;4066;4360;1043;11027;54504;23166</t>
  </si>
  <si>
    <t>DOK2;LY86;FOLR2;MNDA;FGL2;C3AR1;DOCK2;RNASE6;TNFSF12;MAF;RCBTB2;F13A1;APOC1;ALOX5;LYL1;MRC1;CD52;LILRA2;CPVL;STAB1</t>
  </si>
  <si>
    <t>http://www.broadinstitute.org/gsea/msigdb/cards/GSE360_T_GONDII_VS_B_MALAYI_LOW_DOSE_DC_DN.html</t>
  </si>
  <si>
    <t>GSE360_HIGH_DOSE_B_MALAYI_VS_M_TUBERCULOSIS_DC_DN</t>
  </si>
  <si>
    <t>8676;3458;3559;1536;2214;962;6351;7453;1236;2633;1439;5734;3587;9332;10154;8530;3936;4973;7185;81553</t>
  </si>
  <si>
    <t>STX11;IFNG;IL2RA;CYBB;FCGR3A;CD48;CCL4;WARS;CCR7;GBP1;CSF2RB;PTGER4;IL10RA;CD163;PLXNC1;CST7;LCP1;OLR1;TRAF1;FAM49A</t>
  </si>
  <si>
    <t>http://www.broadinstitute.org/gsea/msigdb/cards/GSE360_HIGH_DOSE_B_MALAYI_VS_M_TUBERCULOSIS_DC_DN.html</t>
  </si>
  <si>
    <t>7940;2268;951;3687;971;313;9034;2219;6793;3117;54;3108;3109;3988;9938;4208;25900;2529;11027;6363</t>
  </si>
  <si>
    <t>LST1;FGR;CD37;ITGAX;CD72;AOAH;CCRL2;FCN1;STK10;HLA-DQA1;ACP5;HLA-DMA;HLA-DMB;LIPA;ARHGAP25;MEF2C;IFFO1;FUT7;LILRA2;CCL19</t>
  </si>
  <si>
    <t>http://www.broadinstitute.org/gsea/msigdb/cards/GSE360_HIGH_DOSE_B_MALAYI_VS_M_TUBERCULOSIS_MAC_UP.html</t>
  </si>
  <si>
    <t>4542;2533;3689;962;2123;2124;3820;9459;55843;1794;27128;23228;241;1043;3003;969;10235;54861;55013;25939</t>
  </si>
  <si>
    <t>MYO1F;FYB1;ITGB2;CD48;EVI2A;EVI2B;KLRB1;ARHGEF6;ARHGAP15;DOCK2;CYTH4;PLCL2;ALOX5AP;CD52;GZMK;CD69;RASGRP2;SNRK;MCUB;SAMHD1</t>
  </si>
  <si>
    <t>http://www.broadinstitute.org/gsea/msigdb/cards/GSE36476_CTRL_VS_TSST_ACT_16H_MEMORY_CD4_TCELL_YOUNG_UP.html</t>
  </si>
  <si>
    <t>GSE3982_CTRL_VS_LPS_4H_MAC_DN</t>
  </si>
  <si>
    <t>5341;962;3659;6352;7453;941;6772;1233;1234;3394;6504;3587;23533;51284;8564;6793;3290;7185;9363;50515</t>
  </si>
  <si>
    <t>PLEK;CD48;IRF1;CCL5;WARS;CD80;STAT1;CCR4;CCR5;IRF8;SLAMF1;IL10RA;PIK3R5;TLR7;KMO;STK10;HSD11B1;TRAF1;RAB33A;CHST11</t>
  </si>
  <si>
    <t>http://www.broadinstitute.org/gsea/msigdb/cards/GSE3982_CTRL_VS_LPS_4H_MAC_DN.html</t>
  </si>
  <si>
    <t>GSE3982_EOSINOPHIL_VS_MAST_CELL_UP</t>
  </si>
  <si>
    <t>9046;3683;3687;1439;3101;3587;8477;10288;55016;53829;57105;64092;3717;2357;2833;3003;55911;6503;9815;79690</t>
  </si>
  <si>
    <t>DOK2;ITGAL;ITGAX;CSF2RB;HK3;IL10RA;GPR65;LILRB2;MARCH1;P2RY13;CYSLTR2;SAMSN1;JAK2;FPR1;CXCR3;GZMK;APOBR;SLA;GIT2;GAL3ST4</t>
  </si>
  <si>
    <t>http://www.broadinstitute.org/gsea/msigdb/cards/GSE3982_EOSINOPHIL_VS_MAST_CELL_UP.html</t>
  </si>
  <si>
    <t>GSE3982_EOSINOPHIL_VS_CENT_MEMORY_CD4_TCELL_UP</t>
  </si>
  <si>
    <t>1536;2268;313;2124;3101;6404;719;8477;51744;10154;3122;9103;526;5724;6503;8809;597;4215;30817;4644</t>
  </si>
  <si>
    <t>CYBB;FGR;AOAH;EVI2B;HK3;SELPLG;C3AR1;GPR65;CD244;PLXNC1;HLA-DRA;FCGR2A;ATP6V1B2;PTAFR;SLA;IL18R1;BCL2A1;MAP3K3;ADGRE2;MYO5A</t>
  </si>
  <si>
    <t>http://www.broadinstitute.org/gsea/msigdb/cards/GSE3982_EOSINOPHIL_VS_CENT_MEMORY_CD4_TCELL_UP.html</t>
  </si>
  <si>
    <t>GSE3982_BCELL_VS_NKCELL_UP</t>
  </si>
  <si>
    <t>27334;1378;971;3394;6504;3662;399;26051;3115;240;4066;3112;3108;3109;2213;4261;4050;10148;25780;80183</t>
  </si>
  <si>
    <t>P2RY10;CR1;CD72;IRF8;SLAMF1;IRF4;RHOH;PPP1R16B;HLA-DPB1;ALOX5;LYL1;HLA-DOB;HLA-DMA;HLA-DMB;FCGR2B;CIITA;LTB;EBI3;RASGRP3;RUBCNL</t>
  </si>
  <si>
    <t>http://www.broadinstitute.org/gsea/msigdb/cards/GSE3982_BCELL_VS_NKCELL_UP.html</t>
  </si>
  <si>
    <t>GSE3982_BCELL_VS_TH2_UP</t>
  </si>
  <si>
    <t>962;3394;221472;51296;81030;51284;9056;2219;3122;9103;4066;54;3112;3113;4208;3123;25780;81553;64174;80183</t>
  </si>
  <si>
    <t>CD48;IRF8;FGD2;SLC15A3;ZBP1;TLR7;SLC7A7;FCN1;HLA-DRA;FCGR2A;LYL1;ACP5;HLA-DOB;HLA-DPA1;MEF2C;HLA-DRB1;RASGRP3;FAM49A;DPEP2;RUBCNL</t>
  </si>
  <si>
    <t>http://www.broadinstitute.org/gsea/msigdb/cards/GSE3982_BCELL_VS_TH2_UP.html</t>
  </si>
  <si>
    <t>GSE39820_CTRL_VS_IL1B_IL6_IL23A_CD4_TCELL_UP</t>
  </si>
  <si>
    <t>4068;3689;962;653361;944;10225;3702;3937;92241;114836;26051;64092;2857;8320;356;11010;4033;100506736;91526;5027</t>
  </si>
  <si>
    <t>SH2D1A;ITGB2;CD48;NCF1;TNFSF8;CD96;ITK;LCP2;RCSD1;SLAMF6;PPP1R16B;SAMSN1;GPR34;EOMES;FASLG;GLIPR1;LRMP;SLFN12L;ANKRD44;P2RX7</t>
  </si>
  <si>
    <t>http://www.broadinstitute.org/gsea/msigdb/cards/GSE39820_CTRL_VS_IL1B_IL6_IL23A_CD4_TCELL_UP.html</t>
  </si>
  <si>
    <t>GSE7460_FOXP3_MUT_VS_WT_ACT_WITH_TGFB_TCONV_UP</t>
  </si>
  <si>
    <t>3458;925;3001;3560;4245;3394;26051;84174;30009;5552;926;3586;356;2833;3824;5133;597;4818;168537;50515</t>
  </si>
  <si>
    <t>IFNG;CD8A;GZMA;IL2RB;MGAT1;IRF8;PPP1R16B;SLA2;TBX21;SRGN;CD8B;IL10;FASLG;CXCR3;KLRD1;PDCD1;BCL2A1;NKG7;GIMAP7;CHST11</t>
  </si>
  <si>
    <t>http://www.broadinstitute.org/gsea/msigdb/cards/GSE7460_FOXP3_MUT_VS_WT_ACT_WITH_TGFB_TCONV_UP.html</t>
  </si>
  <si>
    <t>GSE7852_LN_VS_THYMUS_TREG_UP</t>
  </si>
  <si>
    <t>9214;9404;971;5734;942;9744;3662;84166;115361;55589;10154;8530;3117;5552;6693;356;57514;80709;168537;84329</t>
  </si>
  <si>
    <t>FCMR;LPXN;CD72;PTGER4;CD86;ACAP1;IRF4;NLRC5;GBP4;BMP2K;PLXNC1;CST7;HLA-DQA1;SRGN;SPN;FASLG;ARHGAP31;AKNA;GIMAP7;HVCN1</t>
  </si>
  <si>
    <t>http://www.broadinstitute.org/gsea/msigdb/cards/GSE7852_LN_VS_THYMUS_TREG_UP.html</t>
  </si>
  <si>
    <t>GSE9988_LPS_VS_VEHICLE_TREATED_MONOCYTE_UP</t>
  </si>
  <si>
    <t>3559;5341;6351;1236;399;114548;730249;9034;366;3553;3586;6776;9363;597;118788;84230;9754;57823;53831;29126</t>
  </si>
  <si>
    <t>IL2RA;PLEK;CCL4;CCR7;RHOH;NLRP3;ACOD1;CCRL2;AQP9;IL1B;IL10;STAT5A;RAB33A;BCL2A1;PIK3AP1;LRRC8C;STARD8;SLAMF7;GPR84;CD274</t>
  </si>
  <si>
    <t>http://www.broadinstitute.org/gsea/msigdb/cards/GSE9988_LPS_VS_VEHICLE_TREATED_MONOCYTE_UP.html</t>
  </si>
  <si>
    <t>9595;5341;7133;2123;942;1234;3937;219972;124460;51296;53346;2857;3956;5552;11010;2833;140885;10148;161176;81553</t>
  </si>
  <si>
    <t>CYTIP;PLEK;TNFRSF1B;EVI2A;CD86;CCR5;LCP2;MPEG1;SNX20;SLC15A3;TM6SF1;GPR34;LGALS1;SRGN;GLIPR1;CXCR3;SIRPA;EBI3;SYNE3;FAM49A</t>
  </si>
  <si>
    <t>http://www.broadinstitute.org/gsea/msigdb/cards/GSE411_UNSTIM_VS_100MIN_IL6_STIM_MACROPHAGE_UP.html</t>
  </si>
  <si>
    <t>GSE411_WT_VS_SOCS3_KO_MACROPHAGE_IL6_STIM_400MIN_UP</t>
  </si>
  <si>
    <t>5341;6352;7133;941;942;1234;3937;10875;219972;81704;146722;58475;64092;30009;2857;27033;29909;3586;140885;51676</t>
  </si>
  <si>
    <t>PLEK;CCL5;TNFRSF1B;CD80;CD86;CCR5;LCP2;FGL2;MPEG1;DOCK8;CD300LF;MS4A7;SAMSN1;TBX21;GPR34;ZBTB32;GPR171;IL10;SIRPA;ASB2</t>
  </si>
  <si>
    <t>http://www.broadinstitute.org/gsea/msigdb/cards/GSE411_WT_VS_SOCS3_KO_MACROPHAGE_IL6_STIM_400MIN_UP.html</t>
  </si>
  <si>
    <t>GSE2770_IL12_AND_TGFB_ACT_VS_ACT_CD4_TCELL_6H_DN</t>
  </si>
  <si>
    <t>9595;3458;3559;3627;5551;963;7453;944;5734;3394;4283;30009;27033;29851;4049;3002;3902;356;2529;8809</t>
  </si>
  <si>
    <t>CYTIP;IFNG;IL2RA;CXCL10;PRF1;CD53;WARS;TNFSF8;PTGER4;IRF8;CXCL9;TBX21;ZBTB32;ICOS;LTA;GZMB;LAG3;FASLG;FUT7;IL18R1</t>
  </si>
  <si>
    <t>http://www.broadinstitute.org/gsea/msigdb/cards/GSE2770_IL12_AND_TGFB_ACT_VS_ACT_CD4_TCELL_6H_DN.html</t>
  </si>
  <si>
    <t>GSE2770_IL4_ACT_VS_ACT_CD4_TCELL_6H_UP</t>
  </si>
  <si>
    <t>54440;2209;3594;10875;92241;286530;84166;64926;2210;11184;53829;11326;9120;3122;7454;54331;10235;147138;29125;26157</t>
  </si>
  <si>
    <t>SASH3;FCGR1A;IL12RB1;FGL2;RCSD1;P2RY8;NLRC5;RASAL3;FCGR1B;MAP4K1;P2RY13;VSIG4;SLC16A6;HLA-DRA;WAS;GNG2;RASGRP2;TMC8;C11orf21;GIMAP2</t>
  </si>
  <si>
    <t>http://www.broadinstitute.org/gsea/msigdb/cards/GSE2770_IL4_ACT_VS_ACT_CD4_TCELL_6H_UP.html</t>
  </si>
  <si>
    <t>GSE2405_HEAT_KILLED_LYSATE_VS_LIVE_A_PHAGOCYTOPHILUM_STIM_NEUTROPHIL_24H_UP</t>
  </si>
  <si>
    <t>9450;1436;5341;6352;2207;942;3394;4283;58475;3117;3111;5552;10437;4688;5376;4240;597;64581;59345;50515</t>
  </si>
  <si>
    <t>LY86;CSF1R;PLEK;CCL5;FCER1G;CD86;IRF8;CXCL9;MS4A7;HLA-DQA1;HLA-DOA;SRGN;IFI30;NCF2;PMP22;MFGE8;BCL2A1;CLEC7A;GNB4;CHST11</t>
  </si>
  <si>
    <t>http://www.broadinstitute.org/gsea/msigdb/cards/GSE2405_HEAT_KILLED_LYSATE_VS_LIVE_A_PHAGOCYTOPHILUM_STIM_NEUTROPHIL_24H_UP.html</t>
  </si>
  <si>
    <t>GSE22601_IMMATURE_CD4_SINGLE_POSITIVE_VS_DOUBLE_POSITIVE_THYMOCYTE_DN</t>
  </si>
  <si>
    <t>5341;5734;10225;5294;6890;3702;55843;92241;51296;26051;64092;55589;30009;10673;3824;597;85464;64780;55619;22806</t>
  </si>
  <si>
    <t>PLEK;PTGER4;CD96;PIK3CG;TAP1;ITK;ARHGAP15;RCSD1;SLC15A3;PPP1R16B;SAMSN1;BMP2K;TBX21;TNFSF13B;KLRD1;BCL2A1;SSH2;MICAL1;DOCK10;IKZF3</t>
  </si>
  <si>
    <t>http://www.broadinstitute.org/gsea/msigdb/cards/GSE22601_IMMATURE_CD4_SINGLE_POSITIVE_VS_DOUBLE_POSITIVE_THYMOCYTE_DN.html</t>
  </si>
  <si>
    <t>GSE3039_ALPHAALPHA_CD8_TCELL_VS_B1_BCELL_UP</t>
  </si>
  <si>
    <t>9404;941;3071;3937;115361;64231;11314;3717;3902;4360;7185;597;206358;79630;51676;84034;81553;64747;30835;29126</t>
  </si>
  <si>
    <t>LPXN;CD80;NCKAP1L;LCP2;GBP4;MS4A6A;CD300A;JAK2;LAG3;MRC1;TRAF1;BCL2A1;SLC36A1;C1orf54;ASB2;EMILIN2;FAM49A;MFSD1;CD209;CD274</t>
  </si>
  <si>
    <t>http://www.broadinstitute.org/gsea/msigdb/cards/GSE3039_ALPHAALPHA_CD8_TCELL_VS_B1_BCELL_UP.html</t>
  </si>
  <si>
    <t>GSE3039_CD4_TCELL_VS_ALPHABETA_CD8_TCELL_UP</t>
  </si>
  <si>
    <t>4210;9214;713;1536;5788;3659;653361;3101;10871;4689;89790;64333;64231;10870;10673;2219;348;441168;85464;25890</t>
  </si>
  <si>
    <t>MEFV;FCMR;C1QB;CYBB;PTPRC;IRF1;NCF1;HK3;CD300C;NCF4;SIGLEC10;ARHGAP9;MS4A6A;HCST;TNFSF13B;FCN1;APOE;CALHM6;SSH2;ABI3BP</t>
  </si>
  <si>
    <t>http://www.broadinstitute.org/gsea/msigdb/cards/GSE3039_CD4_TCELL_VS_ALPHABETA_CD8_TCELL_UP.html</t>
  </si>
  <si>
    <t>GSE5679_PPARG_LIGAND_ROSIGLITAZONE_VS_ROSIGLITAZONE_AND_RARA_AGONIST_AM580_TREATED_DC_UP</t>
  </si>
  <si>
    <t>4068;8676;2123;944;3594;1233;4354;80301;114836;80380;59067;10154;3162;5552;54331;4033;6503;10148;57514;51063</t>
  </si>
  <si>
    <t>SH2D1A;STX11;EVI2A;TNFSF8;IL12RB1;CCR4;MPP1;PLEKHO2;SLAMF6;PDCD1LG2;IL21;PLXNC1;HMOX1;SRGN;GNG2;LRMP;SLA;EBI3;ARHGAP31;CALHM2</t>
  </si>
  <si>
    <t>http://www.broadinstitute.org/gsea/msigdb/cards/GSE5679_PPARG_LIGAND_ROSIGLITAZONE_VS_ROSIGLITAZONE_AND_RARA_AGONIST_AM580_TREATED_DC_UP.html</t>
  </si>
  <si>
    <t>GSE4535_BM_DERIVED_DC_VS_FOLLICULAR_DC_UP</t>
  </si>
  <si>
    <t>4068;8676;3627;2123;944;3594;4354;6504;151888;80301;114836;80380;59067;57105;64092;5552;54331;4033;51063;55281</t>
  </si>
  <si>
    <t>SH2D1A;STX11;CXCL10;EVI2A;TNFSF8;IL12RB1;MPP1;SLAMF1;BTLA;PLEKHO2;SLAMF6;PDCD1LG2;IL21;CYSLTR2;SAMSN1;SRGN;GNG2;LRMP;CALHM2;TMEM140</t>
  </si>
  <si>
    <t>http://www.broadinstitute.org/gsea/msigdb/cards/GSE4535_BM_DERIVED_DC_VS_FOLLICULAR_DC_UP.html</t>
  </si>
  <si>
    <t>GSE5589_LPS_VS_LPS_AND_IL10_STIM_MACROPHAGE_45MIN_UP</t>
  </si>
  <si>
    <t>5579;2214;2350;971;941;1234;64926;146722;11184;50615;64407;64092;8832;9034;1102;3684;4240;597;131450;50515</t>
  </si>
  <si>
    <t>PRKCB;FCGR3A;FOLR2;CD72;CD80;CCR5;RASAL3;CD300LF;MAP4K1;IL21R;RGS18;SAMSN1;CD84;CCRL2;RCBTB2;ITGAM;MFGE8;BCL2A1;CD200R1;CHST11</t>
  </si>
  <si>
    <t>http://www.broadinstitute.org/gsea/msigdb/cards/GSE5589_LPS_VS_LPS_AND_IL10_STIM_MACROPHAGE_45MIN_UP.html</t>
  </si>
  <si>
    <t>GSE7831_UNSTIM_VS_CPG_STIM_PDC_4H_UP</t>
  </si>
  <si>
    <t>4542;9535;7133;3687;10225;7535;170575;2672;64333;51744;6793;3936;356;3003;4050;3604;4033;7185;7462;54861</t>
  </si>
  <si>
    <t>MYO1F;GMFG;TNFRSF1B;ITGAX;CD96;ZAP70;GIMAP1;GFI1;ARHGAP9;CD244;STK10;LCP1;FASLG;GZMK;LTB;TNFRSF9;LRMP;TRAF1;LAT2;SNRK</t>
  </si>
  <si>
    <t>http://www.broadinstitute.org/gsea/msigdb/cards/GSE7831_UNSTIM_VS_CPG_STIM_PDC_4H_UP.html</t>
  </si>
  <si>
    <t>GSE7831_1H_VS_4H_CPG_STIM_PDC_DN</t>
  </si>
  <si>
    <t>7305;962;3683;1236;10225;6404;219972;92241;8477;139716;23533;53346;50615;51284;29851;3108;3290;1043;11010;80709</t>
  </si>
  <si>
    <t>TYROBP;CD48;ITGAL;CCR7;CD96;SELPLG;MPEG1;RCSD1;GPR65;GAB3;PIK3R5;TM6SF1;IL21R;TLR7;ICOS;HLA-DMA;HSD11B1;CD52;GLIPR1;AKNA</t>
  </si>
  <si>
    <t>http://www.broadinstitute.org/gsea/msigdb/cards/GSE7831_1H_VS_4H_CPG_STIM_PDC_DN.html</t>
  </si>
  <si>
    <t>GSE19401_UNSTIM_VS_RETINOIC_ACID_AND_PAM2CSK4_STIM_FOLLICULAR_DC_UP</t>
  </si>
  <si>
    <t>9051;9046;54440;2214;6036;7133;971;3101;2014;10871;5800;11184;4064;2219;9881;3956;3684;54;5376;55619</t>
  </si>
  <si>
    <t>PSTPIP1;DOK2;SASH3;FCGR3A;RNASE2;TNFRSF1B;CD72;HK3;EMP3;CD300C;PTPRO;MAP4K1;CD180;FCN1;TRANK1;LGALS1;ITGAM;ACP5;PMP22;DOCK10</t>
  </si>
  <si>
    <t>http://www.broadinstitute.org/gsea/msigdb/cards/GSE19401_UNSTIM_VS_RETINOIC_ACID_AND_PAM2CSK4_STIM_FOLLICULAR_DC_UP.html</t>
  </si>
  <si>
    <t>GSE25088_ROSIGLITAZONE_VS_IL4_AND_ROSIGLITAZONE_STIM_STAT6_KO_MACROPHAGE_DAY10_DN</t>
  </si>
  <si>
    <t>9839;713;3659;5551;963;4245;6890;3820;11262;2210;3002;3112;2359;6891;10148;597;57514;118788;30835;26157</t>
  </si>
  <si>
    <t>ZEB2;C1QB;IRF1;PRF1;CD53;MGAT1;TAP1;KLRB1;SP140;FCGR1B;GZMB;HLA-DOB;FPR3;TAP2;EBI3;BCL2A1;ARHGAP31;PIK3AP1;CD209;GIMAP2</t>
  </si>
  <si>
    <t>http://www.broadinstitute.org/gsea/msigdb/cards/GSE25088_ROSIGLITAZONE_VS_IL4_AND_ROSIGLITAZONE_STIM_STAT6_KO_MACROPHAGE_DAY10_DN.html</t>
  </si>
  <si>
    <t>GSE16385_IFNG_TNF_VS_IL4_STIM_MACROPHAGE_UP</t>
  </si>
  <si>
    <t>5579;3055;942;3071;6890;1794;64333;55589;51225;3936;3274;2358;140885;4208;597;118788;80709;59345;55013;51466</t>
  </si>
  <si>
    <t>PRKCB;HCK;CD86;NCKAP1L;TAP1;DOCK2;ARHGAP9;BMP2K;ABI3;LCP1;HRH2;FPR2;SIRPA;MEF2C;BCL2A1;PIK3AP1;AKNA;GNB4;MCUB;EVL</t>
  </si>
  <si>
    <t>http://www.broadinstitute.org/gsea/msigdb/cards/GSE16385_IFNG_TNF_VS_IL4_STIM_MACROPHAGE_UP.html</t>
  </si>
  <si>
    <t>GSE16385_ROSIGLITAZONE_IL4_VS_IL4_ALONE_STIM_MACROPHAGE_12H_UP</t>
  </si>
  <si>
    <t>7305;9595;920;5788;2207;1439;6890;6504;11006;6039;4064;64231;51284;8564;3002;241;729230;2833;55704;55619</t>
  </si>
  <si>
    <t>TYROBP;CYTIP;CD4;PTPRC;FCER1G;CSF2RB;TAP1;SLAMF1;LILRB4;RNASE6;CD180;MS4A6A;TLR7;KMO;GZMB;ALOX5AP;CCR2;CXCR3;CCDC88A;DOCK10</t>
  </si>
  <si>
    <t>http://www.broadinstitute.org/gsea/msigdb/cards/GSE16385_ROSIGLITAZONE_IL4_VS_IL4_ALONE_STIM_MACROPHAGE_12H_UP.html</t>
  </si>
  <si>
    <t>GSE24292_WT_VS_PPARG_KO_MACROPHAGE_DN</t>
  </si>
  <si>
    <t>9450;712;971;2124;4354;719;5800;55843;139818;3903;4063;2857;6373;526;6503;441168;10462;91010;9754;57823</t>
  </si>
  <si>
    <t>LY86;C1QA;CD72;EVI2B;MPP1;C3AR1;PTPRO;ARHGAP15;DOCK11;LAIR1;LY9;GPR34;CXCL11;ATP6V1B2;SLA;CALHM6;CLEC10A;FMNL3;STARD8;SLAMF7</t>
  </si>
  <si>
    <t>http://www.broadinstitute.org/gsea/msigdb/cards/GSE24292_WT_VS_PPARG_KO_MACROPHAGE_DN.html</t>
  </si>
  <si>
    <t>GSE24726_WT_VS_E2_2_KO_PDC_DN</t>
  </si>
  <si>
    <t>1318;1536;5341;313;93978;124460;55016;23533;1240;64092;27036;19;3117;3684;54;6556;7185;84329;4327;84034</t>
  </si>
  <si>
    <t>SLC31A2;CYBB;PLEK;AOAH;CLEC6A;SNX20;MARCH1;PIK3R5;CMKLR1;SAMSN1;SIGLEC7;ABCA1;HLA-DQA1;ITGAM;ACP5;SLC11A1;TRAF1;HVCN1;MMP19;EMILIN2</t>
  </si>
  <si>
    <t>http://www.broadinstitute.org/gsea/msigdb/cards/GSE24726_WT_VS_E2_2_KO_PDC_DN.html</t>
  </si>
  <si>
    <t>GSE26488_WT_VS_HDAC7_DELTAP_TG_OT2_THYMOCYTE_WITH_PEPTIDE_INJECTION_UP</t>
  </si>
  <si>
    <t>9051;3458;713;941;3594;1234;3587;23048;10537;6793;8320;3111;6037;1235;4050;55704;51762;10077;1522;9935</t>
  </si>
  <si>
    <t>PSTPIP1;IFNG;C1QB;CD80;IL12RB1;CCR5;IL10RA;FNBP1;UBD;STK10;EOMES;HLA-DOA;RNASE3;CCR6;LTB;CCDC88A;RAB8B;TSPAN32;CTSZ;MAFB</t>
  </si>
  <si>
    <t>http://www.broadinstitute.org/gsea/msigdb/cards/GSE26488_WT_VS_HDAC7_DELTAP_TG_OT2_THYMOCYTE_WITH_PEPTIDE_INJECTION_UP.html</t>
  </si>
  <si>
    <t>GSE21063_CTRL_VS_ANTI_IGM_STIM_BCELL_NFATC1_KO_16H_UP</t>
  </si>
  <si>
    <t>962;6351;5294;1234;3587;6404;219972;474344;124460;10673;51393;3902;3109;11010;2833;203100;3824;100506736;51676;59345</t>
  </si>
  <si>
    <t>CD48;CCL4;PIK3CG;CCR5;IL10RA;SELPLG;MPEG1;GIMAP6;SNX20;TNFSF13B;TRPV2;LAG3;HLA-DMB;GLIPR1;CXCR3;HTRA4;KLRD1;SLFN12L;ASB2;GNB4</t>
  </si>
  <si>
    <t>http://www.broadinstitute.org/gsea/msigdb/cards/GSE21063_CTRL_VS_ANTI_IGM_STIM_BCELL_NFATC1_KO_16H_UP.html</t>
  </si>
  <si>
    <t>GSE30971_CTRL_VS_LPS_STIM_MACROPHAGE_WBP7_HET_4H_DN</t>
  </si>
  <si>
    <t>6036;4332;199;4354;9332;8477;128346;55016;80896;8832;11326;7099;2219;1102;3988;4208;10462;79690;51063;55803</t>
  </si>
  <si>
    <t>RNASE2;MNDA;AIF1;MPP1;CD163;GPR65;C1orf162;MARCH1;NPL;CD84;VSIG4;TLR4;FCN1;RCBTB2;LIPA;MEF2C;CLEC10A;GAL3ST4;CALHM2;ADAP2</t>
  </si>
  <si>
    <t>http://www.broadinstitute.org/gsea/msigdb/cards/GSE30971_CTRL_VS_LPS_STIM_MACROPHAGE_WBP7_HET_4H_DN.html</t>
  </si>
  <si>
    <t>9840;9214;6352;3560;3575;3695;7535;3702;11262;9744;55843;11184;51225;2113;4360;51676;145864;57823;51466;27240</t>
  </si>
  <si>
    <t>TESPA1;FCMR;CCL5;IL2RB;IL7R;ITGB7;ZAP70;ITK;SP140;ACAP1;ARHGAP15;MAP4K1;ABI3;ETS1;MRC1;ASB2;HAPLN3;SLAMF7;EVL;SIT1</t>
  </si>
  <si>
    <t>http://www.broadinstitute.org/gsea/msigdb/cards/GSE36888_UNTREATED_VS_IL2_TREATED_STAT5_AB_KNOCKIN_TCELL_2H_DN.html</t>
  </si>
  <si>
    <t>GSE37301_CD4_TCELL_VS_GRANULOCYTE_MONOCYTE_PROGENITOR_DN</t>
  </si>
  <si>
    <t>940;6352;3560;944;942;53347;10320;286336;151888;154075;114836;1235;4050;7185;8809;51676;5027;81553;51466</t>
  </si>
  <si>
    <t>CD28;CCL5;IL2RB;TNFSF8;CD86;UBASH3A;IKZF1;FAM78A;BTLA;SAMD3;SLAMF6;CCR6;LTB;TRAF1;IL18R1;ASB2;P2RX7;FAM49A;EVL</t>
  </si>
  <si>
    <t>http://www.broadinstitute.org/gsea/msigdb/cards/GSE37301_CD4_TCELL_VS_GRANULOCYTE_MONOCYTE_PROGENITOR_DN.html</t>
  </si>
  <si>
    <t>GSE37532_TREG_VS_TCONV_CD4_TCELL_FROM_LN_DN</t>
  </si>
  <si>
    <t>8676;9450;3932;51056;3561;8514;84166;57580;27128;30009;6793;4049;596;6402;4261;11010;27163;27314;3123;168537</t>
  </si>
  <si>
    <t>STX11;LY86;LCK;LAP3;IL2RG;KCNAB2;NLRC5;PREX1;CYTH4;TBX21;STK10;LTA;BCL2;SELL;CIITA;GLIPR1;NAAA;RAB30;HLA-DRB1;GIMAP7</t>
  </si>
  <si>
    <t>http://www.broadinstitute.org/gsea/msigdb/cards/GSE37532_TREG_VS_TCONV_CD4_TCELL_FROM_LN_DN.html</t>
  </si>
  <si>
    <t>GSE37533_PPARG1_FOXP3_VS_FOXP3_TRANSDUCED_CD4_TCELL_DN</t>
  </si>
  <si>
    <t>80833;3627;3659;7453;51056;2633;6772;6890;51296;6373;9881;3717;1435;10437;6891;4208;55281;55013;25939;51513</t>
  </si>
  <si>
    <t>APOL3;CXCL10;IRF1;WARS;LAP3;GBP1;STAT1;TAP1;SLC15A3;CXCL11;TRANK1;JAK2;CSF1;IFI30;TAP2;MEF2C;TMEM140;MCUB;SAMHD1;ETV7</t>
  </si>
  <si>
    <t>http://www.broadinstitute.org/gsea/msigdb/cards/GSE37533_PPARG1_FOXP3_VS_FOXP3_TRANSDUCED_CD4_TCELL_DN.html</t>
  </si>
  <si>
    <t>GSE40273_GATA1_KO_VS_WT_TREG_DN</t>
  </si>
  <si>
    <t>5341;653361;1236;6504;139818;56659;55589;55303;51284;8564;10154;348;4688;3108;3109;4261;4208;161145;155038;51063</t>
  </si>
  <si>
    <t>PLEK;NCF1;CCR7;SLAMF1;DOCK11;KCNK13;BMP2K;GIMAP4;TLR7;KMO;PLXNC1;APOE;NCF2;HLA-DMA;HLA-DMB;CIITA;MEF2C;TMEM229B;GIMAP8;CALHM2</t>
  </si>
  <si>
    <t>http://www.broadinstitute.org/gsea/msigdb/cards/GSE40273_GATA1_KO_VS_WT_TREG_DN.html</t>
  </si>
  <si>
    <t>GSE28737_FOLLICULAR_VS_MARGINAL_ZONE_BCELL_BCL6_HET_DN</t>
  </si>
  <si>
    <t>22797;10068;3559;2214;3659;6890;2672;53829;80380;27033;10537;2357;6776;969;441168;100506736;116071;59345;53831;25939</t>
  </si>
  <si>
    <t>TFEC;IL18BP;IL2RA;FCGR3A;IRF1;TAP1;GFI1;P2RY13;PDCD1LG2;ZBTB32;UBD;FPR1;STAT5A;CD69;CALHM6;SLFN12L;BATF2;GNB4;GPR84;SAMHD1</t>
  </si>
  <si>
    <t>http://www.broadinstitute.org/gsea/msigdb/cards/GSE28737_FOLLICULAR_VS_MARGINAL_ZONE_BCELL_BCL6_HET_DN.html</t>
  </si>
  <si>
    <t>GSE36826_NORMAL_VS_STAPH_AUREUS_INF_SKIN_UP</t>
  </si>
  <si>
    <t>9404;9595;963;11151;1236;391;2219;9120;366;8530;921;3059;2357;2359;11010;4973;55911;7185;8809;30817</t>
  </si>
  <si>
    <t>LPXN;CYTIP;CD53;CORO1A;CCR7;RHOG;FCN1;SLC16A6;AQP9;CST7;CD5;HCLS1;FPR1;FPR3;GLIPR1;OLR1;APOBR;TRAF1;IL18R1;ADGRE2</t>
  </si>
  <si>
    <t>http://www.broadinstitute.org/gsea/msigdb/cards/GSE36826_NORMAL_VS_STAPH_AUREUS_INF_SKIN_UP.html</t>
  </si>
  <si>
    <t>GSE43955_TH0_VS_TGFB_IL6_TH17_ACT_CD4_TCELL_4H_UP</t>
  </si>
  <si>
    <t>10068;3659;2209;6351;3676;3560;5734;942;4283;10875;399;255231;115361;2672;55589;3717;6037;6556;5133;1522</t>
  </si>
  <si>
    <t>IL18BP;IRF1;FCGR1A;CCL4;ITGA4;IL2RB;PTGER4;CD86;CXCL9;FGL2;RHOH;MCOLN2;GBP4;GFI1;BMP2K;JAK2;RNASE3;SLC11A1;PDCD1;CTSZ</t>
  </si>
  <si>
    <t>http://www.broadinstitute.org/gsea/msigdb/cards/GSE43955_TH0_VS_TGFB_IL6_TH17_ACT_CD4_TCELL_4H_UP.html</t>
  </si>
  <si>
    <t>GSE42724_NAIVE_BCELL_VS_PLASMABLAST_UP</t>
  </si>
  <si>
    <t>3627;3659;3695;51056;2633;6772;6890;11262;84166;115362;115361;81030;6373;3902;6891;116071;80821;338339;6614;55281</t>
  </si>
  <si>
    <t>CXCL10;IRF1;ITGB7;LAP3;GBP1;STAT1;TAP1;SP140;NLRC5;GBP5;GBP4;ZBP1;CXCL11;LAG3;TAP2;BATF2;DDHD1;CLEC4D;SIGLEC1;TMEM140</t>
  </si>
  <si>
    <t>http://www.broadinstitute.org/gsea/msigdb/cards/GSE42724_NAIVE_BCELL_VS_PLASMABLAST_UP.html</t>
  </si>
  <si>
    <t>GSE46606_UNSTIM_VS_CD40L_IL2_IL5_1DAY_STIMULATED_IRF4HIGH_SORTED_BCELL_DN</t>
  </si>
  <si>
    <t>4210;3627;5341;6351;6352;7133;5734;7805;3587;51296;117289;730249;9034;4049;3553;5552;4050;7185;597;375387</t>
  </si>
  <si>
    <t>MEFV;CXCL10;PLEK;CCL4;CCL5;TNFRSF1B;PTGER4;LAPTM5;IL10RA;SLC15A3;TAGAP;ACOD1;CCRL2;LTA;IL1B;SRGN;LTB;TRAF1;BCL2A1;NRROS</t>
  </si>
  <si>
    <t>http://www.broadinstitute.org/gsea/msigdb/cards/GSE46606_UNSTIM_VS_CD40L_IL2_IL5_1DAY_STIMULATED_IRF4HIGH_SORTED_BCELL_DN.html</t>
  </si>
  <si>
    <t>GSE46606_IRF4HIGH_VS_IRF4MID_CD40L_IL2_IL5_DAY3_STIMULATED_BCELL_DN</t>
  </si>
  <si>
    <t>3055;6352;2123;7453;2124;942;6772;10875;259307;80231;730249;3717;1435;926;3936;11010;597;131450;55281;11217</t>
  </si>
  <si>
    <t>HCK;CCL5;EVI2A;WARS;EVI2B;CD86;STAT1;FGL2;IL4I1;CXorf21;ACOD1;JAK2;CSF1;CD8B;LCP1;GLIPR1;BCL2A1;CD200R1;TMEM140;AKAP2</t>
  </si>
  <si>
    <t>http://www.broadinstitute.org/gsea/msigdb/cards/GSE46606_IRF4HIGH_VS_IRF4MID_CD40L_IL2_IL5_DAY3_STIMULATED_BCELL_DN.html</t>
  </si>
  <si>
    <t>GSE45365_HEALTHY_VS_MCMV_INFECTION_CD8A_DC_DN</t>
  </si>
  <si>
    <t>9450;3559;713;962;963;7133;7453;114548;7099;3122;2358;3108;2213;6753;356;969;7941;4327;55281;9935</t>
  </si>
  <si>
    <t>LY86;IL2RA;C1QB;CD48;CD53;TNFRSF1B;WARS;NLRP3;TLR4;HLA-DRA;FPR2;HLA-DMA;FCGR2B;SSTR3;FASLG;CD69;PLA2G7;MMP19;TMEM140;MAFB</t>
  </si>
  <si>
    <t>http://www.broadinstitute.org/gsea/msigdb/cards/GSE45365_HEALTHY_VS_MCMV_INFECTION_CD8A_DC_DN.html</t>
  </si>
  <si>
    <t>GSE37301_PRO_BCELL_VS_RAG2_KO_NK_CELL_DN</t>
  </si>
  <si>
    <t>1493;7133;5734;10225;942;1233;6504;3587;84868;3635;64092;27128;10154;4094;1435;1237;5027;55013;1522</t>
  </si>
  <si>
    <t>CTLA4;TNFRSF1B;PTGER4;CD96;CD86;CCR4;SLAMF1;IL10RA;HAVCR2;INPP5D;SAMSN1;CYTH4;PLXNC1;MAF;CSF1;CCR8;P2RX7;MCUB;CTSZ</t>
  </si>
  <si>
    <t>http://www.broadinstitute.org/gsea/msigdb/cards/GSE37301_PRO_BCELL_VS_RAG2_KO_NK_CELL_DN.html</t>
  </si>
  <si>
    <t>GSE27241_CTRL_VS_DIGOXIN_TREATED_CD4_TCELL_IN_TH17_POLARIZING_CONDITIONS_UP</t>
  </si>
  <si>
    <t>4210;8676;3627;5734;53347;4283;151888;117289;55016;50615;64092;23228;4049;2357;969;5133;85464;29126</t>
  </si>
  <si>
    <t>MEFV;STX11;CXCL10;PTGER4;UBASH3A;CXCL9;BTLA;TAGAP;MARCH1;IL21R;SAMSN1;PLCL2;LTA;FPR1;CD69;PDCD1;SSH2;CD274</t>
  </si>
  <si>
    <t>http://www.broadinstitute.org/gsea/msigdb/cards/GSE27241_CTRL_VS_DIGOXIN_TREATED_CD4_TCELL_IN_TH17_POLARIZING_CONDITIONS_UP.html</t>
  </si>
  <si>
    <t>GSE3720_LPS_VS_PMA_STIM_VD1_GAMMADELTA_TCELL_UP</t>
  </si>
  <si>
    <t>9839;917;3001;6504;3603;10875;10666;51338;115361;3002;1043;3003;3824;64780;84106;81553;57823</t>
  </si>
  <si>
    <t>ZEB2;CD3G;GZMA;SLAMF1;IL16;FGL2;CD226;MS4A4A;GBP4;GZMB;CD52;GZMK;KLRD1;MICAL1;PRAM1;FAM49A;SLAMF7</t>
  </si>
  <si>
    <t>http://www.broadinstitute.org/gsea/msigdb/cards/GSE3720_LPS_VS_PMA_STIM_VD1_GAMMADELTA_TCELL_UP.html</t>
  </si>
  <si>
    <t>GSE10211_UV_INACT_SENDAI_VS_LIVE_SENDAI_VIRUS_TRACHEAL_EPITHELIAL_CELLS_DN</t>
  </si>
  <si>
    <t>713;3659;971;7453;941;5734;53347;3394;83706;170575;80380;9034;10154;8530;5452;3902;1237;10077</t>
  </si>
  <si>
    <t>C1QB;IRF1;CD72;WARS;CD80;PTGER4;UBASH3A;IRF8;FERMT3;GIMAP1;PDCD1LG2;CCRL2;PLXNC1;CST7;POU2F2;LAG3;CCR8;TSPAN32</t>
  </si>
  <si>
    <t>http://www.broadinstitute.org/gsea/msigdb/cards/GSE10211_UV_INACT_SENDAI_VS_LIVE_SENDAI_VIRUS_TRACHEAL_EPITHELIAL_CELLS_DN.html</t>
  </si>
  <si>
    <t>GSE13547_2H_VS_12_H_ANTI_IGM_STIM_ZFX_KO_BCELL_UP</t>
  </si>
  <si>
    <t>10663;9839;4068;714;916;917;6352;10666;170575;8530;8320;348;924;4818;90634;54518;84230;22806</t>
  </si>
  <si>
    <t>CXCR6;ZEB2;SH2D1A;C1QC;CD3E;CD3G;CCL5;CD226;GIMAP1;CST7;EOMES;APOE;CD7;NKG7;N4BP2L1;APBB1IP;LRRC8C;IKZF3</t>
  </si>
  <si>
    <t>http://www.broadinstitute.org/gsea/msigdb/cards/GSE13547_2H_VS_12_H_ANTI_IGM_STIM_ZFX_KO_BCELL_UP.html</t>
  </si>
  <si>
    <t>GSE40274_CTRL_VS_IRF4_TRANSDUCED_ACTIVATED_CD4_TCELL_UP</t>
  </si>
  <si>
    <t>712;713;5579;962;4245;283897;497189;374403;150372;80896;51311;241;2357;3988;57705;151556;161145;55803</t>
  </si>
  <si>
    <t>C1QA;C1QB;PRKCB;CD48;MGAT1;C16orf54;TIFAB;TBC1D10C;NFAM1;NPL;TLR8;ALOX5AP;FPR1;LIPA;WDFY4;GPR155;TMEM229B;ADAP2</t>
  </si>
  <si>
    <t>http://www.broadinstitute.org/gsea/msigdb/cards/GSE40274_CTRL_VS_IRF4_TRANSDUCED_ACTIVATED_CD4_TCELL_UP.html</t>
  </si>
  <si>
    <t>GSE10147_IL3_VS_IL3_AND_CPG_STIM_PDC_UP</t>
  </si>
  <si>
    <t>9046;1493;4689;84166;55016;114836;115362;1240;4063;29851;4066;729230;3812;2833;2529;25890;245972</t>
  </si>
  <si>
    <t>DOK2;CTLA4;NCF4;NLRC5;MARCH1;SLAMF6;GBP5;CMKLR1;LY9;ICOS;LYL1;CCR2;KIR3DL2;CXCR3;FUT7;ABI3BP;ATP6V0D2</t>
  </si>
  <si>
    <t>http://www.broadinstitute.org/gsea/msigdb/cards/GSE10147_IL3_VS_IL3_AND_CPG_STIM_PDC_UP.html</t>
  </si>
  <si>
    <t>GSE6259_FLT3L_INDUCED_DEC205_POS_DC_VS_BCELL_DN</t>
  </si>
  <si>
    <t>925;11151;2322;10320;151888;23048;4064;8530;3956;3363;2829;27314;55704;57705;80709;25780;79630;132160</t>
  </si>
  <si>
    <t>CD8A;CORO1A;FLT3;IKZF1;BTLA;FNBP1;CD180;CST7;LGALS1;HTR7;XCR1;RAB30;CCDC88A;WDFY4;AKNA;RASGRP3;C1orf54;PPM1M</t>
  </si>
  <si>
    <t>http://www.broadinstitute.org/gsea/msigdb/cards/GSE6259_FLT3L_INDUCED_DEC205_POS_DC_VS_BCELL_DN.html</t>
  </si>
  <si>
    <t>GSE40274_CTRL_VS_EOS_TRANSDUCED_ACTIVATED_CD4_TCELL_DN</t>
  </si>
  <si>
    <t>712;653361;3575;1236;944;151888;114836;225;10019;56253;921;6402;4050;79865;146183;5027;51466</t>
  </si>
  <si>
    <t>C1QA;NCF1;IL7R;CCR7;TNFSF8;BTLA;SLAMF6;ABCD2;SH2B3;CRTAM;CD5;SELL;LTB;TREML2;OTOA;P2RX7;EVL</t>
  </si>
  <si>
    <t>http://www.broadinstitute.org/gsea/msigdb/cards/GSE40274_CTRL_VS_EOS_TRANSDUCED_ACTIVATED_CD4_TCELL_DN.html</t>
  </si>
  <si>
    <t>9535;9046;915;914;3687;944;8477;221188;23533;114836;8320;10437;6402;2833;4050;245972;168537;51466</t>
  </si>
  <si>
    <t>GMFG;DOK2;CD3D;CD2;ITGAX;TNFSF8;GPR65;ADGRG5;PIK3R5;SLAMF6;EOMES;IFI30;SELL;CXCR3;LTB;ATP6V0D2;GIMAP7;EVL</t>
  </si>
  <si>
    <t>http://www.broadinstitute.org/gsea/msigdb/cards/GSE3720_LPS_VS_PMA_STIM_VD1_GAMMADELTA_TCELL_DN.html</t>
  </si>
  <si>
    <t>GSE20727_CTRL_VS_H2O2_TREATED_DC_DN</t>
  </si>
  <si>
    <t>9214;3055;139818;1794;6793;4049;2113;6776;9938;3718;4050;9815;10148;85464;91010;9806;10077;7462;55803</t>
  </si>
  <si>
    <t>FCMR;HCK;DOCK11;DOCK2;STK10;LTA;ETS1;STAT5A;ARHGAP25;JAK3;LTB;GIT2;EBI3;SSH2;FMNL3;SPOCK2;TSPAN32;LAT2;ADAP2</t>
  </si>
  <si>
    <t>http://www.broadinstitute.org/gsea/msigdb/cards/GSE20727_CTRL_VS_H2O2_TREATED_DC_DN.html</t>
  </si>
  <si>
    <t>GSE32901_NAIVE_VS_TH17_ENRICHED_CD4_TCELL_UP</t>
  </si>
  <si>
    <t>9595;9402;3932;3695;10225;286336;149628;474344;283897;197358;89857;6402;2113;89846;441168;132160;64919</t>
  </si>
  <si>
    <t>CYTIP;GRAP2;LCK;ITGB7;CD96;FAM78A;PYHIN1;GIMAP6;C16orf54;NLRC3;KLHL6;SELL;ETS1;FGD3;CALHM6;PPM1M;BCL11B</t>
  </si>
  <si>
    <t>http://www.broadinstitute.org/gsea/msigdb/cards/GSE32901_NAIVE_VS_TH17_ENRICHED_CD4_TCELL_UP.html</t>
  </si>
  <si>
    <t>GSE6269_E_COLI_VS_STAPH_AUREUS_INF_PBMC_DN</t>
  </si>
  <si>
    <t>4542;9051;929;1378;3687;51296;27128;4094;3117;3684;6037;140885;55911;2529;206358;23166;10004;4644</t>
  </si>
  <si>
    <t>MYO1F;PSTPIP1;CD14;CR1;ITGAX;SLC15A3;CYTH4;MAF;HLA-DQA1;ITGAM;RNASE3;SIRPA;APOBR;FUT7;SLC36A1;STAB1;NAALADL1;MYO5A</t>
  </si>
  <si>
    <t>http://www.broadinstitute.org/gsea/msigdb/cards/GSE6269_E_COLI_VS_STAPH_AUREUS_INF_PBMC_DN.html</t>
  </si>
  <si>
    <t>GSE37301_PRO_BCELL_VS_GRANULOCYTE_MONOCYTE_PROGENITOR_DN</t>
  </si>
  <si>
    <t>9046;5341;1493;3594;283897;57105;9120;2162;3059;943;27163;5133;150771;155038;168537;7462;55013;27240</t>
  </si>
  <si>
    <t>DOK2;PLEK;CTLA4;IL12RB1;C16orf54;CYSLTR2;SLC16A6;F13A1;HCLS1;TNFRSF8;NAAA;PDCD1;ITPRIPL1;GIMAP8;GIMAP7;LAT2;MCUB;SIT1</t>
  </si>
  <si>
    <t>http://www.broadinstitute.org/gsea/msigdb/cards/GSE37301_PRO_BCELL_VS_GRANULOCYTE_MONOCYTE_PROGENITOR_DN.html</t>
  </si>
  <si>
    <t>GSE1791_CTRL_VS_NEUROMEDINU_IN_T_CELL_LINE_3H_UP</t>
  </si>
  <si>
    <t>9402;972;2209;7453;2633;6772;3594;6890;55843;474344;84166;115362;3115;3112;3113;3123;441168;155038;9754</t>
  </si>
  <si>
    <t>GRAP2;CD74;FCGR1A;WARS;GBP1;STAT1;IL12RB1;TAP1;ARHGAP15;GIMAP6;NLRC5;GBP5;HLA-DPB1;HLA-DOB;HLA-DPA1;HLA-DRB1;CALHM6;GIMAP8;STARD8</t>
  </si>
  <si>
    <t>http://www.broadinstitute.org/gsea/msigdb/cards/GSE1791_CTRL_VS_NEUROMEDINU_IN_T_CELL_LINE_3H_UP.html</t>
  </si>
  <si>
    <t>GSE5542_UNTREATED_VS_IFNA_TREATED_EPITHELIAL_CELLS_24H_UP</t>
  </si>
  <si>
    <t>4542;6504;201633;64926;139716;23048;2672;10019;9034;9881;8320;6693;3003;9815;4818;100506736;146183;51063;50515</t>
  </si>
  <si>
    <t>MYO1F;SLAMF1;TIGIT;RASAL3;GAB3;FNBP1;GFI1;SH2B3;CCRL2;TRANK1;EOMES;SPN;GZMK;GIT2;NKG7;SLFN12L;OTOA;CALHM2;CHST11</t>
  </si>
  <si>
    <t>http://www.broadinstitute.org/gsea/msigdb/cards/GSE5542_UNTREATED_VS_IFNA_TREATED_EPITHELIAL_CELLS_24H_UP.html</t>
  </si>
  <si>
    <t>GSE21063_CTRL_VS_ANTI_IGM_STIM_BCELL_3H_UP</t>
  </si>
  <si>
    <t>10663;940;944;1234;53347;50852;151888;256380;57105;55423;3108;3003;4050;7185;814;161176;25780;55013;8605</t>
  </si>
  <si>
    <t>CXCR6;CD28;TNFSF8;CCR5;UBASH3A;TRAT1;BTLA;SCML4;CYSLTR2;SIRPG;HLA-DMA;GZMK;LTB;TRAF1;CAMK4;SYNE3;RASGRP3;MCUB;PLA2G4C</t>
  </si>
  <si>
    <t>http://www.broadinstitute.org/gsea/msigdb/cards/GSE21063_CTRL_VS_ANTI_IGM_STIM_BCELL_3H_UP.html</t>
  </si>
  <si>
    <t>925;3575;919;3695;1236;3702;8477;366;56253;8320;924;596;54;3936;6402;6546;2833;3004;51466</t>
  </si>
  <si>
    <t>CD8A;IL7R;CD247;ITGB7;CCR7;ITK;GPR65;AQP9;CRTAM;EOMES;CD7;BCL2;ACP5;LCP1;SELL;SLC8A1;CXCR3;GZMM;EVL</t>
  </si>
  <si>
    <t>http://www.broadinstitute.org/gsea/msigdb/cards/KAECH_DAY15_EFF_VS_MEMORY_CD8_TCELL_DN.html</t>
  </si>
  <si>
    <t>GSE11057_NAIVE_VS_CENT_MEMORY_CD4_TCELL_DN</t>
  </si>
  <si>
    <t>4542;9051;972;914;2124;3820;6504;3587;201633;8477;8832;4094;3956;5552;729230;2833;1235;3123;4644</t>
  </si>
  <si>
    <t>MYO1F;PSTPIP1;CD74;CD2;EVI2B;KLRB1;SLAMF1;IL10RA;TIGIT;GPR65;CD84;MAF;LGALS1;SRGN;CCR2;CXCR3;CCR6;HLA-DRB1;MYO5A</t>
  </si>
  <si>
    <t>http://www.broadinstitute.org/gsea/msigdb/cards/GSE11057_NAIVE_VS_CENT_MEMORY_CD4_TCELL_DN.html</t>
  </si>
  <si>
    <t>GSE13306_TREG_VS_TCONV_SPLEEN_DN</t>
  </si>
  <si>
    <t>4542;10663;7456;10875;286336;93978;255231;387357;11184;51744;29909;1102;2212;1237;54331;3824;100506736;64780;51466</t>
  </si>
  <si>
    <t>MYO1F;CXCR6;WIPF1;FGL2;FAM78A;CLEC6A;MCOLN2;THEMIS;MAP4K1;CD244;GPR171;RCBTB2;FCGR2A;CCR8;GNG2;KLRD1;SLFN12L;MICAL1;EVL</t>
  </si>
  <si>
    <t>http://www.broadinstitute.org/gsea/msigdb/cards/GSE13306_TREG_VS_TCONV_SPLEEN_DN.html</t>
  </si>
  <si>
    <t>GSE13411_NAIVE_BCELL_VS_PLASMA_CELL_UP</t>
  </si>
  <si>
    <t>9450;972;3932;11151;9459;3903;51296;26051;53346;10019;3115;240;9938;11009;9815;597;7462;80183;51466</t>
  </si>
  <si>
    <t>LY86;CD74;LCK;CORO1A;ARHGEF6;LAIR1;SLC15A3;PPP1R16B;TM6SF1;SH2B3;HLA-DPB1;ALOX5;ARHGAP25;IL24;GIT2;BCL2A1;LAT2;RUBCNL;EVL</t>
  </si>
  <si>
    <t>http://www.broadinstitute.org/gsea/msigdb/cards/GSE13411_NAIVE_BCELL_VS_PLASMA_CELL_UP.html</t>
  </si>
  <si>
    <t>GSE13484_UNSTIM_VS_YF17D_VACCINE_STIM_PBMC_DN</t>
  </si>
  <si>
    <t>3559;3659;6351;51056;2633;6772;6890;11262;81030;9881;4049;3902;6891;7185;25780;81553;57823;55281;22806</t>
  </si>
  <si>
    <t>IL2RA;IRF1;CCL4;LAP3;GBP1;STAT1;TAP1;SP140;ZBP1;TRANK1;LTA;LAG3;TAP2;TRAF1;RASGRP3;FAM49A;SLAMF7;TMEM140;IKZF3</t>
  </si>
  <si>
    <t>http://www.broadinstitute.org/gsea/msigdb/cards/GSE13484_UNSTIM_VS_YF17D_VACCINE_STIM_PBMC_DN.html</t>
  </si>
  <si>
    <t>GSE13485_DAY3_VS_DAY7_YF17D_VACCINE_PBMC_DN</t>
  </si>
  <si>
    <t>3627;6351;7453;51056;2633;6772;1234;6890;719;259307;81030;6373;3717;2358;1230;4973;56670;6614;53831</t>
  </si>
  <si>
    <t>CXCL10;CCL4;WARS;LAP3;GBP1;STAT1;CCR5;TAP1;C3AR1;IL4I1;ZBP1;CXCL11;JAK2;FPR2;CCR1;OLR1;SUCNR1;SIGLEC1;GPR84</t>
  </si>
  <si>
    <t>http://www.broadinstitute.org/gsea/msigdb/cards/GSE13485_DAY3_VS_DAY7_YF17D_VACCINE_PBMC_DN.html</t>
  </si>
  <si>
    <t>GSE1432_1H_VS_6H_IFNG_MICROGLIA_DN</t>
  </si>
  <si>
    <t>80833;963;7453;51056;2633;1439;6772;6890;4283;2210;80380;55303;56833;6373;3717;4261;57823;55013;51513</t>
  </si>
  <si>
    <t>APOL3;CD53;WARS;LAP3;GBP1;CSF2RB;STAT1;TAP1;CXCL9;FCGR1B;PDCD1LG2;GIMAP4;SLAMF8;CXCL11;JAK2;CIITA;SLAMF7;MCUB;ETV7</t>
  </si>
  <si>
    <t>http://www.broadinstitute.org/gsea/msigdb/cards/GSE1432_1H_VS_6H_IFNG_MICROGLIA_DN.html</t>
  </si>
  <si>
    <t>GSE14350_IL2RB_KO_VS_WT_TEFF_DN</t>
  </si>
  <si>
    <t>9214;3559;3001;3560;3575;4245;3594;1233;2672;9120;3002;596;2113;3586;356;5376;79865;55619;51676</t>
  </si>
  <si>
    <t>FCMR;IL2RA;GZMA;IL2RB;IL7R;MGAT1;IL12RB1;CCR4;GFI1;SLC16A6;GZMB;BCL2;ETS1;IL10;FASLG;PMP22;TREML2;DOCK10;ASB2</t>
  </si>
  <si>
    <t>http://www.broadinstitute.org/gsea/msigdb/cards/GSE14350_IL2RB_KO_VS_WT_TEFF_DN.html</t>
  </si>
  <si>
    <t>GSE16522_ANTI_CD3CD28_STIM_VS_UNSTIM_MEMORY_CD8_TCELL_DN</t>
  </si>
  <si>
    <t>2533;3932;951;653361;11151;1234;53347;6404;4689;54899;221188;139716;55340;55303;2857;2113;90634;91526;64747</t>
  </si>
  <si>
    <t>FYB1;LCK;CD37;NCF1;CORO1A;CCR5;UBASH3A;SELPLG;NCF4;PXK;ADGRG5;GAB3;GIMAP5;GIMAP4;GPR34;ETS1;N4BP2L1;ANKRD44;MFSD1</t>
  </si>
  <si>
    <t>http://www.broadinstitute.org/gsea/msigdb/cards/GSE16522_ANTI_CD3CD28_STIM_VS_UNSTIM_MEMORY_CD8_TCELL_DN.html</t>
  </si>
  <si>
    <t>GSE17721_LPS_VS_POLYIC_8H_BMDC_DN</t>
  </si>
  <si>
    <t>4542;22797;9046;2268;255231;80896;81030;50615;11314;7099;4066;10437;4050;161145;64780;7462;64098;55281;25939</t>
  </si>
  <si>
    <t>MYO1F;TFEC;DOK2;FGR;MCOLN2;NPL;ZBP1;IL21R;CD300A;TLR4;LYL1;IFI30;LTB;TMEM229B;MICAL1;LAT2;PARVG;TMEM140;SAMHD1</t>
  </si>
  <si>
    <t>http://www.broadinstitute.org/gsea/msigdb/cards/GSE17721_LPS_VS_POLYIC_8H_BMDC_DN.html</t>
  </si>
  <si>
    <t>GSE17721_PAM3CSK4_VS_CPG_4H_BMDC_DN</t>
  </si>
  <si>
    <t>3659;2123;7453;944;3394;3587;115361;81030;64231;51311;57105;2162;2113;6891;161145;84230;9754;64805;29126</t>
  </si>
  <si>
    <t>IRF1;EVI2A;WARS;TNFSF8;IRF8;IL10RA;GBP4;ZBP1;MS4A6A;TLR8;CYSLTR2;F13A1;ETS1;TAP2;TMEM229B;LRRC8C;STARD8;P2RY12;CD274</t>
  </si>
  <si>
    <t>http://www.broadinstitute.org/gsea/msigdb/cards/GSE17721_PAM3CSK4_VS_CPG_4H_BMDC_DN.html</t>
  </si>
  <si>
    <t>GSE17721_LPS_VS_CPG_0.5H_BMDC_DN</t>
  </si>
  <si>
    <t>2214;199;219972;124460;51296;126014;256380;1240;58475;81030;56659;1508;54;2359;6776;2829;3003;64581;64919</t>
  </si>
  <si>
    <t>FCGR3A;AIF1;MPEG1;SNX20;SLC15A3;OSCAR;SCML4;CMKLR1;MS4A7;ZBP1;KCNK13;CTSB;ACP5;FPR3;STAT5A;XCR1;GZMK;CLEC7A;BCL11B</t>
  </si>
  <si>
    <t>http://www.broadinstitute.org/gsea/msigdb/cards/GSE17721_LPS_VS_CPG_0.5H_BMDC_DN.html</t>
  </si>
  <si>
    <t>GSE17721_0.5H_VS_8H_CPG_BMDC_DN</t>
  </si>
  <si>
    <t>2214;6352;919;7453;51056;944;1233;6890;124460;126014;58475;29992;6373;19;5452;80709;116071;57823;11217</t>
  </si>
  <si>
    <t>FCGR3A;CCL5;CD247;WARS;LAP3;TNFSF8;CCR4;TAP1;SNX20;OSCAR;MS4A7;PILRA;CXCL11;ABCA1;POU2F2;AKNA;BATF2;SLAMF7;AKAP2</t>
  </si>
  <si>
    <t>http://www.broadinstitute.org/gsea/msigdb/cards/GSE17721_0.5H_VS_8H_CPG_BMDC_DN.html</t>
  </si>
  <si>
    <t>GSE17974_IL4_AND_ANTI_IL12_VS_UNTREATED_12H_ACT_CD4_TCELL_DN</t>
  </si>
  <si>
    <t>972;940;3560;1493;1378;7133;474344;115362;115361;50615;55303;30009;10673;3553;921;3824;151556;84329;3805</t>
  </si>
  <si>
    <t>CD74;CD28;IL2RB;CTLA4;CR1;TNFRSF1B;GIMAP6;GBP5;GBP4;IL21R;GIMAP4;TBX21;TNFSF13B;IL1B;CD5;KLRD1;GPR155;HVCN1;KIR2DL4</t>
  </si>
  <si>
    <t>http://www.broadinstitute.org/gsea/msigdb/cards/GSE17974_IL4_AND_ANTI_IL12_VS_UNTREATED_12H_ACT_CD4_TCELL_DN.html</t>
  </si>
  <si>
    <t>915;916;917;940;3575;1236;944;53347;3702;6504;9744;399;55843;4063;55423;921;4050;64919;55013</t>
  </si>
  <si>
    <t>CD3D;CD3E;CD3G;CD28;IL7R;CCR7;TNFSF8;UBASH3A;ITK;SLAMF1;ACAP1;RHOH;ARHGAP15;LY9;SIRPG;CD5;LTB;BCL11B;MCUB</t>
  </si>
  <si>
    <t>http://www.broadinstitute.org/gsea/msigdb/cards/GSE22886_NAIVE_TCELL_VS_NKCELL_UP.html</t>
  </si>
  <si>
    <t>GSE22886_CD4_TCELL_VS_BCELL_NAIVE_DN</t>
  </si>
  <si>
    <t>9450;971;941;3394;695;3662;51296;50856;3122;3115;6518;2358;3108;3109;4208;11009;3123;79865;10184</t>
  </si>
  <si>
    <t>LY86;CD72;CD80;IRF8;BTK;IRF4;SLC15A3;CLEC4A;HLA-DRA;HLA-DPB1;SLC2A5;FPR2;HLA-DMA;HLA-DMB;MEF2C;IL24;HLA-DRB1;TREML2;LHFPL2</t>
  </si>
  <si>
    <t>http://www.broadinstitute.org/gsea/msigdb/cards/GSE22886_CD4_TCELL_VS_BCELL_NAIVE_DN.html</t>
  </si>
  <si>
    <t>9450;5579;2268;971;11151;7805;55016;3635;26051;3115;526;3108;3109;5376;4050;9815;10235;80183;55013</t>
  </si>
  <si>
    <t>LY86;PRKCB;FGR;CD72;CORO1A;LAPTM5;MARCH1;INPP5D;PPP1R16B;HLA-DPB1;ATP6V1B2;HLA-DMA;HLA-DMB;PMP22;LTB;GIT2;RASGRP2;RUBCNL;MCUB</t>
  </si>
  <si>
    <t>GSE24142_EARLY_THYMIC_PROGENITOR_VS_DN3_THYMOCYTE_ADULT_DN</t>
  </si>
  <si>
    <t>4068;9402;3559;915;5579;3932;917;940;3001;919;3702;6504;399;114836;64231;3290;64919;55013;27240</t>
  </si>
  <si>
    <t>SH2D1A;GRAP2;IL2RA;CD3D;PRKCB;LCK;CD3G;CD28;GZMA;CD247;ITK;SLAMF1;RHOH;SLAMF6;MS4A6A;HSD11B1;BCL11B;MCUB;SIT1</t>
  </si>
  <si>
    <t>http://www.broadinstitute.org/gsea/msigdb/cards/GSE24142_EARLY_THYMIC_PROGENITOR_VS_DN3_THYMOCYTE_ADULT_DN.html</t>
  </si>
  <si>
    <t>GSE24142_EARLY_THYMIC_PROGENITOR_VS_DN3_THYMOCYTE_FETAL_DN</t>
  </si>
  <si>
    <t>2533;5579;6772;4354;3702;5800;256380;2672;64333;53346;84174;926;3586;3290;7185;9363;64919;54861;11217</t>
  </si>
  <si>
    <t>FYB1;PRKCB;STAT1;MPP1;ITK;PTPRO;SCML4;GFI1;ARHGAP9;TM6SF1;SLA2;CD8B;IL10;HSD11B1;TRAF1;RAB33A;BCL11B;SNRK;AKAP2</t>
  </si>
  <si>
    <t>http://www.broadinstitute.org/gsea/msigdb/cards/GSE24142_EARLY_THYMIC_PROGENITOR_VS_DN3_THYMOCYTE_FETAL_DN.html</t>
  </si>
  <si>
    <t>GSE2706_LPS_VS_R848_AND_LPS_8H_STIM_DC_UP</t>
  </si>
  <si>
    <t>4542;1493;6772;4671;9459;139818;257106;115361;259307;1230;6546;4208;10184;116071;64780;59345;55281;26157;25939</t>
  </si>
  <si>
    <t>MYO1F;CTLA4;STAT1;NAIP;ARHGEF6;DOCK11;ARHGAP30;GBP4;IL4I1;CCR1;SLC8A1;MEF2C;LHFPL2;BATF2;MICAL1;GNB4;TMEM140;GIMAP2;SAMHD1</t>
  </si>
  <si>
    <t>http://www.broadinstitute.org/gsea/msigdb/cards/GSE2706_LPS_VS_R848_AND_LPS_8H_STIM_DC_UP.html</t>
  </si>
  <si>
    <t>9402;919;6772;3702;10320;79626;146722;1240;53346;1102;4066;2113;9938;27163;4033;9815;55704;84106;4644</t>
  </si>
  <si>
    <t>GRAP2;CD247;STAT1;ITK;IKZF1;TNFAIP8L2;CD300LF;CMKLR1;TM6SF1;RCBTB2;LYL1;ETS1;ARHGAP25;NAAA;LRMP;GIT2;CCDC88A;PRAM1;MYO5A</t>
  </si>
  <si>
    <t>http://www.broadinstitute.org/gsea/msigdb/cards/GSE27786_LIN_NEG_VS_NKCELL_DN.html</t>
  </si>
  <si>
    <t>GSE29618_BCELL_VS_PDC_DAY7_FLU_VACCINE_DN</t>
  </si>
  <si>
    <t>7305;920;2207;1439;2322;5294;3394;3903;11006;2672;51284;29909;3002;241;729230;1601;5376;8809;10184</t>
  </si>
  <si>
    <t>TYROBP;CD4;FCER1G;CSF2RB;FLT3;PIK3CG;IRF8;LAIR1;LILRB4;GFI1;TLR7;GPR171;GZMB;ALOX5AP;CCR2;DAB2;PMP22;IL18R1;LHFPL2</t>
  </si>
  <si>
    <t>http://www.broadinstitute.org/gsea/msigdb/cards/GSE29618_BCELL_VS_PDC_DAY7_FLU_VACCINE_DN.html</t>
  </si>
  <si>
    <t>GSE29618_PDC_VS_MDC_DAY7_FLU_VACCINE_UP</t>
  </si>
  <si>
    <t>1536;5579;5341;1439;3394;399;3903;11006;26051;2672;1240;51284;8564;3002;241;1601;10184;80183;27240</t>
  </si>
  <si>
    <t>CYBB;PRKCB;PLEK;CSF2RB;IRF8;RHOH;LAIR1;LILRB4;PPP1R16B;GFI1;CMKLR1;TLR7;KMO;GZMB;ALOX5AP;DAB2;LHFPL2;RUBCNL;SIT1</t>
  </si>
  <si>
    <t>http://www.broadinstitute.org/gsea/msigdb/cards/GSE29618_PDC_VS_MDC_DAY7_FLU_VACCINE_UP.html</t>
  </si>
  <si>
    <t>2533;8676;5579;5341;3055;313;1236;1439;50615;54209;10019;1435;10437;54;3113;3108;3604;814;90634</t>
  </si>
  <si>
    <t>FYB1;STX11;PRKCB;PLEK;HCK;AOAH;CCR7;CSF2RB;IL21R;TREM2;SH2B3;CSF1;IFI30;ACP5;HLA-DPA1;HLA-DMA;TNFRSF9;CAMK4;N4BP2L1</t>
  </si>
  <si>
    <t>GSE3982_DC_VS_MAC_LPS_STIM_DN</t>
  </si>
  <si>
    <t>3627;1536;929;2209;6351;4689;11326;2219;8564;6793;3553;240;4481;79690;5027;7462;57823;55281;9935</t>
  </si>
  <si>
    <t>CXCL10;CYBB;CD14;FCGR1A;CCL4;NCF4;VSIG4;FCN1;KMO;STK10;IL1B;ALOX5;MSR1;GAL3ST4;P2RX7;LAT2;SLAMF7;TMEM140;MAFB</t>
  </si>
  <si>
    <t>http://www.broadinstitute.org/gsea/msigdb/cards/GSE3982_DC_VS_MAC_LPS_STIM_DN.html</t>
  </si>
  <si>
    <t>GSE3982_EOSINOPHIL_VS_EFF_MEMORY_CD4_TCELL_UP</t>
  </si>
  <si>
    <t>1536;7133;6404;719;11314;3717;11024;240;9103;3059;526;5724;55911;6503;8809;597;11027;4215;64747</t>
  </si>
  <si>
    <t>CYBB;TNFRSF1B;SELPLG;C3AR1;CD300A;JAK2;LILRA1;ALOX5;FCGR2A;HCLS1;ATP6V1B2;PTAFR;APOBR;SLA;IL18R1;BCL2A1;LILRA2;MAP3K3;MFSD1</t>
  </si>
  <si>
    <t>http://www.broadinstitute.org/gsea/msigdb/cards/GSE3982_EOSINOPHIL_VS_EFF_MEMORY_CD4_TCELL_UP.html</t>
  </si>
  <si>
    <t>GSE3982_MAST_CELL_VS_NEUTROPHIL_DN</t>
  </si>
  <si>
    <t>1318;7305;929;6688;2123;6404;4689;51296;27128;9881;728;5724;7454;6556;9815;79168;10077;3805;51513</t>
  </si>
  <si>
    <t>SLC31A2;TYROBP;CD14;SPI1;EVI2A;SELPLG;NCF4;SLC15A3;CYTH4;TRANK1;C5AR1;PTAFR;WAS;SLC11A1;GIT2;LILRA6;TSPAN32;KIR2DL4;ETV7</t>
  </si>
  <si>
    <t>http://www.broadinstitute.org/gsea/msigdb/cards/GSE3982_MAST_CELL_VS_NEUTROPHIL_DN.html</t>
  </si>
  <si>
    <t>GSE3982_MAST_CELL_VS_BCELL_DN</t>
  </si>
  <si>
    <t>27334;9214;3932;962;971;959;1236;3394;3662;399;3122;926;3112;3109;2213;10148;3123;80183;51466</t>
  </si>
  <si>
    <t>P2RY10;FCMR;LCK;CD48;CD72;CD40LG;CCR7;IRF8;IRF4;RHOH;HLA-DRA;CD8B;HLA-DOB;HLA-DMB;FCGR2B;EBI3;HLA-DRB1;RUBCNL;EVL</t>
  </si>
  <si>
    <t>http://www.broadinstitute.org/gsea/msigdb/cards/GSE3982_MAST_CELL_VS_BCELL_DN.html</t>
  </si>
  <si>
    <t>27334;5788;962;3001;1234;6404;719;55843;474344;10288;11314;29992;9881;240;241;9815;90634;55281;51466</t>
  </si>
  <si>
    <t>P2RY10;PTPRC;CD48;GZMA;CCR5;SELPLG;C3AR1;ARHGAP15;GIMAP6;LILRB2;CD300A;PILRA;TRANK1;ALOX5;ALOX5AP;GIT2;N4BP2L1;TMEM140;EVL</t>
  </si>
  <si>
    <t>http://www.broadinstitute.org/gsea/msigdb/cards/GSE3982_MAST_CELL_VS_BASOPHIL_DN.html</t>
  </si>
  <si>
    <t>GSE3982_DC_VS_EFF_MEMORY_CD4_TCELL_UP</t>
  </si>
  <si>
    <t>7305;10261;1536;3055;945;51296;114548;53346;9034;8564;1435;9103;4360;2359;3109;55704;25780;11027;55803</t>
  </si>
  <si>
    <t>TYROBP;IGSF6;CYBB;HCK;CD33;SLC15A3;NLRP3;TM6SF1;CCRL2;KMO;CSF1;FCGR2A;MRC1;FPR3;HLA-DMB;CCDC88A;RASGRP3;LILRA2;ADAP2</t>
  </si>
  <si>
    <t>http://www.broadinstitute.org/gsea/msigdb/cards/GSE3982_DC_VS_EFF_MEMORY_CD4_TCELL_UP.html</t>
  </si>
  <si>
    <t>GSE3982_BCELL_VS_BASOPHIL_DN</t>
  </si>
  <si>
    <t>4068;915;917;3001;2322;1234;4354;3702;6404;51311;54209;29992;7099;8530;1621;140885;10507;64174;50515</t>
  </si>
  <si>
    <t>SH2D1A;CD3D;CD3G;GZMA;FLT3;CCR5;MPP1;ITK;SELPLG;TLR8;TREM2;PILRA;TLR4;CST7;DBH;SIRPA;SEMA4D;DPEP2;CHST11</t>
  </si>
  <si>
    <t>http://www.broadinstitute.org/gsea/msigdb/cards/GSE3982_BCELL_VS_BASOPHIL_DN.html</t>
  </si>
  <si>
    <t>GSE39820_IL1B_IL6_VS_IL1B_IL6_IL23A_TREATED_CD4_TCELL_UP</t>
  </si>
  <si>
    <t>3458;3659;115361;26051;56659;59067;30009;3002;3586;356;4818;441168;653567;80821;5027;56606;55013;22806;11217</t>
  </si>
  <si>
    <t>IFNG;IRF1;GBP4;PPP1R16B;KCNK13;IL21;TBX21;GZMB;IL10;FASLG;NKG7;CALHM6;TMEM236;DDHD1;P2RX7;SLC2A9;MCUB;IKZF3;AKAP2</t>
  </si>
  <si>
    <t>http://www.broadinstitute.org/gsea/msigdb/cards/GSE39820_IL1B_IL6_VS_IL1B_IL6_IL23A_TREATED_CD4_TCELL_UP.html</t>
  </si>
  <si>
    <t>GSE7764_NKCELL_VS_SPLENOCYTE_UP</t>
  </si>
  <si>
    <t>5551;3687;5734;10225;197358;57580;139716;1240;64333;51744;56253;3002;729230;356;2833;3824;8809;4818;79895</t>
  </si>
  <si>
    <t>PRF1;ITGAX;PTGER4;CD96;NLRC3;PREX1;GAB3;CMKLR1;ARHGAP9;CD244;CRTAM;GZMB;CCR2;FASLG;CXCR3;KLRD1;IL18R1;NKG7;ATP8B4</t>
  </si>
  <si>
    <t>http://www.broadinstitute.org/gsea/msigdb/cards/GSE7764_NKCELL_VS_SPLENOCYTE_UP.html</t>
  </si>
  <si>
    <t>GSE8678_IL7R_LOW_VS_HIGH_EFF_CD8_TCELL_DN</t>
  </si>
  <si>
    <t>1236;10225;53347;3603;286336;151888;255231;114836;64333;29851;56253;4049;3111;596;1235;3718;441168;90634;1522</t>
  </si>
  <si>
    <t>CCR7;CD96;UBASH3A;IL16;FAM78A;BTLA;MCOLN2;SLAMF6;ARHGAP9;ICOS;CRTAM;LTA;HLA-DOA;BCL2;CCR6;JAK3;CALHM6;N4BP2L1;CTSZ</t>
  </si>
  <si>
    <t>http://www.broadinstitute.org/gsea/msigdb/cards/GSE8678_IL7R_LOW_VS_HIGH_EFF_CD8_TCELL_DN.html</t>
  </si>
  <si>
    <t>GSE9988_ANTI_TREM1_VS_LPS_MONOCYTE_UP</t>
  </si>
  <si>
    <t>9046;951;3687;4245;170371;80301;84868;89857;4063;27128;56253;10437;526;1230;1601;10184;375387;84541;4327</t>
  </si>
  <si>
    <t>DOK2;CD37;ITGAX;MGAT1;TMEM273;PLEKHO2;HAVCR2;KLHL6;LY9;CYTH4;CRTAM;IFI30;ATP6V1B2;CCR1;DAB2;LHFPL2;NRROS;KBTBD8;MMP19</t>
  </si>
  <si>
    <t>http://www.broadinstitute.org/gsea/msigdb/cards/GSE9988_ANTI_TREM1_VS_LPS_MONOCYTE_UP.html</t>
  </si>
  <si>
    <t>GSE9988_LPS_VS_CTRL_TREATED_MONOCYTE_UP</t>
  </si>
  <si>
    <t>5341;6351;1236;2633;5734;399;114548;730249;9034;27299;366;3553;3586;6776;54331;9363;597;53831;29126</t>
  </si>
  <si>
    <t>PLEK;CCL4;CCR7;GBP1;PTGER4;RHOH;NLRP3;ACOD1;CCRL2;ADAMDEC1;AQP9;IL1B;IL10;STAT5A;GNG2;RAB33A;BCL2A1;GPR84;CD274</t>
  </si>
  <si>
    <t>http://www.broadinstitute.org/gsea/msigdb/cards/GSE9988_LPS_VS_CTRL_TREATED_MONOCYTE_UP.html</t>
  </si>
  <si>
    <t>GSE9988_LPS_VS_CTRL_TREATED_MONOCYTE_DN</t>
  </si>
  <si>
    <t>4542;1318;9046;54440;1436;2123;2124;79626;124460;257106;126364;80301;58484;729230;25900;55911;9815;51063;54861</t>
  </si>
  <si>
    <t>MYO1F;SLC31A2;DOK2;SASH3;CSF1R;EVI2A;EVI2B;TNFAIP8L2;SNX20;ARHGAP30;LRRC25;PLEKHO2;NLRC4;CCR2;IFFO1;APOBR;GIT2;CALHM2;SNRK</t>
  </si>
  <si>
    <t>http://www.broadinstitute.org/gsea/msigdb/cards/GSE9988_LPS_VS_CTRL_TREATED_MONOCYTE_DN.html</t>
  </si>
  <si>
    <t>GSE9988_LOW_LPS_VS_CTRL_TREATED_MONOCYTE_UP</t>
  </si>
  <si>
    <t>3559;5341;6351;1236;2633;5734;399;114548;730249;9034;27299;366;3553;3586;6776;597;9754;53831;29126</t>
  </si>
  <si>
    <t>IL2RA;PLEK;CCL4;CCR7;GBP1;PTGER4;RHOH;NLRP3;ACOD1;CCRL2;ADAMDEC1;AQP9;IL1B;IL10;STAT5A;BCL2A1;STARD8;GPR84;CD274</t>
  </si>
  <si>
    <t>http://www.broadinstitute.org/gsea/msigdb/cards/GSE9988_LOW_LPS_VS_CTRL_TREATED_MONOCYTE_UP.html</t>
  </si>
  <si>
    <t>GSE9988_ANTI_TREM1_AND_LPS_VS_CTRL_TREATED_MONOCYTES_DN</t>
  </si>
  <si>
    <t>4542;9595;54440;1436;11151;2124;3071;391;3587;257106;126364;80301;58484;729230;55911;9815;202309;155038;51063</t>
  </si>
  <si>
    <t>MYO1F;CYTIP;SASH3;CSF1R;CORO1A;EVI2B;NCKAP1L;RHOG;IL10RA;ARHGAP30;LRRC25;PLEKHO2;NLRC4;CCR2;APOBR;GIT2;GAPT;GIMAP8;CALHM2</t>
  </si>
  <si>
    <t>http://www.broadinstitute.org/gsea/msigdb/cards/GSE9988_ANTI_TREM1_AND_LPS_VS_CTRL_TREATED_MONOCYTES_DN.html</t>
  </si>
  <si>
    <t>GSE369_PRE_VS_POST_IL6_INJECTION_IFNG_KO_LIVER_UP</t>
  </si>
  <si>
    <t>4542;5579;11151;2124;5734;5294;2014;4689;11184;64407;56833;730249;4066;3059;3290;91010;84329;64098;57823</t>
  </si>
  <si>
    <t>MYO1F;PRKCB;CORO1A;EVI2B;PTGER4;PIK3CG;EMP3;NCF4;MAP4K1;RGS18;SLAMF8;ACOD1;LYL1;HCLS1;HSD11B1;FMNL3;HVCN1;PARVG;SLAMF7</t>
  </si>
  <si>
    <t>http://www.broadinstitute.org/gsea/msigdb/cards/GSE369_PRE_VS_POST_IL6_INJECTION_IFNG_KO_LIVER_UP.html</t>
  </si>
  <si>
    <t>GSE2128_C57BL6_VS_NOD_THYMOCYTE_MIMETOPE_NEGATIVE_SELECTION_DN</t>
  </si>
  <si>
    <t>1318;3575;4245;2633;941;10320;51296;128346;139716;259307;58475;58484;7099;366;4094;6793;51762;64747;55013</t>
  </si>
  <si>
    <t>SLC31A2;IL7R;MGAT1;GBP1;CD80;IKZF1;SLC15A3;C1orf162;GAB3;IL4I1;MS4A7;NLRC4;TLR4;AQP9;MAF;STK10;RAB8B;MFSD1;MCUB</t>
  </si>
  <si>
    <t>http://www.broadinstitute.org/gsea/msigdb/cards/GSE2128_C57BL6_VS_NOD_THYMOCYTE_MIMETOPE_NEGATIVE_SELECTION_DN.html</t>
  </si>
  <si>
    <t>GSE22601_CD4_SINGLE_POSITIVE_VS_CD8_SINGLE_POSITIVE_THYMOCYTE_DN</t>
  </si>
  <si>
    <t>4242;7305;9535;4068;2124;256380;1794;114836;84174;55303;54;6402;3988;3718;6503;206358;155038;54861;25939</t>
  </si>
  <si>
    <t>MFNG;TYROBP;GMFG;SH2D1A;EVI2B;SCML4;DOCK2;SLAMF6;SLA2;GIMAP4;ACP5;SELL;LIPA;JAK3;SLA;SLC36A1;GIMAP8;SNRK;SAMHD1</t>
  </si>
  <si>
    <t>http://www.broadinstitute.org/gsea/msigdb/cards/GSE22601_CD4_SINGLE_POSITIVE_VS_CD8_SINGLE_POSITIVE_THYMOCYTE_DN.html</t>
  </si>
  <si>
    <t>9404;5579;2214;2350;4245;497189;56659;4063;51311;348;3956;10437;3988;9938;6556;10457;10507;51762;79690</t>
  </si>
  <si>
    <t>LPXN;PRKCB;FCGR3A;FOLR2;MGAT1;TIFAB;KCNK13;LY9;TLR8;APOE;LGALS1;IFI30;LIPA;ARHGAP25;SLC11A1;GPNMB;SEMA4D;RAB8B;GAL3ST4</t>
  </si>
  <si>
    <t>http://www.broadinstitute.org/gsea/msigdb/cards/GSE2585_AIRE_KO_VS_WT_CD80_LOW_MTEC_DN.html</t>
  </si>
  <si>
    <t>GSE5589_LPS_VS_LPS_AND_IL10_STIM_IL6_KO_MACROPHAGE_45MIN_DN</t>
  </si>
  <si>
    <t>3932;3001;971;6404;151888;146722;115361;84636;9034;3717;8320;2357;356;6891;6503;441168;51676;51466;25939</t>
  </si>
  <si>
    <t>LCK;GZMA;CD72;SELPLG;BTLA;CD300LF;GBP4;GPR174;CCRL2;JAK2;EOMES;FPR1;FASLG;TAP2;SLA;CALHM6;ASB2;EVL;SAMHD1</t>
  </si>
  <si>
    <t>http://www.broadinstitute.org/gsea/msigdb/cards/GSE5589_LPS_VS_LPS_AND_IL10_STIM_IL6_KO_MACROPHAGE_45MIN_DN.html</t>
  </si>
  <si>
    <t>GSE7509_DC_VS_MONOCYTE_UP</t>
  </si>
  <si>
    <t>9450;712;713;714;940;2350;3575;3687;1439;1234;719;348;1508;3956;1435;1601;4240;338339;51466</t>
  </si>
  <si>
    <t>LY86;C1QA;C1QB;C1QC;CD28;FOLR2;IL7R;ITGAX;CSF2RB;CCR5;C3AR1;APOE;CTSB;LGALS1;CSF1;DAB2;MFGE8;CLEC4D;EVL</t>
  </si>
  <si>
    <t>http://www.broadinstitute.org/gsea/msigdb/cards/GSE7509_DC_VS_MONOCYTE_UP.html</t>
  </si>
  <si>
    <t>GSE13522_CTRL_VS_T_CRUZI_Y_STRAIN_INF_SKIN_IFNAR_KO_DN</t>
  </si>
  <si>
    <t>340152;9404;8676;3559;1493;3594;4689;3662;2672;80380;8530;3902;6776;2833;4033;5133;91010;5027;55013</t>
  </si>
  <si>
    <t>ZC3H12D;LPXN;STX11;IL2RA;CTLA4;IL12RB1;NCF4;IRF4;GFI1;PDCD1LG2;CST7;LAG3;STAT5A;CXCR3;LRMP;PDCD1;FMNL3;P2RX7;MCUB</t>
  </si>
  <si>
    <t>http://www.broadinstitute.org/gsea/msigdb/cards/GSE13522_CTRL_VS_T_CRUZI_Y_STRAIN_INF_SKIN_IFNAR_KO_DN.html</t>
  </si>
  <si>
    <t>GSE16697_CD4_TCELL_VS_TFH_CD4_TCELL_UP</t>
  </si>
  <si>
    <t>1536;5579;5341;11184;115361;64407;51284;51225;10019;9120;4049;348;5452;54331;27314;25780;84329;64098;22806</t>
  </si>
  <si>
    <t>CYBB;PRKCB;PLEK;MAP4K1;GBP4;RGS18;TLR7;ABI3;SH2B3;SLC16A6;LTA;APOE;POU2F2;GNG2;RAB30;RASGRP3;HVCN1;PARVG;IKZF3</t>
  </si>
  <si>
    <t>http://www.broadinstitute.org/gsea/msigdb/cards/GSE16697_CD4_TCELL_VS_TFH_CD4_TCELL_UP.html</t>
  </si>
  <si>
    <t>GSE15735_CTRL_VS_HDAC_INHIBITOR_TREATED_CD4_TCELL_12H_DN</t>
  </si>
  <si>
    <t>3689;3695;7535;221188;57580;23533;84174;10870;56253;8320;924;3290;79895;51762;5027;56606;55691;51466;27240</t>
  </si>
  <si>
    <t>ITGB2;ITGB7;ZAP70;ADGRG5;PREX1;PIK3R5;SLA2;HCST;CRTAM;EOMES;CD7;HSD11B1;ATP8B4;RAB8B;P2RX7;SLC2A9;FRMD4A;EVL;SIT1</t>
  </si>
  <si>
    <t>http://www.broadinstitute.org/gsea/msigdb/cards/GSE15735_CTRL_VS_HDAC_INHIBITOR_TREATED_CD4_TCELL_12H_DN.html</t>
  </si>
  <si>
    <t>GSE16266_CTRL_VS_LPS_STIM_MEF_DN</t>
  </si>
  <si>
    <t>972;971;4245;1439;695;221472;259307;54209;50856;8564;3553;3111;926;4066;6402;3108;4261;3123;53831</t>
  </si>
  <si>
    <t>CD74;CD72;MGAT1;CSF2RB;BTK;FGD2;IL4I1;TREM2;CLEC4A;KMO;IL1B;HLA-DOA;CD8B;LYL1;SELL;HLA-DMA;CIITA;HLA-DRB1;GPR84</t>
  </si>
  <si>
    <t>http://www.broadinstitute.org/gsea/msigdb/cards/GSE16266_CTRL_VS_LPS_STIM_MEF_DN.html</t>
  </si>
  <si>
    <t>GSE19198_CTRL_VS_IL21_TREATED_TCELL_1H_DN</t>
  </si>
  <si>
    <t>1318;11309;120939;3903;79930;89857;56659;9056;9120;6546;4973;4240;8809;85464;54518;79690;59345;50515;53831</t>
  </si>
  <si>
    <t>SLC31A2;SLCO2B1;TMEM52B;LAIR1;DOK3;KLHL6;KCNK13;SLC7A7;SLC16A6;SLC8A1;OLR1;MFGE8;IL18R1;SSH2;APBB1IP;GAL3ST4;GNB4;CHST11;GPR84</t>
  </si>
  <si>
    <t>http://www.broadinstitute.org/gsea/msigdb/cards/GSE19198_CTRL_VS_IL21_TREATED_TCELL_1H_DN.html</t>
  </si>
  <si>
    <t>GSE19198_1H_VS_6H_IL21_TREATED_TCELL_DN</t>
  </si>
  <si>
    <t>4210;2214;2268;2209;6351;313;3394;6890;146722;64092;51284;8530;6402;2357;3586;2358;3718;80821;338339</t>
  </si>
  <si>
    <t>MEFV;FCGR3A;FGR;FCGR1A;CCL4;AOAH;IRF8;TAP1;CD300LF;SAMSN1;TLR7;CST7;SELL;FPR1;IL10;FPR2;JAK3;DDHD1;CLEC4D</t>
  </si>
  <si>
    <t>http://www.broadinstitute.org/gsea/msigdb/cards/GSE19198_1H_VS_6H_IL21_TREATED_TCELL_DN.html</t>
  </si>
  <si>
    <t>GSE19772_CTRL_VS_HCMV_INF_MONOCYTES_UP</t>
  </si>
  <si>
    <t>7305;6352;1493;2123;2207;3394;6890;10875;23048;2672;51744;56253;2113;356;3604;5133;597;10077;7462</t>
  </si>
  <si>
    <t>TYROBP;CCL5;CTLA4;EVI2A;FCER1G;IRF8;TAP1;FGL2;FNBP1;GFI1;CD244;CRTAM;ETS1;FASLG;TNFRSF9;PDCD1;BCL2A1;TSPAN32;LAT2</t>
  </si>
  <si>
    <t>http://www.broadinstitute.org/gsea/msigdb/cards/GSE19772_CTRL_VS_HCMV_INF_MONOCYTES_UP.html</t>
  </si>
  <si>
    <t>GSE18893_TCONV_VS_TREG_24H_CULTURE_UP</t>
  </si>
  <si>
    <t>9046;962;7133;3695;941;5734;2014;3937;8514;80380;55303;27033;3956;54;8905;168537;83937;55013;29126</t>
  </si>
  <si>
    <t>DOK2;CD48;TNFRSF1B;ITGB7;CD80;PTGER4;EMP3;LCP2;KCNAB2;PDCD1LG2;GIMAP4;ZBTB32;LGALS1;ACP5;AP1S2;GIMAP7;RASSF4;MCUB;CD274</t>
  </si>
  <si>
    <t>http://www.broadinstitute.org/gsea/msigdb/cards/GSE18893_TCONV_VS_TREG_24H_CULTURE_UP.html</t>
  </si>
  <si>
    <t>2533;9046;9595;4068;3689;3932;914;917;963;3683;3561;2313;10320;92241;3635;1102;924;926;84230</t>
  </si>
  <si>
    <t>FYB1;DOK2;CYTIP;SH2D1A;ITGB2;LCK;CD2;CD3G;CD53;ITGAL;IL2RG;FLI1;IKZF1;RCSD1;INPP5D;RCBTB2;CD7;CD8B;LRRC8C</t>
  </si>
  <si>
    <t>http://www.broadinstitute.org/gsea/msigdb/cards/GSE21670_UNTREATED_VS_TGFB_IL6_TREATED_STAT3_KO_CD4_TCELL_DN.html</t>
  </si>
  <si>
    <t>GSE21546_WT_VS_SAP1A_KO_ANTI_CD3_STIM_DP_THYMOCYTES_UP</t>
  </si>
  <si>
    <t>7305;10261;925;313;3101;53347;10875;7099;10537;8530;5552;2212;3290;2213;4973;969;4818;10235;79895</t>
  </si>
  <si>
    <t>TYROBP;IGSF6;CD8A;AOAH;HK3;UBASH3A;FGL2;TLR4;UBD;CST7;SRGN;FCGR2A;HSD11B1;FCGR2B;OLR1;CD69;NKG7;RASGRP2;ATP8B4</t>
  </si>
  <si>
    <t>http://www.broadinstitute.org/gsea/msigdb/cards/GSE21546_WT_VS_SAP1A_KO_ANTI_CD3_STIM_DP_THYMOCYTES_UP.html</t>
  </si>
  <si>
    <t>GSE22140_HEALTHY_VS_ARTHRITIC_MOUSE_CD4_TCELL_UP</t>
  </si>
  <si>
    <t>7940;2533;3689;2214;2268;2209;3683;7453;3561;10875;3635;9056;2219;9881;3117;6693;3290;1043;729230</t>
  </si>
  <si>
    <t>LST1;FYB1;ITGB2;FCGR3A;FGR;FCGR1A;ITGAL;WARS;IL2RG;FGL2;INPP5D;SLC7A7;FCN1;TRANK1;HLA-DQA1;SPN;HSD11B1;CD52;CCR2</t>
  </si>
  <si>
    <t>http://www.broadinstitute.org/gsea/msigdb/cards/GSE22140_HEALTHY_VS_ARTHRITIC_MOUSE_CD4_TCELL_UP.html</t>
  </si>
  <si>
    <t>GSE22432_CDC_VS_COMMON_DC_PROGENITOR_UP</t>
  </si>
  <si>
    <t>3687;3937;8514;55843;92241;83706;374403;150372;139716;89857;3635;55340;55589;27128;51393;3059;4261;9938;8905</t>
  </si>
  <si>
    <t>ITGAX;LCP2;KCNAB2;ARHGAP15;RCSD1;FERMT3;TBC1D10C;NFAM1;GAB3;KLHL6;INPP5D;GIMAP5;BMP2K;CYTH4;TRPV2;HCLS1;CIITA;ARHGAP25;AP1S2</t>
  </si>
  <si>
    <t>http://www.broadinstitute.org/gsea/msigdb/cards/GSE22432_CDC_VS_COMMON_DC_PROGENITOR_UP.html</t>
  </si>
  <si>
    <t>GSE23505_IL6_IL1_IL23_VS_IL6_IL1_TGFB_TREATED_CD4_TCELL_UP</t>
  </si>
  <si>
    <t>929;1234;93978;79930;83706;81030;29992;10673;9120;4049;921;5452;3162;596;2212;4066;241;55803;55281</t>
  </si>
  <si>
    <t>CD14;CCR5;CLEC6A;DOK3;FERMT3;ZBP1;PILRA;TNFSF13B;SLC16A6;LTA;CD5;POU2F2;HMOX1;BCL2;FCGR2A;LYL1;ALOX5AP;ADAP2;TMEM140</t>
  </si>
  <si>
    <t>http://www.broadinstitute.org/gsea/msigdb/cards/GSE23505_IL6_IL1_IL23_VS_IL6_IL1_TGFB_TREATED_CD4_TCELL_UP.html</t>
  </si>
  <si>
    <t>GSE25123_WT_VS_PPARG_KO_MACROPHAGE_ROSIGLITAZONE_STIM_UP</t>
  </si>
  <si>
    <t>11309;712;713;714;929;2350;6404;2857;11326;27306;4094;2113;6507;1414;1601;151556;79690;55803;283316</t>
  </si>
  <si>
    <t>SLCO2B1;C1QA;C1QB;C1QC;CD14;FOLR2;SELPLG;GPR34;VSIG4;HPGDS;MAF;ETS1;SLC1A3;CRYBB1;DAB2;GPR155;GAL3ST4;ADAP2;CD163L1</t>
  </si>
  <si>
    <t>http://www.broadinstitute.org/gsea/msigdb/cards/GSE25123_WT_VS_PPARG_KO_MACROPHAGE_ROSIGLITAZONE_STIM_UP.html</t>
  </si>
  <si>
    <t>GSE16385_ROSIGLITAZONE_IL4_VS_IFNG_TNF_STIM_MACROPHAGE_UP</t>
  </si>
  <si>
    <t>5788;3001;3560;959;1236;2633;6504;55303;4049;921;6503;9363;597;814;64780;9806;10507;55619;64174</t>
  </si>
  <si>
    <t>PTPRC;GZMA;IL2RB;CD40LG;CCR7;GBP1;SLAMF1;GIMAP4;LTA;CD5;SLA;RAB33A;BCL2A1;CAMK4;MICAL1;SPOCK2;SEMA4D;DOCK10;DPEP2</t>
  </si>
  <si>
    <t>http://www.broadinstitute.org/gsea/msigdb/cards/GSE16385_ROSIGLITAZONE_IL4_VS_IFNG_TNF_STIM_MACROPHAGE_UP.html</t>
  </si>
  <si>
    <t>GSE16385_IFNG_TNF_VS_UNSTIM_MACROPHAGE_ROSIGLITAZONE_TREATED_DN</t>
  </si>
  <si>
    <t>9046;5788;940;6352;3560;313;6772;3820;3937;6504;3662;4049;596;241;3003;3004;9363;814;10507</t>
  </si>
  <si>
    <t>DOK2;PTPRC;CD28;CCL5;IL2RB;AOAH;STAT1;KLRB1;LCP2;SLAMF1;IRF4;LTA;BCL2;ALOX5AP;GZMK;GZMM;RAB33A;CAMK4;SEMA4D</t>
  </si>
  <si>
    <t>http://www.broadinstitute.org/gsea/msigdb/cards/GSE16385_IFNG_TNF_VS_UNSTIM_MACROPHAGE_ROSIGLITAZONE_TREATED_DN.html</t>
  </si>
  <si>
    <t>GSE22501_PERIPHERAL_BLOOD_VS_CORD_BLOOD_TREG_DN</t>
  </si>
  <si>
    <t>6351;2123;4245;2124;1234;3937;3587;10875;719;2672;926;6402;241;3586;1237;6503;9815;206358;9754</t>
  </si>
  <si>
    <t>CCL4;EVI2A;MGAT1;EVI2B;CCR5;LCP2;IL10RA;FGL2;C3AR1;GFI1;CD8B;SELL;ALOX5AP;IL10;CCR8;SLA;GIT2;SLC36A1;STARD8</t>
  </si>
  <si>
    <t>http://www.broadinstitute.org/gsea/msigdb/cards/GSE22501_PERIPHERAL_BLOOD_VS_CORD_BLOOD_TREG_DN.html</t>
  </si>
  <si>
    <t>GSE30153_LUPUS_VS_HEALTHY_DONOR_BCELL_DN</t>
  </si>
  <si>
    <t>3458;920;925;916;2214;3575;3687;7453;3662;3002;10437;3902;2999;6546;6507;4208;4818;23166;8605</t>
  </si>
  <si>
    <t>IFNG;CD4;CD8A;CD3E;FCGR3A;IL7R;ITGAX;WARS;IRF4;GZMB;IFI30;LAG3;GZMH;SLC8A1;SLC1A3;MEF2C;NKG7;STAB1;PLA2G4C</t>
  </si>
  <si>
    <t>http://www.broadinstitute.org/gsea/msigdb/cards/GSE30153_LUPUS_VS_HEALTHY_DONOR_BCELL_DN.html</t>
  </si>
  <si>
    <t>9595;920;940;3575;923;1236;6890;3587;3603;64231;3117;6402;2113;356;1235;8809;597;54518;10077</t>
  </si>
  <si>
    <t>CYTIP;CD4;CD28;IL7R;CD6;CCR7;TAP1;IL10RA;IL16;MS4A6A;HLA-DQA1;SELL;ETS1;FASLG;CCR6;IL18R1;BCL2A1;APBB1IP;TSPAN32</t>
  </si>
  <si>
    <t>GSE33425_CD161_HIGH_VS_INT_CD8_TCELL_DN</t>
  </si>
  <si>
    <t>4542;925;3932;917;6352;1493;10225;3702;3937;6404;8477;2672;51744;8530;3956;924;3604;3824;51762</t>
  </si>
  <si>
    <t>MYO1F;CD8A;LCK;CD3G;CCL5;CTLA4;CD96;ITK;LCP2;SELPLG;GPR65;GFI1;CD244;CST7;LGALS1;CD7;TNFRSF9;KLRD1;RAB8B</t>
  </si>
  <si>
    <t>http://www.broadinstitute.org/gsea/msigdb/cards/GSE33425_CD161_HIGH_VS_INT_CD8_TCELL_DN.html</t>
  </si>
  <si>
    <t>GSE26030_TH1_VS_TH17_DAY5_POST_POLARIZATION_UP</t>
  </si>
  <si>
    <t>3627;3055;2123;51056;942;6772;3594;219972;84166;51296;8477;81030;51284;9034;1435;969;100506736;55281;25939</t>
  </si>
  <si>
    <t>CXCL10;HCK;EVI2A;LAP3;CD86;STAT1;IL12RB1;MPEG1;NLRC5;SLC15A3;GPR65;ZBP1;TLR7;CCRL2;CSF1;CD69;SLFN12L;TMEM140;SAMHD1</t>
  </si>
  <si>
    <t>http://www.broadinstitute.org/gsea/msigdb/cards/GSE26030_TH1_VS_TH17_DAY5_POST_POLARIZATION_UP.html</t>
  </si>
  <si>
    <t>GSE26030_UNSTIM_VS_RESTIM_TH1_DAY5_POST_POLARIZATION_DN</t>
  </si>
  <si>
    <t>4210;7456;945;9459;92241;151888;89857;54209;50856;10437;6402;526;729230;11010;146850;206358;83937;55691;4644</t>
  </si>
  <si>
    <t>MEFV;WIPF1;CD33;ARHGEF6;RCSD1;BTLA;KLHL6;TREM2;CLEC4A;IFI30;SELL;ATP6V1B2;CCR2;GLIPR1;PIK3R6;SLC36A1;RASSF4;FRMD4A;MYO5A</t>
  </si>
  <si>
    <t>http://www.broadinstitute.org/gsea/msigdb/cards/GSE26030_UNSTIM_VS_RESTIM_TH1_DAY5_POST_POLARIZATION_DN.html</t>
  </si>
  <si>
    <t>GSE26030_UNSTIM_VS_RESTIM_TH1_DAY15_POST_POLARIZATION_DN</t>
  </si>
  <si>
    <t>1436;5341;3055;2214;3683;2207;51225;11314;27299;6793;1508;5452;2113;728;6556;55911;7185;597;81553</t>
  </si>
  <si>
    <t>CSF1R;PLEK;HCK;FCGR3A;ITGAL;FCER1G;ABI3;CD300A;ADAMDEC1;STK10;CTSB;POU2F2;ETS1;C5AR1;SLC11A1;APOBR;TRAF1;BCL2A1;FAM49A</t>
  </si>
  <si>
    <t>http://www.broadinstitute.org/gsea/msigdb/cards/GSE26030_UNSTIM_VS_RESTIM_TH1_DAY15_POST_POLARIZATION_DN.html</t>
  </si>
  <si>
    <t>GSE32986_UNSTIM_VS_CURDLAN_LOWDOSE_STIM_DC_DN</t>
  </si>
  <si>
    <t>4542;259197;9404;914;6352;3683;1233;4689;255231;26051;53346;80231;8832;3956;1435;6693;10148;51676;5027</t>
  </si>
  <si>
    <t>MYO1F;NCR3;LPXN;CD2;CCL5;ITGAL;CCR4;NCF4;MCOLN2;PPP1R16B;TM6SF1;CXorf21;CD84;LGALS1;CSF1;SPN;EBI3;ASB2;P2RX7</t>
  </si>
  <si>
    <t>http://www.broadinstitute.org/gsea/msigdb/cards/GSE32986_UNSTIM_VS_CURDLAN_LOWDOSE_STIM_DC_DN.html</t>
  </si>
  <si>
    <t>GSE34392_ST2_KO_VS_WT_DAY8_LCMV_EFFECTOR_CD8_TCELL_UP</t>
  </si>
  <si>
    <t>9404;54440;11309;139818;79626;221472;374403;89857;3635;64333;64231;4094;1102;4066;85464;151556;91526;84106;5027</t>
  </si>
  <si>
    <t>LPXN;SASH3;SLCO2B1;DOCK11;TNFAIP8L2;FGD2;TBC1D10C;KLHL6;INPP5D;ARHGAP9;MS4A6A;MAF;RCBTB2;LYL1;SSH2;GPR155;ANKRD44;PRAM1;P2RX7</t>
  </si>
  <si>
    <t>http://www.broadinstitute.org/gsea/msigdb/cards/GSE34392_ST2_KO_VS_WT_DAY8_LCMV_EFFECTOR_CD8_TCELL_UP.html</t>
  </si>
  <si>
    <t>GSE35825_UNTREATED_VS_IFNG_STIM_MACROPHAGE_UP</t>
  </si>
  <si>
    <t>8676;10261;3458;1536;5341;6772;93978;84166;255231;23533;115361;64092;54;10148;10672;597;55704;116071;57823</t>
  </si>
  <si>
    <t>STX11;IGSF6;IFNG;CYBB;PLEK;STAT1;CLEC6A;NLRC5;MCOLN2;PIK3R5;GBP4;SAMSN1;ACP5;EBI3;GNA13;BCL2A1;CCDC88A;BATF2;SLAMF7</t>
  </si>
  <si>
    <t>http://www.broadinstitute.org/gsea/msigdb/cards/GSE35825_UNTREATED_VS_IFNG_STIM_MACROPHAGE_UP.html</t>
  </si>
  <si>
    <t>GSE37533_PPARG2_FOXP3_VS_FOXP3_TRANSDUCED_CD4_TCELL_DN</t>
  </si>
  <si>
    <t>80833;3627;3659;7453;51056;2633;6772;6890;51296;6373;9881;3717;1435;10437;6891;4208;55013;25939;51513</t>
  </si>
  <si>
    <t>APOL3;CXCL10;IRF1;WARS;LAP3;GBP1;STAT1;TAP1;SLC15A3;CXCL11;TRANK1;JAK2;CSF1;IFI30;TAP2;MEF2C;MCUB;SAMHD1;ETV7</t>
  </si>
  <si>
    <t>http://www.broadinstitute.org/gsea/msigdb/cards/GSE37533_PPARG2_FOXP3_VS_FOXP3_TRANSDUCED_CD4_TCELL_DN.html</t>
  </si>
  <si>
    <t>GSE36527_CD62L_HIGH_VS_CD62L_LOW_TREG_CD69_NEG_KLRG1_NEG_UP</t>
  </si>
  <si>
    <t>7456;3627;916;3659;3676;7133;2124;6772;6890;3587;10875;399;51296;57105;2162;3002;3112;131450;29126</t>
  </si>
  <si>
    <t>WIPF1;CXCL10;CD3E;IRF1;ITGA4;TNFRSF1B;EVI2B;STAT1;TAP1;IL10RA;FGL2;RHOH;SLC15A3;CYSLTR2;F13A1;GZMB;HLA-DOB;CD200R1;CD274</t>
  </si>
  <si>
    <t>http://www.broadinstitute.org/gsea/msigdb/cards/GSE36527_CD62L_HIGH_VS_CD62L_LOW_TREG_CD69_NEG_KLRG1_NEG_UP.html</t>
  </si>
  <si>
    <t>GSE35685_CD34POS_CD38NEG_VS_CD34POS_CD10POS_BONE_MARROW_DN</t>
  </si>
  <si>
    <t>3627;3659;2209;6351;1439;942;1234;3394;6890;3937;10875;255231;115361;55589;3717;2213;1230;1601;4215</t>
  </si>
  <si>
    <t>CXCL10;IRF1;FCGR1A;CCL4;CSF2RB;CD86;CCR5;IRF8;TAP1;LCP2;FGL2;MCOLN2;GBP4;BMP2K;JAK2;FCGR2B;CCR1;DAB2;MAP3K3</t>
  </si>
  <si>
    <t>http://www.broadinstitute.org/gsea/msigdb/cards/GSE35685_CD34POS_CD38NEG_VS_CD34POS_CD10POS_BONE_MARROW_DN.html</t>
  </si>
  <si>
    <t>GSE40274_FOXP3_VS_FOXP3_AND_EOS_TRANSDUCED_ACTIVATED_CD4_TCELL_UP</t>
  </si>
  <si>
    <t>7305;9402;3055;3695;1236;3587;2672;64333;84636;55303;51284;8564;79865;10235;375387;155038;81553;54861;55281</t>
  </si>
  <si>
    <t>TYROBP;GRAP2;HCK;ITGB7;CCR7;IL10RA;GFI1;ARHGAP9;GPR174;GIMAP4;TLR7;KMO;TREML2;RASGRP2;NRROS;GIMAP8;FAM49A;SNRK;TMEM140</t>
  </si>
  <si>
    <t>http://www.broadinstitute.org/gsea/msigdb/cards/GSE40274_FOXP3_VS_FOXP3_AND_EOS_TRANSDUCED_ACTIVATED_CD4_TCELL_UP.html</t>
  </si>
  <si>
    <t>GSE40666_NAIVE_VS_EFFECTOR_CD8_TCELL_WITH_IFNA_STIM_90MIN_UP</t>
  </si>
  <si>
    <t>10663;9535;3695;2124;2014;2313;6404;79626;283897;64231;30009;2857;3122;3117;3290;356;3824;4818;5027</t>
  </si>
  <si>
    <t>CXCR6;GMFG;ITGB7;EVI2B;EMP3;FLI1;SELPLG;TNFAIP8L2;C16orf54;MS4A6A;TBX21;GPR34;HLA-DRA;HLA-DQA1;HSD11B1;FASLG;KLRD1;NKG7;P2RX7</t>
  </si>
  <si>
    <t>http://www.broadinstitute.org/gsea/msigdb/cards/GSE40666_NAIVE_VS_EFFECTOR_CD8_TCELL_WITH_IFNA_STIM_90MIN_UP.html</t>
  </si>
  <si>
    <t>GSE36078_WT_VS_IL1R_KO_LUNG_DC_UP</t>
  </si>
  <si>
    <t>7456;3458;5341;4354;255231;51225;30009;29909;6793;2811;3737;3290;4818;79865;161176;146183;338339;64805;57823</t>
  </si>
  <si>
    <t>WIPF1;IFNG;PLEK;MPP1;MCOLN2;ABI3;TBX21;GPR171;STK10;GP1BA;KCNA2;HSD11B1;NKG7;TREML2;SYNE3;OTOA;CLEC4D;P2RY12;SLAMF7</t>
  </si>
  <si>
    <t>http://www.broadinstitute.org/gsea/msigdb/cards/GSE36078_WT_VS_IL1R_KO_LUNG_DC_UP.html</t>
  </si>
  <si>
    <t>GSE11961_MEMORY_BCELL_DAY7_VS_GERMINAL_CENTER_BCELL_DAY7_DN</t>
  </si>
  <si>
    <t>54440;1536;1436;399;170371;57580;2672;64333;80231;11314;29992;9056;27299;6793;5452;3109;1235;8905;140885</t>
  </si>
  <si>
    <t>SASH3;CYBB;CSF1R;RHOH;TMEM273;PREX1;GFI1;ARHGAP9;CXorf21;CD300A;PILRA;SLC7A7;ADAMDEC1;STK10;POU2F2;HLA-DMB;CCR6;AP1S2;SIRPA</t>
  </si>
  <si>
    <t>http://www.broadinstitute.org/gsea/msigdb/cards/GSE11961_MEMORY_BCELL_DAY7_VS_GERMINAL_CENTER_BCELL_DAY7_DN.html</t>
  </si>
  <si>
    <t>GSE39556_UNTREATED_VS_3H_POLYIC_INJ_MOUSE_CD8A_DC_DN</t>
  </si>
  <si>
    <t>7940;9214;3561;2633;10225;199;3937;10288;29909;9881;2162;241;6518;3988;9938;4208;4050;11027;23312</t>
  </si>
  <si>
    <t>LST1;FCMR;IL2RG;GBP1;CD96;AIF1;LCP2;LILRB2;GPR171;TRANK1;F13A1;ALOX5AP;SLC2A5;LIPA;ARHGAP25;MEF2C;LTB;LILRA2;DMXL2</t>
  </si>
  <si>
    <t>http://www.broadinstitute.org/gsea/msigdb/cards/GSE39556_UNTREATED_VS_3H_POLYIC_INJ_MOUSE_CD8A_DC_DN.html</t>
  </si>
  <si>
    <t>GSE36826_WT_VS_IL1R_KO_SKIN_DN</t>
  </si>
  <si>
    <t>7940;9595;963;1234;2014;391;3662;9120;366;8530;921;3936;3059;6693;2357;728;4973;7185;55013</t>
  </si>
  <si>
    <t>LST1;CYTIP;CD53;CCR5;EMP3;RHOG;IRF4;SLC16A6;AQP9;CST7;CD5;LCP1;HCLS1;SPN;FPR1;C5AR1;OLR1;TRAF1;MCUB</t>
  </si>
  <si>
    <t>http://www.broadinstitute.org/gsea/msigdb/cards/GSE36826_WT_VS_IL1R_KO_SKIN_DN.html</t>
  </si>
  <si>
    <t>GSE28408_LY6G_POS_VS_NEG_DC_DN</t>
  </si>
  <si>
    <t>259197;972;5579;3659;7133;1234;3820;11262;51744;55303;30009;27033;9034;3122;943;1235;8809;11027;64747</t>
  </si>
  <si>
    <t>NCR3;CD74;PRKCB;IRF1;TNFRSF1B;CCR5;KLRB1;SP140;CD244;GIMAP4;TBX21;ZBTB32;CCRL2;HLA-DRA;TNFRSF8;CCR6;IL18R1;LILRA2;MFSD1</t>
  </si>
  <si>
    <t>http://www.broadinstitute.org/gsea/msigdb/cards/GSE28408_LY6G_POS_VS_NEG_DC_DN.html</t>
  </si>
  <si>
    <t>GSE41978_ID2_KO_VS_BIM_KO_KLRG1_LOW_EFFECTOR_CD8_TCELL_UP</t>
  </si>
  <si>
    <t>80833;3627;5788;3659;7453;51056;2633;6772;3394;6890;3702;50852;6373;3717;1435;10437;6891;54861;55281</t>
  </si>
  <si>
    <t>APOL3;CXCL10;PTPRC;IRF1;WARS;LAP3;GBP1;STAT1;IRF8;TAP1;ITK;TRAT1;CXCL11;JAK2;CSF1;IFI30;TAP2;SNRK;TMEM140</t>
  </si>
  <si>
    <t>http://www.broadinstitute.org/gsea/msigdb/cards/GSE41978_ID2_KO_VS_BIM_KO_KLRG1_LOW_EFFECTOR_CD8_TCELL_UP.html</t>
  </si>
  <si>
    <t>GSE42021_CD24HI_VS_CD24LOW_TCONV_THYMUS_DN</t>
  </si>
  <si>
    <t>80833;3627;972;3659;6352;7133;7453;51056;2633;3394;6890;51296;6373;3717;10437;6891;25780;55281;25939</t>
  </si>
  <si>
    <t>APOL3;CXCL10;CD74;IRF1;CCL5;TNFRSF1B;WARS;LAP3;GBP1;IRF8;TAP1;SLC15A3;CXCL11;JAK2;IFI30;TAP2;RASGRP3;TMEM140;SAMHD1</t>
  </si>
  <si>
    <t>http://www.broadinstitute.org/gsea/msigdb/cards/GSE42021_CD24HI_VS_CD24LOW_TCONV_THYMUS_DN.html</t>
  </si>
  <si>
    <t>GSE43955_1H_VS_42H_ACT_CD4_TCELL_UP</t>
  </si>
  <si>
    <t>9450;713;1536;3676;653361;3687;971;313;10320;399;2672;64333;9056;54;4481;1043;729230;51762;10077</t>
  </si>
  <si>
    <t>LY86;C1QB;CYBB;ITGA4;NCF1;ITGAX;CD72;AOAH;IKZF1;RHOH;GFI1;ARHGAP9;SLC7A7;ACP5;MSR1;CD52;CCR2;RAB8B;TSPAN32</t>
  </si>
  <si>
    <t>http://www.broadinstitute.org/gsea/msigdb/cards/GSE43955_1H_VS_42H_ACT_CD4_TCELL_UP.html</t>
  </si>
  <si>
    <t>GSE43863_TFH_VS_LY6C_LOW_CXCR5NEG_EFFECTOR_CD4_TCELL_UP</t>
  </si>
  <si>
    <t>3627;1536;6352;653361;6772;6890;6504;115361;64231;55303;51284;9034;596;6402;8809;10148;118788;155038;4644</t>
  </si>
  <si>
    <t>CXCL10;CYBB;CCL5;NCF1;STAT1;TAP1;SLAMF1;GBP4;MS4A6A;GIMAP4;TLR7;CCRL2;BCL2;SELL;IL18R1;EBI3;PIK3AP1;GIMAP8;MYO5A</t>
  </si>
  <si>
    <t>http://www.broadinstitute.org/gsea/msigdb/cards/GSE43863_TFH_VS_LY6C_LOW_CXCR5NEG_EFFECTOR_CD4_TCELL_UP.html</t>
  </si>
  <si>
    <t>GSE46606_DAY1_VS_DAY3_CD40L_IL2_IL5_STIMULATED_IRF4HIGH_BCELL_DN</t>
  </si>
  <si>
    <t>3458;6352;3676;391;4354;5800;117289;55303;9034;6373;10154;3717;4049;11010;7185;5133;79865;29126;55691</t>
  </si>
  <si>
    <t>IFNG;CCL5;ITGA4;RHOG;MPP1;PTPRO;TAGAP;GIMAP4;CCRL2;CXCL11;PLXNC1;JAK2;LTA;GLIPR1;TRAF1;PDCD1;TREML2;CD274;FRMD4A</t>
  </si>
  <si>
    <t>http://www.broadinstitute.org/gsea/msigdb/cards/GSE46606_DAY1_VS_DAY3_CD40L_IL2_IL5_STIMULATED_IRF4HIGH_BCELL_DN.html</t>
  </si>
  <si>
    <t>9535;3689;6036;3695;313;3603;9332;11006;6039;2219;9120;6793;3162;241;4481;3109;10457;10184;206358</t>
  </si>
  <si>
    <t>GMFG;ITGB2;RNASE2;ITGB7;AOAH;IL16;CD163;LILRB4;RNASE6;FCN1;SLC16A6;STK10;HMOX1;ALOX5AP;MSR1;HLA-DMB;GPNMB;LHFPL2;SLC36A1</t>
  </si>
  <si>
    <t>http://www.broadinstitute.org/gsea/msigdb/cards/GSE43260_BTLA_POS_VS_NEG_INTRATUMORAL_CD8_TCELL_UP.html</t>
  </si>
  <si>
    <t>GSE6092_B_BURGDOFERI_VS_B_BURGDORFERI_AND_IFNG_STIM_ENDOTHELIAL_CELL_DN</t>
  </si>
  <si>
    <t>8676;929;7133;3683;3687;5294;10320;117289;23533;115361;64092;6693;203100;441168;116071;80821;338339;29126</t>
  </si>
  <si>
    <t>STX11;CD14;TNFRSF1B;ITGAL;ITGAX;PIK3CG;IKZF1;TAGAP;PIK3R5;GBP4;SAMSN1;SPN;HTRA4;CALHM6;BATF2;DDHD1;CLEC4D;CD274</t>
  </si>
  <si>
    <t>http://www.broadinstitute.org/gsea/msigdb/cards/GSE6092_B_BURGDOFERI_VS_B_BURGDORFERI_AND_IFNG_STIM_ENDOTHELIAL_CELL_DN.html</t>
  </si>
  <si>
    <t>GSE21360_NAIVE_VS_PRIMARY_MEMORY_CD8_TCELL_DN</t>
  </si>
  <si>
    <t>7305;11309;9450;3394;7805;84868;146722;51393;10154;27306;1102;341;526;3988;54331;245972;64581;23166</t>
  </si>
  <si>
    <t>TYROBP;SLCO2B1;LY86;IRF8;LAPTM5;HAVCR2;CD300LF;TRPV2;PLXNC1;HPGDS;RCBTB2;APOC1;ATP6V1B2;LIPA;GNG2;ATP6V0D2;CLEC7A;STAB1</t>
  </si>
  <si>
    <t>http://www.broadinstitute.org/gsea/msigdb/cards/GSE21360_NAIVE_VS_PRIMARY_MEMORY_CD8_TCELL_DN.html</t>
  </si>
  <si>
    <t>4242;3575;963;1233;10666;149628;79626;8477;4063;27128;924;3936;3737;9938;4050;4240;90634</t>
  </si>
  <si>
    <t>MFNG;IL7R;CD53;CCR4;CD226;PYHIN1;TNFAIP8L2;GPR65;LY9;CYTH4;CD7;LCP1;KCNA2;ARHGAP25;LTB;MFGE8;N4BP2L1</t>
  </si>
  <si>
    <t>http://www.broadinstitute.org/gsea/msigdb/cards/GSE21033_1H_VS_24H_POLYIC_STIM_DC_DN.html</t>
  </si>
  <si>
    <t>GSE6269_E_COLI_VS_STREP_PNEUMO_INF_PBMC_DN</t>
  </si>
  <si>
    <t>4542;1378;3101;4689;9332;8742;240;3684;6037;241;6518;4973;2529;79895;23166;10004;4644</t>
  </si>
  <si>
    <t>MYO1F;CR1;HK3;NCF4;CD163;TNFSF12;ALOX5;ITGAM;RNASE3;ALOX5AP;SLC2A5;OLR1;FUT7;ATP8B4;STAB1;NAALADL1;MYO5A</t>
  </si>
  <si>
    <t>http://www.broadinstitute.org/gsea/msigdb/cards/GSE6269_E_COLI_VS_STREP_PNEUMO_INF_PBMC_DN.html</t>
  </si>
  <si>
    <t>GSE37605_FOXP3_FUSION_GFP_VS_IRES_GFP_TREG_NOD_DN</t>
  </si>
  <si>
    <t>4542;1439;2313;10320;55843;197358;387357;51338;6693;3737;729230;2529;814;79865;55619;81553;11217</t>
  </si>
  <si>
    <t>MYO1F;CSF2RB;FLI1;IKZF1;ARHGAP15;NLRC3;THEMIS;MS4A4A;SPN;KCNA2;CCR2;FUT7;CAMK4;TREML2;DOCK10;FAM49A;AKAP2</t>
  </si>
  <si>
    <t>http://www.broadinstitute.org/gsea/msigdb/cards/GSE37605_FOXP3_FUSION_GFP_VS_IRES_GFP_TREG_NOD_DN.html</t>
  </si>
  <si>
    <t>GSE40274_CTRL_VS_SATB1_TRANSDUCED_ACTIVATED_CD4_TCELL_UP</t>
  </si>
  <si>
    <t>11151;6504;139818;3903;124460;54899;83706;84868;51393;8564;240;4261;3988;4818;150771;202309;27240</t>
  </si>
  <si>
    <t>CORO1A;SLAMF1;DOCK11;LAIR1;SNX20;PXK;FERMT3;HAVCR2;TRPV2;KMO;ALOX5;CIITA;LIPA;NKG7;ITPRIPL1;GAPT;SIT1</t>
  </si>
  <si>
    <t>http://www.broadinstitute.org/gsea/msigdb/cards/GSE40274_CTRL_VS_SATB1_TRANSDUCED_ACTIVATED_CD4_TCELL_UP.html</t>
  </si>
  <si>
    <t>GSE6259_DEC205_POS_DC_VS_BCELL_DN</t>
  </si>
  <si>
    <t>313;199;4283;257106;51296;11006;115362;115361;81030;56833;27033;3002;10437;4481;118788;85464;79895</t>
  </si>
  <si>
    <t>AOAH;AIF1;CXCL9;ARHGAP30;SLC15A3;LILRB4;GBP5;GBP4;ZBP1;SLAMF8;ZBTB32;GZMB;IFI30;MSR1;PIK3AP1;SSH2;ATP8B4</t>
  </si>
  <si>
    <t>http://www.broadinstitute.org/gsea/msigdb/cards/GSE6259_DEC205_POS_DC_VS_BCELL_DN.html</t>
  </si>
  <si>
    <t>GSE14415_NATURAL_TREG_VS_FOXP3_KO_NATURAL_TREG_UP</t>
  </si>
  <si>
    <t>10663;9839;714;962;917;6352;942;10666;149628;115362;221400;2162;348;924;2213;8905</t>
  </si>
  <si>
    <t>CXCR6;ZEB2;C1QC;CD48;CD3G;CCL5;CD86;CD226;PYHIN1;GBP5;TDRD6;F13A1;APOE;CD7;FCGR2B;AP1S2</t>
  </si>
  <si>
    <t>http://www.broadinstitute.org/gsea/msigdb/cards/GSE14415_NATURAL_TREG_VS_FOXP3_KO_NATURAL_TREG_UP.html</t>
  </si>
  <si>
    <t>GSE14386_UNTREATED_VS_IFNA_TREATED_ACT_PBMC_MS_PATIENT_DN</t>
  </si>
  <si>
    <t>8676;3627;1493;10875;3662;201633;26051;4064;53829;51284;9034;2162;10437;2357;3604;5133</t>
  </si>
  <si>
    <t>STX11;CXCL10;CTLA4;FGL2;IRF4;TIGIT;PPP1R16B;CD180;P2RY13;TLR7;CCRL2;F13A1;IFI30;FPR1;TNFRSF9;PDCD1</t>
  </si>
  <si>
    <t>http://www.broadinstitute.org/gsea/msigdb/cards/GSE14386_UNTREATED_VS_IFNA_TREATED_ACT_PBMC_MS_PATIENT_DN.html</t>
  </si>
  <si>
    <t>9214;1536;139818;1794;3635;115361;55589;2113;3988;6776;3718;6503;10235;91010;91526;7462;54861;51466</t>
  </si>
  <si>
    <t>FCMR;CYBB;DOCK11;DOCK2;INPP5D;GBP4;BMP2K;ETS1;LIPA;STAT5A;JAK3;SLA;RASGRP2;FMNL3;ANKRD44;LAT2;SNRK;EVL</t>
  </si>
  <si>
    <t>GSE6092_IFNG_VS_IFNG_AND_B_BURGDORFERI_INF_ENDOTHELIAL_CELL_DN</t>
  </si>
  <si>
    <t>8676;10261;929;653361;3937;6504;10320;10875;124460;117289;81030;29992;10148;441168;84230;81553;29126</t>
  </si>
  <si>
    <t>STX11;IGSF6;CD14;NCF1;LCP2;SLAMF1;IKZF1;FGL2;SNX20;TAGAP;ZBP1;PILRA;EBI3;CALHM6;LRRC8C;FAM49A;CD274</t>
  </si>
  <si>
    <t>http://www.broadinstitute.org/gsea/msigdb/cards/GSE6092_IFNG_VS_IFNG_AND_B_BURGDORFERI_INF_ENDOTHELIAL_CELL_DN.html</t>
  </si>
  <si>
    <t>GSE3565_DUSP1_VS_WT_SPLENOCYTES_POST_LPS_INJECTION_DN</t>
  </si>
  <si>
    <t>3559;914;1436;6351;945;2014;3662;51296;84868;27128;2162;3956;3902;2213;51762;55803</t>
  </si>
  <si>
    <t>IL2RA;CD2;CSF1R;CCL4;CD33;EMP3;IRF4;SLC15A3;HAVCR2;CYTH4;F13A1;LGALS1;LAG3;FCGR2B;RAB8B;ADAP2</t>
  </si>
  <si>
    <t>http://www.broadinstitute.org/gsea/msigdb/cards/GSE3565_DUSP1_VS_WT_SPLENOCYTES_POST_LPS_INJECTION_DN.html</t>
  </si>
  <si>
    <t>GSE40666_UNTREATED_VS_IFNA_STIM_STAT1_KO_CD8_TCELL_90MIN_DN</t>
  </si>
  <si>
    <t>971;1236;6504;7805;6404;3662;124535;151888;128346;115361;50615;55589;241;4208;27314;79865;84329;54861</t>
  </si>
  <si>
    <t>CD72;CCR7;SLAMF1;LAPTM5;SELPLG;IRF4;HSF5;BTLA;C1orf162;GBP4;IL21R;BMP2K;ALOX5AP;MEF2C;RAB30;TREML2;HVCN1;SNRK</t>
  </si>
  <si>
    <t>http://www.broadinstitute.org/gsea/msigdb/cards/GSE40666_UNTREATED_VS_IFNA_STIM_STAT1_KO_CD8_TCELL_90MIN_DN.html</t>
  </si>
  <si>
    <t>GSE27859_MACROPHAGE_VS_CD11C_INT_F480_INT_DC_DN</t>
  </si>
  <si>
    <t>944;5734;3603;10666;255231;160365;114548;115362;59067;51225;8832;80342;2113;526;27314;10462;155038;79895</t>
  </si>
  <si>
    <t>TNFSF8;PTGER4;IL16;CD226;MCOLN2;CLECL1;NLRP3;GBP5;IL21;ABI3;CD84;TRAF3IP3;ETS1;ATP6V1B2;RAB30;CLEC10A;GIMAP8;ATP8B4</t>
  </si>
  <si>
    <t>http://www.broadinstitute.org/gsea/msigdb/cards/GSE27859_MACROPHAGE_VS_CD11C_INT_F480_INT_DC_DN.html</t>
  </si>
  <si>
    <t>GOLDRATH_EFF_VS_MEMORY_CD8_TCELL_UP</t>
  </si>
  <si>
    <t>7305;3458;3001;3687;2014;3394;10875;3662;219972;51744;3956;3002;3902;2358;729230;3003;5133;10077</t>
  </si>
  <si>
    <t>TYROBP;IFNG;GZMA;ITGAX;EMP3;IRF8;FGL2;IRF4;MPEG1;CD244;LGALS1;GZMB;LAG3;FPR2;CCR2;GZMK;PDCD1;TSPAN32</t>
  </si>
  <si>
    <t>http://www.broadinstitute.org/gsea/msigdb/cards/GOLDRATH_EFF_VS_MEMORY_CD8_TCELL_UP.html</t>
  </si>
  <si>
    <t>GSE10325_BCELL_VS_MYELOID_UP</t>
  </si>
  <si>
    <t>9214;971;3695;1236;6504;11262;3603;9744;399;11184;26051;4063;596;3112;1235;4050;25780;51466</t>
  </si>
  <si>
    <t>FCMR;CD72;ITGB7;CCR7;SLAMF1;SP140;IL16;ACAP1;RHOH;MAP4K1;PPP1R16B;LY9;BCL2;HLA-DOB;CCR6;LTB;RASGRP3;EVL</t>
  </si>
  <si>
    <t>http://www.broadinstitute.org/gsea/msigdb/cards/GSE10325_BCELL_VS_MYELOID_UP.html</t>
  </si>
  <si>
    <t>1536;7634;170371;348378;64926;3635;6793;3115;3059;1235;27163;969;441168;91526;9806;55619;64805;64174</t>
  </si>
  <si>
    <t>CYBB;ZNF80;TMEM273;SHISAL2A;RASAL3;INPP5D;STK10;HLA-DPB1;HCLS1;CCR6;NAAA;CD69;CALHM6;ANKRD44;SPOCK2;DOCK10;P2RY12;DPEP2</t>
  </si>
  <si>
    <t>http://www.broadinstitute.org/gsea/msigdb/cards/GSE12366_PLASMA_CELL_VS_MEMORY_BCELL_DN.html</t>
  </si>
  <si>
    <t>GSE14000_UNSTIM_VS_16H_LPS_DC_TRANSLATED_RNA_UP</t>
  </si>
  <si>
    <t>9535;945;3603;286336;79930;139716;64333;53346;64407;4688;11010;4033;54518;10462;79895;84329;4215;51466</t>
  </si>
  <si>
    <t>GMFG;CD33;IL16;FAM78A;DOK3;GAB3;ARHGAP9;TM6SF1;RGS18;NCF2;GLIPR1;LRMP;APBB1IP;CLEC10A;ATP8B4;HVCN1;MAP3K3;EVL</t>
  </si>
  <si>
    <t>http://www.broadinstitute.org/gsea/msigdb/cards/GSE14000_UNSTIM_VS_16H_LPS_DC_TRANSLATED_RNA_UP.html</t>
  </si>
  <si>
    <t>GSE14000_UNSTIM_VS_16H_LPS_DC_TRANSLATED_RNA_DN</t>
  </si>
  <si>
    <t>1318;9595;3559;6351;6352;7453;2633;84166;9881;2811;3604;10148;27314;597;90634;81553;57823;29126</t>
  </si>
  <si>
    <t>SLC31A2;CYTIP;IL2RA;CCL4;CCL5;WARS;GBP1;NLRC5;TRANK1;GP1BA;TNFRSF9;EBI3;RAB30;BCL2A1;N4BP2L1;FAM49A;SLAMF7;CD274</t>
  </si>
  <si>
    <t>http://www.broadinstitute.org/gsea/msigdb/cards/GSE14000_UNSTIM_VS_16H_LPS_DC_TRANSLATED_RNA_DN.html</t>
  </si>
  <si>
    <t>GSE17721_0.5H_VS_12H_CPG_BMDC_DN</t>
  </si>
  <si>
    <t>4210;2214;6352;1233;6890;4689;2672;6373;19;5452;54;3586;6776;11010;6556;10148;57823;11217</t>
  </si>
  <si>
    <t>MEFV;FCGR3A;CCL5;CCR4;TAP1;NCF4;GFI1;CXCL11;ABCA1;POU2F2;ACP5;IL10;STAT5A;GLIPR1;SLC11A1;EBI3;SLAMF7;AKAP2</t>
  </si>
  <si>
    <t>http://www.broadinstitute.org/gsea/msigdb/cards/GSE17721_0.5H_VS_12H_CPG_BMDC_DN.html</t>
  </si>
  <si>
    <t>GSE17721_0.5H_VS_4H_CPG_BMDC_DN</t>
  </si>
  <si>
    <t>2214;6352;919;971;51056;944;6890;51296;256380;114548;2672;29992;3717;19;4049;1435;2357;54518</t>
  </si>
  <si>
    <t>FCGR3A;CCL5;CD247;CD72;LAP3;TNFSF8;TAP1;SLC15A3;SCML4;NLRP3;GFI1;PILRA;JAK2;ABCA1;LTA;CSF1;FPR1;APBB1IP</t>
  </si>
  <si>
    <t>http://www.broadinstitute.org/gsea/msigdb/cards/GSE17721_0.5H_VS_4H_CPG_BMDC_DN.html</t>
  </si>
  <si>
    <t>GSE20366_TREG_VS_NAIVE_CD4_TCELL_HOMEOSTATIC_CONVERSION_DN</t>
  </si>
  <si>
    <t>2123;10225;10320;151888;255231;23048;59067;10673;3717;8530;8905;5133;597;57514;57589;131450;5027;55281</t>
  </si>
  <si>
    <t>EVI2A;CD96;IKZF1;BTLA;MCOLN2;FNBP1;IL21;TNFSF13B;JAK2;CST7;AP1S2;PDCD1;BCL2A1;ARHGAP31;RIC1;CD200R1;P2RX7;TMEM140</t>
  </si>
  <si>
    <t>http://www.broadinstitute.org/gsea/msigdb/cards/GSE20366_TREG_VS_NAIVE_CD4_TCELL_HOMEOSTATIC_CONVERSION_DN.html</t>
  </si>
  <si>
    <t>GSE22886_NAIVE_CD8_TCELL_VS_NKCELL_DN</t>
  </si>
  <si>
    <t>7305;54440;5788;3560;919;313;2207;3071;80301;53346;5552;3002;241;1601;8809;79895;3805;7462</t>
  </si>
  <si>
    <t>TYROBP;SASH3;PTPRC;IL2RB;CD247;AOAH;FCER1G;NCKAP1L;PLEKHO2;TM6SF1;SRGN;GZMB;ALOX5AP;DAB2;IL18R1;ATP8B4;KIR2DL4;LAT2</t>
  </si>
  <si>
    <t>http://www.broadinstitute.org/gsea/msigdb/cards/GSE22886_NAIVE_CD8_TCELL_VS_NKCELL_DN.html</t>
  </si>
  <si>
    <t>259197;9450;972;5579;971;11151;3394;55843;55016;3635;26051;1435;526;3108;3109;10235;80183;22806</t>
  </si>
  <si>
    <t>NCR3;LY86;CD74;PRKCB;CD72;CORO1A;IRF8;ARHGAP15;MARCH1;INPP5D;PPP1R16B;CSF1;ATP6V1B2;HLA-DMA;HLA-DMB;RASGRP2;RUBCNL;IKZF3</t>
  </si>
  <si>
    <t>http://www.broadinstitute.org/gsea/msigdb/cards/GSE22886_IGM_MEMORY_BCELL_VS_BM_PLASMA_CELL_UP.html</t>
  </si>
  <si>
    <t>GSE24634_TEFF_VS_TCONV_DAY7_IN_CULTURE_UP</t>
  </si>
  <si>
    <t>914;3001;3676;3560;1493;3683;10225;1233;6504;11262;6404;26051;55423;29851;3902;729230;2833;1237</t>
  </si>
  <si>
    <t>CD2;GZMA;ITGA4;IL2RB;CTLA4;ITGAL;CD96;CCR4;SLAMF1;SP140;SELPLG;PPP1R16B;SIRPG;ICOS;LAG3;CCR2;CXCR3;CCR8</t>
  </si>
  <si>
    <t>http://www.broadinstitute.org/gsea/msigdb/cards/GSE24634_TEFF_VS_TCONV_DAY7_IN_CULTURE_UP.html</t>
  </si>
  <si>
    <t>GSE26669_CD4_VS_CD8_TCELL_IN_MLR_COSTIM_BLOCK_DN</t>
  </si>
  <si>
    <t>340152;5579;916;3659;6351;7133;197358;57580;139716;89857;10870;3111;54;441168;80821;55619;55691;11217</t>
  </si>
  <si>
    <t>ZC3H12D;PRKCB;CD3E;IRF1;CCL4;TNFRSF1B;NLRC3;PREX1;GAB3;KLHL6;HCST;HLA-DOA;ACP5;CALHM6;DDHD1;DOCK10;FRMD4A;AKAP2</t>
  </si>
  <si>
    <t>http://www.broadinstitute.org/gsea/msigdb/cards/GSE26669_CD4_VS_CD8_TCELL_IN_MLR_COSTIM_BLOCK_DN.html</t>
  </si>
  <si>
    <t>GSE2706_UNSTIM_VS_2H_LPS_DC_DN</t>
  </si>
  <si>
    <t>8676;3627;3659;2633;941;5734;3394;6890;3587;23533;9034;6373;4049;3586;7185;27314;5027;29126</t>
  </si>
  <si>
    <t>STX11;CXCL10;IRF1;GBP1;CD80;PTGER4;IRF8;TAP1;IL10RA;PIK3R5;CCRL2;CXCL11;LTA;IL10;TRAF1;RAB30;P2RX7;CD274</t>
  </si>
  <si>
    <t>http://www.broadinstitute.org/gsea/msigdb/cards/GSE2706_UNSTIM_VS_2H_LPS_DC_DN.html</t>
  </si>
  <si>
    <t>GSE2706_R848_VS_R848_AND_LPS_2H_STIM_DC_DN</t>
  </si>
  <si>
    <t>6352;2633;7634;6890;4283;115362;730249;9034;6373;3553;3586;3274;6507;969;597;118788;145864;57823</t>
  </si>
  <si>
    <t>CCL5;GBP1;ZNF80;TAP1;CXCL9;GBP5;ACOD1;CCRL2;CXCL11;IL1B;IL10;HRH2;SLC1A3;CD69;BCL2A1;PIK3AP1;HAPLN3;SLAMF7</t>
  </si>
  <si>
    <t>http://www.broadinstitute.org/gsea/msigdb/cards/GSE2706_R848_VS_R848_AND_LPS_2H_STIM_DC_DN.html</t>
  </si>
  <si>
    <t>27334;9214;951;971;3561;11262;399;11184;26051;3112;2113;1235;969;11009;25780;9806;80183;22806</t>
  </si>
  <si>
    <t>P2RY10;FCMR;CD37;CD72;IL2RG;SP140;RHOH;MAP4K1;PPP1R16B;HLA-DOB;ETS1;CCR6;CD69;IL24;RASGRP3;SPOCK2;RUBCNL;IKZF3</t>
  </si>
  <si>
    <t>http://www.broadinstitute.org/gsea/msigdb/cards/GSE29618_BCELL_VS_MONOCYTE_DAY7_FLU_VACCINE_UP.html</t>
  </si>
  <si>
    <t>GSE29618_BCELL_VS_MDC_DAY7_FLU_VACCINE_UP</t>
  </si>
  <si>
    <t>27334;9214;5579;951;1378;11262;399;26051;8564;2113;4050;969;11009;10235;25780;9806;80183;22806</t>
  </si>
  <si>
    <t>P2RY10;FCMR;PRKCB;CD37;CR1;SP140;RHOH;PPP1R16B;KMO;ETS1;LTB;CD69;IL24;RASGRP2;RASGRP3;SPOCK2;RUBCNL;IKZF3</t>
  </si>
  <si>
    <t>http://www.broadinstitute.org/gsea/msigdb/cards/GSE29618_BCELL_VS_MDC_DAY7_FLU_VACCINE_UP.html</t>
  </si>
  <si>
    <t>GSE30083_SP1_VS_SP4_THYMOCYTE_DN</t>
  </si>
  <si>
    <t>3560;3695;944;6890;6404;286336;84166;221188;64231;50615;30009;4094;19;56253;6693;8809;84329;22806</t>
  </si>
  <si>
    <t>IL2RB;ITGB7;TNFSF8;TAP1;SELPLG;FAM78A;NLRC5;ADGRG5;MS4A6A;IL21R;TBX21;MAF;ABCA1;CRTAM;SPN;IL18R1;HVCN1;IKZF3</t>
  </si>
  <si>
    <t>http://www.broadinstitute.org/gsea/msigdb/cards/GSE30083_SP1_VS_SP4_THYMOCYTE_DN.html</t>
  </si>
  <si>
    <t>GSE31082_DN_VS_CD8_SP_THYMOCYTE_DN</t>
  </si>
  <si>
    <t>7456;9595;9402;5788;7133;11151;6890;197358;64926;1794;50615;10870;3717;7185;85464;151556;10077;51466</t>
  </si>
  <si>
    <t>WIPF1;CYTIP;GRAP2;PTPRC;TNFRSF1B;CORO1A;TAP1;NLRC3;RASAL3;DOCK2;IL21R;HCST;JAK2;TRAF1;SSH2;GPR155;TSPAN32;EVL</t>
  </si>
  <si>
    <t>http://www.broadinstitute.org/gsea/msigdb/cards/GSE31082_DN_VS_CD8_SP_THYMOCYTE_DN.html</t>
  </si>
  <si>
    <t>7453;5734;6890;8514;64926;115361;11326;3717;1508;6402;6693;3290;1235;140885;3123;151556;81553;54861</t>
  </si>
  <si>
    <t>WARS;PTGER4;TAP1;KCNAB2;RASAL3;GBP4;VSIG4;JAK2;CTSB;SELL;SPN;HSD11B1;CCR6;SIRPA;HLA-DRB1;GPR155;FAM49A;SNRK</t>
  </si>
  <si>
    <t>http://www.broadinstitute.org/gsea/msigdb/cards/GSE31082_DP_VS_CD4_SP_THYMOCYTE_DN.html</t>
  </si>
  <si>
    <t>GSE3337_CTRL_VS_4H_IFNG_IN_CD8POS_DC_UP</t>
  </si>
  <si>
    <t>7305;3689;1436;929;7133;971;2014;199;54899;9056;50856;3117;1508;924;4066;1235;140885;10077</t>
  </si>
  <si>
    <t>TYROBP;ITGB2;CSF1R;CD14;TNFRSF1B;CD72;EMP3;AIF1;PXK;SLC7A7;CLEC4A;HLA-DQA1;CTSB;CD7;LYL1;CCR6;SIRPA;TSPAN32</t>
  </si>
  <si>
    <t>http://www.broadinstitute.org/gsea/msigdb/cards/GSE3337_CTRL_VS_4H_IFNG_IN_CD8POS_DC_UP.html</t>
  </si>
  <si>
    <t>9051;929;945;5294;1234;4354;8514;4689;719;9332;3635;9056;341;3109;1230;4050;11027;54504</t>
  </si>
  <si>
    <t>PSTPIP1;CD14;CD33;PIK3CG;CCR5;MPP1;KCNAB2;NCF4;C3AR1;CD163;INPP5D;SLC7A7;APOC1;HLA-DMB;CCR1;LTB;LILRA2;CPVL</t>
  </si>
  <si>
    <t>http://www.broadinstitute.org/gsea/msigdb/cards/GSE360_CTRL_VS_L_DONOVANI_DC_UP.html</t>
  </si>
  <si>
    <t>GSE360_CTRL_VS_T_GONDII_MAC_UP</t>
  </si>
  <si>
    <t>4542;9450;945;971;7634;8514;3587;9332;1794;11326;2219;11024;2162;3059;5724;3363;4208;25900</t>
  </si>
  <si>
    <t>MYO1F;LY86;CD33;CD72;ZNF80;KCNAB2;IL10RA;CD163;DOCK2;VSIG4;FCN1;LILRA1;F13A1;HCLS1;PTAFR;HTR7;MEF2C;IFFO1</t>
  </si>
  <si>
    <t>http://www.broadinstitute.org/gsea/msigdb/cards/GSE360_CTRL_VS_T_GONDII_MAC_UP.html</t>
  </si>
  <si>
    <t>GSE360_DC_VS_MAC_B_MALAYI_HIGH_DOSE_DN</t>
  </si>
  <si>
    <t>4542;9214;3458;929;962;6352;7133;919;2014;10871;8514;9332;11314;10990;6793;6402;6556;11027</t>
  </si>
  <si>
    <t>MYO1F;FCMR;IFNG;CD14;CD48;CCL5;TNFRSF1B;CD247;EMP3;CD300C;KCNAB2;CD163;CD300A;LILRB5;STK10;SELL;SLC11A1;LILRA2</t>
  </si>
  <si>
    <t>http://www.broadinstitute.org/gsea/msigdb/cards/GSE360_DC_VS_MAC_B_MALAYI_HIGH_DOSE_DN.html</t>
  </si>
  <si>
    <t>GSE37416_0H_VS_48H_F_TULARENSIS_LVS_NEUTROPHIL_UP</t>
  </si>
  <si>
    <t>2533;7456;7305;11025;3689;945;4671;9744;79626;150372;64333;81030;3717;8530;3936;6546;54518;26157</t>
  </si>
  <si>
    <t>FYB1;WIPF1;TYROBP;LILRB3;ITGB2;CD33;NAIP;ACAP1;TNFAIP8L2;NFAM1;ARHGAP9;ZBP1;JAK2;CST7;LCP1;SLC8A1;APBB1IP;GIMAP2</t>
  </si>
  <si>
    <t>http://www.broadinstitute.org/gsea/msigdb/cards/GSE37416_0H_VS_48H_F_TULARENSIS_LVS_NEUTROPHIL_UP.html</t>
  </si>
  <si>
    <t>GSE37416_12H_VS_48H_F_TULARENSIS_LVS_NEUTROPHIL_UP</t>
  </si>
  <si>
    <t>7305;54440;3055;6688;128346;53346;55303;10870;29992;23228;10673;7099;3936;140885;4973;115727;132160;7462</t>
  </si>
  <si>
    <t>TYROBP;SASH3;HCK;SPI1;C1orf162;TM6SF1;GIMAP4;HCST;PILRA;PLCL2;TNFSF13B;TLR4;LCP1;SIRPA;OLR1;RASGRP4;PPM1M;LAT2</t>
  </si>
  <si>
    <t>http://www.broadinstitute.org/gsea/msigdb/cards/GSE37416_12H_VS_48H_F_TULARENSIS_LVS_NEUTROPHIL_UP.html</t>
  </si>
  <si>
    <t>GSE3982_MAST_CELL_VS_TH1_DN</t>
  </si>
  <si>
    <t>27334;4068;940;3561;2633;3101;11262;3662;149628;116986;3002;2113;3902;3586;6891;90634;3805;50515</t>
  </si>
  <si>
    <t>P2RY10;SH2D1A;CD28;IL2RG;GBP1;HK3;SP140;IRF4;PYHIN1;AGAP2;GZMB;ETS1;LAG3;IL10;TAP2;N4BP2L1;KIR2DL4;CHST11</t>
  </si>
  <si>
    <t>http://www.broadinstitute.org/gsea/msigdb/cards/GSE3982_MAST_CELL_VS_TH1_DN.html</t>
  </si>
  <si>
    <t>GSE3982_NEUTROPHIL_VS_EFF_MEMORY_CD4_TCELL_UP</t>
  </si>
  <si>
    <t>7940;9595;3659;2209;3687;2123;2633;114548;53346;55589;27128;240;140885;55911;9815;80183;55691;30817</t>
  </si>
  <si>
    <t>LST1;CYTIP;IRF1;FCGR1A;ITGAX;EVI2A;GBP1;NLRP3;TM6SF1;BMP2K;CYTH4;ALOX5;SIRPA;APOBR;GIT2;RUBCNL;FRMD4A;ADGRE2</t>
  </si>
  <si>
    <t>http://www.broadinstitute.org/gsea/msigdb/cards/GSE3982_NEUTROPHIL_VS_EFF_MEMORY_CD4_TCELL_UP.html</t>
  </si>
  <si>
    <t>GSE3982_BASOPHIL_VS_CENT_MEMORY_CD4_TCELL_UP</t>
  </si>
  <si>
    <t>6036;945;2124;2313;695;4689;8477;53346;51311;54209;11314;10019;1435;9815;25780;7462;64174;30817</t>
  </si>
  <si>
    <t>RNASE2;CD33;EVI2B;FLI1;BTK;NCF4;GPR65;TM6SF1;TLR8;TREM2;CD300A;SH2B3;CSF1;GIT2;RASGRP3;LAT2;DPEP2;ADGRE2</t>
  </si>
  <si>
    <t>http://www.broadinstitute.org/gsea/msigdb/cards/GSE3982_BASOPHIL_VS_CENT_MEMORY_CD4_TCELL_UP.html</t>
  </si>
  <si>
    <t>GSE3982_BASOPHIL_VS_TH2_UP</t>
  </si>
  <si>
    <t>9840;1536;945;2322;4689;55843;29992;50856;9881;3115;3120;4066;3113;140885;9815;90634;25780;55281</t>
  </si>
  <si>
    <t>TESPA1;CYBB;CD33;FLT3;NCF4;ARHGAP15;PILRA;CLEC4A;TRANK1;HLA-DPB1;HLA-DQB2;LYL1;HLA-DPA1;SIRPA;GIT2;N4BP2L1;RASGRP3;TMEM140</t>
  </si>
  <si>
    <t>http://www.broadinstitute.org/gsea/msigdb/cards/GSE3982_BASOPHIL_VS_TH2_UP.html</t>
  </si>
  <si>
    <t>GSE3982_EFF_MEMORY_VS_CENT_MEMORY_CD4_TCELL_UP</t>
  </si>
  <si>
    <t>9404;3689;2268;3001;7133;313;3820;2672;11314;3115;926;3684;2999;10578;9938;3003;4818;8605</t>
  </si>
  <si>
    <t>LPXN;ITGB2;FGR;GZMA;TNFRSF1B;AOAH;KLRB1;GFI1;CD300A;HLA-DPB1;CD8B;ITGAM;GZMH;GNLY;ARHGAP25;GZMK;NKG7;PLA2G4C</t>
  </si>
  <si>
    <t>http://www.broadinstitute.org/gsea/msigdb/cards/GSE3982_EFF_MEMORY_VS_CENT_MEMORY_CD4_TCELL_UP.html</t>
  </si>
  <si>
    <t>GSE39820_CTRL_VS_IL1B_IL6_IL23A_CD4_TCELL_DN</t>
  </si>
  <si>
    <t>340152;9051;9535;9404;5341;940;3001;6504;387357;89857;59067;29909;8530;56253;5552;7185;84329;54504</t>
  </si>
  <si>
    <t>ZC3H12D;PSTPIP1;GMFG;LPXN;PLEK;CD28;GZMA;SLAMF1;THEMIS;KLHL6;IL21;GPR171;CST7;CRTAM;SRGN;TRAF1;HVCN1;CPVL</t>
  </si>
  <si>
    <t>http://www.broadinstitute.org/gsea/msigdb/cards/GSE39820_CTRL_VS_IL1B_IL6_IL23A_CD4_TCELL_DN.html</t>
  </si>
  <si>
    <t>GSE7460_CTRL_VS_TGFB_TREATED_ACT_TCONV_UP</t>
  </si>
  <si>
    <t>940;963;2123;2124;3702;9459;151888;255231;4063;5552;3274;2359;27163;441168;161145;168537;79895;9806</t>
  </si>
  <si>
    <t>CD28;CD53;EVI2A;EVI2B;ITK;ARHGEF6;BTLA;MCOLN2;LY9;SRGN;HRH2;FPR3;NAAA;CALHM6;TMEM229B;GIMAP7;ATP8B4;SPOCK2</t>
  </si>
  <si>
    <t>http://www.broadinstitute.org/gsea/msigdb/cards/GSE7460_CTRL_VS_TGFB_TREATED_ACT_TCONV_UP.html</t>
  </si>
  <si>
    <t>GSE7852_TREG_VS_TCONV_FAT_DN</t>
  </si>
  <si>
    <t>4542;5579;2123;5734;10225;7535;474344;50852;151888;387357;10870;30009;1102;8320;2833;8905;4818;5027</t>
  </si>
  <si>
    <t>MYO1F;PRKCB;EVI2A;PTGER4;CD96;ZAP70;GIMAP6;TRAT1;BTLA;THEMIS;HCST;TBX21;RCBTB2;EOMES;CXCR3;AP1S2;NKG7;P2RX7</t>
  </si>
  <si>
    <t>http://www.broadinstitute.org/gsea/msigdb/cards/GSE7852_TREG_VS_TCONV_FAT_DN.html</t>
  </si>
  <si>
    <t>GSE8515_IL1_VS_IL6_4H_STIM_MAC_UP</t>
  </si>
  <si>
    <t>27334;8676;5341;6351;1236;941;5734;59067;2848;9034;29909;9120;3553;4688;7185;10148;5027;57823</t>
  </si>
  <si>
    <t>P2RY10;STX11;PLEK;CCL4;CCR7;CD80;PTGER4;IL21;GPR25;CCRL2;GPR171;SLC16A6;IL1B;NCF2;TRAF1;EBI3;P2RX7;SLAMF7</t>
  </si>
  <si>
    <t>http://www.broadinstitute.org/gsea/msigdb/cards/GSE8515_IL1_VS_IL6_4H_STIM_MAC_UP.html</t>
  </si>
  <si>
    <t>GSE9650_NAIVE_VS_EXHAUSTED_CD8_TCELL_DN</t>
  </si>
  <si>
    <t>4542;3458;6352;1493;1234;3587;51744;51284;9034;8320;1435;3002;2829;356;2833;3604;597;9806</t>
  </si>
  <si>
    <t>MYO1F;IFNG;CCL5;CTLA4;CCR5;IL10RA;CD244;TLR7;CCRL2;EOMES;CSF1;GZMB;XCR1;FASLG;CXCR3;TNFRSF9;BCL2A1;SPOCK2</t>
  </si>
  <si>
    <t>http://www.broadinstitute.org/gsea/msigdb/cards/GSE9650_NAIVE_VS_EXHAUSTED_CD8_TCELL_DN.html</t>
  </si>
  <si>
    <t>GSE9988_LOW_LPS_VS_VEHICLE_TREATED_MONOCYTE_UP</t>
  </si>
  <si>
    <t>3559;5341;6351;1236;399;114548;730249;9034;366;3553;3586;6776;597;118788;9754;57823;53831;29126</t>
  </si>
  <si>
    <t>IL2RA;PLEK;CCL4;CCR7;RHOH;NLRP3;ACOD1;CCRL2;AQP9;IL1B;IL10;STAT5A;BCL2A1;PIK3AP1;STARD8;SLAMF7;GPR84;CD274</t>
  </si>
  <si>
    <t>http://www.broadinstitute.org/gsea/msigdb/cards/GSE9988_LOW_LPS_VS_VEHICLE_TREATED_MONOCYTE_UP.html</t>
  </si>
  <si>
    <t>GSE411_UNSTIM_VS_100MIN_IL6_STIM_MACROPHAGE_DN</t>
  </si>
  <si>
    <t>4542;9402;653361;3702;197358;151888;374403;170575;64333;8832;8564;9120;3122;3111;4261;91526;84329;10077</t>
  </si>
  <si>
    <t>MYO1F;GRAP2;NCF1;ITK;NLRC3;BTLA;TBC1D10C;GIMAP1;ARHGAP9;CD84;KMO;SLC16A6;HLA-DRA;HLA-DOA;CIITA;ANKRD44;HVCN1;TSPAN32</t>
  </si>
  <si>
    <t>http://www.broadinstitute.org/gsea/msigdb/cards/GSE411_UNSTIM_VS_100MIN_IL6_STIM_MACROPHAGE_DN.html</t>
  </si>
  <si>
    <t>GSE2770_IL12_VS_IL4_TREATED_ACT_CD4_TCELL_48H_DN</t>
  </si>
  <si>
    <t>3932;914;3560;942;79626;54899;146722;4063;55303;27033;3122;348;54518;161145;51676;10077;50515;56606</t>
  </si>
  <si>
    <t>LCK;CD2;IL2RB;CD86;TNFAIP8L2;PXK;CD300LF;LY9;GIMAP4;ZBTB32;HLA-DRA;APOE;APBB1IP;TMEM229B;ASB2;TSPAN32;CHST11;SLC2A9</t>
  </si>
  <si>
    <t>http://www.broadinstitute.org/gsea/msigdb/cards/GSE2770_IL12_VS_IL4_TREATED_ACT_CD4_TCELL_48H_DN.html</t>
  </si>
  <si>
    <t>GSE2770_UNTREATED_VS_IL12_TREATED_ACT_CD4_TCELL_48H_UP</t>
  </si>
  <si>
    <t>27334;714;5788;7133;391;10320;7805;93978;114836;55303;2848;10437;3936;6693;356;151556;375387;84329</t>
  </si>
  <si>
    <t>P2RY10;C1QC;PTPRC;TNFRSF1B;RHOG;IKZF1;LAPTM5;CLEC6A;SLAMF6;GIMAP4;GPR25;IFI30;LCP1;SPN;FASLG;GPR155;NRROS;HVCN1</t>
  </si>
  <si>
    <t>http://www.broadinstitute.org/gsea/msigdb/cards/GSE2770_UNTREATED_VS_IL12_TREATED_ACT_CD4_TCELL_48H_UP.html</t>
  </si>
  <si>
    <t>7305;712;714;914;7133;971;51056;923;3662;9056;56253;4049;921;3936;6776;356;5133;597</t>
  </si>
  <si>
    <t>TYROBP;C1QA;C1QC;CD2;TNFRSF1B;CD72;LAP3;CD6;IRF4;SLC7A7;CRTAM;LTA;CD5;LCP1;STAT5A;FASLG;PDCD1;BCL2A1</t>
  </si>
  <si>
    <t>http://www.broadinstitute.org/gsea/msigdb/cards/GSE1925_CTRL_VS_3H_IFNG_STIM_MACROPHAGE_UP.html</t>
  </si>
  <si>
    <t>GSE3720_VD1_VS_VD2_GAMMADELTA_TCELL_WITH_LPS_STIM_DN</t>
  </si>
  <si>
    <t>4542;3695;10225;2014;8514;10320;3903;1794;53829;64333;6793;2811;3956;3059;2113;2213;3004;84230</t>
  </si>
  <si>
    <t>MYO1F;ITGB7;CD96;EMP3;KCNAB2;IKZF1;LAIR1;DOCK2;P2RY13;ARHGAP9;STK10;GP1BA;LGALS1;HCLS1;ETS1;FCGR2B;GZMM;LRRC8C</t>
  </si>
  <si>
    <t>http://www.broadinstitute.org/gsea/msigdb/cards/GSE3720_VD1_VS_VD2_GAMMADELTA_TCELL_WITH_LPS_STIM_DN.html</t>
  </si>
  <si>
    <t>GSE5679_PPARG_LIGAND_ROSIGLITAZONE_VS_RARA_AGONIST_AM580_TREATED_DC_DN</t>
  </si>
  <si>
    <t>9535;3676;3575;2124;10225;9744;374403;256380;139716;23533;114836;55589;6793;54;10457;89846;55619;84329</t>
  </si>
  <si>
    <t>GMFG;ITGA4;IL7R;EVI2B;CD96;ACAP1;TBC1D10C;SCML4;GAB3;PIK3R5;SLAMF6;BMP2K;STK10;ACP5;GPNMB;FGD3;DOCK10;HVCN1</t>
  </si>
  <si>
    <t>http://www.broadinstitute.org/gsea/msigdb/cards/GSE5679_PPARG_LIGAND_ROSIGLITAZONE_VS_RARA_AGONIST_AM580_TREATED_DC_DN.html</t>
  </si>
  <si>
    <t>GSE5455_HEALTHY_VS_TUMOR_BEARING_MOUSE_SPLEEN_MONOCYTE_DN</t>
  </si>
  <si>
    <t>3559;3676;1234;6404;3662;10666;3903;139716;23533;30009;2857;1102;3002;3108;3824;10235;79895;55619</t>
  </si>
  <si>
    <t>IL2RA;ITGA4;CCR5;SELPLG;IRF4;CD226;LAIR1;GAB3;PIK3R5;TBX21;GPR34;RCBTB2;GZMB;HLA-DMA;KLRD1;RASGRP2;ATP8B4;DOCK10</t>
  </si>
  <si>
    <t>http://www.broadinstitute.org/gsea/msigdb/cards/GSE5455_HEALTHY_VS_TUMOR_BEARING_MOUSE_SPLEEN_MONOCYTE_DN.html</t>
  </si>
  <si>
    <t>GSE5589_UNSTIM_VS_180MIN_LPS_AND_IL10_STIM_MACROPHAGE_DN</t>
  </si>
  <si>
    <t>27334;4068;9450;915;3932;151888;55303;30009;3108;356;6556;8905;54331;6891;146850;155038;64919;22806</t>
  </si>
  <si>
    <t>P2RY10;SH2D1A;LY86;CD3D;LCK;BTLA;GIMAP4;TBX21;HLA-DMA;FASLG;SLC11A1;AP1S2;GNG2;TAP2;PIK3R6;GIMAP8;BCL11B;IKZF3</t>
  </si>
  <si>
    <t>http://www.broadinstitute.org/gsea/msigdb/cards/GSE5589_UNSTIM_VS_180MIN_LPS_AND_IL10_STIM_MACROPHAGE_DN.html</t>
  </si>
  <si>
    <t>GSE5589_LPS_VS_LPS_AND_IL6_STIM_IL6_KO_MACROPHAGE_45MIN_UP</t>
  </si>
  <si>
    <t>9450;5579;940;3687;971;8477;255231;1794;80896;366;19;5552;2113;4240;10235;84230;338339;50515</t>
  </si>
  <si>
    <t>LY86;PRKCB;CD28;ITGAX;CD72;GPR65;MCOLN2;DOCK2;NPL;AQP9;ABCA1;SRGN;ETS1;MFGE8;RASGRP2;LRRC8C;CLEC4D;CHST11</t>
  </si>
  <si>
    <t>http://www.broadinstitute.org/gsea/msigdb/cards/GSE5589_LPS_VS_LPS_AND_IL6_STIM_IL6_KO_MACROPHAGE_45MIN_UP.html</t>
  </si>
  <si>
    <t>GSE9509_LPS_VS_LPS_AND_IL10_STIM_IL10_KO_MACROPHAGE_10MIN_UP</t>
  </si>
  <si>
    <t>3559;929;6351;399;93978;80896;55589;50856;23228;9034;3117;3586;4360;1601;5376;118788;50943;30835</t>
  </si>
  <si>
    <t>IL2RA;CD14;CCL4;RHOH;CLEC6A;NPL;BMP2K;CLEC4A;PLCL2;CCRL2;HLA-DQA1;IL10;MRC1;DAB2;PMP22;PIK3AP1;FOXP3;CD209</t>
  </si>
  <si>
    <t>http://www.broadinstitute.org/gsea/msigdb/cards/GSE9509_LPS_VS_LPS_AND_IL10_STIM_IL10_KO_MACROPHAGE_10MIN_UP.html</t>
  </si>
  <si>
    <t>GSE7831_CPG_VS_INFLUENZA_STIM_PDC_1H_DN</t>
  </si>
  <si>
    <t>714;1536;929;941;11184;80896;51284;27299;3717;3117;3111;3162;4066;3936;1230;4261;7185;1522</t>
  </si>
  <si>
    <t>C1QC;CYBB;CD14;CD80;MAP4K1;NPL;TLR7;ADAMDEC1;JAK2;HLA-DQA1;HLA-DOA;HMOX1;LYL1;LCP1;CCR1;CIITA;TRAF1;CTSZ</t>
  </si>
  <si>
    <t>http://www.broadinstitute.org/gsea/msigdb/cards/GSE7831_CPG_VS_INFLUENZA_STIM_PDC_1H_DN.html</t>
  </si>
  <si>
    <t>GSE8621_UNSTIM_VS_LPS_PRIMED_AND_LPS_STIM_MACROPHAGE_DN</t>
  </si>
  <si>
    <t>5579;3575;945;3394;10320;51296;57580;55589;2848;6793;596;3112;8809;57705;118788;80709;168537;79895</t>
  </si>
  <si>
    <t>PRKCB;IL7R;CD33;IRF8;IKZF1;SLC15A3;PREX1;BMP2K;GPR25;STK10;BCL2;HLA-DOB;IL18R1;WDFY4;PIK3AP1;AKNA;GIMAP7;ATP8B4</t>
  </si>
  <si>
    <t>http://www.broadinstitute.org/gsea/msigdb/cards/GSE8621_UNSTIM_VS_LPS_PRIMED_AND_LPS_STIM_MACROPHAGE_DN.html</t>
  </si>
  <si>
    <t>GSE10240_IL22_VS_IL22_AND_IL17_STIM_PRIMARY_BRONCHIAL_EPITHELIAL_CELLS_DN</t>
  </si>
  <si>
    <t>4242;3676;4245;474344;51296;26051;55589;366;3117;4208;4050;8809;3123;85464;146183;25780;55803;51466</t>
  </si>
  <si>
    <t>MFNG;ITGA4;MGAT1;GIMAP6;SLC15A3;PPP1R16B;BMP2K;AQP9;HLA-DQA1;MEF2C;LTB;IL18R1;HLA-DRB1;SSH2;OTOA;RASGRP3;ADAP2;EVL</t>
  </si>
  <si>
    <t>http://www.broadinstitute.org/gsea/msigdb/cards/GSE10240_IL22_VS_IL22_AND_IL17_STIM_PRIMARY_BRONCHIAL_EPITHELIAL_CELLS_DN.html</t>
  </si>
  <si>
    <t>GSE14699_NAIVE_VS_DELETIONAL_TOLERANCE_CD8_TCELL_DN</t>
  </si>
  <si>
    <t>9402;1236;3702;10320;286336;387357;114836;59067;29909;1102;3902;3586;3824;8809;89846;10235;54518;50943</t>
  </si>
  <si>
    <t>GRAP2;CCR7;ITK;IKZF1;FAM78A;THEMIS;SLAMF6;IL21;GPR171;RCBTB2;LAG3;IL10;KLRD1;IL18R1;FGD3;RASGRP2;APBB1IP;FOXP3</t>
  </si>
  <si>
    <t>http://www.broadinstitute.org/gsea/msigdb/cards/GSE14699_NAIVE_VS_DELETIONAL_TOLERANCE_CD8_TCELL_DN.html</t>
  </si>
  <si>
    <t>GSE14415_INDUCED_TREG_VS_TCONV_DN</t>
  </si>
  <si>
    <t>10663;914;3575;919;971;10225;10666;50852;154075;139716;55340;152789;56253;7185;151556;81553</t>
  </si>
  <si>
    <t>CXCR6;CD2;IL7R;CD247;CD72;CD96;CD226;TRAT1;SAMD3;GAB3;GIMAP5;JAKMIP1;CRTAM;TRAF1;GPR155;FAM49A</t>
  </si>
  <si>
    <t>http://www.broadinstitute.org/gsea/msigdb/cards/GSE14415_INDUCED_TREG_VS_TCONV_DN.html</t>
  </si>
  <si>
    <t>GSE15330_HSC_VS_MEGAKARYOCYTE_ERYTHROID_PROGENITOR_IKAROS_KO_DN</t>
  </si>
  <si>
    <t>4068;3627;917;7133;971;2123;10225;2014;8832;2212;6753;356;11010;80709;115727;84329;29126;27240</t>
  </si>
  <si>
    <t>SH2D1A;CXCL10;CD3G;TNFRSF1B;CD72;EVI2A;CD96;EMP3;CD84;FCGR2A;SSTR3;FASLG;GLIPR1;AKNA;RASGRP4;HVCN1;CD274;SIT1</t>
  </si>
  <si>
    <t>http://www.broadinstitute.org/gsea/msigdb/cards/GSE15330_HSC_VS_MEGAKARYOCYTE_ERYTHROID_PROGENITOR_IKAROS_KO_DN.html</t>
  </si>
  <si>
    <t>7535;8514;9744;79626;64926;374403;89857;10870;80342;1102;8320;4049;6402;3290;8809;57514;79865;10184</t>
  </si>
  <si>
    <t>ZAP70;KCNAB2;ACAP1;TNFAIP8L2;RASAL3;TBC1D10C;KLHL6;HCST;TRAF3IP3;RCBTB2;EOMES;LTA;SELL;HSD11B1;IL18R1;ARHGAP31;TREML2;LHFPL2</t>
  </si>
  <si>
    <t>http://www.broadinstitute.org/gsea/msigdb/cards/GSE17812_WT_VS_THPOK_KO_MEMORY_CD8_TCELL_UP.html</t>
  </si>
  <si>
    <t>GSE17186_NAIVE_VS_CD21LOW_TRANSITIONAL_BCELL_UP</t>
  </si>
  <si>
    <t>9051;9404;3559;940;1493;923;944;3662;8477;2672;50615;1508;3002;3718;131450;84230;10507;1522</t>
  </si>
  <si>
    <t>PSTPIP1;LPXN;IL2RA;CD28;CTLA4;CD6;TNFSF8;IRF4;GPR65;GFI1;IL21R;CTSB;GZMB;JAK3;CD200R1;LRRC8C;SEMA4D;CTSZ</t>
  </si>
  <si>
    <t>http://www.broadinstitute.org/gsea/msigdb/cards/GSE17186_NAIVE_VS_CD21LOW_TRANSITIONAL_BCELL_UP.html</t>
  </si>
  <si>
    <t>GSE19198_CTRL_VS_IL21_TREATED_TCELL_24H_DN</t>
  </si>
  <si>
    <t>972;5579;11151;2124;1794;8832;50856;19;3290;4240;55911;4033;3824;3123;25890;91526;64780;10077</t>
  </si>
  <si>
    <t>CD74;PRKCB;CORO1A;EVI2B;DOCK2;CD84;CLEC4A;ABCA1;HSD11B1;MFGE8;APOBR;LRMP;KLRD1;HLA-DRB1;ABI3BP;ANKRD44;MICAL1;TSPAN32</t>
  </si>
  <si>
    <t>http://www.broadinstitute.org/gsea/msigdb/cards/GSE19198_CTRL_VS_IL21_TREATED_TCELL_24H_DN.html</t>
  </si>
  <si>
    <t>GSE19923_HEB_KO_VS_HEB_AND_E2A_KO_DP_THYMOCYTE_DN</t>
  </si>
  <si>
    <t>6351;944;3594;7535;3394;3937;55303;9056;3717;1435;5552;3902;3586;1230;6776;5133;89846;100506736</t>
  </si>
  <si>
    <t>CCL4;TNFSF8;IL12RB1;ZAP70;IRF8;LCP2;GIMAP4;SLC7A7;JAK2;CSF1;SRGN;LAG3;IL10;CCR1;STAT5A;PDCD1;FGD3;SLFN12L</t>
  </si>
  <si>
    <t>http://www.broadinstitute.org/gsea/msigdb/cards/GSE19923_HEB_KO_VS_HEB_AND_E2A_KO_DP_THYMOCYTE_DN.html</t>
  </si>
  <si>
    <t>GSE19923_E2A_KO_VS_HEB_AND_E2A_KO_DP_THYMOCYTE_UP</t>
  </si>
  <si>
    <t>9595;919;7535;3702;3937;23048;5452;1435;5552;5816;3586;1230;7185;597;100506736;54518;161145;9935</t>
  </si>
  <si>
    <t>CYTIP;CD247;ZAP70;ITK;LCP2;FNBP1;POU2F2;CSF1;SRGN;PVALB;IL10;CCR1;TRAF1;BCL2A1;SLFN12L;APBB1IP;TMEM229B;MAFB</t>
  </si>
  <si>
    <t>http://www.broadinstitute.org/gsea/msigdb/cards/GSE19923_E2A_KO_VS_HEB_AND_E2A_KO_DP_THYMOCYTE_UP.html</t>
  </si>
  <si>
    <t>GSE21927_SPLEEN_MONOCYTE_VS_GMCSF_GCSF_BONE_MARROW_DN</t>
  </si>
  <si>
    <t>9450;941;4332;3594;197358;255231;80301;64092;7099;10154;10437;54;4208;4050;118788;54518;84541;81553</t>
  </si>
  <si>
    <t>LY86;CD80;MNDA;IL12RB1;NLRC3;MCOLN2;PLEKHO2;SAMSN1;TLR4;PLXNC1;IFI30;ACP5;MEF2C;LTB;PIK3AP1;APBB1IP;KBTBD8;FAM49A</t>
  </si>
  <si>
    <t>http://www.broadinstitute.org/gsea/msigdb/cards/GSE21927_SPLEEN_MONOCYTE_VS_GMCSF_GCSF_BONE_MARROW_DN.html</t>
  </si>
  <si>
    <t>GSE22140_HEALTHY_VS_ARTHRITIC_GERMFREE_MOUSE_CD4_TCELL_UP</t>
  </si>
  <si>
    <t>4542;713;6352;945;4245;2207;3561;6772;5294;10875;8477;9056;23228;3117;4066;3290;729230;6507</t>
  </si>
  <si>
    <t>MYO1F;C1QB;CCL5;CD33;MGAT1;FCER1G;IL2RG;STAT1;PIK3CG;FGL2;GPR65;SLC7A7;PLCL2;HLA-DQA1;LYL1;HSD11B1;CCR2;SLC1A3</t>
  </si>
  <si>
    <t>http://www.broadinstitute.org/gsea/msigdb/cards/GSE22140_HEALTHY_VS_ARTHRITIC_GERMFREE_MOUSE_CD4_TCELL_UP.html</t>
  </si>
  <si>
    <t>GSE22589_HEALTHY_VS_SIV_INFECTED_DC_DN</t>
  </si>
  <si>
    <t>10663;9450;3575;7453;6890;91752;84166;114836;4064;56833;23228;8530;3122;6753;6891;80821;6614;64747</t>
  </si>
  <si>
    <t>CXCR6;LY86;IL7R;WARS;TAP1;ZNF804A;NLRC5;SLAMF6;CD180;SLAMF8;PLCL2;CST7;HLA-DRA;SSTR3;TAP2;DDHD1;SIGLEC1;MFSD1</t>
  </si>
  <si>
    <t>http://www.broadinstitute.org/gsea/msigdb/cards/GSE22589_HEALTHY_VS_SIV_INFECTED_DC_DN.html</t>
  </si>
  <si>
    <t>GSE24210_RESTING_TREG_VS_TCONV_UP</t>
  </si>
  <si>
    <t>5788;653361;3683;2124;5294;6504;9744;399;286336;474344;221472;54899;139716;10019;4049;8905;27163;6503</t>
  </si>
  <si>
    <t>PTPRC;NCF1;ITGAL;EVI2B;PIK3CG;SLAMF1;ACAP1;RHOH;FAM78A;GIMAP6;FGD2;PXK;GAB3;SH2B3;LTA;AP1S2;NAAA;SLA</t>
  </si>
  <si>
    <t>http://www.broadinstitute.org/gsea/msigdb/cards/GSE24210_RESTING_TREG_VS_TCONV_UP.html</t>
  </si>
  <si>
    <t>GSE25088_IL4_VS_IL4_AND_ROSIGLITAZONE_STIM_STAT6_KO_MACROPHAGE_DAY10_UP</t>
  </si>
  <si>
    <t>4542;7940;9744;257106;64333;64231;55303;11024;3059;1043;9938;27163;4050;4033;85464;80709;54504;29125</t>
  </si>
  <si>
    <t>MYO1F;LST1;ACAP1;ARHGAP30;ARHGAP9;MS4A6A;GIMAP4;LILRA1;HCLS1;CD52;ARHGAP25;NAAA;LTB;LRMP;SSH2;AKNA;CPVL;C11orf21</t>
  </si>
  <si>
    <t>http://www.broadinstitute.org/gsea/msigdb/cards/GSE25088_IL4_VS_IL4_AND_ROSIGLITAZONE_STIM_STAT6_KO_MACROPHAGE_DAY10_UP.html</t>
  </si>
  <si>
    <t>GSE16385_UNTREATED_VS_12H_IL4_TREATED_MACROPHAGE_UP</t>
  </si>
  <si>
    <t>9214;9404;8676;3559;3055;2322;1240;59067;27033;3111;3956;54331;8809;5133;55704;161176;9806;22806</t>
  </si>
  <si>
    <t>FCMR;LPXN;STX11;IL2RA;HCK;FLT3;CMKLR1;IL21;ZBTB32;HLA-DOA;LGALS1;GNG2;IL18R1;PDCD1;CCDC88A;SYNE3;SPOCK2;IKZF3</t>
  </si>
  <si>
    <t>http://www.broadinstitute.org/gsea/msigdb/cards/GSE16385_UNTREATED_VS_12H_IL4_TREATED_MACROPHAGE_UP.html</t>
  </si>
  <si>
    <t>GSE24726_WT_VS_E2_22_KO_PDC_DAY4_POST_DELETION_DN</t>
  </si>
  <si>
    <t>1536;929;3055;3659;7133;313;255231;23533;1240;29992;27036;3717;3553;6556;7185;115727;84230;1522</t>
  </si>
  <si>
    <t>CYBB;CD14;HCK;IRF1;TNFRSF1B;AOAH;MCOLN2;PIK3R5;CMKLR1;PILRA;SIGLEC7;JAK2;IL1B;SLC11A1;TRAF1;RASGRP4;LRRC8C;CTSZ</t>
  </si>
  <si>
    <t>http://www.broadinstitute.org/gsea/msigdb/cards/GSE24726_WT_VS_E2_22_KO_PDC_DAY4_POST_DELETION_DN.html</t>
  </si>
  <si>
    <t>GSE25085_FETAL_BM_VS_ADULT_BM_SP4_THYMIC_IMPLANT_UP</t>
  </si>
  <si>
    <t>1318;6351;3575;942;3937;80301;115361;4064;81030;4063;6373;3717;3988;7185;441168;375387;116071;10507</t>
  </si>
  <si>
    <t>SLC31A2;CCL4;IL7R;CD86;LCP2;PLEKHO2;GBP4;CD180;ZBP1;LY9;CXCL11;JAK2;LIPA;TRAF1;CALHM6;NRROS;BATF2;SEMA4D</t>
  </si>
  <si>
    <t>http://www.broadinstitute.org/gsea/msigdb/cards/GSE25085_FETAL_BM_VS_ADULT_BM_SP4_THYMIC_IMPLANT_UP.html</t>
  </si>
  <si>
    <t>1318;3695;11151;2124;4354;3937;9459;5800;55843;257106;23533;64407;11314;51393;8905;54331;6503;55619</t>
  </si>
  <si>
    <t>SLC31A2;ITGB7;CORO1A;EVI2B;MPP1;LCP2;ARHGEF6;PTPRO;ARHGAP15;ARHGAP30;PIK3R5;RGS18;CD300A;TRPV2;AP1S2;GNG2;SLA;DOCK10</t>
  </si>
  <si>
    <t>http://www.broadinstitute.org/gsea/msigdb/cards/GSE25085_FETAL_LIVER_VS_FETAL_BM_SP4_THYMIC_IMPLANT_UP.html</t>
  </si>
  <si>
    <t>GSE28726_NAIVE_CD4_TCELL_VS_NAIVE_NKTCELL_UP</t>
  </si>
  <si>
    <t>915;962;6351;959;2633;2124;391;3937;3662;2672;29851;5552;356;8905;7185;8809;5133;597</t>
  </si>
  <si>
    <t>CD3D;CD48;CCL4;CD40LG;GBP1;EVI2B;RHOG;LCP2;IRF4;GFI1;ICOS;SRGN;FASLG;AP1S2;TRAF1;IL18R1;PDCD1;BCL2A1</t>
  </si>
  <si>
    <t>http://www.broadinstitute.org/gsea/msigdb/cards/GSE28726_NAIVE_CD4_TCELL_VS_NAIVE_NKTCELL_UP.html</t>
  </si>
  <si>
    <t>GSE28783_ANTI_MIR33_VS_CTRL_ATHEROSCLEROSIS_MACROPHAGE_UP</t>
  </si>
  <si>
    <t>9595;925;6036;2124;10875;91752;23048;2672;27299;341;926;6402;6693;3586;6507;27163;6503;27314</t>
  </si>
  <si>
    <t>CYTIP;CD8A;RNASE2;EVI2B;FGL2;ZNF804A;FNBP1;GFI1;ADAMDEC1;APOC1;CD8B;SELL;SPN;IL10;SLC1A3;NAAA;SLA;RAB30</t>
  </si>
  <si>
    <t>http://www.broadinstitute.org/gsea/msigdb/cards/GSE28783_ANTI_MIR33_VS_CTRL_ATHEROSCLEROSIS_MACROPHAGE_UP.html</t>
  </si>
  <si>
    <t>GSE31622_WT_VS_KLF3_KO_BCELL_DN</t>
  </si>
  <si>
    <t>8676;920;3001;6351;919;971;944;942;23533;84636;9120;5452;6693;3003;3604;375387;10077;50943</t>
  </si>
  <si>
    <t>STX11;CD4;GZMA;CCL4;CD247;CD72;TNFSF8;CD86;PIK3R5;GPR174;SLC16A6;POU2F2;SPN;GZMK;TNFRSF9;NRROS;TSPAN32;FOXP3</t>
  </si>
  <si>
    <t>http://www.broadinstitute.org/gsea/msigdb/cards/GSE31622_WT_VS_KLF3_KO_BCELL_DN.html</t>
  </si>
  <si>
    <t>GSE26890_CXCR1_NEG_VS_POS_EFFECTOR_CD8_TCELL_UP</t>
  </si>
  <si>
    <t>9839;9404;3627;1536;3659;2123;942;6772;219972;84166;81030;51284;9034;597;441168;55281;29126;25939</t>
  </si>
  <si>
    <t>ZEB2;LPXN;CXCL10;CYBB;IRF1;EVI2A;CD86;STAT1;MPEG1;NLRC5;ZBP1;TLR7;CCRL2;BCL2A1;CALHM6;TMEM140;CD274;SAMHD1</t>
  </si>
  <si>
    <t>http://www.broadinstitute.org/gsea/msigdb/cards/GSE26890_CXCR1_NEG_VS_POS_EFFECTOR_CD8_TCELL_UP.html</t>
  </si>
  <si>
    <t>GSE36888_UNTREATED_VS_IL2_TREATED_TCELL_17H_DN</t>
  </si>
  <si>
    <t>3055;6351;2207;3903;255231;64092;9056;9120;7439;241;2358;3604;7185;597;118788;81553;29126;30817</t>
  </si>
  <si>
    <t>HCK;CCL4;FCER1G;LAIR1;MCOLN2;SAMSN1;SLC7A7;SLC16A6;BEST1;ALOX5AP;FPR2;TNFRSF9;TRAF1;BCL2A1;PIK3AP1;FAM49A;CD274;ADGRE2</t>
  </si>
  <si>
    <t>http://www.broadinstitute.org/gsea/msigdb/cards/GSE36888_UNTREATED_VS_IL2_TREATED_TCELL_17H_DN.html</t>
  </si>
  <si>
    <t>GSE36009_UNSTIM_VS_LPS_STIM_DC_UP</t>
  </si>
  <si>
    <t>2214;6772;6890;3587;84166;117289;115361;81030;55589;56833;6373;1230;4261;27163;441168;116071;29126;25939</t>
  </si>
  <si>
    <t>FCGR3A;STAT1;TAP1;IL10RA;NLRC5;TAGAP;GBP4;ZBP1;BMP2K;SLAMF8;CXCL11;CCR1;CIITA;NAAA;CALHM6;BATF2;CD274;SAMHD1</t>
  </si>
  <si>
    <t>http://www.broadinstitute.org/gsea/msigdb/cards/GSE36009_UNSTIM_VS_LPS_STIM_DC_UP.html</t>
  </si>
  <si>
    <t>GSE32034_LY6C_HIGH_VS_LOW_MONOCYTE_UP</t>
  </si>
  <si>
    <t>3458;3689;2268;6351;3687;5800;53346;51393;29851;366;3002;3112;3586;3290;2213;4261;729230;57823</t>
  </si>
  <si>
    <t>IFNG;ITGB2;FGR;CCL4;ITGAX;PTPRO;TM6SF1;TRPV2;ICOS;AQP9;GZMB;HLA-DOB;IL10;HSD11B1;FCGR2B;CIITA;CCR2;SLAMF7</t>
  </si>
  <si>
    <t>http://www.broadinstitute.org/gsea/msigdb/cards/GSE32034_LY6C_HIGH_VS_LOW_MONOCYTE_UP.html</t>
  </si>
  <si>
    <t>GSE40274_GATA1_VS_FOXP3_AND_GATA1_TRANSDUCED_ACTIVATED_CD4_TCELL_UP</t>
  </si>
  <si>
    <t>3659;3695;2014;2313;6404;4689;55340;81030;64231;2857;56253;341;240;54;6693;27163;441168;81553</t>
  </si>
  <si>
    <t>IRF1;ITGB7;EMP3;FLI1;SELPLG;NCF4;GIMAP5;ZBP1;MS4A6A;GPR34;CRTAM;APOC1;ALOX5;ACP5;SPN;NAAA;CALHM6;FAM49A</t>
  </si>
  <si>
    <t>http://www.broadinstitute.org/gsea/msigdb/cards/GSE40274_GATA1_VS_FOXP3_AND_GATA1_TRANSDUCED_ACTIVATED_CD4_TCELL_UP.html</t>
  </si>
  <si>
    <t>GSE40277_GATA1_AND_SATB1_TRANSDUCED_VS_CTRL_CD4_TCELL_UP</t>
  </si>
  <si>
    <t>4542;3458;1233;1234;2014;124460;221472;114836;115361;8832;4094;3956;3002;8905;6503;57514;64747;22806</t>
  </si>
  <si>
    <t>MYO1F;IFNG;CCR4;CCR5;EMP3;SNX20;FGD2;SLAMF6;GBP4;CD84;MAF;LGALS1;GZMB;AP1S2;SLA;ARHGAP31;MFSD1;IKZF3</t>
  </si>
  <si>
    <t>http://www.broadinstitute.org/gsea/msigdb/cards/GSE40277_GATA1_AND_SATB1_TRANSDUCED_VS_CTRL_CD4_TCELL_UP.html</t>
  </si>
  <si>
    <t>GSE40274_FOXP3_VS_FOXP3_AND_LEF1_TRANSDUCED_ACTIVATED_CD4_TCELL_UP</t>
  </si>
  <si>
    <t>6352;5734;1234;10875;4689;283897;51296;84174;4094;8530;3002;3108;1043;1235;10148;10507;51063;23166</t>
  </si>
  <si>
    <t>CCL5;PTGER4;CCR5;FGL2;NCF4;C16orf54;SLC15A3;SLA2;MAF;CST7;GZMB;HLA-DMA;CD52;CCR6;EBI3;SEMA4D;CALHM2;STAB1</t>
  </si>
  <si>
    <t>http://www.broadinstitute.org/gsea/msigdb/cards/GSE40274_FOXP3_VS_FOXP3_AND_LEF1_TRANSDUCED_ACTIVATED_CD4_TCELL_UP.html</t>
  </si>
  <si>
    <t>GSE40666_NAIVE_VS_EFFECTOR_CD8_TCELL_DN</t>
  </si>
  <si>
    <t>4542;10663;5551;7133;2207;2124;115361;51393;29851;3956;356;3003;27163;55911;3824;79895;55281;55691</t>
  </si>
  <si>
    <t>MYO1F;CXCR6;PRF1;TNFRSF1B;FCER1G;EVI2B;GBP4;TRPV2;ICOS;LGALS1;FASLG;GZMK;NAAA;APOBR;KLRD1;ATP8B4;TMEM140;FRMD4A</t>
  </si>
  <si>
    <t>http://www.broadinstitute.org/gsea/msigdb/cards/GSE40666_NAIVE_VS_EFFECTOR_CD8_TCELL_DN.html</t>
  </si>
  <si>
    <t>GSE40666_WT_VS_STAT4_KO_CD8_TCELL_WITH_IFNA_STIM_90MIN_UP</t>
  </si>
  <si>
    <t>5551;3695;4354;2313;286336;50852;283897;387357;55340;84636;64231;55589;56253;3290;90634;91526;84541;64919</t>
  </si>
  <si>
    <t>PRF1;ITGB7;MPP1;FLI1;FAM78A;TRAT1;C16orf54;THEMIS;GIMAP5;GPR174;MS4A6A;BMP2K;CRTAM;HSD11B1;N4BP2L1;ANKRD44;KBTBD8;BCL11B</t>
  </si>
  <si>
    <t>http://www.broadinstitute.org/gsea/msigdb/cards/GSE40666_WT_VS_STAT4_KO_CD8_TCELL_WITH_IFNA_STIM_90MIN_UP.html</t>
  </si>
  <si>
    <t>GSE39110_DAY3_VS_DAY6_POST_IMMUNIZATION_CD8_TCELL_WITH_IL2_TREATMENT_UP</t>
  </si>
  <si>
    <t>4068;1536;3001;1493;941;5294;1234;6890;4094;3956;3003;4033;5133;597;814;118788;1522;22806</t>
  </si>
  <si>
    <t>SH2D1A;CYBB;GZMA;CTLA4;CD80;PIK3CG;CCR5;TAP1;MAF;LGALS1;GZMK;LRMP;PDCD1;BCL2A1;CAMK4;PIK3AP1;CTSZ;IKZF3</t>
  </si>
  <si>
    <t>http://www.broadinstitute.org/gsea/msigdb/cards/GSE39110_DAY3_VS_DAY6_POST_IMMUNIZATION_CD8_TCELL_WITH_IL2_TREATMENT_UP.html</t>
  </si>
  <si>
    <t>GSE36078_UNTREATED_VS_AD5_INF_MOUSE_LUNG_DC_DN</t>
  </si>
  <si>
    <t>9839;3559;6351;2207;942;3594;3394;64092;30009;2848;9120;6793;1102;3290;3824;161176;118788;50515</t>
  </si>
  <si>
    <t>ZEB2;IL2RA;CCL4;FCER1G;CD86;IL12RB1;IRF8;SAMSN1;TBX21;GPR25;SLC16A6;STK10;RCBTB2;HSD11B1;KLRD1;SYNE3;PIK3AP1;CHST11</t>
  </si>
  <si>
    <t>http://www.broadinstitute.org/gsea/msigdb/cards/GSE36078_UNTREATED_VS_AD5_INF_MOUSE_LUNG_DC_DN.html</t>
  </si>
  <si>
    <t>GSE36078_UNTREATED_VS_AD5_T425A_HEXON_INF_MOUSE_LUNG_DC_DN</t>
  </si>
  <si>
    <t>7305;3559;3001;6352;653361;2207;942;3903;246329;27128;30009;3290;2213;356;3824;118788;168537;56670</t>
  </si>
  <si>
    <t>TYROBP;IL2RA;GZMA;CCL5;NCF1;FCER1G;CD86;LAIR1;STAC3;CYTH4;TBX21;HSD11B1;FCGR2B;FASLG;KLRD1;PIK3AP1;GIMAP7;SUCNR1</t>
  </si>
  <si>
    <t>http://www.broadinstitute.org/gsea/msigdb/cards/GSE36078_UNTREATED_VS_AD5_T425A_HEXON_INF_MOUSE_LUNG_DC_DN.html</t>
  </si>
  <si>
    <t>GSE39556_CD8A_DC_VS_NK_CELL_DN</t>
  </si>
  <si>
    <t>9839;5579;3055;971;2014;695;3662;399;50852;6039;26051;4064;23228;10019;8564;5724;4033;27240</t>
  </si>
  <si>
    <t>ZEB2;PRKCB;HCK;CD72;EMP3;BTK;IRF4;RHOH;TRAT1;RNASE6;PPP1R16B;CD180;PLCL2;SH2B3;KMO;PTAFR;LRMP;SIT1</t>
  </si>
  <si>
    <t>http://www.broadinstitute.org/gsea/msigdb/cards/GSE39556_CD8A_DC_VS_NK_CELL_DN.html</t>
  </si>
  <si>
    <t>GSE41867_DAY6_VS_DAY8_LCMV_CLONE13_EFFECTOR_CD8_TCELL_UP</t>
  </si>
  <si>
    <t>4542;8676;917;6351;3575;2207;3587;84166;81030;64231;30009;29851;6373;4094;6556;2833;25900;100506736</t>
  </si>
  <si>
    <t>MYO1F;STX11;CD3G;CCL4;IL7R;FCER1G;IL10RA;NLRC5;ZBP1;MS4A6A;TBX21;ICOS;CXCL11;MAF;SLC11A1;CXCR3;IFFO1;SLFN12L</t>
  </si>
  <si>
    <t>http://www.broadinstitute.org/gsea/msigdb/cards/GSE41867_DAY6_VS_DAY8_LCMV_CLONE13_EFFECTOR_CD8_TCELL_UP.html</t>
  </si>
  <si>
    <t>GSE41867_DAY8_EFFECTOR_VS_DAY30_EXHAUSTED_CD8_TCELL_LCMV_CLONE13_DN</t>
  </si>
  <si>
    <t>11151;117289;57580;3635;11184;4064;80380;80342;3717;27306;1435;10437;4688;3274;11010;91526;64780;10507</t>
  </si>
  <si>
    <t>CORO1A;TAGAP;PREX1;INPP5D;MAP4K1;CD180;PDCD1LG2;TRAF3IP3;JAK2;HPGDS;CSF1;IFI30;NCF2;HRH2;GLIPR1;ANKRD44;MICAL1;SEMA4D</t>
  </si>
  <si>
    <t>http://www.broadinstitute.org/gsea/msigdb/cards/GSE41867_DAY8_EFFECTOR_VS_DAY30_EXHAUSTED_CD8_TCELL_LCMV_CLONE13_DN.html</t>
  </si>
  <si>
    <t>GSE36826_NORMAL_VS_STAPH_AUREUS_INF_SKIN_DN</t>
  </si>
  <si>
    <t>10261;713;2350;1378;4689;53829;11314;29992;8742;19;2162;348;341;54;9938;6503;6614;56606</t>
  </si>
  <si>
    <t>IGSF6;C1QB;FOLR2;CR1;NCF4;P2RY13;CD300A;PILRA;TNFSF12;ABCA1;F13A1;APOE;APOC1;ACP5;ARHGAP25;SLA;SIGLEC1;SLC2A9</t>
  </si>
  <si>
    <t>http://www.broadinstitute.org/gsea/msigdb/cards/GSE36826_NORMAL_VS_STAPH_AUREUS_INF_SKIN_DN.html</t>
  </si>
  <si>
    <t>GSE42021_TREG_VS_TCONV_PLN_UP</t>
  </si>
  <si>
    <t>80833;3627;3659;7453;51056;2633;6772;3394;6890;6373;9881;3717;1435;10437;6891;25780;55281;25939</t>
  </si>
  <si>
    <t>APOL3;CXCL10;IRF1;WARS;LAP3;GBP1;STAT1;IRF8;TAP1;CXCL11;TRANK1;JAK2;CSF1;IFI30;TAP2;RASGRP3;TMEM140;SAMHD1</t>
  </si>
  <si>
    <t>http://www.broadinstitute.org/gsea/msigdb/cards/GSE42021_TREG_VS_TCONV_PLN_UP.html</t>
  </si>
  <si>
    <t>GSE43955_TH0_VS_TGFB_IL6_TH17_ACT_CD4_TCELL_4H_DN</t>
  </si>
  <si>
    <t>9402;713;1436;3676;3687;3394;6890;4689;51284;6793;3936;3059;3988;5376;7185;597;338339;64747</t>
  </si>
  <si>
    <t>GRAP2;C1QB;CSF1R;ITGA4;ITGAX;IRF8;TAP1;NCF4;TLR7;STK10;LCP1;HCLS1;LIPA;PMP22;TRAF1;BCL2A1;CLEC4D;MFSD1</t>
  </si>
  <si>
    <t>http://www.broadinstitute.org/gsea/msigdb/cards/GSE43955_TH0_VS_TGFB_IL6_TH17_ACT_CD4_TCELL_4H_DN.html</t>
  </si>
  <si>
    <t>GSE43955_1H_VS_10H_ACT_CD4_TCELL_WITH_TGFB_IL6_DN</t>
  </si>
  <si>
    <t>9595;9450;2350;971;1234;199;6890;10875;4689;54899;4063;3553;348;3586;1043;4973;5133;10507</t>
  </si>
  <si>
    <t>CYTIP;LY86;FOLR2;CD72;CCR5;AIF1;TAP1;FGL2;NCF4;PXK;LY9;IL1B;APOE;IL10;CD52;OLR1;PDCD1;SEMA4D</t>
  </si>
  <si>
    <t>http://www.broadinstitute.org/gsea/msigdb/cards/GSE43955_1H_VS_10H_ACT_CD4_TCELL_WITH_TGFB_IL6_DN.html</t>
  </si>
  <si>
    <t>GSE43863_TFH_VS_LY6C_INT_CXCR5POS_EFFECTOR_CD4_TCELL_DN</t>
  </si>
  <si>
    <t>8676;3458;3559;3659;3394;6504;55303;51284;30009;10154;4049;5552;3902;3290;7185;10148;25890;55619</t>
  </si>
  <si>
    <t>STX11;IFNG;IL2RA;IRF1;IRF8;SLAMF1;GIMAP4;TLR7;TBX21;PLXNC1;LTA;SRGN;LAG3;HSD11B1;TRAF1;EBI3;ABI3BP;DOCK10</t>
  </si>
  <si>
    <t>http://www.broadinstitute.org/gsea/msigdb/cards/GSE43863_TFH_VS_LY6C_INT_CXCR5POS_EFFECTOR_CD4_TCELL_DN.html</t>
  </si>
  <si>
    <t>GSE43863_TFH_VS_LY6C_LOW_CXCR5NEG_EFFECTOR_CD4_TCELL_DN</t>
  </si>
  <si>
    <t>3932;5341;945;10225;124535;51296;117289;2672;56659;27306;8530;3274;5376;9754;10507;116442;7462;50515</t>
  </si>
  <si>
    <t>LCK;PLEK;CD33;CD96;HSF5;SLC15A3;TAGAP;GFI1;KCNK13;HPGDS;CST7;HRH2;PMP22;STARD8;SEMA4D;RAB39B;LAT2;CHST11</t>
  </si>
  <si>
    <t>http://www.broadinstitute.org/gsea/msigdb/cards/GSE43863_TFH_VS_LY6C_LOW_CXCR5NEG_EFFECTOR_CD4_TCELL_DN.html</t>
  </si>
  <si>
    <t>GSE43863_TH1_VS_LY6C_INT_CXCR5POS_MEMORY_CD4_TCELL_DN</t>
  </si>
  <si>
    <t>712;713;714;1436;9744;10666;256380;80896;11314;27299;6793;19;1508;4360;3274;6556;4327;7462</t>
  </si>
  <si>
    <t>C1QA;C1QB;C1QC;CSF1R;ACAP1;CD226;SCML4;NPL;CD300A;ADAMDEC1;STK10;ABCA1;CTSB;MRC1;HRH2;SLC11A1;MMP19;LAT2</t>
  </si>
  <si>
    <t>http://www.broadinstitute.org/gsea/msigdb/cards/GSE43863_TH1_VS_LY6C_INT_CXCR5POS_MEMORY_CD4_TCELL_DN.html</t>
  </si>
  <si>
    <t>GSE46606_IRF4MID_VS_WT_CD40L_IL2_IL5_DAY3_STIMULATED_BCELL_DN</t>
  </si>
  <si>
    <t>4542;5579;313;11151;2313;8514;9459;283897;83706;8477;4066;2357;2358;25900;7941;814;90634;85464</t>
  </si>
  <si>
    <t>MYO1F;PRKCB;AOAH;CORO1A;FLI1;KCNAB2;ARHGEF6;C16orf54;FERMT3;GPR65;LYL1;FPR1;FPR2;IFFO1;PLA2G7;CAMK4;N4BP2L1;SSH2</t>
  </si>
  <si>
    <t>http://www.broadinstitute.org/gsea/msigdb/cards/GSE46606_IRF4MID_VS_WT_CD40L_IL2_IL5_DAY3_STIMULATED_BCELL_DN.html</t>
  </si>
  <si>
    <t>GSE41176_UNSTIM_VS_ANTI_IGM_STIM_BCELL_6H_UP</t>
  </si>
  <si>
    <t>9051;11309;2313;91752;55016;1240;64170;56833;27128;11326;27036;4094;4360;2213;10462;30835;23166;25939</t>
  </si>
  <si>
    <t>PSTPIP1;SLCO2B1;FLI1;ZNF804A;MARCH1;CMKLR1;CARD9;SLAMF8;CYTH4;VSIG4;SIGLEC7;MAF;MRC1;FCGR2B;CLEC10A;CD209;STAB1;SAMHD1</t>
  </si>
  <si>
    <t>http://www.broadinstitute.org/gsea/msigdb/cards/GSE41176_UNSTIM_VS_ANTI_IGM_STIM_BCELL_6H_UP.html</t>
  </si>
  <si>
    <t>GSE45365_NK_CELL_VS_BCELL_MCMV_INFECTION_UP</t>
  </si>
  <si>
    <t>9051;9535;2124;4671;6039;50856;2212;9103;4066;4360;2213;1601;969;4033;6503;64174;29125;25939</t>
  </si>
  <si>
    <t>PSTPIP1;GMFG;EVI2B;NAIP;RNASE6;CLEC4A;FCGR2A;FCGR2A;LYL1;MRC1;FCGR2B;DAB2;CD69;LRMP;SLA;DPEP2;C11orf21;SAMHD1</t>
  </si>
  <si>
    <t>http://www.broadinstitute.org/gsea/msigdb/cards/GSE45365_NK_CELL_VS_BCELL_MCMV_INFECTION_UP.html</t>
  </si>
  <si>
    <t>GSE45365_NK_CELL_VS_CD8_TCELL_MCMV_INFECTION_UP</t>
  </si>
  <si>
    <t>9051;9535;1436;3055;11151;4671;10875;6039;27128;2359;969;55911;6503;64747;64174;29125;51466;25939</t>
  </si>
  <si>
    <t>PSTPIP1;GMFG;CSF1R;HCK;CORO1A;NAIP;FGL2;RNASE6;CYTH4;FPR3;CD69;APOBR;SLA;MFSD1;DPEP2;C11orf21;EVL;SAMHD1</t>
  </si>
  <si>
    <t>http://www.broadinstitute.org/gsea/msigdb/cards/GSE45365_NK_CELL_VS_CD8_TCELL_MCMV_INFECTION_UP.html</t>
  </si>
  <si>
    <t>GSE35825_UNTREATED_VS_IFNA_STIM_MACROPHAGE_DN</t>
  </si>
  <si>
    <t>10068;3659;944;6890;23533;115361;64092;6373;3717;5552;4973;969;7185;10672;116071;25939</t>
  </si>
  <si>
    <t>IL18BP;IRF1;TNFSF8;TAP1;PIK3R5;GBP4;SAMSN1;CXCL11;JAK2;SRGN;OLR1;CD69;TRAF1;GNA13;BATF2;SAMHD1</t>
  </si>
  <si>
    <t>http://www.broadinstitute.org/gsea/msigdb/cards/GSE35825_UNTREATED_VS_IFNA_STIM_MACROPHAGE_DN.html</t>
  </si>
  <si>
    <t>GSE7348_UNSTIM_VS_LPS_STIM_MACROPHAGE_DN</t>
  </si>
  <si>
    <t>8676;10261;5341;3659;6351;3937;117289;115362;9034;6373;3717;1435;969;7185;146850;80821</t>
  </si>
  <si>
    <t>STX11;IGSF6;PLEK;IRF1;CCL4;LCP2;TAGAP;GBP5;CCRL2;CXCL11;JAK2;CSF1;CD69;TRAF1;PIK3R6;DDHD1</t>
  </si>
  <si>
    <t>http://www.broadinstitute.org/gsea/msigdb/cards/GSE7348_UNSTIM_VS_LPS_STIM_MACROPHAGE_DN.html</t>
  </si>
  <si>
    <t>340152;7305;1536;3055;1439;3903;11006;146722;89857;58475;55589;10870;10154;140885;55619;29126</t>
  </si>
  <si>
    <t>ZC3H12D;TYROBP;CYBB;HCK;CSF2RB;LAIR1;LILRB4;CD300LF;KLHL6;MS4A7;BMP2K;HCST;PLXNC1;SIRPA;DOCK10;CD274</t>
  </si>
  <si>
    <t>http://www.broadinstitute.org/gsea/msigdb/cards/GSE26488_WT_VS_VP16_TRANSGENIC_HDAC7_KO_DOUBLE_POSITIVE_THYMOCYTE_DN.html</t>
  </si>
  <si>
    <t>GSE43863_NAIVE_VS_TFH_CD4_EFF_TCELL_D6_LCMV_DN</t>
  </si>
  <si>
    <t>4068;10068;713;6036;6352;2633;3394;399;348378;221472;84166;54209;8530;9103;4481;116071;114132</t>
  </si>
  <si>
    <t>SH2D1A;IL18BP;C1QB;RNASE2;CCL5;GBP1;IRF8;RHOH;SHISAL2A;FGD2;NLRC5;TREM2;CST7;FCGR2A;MSR1;BATF2;SIGLEC11</t>
  </si>
  <si>
    <t>http://www.broadinstitute.org/gsea/msigdb/cards/GSE43863_NAIVE_VS_TFH_CD4_EFF_TCELL_D6_LCMV_DN.html</t>
  </si>
  <si>
    <t>GSE6269_HEALTHY_VS_STAPH_PNEUMO_INF_PBMC_DN</t>
  </si>
  <si>
    <t>1536;5341;929;6036;6688;945;1439;4689;9332;2210;51338;80896;2219;2357;140885;23166</t>
  </si>
  <si>
    <t>CYBB;PLEK;CD14;RNASE2;SPI1;CD33;CSF2RB;NCF4;CD163;FCGR1B;MS4A4A;NPL;FCN1;FPR1;SIRPA;STAB1</t>
  </si>
  <si>
    <t>http://www.broadinstitute.org/gsea/msigdb/cards/GSE6269_HEALTHY_VS_STAPH_PNEUMO_INF_PBMC_DN.html</t>
  </si>
  <si>
    <t>GSE21360_NAIVE_VS_SECONDARY_MEMORY_CD8_TCELL_DN</t>
  </si>
  <si>
    <t>4542;3627;940;3575;3101;5800;81030;11314;10154;526;120425;245972;64780;10507;55619;64581</t>
  </si>
  <si>
    <t>MYO1F;CXCL10;CD28;IL7R;HK3;PTPRO;ZBP1;CD300A;PLXNC1;ATP6V1B2;JAML;ATP6V0D2;MICAL1;SEMA4D;DOCK10;CLEC7A</t>
  </si>
  <si>
    <t>http://www.broadinstitute.org/gsea/msigdb/cards/GSE21360_NAIVE_VS_SECONDARY_MEMORY_CD8_TCELL_DN.html</t>
  </si>
  <si>
    <t>GSE13946_CTRL_VS_DSS_COLITIS_GD_TCELL_FROM_COLON_DN</t>
  </si>
  <si>
    <t>1318;1236;944;6772;55843;286336;50852;151888;221188;256380;115361;19;6402;79865;10077;11217</t>
  </si>
  <si>
    <t>SLC31A2;CCR7;TNFSF8;STAT1;ARHGAP15;FAM78A;TRAT1;BTLA;ADGRG5;SCML4;GBP4;ABCA1;SELL;TREML2;TSPAN32;AKAP2</t>
  </si>
  <si>
    <t>http://www.broadinstitute.org/gsea/msigdb/cards/GSE13946_CTRL_VS_DSS_COLITIS_GD_TCELL_FROM_COLON_DN.html</t>
  </si>
  <si>
    <t>GSE32901_TH1_VS_TH17_ENRICHED_CD4_TCELL_UP</t>
  </si>
  <si>
    <t>9595;9402;3932;5788;3560;11151;286336;92241;474344;57580;64333;23228;6402;7185;85464;64919</t>
  </si>
  <si>
    <t>CYTIP;GRAP2;LCK;PTPRC;IL2RB;CORO1A;FAM78A;RCSD1;GIMAP6;PREX1;ARHGAP9;PLCL2;SELL;TRAF1;SSH2;BCL11B</t>
  </si>
  <si>
    <t>http://www.broadinstitute.org/gsea/msigdb/cards/GSE32901_TH1_VS_TH17_ENRICHED_CD4_TCELL_UP.html</t>
  </si>
  <si>
    <t>GSE15624_CTRL_VS_6H_HALOFUGINONE_TREATED_CD4_TCELL_UP</t>
  </si>
  <si>
    <t>7305;10261;962;2322;9744;10666;3903;10437;3737;140885;11009;7941;55704;54518</t>
  </si>
  <si>
    <t>TYROBP;IGSF6;CD48;FLT3;ACAP1;CD226;LAIR1;IFI30;KCNA2;SIRPA;IL24;PLA2G7;CCDC88A;APBB1IP</t>
  </si>
  <si>
    <t>http://www.broadinstitute.org/gsea/msigdb/cards/GSE15624_CTRL_VS_6H_HALOFUGINONE_TREATED_CD4_TCELL_UP.html</t>
  </si>
  <si>
    <t>GSE14415_NATURAL_TREG_VS_TCONV_UP</t>
  </si>
  <si>
    <t>10663;916;1493;10225;3587;10666;201633;55843;139716;55340;64092;29909;4094;8809;5133</t>
  </si>
  <si>
    <t>CXCR6;CD3E;CTLA4;CD96;IL10RA;CD226;TIGIT;ARHGAP15;GAB3;GIMAP5;SAMSN1;GPR171;MAF;IL18R1;PDCD1</t>
  </si>
  <si>
    <t>http://www.broadinstitute.org/gsea/msigdb/cards/GSE14415_NATURAL_TREG_VS_TCONV_UP.html</t>
  </si>
  <si>
    <t>GSE20727_CTRL_VS_ROS_INHIBITOR_TREATED_DC_DN</t>
  </si>
  <si>
    <t>9840;3683;3687;7453;51056;11151;6404;3662;10666;11006;152789;81030;1102;5552;54331;814;57823</t>
  </si>
  <si>
    <t>TESPA1;ITGAL;ITGAX;WARS;LAP3;CORO1A;SELPLG;IRF4;CD226;LILRB4;JAKMIP1;ZBP1;RCBTB2;SRGN;GNG2;CAMK4;SLAMF7</t>
  </si>
  <si>
    <t>http://www.broadinstitute.org/gsea/msigdb/cards/GSE20727_CTRL_VS_ROS_INHIBITOR_TREATED_DC_DN.html</t>
  </si>
  <si>
    <t>GSE5542_UNTREATED_VS_IFNA_AND_IFNG_TREATED_EPITHELIAL_CELLS_6H_DN</t>
  </si>
  <si>
    <t>10663;54440;5294;4354;3937;11262;719;64926;139716;116986;2672;51225;4094;6693;118788;5027;4644</t>
  </si>
  <si>
    <t>CXCR6;SASH3;PIK3CG;MPP1;LCP2;SP140;C3AR1;RASAL3;GAB3;AGAP2;GFI1;ABI3;MAF;SPN;PIK3AP1;P2RX7;MYO5A</t>
  </si>
  <si>
    <t>http://www.broadinstitute.org/gsea/msigdb/cards/GSE5542_UNTREATED_VS_IFNA_AND_IFNG_TREATED_EPITHELIAL_CELLS_6H_DN.html</t>
  </si>
  <si>
    <t>GSE21670_STAT3_KO_VS_WT_CD4_TCELL_DN</t>
  </si>
  <si>
    <t>9595;3559;3702;3937;10320;3662;50615;57105;29851;3553;924;1435;596;6556;3718;3604;27314</t>
  </si>
  <si>
    <t>CYTIP;IL2RA;ITK;LCP2;IKZF1;IRF4;IL21R;CYSLTR2;ICOS;IL1B;CD7;CSF1;BCL2;SLC11A1;JAK3;TNFRSF9;RAB30</t>
  </si>
  <si>
    <t>http://www.broadinstitute.org/gsea/msigdb/cards/GSE21670_STAT3_KO_VS_WT_CD4_TCELL_DN.html</t>
  </si>
  <si>
    <t>914;3575;3687;971;944;92241;139716;114836;64333;926;10437;1043;2833;3004;4050;168537</t>
  </si>
  <si>
    <t>CD2;IL7R;ITGAX;CD72;TNFSF8;RCSD1;GAB3;SLAMF6;ARHGAP9;CD8B;IFI30;CD52;CXCR3;GZMM;LTB;GIMAP7</t>
  </si>
  <si>
    <t>http://www.broadinstitute.org/gsea/msigdb/cards/GSE3720_UNSTIM_VS_PMA_STIM_VD1_GAMMADELTA_TCELL_UP.html</t>
  </si>
  <si>
    <t>3458;940;3575;971;1236;944;255231;366;8320;924;596;3112;6402;3004;7185;51466;27240</t>
  </si>
  <si>
    <t>IFNG;CD28;IL7R;CD72;CCR7;TNFSF8;MCOLN2;AQP9;EOMES;CD7;BCL2;HLA-DOB;SELL;GZMM;TRAF1;EVL;SIT1</t>
  </si>
  <si>
    <t>http://www.broadinstitute.org/gsea/msigdb/cards/KAECH_DAY8_EFF_VS_MEMORY_CD8_TCELL_DN.html</t>
  </si>
  <si>
    <t>4242;925;5579;1236;10225;4354;9744;399;64926;6793;4049;921;54;6402;4050;54861;51466</t>
  </si>
  <si>
    <t>MFNG;CD8A;PRKCB;CCR7;CD96;MPP1;ACAP1;RHOH;RASAL3;STK10;LTA;CD5;ACP5;SELL;LTB;SNRK;EVL</t>
  </si>
  <si>
    <t>http://www.broadinstitute.org/gsea/msigdb/cards/GOLDRATH_NAIVE_VS_EFF_CD8_TCELL_UP.html</t>
  </si>
  <si>
    <t>GSE11864_CSF1_IFNG_VS_CSF1_PAM3CYS_IN_MAC_UP</t>
  </si>
  <si>
    <t>4542;2533;7456;10068;2123;3561;92241;84868;64170;64407;23228;3717;1102;3684;3108;10462;6614</t>
  </si>
  <si>
    <t>MYO1F;FYB1;WIPF1;IL18BP;EVI2A;IL2RG;RCSD1;HAVCR2;CARD9;RGS18;PLCL2;JAK2;RCBTB2;ITGAM;HLA-DMA;CLEC10A;SIGLEC1</t>
  </si>
  <si>
    <t>http://www.broadinstitute.org/gsea/msigdb/cards/GSE11864_CSF1_IFNG_VS_CSF1_PAM3CYS_IN_MAC_UP.html</t>
  </si>
  <si>
    <t>GSE12845_IGD_NEG_BLOOD_VS_DARKZONE_GC_TONSIL_BCELL_UP</t>
  </si>
  <si>
    <t>9046;3055;2268;3676;7133;3695;942;6404;11006;30009;9056;80342;10154;3717;3162;4818;10004</t>
  </si>
  <si>
    <t>DOK2;HCK;FGR;ITGA4;TNFRSF1B;ITGB7;CD86;SELPLG;LILRB4;TBX21;SLC7A7;TRAF3IP3;PLXNC1;JAK2;HMOX1;NKG7;NAALADL1</t>
  </si>
  <si>
    <t>http://www.broadinstitute.org/gsea/msigdb/cards/GSE12845_IGD_NEG_BLOOD_VS_DARKZONE_GC_TONSIL_BCELL_UP.html</t>
  </si>
  <si>
    <t>GSE13484_12H_UNSTIM_VS_YF17D_VACCINE_STIM_PBMC_DN</t>
  </si>
  <si>
    <t>3458;3559;962;3659;10666;474344;114548;55303;9056;9881;366;3717;4049;2357;3290;6891;6614</t>
  </si>
  <si>
    <t>IFNG;IL2RA;CD48;IRF1;CD226;GIMAP6;NLRP3;GIMAP4;SLC7A7;TRANK1;AQP9;JAK2;LTA;FPR1;HSD11B1;TAP2;SIGLEC1</t>
  </si>
  <si>
    <t>http://www.broadinstitute.org/gsea/msigdb/cards/GSE13484_12H_UNSTIM_VS_YF17D_VACCINE_STIM_PBMC_DN.html</t>
  </si>
  <si>
    <t>9535;695;128346;80301;1794;11184;6039;53346;64231;2162;3684;4688;11010;10462;10077;64098;51466</t>
  </si>
  <si>
    <t>GMFG;BTK;C1orf162;PLEKHO2;DOCK2;MAP4K1;RNASE6;TM6SF1;MS4A6A;F13A1;ITGAM;NCF2;GLIPR1;CLEC10A;TSPAN32;PARVG;EVL</t>
  </si>
  <si>
    <t>http://www.broadinstitute.org/gsea/msigdb/cards/GSE14000_4H_VS_16H_LPS_DC_TRANSLATED_RNA_UP.html</t>
  </si>
  <si>
    <t>GSE1432_6H_VS_24H_IFNG_MICROGLIA_UP</t>
  </si>
  <si>
    <t>929;2350;3575;2014;391;9332;10019;3956;2212;4360;2213;4973;55911;10457;51762;4327;23166</t>
  </si>
  <si>
    <t>CD14;FOLR2;IL7R;EMP3;RHOG;CD163;SH2B3;LGALS1;FCGR2A;MRC1;FCGR2B;OLR1;APOBR;GPNMB;RAB8B;MMP19;STAB1</t>
  </si>
  <si>
    <t>http://www.broadinstitute.org/gsea/msigdb/cards/GSE1432_6H_VS_24H_IFNG_MICROGLIA_UP.html</t>
  </si>
  <si>
    <t>GSE17580_TREG_VS_TEFF_S_MANSONI_INF_UP</t>
  </si>
  <si>
    <t>3559;914;1493;942;6504;115361;80380;51284;9034;4049;3002;1235;1237;3604;10148;50943;59345</t>
  </si>
  <si>
    <t>IL2RA;CD2;CTLA4;CD86;SLAMF1;GBP4;PDCD1LG2;TLR7;CCRL2;LTA;GZMB;CCR6;CCR8;TNFRSF9;EBI3;FOXP3;GNB4</t>
  </si>
  <si>
    <t>http://www.broadinstitute.org/gsea/msigdb/cards/GSE17580_TREG_VS_TEFF_S_MANSONI_INF_UP.html</t>
  </si>
  <si>
    <t>GSE17580_UNINFECTED_VS_S_MANSONI_INF_TEFF_UP</t>
  </si>
  <si>
    <t>972;6036;3575;3702;79930;221472;259307;84174;51284;3553;348;54;3112;3109;4261;4208;3123</t>
  </si>
  <si>
    <t>CD74;RNASE2;IL7R;ITK;DOK3;FGD2;IL4I1;SLA2;TLR7;IL1B;APOE;ACP5;HLA-DOB;HLA-DMB;CIITA;MEF2C;HLA-DRB1</t>
  </si>
  <si>
    <t>http://www.broadinstitute.org/gsea/msigdb/cards/GSE17580_UNINFECTED_VS_S_MANSONI_INF_TEFF_UP.html</t>
  </si>
  <si>
    <t>GSE17721_POLYIC_VS_PAM3CSK4_1H_BMDC_DN</t>
  </si>
  <si>
    <t>3575;7133;3687;3937;3587;255231;81704;80301;114548;51284;2357;2213;10457;100506736;375387;338339;29126</t>
  </si>
  <si>
    <t>IL7R;TNFRSF1B;ITGAX;LCP2;IL10RA;MCOLN2;DOCK8;PLEKHO2;NLRP3;TLR7;FPR1;FCGR2B;GPNMB;SLFN12L;NRROS;CLEC4D;CD274</t>
  </si>
  <si>
    <t>http://www.broadinstitute.org/gsea/msigdb/cards/GSE17721_POLYIC_VS_PAM3CSK4_1H_BMDC_DN.html</t>
  </si>
  <si>
    <t>GSE17721_LPS_VS_PAM3CSK4_12H_BMDC_UP</t>
  </si>
  <si>
    <t>9404;3676;51056;3561;1236;944;3594;199;3702;6504;3587;259307;50615;7185;10148;161145;29126</t>
  </si>
  <si>
    <t>LPXN;ITGA4;LAP3;IL2RG;CCR7;TNFSF8;IL12RB1;AIF1;ITK;SLAMF1;IL10RA;IL4I1;IL21R;TRAF1;EBI3;TMEM229B;CD274</t>
  </si>
  <si>
    <t>http://www.broadinstitute.org/gsea/msigdb/cards/GSE17721_LPS_VS_PAM3CSK4_12H_BMDC_UP.html</t>
  </si>
  <si>
    <t>GSE17721_POLYIC_VS_CPG_4H_BMDC_DN</t>
  </si>
  <si>
    <t>9535;3055;919;971;313;3937;114548;259307;51284;29992;27036;29851;1435;1237;6503;57514;53831</t>
  </si>
  <si>
    <t>GMFG;HCK;CD247;CD72;AOAH;LCP2;NLRP3;IL4I1;TLR7;PILRA;SIGLEC7;ICOS;CSF1;CCR8;SLA;ARHGAP31;GPR84</t>
  </si>
  <si>
    <t>http://www.broadinstitute.org/gsea/msigdb/cards/GSE17721_POLYIC_VS_CPG_4H_BMDC_DN.html</t>
  </si>
  <si>
    <t>GSE17721_LPS_VS_CPG_12H_BMDC_UP</t>
  </si>
  <si>
    <t>3627;3676;3575;944;941;942;4283;54557;2672;50615;64092;730249;4049;1435;116071;84230;25939</t>
  </si>
  <si>
    <t>CXCL10;ITGA4;IL7R;TNFSF8;CD80;CD86;CXCL9;SGTB;GFI1;IL21R;SAMSN1;ACOD1;LTA;CSF1;BATF2;LRRC8C;SAMHD1</t>
  </si>
  <si>
    <t>http://www.broadinstitute.org/gsea/msigdb/cards/GSE17721_LPS_VS_CPG_12H_BMDC_UP.html</t>
  </si>
  <si>
    <t>GSE17974_IL4_AND_ANTI_IL12_VS_UNTREATED_6H_ACT_CD4_TCELL_DN</t>
  </si>
  <si>
    <t>8676;2633;149628;474344;115362;115361;80896;55589;55423;10673;3553;3002;3902;57514;155038;80183;25939</t>
  </si>
  <si>
    <t>STX11;GBP1;PYHIN1;GIMAP6;GBP5;GBP4;NPL;BMP2K;SIRPG;TNFSF13B;IL1B;GZMB;LAG3;ARHGAP31;GIMAP8;RUBCNL;SAMHD1</t>
  </si>
  <si>
    <t>http://www.broadinstitute.org/gsea/msigdb/cards/GSE17974_IL4_AND_ANTI_IL12_VS_UNTREATED_6H_ACT_CD4_TCELL_DN.html</t>
  </si>
  <si>
    <t>GSE18791_CTRL_VS_NEWCASTLE_VIRUS_DC_12H_DN</t>
  </si>
  <si>
    <t>1318;3659;7453;941;6890;4283;11262;84166;115362;115361;81030;6614;55281;55013;29126;26157;51513</t>
  </si>
  <si>
    <t>SLC31A2;IRF1;WARS;CD80;TAP1;CXCL9;SP140;NLRC5;GBP5;GBP4;ZBP1;SIGLEC1;TMEM140;MCUB;CD274;GIMAP2;ETV7</t>
  </si>
  <si>
    <t>http://www.broadinstitute.org/gsea/msigdb/cards/GSE18791_CTRL_VS_NEWCASTLE_VIRUS_DC_12H_DN.html</t>
  </si>
  <si>
    <t>920;712;2350;945;4354;64170;29992;29851;3120;921;3111;2811;9103;4240;10235;79630;25939</t>
  </si>
  <si>
    <t>CD4;C1QA;FOLR2;CD33;MPP1;CARD9;PILRA;ICOS;HLA-DQB2;CD5;HLA-DOA;GP1BA;FCGR2A;MFGE8;RASGRP2;C1orf54;SAMHD1</t>
  </si>
  <si>
    <t>GSE22886_NAIVE_CD8_TCELL_VS_MEMORY_TCELL_UP</t>
  </si>
  <si>
    <t>259197;925;5341;5551;695;5800;53829;64170;27033;56253;3002;926;2999;3003;4818;10077;57823</t>
  </si>
  <si>
    <t>NCR3;CD8A;PLEK;PRF1;BTK;PTPRO;P2RY13;CARD9;ZBTB32;CRTAM;GZMB;CD8B;GZMH;GZMK;NKG7;TSPAN32;SLAMF7</t>
  </si>
  <si>
    <t>http://www.broadinstitute.org/gsea/msigdb/cards/GSE22886_NAIVE_CD8_TCELL_VS_MEMORY_TCELL_UP.html</t>
  </si>
  <si>
    <t>GSE22886_NAIVE_CD8_TCELL_VS_MEMORY_TCELL_DN</t>
  </si>
  <si>
    <t>920;959;2124;1233;2313;6504;64092;29851;2848;10990;921;1508;54;2113;1043;4240;2529</t>
  </si>
  <si>
    <t>CD4;CD40LG;EVI2B;CCR4;FLI1;SLAMF1;SAMSN1;ICOS;GPR25;LILRB5;CD5;CTSB;ACP5;ETS1;CD52;MFGE8;FUT7</t>
  </si>
  <si>
    <t>http://www.broadinstitute.org/gsea/msigdb/cards/GSE22886_NAIVE_CD8_TCELL_VS_MEMORY_TCELL_DN.html</t>
  </si>
  <si>
    <t>GSE22886_NAIVE_VS_MEMORY_TCELL_DN</t>
  </si>
  <si>
    <t>940;1378;3695;959;2124;1233;2313;6504;4689;55843;50852;64092;2848;1102;54;1235;2529</t>
  </si>
  <si>
    <t>CD28;CR1;ITGB7;CD40LG;EVI2B;CCR4;FLI1;SLAMF1;NCF4;ARHGAP15;TRAT1;SAMSN1;GPR25;RCBTB2;ACP5;CCR6;FUT7</t>
  </si>
  <si>
    <t>http://www.broadinstitute.org/gsea/msigdb/cards/GSE22886_NAIVE_VS_MEMORY_TCELL_DN.html</t>
  </si>
  <si>
    <t>80833;3559;6352;1236;2014;391;3937;6504;3603;399;114548;9034;3586;3604;11009;7185;10148</t>
  </si>
  <si>
    <t>APOL3;IL2RA;CCL5;CCR7;EMP3;RHOG;LCP2;SLAMF1;IL16;RHOH;NLRP3;CCRL2;IL10;TNFRSF9;IL24;TRAF1;EBI3</t>
  </si>
  <si>
    <t>GSE22886_DC_VS_MONOCYTE_UP</t>
  </si>
  <si>
    <t>11309;712;713;91752;56833;8832;51393;4094;1508;54;2359;3290;1601;25780;79630;30835;51466</t>
  </si>
  <si>
    <t>SLCO2B1;C1QA;C1QB;ZNF804A;SLAMF8;CD84;TRPV2;MAF;CTSB;ACP5;FPR3;HSD11B1;DAB2;RASGRP3;C1orf54;CD209;EVL</t>
  </si>
  <si>
    <t>http://www.broadinstitute.org/gsea/msigdb/cards/GSE22886_DC_VS_MONOCYTE_UP.html</t>
  </si>
  <si>
    <t>GSE22886_CTRL_VS_LPS_24H_DC_DN</t>
  </si>
  <si>
    <t>3559;6352;7453;51056;1236;2633;5734;6772;6890;6504;3662;64092;3604;7185;10148;51762;57823</t>
  </si>
  <si>
    <t>IL2RA;CCL5;WARS;LAP3;CCR7;GBP1;PTGER4;STAT1;TAP1;SLAMF1;IRF4;SAMSN1;TNFRSF9;TRAF1;EBI3;RAB8B;SLAMF7</t>
  </si>
  <si>
    <t>http://www.broadinstitute.org/gsea/msigdb/cards/GSE22886_CTRL_VS_LPS_24H_DC_DN.html</t>
  </si>
  <si>
    <t>GSE24142_DN2_VS_DN3_THYMOCYTE_FETAL_UP</t>
  </si>
  <si>
    <t>695;221472;8477;146722;51744;64407;55589;366;8530;3002;4066;241;11010;10462;84230;79630;338339</t>
  </si>
  <si>
    <t>BTK;FGD2;GPR65;CD300LF;CD244;RGS18;BMP2K;AQP9;CST7;GZMB;LYL1;ALOX5AP;GLIPR1;CLEC10A;LRRC8C;C1orf54;CLEC4D</t>
  </si>
  <si>
    <t>http://www.broadinstitute.org/gsea/msigdb/cards/GSE24142_DN2_VS_DN3_THYMOCYTE_FETAL_UP.html</t>
  </si>
  <si>
    <t>GSE24634_IL4_VS_CTRL_TREATED_NAIVE_CD4_TCELL_DAY5_DN</t>
  </si>
  <si>
    <t>80833;914;2633;10225;6890;11262;474344;55340;29909;9881;4049;1435;3002;241;6776;57823;55281</t>
  </si>
  <si>
    <t>APOL3;CD2;GBP1;CD96;TAP1;SP140;GIMAP6;GIMAP5;GPR171;TRANK1;LTA;CSF1;GZMB;ALOX5AP;STAT5A;SLAMF7;TMEM140</t>
  </si>
  <si>
    <t>http://www.broadinstitute.org/gsea/msigdb/cards/GSE24634_IL4_VS_CTRL_TREATED_NAIVE_CD4_TCELL_DAY5_DN.html</t>
  </si>
  <si>
    <t>GSE2706_UNSTIM_VS_8H_LPS_AND_R848_DC_DN</t>
  </si>
  <si>
    <t>8676;3627;3659;7453;944;5734;3394;4283;353514;9034;6373;10154;4049;596;3112;161176;29126</t>
  </si>
  <si>
    <t>STX11;CXCL10;IRF1;WARS;TNFSF8;PTGER4;IRF8;CXCL9;LILRA5;CCRL2;CXCL11;PLXNC1;LTA;BCL2;HLA-DOB;SYNE3;CD274</t>
  </si>
  <si>
    <t>http://www.broadinstitute.org/gsea/msigdb/cards/GSE2706_UNSTIM_VS_8H_LPS_AND_R848_DC_DN.html</t>
  </si>
  <si>
    <t>GSE2706_2H_VS_8H_R848_STIM_DC_DN</t>
  </si>
  <si>
    <t>9595;1493;7453;51056;1236;2633;942;6772;89857;353514;3717;2358;3290;9938;155038;145864;81553</t>
  </si>
  <si>
    <t>CYTIP;CTLA4;WARS;LAP3;CCR7;GBP1;CD86;STAT1;KLHL6;LILRA5;JAK2;FPR2;HSD11B1;ARHGAP25;GIMAP8;HAPLN3;FAM49A</t>
  </si>
  <si>
    <t>http://www.broadinstitute.org/gsea/msigdb/cards/GSE2706_2H_VS_8H_R848_STIM_DC_DN.html</t>
  </si>
  <si>
    <t>GSE27786_LIN_NEG_VS_CD4_TCELL_DN</t>
  </si>
  <si>
    <t>9046;9404;3560;7133;3683;3071;6890;8514;10320;84166;57580;50615;4063;57105;29909;3956;9815</t>
  </si>
  <si>
    <t>DOK2;LPXN;IL2RB;TNFRSF1B;ITGAL;NCKAP1L;TAP1;KCNAB2;IKZF1;NLRC5;PREX1;IL21R;LY9;CYSLTR2;GPR171;LGALS1;GIT2</t>
  </si>
  <si>
    <t>http://www.broadinstitute.org/gsea/msigdb/cards/GSE27786_LIN_NEG_VS_CD4_TCELL_DN.html</t>
  </si>
  <si>
    <t>GSE29618_BCELL_VS_MDC_UP</t>
  </si>
  <si>
    <t>27334;951;1378;971;1236;11262;399;4063;2113;9938;4050;11009;27314;10235;25780;80183;22806</t>
  </si>
  <si>
    <t>P2RY10;CD37;CR1;CD72;CCR7;SP140;RHOH;LY9;ETS1;ARHGAP25;LTB;IL24;RAB30;RASGRP2;RASGRP3;RUBCNL;IKZF3</t>
  </si>
  <si>
    <t>http://www.broadinstitute.org/gsea/msigdb/cards/GSE29618_BCELL_VS_MDC_UP.html</t>
  </si>
  <si>
    <t>GSE30962_ACUTE_VS_CHRONIC_LCMV_SECONDARY_INF_CD8_TCELL_UP</t>
  </si>
  <si>
    <t>9535;9839;9595;54440;3575;10225;3903;79626;283897;256380;170575;23048;30009;366;3004;3824;85464</t>
  </si>
  <si>
    <t>GMFG;ZEB2;CYTIP;SASH3;IL7R;CD96;LAIR1;TNFAIP8L2;C16orf54;SCML4;GIMAP1;FNBP1;TBX21;AQP9;GZMM;KLRD1;SSH2</t>
  </si>
  <si>
    <t>http://www.broadinstitute.org/gsea/msigdb/cards/GSE30962_ACUTE_VS_CHRONIC_LCMV_SECONDARY_INF_CD8_TCELL_UP.html</t>
  </si>
  <si>
    <t>GSE32423_MEMORY_VS_NAIVE_CD8_TCELL_UP</t>
  </si>
  <si>
    <t>3458;6352;1493;942;4689;80231;30009;3956;356;2833;27163;7185;597;147138;168537;50515;25939</t>
  </si>
  <si>
    <t>IFNG;CCL5;CTLA4;CD86;NCF4;CXorf21;TBX21;LGALS1;FASLG;CXCR3;NAAA;TRAF1;BCL2A1;TMC8;GIMAP7;CHST11;SAMHD1</t>
  </si>
  <si>
    <t>http://www.broadinstitute.org/gsea/msigdb/cards/GSE32423_MEMORY_VS_NAIVE_CD8_TCELL_UP.html</t>
  </si>
  <si>
    <t>GSE360_L_DONOVANI_VS_B_MALAYI_HIGH_DOSE_DC_UP</t>
  </si>
  <si>
    <t>8676;6351;1439;942;3662;11006;114548;366;10154;8530;2212;6402;3363;4973;7185;597;23312</t>
  </si>
  <si>
    <t>STX11;CCL4;CSF2RB;CD86;IRF4;LILRB4;NLRP3;AQP9;PLXNC1;CST7;FCGR2A;SELL;HTR7;OLR1;TRAF1;BCL2A1;DMXL2</t>
  </si>
  <si>
    <t>http://www.broadinstitute.org/gsea/msigdb/cards/GSE360_L_DONOVANI_VS_B_MALAYI_HIGH_DOSE_DC_UP.html</t>
  </si>
  <si>
    <t>GSE360_L_DONOVANI_VS_M_TUBERCULOSIS_DC_DN</t>
  </si>
  <si>
    <t>1318;915;5579;5341;929;2214;6351;3575;3683;4332;3937;719;9332;9056;10154;597;25939</t>
  </si>
  <si>
    <t>SLC31A2;CD3D;PRKCB;PLEK;CD14;FCGR3A;CCL4;IL7R;ITGAL;MNDA;LCP2;C3AR1;CD163;SLC7A7;PLXNC1;BCL2A1;SAMHD1</t>
  </si>
  <si>
    <t>http://www.broadinstitute.org/gsea/msigdb/cards/GSE360_L_DONOVANI_VS_M_TUBERCULOSIS_DC_DN.html</t>
  </si>
  <si>
    <t>9404;54440;9450;1378;4689;6039;2162;341;240;3684;4066;4360;1043;6503;9363;54504;23166</t>
  </si>
  <si>
    <t>LPXN;SASH3;LY86;CR1;NCF4;RNASE6;F13A1;APOC1;ALOX5;ITGAM;LYL1;MRC1;CD52;SLA;RAB33A;CPVL;STAB1</t>
  </si>
  <si>
    <t>http://www.broadinstitute.org/gsea/msigdb/cards/GSE360_LOW_DOSE_B_MALAYI_VS_M_TUBERCULOSIS_DC_UP.html</t>
  </si>
  <si>
    <t>GSE360_LOW_DOSE_B_MALAYI_VS_M_TUBERCULOSIS_DC_DN</t>
  </si>
  <si>
    <t>3559;1536;962;7453;3561;1236;3937;6504;3587;719;9332;9034;10154;3936;7941;597;10184</t>
  </si>
  <si>
    <t>IL2RA;CYBB;CD48;WARS;IL2RG;CCR7;LCP2;SLAMF1;IL10RA;C3AR1;CD163;CCRL2;PLXNC1;LCP1;PLA2G7;BCL2A1;LHFPL2</t>
  </si>
  <si>
    <t>http://www.broadinstitute.org/gsea/msigdb/cards/GSE360_LOW_DOSE_B_MALAYI_VS_M_TUBERCULOSIS_DC_DN.html</t>
  </si>
  <si>
    <t>GSE36476_CTRL_VS_TSST_ACT_16H_MEMORY_CD4_TCELL_OLD_UP</t>
  </si>
  <si>
    <t>2533;915;3689;5579;962;9459;3903;1794;114548;55423;23228;3003;79168;10235;64174;29125;25939</t>
  </si>
  <si>
    <t>FYB1;CD3D;ITGB2;PRKCB;CD48;ARHGEF6;LAIR1;DOCK2;NLRP3;SIRPG;PLCL2;GZMK;LILRA6;RASGRP2;DPEP2;C11orf21;SAMHD1</t>
  </si>
  <si>
    <t>http://www.broadinstitute.org/gsea/msigdb/cards/GSE36476_CTRL_VS_TSST_ACT_16H_MEMORY_CD4_TCELL_OLD_UP.html</t>
  </si>
  <si>
    <t>GSE3982_CTRL_VS_LPS_48H_DC_DN</t>
  </si>
  <si>
    <t>3559;713;3627;6351;6352;1236;941;5294;6504;11262;80342;1435;3290;51762;6363;6614;57823</t>
  </si>
  <si>
    <t>IL2RA;C1QB;CXCL10;CCL4;CCL5;CCR7;CD80;PIK3CG;SLAMF1;SP140;TRAF3IP3;CSF1;HSD11B1;RAB8B;CCL19;SIGLEC1;SLAMF7</t>
  </si>
  <si>
    <t>http://www.broadinstitute.org/gsea/msigdb/cards/GSE3982_CTRL_VS_LPS_48H_DC_DN.html</t>
  </si>
  <si>
    <t>GSE3982_DC_VS_NEUTROPHIL_LPS_STIM_DN</t>
  </si>
  <si>
    <t>4542;3458;929;5551;2014;2210;29992;7099;2219;9120;3553;240;2113;2358;3604;10235;11027</t>
  </si>
  <si>
    <t>MYO1F;IFNG;CD14;PRF1;EMP3;FCGR1B;PILRA;TLR4;FCN1;SLC16A6;IL1B;ALOX5;ETS1;FPR2;TNFRSF9;RASGRP2;LILRA2</t>
  </si>
  <si>
    <t>http://www.broadinstitute.org/gsea/msigdb/cards/GSE3982_DC_VS_NEUTROPHIL_LPS_STIM_DN.html</t>
  </si>
  <si>
    <t>GSE3982_MAST_CELL_VS_EFF_MEMORY_CD4_TCELL_DN</t>
  </si>
  <si>
    <t>27334;9046;4068;3458;962;3659;3702;11262;9744;399;149628;474344;2999;7185;4818;9806;51466</t>
  </si>
  <si>
    <t>P2RY10;DOK2;SH2D1A;IFNG;CD48;IRF1;ITK;SP140;ACAP1;RHOH;PYHIN1;GIMAP6;GZMH;TRAF1;NKG7;SPOCK2;EVL</t>
  </si>
  <si>
    <t>http://www.broadinstitute.org/gsea/msigdb/cards/GSE3982_MAST_CELL_VS_EFF_MEMORY_CD4_TCELL_DN.html</t>
  </si>
  <si>
    <t>GSE3982_DC_VS_BCELL_DN</t>
  </si>
  <si>
    <t>27334;4210;9214;3932;3683;971;3394;399;80342;596;3112;6518;4261;4050;9815;7462;80183</t>
  </si>
  <si>
    <t>P2RY10;MEFV;FCMR;LCK;ITGAL;CD72;IRF8;RHOH;TRAF3IP3;BCL2;HLA-DOB;SLC2A5;CIITA;LTB;GIT2;LAT2;RUBCNL</t>
  </si>
  <si>
    <t>http://www.broadinstitute.org/gsea/msigdb/cards/GSE3982_DC_VS_BCELL_DN.html</t>
  </si>
  <si>
    <t>4068;5788;3001;959;2322;3702;4689;26051;55423;29909;9881;4094;3363;1414;4050;9363;64174</t>
  </si>
  <si>
    <t>SH2D1A;PTPRC;GZMA;CD40LG;FLT3;ITK;NCF4;PPP1R16B;SIRPG;GPR171;TRANK1;MAF;HTR7;CRYBB1;LTB;RAB33A;DPEP2</t>
  </si>
  <si>
    <t>http://www.broadinstitute.org/gsea/msigdb/cards/GSE3982_MAC_VS_BASOPHIL_DN.html</t>
  </si>
  <si>
    <t>GSE3982_MAC_VS_TH1_UP</t>
  </si>
  <si>
    <t>929;6036;2350;3687;2124;80301;53829;57105;55589;8832;7099;2219;3162;6518;5376;90634;51063</t>
  </si>
  <si>
    <t>CD14;RNASE2;FOLR2;ITGAX;EVI2B;PLEKHO2;P2RY13;CYSLTR2;BMP2K;CD84;TLR4;FCN1;HMOX1;SLC2A5;PMP22;N4BP2L1;CALHM2</t>
  </si>
  <si>
    <t>http://www.broadinstitute.org/gsea/msigdb/cards/GSE3982_MAC_VS_TH1_UP.html</t>
  </si>
  <si>
    <t>GSE3982_BASOPHIL_VS_NKCELL_UP</t>
  </si>
  <si>
    <t>9840;959;2313;114548;53346;51744;54209;1435;596;4066;1230;5376;9815;79865;25780;55281;30817</t>
  </si>
  <si>
    <t>TESPA1;CD40LG;FLI1;NLRP3;TM6SF1;CD244;TREM2;CSF1;BCL2;LYL1;CCR1;PMP22;GIT2;TREML2;RASGRP3;TMEM140;ADGRE2</t>
  </si>
  <si>
    <t>http://www.broadinstitute.org/gsea/msigdb/cards/GSE3982_BASOPHIL_VS_NKCELL_UP.html</t>
  </si>
  <si>
    <t>GSE3982_BASOPHIL_VS_TH1_UP</t>
  </si>
  <si>
    <t>7456;5579;5788;3055;2268;1378;55843;53829;10019;7099;9881;4094;3115;4066;5376;84034;64747</t>
  </si>
  <si>
    <t>WIPF1;PRKCB;PTPRC;HCK;FGR;CR1;ARHGAP15;P2RY13;SH2B3;TLR4;TRANK1;MAF;HLA-DPB1;LYL1;PMP22;EMILIN2;MFSD1</t>
  </si>
  <si>
    <t>http://www.broadinstitute.org/gsea/msigdb/cards/GSE3982_BASOPHIL_VS_TH1_UP.html</t>
  </si>
  <si>
    <t>GSE39820_CTRL_VS_IL1B_IL6_CD4_TCELL_UP</t>
  </si>
  <si>
    <t>4068;3676;653361;5734;10225;5294;53347;92241;26051;2857;8320;3117;356;57514;91526;79895;55619</t>
  </si>
  <si>
    <t>SH2D1A;ITGA4;NCF1;PTGER4;CD96;PIK3CG;UBASH3A;RCSD1;PPP1R16B;GPR34;EOMES;HLA-DQA1;FASLG;ARHGAP31;ANKRD44;ATP8B4;DOCK10</t>
  </si>
  <si>
    <t>http://www.broadinstitute.org/gsea/msigdb/cards/GSE39820_CTRL_VS_IL1B_IL6_CD4_TCELL_UP.html</t>
  </si>
  <si>
    <t>9051;3559;972;951;7133;6772;6890;3937;6404;11184;23048;3117;3956;3936;1043;140885;4050</t>
  </si>
  <si>
    <t>PSTPIP1;IL2RA;CD74;CD37;TNFRSF1B;STAT1;TAP1;LCP2;SELPLG;MAP4K1;FNBP1;HLA-DQA1;LGALS1;LCP1;CD52;SIRPA;LTB</t>
  </si>
  <si>
    <t>http://www.broadinstitute.org/gsea/msigdb/cards/GSE5463_CTRL_VS_DEXAMETHASONE_TREATED_THYMOCYTE_UP.html</t>
  </si>
  <si>
    <t>GSE6566_STRONG_VS_WEAK_DC_STIMULATED_CD4_TCELL_DN</t>
  </si>
  <si>
    <t>4242;9404;3695;5734;10225;53347;3820;7805;3603;201633;3903;374403;55340;80896;6793;1235;4050</t>
  </si>
  <si>
    <t>MFNG;LPXN;ITGB7;PTGER4;CD96;UBASH3A;KLRB1;LAPTM5;IL16;TIGIT;LAIR1;TBC1D10C;GIMAP5;NPL;STK10;CCR6;LTB</t>
  </si>
  <si>
    <t>http://www.broadinstitute.org/gsea/msigdb/cards/GSE6566_STRONG_VS_WEAK_DC_STIMULATED_CD4_TCELL_DN.html</t>
  </si>
  <si>
    <t>GSE7460_TREG_VS_TCONV_ACT_UP</t>
  </si>
  <si>
    <t>8676;962;653361;1493;6772;4689;399;51296;115361;80380;9056;4094;969;50943;55013;29126;22806</t>
  </si>
  <si>
    <t>STX11;CD48;NCF1;CTLA4;STAT1;NCF4;RHOH;SLC15A3;GBP4;PDCD1LG2;SLC7A7;MAF;CD69;FOXP3;MCUB;CD274;IKZF3</t>
  </si>
  <si>
    <t>http://www.broadinstitute.org/gsea/msigdb/cards/GSE7460_TREG_VS_TCONV_ACT_UP.html</t>
  </si>
  <si>
    <t>GSE7460_CTRL_VS_TGFB_TREATED_ACT_FOXP3_MUT_TCONV_DN</t>
  </si>
  <si>
    <t>925;653361;944;3394;286336;117289;6039;26051;3553;926;5724;3824;5133;10235;151556;116071;79690</t>
  </si>
  <si>
    <t>CD8A;NCF1;TNFSF8;IRF8;FAM78A;TAGAP;RNASE6;PPP1R16B;IL1B;CD8B;PTAFR;KLRD1;PDCD1;RASGRP2;GPR155;BATF2;GAL3ST4</t>
  </si>
  <si>
    <t>http://www.broadinstitute.org/gsea/msigdb/cards/GSE7460_CTRL_VS_TGFB_TREATED_ACT_FOXP3_MUT_TCONV_DN.html</t>
  </si>
  <si>
    <t>GSE7852_LN_VS_FAT_TCONV_DN</t>
  </si>
  <si>
    <t>4542;27334;3458;5341;64092;10870;30009;9120;3956;3002;3586;729230;356;2833;597;4818;161176</t>
  </si>
  <si>
    <t>MYO1F;P2RY10;IFNG;PLEK;SAMSN1;HCST;TBX21;SLC16A6;LGALS1;GZMB;IL10;CCR2;FASLG;CXCR3;BCL2A1;NKG7;SYNE3</t>
  </si>
  <si>
    <t>http://www.broadinstitute.org/gsea/msigdb/cards/GSE7852_LN_VS_FAT_TCONV_DN.html</t>
  </si>
  <si>
    <t>GSE7852_THYMUS_VS_FAT_TCONV_DN</t>
  </si>
  <si>
    <t>4542;27334;9404;5341;5734;1794;64092;55589;10154;4094;8530;3956;3002;3586;8809;597;80709</t>
  </si>
  <si>
    <t>MYO1F;P2RY10;LPXN;PLEK;PTGER4;DOCK2;SAMSN1;BMP2K;PLXNC1;MAF;CST7;LGALS1;GZMB;IL10;IL18R1;BCL2A1;AKNA</t>
  </si>
  <si>
    <t>http://www.broadinstitute.org/gsea/msigdb/cards/GSE7852_THYMUS_VS_FAT_TCONV_DN.html</t>
  </si>
  <si>
    <t>3627;1536;6351;7133;3071;730249;3553;728;6518;3108;943;6776;4050;3604;7185;100506736;54861</t>
  </si>
  <si>
    <t>CXCL10;CYBB;CCL4;TNFRSF1B;NCKAP1L;ACOD1;IL1B;C5AR1;SLC2A5;HLA-DMA;TNFRSF8;STAT5A;LTB;TNFRSF9;TRAF1;SLFN12L;SNRK</t>
  </si>
  <si>
    <t>http://www.broadinstitute.org/gsea/msigdb/cards/GSE8384_CTRL_VS_B_ABORTUS_4H_MAC_CELL_LINE_DN.html</t>
  </si>
  <si>
    <t>GSE9006_HEALTHY_VS_TYPE_1_DIABETES_PBMC_AT_DX_DN</t>
  </si>
  <si>
    <t>4210;11151;1236;4689;3662;719;3635;9034;366;19;3553;6402;2358;1230;79865;10507;9935</t>
  </si>
  <si>
    <t>MEFV;CORO1A;CCR7;NCF4;IRF4;C3AR1;INPP5D;CCRL2;AQP9;ABCA1;IL1B;SELL;FPR2;CCR1;TREML2;SEMA4D;MAFB</t>
  </si>
  <si>
    <t>http://www.broadinstitute.org/gsea/msigdb/cards/GSE9006_HEALTHY_VS_TYPE_1_DIABETES_PBMC_AT_DX_DN.html</t>
  </si>
  <si>
    <t>GSE9650_EFFECTOR_VS_MEMORY_CD8_TCELL_UP</t>
  </si>
  <si>
    <t>962;3001;6352;3676;3687;3394;3662;3956;3002;926;3684;729230;3003;3604;5133;7462;23166</t>
  </si>
  <si>
    <t>CD48;GZMA;CCL5;ITGA4;ITGAX;IRF8;IRF4;LGALS1;GZMB;CD8B;ITGAM;CCR2;GZMK;TNFRSF9;PDCD1;LAT2;STAB1</t>
  </si>
  <si>
    <t>http://www.broadinstitute.org/gsea/msigdb/cards/GSE9650_EFFECTOR_VS_MEMORY_CD8_TCELL_UP.html</t>
  </si>
  <si>
    <t>GSE9988_ANTI_TREM1_VS_LOW_LPS_MONOCYTE_UP</t>
  </si>
  <si>
    <t>4245;170371;80301;84868;89857;4063;27128;56253;10437;526;1230;1601;10672;10457;10184;375387;4327</t>
  </si>
  <si>
    <t>MGAT1;TMEM273;PLEKHO2;HAVCR2;KLHL6;LY9;CYTH4;CRTAM;IFI30;ATP6V1B2;CCR1;DAB2;GNA13;GPNMB;LHFPL2;NRROS;MMP19</t>
  </si>
  <si>
    <t>http://www.broadinstitute.org/gsea/msigdb/cards/GSE9988_ANTI_TREM1_VS_LOW_LPS_MONOCYTE_UP.html</t>
  </si>
  <si>
    <t>GSE9988_LOW_LPS_VS_ANTI_TREM1_AND_LPS_MONOCYTE_DN</t>
  </si>
  <si>
    <t>3687;84868;89857;4063;8832;56253;1435;526;1230;203100;1601;10672;10184;375387;245972;9754;4327</t>
  </si>
  <si>
    <t>ITGAX;HAVCR2;KLHL6;LY9;CD84;CRTAM;CSF1;ATP6V1B2;CCR1;HTRA4;DAB2;GNA13;LHFPL2;NRROS;ATP6V0D2;STARD8;MMP19</t>
  </si>
  <si>
    <t>http://www.broadinstitute.org/gsea/msigdb/cards/GSE9988_LOW_LPS_VS_ANTI_TREM1_AND_LPS_MONOCYTE_DN.html</t>
  </si>
  <si>
    <t>GSE369_PRE_VS_POST_IL6_INJECTION_SOCS3_KO_LIVER_DN</t>
  </si>
  <si>
    <t>4542;920;1436;2350;391;695;8514;10320;9459;4689;6039;1240;10154;54;25900;54504;23166</t>
  </si>
  <si>
    <t>MYO1F;CD4;CSF1R;FOLR2;RHOG;BTK;KCNAB2;IKZF1;ARHGEF6;NCF4;RNASE6;CMKLR1;PLXNC1;ACP5;IFFO1;CPVL;STAB1</t>
  </si>
  <si>
    <t>http://www.broadinstitute.org/gsea/msigdb/cards/GSE369_PRE_VS_POST_IL6_INJECTION_SOCS3_KO_LIVER_DN.html</t>
  </si>
  <si>
    <t>GSE411_100MIN_VS_400MIN_IL6_STIM_SOCS3_KO_MACROPHAGE_DN</t>
  </si>
  <si>
    <t>9402;653361;5294;2313;3662;170575;8832;8564;3111;54331;4050;57705;161145;79630;84329;10077;25939</t>
  </si>
  <si>
    <t>GRAP2;NCF1;PIK3CG;FLI1;IRF4;GIMAP1;CD84;KMO;HLA-DOA;GNG2;LTB;WDFY4;TMEM229B;C1orf54;HVCN1;TSPAN32;SAMHD1</t>
  </si>
  <si>
    <t>http://www.broadinstitute.org/gsea/msigdb/cards/GSE411_100MIN_VS_400MIN_IL6_STIM_SOCS3_KO_MACROPHAGE_DN.html</t>
  </si>
  <si>
    <t>GSE411_UNSTIM_VS_100MIN_IL6_STIM_SOCS3_KO_MACROPHAGE_DN</t>
  </si>
  <si>
    <t>914;5341;3560;942;2014;3937;55843;30009;3956;5552;6693;55911;10672;27314;161176;118788;91526</t>
  </si>
  <si>
    <t>CD2;PLEK;IL2RB;CD86;EMP3;LCP2;ARHGAP15;TBX21;LGALS1;SRGN;SPN;APOBR;GNA13;RAB30;SYNE3;PIK3AP1;ANKRD44</t>
  </si>
  <si>
    <t>http://www.broadinstitute.org/gsea/msigdb/cards/GSE411_UNSTIM_VS_100MIN_IL6_STIM_SOCS3_KO_MACROPHAGE_DN.html</t>
  </si>
  <si>
    <t>GSE2770_UNTREATED_VS_ACT_CD4_TCELL_2H_UP</t>
  </si>
  <si>
    <t>9402;653361;3560;971;6772;151888;84166;374403;27128;19;3111;5452;80709;91526;84230;10077;81553</t>
  </si>
  <si>
    <t>GRAP2;NCF1;IL2RB;CD72;STAT1;BTLA;NLRC5;TBC1D10C;CYTH4;ABCA1;HLA-DOA;POU2F2;AKNA;ANKRD44;LRRC8C;TSPAN32;FAM49A</t>
  </si>
  <si>
    <t>http://www.broadinstitute.org/gsea/msigdb/cards/GSE2770_UNTREATED_VS_ACT_CD4_TCELL_2H_UP.html</t>
  </si>
  <si>
    <t>GSE2770_IL12_VS_TGFB_AND_IL12_TREATED_ACT_CD4_TCELL_48H_UP</t>
  </si>
  <si>
    <t>9051;9535;914;6688;971;5294;3587;255231;53346;29909;8564;54;6693;6776;79865;10235;25939</t>
  </si>
  <si>
    <t>PSTPIP1;GMFG;CD2;SPI1;CD72;PIK3CG;IL10RA;MCOLN2;TM6SF1;GPR171;KMO;ACP5;SPN;STAT5A;TREML2;RASGRP2;SAMHD1</t>
  </si>
  <si>
    <t>http://www.broadinstitute.org/gsea/msigdb/cards/GSE2770_IL12_VS_TGFB_AND_IL12_TREATED_ACT_CD4_TCELL_48H_UP.html</t>
  </si>
  <si>
    <t>GSE2770_IL12_AND_TGFB_VS_IL4_TREATED_ACT_CD4_TCELL_48H_UP</t>
  </si>
  <si>
    <t>27334;914;7133;971;2014;4354;2313;255231;57580;80231;10154;3111;3112;80709;91526;79630;10077</t>
  </si>
  <si>
    <t>P2RY10;CD2;TNFRSF1B;CD72;EMP3;MPP1;FLI1;MCOLN2;PREX1;CXorf21;PLXNC1;HLA-DOA;HLA-DOB;AKNA;ANKRD44;C1orf54;TSPAN32</t>
  </si>
  <si>
    <t>http://www.broadinstitute.org/gsea/msigdb/cards/GSE2770_IL12_AND_TGFB_VS_IL4_TREATED_ACT_CD4_TCELL_48H_UP.html</t>
  </si>
  <si>
    <t>GSE2770_TGFB_AND_IL4_VS_IL12_TREATED_ACT_CD4_TCELL_6H_UP</t>
  </si>
  <si>
    <t>7456;9046;5734;3394;3937;10320;9744;55843;257106;256380;81704;2672;81030;55303;29909;9815;54861</t>
  </si>
  <si>
    <t>WIPF1;DOK2;PTGER4;IRF8;LCP2;IKZF1;ACAP1;ARHGAP15;ARHGAP30;SCML4;DOCK8;GFI1;ZBP1;GIMAP4;GPR171;GIT2;SNRK</t>
  </si>
  <si>
    <t>http://www.broadinstitute.org/gsea/msigdb/cards/GSE2770_TGFB_AND_IL4_VS_IL12_TREATED_ACT_CD4_TCELL_6H_UP.html</t>
  </si>
  <si>
    <t>GSE1925_CTRL_VS_24H_IFNG_STIM_IFNG_PRIMED_MACROPHAGE_DN</t>
  </si>
  <si>
    <t>3559;714;3659;3676;1493;971;7453;1794;29851;8530;348;926;6402;8809;10672;100506736;10507</t>
  </si>
  <si>
    <t>IL2RA;C1QC;IRF1;ITGA4;CTLA4;CD72;WARS;DOCK2;ICOS;CST7;APOE;CD8B;SELL;IL18R1;GNA13;SLFN12L;SEMA4D</t>
  </si>
  <si>
    <t>http://www.broadinstitute.org/gsea/msigdb/cards/GSE1925_CTRL_VS_24H_IFNG_STIM_IFNG_PRIMED_MACROPHAGE_DN.html</t>
  </si>
  <si>
    <t>GSE4748_CTRL_VS_CYANOBACTERIUM_LPSLIKE_STIM_DC_3H_DN</t>
  </si>
  <si>
    <t>3458;713;915;6351;4283;719;51296;115361;730249;3956;3002;926;4481;2213;3604;969;23166</t>
  </si>
  <si>
    <t>IFNG;C1QB;CD3D;CCL4;CXCL9;C3AR1;SLC15A3;GBP4;ACOD1;LGALS1;GZMB;CD8B;MSR1;FCGR2B;TNFRSF9;CD69;STAB1</t>
  </si>
  <si>
    <t>http://www.broadinstitute.org/gsea/msigdb/cards/GSE4748_CTRL_VS_CYANOBACTERIUM_LPSLIKE_STIM_DC_3H_DN.html</t>
  </si>
  <si>
    <t>GSE5455_HEALTHY_VS_TUMOR_BEARING_MOUSE_SPLEEN_MONOCYTE_UP</t>
  </si>
  <si>
    <t>3627;2123;4354;114836;26051;2672;59067;57105;64092;55589;3717;8530;1508;3162;4066;55281;11217</t>
  </si>
  <si>
    <t>CXCL10;EVI2A;MPP1;SLAMF6;PPP1R16B;GFI1;IL21;CYSLTR2;SAMSN1;BMP2K;JAK2;CST7;CTSB;HMOX1;LYL1;TMEM140;AKAP2</t>
  </si>
  <si>
    <t>http://www.broadinstitute.org/gsea/msigdb/cards/GSE5455_HEALTHY_VS_TUMOR_BEARING_MOUSE_SPLEEN_MONOCYTE_UP.html</t>
  </si>
  <si>
    <t>GSE5455_HEALTHY_VS_TUMOR_BEARING_MOUSE_SPLEEN_MONOCYTE_24H_INCUBATION_DN</t>
  </si>
  <si>
    <t>340152;8676;1493;941;3594;114836;80380;59067;64092;55589;29851;10154;3604;6503;4818;57514;50515</t>
  </si>
  <si>
    <t>ZC3H12D;STX11;CTLA4;CD80;IL12RB1;SLAMF6;PDCD1LG2;IL21;SAMSN1;BMP2K;ICOS;PLXNC1;TNFRSF9;SLA;NKG7;ARHGAP31;CHST11</t>
  </si>
  <si>
    <t>http://www.broadinstitute.org/gsea/msigdb/cards/GSE5455_HEALTHY_VS_TUMOR_BEARING_MOUSE_SPLEEN_MONOCYTE_24H_INCUBATION_DN.html</t>
  </si>
  <si>
    <t>GSE6875_TCONV_VS_FOXP3_KO_TREG_UP</t>
  </si>
  <si>
    <t>10663;9535;914;5788;3695;5294;2014;6504;7805;139818;256380;55303;645432;3123;80709;25780;84329</t>
  </si>
  <si>
    <t>CXCR6;GMFG;CD2;PTPRC;ITGB7;PIK3CG;EMP3;SLAMF1;LAPTM5;DOCK11;SCML4;GIMAP4;ARRDC5;HLA-DRB1;AKNA;RASGRP3;HVCN1</t>
  </si>
  <si>
    <t>http://www.broadinstitute.org/gsea/msigdb/cards/GSE6875_TCONV_VS_FOXP3_KO_TREG_UP.html</t>
  </si>
  <si>
    <t>GSE6674_ANTI_IGM_VS_ANTI_IGM_AND_CPG_STIM_BCELL_UP</t>
  </si>
  <si>
    <t>919;6890;7805;3603;89857;8832;80342;3111;11010;6503;90634;161145;4215;51466;22806;11217;25939</t>
  </si>
  <si>
    <t>CD247;TAP1;LAPTM5;IL16;KLHL6;CD84;TRAF3IP3;HLA-DOA;GLIPR1;SLA;N4BP2L1;TMEM229B;MAP3K3;EVL;IKZF3;AKAP2;SAMHD1</t>
  </si>
  <si>
    <t>http://www.broadinstitute.org/gsea/msigdb/cards/GSE6674_ANTI_IGM_VS_ANTI_IGM_AND_CPG_STIM_BCELL_UP.html</t>
  </si>
  <si>
    <t>GSE7831_UNSTIM_VS_CPG_STIM_PDC_4H_DN</t>
  </si>
  <si>
    <t>3695;1439;219972;1240;51284;51393;3111;3956;3108;3109;6546;6753;2833;140885;3123;91010;4644</t>
  </si>
  <si>
    <t>ITGB7;CSF2RB;MPEG1;CMKLR1;TLR7;TRPV2;HLA-DOA;LGALS1;HLA-DMA;HLA-DMB;SLC8A1;SSTR3;CXCR3;SIRPA;HLA-DRB1;FMNL3;MYO5A</t>
  </si>
  <si>
    <t>http://www.broadinstitute.org/gsea/msigdb/cards/GSE7831_UNSTIM_VS_CPG_STIM_PDC_4H_DN.html</t>
  </si>
  <si>
    <t>GSE9960_HEALTHY_VS_GRAM_NEG_SEPSIS_PBMC_DN</t>
  </si>
  <si>
    <t>9595;3055;51056;1439;6504;26051;50856;2811;3604;7185;27314;118788;91010;338339;10507;57823;53831</t>
  </si>
  <si>
    <t>CYTIP;HCK;LAP3;CSF2RB;SLAMF1;PPP1R16B;CLEC4A;GP1BA;TNFRSF9;TRAF1;RAB30;PIK3AP1;FMNL3;CLEC4D;SEMA4D;SLAMF7;GPR84</t>
  </si>
  <si>
    <t>http://www.broadinstitute.org/gsea/msigdb/cards/GSE9960_HEALTHY_VS_GRAM_NEG_SEPSIS_PBMC_DN.html</t>
  </si>
  <si>
    <t>GSE15735_2H_VS_12H_HDAC_INHIBITOR_TREATED_CD4_TCELL_DN</t>
  </si>
  <si>
    <t>920;3055;3695;3903;57580;114548;27036;3117;921;3988;6776;2529;79895;10507;64098;57823;1522</t>
  </si>
  <si>
    <t>CD4;HCK;ITGB7;LAIR1;PREX1;NLRP3;SIGLEC7;HLA-DQA1;CD5;LIPA;STAT5A;FUT7;ATP8B4;SEMA4D;PARVG;SLAMF7;CTSZ</t>
  </si>
  <si>
    <t>http://www.broadinstitute.org/gsea/msigdb/cards/GSE15735_2H_VS_12H_HDAC_INHIBITOR_TREATED_CD4_TCELL_DN.html</t>
  </si>
  <si>
    <t>GSE18281_CORTICAL_THYMOCYTE_VS_WHOLE_CORTEX_THYMUS_DN</t>
  </si>
  <si>
    <t>929;2209;2313;4689;9332;1240;53829;10154;1102;9103;728;2213;4033;206358;23312;79895;23166</t>
  </si>
  <si>
    <t>CD14;FCGR1A;FLI1;NCF4;CD163;CMKLR1;P2RY13;PLXNC1;RCBTB2;FCGR2A;C5AR1;FCGR2B;LRMP;SLC36A1;DMXL2;ATP8B4;STAB1</t>
  </si>
  <si>
    <t>http://www.broadinstitute.org/gsea/msigdb/cards/GSE18281_CORTICAL_THYMOCYTE_VS_WHOLE_CORTEX_THYMUS_DN.html</t>
  </si>
  <si>
    <t>GSE18893_TCONV_VS_TREG_24H_CULTURE_DN</t>
  </si>
  <si>
    <t>9402;3932;971;1236;6772;4354;151888;51296;139716;114836;259307;50615;8564;19;9938;4033;51676</t>
  </si>
  <si>
    <t>GRAP2;LCK;CD72;CCR7;STAT1;MPP1;BTLA;SLC15A3;GAB3;SLAMF6;IL4I1;IL21R;KMO;ABCA1;ARHGAP25;LRMP;ASB2</t>
  </si>
  <si>
    <t>http://www.broadinstitute.org/gsea/msigdb/cards/GSE18893_TCONV_VS_TREG_24H_CULTURE_DN.html</t>
  </si>
  <si>
    <t>GSE19888_ADENOSINE_A3R_INH_VS_INH_PRETREAT_AND_ACT_WITH_TCELL_MEMBRANES_MAST_CELL_UP</t>
  </si>
  <si>
    <t>3055;3659;2124;2313;3394;4283;117289;6039;115361;53829;64231;64092;3122;25900;55704;30835;56606</t>
  </si>
  <si>
    <t>HCK;IRF1;EVI2B;FLI1;IRF8;CXCL9;TAGAP;RNASE6;GBP4;P2RY13;MS4A6A;SAMSN1;HLA-DRA;IFFO1;CCDC88A;CD209;SLC2A9</t>
  </si>
  <si>
    <t>http://www.broadinstitute.org/gsea/msigdb/cards/GSE19888_ADENOSINE_A3R_INH_VS_INH_PRETREAT_AND_ACT_WITH_TCELL_MEMBRANES_MAST_CELL_UP.html</t>
  </si>
  <si>
    <t>920;6351;944;2014;391;3903;9332;80301;4064;2162;3553;3956;4360;4973;7185;10184;23166</t>
  </si>
  <si>
    <t>CD4;CCL4;TNFSF8;EMP3;RHOG;LAIR1;CD163;PLEKHO2;CD180;F13A1;IL1B;LGALS1;MRC1;OLR1;TRAF1;LHFPL2;STAB1</t>
  </si>
  <si>
    <t>http://www.broadinstitute.org/gsea/msigdb/cards/GSE22196_HEALTHY_VS_OBESE_MOUSE_SKIN_GAMMADELTA_TCELL_DN.html</t>
  </si>
  <si>
    <t>940;942;10871;3587;93978;83706;8477;259307;23048;50856;6793;1435;3936;4208;7185;131450;338339</t>
  </si>
  <si>
    <t>CD28;CD86;CD300C;IL10RA;CLEC6A;FERMT3;GPR65;IL4I1;FNBP1;CLEC4A;STK10;CSF1;LCP1;MEF2C;TRAF1;CD200R1;CLEC4D</t>
  </si>
  <si>
    <t>http://www.broadinstitute.org/gsea/msigdb/cards/GSE22935_WT_VS_MYD88_KO_MACROPHAGE_24H_MBOVIS_BCG_STIM_DN.html</t>
  </si>
  <si>
    <t>GSE22589_HEALTHY_VS_HIV_INFECTED_DC_DN</t>
  </si>
  <si>
    <t>1536;3659;6890;3937;115361;4064;51284;56833;23228;9034;6373;728;5724;3363;4818;80821;55691</t>
  </si>
  <si>
    <t>CYBB;IRF1;TAP1;LCP2;GBP4;CD180;TLR7;SLAMF8;PLCL2;CCRL2;CXCL11;C5AR1;PTAFR;HTR7;NKG7;DDHD1;FRMD4A</t>
  </si>
  <si>
    <t>http://www.broadinstitute.org/gsea/msigdb/cards/GSE22589_HEALTHY_VS_HIV_INFECTED_DC_DN.html</t>
  </si>
  <si>
    <t>GSE25123_CTRL_VS_IL4_STIM_PPARG_KO_MACROPHAGE_DN</t>
  </si>
  <si>
    <t>340152;5579;919;6772;120939;257106;126014;114836;80380;64231;6793;596;11010;969;79865;146850;4644</t>
  </si>
  <si>
    <t>ZC3H12D;PRKCB;CD247;STAT1;TMEM52B;ARHGAP30;OSCAR;SLAMF6;PDCD1LG2;MS4A6A;STK10;BCL2;GLIPR1;CD69;TREML2;PIK3R6;MYO5A</t>
  </si>
  <si>
    <t>http://www.broadinstitute.org/gsea/msigdb/cards/GSE25123_CTRL_VS_IL4_STIM_PPARG_KO_MACROPHAGE_DN.html</t>
  </si>
  <si>
    <t>GSE24972_MARGINAL_ZONE_BCELL_VS_FOLLICULAR_BCELL_DN</t>
  </si>
  <si>
    <t>9535;917;3560;1493;3594;199;6504;23048;4066;2357;356;1601;3604;6614;53831;22806;27240</t>
  </si>
  <si>
    <t>GMFG;CD3G;IL2RB;CTLA4;IL12RB1;AIF1;SLAMF1;FNBP1;LYL1;FPR1;FASLG;DAB2;TNFRSF9;SIGLEC1;GPR84;IKZF3;SIT1</t>
  </si>
  <si>
    <t>http://www.broadinstitute.org/gsea/msigdb/cards/GSE24972_MARGINAL_ZONE_BCELL_VS_FOLLICULAR_BCELL_DN.html</t>
  </si>
  <si>
    <t>GSE24972_MARGINAL_ZONE_BCELL_VS_FOLLICULAR_BCELL_IRF8_KO_UP</t>
  </si>
  <si>
    <t>9535;10068;972;3659;2350;199;114548;29851;3117;3108;3109;8905;55911;80821;84230;9806;84034</t>
  </si>
  <si>
    <t>GMFG;IL18BP;CD74;IRF1;FOLR2;AIF1;NLRP3;ICOS;HLA-DQA1;HLA-DMA;HLA-DMB;AP1S2;APOBR;DDHD1;LRRC8C;SPOCK2;EMILIN2</t>
  </si>
  <si>
    <t>http://www.broadinstitute.org/gsea/msigdb/cards/GSE24972_MARGINAL_ZONE_BCELL_VS_FOLLICULAR_BCELL_IRF8_KO_UP.html</t>
  </si>
  <si>
    <t>GSE22443_NAIVE_VS_ACT_AND_IL12_TREATED_CD8_TCELL_UP</t>
  </si>
  <si>
    <t>1436;962;2268;4245;3071;4354;2313;695;10320;4063;6793;5452;3988;3004;140885;23166;51466</t>
  </si>
  <si>
    <t>CSF1R;CD48;FGR;MGAT1;NCKAP1L;MPP1;FLI1;BTK;IKZF1;LY9;STK10;POU2F2;LIPA;GZMM;SIRPA;STAB1;EVL</t>
  </si>
  <si>
    <t>http://www.broadinstitute.org/gsea/msigdb/cards/GSE22443_NAIVE_VS_ACT_AND_IL12_TREATED_CD8_TCELL_UP.html</t>
  </si>
  <si>
    <t>GSE23568_CTRL_VS_ID3_TRANSDUCED_CD8_TCELL_UP</t>
  </si>
  <si>
    <t>9402;914;940;5551;3695;923;1236;6890;3603;3117;921;6402;356;1235;54518;10077;27240</t>
  </si>
  <si>
    <t>GRAP2;CD2;CD28;PRF1;ITGB7;CD6;CCR7;TAP1;IL16;HLA-DQA1;CD5;SELL;FASLG;CCR6;APBB1IP;TSPAN32;SIT1</t>
  </si>
  <si>
    <t>http://www.broadinstitute.org/gsea/msigdb/cards/GSE23568_CTRL_VS_ID3_TRANSDUCED_CD8_TCELL_UP.html</t>
  </si>
  <si>
    <t>GSE33424_CD161_HIGH_VS_INT_CD8_TCELL_DN</t>
  </si>
  <si>
    <t>925;915;917;940;1493;3575;7535;3702;6404;2672;64231;366;8530;3122;926;51762;27240</t>
  </si>
  <si>
    <t>CD8A;CD3D;CD3G;CD28;CTLA4;IL7R;ZAP70;ITK;SELPLG;GFI1;MS4A6A;AQP9;CST7;HLA-DRA;CD8B;RAB8B;SIT1</t>
  </si>
  <si>
    <t>http://www.broadinstitute.org/gsea/msigdb/cards/GSE33424_CD161_HIGH_VS_INT_CD8_TCELL_DN.html</t>
  </si>
  <si>
    <t>GSE33424_CD161_HIGH_VS_NEG_CD8_TCELL_DN</t>
  </si>
  <si>
    <t>925;915;3932;916;917;940;3575;7535;3702;7805;2672;64231;8530;926;3902;51466;27240</t>
  </si>
  <si>
    <t>CD8A;CD3D;LCK;CD3E;CD3G;CD28;IL7R;ZAP70;ITK;LAPTM5;GFI1;MS4A6A;CST7;CD8B;LAG3;EVL;SIT1</t>
  </si>
  <si>
    <t>http://www.broadinstitute.org/gsea/msigdb/cards/GSE33424_CD161_HIGH_VS_NEG_CD8_TCELL_DN.html</t>
  </si>
  <si>
    <t>GSE33425_CD161_HIGH_VS_NEG_CD8_TCELL_UP</t>
  </si>
  <si>
    <t>9051;971;391;3394;3587;3603;54899;4049;3117;596;6402;3109;3290;4261;1235;4208;3123</t>
  </si>
  <si>
    <t>PSTPIP1;CD72;RHOG;IRF8;IL10RA;IL16;PXK;LTA;HLA-DQA1;BCL2;SELL;HLA-DMB;HSD11B1;CIITA;CCR6;MEF2C;HLA-DRB1</t>
  </si>
  <si>
    <t>http://www.broadinstitute.org/gsea/msigdb/cards/GSE33425_CD161_HIGH_VS_NEG_CD8_TCELL_UP.html</t>
  </si>
  <si>
    <t>GSE26030_TH1_VS_TH17_DAY5_POST_POLARIZATION_DN</t>
  </si>
  <si>
    <t>7305;2268;3659;3683;3594;3394;117289;80380;53346;19;4049;3936;241;7941;10462;168537;50515</t>
  </si>
  <si>
    <t>TYROBP;FGR;IRF1;ITGAL;IL12RB1;IRF8;TAGAP;PDCD1LG2;TM6SF1;ABCA1;LTA;LCP1;ALOX5AP;PLA2G7;CLEC10A;GIMAP7;CHST11</t>
  </si>
  <si>
    <t>http://www.broadinstitute.org/gsea/msigdb/cards/GSE26030_TH1_VS_TH17_DAY5_POST_POLARIZATION_DN.html</t>
  </si>
  <si>
    <t>GSE26343_WT_VS_NFAT5_KO_MACROPHAGE_DN</t>
  </si>
  <si>
    <t>6352;7133;93978;92241;474344;51296;8477;80301;115361;56833;54;3586;10148;10672;3123;84329;57823</t>
  </si>
  <si>
    <t>CCL5;TNFRSF1B;CLEC6A;RCSD1;GIMAP6;SLC15A3;GPR65;PLEKHO2;GBP4;SLAMF8;ACP5;IL10;EBI3;GNA13;HLA-DRB1;HVCN1;SLAMF7</t>
  </si>
  <si>
    <t>http://www.broadinstitute.org/gsea/msigdb/cards/GSE26343_WT_VS_NFAT5_KO_MACROPHAGE_DN.html</t>
  </si>
  <si>
    <t>GSE30971_CTRL_VS_LPS_STIM_MACROPHAGE_WBP7_HET_4H_UP</t>
  </si>
  <si>
    <t>8676;5579;1493;3702;170575;53346;9120;10154;6693;3902;3586;6507;8905;7185;85464;51063;50515</t>
  </si>
  <si>
    <t>STX11;PRKCB;CTLA4;ITK;GIMAP1;TM6SF1;SLC16A6;PLXNC1;SPN;LAG3;IL10;SLC1A3;AP1S2;TRAF1;SSH2;CALHM2;CHST11</t>
  </si>
  <si>
    <t>http://www.broadinstitute.org/gsea/msigdb/cards/GSE30971_CTRL_VS_LPS_STIM_MACROPHAGE_WBP7_HET_4H_UP.html</t>
  </si>
  <si>
    <t>GSE36888_UNTREATED_VS_IL2_TREATED_STAT5_AB_KNOCKIN_TCELL_2H_UP</t>
  </si>
  <si>
    <t>3055;6351;2207;54899;23533;64092;9120;11024;3553;4688;2358;3604;7185;10148;6363;53831;29126</t>
  </si>
  <si>
    <t>HCK;CCL4;FCER1G;PXK;PIK3R5;SAMSN1;SLC16A6;LILRA1;IL1B;NCF2;FPR2;TNFRSF9;TRAF1;EBI3;CCL19;GPR84;CD274</t>
  </si>
  <si>
    <t>http://www.broadinstitute.org/gsea/msigdb/cards/GSE36888_UNTREATED_VS_IL2_TREATED_STAT5_AB_KNOCKIN_TCELL_2H_UP.html</t>
  </si>
  <si>
    <t>GSE36888_STAT5_AB_KNOCKIN_VS_WT_TCELL_IL2_TREATED_6H_UP</t>
  </si>
  <si>
    <t>2533;3689;917;5734;10875;92241;84166;170575;114836;50615;6373;366;4066;969;118788;168537;84329</t>
  </si>
  <si>
    <t>FYB1;ITGB2;CD3G;PTGER4;FGL2;RCSD1;NLRC5;GIMAP1;SLAMF6;IL21R;CXCL11;AQP9;LYL1;CD69;PIK3AP1;GIMAP7;HVCN1</t>
  </si>
  <si>
    <t>http://www.broadinstitute.org/gsea/msigdb/cards/GSE36888_STAT5_AB_KNOCKIN_VS_WT_TCELL_IL2_TREATED_6H_UP.html</t>
  </si>
  <si>
    <t>GSE34515_CD16_NEG_MONOCYTE_VS_DC_UP</t>
  </si>
  <si>
    <t>7940;2533;5788;3676;7133;2207;2124;3101;199;719;146722;80896;10154;2358;6556;151556;55803</t>
  </si>
  <si>
    <t>LST1;FYB1;PTPRC;ITGA4;TNFRSF1B;FCER1G;EVI2B;HK3;AIF1;C3AR1;CD300LF;NPL;PLXNC1;FPR2;SLC11A1;GPR155;ADAP2</t>
  </si>
  <si>
    <t>http://www.broadinstitute.org/gsea/msigdb/cards/GSE34515_CD16_NEG_MONOCYTE_VS_DC_UP.html</t>
  </si>
  <si>
    <t>GSE37533_UNTREATED_VS_PIOGLIZATONE_TREATED_CD4_TCELL_PPARG1_AND_FOXP3_TRASDUCED_DN</t>
  </si>
  <si>
    <t>9046;3587;4689;221472;3635;6039;4064;4066;7454;1235;4208;25900;79865;64780;64174;51063;23166</t>
  </si>
  <si>
    <t>DOK2;IL10RA;NCF4;FGD2;INPP5D;RNASE6;CD180;LYL1;WAS;CCR6;MEF2C;IFFO1;TREML2;MICAL1;DPEP2;CALHM2;STAB1</t>
  </si>
  <si>
    <t>http://www.broadinstitute.org/gsea/msigdb/cards/GSE37533_UNTREATED_VS_PIOGLIZATONE_TREATED_CD4_TCELL_PPARG1_AND_FOXP3_TRASDUCED_DN.html</t>
  </si>
  <si>
    <t>GSE36527_CD69_NEG_VS_POS_TREG_CD62L_LOS_KLRG1_NEG_UP</t>
  </si>
  <si>
    <t>3627;3659;6772;6890;6504;10875;3662;115361;81030;51284;9034;3002;3988;100506736;55281;29126;25939</t>
  </si>
  <si>
    <t>CXCL10;IRF1;STAT1;TAP1;SLAMF1;FGL2;IRF4;GBP4;ZBP1;TLR7;CCRL2;GZMB;LIPA;SLFN12L;TMEM140;CD274;SAMHD1</t>
  </si>
  <si>
    <t>http://www.broadinstitute.org/gsea/msigdb/cards/GSE36527_CD69_NEG_VS_POS_TREG_CD62L_LOS_KLRG1_NEG_UP.html</t>
  </si>
  <si>
    <t>GSE33162_HDAC3_KO_VS_HDAC3_KO_MACROPHAGE_DN</t>
  </si>
  <si>
    <t>9839;4068;3458;5788;3676;1493;3687;5734;50852;1794;8320;3002;729230;8905;8809;597;64780</t>
  </si>
  <si>
    <t>ZEB2;SH2D1A;IFNG;PTPRC;ITGA4;CTLA4;ITGAX;PTGER4;TRAT1;DOCK2;EOMES;GZMB;CCR2;AP1S2;IL18R1;BCL2A1;MICAL1</t>
  </si>
  <si>
    <t>http://www.broadinstitute.org/gsea/msigdb/cards/GSE33162_HDAC3_KO_VS_HDAC3_KO_MACROPHAGE_DN.html</t>
  </si>
  <si>
    <t>GSE34006_A2AR_KO_VS_A2AR_AGONIST_TREATED_TREG_UP</t>
  </si>
  <si>
    <t>3627;3659;6772;6890;3702;115361;81030;51284;7099;9034;6402;3988;100506736;80821;55281;29126;25939</t>
  </si>
  <si>
    <t>CXCL10;IRF1;STAT1;TAP1;ITK;GBP4;ZBP1;TLR7;TLR4;CCRL2;SELL;LIPA;SLFN12L;DDHD1;TMEM140;CD274;SAMHD1</t>
  </si>
  <si>
    <t>http://www.broadinstitute.org/gsea/msigdb/cards/GSE34006_A2AR_KO_VS_A2AR_AGONIST_TREATED_TREG_UP.html</t>
  </si>
  <si>
    <t>GSE39864_WT_VS_GATA3_KO_TREG_UP</t>
  </si>
  <si>
    <t>10068;3627;3659;7453;4245;6772;3071;6890;255231;115361;51744;924;1435;6776;3718;100506736;25939</t>
  </si>
  <si>
    <t>IL18BP;CXCL10;IRF1;WARS;MGAT1;STAT1;NCKAP1L;TAP1;MCOLN2;GBP4;CD244;CD7;CSF1;STAT5A;JAK3;SLFN12L;SAMHD1</t>
  </si>
  <si>
    <t>http://www.broadinstitute.org/gsea/msigdb/cards/GSE39864_WT_VS_GATA3_KO_TREG_UP.html</t>
  </si>
  <si>
    <t>GSE40273_EOS_KO_VS_WT_TREG_DN</t>
  </si>
  <si>
    <t>340152;9214;9450;5579;653361;92241;151888;55589;6793;348;2113;4050;9815;597;79865;83937;22806</t>
  </si>
  <si>
    <t>ZC3H12D;FCMR;LY86;PRKCB;NCF1;RCSD1;BTLA;BMP2K;STK10;APOE;ETS1;LTB;GIT2;BCL2A1;TREML2;RASSF4;IKZF3</t>
  </si>
  <si>
    <t>http://www.broadinstitute.org/gsea/msigdb/cards/GSE40273_EOS_KO_VS_WT_TREG_DN.html</t>
  </si>
  <si>
    <t>GSE40277_EOS_AND_LEF1_TRANSDUCED_VS_CTRL_CD4_TCELL_DN</t>
  </si>
  <si>
    <t>7305;3575;2123;2124;7535;5294;286336;255231;59067;51393;29851;4094;8530;3956;729230;55911;206358</t>
  </si>
  <si>
    <t>TYROBP;IL7R;EVI2A;EVI2B;ZAP70;PIK3CG;FAM78A;MCOLN2;IL21;TRPV2;ICOS;MAF;CST7;LGALS1;CCR2;APOBR;SLC36A1</t>
  </si>
  <si>
    <t>http://www.broadinstitute.org/gsea/msigdb/cards/GSE40277_EOS_AND_LEF1_TRANSDUCED_VS_CTRL_CD4_TCELL_DN.html</t>
  </si>
  <si>
    <t>GSE40666_UNTREATED_VS_IFNA_STIM_EFFECTOR_CD8_TCELL_90MIN_DN</t>
  </si>
  <si>
    <t>9535;9046;11151;4671;170371;114548;64333;56659;27128;2857;27306;3059;4688;11010;4208;6503;79630</t>
  </si>
  <si>
    <t>GMFG;DOK2;CORO1A;NAIP;TMEM273;NLRP3;ARHGAP9;KCNK13;CYTH4;GPR34;HPGDS;HCLS1;NCF2;GLIPR1;MEF2C;SLA;C1orf54</t>
  </si>
  <si>
    <t>http://www.broadinstitute.org/gsea/msigdb/cards/GSE40666_UNTREATED_VS_IFNA_STIM_EFFECTOR_CD8_TCELL_90MIN_DN.html</t>
  </si>
  <si>
    <t>GSE28737_FOLLICULAR_VS_MARGINAL_ZONE_BCELL_BCL6_HET_UP</t>
  </si>
  <si>
    <t>9404;920;972;5788;10871;139818;170371;83706;64333;51225;348;3988;1235;6503;3123;25780;91010</t>
  </si>
  <si>
    <t>LPXN;CD4;CD74;PTPRC;CD300C;DOCK11;TMEM273;FERMT3;ARHGAP9;ABI3;APOE;LIPA;CCR6;SLA;HLA-DRB1;RASGRP3;FMNL3</t>
  </si>
  <si>
    <t>http://www.broadinstitute.org/gsea/msigdb/cards/GSE28737_FOLLICULAR_VS_MARGINAL_ZONE_BCELL_BCL6_HET_UP.html</t>
  </si>
  <si>
    <t>GSE41867_DAY6_EFFECTOR_VS_DAY30_MEMORY_CD8_TCELL_LCMV_ARMSTRONG_UP</t>
  </si>
  <si>
    <t>3689;2124;3071;9744;283897;83706;89857;2857;51393;3111;3956;4688;27163;4033;27314;80709;64780</t>
  </si>
  <si>
    <t>ITGB2;EVI2B;NCKAP1L;ACAP1;C16orf54;FERMT3;KLHL6;GPR34;TRPV2;HLA-DOA;LGALS1;NCF2;NAAA;LRMP;RAB30;AKNA;MICAL1</t>
  </si>
  <si>
    <t>http://www.broadinstitute.org/gsea/msigdb/cards/GSE41867_DAY6_EFFECTOR_VS_DAY30_MEMORY_CD8_TCELL_LCMV_ARMSTRONG_UP.html</t>
  </si>
  <si>
    <t>GSE41867_NAIVE_VS_DAY30_LCMV_CLONE13_EXHAUSTED_CD8_TCELL_UP</t>
  </si>
  <si>
    <t>8676;5341;6351;6352;3575;6772;4283;6504;23533;2210;158830;3902;6776;6507;8809;5027;57823</t>
  </si>
  <si>
    <t>STX11;PLEK;CCL4;CCL5;IL7R;STAT1;CXCL9;SLAMF1;PIK3R5;FCGR1B;CXorf65;LAG3;STAT5A;SLC1A3;IL18R1;P2RX7;SLAMF7</t>
  </si>
  <si>
    <t>http://www.broadinstitute.org/gsea/msigdb/cards/GSE41867_NAIVE_VS_DAY30_LCMV_CLONE13_EXHAUSTED_CD8_TCELL_UP.html</t>
  </si>
  <si>
    <t>9450;972;951;4245;3071;10320;6404;51338;29992;3115;4973;25900;25780;64780;64174;56606;23166</t>
  </si>
  <si>
    <t>LY86;CD74;CD37;MGAT1;NCKAP1L;IKZF1;SELPLG;MS4A4A;PILRA;HLA-DPB1;OLR1;IFFO1;RASGRP3;MICAL1;DPEP2;SLC2A9;STAB1</t>
  </si>
  <si>
    <t>http://www.broadinstitute.org/gsea/msigdb/cards/GSE39382_IL3_VS_IL3_IL33_TREATED_MAST_CELL_UP.html</t>
  </si>
  <si>
    <t>GSE42021_TREG_PLN_VS_CD24INT_TREG_THYMUS_DN</t>
  </si>
  <si>
    <t>80833;972;3659;7133;7453;51056;2633;6772;3394;6890;9881;3717;27306;10437;1237;6891;25939</t>
  </si>
  <si>
    <t>APOL3;CD74;IRF1;TNFRSF1B;WARS;LAP3;GBP1;STAT1;IRF8;TAP1;TRANK1;JAK2;HPGDS;IFI30;CCR8;TAP2;SAMHD1</t>
  </si>
  <si>
    <t>http://www.broadinstitute.org/gsea/msigdb/cards/GSE42021_TREG_PLN_VS_CD24INT_TREG_THYMUS_DN.html</t>
  </si>
  <si>
    <t>GSE43955_TH0_VS_TGFB_IL6_TH17_ACT_CD4_TCELL_1H_UP</t>
  </si>
  <si>
    <t>3627;3055;3659;6351;1439;5734;942;1234;4283;10875;399;255231;115361;3717;2213;1230;9935</t>
  </si>
  <si>
    <t>CXCL10;HCK;IRF1;CCL4;CSF2RB;PTGER4;CD86;CCR5;CXCL9;FGL2;RHOH;MCOLN2;GBP4;JAK2;FCGR2B;CCR1;MAFB</t>
  </si>
  <si>
    <t>http://www.broadinstitute.org/gsea/msigdb/cards/GSE43955_TH0_VS_TGFB_IL6_TH17_ACT_CD4_TCELL_1H_UP.html</t>
  </si>
  <si>
    <t>GSE43955_1H_VS_20H_ACT_CD4_TCELL_UP</t>
  </si>
  <si>
    <t>9450;713;714;3055;971;313;4283;10871;10320;259307;4481;140885;4033;10672;597;51466;9935</t>
  </si>
  <si>
    <t>LY86;C1QB;C1QC;HCK;CD72;AOAH;CXCL9;CD300C;IKZF1;IL4I1;MSR1;SIRPA;LRMP;GNA13;BCL2A1;EVL;MAFB</t>
  </si>
  <si>
    <t>http://www.broadinstitute.org/gsea/msigdb/cards/GSE43955_1H_VS_20H_ACT_CD4_TCELL_UP.html</t>
  </si>
  <si>
    <t>GSE43863_DAY6_EFF_VS_DAY150_MEM_TFH_CD4_TCELL_UP</t>
  </si>
  <si>
    <t>940;5734;942;6772;7805;9744;146722;64092;51284;8832;9034;3117;5376;118788;84034;7462;55691</t>
  </si>
  <si>
    <t>CD28;PTGER4;CD86;STAT1;LAPTM5;ACAP1;CD300LF;SAMSN1;TLR7;CD84;CCRL2;HLA-DQA1;PMP22;PIK3AP1;EMILIN2;LAT2;FRMD4A</t>
  </si>
  <si>
    <t>http://www.broadinstitute.org/gsea/msigdb/cards/GSE43863_DAY6_EFF_VS_DAY150_MEM_TFH_CD4_TCELL_UP.html</t>
  </si>
  <si>
    <t>GSE46606_IRF4_KO_VS_WT_CD40L_IL2_IL5_1DAY_STIMULATED_BCELL_UP</t>
  </si>
  <si>
    <t>3101;10666;170371;84868;80380;50615;54209;3684;6693;3290;9363;150771;131450;79630;56670;30835;29125</t>
  </si>
  <si>
    <t>HK3;CD226;TMEM273;HAVCR2;PDCD1LG2;IL21R;TREM2;ITGAM;SPN;HSD11B1;RAB33A;ITPRIPL1;CD200R1;C1orf54;SUCNR1;CD209;C11orf21</t>
  </si>
  <si>
    <t>http://www.broadinstitute.org/gsea/msigdb/cards/GSE46606_IRF4_KO_VS_WT_CD40L_IL2_IL5_1DAY_STIMULATED_BCELL_UP.html</t>
  </si>
  <si>
    <t>GSE46606_IRF4_KO_VS_WT_CD40L_IL2_IL5_3DAY_STIMULATED_BCELL_DN</t>
  </si>
  <si>
    <t>9046;962;944;4354;23533;7099;2219;1102;56253;3059;4481;943;8905;4208;64098;54861;55013</t>
  </si>
  <si>
    <t>DOK2;CD48;TNFSF8;MPP1;PIK3R5;TLR4;FCN1;RCBTB2;CRTAM;HCLS1;MSR1;TNFRSF8;AP1S2;MEF2C;PARVG;SNRK;MCUB</t>
  </si>
  <si>
    <t>http://www.broadinstitute.org/gsea/msigdb/cards/GSE46606_IRF4_KO_VS_WT_CD40L_IL2_IL5_3DAY_STIMULATED_BCELL_DN.html</t>
  </si>
  <si>
    <t>GSE45365_NK_CELL_VS_BCELL_MCMV_INFECTION_DN</t>
  </si>
  <si>
    <t>27334;5341;7133;2633;2322;6890;26051;50615;8832;3553;5552;2529;10148;51762;81553;83937;57823</t>
  </si>
  <si>
    <t>P2RY10;PLEK;TNFRSF1B;GBP1;FLT3;TAP1;PPP1R16B;IL21R;CD84;IL1B;SRGN;FUT7;EBI3;RAB8B;FAM49A;RASSF4;SLAMF7</t>
  </si>
  <si>
    <t>http://www.broadinstitute.org/gsea/msigdb/cards/GSE45365_NK_CELL_VS_BCELL_MCMV_INFECTION_DN.html</t>
  </si>
  <si>
    <t>GSE4590_SMALL_VS_LARGE_PRE_BCELL_DN</t>
  </si>
  <si>
    <t>9535;3695;1236;941;117289;55303;3956;6402;6693;1235;969;10148;115727;84230;27240</t>
  </si>
  <si>
    <t>GMFG;ITGB7;CCR7;CD80;TAGAP;GIMAP4;LGALS1;SELL;SPN;CCR6;CD69;EBI3;RASGRP4;LRRC8C;SIT1</t>
  </si>
  <si>
    <t>http://www.broadinstitute.org/gsea/msigdb/cards/GSE4590_SMALL_VS_LARGE_PRE_BCELL_DN.html</t>
  </si>
  <si>
    <t>GSE40274_CTRL_VS_FOXP3_AND_IRF4_TRANSDUCED_ACTIVATED_CD4_TCELL_UP</t>
  </si>
  <si>
    <t>4542;10663;917;6352;6504;10875;126364;154075;84636;57105;55303;8832;3717;3586;64919</t>
  </si>
  <si>
    <t>MYO1F;CXCR6;CD3G;CCL5;SLAMF1;FGL2;LRRC25;SAMD3;GPR174;CYSLTR2;GIMAP4;CD84;JAK2;IL10;BCL11B</t>
  </si>
  <si>
    <t>http://www.broadinstitute.org/gsea/msigdb/cards/GSE40274_CTRL_VS_FOXP3_AND_IRF4_TRANSDUCED_ACTIVATED_CD4_TCELL_UP.html</t>
  </si>
  <si>
    <t>GSE4590_SMALL_VS_VPREB_POS_LARGE_PRE_BCELL_DN</t>
  </si>
  <si>
    <t>10068;925;3689;914;3001;1233;6504;55303;926;54;441168;64581;149699;283316;22806</t>
  </si>
  <si>
    <t>IL18BP;CD8A;ITGB2;CD2;GZMA;CCR4;SLAMF1;GIMAP4;CD8B;ACP5;CALHM6;CLEC7A;GTSF1L;CD163L1;IKZF3</t>
  </si>
  <si>
    <t>http://www.broadinstitute.org/gsea/msigdb/cards/GSE4590_SMALL_VS_VPREB_POS_LARGE_PRE_BCELL_DN.html</t>
  </si>
  <si>
    <t>GSE13547_CTRL_VS_ANTI_IGM_STIM_BCELL_2H_UP</t>
  </si>
  <si>
    <t>3627;653361;1493;942;6772;10875;201633;84868;81030;8320;924;3902;3003;5133;10507;4644</t>
  </si>
  <si>
    <t>CXCL10;NCF1;CTLA4;CD86;STAT1;FGL2;TIGIT;HAVCR2;ZBP1;EOMES;CD7;LAG3;GZMK;PDCD1;SEMA4D;MYO5A</t>
  </si>
  <si>
    <t>http://www.broadinstitute.org/gsea/msigdb/cards/GSE13547_CTRL_VS_ANTI_IGM_STIM_BCELL_2H_UP.html</t>
  </si>
  <si>
    <t>GSE6259_33D1_POS_DC_VS_CD4_TCELL_UP</t>
  </si>
  <si>
    <t>3695;2322;151888;11184;23048;8564;3956;2829;27163;3824;55704;57705;64780;132160;59345;64098</t>
  </si>
  <si>
    <t>ITGB7;FLT3;BTLA;MAP4K1;FNBP1;KMO;LGALS1;XCR1;NAAA;KLRD1;CCDC88A;WDFY4;MICAL1;PPM1M;GNB4;PARVG</t>
  </si>
  <si>
    <t>http://www.broadinstitute.org/gsea/msigdb/cards/GSE6259_33D1_POS_DC_VS_CD4_TCELL_UP.html</t>
  </si>
  <si>
    <t>GSE21360_SECONDARY_VS_QUATERNARY_MEMORY_CD8_TCELL_DN</t>
  </si>
  <si>
    <t>340152;9051;2268;5778;5294;3937;55016;170575;29909;9120;19;5552;3684;6503;84034</t>
  </si>
  <si>
    <t>ZC3H12D;PSTPIP1;FGR;PTPN7;PIK3CG;LCP2;MARCH1;GIMAP1;GPR171;SLC16A6;ABCA1;SRGN;ITGAM;SLA;EMILIN2</t>
  </si>
  <si>
    <t>http://www.broadinstitute.org/gsea/msigdb/cards/GSE21360_SECONDARY_VS_QUATERNARY_MEMORY_CD8_TCELL_DN.html</t>
  </si>
  <si>
    <t>GSE40274_CTRL_VS_HELIOS_TRANSDUCED_ACTIVATED_CD4_TCELL_UP</t>
  </si>
  <si>
    <t>5294;3587;92241;150372;115362;8564;3956;3737;241;3988;7941;10235;151556;91526;83937</t>
  </si>
  <si>
    <t>PIK3CG;IL10RA;RCSD1;NFAM1;GBP5;KMO;LGALS1;KCNA2;ALOX5AP;LIPA;PLA2G7;RASGRP2;GPR155;ANKRD44;RASSF4</t>
  </si>
  <si>
    <t>http://www.broadinstitute.org/gsea/msigdb/cards/GSE40274_CTRL_VS_HELIOS_TRANSDUCED_ACTIVATED_CD4_TCELL_UP.html</t>
  </si>
  <si>
    <t>340152;9535;915;3575;3687;971;944;92241;114836;8320;2833;4050;7185;441168;25939</t>
  </si>
  <si>
    <t>ZC3H12D;GMFG;CD3D;IL7R;ITGAX;CD72;TNFSF8;RCSD1;SLAMF6;EOMES;CXCR3;LTB;TRAF1;CALHM6;SAMHD1</t>
  </si>
  <si>
    <t>http://www.broadinstitute.org/gsea/msigdb/cards/GSE3720_UNSTIM_VS_LPS_STIM_VD2_GAMMADELTA_TCELL_UP.html</t>
  </si>
  <si>
    <t>GSE3920_IFNA_VS_IFNB_TREATED_ENDOTHELIAL_CELL_UP</t>
  </si>
  <si>
    <t>9535;5579;971;50852;221188;89857;152789;57105;1102;2213;1601;4050;57514;59345;283316</t>
  </si>
  <si>
    <t>GMFG;PRKCB;CD72;TRAT1;ADGRG5;KLHL6;JAKMIP1;CYSLTR2;RCBTB2;FCGR2B;DAB2;LTB;ARHGAP31;GNB4;CD163L1</t>
  </si>
  <si>
    <t>http://www.broadinstitute.org/gsea/msigdb/cards/GSE3920_IFNA_VS_IFNB_TREATED_ENDOTHELIAL_CELL_UP.html</t>
  </si>
  <si>
    <t>GSE37301_MULTIPOTENT_PROGENITOR_VS_COMMON_LYMPHOID_PROGENITOR_UP</t>
  </si>
  <si>
    <t>54440;915;5551;653361;919;4354;286336;115362;51284;79865;85464;10235;132160;51466;25939</t>
  </si>
  <si>
    <t>SASH3;CD3D;PRF1;NCF1;CD247;MPP1;FAM78A;GBP5;TLR7;TREML2;SSH2;RASGRP2;PPM1M;EVL;SAMHD1</t>
  </si>
  <si>
    <t>http://www.broadinstitute.org/gsea/msigdb/cards/GSE37301_MULTIPOTENT_PROGENITOR_VS_COMMON_LYMPHOID_PROGENITOR_UP.html</t>
  </si>
  <si>
    <t>GSE37301_CD4_TCELL_VS_RAG2_KO_NK_CELL_UP</t>
  </si>
  <si>
    <t>3627;6352;944;51296;114836;10673;29851;29909;3003;8809;10148;5133;4818;51762</t>
  </si>
  <si>
    <t>CXCL10;CCL5;TNFSF8;SLC15A3;SLAMF6;TNFSF13B;ICOS;GPR171;GZMK;IL18R1;EBI3;PDCD1;NKG7;RAB8B</t>
  </si>
  <si>
    <t>http://www.broadinstitute.org/gsea/msigdb/cards/GSE37301_CD4_TCELL_VS_RAG2_KO_NK_CELL_UP.html</t>
  </si>
  <si>
    <t>GSE20727_CTRL_VS_H2O2_TREATED_DC_UP</t>
  </si>
  <si>
    <t>3055;971;4332;92241;55016;3684;6776;1235;4050;9815;10672;10235;51762;7462;64098;29125</t>
  </si>
  <si>
    <t>HCK;CD72;MNDA;RCSD1;MARCH1;ITGAM;STAT5A;CCR6;LTB;GIT2;GNA13;RASGRP2;RAB8B;LAT2;PARVG;C11orf21</t>
  </si>
  <si>
    <t>http://www.broadinstitute.org/gsea/msigdb/cards/GSE20727_CTRL_VS_H2O2_TREATED_DC_UP.html</t>
  </si>
  <si>
    <t>GSE14415_ACT_TCONV_VS_ACT_NATURAL_TREG_UP</t>
  </si>
  <si>
    <t>1236;944;6772;286336;50852;221188;256380;115361;58484;19;6402;79865;146850;10077;11217</t>
  </si>
  <si>
    <t>CCR7;TNFSF8;STAT1;FAM78A;TRAT1;ADGRG5;SCML4;GBP4;NLRC4;ABCA1;SELL;TREML2;PIK3R6;TSPAN32;AKAP2</t>
  </si>
  <si>
    <t>http://www.broadinstitute.org/gsea/msigdb/cards/GSE14415_ACT_TCONV_VS_ACT_NATURAL_TREG_UP.html</t>
  </si>
  <si>
    <t>GSE34156_UNTREATED_VS_6H_NOD2_LIGAND_TREATED_MONOCYTE_DN</t>
  </si>
  <si>
    <t>9404;944;6772;719;5800;51296;51338;115362;115361;6373;8564;4208;969;25890;55803</t>
  </si>
  <si>
    <t>LPXN;TNFSF8;STAT1;C3AR1;PTPRO;SLC15A3;MS4A4A;GBP5;GBP4;CXCL11;KMO;MEF2C;CD69;ABI3BP;ADAP2</t>
  </si>
  <si>
    <t>http://www.broadinstitute.org/gsea/msigdb/cards/GSE34156_UNTREATED_VS_6H_NOD2_LIGAND_TREATED_MONOCYTE_DN.html</t>
  </si>
  <si>
    <t>GSE4590_LARGE_PRE_BCELL_VS_VPREB_POS_LARGE_PRE_BCELL_UP</t>
  </si>
  <si>
    <t>9839;9402;3676;1493;139818;3903;255231;81704;115361;84636;64407;3290;4818;79895;55691</t>
  </si>
  <si>
    <t>ZEB2;GRAP2;ITGA4;CTLA4;DOCK11;LAIR1;MCOLN2;DOCK8;GBP4;GPR174;RGS18;HSD11B1;NKG7;ATP8B4;FRMD4A</t>
  </si>
  <si>
    <t>http://www.broadinstitute.org/gsea/msigdb/cards/GSE4590_LARGE_PRE_BCELL_VS_VPREB_POS_LARGE_PRE_BCELL_UP.html</t>
  </si>
  <si>
    <t>GSE1791_CTRL_VS_NEUROMEDINU_IN_T_CELL_LINE_0.8H_DN</t>
  </si>
  <si>
    <t>10068;3594;10875;8477;56833;8832;3684;3059;728;10457;131450;79690;50515;9033;55691;29125</t>
  </si>
  <si>
    <t>IL18BP;IL12RB1;FGL2;GPR65;SLAMF8;CD84;ITGAM;HCLS1;C5AR1;GPNMB;CD200R1;GAL3ST4;CHST11;PKD2L1;FRMD4A;C11orf21</t>
  </si>
  <si>
    <t>http://www.broadinstitute.org/gsea/msigdb/cards/GSE1791_CTRL_VS_NEUROMEDINU_IN_T_CELL_LINE_0.8H_DN.html</t>
  </si>
  <si>
    <t>GSE32986_GMCSF_VS_GMCSF_AND_CURDLAN_LOWDOSE_STIM_DC_UP</t>
  </si>
  <si>
    <t>259197;9404;914;940;1233;3071;8514;4689;255231;80301;11184;26051;3717;3737;51762;5027</t>
  </si>
  <si>
    <t>NCR3;LPXN;CD2;CD28;CCR4;NCKAP1L;KCNAB2;NCF4;MCOLN2;PLEKHO2;MAP4K1;PPP1R16B;JAK2;KCNA2;RAB8B;P2RX7</t>
  </si>
  <si>
    <t>http://www.broadinstitute.org/gsea/msigdb/cards/GSE32986_GMCSF_VS_GMCSF_AND_CURDLAN_LOWDOSE_STIM_DC_UP.html</t>
  </si>
  <si>
    <t>915;1236;944;399;286336;92241;221188;114836;64333;924;3988;4050;969;79865;51466</t>
  </si>
  <si>
    <t>CD3D;CCR7;TNFSF8;RHOH;FAM78A;RCSD1;ADGRG5;SLAMF6;ARHGAP9;CD7;LIPA;LTB;CD69;TREML2;EVL</t>
  </si>
  <si>
    <t>http://www.broadinstitute.org/gsea/msigdb/cards/GSE3565_CTRL_VS_LPS_INJECTED_SPLENOCYTES_DN.html</t>
  </si>
  <si>
    <t>GSE40274_CTRL_VS_EOS_TRANSDUCED_ACTIVATED_CD4_TCELL_UP</t>
  </si>
  <si>
    <t>9839;3458;5341;3001;6351;10875;84868;1240;30009;3002;3684;2213;3003;7462;22806</t>
  </si>
  <si>
    <t>ZEB2;IFNG;PLEK;GZMA;CCL4;FGL2;HAVCR2;CMKLR1;TBX21;GZMB;ITGAM;FCGR2B;GZMK;LAT2;IKZF3</t>
  </si>
  <si>
    <t>http://www.broadinstitute.org/gsea/msigdb/cards/GSE40274_CTRL_VS_EOS_TRANSDUCED_ACTIVATED_CD4_TCELL_UP.html</t>
  </si>
  <si>
    <t>4242;3575;1236;10225;255231;8530;8320;924;596;54;6402;4050;7185;54861;51466;27240</t>
  </si>
  <si>
    <t>MFNG;IL7R;CCR7;CD96;MCOLN2;CST7;EOMES;CD7;BCL2;ACP5;SELL;LTB;TRAF1;SNRK;EVL;SIT1</t>
  </si>
  <si>
    <t>http://www.broadinstitute.org/gsea/msigdb/cards/GOLDRATH_EFF_VS_MEMORY_CD8_TCELL_DN.html</t>
  </si>
  <si>
    <t>9535;3458;917;6688;1234;51744;27128;8832;7439;56253;2213;4973;8809;64805;57823;22806</t>
  </si>
  <si>
    <t>GMFG;IFNG;CD3G;SPI1;CCR5;CD244;CYTH4;CD84;BEST1;CRTAM;FCGR2B;OLR1;IL18R1;P2RY12;SLAMF7;IKZF3</t>
  </si>
  <si>
    <t>http://www.broadinstitute.org/gsea/msigdb/cards/GSE10239_NAIVE_VS_MEMORY_CD8_TCELL_DN.html</t>
  </si>
  <si>
    <t>GSE10239_KLRG1INT_VS_KLRG1HIGH_EFF_CD8_TCELL_DN</t>
  </si>
  <si>
    <t>9450;1436;5341;3055;9459;58475;11314;8832;50856;23228;10154;4688;241;8905;79895;64919</t>
  </si>
  <si>
    <t>LY86;CSF1R;PLEK;HCK;ARHGEF6;MS4A7;CD300A;CD84;CLEC4A;PLCL2;PLXNC1;NCF2;ALOX5AP;AP1S2;ATP8B4;BCL11B</t>
  </si>
  <si>
    <t>http://www.broadinstitute.org/gsea/msigdb/cards/GSE10239_KLRG1INT_VS_KLRG1HIGH_EFF_CD8_TCELL_DN.html</t>
  </si>
  <si>
    <t>GSE11057_CD4_CENT_MEM_VS_PBMC_UP</t>
  </si>
  <si>
    <t>3932;914;923;53347;3702;6504;399;11184;23048;4063;8832;4094;921;89846;145864;29126</t>
  </si>
  <si>
    <t>LCK;CD2;CD6;UBASH3A;ITK;SLAMF1;RHOH;MAP4K1;FNBP1;LY9;CD84;MAF;CD5;FGD3;HAPLN3;CD274</t>
  </si>
  <si>
    <t>http://www.broadinstitute.org/gsea/msigdb/cards/GSE11057_CD4_CENT_MEM_VS_PBMC_UP.html</t>
  </si>
  <si>
    <t>9535;6688;2124;2322;55843;117289;126364;81704;146722;1794;53829;1043;6891;4033;85464;115727</t>
  </si>
  <si>
    <t>GMFG;SPI1;EVI2B;FLT3;ARHGAP15;TAGAP;LRRC25;DOCK8;CD300LF;DOCK2;P2RY13;CD52;TAP2;LRMP;SSH2;RASGRP4</t>
  </si>
  <si>
    <t>http://www.broadinstitute.org/gsea/msigdb/cards/GSE11864_UNTREATED_VS_CSF1_IN_MAC_UP.html</t>
  </si>
  <si>
    <t>GSE11864_CSF1_IFNG_VS_CSF1_IFNG_PAM3CYS_IN_MAC_UP</t>
  </si>
  <si>
    <t>4542;9051;7805;55843;81704;170575;246329;23228;4094;1230;9815;155038;115727;84329;51063;64098</t>
  </si>
  <si>
    <t>MYO1F;PSTPIP1;LAPTM5;ARHGAP15;DOCK8;GIMAP1;STAC3;PLCL2;MAF;CCR1;GIT2;GIMAP8;RASGRP4;HVCN1;CALHM2;PARVG</t>
  </si>
  <si>
    <t>http://www.broadinstitute.org/gsea/msigdb/cards/GSE11864_CSF1_IFNG_VS_CSF1_IFNG_PAM3CYS_IN_MAC_UP.html</t>
  </si>
  <si>
    <t>GSE13411_NAIVE_VS_SWITCHED_MEMORY_BCELL_DN</t>
  </si>
  <si>
    <t>259197;1318;5579;6036;6352;1439;719;79930;1794;9034;6793;3956;5724;55704;10184;55803</t>
  </si>
  <si>
    <t>NCR3;SLC31A2;PRKCB;RNASE2;CCL5;CSF2RB;C3AR1;DOK3;DOCK2;CCRL2;STK10;LGALS1;PTAFR;CCDC88A;LHFPL2;ADAP2</t>
  </si>
  <si>
    <t>http://www.broadinstitute.org/gsea/msigdb/cards/GSE13411_NAIVE_VS_SWITCHED_MEMORY_BCELL_DN.html</t>
  </si>
  <si>
    <t>GSE13411_SWITCHED_MEMORY_BCELL_VS_PLASMA_CELL_UP</t>
  </si>
  <si>
    <t>972;1536;3932;11151;391;695;399;3635;9056;27299;240;241;8905;9815;7462;80183</t>
  </si>
  <si>
    <t>CD74;CYBB;LCK;CORO1A;RHOG;BTK;RHOH;INPP5D;SLC7A7;ADAMDEC1;ALOX5;ALOX5AP;AP1S2;GIT2;LAT2;RUBCNL</t>
  </si>
  <si>
    <t>http://www.broadinstitute.org/gsea/msigdb/cards/GSE13411_SWITCHED_MEMORY_BCELL_VS_PLASMA_CELL_UP.html</t>
  </si>
  <si>
    <t>GSE14000_UNSTIM_VS_16H_LPS_DC_DN</t>
  </si>
  <si>
    <t>1318;942;3394;399;6776;3718;3604;7185;10148;27314;116071;51762;81553;83937;57823;29126</t>
  </si>
  <si>
    <t>SLC31A2;CD86;IRF8;RHOH;STAT5A;JAK3;TNFRSF9;TRAF1;EBI3;RAB30;BATF2;RAB8B;FAM49A;RASSF4;SLAMF7;CD274</t>
  </si>
  <si>
    <t>http://www.broadinstitute.org/gsea/msigdb/cards/GSE14000_UNSTIM_VS_16H_LPS_DC_DN.html</t>
  </si>
  <si>
    <t>10663;3001;2207;255231;387357;256380;139716;64333;57105;23228;4094;6793;9938;3123;64747;54861</t>
  </si>
  <si>
    <t>CXCR6;GZMA;FCER1G;MCOLN2;THEMIS;SCML4;GAB3;ARHGAP9;CYSLTR2;PLCL2;MAF;STK10;ARHGAP25;HLA-DRB1;MFSD1;SNRK</t>
  </si>
  <si>
    <t>GSE14350_IL2RB_KO_VS_WT_TREG_DN</t>
  </si>
  <si>
    <t>4542;9214;5341;51296;27033;2162;3112;4688;1235;3604;2529;7185;5133;4818;50515;55013</t>
  </si>
  <si>
    <t>MYO1F;FCMR;PLEK;SLC15A3;ZBTB32;F13A1;HLA-DOB;NCF2;CCR6;TNFRSF9;FUT7;TRAF1;PDCD1;NKG7;CHST11;MCUB</t>
  </si>
  <si>
    <t>http://www.broadinstitute.org/gsea/msigdb/cards/GSE14350_IL2RB_KO_VS_WT_TREG_DN.html</t>
  </si>
  <si>
    <t>GSE14350_IL2RB_KO_VS_WT_TEFF_UP</t>
  </si>
  <si>
    <t>340152;920;972;1236;944;10225;4689;151888;255231;84636;10154;3111;1235;3123;85464;84329</t>
  </si>
  <si>
    <t>ZC3H12D;CD4;CD74;CCR7;TNFSF8;CD96;NCF4;BTLA;MCOLN2;GPR174;PLXNC1;HLA-DOA;CCR6;HLA-DRB1;SSH2;HVCN1</t>
  </si>
  <si>
    <t>http://www.broadinstitute.org/gsea/msigdb/cards/GSE14350_IL2RB_KO_VS_WT_TEFF_UP.html</t>
  </si>
  <si>
    <t>GSE1448_ANTI_VALPHA2_VS_VBETA5_DP_THYMOCYTE_DN</t>
  </si>
  <si>
    <t>963;7133;2322;6890;3587;4064;116986;10019;3002;596;3936;5816;3274;3108;2829;91010</t>
  </si>
  <si>
    <t>CD53;TNFRSF1B;FLT3;TAP1;IL10RA;CD180;AGAP2;SH2B3;GZMB;BCL2;LCP1;PVALB;HRH2;HLA-DMA;XCR1;FMNL3</t>
  </si>
  <si>
    <t>http://www.broadinstitute.org/gsea/msigdb/cards/GSE1448_ANTI_VALPHA2_VS_VBETA5_DP_THYMOCYTE_DN.html</t>
  </si>
  <si>
    <t>GSE1460_INTRATHYMIC_T_PROGENITOR_VS_DP_THYMOCYTE_DN</t>
  </si>
  <si>
    <t>9214;8676;925;2123;3937;6504;51744;50615;4063;80342;56253;1043;140885;50943;22900;27240</t>
  </si>
  <si>
    <t>FCMR;STX11;CD8A;EVI2A;LCP2;SLAMF1;CD244;IL21R;LY9;TRAF3IP3;CRTAM;CD52;SIRPA;FOXP3;CARD8;SIT1</t>
  </si>
  <si>
    <t>http://www.broadinstitute.org/gsea/msigdb/cards/GSE1460_INTRATHYMIC_T_PROGENITOR_VS_DP_THYMOCYTE_DN.html</t>
  </si>
  <si>
    <t>GSE1460_INTRATHYMIC_T_PROGENITOR_VS_NAIVE_CD4_TCELL_ADULT_BLOOD_DN</t>
  </si>
  <si>
    <t>9595;80833;963;919;2123;2124;3937;6504;8514;51296;4063;55423;23228;9806;4327;54861</t>
  </si>
  <si>
    <t>CYTIP;APOL3;CD53;CD247;EVI2A;EVI2B;LCP2;SLAMF1;KCNAB2;SLC15A3;LY9;SIRPG;PLCL2;SPOCK2;MMP19;SNRK</t>
  </si>
  <si>
    <t>http://www.broadinstitute.org/gsea/msigdb/cards/GSE1460_INTRATHYMIC_T_PROGENITOR_VS_NAIVE_CD4_TCELL_ADULT_BLOOD_DN.html</t>
  </si>
  <si>
    <t>925;2123;6890;695;7805;3603;11184;51393;921;926;3108;6891;100506736;10077;64747;54861</t>
  </si>
  <si>
    <t>CD8A;EVI2A;TAP1;BTK;LAPTM5;IL16;MAP4K1;TRPV2;CD5;CD8B;HLA-DMA;TAP2;SLFN12L;TSPAN32;MFSD1;SNRK</t>
  </si>
  <si>
    <t>http://www.broadinstitute.org/gsea/msigdb/cards/GSE15930_STIM_VS_STIM_AND_IL12_48H_CD8_T_CELL_UP.html</t>
  </si>
  <si>
    <t>GSE15930_STIM_VS_STIM_AND_IL12_48H_CD8_T_CELL_DN</t>
  </si>
  <si>
    <t>9595;3458;5551;3560;3575;1234;8477;55303;19;2811;3002;729230;6776;356;54331;8809</t>
  </si>
  <si>
    <t>CYTIP;IFNG;PRF1;IL2RB;IL7R;CCR5;GPR65;GIMAP4;ABCA1;GP1BA;GZMB;CCR2;STAT5A;FASLG;GNG2;IL18R1</t>
  </si>
  <si>
    <t>http://www.broadinstitute.org/gsea/msigdb/cards/GSE15930_STIM_VS_STIM_AND_IL12_48H_CD8_T_CELL_DN.html</t>
  </si>
  <si>
    <t>GSE17580_TREG_VS_TEFF_DN</t>
  </si>
  <si>
    <t>10663;9402;2123;5294;3903;256380;139716;84174;54;3290;356;55911;10235;10462;84329;27240</t>
  </si>
  <si>
    <t>CXCR6;GRAP2;EVI2A;PIK3CG;LAIR1;SCML4;GAB3;SLA2;ACP5;HSD11B1;FASLG;APOBR;RASGRP2;CLEC10A;HVCN1;SIT1</t>
  </si>
  <si>
    <t>http://www.broadinstitute.org/gsea/msigdb/cards/GSE17580_TREG_VS_TEFF_DN.html</t>
  </si>
  <si>
    <t>GSE17721_CTRL_VS_GARDIQUIMOD_8H_BMDC_DN</t>
  </si>
  <si>
    <t>10261;929;6352;5294;10875;115361;64092;3717;5452;3162;2213;4818;118788;80709;80821;55803</t>
  </si>
  <si>
    <t>IGSF6;CD14;CCL5;PIK3CG;FGL2;GBP4;SAMSN1;JAK2;POU2F2;HMOX1;FCGR2B;NKG7;PIK3AP1;AKNA;DDHD1;ADAP2</t>
  </si>
  <si>
    <t>http://www.broadinstitute.org/gsea/msigdb/cards/GSE17721_CTRL_VS_GARDIQUIMOD_8H_BMDC_DN.html</t>
  </si>
  <si>
    <t>GSE17721_POLYIC_VS_CPG_8H_BMDC_UP</t>
  </si>
  <si>
    <t>9404;9450;3001;6351;3695;2124;81704;3635;11184;11314;2811;728;57514;116071;29126;11217</t>
  </si>
  <si>
    <t>LPXN;LY86;GZMA;CCL4;ITGB7;EVI2B;DOCK8;INPP5D;MAP4K1;CD300A;GP1BA;C5AR1;ARHGAP31;BATF2;CD274;AKAP2</t>
  </si>
  <si>
    <t>http://www.broadinstitute.org/gsea/msigdb/cards/GSE17721_POLYIC_VS_CPG_8H_BMDC_UP.html</t>
  </si>
  <si>
    <t>GSE17721_PAM3CSK4_VS_GADIQUIMOD_1H_BMDC_UP</t>
  </si>
  <si>
    <t>10261;5341;1236;5734;3394;50852;259307;64092;51284;730249;2357;6556;4973;3604;57823;29126</t>
  </si>
  <si>
    <t>IGSF6;PLEK;CCR7;PTGER4;IRF8;TRAT1;IL4I1;SAMSN1;TLR7;ACOD1;FPR1;SLC11A1;OLR1;TNFRSF9;SLAMF7;CD274</t>
  </si>
  <si>
    <t>http://www.broadinstitute.org/gsea/msigdb/cards/GSE17721_PAM3CSK4_VS_GADIQUIMOD_1H_BMDC_UP.html</t>
  </si>
  <si>
    <t>GSE17721_PAM3CSK4_VS_GADIQUIMOD_12H_BMDC_DN</t>
  </si>
  <si>
    <t>9404;9450;10068;3627;3055;6352;3676;3575;942;219972;92241;58475;8832;3586;59345;29126</t>
  </si>
  <si>
    <t>LPXN;LY86;IL18BP;CXCL10;HCK;CCL5;ITGA4;IL7R;CD86;MPEG1;RCSD1;MS4A7;CD84;IL10;GNB4;CD274</t>
  </si>
  <si>
    <t>http://www.broadinstitute.org/gsea/msigdb/cards/GSE17721_PAM3CSK4_VS_GADIQUIMOD_12H_BMDC_DN.html</t>
  </si>
  <si>
    <t>GSE17721_LPS_VS_GARDIQUIMOD_2H_BMDC_UP</t>
  </si>
  <si>
    <t>3676;971;942;3394;170575;23228;27033;6373;27306;4049;3586;2833;4973;7185;27314;57514</t>
  </si>
  <si>
    <t>ITGA4;CD72;CD86;IRF8;GIMAP1;PLCL2;ZBTB32;CXCL11;HPGDS;LTA;IL10;CXCR3;OLR1;TRAF1;RAB30;ARHGAP31</t>
  </si>
  <si>
    <t>http://www.broadinstitute.org/gsea/msigdb/cards/GSE17721_LPS_VS_GARDIQUIMOD_2H_BMDC_UP.html</t>
  </si>
  <si>
    <t>GSE17721_0.5H_VS_4H_PAM3CSK4_BMDC_UP</t>
  </si>
  <si>
    <t>923;1439;199;93978;114836;81030;2212;6693;526;729230;7454;27163;4208;2529;10457;7462</t>
  </si>
  <si>
    <t>CD6;CSF2RB;AIF1;CLEC6A;SLAMF6;ZBP1;FCGR2A;SPN;ATP6V1B2;CCR2;WAS;NAAA;MEF2C;FUT7;GPNMB;LAT2</t>
  </si>
  <si>
    <t>http://www.broadinstitute.org/gsea/msigdb/cards/GSE17721_0.5H_VS_4H_PAM3CSK4_BMDC_UP.html</t>
  </si>
  <si>
    <t>GSE17974_CTRL_VS_ACT_IL4_AND_ANTI_IL12_2H_CD4_TCELL_UP</t>
  </si>
  <si>
    <t>9051;920;3689;3659;3683;944;9744;286336;92241;10288;6793;1043;7454;79690;51466;25939</t>
  </si>
  <si>
    <t>PSTPIP1;CD4;ITGB2;IRF1;ITGAL;TNFSF8;ACAP1;FAM78A;RCSD1;LILRB2;STK10;CD52;WAS;GAL3ST4;EVL;SAMHD1</t>
  </si>
  <si>
    <t>http://www.broadinstitute.org/gsea/msigdb/cards/GSE17974_CTRL_VS_ACT_IL4_AND_ANTI_IL12_2H_CD4_TCELL_UP.html</t>
  </si>
  <si>
    <t>GSE17974_CTRL_VS_ACT_IL4_AND_ANTI_IL12_72H_CD4_TCELL_UP</t>
  </si>
  <si>
    <t>7305;9214;5341;3575;944;348378;23533;115361;9881;27163;969;10077;64581;64747;64174;25939</t>
  </si>
  <si>
    <t>TYROBP;FCMR;PLEK;IL7R;TNFSF8;SHISAL2A;PIK3R5;GBP4;TRANK1;NAAA;CD69;TSPAN32;CLEC7A;MFSD1;DPEP2;SAMHD1</t>
  </si>
  <si>
    <t>http://www.broadinstitute.org/gsea/msigdb/cards/GSE17974_CTRL_VS_ACT_IL4_AND_ANTI_IL12_72H_CD4_TCELL_UP.html</t>
  </si>
  <si>
    <t>GSE18791_UNSTIM_VS_NEWCATSLE_VIRUS_DC_10H_DN</t>
  </si>
  <si>
    <t>1318;8676;3627;7453;6772;6890;4283;3587;115362;115361;81030;6373;116071;6614;55013;51513</t>
  </si>
  <si>
    <t>SLC31A2;STX11;CXCL10;WARS;STAT1;TAP1;CXCL9;IL10RA;GBP5;GBP4;ZBP1;CXCL11;BATF2;SIGLEC1;MCUB;ETV7</t>
  </si>
  <si>
    <t>http://www.broadinstitute.org/gsea/msigdb/cards/GSE18791_UNSTIM_VS_NEWCATSLE_VIRUS_DC_10H_DN.html</t>
  </si>
  <si>
    <t>GSE18791_UNSTIM_VS_NEWCATSLE_VIRUS_DC_18H_DN</t>
  </si>
  <si>
    <t>22797;3627;3659;6352;2633;6772;115362;81030;596;6891;441168;161176;116071;145864;57823;29126</t>
  </si>
  <si>
    <t>TFEC;CXCL10;IRF1;CCL5;GBP1;STAT1;GBP5;ZBP1;BCL2;TAP2;CALHM6;SYNE3;BATF2;HAPLN3;SLAMF7;CD274</t>
  </si>
  <si>
    <t>http://www.broadinstitute.org/gsea/msigdb/cards/GSE18791_UNSTIM_VS_NEWCATSLE_VIRUS_DC_18H_DN.html</t>
  </si>
  <si>
    <t>GSE20715_0H_VS_6H_OZONE_LUNG_UP</t>
  </si>
  <si>
    <t>4542;9051;7305;9450;2268;2350;6688;2124;199;4354;695;64231;6373;1435;91010;10507</t>
  </si>
  <si>
    <t>MYO1F;PSTPIP1;TYROBP;LY86;FGR;FOLR2;SPI1;EVI2B;AIF1;MPP1;BTK;MS4A6A;CXCL11;CSF1;FMNL3;SEMA4D</t>
  </si>
  <si>
    <t>http://www.broadinstitute.org/gsea/msigdb/cards/GSE20715_0H_VS_6H_OZONE_LUNG_UP.html</t>
  </si>
  <si>
    <t>GSE20715_0H_VS_24H_OZONE_TLR4_KO_LUNG_UP</t>
  </si>
  <si>
    <t>54440;10261;915;5579;1436;917;3575;919;6890;5800;64333;3111;729230;3824;64919;55013</t>
  </si>
  <si>
    <t>SASH3;IGSF6;CD3D;PRKCB;CSF1R;CD3G;IL7R;CD247;TAP1;PTPRO;ARHGAP9;HLA-DOA;CCR2;KLRD1;BCL11B;MCUB</t>
  </si>
  <si>
    <t>http://www.broadinstitute.org/gsea/msigdb/cards/GSE20715_0H_VS_24H_OZONE_TLR4_KO_LUNG_UP.html</t>
  </si>
  <si>
    <t>4542;9214;3689;3676;2313;4671;3937;3635;55423;11314;8742;6037;3988;10077;64174;51063</t>
  </si>
  <si>
    <t>MYO1F;FCMR;ITGB2;ITGA4;FLI1;NAIP;LCP2;INPP5D;SIRPG;CD300A;TNFSF12;RNASE3;LIPA;TSPAN32;DPEP2;CALHM2</t>
  </si>
  <si>
    <t>http://www.broadinstitute.org/gsea/msigdb/cards/GSE22886_UNSTIM_VS_STIM_MEMORY_TCELL_UP.html</t>
  </si>
  <si>
    <t>GSE22886_DAY0_VS_DAY1_MONOCYTE_IN_CULTURE_DN</t>
  </si>
  <si>
    <t>9214;6351;3575;7133;1236;9034;27299;3553;1508;4360;1601;7185;7941;10148;4327;57823</t>
  </si>
  <si>
    <t>FCMR;CCL4;IL7R;TNFRSF1B;CCR7;CCRL2;ADAMDEC1;IL1B;CTSB;MRC1;DAB2;TRAF1;PLA2G7;EBI3;MMP19;SLAMF7</t>
  </si>
  <si>
    <t>http://www.broadinstitute.org/gsea/msigdb/cards/GSE22886_DAY0_VS_DAY1_MONOCYTE_IN_CULTURE_DN.html</t>
  </si>
  <si>
    <t>GSE22886_NAIVE_TCELL_VS_NEUTROPHIL_DN</t>
  </si>
  <si>
    <t>4210;10261;4332;53829;80896;51311;50856;7099;366;3553;2212;526;7454;597;79865;80183</t>
  </si>
  <si>
    <t>MEFV;IGSF6;MNDA;P2RY13;NPL;TLR8;CLEC4A;TLR4;AQP9;IL1B;FCGR2A;ATP6V1B2;WAS;BCL2A1;TREML2;RUBCNL</t>
  </si>
  <si>
    <t>http://www.broadinstitute.org/gsea/msigdb/cards/GSE22886_NAIVE_TCELL_VS_NEUTROPHIL_DN.html</t>
  </si>
  <si>
    <t>9214;9450;972;971;3394;3662;3122;3115;3112;3113;3109;1043;969;3123;55013;51466</t>
  </si>
  <si>
    <t>FCMR;LY86;CD74;CD72;IRF8;IRF4;HLA-DRA;HLA-DPB1;HLA-DOB;HLA-DPA1;HLA-DMB;CD52;CD69;HLA-DRB1;MCUB;EVL</t>
  </si>
  <si>
    <t>http://www.broadinstitute.org/gsea/msigdb/cards/GSE22886_NAIVE_BCELL_VS_NEUTROPHIL_UP.html</t>
  </si>
  <si>
    <t>914;916;3001;5551;11262;3587;399;26051;4063;80342;29909;56253;3115;924;969;51466</t>
  </si>
  <si>
    <t>CD2;CD3E;GZMA;PRF1;SP140;IL10RA;RHOH;PPP1R16B;LY9;TRAF3IP3;GPR171;CRTAM;HLA-DPB1;CD7;CD69;EVL</t>
  </si>
  <si>
    <t>http://www.broadinstitute.org/gsea/msigdb/cards/GSE22886_NAIVE_CD8_TCELL_VS_NEUTROPHIL_UP.html</t>
  </si>
  <si>
    <t>GSE26495_PD1HIGH_VS_PD1LOW_CD8_TCELL_DN</t>
  </si>
  <si>
    <t>7305;3687;221188;1240;53346;7099;8742;3162;3684;10578;3824;118788;79895;10077;7462;83937</t>
  </si>
  <si>
    <t>TYROBP;ITGAX;ADGRG5;CMKLR1;TM6SF1;TLR4;TNFSF12;HMOX1;ITGAM;GNLY;KLRD1;PIK3AP1;ATP8B4;TSPAN32;LAT2;RASSF4</t>
  </si>
  <si>
    <t>http://www.broadinstitute.org/gsea/msigdb/cards/GSE26495_PD1HIGH_VS_PD1LOW_CD8_TCELL_DN.html</t>
  </si>
  <si>
    <t>GSE26928_EFF_MEM_VS_CENTR_MEM_CD4_TCELL_UP</t>
  </si>
  <si>
    <t>4542;6352;1493;27033;27306;4094;8320;3122;3002;3684;3737;3113;3586;4360;7941;51466</t>
  </si>
  <si>
    <t>MYO1F;CCL5;CTLA4;ZBTB32;HPGDS;MAF;EOMES;HLA-DRA;GZMB;ITGAM;KCNA2;HLA-DPA1;IL10;MRC1;PLA2G7;EVL</t>
  </si>
  <si>
    <t>http://www.broadinstitute.org/gsea/msigdb/cards/GSE26928_EFF_MEM_VS_CENTR_MEM_CD4_TCELL_UP.html</t>
  </si>
  <si>
    <t>4242;8676;1436;5341;3937;53346;54209;11326;240;3109;3824;84329;84106;10077;64098;27240</t>
  </si>
  <si>
    <t>MFNG;STX11;CSF1R;PLEK;LCP2;TM6SF1;TREM2;VSIG4;ALOX5;HLA-DMB;KLRD1;HVCN1;PRAM1;TSPAN32;PARVG;SIT1</t>
  </si>
  <si>
    <t>http://www.broadinstitute.org/gsea/msigdb/cards/GSE2706_2H_VS_8H_LPS_STIM_DC_UP.html</t>
  </si>
  <si>
    <t>GSE29618_MONOCYTE_VS_PDC_DN</t>
  </si>
  <si>
    <t>3561;2322;3394;3662;399;11184;26051;29909;2113;241;1601;4050;8809;55704;80183;27240</t>
  </si>
  <si>
    <t>IL2RG;FLT3;IRF8;IRF4;RHOH;MAP4K1;PPP1R16B;GPR171;ETS1;ALOX5AP;DAB2;LTB;IL18R1;CCDC88A;RUBCNL;SIT1</t>
  </si>
  <si>
    <t>http://www.broadinstitute.org/gsea/msigdb/cards/GSE29618_MONOCYTE_VS_PDC_DN.html</t>
  </si>
  <si>
    <t>GSE29618_PDC_VS_MDC_UP</t>
  </si>
  <si>
    <t>1439;3394;3662;3903;11006;1240;51284;29909;1508;2113;241;1601;4050;10184;80183;27240</t>
  </si>
  <si>
    <t>CSF2RB;IRF8;IRF4;LAIR1;LILRB4;CMKLR1;TLR7;GPR171;CTSB;ETS1;ALOX5AP;DAB2;LTB;LHFPL2;RUBCNL;SIT1</t>
  </si>
  <si>
    <t>http://www.broadinstitute.org/gsea/msigdb/cards/GSE29618_PDC_VS_MDC_UP.html</t>
  </si>
  <si>
    <t>4542;9404;9450;945;2124;5294;4689;3635;2162;341;4066;1601;9815;10462;11027;54504</t>
  </si>
  <si>
    <t>MYO1F;LPXN;LY86;CD33;EVI2B;PIK3CG;NCF4;INPP5D;F13A1;APOC1;LYL1;DAB2;GIT2;CLEC10A;LILRA2;CPVL</t>
  </si>
  <si>
    <t>http://www.broadinstitute.org/gsea/msigdb/cards/GSE360_CTRL_VS_M_TUBERCULOSIS_DC_UP.html</t>
  </si>
  <si>
    <t>GSE37416_12H_VS_24H_F_TULARENSIS_LVS_NEUTROPHIL_UP</t>
  </si>
  <si>
    <t>8676;54440;2268;6688;963;128346;53346;58484;23228;10019;10673;6402;85464;115727;132160;30817</t>
  </si>
  <si>
    <t>STX11;SASH3;FGR;SPI1;CD53;C1orf162;TM6SF1;NLRC4;PLCL2;SH2B3;TNFSF13B;SELL;SSH2;RASGRP4;PPM1M;ADGRE2</t>
  </si>
  <si>
    <t>http://www.broadinstitute.org/gsea/msigdb/cards/GSE37416_12H_VS_24H_F_TULARENSIS_LVS_NEUTROPHIL_UP.html</t>
  </si>
  <si>
    <t>GSE3982_EOSINOPHIL_VS_DC_UP</t>
  </si>
  <si>
    <t>3055;6036;3659;5551;5294;9459;399;719;26051;51744;2357;3274;9815;79690;81553;30817</t>
  </si>
  <si>
    <t>HCK;RNASE2;IRF1;PRF1;PIK3CG;ARHGEF6;RHOH;C3AR1;PPP1R16B;CD244;FPR1;HRH2;GIT2;GAL3ST4;FAM49A;ADGRE2</t>
  </si>
  <si>
    <t>http://www.broadinstitute.org/gsea/msigdb/cards/GSE3982_EOSINOPHIL_VS_DC_UP.html</t>
  </si>
  <si>
    <t>GSE3982_EOSINOPHIL_VS_DC_DN</t>
  </si>
  <si>
    <t>920;474344;51296;6039;64170;27036;8564;4094;3117;3956;55704;25890;10462;55803;56606;25939</t>
  </si>
  <si>
    <t>CD4;GIMAP6;SLC15A3;RNASE6;CARD9;SIGLEC7;KMO;MAF;HLA-DQA1;LGALS1;CCDC88A;ABI3BP;CLEC10A;ADAP2;SLC2A9;SAMHD1</t>
  </si>
  <si>
    <t>http://www.broadinstitute.org/gsea/msigdb/cards/GSE3982_EOSINOPHIL_VS_DC_DN.html</t>
  </si>
  <si>
    <t>GSE3982_EOSINOPHIL_VS_BCELL_UP</t>
  </si>
  <si>
    <t>9046;3055;7133;313;3101;4354;221472;51744;29851;7099;2357;5724;3604;6503;206358;23166</t>
  </si>
  <si>
    <t>DOK2;HCK;TNFRSF1B;AOAH;HK3;MPP1;FGD2;CD244;ICOS;TLR4;FPR1;PTAFR;TNFRSF9;SLA;SLC36A1;STAB1</t>
  </si>
  <si>
    <t>http://www.broadinstitute.org/gsea/msigdb/cards/GSE3982_EOSINOPHIL_VS_BCELL_UP.html</t>
  </si>
  <si>
    <t>GSE3982_MAST_CELL_VS_MAC_DN</t>
  </si>
  <si>
    <t>6772;1234;3587;91752;55016;6039;55340;54209;29992;8564;3684;1601;51762;64747;55803;55281</t>
  </si>
  <si>
    <t>STAT1;CCR5;IL10RA;ZNF804A;MARCH1;RNASE6;GIMAP5;TREM2;PILRA;KMO;ITGAM;DAB2;RAB8B;MFSD1;ADAP2;TMEM140</t>
  </si>
  <si>
    <t>http://www.broadinstitute.org/gsea/msigdb/cards/GSE3982_MAST_CELL_VS_MAC_DN.html</t>
  </si>
  <si>
    <t>GSE3982_MAST_CELL_VS_NKCELL_DN</t>
  </si>
  <si>
    <t>9046;4068;971;3101;3394;3702;3820;474344;10288;116986;11314;7185;4818;9806;51466;27240</t>
  </si>
  <si>
    <t>DOK2;SH2D1A;CD72;HK3;IRF8;ITK;KLRB1;GIMAP6;LILRB2;AGAP2;CD300A;TRAF1;NKG7;SPOCK2;EVL;SIT1</t>
  </si>
  <si>
    <t>http://www.broadinstitute.org/gsea/msigdb/cards/GSE3982_MAST_CELL_VS_NKCELL_DN.html</t>
  </si>
  <si>
    <t>GSE3982_DC_VS_MAC_DN</t>
  </si>
  <si>
    <t>712;5341;1493;5294;719;9332;2210;51311;51284;11326;2219;27306;1435;526;6518;9935</t>
  </si>
  <si>
    <t>C1QA;PLEK;CTLA4;PIK3CG;C3AR1;CD163;FCGR1B;TLR8;TLR7;VSIG4;FCN1;HPGDS;CSF1;ATP6V1B2;SLC2A5;MAFB</t>
  </si>
  <si>
    <t>http://www.broadinstitute.org/gsea/msigdb/cards/GSE3982_DC_VS_MAC_DN.html</t>
  </si>
  <si>
    <t>10663;916;3659;11262;9459;55843;474344;26051;2672;55423;596;2999;729230;11009;9806;55013</t>
  </si>
  <si>
    <t>CXCR6;CD3E;IRF1;SP140;ARHGEF6;ARHGAP15;GIMAP6;PPP1R16B;GFI1;SIRPG;BCL2;GZMH;CCR2;IL24;SPOCK2;MCUB</t>
  </si>
  <si>
    <t>http://www.broadinstitute.org/gsea/msigdb/cards/GSE3982_DC_VS_EFF_MEMORY_CD4_TCELL_DN.html</t>
  </si>
  <si>
    <t>GSE3982_MAC_VS_EFF_MEMORY_CD4_TCELL_UP</t>
  </si>
  <si>
    <t>3687;91752;53829;53346;50856;51393;8564;10154;1435;6518;11027;80183;55803;55281;55691;8605</t>
  </si>
  <si>
    <t>ITGAX;ZNF804A;P2RY13;TM6SF1;CLEC4A;TRPV2;KMO;PLXNC1;CSF1;SLC2A5;LILRA2;RUBCNL;ADAP2;TMEM140;FRMD4A;PLA2G4C</t>
  </si>
  <si>
    <t>http://www.broadinstitute.org/gsea/msigdb/cards/GSE3982_MAC_VS_EFF_MEMORY_CD4_TCELL_UP.html</t>
  </si>
  <si>
    <t>GSE3982_MAC_VS_CENT_MEMORY_CD4_TCELL_UP</t>
  </si>
  <si>
    <t>929;3687;719;3903;53346;64231;51393;1102;3115;1435;1043;2213;140885;54504;55803;4644</t>
  </si>
  <si>
    <t>CD14;ITGAX;C3AR1;LAIR1;TM6SF1;MS4A6A;TRPV2;RCBTB2;HLA-DPB1;CSF1;CD52;FCGR2B;SIRPA;CPVL;ADAP2;MYO5A</t>
  </si>
  <si>
    <t>http://www.broadinstitute.org/gsea/msigdb/cards/GSE3982_MAC_VS_CENT_MEMORY_CD4_TCELL_UP.html</t>
  </si>
  <si>
    <t>GSE3982_BCELL_VS_NKCELL_DN</t>
  </si>
  <si>
    <t>7305;9046;915;3932;3683;919;4354;3702;3820;114548;728;4481;2358;2829;4240;25939</t>
  </si>
  <si>
    <t>TYROBP;DOK2;CD3D;LCK;ITGAL;CD247;MPP1;ITK;KLRB1;NLRP3;C5AR1;MSR1;FPR2;XCR1;MFGE8;SAMHD1</t>
  </si>
  <si>
    <t>http://www.broadinstitute.org/gsea/msigdb/cards/GSE3982_BCELL_VS_NKCELL_DN.html</t>
  </si>
  <si>
    <t>GSE3982_BCELL_VS_TH1_UP</t>
  </si>
  <si>
    <t>3055;1378;91752;51296;51284;11314;10154;9103;4066;1043;4208;9815;206358;64747;80183;29125</t>
  </si>
  <si>
    <t>HCK;CR1;ZNF804A;SLC15A3;TLR7;CD300A;PLXNC1;FCGR2A;LYL1;CD52;MEF2C;GIT2;SLC36A1;MFSD1;RUBCNL;C11orf21</t>
  </si>
  <si>
    <t>http://www.broadinstitute.org/gsea/msigdb/cards/GSE3982_BCELL_VS_TH1_UP.html</t>
  </si>
  <si>
    <t>GSE3982_BASOPHIL_VS_EFF_MEMORY_CD4_TCELL_UP</t>
  </si>
  <si>
    <t>945;2322;4689;53829;53346;11314;10019;1435;241;526;9815;55704;25780;7462;50515;55281</t>
  </si>
  <si>
    <t>CD33;FLT3;NCF4;P2RY13;TM6SF1;CD300A;SH2B3;CSF1;ALOX5AP;ATP6V1B2;GIT2;CCDC88A;RASGRP3;LAT2;CHST11;TMEM140</t>
  </si>
  <si>
    <t>http://www.broadinstitute.org/gsea/msigdb/cards/GSE3982_BASOPHIL_VS_EFF_MEMORY_CD4_TCELL_UP.html</t>
  </si>
  <si>
    <t>GSE39820_CTRL_VS_TGFBETA1_IL6_CD4_TCELL_UP</t>
  </si>
  <si>
    <t>5734;10225;3702;9459;139818;92241;80380;84636;64092;2857;10154;6402;375387;91526;79895;51466</t>
  </si>
  <si>
    <t>PTGER4;CD96;ITK;ARHGEF6;DOCK11;RCSD1;PDCD1LG2;GPR174;SAMSN1;GPR34;PLXNC1;SELL;NRROS;ANKRD44;ATP8B4;EVL</t>
  </si>
  <si>
    <t>http://www.broadinstitute.org/gsea/msigdb/cards/GSE39820_CTRL_VS_TGFBETA1_IL6_CD4_TCELL_UP.html</t>
  </si>
  <si>
    <t>4068;914;286336;170371;83706;170575;51225;10870;3111;54;6753;55911;10148;161145;84329;5027</t>
  </si>
  <si>
    <t>SH2D1A;CD2;FAM78A;TMEM273;FERMT3;GIMAP1;ABI3;HCST;HLA-DOA;ACP5;SSTR3;APOBR;EBI3;TMEM229B;HVCN1;P2RX7</t>
  </si>
  <si>
    <t>http://www.broadinstitute.org/gsea/msigdb/cards/GSE7460_TREG_VS_TCONV_ACT_WITH_TGFB_DN.html</t>
  </si>
  <si>
    <t>GSE7852_TREG_VS_TCONV_UP</t>
  </si>
  <si>
    <t>3559;1493;7133;941;3394;4689;80380;27128;3002;2213;1235;3604;10148;5133;51063;55013</t>
  </si>
  <si>
    <t>IL2RA;CTLA4;TNFRSF1B;CD80;IRF8;NCF4;PDCD1LG2;CYTH4;GZMB;FCGR2B;CCR6;TNFRSF9;EBI3;PDCD1;CALHM2;MCUB</t>
  </si>
  <si>
    <t>http://www.broadinstitute.org/gsea/msigdb/cards/GSE7852_TREG_VS_TCONV_UP.html</t>
  </si>
  <si>
    <t>GSE9006_1MONTH_VS_4MONTH_POST_TYPE_1_DIABETES_DX_PBMC_UP</t>
  </si>
  <si>
    <t>3659;3101;1794;114548;80380;81030;366;10154;4094;240;10437;2357;943;597;84034;1522</t>
  </si>
  <si>
    <t>IRF1;HK3;DOCK2;NLRP3;PDCD1LG2;ZBP1;AQP9;PLXNC1;MAF;ALOX5;IFI30;FPR1;TNFRSF8;BCL2A1;EMILIN2;CTSZ</t>
  </si>
  <si>
    <t>http://www.broadinstitute.org/gsea/msigdb/cards/GSE9006_1MONTH_VS_4MONTH_POST_TYPE_1_DIABETES_DX_PBMC_UP.html</t>
  </si>
  <si>
    <t>GSE9650_EXHAUSTED_VS_MEMORY_CD8_TCELL_UP</t>
  </si>
  <si>
    <t>9450;2322;695;51744;51284;9034;8320;1435;3002;3586;3108;2829;356;1235;9806;7462</t>
  </si>
  <si>
    <t>LY86;FLT3;BTK;CD244;TLR7;CCRL2;EOMES;CSF1;GZMB;IL10;HLA-DMA;XCR1;FASLG;CCR6;SPOCK2;LAT2</t>
  </si>
  <si>
    <t>http://www.broadinstitute.org/gsea/msigdb/cards/GSE9650_EXHAUSTED_VS_MEMORY_CD8_TCELL_UP.html</t>
  </si>
  <si>
    <t>GSE9988_LOW_LPS_VS_CTRL_TREATED_MONOCYTE_DN</t>
  </si>
  <si>
    <t>1318;9046;54440;1436;286336;79626;257106;80301;58484;10437;729230;25900;55911;9815;155038;51063</t>
  </si>
  <si>
    <t>SLC31A2;DOK2;SASH3;CSF1R;FAM78A;TNFAIP8L2;ARHGAP30;PLEKHO2;NLRC4;IFI30;CCR2;IFFO1;APOBR;GIT2;GIMAP8;CALHM2</t>
  </si>
  <si>
    <t>http://www.broadinstitute.org/gsea/msigdb/cards/GSE9988_LOW_LPS_VS_CTRL_TREATED_MONOCYTE_DN.html</t>
  </si>
  <si>
    <t>GSE557_WT_VS_CIITA_KO_DC_DN</t>
  </si>
  <si>
    <t>8676;5341;3560;3695;2014;80301;50615;30009;23228;19;5552;10672;91526;115727;84230;84329</t>
  </si>
  <si>
    <t>STX11;PLEK;IL2RB;ITGB7;EMP3;PLEKHO2;IL21R;TBX21;PLCL2;ABCA1;SRGN;GNA13;ANKRD44;RASGRP4;LRRC8C;HVCN1</t>
  </si>
  <si>
    <t>http://www.broadinstitute.org/gsea/msigdb/cards/GSE557_WT_VS_CIITA_KO_DC_DN.html</t>
  </si>
  <si>
    <t>GSE2770_UNTREATED_VS_TGFB_AND_IL4_TREATED_ACT_CD4_TCELL_2H_DN</t>
  </si>
  <si>
    <t>7456;9535;3932;3055;11151;1234;6504;139716;4064;27163;4033;54518;161145;64805;64747;11217</t>
  </si>
  <si>
    <t>WIPF1;GMFG;LCK;HCK;CORO1A;CCR5;SLAMF1;GAB3;CD180;NAAA;LRMP;APBB1IP;TMEM229B;P2RY12;MFSD1;AKAP2</t>
  </si>
  <si>
    <t>http://www.broadinstitute.org/gsea/msigdb/cards/GSE2770_UNTREATED_VS_TGFB_AND_IL4_TREATED_ACT_CD4_TCELL_2H_DN.html</t>
  </si>
  <si>
    <t>GSE2770_UNTREATED_VS_TGFB_AND_IL4_TREATED_ACT_CD4_TCELL_4H_UP</t>
  </si>
  <si>
    <t>9450;7133;1234;4354;695;10875;4689;170575;114836;51284;8832;54;597;90634;91526;1522</t>
  </si>
  <si>
    <t>LY86;TNFRSF1B;CCR5;MPP1;BTK;FGL2;NCF4;GIMAP1;SLAMF6;TLR7;CD84;ACP5;BCL2A1;N4BP2L1;ANKRD44;CTSZ</t>
  </si>
  <si>
    <t>http://www.broadinstitute.org/gsea/msigdb/cards/GSE2770_UNTREATED_VS_TGFB_AND_IL4_TREATED_ACT_CD4_TCELL_4H_UP.html</t>
  </si>
  <si>
    <t>GSE2770_UNTREATED_VS_IL4_TREATED_ACT_CD4_TCELL_2H_UP</t>
  </si>
  <si>
    <t>10663;714;3627;10225;219972;57105;30009;4094;5452;3956;1435;3936;3902;5133;10507;59345</t>
  </si>
  <si>
    <t>CXCR6;C1QC;CXCL10;CD96;MPEG1;CYSLTR2;TBX21;MAF;POU2F2;LGALS1;CSF1;LCP1;LAG3;PDCD1;SEMA4D;GNB4</t>
  </si>
  <si>
    <t>http://www.broadinstitute.org/gsea/msigdb/cards/GSE2770_UNTREATED_VS_IL4_TREATED_ACT_CD4_TCELL_2H_UP.html</t>
  </si>
  <si>
    <t>GSE2770_TGFB_AND_IL4_ACT_VS_ACT_CD4_TCELL_48H_DN</t>
  </si>
  <si>
    <t>8676;951;2209;3676;3594;7805;10875;8477;11184;53829;11326;54331;10235;147138;84329;29125</t>
  </si>
  <si>
    <t>STX11;CD37;FCGR1A;ITGA4;IL12RB1;LAPTM5;FGL2;GPR65;MAP4K1;P2RY13;VSIG4;GNG2;RASGRP2;TMC8;HVCN1;C11orf21</t>
  </si>
  <si>
    <t>http://www.broadinstitute.org/gsea/msigdb/cards/GSE2770_TGFB_AND_IL4_ACT_VS_ACT_CD4_TCELL_48H_DN.html</t>
  </si>
  <si>
    <t>GSE22601_DOUBLE_NEGATIVE_VS_CD4_SINGLE_POSITIVE_THYMOCYTE_UP</t>
  </si>
  <si>
    <t>9404;3627;6352;3676;1493;6890;55843;170575;2672;10673;6793;1237;4050;597;91010;64780</t>
  </si>
  <si>
    <t>LPXN;CXCL10;CCL5;ITGA4;CTLA4;TAP1;ARHGAP15;GIMAP1;GFI1;TNFSF13B;STK10;CCR8;LTB;BCL2A1;FMNL3;MICAL1</t>
  </si>
  <si>
    <t>http://www.broadinstitute.org/gsea/msigdb/cards/GSE22601_DOUBLE_NEGATIVE_VS_CD4_SINGLE_POSITIVE_THYMOCYTE_UP.html</t>
  </si>
  <si>
    <t>GSE2585_CD80_HIGH_VS_LOW_AIRE_KO_MTEC_UP</t>
  </si>
  <si>
    <t>2533;3683;971;29992;50856;8530;2162;3162;2357;2213;1237;7185;6503;9363;79895;27240</t>
  </si>
  <si>
    <t>FYB1;ITGAL;CD72;PILRA;CLEC4A;CST7;F13A1;HMOX1;FPR1;FCGR2B;CCR8;TRAF1;SLA;RAB33A;ATP8B4;SIT1</t>
  </si>
  <si>
    <t>http://www.broadinstitute.org/gsea/msigdb/cards/GSE2585_CD80_HIGH_VS_LOW_AIRE_KO_MTEC_UP.html</t>
  </si>
  <si>
    <t>GSE2585_CTEC_VS_MTEC_THYMUS_DN</t>
  </si>
  <si>
    <t>2533;8676;929;971;5294;91752;29992;366;8530;3111;5552;3059;2357;2213;5376;23312</t>
  </si>
  <si>
    <t>FYB1;STX11;CD14;CD72;PIK3CG;ZNF804A;PILRA;AQP9;CST7;HLA-DOA;SRGN;HCLS1;FPR1;FCGR2B;PMP22;DMXL2</t>
  </si>
  <si>
    <t>http://www.broadinstitute.org/gsea/msigdb/cards/GSE2585_CTEC_VS_MTEC_THYMUS_DN.html</t>
  </si>
  <si>
    <t>GSE2585_THYMIC_MACROPHAGE_VS_MTEC_DN</t>
  </si>
  <si>
    <t>9051;9595;3458;5579;6351;1236;6504;11314;30009;2999;526;4481;5376;23312;10507;80183</t>
  </si>
  <si>
    <t>PSTPIP1;CYTIP;IFNG;PRKCB;CCL4;CCR7;SLAMF1;CD300A;TBX21;GZMH;ATP6V1B2;MSR1;PMP22;DMXL2;SEMA4D;RUBCNL</t>
  </si>
  <si>
    <t>http://www.broadinstitute.org/gsea/msigdb/cards/GSE2585_THYMIC_MACROPHAGE_VS_MTEC_DN.html</t>
  </si>
  <si>
    <t>GSE3720_UNSTIM_VS_LPS_STIM_VD1_GAMMADELTA_TCELL_UP</t>
  </si>
  <si>
    <t>10663;4242;9535;3676;3695;4245;2313;256380;64231;30009;6793;8320;3002;2113;64780;79895</t>
  </si>
  <si>
    <t>CXCR6;MFNG;GMFG;ITGA4;ITGB7;MGAT1;FLI1;SCML4;MS4A6A;TBX21;STK10;EOMES;GZMB;ETS1;MICAL1;ATP8B4</t>
  </si>
  <si>
    <t>http://www.broadinstitute.org/gsea/msigdb/cards/GSE3720_UNSTIM_VS_LPS_STIM_VD1_GAMMADELTA_TCELL_UP.html</t>
  </si>
  <si>
    <t>GSE3994_WT_VS_PAC1_KO_ACTIVATED_MAST_CELL_DN</t>
  </si>
  <si>
    <t>54440;940;944;6504;91752;124460;59067;57105;921;6402;3718;11009;10462;161145;168537;51466</t>
  </si>
  <si>
    <t>SASH3;CD28;TNFSF8;SLAMF1;ZNF804A;SNX20;IL21;CYSLTR2;CD5;SELL;JAK3;IL24;CLEC10A;TMEM229B;GIMAP7;EVL</t>
  </si>
  <si>
    <t>http://www.broadinstitute.org/gsea/msigdb/cards/GSE3994_WT_VS_PAC1_KO_ACTIVATED_MAST_CELL_DN.html</t>
  </si>
  <si>
    <t>GSE8921_UNSTIM_0H_VS_TLR1_2_STIM_MONOCYTE_6H_DN</t>
  </si>
  <si>
    <t>10068;3689;6772;6890;219972;9332;84166;51284;19;3112;6776;8905;54331;3824;10235;91526</t>
  </si>
  <si>
    <t>IL18BP;ITGB2;STAT1;TAP1;MPEG1;CD163;NLRC5;TLR7;ABCA1;HLA-DOB;STAT5A;AP1S2;GNG2;KLRD1;RASGRP2;ANKRD44</t>
  </si>
  <si>
    <t>http://www.broadinstitute.org/gsea/msigdb/cards/GSE8921_UNSTIM_0H_VS_TLR1_2_STIM_MONOCYTE_6H_DN.html</t>
  </si>
  <si>
    <t>GSE3039_CD4_TCELL_VS_NKT_CELL_UP</t>
  </si>
  <si>
    <t>27334;9595;6352;79626;259307;53829;10019;27033;284417;7185;55704;85464;155038;64098;51466;26279</t>
  </si>
  <si>
    <t>P2RY10;CYTIP;CCL5;TNFAIP8L2;IL4I1;P2RY13;SH2B3;ZBTB32;TMEM150B;TRAF1;CCDC88A;SSH2;GIMAP8;PARVG;EVL;PLA2G2D</t>
  </si>
  <si>
    <t>http://www.broadinstitute.org/gsea/msigdb/cards/GSE3039_CD4_TCELL_VS_NKT_CELL_UP.html</t>
  </si>
  <si>
    <t>GSE3039_NKT_CELL_VS_B2_BCELL_DN</t>
  </si>
  <si>
    <t>9595;6351;3575;941;84166;51296;79974;2848;9034;366;19;56253;3553;1435;1601;84034</t>
  </si>
  <si>
    <t>CYTIP;CCL4;IL7R;CD80;NLRC5;SLC15A3;CPED1;GPR25;CCRL2;AQP9;ABCA1;CRTAM;IL1B;CSF1;DAB2;EMILIN2</t>
  </si>
  <si>
    <t>http://www.broadinstitute.org/gsea/msigdb/cards/GSE3039_NKT_CELL_VS_B2_BCELL_DN.html</t>
  </si>
  <si>
    <t>GSE4748_CTRL_VS_CYANOBACTERIUM_LPSLIKE_STIM_DC_3H_UP</t>
  </si>
  <si>
    <t>10261;5579;10320;257106;6039;64092;80342;2219;341;924;9938;11010;4050;89846;90634;80709</t>
  </si>
  <si>
    <t>IGSF6;PRKCB;IKZF1;ARHGAP30;RNASE6;SAMSN1;TRAF3IP3;FCN1;APOC1;CD7;ARHGAP25;GLIPR1;LTB;FGD3;N4BP2L1;AKNA</t>
  </si>
  <si>
    <t>http://www.broadinstitute.org/gsea/msigdb/cards/GSE4748_CTRL_VS_CYANOBACTERIUM_LPSLIKE_STIM_DC_3H_UP.html</t>
  </si>
  <si>
    <t>GSE5589_UNSTIM_VS_180MIN_LPS_STIM_MACROPHAGE_DN</t>
  </si>
  <si>
    <t>10663;4210;8676;5788;940;55843;115361;9056;3553;1435;3586;356;80709;55619;84106;53831</t>
  </si>
  <si>
    <t>CXCR6;MEFV;STX11;PTPRC;CD28;ARHGAP15;GBP4;SLC7A7;IL1B;CSF1;IL10;FASLG;AKNA;DOCK10;PRAM1;GPR84</t>
  </si>
  <si>
    <t>http://www.broadinstitute.org/gsea/msigdb/cards/GSE5589_UNSTIM_VS_180MIN_LPS_STIM_MACROPHAGE_DN.html</t>
  </si>
  <si>
    <t>GSE5589_IL6_KO_VS_IL10_KO_LPS_STIM_MACROPHAGE_180MIN_DN</t>
  </si>
  <si>
    <t>2214;199;399;219972;23533;3635;4063;51225;11314;3162;2212;54;728;6556;56670;55281</t>
  </si>
  <si>
    <t>FCGR3A;AIF1;RHOH;MPEG1;PIK3R5;INPP5D;LY9;ABI3;CD300A;HMOX1;FCGR2A;ACP5;C5AR1;SLC11A1;SUCNR1;TMEM140</t>
  </si>
  <si>
    <t>http://www.broadinstitute.org/gsea/msigdb/cards/GSE5589_IL6_KO_VS_IL10_KO_LPS_STIM_MACROPHAGE_180MIN_DN.html</t>
  </si>
  <si>
    <t>GSE9509_LPS_VS_LPS_AND_IL10_STIM_IL10_KO_MACROPHAGE_20MIN_DN</t>
  </si>
  <si>
    <t>9450;3689;3695;2207;3587;54899;23533;6039;58475;10019;2162;3122;3956;241;8905;80183</t>
  </si>
  <si>
    <t>LY86;ITGB2;ITGB7;FCER1G;IL10RA;PXK;PIK3R5;RNASE6;MS4A7;SH2B3;F13A1;HLA-DRA;LGALS1;ALOX5AP;AP1S2;RUBCNL</t>
  </si>
  <si>
    <t>http://www.broadinstitute.org/gsea/msigdb/cards/GSE9509_LPS_VS_LPS_AND_IL10_STIM_IL10_KO_MACROPHAGE_20MIN_DN.html</t>
  </si>
  <si>
    <t>7305;1436;3695;51056;2207;5778;9744;128346;84174;64092;8832;3988;140885;120425;84106;25939</t>
  </si>
  <si>
    <t>TYROBP;CSF1R;ITGB7;LAP3;FCER1G;PTPN7;ACAP1;C1orf162;SLA2;SAMSN1;CD84;LIPA;SIRPA;JAML;PRAM1;SAMHD1</t>
  </si>
  <si>
    <t>http://www.broadinstitute.org/gsea/msigdb/cards/GSE9509_10MIN_VS_30MIN_LPS_STIM_IL10_KO_MACROPHAGE_UP.html</t>
  </si>
  <si>
    <t>GSE7831_UNSTIM_VS_INFLUENZA_STIM_PDC_1H_UP</t>
  </si>
  <si>
    <t>7456;916;2268;7535;53347;81704;53346;84174;366;4094;10437;3059;1043;55911;441168;51676</t>
  </si>
  <si>
    <t>WIPF1;CD3E;FGR;ZAP70;UBASH3A;DOCK8;TM6SF1;SLA2;AQP9;MAF;IFI30;HCLS1;CD52;APOBR;CALHM6;ASB2</t>
  </si>
  <si>
    <t>http://www.broadinstitute.org/gsea/msigdb/cards/GSE7831_UNSTIM_VS_INFLUENZA_STIM_PDC_1H_UP.html</t>
  </si>
  <si>
    <t>GSE7831_CPG_VS_INFLUENZA_STIM_PDC_1H_UP</t>
  </si>
  <si>
    <t>3932;962;3575;963;919;10225;1234;54899;83706;255231;170575;19;3002;2113;356;8809</t>
  </si>
  <si>
    <t>LCK;CD48;IL7R;CD53;CD247;CD96;CCR5;PXK;FERMT3;MCOLN2;GIMAP1;ABCA1;GZMB;ETS1;FASLG;IL18R1</t>
  </si>
  <si>
    <t>http://www.broadinstitute.org/gsea/msigdb/cards/GSE7831_CPG_VS_INFLUENZA_STIM_PDC_1H_UP.html</t>
  </si>
  <si>
    <t>GSE10240_CTRL_VS_IL17_STIM_PRIMARY_BRONCHIAL_EPITHELIAL_CELLS_DN</t>
  </si>
  <si>
    <t>27334;6351;3676;971;10320;257106;81704;80301;29851;19;3059;6753;54331;441168;146183;54504</t>
  </si>
  <si>
    <t>P2RY10;CCL4;ITGA4;CD72;IKZF1;ARHGAP30;DOCK8;PLEKHO2;ICOS;ABCA1;HCLS1;SSTR3;GNG2;CALHM6;OTOA;CPVL</t>
  </si>
  <si>
    <t>http://www.broadinstitute.org/gsea/msigdb/cards/GSE10240_CTRL_VS_IL17_STIM_PRIMARY_BRONCHIAL_EPITHELIAL_CELLS_DN.html</t>
  </si>
  <si>
    <t>GSE10240_IL22_VS_IL22_AND_IL17_STIM_PRIMARY_BRONCHIAL_EPITHELIAL_CELLS_UP</t>
  </si>
  <si>
    <t>3559;1536;916;923;53347;6404;139716;84174;27128;926;3003;1235;3123;80709;131450;84230</t>
  </si>
  <si>
    <t>IL2RA;CYBB;CD3E;CD6;UBASH3A;SELPLG;GAB3;SLA2;CYTH4;CD8B;GZMK;CCR6;HLA-DRB1;AKNA;CD200R1;LRRC8C</t>
  </si>
  <si>
    <t>http://www.broadinstitute.org/gsea/msigdb/cards/GSE10240_IL22_VS_IL22_AND_IL17_STIM_PRIMARY_BRONCHIAL_EPITHELIAL_CELLS_UP.html</t>
  </si>
  <si>
    <t>GSE8685_IL2_STARVED_VS_IL2_ACT_IL2_STARVED_CD4_TCELL_UP</t>
  </si>
  <si>
    <t>3559;962;79626;257106;81704;139716;11184;59067;50615;4063;19;3059;6753;6891;3123;54861</t>
  </si>
  <si>
    <t>IL2RA;CD48;TNFAIP8L2;ARHGAP30;DOCK8;GAB3;MAP4K1;IL21;IL21R;LY9;ABCA1;HCLS1;SSTR3;TAP2;HLA-DRB1;SNRK</t>
  </si>
  <si>
    <t>http://www.broadinstitute.org/gsea/msigdb/cards/GSE8685_IL2_STARVED_VS_IL2_ACT_IL2_STARVED_CD4_TCELL_UP.html</t>
  </si>
  <si>
    <t>GSE7568_IL4_TGFB_DEXAMETHASONE_VS_IL4_TGFB_TREATED_MACROPHAGE_DN</t>
  </si>
  <si>
    <t>10663;940;3659;963;2207;4689;374403;55340;58475;27128;5552;3684;85464;84230;64747</t>
  </si>
  <si>
    <t>CXCR6;CD28;IRF1;CD53;FCER1G;NCF4;TBC1D10C;GIMAP5;MS4A7;CYTH4;SRGN;ITGAM;SSH2;LRRC8C;MFSD1</t>
  </si>
  <si>
    <t>http://www.broadinstitute.org/gsea/msigdb/cards/GSE7568_IL4_TGFB_DEXAMETHASONE_VS_IL4_TGFB_TREATED_MACROPHAGE_DN.html</t>
  </si>
  <si>
    <t>GSE7219_WT_VS_NIK_NFKB2_KO_LPS_AND_ANTI_CD40_STIM_DC_DN</t>
  </si>
  <si>
    <t>11309;962;951;3676;4689;3662;23533;58475;80342;29851;54;3108;1043;11010;79630;81553</t>
  </si>
  <si>
    <t>SLCO2B1;CD48;CD37;ITGA4;NCF4;IRF4;PIK3R5;MS4A7;TRAF3IP3;ICOS;ACP5;HLA-DMA;CD52;GLIPR1;C1orf54;FAM49A</t>
  </si>
  <si>
    <t>http://www.broadinstitute.org/gsea/msigdb/cards/GSE7219_WT_VS_NIK_NFKB2_KO_LPS_AND_ANTI_CD40_STIM_DC_DN.html</t>
  </si>
  <si>
    <t>GSE14699_NAIVE_VS_ACT_CD8_TCELL_UP</t>
  </si>
  <si>
    <t>8676;6352;3560;695;3587;4689;80380;8530;1435;3002;3112;2833;27163;55911;10148;131450</t>
  </si>
  <si>
    <t>STX11;CCL5;IL2RB;BTK;IL10RA;NCF4;PDCD1LG2;CST7;CSF1;GZMB;HLA-DOB;CXCR3;NAAA;APOBR;EBI3;CD200R1</t>
  </si>
  <si>
    <t>http://www.broadinstitute.org/gsea/msigdb/cards/GSE14699_NAIVE_VS_ACT_CD8_TCELL_UP.html</t>
  </si>
  <si>
    <t>GSE14699_NAIVE_VS_ACT_CD8_TCELL_DN</t>
  </si>
  <si>
    <t>9402;971;1236;944;3702;286336;50852;151888;221188;117289;256380;19;79865;85464;11217</t>
  </si>
  <si>
    <t>GRAP2;CD72;CCR7;TNFSF8;ITK;FAM78A;TRAT1;BTLA;ADGRG5;TAGAP;SCML4;ABCA1;TREML2;SSH2;AKAP2</t>
  </si>
  <si>
    <t>http://www.broadinstitute.org/gsea/msigdb/cards/GSE14699_NAIVE_VS_ACT_CD8_TCELL_DN.html</t>
  </si>
  <si>
    <t>GSE15330_HSC_VS_LYMPHOID_PRIMED_MULTIPOTENT_PROGENITOR_UP</t>
  </si>
  <si>
    <t>9839;10068;914;963;944;3394;695;8477;81030;64092;30009;1508;3002;4066;2357;168537</t>
  </si>
  <si>
    <t>ZEB2;IL18BP;CD2;CD53;TNFSF8;IRF8;BTK;GPR65;ZBP1;SAMSN1;TBX21;CTSB;GZMB;LYL1;FPR1;GIMAP7</t>
  </si>
  <si>
    <t>http://www.broadinstitute.org/gsea/msigdb/cards/GSE15330_HSC_VS_LYMPHOID_PRIMED_MULTIPOTENT_PROGENITOR_UP.html</t>
  </si>
  <si>
    <t>GSE17812_WT_VS_THPOK_KO_MEMORY_CD8_TCELL_DN</t>
  </si>
  <si>
    <t>3627;5579;3676;3071;3903;114548;51225;27128;27036;9034;8905;54331;25780;10507;51676;57823</t>
  </si>
  <si>
    <t>CXCL10;PRKCB;ITGA4;NCKAP1L;LAIR1;NLRP3;ABI3;CYTH4;SIGLEC7;CCRL2;AP1S2;GNG2;RASGRP3;SEMA4D;ASB2;SLAMF7</t>
  </si>
  <si>
    <t>http://www.broadinstitute.org/gsea/msigdb/cards/GSE17812_WT_VS_THPOK_KO_MEMORY_CD8_TCELL_DN.html</t>
  </si>
  <si>
    <t>GSE17186_NAIVE_VS_CD21LOW_TRANSITIONAL_BCELL_CORD_BLOOD_UP</t>
  </si>
  <si>
    <t>9535;920;3695;3561;2313;10320;9744;399;64926;374403;1794;1240;80342;1102;6402;57514</t>
  </si>
  <si>
    <t>GMFG;CD4;ITGB7;IL2RG;FLI1;IKZF1;ACAP1;RHOH;RASAL3;TBC1D10C;DOCK2;CMKLR1;TRAF3IP3;RCBTB2;SELL;ARHGAP31</t>
  </si>
  <si>
    <t>http://www.broadinstitute.org/gsea/msigdb/cards/GSE17186_NAIVE_VS_CD21LOW_TRANSITIONAL_BCELL_CORD_BLOOD_UP.html</t>
  </si>
  <si>
    <t>951;7535;6504;139716;1794;51225;6793;4049;921;5452;3956;924;79865;100506736;84329;51466</t>
  </si>
  <si>
    <t>CD37;ZAP70;SLAMF1;GAB3;DOCK2;ABI3;STK10;LTA;CD5;POU2F2;LGALS1;CD7;TREML2;SLFN12L;HVCN1;EVL</t>
  </si>
  <si>
    <t>http://www.broadinstitute.org/gsea/msigdb/cards/GSE17186_NAIVE_VS_CD21HIGH_TRANSITIONAL_BCELL_CORD_BLOOD_DN.html</t>
  </si>
  <si>
    <t>9404;1493;944;170575;59067;8832;29851;10154;3956;2833;54331;597;4818;151556;51063;55013</t>
  </si>
  <si>
    <t>LPXN;CTLA4;TNFSF8;GIMAP1;IL21;CD84;ICOS;PLXNC1;LGALS1;CXCR3;GNG2;BCL2A1;NKG7;GPR155;CALHM2;MCUB</t>
  </si>
  <si>
    <t>http://www.broadinstitute.org/gsea/msigdb/cards/GSE18203_CTRL_VS_INTRATUMORAL_CPG_INJ_MC38_TUMOR_DN.html</t>
  </si>
  <si>
    <t>GSE17322_CD103_POS_VS_CD11B_HIGH_LUNG_DC_UP</t>
  </si>
  <si>
    <t>7305;713;1439;221472;6039;56833;54;3113;3988;4050;7941;131450;84230;64780;55619;30835</t>
  </si>
  <si>
    <t>TYROBP;C1QB;CSF2RB;FGD2;RNASE6;SLAMF8;ACP5;HLA-DPA1;LIPA;LTB;PLA2G7;CD200R1;LRRC8C;MICAL1;DOCK10;CD209</t>
  </si>
  <si>
    <t>http://www.broadinstitute.org/gsea/msigdb/cards/GSE17322_CD103_POS_VS_CD11B_HIGH_LUNG_DC_UP.html</t>
  </si>
  <si>
    <t>GSE16450_CTRL_VS_IFNA_12H_STIM_MATURE_NEURON_CELL_LINE_DN</t>
  </si>
  <si>
    <t>9450;3689;929;2214;6890;4283;51296;64333;64092;56833;50856;29851;8530;348;7941;64581</t>
  </si>
  <si>
    <t>LY86;ITGB2;CD14;FCGR3A;TAP1;CXCL9;SLC15A3;ARHGAP9;SAMSN1;SLAMF8;CLEC4A;ICOS;CST7;APOE;PLA2G7;CLEC7A</t>
  </si>
  <si>
    <t>http://www.broadinstitute.org/gsea/msigdb/cards/GSE16450_CTRL_VS_IFNA_12H_STIM_MATURE_NEURON_CELL_LINE_DN.html</t>
  </si>
  <si>
    <t>GSE16450_CTRL_VS_IFNA_6H_STIM_IMMATURE_NEURON_CELL_LINE_UP</t>
  </si>
  <si>
    <t>8676;5341;2214;10225;6504;9459;10666;151888;55589;29909;3717;56253;10672;50943;53831;23166</t>
  </si>
  <si>
    <t>STX11;PLEK;FCGR3A;CD96;SLAMF1;ARHGEF6;CD226;BTLA;BMP2K;GPR171;JAK2;CRTAM;GNA13;FOXP3;GPR84;STAB1</t>
  </si>
  <si>
    <t>http://www.broadinstitute.org/gsea/msigdb/cards/GSE16450_CTRL_VS_IFNA_6H_STIM_IMMATURE_NEURON_CELL_LINE_UP.html</t>
  </si>
  <si>
    <t>GSE22229_RENAL_TRANSPLANT_IMMUNOSUPP_THERAPY_VS_HEALTHY_PBMC_DN</t>
  </si>
  <si>
    <t>22797;4210;10261;1536;2214;940;313;199;5800;1508;2212;4973;27163;206358;64581;55013</t>
  </si>
  <si>
    <t>TFEC;MEFV;IGSF6;CYBB;FCGR3A;CD28;AOAH;AIF1;PTPRO;CTSB;FCGR2A;OLR1;NAAA;SLC36A1;CLEC7A;MCUB</t>
  </si>
  <si>
    <t>http://www.broadinstitute.org/gsea/msigdb/cards/GSE22229_RENAL_TRANSPLANT_IMMUNOSUPP_THERAPY_VS_HEALTHY_PBMC_DN.html</t>
  </si>
  <si>
    <t>GSE21380_NON_TFH_VS_TFH_CD4_TCELL_DN</t>
  </si>
  <si>
    <t>3689;5341;2124;3071;3937;10320;55843;3903;117289;81704;6039;80231;64407;8832;51393;23312</t>
  </si>
  <si>
    <t>ITGB2;PLEK;EVI2B;NCKAP1L;LCP2;IKZF1;ARHGAP15;LAIR1;TAGAP;DOCK8;RNASE6;CXorf21;RGS18;CD84;TRPV2;DMXL2</t>
  </si>
  <si>
    <t>http://www.broadinstitute.org/gsea/msigdb/cards/GSE21380_NON_TFH_VS_TFH_CD4_TCELL_DN.html</t>
  </si>
  <si>
    <t>GSE21546_WT_VS_SAP1A_KO_AND_ELK1_KO_DP_THYMOCYTES_DN</t>
  </si>
  <si>
    <t>9046;3659;6351;3561;474344;257106;57580;170575;55340;23048;80380;1102;155038;168537;84230;81553</t>
  </si>
  <si>
    <t>DOK2;IRF1;CCL4;IL2RG;GIMAP6;ARHGAP30;PREX1;GIMAP1;GIMAP5;FNBP1;PDCD1LG2;RCBTB2;GIMAP8;GIMAP7;LRRC8C;FAM49A</t>
  </si>
  <si>
    <t>http://www.broadinstitute.org/gsea/msigdb/cards/GSE21546_WT_VS_SAP1A_KO_AND_ELK1_KO_DP_THYMOCYTES_DN.html</t>
  </si>
  <si>
    <t>GSE21546_WT_VS_SAP1A_KO_DP_THYMOCYTES_UP</t>
  </si>
  <si>
    <t>3627;51056;2633;6772;53347;6890;84166;6373;9881;6891;116071;59345;55281;29126;25939;51513</t>
  </si>
  <si>
    <t>CXCL10;LAP3;GBP1;STAT1;UBASH3A;TAP1;NLRC5;CXCL11;TRANK1;TAP2;BATF2;GNB4;TMEM140;CD274;SAMHD1;ETV7</t>
  </si>
  <si>
    <t>http://www.broadinstitute.org/gsea/msigdb/cards/GSE21546_WT_VS_SAP1A_KO_DP_THYMOCYTES_UP.html</t>
  </si>
  <si>
    <t>9535;916;951;3676;2123;923;9744;9459;55843;4063;54518;64919;64174;54861;29125;51466</t>
  </si>
  <si>
    <t>GMFG;CD3E;CD37;ITGA4;EVI2A;CD6;ACAP1;ARHGEF6;ARHGAP15;LY9;APBB1IP;BCL11B;DPEP2;SNRK;C11orf21;EVL</t>
  </si>
  <si>
    <t>GSE22140_HEALTHY_VS_ARTHRITIC_MOUSE_CD4_TCELL_DN</t>
  </si>
  <si>
    <t>4542;9051;54440;3001;5294;4354;8514;3903;9056;6793;4066;54;729230;6556;4973;10184</t>
  </si>
  <si>
    <t>MYO1F;PSTPIP1;SASH3;GZMA;PIK3CG;MPP1;KCNAB2;LAIR1;SLC7A7;STK10;LYL1;ACP5;CCR2;SLC11A1;OLR1;LHFPL2</t>
  </si>
  <si>
    <t>http://www.broadinstitute.org/gsea/msigdb/cards/GSE22140_HEALTHY_VS_ARTHRITIC_MOUSE_CD4_TCELL_DN.html</t>
  </si>
  <si>
    <t>3055;6351;6352;919;2633;941;1234;3587;91752;6373;3553;2811;3112;6402;3902;7185</t>
  </si>
  <si>
    <t>HCK;CCL4;CCL5;CD247;GBP1;CD80;CCR5;IL10RA;ZNF804A;CXCL11;IL1B;GP1BA;HLA-DOB;SELL;LAG3;TRAF1</t>
  </si>
  <si>
    <t>http://www.broadinstitute.org/gsea/msigdb/cards/GSE19401_UNSTIM_VS_RETINOIC_ACID_STIM_FOLLICULAR_DC_DN.html</t>
  </si>
  <si>
    <t>GSE22935_WT_VS_MYD88_KO_MACROPHAGE_12H_MBOVIS_BCG_STIM_DN</t>
  </si>
  <si>
    <t>2533;10261;3627;3932;5341;3561;5294;4689;114548;3936;55911;100506736;80821;84230;53831;29126</t>
  </si>
  <si>
    <t>FYB1;IGSF6;CXCL10;LCK;PLEK;IL2RG;PIK3CG;NCF4;NLRP3;LCP1;APOBR;SLFN12L;DDHD1;LRRC8C;GPR84;CD274</t>
  </si>
  <si>
    <t>http://www.broadinstitute.org/gsea/msigdb/cards/GSE22935_WT_VS_MYD88_KO_MACROPHAGE_12H_MBOVIS_BCG_STIM_DN.html</t>
  </si>
  <si>
    <t>GSE22432_MULTIPOTENT_PROGENITOR_VS_CDC_UP</t>
  </si>
  <si>
    <t>10663;4068;9450;6890;115361;4064;56833;23228;8530;5452;2999;6753;10148;79865;80821;25939</t>
  </si>
  <si>
    <t>CXCR6;SH2D1A;LY86;TAP1;GBP4;CD180;SLAMF8;PLCL2;CST7;POU2F2;GZMH;SSTR3;EBI3;TREML2;DDHD1;SAMHD1</t>
  </si>
  <si>
    <t>http://www.broadinstitute.org/gsea/msigdb/cards/GSE22432_MULTIPOTENT_PROGENITOR_VS_CDC_UP.html</t>
  </si>
  <si>
    <t>GSE24210_CTRL_VS_IL35_TREATED_TCONV_CD4_TCELL_UP</t>
  </si>
  <si>
    <t>9535;9450;972;5788;3071;6504;92241;283897;221472;54899;374403;7099;4049;3718;4215;83937</t>
  </si>
  <si>
    <t>GMFG;LY86;CD74;PTPRC;NCKAP1L;SLAMF1;RCSD1;C16orf54;FGD2;PXK;TBC1D10C;TLR4;LTA;JAK3;MAP3K3;RASSF4</t>
  </si>
  <si>
    <t>http://www.broadinstitute.org/gsea/msigdb/cards/GSE24210_CTRL_VS_IL35_TREATED_TCONV_CD4_TCELL_UP.html</t>
  </si>
  <si>
    <t>GSE24492_LYVE_NEG_VS_POS_MACROPHAGE_DN</t>
  </si>
  <si>
    <t>4068;920;3689;6036;3676;1233;53829;84636;10437;2357;1414;140885;84329;51676;5027;64805</t>
  </si>
  <si>
    <t>SH2D1A;CD4;ITGB2;RNASE2;ITGA4;CCR4;P2RY13;GPR174;IFI30;FPR1;CRYBB1;SIRPA;HVCN1;ASB2;P2RX7;P2RY12</t>
  </si>
  <si>
    <t>http://www.broadinstitute.org/gsea/msigdb/cards/GSE24492_LYVE_NEG_VS_POS_MACROPHAGE_DN.html</t>
  </si>
  <si>
    <t>GSE23925_LIGHT_ZONE_VS_DARK_ZONE_BCELL_DN</t>
  </si>
  <si>
    <t>9535;2124;3937;10666;89857;30009;197135;3111;3956;924;926;6546;1235;7185;3824;9815</t>
  </si>
  <si>
    <t>GMFG;EVI2B;LCP2;CD226;KLHL6;TBX21;PATL2;HLA-DOA;LGALS1;CD7;CD8B;SLC8A1;CCR6;TRAF1;KLRD1;GIT2</t>
  </si>
  <si>
    <t>http://www.broadinstitute.org/gsea/msigdb/cards/GSE23925_LIGHT_ZONE_VS_DARK_ZONE_BCELL_DN.html</t>
  </si>
  <si>
    <t>GSE25123_CTRL_VS_IL4_STIM_MACROPHAGE_UP</t>
  </si>
  <si>
    <t>9595;3683;919;4245;3071;23533;152789;80896;64092;51225;3002;3059;241;257101;64919;83937</t>
  </si>
  <si>
    <t>CYTIP;ITGAL;CD247;MGAT1;NCKAP1L;PIK3R5;JAKMIP1;NPL;SAMSN1;ABI3;GZMB;HCLS1;ALOX5AP;ZNF683;BCL11B;RASSF4</t>
  </si>
  <si>
    <t>http://www.broadinstitute.org/gsea/msigdb/cards/GSE25123_CTRL_VS_IL4_STIM_MACROPHAGE_UP.html</t>
  </si>
  <si>
    <t>GSE25088_IL4_VS_IL4_AND_ROSIGLITAZONE_STIM_MACROPHAGE_DAY10_UP</t>
  </si>
  <si>
    <t>9404;3689;7805;219972;257106;23533;114836;4064;6793;3988;8905;54331;4208;85464;161145;51466</t>
  </si>
  <si>
    <t>LPXN;ITGB2;LAPTM5;MPEG1;ARHGAP30;PIK3R5;SLAMF6;CD180;STK10;LIPA;AP1S2;GNG2;MEF2C;SSH2;TMEM229B;EVL</t>
  </si>
  <si>
    <t>http://www.broadinstitute.org/gsea/msigdb/cards/GSE25088_IL4_VS_IL4_AND_ROSIGLITAZONE_STIM_MACROPHAGE_DAY10_UP.html</t>
  </si>
  <si>
    <t>GSE19941_LPS_VS_LPS_AND_IL10_STIM_IL10_KO_NFKBP50_KO_MACROPHAGE_DN</t>
  </si>
  <si>
    <t>10663;3559;1493;5734;6504;10875;170371;55589;3956;1435;3108;1230;729230;1237;50943;30835</t>
  </si>
  <si>
    <t>CXCR6;IL2RA;CTLA4;PTGER4;SLAMF1;FGL2;TMEM273;BMP2K;LGALS1;CSF1;HLA-DMA;CCR1;CCR2;CCR8;FOXP3;CD209</t>
  </si>
  <si>
    <t>http://www.broadinstitute.org/gsea/msigdb/cards/GSE19941_LPS_VS_LPS_AND_IL10_STIM_IL10_KO_NFKBP50_KO_MACROPHAGE_DN.html</t>
  </si>
  <si>
    <t>GSE22611_NOD2_VS_CTRL_TRANSDUCED_HEK293T_CELL_DN</t>
  </si>
  <si>
    <t>2533;313;11151;4332;53829;80231;55589;9881;240;6402;11010;4208;4033;4215;50515;30817</t>
  </si>
  <si>
    <t>FYB1;AOAH;CORO1A;MNDA;P2RY13;CXorf21;BMP2K;TRANK1;ALOX5;SELL;GLIPR1;MEF2C;LRMP;MAP3K3;CHST11;ADGRE2</t>
  </si>
  <si>
    <t>http://www.broadinstitute.org/gsea/msigdb/cards/GSE22611_NOD2_VS_CTRL_TRANSDUCED_HEK293T_CELL_DN.html</t>
  </si>
  <si>
    <t>GSE27670_CTRL_VS_LMP1_TRANSDUCED_GC_BCELL_UP</t>
  </si>
  <si>
    <t>7453;2014;3394;6404;3662;259307;55589;3108;3109;729230;2829;4973;3824;597;3123;59345</t>
  </si>
  <si>
    <t>WARS;EMP3;IRF8;SELPLG;IRF4;IL4I1;BMP2K;HLA-DMA;HLA-DMB;CCR2;XCR1;OLR1;KLRD1;BCL2A1;HLA-DRB1;GNB4</t>
  </si>
  <si>
    <t>http://www.broadinstitute.org/gsea/msigdb/cards/GSE27670_CTRL_VS_LMP1_TRANSDUCED_GC_BCELL_UP.html</t>
  </si>
  <si>
    <t>GSE27670_CTRL_VS_LMP1_TRANSDUCED_GC_BCELL_DN</t>
  </si>
  <si>
    <t>920;714;4354;10871;54899;51284;9056;348;1508;5452;3162;3586;6556;140885;338339;9935</t>
  </si>
  <si>
    <t>CD4;C1QC;MPP1;CD300C;PXK;TLR7;SLC7A7;APOE;CTSB;POU2F2;HMOX1;IL10;SLC11A1;SIRPA;CLEC4D;MAFB</t>
  </si>
  <si>
    <t>http://www.broadinstitute.org/gsea/msigdb/cards/GSE27670_CTRL_VS_LMP1_TRANSDUCED_GC_BCELL_DN.html</t>
  </si>
  <si>
    <t>GSE21063_WT_VS_NFATC1_KO_BCELL_UP</t>
  </si>
  <si>
    <t>10663;916;942;5294;1234;399;474344;197358;114836;225;1621;2833;10457;131450;51676;10004</t>
  </si>
  <si>
    <t>CXCR6;CD3E;CD86;PIK3CG;CCR5;RHOH;GIMAP6;NLRC3;SLAMF6;ABCD2;DBH;CXCR3;GPNMB;CD200R1;ASB2;NAALADL1</t>
  </si>
  <si>
    <t>http://www.broadinstitute.org/gsea/msigdb/cards/GSE21063_WT_VS_NFATC1_KO_BCELL_UP.html</t>
  </si>
  <si>
    <t>GSE28130_ACTIVATED_VS_INDUCEED_TREG_UP</t>
  </si>
  <si>
    <t>9404;925;6351;2123;2124;1234;3937;3587;2672;56253;926;6402;3586;6503;9815;9754</t>
  </si>
  <si>
    <t>LPXN;CD8A;CCL4;EVI2A;EVI2B;CCR5;LCP2;IL10RA;GFI1;CRTAM;CD8B;SELL;IL10;SLA;GIT2;STARD8</t>
  </si>
  <si>
    <t>http://www.broadinstitute.org/gsea/msigdb/cards/GSE28130_ACTIVATED_VS_INDUCEED_TREG_UP.html</t>
  </si>
  <si>
    <t>GSE23321_CENTRAL_MEMORY_VS_NAIVE_CD8_TCELL_UP</t>
  </si>
  <si>
    <t>7305;963;2124;80231;225;8832;6793;19;1435;4066;6402;2357;9938;89846;10235;9754</t>
  </si>
  <si>
    <t>TYROBP;CD53;EVI2B;CXorf21;ABCD2;CD84;STK10;ABCA1;CSF1;LYL1;SELL;FPR1;ARHGAP25;FGD3;RASGRP2;STARD8</t>
  </si>
  <si>
    <t>http://www.broadinstitute.org/gsea/msigdb/cards/GSE23321_CENTRAL_MEMORY_VS_NAIVE_CD8_TCELL_UP.html</t>
  </si>
  <si>
    <t>GSE29164_DAY3_VS_DAY7_UNTREATED_MELANOMA_UP</t>
  </si>
  <si>
    <t>10068;5579;3932;1378;3587;4689;399;219972;170371;27128;29851;27163;4050;57705;91526;9806</t>
  </si>
  <si>
    <t>IL18BP;PRKCB;LCK;CR1;IL10RA;NCF4;RHOH;MPEG1;TMEM273;CYTH4;ICOS;NAAA;LTB;WDFY4;ANKRD44;SPOCK2</t>
  </si>
  <si>
    <t>http://www.broadinstitute.org/gsea/msigdb/cards/GSE29164_DAY3_VS_DAY7_UNTREATED_MELANOMA_UP.html</t>
  </si>
  <si>
    <t>GSE33425_CD161_INT_VS_NEG_CD8_TCELL_DN</t>
  </si>
  <si>
    <t>972;3055;2123;4245;695;3587;219972;51284;9056;3117;5552;4066;3112;2113;4261;4644</t>
  </si>
  <si>
    <t>CD74;HCK;EVI2A;MGAT1;BTK;IL10RA;MPEG1;TLR7;SLC7A7;HLA-DQA1;SRGN;LYL1;HLA-DOB;ETS1;CIITA;MYO5A</t>
  </si>
  <si>
    <t>http://www.broadinstitute.org/gsea/msigdb/cards/GSE33425_CD161_INT_VS_NEG_CD8_TCELL_DN.html</t>
  </si>
  <si>
    <t>GSE32986_UNSTIM_VS_CURDLAN_LOWDOSE_STIM_DC_UP</t>
  </si>
  <si>
    <t>1318;1236;1439;3937;55340;2672;1240;55589;9034;29909;5552;6776;7185;3123;84034;59345</t>
  </si>
  <si>
    <t>SLC31A2;CCR7;CSF2RB;LCP2;GIMAP5;GFI1;CMKLR1;BMP2K;CCRL2;GPR171;SRGN;STAT5A;TRAF1;HLA-DRB1;EMILIN2;GNB4</t>
  </si>
  <si>
    <t>http://www.broadinstitute.org/gsea/msigdb/cards/GSE32986_UNSTIM_VS_CURDLAN_LOWDOSE_STIM_DC_UP.html</t>
  </si>
  <si>
    <t>GSE26343_WT_VS_NFAT5_KO_MACROPHAGE_LPS_STIM_UP</t>
  </si>
  <si>
    <t>9404;4245;2207;79626;497189;3635;4064;64333;51225;241;9938;1601;206358;51063;30835;9935</t>
  </si>
  <si>
    <t>LPXN;MGAT1;FCER1G;TNFAIP8L2;TIFAB;INPP5D;CD180;ARHGAP9;ABI3;ALOX5AP;ARHGAP25;DAB2;SLC36A1;CALHM2;CD209;MAFB</t>
  </si>
  <si>
    <t>http://www.broadinstitute.org/gsea/msigdb/cards/GSE26343_WT_VS_NFAT5_KO_MACROPHAGE_LPS_STIM_UP.html</t>
  </si>
  <si>
    <t>GSE26343_UNSTIM_VS_LPS_STIM_MACROPHAGE_DN</t>
  </si>
  <si>
    <t>9404;2124;4354;3603;55843;374403;1794;64333;225;11314;1102;4066;729230;89846;118788;10507</t>
  </si>
  <si>
    <t>LPXN;EVI2B;MPP1;IL16;ARHGAP15;TBC1D10C;DOCK2;ARHGAP9;ABCD2;CD300A;RCBTB2;LYL1;CCR2;FGD3;PIK3AP1;SEMA4D</t>
  </si>
  <si>
    <t>http://www.broadinstitute.org/gsea/msigdb/cards/GSE26343_UNSTIM_VS_LPS_STIM_MACROPHAGE_DN.html</t>
  </si>
  <si>
    <t>GSE34156_UNTREATED_VS_24H_NOD2_AND_TLR1_TLR2_LIGAND_TREATED_MONOCYTE_UP</t>
  </si>
  <si>
    <t>259197;11025;959;942;3820;6504;9332;80301;29992;10437;3936;5724;1235;140885;284759;9754</t>
  </si>
  <si>
    <t>NCR3;LILRB3;CD40LG;CD86;KLRB1;SLAMF1;CD163;PLEKHO2;PILRA;IFI30;LCP1;PTAFR;CCR6;SIRPA;SIRPB2;STARD8</t>
  </si>
  <si>
    <t>http://www.broadinstitute.org/gsea/msigdb/cards/GSE34156_UNTREATED_VS_24H_NOD2_AND_TLR1_TLR2_LIGAND_TREATED_MONOCYTE_UP.html</t>
  </si>
  <si>
    <t>GSE36888_UNTREATED_VS_IL2_TREATED_STAT5_AB_KNOCKIN_TCELL_17H_UP</t>
  </si>
  <si>
    <t>9535;9595;3559;7133;6504;399;366;3553;1508;728;54331;7185;6503;597;4818;89846</t>
  </si>
  <si>
    <t>GMFG;CYTIP;IL2RA;TNFRSF1B;SLAMF1;RHOH;AQP9;IL1B;CTSB;C5AR1;GNG2;TRAF1;SLA;BCL2A1;NKG7;FGD3</t>
  </si>
  <si>
    <t>http://www.broadinstitute.org/gsea/msigdb/cards/GSE36888_UNTREATED_VS_IL2_TREATED_STAT5_AB_KNOCKIN_TCELL_17H_UP.html</t>
  </si>
  <si>
    <t>GSE36888_UNTREATED_VS_IL2_TREATED_TCELL_2H_UP</t>
  </si>
  <si>
    <t>7940;3676;7133;58475;51225;924;3162;943;27163;89846;118788;147138;51676;57823;30817;51466</t>
  </si>
  <si>
    <t>LST1;ITGA4;TNFRSF1B;MS4A7;ABI3;CD7;HMOX1;TNFRSF8;NAAA;FGD3;PIK3AP1;TMC8;ASB2;SLAMF7;ADGRE2;EVL</t>
  </si>
  <si>
    <t>http://www.broadinstitute.org/gsea/msigdb/cards/GSE36888_UNTREATED_VS_IL2_TREATED_TCELL_2H_UP.html</t>
  </si>
  <si>
    <t>GSE36888_STAT5_AB_KNOCKIN_VS_WT_TCELL_IL2_TREATED_17H_DN</t>
  </si>
  <si>
    <t>2533;1318;7305;1378;2123;2124;79930;114548;51311;7099;2219;3684;2212;2358;8905;84329</t>
  </si>
  <si>
    <t>FYB1;SLC31A2;TYROBP;CR1;EVI2A;EVI2B;DOK3;NLRP3;TLR8;TLR4;FCN1;ITGAM;FCGR2A;FPR2;AP1S2;HVCN1</t>
  </si>
  <si>
    <t>http://www.broadinstitute.org/gsea/msigdb/cards/GSE36888_STAT5_AB_KNOCKIN_VS_WT_TCELL_IL2_TREATED_17H_DN.html</t>
  </si>
  <si>
    <t>GSE36009_UNSTIM_VS_LPS_STIM_NLRP10_KO_DC_UP</t>
  </si>
  <si>
    <t>340152;951;971;3594;4689;1794;57105;6373;1230;9938;375387;155038;9806;83937;55013;11217</t>
  </si>
  <si>
    <t>ZC3H12D;CD37;CD72;IL12RB1;NCF4;DOCK2;CYSLTR2;CXCL11;CCR1;ARHGAP25;NRROS;GIMAP8;SPOCK2;RASSF4;MCUB;AKAP2</t>
  </si>
  <si>
    <t>http://www.broadinstitute.org/gsea/msigdb/cards/GSE36009_UNSTIM_VS_LPS_STIM_NLRP10_KO_DC_UP.html</t>
  </si>
  <si>
    <t>GSE36009_WT_VS_NLRP10_KO_DC_UP</t>
  </si>
  <si>
    <t>10068;2214;944;3587;10875;84166;81704;115361;4064;81030;51311;1435;79865;100506736;118788;57823</t>
  </si>
  <si>
    <t>IL18BP;FCGR3A;TNFSF8;IL10RA;FGL2;NLRC5;DOCK8;GBP4;CD180;ZBP1;TLR8;CSF1;TREML2;SLFN12L;PIK3AP1;SLAMF7</t>
  </si>
  <si>
    <t>http://www.broadinstitute.org/gsea/msigdb/cards/GSE36009_WT_VS_NLRP10_KO_DC_UP.html</t>
  </si>
  <si>
    <t>GSE36527_CD62L_HIGH_CD69_NEG_VS_CD62L_LOW_CD69_POS_TREG_KLRG1_NEG_DN</t>
  </si>
  <si>
    <t>3458;3627;3659;944;6772;6504;399;139716;11184;54557;596;6037;2829;1601;4240;55281</t>
  </si>
  <si>
    <t>IFNG;CXCL10;IRF1;TNFSF8;STAT1;SLAMF1;RHOH;GAB3;MAP4K1;SGTB;BCL2;RNASE3;XCR1;DAB2;MFGE8;TMEM140</t>
  </si>
  <si>
    <t>http://www.broadinstitute.org/gsea/msigdb/cards/GSE36527_CD62L_HIGH_CD69_NEG_VS_CD62L_LOW_CD69_POS_TREG_KLRG1_NEG_DN.html</t>
  </si>
  <si>
    <t>GSE40274_LEF1_VS_FOXP3_AND_LEF1_TRANSDUCED_ACTIVATED_CD4_TCELL_DN</t>
  </si>
  <si>
    <t>10663;9535;5551;959;3702;50852;221188;387357;59067;6373;356;10235;375387;79895;84106;51466</t>
  </si>
  <si>
    <t>CXCR6;GMFG;PRF1;CD40LG;ITK;TRAT1;ADGRG5;THEMIS;IL21;CXCL11;FASLG;RASGRP2;NRROS;ATP8B4;PRAM1;EVL</t>
  </si>
  <si>
    <t>http://www.broadinstitute.org/gsea/msigdb/cards/GSE40274_LEF1_VS_FOXP3_AND_LEF1_TRANSDUCED_ACTIVATED_CD4_TCELL_DN.html</t>
  </si>
  <si>
    <t>GSE40666_WT_VS_STAT1_KO_CD8_TCELL_UP</t>
  </si>
  <si>
    <t>340152;5579;53347;139818;286336;474344;387357;84636;64231;55303;2162;3112;6776;91010;168537;64919</t>
  </si>
  <si>
    <t>ZC3H12D;PRKCB;UBASH3A;DOCK11;FAM78A;GIMAP6;THEMIS;GPR174;MS4A6A;GIMAP4;F13A1;HLA-DOB;STAT5A;FMNL3;GIMAP7;BCL11B</t>
  </si>
  <si>
    <t>http://www.broadinstitute.org/gsea/msigdb/cards/GSE40666_WT_VS_STAT1_KO_CD8_TCELL_UP.html</t>
  </si>
  <si>
    <t>GSE11961_MARGINAL_ZONE_BCELL_VS_GERMINAL_CENTER_BCELL_DAY7_DN</t>
  </si>
  <si>
    <t>5579;3001;5294;1234;3587;1794;115361;2672;80231;57105;29909;924;6503;161176;51676;50515</t>
  </si>
  <si>
    <t>PRKCB;GZMA;PIK3CG;CCR5;IL10RA;DOCK2;GBP4;GFI1;CXorf21;CYSLTR2;GPR171;CD7;SLA;SYNE3;ASB2;CHST11</t>
  </si>
  <si>
    <t>http://www.broadinstitute.org/gsea/msigdb/cards/GSE11961_MARGINAL_ZONE_BCELL_VS_GERMINAL_CENTER_BCELL_DAY7_DN.html</t>
  </si>
  <si>
    <t>GSE11961_MARGINAL_ZONE_BCELL_VS_PLASMA_CELL_DAY7_DN</t>
  </si>
  <si>
    <t>2533;9535;914;3560;3683;919;971;3702;286336;139716;51744;29909;3956;6693;8809;84034</t>
  </si>
  <si>
    <t>FYB1;GMFG;CD2;IL2RB;ITGAL;CD247;CD72;ITK;FAM78A;GAB3;CD244;GPR171;LGALS1;SPN;IL18R1;EMILIN2</t>
  </si>
  <si>
    <t>http://www.broadinstitute.org/gsea/msigdb/cards/GSE11961_MARGINAL_ZONE_BCELL_VS_PLASMA_CELL_DAY7_DN.html</t>
  </si>
  <si>
    <t>GSE11961_UNSTIM_VS_ANTI_IGM_AND_CD40_STIM_6H_FOLLICULAR_BCELL_DN</t>
  </si>
  <si>
    <t>3659;923;1233;3702;6504;91752;114836;64231;50615;51284;51225;4050;79865;84329;56606;25939</t>
  </si>
  <si>
    <t>IRF1;CD6;CCR4;ITK;SLAMF1;ZNF804A;SLAMF6;MS4A6A;IL21R;TLR7;ABI3;LTB;TREML2;HVCN1;SLC2A9;SAMHD1</t>
  </si>
  <si>
    <t>http://www.broadinstitute.org/gsea/msigdb/cards/GSE11961_UNSTIM_VS_ANTI_IGM_AND_CD40_STIM_6H_FOLLICULAR_BCELL_DN.html</t>
  </si>
  <si>
    <t>GSE28737_WT_VS_BCL6_HET_MARGINAL_ZONE_BCELL_DN</t>
  </si>
  <si>
    <t>8676;3627;941;84166;53829;80380;81030;50615;6373;3122;526;969;653567;118788;64747;29126</t>
  </si>
  <si>
    <t>STX11;CXCL10;CD80;NLRC5;P2RY13;PDCD1LG2;ZBP1;IL21R;CXCL11;HLA-DRA;ATP6V1B2;CD69;TMEM236;PIK3AP1;MFSD1;CD274</t>
  </si>
  <si>
    <t>http://www.broadinstitute.org/gsea/msigdb/cards/GSE28737_WT_VS_BCL6_HET_MARGINAL_ZONE_BCELL_DN.html</t>
  </si>
  <si>
    <t>GSE11961_GERMINAL_CENTER_BCELL_DAY7_VS_PLASMA_CELL_DAY7_UP</t>
  </si>
  <si>
    <t>9404;3559;914;3055;5551;6772;219972;257106;57105;64092;51225;29909;341;100506736;10184;25939</t>
  </si>
  <si>
    <t>LPXN;IL2RA;CD2;HCK;PRF1;STAT1;MPEG1;ARHGAP30;CYSLTR2;SAMSN1;ABI3;GPR171;APOC1;SLFN12L;LHFPL2;SAMHD1</t>
  </si>
  <si>
    <t>http://www.broadinstitute.org/gsea/msigdb/cards/GSE11961_GERMINAL_CENTER_BCELL_DAY7_VS_PLASMA_CELL_DAY7_UP.html</t>
  </si>
  <si>
    <t>GSE24671_CTRL_VS_BAKIMULC_INFECTED_MOUSE_SPLENOCYTES_UP</t>
  </si>
  <si>
    <t>9051;9402;1536;914;917;1493;55843;139818;92241;3112;4688;356;27314;85464;375387;5027</t>
  </si>
  <si>
    <t>PSTPIP1;GRAP2;CYBB;CD2;CD3G;CTLA4;ARHGAP15;DOCK11;RCSD1;HLA-DOB;NCF2;FASLG;RAB30;SSH2;NRROS;P2RX7</t>
  </si>
  <si>
    <t>http://www.broadinstitute.org/gsea/msigdb/cards/GSE24671_CTRL_VS_BAKIMULC_INFECTED_MOUSE_SPLENOCYTES_UP.html</t>
  </si>
  <si>
    <t>GSE41867_NAIVE_VS_DAY6_LCMV_EFFECTOR_CD8_TCELL_DN</t>
  </si>
  <si>
    <t>27334;1536;3575;3683;1236;3702;146722;26051;9938;85464;10235;80709;79630;51676;64919;81553</t>
  </si>
  <si>
    <t>P2RY10;CYBB;IL7R;ITGAL;CCR7;ITK;CD300LF;PPP1R16B;ARHGAP25;SSH2;RASGRP2;AKNA;C1orf54;ASB2;BCL11B;FAM49A</t>
  </si>
  <si>
    <t>http://www.broadinstitute.org/gsea/msigdb/cards/GSE41867_NAIVE_VS_DAY6_LCMV_EFFECTOR_CD8_TCELL_DN.html</t>
  </si>
  <si>
    <t>GSE41867_NAIVE_VS_DAY15_LCMV_ARMSTRONG_EFFECTOR_CD8_TCELL_DN</t>
  </si>
  <si>
    <t>9051;9402;945;7133;3903;92241;151888;255231;84636;11314;348;5552;814;57514;25780;10077</t>
  </si>
  <si>
    <t>PSTPIP1;GRAP2;CD33;TNFRSF1B;LAIR1;RCSD1;BTLA;MCOLN2;GPR174;CD300A;APOE;SRGN;CAMK4;ARHGAP31;RASGRP3;TSPAN32</t>
  </si>
  <si>
    <t>http://www.broadinstitute.org/gsea/msigdb/cards/GSE41867_NAIVE_VS_DAY15_LCMV_ARMSTRONG_EFFECTOR_CD8_TCELL_DN.html</t>
  </si>
  <si>
    <t>GSE42021_TCONV_PLN_VS_CD24HI_TCONV_THYMUS_UP</t>
  </si>
  <si>
    <t>80833;972;3659;7133;3683;7453;51056;2633;3394;6890;51296;6373;3717;10437;6891;55281</t>
  </si>
  <si>
    <t>APOL3;CD74;IRF1;TNFRSF1B;ITGAL;WARS;LAP3;GBP1;IRF8;TAP1;SLC15A3;CXCL11;JAK2;IFI30;TAP2;TMEM140</t>
  </si>
  <si>
    <t>http://www.broadinstitute.org/gsea/msigdb/cards/GSE42021_TCONV_PLN_VS_CD24HI_TCONV_THYMUS_UP.html</t>
  </si>
  <si>
    <t>GSE43955_TH0_VS_TGFB_IL6_TH17_ACT_CD4_TCELL_30H_UP</t>
  </si>
  <si>
    <t>3627;3659;6351;1439;5734;4283;3937;399;255231;115361;55589;55303;3717;3290;2213;3824</t>
  </si>
  <si>
    <t>CXCL10;IRF1;CCL4;CSF2RB;PTGER4;CXCL9;LCP2;RHOH;MCOLN2;GBP4;BMP2K;GIMAP4;JAK2;HSD11B1;FCGR2B;KLRD1</t>
  </si>
  <si>
    <t>http://www.broadinstitute.org/gsea/msigdb/cards/GSE43955_TH0_VS_TGFB_IL6_TH17_ACT_CD4_TCELL_30H_UP.html</t>
  </si>
  <si>
    <t>GSE43955_TGFB_IL6_VS_TGFB_IL6_IL23_TH17_ACT_CD4_TCELL_60H_DN</t>
  </si>
  <si>
    <t>9046;9595;3932;2209;2350;971;313;941;10320;719;4063;51284;1043;54518;51762;51466</t>
  </si>
  <si>
    <t>DOK2;CYTIP;LCK;FCGR1A;FOLR2;CD72;AOAH;CD80;IKZF1;C3AR1;LY9;TLR7;CD52;APBB1IP;RAB8B;EVL</t>
  </si>
  <si>
    <t>http://www.broadinstitute.org/gsea/msigdb/cards/GSE43955_TGFB_IL6_VS_TGFB_IL6_IL23_TH17_ACT_CD4_TCELL_60H_DN.html</t>
  </si>
  <si>
    <t>GSE43955_1H_VS_20H_ACT_CD4_TCELL_WITH_TGFB_IL6_DN</t>
  </si>
  <si>
    <t>9595;9450;925;2350;1236;1439;3394;4283;719;341;1435;54;3586;4973;10672;27240</t>
  </si>
  <si>
    <t>CYTIP;LY86;CD8A;FOLR2;CCR7;CSF2RB;IRF8;CXCL9;C3AR1;APOC1;CSF1;ACP5;IL10;OLR1;GNA13;SIT1</t>
  </si>
  <si>
    <t>http://www.broadinstitute.org/gsea/msigdb/cards/GSE43955_1H_VS_20H_ACT_CD4_TCELL_WITH_TGFB_IL6_DN.html</t>
  </si>
  <si>
    <t>GSE44732_UNSTIM_VS_IL27_STIM_IMATURE_DC_DN</t>
  </si>
  <si>
    <t>9404;5579;2268;3575;1378;3683;8514;146722;58484;11314;7099;341;3290;1043;84106;85479</t>
  </si>
  <si>
    <t>LPXN;PRKCB;FGR;IL7R;CR1;ITGAL;KCNAB2;CD300LF;NLRC4;CD300A;TLR4;APOC1;HSD11B1;CD52;PRAM1;DNAJC5B</t>
  </si>
  <si>
    <t>http://www.broadinstitute.org/gsea/msigdb/cards/GSE44732_UNSTIM_VS_IL27_STIM_IMATURE_DC_DN.html</t>
  </si>
  <si>
    <t>GSE46242_CTRL_VS_EGR2_DELETED_ANERGIC_TH1_CD4_TCELL_UP</t>
  </si>
  <si>
    <t>9404;3575;8514;139818;128346;246329;56659;58484;51393;7099;2113;1043;6614;51063;64098;55013</t>
  </si>
  <si>
    <t>LPXN;IL7R;KCNAB2;DOCK11;C1orf162;STAC3;KCNK13;NLRC4;TRPV2;TLR4;ETS1;CD52;SIGLEC1;CALHM2;PARVG;MCUB</t>
  </si>
  <si>
    <t>http://www.broadinstitute.org/gsea/msigdb/cards/GSE46242_CTRL_VS_EGR2_DELETED_ANERGIC_TH1_CD4_TCELL_UP.html</t>
  </si>
  <si>
    <t>GSE46242_TH1_VS_ANERGIC_TH1_CD4_TCELL_UP</t>
  </si>
  <si>
    <t>3559;5579;2268;1378;92241;146722;246329;4063;55303;10870;11314;27036;5552;241;4818;56606</t>
  </si>
  <si>
    <t>IL2RA;PRKCB;FGR;CR1;RCSD1;CD300LF;STAC3;LY9;GIMAP4;HCST;CD300A;SIGLEC7;SRGN;ALOX5AP;NKG7;SLC2A9</t>
  </si>
  <si>
    <t>http://www.broadinstitute.org/gsea/msigdb/cards/GSE46242_TH1_VS_ANERGIC_TH1_CD4_TCELL_UP.html</t>
  </si>
  <si>
    <t>GSE43863_DAY6_EFF_VS_DAY150_MEM_TFH_CD4_TCELL_DN</t>
  </si>
  <si>
    <t>3559;1236;199;6504;124535;55303;30009;645432;10154;8530;4049;3902;3290;10148;9754;50515</t>
  </si>
  <si>
    <t>IL2RA;CCR7;AIF1;SLAMF1;HSF5;GIMAP4;TBX21;ARRDC5;PLXNC1;CST7;LTA;LAG3;HSD11B1;EBI3;STARD8;CHST11</t>
  </si>
  <si>
    <t>http://www.broadinstitute.org/gsea/msigdb/cards/GSE43863_DAY6_EFF_VS_DAY150_MEM_TFH_CD4_TCELL_DN.html</t>
  </si>
  <si>
    <t>GSE43863_TH1_VS_LY6C_INT_CXCR5POS_EFFECTOR_CD4_TCELL_DN</t>
  </si>
  <si>
    <t>5788;951;919;971;9744;399;50852;124460;23533;1794;19;1235;814;245972;10077;27240</t>
  </si>
  <si>
    <t>PTPRC;CD37;CD247;CD72;ACAP1;RHOH;TRAT1;SNX20;PIK3R5;DOCK2;ABCA1;CCR6;CAMK4;ATP6V0D2;TSPAN32;SIT1</t>
  </si>
  <si>
    <t>http://www.broadinstitute.org/gsea/msigdb/cards/GSE43863_TH1_VS_LY6C_INT_CXCR5POS_EFFECTOR_CD4_TCELL_DN.html</t>
  </si>
  <si>
    <t>GSE44649_WT_VS_MIR155_KO_ACTIVATED_CD8_TCELL_UP</t>
  </si>
  <si>
    <t>3659;6352;5734;6890;6504;3662;84166;259307;64092;3902;3363;3718;6891;3604;10148;55281</t>
  </si>
  <si>
    <t>IRF1;CCL5;PTGER4;TAP1;SLAMF1;IRF4;NLRC5;IL4I1;SAMSN1;LAG3;HTR7;JAK3;TAP2;TNFRSF9;EBI3;TMEM140</t>
  </si>
  <si>
    <t>http://www.broadinstitute.org/gsea/msigdb/cards/GSE44649_WT_VS_MIR155_KO_ACTIVATED_CD8_TCELL_UP.html</t>
  </si>
  <si>
    <t>GSE46606_IRF4MID_VS_WT_CD40L_IL2_IL5_DAY1_STIMULATED_BCELL_DN</t>
  </si>
  <si>
    <t>5341;6351;5294;3937;23533;114548;2672;64092;3363;140885;4973;969;57514;54518;84230;10507</t>
  </si>
  <si>
    <t>PLEK;CCL4;PIK3CG;LCP2;PIK3R5;NLRP3;GFI1;SAMSN1;HTR7;SIRPA;OLR1;CD69;ARHGAP31;APBB1IP;LRRC8C;SEMA4D</t>
  </si>
  <si>
    <t>http://www.broadinstitute.org/gsea/msigdb/cards/GSE46606_IRF4MID_VS_WT_CD40L_IL2_IL5_DAY1_STIMULATED_BCELL_DN.html</t>
  </si>
  <si>
    <t>GSE45881_CXCR6HI_VS_CXCR1LO_COLONIC_LAMINA_PROPRIA_DN</t>
  </si>
  <si>
    <t>5579;971;3394;79930;55016;240;9103;3108;3109;2213;4208;4050;55704;79865;25780;80183</t>
  </si>
  <si>
    <t>PRKCB;CD72;IRF8;DOK3;MARCH1;ALOX5;FCGR2A;HLA-DMA;HLA-DMB;FCGR2B;MEF2C;LTB;CCDC88A;TREML2;RASGRP3;RUBCNL</t>
  </si>
  <si>
    <t>http://www.broadinstitute.org/gsea/msigdb/cards/GSE45881_CXCR6HI_VS_CXCR1LO_COLONIC_LAMINA_PROPRIA_DN.html</t>
  </si>
  <si>
    <t>4210;6036;951;3695;2124;51744;11314;79974;7099;2219;240;4208;969;4033;54861;55013</t>
  </si>
  <si>
    <t>MEFV;RNASE2;CD37;ITGB7;EVI2B;CD244;CD300A;CPED1;TLR4;FCN1;ALOX5;MEF2C;CD69;LRMP;SNRK;MCUB</t>
  </si>
  <si>
    <t>http://www.broadinstitute.org/gsea/msigdb/cards/GSE42088_UNINF_VS_LEISHMANIA_INF_DC_2H_DN.html</t>
  </si>
  <si>
    <t>9595;8676;972;951;5734;51744;7099;6793;3122;3115;3120;4208;969;10235;54504;54861</t>
  </si>
  <si>
    <t>CYTIP;STX11;CD74;CD37;PTGER4;CD244;TLR4;STK10;HLA-DRA;HLA-DPB1;HLA-DQB2;MEF2C;CD69;RASGRP2;CPVL;SNRK</t>
  </si>
  <si>
    <t>http://www.broadinstitute.org/gsea/msigdb/cards/GSE42088_UNINF_VS_LEISHMANIA_INF_DC_4H_DN.html</t>
  </si>
  <si>
    <t>GSE42088_UNINF_VS_LEISHMANIA_INF_DC_8H_UP</t>
  </si>
  <si>
    <t>11309;91752;56833;50856;11326;27036;27299;4094;4360;3290;2213;6507;10148;79630;6363;30835</t>
  </si>
  <si>
    <t>SLCO2B1;ZNF804A;SLAMF8;CLEC4A;VSIG4;SIGLEC7;ADAMDEC1;MAF;MRC1;HSD11B1;FCGR2B;SLC1A3;EBI3;C1orf54;CCL19;CD209</t>
  </si>
  <si>
    <t>http://www.broadinstitute.org/gsea/msigdb/cards/GSE42088_UNINF_VS_LEISHMANIA_INF_DC_8H_UP.html</t>
  </si>
  <si>
    <t>GSE45365_HEALTHY_VS_MCMV_INFECTION_CD8A_DC_IFNAR_KO_DN</t>
  </si>
  <si>
    <t>713;962;963;5734;6772;6890;719;114548;3717;2162;3162;6507;969;4327;30835;9935</t>
  </si>
  <si>
    <t>C1QB;CD48;CD53;PTGER4;STAT1;TAP1;C3AR1;NLRP3;JAK2;F13A1;HMOX1;SLC1A3;CD69;MMP19;CD209;MAFB</t>
  </si>
  <si>
    <t>http://www.broadinstitute.org/gsea/msigdb/cards/GSE45365_HEALTHY_VS_MCMV_INFECTION_CD8A_DC_IFNAR_KO_DN.html</t>
  </si>
  <si>
    <t>915;944;4354;10320;399;286336;221188;114836;64333;924;6402;4050;969;79865;51466</t>
  </si>
  <si>
    <t>CD3D;TNFSF8;MPP1;IKZF1;RHOH;FAM78A;ADGRG5;SLAMF6;ARHGAP9;CD7;SELL;LTB;CD69;TREML2;EVL</t>
  </si>
  <si>
    <t>http://www.broadinstitute.org/gsea/msigdb/cards/GSE3565_DUSP1_VS_WT_SPLENOCYTES_DN.html</t>
  </si>
  <si>
    <t>GSE37301_PRO_BCELL_VS_CD4_TCELL_DN</t>
  </si>
  <si>
    <t>917;6352;944;151888;387357;114836;115362;29909;2833;1235;4050;10148;81553;51466</t>
  </si>
  <si>
    <t>CD3G;CCL5;TNFSF8;BTLA;THEMIS;SLAMF6;GBP5;GPR171;CXCR3;CCR6;LTB;EBI3;FAM49A;EVL</t>
  </si>
  <si>
    <t>http://www.broadinstitute.org/gsea/msigdb/cards/GSE37301_PRO_BCELL_VS_CD4_TCELL_DN.html</t>
  </si>
  <si>
    <t>GSE15330_HSC_VS_MEGAKARYOCYTE_ERYTHROID_PROGENITOR_UP</t>
  </si>
  <si>
    <t>9402;3575;1236;286336;50852;221188;256380;19;6402;79865;85464;4215;51466;11217</t>
  </si>
  <si>
    <t>GRAP2;IL7R;CCR7;FAM78A;TRAT1;ADGRG5;SCML4;ABCA1;SELL;TREML2;SSH2;MAP3K3;EVL;AKAP2</t>
  </si>
  <si>
    <t>http://www.broadinstitute.org/gsea/msigdb/cards/GSE15330_HSC_VS_MEGAKARYOCYTE_ERYTHROID_PROGENITOR_UP.html</t>
  </si>
  <si>
    <t>GSE36095_WT_VS_HDAC9_KO_TREG_DN</t>
  </si>
  <si>
    <t>1436;3575;10225;3603;283897;10870;27128;645432;3737;203100;7941;84541</t>
  </si>
  <si>
    <t>CSF1R;IL7R;CD96;IL16;C16orf54;HCST;CYTH4;ARRDC5;KCNA2;HTRA4;PLA2G7;KBTBD8</t>
  </si>
  <si>
    <t>http://www.broadinstitute.org/gsea/msigdb/cards/GSE36095_WT_VS_HDAC9_KO_TREG_DN.html</t>
  </si>
  <si>
    <t>GSE25677_R848_VS_MPL_AND_R848_STIM_BCELL_DN</t>
  </si>
  <si>
    <t>9535;971;3394;695;55016;89857;3717;348;5552;54;7454;6503;27314;85464</t>
  </si>
  <si>
    <t>GMFG;CD72;IRF8;BTK;MARCH1;KLHL6;JAK2;APOE;SRGN;ACP5;WAS;SLA;RAB30;SSH2</t>
  </si>
  <si>
    <t>http://www.broadinstitute.org/gsea/msigdb/cards/GSE25677_R848_VS_MPL_AND_R848_STIM_BCELL_DN.html</t>
  </si>
  <si>
    <t>GSE15330_HSC_VS_MEGAKARYOCYTE_ERYTHROID_PROGENITOR_DN</t>
  </si>
  <si>
    <t>1236;944;55843;286336;50852;151888;221188;256380;19;6402;79865;375387;4215;11217</t>
  </si>
  <si>
    <t>CCR7;TNFSF8;ARHGAP15;FAM78A;TRAT1;BTLA;ADGRG5;SCML4;ABCA1;SELL;TREML2;NRROS;MAP3K3;AKAP2</t>
  </si>
  <si>
    <t>http://www.broadinstitute.org/gsea/msigdb/cards/GSE15330_HSC_VS_MEGAKARYOCYTE_ERYTHROID_PROGENITOR_DN.html</t>
  </si>
  <si>
    <t>GSE27859_MACROPHAGE_VS_CD11C_INT_F480_HI_MACROPHAGE_DN</t>
  </si>
  <si>
    <t>5778;197358;89857;27128;4688;150771;206358;25780;202309;245972;10077;4215;84034;7462</t>
  </si>
  <si>
    <t>PTPN7;NLRC3;KLHL6;CYTH4;NCF2;ITPRIPL1;SLC36A1;RASGRP3;GAPT;ATP6V0D2;TSPAN32;MAP3K3;EMILIN2;LAT2</t>
  </si>
  <si>
    <t>http://www.broadinstitute.org/gsea/msigdb/cards/GSE27859_MACROPHAGE_VS_CD11C_INT_F480_HI_MACROPHAGE_DN.html</t>
  </si>
  <si>
    <t>9402;3687;3695;2322;11184;8564;2829;3824;55704;57705;64780;55619;132160;51676</t>
  </si>
  <si>
    <t>GRAP2;ITGAX;ITGB7;FLT3;MAP4K1;KMO;XCR1;KLRD1;CCDC88A;WDFY4;MICAL1;DOCK10;PPM1M;ASB2</t>
  </si>
  <si>
    <t>http://www.broadinstitute.org/gsea/msigdb/cards/GSE6259_FLT3L_INDUCED_33D1_POS_DC_VS_CD4_TCELL_DN.html</t>
  </si>
  <si>
    <t>GSE3400_UNTREATED_VS_IFNB_TREATED_MEF_DN</t>
  </si>
  <si>
    <t>10068;972;7453;2633;6772;3594;84166;3122;3115;3113;3824;3123;441168;155038;9754</t>
  </si>
  <si>
    <t>IL18BP;CD74;WARS;GBP1;STAT1;IL12RB1;NLRC5;HLA-DRA;HLA-DPB1;HLA-DPA1;KLRD1;HLA-DRB1;CALHM6;GIMAP8;STARD8</t>
  </si>
  <si>
    <t>http://www.broadinstitute.org/gsea/msigdb/cards/GSE3400_UNTREATED_VS_IFNB_TREATED_MEF_DN.html</t>
  </si>
  <si>
    <t>3575;1236;944;55843;139818;286336;50852;221188;117289;256380;6402;79865;375387;51466</t>
  </si>
  <si>
    <t>IL7R;CCR7;TNFSF8;ARHGAP15;DOCK11;FAM78A;TRAT1;ADGRG5;TAGAP;SCML4;SELL;TREML2;NRROS;EVL</t>
  </si>
  <si>
    <t>http://www.broadinstitute.org/gsea/msigdb/cards/GSE14415_INDUCED_TREG_VS_FOXP3_KO_INDUCED_TREG_UP.html</t>
  </si>
  <si>
    <t>GSE1740_UNSTIM_VS_IFNA_STIMULATED_MCSF_IFNG_DERIVED_MACROPHAGE_UP</t>
  </si>
  <si>
    <t>972;917;2633;6772;3594;3702;474344;84166;56833;29851;3112;11027;155038;9754;7462</t>
  </si>
  <si>
    <t>CD74;CD3G;GBP1;STAT1;IL12RB1;ITK;GIMAP6;NLRC5;SLAMF8;ICOS;HLA-DOB;LILRA2;GIMAP8;STARD8;LAT2</t>
  </si>
  <si>
    <t>http://www.broadinstitute.org/gsea/msigdb/cards/GSE1740_UNSTIM_VS_IFNA_STIMULATED_MCSF_IFNG_DERIVED_MACROPHAGE_UP.html</t>
  </si>
  <si>
    <t>GSE6259_33D1_POS_DC_VS_BCELL_DN</t>
  </si>
  <si>
    <t>9402;2268;653361;11151;2322;3394;353345;84868;8530;10437;57705;80709;55619</t>
  </si>
  <si>
    <t>GRAP2;FGR;NCF1;CORO1A;FLT3;IRF8;GPR141;HAVCR2;CST7;IFI30;WDFY4;AKNA;DOCK10</t>
  </si>
  <si>
    <t>http://www.broadinstitute.org/gsea/msigdb/cards/GSE6259_33D1_POS_DC_VS_BCELL_DN.html</t>
  </si>
  <si>
    <t>9450;920;3575;7805;9056;10019;366;3553;3112;6402;2357;2213;1230;1235;51466</t>
  </si>
  <si>
    <t>LY86;CD4;IL7R;LAPTM5;SLC7A7;SH2B3;AQP9;IL1B;HLA-DOB;SELL;FPR1;FCGR2B;CCR1;CCR6;EVL</t>
  </si>
  <si>
    <t>http://www.broadinstitute.org/gsea/msigdb/cards/KAECH_DAY8_EFF_VS_DAY15_EFF_CD8_TCELL_DN.html</t>
  </si>
  <si>
    <t>GSE10325_CD4_TCELL_VS_LUPUS_CD4_TCELL_DN</t>
  </si>
  <si>
    <t>22797;3458;6036;7453;51056;2633;6772;6890;3662;3117;10437;3902;1230;7941;25780</t>
  </si>
  <si>
    <t>TFEC;IFNG;RNASE2;WARS;LAP3;GBP1;STAT1;TAP1;IRF4;HLA-DQA1;IFI30;LAG3;CCR1;PLA2G7;RASGRP3</t>
  </si>
  <si>
    <t>http://www.broadinstitute.org/gsea/msigdb/cards/GSE10325_CD4_TCELL_VS_LUPUS_CD4_TCELL_DN.html</t>
  </si>
  <si>
    <t>GSE10325_BCELL_VS_LUPUS_BCELL_DN</t>
  </si>
  <si>
    <t>1318;80833;7453;51056;2633;6772;6890;6504;30009;5552;1230;729230;4818;50515;55281</t>
  </si>
  <si>
    <t>SLC31A2;APOL3;WARS;LAP3;GBP1;STAT1;TAP1;SLAMF1;TBX21;SRGN;CCR1;CCR2;NKG7;CHST11;TMEM140</t>
  </si>
  <si>
    <t>http://www.broadinstitute.org/gsea/msigdb/cards/GSE10325_BCELL_VS_LUPUS_BCELL_DN.html</t>
  </si>
  <si>
    <t>GSE11057_EFF_MEM_VS_CENT_MEM_CD4_TCELL_UP</t>
  </si>
  <si>
    <t>5341;6352;4354;8477;387357;139716;2672;64407;64092;8320;3956;3290;1235;206358;51676</t>
  </si>
  <si>
    <t>PLEK;CCL5;MPP1;GPR65;THEMIS;GAB3;GFI1;RGS18;SAMSN1;EOMES;LGALS1;HSD11B1;CCR6;SLC36A1;ASB2</t>
  </si>
  <si>
    <t>http://www.broadinstitute.org/gsea/msigdb/cards/GSE11057_EFF_MEM_VS_CENT_MEM_CD4_TCELL_UP.html</t>
  </si>
  <si>
    <t>GSE13306_TREG_VS_TCONV_LAMINA_PROPRIA_UP</t>
  </si>
  <si>
    <t>951;4245;4354;3587;50852;55340;114548;80380;84636;3112;4050;10148;375387;155038;55619</t>
  </si>
  <si>
    <t>CD37;MGAT1;MPP1;IL10RA;TRAT1;GIMAP5;NLRP3;PDCD1LG2;GPR174;HLA-DOB;LTB;EBI3;NRROS;GIMAP8;DOCK10</t>
  </si>
  <si>
    <t>http://www.broadinstitute.org/gsea/msigdb/cards/GSE13306_TREG_VS_TCONV_LAMINA_PROPRIA_UP.html</t>
  </si>
  <si>
    <t>GSE13306_TREG_VS_TCONV_LAMINA_PROPRIA_DN</t>
  </si>
  <si>
    <t>3001;2123;10875;286336;197358;256380;51225;1102;356;1414;11009;7941;118788;145581;56670</t>
  </si>
  <si>
    <t>GZMA;EVI2A;FGL2;FAM78A;NLRC3;SCML4;ABI3;RCBTB2;FASLG;CRYBB1;IL24;PLA2G7;PIK3AP1;LRFN5;SUCNR1</t>
  </si>
  <si>
    <t>http://www.broadinstitute.org/gsea/msigdb/cards/GSE13306_TREG_VS_TCONV_LAMINA_PROPRIA_DN.html</t>
  </si>
  <si>
    <t>9839;972;3055;971;11151;3603;9459;3635;3117;240;241;9938;11009;7462;51466</t>
  </si>
  <si>
    <t>ZEB2;CD74;HCK;CD72;CORO1A;IL16;ARHGEF6;INPP5D;HLA-DQA1;ALOX5;ALOX5AP;ARHGAP25;IL24;LAT2;EVL</t>
  </si>
  <si>
    <t>http://www.broadinstitute.org/gsea/msigdb/cards/GSE13411_IGM_MEMORY_BCELL_VS_PLASMA_CELL_UP.html</t>
  </si>
  <si>
    <t>GSE13484_12H_UNSTIM_VS_YF17D_VACCINE_STIM_PBMC_UP</t>
  </si>
  <si>
    <t>4068;929;3101;4354;3820;55016;54209;2219;1102;2359;3108;6503;9815;79690;55803</t>
  </si>
  <si>
    <t>SH2D1A;CD14;HK3;MPP1;KLRB1;MARCH1;TREM2;FCN1;RCBTB2;FPR3;HLA-DMA;SLA;GIT2;GAL3ST4;ADAP2</t>
  </si>
  <si>
    <t>http://www.broadinstitute.org/gsea/msigdb/cards/GSE13484_12H_UNSTIM_VS_YF17D_VACCINE_STIM_PBMC_UP.html</t>
  </si>
  <si>
    <t>2633;3820;8477;10019;3115;921;2811;3684;5816;3108;8809;597;3805;54861;51513</t>
  </si>
  <si>
    <t>GBP1;KLRB1;GPR65;SH2B3;HLA-DPB1;CD5;GP1BA;ITGAM;PVALB;HLA-DMA;IL18R1;BCL2A1;KIR2DL4;SNRK;ETV7</t>
  </si>
  <si>
    <t>http://www.broadinstitute.org/gsea/msigdb/cards/GSE13484_12H_VS_3H_YF17D_VACCINE_STIM_PBMC_DN.html</t>
  </si>
  <si>
    <t>GSE13738_TCR_VS_BYSTANDER_ACTIVATED_CD4_TCELL_DN</t>
  </si>
  <si>
    <t>3695;3587;3603;201633;115362;81030;4063;6793;1102;240;596;1235;8905;3123;51513</t>
  </si>
  <si>
    <t>ITGB7;IL10RA;IL16;TIGIT;GBP5;ZBP1;LY9;STK10;RCBTB2;ALOX5;BCL2;CCR6;AP1S2;HLA-DRB1;ETV7</t>
  </si>
  <si>
    <t>http://www.broadinstitute.org/gsea/msigdb/cards/GSE13738_TCR_VS_BYSTANDER_ACTIVATED_CD4_TCELL_DN.html</t>
  </si>
  <si>
    <t>GSE1432_1H_VS_24H_IFNG_MICROGLIA_UP</t>
  </si>
  <si>
    <t>9404;929;2350;3575;9332;9120;3956;728;4973;1601;5376;6503;10457;4327;23166</t>
  </si>
  <si>
    <t>LPXN;CD14;FOLR2;IL7R;CD163;SLC16A6;LGALS1;C5AR1;OLR1;DAB2;PMP22;SLA;GPNMB;MMP19;STAB1</t>
  </si>
  <si>
    <t>http://www.broadinstitute.org/gsea/msigdb/cards/GSE1432_1H_VS_24H_IFNG_MICROGLIA_UP.html</t>
  </si>
  <si>
    <t>GSE14769_UNSTIM_VS_40MIN_LPS_BMDM_DN</t>
  </si>
  <si>
    <t>3627;929;3659;6351;5734;3587;80231;9034;3586;969;7185;100506736;375387;57823;53831</t>
  </si>
  <si>
    <t>CXCL10;CD14;IRF1;CCL4;PTGER4;IL10RA;CXorf21;CCRL2;IL10;CD69;TRAF1;SLFN12L;NRROS;SLAMF7;GPR84</t>
  </si>
  <si>
    <t>http://www.broadinstitute.org/gsea/msigdb/cards/GSE14769_UNSTIM_VS_40MIN_LPS_BMDM_DN.html</t>
  </si>
  <si>
    <t>GSE17580_TREG_VS_TEFF_S_MANSONI_INF_DN</t>
  </si>
  <si>
    <t>7456;9402;940;6352;5551;2124;2313;3702;8832;30009;8320;596;54;3003;151556</t>
  </si>
  <si>
    <t>WIPF1;GRAP2;CD28;CCL5;PRF1;EVI2B;FLI1;ITK;CD84;TBX21;EOMES;BCL2;ACP5;GZMK;GPR155</t>
  </si>
  <si>
    <t>http://www.broadinstitute.org/gsea/msigdb/cards/GSE17580_TREG_VS_TEFF_S_MANSONI_INF_DN.html</t>
  </si>
  <si>
    <t>GSE17580_UNINFECTED_VS_S_MANSONI_INF_TREG_UP</t>
  </si>
  <si>
    <t>951;1236;944;79930;64926;64231;55303;29992;10019;4049;596;54;6402;4050;59345</t>
  </si>
  <si>
    <t>CD37;CCR7;TNFSF8;DOK3;RASAL3;MS4A6A;GIMAP4;PILRA;SH2B3;LTA;BCL2;ACP5;SELL;LTB;GNB4</t>
  </si>
  <si>
    <t>http://www.broadinstitute.org/gsea/msigdb/cards/GSE17580_UNINFECTED_VS_S_MANSONI_INF_TREG_UP.html</t>
  </si>
  <si>
    <t>GSE17721_LPS_VS_POLYIC_1H_BMDC_UP</t>
  </si>
  <si>
    <t>22797;10068;3560;51056;5734;3937;3662;114548;53346;8832;1102;1435;4481;100506736;79630</t>
  </si>
  <si>
    <t>TFEC;IL18BP;IL2RB;LAP3;PTGER4;LCP2;IRF4;NLRP3;TM6SF1;CD84;RCBTB2;CSF1;MSR1;SLFN12L;C1orf54</t>
  </si>
  <si>
    <t>http://www.broadinstitute.org/gsea/msigdb/cards/GSE17721_LPS_VS_POLYIC_1H_BMDC_UP.html</t>
  </si>
  <si>
    <t>9404;3659;3695;7805;93978;150372;11314;10437;3108;6891;4033;100506736;116071;7462;25939</t>
  </si>
  <si>
    <t>LPXN;IRF1;ITGB7;LAPTM5;CLEC6A;NFAM1;CD300A;IFI30;HLA-DMA;TAP2;LRMP;SLFN12L;BATF2;LAT2;SAMHD1</t>
  </si>
  <si>
    <t>http://www.broadinstitute.org/gsea/msigdb/cards/GSE17721_LPS_VS_POLYIC_12H_BMDC_DN.html</t>
  </si>
  <si>
    <t>GSE17721_POLYIC_VS_PAM3CSK4_2H_BMDC_UP</t>
  </si>
  <si>
    <t>2123;221472;3635;11184;64231;56659;50615;56833;225;25900;161145;131450;54861;55281;9935</t>
  </si>
  <si>
    <t>EVI2A;FGD2;INPP5D;MAP4K1;MS4A6A;KCNK13;IL21R;SLAMF8;ABCD2;IFFO1;TMEM229B;CD200R1;SNRK;TMEM140;MAFB</t>
  </si>
  <si>
    <t>http://www.broadinstitute.org/gsea/msigdb/cards/GSE17721_POLYIC_VS_PAM3CSK4_2H_BMDC_UP.html</t>
  </si>
  <si>
    <t>GSE17721_POLYIC_VS_PAM3CSK4_6H_BMDC_UP</t>
  </si>
  <si>
    <t>6352;399;64333;51284;54209;596;4360;2829;8905;27163;90634;84230;7462;51063;85479</t>
  </si>
  <si>
    <t>CCL5;RHOH;ARHGAP9;TLR7;TREM2;BCL2;MRC1;XCR1;AP1S2;NAAA;N4BP2L1;LRRC8C;LAT2;CALHM2;DNAJC5B</t>
  </si>
  <si>
    <t>http://www.broadinstitute.org/gsea/msigdb/cards/GSE17721_POLYIC_VS_PAM3CSK4_6H_BMDC_UP.html</t>
  </si>
  <si>
    <t>GSE17721_PAM3CSK4_VS_CPG_8H_BMDC_DN</t>
  </si>
  <si>
    <t>9450;3575;7453;941;115361;58475;51311;57105;56833;9034;4049;6693;10148;80821;4644</t>
  </si>
  <si>
    <t>LY86;IL7R;WARS;CD80;GBP4;MS4A7;TLR8;CYSLTR2;SLAMF8;CCRL2;LTA;SPN;EBI3;DDHD1;MYO5A</t>
  </si>
  <si>
    <t>http://www.broadinstitute.org/gsea/msigdb/cards/GSE17721_PAM3CSK4_VS_CPG_8H_BMDC_DN.html</t>
  </si>
  <si>
    <t>GSE17721_CPG_VS_GARDIQUIMOD_4H_BMDC_UP</t>
  </si>
  <si>
    <t>5341;971;2123;942;3702;399;259307;51744;23228;9034;1237;10148;375387;116071;55281</t>
  </si>
  <si>
    <t>PLEK;CD72;EVI2A;CD86;ITK;RHOH;IL4I1;CD244;PLCL2;CCRL2;CCR8;EBI3;NRROS;BATF2;TMEM140</t>
  </si>
  <si>
    <t>http://www.broadinstitute.org/gsea/msigdb/cards/GSE17721_CPG_VS_GARDIQUIMOD_4H_BMDC_UP.html</t>
  </si>
  <si>
    <t>GSE17721_LPS_VS_PAM3CSK4_6H_BMDC_UP</t>
  </si>
  <si>
    <t>3559;3932;3676;81704;51311;54209;23228;3111;6891;4208;814;100506736;80821;51466;11217</t>
  </si>
  <si>
    <t>IL2RA;LCK;ITGA4;DOCK8;TLR8;TREM2;PLCL2;HLA-DOA;TAP2;MEF2C;CAMK4;SLFN12L;DDHD1;EVL;AKAP2</t>
  </si>
  <si>
    <t>http://www.broadinstitute.org/gsea/msigdb/cards/GSE17721_LPS_VS_PAM3CSK4_6H_BMDC_UP.html</t>
  </si>
  <si>
    <t>GSE17721_LPS_VS_CPG_8H_BMDC_UP</t>
  </si>
  <si>
    <t>3627;6351;7453;146722;4064;81030;55589;1435;6891;151556;54518;25890;51762;57823;29126</t>
  </si>
  <si>
    <t>CXCL10;CCL4;WARS;CD300LF;CD180;ZBP1;BMP2K;CSF1;TAP2;GPR155;APBB1IP;ABI3BP;RAB8B;SLAMF7;CD274</t>
  </si>
  <si>
    <t>http://www.broadinstitute.org/gsea/msigdb/cards/GSE17721_LPS_VS_CPG_8H_BMDC_UP.html</t>
  </si>
  <si>
    <t>GSE17721_POLYIC_VS_GARDIQUIMOD_2H_BMDC_DN</t>
  </si>
  <si>
    <t>713;7133;919;53346;9034;5816;2357;728;11010;5376;3123;151556;116071;80821;53831</t>
  </si>
  <si>
    <t>C1QB;TNFRSF1B;CD247;TM6SF1;CCRL2;PVALB;FPR1;C5AR1;GLIPR1;PMP22;HLA-DRB1;GPR155;BATF2;DDHD1;GPR84</t>
  </si>
  <si>
    <t>http://www.broadinstitute.org/gsea/msigdb/cards/GSE17721_POLYIC_VS_GARDIQUIMOD_2H_BMDC_DN.html</t>
  </si>
  <si>
    <t>972;6036;3001;942;3937;7805;399;259307;54209;23228;4049;3553;116071;51762;4644</t>
  </si>
  <si>
    <t>CD74;RNASE2;GZMA;CD86;LCP2;LAPTM5;RHOH;IL4I1;TREM2;PLCL2;LTA;IL1B;BATF2;RAB8B;MYO5A</t>
  </si>
  <si>
    <t>http://www.broadinstitute.org/gsea/msigdb/cards/GSE17721_4_VS_24H_GARDIQUIMOD_BMDC_UP.html</t>
  </si>
  <si>
    <t>GSE17974_0H_VS_6H_IN_VITRO_ACT_CD4_TCELL_UP</t>
  </si>
  <si>
    <t>4542;9051;9046;920;3676;3587;9744;128611;283897;23533;3684;10077;64174;55013;25939</t>
  </si>
  <si>
    <t>MYO1F;PSTPIP1;DOK2;CD4;ITGA4;IL10RA;ACAP1;ZNF831;C16orf54;PIK3R5;ITGAM;TSPAN32;DPEP2;MCUB;SAMHD1</t>
  </si>
  <si>
    <t>http://www.broadinstitute.org/gsea/msigdb/cards/GSE17974_0H_VS_6H_IN_VITRO_ACT_CD4_TCELL_UP.html</t>
  </si>
  <si>
    <t>GSE17974_CTRL_VS_ACT_IL4_AND_ANTI_IL12_4H_CD4_TCELL_UP</t>
  </si>
  <si>
    <t>5579;3676;9744;128611;92241;149628;54557;4063;54209;9056;943;27163;64174;29125;25939</t>
  </si>
  <si>
    <t>PRKCB;ITGA4;ACAP1;ZNF831;RCSD1;PYHIN1;SGTB;LY9;TREM2;SLC7A7;TNFRSF8;NAAA;DPEP2;C11orf21;SAMHD1</t>
  </si>
  <si>
    <t>http://www.broadinstitute.org/gsea/msigdb/cards/GSE17974_CTRL_VS_ACT_IL4_AND_ANTI_IL12_4H_CD4_TCELL_UP.html</t>
  </si>
  <si>
    <t>GSE17974_CTRL_VS_ACT_IL4_AND_ANTI_IL12_48H_CD4_TCELL_UP</t>
  </si>
  <si>
    <t>7305;5341;3055;3676;3575;944;2124;3820;3122;3684;27163;10077;79690;64581;64174</t>
  </si>
  <si>
    <t>TYROBP;PLEK;HCK;ITGA4;IL7R;TNFSF8;EVI2B;KLRB1;HLA-DRA;ITGAM;NAAA;TSPAN32;GAL3ST4;CLEC7A;DPEP2</t>
  </si>
  <si>
    <t>http://www.broadinstitute.org/gsea/msigdb/cards/GSE17974_CTRL_VS_ACT_IL4_AND_ANTI_IL12_48H_CD4_TCELL_UP.html</t>
  </si>
  <si>
    <t>GSE17974_IL4_AND_ANTI_IL12_VS_UNTREATED_48H_ACT_CD4_TCELL_UP</t>
  </si>
  <si>
    <t>9840;313;2124;10225;53347;3587;170371;160365;154075;128346;139716;9938;8905;27314;597</t>
  </si>
  <si>
    <t>TESPA1;AOAH;EVI2B;CD96;UBASH3A;IL10RA;TMEM273;CLECL1;SAMD3;C1orf162;GAB3;ARHGAP25;AP1S2;RAB30;BCL2A1</t>
  </si>
  <si>
    <t>http://www.broadinstitute.org/gsea/msigdb/cards/GSE17974_IL4_AND_ANTI_IL12_VS_UNTREATED_48H_ACT_CD4_TCELL_UP.html</t>
  </si>
  <si>
    <t>GSE18791_CTRL_VS_NEWCASTLE_VIRUS_DC_16H_DN</t>
  </si>
  <si>
    <t>3659;7453;3394;4283;11262;84166;115362;115361;9881;4049;7185;10148;116071;6614;57823</t>
  </si>
  <si>
    <t>IRF1;WARS;IRF8;CXCL9;SP140;NLRC5;GBP5;GBP4;TRANK1;LTA;TRAF1;EBI3;BATF2;SIGLEC1;SLAMF7</t>
  </si>
  <si>
    <t>http://www.broadinstitute.org/gsea/msigdb/cards/GSE18791_CTRL_VS_NEWCASTLE_VIRUS_DC_16H_DN.html</t>
  </si>
  <si>
    <t>GSE18791_CTRL_VS_NEWCASTLE_VIRUS_DC_18H_DN</t>
  </si>
  <si>
    <t>3659;6352;3394;6890;4283;11262;115362;115361;116986;197135;6373;596;145864;6614;26157</t>
  </si>
  <si>
    <t>IRF1;CCL5;IRF8;TAP1;CXCL9;SP140;GBP5;GBP4;AGAP2;PATL2;CXCL11;BCL2;HAPLN3;SIGLEC1;GIMAP2</t>
  </si>
  <si>
    <t>http://www.broadinstitute.org/gsea/msigdb/cards/GSE18791_CTRL_VS_NEWCASTLE_VIRUS_DC_18H_DN.html</t>
  </si>
  <si>
    <t>GSE19825_CD24LOW_VS_IL2RA_HIGH_DAY3_EFF_CD8_TCELL_UP</t>
  </si>
  <si>
    <t>9450;5579;653361;919;55016;53346;84174;55303;8832;23228;29909;3902;155038;81553;83937</t>
  </si>
  <si>
    <t>LY86;PRKCB;NCF1;CD247;MARCH1;TM6SF1;SLA2;GIMAP4;CD84;PLCL2;GPR171;LAG3;GIMAP8;FAM49A;RASSF4</t>
  </si>
  <si>
    <t>http://www.broadinstitute.org/gsea/msigdb/cards/GSE19825_CD24LOW_VS_IL2RA_HIGH_DAY3_EFF_CD8_TCELL_UP.html</t>
  </si>
  <si>
    <t>GSE20366_TREG_VS_TCONV_DN</t>
  </si>
  <si>
    <t>9535;3458;920;2123;959;286336;9332;59067;356;1235;4973;4818;10235;79895;57823</t>
  </si>
  <si>
    <t>GMFG;IFNG;CD4;EVI2A;CD40LG;FAM78A;CD163;IL21;FASLG;CCR6;OLR1;NKG7;RASGRP2;ATP8B4;SLAMF7</t>
  </si>
  <si>
    <t>http://www.broadinstitute.org/gsea/msigdb/cards/GSE20366_TREG_VS_TCONV_DN.html</t>
  </si>
  <si>
    <t>GSE20366_TREG_VS_NAIVE_CD4_TCELL_HOMEOSTATIC_CONVERSION_UP</t>
  </si>
  <si>
    <t>3559;3560;92241;115361;80380;27033;197135;5552;3002;6402;5724;3604;79865;50943;25939</t>
  </si>
  <si>
    <t>IL2RA;IL2RB;RCSD1;GBP4;PDCD1LG2;ZBTB32;PATL2;SRGN;GZMB;SELL;PTAFR;TNFRSF9;TREML2;FOXP3;SAMHD1</t>
  </si>
  <si>
    <t>http://www.broadinstitute.org/gsea/msigdb/cards/GSE20366_TREG_VS_NAIVE_CD4_TCELL_HOMEOSTATIC_CONVERSION_UP.html</t>
  </si>
  <si>
    <t>GSE20366_TREG_VS_NAIVE_CD4_TCELL_DEC205_CONVERSION_DN</t>
  </si>
  <si>
    <t>3458;3575;286336;387357;256380;4094;8320;356;8905;27163;9363;57514;55704;100506736;79895</t>
  </si>
  <si>
    <t>IFNG;IL7R;FAM78A;THEMIS;SCML4;MAF;EOMES;FASLG;AP1S2;NAAA;RAB33A;ARHGAP31;CCDC88A;SLFN12L;ATP8B4</t>
  </si>
  <si>
    <t>http://www.broadinstitute.org/gsea/msigdb/cards/GSE20366_TREG_VS_NAIVE_CD4_TCELL_DEC205_CONVERSION_DN.html</t>
  </si>
  <si>
    <t>GSE20715_0H_VS_6H_OZONE_TLR4_KO_LUNG_UP</t>
  </si>
  <si>
    <t>915;3932;917;4245;399;3903;57105;11314;926;3112;2529;3824;118788;51762;56606</t>
  </si>
  <si>
    <t>CD3D;LCK;CD3G;MGAT1;RHOH;LAIR1;CYSLTR2;CD300A;CD8B;HLA-DOB;FUT7;KLRD1;PIK3AP1;RAB8B;SLC2A9</t>
  </si>
  <si>
    <t>http://www.broadinstitute.org/gsea/msigdb/cards/GSE20715_0H_VS_6H_OZONE_TLR4_KO_LUNG_UP.html</t>
  </si>
  <si>
    <t>GSE22886_IGA_VS_IGM_MEMORY_BCELL_DN</t>
  </si>
  <si>
    <t>5341;971;3587;10875;116986;8832;9056;8564;3717;3162;9103;241;2213;6503;90634</t>
  </si>
  <si>
    <t>PLEK;CD72;IL10RA;FGL2;AGAP2;CD84;SLC7A7;KMO;JAK2;HMOX1;FCGR2A;ALOX5AP;FCGR2B;SLA;N4BP2L1</t>
  </si>
  <si>
    <t>http://www.broadinstitute.org/gsea/msigdb/cards/GSE22886_IGA_VS_IGM_MEMORY_BCELL_DN.html</t>
  </si>
  <si>
    <t>9450;971;3394;7805;55016;114548;8742;3115;241;2359;10148;10235;4215;64174;80183</t>
  </si>
  <si>
    <t>LY86;CD72;IRF8;LAPTM5;MARCH1;NLRP3;TNFSF12;HLA-DPB1;ALOX5AP;FPR3;EBI3;RASGRP2;MAP3K3;DPEP2;RUBCNL</t>
  </si>
  <si>
    <t>http://www.broadinstitute.org/gsea/msigdb/cards/GSE22886_IGG_IGA_MEMORY_BCELL_VS_BLOOD_PLASMA_CELL_UP.html</t>
  </si>
  <si>
    <t>GSE22886_NAIVE_CD4_TCELL_VS_NEUTROPHIL_UP</t>
  </si>
  <si>
    <t>920;914;917;923;1236;10225;7535;53347;3702;3587;399;55423;3115;924;64919</t>
  </si>
  <si>
    <t>CD4;CD2;CD3G;CD6;CCR7;CD96;ZAP70;UBASH3A;ITK;IL10RA;RHOH;SIRPG;HLA-DPB1;CD7;BCL11B</t>
  </si>
  <si>
    <t>http://www.broadinstitute.org/gsea/msigdb/cards/GSE22886_NAIVE_CD4_TCELL_VS_NEUTROPHIL_UP.html</t>
  </si>
  <si>
    <t>22797;972;51296;255231;56833;9056;6373;3117;3956;6037;2359;27163;118788;10462;59345</t>
  </si>
  <si>
    <t>TFEC;CD74;SLC15A3;MCOLN2;SLAMF8;SLC7A7;CXCL11;HLA-DQA1;LGALS1;RNASE3;FPR3;NAAA;PIK3AP1;CLEC10A;GNB4</t>
  </si>
  <si>
    <t>http://www.broadinstitute.org/gsea/msigdb/cards/GSE24102_GRANULOCYSTIC_MDSC_VS_NEUTROPHIL_DN.html</t>
  </si>
  <si>
    <t>GSE24634_TEFF_VS_TCONV_DAY5_IN_CULTURE_DN</t>
  </si>
  <si>
    <t>2533;9214;3932;3687;919;4671;3603;9744;399;4063;23228;9881;3684;4973;9806</t>
  </si>
  <si>
    <t>FYB1;FCMR;LCK;ITGAX;CD247;NAIP;IL16;ACAP1;RHOH;LY9;PLCL2;TRANK1;ITGAM;OLR1;SPOCK2</t>
  </si>
  <si>
    <t>http://www.broadinstitute.org/gsea/msigdb/cards/GSE24634_TEFF_VS_TCONV_DAY5_IN_CULTURE_DN.html</t>
  </si>
  <si>
    <t>GSE24634_IL4_VS_CTRL_TREATED_NAIVE_CD4_TCELL_DAY7_DN</t>
  </si>
  <si>
    <t>929;971;7453;51056;2633;942;3717;4688;526;5724;597;11027;7462;81553;30817</t>
  </si>
  <si>
    <t>CD14;CD72;WARS;LAP3;GBP1;CD86;JAK2;NCF2;ATP6V1B2;PTAFR;BCL2A1;LILRA2;LAT2;FAM49A;ADGRE2</t>
  </si>
  <si>
    <t>http://www.broadinstitute.org/gsea/msigdb/cards/GSE24634_IL4_VS_CTRL_TREATED_NAIVE_CD4_TCELL_DAY7_DN.html</t>
  </si>
  <si>
    <t>GSE26669_CTRL_VS_COSTIM_BLOCK_MLR_CD8_TCELL_DN</t>
  </si>
  <si>
    <t>9450;5579;6352;3687;2124;10320;283897;57580;4064;4066;54;7185;3824;57705;23166</t>
  </si>
  <si>
    <t>LY86;PRKCB;CCL5;ITGAX;EVI2B;IKZF1;C16orf54;PREX1;CD180;LYL1;ACP5;TRAF1;KLRD1;WDFY4;STAB1</t>
  </si>
  <si>
    <t>http://www.broadinstitute.org/gsea/msigdb/cards/GSE26669_CTRL_VS_COSTIM_BLOCK_MLR_CD8_TCELL_DN.html</t>
  </si>
  <si>
    <t>GSE2706_UNSTIM_VS_8H_LPS_DC_DN</t>
  </si>
  <si>
    <t>8676;3587;10288;115362;23048;80342;27033;10154;596;9938;3718;6891;27314;441168;81553</t>
  </si>
  <si>
    <t>STX11;IL10RA;LILRB2;GBP5;FNBP1;TRAF3IP3;ZBTB32;PLXNC1;BCL2;ARHGAP25;JAK3;TAP2;RAB30;CALHM6;FAM49A</t>
  </si>
  <si>
    <t>http://www.broadinstitute.org/gsea/msigdb/cards/GSE2706_UNSTIM_VS_8H_LPS_DC_DN.html</t>
  </si>
  <si>
    <t>GSE2706_R848_VS_R848_AND_LPS_8H_STIM_DC_UP</t>
  </si>
  <si>
    <t>4542;2533;1436;1493;10875;1794;54557;64407;4094;3162;2359;1230;10184;26157;25939</t>
  </si>
  <si>
    <t>MYO1F;FYB1;CSF1R;CTLA4;FGL2;DOCK2;SGTB;RGS18;MAF;HMOX1;FPR3;CCR1;LHFPL2;GIMAP2;SAMHD1</t>
  </si>
  <si>
    <t>http://www.broadinstitute.org/gsea/msigdb/cards/GSE2706_R848_VS_R848_AND_LPS_8H_STIM_DC_UP.html</t>
  </si>
  <si>
    <t>4542;945;3071;3937;9459;374403;128346;1794;53346;64407;57705;10462;91526;79895;84329</t>
  </si>
  <si>
    <t>MYO1F;CD33;NCKAP1L;LCP2;ARHGEF6;TBC1D10C;C1orf162;DOCK2;TM6SF1;RGS18;WDFY4;CLEC10A;ANKRD44;ATP8B4;HVCN1</t>
  </si>
  <si>
    <t>http://www.broadinstitute.org/gsea/msigdb/cards/GSE2706_2H_VS_8H_R848_AND_LPS_STIM_DC_UP.html</t>
  </si>
  <si>
    <t>GSE27786_LSK_VS_CD4_TCELL_DN</t>
  </si>
  <si>
    <t>4354;6890;10871;8514;10320;10875;9744;197358;84166;57580;11184;81030;1621;2213;91010</t>
  </si>
  <si>
    <t>MPP1;TAP1;CD300C;KCNAB2;IKZF1;FGL2;ACAP1;NLRC3;NLRC5;PREX1;MAP4K1;ZBP1;DBH;FCGR2B;FMNL3</t>
  </si>
  <si>
    <t>http://www.broadinstitute.org/gsea/msigdb/cards/GSE27786_LSK_VS_CD4_TCELL_DN.html</t>
  </si>
  <si>
    <t>GSE27786_CD8_TCELL_VS_NKTCELL_DN</t>
  </si>
  <si>
    <t>3676;7133;3683;3687;313;55340;23048;2672;2357;2213;27163;10457;375387;55619;50515</t>
  </si>
  <si>
    <t>ITGA4;TNFRSF1B;ITGAL;ITGAX;AOAH;GIMAP5;FNBP1;GFI1;FPR1;FCGR2B;NAAA;GPNMB;NRROS;DOCK10;CHST11</t>
  </si>
  <si>
    <t>http://www.broadinstitute.org/gsea/msigdb/cards/GSE27786_CD8_TCELL_VS_NKTCELL_DN.html</t>
  </si>
  <si>
    <t>GSE27786_NKCELL_VS_NKTCELL_UP</t>
  </si>
  <si>
    <t>2533;1318;5788;6036;5551;7805;1240;6793;2162;3108;10148;10235;84106;4215;59345</t>
  </si>
  <si>
    <t>FYB1;SLC31A2;PTPRC;RNASE2;PRF1;LAPTM5;CMKLR1;STK10;F13A1;HLA-DMA;EBI3;RASGRP2;PRAM1;MAP3K3;GNB4</t>
  </si>
  <si>
    <t>http://www.broadinstitute.org/gsea/msigdb/cards/GSE27786_NKCELL_VS_NKTCELL_UP.html</t>
  </si>
  <si>
    <t>GSE2826_WT_VS_BTK_KO_BCELL_DN</t>
  </si>
  <si>
    <t>929;51056;2322;7535;3702;5800;50856;29851;10537;1508;3162;6546;3604;7185;6363</t>
  </si>
  <si>
    <t>CD14;LAP3;FLT3;ZAP70;ITK;PTPRO;CLEC4A;ICOS;UBD;CTSB;HMOX1;SLC8A1;TNFRSF9;TRAF1;CCL19</t>
  </si>
  <si>
    <t>http://www.broadinstitute.org/gsea/msigdb/cards/GSE2826_WT_VS_BTK_KO_BCELL_DN.html</t>
  </si>
  <si>
    <t>GSE30083_SP2_VS_SP3_THYMOCYTE_DN</t>
  </si>
  <si>
    <t>3676;2124;6404;219972;286336;255231;6039;84174;2848;926;6402;729230;8809;653567;79895</t>
  </si>
  <si>
    <t>ITGA4;EVI2B;SELPLG;MPEG1;FAM78A;MCOLN2;RNASE6;SLA2;GPR25;CD8B;SELL;CCR2;IL18R1;TMEM236;ATP8B4</t>
  </si>
  <si>
    <t>http://www.broadinstitute.org/gsea/msigdb/cards/GSE30083_SP2_VS_SP3_THYMOCYTE_DN.html</t>
  </si>
  <si>
    <t>GSE30962_ACUTE_VS_CHRONIC_LCMV_PRIMARY_INF_CD8_TCELL_DN</t>
  </si>
  <si>
    <t>3627;653361;1493;51056;2207;3394;92241;51744;59067;3902;4208;3604;5133;9806;55691</t>
  </si>
  <si>
    <t>CXCL10;NCF1;CTLA4;LAP3;FCER1G;IRF8;RCSD1;CD244;IL21;LAG3;MEF2C;TNFRSF9;PDCD1;SPOCK2;FRMD4A</t>
  </si>
  <si>
    <t>http://www.broadinstitute.org/gsea/msigdb/cards/GSE30962_ACUTE_VS_CHRONIC_LCMV_PRIMARY_INF_CD8_TCELL_DN.html</t>
  </si>
  <si>
    <t>GSE31082_CD4_VS_CD8_SP_THYMOCYTE_DN</t>
  </si>
  <si>
    <t>3676;5551;3560;3695;2124;10225;286336;114836;10870;50856;54;6693;64780;79895;55691</t>
  </si>
  <si>
    <t>ITGA4;PRF1;IL2RB;ITGB7;EVI2B;CD96;FAM78A;SLAMF6;HCST;CLEC4A;ACP5;SPN;MICAL1;ATP8B4;FRMD4A</t>
  </si>
  <si>
    <t>http://www.broadinstitute.org/gsea/msigdb/cards/GSE31082_CD4_VS_CD8_SP_THYMOCYTE_DN.html</t>
  </si>
  <si>
    <t>GSE32423_IL7_VS_IL7_IL4_NAIVE_CD8_TCELL_DN</t>
  </si>
  <si>
    <t>27334;2533;919;4245;3937;50852;221188;256380;170575;8530;3290;90634;51762;5027;51466</t>
  </si>
  <si>
    <t>P2RY10;FYB1;CD247;MGAT1;LCP2;TRAT1;ADGRG5;SCML4;GIMAP1;CST7;HSD11B1;N4BP2L1;RAB8B;P2RX7;EVL</t>
  </si>
  <si>
    <t>http://www.broadinstitute.org/gsea/msigdb/cards/GSE32423_IL7_VS_IL7_IL4_NAIVE_CD8_TCELL_DN.html</t>
  </si>
  <si>
    <t>9404;11309;2268;951;2350;945;5294;4689;3635;8564;1508;3162;54504;22900;25939</t>
  </si>
  <si>
    <t>LPXN;SLCO2B1;FGR;CD37;FOLR2;CD33;PIK3CG;NCF4;INPP5D;KMO;CTSB;HMOX1;CPVL;CARD8;SAMHD1</t>
  </si>
  <si>
    <t>http://www.broadinstitute.org/gsea/msigdb/cards/GSE360_CTRL_VS_L_MAJOR_DC_UP.html</t>
  </si>
  <si>
    <t>GSE360_CTRL_VS_T_GONDII_DC_DN</t>
  </si>
  <si>
    <t>27334;8676;3575;1236;2633;1439;5734;6890;4283;26051;2811;356;7185;90634;10507</t>
  </si>
  <si>
    <t>P2RY10;STX11;IL7R;CCR7;GBP1;CSF2RB;PTGER4;TAP1;CXCL9;PPP1R16B;GP1BA;FASLG;TRAF1;N4BP2L1;SEMA4D</t>
  </si>
  <si>
    <t>http://www.broadinstitute.org/gsea/msigdb/cards/GSE360_CTRL_VS_T_GONDII_DC_DN.html</t>
  </si>
  <si>
    <t>GSE360_DC_VS_MAC_M_TUBERCULOSIS_DN</t>
  </si>
  <si>
    <t>9450;945;2207;3561;199;9332;11314;11326;27299;240;4481;10457;597;11027;10507</t>
  </si>
  <si>
    <t>LY86;CD33;FCER1G;IL2RG;AIF1;CD163;CD300A;VSIG4;ADAMDEC1;ALOX5;MSR1;GPNMB;BCL2A1;LILRA2;SEMA4D</t>
  </si>
  <si>
    <t>http://www.broadinstitute.org/gsea/msigdb/cards/GSE360_DC_VS_MAC_M_TUBERCULOSIS_DN.html</t>
  </si>
  <si>
    <t>GSE360_T_GONDII_VS_B_MALAYI_HIGH_DOSE_DC_DN</t>
  </si>
  <si>
    <t>9046;2350;3635;6039;4094;1102;2162;341;240;4066;4481;8905;25900;11027;54504</t>
  </si>
  <si>
    <t>DOK2;FOLR2;INPP5D;RNASE6;MAF;RCBTB2;F13A1;APOC1;ALOX5;LYL1;MSR1;AP1S2;IFFO1;LILRA2;CPVL</t>
  </si>
  <si>
    <t>http://www.broadinstitute.org/gsea/msigdb/cards/GSE360_T_GONDII_VS_B_MALAYI_HIGH_DOSE_DC_DN.html</t>
  </si>
  <si>
    <t>GSE36392_MAC_VS_NEUTROPHIL_IL25_TREATED_LUNG_DN</t>
  </si>
  <si>
    <t>22797;713;714;929;963;923;8477;126014;3162;5816;1230;3363;4973;100506736;23166</t>
  </si>
  <si>
    <t>TFEC;C1QB;C1QC;CD14;CD53;CD6;GPR65;OSCAR;HMOX1;PVALB;CCR1;HTR7;OLR1;SLFN12L;STAB1</t>
  </si>
  <si>
    <t>http://www.broadinstitute.org/gsea/msigdb/cards/GSE36392_MAC_VS_NEUTROPHIL_IL25_TREATED_LUNG_DN.html</t>
  </si>
  <si>
    <t>GSE36476_CTRL_VS_TSST_ACT_16H_MEMORY_CD4_TCELL_YOUNG_DN</t>
  </si>
  <si>
    <t>1318;7305;3559;6351;1493;942;6890;3662;80896;4049;10437;3113;6776;10148;3123</t>
  </si>
  <si>
    <t>SLC31A2;TYROBP;IL2RA;CCL4;CTLA4;CD86;TAP1;IRF4;NPL;LTA;IFI30;HLA-DPA1;STAT5A;EBI3;HLA-DRB1</t>
  </si>
  <si>
    <t>http://www.broadinstitute.org/gsea/msigdb/cards/GSE36476_CTRL_VS_TSST_ACT_16H_MEMORY_CD4_TCELL_YOUNG_DN.html</t>
  </si>
  <si>
    <t>3689;962;2124;5734;3820;7805;3587;3635;114548;27128;23228;3003;969;10235;64174</t>
  </si>
  <si>
    <t>ITGB2;CD48;EVI2B;PTGER4;KLRB1;LAPTM5;IL10RA;INPP5D;NLRP3;CYTH4;PLCL2;GZMK;CD69;RASGRP2;DPEP2</t>
  </si>
  <si>
    <t>http://www.broadinstitute.org/gsea/msigdb/cards/GSE36476_CTRL_VS_TSST_ACT_40H_MEMORY_CD4_TCELL_YOUNG_UP.html</t>
  </si>
  <si>
    <t>9214;3932;916;3676;6504;11262;9459;55843;474344;50852;55340;29851;7454;11009;8809</t>
  </si>
  <si>
    <t>FCMR;LCK;CD3E;ITGA4;SLAMF1;SP140;ARHGEF6;ARHGAP15;GIMAP6;TRAT1;GIMAP5;ICOS;WAS;IL24;IL18R1</t>
  </si>
  <si>
    <t>http://www.broadinstitute.org/gsea/msigdb/cards/GSE3982_DC_VS_CENT_MEMORY_CD4_TCELL_DN.html</t>
  </si>
  <si>
    <t>GSE3982_MAC_VS_NEUTROPHIL_DN</t>
  </si>
  <si>
    <t>27334;4068;963;114548;2672;55423;9881;366;10154;5724;9938;6891;3805;50943;51513</t>
  </si>
  <si>
    <t>P2RY10;SH2D1A;CD53;NLRP3;GFI1;SIRPG;TRANK1;AQP9;PLXNC1;PTAFR;ARHGAP25;TAP2;KIR2DL4;FOXP3;ETV7</t>
  </si>
  <si>
    <t>http://www.broadinstitute.org/gsea/msigdb/cards/GSE3982_MAC_VS_NEUTROPHIL_DN.html</t>
  </si>
  <si>
    <t>GSE3982_MAC_VS_NKCELL_UP</t>
  </si>
  <si>
    <t>4671;91752;55016;27180;10154;3115;3162;1435;4066;728;6518;2213;5376;55281;4644</t>
  </si>
  <si>
    <t>NAIP;ZNF804A;MARCH1;SIGLEC9;PLXNC1;HLA-DPB1;HMOX1;CSF1;LYL1;C5AR1;SLC2A5;FCGR2B;PMP22;TMEM140;MYO5A</t>
  </si>
  <si>
    <t>http://www.broadinstitute.org/gsea/msigdb/cards/GSE3982_MAC_VS_NKCELL_UP.html</t>
  </si>
  <si>
    <t>GSE3982_MAC_VS_TH2_UP</t>
  </si>
  <si>
    <t>972;8832;9056;9034;2219;6556;5376;3123;11027;9754;54504;64174;55281;23166;55691</t>
  </si>
  <si>
    <t>CD74;CD84;SLC7A7;CCRL2;FCN1;SLC11A1;PMP22;HLA-DRB1;LILRA2;STARD8;CPVL;DPEP2;TMEM140;STAB1;FRMD4A</t>
  </si>
  <si>
    <t>http://www.broadinstitute.org/gsea/msigdb/cards/GSE3982_MAC_VS_TH2_UP.html</t>
  </si>
  <si>
    <t>GSE39820_CTRL_VS_IL1B_IL6_CD4_TCELL_DN</t>
  </si>
  <si>
    <t>9404;5341;3001;3575;6504;9744;89857;59067;57105;3717;4094;19;5552;3109;4818</t>
  </si>
  <si>
    <t>LPXN;PLEK;GZMA;IL7R;SLAMF1;ACAP1;KLHL6;IL21;CYSLTR2;JAK2;MAF;ABCA1;SRGN;HLA-DMB;NKG7</t>
  </si>
  <si>
    <t>http://www.broadinstitute.org/gsea/msigdb/cards/GSE39820_CTRL_VS_IL1B_IL6_CD4_TCELL_DN.html</t>
  </si>
  <si>
    <t>GSE39820_IL1B_IL6_VS_IL1B_IL6_IL23A_TREATED_CD4_TCELL_DN</t>
  </si>
  <si>
    <t>4210;8676;2123;5734;4354;92241;8477;23048;6793;348;4688;1235;25780;79895;59345</t>
  </si>
  <si>
    <t>MEFV;STX11;EVI2A;PTGER4;MPP1;RCSD1;GPR65;FNBP1;STK10;APOE;NCF2;CCR6;RASGRP3;ATP8B4;GNB4</t>
  </si>
  <si>
    <t>http://www.broadinstitute.org/gsea/msigdb/cards/GSE39820_IL1B_IL6_VS_IL1B_IL6_IL23A_TREATED_CD4_TCELL_DN.html</t>
  </si>
  <si>
    <t>GSE7460_TCONV_VS_TREG_LN_UP</t>
  </si>
  <si>
    <t>9402;5294;3702;10320;286336;3903;151888;387357;256380;23533;59067;3824;10235;161145;79895</t>
  </si>
  <si>
    <t>GRAP2;PIK3CG;ITK;IKZF1;FAM78A;LAIR1;BTLA;THEMIS;SCML4;PIK3R5;IL21;KLRD1;RASGRP2;TMEM229B;ATP8B4</t>
  </si>
  <si>
    <t>http://www.broadinstitute.org/gsea/msigdb/cards/GSE7460_TCONV_VS_TREG_LN_UP.html</t>
  </si>
  <si>
    <t>GSE7460_FOXP3_MUT_VS_HET_ACT_TCONV_UP</t>
  </si>
  <si>
    <t>9046;3001;5294;6039;10673;29909;4094;1435;5552;2212;3824;131450;116442;51676;51063</t>
  </si>
  <si>
    <t>DOK2;GZMA;PIK3CG;RNASE6;TNFSF13B;GPR171;MAF;CSF1;SRGN;FCGR2A;KLRD1;CD200R1;RAB39B;ASB2;CALHM2</t>
  </si>
  <si>
    <t>http://www.broadinstitute.org/gsea/msigdb/cards/GSE7460_FOXP3_MUT_VS_HET_ACT_TCONV_UP.html</t>
  </si>
  <si>
    <t>GSE7852_LN_VS_THYMUS_TCONV_UP</t>
  </si>
  <si>
    <t>9214;3458;6352;1493;115361;8530;56253;2833;3824;8809;597;4818;441168;80709;55803</t>
  </si>
  <si>
    <t>FCMR;IFNG;CCL5;CTLA4;GBP4;CST7;CRTAM;CXCR3;KLRD1;IL18R1;BCL2A1;NKG7;CALHM6;AKNA;ADAP2</t>
  </si>
  <si>
    <t>http://www.broadinstitute.org/gsea/msigdb/cards/GSE7852_LN_VS_THYMUS_TCONV_UP.html</t>
  </si>
  <si>
    <t>GSE9988_LPS_VS_LPS_AND_ANTI_TREM1_MONOCYTE_DN</t>
  </si>
  <si>
    <t>3687;84868;89857;4063;8832;56253;1435;526;1230;1601;10672;10184;375387;9754;4327</t>
  </si>
  <si>
    <t>ITGAX;HAVCR2;KLHL6;LY9;CD84;CRTAM;CSF1;ATP6V1B2;CCR1;DAB2;GNA13;LHFPL2;NRROS;STARD8;MMP19</t>
  </si>
  <si>
    <t>http://www.broadinstitute.org/gsea/msigdb/cards/GSE9988_LPS_VS_LPS_AND_ANTI_TREM1_MONOCYTE_DN.html</t>
  </si>
  <si>
    <t>GSE2770_TGFB_AND_IL4_VS_IL12_TREATED_ACT_CD4_TCELL_48H_DN</t>
  </si>
  <si>
    <t>10663;6351;3071;391;8514;3587;79626;8477;80301;23533;197135;1102;4049;8809;51063</t>
  </si>
  <si>
    <t>CXCR6;CCL4;NCKAP1L;RHOG;KCNAB2;IL10RA;TNFAIP8L2;GPR65;PLEKHO2;PIK3R5;PATL2;RCBTB2;LTA;IL18R1;CALHM2</t>
  </si>
  <si>
    <t>http://www.broadinstitute.org/gsea/msigdb/cards/GSE2770_TGFB_AND_IL4_VS_IL12_TREATED_ACT_CD4_TCELL_48H_DN.html</t>
  </si>
  <si>
    <t>GSE2770_TGFB_AND_IL4_ACT_VS_ACT_CD4_TCELL_48H_UP</t>
  </si>
  <si>
    <t>3561;1234;3662;197358;23533;9034;27299;8564;3553;1508;526;6507;57514;9754;29126</t>
  </si>
  <si>
    <t>IL2RG;CCR5;IRF4;NLRC3;PIK3R5;CCRL2;ADAMDEC1;KMO;IL1B;CTSB;ATP6V1B2;SLC1A3;ARHGAP31;STARD8;CD274</t>
  </si>
  <si>
    <t>http://www.broadinstitute.org/gsea/msigdb/cards/GSE2770_TGFB_AND_IL4_ACT_VS_ACT_CD4_TCELL_48H_UP.html</t>
  </si>
  <si>
    <t>GSE2128_CTRL_VS_MIMETOPE_NEGATIVE_SELECTION_DP_THYMOCYTE_C57BL6_UP</t>
  </si>
  <si>
    <t>1536;3689;1234;256380;11024;1508;9103;526;729230;3123;10184;11027;5027;57823;29126</t>
  </si>
  <si>
    <t>CYBB;ITGB2;CCR5;SCML4;LILRA1;CTSB;FCGR2A;ATP6V1B2;CCR2;HLA-DRB1;LHFPL2;LILRA2;P2RX7;SLAMF7;CD274</t>
  </si>
  <si>
    <t>http://www.broadinstitute.org/gsea/msigdb/cards/GSE2128_CTRL_VS_MIMETOPE_NEGATIVE_SELECTION_DP_THYMOCYTE_C57BL6_UP.html</t>
  </si>
  <si>
    <t>GSE2405_S_AUREUS_VS_UNTREATED_NEUTROPHIL_DN</t>
  </si>
  <si>
    <t>27334;9535;4068;925;5579;3001;4354;2672;53346;84174;1102;2162;926;3988;814</t>
  </si>
  <si>
    <t>P2RY10;GMFG;SH2D1A;CD8A;PRKCB;GZMA;MPP1;GFI1;TM6SF1;SLA2;RCBTB2;F13A1;CD8B;LIPA;CAMK4</t>
  </si>
  <si>
    <t>http://www.broadinstitute.org/gsea/msigdb/cards/GSE2405_S_AUREUS_VS_UNTREATED_NEUTROPHIL_DN.html</t>
  </si>
  <si>
    <t>GSE2585_CTEC_VS_THYMIC_DC_UP</t>
  </si>
  <si>
    <t>7456;972;4245;2014;51393;79974;4481;3988;9938;1601;4240;57589;206358;64780;4327</t>
  </si>
  <si>
    <t>WIPF1;CD74;MGAT1;EMP3;TRPV2;CPED1;MSR1;LIPA;ARHGAP25;DAB2;MFGE8;RIC1;SLC36A1;MICAL1;MMP19</t>
  </si>
  <si>
    <t>http://www.broadinstitute.org/gsea/msigdb/cards/GSE2585_CTEC_VS_THYMIC_DC_UP.html</t>
  </si>
  <si>
    <t>GSE2585_AIRE_KO_VS_WT_CD80_LOW_MTEC_UP</t>
  </si>
  <si>
    <t>9595;3458;1536;6351;945;4332;11314;30009;6373;366;8530;6546;11009;3824;80183</t>
  </si>
  <si>
    <t>CYTIP;IFNG;CYBB;CCL4;CD33;MNDA;CD300A;TBX21;CXCL11;AQP9;CST7;SLC8A1;IL24;KLRD1;RUBCNL</t>
  </si>
  <si>
    <t>http://www.broadinstitute.org/gsea/msigdb/cards/GSE2585_AIRE_KO_VS_WT_CD80_LOW_MTEC_UP.html</t>
  </si>
  <si>
    <t>GSE1925_CTRL_VS_IFNG_PRIMED_MACROPHAGE_24H_IFNG_STIM_UP</t>
  </si>
  <si>
    <t>3659;3001;6772;3594;10320;3662;115361;64231;55303;8320;5552;6037;943;5133;7462</t>
  </si>
  <si>
    <t>IRF1;GZMA;STAT1;IL12RB1;IKZF1;IRF4;GBP4;MS4A6A;GIMAP4;EOMES;SRGN;RNASE3;TNFRSF8;PDCD1;LAT2</t>
  </si>
  <si>
    <t>http://www.broadinstitute.org/gsea/msigdb/cards/GSE1925_CTRL_VS_IFNG_PRIMED_MACROPHAGE_24H_IFNG_STIM_UP.html</t>
  </si>
  <si>
    <t>GSE3691_CONVENTIONAL_VS_PLASMACYTOID_DC_SPLEEN_UP</t>
  </si>
  <si>
    <t>4242;9404;5788;940;124460;255231;1794;59067;51225;80342;1508;3936;85464;151556;23312</t>
  </si>
  <si>
    <t>MFNG;LPXN;PTPRC;CD28;SNX20;MCOLN2;DOCK2;IL21;ABI3;TRAF3IP3;CTSB;LCP1;SSH2;GPR155;DMXL2</t>
  </si>
  <si>
    <t>http://www.broadinstitute.org/gsea/msigdb/cards/GSE3691_CONVENTIONAL_VS_PLASMACYTOID_DC_SPLEEN_UP.html</t>
  </si>
  <si>
    <t>GSE4142_NAIVE_VS_GC_BCELL_UP</t>
  </si>
  <si>
    <t>54440;3689;5294;219972;1794;10537;2811;8905;3824;8809;89846;10184;85464;151556;23166</t>
  </si>
  <si>
    <t>SASH3;ITGB2;PIK3CG;MPEG1;DOCK2;UBD;GP1BA;AP1S2;KLRD1;IL18R1;FGD3;LHFPL2;SSH2;GPR155;STAB1</t>
  </si>
  <si>
    <t>http://www.broadinstitute.org/gsea/msigdb/cards/GSE4142_NAIVE_VS_GC_BCELL_UP.html</t>
  </si>
  <si>
    <t>9051;9535;11309;3689;3695;942;219972;197358;59067;51225;9938;3824;7462;23166;27240</t>
  </si>
  <si>
    <t>PSTPIP1;GMFG;SLCO2B1;ITGB2;ITGB7;CD86;MPEG1;NLRC3;IL21;ABI3;ARHGAP25;KLRD1;LAT2;STAB1;SIT1</t>
  </si>
  <si>
    <t>GSE3039_ALPHABETA_CD8_TCELL_VS_B2_BCELL_UP</t>
  </si>
  <si>
    <t>340152;3001;474344;4064;64407;55303;4033;4818;55704;100506736;80709;375387;64098;54861;51466</t>
  </si>
  <si>
    <t>ZC3H12D;GZMA;GIMAP6;CD180;RGS18;GIMAP4;LRMP;NKG7;CCDC88A;SLFN12L;AKNA;NRROS;PARVG;SNRK;EVL</t>
  </si>
  <si>
    <t>http://www.broadinstitute.org/gsea/msigdb/cards/GSE3039_ALPHABETA_CD8_TCELL_VS_B2_BCELL_UP.html</t>
  </si>
  <si>
    <t>GSE3039_ALPHABETA_CD8_TCELL_VS_B1_BCELL_UP</t>
  </si>
  <si>
    <t>2268;945;10320;139818;170371;151888;257106;6039;10870;3290;9938;79865;80709;55619;4215</t>
  </si>
  <si>
    <t>FGR;CD33;IKZF1;DOCK11;TMEM273;BTLA;ARHGAP30;RNASE6;HCST;HSD11B1;ARHGAP25;TREML2;AKNA;DOCK10;MAP3K3</t>
  </si>
  <si>
    <t>http://www.broadinstitute.org/gsea/msigdb/cards/GSE3039_ALPHABETA_CD8_TCELL_VS_B1_BCELL_UP.html</t>
  </si>
  <si>
    <t>GSE3039_NKT_CELL_VS_ALPHAALPHA_CD8_TCELL_UP</t>
  </si>
  <si>
    <t>929;4689;53829;79974;27299;3122;1435;5552;2213;1230;150771;85464;23312;338339;84034</t>
  </si>
  <si>
    <t>CD14;NCF4;P2RY13;CPED1;ADAMDEC1;HLA-DRA;CSF1;SRGN;FCGR2B;CCR1;ITPRIPL1;SSH2;DMXL2;CLEC4D;EMILIN2</t>
  </si>
  <si>
    <t>http://www.broadinstitute.org/gsea/msigdb/cards/GSE3039_NKT_CELL_VS_ALPHAALPHA_CD8_TCELL_UP.html</t>
  </si>
  <si>
    <t>GSE4748_CYANOBACTERIUM_LPSLIKE_VS_LPS_AND_CYANOBACTERIUM_LPSLIKE_STIM_DC_3H_UP</t>
  </si>
  <si>
    <t>259197;9214;5551;3560;919;971;7634;3394;151888;3002;3112;4208;25780;161145;84541</t>
  </si>
  <si>
    <t>NCR3;FCMR;PRF1;IL2RB;CD247;CD72;ZNF80;IRF8;BTLA;GZMB;HLA-DOB;MEF2C;RASGRP3;TMEM229B;KBTBD8</t>
  </si>
  <si>
    <t>http://www.broadinstitute.org/gsea/msigdb/cards/GSE4748_CYANOBACTERIUM_LPSLIKE_VS_LPS_AND_CYANOBACTERIUM_LPSLIKE_STIM_DC_3H_UP.html</t>
  </si>
  <si>
    <t>9214;962;3575;919;971;3820;6504;399;151888;55340;29851;3112;2113;1235;84329</t>
  </si>
  <si>
    <t>FCMR;CD48;IL7R;CD247;CD72;KLRB1;SLAMF1;RHOH;BTLA;GIMAP5;ICOS;HLA-DOB;ETS1;CCR6;HVCN1</t>
  </si>
  <si>
    <t>http://www.broadinstitute.org/gsea/msigdb/cards/GSE4984_UNTREATED_VS_GALECTIN1_TREATED_DC_DN.html</t>
  </si>
  <si>
    <t>9450;2123;3695;1234;2014;4689;8477;6039;84636;9034;19;3111;4050;375387;155038</t>
  </si>
  <si>
    <t>LY86;EVI2A;ITGB7;CCR5;EMP3;NCF4;GPR65;RNASE6;GPR174;CCRL2;ABCA1;HLA-DOA;LTB;NRROS;GIMAP8</t>
  </si>
  <si>
    <t>http://www.broadinstitute.org/gsea/msigdb/cards/GSE5542_IFNG_VS_IFNA_TREATED_EPITHELIAL_CELLS_24H_DN.html</t>
  </si>
  <si>
    <t>GSE5142_CTRL_VS_HTERT_TRANSDUCED_CD8_TCELL_EARLY_PASSAGE_CLONE_UP</t>
  </si>
  <si>
    <t>4542;9595;3559;923;941;6504;115361;8530;1235;10148;814;91010;245972;29126;4644</t>
  </si>
  <si>
    <t>MYO1F;CYTIP;IL2RA;CD6;CD80;SLAMF1;GBP4;CST7;CCR6;EBI3;CAMK4;FMNL3;ATP6V0D2;CD274;MYO5A</t>
  </si>
  <si>
    <t>http://www.broadinstitute.org/gsea/msigdb/cards/GSE5142_CTRL_VS_HTERT_TRANSDUCED_CD8_TCELL_EARLY_PASSAGE_CLONE_UP.html</t>
  </si>
  <si>
    <t>GSE6875_WT_VS_FOXP3_KO_TREG_UP</t>
  </si>
  <si>
    <t>3932;6688;1236;5294;51296;84636;23228;3117;3956;4050;79865;118788;54518;55691;25939</t>
  </si>
  <si>
    <t>LCK;SPI1;CCR7;PIK3CG;SLC15A3;GPR174;PLCL2;HLA-DQA1;LGALS1;LTB;TREML2;PIK3AP1;APBB1IP;FRMD4A;SAMHD1</t>
  </si>
  <si>
    <t>http://www.broadinstitute.org/gsea/msigdb/cards/GSE6875_WT_VS_FOXP3_KO_TREG_UP.html</t>
  </si>
  <si>
    <t>GSE7548_DAY7_VS_DAY28_PCC_IMMUNIZATION_CD4_TCELL_DN</t>
  </si>
  <si>
    <t>3689;2209;7453;3561;4283;10875;3662;3635;9056;2219;6373;9881;6402;3902;3113</t>
  </si>
  <si>
    <t>ITGB2;FCGR1A;WARS;IL2RG;CXCL9;FGL2;IRF4;INPP5D;SLC7A7;FCN1;CXCL11;TRANK1;SELL;LAG3;HLA-DPA1</t>
  </si>
  <si>
    <t>http://www.broadinstitute.org/gsea/msigdb/cards/GSE7548_DAY7_VS_DAY28_PCC_IMMUNIZATION_CD4_TCELL_DN.html</t>
  </si>
  <si>
    <t>GSE6674_PL2_3_VS_ANTI_IGM_AND_CPG_STIM_BCELL_DN</t>
  </si>
  <si>
    <t>340152;9214;4068;3559;3575;963;3662;387357;55589;29851;4049;356;11009;85464;55619</t>
  </si>
  <si>
    <t>ZC3H12D;FCMR;SH2D1A;IL2RA;IL7R;CD53;IRF4;THEMIS;BMP2K;ICOS;LTA;FASLG;IL24;SSH2;DOCK10</t>
  </si>
  <si>
    <t>http://www.broadinstitute.org/gsea/msigdb/cards/GSE6674_PL2_3_VS_ANTI_IGM_AND_CPG_STIM_BCELL_DN.html</t>
  </si>
  <si>
    <t>GSE7831_UNSTIM_VS_INFLUENZA_STIM_PDC_1H_DN</t>
  </si>
  <si>
    <t>340152;9214;3559;3560;84166;387357;146722;10154;8530;6793;4049;356;11009;814;10235</t>
  </si>
  <si>
    <t>ZC3H12D;FCMR;IL2RA;IL2RB;NLRC5;THEMIS;CD300LF;PLXNC1;CST7;STK10;LTA;FASLG;IL24;CAMK4;RASGRP2</t>
  </si>
  <si>
    <t>http://www.broadinstitute.org/gsea/msigdb/cards/GSE7831_UNSTIM_VS_INFLUENZA_STIM_PDC_1H_DN.html</t>
  </si>
  <si>
    <t>GSE7568_CTRL_VS_24H_TGFB_TREATED_MACROPHAGES_WITH_IL4_AND_DEXAMETHASONE_UP</t>
  </si>
  <si>
    <t>4242;972;3689;962;3676;963;942;3594;55843;474344;197358;8477;64231;8832;155038</t>
  </si>
  <si>
    <t>MFNG;CD74;ITGB2;CD48;ITGA4;CD53;CD86;IL12RB1;ARHGAP15;GIMAP6;NLRC3;GPR65;MS4A6A;CD84;GIMAP8</t>
  </si>
  <si>
    <t>http://www.broadinstitute.org/gsea/msigdb/cards/GSE7568_CTRL_VS_24H_TGFB_TREATED_MACROPHAGES_WITH_IL4_AND_DEXAMETHASONE_UP.html</t>
  </si>
  <si>
    <t>GSE12003_MIR223_KO_VS_WT_BM_PROGENITOR_4D_CULTURE_UP</t>
  </si>
  <si>
    <t>4068;3458;940;3702;64092;51284;30009;366;924;6402;55911;814;79630;4215;25939</t>
  </si>
  <si>
    <t>SH2D1A;IFNG;CD28;ITK;SAMSN1;TLR7;TBX21;AQP9;CD7;SELL;APOBR;CAMK4;C1orf54;MAP3K3;SAMHD1</t>
  </si>
  <si>
    <t>http://www.broadinstitute.org/gsea/msigdb/cards/GSE12003_MIR223_KO_VS_WT_BM_PROGENITOR_4D_CULTURE_UP.html</t>
  </si>
  <si>
    <t>GSE13522_CTRL_VS_T_CRUZI_BRAZIL_STRAIN_INF_SKIN_DN</t>
  </si>
  <si>
    <t>714;972;3055;963;919;971;1236;9459;256380;53346;730249;19;3117;146183;79895</t>
  </si>
  <si>
    <t>C1QC;CD74;HCK;CD53;CD247;CD72;CCR7;ARHGEF6;SCML4;TM6SF1;ACOD1;ABCA1;HLA-DQA1;OTOA;ATP8B4</t>
  </si>
  <si>
    <t>http://www.broadinstitute.org/gsea/msigdb/cards/GSE13522_CTRL_VS_T_CRUZI_BRAZIL_STRAIN_INF_SKIN_DN.html</t>
  </si>
  <si>
    <t>GSE15330_HSC_VS_GRANULOCYTE_MONOCYTE_PROGENITOR_IKAROS_KO_DN</t>
  </si>
  <si>
    <t>5788;917;959;5734;6504;255231;1794;348;5452;2212;3902;1043;100506736;51762;64098</t>
  </si>
  <si>
    <t>PTPRC;CD3G;CD40LG;PTGER4;SLAMF1;MCOLN2;DOCK2;APOE;POU2F2;FCGR2A;LAG3;CD52;SLFN12L;RAB8B;PARVG</t>
  </si>
  <si>
    <t>http://www.broadinstitute.org/gsea/msigdb/cards/GSE15330_HSC_VS_GRANULOCYTE_MONOCYTE_PROGENITOR_IKAROS_KO_DN.html</t>
  </si>
  <si>
    <t>GSE15330_MEGAKARYOCYTE_ERYTHROID_VS_GRANULOCYTE_MONOCYTE_PROGENITOR_IKAROS_KO_DN</t>
  </si>
  <si>
    <t>9046;914;3560;1493;923;1234;2014;391;79930;80896;140885;91010;10507;84329;4215</t>
  </si>
  <si>
    <t>DOK2;CD2;IL2RB;CTLA4;CD6;CCR5;EMP3;RHOG;DOK3;NPL;SIRPA;FMNL3;SEMA4D;HVCN1;MAP3K3</t>
  </si>
  <si>
    <t>http://www.broadinstitute.org/gsea/msigdb/cards/GSE15330_MEGAKARYOCYTE_ERYTHROID_VS_GRANULOCYTE_MONOCYTE_PROGENITOR_IKAROS_KO_DN.html</t>
  </si>
  <si>
    <t>GSE9960_GRAM_NEG_VS_GRAM_POS_SEPSIS_PBMC_UP</t>
  </si>
  <si>
    <t>10663;9595;3055;2633;1439;5734;6772;3587;2811;3718;3604;7185;118788;338339;57823</t>
  </si>
  <si>
    <t>CXCR6;CYTIP;HCK;GBP1;CSF2RB;PTGER4;STAT1;IL10RA;GP1BA;JAK3;TNFRSF9;TRAF1;PIK3AP1;CLEC4D;SLAMF7</t>
  </si>
  <si>
    <t>http://www.broadinstitute.org/gsea/msigdb/cards/GSE9960_GRAM_NEG_VS_GRAM_POS_SEPSIS_PBMC_UP.html</t>
  </si>
  <si>
    <t>GSE12392_CD8A_POS_VS_NEG_SPLEEN_IFNB_KO_DC_UP</t>
  </si>
  <si>
    <t>1536;3659;6772;6890;10871;4063;1508;3956;3162;140885;84230;7462;23166;51466;4644</t>
  </si>
  <si>
    <t>CYBB;IRF1;STAT1;TAP1;CD300C;LY9;CTSB;LGALS1;HMOX1;SIRPA;LRRC8C;LAT2;STAB1;EVL;MYO5A</t>
  </si>
  <si>
    <t>http://www.broadinstitute.org/gsea/msigdb/cards/GSE12392_CD8A_POS_VS_NEG_SPLEEN_IFNB_KO_DC_UP.html</t>
  </si>
  <si>
    <t>2533;9535;5551;3560;7535;2014;92241;139716;1794;84174;50615;4063;6793;3956;100506736</t>
  </si>
  <si>
    <t>FYB1;GMFG;PRF1;IL2RB;ZAP70;EMP3;RCSD1;GAB3;DOCK2;SLA2;IL21R;LY9;STK10;LGALS1;SLFN12L</t>
  </si>
  <si>
    <t>http://www.broadinstitute.org/gsea/msigdb/cards/GSE17186_NAIVE_VS_CD21LOW_TRANSITIONAL_BCELL_DN.html</t>
  </si>
  <si>
    <t>GSE22140_GERMFREE_VS_SPF_ARTHRITIC_MOUSE_CD4_TCELL_UP</t>
  </si>
  <si>
    <t>9214;920;3627;5341;3659;3575;1378;4354;10320;6373;7439;2162;5452;4360;10457</t>
  </si>
  <si>
    <t>FCMR;CD4;CXCL10;PLEK;IRF1;IL7R;CR1;MPP1;IKZF1;CXCL11;BEST1;F13A1;POU2F2;MRC1;GPNMB</t>
  </si>
  <si>
    <t>http://www.broadinstitute.org/gsea/msigdb/cards/GSE22140_GERMFREE_VS_SPF_ARTHRITIC_MOUSE_CD4_TCELL_UP.html</t>
  </si>
  <si>
    <t>GSE19401_UNSTIM_VS_RETINOIC_ACID_STIM_FOLLICULAR_DC_UP</t>
  </si>
  <si>
    <t>3689;2214;2268;2209;3683;11151;3561;3101;10875;9056;2219;3117;4066;6693;1043</t>
  </si>
  <si>
    <t>ITGB2;FCGR3A;FGR;FCGR1A;ITGAL;CORO1A;IL2RG;HK3;FGL2;SLC7A7;FCN1;HLA-DQA1;LYL1;SPN;CD52</t>
  </si>
  <si>
    <t>http://www.broadinstitute.org/gsea/msigdb/cards/GSE19401_UNSTIM_VS_RETINOIC_ACID_STIM_FOLLICULAR_DC_UP.html</t>
  </si>
  <si>
    <t>GSE21033_1H_VS_12H_POLYIC_STIM_DC_UP</t>
  </si>
  <si>
    <t>919;4245;4354;23533;115361;26051;8564;2162;6503;57514;147138;10507;27240;9935</t>
  </si>
  <si>
    <t>CD247;MGAT1;MPP1;PIK3R5;GBP4;PPP1R16B;KMO;F13A1;SLA;ARHGAP31;TMC8;SEMA4D;SIT1;MAFB</t>
  </si>
  <si>
    <t>http://www.broadinstitute.org/gsea/msigdb/cards/GSE21033_1H_VS_12H_POLYIC_STIM_DC_UP.html</t>
  </si>
  <si>
    <t>GSE23308_WT_VS_MINERALCORTICOID_REC_KO_MACROPHAGE_DN</t>
  </si>
  <si>
    <t>22797;3627;3055;2268;6351;3676;5294;80301;3553;3111;2357;4973;10148;53831;29126</t>
  </si>
  <si>
    <t>TFEC;CXCL10;HCK;FGR;CCL4;ITGA4;PIK3CG;PLEKHO2;IL1B;HLA-DOA;FPR1;OLR1;EBI3;GPR84;CD274</t>
  </si>
  <si>
    <t>http://www.broadinstitute.org/gsea/msigdb/cards/GSE23308_WT_VS_MINERALCORTICOID_REC_KO_MACROPHAGE_DN.html</t>
  </si>
  <si>
    <t>GSE22589_SIV_VS_HIV_AND_SIV_INFECTED_DC_UP</t>
  </si>
  <si>
    <t>1536;3659;6352;6772;3937;50615;10673;9034;926;5724;3824;79865;151556;116071;6614</t>
  </si>
  <si>
    <t>CYBB;IRF1;CCL5;STAT1;LCP2;IL21R;TNFSF13B;CCRL2;CD8B;PTAFR;KLRD1;TREML2;GPR155;BATF2;SIGLEC1</t>
  </si>
  <si>
    <t>http://www.broadinstitute.org/gsea/msigdb/cards/GSE22589_SIV_VS_HIV_AND_SIV_INFECTED_DC_UP.html</t>
  </si>
  <si>
    <t>GSE22432_MULTIPOTENT_PROGENITOR_VS_PDC_UP</t>
  </si>
  <si>
    <t>9450;3559;6772;6890;4689;79930;374403;115361;56833;51225;8530;3111;3162;3604;79865</t>
  </si>
  <si>
    <t>LY86;IL2RA;STAT1;TAP1;NCF4;DOK3;TBC1D10C;GBP4;SLAMF8;ABI3;CST7;HLA-DOA;HMOX1;TNFRSF9;TREML2</t>
  </si>
  <si>
    <t>http://www.broadinstitute.org/gsea/msigdb/cards/GSE22432_MULTIPOTENT_PROGENITOR_VS_PDC_UP.html</t>
  </si>
  <si>
    <t>GSE22432_UNTREATED_VS_TGFB1_TREATED_COMMON_DC_PROGENITOR_DN</t>
  </si>
  <si>
    <t>5579;3683;283897;79930;151888;54899;83706;57580;64407;55303;27128;5452;3059;6891;79865</t>
  </si>
  <si>
    <t>PRKCB;ITGAL;C16orf54;DOK3;BTLA;PXK;FERMT3;PREX1;RGS18;GIMAP4;CYTH4;POU2F2;HCLS1;TAP2;TREML2</t>
  </si>
  <si>
    <t>http://www.broadinstitute.org/gsea/msigdb/cards/GSE22432_UNTREATED_VS_TGFB1_TREATED_COMMON_DC_PROGENITOR_DN.html</t>
  </si>
  <si>
    <t>GSE16385_ROSIGLITAZONE_IFNG_TNF_VS_IL4_STIM_MACROPHAGE_UP</t>
  </si>
  <si>
    <t>9595;940;6351;1493;5734;474344;257106;8477;2672;29909;921;5552;3290;969;29126</t>
  </si>
  <si>
    <t>CYTIP;CD28;CCL4;CTLA4;PTGER4;GIMAP6;ARHGAP30;GPR65;GFI1;GPR171;CD5;SRGN;HSD11B1;CD69;CD274</t>
  </si>
  <si>
    <t>http://www.broadinstitute.org/gsea/msigdb/cards/GSE16385_ROSIGLITAZONE_IFNG_TNF_VS_IL4_STIM_MACROPHAGE_UP.html</t>
  </si>
  <si>
    <t>GSE25088_ROSIGLITAZONE_VS_IL4_AND_ROSIGLITAZONE_STIM_STAT6_KO_MACROPHAGE_DAY10_UP</t>
  </si>
  <si>
    <t>5788;6036;4671;257106;374403;150372;81704;51311;9881;11010;89846;81553;80183;29125;30817</t>
  </si>
  <si>
    <t>PTPRC;RNASE2;NAIP;ARHGAP30;TBC1D10C;NFAM1;DOCK8;TLR8;TRANK1;GLIPR1;FGD3;FAM49A;RUBCNL;C11orf21;ADGRE2</t>
  </si>
  <si>
    <t>http://www.broadinstitute.org/gsea/msigdb/cards/GSE25088_ROSIGLITAZONE_VS_IL4_AND_ROSIGLITAZONE_STIM_STAT6_KO_MACROPHAGE_DAY10_UP.html</t>
  </si>
  <si>
    <t>GSE22282_HYPOXIA_VS_NORMOXIA_MYELOID_DC_DN</t>
  </si>
  <si>
    <t>940;963;2207;5294;2313;3603;3662;11184;51284;10154;4688;3108;161176;4327;4644</t>
  </si>
  <si>
    <t>CD28;CD53;FCER1G;PIK3CG;FLI1;IL16;IRF4;MAP4K1;TLR7;PLXNC1;NCF2;HLA-DMA;SYNE3;MMP19;MYO5A</t>
  </si>
  <si>
    <t>http://www.broadinstitute.org/gsea/msigdb/cards/GSE22282_HYPOXIA_VS_NORMOXIA_MYELOID_DC_DN.html</t>
  </si>
  <si>
    <t>653361;3603;9459;55843;79626;497189;9332;64926;89857;225;241;90634;85464;91526;54504</t>
  </si>
  <si>
    <t>NCF1;IL16;ARHGEF6;ARHGAP15;TNFAIP8L2;TIFAB;CD163;RASAL3;KLHL6;ABCD2;ALOX5AP;N4BP2L1;SSH2;ANKRD44;CPVL</t>
  </si>
  <si>
    <t>http://www.broadinstitute.org/gsea/msigdb/cards/GSE23398_WT_VS_IL2_KO_CD4_TCELL_SCURFY_MOUSE_DN.html</t>
  </si>
  <si>
    <t>GSE23114_WT_VS_SLE2C1_MOUSE_SPLEEN_B1A_BCELL_DN</t>
  </si>
  <si>
    <t>10663;8676;3689;951;199;10871;240;3718;140885;27163;10235;11027;4215;8605;27240</t>
  </si>
  <si>
    <t>CXCR6;STX11;ITGB2;CD37;AIF1;CD300C;ALOX5;JAK3;SIRPA;NAAA;RASGRP2;LILRA2;MAP3K3;PLA2G4C;SIT1</t>
  </si>
  <si>
    <t>http://www.broadinstitute.org/gsea/msigdb/cards/GSE23114_WT_VS_SLE2C1_MOUSE_SPLEEN_B1A_BCELL_DN.html</t>
  </si>
  <si>
    <t>GSE23114_PERITONEAL_CAVITY_B1A_BCELL_VS_SPLEEN_BCELL_IN_SLE2C1_MOUSE_UP</t>
  </si>
  <si>
    <t>27334;3689;919;11151;199;10871;6404;1794;9881;240;140885;4240;10235;8605;27240</t>
  </si>
  <si>
    <t>P2RY10;ITGB2;CD247;CORO1A;AIF1;CD300C;SELPLG;DOCK2;TRANK1;ALOX5;SIRPA;MFGE8;RASGRP2;PLA2G4C;SIT1</t>
  </si>
  <si>
    <t>http://www.broadinstitute.org/gsea/msigdb/cards/GSE23114_PERITONEAL_CAVITY_B1A_BCELL_VS_SPLEEN_BCELL_IN_SLE2C1_MOUSE_UP.html</t>
  </si>
  <si>
    <t>GSE22025_PROGESTERONE_VS_TGFB1_AND_PROGESTERONE_TREATED_CD4_TCELL_DN</t>
  </si>
  <si>
    <t>1318;9450;3937;3587;26051;4064;2672;225;23228;27299;3684;6402;6507;11009;8605</t>
  </si>
  <si>
    <t>SLC31A2;LY86;LCP2;IL10RA;PPP1R16B;CD180;GFI1;ABCD2;PLCL2;ADAMDEC1;ITGAM;SELL;SLC1A3;IL24;PLA2G4C</t>
  </si>
  <si>
    <t>http://www.broadinstitute.org/gsea/msigdb/cards/GSE22025_PROGESTERONE_VS_TGFB1_AND_PROGESTERONE_TREATED_CD4_TCELL_DN.html</t>
  </si>
  <si>
    <t>GSE22025_TGFB1_VS_TGFB1_AND_PROGESTERONE_TREATED_CD4_TCELL_UP</t>
  </si>
  <si>
    <t>5341;3659;923;7805;3603;4063;55589;8832;3717;5452;6556;9806;5027;81553;25939</t>
  </si>
  <si>
    <t>PLEK;IRF1;CD6;LAPTM5;IL16;LY9;BMP2K;CD84;JAK2;POU2F2;SLC11A1;SPOCK2;P2RX7;FAM49A;SAMHD1</t>
  </si>
  <si>
    <t>http://www.broadinstitute.org/gsea/msigdb/cards/GSE22025_TGFB1_VS_TGFB1_AND_PROGESTERONE_TREATED_CD4_TCELL_UP.html</t>
  </si>
  <si>
    <t>GSE29949_MICROGLIA_BRAIN_VS_MONOCYTE_BONE_MARROW_DN</t>
  </si>
  <si>
    <t>9839;962;3659;923;5294;6504;399;10666;8477;3717;2162;526;8905;7185;22900</t>
  </si>
  <si>
    <t>ZEB2;CD48;IRF1;CD6;PIK3CG;SLAMF1;RHOH;CD226;GPR65;JAK2;F13A1;ATP6V1B2;AP1S2;TRAF1;CARD8</t>
  </si>
  <si>
    <t>http://www.broadinstitute.org/gsea/msigdb/cards/GSE29949_MICROGLIA_BRAIN_VS_MONOCYTE_BONE_MARROW_DN.html</t>
  </si>
  <si>
    <t>GSE29164_DAY3_VS_DAY7_CD8_TCELL_TREATED_MELANOMA_UP</t>
  </si>
  <si>
    <t>9744;120939;387357;150372;259307;64333;80896;51225;29851;4261;3718;90634;54518;81553;1522</t>
  </si>
  <si>
    <t>ACAP1;TMEM52B;THEMIS;NFAM1;IL4I1;ARHGAP9;NPL;ABI3;ICOS;CIITA;JAK3;N4BP2L1;APBB1IP;FAM49A;CTSZ</t>
  </si>
  <si>
    <t>http://www.broadinstitute.org/gsea/msigdb/cards/GSE29164_DAY3_VS_DAY7_CD8_TCELL_TREATED_MELANOMA_UP.html</t>
  </si>
  <si>
    <t>27334;9450;10261;914;3575;3695;10871;53346;80231;8832;51393;7099;729230;55704;151556</t>
  </si>
  <si>
    <t>P2RY10;LY86;IGSF6;CD2;IL7R;ITGB7;CD300C;TM6SF1;CXorf21;CD84;TRPV2;TLR4;CCR2;CCDC88A;GPR155</t>
  </si>
  <si>
    <t>http://www.broadinstitute.org/gsea/msigdb/cards/GSE29164_DAY3_VS_DAY7_CD8_TCELL_AND_IL12_TREATED_MELANOMA_UP.html</t>
  </si>
  <si>
    <t>GSE26030_UNSTIM_VS_RESTIM_TH1_DAY15_POST_POLARIZATION_UP</t>
  </si>
  <si>
    <t>7133;3683;2207;3561;80380;64092;29992;596;54;6693;6556;55911;3123;84230;51466</t>
  </si>
  <si>
    <t>TNFRSF1B;ITGAL;FCER1G;IL2RG;PDCD1LG2;SAMSN1;PILRA;BCL2;ACP5;SPN;SLC11A1;APOBR;HLA-DRB1;LRRC8C;EVL</t>
  </si>
  <si>
    <t>http://www.broadinstitute.org/gsea/msigdb/cards/GSE26030_UNSTIM_VS_RESTIM_TH1_DAY15_POST_POLARIZATION_UP.html</t>
  </si>
  <si>
    <t>GSE32986_CURDLAN_LOWDOSE_VS_GMCSF_AND_CURDLAN_LOWDOSE_STIM_DC_DN</t>
  </si>
  <si>
    <t>255231;1240;56833;730249;29909;3717;3553;2212;4261;6776;4050;6503;10462;84034;59345</t>
  </si>
  <si>
    <t>MCOLN2;CMKLR1;SLAMF8;ACOD1;GPR171;JAK2;IL1B;FCGR2A;CIITA;STAT5A;LTB;SLA;CLEC10A;EMILIN2;GNB4</t>
  </si>
  <si>
    <t>http://www.broadinstitute.org/gsea/msigdb/cards/GSE32986_CURDLAN_LOWDOSE_VS_GMCSF_AND_CURDLAN_LOWDOSE_STIM_DC_DN.html</t>
  </si>
  <si>
    <t>GSE26343_UNSTIM_VS_LPS_STIM_MACROPHAGE_UP</t>
  </si>
  <si>
    <t>22797;9046;1439;5294;3662;146722;1240;81030;5552;2212;3108;3109;27163;116071;30835</t>
  </si>
  <si>
    <t>TFEC;DOK2;CSF2RB;PIK3CG;IRF4;CD300LF;CMKLR1;ZBP1;SRGN;FCGR2A;HLA-DMA;HLA-DMB;NAAA;BATF2;CD209</t>
  </si>
  <si>
    <t>http://www.broadinstitute.org/gsea/msigdb/cards/GSE26343_UNSTIM_VS_LPS_STIM_MACROPHAGE_UP.html</t>
  </si>
  <si>
    <t>GSE34156_NOD2_LIGAND_VS_TLR1_TLR2_LIGAND_6H_TREATED_MONOCYTE_UP</t>
  </si>
  <si>
    <t>10068;3627;3659;7133;6772;6890;219972;115361;3717;54;6891;10672;100506736;59345;25939</t>
  </si>
  <si>
    <t>IL18BP;CXCL10;IRF1;TNFRSF1B;STAT1;TAP1;MPEG1;GBP4;JAK2;ACP5;TAP2;GNA13;SLFN12L;GNB4;SAMHD1</t>
  </si>
  <si>
    <t>http://www.broadinstitute.org/gsea/msigdb/cards/GSE34156_NOD2_LIGAND_VS_TLR1_TLR2_LIGAND_6H_TREATED_MONOCYTE_UP.html</t>
  </si>
  <si>
    <t>GSE30971_CTRL_VS_LPS_STIM_MACROPHAGE_WBP7_KO_2H_UP</t>
  </si>
  <si>
    <t>3559;6504;255231;9056;730249;366;19;3586;2358;54331;3604;11009;597;81553;29126</t>
  </si>
  <si>
    <t>IL2RA;SLAMF1;MCOLN2;SLC7A7;ACOD1;AQP9;ABCA1;IL10;FPR2;GNG2;TNFRSF9;IL24;BCL2A1;FAM49A;CD274</t>
  </si>
  <si>
    <t>http://www.broadinstitute.org/gsea/msigdb/cards/GSE30971_CTRL_VS_LPS_STIM_MACROPHAGE_WBP7_KO_2H_UP.html</t>
  </si>
  <si>
    <t>GSE30971_CTRL_VS_LPS_STIM_MACROPHAGE_WBP7_KO_4H_UP</t>
  </si>
  <si>
    <t>3559;7133;6504;255231;9056;730249;366;19;3586;2358;54331;3604;597;118788;29126</t>
  </si>
  <si>
    <t>IL2RA;TNFRSF1B;SLAMF1;MCOLN2;SLC7A7;ACOD1;AQP9;ABCA1;IL10;FPR2;GNG2;TNFRSF9;BCL2A1;PIK3AP1;CD274</t>
  </si>
  <si>
    <t>http://www.broadinstitute.org/gsea/msigdb/cards/GSE30971_CTRL_VS_LPS_STIM_MACROPHAGE_WBP7_KO_4H_UP.html</t>
  </si>
  <si>
    <t>GSE34515_CD16_NEG_VS_POS_MONOCYTE_UP</t>
  </si>
  <si>
    <t>9046;3687;3662;51296;81030;3717;3111;10437;3108;1043;27163;11009;10462;29126;1522</t>
  </si>
  <si>
    <t>DOK2;ITGAX;IRF4;SLC15A3;ZBP1;JAK2;HLA-DOA;IFI30;HLA-DMA;CD52;NAAA;IL24;CLEC10A;CD274;CTSZ</t>
  </si>
  <si>
    <t>http://www.broadinstitute.org/gsea/msigdb/cards/GSE34515_CD16_NEG_VS_POS_MONOCYTE_UP.html</t>
  </si>
  <si>
    <t>GSE36009_WT_VS_NLRP10_KO_DC_DN</t>
  </si>
  <si>
    <t>6688;945;7133;5294;474344;257106;8477;255231;23533;56659;3059;728;9815;597;10184</t>
  </si>
  <si>
    <t>SPI1;CD33;TNFRSF1B;PIK3CG;GIMAP6;ARHGAP30;GPR65;MCOLN2;PIK3R5;KCNK13;HCLS1;C5AR1;GIT2;BCL2A1;LHFPL2</t>
  </si>
  <si>
    <t>http://www.broadinstitute.org/gsea/msigdb/cards/GSE36009_WT_VS_NLRP10_KO_DC_DN.html</t>
  </si>
  <si>
    <t>GSE37301_MULTIPOTENT_PROGENITOR_VS_GRAN_MONO_PROGENITOR_DN</t>
  </si>
  <si>
    <t>3627;915;5788;3659;2209;3575;7453;6772;3394;6890;54899;115361;3108;161145;25939</t>
  </si>
  <si>
    <t>CXCL10;CD3D;PTPRC;IRF1;FCGR1A;IL7R;WARS;STAT1;IRF8;TAP1;PXK;GBP4;HLA-DMA;TMEM229B;SAMHD1</t>
  </si>
  <si>
    <t>http://www.broadinstitute.org/gsea/msigdb/cards/GSE37301_MULTIPOTENT_PROGENITOR_VS_GRAN_MONO_PROGENITOR_DN.html</t>
  </si>
  <si>
    <t>GSE37534_UNTREATED_VS_ROSIGLITAZONE_TREATED_CD4_TCELL_PPARG1_AND_FOXP3_TRASDUCED_DN</t>
  </si>
  <si>
    <t>1318;3627;3659;7453;2633;6890;3702;51296;10019;1435;2113;6891;10672;55619;55281</t>
  </si>
  <si>
    <t>SLC31A2;CXCL10;IRF1;WARS;GBP1;TAP1;ITK;SLC15A3;SH2B3;CSF1;ETS1;TAP2;GNA13;DOCK10;TMEM140</t>
  </si>
  <si>
    <t>http://www.broadinstitute.org/gsea/msigdb/cards/GSE37534_UNTREATED_VS_ROSIGLITAZONE_TREATED_CD4_TCELL_PPARG1_AND_FOXP3_TRASDUCED_DN.html</t>
  </si>
  <si>
    <t>GSE34006_WT_VS_A2AR_KO_TREG_DN</t>
  </si>
  <si>
    <t>3627;3659;4245;6772;6890;8477;115361;81030;51284;9034;100506736;151556;55281;29126;25939</t>
  </si>
  <si>
    <t>CXCL10;IRF1;MGAT1;STAT1;TAP1;GPR65;GBP4;ZBP1;TLR7;CCRL2;SLFN12L;GPR155;TMEM140;CD274;SAMHD1</t>
  </si>
  <si>
    <t>http://www.broadinstitute.org/gsea/msigdb/cards/GSE34006_WT_VS_A2AR_KO_TREG_DN.html</t>
  </si>
  <si>
    <t>GSE34006_UNTREATED_VS_A2AR_AGONIST_TREATED_TREG_DN</t>
  </si>
  <si>
    <t>3458;3689;951;6351;1493;3687;11151;1234;6504;399;11184;50615;356;80709;57823</t>
  </si>
  <si>
    <t>IFNG;ITGB2;CD37;CCL4;CTLA4;ITGAX;CORO1A;CCR5;SLAMF1;RHOH;MAP4K1;IL21R;FASLG;AKNA;SLAMF7</t>
  </si>
  <si>
    <t>http://www.broadinstitute.org/gsea/msigdb/cards/GSE34006_UNTREATED_VS_A2AR_AGONIST_TREATED_TREG_DN.html</t>
  </si>
  <si>
    <t>GSE40274_LEF1_VS_FOXP3_AND_LEF1_TRANSDUCED_ACTIVATED_CD4_TCELL_UP</t>
  </si>
  <si>
    <t>4542;4068;962;1233;3587;2848;3111;3586;6776;4050;6503;597;51762;10077;29126</t>
  </si>
  <si>
    <t>MYO1F;SH2D1A;CD48;CCR4;IL10RA;GPR25;HLA-DOA;IL10;STAT5A;LTB;SLA;BCL2A1;RAB8B;TSPAN32;CD274</t>
  </si>
  <si>
    <t>http://www.broadinstitute.org/gsea/msigdb/cards/GSE40274_LEF1_VS_FOXP3_AND_LEF1_TRANSDUCED_ACTIVATED_CD4_TCELL_UP.html</t>
  </si>
  <si>
    <t>GSE40277_EOS_AND_LEF1_TRANSDUCED_VS_GATA1_AND_SATB1_TRANSDUCED_CD4_TCELL_DN</t>
  </si>
  <si>
    <t>9535;2123;2124;10320;286336;3903;283897;256380;29909;1102;56253;241;10235;161145;84329</t>
  </si>
  <si>
    <t>GMFG;EVI2A;EVI2B;IKZF1;FAM78A;LAIR1;C16orf54;SCML4;GPR171;RCBTB2;CRTAM;ALOX5AP;RASGRP2;TMEM229B;HVCN1</t>
  </si>
  <si>
    <t>http://www.broadinstitute.org/gsea/msigdb/cards/GSE40277_EOS_AND_LEF1_TRANSDUCED_VS_GATA1_AND_SATB1_TRANSDUCED_CD4_TCELL_DN.html</t>
  </si>
  <si>
    <t>GSE39916_B_CELL_SPLEEN_VS_PLASMA_CELL_BONE_MARROW_UP</t>
  </si>
  <si>
    <t>9595;925;3001;695;197358;9332;81030;924;6402;3737;79865;10235;55691;22806;11217</t>
  </si>
  <si>
    <t>CYTIP;CD8A;GZMA;BTK;NLRC3;CD163;ZBP1;CD7;SELL;KCNA2;TREML2;RASGRP2;FRMD4A;IKZF3;AKAP2</t>
  </si>
  <si>
    <t>http://www.broadinstitute.org/gsea/msigdb/cards/GSE39916_B_CELL_SPLEEN_VS_PLASMA_CELL_BONE_MARROW_UP.html</t>
  </si>
  <si>
    <t>GSE39110_UNTREATED_VS_IL2_TREATED_CD8_TCELL_DAY3_POST_IMMUNIZATION_UP</t>
  </si>
  <si>
    <t>9595;3575;971;10666;50852;8477;387357;256380;23533;2857;7439;6037;356;64919;27240</t>
  </si>
  <si>
    <t>CYTIP;IL7R;CD72;CD226;TRAT1;GPR65;THEMIS;SCML4;PIK3R5;GPR34;BEST1;RNASE3;FASLG;BCL11B;SIT1</t>
  </si>
  <si>
    <t>http://www.broadinstitute.org/gsea/msigdb/cards/GSE39110_UNTREATED_VS_IL2_TREATED_CD8_TCELL_DAY3_POST_IMMUNIZATION_UP.html</t>
  </si>
  <si>
    <t>GSE11961_MEMORY_BCELL_DAY7_VS_GERMINAL_CENTER_BCELL_DAY7_UP</t>
  </si>
  <si>
    <t>8676;3689;914;5551;2014;53347;3702;84166;8477;139716;64333;55303;11010;91526;55691</t>
  </si>
  <si>
    <t>STX11;ITGB2;CD2;PRF1;EMP3;UBASH3A;ITK;NLRC5;GPR65;GAB3;ARHGAP9;GIMAP4;GLIPR1;ANKRD44;FRMD4A</t>
  </si>
  <si>
    <t>http://www.broadinstitute.org/gsea/msigdb/cards/GSE11961_MEMORY_BCELL_DAY7_VS_GERMINAL_CENTER_BCELL_DAY7_UP.html</t>
  </si>
  <si>
    <t>GSE11961_GERMINAL_CENTER_BCELL_DAY7_VS_MEMORY_BCELL_DAY40_DN</t>
  </si>
  <si>
    <t>22797;9404;1436;6688;3687;971;221472;51284;9056;926;441168;6614;59345;55803;55691</t>
  </si>
  <si>
    <t>TFEC;LPXN;CSF1R;SPI1;ITGAX;CD72;FGD2;TLR7;SLC7A7;CD8B;CALHM6;SIGLEC1;GNB4;ADAP2;FRMD4A</t>
  </si>
  <si>
    <t>http://www.broadinstitute.org/gsea/msigdb/cards/GSE11961_GERMINAL_CENTER_BCELL_DAY7_VS_MEMORY_BCELL_DAY40_DN.html</t>
  </si>
  <si>
    <t>GSE11961_PLASMA_CELL_DAY7_VS_GERMINAL_CENTER_BCELL_DAY40_UP</t>
  </si>
  <si>
    <t>9214;3394;79930;6039;4064;116986;50615;51225;2857;8564;2357;3988;6776;25780;30835</t>
  </si>
  <si>
    <t>FCMR;IRF8;DOK3;RNASE6;CD180;AGAP2;IL21R;ABI3;GPR34;KMO;FPR1;LIPA;STAT5A;RASGRP3;CD209</t>
  </si>
  <si>
    <t>http://www.broadinstitute.org/gsea/msigdb/cards/GSE11961_PLASMA_CELL_DAY7_VS_GERMINAL_CENTER_BCELL_DAY40_UP.html</t>
  </si>
  <si>
    <t>GSE40184_HEALTHY_VS_HCV_INFECTED_DONOR_PBMC_DN</t>
  </si>
  <si>
    <t>3458;3559;920;3695;9744;11184;51225;1102;5552;54331;6891;3824;64780;51676;51466</t>
  </si>
  <si>
    <t>IFNG;IL2RA;CD4;ITGB7;ACAP1;MAP4K1;ABI3;RCBTB2;SRGN;GNG2;TAP2;KLRD1;MICAL1;ASB2;EVL</t>
  </si>
  <si>
    <t>http://www.broadinstitute.org/gsea/msigdb/cards/GSE40184_HEALTHY_VS_HCV_INFECTED_DONOR_PBMC_DN.html</t>
  </si>
  <si>
    <t>GSE41867_NAIVE_VS_DAY8_LCMV_CLONE13_EFFECTOR_CD8_TCELL_UP</t>
  </si>
  <si>
    <t>6352;5551;2207;10225;3071;124460;83706;55589;4688;6891;4240;10672;30835;57823;25939</t>
  </si>
  <si>
    <t>CCL5;PRF1;FCER1G;CD96;NCKAP1L;SNX20;FERMT3;BMP2K;NCF2;TAP2;MFGE8;GNA13;CD209;SLAMF7;SAMHD1</t>
  </si>
  <si>
    <t>http://www.broadinstitute.org/gsea/msigdb/cards/GSE41867_NAIVE_VS_DAY8_LCMV_CLONE13_EFFECTOR_CD8_TCELL_UP.html</t>
  </si>
  <si>
    <t>GSE41087_WT_VS_FOXP3_MUT_ANTI_CD3_CD28_STIM_CD4_TCELL_DN</t>
  </si>
  <si>
    <t>929;6036;2350;51056;2207;6404;2210;55340;64231;8742;2162;54;4481;23166;55691</t>
  </si>
  <si>
    <t>CD14;RNASE2;FOLR2;LAP3;FCER1G;SELPLG;FCGR1B;GIMAP5;MS4A6A;TNFSF12;F13A1;ACP5;MSR1;STAB1;FRMD4A</t>
  </si>
  <si>
    <t>http://www.broadinstitute.org/gsea/msigdb/cards/GSE41087_WT_VS_FOXP3_MUT_ANTI_CD3_CD28_STIM_CD4_TCELL_DN.html</t>
  </si>
  <si>
    <t>GSE36826_WT_VS_IL1R_KO_SKIN_STAPH_AUREUS_INF_DN</t>
  </si>
  <si>
    <t>1318;10068;3627;2350;7453;51056;941;6890;2210;80380;29851;3902;6776;6614;81553</t>
  </si>
  <si>
    <t>SLC31A2;IL18BP;CXCL10;FOLR2;WARS;LAP3;CD80;TAP1;FCGR1B;PDCD1LG2;ICOS;LAG3;STAT5A;SIGLEC1;FAM49A</t>
  </si>
  <si>
    <t>http://www.broadinstitute.org/gsea/msigdb/cards/GSE36826_WT_VS_IL1R_KO_SKIN_STAPH_AUREUS_INF_DN.html</t>
  </si>
  <si>
    <t>GSE42021_CD24HI_VS_CD24INT_TREG_THYMUS_DN</t>
  </si>
  <si>
    <t>80833;3659;7453;51056;2633;6772;3394;6890;51296;9881;10437;6891;25780;55281;25939</t>
  </si>
  <si>
    <t>APOL3;IRF1;WARS;LAP3;GBP1;STAT1;IRF8;TAP1;SLC15A3;TRANK1;IFI30;TAP2;RASGRP3;TMEM140;SAMHD1</t>
  </si>
  <si>
    <t>http://www.broadinstitute.org/gsea/msigdb/cards/GSE42021_CD24HI_VS_CD24INT_TREG_THYMUS_DN.html</t>
  </si>
  <si>
    <t>GSE42021_TCONV_PLN_VS_TREG_PRECURSORS_THYMUS_DN</t>
  </si>
  <si>
    <t>929;963;4283;3937;255231;730249;3717;3553;5552;4481;3586;2213;6776;597;338339</t>
  </si>
  <si>
    <t>CD14;CD53;CXCL9;LCP2;MCOLN2;ACOD1;JAK2;IL1B;SRGN;MSR1;IL10;FCGR2B;STAT5A;BCL2A1;CLEC4D</t>
  </si>
  <si>
    <t>http://www.broadinstitute.org/gsea/msigdb/cards/GSE42021_TCONV_PLN_VS_TREG_PRECURSORS_THYMUS_DN.html</t>
  </si>
  <si>
    <t>GSE43956_WT_VS_SGK1_KO_TH17_DIFFERENTIATED_CD4_TCELL_DN</t>
  </si>
  <si>
    <t>5734;8477;255231;259307;55589;730249;3586;2358;6546;7454;7185;597;54518;338339;4215</t>
  </si>
  <si>
    <t>PTGER4;GPR65;MCOLN2;IL4I1;BMP2K;ACOD1;IL10;FPR2;SLC8A1;WAS;TRAF1;BCL2A1;APBB1IP;CLEC4D;MAP3K3</t>
  </si>
  <si>
    <t>http://www.broadinstitute.org/gsea/msigdb/cards/GSE43956_WT_VS_SGK1_KO_TH17_DIFFERENTIATED_CD4_TCELL_DN.html</t>
  </si>
  <si>
    <t>GSE43955_TGFB_IL6_VS_TGFB_IL6_IL23_TH17_ACT_CD4_TCELL_52H_DN</t>
  </si>
  <si>
    <t>7456;9450;713;3575;971;5734;4283;10871;8477;55589;3717;4481;3586;4973;7462</t>
  </si>
  <si>
    <t>WIPF1;LY86;C1QB;IL7R;CD72;PTGER4;CXCL9;CD300C;GPR65;BMP2K;JAK2;MSR1;IL10;OLR1;LAT2</t>
  </si>
  <si>
    <t>http://www.broadinstitute.org/gsea/msigdb/cards/GSE43955_TGFB_IL6_VS_TGFB_IL6_IL23_TH17_ACT_CD4_TCELL_52H_DN.html</t>
  </si>
  <si>
    <t>GSE44732_UNSTIM_VS_IL27_STIM_IMATURE_DC_UP</t>
  </si>
  <si>
    <t>9595;3561;1439;5734;10875;84166;23048;3956;3109;57514;79865;57705;91010;64581;83937</t>
  </si>
  <si>
    <t>CYTIP;IL2RG;CSF2RB;PTGER4;FGL2;NLRC5;FNBP1;LGALS1;HLA-DMB;ARHGAP31;TREML2;WDFY4;FMNL3;CLEC7A;RASSF4</t>
  </si>
  <si>
    <t>http://www.broadinstitute.org/gsea/msigdb/cards/GSE44732_UNSTIM_VS_IL27_STIM_IMATURE_DC_UP.html</t>
  </si>
  <si>
    <t>GSE46242_TH1_VS_ANERGIC_TH1_CD4_TCELL_WITH_EGR2_DELETED_UP</t>
  </si>
  <si>
    <t>915;1536;962;3676;971;7453;1236;2322;151888;146722;115361;8832;27036;51676;29126</t>
  </si>
  <si>
    <t>CD3D;CYBB;CD48;ITGA4;CD72;WARS;CCR7;FLT3;BTLA;CD300LF;GBP4;CD84;SIGLEC7;ASB2;CD274</t>
  </si>
  <si>
    <t>http://www.broadinstitute.org/gsea/msigdb/cards/GSE46242_TH1_VS_ANERGIC_TH1_CD4_TCELL_WITH_EGR2_DELETED_UP.html</t>
  </si>
  <si>
    <t>GSE44649_WT_VS_MIR155_KO_ACTIVATED_CD8_TCELL_DN</t>
  </si>
  <si>
    <t>9051;951;399;10666;225;2857;11326;2212;3108;2829;2833;2529;5027;7462;30835</t>
  </si>
  <si>
    <t>PSTPIP1;CD37;RHOH;CD226;ABCD2;GPR34;VSIG4;FCGR2A;HLA-DMA;XCR1;CXCR3;FUT7;P2RX7;LAT2;CD209</t>
  </si>
  <si>
    <t>http://www.broadinstitute.org/gsea/msigdb/cards/GSE44649_WT_VS_MIR155_KO_ACTIVATED_CD8_TCELL_DN.html</t>
  </si>
  <si>
    <t>GSE44649_WT_VS_MIR155_KO_NAIVE_CD8_TCELL_DN</t>
  </si>
  <si>
    <t>3559;3627;6352;7453;1236;5734;7805;259307;80380;6373;8530;6776;6891;969;597</t>
  </si>
  <si>
    <t>IL2RA;CXCL10;CCL5;WARS;CCR7;PTGER4;LAPTM5;IL4I1;PDCD1LG2;CXCL11;CST7;STAT5A;TAP2;CD69;BCL2A1</t>
  </si>
  <si>
    <t>http://www.broadinstitute.org/gsea/msigdb/cards/GSE44649_WT_VS_MIR155_KO_NAIVE_CD8_TCELL_DN.html</t>
  </si>
  <si>
    <t>GSE42724_NAIVE_VS_MEMORY_BCELL_UP</t>
  </si>
  <si>
    <t>2533;2209;3695;6772;199;114548;259307;116986;1240;57105;3553;54;4481;3109;25939</t>
  </si>
  <si>
    <t>FYB1;FCGR1A;ITGB7;STAT1;AIF1;NLRP3;IL4I1;AGAP2;CMKLR1;CYSLTR2;IL1B;ACP5;MSR1;HLA-DMB;SAMHD1</t>
  </si>
  <si>
    <t>http://www.broadinstitute.org/gsea/msigdb/cards/GSE42724_NAIVE_VS_MEMORY_BCELL_UP.html</t>
  </si>
  <si>
    <t>GSE45739_UNSTIM_VS_ACD3_ACD28_STIM_WT_CD4_TCELL_UP</t>
  </si>
  <si>
    <t>9840;3559;3575;1236;6504;50852;19;1508;596;6402;1235;4050;90634;79690;4215</t>
  </si>
  <si>
    <t>TESPA1;IL2RA;IL7R;CCR7;SLAMF1;TRAT1;ABCA1;CTSB;BCL2;SELL;CCR6;LTB;N4BP2L1;GAL3ST4;MAP3K3</t>
  </si>
  <si>
    <t>http://www.broadinstitute.org/gsea/msigdb/cards/GSE45739_UNSTIM_VS_ACD3_ACD28_STIM_WT_CD4_TCELL_UP.html</t>
  </si>
  <si>
    <t>GSE41176_UNSTIM_VS_ANTI_IGM_STIM_TAK1_KO_BCELL_24H_UP</t>
  </si>
  <si>
    <t>972;3695;8514;10875;55843;4064;1102;3115;3002;3109;1043;11010;4208;79630;51466</t>
  </si>
  <si>
    <t>CD74;ITGB7;KCNAB2;FGL2;ARHGAP15;CD180;RCBTB2;HLA-DPB1;GZMB;HLA-DMB;CD52;GLIPR1;MEF2C;C1orf54;EVL</t>
  </si>
  <si>
    <t>http://www.broadinstitute.org/gsea/msigdb/cards/GSE41176_UNSTIM_VS_ANTI_IGM_STIM_TAK1_KO_BCELL_24H_UP.html</t>
  </si>
  <si>
    <t>10663;3575;9744;4689;55843;374403;81704;1794;114836;64333;53346;3956;84329;116442;50943</t>
  </si>
  <si>
    <t>CXCR6;IL7R;ACAP1;NCF4;ARHGAP15;TBC1D10C;DOCK8;DOCK2;SLAMF6;ARHGAP9;TM6SF1;LGALS1;HVCN1;RAB39B;FOXP3</t>
  </si>
  <si>
    <t>http://www.broadinstitute.org/gsea/msigdb/cards/GSE41176_UNSTIM_VS_ANTI_IGM_STIM_TAK1_KO_BCELL_1H_UP.html</t>
  </si>
  <si>
    <t>GSE37301_HEMATOPOIETIC_STEM_CELL_VS_GRAN_MONO_PROGENITOR_DN</t>
  </si>
  <si>
    <t>4542;3676;1233;3587;2672;27033;9120;54331;27163;4240;10148;9806;59345;27240</t>
  </si>
  <si>
    <t>MYO1F;ITGA4;CCR4;IL10RA;GFI1;ZBTB32;SLC16A6;GNG2;NAAA;MFGE8;EBI3;SPOCK2;GNB4;SIT1</t>
  </si>
  <si>
    <t>http://www.broadinstitute.org/gsea/msigdb/cards/GSE37301_HEMATOPOIETIC_STEM_CELL_VS_GRAN_MONO_PROGENITOR_DN.html</t>
  </si>
  <si>
    <t>GSE6092_IFNG_VS_IFNG_AND_B_BURGDORFERI_INF_ENDOTHELIAL_CELL_UP</t>
  </si>
  <si>
    <t>9404;3575;2313;3394;219972;79626;4064;8832;7099;9120;241;4033;131450;4327</t>
  </si>
  <si>
    <t>LPXN;IL7R;FLI1;IRF8;MPEG1;TNFAIP8L2;CD180;CD84;TLR4;SLC16A6;ALOX5AP;LRMP;CD200R1;MMP19</t>
  </si>
  <si>
    <t>http://www.broadinstitute.org/gsea/msigdb/cards/GSE6092_IFNG_VS_IFNG_AND_B_BURGDORFERI_INF_ENDOTHELIAL_CELL_UP.html</t>
  </si>
  <si>
    <t>GSE19941_LPS_VS_LPS_AND_IL10_STIM_IL10_KO_MACROPHAGE_DN</t>
  </si>
  <si>
    <t>340152;653361;1493;971;942;221188;11006;84636;2848;6402;90634;151556;81553</t>
  </si>
  <si>
    <t>ZC3H12D;NCF1;CTLA4;CD72;CD86;ADGRG5;LILRB4;GPR174;GPR25;SELL;N4BP2L1;GPR155;FAM49A</t>
  </si>
  <si>
    <t>http://www.broadinstitute.org/gsea/msigdb/cards/GSE19941_LPS_VS_LPS_AND_IL10_STIM_IL10_KO_MACROPHAGE_DN.html</t>
  </si>
  <si>
    <t>GSE40274_CTRL_VS_FOXP3_AND_XBP1_TRANSDUCED_ACTIVATED_CD4_TCELL_DN</t>
  </si>
  <si>
    <t>9595;1236;3101;4354;3702;83706;139716;926;4481;91010;83937;64098;55691</t>
  </si>
  <si>
    <t>CYTIP;CCR7;HK3;MPP1;ITK;FERMT3;GAB3;CD8B;MSR1;FMNL3;RASSF4;PARVG;FRMD4A</t>
  </si>
  <si>
    <t>http://www.broadinstitute.org/gsea/msigdb/cards/GSE40274_CTRL_VS_FOXP3_AND_XBP1_TRANSDUCED_ACTIVATED_CD4_TCELL_DN.html</t>
  </si>
  <si>
    <t>GSE21360_TERTIARY_VS_QUATERNARY_MEMORY_CD8_TCELL_UP</t>
  </si>
  <si>
    <t>9332;146722;53829;51393;27306;2162;1230;1601;27163;85464;84106;79690;7462;23166</t>
  </si>
  <si>
    <t>CD163;CD300LF;P2RY13;TRPV2;HPGDS;F13A1;CCR1;DAB2;NAAA;SSH2;PRAM1;GAL3ST4;LAT2;STAB1</t>
  </si>
  <si>
    <t>http://www.broadinstitute.org/gsea/msigdb/cards/GSE21360_TERTIARY_VS_QUATERNARY_MEMORY_CD8_TCELL_UP.html</t>
  </si>
  <si>
    <t>GSE37301_MULTIPOTENT_PROGENITOR_VS_LYMPHOID_PRIMED_MPP_DN</t>
  </si>
  <si>
    <t>10663;6352;3676;3587;201633;26051;2672;57105;64092;9034;9120;3604;6503;51676</t>
  </si>
  <si>
    <t>CXCR6;CCL5;ITGA4;IL10RA;TIGIT;PPP1R16B;GFI1;CYSLTR2;SAMSN1;CCRL2;SLC16A6;TNFRSF9;SLA;ASB2</t>
  </si>
  <si>
    <t>http://www.broadinstitute.org/gsea/msigdb/cards/GSE37301_MULTIPOTENT_PROGENITOR_VS_LYMPHOID_PRIMED_MPP_DN.html</t>
  </si>
  <si>
    <t>9839;3001;3676;941;6504;3662;387357;84868;29909;6693;79895;55619</t>
  </si>
  <si>
    <t>ZEB2;GZMA;ITGA4;CD80;SLAMF1;IRF4;THEMIS;HAVCR2;GPR171;SPN;ATP8B4;DOCK10</t>
  </si>
  <si>
    <t>GSE15624_CTRL_VS_3H_HALOFUGINONE_TREATED_CD4_TCELL_UP</t>
  </si>
  <si>
    <t>1318;6351;3575;7453;2313;50852;115362;3717;4094;3004;441168;131450;55619</t>
  </si>
  <si>
    <t>SLC31A2;CCL4;IL7R;WARS;FLI1;TRAT1;GBP5;JAK2;MAF;GZMM;CALHM6;CD200R1;DOCK10</t>
  </si>
  <si>
    <t>http://www.broadinstitute.org/gsea/msigdb/cards/GSE15624_CTRL_VS_3H_HALOFUGINONE_TREATED_CD4_TCELL_UP.html</t>
  </si>
  <si>
    <t>GSE37301_HEMATOPOIETIC_STEM_CELL_VS_CD4_TCELL_DN</t>
  </si>
  <si>
    <t>3001;5551;653361;4354;3603;255231;55016;1235;3824;8809;146850;27240</t>
  </si>
  <si>
    <t>GZMA;PRF1;NCF1;MPP1;IL16;MCOLN2;MARCH1;CCR6;KLRD1;IL18R1;PIK3R6;SIT1</t>
  </si>
  <si>
    <t>http://www.broadinstitute.org/gsea/msigdb/cards/GSE37301_HEMATOPOIETIC_STEM_CELL_VS_CD4_TCELL_DN.html</t>
  </si>
  <si>
    <t>GSE25677_MPL_VS_MPL_AND_R848_STIM_BCELL_UP</t>
  </si>
  <si>
    <t>9214;3001;3695;3561;149628;353345;84636;8564;3274;3290;3824;10672;161145</t>
  </si>
  <si>
    <t>FCMR;GZMA;ITGB7;IL2RG;PYHIN1;GPR141;GPR174;KMO;HRH2;HSD11B1;KLRD1;GNA13;TMEM229B</t>
  </si>
  <si>
    <t>http://www.broadinstitute.org/gsea/msigdb/cards/GSE25677_MPL_VS_MPL_AND_R848_STIM_BCELL_UP.html</t>
  </si>
  <si>
    <t>GSE35825_IFNA_VS_IFNG_STIM_MACROPHAGE_UP</t>
  </si>
  <si>
    <t>3627;3055;6772;6890;4283;114548;115362;115361;81030;64092;9034;2113;969</t>
  </si>
  <si>
    <t>CXCL10;HCK;STAT1;TAP1;CXCL9;NLRP3;GBP5;GBP4;ZBP1;SAMSN1;CCRL2;ETS1;CD69</t>
  </si>
  <si>
    <t>http://www.broadinstitute.org/gsea/msigdb/cards/GSE35825_IFNA_VS_IFNG_STIM_MACROPHAGE_UP.html</t>
  </si>
  <si>
    <t>GSE21033_1H_VS_24H_POLYIC_STIM_DC_UP</t>
  </si>
  <si>
    <t>10068;919;923;5778;115361;26051;2672;921;926;57514;147138;10507;9935</t>
  </si>
  <si>
    <t>IL18BP;CD247;CD6;PTPN7;GBP4;PPP1R16B;GFI1;CD5;CD8B;ARHGAP31;TMC8;SEMA4D;MAFB</t>
  </si>
  <si>
    <t>http://www.broadinstitute.org/gsea/msigdb/cards/GSE21033_1H_VS_24H_POLYIC_STIM_DC_UP.html</t>
  </si>
  <si>
    <t>GSE37301_CD4_TCELL_VS_GRANULOCYTE_MONOCYTE_PROGENITOR_UP</t>
  </si>
  <si>
    <t>959;10320;286336;3903;387357;256380;57580;23533;10537;56253;3824;10235;79895</t>
  </si>
  <si>
    <t>CD40LG;IKZF1;FAM78A;LAIR1;THEMIS;SCML4;PREX1;PIK3R5;UBD;CRTAM;KLRD1;RASGRP2;ATP8B4</t>
  </si>
  <si>
    <t>http://www.broadinstitute.org/gsea/msigdb/cards/GSE37301_CD4_TCELL_VS_GRANULOCYTE_MONOCYTE_PROGENITOR_UP.html</t>
  </si>
  <si>
    <t>GSE8685_IL15_ACT_IL2_STARVED_VS_IL21_ACT_IL2_STARVED_CD4_TCELL_UP</t>
  </si>
  <si>
    <t>1536;4354;201633;27128;5452;3002;3059;9938;54331;10507;10077;64747;29126</t>
  </si>
  <si>
    <t>CYBB;MPP1;TIGIT;CYTH4;POU2F2;GZMB;HCLS1;ARHGAP25;GNG2;SEMA4D;TSPAN32;MFSD1;CD274</t>
  </si>
  <si>
    <t>http://www.broadinstitute.org/gsea/msigdb/cards/GSE8685_IL15_ACT_IL2_STARVED_VS_IL21_ACT_IL2_STARVED_CD4_TCELL_UP.html</t>
  </si>
  <si>
    <t>9402;3689;1493;6772;84166;154075;11006;115362;115361;64333;969;7185;55619</t>
  </si>
  <si>
    <t>GRAP2;ITGB2;CTLA4;STAT1;NLRC5;SAMD3;LILRB4;GBP5;GBP4;ARHGAP9;CD69;TRAF1;DOCK10</t>
  </si>
  <si>
    <t>GSE32034_UNTREATED_VS_ROSIGLIZATONE_TREATED_LY6C_LOW_MONOCYTE_DN</t>
  </si>
  <si>
    <t>7940;259197;972;11151;353345;3117;3115;3120;3111;6546;4050;3127;79865;9754</t>
  </si>
  <si>
    <t>LST1;NCR3;CD74;CORO1A;GPR141;HLA-DQA1;HLA-DPB1;HLA-DQB2;HLA-DOA;SLC8A1;LTB;HLA-DRB5;TREML2;STARD8</t>
  </si>
  <si>
    <t>http://www.broadinstitute.org/gsea/msigdb/cards/GSE32034_UNTREATED_VS_ROSIGLIZATONE_TREATED_LY6C_LOW_MONOCYTE_DN.html</t>
  </si>
  <si>
    <t>GSE7768_OVA_ALONE_VS_OVA_WITH_LPS_IMMUNIZED_MOUSE_WHOLE_SPLEEN_6H_UP</t>
  </si>
  <si>
    <t>4542;497189;150372;139716;59067;27128;9938;4033;151556;375387;131450;9754;84106</t>
  </si>
  <si>
    <t>MYO1F;TIFAB;NFAM1;GAB3;IL21;CYTH4;ARHGAP25;LRMP;GPR155;NRROS;CD200R1;STARD8;PRAM1</t>
  </si>
  <si>
    <t>http://www.broadinstitute.org/gsea/msigdb/cards/GSE7768_OVA_ALONE_VS_OVA_WITH_LPS_IMMUNIZED_MOUSE_WHOLE_SPLEEN_6H_UP.html</t>
  </si>
  <si>
    <t>GSE27896_HDAC6_KO_VS_WT_TREG_UP</t>
  </si>
  <si>
    <t>6351;919;3594;10320;197358;3635;2672;50615;3737;4050;9815;54861;22806</t>
  </si>
  <si>
    <t>CCL4;CD247;IL12RB1;IKZF1;NLRC3;INPP5D;GFI1;IL21R;KCNA2;LTB;GIT2;SNRK;IKZF3</t>
  </si>
  <si>
    <t>http://www.broadinstitute.org/gsea/msigdb/cards/GSE27896_HDAC6_KO_VS_WT_TREG_UP.html</t>
  </si>
  <si>
    <t>GSE6674_UNSTIM_VS_CPG_STIM_BCELL_UP</t>
  </si>
  <si>
    <t>54440;3055;942;399;6373;54;4240;6503;441168;118788;5027;55803</t>
  </si>
  <si>
    <t>SASH3;HCK;CD86;RHOH;CXCL11;ACP5;MFGE8;SLA;CALHM6;PIK3AP1;P2RX7;ADAP2</t>
  </si>
  <si>
    <t>http://www.broadinstitute.org/gsea/msigdb/cards/GSE6674_UNSTIM_VS_CPG_STIM_BCELL_UP.html</t>
  </si>
  <si>
    <t>GSE25123_WT_VS_PPARG_KO_MACROPHAGE_ROSIGLITAZONE_STIM_DN</t>
  </si>
  <si>
    <t>3559;3676;963;2124;1233;4354;6504;3903;348378;55423;9034;3002;10457;27240</t>
  </si>
  <si>
    <t>IL2RA;ITGA4;CD53;EVI2B;CCR4;MPP1;SLAMF1;LAIR1;SHISAL2A;SIRPG;CCRL2;GZMB;GPNMB;SIT1</t>
  </si>
  <si>
    <t>http://www.broadinstitute.org/gsea/msigdb/cards/GSE25123_WT_VS_PPARG_KO_MACROPHAGE_ROSIGLITAZONE_STIM_DN.html</t>
  </si>
  <si>
    <t>3559;940;3575;50852;89857;152789;56253;3290;2213;3004;85464;120425;51466</t>
  </si>
  <si>
    <t>IL2RA;CD28;IL7R;TRAT1;KLHL6;JAKMIP1;CRTAM;HSD11B1;FCGR2B;GZMM;SSH2;JAML;EVL</t>
  </si>
  <si>
    <t>http://www.broadinstitute.org/gsea/msigdb/cards/GSE13547_CTRL_VS_ANTI_IGM_STIM_BCELL_12H_DN.html</t>
  </si>
  <si>
    <t>KAECH_DAY8_EFF_VS_MEMORY_CD8_TCELL_UP</t>
  </si>
  <si>
    <t>5579;962;3001;3676;3394;51744;3956;3002;3684;729230;3003;5133;597;7462</t>
  </si>
  <si>
    <t>PRKCB;CD48;GZMA;ITGA4;IRF8;CD244;LGALS1;GZMB;ITGAM;CCR2;GZMK;PDCD1;BCL2A1;LAT2</t>
  </si>
  <si>
    <t>http://www.broadinstitute.org/gsea/msigdb/cards/KAECH_DAY8_EFF_VS_MEMORY_CD8_TCELL_UP.html</t>
  </si>
  <si>
    <t>GOLDRATH_NAIVE_VS_MEMORY_CD8_TCELL_UP</t>
  </si>
  <si>
    <t>9595;925;5579;1236;4354;399;6793;921;3111;54;4050;10235;10077;54861</t>
  </si>
  <si>
    <t>CYTIP;CD8A;PRKCB;CCR7;MPP1;RHOH;STK10;CD5;HLA-DOA;ACP5;LTB;RASGRP2;TSPAN32;SNRK</t>
  </si>
  <si>
    <t>http://www.broadinstitute.org/gsea/msigdb/cards/GOLDRATH_NAIVE_VS_MEMORY_CD8_TCELL_UP.html</t>
  </si>
  <si>
    <t>GSE10094_LCMV_VS_LISTERIA_IND_EFF_CD4_TCELL_UP</t>
  </si>
  <si>
    <t>3683;3071;139818;257106;80231;55303;6693;9938;91526;161145;84230;64780;55619;25939</t>
  </si>
  <si>
    <t>ITGAL;NCKAP1L;DOCK11;ARHGAP30;CXorf21;GIMAP4;SPN;ARHGAP25;ANKRD44;TMEM229B;LRRC8C;MICAL1;DOCK10;SAMHD1</t>
  </si>
  <si>
    <t>http://www.broadinstitute.org/gsea/msigdb/cards/GSE10094_LCMV_VS_LISTERIA_IND_EFF_CD4_TCELL_UP.html</t>
  </si>
  <si>
    <t>963;919;11151;6404;79626;474344;64926;221188;79865;100506736;85464;64919;51466;11217</t>
  </si>
  <si>
    <t>CD53;CD247;CORO1A;SELPLG;TNFAIP8L2;GIMAP6;RASAL3;ADGRG5;TREML2;SLFN12L;SSH2;BCL11B;EVL;AKAP2</t>
  </si>
  <si>
    <t>http://www.broadinstitute.org/gsea/msigdb/cards/GSE10239_NAIVE_VS_KLRG1HIGH_EFF_CD8_TCELL_UP.html</t>
  </si>
  <si>
    <t>2209;963;256380;55303;8832;240;6518;4973;4050;55911;79865;100506736;149699;51466</t>
  </si>
  <si>
    <t>FCGR1A;CD53;SCML4;GIMAP4;CD84;ALOX5;SLC2A5;OLR1;LTB;APOBR;TREML2;SLFN12L;GTSF1L;EVL</t>
  </si>
  <si>
    <t>http://www.broadinstitute.org/gsea/msigdb/cards/GSE10239_MEMORY_VS_KLRG1HIGH_EFF_CD8_TCELL_UP.html</t>
  </si>
  <si>
    <t>3055;951;2350;3394;497189;124460;6039;55340;64333;2212;943;10507;5027;81553</t>
  </si>
  <si>
    <t>HCK;CD37;FOLR2;IRF8;TIFAB;SNX20;RNASE6;GIMAP5;ARHGAP9;FCGR2A;TNFRSF8;SEMA4D;P2RX7;FAM49A</t>
  </si>
  <si>
    <t>GSE11057_CD4_EFF_MEM_VS_PBMC_UP</t>
  </si>
  <si>
    <t>915;914;923;10225;3702;6504;3587;50852;29909;4094;921;2833;145864;51466</t>
  </si>
  <si>
    <t>CD3D;CD2;CD6;CD96;ITK;SLAMF1;IL10RA;TRAT1;GPR171;MAF;CD5;CXCR3;HAPLN3;EVL</t>
  </si>
  <si>
    <t>http://www.broadinstitute.org/gsea/msigdb/cards/GSE11057_CD4_EFF_MEM_VS_PBMC_UP.html</t>
  </si>
  <si>
    <t>GSE12845_IGD_POS_VS_NEG_BLOOD_BCELL_UP</t>
  </si>
  <si>
    <t>914;940;3101;53347;55340;50856;27036;29851;8564;3122;1621;6503;79865;51466</t>
  </si>
  <si>
    <t>CD2;CD28;HK3;UBASH3A;GIMAP5;CLEC4A;SIGLEC7;ICOS;KMO;HLA-DRA;DBH;SLA;TREML2;EVL</t>
  </si>
  <si>
    <t>http://www.broadinstitute.org/gsea/msigdb/cards/GSE12845_IGD_POS_VS_NEG_BLOOD_BCELL_UP.html</t>
  </si>
  <si>
    <t>GSE13738_TCR_VS_BYSTANDER_ACTIVATED_CD4_TCELL_UP</t>
  </si>
  <si>
    <t>914;5551;1236;199;4354;9459;2672;55423;6402;2999;356;9363;7462;80183</t>
  </si>
  <si>
    <t>CD2;PRF1;CCR7;AIF1;MPP1;ARHGEF6;GFI1;SIRPG;SELL;GZMH;FASLG;RAB33A;LAT2;RUBCNL</t>
  </si>
  <si>
    <t>http://www.broadinstitute.org/gsea/msigdb/cards/GSE13738_TCR_VS_BYSTANDER_ACTIVATED_CD4_TCELL_UP.html</t>
  </si>
  <si>
    <t>GSE1432_CTRL_VS_IFNG_1H_MICROGLIA_DN</t>
  </si>
  <si>
    <t>22797;3627;5341;3659;51056;2633;4283;3937;399;2210;55340;225;6373;3003</t>
  </si>
  <si>
    <t>TFEC;CXCL10;PLEK;IRF1;LAP3;GBP1;CXCL9;LCP2;RHOH;FCGR1B;GIMAP5;ABCD2;CXCL11;GZMK</t>
  </si>
  <si>
    <t>http://www.broadinstitute.org/gsea/msigdb/cards/GSE1432_CTRL_VS_IFNG_1H_MICROGLIA_DN.html</t>
  </si>
  <si>
    <t>GSE1432_CTRL_VS_IFNG_24H_MICROGLIA_UP</t>
  </si>
  <si>
    <t>11309;929;940;9332;55589;11326;8742;6556;4973;1601;5376;10457;206358;25780</t>
  </si>
  <si>
    <t>SLCO2B1;CD14;CD28;CD163;BMP2K;VSIG4;TNFSF12;SLC11A1;OLR1;DAB2;PMP22;GPNMB;SLC36A1;RASGRP3</t>
  </si>
  <si>
    <t>http://www.broadinstitute.org/gsea/msigdb/cards/GSE1432_CTRL_VS_IFNG_24H_MICROGLIA_UP.html</t>
  </si>
  <si>
    <t>7940;9051;54440;10320;50852;3635;50615;6693;4033;9806;79690;4327;54861;55281</t>
  </si>
  <si>
    <t>LST1;PSTPIP1;SASH3;IKZF1;TRAT1;INPP5D;IL21R;SPN;LRMP;SPOCK2;GAL3ST4;MMP19;SNRK;TMEM140</t>
  </si>
  <si>
    <t>http://www.broadinstitute.org/gsea/msigdb/cards/GSE1460_NAIVE_CD4_TCELL_ADULT_BLOOD_VS_THYMIC_STROMAL_CELL_UP.html</t>
  </si>
  <si>
    <t>GSE14769_UNSTIM_VS_360MIN_LPS_BMDM_DN</t>
  </si>
  <si>
    <t>3559;3932;2268;51056;391;3587;23228;2219;8564;366;4973;10672;80821;55619</t>
  </si>
  <si>
    <t>IL2RA;LCK;FGR;LAP3;RHOG;IL10RA;PLCL2;FCN1;KMO;AQP9;OLR1;GNA13;DDHD1;DOCK10</t>
  </si>
  <si>
    <t>http://www.broadinstitute.org/gsea/msigdb/cards/GSE14769_UNSTIM_VS_360MIN_LPS_BMDM_DN.html</t>
  </si>
  <si>
    <t>GSE16755_CTRL_VS_IFNA_TREATED_MAC_UP</t>
  </si>
  <si>
    <t>9046;3603;286336;79930;4064;64333;4094;1601;4208;25900;9815;89846;10184;84106</t>
  </si>
  <si>
    <t>DOK2;IL16;FAM78A;DOK3;CD180;ARHGAP9;MAF;DAB2;MEF2C;IFFO1;GIT2;FGD3;LHFPL2;PRAM1</t>
  </si>
  <si>
    <t>http://www.broadinstitute.org/gsea/msigdb/cards/GSE16755_CTRL_VS_IFNA_TREATED_MAC_UP.html</t>
  </si>
  <si>
    <t>GSE17580_TREG_VS_TEFF_UP</t>
  </si>
  <si>
    <t>3560;7133;3594;3587;4689;2672;80380;64092;29851;3002;596;1235;6503;51762</t>
  </si>
  <si>
    <t>IL2RB;TNFRSF1B;IL12RB1;IL10RA;NCF4;GFI1;PDCD1LG2;SAMSN1;ICOS;GZMB;BCL2;CCR6;SLA;RAB8B</t>
  </si>
  <si>
    <t>http://www.broadinstitute.org/gsea/msigdb/cards/GSE17580_TREG_VS_TEFF_UP.html</t>
  </si>
  <si>
    <t>GSE17580_UNINFECTED_VS_S_MANSONI_INF_TREG_DN</t>
  </si>
  <si>
    <t>3458;5294;1234;10875;59067;30009;10537;3956;3002;3586;2833;597;4818;168537</t>
  </si>
  <si>
    <t>IFNG;PIK3CG;CCR5;FGL2;IL21;TBX21;UBD;LGALS1;GZMB;IL10;CXCR3;BCL2A1;NKG7;GIMAP7</t>
  </si>
  <si>
    <t>http://www.broadinstitute.org/gsea/msigdb/cards/GSE17580_UNINFECTED_VS_S_MANSONI_INF_TREG_DN.html</t>
  </si>
  <si>
    <t>GSE17721_POLYIC_VS_PAM3CSK4_4H_BMDC_UP</t>
  </si>
  <si>
    <t>54440;6352;7453;1236;944;199;10320;3635;23228;10437;6693;526;3988;9754</t>
  </si>
  <si>
    <t>SASH3;CCL5;WARS;CCR7;TNFSF8;AIF1;IKZF1;INPP5D;PLCL2;IFI30;SPN;ATP6V1B2;LIPA;STARD8</t>
  </si>
  <si>
    <t>http://www.broadinstitute.org/gsea/msigdb/cards/GSE17721_POLYIC_VS_PAM3CSK4_4H_BMDC_UP.html</t>
  </si>
  <si>
    <t>GSE17721_POLYIC_VS_PAM3CSK4_24H_BMDC_UP</t>
  </si>
  <si>
    <t>22797;199;3394;56659;1508;3902;3988;27163;131450;84230;51762;4327;54861;11217</t>
  </si>
  <si>
    <t>TFEC;AIF1;IRF8;KCNK13;CTSB;LAG3;LIPA;NAAA;CD200R1;LRRC8C;RAB8B;MMP19;SNRK;AKAP2</t>
  </si>
  <si>
    <t>http://www.broadinstitute.org/gsea/msigdb/cards/GSE17721_POLYIC_VS_PAM3CSK4_24H_BMDC_UP.html</t>
  </si>
  <si>
    <t>GSE17721_PAM3CSK4_VS_CPG_12H_BMDC_DN</t>
  </si>
  <si>
    <t>3055;3659;2123;3594;1233;199;4283;3937;92241;115361;259307;4064;84230;29126</t>
  </si>
  <si>
    <t>HCK;IRF1;EVI2A;IL12RB1;CCR4;AIF1;CXCL9;LCP2;RCSD1;GBP4;IL4I1;CD180;LRRC8C;CD274</t>
  </si>
  <si>
    <t>http://www.broadinstitute.org/gsea/msigdb/cards/GSE17721_PAM3CSK4_VS_CPG_12H_BMDC_DN.html</t>
  </si>
  <si>
    <t>GSE17721_LPS_VS_PAM3CSK4_2H_BMDC_UP</t>
  </si>
  <si>
    <t>5341;6351;2123;941;3937;114548;9034;8530;2833;57514;116071;4215;64805;29126</t>
  </si>
  <si>
    <t>PLEK;CCL4;EVI2A;CD80;LCP2;NLRP3;CCRL2;CST7;CXCR3;ARHGAP31;BATF2;MAP3K3;P2RY12;CD274</t>
  </si>
  <si>
    <t>http://www.broadinstitute.org/gsea/msigdb/cards/GSE17721_LPS_VS_PAM3CSK4_2H_BMDC_UP.html</t>
  </si>
  <si>
    <t>GSE17721_LPS_VS_PAM3CSK4_16H_BMDC_UP</t>
  </si>
  <si>
    <t>7456;9404;919;3695;3561;1236;941;1234;199;2213;6891;23166;29126;51466</t>
  </si>
  <si>
    <t>WIPF1;LPXN;CD247;ITGB7;IL2RG;CCR7;CD80;CCR5;AIF1;FCGR2B;TAP2;STAB1;CD274;EVL</t>
  </si>
  <si>
    <t>http://www.broadinstitute.org/gsea/msigdb/cards/GSE17721_LPS_VS_PAM3CSK4_16H_BMDC_UP.html</t>
  </si>
  <si>
    <t>GSE17721_PAM3CSK4_VS_GADIQUIMOD_6H_BMDC_DN</t>
  </si>
  <si>
    <t>4354;4283;3937;8477;51311;64407;23228;6373;1435;3988;4208;116071;55803;57823</t>
  </si>
  <si>
    <t>MPP1;CXCL9;LCP2;GPR65;TLR8;RGS18;PLCL2;CXCL11;CSF1;LIPA;MEF2C;BATF2;ADAP2;SLAMF7</t>
  </si>
  <si>
    <t>http://www.broadinstitute.org/gsea/msigdb/cards/GSE17721_PAM3CSK4_VS_GADIQUIMOD_6H_BMDC_DN.html</t>
  </si>
  <si>
    <t>GSE17721_LPS_VS_CPG_6H_BMDC_UP</t>
  </si>
  <si>
    <t>3659;7453;944;1233;79930;81030;9034;3824;10672;27314;84230;9754;54861;25939</t>
  </si>
  <si>
    <t>IRF1;WARS;TNFSF8;CCR4;DOK3;ZBP1;CCRL2;KLRD1;GNA13;RAB30;LRRC8C;STARD8;SNRK;SAMHD1</t>
  </si>
  <si>
    <t>http://www.broadinstitute.org/gsea/msigdb/cards/GSE17721_LPS_VS_CPG_6H_BMDC_UP.html</t>
  </si>
  <si>
    <t>GSE17721_LPS_VS_CPG_24H_BMDC_DN</t>
  </si>
  <si>
    <t>712;3689;3055;962;3001;5294;10871;3587;3903;55589;9120;3717;3586;10148</t>
  </si>
  <si>
    <t>C1QA;ITGB2;HCK;CD48;GZMA;PIK3CG;CD300C;IL10RA;LAIR1;BMP2K;SLC16A6;JAK2;IL10;EBI3</t>
  </si>
  <si>
    <t>http://www.broadinstitute.org/gsea/msigdb/cards/GSE17721_LPS_VS_CPG_24H_BMDC_DN.html</t>
  </si>
  <si>
    <t>GSE17721_POLYIC_VS_GARDIQUIMOD_16H_BMDC_UP</t>
  </si>
  <si>
    <t>6352;3695;1439;259307;58475;50615;5552;3737;1230;116071;91526;161145;64581;7462</t>
  </si>
  <si>
    <t>CCL5;ITGB7;CSF2RB;IL4I1;MS4A7;IL21R;SRGN;KCNA2;CCR1;BATF2;ANKRD44;TMEM229B;CLEC7A;LAT2</t>
  </si>
  <si>
    <t>http://www.broadinstitute.org/gsea/msigdb/cards/GSE17721_POLYIC_VS_GARDIQUIMOD_16H_BMDC_UP.html</t>
  </si>
  <si>
    <t>GSE17721_LPS_VS_GARDIQUIMOD_12H_BMDC_UP</t>
  </si>
  <si>
    <t>6352;944;4283;6504;4064;80380;4049;2359;4261;10148;100506736;375387;55281;25939</t>
  </si>
  <si>
    <t>CCL5;TNFSF8;CXCL9;SLAMF1;CD180;PDCD1LG2;LTA;FPR3;CIITA;EBI3;SLFN12L;NRROS;TMEM140;SAMHD1</t>
  </si>
  <si>
    <t>http://www.broadinstitute.org/gsea/msigdb/cards/GSE17721_LPS_VS_GARDIQUIMOD_12H_BMDC_UP.html</t>
  </si>
  <si>
    <t>GSE17721_LPS_VS_GARDIQUIMOD_16H_BMDC_UP</t>
  </si>
  <si>
    <t>4210;6036;1236;944;8477;64092;23228;7099;4049;3111;5816;3109;10507;64805</t>
  </si>
  <si>
    <t>MEFV;RNASE2;CCR7;TNFSF8;GPR65;SAMSN1;PLCL2;TLR4;LTA;HLA-DOA;PVALB;HLA-DMB;SEMA4D;P2RY12</t>
  </si>
  <si>
    <t>http://www.broadinstitute.org/gsea/msigdb/cards/GSE17721_LPS_VS_GARDIQUIMOD_16H_BMDC_UP.html</t>
  </si>
  <si>
    <t>GSE17721_0.5H_VS_8H_LPS_BMDC_DN</t>
  </si>
  <si>
    <t>3394;6890;6504;10875;115361;64092;56833;3162;6518;6776;10672;151556;54518;161145</t>
  </si>
  <si>
    <t>IRF8;TAP1;SLAMF1;FGL2;GBP4;SAMSN1;SLAMF8;HMOX1;SLC2A5;STAT5A;GNA13;GPR155;APBB1IP;TMEM229B</t>
  </si>
  <si>
    <t>http://www.broadinstitute.org/gsea/msigdb/cards/GSE17721_0.5H_VS_8H_LPS_BMDC_DN.html</t>
  </si>
  <si>
    <t>GSE17721_12H_VS_24H_LPS_BMDC_UP</t>
  </si>
  <si>
    <t>5341;5788;2214;2268;3659;3676;944;3662;54899;50615;4049;375387;53831;55013</t>
  </si>
  <si>
    <t>PLEK;PTPRC;FCGR3A;FGR;IRF1;ITGA4;TNFSF8;IRF4;PXK;IL21R;LTA;NRROS;GPR84;MCUB</t>
  </si>
  <si>
    <t>http://www.broadinstitute.org/gsea/msigdb/cards/GSE17721_12H_VS_24H_LPS_BMDC_UP.html</t>
  </si>
  <si>
    <t>GSE17721_0.5H_VS_24H_POLYIC_BMDC_DN</t>
  </si>
  <si>
    <t>1536;929;6352;3676;7133;4354;3394;10875;81030;10437;6518;90634;80821;11217</t>
  </si>
  <si>
    <t>CYBB;CD14;CCL5;ITGA4;TNFRSF1B;MPP1;IRF8;FGL2;ZBP1;IFI30;SLC2A5;N4BP2L1;DDHD1;AKAP2</t>
  </si>
  <si>
    <t>http://www.broadinstitute.org/gsea/msigdb/cards/GSE17721_0.5H_VS_24H_POLYIC_BMDC_DN.html</t>
  </si>
  <si>
    <t>GSE17721_0.5H_VS_12H_PAM3CSK4_BMDC_UP</t>
  </si>
  <si>
    <t>54440;713;3575;10871;3603;83706;81704;23048;50856;7099;3604;10462;79630;9935</t>
  </si>
  <si>
    <t>SASH3;C1QB;IL7R;CD300C;IL16;FERMT3;DOCK8;FNBP1;CLEC4A;TLR4;TNFRSF9;CLEC10A;C1orf54;MAFB</t>
  </si>
  <si>
    <t>http://www.broadinstitute.org/gsea/msigdb/cards/GSE17721_0.5H_VS_12H_PAM3CSK4_BMDC_UP.html</t>
  </si>
  <si>
    <t>GSE17721_12H_VS_24H_PAM3CSK4_BMDC_UP</t>
  </si>
  <si>
    <t>4210;3627;2268;3687;8832;730249;348;4973;10672;3123;10462;84329;64581;51466</t>
  </si>
  <si>
    <t>MEFV;CXCL10;FGR;ITGAX;CD84;ACOD1;APOE;OLR1;GNA13;HLA-DRB1;CLEC10A;HVCN1;CLEC7A;EVL</t>
  </si>
  <si>
    <t>http://www.broadinstitute.org/gsea/msigdb/cards/GSE17721_12H_VS_24H_PAM3CSK4_BMDC_UP.html</t>
  </si>
  <si>
    <t>GSE17721_12H_VS_24H_PAM3CSK4_BMDC_DN</t>
  </si>
  <si>
    <t>9404;5579;313;391;79930;23048;728;3290;11010;54331;91526;79630;4327;54861</t>
  </si>
  <si>
    <t>LPXN;PRKCB;AOAH;RHOG;DOK3;FNBP1;C5AR1;HSD11B1;GLIPR1;GNG2;ANKRD44;C1orf54;MMP19;SNRK</t>
  </si>
  <si>
    <t>http://www.broadinstitute.org/gsea/msigdb/cards/GSE17721_12H_VS_24H_PAM3CSK4_BMDC_DN.html</t>
  </si>
  <si>
    <t>GSE17721_12H_VS_24H_CPG_BMDC_UP</t>
  </si>
  <si>
    <t>22797;1318;7305;5734;56833;10537;4049;4481;4261;6507;5376;80709;10462;116071</t>
  </si>
  <si>
    <t>TFEC;SLC31A2;TYROBP;PTGER4;SLAMF8;UBD;LTA;MSR1;CIITA;SLC1A3;PMP22;AKNA;CLEC10A;BATF2</t>
  </si>
  <si>
    <t>http://www.broadinstitute.org/gsea/msigdb/cards/GSE17721_12H_VS_24H_CPG_BMDC_UP.html</t>
  </si>
  <si>
    <t>GSE17974_0H_VS_1H_IN_VITRO_ACT_CD4_TCELL_DN</t>
  </si>
  <si>
    <t>9595;2123;2124;3662;151888;8477;80301;114548;29851;9034;4049;6503;597;84541</t>
  </si>
  <si>
    <t>CYTIP;EVI2A;EVI2B;IRF4;BTLA;GPR65;PLEKHO2;NLRP3;ICOS;CCRL2;LTA;SLA;BCL2A1;KBTBD8</t>
  </si>
  <si>
    <t>http://www.broadinstitute.org/gsea/msigdb/cards/GSE17974_0H_VS_1H_IN_VITRO_ACT_CD4_TCELL_DN.html</t>
  </si>
  <si>
    <t>GSE17974_CTRL_VS_ACT_IL4_AND_ANTI_IL12_0.5H_CD4_TCELL_UP</t>
  </si>
  <si>
    <t>5341;929;3055;286336;9332;10288;29992;9056;11326;10437;10462;79690;64581;149699</t>
  </si>
  <si>
    <t>PLEK;CD14;HCK;FAM78A;CD163;LILRB2;PILRA;SLC7A7;VSIG4;IFI30;CLEC10A;GAL3ST4;CLEC7A;GTSF1L</t>
  </si>
  <si>
    <t>http://www.broadinstitute.org/gsea/msigdb/cards/GSE17974_CTRL_VS_ACT_IL4_AND_ANTI_IL12_0.5H_CD4_TCELL_UP.html</t>
  </si>
  <si>
    <t>GSE17974_CTRL_VS_ACT_IL4_AND_ANTI_IL12_24H_CD4_TCELL_UP</t>
  </si>
  <si>
    <t>4542;2533;920;3676;3575;944;2124;283897;23533;54557;3684;10235;10077;64174</t>
  </si>
  <si>
    <t>MYO1F;FYB1;CD4;ITGA4;IL7R;TNFSF8;EVI2B;C16orf54;PIK3R5;SGTB;ITGAM;RASGRP2;TSPAN32;DPEP2</t>
  </si>
  <si>
    <t>http://www.broadinstitute.org/gsea/msigdb/cards/GSE17974_CTRL_VS_ACT_IL4_AND_ANTI_IL12_24H_CD4_TCELL_UP.html</t>
  </si>
  <si>
    <t>GSE20366_EX_VIVO_VS_HOMEOSTATIC_CONVERSION_NAIVE_CD4_TCELL_DN</t>
  </si>
  <si>
    <t>4068;941;51296;114836;80231;56659;8320;1435;3988;10148;146850;147138;51063;59345</t>
  </si>
  <si>
    <t>SH2D1A;CD80;SLC15A3;SLAMF6;CXorf21;KCNK13;EOMES;CSF1;LIPA;EBI3;PIK3R6;TMC8;CALHM2;GNB4</t>
  </si>
  <si>
    <t>http://www.broadinstitute.org/gsea/msigdb/cards/GSE20366_EX_VIVO_VS_HOMEOSTATIC_CONVERSION_NAIVE_CD4_TCELL_DN.html</t>
  </si>
  <si>
    <t>GSE20366_CD103_KLRG1_DP_VS_DN_TREG_DN</t>
  </si>
  <si>
    <t>4542;3458;51744;29851;5552;3586;4261;11010;2833;1235;151556;23312;83937;22806</t>
  </si>
  <si>
    <t>MYO1F;IFNG;CD244;ICOS;SRGN;IL10;CIITA;GLIPR1;CXCR3;CCR6;GPR155;DMXL2;RASSF4;IKZF3</t>
  </si>
  <si>
    <t>http://www.broadinstitute.org/gsea/msigdb/cards/GSE20366_CD103_KLRG1_DP_VS_DN_TREG_DN.html</t>
  </si>
  <si>
    <t>GSE20366_CD103_POS_VS_CD103_KLRG1_DP_TREG_DN</t>
  </si>
  <si>
    <t>10663;6352;945;1234;10875;1240;1230;4261;729230;6556;147138;115727;116442;83937</t>
  </si>
  <si>
    <t>CXCR6;CCL5;CD33;CCR5;FGL2;CMKLR1;CCR1;CIITA;CCR2;SLC11A1;TMC8;RASGRP4;RAB39B;RASSF4</t>
  </si>
  <si>
    <t>http://www.broadinstitute.org/gsea/msigdb/cards/GSE20366_CD103_POS_VS_CD103_KLRG1_DP_TREG_DN.html</t>
  </si>
  <si>
    <t>GSE20366_TREG_VS_NAIVE_CD4_TCELL_UP</t>
  </si>
  <si>
    <t>9214;3560;971;4354;399;115361;9056;197135;3112;6402;2213;3604;50943;25939</t>
  </si>
  <si>
    <t>FCMR;IL2RB;CD72;MPP1;RHOH;GBP4;SLC7A7;PATL2;HLA-DOB;SELL;FCGR2B;TNFRSF9;FOXP3;SAMHD1</t>
  </si>
  <si>
    <t>http://www.broadinstitute.org/gsea/msigdb/cards/GSE20366_TREG_VS_NAIVE_CD4_TCELL_UP.html</t>
  </si>
  <si>
    <t>GSE20715_WT_VS_TLR4_KO_6H_OZONE_LUNG_UP</t>
  </si>
  <si>
    <t>1318;10068;1536;1493;3683;10320;3903;225;10154;596;926;5376;118788;56606</t>
  </si>
  <si>
    <t>SLC31A2;IL18BP;CYBB;CTLA4;ITGAL;IKZF1;LAIR1;ABCD2;PLXNC1;BCL2;CD8B;PMP22;PIK3AP1;SLC2A9</t>
  </si>
  <si>
    <t>http://www.broadinstitute.org/gsea/msigdb/cards/GSE20715_WT_VS_TLR4_KO_6H_OZONE_LUNG_UP.html</t>
  </si>
  <si>
    <t>9214;9450;972;914;3394;7805;3635;8564;8742;3115;1435;3112;6693;3109</t>
  </si>
  <si>
    <t>FCMR;LY86;CD74;CD2;IRF8;LAPTM5;INPP5D;KMO;TNFSF12;HLA-DPB1;CSF1;HLA-DOB;SPN;HLA-DMB</t>
  </si>
  <si>
    <t>http://www.broadinstitute.org/gsea/msigdb/cards/GSE22886_IGM_MEMORY_BCELL_VS_BLOOD_PLASMA_CELL_UP.html</t>
  </si>
  <si>
    <t>GSE24142_ADULT_VS_FETAL_EARLY_THYMIC_PROGENITOR_UP</t>
  </si>
  <si>
    <t>971;2322;942;3394;474344;51284;8564;19;3112;6402;3108;6753;8809;3123</t>
  </si>
  <si>
    <t>CD72;FLT3;CD86;IRF8;GIMAP6;TLR7;KMO;ABCA1;HLA-DOB;SELL;HLA-DMA;SSTR3;IL18R1;HLA-DRB1</t>
  </si>
  <si>
    <t>http://www.broadinstitute.org/gsea/msigdb/cards/GSE24142_ADULT_VS_FETAL_EARLY_THYMIC_PROGENITOR_UP.html</t>
  </si>
  <si>
    <t>GSE24142_ADULT_VS_FETAL_DN2_THYMOCYTE_UP</t>
  </si>
  <si>
    <t>3659;919;923;10225;4354;256380;115361;64231;57105;8832;8564;19;6402;4208</t>
  </si>
  <si>
    <t>IRF1;CD247;CD6;CD96;MPP1;SCML4;GBP4;MS4A6A;CYSLTR2;CD84;KMO;ABCA1;SELL;MEF2C</t>
  </si>
  <si>
    <t>http://www.broadinstitute.org/gsea/msigdb/cards/GSE24142_ADULT_VS_FETAL_DN2_THYMOCYTE_UP.html</t>
  </si>
  <si>
    <t>GSE26495_PD1HIGH_VS_PD1LOW_CD8_TCELL_UP</t>
  </si>
  <si>
    <t>940;944;1233;6504;50852;283897;387357;115362;55423;29851;3111;2113;3003;5133</t>
  </si>
  <si>
    <t>CD28;TNFSF8;CCR4;SLAMF1;TRAT1;C16orf54;THEMIS;GBP5;SIRPG;ICOS;HLA-DOA;ETS1;GZMK;PDCD1</t>
  </si>
  <si>
    <t>http://www.broadinstitute.org/gsea/msigdb/cards/GSE26495_PD1HIGH_VS_PD1LOW_CD8_TCELL_UP.html</t>
  </si>
  <si>
    <t>GSE2706_2H_VS_8H_R848_STIM_DC_UP</t>
  </si>
  <si>
    <t>10068;5341;4354;11184;64231;4063;54209;9034;9120;54;3109;84329;84106;64174</t>
  </si>
  <si>
    <t>IL18BP;PLEK;MPP1;MAP4K1;MS4A6A;LY9;TREM2;CCRL2;SLC16A6;ACP5;HLA-DMB;HVCN1;PRAM1;DPEP2</t>
  </si>
  <si>
    <t>http://www.broadinstitute.org/gsea/msigdb/cards/GSE2706_2H_VS_8H_R848_STIM_DC_UP.html</t>
  </si>
  <si>
    <t>GSE2706_2H_VS_8H_R848_AND_LPS_STIM_DC_DN</t>
  </si>
  <si>
    <t>962;2014;11006;10154;596;2358;3290;6891;10148;51762;145864;81553;57823;29126</t>
  </si>
  <si>
    <t>CD48;EMP3;LILRB4;PLXNC1;BCL2;FPR2;HSD11B1;TAP2;EBI3;RAB8B;HAPLN3;FAM49A;SLAMF7;CD274</t>
  </si>
  <si>
    <t>http://www.broadinstitute.org/gsea/msigdb/cards/GSE2706_2H_VS_8H_R848_AND_LPS_STIM_DC_DN.html</t>
  </si>
  <si>
    <t>GSE27786_BCELL_VS_CD4_TCELL_DN</t>
  </si>
  <si>
    <t>9046;3676;3683;8514;197358;23533;114836;30009;197135;366;3162;597;80709;84106</t>
  </si>
  <si>
    <t>DOK2;ITGA4;ITGAL;KCNAB2;NLRC3;PIK3R5;SLAMF6;TBX21;PATL2;AQP9;HMOX1;BCL2A1;AKNA;PRAM1</t>
  </si>
  <si>
    <t>http://www.broadinstitute.org/gsea/msigdb/cards/GSE27786_BCELL_VS_CD4_TCELL_DN.html</t>
  </si>
  <si>
    <t>GSE27786_BCELL_VS_NKCELL_DN</t>
  </si>
  <si>
    <t>915;2014;84166;51296;54557;1240;53346;51284;3717;2162;10148;161176;116442;55691</t>
  </si>
  <si>
    <t>CD3D;EMP3;NLRC5;SLC15A3;SGTB;CMKLR1;TM6SF1;TLR7;JAK2;F13A1;EBI3;SYNE3;RAB39B;FRMD4A</t>
  </si>
  <si>
    <t>http://www.broadinstitute.org/gsea/msigdb/cards/GSE27786_BCELL_VS_NKCELL_DN.html</t>
  </si>
  <si>
    <t>GSE27786_CD4_VS_CD8_TCELL_UP</t>
  </si>
  <si>
    <t>3676;7133;923;6504;124460;83706;29851;10437;3604;10148;597;57514;5027;4644</t>
  </si>
  <si>
    <t>ITGA4;TNFRSF1B;CD6;SLAMF1;SNX20;FERMT3;ICOS;IFI30;TNFRSF9;EBI3;BCL2A1;ARHGAP31;P2RX7;MYO5A</t>
  </si>
  <si>
    <t>http://www.broadinstitute.org/gsea/msigdb/cards/GSE27786_CD4_VS_CD8_TCELL_UP.html</t>
  </si>
  <si>
    <t>712;3903;257106;374403;57580;11184;1240;4094;6793;6891;4208;85464;91526;55619</t>
  </si>
  <si>
    <t>C1QA;LAIR1;ARHGAP30;TBC1D10C;PREX1;MAP4K1;CMKLR1;MAF;STK10;TAP2;MEF2C;SSH2;ANKRD44;DOCK10</t>
  </si>
  <si>
    <t>http://www.broadinstitute.org/gsea/msigdb/cards/GSE27786_NKCELL_VS_MONO_MAC_UP.html</t>
  </si>
  <si>
    <t>54440;1436;962;4354;8514;374403;57580;11184;23228;9120;3002;2212;11010;51466</t>
  </si>
  <si>
    <t>SASH3;CSF1R;CD48;MPP1;KCNAB2;TBC1D10C;PREX1;MAP4K1;PLCL2;SLC16A6;GZMB;FCGR2A;GLIPR1;EVL</t>
  </si>
  <si>
    <t>http://www.broadinstitute.org/gsea/msigdb/cards/GSE28237_EARLY_VS_LATE_GC_BCELL_DN.html</t>
  </si>
  <si>
    <t>GSE2826_XID_VS_BTK_KO_BCELL_DN</t>
  </si>
  <si>
    <t>9046;4068;915;917;3659;919;3561;199;6890;3702;10537;140885;7941;10148</t>
  </si>
  <si>
    <t>DOK2;SH2D1A;CD3D;CD3G;IRF1;CD247;IL2RG;AIF1;TAP1;ITK;UBD;SIRPA;PLA2G7;EBI3</t>
  </si>
  <si>
    <t>http://www.broadinstitute.org/gsea/msigdb/cards/GSE2826_XID_VS_BTK_KO_BCELL_DN.html</t>
  </si>
  <si>
    <t>GSE29618_PRE_VS_DAY7_FLU_VACCINE_MDC_UP</t>
  </si>
  <si>
    <t>9214;1236;3702;1240;225;4049;596;54;5133;814;9754;79690;6363;27240</t>
  </si>
  <si>
    <t>FCMR;CCR7;ITK;CMKLR1;ABCD2;LTA;BCL2;ACP5;PDCD1;CAMK4;STARD8;GAL3ST4;CCL19;SIT1</t>
  </si>
  <si>
    <t>http://www.broadinstitute.org/gsea/msigdb/cards/GSE29618_PRE_VS_DAY7_FLU_VACCINE_MDC_UP.html</t>
  </si>
  <si>
    <t>GSE31082_CD4_VS_CD8_SP_THYMOCYTE_UP</t>
  </si>
  <si>
    <t>9046;919;5734;1233;9459;50852;59067;2162;921;2113;597;206358;51676;29126</t>
  </si>
  <si>
    <t>DOK2;CD247;PTGER4;CCR4;ARHGEF6;TRAT1;IL21;F13A1;CD5;ETS1;BCL2A1;SLC36A1;ASB2;CD274</t>
  </si>
  <si>
    <t>http://www.broadinstitute.org/gsea/msigdb/cards/GSE31082_CD4_VS_CD8_SP_THYMOCYTE_UP.html</t>
  </si>
  <si>
    <t>GSE33513_TCF7_KO_VS_HET_EARLY_THYMIC_PROGENITOR_UP</t>
  </si>
  <si>
    <t>10663;3575;2207;10875;29851;4094;3002;728;2359;1235;25890;84106;50943;55281</t>
  </si>
  <si>
    <t>CXCR6;IL7R;FCER1G;FGL2;ICOS;MAF;GZMB;C5AR1;FPR3;CCR6;ABI3BP;PRAM1;FOXP3;TMEM140</t>
  </si>
  <si>
    <t>http://www.broadinstitute.org/gsea/msigdb/cards/GSE33513_TCF7_KO_VS_HET_EARLY_THYMIC_PROGENITOR_UP.html</t>
  </si>
  <si>
    <t>GSE339_CD8POS_VS_CD4CD8DN_DC_UP</t>
  </si>
  <si>
    <t>925;3627;51056;1439;199;3394;6890;695;4283;926;4360;2829;6556;54331</t>
  </si>
  <si>
    <t>CD8A;CXCL10;LAP3;CSF2RB;AIF1;IRF8;TAP1;BTK;CXCL9;CD8B;MRC1;XCR1;SLC11A1;GNG2</t>
  </si>
  <si>
    <t>http://www.broadinstitute.org/gsea/msigdb/cards/GSE339_CD8POS_VS_CD4CD8DN_DC_UP.html</t>
  </si>
  <si>
    <t>GSE339_CD8POS_VS_CD4CD8DN_DC_DN</t>
  </si>
  <si>
    <t>4542;5579;2268;2350;2207;2014;3937;64333;4063;9034;356;1235;4050;80821</t>
  </si>
  <si>
    <t>MYO1F;PRKCB;FGR;FOLR2;FCER1G;EMP3;LCP2;ARHGAP9;LY9;CCRL2;FASLG;CCR6;LTB;DDHD1</t>
  </si>
  <si>
    <t>http://www.broadinstitute.org/gsea/msigdb/cards/GSE339_CD8POS_VS_CD4CD8DN_DC_DN.html</t>
  </si>
  <si>
    <t>4542;951;3101;80301;9056;2219;6793;3122;3684;3059;3113;3363;10462;54504</t>
  </si>
  <si>
    <t>MYO1F;CD37;HK3;PLEKHO2;SLC7A7;FCN1;STK10;HLA-DRA;ITGAM;HCLS1;HLA-DPA1;HTR7;CLEC10A;CPVL</t>
  </si>
  <si>
    <t>http://www.broadinstitute.org/gsea/msigdb/cards/GSE360_CTRL_VS_L_DONOVANI_MAC_UP.html</t>
  </si>
  <si>
    <t>GSE360_DC_VS_MAC_L_DONOVANI_UP</t>
  </si>
  <si>
    <t>3575;1439;942;3587;91752;11006;114548;80342;8530;4049;3117;2811;5376;1522</t>
  </si>
  <si>
    <t>IL7R;CSF2RB;CD86;IL10RA;ZNF804A;LILRB4;NLRP3;TRAF3IP3;CST7;LTA;HLA-DQA1;GP1BA;PMP22;CTSZ</t>
  </si>
  <si>
    <t>http://www.broadinstitute.org/gsea/msigdb/cards/GSE360_DC_VS_MAC_L_DONOVANI_UP.html</t>
  </si>
  <si>
    <t>GSE360_DC_VS_MAC_B_MALAYI_LOW_DOSE_DN</t>
  </si>
  <si>
    <t>1318;929;2268;3561;1236;2014;8477;1240;10154;11024;5452;924;7454;10457</t>
  </si>
  <si>
    <t>SLC31A2;CD14;FGR;IL2RG;CCR7;EMP3;GPR65;CMKLR1;PLXNC1;LILRA1;POU2F2;CD7;WAS;GPNMB</t>
  </si>
  <si>
    <t>http://www.broadinstitute.org/gsea/msigdb/cards/GSE360_DC_VS_MAC_B_MALAYI_LOW_DOSE_DN.html</t>
  </si>
  <si>
    <t>GSE360_L_DONOVANI_VS_B_MALAYI_HIGH_DOSE_DC_DN</t>
  </si>
  <si>
    <t>11309;929;4332;2313;10875;3635;11326;1102;341;54;6693;8905;1601;54504</t>
  </si>
  <si>
    <t>SLCO2B1;CD14;MNDA;FLI1;FGL2;INPP5D;VSIG4;RCBTB2;APOC1;ACP5;SPN;AP1S2;DAB2;CPVL</t>
  </si>
  <si>
    <t>http://www.broadinstitute.org/gsea/msigdb/cards/GSE360_L_DONOVANI_VS_B_MALAYI_HIGH_DOSE_DC_DN.html</t>
  </si>
  <si>
    <t>GSE360_T_GONDII_VS_B_MALAYI_HIGH_DOSE_DC_UP</t>
  </si>
  <si>
    <t>8676;3575;1236;2633;6890;4283;2672;2811;356;5376;7185;597;90634;81553</t>
  </si>
  <si>
    <t>STX11;IL7R;CCR7;GBP1;TAP1;CXCL9;GFI1;GP1BA;FASLG;PMP22;TRAF1;BCL2A1;N4BP2L1;FAM49A</t>
  </si>
  <si>
    <t>http://www.broadinstitute.org/gsea/msigdb/cards/GSE360_T_GONDII_VS_B_MALAYI_HIGH_DOSE_DC_UP.html</t>
  </si>
  <si>
    <t>GSE360_T_GONDII_VS_B_MALAYI_LOW_DOSE_DC_UP</t>
  </si>
  <si>
    <t>259197;3575;1236;2633;6890;4283;26051;2672;1508;5376;6891;7185;597;90634</t>
  </si>
  <si>
    <t>NCR3;IL7R;CCR7;GBP1;TAP1;CXCL9;PPP1R16B;GFI1;CTSB;PMP22;TAP2;TRAF1;BCL2A1;N4BP2L1</t>
  </si>
  <si>
    <t>http://www.broadinstitute.org/gsea/msigdb/cards/GSE360_T_GONDII_VS_B_MALAYI_LOW_DOSE_DC_UP.html</t>
  </si>
  <si>
    <t>GSE360_HIGH_DOSE_B_MALAYI_VS_M_TUBERCULOSIS_MAC_DN</t>
  </si>
  <si>
    <t>6036;3659;3575;2633;1234;4283;10288;6373;366;5552;11010;4973;597;27240</t>
  </si>
  <si>
    <t>RNASE2;IRF1;IL7R;GBP1;CCR5;CXCL9;LILRB2;CXCL11;AQP9;SRGN;GLIPR1;OLR1;BCL2A1;SIT1</t>
  </si>
  <si>
    <t>http://www.broadinstitute.org/gsea/msigdb/cards/GSE360_HIGH_DOSE_B_MALAYI_VS_M_TUBERCULOSIS_MAC_DN.html</t>
  </si>
  <si>
    <t>GSE360_LOW_DOSE_B_MALAYI_VS_M_TUBERCULOSIS_MAC_DN</t>
  </si>
  <si>
    <t>972;3659;5778;3071;3603;9332;9056;4481;6518;11010;5376;597;10507;27240</t>
  </si>
  <si>
    <t>CD74;IRF1;PTPN7;NCKAP1L;IL16;CD163;SLC7A7;MSR1;SLC2A5;GLIPR1;PMP22;BCL2A1;SEMA4D;SIT1</t>
  </si>
  <si>
    <t>http://www.broadinstitute.org/gsea/msigdb/cards/GSE360_LOW_DOSE_B_MALAYI_VS_M_TUBERCULOSIS_MAC_DN.html</t>
  </si>
  <si>
    <t>3689;5579;3575;5734;3820;4671;3587;114548;11314;23228;10019;3003;969;10235</t>
  </si>
  <si>
    <t>ITGB2;PRKCB;IL7R;PTGER4;KLRB1;NAIP;IL10RA;NLRP3;CD300A;PLCL2;SH2B3;GZMK;CD69;RASGRP2</t>
  </si>
  <si>
    <t>GSE36476_CTRL_VS_TSST_ACT_40H_MEMORY_CD4_TCELL_OLD_UP</t>
  </si>
  <si>
    <t>2533;3689;5734;114548;81030;23228;2357;6546;969;79168;10235;54518;64174;29125</t>
  </si>
  <si>
    <t>FYB1;ITGB2;PTGER4;NLRP3;ZBP1;PLCL2;FPR1;SLC8A1;CD69;LILRA6;RASGRP2;APBB1IP;DPEP2;C11orf21</t>
  </si>
  <si>
    <t>http://www.broadinstitute.org/gsea/msigdb/cards/GSE36476_CTRL_VS_TSST_ACT_40H_MEMORY_CD4_TCELL_OLD_UP.html</t>
  </si>
  <si>
    <t>GSE37416_CTRL_VS_3H_F_TULARENSIS_LVS_NEUTROPHIL_UP</t>
  </si>
  <si>
    <t>929;5788;2123;11151;286336;146722;64333;27299;4066;6402;729230;9938;56670;1522</t>
  </si>
  <si>
    <t>CD14;PTPRC;EVI2A;CORO1A;FAM78A;CD300LF;ARHGAP9;ADAMDEC1;LYL1;SELL;CCR2;ARHGAP25;SUCNR1;CTSZ</t>
  </si>
  <si>
    <t>http://www.broadinstitute.org/gsea/msigdb/cards/GSE37416_CTRL_VS_3H_F_TULARENSIS_LVS_NEUTROPHIL_UP.html</t>
  </si>
  <si>
    <t>2533;945;4332;3101;9744;146722;64333;55303;3717;1102;151556;120425;64174;26157</t>
  </si>
  <si>
    <t>FYB1;CD33;MNDA;HK3;ACAP1;CD300LF;ARHGAP9;GIMAP4;JAK2;RCBTB2;GPR155;JAML;DPEP2;GIMAP2</t>
  </si>
  <si>
    <t>GSE37416_0H_VS_6H_F_TULARENSIS_LVS_NEUTROPHIL_UP</t>
  </si>
  <si>
    <t>2533;945;3683;3101;199;3071;64333;3717;9103;6546;54518;91526;4215;64098</t>
  </si>
  <si>
    <t>FYB1;CD33;ITGAL;HK3;AIF1;NCKAP1L;ARHGAP9;JAK2;FCGR2A;SLC8A1;APBB1IP;ANKRD44;MAP3K3;PARVG</t>
  </si>
  <si>
    <t>http://www.broadinstitute.org/gsea/msigdb/cards/GSE37416_0H_VS_6H_F_TULARENSIS_LVS_NEUTROPHIL_UP.html</t>
  </si>
  <si>
    <t>GSE3982_EOSINOPHIL_VS_NEUTROPHIL_DN</t>
  </si>
  <si>
    <t>5341;2209;2350;2123;6772;51296;10288;27128;11024;4050;4215;7462;80183;54861</t>
  </si>
  <si>
    <t>PLEK;FCGR1A;FOLR2;EVI2A;STAT1;SLC15A3;LILRB2;CYTH4;LILRA1;LTB;MAP3K3;LAT2;RUBCNL;SNRK</t>
  </si>
  <si>
    <t>http://www.broadinstitute.org/gsea/msigdb/cards/GSE3982_EOSINOPHIL_VS_NEUTROPHIL_DN.html</t>
  </si>
  <si>
    <t>GSE3982_EOSINOPHIL_VS_BASOPHIL_UP</t>
  </si>
  <si>
    <t>7940;7305;1536;2209;2123;941;53829;10154;3988;6556;140885;9363;79168;4644</t>
  </si>
  <si>
    <t>LST1;TYROBP;CYBB;FCGR1A;EVI2A;CD80;P2RY13;PLXNC1;LIPA;SLC11A1;SIRPA;RAB33A;LILRA6;MYO5A</t>
  </si>
  <si>
    <t>http://www.broadinstitute.org/gsea/msigdb/cards/GSE3982_EOSINOPHIL_VS_BASOPHIL_UP.html</t>
  </si>
  <si>
    <t>GSE3982_EOSINOPHIL_VS_NKCELL_UP</t>
  </si>
  <si>
    <t>7940;5294;51284;10154;3717;240;3274;4050;6503;597;79865;81553;64747;30817</t>
  </si>
  <si>
    <t>LST1;PIK3CG;TLR7;PLXNC1;JAK2;ALOX5;HRH2;LTB;SLA;BCL2A1;TREML2;FAM49A;MFSD1;ADGRE2</t>
  </si>
  <si>
    <t>http://www.broadinstitute.org/gsea/msigdb/cards/GSE3982_EOSINOPHIL_VS_NKCELL_UP.html</t>
  </si>
  <si>
    <t>GSE3982_MAST_CELL_VS_CENT_MEMORY_CD4_TCELL_UP</t>
  </si>
  <si>
    <t>9404;3687;2207;1439;9459;91752;80896;64231;19;9103;4066;728;5724;50515</t>
  </si>
  <si>
    <t>LPXN;ITGAX;FCER1G;CSF2RB;ARHGEF6;ZNF804A;NPL;MS4A6A;ABCA1;FCGR2A;LYL1;C5AR1;PTAFR;CHST11</t>
  </si>
  <si>
    <t>http://www.broadinstitute.org/gsea/msigdb/cards/GSE3982_MAST_CELL_VS_CENT_MEMORY_CD4_TCELL_UP.html</t>
  </si>
  <si>
    <t>GSE3982_DC_VS_NEUTROPHIL_DN</t>
  </si>
  <si>
    <t>4210;391;11262;6404;2210;9881;2358;969;8809;9815;79865;7462;80183;30817</t>
  </si>
  <si>
    <t>MEFV;RHOG;SP140;SELPLG;FCGR1B;TRANK1;FPR2;CD69;IL18R1;GIT2;TREML2;LAT2;RUBCNL;ADGRE2</t>
  </si>
  <si>
    <t>http://www.broadinstitute.org/gsea/msigdb/cards/GSE3982_DC_VS_NEUTROPHIL_DN.html</t>
  </si>
  <si>
    <t>GSE3982_DC_VS_BASOPHIL_DN</t>
  </si>
  <si>
    <t>27334;6036;3676;695;6404;9459;399;55843;8809;9815;7462;29125;30817;22900</t>
  </si>
  <si>
    <t>P2RY10;RNASE2;ITGA4;BTK;SELPLG;ARHGEF6;RHOH;ARHGAP15;IL18R1;GIT2;LAT2;C11orf21;ADGRE2;CARD8</t>
  </si>
  <si>
    <t>http://www.broadinstitute.org/gsea/msigdb/cards/GSE3982_DC_VS_BASOPHIL_DN.html</t>
  </si>
  <si>
    <t>GSE3982_DC_VS_NKCELL_DN</t>
  </si>
  <si>
    <t>4210;971;3702;3820;11262;399;474344;2672;30009;8530;596;6402;4208;9806</t>
  </si>
  <si>
    <t>MEFV;CD72;ITK;KLRB1;SP140;RHOH;GIMAP6;GFI1;TBX21;CST7;BCL2;SELL;MEF2C;SPOCK2</t>
  </si>
  <si>
    <t>http://www.broadinstitute.org/gsea/msigdb/cards/GSE3982_DC_VS_NKCELL_DN.html</t>
  </si>
  <si>
    <t>GSE3982_DC_VS_TH1_DN</t>
  </si>
  <si>
    <t>3458;3559;914;6351;11262;26051;2672;51744;29851;596;3902;11009;8809;50515</t>
  </si>
  <si>
    <t>IFNG;IL2RA;CD2;CCL4;SP140;PPP1R16B;GFI1;CD244;ICOS;BCL2;LAG3;IL24;IL18R1;CHST11</t>
  </si>
  <si>
    <t>http://www.broadinstitute.org/gsea/msigdb/cards/GSE3982_DC_VS_TH1_DN.html</t>
  </si>
  <si>
    <t>GSE3982_DC_VS_TH2_DN</t>
  </si>
  <si>
    <t>10663;3932;914;6351;3683;971;11262;9459;399;29851;596;356;11009;8809</t>
  </si>
  <si>
    <t>CXCR6;LCK;CD2;CCL4;ITGAL;CD72;SP140;ARHGEF6;RHOH;ICOS;BCL2;FASLG;IL24;IL18R1</t>
  </si>
  <si>
    <t>http://www.broadinstitute.org/gsea/msigdb/cards/GSE3982_DC_VS_TH2_DN.html</t>
  </si>
  <si>
    <t>GSE3982_MAC_VS_BCELL_UP</t>
  </si>
  <si>
    <t>3627;6036;944;942;4354;114548;7099;2219;6556;3604;4240;55911;51762;83937</t>
  </si>
  <si>
    <t>CXCL10;RNASE2;TNFSF8;CD86;MPP1;NLRP3;TLR4;FCN1;SLC11A1;TNFRSF9;MFGE8;APOBR;RAB8B;RASSF4</t>
  </si>
  <si>
    <t>http://www.broadinstitute.org/gsea/msigdb/cards/GSE3982_MAC_VS_BCELL_UP.html</t>
  </si>
  <si>
    <t>GSE3982_NEUTROPHIL_VS_BCELL_UP</t>
  </si>
  <si>
    <t>9595;4068;2268;944;3101;6404;27128;50856;27036;10154;8530;2162;526;6891</t>
  </si>
  <si>
    <t>CYTIP;SH2D1A;FGR;TNFSF8;HK3;SELPLG;CYTH4;CLEC4A;SIGLEC7;PLXNC1;CST7;F13A1;ATP6V1B2;TAP2</t>
  </si>
  <si>
    <t>http://www.broadinstitute.org/gsea/msigdb/cards/GSE3982_NEUTROPHIL_VS_BCELL_UP.html</t>
  </si>
  <si>
    <t>GSE3982_BCELL_VS_EFF_MEMORY_CD4_TCELL_DN</t>
  </si>
  <si>
    <t>9046;9402;3575;3683;313;149628;1240;53829;11314;8530;3004;55911;23166;25939</t>
  </si>
  <si>
    <t>DOK2;GRAP2;IL7R;ITGAL;AOAH;PYHIN1;CMKLR1;P2RY13;CD300A;CST7;GZMM;APOBR;STAB1;SAMHD1</t>
  </si>
  <si>
    <t>http://www.broadinstitute.org/gsea/msigdb/cards/GSE3982_BCELL_VS_EFF_MEMORY_CD4_TCELL_DN.html</t>
  </si>
  <si>
    <t>GSE3982_BCELL_VS_TH1_DN</t>
  </si>
  <si>
    <t>940;6351;919;3101;4354;6890;3702;8530;3002;3004;6891;3604;4240;55911</t>
  </si>
  <si>
    <t>CD28;CCL4;CD247;HK3;MPP1;TAP1;ITK;CST7;GZMB;GZMM;TAP2;TNFRSF9;MFGE8;APOBR</t>
  </si>
  <si>
    <t>http://www.broadinstitute.org/gsea/msigdb/cards/GSE3982_BCELL_VS_TH1_DN.html</t>
  </si>
  <si>
    <t>GSE3982_CENT_MEMORY_CD4_TCELL_VS_TH1_DN</t>
  </si>
  <si>
    <t>3559;6351;5551;51056;3101;2672;55589;3956;3902;3586;10578;6503;8605;4644</t>
  </si>
  <si>
    <t>IL2RA;CCL4;PRF1;LAP3;HK3;GFI1;BMP2K;LGALS1;LAG3;IL10;GNLY;SLA;PLA2G4C;MYO5A</t>
  </si>
  <si>
    <t>http://www.broadinstitute.org/gsea/msigdb/cards/GSE3982_CENT_MEMORY_CD4_TCELL_VS_TH1_DN.html</t>
  </si>
  <si>
    <t>GSE7460_CTRL_VS_TGFB_TREATED_ACT_CD8_TCELL_UP</t>
  </si>
  <si>
    <t>4068;929;6352;2014;10875;151888;51393;10154;3956;729230;4033;10148;814;79895</t>
  </si>
  <si>
    <t>SH2D1A;CD14;CCL5;EMP3;FGL2;BTLA;TRPV2;PLXNC1;LGALS1;CCR2;LRMP;EBI3;CAMK4;ATP8B4</t>
  </si>
  <si>
    <t>http://www.broadinstitute.org/gsea/msigdb/cards/GSE7460_CTRL_VS_TGFB_TREATED_ACT_CD8_TCELL_UP.html</t>
  </si>
  <si>
    <t>GSE7460_CTRL_VS_TGFB_TREATED_ACT_CD8_TCELL_DN</t>
  </si>
  <si>
    <t>925;7133;313;6039;84174;51284;2857;29909;4094;19;3290;27163;50943;54861</t>
  </si>
  <si>
    <t>CD8A;TNFRSF1B;AOAH;RNASE6;SLA2;TLR7;GPR34;GPR171;MAF;ABCA1;HSD11B1;NAAA;FOXP3;SNRK</t>
  </si>
  <si>
    <t>http://www.broadinstitute.org/gsea/msigdb/cards/GSE7460_CTRL_VS_TGFB_TREATED_ACT_CD8_TCELL_DN.html</t>
  </si>
  <si>
    <t>GSE7460_WT_VS_FOXP3_HET_ACT_TCONV_UP</t>
  </si>
  <si>
    <t>1236;2014;391;9744;55843;50852;151888;116986;27163;8809;85464;147138;9806;56606</t>
  </si>
  <si>
    <t>CCR7;EMP3;RHOG;ACAP1;ARHGAP15;TRAT1;BTLA;AGAP2;NAAA;IL18R1;SSH2;TMC8;SPOCK2;SLC2A9</t>
  </si>
  <si>
    <t>http://www.broadinstitute.org/gsea/msigdb/cards/GSE7460_WT_VS_FOXP3_HET_ACT_TCONV_UP.html</t>
  </si>
  <si>
    <t>GSE9037_CTRL_VS_LPS_4H_STIM_BMDM_DN</t>
  </si>
  <si>
    <t>2533;6688;3683;6772;29992;2848;3111;3059;4481;11010;6891;84541;9806;84329</t>
  </si>
  <si>
    <t>FYB1;SPI1;ITGAL;STAT1;PILRA;GPR25;HLA-DOA;HCLS1;MSR1;GLIPR1;TAP2;KBTBD8;SPOCK2;HVCN1</t>
  </si>
  <si>
    <t>http://www.broadinstitute.org/gsea/msigdb/cards/GSE9037_CTRL_VS_LPS_4H_STIM_BMDM_DN.html</t>
  </si>
  <si>
    <t>3458;3575;971;1236;944;719;255231;366;924;596;6402;2833;7185;51466</t>
  </si>
  <si>
    <t>IFNG;IL7R;CD72;CCR7;TNFSF8;C3AR1;MCOLN2;AQP9;CD7;BCL2;SELL;CXCR3;TRAF1;EVL</t>
  </si>
  <si>
    <t>http://www.broadinstitute.org/gsea/msigdb/cards/GSE9650_EFFECTOR_VS_MEMORY_CD8_TCELL_DN.html</t>
  </si>
  <si>
    <t>GSE9650_EXHAUSTED_VS_MEMORY_CD8_TCELL_DN</t>
  </si>
  <si>
    <t>3689;5579;3575;3683;3687;3695;596;54;6402;2113;2213;729230;3824;8809</t>
  </si>
  <si>
    <t>ITGB2;PRKCB;IL7R;ITGAL;ITGAX;ITGB7;BCL2;ACP5;SELL;ETS1;FCGR2B;CCR2;KLRD1;IL18R1</t>
  </si>
  <si>
    <t>http://www.broadinstitute.org/gsea/msigdb/cards/GSE9650_EXHAUSTED_VS_MEMORY_CD8_TCELL_DN.html</t>
  </si>
  <si>
    <t>27334;1318;9595;3458;2209;963;7453;3695;9034;366;6518;597;9754;54861</t>
  </si>
  <si>
    <t>P2RY10;SLC31A2;CYTIP;IFNG;FCGR1A;CD53;WARS;ITGB7;CCRL2;AQP9;SLC2A5;BCL2A1;STARD8;SNRK</t>
  </si>
  <si>
    <t>http://www.broadinstitute.org/gsea/msigdb/cards/GSE369_PRE_VS_POST_IL6_INJECTION_SOCS3_KO_LIVER_UP.html</t>
  </si>
  <si>
    <t>GSE2770_IL4_ACT_VS_ACT_CD4_TCELL_48H_DN</t>
  </si>
  <si>
    <t>7305;9450;920;5788;374403;64333;10154;8530;3109;140885;969;7941;84034;81553</t>
  </si>
  <si>
    <t>TYROBP;LY86;CD4;PTPRC;TBC1D10C;ARHGAP9;PLXNC1;CST7;HLA-DMB;SIRPA;CD69;PLA2G7;EMILIN2;FAM49A</t>
  </si>
  <si>
    <t>http://www.broadinstitute.org/gsea/msigdb/cards/GSE2770_IL4_ACT_VS_ACT_CD4_TCELL_48H_DN.html</t>
  </si>
  <si>
    <t>GSE2770_TGFB_AND_IL4_VS_IL12_TREATED_ACT_CD4_TCELL_2H_DN</t>
  </si>
  <si>
    <t>1318;9595;915;3560;923;5734;64926;26051;64092;9034;3902;3604;10148;597</t>
  </si>
  <si>
    <t>SLC31A2;CYTIP;CD3D;IL2RB;CD6;PTGER4;RASAL3;PPP1R16B;SAMSN1;CCRL2;LAG3;TNFRSF9;EBI3;BCL2A1</t>
  </si>
  <si>
    <t>http://www.broadinstitute.org/gsea/msigdb/cards/GSE2770_TGFB_AND_IL4_VS_IL12_TREATED_ACT_CD4_TCELL_2H_DN.html</t>
  </si>
  <si>
    <t>GSE2770_TGFB_AND_IL4_VS_IL4_TREATED_ACT_CD4_TCELL_2H_UP</t>
  </si>
  <si>
    <t>497189;221472;256380;259307;64231;924;3108;1235;9815;10148;84329;10077;54861;8605</t>
  </si>
  <si>
    <t>TIFAB;FGD2;SCML4;IL4I1;MS4A6A;CD7;HLA-DMA;CCR6;GIT2;EBI3;HVCN1;TSPAN32;SNRK;PLA2G4C</t>
  </si>
  <si>
    <t>http://www.broadinstitute.org/gsea/msigdb/cards/GSE2770_TGFB_AND_IL4_VS_IL4_TREATED_ACT_CD4_TCELL_2H_UP.html</t>
  </si>
  <si>
    <t>GSE1112_OT1_VS_HY_CD8AB_THYMOCYTE_RTOC_CULTURE_UP</t>
  </si>
  <si>
    <t>10068;714;6352;3662;64170;4094;3290;9938;6503;146850;54518;131450;30835;23166</t>
  </si>
  <si>
    <t>IL18BP;C1QC;CCL5;IRF4;CARD9;MAF;HSD11B1;ARHGAP25;SLA;PIK3R6;APBB1IP;CD200R1;CD209;STAB1</t>
  </si>
  <si>
    <t>http://www.broadinstitute.org/gsea/msigdb/cards/GSE1112_OT1_VS_HY_CD8AB_THYMOCYTE_RTOC_CULTURE_UP.html</t>
  </si>
  <si>
    <t>GSE2128_CTRL_VS_MIMETOPE_NEGATIVE_SELECTION_DP_THYMOCYTE_NOD_DN</t>
  </si>
  <si>
    <t>10068;6352;3662;80301;64170;4094;3290;9938;54518;131450;79690;30835;23166;29125</t>
  </si>
  <si>
    <t>IL18BP;CCL5;IRF4;PLEKHO2;CARD9;MAF;HSD11B1;ARHGAP25;APBB1IP;CD200R1;GAL3ST4;CD209;STAB1;C11orf21</t>
  </si>
  <si>
    <t>http://www.broadinstitute.org/gsea/msigdb/cards/GSE2128_CTRL_VS_MIMETOPE_NEGATIVE_SELECTION_DP_THYMOCYTE_NOD_DN.html</t>
  </si>
  <si>
    <t>GSE3039_ALPHAALPHA_CD8_TCELL_VS_B2_BCELL_DN</t>
  </si>
  <si>
    <t>713;714;6351;81030;56833;2857;11326;9034;6373;27306;3553;118788;10184;245972</t>
  </si>
  <si>
    <t>C1QB;C1QC;CCL4;ZBP1;SLAMF8;GPR34;VSIG4;CCRL2;CXCL11;HPGDS;IL1B;PIK3AP1;LHFPL2;ATP6V0D2</t>
  </si>
  <si>
    <t>http://www.broadinstitute.org/gsea/msigdb/cards/GSE3039_ALPHAALPHA_CD8_TCELL_VS_B2_BCELL_DN.html</t>
  </si>
  <si>
    <t>GSE5455_EX_VIVO_VS_POST_24H_INCUBATION_MONOCYTES_FROM_TUMOR_BEARING_MOUSE_DN</t>
  </si>
  <si>
    <t>9535;3676;3575;2124;10225;9744;256380;114836;6793;2212;54;10457;55619;84329</t>
  </si>
  <si>
    <t>GMFG;ITGA4;IL7R;EVI2B;CD96;ACAP1;SCML4;SLAMF6;STK10;FCGR2A;ACP5;GPNMB;DOCK10;HVCN1</t>
  </si>
  <si>
    <t>http://www.broadinstitute.org/gsea/msigdb/cards/GSE5455_EX_VIVO_VS_POST_24H_INCUBATION_MONOCYTES_FROM_TUMOR_BEARING_MOUSE_DN.html</t>
  </si>
  <si>
    <t>GSE5589_UNSTIM_VS_45MIN_LPS_AND_IL6_STIM_MACROPHAGE_UP</t>
  </si>
  <si>
    <t>714;5788;942;5294;124460;139716;64092;1102;2212;6556;441168;80709;23312;64747</t>
  </si>
  <si>
    <t>C1QC;PTPRC;CD86;PIK3CG;SNX20;GAB3;SAMSN1;RCBTB2;FCGR2A;SLC11A1;CALHM6;AKNA;DMXL2;MFSD1</t>
  </si>
  <si>
    <t>http://www.broadinstitute.org/gsea/msigdb/cards/GSE5589_UNSTIM_VS_45MIN_LPS_AND_IL6_STIM_MACROPHAGE_UP.html</t>
  </si>
  <si>
    <t>GSE5589_LPS_VS_LPS_AND_IL6_STIM_MACROPHAGE_45MIN_UP</t>
  </si>
  <si>
    <t>712;714;3627;2350;942;5294;139716;89857;64092;2212;6556;8905;441168;146850</t>
  </si>
  <si>
    <t>C1QA;C1QC;CXCL10;FOLR2;CD86;PIK3CG;GAB3;KLHL6;SAMSN1;FCGR2A;SLC11A1;AP1S2;CALHM6;PIK3R6</t>
  </si>
  <si>
    <t>http://www.broadinstitute.org/gsea/msigdb/cards/GSE5589_LPS_VS_LPS_AND_IL6_STIM_MACROPHAGE_45MIN_UP.html</t>
  </si>
  <si>
    <t>GSE5589_LPS_VS_LPS_AND_IL10_STIM_MACROPHAGE_180MIN_DN</t>
  </si>
  <si>
    <t>11309;2209;5734;3937;51225;50856;348;3162;3586;7941;10462;115727;23312;64747</t>
  </si>
  <si>
    <t>SLCO2B1;FCGR1A;PTGER4;LCP2;ABI3;CLEC4A;APOE;HMOX1;IL10;PLA2G7;CLEC10A;RASGRP4;DMXL2;MFSD1</t>
  </si>
  <si>
    <t>http://www.broadinstitute.org/gsea/msigdb/cards/GSE5589_LPS_VS_LPS_AND_IL10_STIM_MACROPHAGE_180MIN_DN.html</t>
  </si>
  <si>
    <t>GSE5589_LPS_VS_LPS_AND_IL6_STIM_IL6_KO_MACROPHAGE_45MIN_DN</t>
  </si>
  <si>
    <t>11309;3683;3937;257106;54899;51311;51225;27306;728;6776;4973;25900;23312;55691</t>
  </si>
  <si>
    <t>SLCO2B1;ITGAL;LCP2;ARHGAP30;PXK;TLR8;ABI3;HPGDS;C5AR1;STAT5A;OLR1;IFFO1;DMXL2;FRMD4A</t>
  </si>
  <si>
    <t>http://www.broadinstitute.org/gsea/msigdb/cards/GSE5589_LPS_VS_LPS_AND_IL6_STIM_IL6_KO_MACROPHAGE_45MIN_DN.html</t>
  </si>
  <si>
    <t>GSE5589_IL6_KO_VS_IL10_KO_LPS_AND_IL10_STIM_MACROPHAGE_45MIN_UP</t>
  </si>
  <si>
    <t>5579;929;6351;653361;3687;10875;9744;3662;9332;55016;50615;64092;84230;50515</t>
  </si>
  <si>
    <t>PRKCB;CD14;CCL4;NCF1;ITGAX;FGL2;ACAP1;IRF4;CD163;MARCH1;IL21R;SAMSN1;LRRC8C;CHST11</t>
  </si>
  <si>
    <t>http://www.broadinstitute.org/gsea/msigdb/cards/GSE5589_IL6_KO_VS_IL10_KO_LPS_AND_IL10_STIM_MACROPHAGE_45MIN_UP.html</t>
  </si>
  <si>
    <t>GSE6092_B_BURGDOFERI_VS_B_BURGDORFERI_AND_IFNG_STIM_ENDOTHELIAL_CELL_UP</t>
  </si>
  <si>
    <t>8514;286336;139716;23048;51311;51393;27306;241;4261;90634;375387;7462;55803</t>
  </si>
  <si>
    <t>KCNAB2;FAM78A;GAB3;FNBP1;TLR8;TRPV2;HPGDS;ALOX5AP;CIITA;N4BP2L1;NRROS;LAT2;ADAP2</t>
  </si>
  <si>
    <t>http://www.broadinstitute.org/gsea/msigdb/cards/GSE6092_B_BURGDOFERI_VS_B_BURGDORFERI_AND_IFNG_STIM_ENDOTHELIAL_CELL_UP.html</t>
  </si>
  <si>
    <t>GSE11973_MIR223_KOVS_WT_BONE_MARROW_NEUTROPHIL_UP</t>
  </si>
  <si>
    <t>3627;972;5579;944;55589;11314;4049;3111;3002;4066;1043;4033;64747;56606</t>
  </si>
  <si>
    <t>CXCL10;CD74;PRKCB;TNFSF8;BMP2K;CD300A;LTA;HLA-DOA;GZMB;LYL1;CD52;LRMP;MFSD1;SLC2A9</t>
  </si>
  <si>
    <t>http://www.broadinstitute.org/gsea/msigdb/cards/GSE11973_MIR223_KOVS_WT_BONE_MARROW_NEUTROPHIL_UP.html</t>
  </si>
  <si>
    <t>GSE13547_WT_VS_ZFX_KO_BCELL_DN</t>
  </si>
  <si>
    <t>3627;1493;3687;199;3662;3903;11006;84868;3604;4818;168537;50515;57823</t>
  </si>
  <si>
    <t>CXCL10;CTLA4;ITGAX;AIF1;IRF4;LAIR1;LILRB4;HAVCR2;TNFRSF9;NKG7;GIMAP7;CHST11;SLAMF7</t>
  </si>
  <si>
    <t>http://www.broadinstitute.org/gsea/msigdb/cards/GSE13547_WT_VS_ZFX_KO_BCELL_DN.html</t>
  </si>
  <si>
    <t>GSE15330_WT_VS_IKAROS_KO_HSC_UP</t>
  </si>
  <si>
    <t>9046;916;4354;3603;6404;3903;29851;2113;3988;356;11010;3123;80821;25939</t>
  </si>
  <si>
    <t>DOK2;CD3E;MPP1;IL16;SELPLG;LAIR1;ICOS;ETS1;LIPA;FASLG;GLIPR1;HLA-DRB1;DDHD1;SAMHD1</t>
  </si>
  <si>
    <t>http://www.broadinstitute.org/gsea/msigdb/cards/GSE15330_WT_VS_IKAROS_KO_HSC_UP.html</t>
  </si>
  <si>
    <t>GSE9960_HEALTHY_VS_GRAM_NEG_SEPSIS_PBMC_UP</t>
  </si>
  <si>
    <t>9535;9046;3071;80896;58484;55589;7099;4066;10437;55704;245972;80821;56606;55691</t>
  </si>
  <si>
    <t>GMFG;DOK2;NCKAP1L;NPL;NLRC4;BMP2K;TLR4;LYL1;IFI30;CCDC88A;ATP6V0D2;DDHD1;SLC2A9;FRMD4A</t>
  </si>
  <si>
    <t>http://www.broadinstitute.org/gsea/msigdb/cards/GSE9960_HEALTHY_VS_GRAM_NEG_SEPSIS_PBMC_UP.html</t>
  </si>
  <si>
    <t>GSE12392_WT_VS_IFNB_KO_CD8A_POS_SPLEEN_DC_DN</t>
  </si>
  <si>
    <t>2533;4210;3687;941;93978;221188;114836;29851;27299;348;924;356;11010;7941</t>
  </si>
  <si>
    <t>FYB1;MEFV;ITGAX;CD80;CLEC6A;ADGRG5;SLAMF6;ICOS;ADAMDEC1;APOE;CD7;FASLG;GLIPR1;PLA2G7</t>
  </si>
  <si>
    <t>http://www.broadinstitute.org/gsea/msigdb/cards/GSE12392_WT_VS_IFNB_KO_CD8A_POS_SPLEEN_DC_DN.html</t>
  </si>
  <si>
    <t>GSE17186_MEMORY_VS_NAIVE_BCELL_DN</t>
  </si>
  <si>
    <t>2214;3575;941;9459;9056;27036;8564;3111;3988;6503;3123;375387;79895;4644</t>
  </si>
  <si>
    <t>FCGR3A;IL7R;CD80;ARHGEF6;SLC7A7;SIGLEC7;KMO;HLA-DOA;LIPA;SLA;HLA-DRB1;NRROS;ATP8B4;MYO5A</t>
  </si>
  <si>
    <t>http://www.broadinstitute.org/gsea/msigdb/cards/GSE17186_MEMORY_VS_NAIVE_BCELL_DN.html</t>
  </si>
  <si>
    <t>54440;963;971;7535;256380;1794;80342;4049;924;54;6402;79865;100506736;84329</t>
  </si>
  <si>
    <t>SASH3;CD53;CD72;ZAP70;SCML4;DOCK2;TRAF3IP3;LTA;CD7;ACP5;SELL;TREML2;SLFN12L;HVCN1</t>
  </si>
  <si>
    <t>http://www.broadinstitute.org/gsea/msigdb/cards/GSE17186_BLOOD_VS_CORD_BLOOD_CD21HIGH_TRANSITIONAL_BCELL_DN.html</t>
  </si>
  <si>
    <t>GSE17186_BLOOD_VS_CORD_BLOOD_NAIVE_BCELL_UP</t>
  </si>
  <si>
    <t>1318;3627;1439;3101;80301;11184;27128;51393;3553;5552;6546;3988;55803;55691</t>
  </si>
  <si>
    <t>SLC31A2;CXCL10;CSF2RB;HK3;PLEKHO2;MAP4K1;CYTH4;TRPV2;IL1B;SRGN;SLC8A1;LIPA;ADAP2;FRMD4A</t>
  </si>
  <si>
    <t>http://www.broadinstitute.org/gsea/msigdb/cards/GSE17186_BLOOD_VS_CORD_BLOOD_NAIVE_BCELL_UP.html</t>
  </si>
  <si>
    <t>GSE18203_CTRL_VS_INTRATUMORAL_CPG_INJ_MC38_TUMOR_UP</t>
  </si>
  <si>
    <t>4242;9402;3687;2014;6404;92241;6793;1102;2212;54;6402;10235;161145;64919</t>
  </si>
  <si>
    <t>MFNG;GRAP2;ITGAX;EMP3;SELPLG;RCSD1;STK10;RCBTB2;FCGR2A;ACP5;SELL;RASGRP2;TMEM229B;BCL11B</t>
  </si>
  <si>
    <t>http://www.broadinstitute.org/gsea/msigdb/cards/GSE18203_CTRL_VS_INTRATUMORAL_CPG_INJ_MC38_TUMOR_UP.html</t>
  </si>
  <si>
    <t>GSE19923_WT_VS_HEB_AND_E2A_KO_DP_THYMOCYTE_DN</t>
  </si>
  <si>
    <t>3659;6351;1493;2123;3702;8477;1435;3586;3108;1230;1237;6503;597;4215</t>
  </si>
  <si>
    <t>IRF1;CCL4;CTLA4;EVI2A;ITK;GPR65;CSF1;IL10;HLA-DMA;CCR1;CCR8;SLA;BCL2A1;MAP3K3</t>
  </si>
  <si>
    <t>http://www.broadinstitute.org/gsea/msigdb/cards/GSE19923_WT_VS_HEB_AND_E2A_KO_DP_THYMOCYTE_DN.html</t>
  </si>
  <si>
    <t>GSE19772_HCMV_INFL_VS_HCMV_INF_MONOCYTES_AND_PI3K_INHIBITION_DN</t>
  </si>
  <si>
    <t>7305;6352;3575;2123;1234;10875;255231;51744;55303;8530;356;4033;3824;597</t>
  </si>
  <si>
    <t>TYROBP;CCL5;IL7R;EVI2A;CCR5;FGL2;MCOLN2;CD244;GIMAP4;CST7;FASLG;LRMP;KLRD1;BCL2A1</t>
  </si>
  <si>
    <t>http://www.broadinstitute.org/gsea/msigdb/cards/GSE19772_HCMV_INFL_VS_HCMV_INF_MONOCYTES_AND_PI3K_INHIBITION_DN.html</t>
  </si>
  <si>
    <t>GSE16451_CTRL_VS_WEST_EQUINE_ENC_VIRUS_IMMATURE_NEURON_CELL_LINE_UP</t>
  </si>
  <si>
    <t>10663;9535;6352;2124;10320;170371;3903;387357;139716;23533;59067;3003;3824;79895</t>
  </si>
  <si>
    <t>CXCR6;GMFG;CCL5;EVI2B;IKZF1;TMEM273;LAIR1;THEMIS;GAB3;PIK3R5;IL21;GZMK;KLRD1;ATP8B4</t>
  </si>
  <si>
    <t>http://www.broadinstitute.org/gsea/msigdb/cards/GSE16451_CTRL_VS_WEST_EQUINE_ENC_VIRUS_IMMATURE_NEURON_CELL_LINE_UP.html</t>
  </si>
  <si>
    <t>GSE21670_TGFB_VS_TGFB_AND_IL6_TREATED_CD4_TCELL_UP</t>
  </si>
  <si>
    <t>3559;712;714;942;10871;51284;10673;4360;7185;57514;151556;64780;9806;50515</t>
  </si>
  <si>
    <t>IL2RA;C1QA;C1QC;CD86;CD300C;TLR7;TNFSF13B;MRC1;TRAF1;ARHGAP31;GPR155;MICAL1;SPOCK2;CHST11</t>
  </si>
  <si>
    <t>http://www.broadinstitute.org/gsea/msigdb/cards/GSE21670_TGFB_VS_TGFB_AND_IL6_TREATED_CD4_TCELL_UP.html</t>
  </si>
  <si>
    <t>GSE21670_TGFB_VS_TGFB_AND_IL6_TREATED_CD4_TCELL_DN</t>
  </si>
  <si>
    <t>916;3683;2313;8514;50852;257106;256380;50615;56253;924;3123;147138;131450;79895</t>
  </si>
  <si>
    <t>CD3E;ITGAL;FLI1;KCNAB2;TRAT1;ARHGAP30;SCML4;IL21R;CRTAM;CD7;HLA-DRB1;TMC8;CD200R1;ATP8B4</t>
  </si>
  <si>
    <t>http://www.broadinstitute.org/gsea/msigdb/cards/GSE21670_TGFB_VS_TGFB_AND_IL6_TREATED_CD4_TCELL_DN.html</t>
  </si>
  <si>
    <t>GSE22229_RENAL_TRANSPLANT_VS_HEALTHY_PBMC_UP</t>
  </si>
  <si>
    <t>9595;9450;5294;53347;92241;79930;51296;4063;2162;2113;10235;84329;57823;11217</t>
  </si>
  <si>
    <t>CYTIP;LY86;PIK3CG;UBASH3A;RCSD1;DOK3;SLC15A3;LY9;F13A1;ETS1;RASGRP2;HVCN1;SLAMF7;AKAP2</t>
  </si>
  <si>
    <t>http://www.broadinstitute.org/gsea/msigdb/cards/GSE22229_RENAL_TRANSPLANT_VS_HEALTHY_PBMC_UP.html</t>
  </si>
  <si>
    <t>GSE21546_WT_VS_SAP1A_KO_AND_ELK1_KO_DP_THYMOCYTES_UP</t>
  </si>
  <si>
    <t>9839;1536;951;6351;6352;51296;23533;29992;9056;730249;10148;10184;149699;53831</t>
  </si>
  <si>
    <t>ZEB2;CYBB;CD37;CCL4;CCL5;SLC15A3;PIK3R5;PILRA;SLC7A7;ACOD1;EBI3;LHFPL2;GTSF1L;GPR84</t>
  </si>
  <si>
    <t>http://www.broadinstitute.org/gsea/msigdb/cards/GSE21546_WT_VS_SAP1A_KO_AND_ELK1_KO_DP_THYMOCYTES_UP.html</t>
  </si>
  <si>
    <t>GSE21927_SPLEEN_VS_BONE_MARROW_MONOCYTE_BALBC_DN</t>
  </si>
  <si>
    <t>259197;3687;942;91752;83706;255231;152789;9056;3684;2212;54;118788;54518;84541</t>
  </si>
  <si>
    <t>NCR3;ITGAX;CD86;ZNF804A;FERMT3;MCOLN2;JAKMIP1;SLC7A7;ITGAM;FCGR2A;ACP5;PIK3AP1;APBB1IP;KBTBD8</t>
  </si>
  <si>
    <t>http://www.broadinstitute.org/gsea/msigdb/cards/GSE21927_SPLEEN_VS_BONE_MARROW_MONOCYTE_BALBC_DN.html</t>
  </si>
  <si>
    <t>GSE21360_PRIMARY_VS_TERTIARY_MEMORY_CD8_TCELL_UP</t>
  </si>
  <si>
    <t>4542;9214;2214;391;10871;3903;80301;4064;55589;366;5452;3162;4066;206358</t>
  </si>
  <si>
    <t>MYO1F;FCMR;FCGR3A;RHOG;CD300C;LAIR1;PLEKHO2;CD180;BMP2K;AQP9;POU2F2;HMOX1;LYL1;SLC36A1</t>
  </si>
  <si>
    <t>http://www.broadinstitute.org/gsea/msigdb/cards/GSE21360_PRIMARY_VS_TERTIARY_MEMORY_CD8_TCELL_UP.html</t>
  </si>
  <si>
    <t>GSE19401_NAIVE_VS_IMMUNIZED_MOUSE_PLN_FOLLICULAR_DC_UP</t>
  </si>
  <si>
    <t>920;6351;942;2014;3937;9332;2162;3553;3956;3162;4360;969;7185;23166</t>
  </si>
  <si>
    <t>CD4;CCL4;CD86;EMP3;LCP2;CD163;F13A1;IL1B;LGALS1;HMOX1;MRC1;CD69;TRAF1;STAB1</t>
  </si>
  <si>
    <t>http://www.broadinstitute.org/gsea/msigdb/cards/GSE19401_NAIVE_VS_IMMUNIZED_MOUSE_PLN_FOLLICULAR_DC_UP.html</t>
  </si>
  <si>
    <t>GSE23505_UNTREATED_VS_4DAY_IL6_IL1_TGFB_TREATED_CD4_TCELL_UP</t>
  </si>
  <si>
    <t>3458;3932;653361;3394;124535;255231;2672;9056;8530;6693;5133;4818;9033;55691</t>
  </si>
  <si>
    <t>IFNG;LCK;NCF1;IRF8;HSF5;MCOLN2;GFI1;SLC7A7;CST7;SPN;PDCD1;NKG7;PKD2L1;FRMD4A</t>
  </si>
  <si>
    <t>http://www.broadinstitute.org/gsea/msigdb/cards/GSE23505_UNTREATED_VS_4DAY_IL6_IL1_TGFB_TREATED_CD4_TCELL_UP.html</t>
  </si>
  <si>
    <t>GSE25123_ROSIGLITAZONE_VS_IL4_AND_ROSIGLITAZONE_STIM_PPARG_KO_MACROPHAGE_DAY10_DN</t>
  </si>
  <si>
    <t>54440;3559;3689;5788;374403;221188;81704;89790;53829;51284;4261;140885;9815;64805</t>
  </si>
  <si>
    <t>SASH3;IL2RA;ITGB2;PTPRC;TBC1D10C;ADGRG5;DOCK8;SIGLEC10;P2RY13;TLR7;CIITA;SIRPA;GIT2;P2RY12</t>
  </si>
  <si>
    <t>http://www.broadinstitute.org/gsea/msigdb/cards/GSE25123_ROSIGLITAZONE_VS_IL4_AND_ROSIGLITAZONE_STIM_PPARG_KO_MACROPHAGE_DAY10_DN.html</t>
  </si>
  <si>
    <t>GSE25123_CTRL_VS_ROSIGLITAZONE_STIM_PPARG_KO_MACROPHAGE_DN</t>
  </si>
  <si>
    <t>1536;3676;971;124460;150372;139716;1794;4063;10437;54;1043;3363;6776;55013</t>
  </si>
  <si>
    <t>CYBB;ITGA4;CD72;SNX20;NFAM1;GAB3;DOCK2;LY9;IFI30;ACP5;CD52;HTR7;STAT5A;MCUB</t>
  </si>
  <si>
    <t>http://www.broadinstitute.org/gsea/msigdb/cards/GSE25123_CTRL_VS_ROSIGLITAZONE_STIM_PPARG_KO_MACROPHAGE_DN.html</t>
  </si>
  <si>
    <t>GSE25088_WT_VS_STAT6_KO_MACROPHAGE_IL4_STIM_UP</t>
  </si>
  <si>
    <t>920;925;5788;919;2123;5778;6504;926;1043;4033;6503;64780;9806;27240</t>
  </si>
  <si>
    <t>CD4;CD8A;PTPRC;CD247;EVI2A;PTPN7;SLAMF1;CD8B;CD52;LRMP;SLA;MICAL1;SPOCK2;SIT1</t>
  </si>
  <si>
    <t>http://www.broadinstitute.org/gsea/msigdb/cards/GSE25088_WT_VS_STAT6_KO_MACROPHAGE_IL4_STIM_UP.html</t>
  </si>
  <si>
    <t>GSE23984_CTRL_VS_HYPOCALEMIC_VITAMIND_ANALOG_TCELL_DN</t>
  </si>
  <si>
    <t>7456;9404;940;3575;2124;7805;225;2857;10154;10457;55704;89846;151556;64780</t>
  </si>
  <si>
    <t>WIPF1;LPXN;CD28;IL7R;EVI2B;LAPTM5;ABCD2;GPR34;PLXNC1;GPNMB;CCDC88A;FGD3;GPR155;MICAL1</t>
  </si>
  <si>
    <t>http://www.broadinstitute.org/gsea/msigdb/cards/GSE23984_CTRL_VS_HYPOCALEMIC_VITAMIND_ANALOG_TCELL_DN.html</t>
  </si>
  <si>
    <t>GSE22282_HYPOXIA_VS_NORMOXIA_MYELOID_DC_UP</t>
  </si>
  <si>
    <t>8676;10261;6352;5734;6772;4689;730249;9034;3737;2358;7941;50943;53831;1522</t>
  </si>
  <si>
    <t>STX11;IGSF6;CCL5;PTGER4;STAT1;NCF4;ACOD1;CCRL2;KCNA2;FPR2;PLA2G7;FOXP3;GPR84;CTSZ</t>
  </si>
  <si>
    <t>http://www.broadinstitute.org/gsea/msigdb/cards/GSE22282_HYPOXIA_VS_NORMOXIA_MYELOID_DC_UP.html</t>
  </si>
  <si>
    <t>GSE24972_MARGINAL_ZONE_BCELL_VS_FOLLICULAR_BCELL_IRF8_KO_DN</t>
  </si>
  <si>
    <t>4210;8676;6036;1493;3695;256380;197135;4094;1508;54331;1601;5376;6363;55803</t>
  </si>
  <si>
    <t>MEFV;STX11;RNASE2;CTLA4;ITGB7;SCML4;PATL2;MAF;CTSB;GNG2;DAB2;PMP22;CCL19;ADAP2</t>
  </si>
  <si>
    <t>http://www.broadinstitute.org/gsea/msigdb/cards/GSE24972_MARGINAL_ZONE_BCELL_VS_FOLLICULAR_BCELL_IRF8_KO_DN.html</t>
  </si>
  <si>
    <t>GSE19941_UNSTIM_VS_LPS_AND_IL10_STIM_IL10_KO_MACROPHAGE_UP</t>
  </si>
  <si>
    <t>340152;714;3659;942;6504;124460;83706;89857;4063;51311;57105;5376;57705;85464</t>
  </si>
  <si>
    <t>ZC3H12D;C1QC;IRF1;CD86;SLAMF1;SNX20;FERMT3;KLHL6;LY9;TLR8;CYSLTR2;PMP22;WDFY4;SSH2</t>
  </si>
  <si>
    <t>http://www.broadinstitute.org/gsea/msigdb/cards/GSE19941_UNSTIM_VS_LPS_AND_IL10_STIM_IL10_KO_MACROPHAGE_UP.html</t>
  </si>
  <si>
    <t>9595;5579;3932;1436;6688;963;8514;6793;3936;6402;3108;729230;7454;7185</t>
  </si>
  <si>
    <t>CYTIP;PRKCB;LCK;CSF1R;SPI1;CD53;KCNAB2;STK10;LCP1;SELL;HLA-DMA;CCR2;WAS;TRAF1</t>
  </si>
  <si>
    <t>http://www.broadinstitute.org/gsea/msigdb/cards/GSE22443_IL2_VS_IL12_TREATED_ACT_CD8_TCELL_DN.html</t>
  </si>
  <si>
    <t>GSE24574_BCL6_HIGH_TFH_VS_TCONV_CD4_TCELL_DN</t>
  </si>
  <si>
    <t>925;1436;2124;3937;3587;5800;9034;8530;56253;926;6402;2359;6503;9815</t>
  </si>
  <si>
    <t>CD8A;CSF1R;EVI2B;LCP2;IL10RA;PTPRO;CCRL2;CST7;CRTAM;CD8B;SELL;FPR3;SLA;GIT2</t>
  </si>
  <si>
    <t>http://www.broadinstitute.org/gsea/msigdb/cards/GSE24574_BCL6_HIGH_TFH_VS_TCONV_CD4_TCELL_DN.html</t>
  </si>
  <si>
    <t>GSE24574_BCL6_HIGH_TFH_VS_TFH_CD4_TCELL_UP</t>
  </si>
  <si>
    <t>925;2123;2124;3101;3587;5800;2672;27036;11024;3117;926;6402;6503;23166</t>
  </si>
  <si>
    <t>CD8A;EVI2A;EVI2B;HK3;IL10RA;PTPRO;GFI1;SIGLEC7;LILRA1;HLA-DQA1;CD8B;SELL;SLA;STAB1</t>
  </si>
  <si>
    <t>http://www.broadinstitute.org/gsea/msigdb/cards/GSE24574_BCL6_HIGH_TFH_VS_TFH_CD4_TCELL_UP.html</t>
  </si>
  <si>
    <t>GSE29949_MICROGLIA_BRAIN_VS_CD8_POS_DC_SPLEEN_UP</t>
  </si>
  <si>
    <t>9839;9404;914;962;3659;923;1236;6504;3603;5800;55589;3717;3604;7185</t>
  </si>
  <si>
    <t>ZEB2;LPXN;CD2;CD48;IRF1;CD6;CCR7;SLAMF1;IL16;PTPRO;BMP2K;JAK2;TNFRSF9;TRAF1</t>
  </si>
  <si>
    <t>http://www.broadinstitute.org/gsea/msigdb/cards/GSE29949_MICROGLIA_BRAIN_VS_CD8_POS_DC_SPLEEN_UP.html</t>
  </si>
  <si>
    <t>GSE29949_MICROGLIA_BRAIN_VS_CD8_POS_DC_SPLEEN_DN</t>
  </si>
  <si>
    <t>9450;2214;7634;4283;11262;3587;26051;2672;341;926;11009;27314;25780;8605</t>
  </si>
  <si>
    <t>LY86;FCGR3A;ZNF80;CXCL9;SP140;IL10RA;PPP1R16B;GFI1;APOC1;CD8B;IL24;RAB30;RASGRP3;PLA2G4C</t>
  </si>
  <si>
    <t>http://www.broadinstitute.org/gsea/msigdb/cards/GSE29949_MICROGLIA_BRAIN_VS_CD8_POS_DC_SPLEEN_DN.html</t>
  </si>
  <si>
    <t>GSE29949_MICROGLIA_BRAIN_VS_CD8_NEG_DC_SPLEEN_DN</t>
  </si>
  <si>
    <t>259197;1318;1536;313;7634;4064;225;1102;596;3902;27314;4327;4215;8605</t>
  </si>
  <si>
    <t>NCR3;SLC31A2;CYBB;AOAH;ZNF80;CD180;ABCD2;RCBTB2;BCL2;LAG3;RAB30;MMP19;MAP3K3;PLA2G4C</t>
  </si>
  <si>
    <t>http://www.broadinstitute.org/gsea/msigdb/cards/GSE29949_MICROGLIA_BRAIN_VS_CD8_NEG_DC_SPLEEN_DN.html</t>
  </si>
  <si>
    <t>4068;54440;962;940;944;2313;11262;8477;8530;6793;3902;9938;4033;8809</t>
  </si>
  <si>
    <t>SH2D1A;SASH3;CD48;CD28;TNFSF8;FLI1;SP140;GPR65;CST7;STK10;LAG3;ARHGAP25;LRMP;IL18R1</t>
  </si>
  <si>
    <t>http://www.broadinstitute.org/gsea/msigdb/cards/GSE29949_CD8_POS_DC_SPLEEN_VS_MONOCYTE_BONE_MARROW_DN.html</t>
  </si>
  <si>
    <t>GSE29164_UNTREATED_VS_CD8_TCELL_AND_IL12_TREATED_MELANOMA_DAY7_DN</t>
  </si>
  <si>
    <t>9051;1493;3575;51744;50615;924;943;2833;27163;6891;10462;79630;51676;29126</t>
  </si>
  <si>
    <t>PSTPIP1;CTLA4;IL7R;CD244;IL21R;CD7;TNFRSF8;CXCR3;NAAA;TAP2;CLEC10A;C1orf54;ASB2;CD274</t>
  </si>
  <si>
    <t>http://www.broadinstitute.org/gsea/msigdb/cards/GSE29164_UNTREATED_VS_CD8_TCELL_AND_IL12_TREATED_MELANOMA_DAY7_DN.html</t>
  </si>
  <si>
    <t>GSE33424_CD161_HIGH_VS_INT_CD8_TCELL_UP</t>
  </si>
  <si>
    <t>3055;3676;2123;4245;3587;219972;255231;115361;9056;3112;6402;1230;4261;4644</t>
  </si>
  <si>
    <t>HCK;ITGA4;EVI2A;MGAT1;IL10RA;MPEG1;MCOLN2;GBP4;SLC7A7;HLA-DOB;SELL;CCR1;CIITA;MYO5A</t>
  </si>
  <si>
    <t>http://www.broadinstitute.org/gsea/msigdb/cards/GSE33424_CD161_HIGH_VS_INT_CD8_TCELL_UP.html</t>
  </si>
  <si>
    <t>GSE26343_WT_VS_NFAT5_KO_MACROPHAGE_LPS_STIM_DN</t>
  </si>
  <si>
    <t>9404;3575;4354;8477;89857;56659;241;3988;5376;4240;151556;245972;79895;51762</t>
  </si>
  <si>
    <t>LPXN;IL7R;MPP1;GPR65;KLHL6;KCNK13;ALOX5AP;LIPA;PMP22;MFGE8;GPR155;ATP6V0D2;ATP8B4;RAB8B</t>
  </si>
  <si>
    <t>http://www.broadinstitute.org/gsea/msigdb/cards/GSE26343_WT_VS_NFAT5_KO_MACROPHAGE_LPS_STIM_DN.html</t>
  </si>
  <si>
    <t>GSE36888_UNTREATED_VS_IL2_TREATED_STAT5_AB_KNOCKIN_TCELL_17H_DN</t>
  </si>
  <si>
    <t>3001;6351;3695;1236;29851;4094;4049;926;3004;79865;9806;59345;50515;11217</t>
  </si>
  <si>
    <t>GZMA;CCL4;ITGB7;CCR7;ICOS;MAF;LTA;CD8B;GZMM;TREML2;SPOCK2;GNB4;CHST11;AKAP2</t>
  </si>
  <si>
    <t>http://www.broadinstitute.org/gsea/msigdb/cards/GSE36888_UNTREATED_VS_IL2_TREATED_STAT5_AB_KNOCKIN_TCELL_17H_DN.html</t>
  </si>
  <si>
    <t>GSE36888_STAT5_AB_KNOCKIN_VS_WT_TCELL_IL2_TREATED_17H_UP</t>
  </si>
  <si>
    <t>3575;1236;942;51296;114836;27033;56253;6402;2213;729230;2833;441168;84329;27240</t>
  </si>
  <si>
    <t>IL7R;CCR7;CD86;SLC15A3;SLAMF6;ZBTB32;CRTAM;SELL;FCGR2B;CCR2;CXCR3;CALHM6;HVCN1;SIT1</t>
  </si>
  <si>
    <t>http://www.broadinstitute.org/gsea/msigdb/cards/GSE36888_STAT5_AB_KNOCKIN_VS_WT_TCELL_IL2_TREATED_17H_UP.html</t>
  </si>
  <si>
    <t>GSE36888_STAT5_AB_KNOCKIN_VS_WT_TCELL_IL2_TREATED_2H_DN</t>
  </si>
  <si>
    <t>944;4671;9744;91752;366;2162;3553;3684;6402;241;5724;140885;7941;10462</t>
  </si>
  <si>
    <t>TNFSF8;NAIP;ACAP1;ZNF804A;AQP9;F13A1;IL1B;ITGAM;SELL;ALOX5AP;PTAFR;SIRPA;PLA2G7;CLEC10A</t>
  </si>
  <si>
    <t>http://www.broadinstitute.org/gsea/msigdb/cards/GSE36888_STAT5_AB_KNOCKIN_VS_WT_TCELL_IL2_TREATED_2H_DN.html</t>
  </si>
  <si>
    <t>10663;7453;51056;2124;3594;53347;3903;80231;51225;10537;5452;2212;10437;3988</t>
  </si>
  <si>
    <t>CXCR6;WARS;LAP3;EVI2B;IL12RB1;UBASH3A;LAIR1;CXorf21;ABI3;UBD;POU2F2;FCGR2A;IFI30;LIPA</t>
  </si>
  <si>
    <t>http://www.broadinstitute.org/gsea/msigdb/cards/GSE34515_CD16_NEG_MONOCYTE_VS_DC_DN.html</t>
  </si>
  <si>
    <t>GSE37301_COMMON_LYMPHOID_PROGENITOR_VS_RAG2_KO_NK_CELL_DN</t>
  </si>
  <si>
    <t>22797;962;2207;1236;2124;2322;6404;55843;56253;5452;3162;728;6518;55281</t>
  </si>
  <si>
    <t>TFEC;CD48;FCER1G;CCR7;EVI2B;FLT3;SELPLG;ARHGAP15;CRTAM;POU2F2;HMOX1;C5AR1;SLC2A5;TMEM140</t>
  </si>
  <si>
    <t>http://www.broadinstitute.org/gsea/msigdb/cards/GSE37301_COMMON_LYMPHOID_PROGENITOR_VS_RAG2_KO_NK_CELL_DN.html</t>
  </si>
  <si>
    <t>9595;963;5294;151888;55016;29909;19;3112;2113;8905;6503;91526;155038;59345</t>
  </si>
  <si>
    <t>CYTIP;CD53;PIK3CG;BTLA;MARCH1;GPR171;ABCA1;HLA-DOB;ETS1;AP1S2;SLA;ANKRD44;GIMAP8;GNB4</t>
  </si>
  <si>
    <t>GSE37533_PPARG1_FOXP3_VS_PPARG2_FOXP3_TRANSDUCED_CD4_TCELL_DN</t>
  </si>
  <si>
    <t>7456;5341;11151;151888;114836;55589;55303;10870;8564;3117;10437;3059;8905;10077</t>
  </si>
  <si>
    <t>WIPF1;PLEK;CORO1A;BTLA;SLAMF6;BMP2K;GIMAP4;HCST;KMO;HLA-DQA1;IFI30;HCLS1;AP1S2;TSPAN32</t>
  </si>
  <si>
    <t>http://www.broadinstitute.org/gsea/msigdb/cards/GSE37533_PPARG1_FOXP3_VS_PPARG2_FOXP3_TRANSDUCED_CD4_TCELL_DN.html</t>
  </si>
  <si>
    <t>GSE33162_UNTREATED_VS_4H_LPS_STIM_HDAC3_KO_MACROPHAGE_UP</t>
  </si>
  <si>
    <t>7305;4068;3458;3627;5551;6688;3687;30009;3684;4066;8905;54331;168537;64805</t>
  </si>
  <si>
    <t>TYROBP;SH2D1A;IFNG;CXCL10;PRF1;SPI1;ITGAX;TBX21;ITGAM;LYL1;AP1S2;GNG2;GIMAP7;P2RY12</t>
  </si>
  <si>
    <t>http://www.broadinstitute.org/gsea/msigdb/cards/GSE33162_UNTREATED_VS_4H_LPS_STIM_HDAC3_KO_MACROPHAGE_UP.html</t>
  </si>
  <si>
    <t>GSE32034_UNTREATED_VS_ROSIGLIZATONE_TREATED_LY6C_HIGH_MONOCYTE_UP</t>
  </si>
  <si>
    <t>2268;653361;3575;3561;10019;366;3162;5816;728;4481;1230;6556;51762;27240</t>
  </si>
  <si>
    <t>FGR;NCF1;IL7R;IL2RG;SH2B3;AQP9;HMOX1;PVALB;C5AR1;MSR1;CCR1;SLC11A1;RAB8B;SIT1</t>
  </si>
  <si>
    <t>http://www.broadinstitute.org/gsea/msigdb/cards/GSE32034_UNTREATED_VS_ROSIGLIZATONE_TREATED_LY6C_HIGH_MONOCYTE_UP.html</t>
  </si>
  <si>
    <t>GSE39152_BRAIN_VS_SPLEEN_CD103_NEG_MEMORY_CD8_TCELL_DN</t>
  </si>
  <si>
    <t>9046;10068;3627;6351;1439;6772;255231;55589;730249;3717;5552;2213;10235;9935</t>
  </si>
  <si>
    <t>DOK2;IL18BP;CXCL10;CCL4;CSF2RB;STAT1;MCOLN2;BMP2K;ACOD1;JAK2;SRGN;FCGR2B;RASGRP2;MAFB</t>
  </si>
  <si>
    <t>http://www.broadinstitute.org/gsea/msigdb/cards/GSE39152_BRAIN_VS_SPLEEN_CD103_NEG_MEMORY_CD8_TCELL_DN.html</t>
  </si>
  <si>
    <t>GSE39152_CD103_NEG_VS_POS_MEMORY_CD8_TCELL_DN</t>
  </si>
  <si>
    <t>10068;915;6351;653361;1234;55589;366;19;3117;3162;728;2213;3718;9935</t>
  </si>
  <si>
    <t>IL18BP;CD3D;CCL4;NCF1;CCR5;BMP2K;AQP9;ABCA1;HLA-DQA1;HMOX1;C5AR1;FCGR2B;JAK3;MAFB</t>
  </si>
  <si>
    <t>http://www.broadinstitute.org/gsea/msigdb/cards/GSE39152_CD103_NEG_VS_POS_MEMORY_CD8_TCELL_DN.html</t>
  </si>
  <si>
    <t>GSE40274_FOXP3_VS_FOXP3_AND_IRF4_TRANSDUCED_ACTIVATED_CD4_TCELL_UP</t>
  </si>
  <si>
    <t>27334;4242;9404;4689;283897;124460;114836;2857;4094;3108;1235;8809;151556;51063</t>
  </si>
  <si>
    <t>P2RY10;MFNG;LPXN;NCF4;C16orf54;SNX20;SLAMF6;GPR34;MAF;HLA-DMA;CCR6;IL18R1;GPR155;CALHM2</t>
  </si>
  <si>
    <t>http://www.broadinstitute.org/gsea/msigdb/cards/GSE40274_FOXP3_VS_FOXP3_AND_IRF4_TRANSDUCED_ACTIVATED_CD4_TCELL_UP.html</t>
  </si>
  <si>
    <t>GSE40441_NRP1_POS_INDUCED_TREG_VS_NRP1_NEG_NATURAL_TREG_UP</t>
  </si>
  <si>
    <t>27334;9214;53347;3603;4689;283897;114836;115361;54209;27128;3111;1435;245972;5027</t>
  </si>
  <si>
    <t>P2RY10;FCMR;UBASH3A;IL16;NCF4;C16orf54;SLAMF6;GBP4;TREM2;CYTH4;HLA-DOA;CSF1;ATP6V0D2;P2RX7</t>
  </si>
  <si>
    <t>http://www.broadinstitute.org/gsea/msigdb/cards/GSE40441_NRP1_POS_INDUCED_TREG_VS_NRP1_NEG_NATURAL_TREG_UP.html</t>
  </si>
  <si>
    <t>GSE40443_INDUCED_VS_TOTAL_TREG_DN</t>
  </si>
  <si>
    <t>4210;3560;3695;2207;6404;4689;79626;283897;64231;3956;924;10437;55911;84329</t>
  </si>
  <si>
    <t>MEFV;IL2RB;ITGB7;FCER1G;SELPLG;NCF4;TNFAIP8L2;C16orf54;MS4A6A;LGALS1;CD7;IFI30;APOBR;HVCN1</t>
  </si>
  <si>
    <t>http://www.broadinstitute.org/gsea/msigdb/cards/GSE40443_INDUCED_VS_TOTAL_TREG_DN.html</t>
  </si>
  <si>
    <t>1318;3575;117289;89857;51225;10019;924;596;54;3004;7185;3824;84329;51466</t>
  </si>
  <si>
    <t>SLC31A2;IL7R;TAGAP;KLHL6;ABI3;SH2B3;CD7;BCL2;ACP5;GZMM;TRAF1;KLRD1;HVCN1;EVL</t>
  </si>
  <si>
    <t>http://www.broadinstitute.org/gsea/msigdb/cards/GSE39110_DAY3_VS_DAY6_POST_IMMUNIZATION_CD8_TCELL_UP.html</t>
  </si>
  <si>
    <t>GSE39110_DAY3_VS_DAY6_POST_IMMUNIZATION_CD8_TCELL_DN</t>
  </si>
  <si>
    <t>9839;3001;1493;7453;80380;59067;27033;5452;3956;3002;3902;4033;9806;22806</t>
  </si>
  <si>
    <t>ZEB2;GZMA;CTLA4;WARS;PDCD1LG2;IL21;ZBTB32;POU2F2;LGALS1;GZMB;LAG3;LRMP;SPOCK2;IKZF3</t>
  </si>
  <si>
    <t>http://www.broadinstitute.org/gsea/msigdb/cards/GSE39110_DAY3_VS_DAY6_POST_IMMUNIZATION_CD8_TCELL_DN.html</t>
  </si>
  <si>
    <t>GSE39110_UNTREATED_VS_IL2_TREATED_CD8_TCELL_DAY6_POST_IMMUNIZATION_DN</t>
  </si>
  <si>
    <t>340152;9595;6772;256380;114836;8320;3112;2113;3988;3604;57514;9806;10077;5027</t>
  </si>
  <si>
    <t>ZC3H12D;CYTIP;STAT1;SCML4;SLAMF6;EOMES;HLA-DOB;ETS1;LIPA;TNFRSF9;ARHGAP31;SPOCK2;TSPAN32;P2RX7</t>
  </si>
  <si>
    <t>http://www.broadinstitute.org/gsea/msigdb/cards/GSE39110_UNTREATED_VS_IL2_TREATED_CD8_TCELL_DAY6_POST_IMMUNIZATION_DN.html</t>
  </si>
  <si>
    <t>GSE36078_WT_VS_IL1R_KO_LUNG_DC_AFTER_AD5_INF_DN</t>
  </si>
  <si>
    <t>5579;1236;4354;117289;387357;114836;55589;8530;8320;3112;3988;3604;10077;5027</t>
  </si>
  <si>
    <t>PRKCB;CCR7;MPP1;TAGAP;THEMIS;SLAMF6;BMP2K;CST7;EOMES;HLA-DOB;LIPA;TNFRSF9;TSPAN32;P2RX7</t>
  </si>
  <si>
    <t>http://www.broadinstitute.org/gsea/msigdb/cards/GSE36078_WT_VS_IL1R_KO_LUNG_DC_AFTER_AD5_INF_DN.html</t>
  </si>
  <si>
    <t>GSE11961_FOLLICULAR_BCELL_VS_PLASMA_CELL_DAY7_DN</t>
  </si>
  <si>
    <t>54440;3689;3575;10225;53347;8514;10320;139716;64333;84174;80231;2113;91526;50515</t>
  </si>
  <si>
    <t>SASH3;ITGB2;IL7R;CD96;UBASH3A;KCNAB2;IKZF1;GAB3;ARHGAP9;SLA2;CXorf21;ETS1;ANKRD44;CHST11</t>
  </si>
  <si>
    <t>http://www.broadinstitute.org/gsea/msigdb/cards/GSE11961_FOLLICULAR_BCELL_VS_PLASMA_CELL_DAY7_DN.html</t>
  </si>
  <si>
    <t>GSE11961_UNSTIM_VS_ANTI_IGM_AND_CD40_STIM_6H_FOLLICULAR_BCELL_UP</t>
  </si>
  <si>
    <t>5788;3687;2207;3394;51296;57580;51744;55589;3956;55911;4818;161176;84034;57823</t>
  </si>
  <si>
    <t>PTPRC;ITGAX;FCER1G;IRF8;SLC15A3;PREX1;CD244;BMP2K;LGALS1;APOBR;NKG7;SYNE3;EMILIN2;SLAMF7</t>
  </si>
  <si>
    <t>http://www.broadinstitute.org/gsea/msigdb/cards/GSE11961_UNSTIM_VS_ANTI_IGM_AND_CD40_STIM_6H_FOLLICULAR_BCELL_UP.html</t>
  </si>
  <si>
    <t>GSE28737_WT_VS_BCL6_KO_FOLLICULAR_BCELL_UP</t>
  </si>
  <si>
    <t>4210;9595;972;1536;695;3662;80896;3117;3109;6776;1235;3123;25780;7462</t>
  </si>
  <si>
    <t>MEFV;CYTIP;CD74;CYBB;BTK;IRF4;NPL;HLA-DQA1;HLA-DMB;STAT5A;CCR6;HLA-DRB1;RASGRP3;LAT2</t>
  </si>
  <si>
    <t>http://www.broadinstitute.org/gsea/msigdb/cards/GSE28737_WT_VS_BCL6_KO_FOLLICULAR_BCELL_UP.html</t>
  </si>
  <si>
    <t>GSE39556_UNTREATED_VS_3H_POLYIC_INJ_MOUSE_NK_CELL_UP</t>
  </si>
  <si>
    <t>3055;971;2014;695;3662;399;50852;4064;23228;8564;4240;4033;814;27240</t>
  </si>
  <si>
    <t>HCK;CD72;EMP3;BTK;IRF4;RHOH;TRAT1;CD180;PLCL2;KMO;MFGE8;LRMP;CAMK4;SIT1</t>
  </si>
  <si>
    <t>http://www.broadinstitute.org/gsea/msigdb/cards/GSE39556_UNTREATED_VS_3H_POLYIC_INJ_MOUSE_NK_CELL_UP.html</t>
  </si>
  <si>
    <t>GSE39556_CD8A_DC_VS_NK_CELL_MOUSE_3H_POST_POLYIC_INJ_DN</t>
  </si>
  <si>
    <t>9839;9214;5579;3055;6036;2350;3603;399;6039;26051;8564;2162;3109;969</t>
  </si>
  <si>
    <t>ZEB2;FCMR;PRKCB;HCK;RNASE2;FOLR2;IL16;RHOH;RNASE6;PPP1R16B;KMO;F13A1;HLA-DMB;CD69</t>
  </si>
  <si>
    <t>http://www.broadinstitute.org/gsea/msigdb/cards/GSE39556_CD8A_DC_VS_NK_CELL_MOUSE_3H_POST_POLYIC_INJ_DN.html</t>
  </si>
  <si>
    <t>940;951;3683;3695;1236;2322;3394;3702;221472;26051;51225;10235;79630;51466</t>
  </si>
  <si>
    <t>CD28;CD37;ITGAL;ITGB7;CCR7;FLT3;IRF8;ITK;FGD2;PPP1R16B;ABI3;RASGRP2;C1orf54;EVL</t>
  </si>
  <si>
    <t>GSE41867_LCMV_ARMSTRONG_VS_CLONE13_DAY15_EFFECTOR_CD8_TCELL_UP</t>
  </si>
  <si>
    <t>22797;9535;712;714;10320;259307;2672;3553;3117;348;6891;81553;51063;25939</t>
  </si>
  <si>
    <t>TFEC;GMFG;C1QA;C1QC;IKZF1;IL4I1;GFI1;IL1B;HLA-DQA1;APOE;TAP2;FAM49A;CALHM2;SAMHD1</t>
  </si>
  <si>
    <t>http://www.broadinstitute.org/gsea/msigdb/cards/GSE41867_LCMV_ARMSTRONG_VS_CLONE13_DAY15_EFFECTOR_CD8_TCELL_UP.html</t>
  </si>
  <si>
    <t>GSE42021_TREG_PLN_VS_TREG_PRECURSORS_THYMUS_DN</t>
  </si>
  <si>
    <t>916;3659;51056;2633;10225;6772;6890;51296;9881;10437;6891;25780;55281;25939</t>
  </si>
  <si>
    <t>CD3E;IRF1;LAP3;GBP1;CD96;STAT1;TAP1;SLC15A3;TRANK1;IFI30;TAP2;RASGRP3;TMEM140;SAMHD1</t>
  </si>
  <si>
    <t>http://www.broadinstitute.org/gsea/msigdb/cards/GSE42021_TREG_PLN_VS_TREG_PRECURSORS_THYMUS_DN.html</t>
  </si>
  <si>
    <t>GSE42021_TCONV_PLN_VS_CD24LO_TCONV_THYMUS_DN</t>
  </si>
  <si>
    <t>1536;5579;7453;2014;730249;2811;3684;4066;3274;1230;3988;2833;338339;5027</t>
  </si>
  <si>
    <t>CYBB;PRKCB;WARS;EMP3;ACOD1;GP1BA;ITGAM;LYL1;HRH2;CCR1;LIPA;CXCR3;CLEC4D;P2RX7</t>
  </si>
  <si>
    <t>http://www.broadinstitute.org/gsea/msigdb/cards/GSE42021_TCONV_PLN_VS_CD24LO_TCONV_THYMUS_DN.html</t>
  </si>
  <si>
    <t>GSE43955_1H_VS_10H_ACT_CD4_TCELL_UP</t>
  </si>
  <si>
    <t>962;6351;971;2207;10871;225;730249;4481;2213;729230;7185;8809;597;10077</t>
  </si>
  <si>
    <t>CD48;CCL4;CD72;FCER1G;CD300C;ABCD2;ACOD1;MSR1;FCGR2B;CCR2;TRAF1;IL18R1;BCL2A1;TSPAN32</t>
  </si>
  <si>
    <t>http://www.broadinstitute.org/gsea/msigdb/cards/GSE43955_1H_VS_10H_ACT_CD4_TCELL_UP.html</t>
  </si>
  <si>
    <t>GSE43955_1H_VS_10H_ACT_CD4_TCELL_WITH_TGFB_IL6_UP</t>
  </si>
  <si>
    <t>4242;7305;3594;3937;64926;255231;3122;4481;2359;3290;2213;1230;729230;10077</t>
  </si>
  <si>
    <t>MFNG;TYROBP;IL12RB1;LCP2;RASAL3;MCOLN2;HLA-DRA;MSR1;FPR3;HSD11B1;FCGR2B;CCR1;CCR2;TSPAN32</t>
  </si>
  <si>
    <t>http://www.broadinstitute.org/gsea/msigdb/cards/GSE43955_1H_VS_10H_ACT_CD4_TCELL_WITH_TGFB_IL6_UP.html</t>
  </si>
  <si>
    <t>5579;3055;962;2209;4354;3394;10320;526;2213;54331;140885;3604;3824;4215</t>
  </si>
  <si>
    <t>PRKCB;HCK;CD48;FCGR1A;MPP1;IRF8;IKZF1;ATP6V1B2;FCGR2B;GNG2;SIRPA;TNFRSF9;KLRD1;MAP3K3</t>
  </si>
  <si>
    <t>http://www.broadinstitute.org/gsea/msigdb/cards/GSE43955_1H_VS_60H_ACT_CD4_TCELL_WITH_TGFB_IL6_UP.html</t>
  </si>
  <si>
    <t>GSE43955_10H_VS_30H_ACT_CD4_TCELL_UP</t>
  </si>
  <si>
    <t>9450;712;713;916;653361;11151;199;3587;719;3635;3936;6753;2833;3123</t>
  </si>
  <si>
    <t>LY86;C1QA;C1QB;CD3E;NCF1;CORO1A;AIF1;IL10RA;C3AR1;INPP5D;LCP1;SSTR3;CXCR3;HLA-DRB1</t>
  </si>
  <si>
    <t>http://www.broadinstitute.org/gsea/msigdb/cards/GSE43955_10H_VS_30H_ACT_CD4_TCELL_UP.html</t>
  </si>
  <si>
    <t>GSE44649_NAIVE_VS_ACTIVATED_CD8_TCELL_MIR155_KO_DN</t>
  </si>
  <si>
    <t>27334;3683;3662;55843;114836;3824;10672;55704;151556;25780;84541;56670;29126;4644</t>
  </si>
  <si>
    <t>P2RY10;ITGAL;IRF4;ARHGAP15;SLAMF6;KLRD1;GNA13;CCDC88A;GPR155;RASGRP3;KBTBD8;SUCNR1;CD274;MYO5A</t>
  </si>
  <si>
    <t>http://www.broadinstitute.org/gsea/msigdb/cards/GSE44649_NAIVE_VS_ACTIVATED_CD8_TCELL_MIR155_KO_DN.html</t>
  </si>
  <si>
    <t>GSE42724_MEMORY_BCELL_VS_PLASMABLAST_UP</t>
  </si>
  <si>
    <t>3559;1236;6772;6404;10666;259307;64092;27033;6373;6891;3604;5133;29126;11217</t>
  </si>
  <si>
    <t>IL2RA;CCR7;STAT1;SELPLG;CD226;IL4I1;SAMSN1;ZBTB32;CXCL11;TAP2;TNFRSF9;PDCD1;CD274;AKAP2</t>
  </si>
  <si>
    <t>http://www.broadinstitute.org/gsea/msigdb/cards/GSE42724_MEMORY_BCELL_VS_PLASMABLAST_UP.html</t>
  </si>
  <si>
    <t>GSE46606_IRF4_KO_VS_WT_CD40L_IL2_IL5_1DAY_STIMULATED_BCELL_DN</t>
  </si>
  <si>
    <t>9214;3659;79930;23533;55340;27299;5452;2357;943;54331;114132;7462;81553;30817</t>
  </si>
  <si>
    <t>FCMR;IRF1;DOK3;PIK3R5;GIMAP5;ADAMDEC1;POU2F2;FPR1;TNFRSF8;GNG2;SIGLEC11;LAT2;FAM49A;ADGRE2</t>
  </si>
  <si>
    <t>http://www.broadinstitute.org/gsea/msigdb/cards/GSE46606_IRF4_KO_VS_WT_CD40L_IL2_IL5_1DAY_STIMULATED_BCELL_DN.html</t>
  </si>
  <si>
    <t>GSE46606_DAY1_VS_DAY3_CD40L_IL2_IL5_STIMULATED_IRF4MID_BCELL_DN</t>
  </si>
  <si>
    <t>54440;3689;4283;10320;9459;283897;64926;3635;151556;10507;84329;64805;51063;51466</t>
  </si>
  <si>
    <t>SASH3;ITGB2;CXCL9;IKZF1;ARHGEF6;C16orf54;RASAL3;INPP5D;GPR155;SEMA4D;HVCN1;P2RY12;CALHM2;EVL</t>
  </si>
  <si>
    <t>http://www.broadinstitute.org/gsea/msigdb/cards/GSE46606_DAY1_VS_DAY3_CD40L_IL2_IL5_STIMULATED_IRF4MID_BCELL_DN.html</t>
  </si>
  <si>
    <t>9840;2533;940;1493;959;55843;50852;29851;921;1508;4050;814;64780;55013</t>
  </si>
  <si>
    <t>TESPA1;FYB1;CD28;CTLA4;CD40LG;ARHGAP15;TRAT1;ICOS;CD5;CTSB;LTB;CAMK4;MICAL1;MCUB</t>
  </si>
  <si>
    <t>GSE41176_UNSTIM_VS_ANTI_IGM_STIM_BCELL_3H_UP</t>
  </si>
  <si>
    <t>3559;6351;7133;51296;9056;366;3553;3586;2358;11009;7185;10148;597;57823</t>
  </si>
  <si>
    <t>IL2RA;CCL4;TNFRSF1B;SLC15A3;SLC7A7;AQP9;IL1B;IL10;FPR2;IL24;TRAF1;EBI3;BCL2A1;SLAMF7</t>
  </si>
  <si>
    <t>http://www.broadinstitute.org/gsea/msigdb/cards/GSE41176_UNSTIM_VS_ANTI_IGM_STIM_BCELL_3H_UP.html</t>
  </si>
  <si>
    <t>GSE41176_UNSTIM_VS_ANTI_IGM_STIM_BCELL_1H_UP</t>
  </si>
  <si>
    <t>3055;6351;3575;7133;941;6504;27180;9120;3553;2358;5724;3604;7185;10148</t>
  </si>
  <si>
    <t>HCK;CCL4;IL7R;TNFRSF1B;CD80;SLAMF1;SIGLEC9;SLC16A6;IL1B;FPR2;PTAFR;TNFRSF9;TRAF1;EBI3</t>
  </si>
  <si>
    <t>http://www.broadinstitute.org/gsea/msigdb/cards/GSE41176_UNSTIM_VS_ANTI_IGM_STIM_BCELL_1H_UP.html</t>
  </si>
  <si>
    <t>GSE41176_UNSTIM_VS_ANTI_IGM_STIM_BCELL_6H_DN</t>
  </si>
  <si>
    <t>3458;959;1236;2014;6373;3162;1435;5724;6753;9938;356;6503;118788;64581</t>
  </si>
  <si>
    <t>IFNG;CD40LG;CCR7;EMP3;CXCL11;HMOX1;CSF1;PTAFR;SSTR3;ARHGAP25;FASLG;SLA;PIK3AP1;CLEC7A</t>
  </si>
  <si>
    <t>http://www.broadinstitute.org/gsea/msigdb/cards/GSE41176_UNSTIM_VS_ANTI_IGM_STIM_BCELL_6H_DN.html</t>
  </si>
  <si>
    <t>GSE41176_WT_VS_TAK1_KO_ANTI_IGM_STIM_BCELL_3H_DN</t>
  </si>
  <si>
    <t>22797;10261;3561;1234;9034;27299;9120;241;5724;943;1230;9363;10184;54504</t>
  </si>
  <si>
    <t>TFEC;IGSF6;IL2RG;CCR5;CCRL2;ADAMDEC1;SLC16A6;ALOX5AP;PTAFR;TNFRSF8;CCR1;RAB33A;LHFPL2;CPVL</t>
  </si>
  <si>
    <t>http://www.broadinstitute.org/gsea/msigdb/cards/GSE41176_WT_VS_TAK1_KO_ANTI_IGM_STIM_BCELL_3H_DN.html</t>
  </si>
  <si>
    <t>GSE45365_WT_VS_IFNAR_KO_CD8A_DC_DN</t>
  </si>
  <si>
    <t>7133;7453;941;5734;6890;8564;10154;2358;6776;6507;10148;51762;83937;30817</t>
  </si>
  <si>
    <t>TNFRSF1B;WARS;CD80;PTGER4;TAP1;KMO;PLXNC1;FPR2;STAT5A;SLC1A3;EBI3;RAB8B;RASSF4;ADGRE2</t>
  </si>
  <si>
    <t>http://www.broadinstitute.org/gsea/msigdb/cards/GSE45365_WT_VS_IFNAR_KO_CD8A_DC_DN.html</t>
  </si>
  <si>
    <t>4542;54440;3659;11151;57580;115361;1435;3936;7185;9815;120425;168537;25939</t>
  </si>
  <si>
    <t>MYO1F;SASH3;IRF1;CORO1A;PREX1;GBP4;CSF1;LCP1;TRAF1;GIT2;JAML;GIMAP7;SAMHD1</t>
  </si>
  <si>
    <t>http://www.broadinstitute.org/gsea/msigdb/cards/GSE9601_UNTREATED_VS_PI3K_INHIBITOR_TREATED_HCMV_INF_MONOCYTE_UP.html</t>
  </si>
  <si>
    <t>GSE14699_DELETIONAL_TOLERANCE_VS_ACTIVATED_CD8_TCELL_DN</t>
  </si>
  <si>
    <t>3627;962;5551;1493;941;199;3903;64092;27033;3553;3902;2833;50515</t>
  </si>
  <si>
    <t>CXCL10;CD48;PRF1;CTLA4;CD80;AIF1;LAIR1;SAMSN1;ZBTB32;IL1B;LAG3;CXCR3;CHST11</t>
  </si>
  <si>
    <t>http://www.broadinstitute.org/gsea/msigdb/cards/GSE14699_DELETIONAL_TOLERANCE_VS_ACTIVATED_CD8_TCELL_DN.html</t>
  </si>
  <si>
    <t>GSE14415_INDUCED_TREG_VS_FOXP3_KO_INDUCED_TREG_IL2_CULTURE_DN</t>
  </si>
  <si>
    <t>10663;914;3001;3687;919;10225;10666;286336;8832;6693;8809</t>
  </si>
  <si>
    <t>CXCR6;CD2;GZMA;ITGAX;CD247;CD96;CD226;FAM78A;CD84;SPN;IL18R1</t>
  </si>
  <si>
    <t>http://www.broadinstitute.org/gsea/msigdb/cards/GSE14415_INDUCED_TREG_VS_FOXP3_KO_INDUCED_TREG_IL2_CULTURE_DN.html</t>
  </si>
  <si>
    <t>GSE4590_PRE_BCELL_VS_VPREB_POS_LARGE_PRE_BCELL_UP</t>
  </si>
  <si>
    <t>10068;1493;7453;10225;3594;10320;84166;57105;146850;9754;59345;9033</t>
  </si>
  <si>
    <t>IL18BP;CTLA4;WARS;CD96;IL12RB1;IKZF1;NLRC5;CYSLTR2;PIK3R6;STARD8;GNB4;PKD2L1</t>
  </si>
  <si>
    <t>http://www.broadinstitute.org/gsea/msigdb/cards/GSE4590_PRE_BCELL_VS_VPREB_POS_LARGE_PRE_BCELL_UP.html</t>
  </si>
  <si>
    <t>GSE6259_33D1_POS_DC_VS_CD8_TCELL_DN</t>
  </si>
  <si>
    <t>9450;3683;313;3937;57580;115361;1240;8832;6556;441168;64805</t>
  </si>
  <si>
    <t>LY86;ITGAL;AOAH;LCP2;PREX1;GBP4;CMKLR1;CD84;SLC11A1;CALHM6;P2RY12</t>
  </si>
  <si>
    <t>http://www.broadinstitute.org/gsea/msigdb/cards/GSE6259_33D1_POS_DC_VS_CD8_TCELL_DN.html</t>
  </si>
  <si>
    <t>GSE13522_CTRL_VS_T_CRUZI_G_STRAIN_INF_SKIN_DN</t>
  </si>
  <si>
    <t>51056;3594;7805;64407;4481;7454;54331;4818;151556;10507;5027</t>
  </si>
  <si>
    <t>LAP3;IL12RB1;LAPTM5;RGS18;MSR1;WAS;GNG2;NKG7;GPR155;SEMA4D;P2RX7</t>
  </si>
  <si>
    <t>http://www.broadinstitute.org/gsea/msigdb/cards/GSE13522_CTRL_VS_T_CRUZI_G_STRAIN_INF_SKIN_DN.html</t>
  </si>
  <si>
    <t>GSE5589_WT_VS_IL10_KO_LPS_STIM_MACROPHAGE_180MIN_UP</t>
  </si>
  <si>
    <t>6351;3575;963;1236;6772;151888;55303;10870;56253;3002;3004;85464</t>
  </si>
  <si>
    <t>CCL4;IL7R;CD53;CCR7;STAT1;BTLA;GIMAP4;HCST;CRTAM;GZMB;GZMM;SSH2</t>
  </si>
  <si>
    <t>http://www.broadinstitute.org/gsea/msigdb/cards/GSE5589_WT_VS_IL10_KO_LPS_STIM_MACROPHAGE_180MIN_UP.html</t>
  </si>
  <si>
    <t>GSE11367_CTRL_VS_IL17_TREATED_SMOOTH_MUSCLE_CELL_DN</t>
  </si>
  <si>
    <t>11025;929;7453;221188;11006;55016;80380;1102;4481;54331</t>
  </si>
  <si>
    <t>LILRB3;CD14;WARS;ADGRG5;LILRB4;MARCH1;PDCD1LG2;RCBTB2;MSR1;GNG2</t>
  </si>
  <si>
    <t>http://www.broadinstitute.org/gsea/msigdb/cards/GSE11367_CTRL_VS_IL17_TREATED_SMOOTH_MUSCLE_CELL_DN.html</t>
  </si>
  <si>
    <t>GSE37605_C57BL6_VS_NOD_FOXP3_FUSION_GFP_TREG_DN</t>
  </si>
  <si>
    <t>929;5734;719;11006;80301;1240;58475;225;9034;3586;1237;342510;11217</t>
  </si>
  <si>
    <t>CD14;PTGER4;C3AR1;LILRB4;PLEKHO2;CMKLR1;MS4A7;ABCD2;CCRL2;IL10;CCR8;CD300E;AKAP2</t>
  </si>
  <si>
    <t>http://www.broadinstitute.org/gsea/msigdb/cards/GSE37605_C57BL6_VS_NOD_FOXP3_FUSION_GFP_TREG_DN.html</t>
  </si>
  <si>
    <t>GSE6269_HEALTHY_VS_FLU_INF_PBMC_DN</t>
  </si>
  <si>
    <t>10261;972;6036;6688;2014;2210;51338;80896;7454;140885;6614;23166</t>
  </si>
  <si>
    <t>IGSF6;CD74;RNASE2;SPI1;EMP3;FCGR1B;MS4A4A;NPL;WAS;SIRPA;SIGLEC1;STAB1</t>
  </si>
  <si>
    <t>http://www.broadinstitute.org/gsea/msigdb/cards/GSE6269_HEALTHY_VS_FLU_INF_PBMC_DN.html</t>
  </si>
  <si>
    <t>GSE36891_POLYIC_TLR3_VS_PAM_TLR2_STIM_PERITONEAL_MACROPHAGE_DN</t>
  </si>
  <si>
    <t>10663;3458;1439;150372;59067;2857;353514;7099;8530;4688;56670;64747</t>
  </si>
  <si>
    <t>CXCR6;IFNG;CSF2RB;NFAM1;IL21;GPR34;LILRA5;TLR4;CST7;NCF2;SUCNR1;MFSD1</t>
  </si>
  <si>
    <t>http://www.broadinstitute.org/gsea/msigdb/cards/GSE36891_POLYIC_TLR3_VS_PAM_TLR2_STIM_PERITONEAL_MACROPHAGE_DN.html</t>
  </si>
  <si>
    <t>GSE13547_WT_VS_ZFX_KO_BCELL_UP</t>
  </si>
  <si>
    <t>9839;917;6351;6352;399;10666;8320;924;3586;4208;57514;131450</t>
  </si>
  <si>
    <t>ZEB2;CD3G;CCL4;CCL5;RHOH;CD226;EOMES;CD7;IL10;MEF2C;ARHGAP31;CD200R1</t>
  </si>
  <si>
    <t>http://www.broadinstitute.org/gsea/msigdb/cards/GSE13547_WT_VS_ZFX_KO_BCELL_UP.html</t>
  </si>
  <si>
    <t>GSE7768_OVA_ALONE_VS_OVA_WITH_MPL_IMMUNIZED_MOUSE_WHOLE_SPLEEN_6H_DN</t>
  </si>
  <si>
    <t>3627;10320;84166;1240;51311;9938;57514;146850;118788;57823;29126;25939</t>
  </si>
  <si>
    <t>CXCL10;IKZF1;NLRC5;CMKLR1;TLR8;ARHGAP25;ARHGAP31;PIK3R6;PIK3AP1;SLAMF7;CD274;SAMHD1</t>
  </si>
  <si>
    <t>http://www.broadinstitute.org/gsea/msigdb/cards/GSE7768_OVA_ALONE_VS_OVA_WITH_MPL_IMMUNIZED_MOUSE_WHOLE_SPLEEN_6H_DN.html</t>
  </si>
  <si>
    <t>GSE40274_CTRL_VS_FOXP3_AND_SATB1_TRANSDUCED_ACTIVATED_CD4_TCELL_UP</t>
  </si>
  <si>
    <t>4542;3683;10225;1233;115362;55303;51284;8320;969;4818;51762;57823</t>
  </si>
  <si>
    <t>MYO1F;ITGAL;CD96;CCR4;GBP5;GIMAP4;TLR7;EOMES;CD69;NKG7;RAB8B;SLAMF7</t>
  </si>
  <si>
    <t>http://www.broadinstitute.org/gsea/msigdb/cards/GSE40274_CTRL_VS_FOXP3_AND_SATB1_TRANSDUCED_ACTIVATED_CD4_TCELL_UP.html</t>
  </si>
  <si>
    <t>GSE37605_C57BL6_VS_NOD_FOXP3_FUSION_GFP_TCONV_UP</t>
  </si>
  <si>
    <t>3458;1536;5341;51056;201633;80380;84636;10673;8530;1435;1043;51762</t>
  </si>
  <si>
    <t>IFNG;CYBB;PLEK;LAP3;TIGIT;PDCD1LG2;GPR174;TNFSF13B;CST7;CSF1;CD52;RAB8B</t>
  </si>
  <si>
    <t>http://www.broadinstitute.org/gsea/msigdb/cards/GSE37605_C57BL6_VS_NOD_FOXP3_FUSION_GFP_TCONV_UP.html</t>
  </si>
  <si>
    <t>GSE1791_CTRL_VS_NEUROMEDINU_IN_T_CELL_LINE_12H_DN</t>
  </si>
  <si>
    <t>10068;1493;7453;2633;6772;3594;84166;51225;3115;3112;3123;441168;155038</t>
  </si>
  <si>
    <t>IL18BP;CTLA4;WARS;GBP1;STAT1;IL12RB1;NLRC5;ABI3;HLA-DPB1;HLA-DOB;HLA-DRB1;CALHM6;GIMAP8</t>
  </si>
  <si>
    <t>http://www.broadinstitute.org/gsea/msigdb/cards/GSE1791_CTRL_VS_NEUROMEDINU_IN_T_CELL_LINE_12H_DN.html</t>
  </si>
  <si>
    <t>GSE12003_4D_VS_8D_CULTURE_MIR223_KO_BM_PROGENITOR_DN</t>
  </si>
  <si>
    <t>2533;9051;53347;7805;197358;84868;27128;29851;54;1043;1235;25900</t>
  </si>
  <si>
    <t>FYB1;PSTPIP1;UBASH3A;LAPTM5;NLRC3;HAVCR2;CYTH4;ICOS;ACP5;CD52;CCR6;IFFO1</t>
  </si>
  <si>
    <t>http://www.broadinstitute.org/gsea/msigdb/cards/GSE12003_4D_VS_8D_CULTURE_MIR223_KO_BM_PROGENITOR_DN.html</t>
  </si>
  <si>
    <t>2124;3587;128611;283897;257106;4063;79974;6793;2113;3004;54518;147138;10077</t>
  </si>
  <si>
    <t>EVI2B;IL10RA;ZNF831;C16orf54;ARHGAP30;LY9;CPED1;STK10;ETS1;GZMM;APBB1IP;TMC8;TSPAN32</t>
  </si>
  <si>
    <t>GSE6674_UNSTIM_VS_PL2_3_STIM_BCELL_DN</t>
  </si>
  <si>
    <t>3676;3575;54557;114548;2672;23228;7439;19;3162;3936;441168;80821</t>
  </si>
  <si>
    <t>ITGA4;IL7R;SGTB;NLRP3;GFI1;PLCL2;BEST1;ABCA1;HMOX1;LCP1;CALHM6;DDHD1</t>
  </si>
  <si>
    <t>http://www.broadinstitute.org/gsea/msigdb/cards/GSE6674_UNSTIM_VS_PL2_3_STIM_BCELL_DN.html</t>
  </si>
  <si>
    <t>GSE37301_MULTIPOTENT_PROGENITOR_VS_CD4_TCELL_UP</t>
  </si>
  <si>
    <t>340152;4068;9402;915;944;286336;3903;151888;56253;4050;3824;441168</t>
  </si>
  <si>
    <t>ZC3H12D;SH2D1A;GRAP2;CD3D;TNFSF8;FAM78A;LAIR1;BTLA;CRTAM;LTB;KLRD1;CALHM6</t>
  </si>
  <si>
    <t>http://www.broadinstitute.org/gsea/msigdb/cards/GSE37301_MULTIPOTENT_PROGENITOR_VS_CD4_TCELL_UP.html</t>
  </si>
  <si>
    <t>963;919;923;3603;79626;283897;64926;221188;256380;85464;55691;51466;11217</t>
  </si>
  <si>
    <t>CD53;CD247;CD6;IL16;TNFAIP8L2;C16orf54;RASAL3;ADGRG5;SCML4;SSH2;FRMD4A;EVL;AKAP2</t>
  </si>
  <si>
    <t>http://www.broadinstitute.org/gsea/msigdb/cards/GSE10239_NAIVE_VS_DAY4.5_EFF_CD8_TCELL_UP.html</t>
  </si>
  <si>
    <t>915;971;3937;197358;221188;80342;366;56253;3004;4050;4215;51466;27240</t>
  </si>
  <si>
    <t>CD3D;CD72;LCP2;NLRC3;ADGRG5;TRAF3IP3;AQP9;CRTAM;GZMM;LTB;MAP3K3;EVL;SIT1</t>
  </si>
  <si>
    <t>http://www.broadinstitute.org/gsea/msigdb/cards/GSE10239_MEMORY_VS_DAY4.5_EFF_CD8_TCELL_UP.html</t>
  </si>
  <si>
    <t>GSE11057_EFF_MEM_VS_CENT_MEM_CD4_TCELL_DN</t>
  </si>
  <si>
    <t>3662;201633;50615;29851;730249;924;6402;597;814;85464;151556;79690;50943</t>
  </si>
  <si>
    <t>IRF4;TIGIT;IL21R;ICOS;ACOD1;CD7;SELL;BCL2A1;CAMK4;SSH2;GPR155;GAL3ST4;FOXP3</t>
  </si>
  <si>
    <t>http://www.broadinstitute.org/gsea/msigdb/cards/GSE11057_EFF_MEM_VS_CENT_MEM_CD4_TCELL_DN.html</t>
  </si>
  <si>
    <t>GSE11864_UNTREATED_VS_CSF1_IFNG_PAM3CYS_IN_MAC_DN</t>
  </si>
  <si>
    <t>399;719;91752;80301;2210;4064;4063;51311;1435;3002;54;1601;202309</t>
  </si>
  <si>
    <t>RHOH;C3AR1;ZNF804A;PLEKHO2;FCGR1B;CD180;LY9;TLR8;CSF1;GZMB;ACP5;DAB2;GAPT</t>
  </si>
  <si>
    <t>http://www.broadinstitute.org/gsea/msigdb/cards/GSE11864_UNTREATED_VS_CSF1_IFNG_PAM3CYS_IN_MAC_DN.html</t>
  </si>
  <si>
    <t>GSE13229_IMM_VS_MATURE_NKCELL_DN</t>
  </si>
  <si>
    <t>7305;9839;914;5551;3687;2207;3635;1240;8530;3002;2212;6693;25900</t>
  </si>
  <si>
    <t>TYROBP;ZEB2;CD2;PRF1;ITGAX;FCER1G;INPP5D;CMKLR1;CST7;GZMB;FCGR2A;SPN;IFFO1</t>
  </si>
  <si>
    <t>http://www.broadinstitute.org/gsea/msigdb/cards/GSE13229_IMM_VS_MATURE_NKCELL_DN.html</t>
  </si>
  <si>
    <t>GSE13229_MATURE_VS_INTMATURE_NKCELL_UP</t>
  </si>
  <si>
    <t>340152;9404;2268;3575;92241;114836;80380;56659;10154;3111;2833;54504;29126</t>
  </si>
  <si>
    <t>ZC3H12D;LPXN;FGR;IL7R;RCSD1;SLAMF6;PDCD1LG2;KCNK13;PLXNC1;HLA-DOA;CXCR3;CPVL;CD274</t>
  </si>
  <si>
    <t>http://www.broadinstitute.org/gsea/msigdb/cards/GSE13229_MATURE_VS_INTMATURE_NKCELL_UP.html</t>
  </si>
  <si>
    <t>GSE13306_RA_VS_UNTREATED_TCONV_DN</t>
  </si>
  <si>
    <t>4542;10663;9402;6036;3587;497189;53829;11326;10537;2357;729230;8809;151556</t>
  </si>
  <si>
    <t>MYO1F;CXCR6;GRAP2;RNASE2;IL10RA;TIFAB;P2RY13;VSIG4;UBD;FPR1;CCR2;IL18R1;GPR155</t>
  </si>
  <si>
    <t>http://www.broadinstitute.org/gsea/msigdb/cards/GSE13306_RA_VS_UNTREATED_TCONV_DN.html</t>
  </si>
  <si>
    <t>GSE13306_RA_VS_UNTREATED_MEM_CD4_TCELL_DN</t>
  </si>
  <si>
    <t>340152;9214;1236;3662;151888;59067;51284;30009;3586;9363;10672;161176;57823</t>
  </si>
  <si>
    <t>ZC3H12D;FCMR;CCR7;IRF4;BTLA;IL21;TLR7;TBX21;IL10;RAB33A;GNA13;SYNE3;SLAMF7</t>
  </si>
  <si>
    <t>http://www.broadinstitute.org/gsea/msigdb/cards/GSE13306_RA_VS_UNTREATED_MEM_CD4_TCELL_DN.html</t>
  </si>
  <si>
    <t>GSE13485_DAY7_VS_DAY21_YF17D_VACCINE_PBMC_UP</t>
  </si>
  <si>
    <t>51056;6772;10288;81030;10019;11024;3162;1601;57514;118788;84034;6614;9935</t>
  </si>
  <si>
    <t>LAP3;STAT1;LILRB2;ZBP1;SH2B3;LILRA1;HMOX1;DAB2;ARHGAP31;PIK3AP1;EMILIN2;SIGLEC1;MAFB</t>
  </si>
  <si>
    <t>http://www.broadinstitute.org/gsea/msigdb/cards/GSE13485_DAY7_VS_DAY21_YF17D_VACCINE_PBMC_UP.html</t>
  </si>
  <si>
    <t>GSE14308_NAIVE_CD4_TCELL_VS_NATURAL_TREG_UP</t>
  </si>
  <si>
    <t>2209;6351;2124;3702;7805;3903;139716;56253;10437;54;5816;80821;27240</t>
  </si>
  <si>
    <t>FCGR1A;CCL4;EVI2B;ITK;LAPTM5;LAIR1;GAB3;CRTAM;IFI30;ACP5;PVALB;DDHD1;SIT1</t>
  </si>
  <si>
    <t>http://www.broadinstitute.org/gsea/msigdb/cards/GSE14308_NAIVE_CD4_TCELL_VS_NATURAL_TREG_UP.html</t>
  </si>
  <si>
    <t>GSE14308_NAIVE_CD4_TCELL_VS_NATURAL_TREG_DN</t>
  </si>
  <si>
    <t>10663;3627;962;7453;10225;6504;399;11184;4049;6891;3123;64098;56606</t>
  </si>
  <si>
    <t>CXCR6;CXCL10;CD48;WARS;CD96;SLAMF1;RHOH;MAP4K1;LTA;TAP2;HLA-DRB1;PARVG;SLC2A9</t>
  </si>
  <si>
    <t>http://www.broadinstitute.org/gsea/msigdb/cards/GSE14308_NAIVE_CD4_TCELL_VS_NATURAL_TREG_DN.html</t>
  </si>
  <si>
    <t>GSE1448_CTRL_VS_ANTI_VALPHA2_DP_THYMOCYTE_DN</t>
  </si>
  <si>
    <t>9595;962;6351;963;971;10875;399;5800;225;3956;924;54518;51762</t>
  </si>
  <si>
    <t>CYTIP;CD48;CCL4;CD53;CD72;FGL2;RHOH;PTPRO;ABCD2;LGALS1;CD7;APBB1IP;RAB8B</t>
  </si>
  <si>
    <t>http://www.broadinstitute.org/gsea/msigdb/cards/GSE1448_CTRL_VS_ANTI_VALPHA2_DP_THYMOCYTE_DN.html</t>
  </si>
  <si>
    <t>GSE1448_CTRL_VS_ANTI_VBETA5_DP_THYMOCYTE_DN</t>
  </si>
  <si>
    <t>9595;940;3659;963;391;10875;115361;10019;3002;3936;3718;8905;5133</t>
  </si>
  <si>
    <t>CYTIP;CD28;IRF1;CD53;RHOG;FGL2;GBP4;SH2B3;GZMB;LCP1;JAK3;AP1S2;PDCD1</t>
  </si>
  <si>
    <t>http://www.broadinstitute.org/gsea/msigdb/cards/GSE1448_CTRL_VS_ANTI_VBETA5_DP_THYMOCYTE_DN.html</t>
  </si>
  <si>
    <t>GSE1460_CD4_THYMOCYTE_VS_THYMIC_STROMAL_CELL_UP</t>
  </si>
  <si>
    <t>4242;54440;971;2313;10320;149628;3635;11184;55340;50615;9881;4049;6693</t>
  </si>
  <si>
    <t>MFNG;SASH3;CD72;FLI1;IKZF1;PYHIN1;INPP5D;MAP4K1;GIMAP5;IL21R;TRANK1;LTA;SPN</t>
  </si>
  <si>
    <t>http://www.broadinstitute.org/gsea/msigdb/cards/GSE1460_CD4_THYMOCYTE_VS_THYMIC_STROMAL_CELL_UP.html</t>
  </si>
  <si>
    <t>GSE14769_UNSTIM_VS_240MIN_LPS_BMDM_DN</t>
  </si>
  <si>
    <t>22797;7453;1439;3587;23228;5552;3586;597;57514;10507;55619;55803;29126</t>
  </si>
  <si>
    <t>TFEC;WARS;CSF2RB;IL10RA;PLCL2;SRGN;IL10;BCL2A1;ARHGAP31;SEMA4D;DOCK10;ADAP2;CD274</t>
  </si>
  <si>
    <t>http://www.broadinstitute.org/gsea/msigdb/cards/GSE14769_UNSTIM_VS_240MIN_LPS_BMDM_DN.html</t>
  </si>
  <si>
    <t>GSE15930_NAIVE_VS_72H_IN_VITRO_STIM_IL12_CD8_TCELL_DN</t>
  </si>
  <si>
    <t>3458;3559;1493;1234;3394;8477;3956;3002;10437;356;3604;8809;597</t>
  </si>
  <si>
    <t>IFNG;IL2RA;CTLA4;CCR5;IRF8;GPR65;LGALS1;GZMB;IFI30;FASLG;TNFRSF9;IL18R1;BCL2A1</t>
  </si>
  <si>
    <t>http://www.broadinstitute.org/gsea/msigdb/cards/GSE15930_NAIVE_VS_72H_IN_VITRO_STIM_IL12_CD8_TCELL_DN.html</t>
  </si>
  <si>
    <t>9535;9046;3695;7535;695;7805;255231;55303;51393;3059;3108;4050;10077</t>
  </si>
  <si>
    <t>GMFG;DOK2;ITGB7;ZAP70;BTK;LAPTM5;MCOLN2;GIMAP4;TRPV2;HCLS1;HLA-DMA;LTB;TSPAN32</t>
  </si>
  <si>
    <t>http://www.broadinstitute.org/gsea/msigdb/cards/GSE15930_STIM_VS_STIM_AND_IFNAB_48H_CD8_T_CELL_UP.html</t>
  </si>
  <si>
    <t>GSE15930_STIM_VS_STIM_AND_TRICHOSTATINA_48H_CD8_T_CELL_UP</t>
  </si>
  <si>
    <t>4542;9535;9595;3458;1234;55303;6402;729230;6776;3718;4050;3824;8809</t>
  </si>
  <si>
    <t>MYO1F;GMFG;CYTIP;IFNG;CCR5;GIMAP4;SELL;CCR2;STAT5A;JAK3;LTB;KLRD1;IL18R1</t>
  </si>
  <si>
    <t>http://www.broadinstitute.org/gsea/msigdb/cards/GSE15930_STIM_VS_STIM_AND_TRICHOSTATINA_48H_CD8_T_CELL_UP.html</t>
  </si>
  <si>
    <t>GSE16522_MEMORY_VS_NAIVE_ANTI_CD3CD28_STIM_CD8_TCELL_UP</t>
  </si>
  <si>
    <t>951;7133;387357;53346;80231;55589;51393;9120;8320;729230;9938;3003;155038</t>
  </si>
  <si>
    <t>CD37;TNFRSF1B;THEMIS;TM6SF1;CXorf21;BMP2K;TRPV2;SLC16A6;EOMES;CCR2;ARHGAP25;GZMK;GIMAP8</t>
  </si>
  <si>
    <t>http://www.broadinstitute.org/gsea/msigdb/cards/GSE16522_MEMORY_VS_NAIVE_ANTI_CD3CD28_STIM_CD8_TCELL_UP.html</t>
  </si>
  <si>
    <t>GSE16522_ANTI_CD3CD28_STIM_VS_UNSTIM_NAIVE_CD8_TCELL_DN</t>
  </si>
  <si>
    <t>9046;3659;6772;8514;3587;64926;374403;55589;55303;29909;2113;3108;6891</t>
  </si>
  <si>
    <t>DOK2;IRF1;STAT1;KCNAB2;IL10RA;RASAL3;TBC1D10C;BMP2K;GIMAP4;GPR171;ETS1;HLA-DMA;TAP2</t>
  </si>
  <si>
    <t>http://www.broadinstitute.org/gsea/msigdb/cards/GSE16522_ANTI_CD3CD28_STIM_VS_UNSTIM_NAIVE_CD8_TCELL_DN.html</t>
  </si>
  <si>
    <t>GSE17721_CTRL_VS_LPS_24H_BMDC_UP</t>
  </si>
  <si>
    <t>22797;54440;11151;5800;79930;150372;9056;27306;1621;3108;5133;375387;4644</t>
  </si>
  <si>
    <t>TFEC;SASH3;CORO1A;PTPRO;DOK3;NFAM1;SLC7A7;HPGDS;DBH;HLA-DMA;PDCD1;NRROS;MYO5A</t>
  </si>
  <si>
    <t>http://www.broadinstitute.org/gsea/msigdb/cards/GSE17721_CTRL_VS_LPS_24H_BMDC_UP.html</t>
  </si>
  <si>
    <t>GSE17721_CTRL_VS_GARDIQUIMOD_1H_BMDC_DN</t>
  </si>
  <si>
    <t>4210;3627;7133;92241;115361;56659;9120;1435;926;4973;1601;375387;80821</t>
  </si>
  <si>
    <t>MEFV;CXCL10;TNFRSF1B;RCSD1;GBP4;KCNK13;SLC16A6;CSF1;CD8B;OLR1;DAB2;NRROS;DDHD1</t>
  </si>
  <si>
    <t>http://www.broadinstitute.org/gsea/msigdb/cards/GSE17721_CTRL_VS_GARDIQUIMOD_1H_BMDC_DN.html</t>
  </si>
  <si>
    <t>7456;10261;2268;3659;11151;8514;23228;7454;4208;3604;4033;51063;51466</t>
  </si>
  <si>
    <t>WIPF1;IGSF6;FGR;IRF1;CORO1A;KCNAB2;PLCL2;WAS;MEF2C;TNFRSF9;LRMP;CALHM2;EVL</t>
  </si>
  <si>
    <t>http://www.broadinstitute.org/gsea/msigdb/cards/GSE17721_LPS_VS_POLYIC_6H_BMDC_DN.html</t>
  </si>
  <si>
    <t>GSE17721_LPS_VS_POLYIC_16H_BMDC_UP</t>
  </si>
  <si>
    <t>962;3676;653361;313;9056;4049;5552;3936;3059;4973;338339;27240;4644</t>
  </si>
  <si>
    <t>CD48;ITGA4;NCF1;AOAH;SLC7A7;LTA;SRGN;LCP1;HCLS1;OLR1;CLEC4D;SIT1;MYO5A</t>
  </si>
  <si>
    <t>http://www.broadinstitute.org/gsea/msigdb/cards/GSE17721_LPS_VS_POLYIC_16H_BMDC_UP.html</t>
  </si>
  <si>
    <t>GSE17721_LPS_VS_POLYIC_16H_BMDC_DN</t>
  </si>
  <si>
    <t>6351;3560;942;1234;80301;50615;3956;4360;375387;51762;4327;64098;54861</t>
  </si>
  <si>
    <t>CCL4;IL2RB;CD86;CCR5;PLEKHO2;IL21R;LGALS1;MRC1;NRROS;RAB8B;MMP19;PARVG;SNRK</t>
  </si>
  <si>
    <t>http://www.broadinstitute.org/gsea/msigdb/cards/GSE17721_LPS_VS_POLYIC_16H_BMDC_DN.html</t>
  </si>
  <si>
    <t>GSE17721_POLYIC_VS_PAM3CSK4_16H_BMDC_UP</t>
  </si>
  <si>
    <t>3676;6688;3594;3587;80301;50615;10019;4066;3604;161145;4327;23166;29126</t>
  </si>
  <si>
    <t>ITGA4;SPI1;IL12RB1;IL10RA;PLEKHO2;IL21R;SH2B3;LYL1;TNFRSF9;TMEM229B;MMP19;STAB1;CD274</t>
  </si>
  <si>
    <t>http://www.broadinstitute.org/gsea/msigdb/cards/GSE17721_POLYIC_VS_PAM3CSK4_16H_BMDC_UP.html</t>
  </si>
  <si>
    <t>GSE17721_CPG_VS_GARDIQUIMOD_12H_BMDC_UP</t>
  </si>
  <si>
    <t>9051;6352;3071;10875;259307;10537;8320;6037;2359;3108;4261;6507;116071</t>
  </si>
  <si>
    <t>PSTPIP1;CCL5;NCKAP1L;FGL2;IL4I1;UBD;EOMES;RNASE3;FPR3;HLA-DMA;CIITA;SLC1A3;BATF2</t>
  </si>
  <si>
    <t>http://www.broadinstitute.org/gsea/msigdb/cards/GSE17721_CPG_VS_GARDIQUIMOD_12H_BMDC_UP.html</t>
  </si>
  <si>
    <t>GSE17721_LPS_VS_PAM3CSK4_24H_BMDC_UP</t>
  </si>
  <si>
    <t>3659;3575;3394;64092;4049;3586;3274;6776;4973;10462;80821;57823;1522</t>
  </si>
  <si>
    <t>IRF1;IL7R;IRF8;SAMSN1;LTA;IL10;HRH2;STAT5A;OLR1;CLEC10A;DDHD1;SLAMF7;CTSZ</t>
  </si>
  <si>
    <t>http://www.broadinstitute.org/gsea/msigdb/cards/GSE17721_LPS_VS_PAM3CSK4_24H_BMDC_UP.html</t>
  </si>
  <si>
    <t>GSE17721_PAM3CSK4_VS_GADIQUIMOD_16H_BMDC_DN</t>
  </si>
  <si>
    <t>1318;9404;10068;713;714;1234;10320;51296;50856;526;4481;729230;55281</t>
  </si>
  <si>
    <t>SLC31A2;LPXN;IL18BP;C1QB;C1QC;CCR5;IKZF1;SLC15A3;CLEC4A;ATP6V1B2;MSR1;CCR2;TMEM140</t>
  </si>
  <si>
    <t>http://www.broadinstitute.org/gsea/msigdb/cards/GSE17721_PAM3CSK4_VS_GADIQUIMOD_16H_BMDC_DN.html</t>
  </si>
  <si>
    <t>GSE17721_POLYIC_VS_GARDIQUIMOD_1H_BMDC_DN</t>
  </si>
  <si>
    <t>3627;2123;5734;81704;114548;1102;1435;4481;3109;54331;4973;375387;55013</t>
  </si>
  <si>
    <t>CXCL10;EVI2A;PTGER4;DOCK8;NLRP3;RCBTB2;CSF1;MSR1;HLA-DMB;GNG2;OLR1;NRROS;MCUB</t>
  </si>
  <si>
    <t>http://www.broadinstitute.org/gsea/msigdb/cards/GSE17721_POLYIC_VS_GARDIQUIMOD_1H_BMDC_DN.html</t>
  </si>
  <si>
    <t>GSE17721_LPS_VS_GARDIQUIMOD_0.5H_BMDC_UP</t>
  </si>
  <si>
    <t>1536;929;653361;7453;6504;29992;4094;921;5452;11010;6503;10462;55803</t>
  </si>
  <si>
    <t>CYBB;CD14;NCF1;WARS;SLAMF1;PILRA;MAF;CD5;POU2F2;GLIPR1;SLA;CLEC10A;ADAP2</t>
  </si>
  <si>
    <t>http://www.broadinstitute.org/gsea/msigdb/cards/GSE17721_LPS_VS_GARDIQUIMOD_0.5H_BMDC_UP.html</t>
  </si>
  <si>
    <t>GSE17721_LPS_VS_GARDIQUIMOD_24H_BMDC_UP</t>
  </si>
  <si>
    <t>3559;653361;3575;919;941;942;8477;259307;116986;81030;64092;4261;11217</t>
  </si>
  <si>
    <t>IL2RA;NCF1;IL7R;CD247;CD80;CD86;GPR65;IL4I1;AGAP2;ZBP1;SAMSN1;CIITA;AKAP2</t>
  </si>
  <si>
    <t>http://www.broadinstitute.org/gsea/msigdb/cards/GSE17721_LPS_VS_GARDIQUIMOD_24H_BMDC_UP.html</t>
  </si>
  <si>
    <t>GSE17721_LPS_VS_GARDIQUIMOD_24H_BMDC_DN</t>
  </si>
  <si>
    <t>2207;199;3903;150372;64407;225;10019;4360;54331;89846;151556;9754;53831</t>
  </si>
  <si>
    <t>FCER1G;AIF1;LAIR1;NFAM1;RGS18;ABCD2;SH2B3;MRC1;GNG2;FGD3;GPR155;STARD8;GPR84</t>
  </si>
  <si>
    <t>http://www.broadinstitute.org/gsea/msigdb/cards/GSE17721_LPS_VS_GARDIQUIMOD_24H_BMDC_DN.html</t>
  </si>
  <si>
    <t>GSE17721_0.5H_VS_24H_LPS_BMDC_DN</t>
  </si>
  <si>
    <t>1536;6352;3676;5294;3394;6890;50852;114836;115361;2829;3824;100506736;11217</t>
  </si>
  <si>
    <t>CYBB;CCL5;ITGA4;PIK3CG;IRF8;TAP1;TRAT1;SLAMF6;GBP4;XCR1;KLRD1;SLFN12L;AKAP2</t>
  </si>
  <si>
    <t>http://www.broadinstitute.org/gsea/msigdb/cards/GSE17721_0.5H_VS_24H_LPS_BMDC_DN.html</t>
  </si>
  <si>
    <t>GSE17721_ALL_VS_24H_PAM3CSK4_BMDC_DN</t>
  </si>
  <si>
    <t>5579;951;5294;3394;79930;10673;3111;54;6693;3290;1043;3824;338339</t>
  </si>
  <si>
    <t>PRKCB;CD37;PIK3CG;IRF8;DOK3;TNFSF13B;HLA-DOA;ACP5;SPN;HSD11B1;CD52;KLRD1;CLEC4D</t>
  </si>
  <si>
    <t>http://www.broadinstitute.org/gsea/msigdb/cards/GSE17721_ALL_VS_24H_PAM3CSK4_BMDC_DN.html</t>
  </si>
  <si>
    <t>GSE17974_0H_VS_1H_IN_VITRO_ACT_CD4_TCELL_UP</t>
  </si>
  <si>
    <t>3055;3695;11262;9744;286336;197135;9881;3684;10437;3112;25900;120425;79690</t>
  </si>
  <si>
    <t>HCK;ITGB7;SP140;ACAP1;FAM78A;PATL2;TRANK1;ITGAM;IFI30;HLA-DOB;IFFO1;JAML;GAL3ST4</t>
  </si>
  <si>
    <t>http://www.broadinstitute.org/gsea/msigdb/cards/GSE17974_0H_VS_1H_IN_VITRO_ACT_CD4_TCELL_UP.html</t>
  </si>
  <si>
    <t>GSE17974_0H_VS_24H_IN_VITRO_ACT_CD4_TCELL_UP</t>
  </si>
  <si>
    <t>7305;3575;944;3820;8477;23533;10870;3684;10235;64780;79690;64174;29125</t>
  </si>
  <si>
    <t>TYROBP;IL7R;TNFSF8;KLRB1;GPR65;PIK3R5;HCST;ITGAM;RASGRP2;MICAL1;GAL3ST4;DPEP2;C11orf21</t>
  </si>
  <si>
    <t>http://www.broadinstitute.org/gsea/msigdb/cards/GSE17974_0H_VS_24H_IN_VITRO_ACT_CD4_TCELL_UP.html</t>
  </si>
  <si>
    <t>GSE17974_0H_VS_48H_IN_VITRO_ACT_CD4_TCELL_UP</t>
  </si>
  <si>
    <t>7305;5341;3575;944;2124;3820;3684;6402;27163;969;10235;10077;64174</t>
  </si>
  <si>
    <t>TYROBP;PLEK;IL7R;TNFSF8;EVI2B;KLRB1;ITGAM;SELL;NAAA;CD69;RASGRP2;TSPAN32;DPEP2</t>
  </si>
  <si>
    <t>http://www.broadinstitute.org/gsea/msigdb/cards/GSE17974_0H_VS_48H_IN_VITRO_ACT_CD4_TCELL_UP.html</t>
  </si>
  <si>
    <t>GSE17974_IL4_AND_ANTI_IL12_VS_UNTREATED_2H_ACT_CD4_TCELL_UP</t>
  </si>
  <si>
    <t>9840;3587;170371;50856;8320;926;9938;27314;79865;120425;25780;131450;29126</t>
  </si>
  <si>
    <t>TESPA1;IL10RA;TMEM273;CLEC4A;EOMES;CD8B;ARHGAP25;RAB30;TREML2;JAML;RASGRP3;CD200R1;CD274</t>
  </si>
  <si>
    <t>http://www.broadinstitute.org/gsea/msigdb/cards/GSE17974_IL4_AND_ANTI_IL12_VS_UNTREATED_2H_ACT_CD4_TCELL_UP.html</t>
  </si>
  <si>
    <t>GSE18791_CTRL_VS_NEWCASTLE_VIRUS_DC_4H_DN</t>
  </si>
  <si>
    <t>1318;3627;3659;941;6890;84166;81030;55423;197135;6373;7185;116071;29126</t>
  </si>
  <si>
    <t>SLC31A2;CXCL10;IRF1;CD80;TAP1;NLRC5;ZBP1;SIRPG;PATL2;CXCL11;TRAF1;BATF2;CD274</t>
  </si>
  <si>
    <t>http://www.broadinstitute.org/gsea/msigdb/cards/GSE18791_CTRL_VS_NEWCASTLE_VIRUS_DC_4H_DN.html</t>
  </si>
  <si>
    <t>GSE20366_CD103_POS_VS_NEG_TREG_KLRG1NEG_DN</t>
  </si>
  <si>
    <t>4542;27334;3458;1536;1233;1234;10875;115361;29851;1435;3002;2833;245972</t>
  </si>
  <si>
    <t>MYO1F;P2RY10;IFNG;CYBB;CCR4;CCR5;FGL2;GBP4;ICOS;CSF1;GZMB;CXCR3;ATP6V0D2</t>
  </si>
  <si>
    <t>http://www.broadinstitute.org/gsea/msigdb/cards/GSE20366_CD103_POS_VS_NEG_TREG_KLRG1NEG_DN.html</t>
  </si>
  <si>
    <t>GSE20715_WT_VS_TLR4_KO_LUNG_UP</t>
  </si>
  <si>
    <t>1536;3689;653361;963;3561;64092;55303;10673;10154;2358;3290;91526;84230</t>
  </si>
  <si>
    <t>CYBB;ITGB2;NCF1;CD53;IL2RG;SAMSN1;GIMAP4;TNFSF13B;PLXNC1;FPR2;HSD11B1;ANKRD44;LRRC8C</t>
  </si>
  <si>
    <t>http://www.broadinstitute.org/gsea/msigdb/cards/GSE20715_WT_VS_TLR4_KO_LUNG_UP.html</t>
  </si>
  <si>
    <t>GSE2197_CPG_DNA_VS_UNTREATED_IN_DC_UP</t>
  </si>
  <si>
    <t>3659;3683;6772;51296;114548;58475;64092;3059;3586;969;597;6363;55281</t>
  </si>
  <si>
    <t>IRF1;ITGAL;STAT1;SLC15A3;NLRP3;MS4A7;SAMSN1;HCLS1;IL10;CD69;BCL2A1;CCL19;TMEM140</t>
  </si>
  <si>
    <t>http://www.broadinstitute.org/gsea/msigdb/cards/GSE2197_CPG_DNA_VS_UNTREATED_IN_DC_UP.html</t>
  </si>
  <si>
    <t>GSE22886_CD8_VS_CD4_NAIVE_TCELL_UP</t>
  </si>
  <si>
    <t>9404;4068;925;915;2633;10225;1234;29909;56253;926;9938;8809;10077</t>
  </si>
  <si>
    <t>LPXN;SH2D1A;CD8A;CD3D;GBP1;CD96;CCR5;GPR171;CRTAM;CD8B;ARHGAP25;IL18R1;TSPAN32</t>
  </si>
  <si>
    <t>http://www.broadinstitute.org/gsea/msigdb/cards/GSE22886_CD8_VS_CD4_NAIVE_TCELL_UP.html</t>
  </si>
  <si>
    <t>GSE22886_NAIVE_TCELL_VS_NKCELL_DN</t>
  </si>
  <si>
    <t>5788;919;313;149628;80301;53346;1601;6503;8809;79895;3805;7462;81553</t>
  </si>
  <si>
    <t>PTPRC;CD247;AOAH;PYHIN1;PLEKHO2;TM6SF1;DAB2;SLA;IL18R1;ATP8B4;KIR2DL4;LAT2;FAM49A</t>
  </si>
  <si>
    <t>http://www.broadinstitute.org/gsea/msigdb/cards/GSE22886_NAIVE_TCELL_VS_NKCELL_DN.html</t>
  </si>
  <si>
    <t>GSE22886_NAIVE_CD4_TCELL_VS_NKCELL_UP</t>
  </si>
  <si>
    <t>9450;920;940;959;944;53347;4354;55423;29851;921;4050;814;55013</t>
  </si>
  <si>
    <t>LY86;CD4;CD28;CD40LG;TNFSF8;UBASH3A;MPP1;SIRPG;ICOS;CD5;LTB;CAMK4;MCUB</t>
  </si>
  <si>
    <t>http://www.broadinstitute.org/gsea/msigdb/cards/GSE22886_NAIVE_CD4_TCELL_VS_NKCELL_UP.html</t>
  </si>
  <si>
    <t>GSE22886_NAIVE_BCELL_VS_MONOCYTE_UP</t>
  </si>
  <si>
    <t>259197;9214;971;959;11262;50615;3111;3112;1235;4050;969;25780;80183</t>
  </si>
  <si>
    <t>NCR3;FCMR;CD72;CD40LG;SP140;IL21R;HLA-DOA;HLA-DOB;CCR6;LTB;CD69;RASGRP3;RUBCNL</t>
  </si>
  <si>
    <t>http://www.broadinstitute.org/gsea/msigdb/cards/GSE22886_NAIVE_BCELL_VS_MONOCYTE_UP.html</t>
  </si>
  <si>
    <t>GSE24634_NAIVE_CD4_TCELL_VS_DAY7_IL4_CONV_TREG_DN</t>
  </si>
  <si>
    <t>3559;914;7453;51056;1234;3071;11262;2672;3956;10148;3123;51762;4644</t>
  </si>
  <si>
    <t>IL2RA;CD2;WARS;LAP3;CCR5;NCKAP1L;SP140;GFI1;LGALS1;EBI3;HLA-DRB1;RAB8B;MYO5A</t>
  </si>
  <si>
    <t>http://www.broadinstitute.org/gsea/msigdb/cards/GSE24634_NAIVE_CD4_TCELL_VS_DAY7_IL4_CONV_TREG_DN.html</t>
  </si>
  <si>
    <t>GSE24634_IL4_VS_CTRL_TREATED_NAIVE_CD4_TCELL_DAY3_UP</t>
  </si>
  <si>
    <t>2322;6504;3662;10666;80301;8832;4094;3117;3956;3586;3988;10148;10462</t>
  </si>
  <si>
    <t>FLT3;SLAMF1;IRF4;CD226;PLEKHO2;CD84;MAF;HLA-DQA1;LGALS1;IL10;LIPA;EBI3;CLEC10A</t>
  </si>
  <si>
    <t>http://www.broadinstitute.org/gsea/msigdb/cards/GSE24634_IL4_VS_CTRL_TREATED_NAIVE_CD4_TCELL_DAY3_UP.html</t>
  </si>
  <si>
    <t>GSE2706_UNSTIM_VS_8H_R848_DC_UP</t>
  </si>
  <si>
    <t>9450;3603;283897;4063;54209;9120;54;5724;3004;1601;84106;54504;64174</t>
  </si>
  <si>
    <t>LY86;IL16;C16orf54;LY9;TREM2;SLC16A6;ACP5;PTAFR;GZMM;DAB2;PRAM1;CPVL;DPEP2</t>
  </si>
  <si>
    <t>http://www.broadinstitute.org/gsea/msigdb/cards/GSE2706_UNSTIM_VS_8H_R848_DC_UP.html</t>
  </si>
  <si>
    <t>GSE2706_R848_VS_LPS_8H_STIM_DC_DN</t>
  </si>
  <si>
    <t>22797;9450;2633;941;3594;115362;55303;27033;197135;3717;3112;3604;55013</t>
  </si>
  <si>
    <t>TFEC;LY86;GBP1;CD80;IL12RB1;GBP5;GIMAP4;ZBTB32;PATL2;JAK2;HLA-DOB;TNFRSF9;MCUB</t>
  </si>
  <si>
    <t>http://www.broadinstitute.org/gsea/msigdb/cards/GSE2706_R848_VS_LPS_8H_STIM_DC_DN.html</t>
  </si>
  <si>
    <t>6772;3071;10320;115361;116986;55303;27128;80342;4049;2213;89846;161145;51063</t>
  </si>
  <si>
    <t>STAT1;NCKAP1L;IKZF1;GBP4;AGAP2;GIMAP4;CYTH4;TRAF3IP3;LTA;FCGR2B;FGD3;TMEM229B;CALHM2</t>
  </si>
  <si>
    <t>http://www.broadinstitute.org/gsea/msigdb/cards/GSE27786_LIN_NEG_VS_BCELL_DN.html</t>
  </si>
  <si>
    <t>5579;5551;10871;3702;387357;8530;54;3824;441168;79895;55619;50515;55691</t>
  </si>
  <si>
    <t>PRKCB;PRF1;CD300C;ITK;THEMIS;CST7;ACP5;KLRD1;CALHM6;ATP8B4;DOCK10;CHST11;FRMD4A</t>
  </si>
  <si>
    <t>http://www.broadinstitute.org/gsea/msigdb/cards/GSE27786_CD4_VS_CD8_TCELL_DN.html</t>
  </si>
  <si>
    <t>GSE27786_CD4_TCELL_VS_NKTCELL_DN</t>
  </si>
  <si>
    <t>3687;971;313;51056;2124;1234;10666;257106;139716;53346;8320;7454;441168</t>
  </si>
  <si>
    <t>ITGAX;CD72;AOAH;LAP3;EVI2B;CCR5;CD226;ARHGAP30;GAB3;TM6SF1;EOMES;WAS;CALHM6</t>
  </si>
  <si>
    <t>http://www.broadinstitute.org/gsea/msigdb/cards/GSE27786_CD4_TCELL_VS_NKTCELL_DN.html</t>
  </si>
  <si>
    <t>7456;971;2313;695;4689;719;54899;11184;54;6518;2213;4050;10672</t>
  </si>
  <si>
    <t>WIPF1;CD72;FLI1;BTK;NCF4;C3AR1;PXK;MAP4K1;ACP5;SLC2A5;FCGR2B;LTB;GNA13</t>
  </si>
  <si>
    <t>http://www.broadinstitute.org/gsea/msigdb/cards/GSE2826_XID_VS_BTK_KO_BCELL_UP.html</t>
  </si>
  <si>
    <t>GSE29617_CTRL_VS_DAY7_TIV_FLU_VACCINE_PBMC_2008_UP</t>
  </si>
  <si>
    <t>9595;8676;3627;7453;5734;64092;10019;9120;2162;728;969;10672;51762</t>
  </si>
  <si>
    <t>CYTIP;STX11;CXCL10;WARS;PTGER4;SAMSN1;SH2B3;SLC16A6;F13A1;C5AR1;CD69;GNA13;RAB8B</t>
  </si>
  <si>
    <t>http://www.broadinstitute.org/gsea/msigdb/cards/GSE29617_CTRL_VS_DAY7_TIV_FLU_VACCINE_PBMC_2008_UP.html</t>
  </si>
  <si>
    <t>GSE29618_MONOCYTE_VS_PDC_DAY7_FLU_VACCINE_DN</t>
  </si>
  <si>
    <t>1439;5294;3394;3662;399;11006;11184;26051;4063;241;1601;8809;55704</t>
  </si>
  <si>
    <t>CSF2RB;PIK3CG;IRF8;IRF4;RHOH;LILRB4;MAP4K1;PPP1R16B;LY9;ALOX5AP;DAB2;IL18R1;CCDC88A</t>
  </si>
  <si>
    <t>http://www.broadinstitute.org/gsea/msigdb/cards/GSE29618_MONOCYTE_VS_PDC_DAY7_FLU_VACCINE_DN.html</t>
  </si>
  <si>
    <t>9051;9535;2014;391;399;51296;3635;596;9938;64780;4327;64174;8605</t>
  </si>
  <si>
    <t>PSTPIP1;GMFG;EMP3;RHOG;RHOH;SLC15A3;INPP5D;BCL2;ARHGAP25;MICAL1;MMP19;DPEP2;PLA2G4C</t>
  </si>
  <si>
    <t>http://www.broadinstitute.org/gsea/msigdb/cards/GSE29618_PRE_VS_DAY7_POST_LAIV_FLU_VACCINE_BCELL_UP.html</t>
  </si>
  <si>
    <t>GSE29618_LAIV_VS_TIV_FLU_VACCINE_DAY7_MONOCYTE_DN</t>
  </si>
  <si>
    <t>7305;712;6036;3603;9744;221472;3635;2672;6793;3956;3737;7454;51063</t>
  </si>
  <si>
    <t>TYROBP;C1QA;RNASE2;IL16;ACAP1;FGD2;INPP5D;GFI1;STK10;LGALS1;KCNA2;WAS;CALHM2</t>
  </si>
  <si>
    <t>http://www.broadinstitute.org/gsea/msigdb/cards/GSE29618_LAIV_VS_TIV_FLU_VACCINE_DAY7_MONOCYTE_DN.html</t>
  </si>
  <si>
    <t>GSE30962_ACUTE_VS_CHRONIC_LCMV_SECONDARY_INF_CD8_TCELL_DN</t>
  </si>
  <si>
    <t>653361;7535;3394;8477;2672;51744;59067;10437;3902;11010;3604;5133;597</t>
  </si>
  <si>
    <t>NCF1;ZAP70;IRF8;GPR65;GFI1;CD244;IL21;IFI30;LAG3;GLIPR1;TNFRSF9;PDCD1;BCL2A1</t>
  </si>
  <si>
    <t>http://www.broadinstitute.org/gsea/msigdb/cards/GSE30962_ACUTE_VS_CHRONIC_LCMV_SECONDARY_INF_CD8_TCELL_DN.html</t>
  </si>
  <si>
    <t>GSE339_CD4POS_VS_CD4CD8DN_DC_UP</t>
  </si>
  <si>
    <t>712;714;1439;6772;10871;3937;4063;54;6693;140885;100506736;64747;9935</t>
  </si>
  <si>
    <t>C1QA;C1QC;CSF2RB;STAT1;CD300C;LCP2;LY9;ACP5;SPN;SIRPA;SLFN12L;MFSD1;MAFB</t>
  </si>
  <si>
    <t>http://www.broadinstitute.org/gsea/msigdb/cards/GSE339_CD4POS_VS_CD4CD8DN_DC_UP.html</t>
  </si>
  <si>
    <t>714;3560;923;6890;219972;54899;23048;730249;6793;2829;6556;2833;6891</t>
  </si>
  <si>
    <t>C1QC;IL2RB;CD6;TAP1;MPEG1;PXK;FNBP1;ACOD1;STK10;XCR1;SLC11A1;CXCR3;TAP2</t>
  </si>
  <si>
    <t>http://www.broadinstitute.org/gsea/msigdb/cards/GSE339_CD4POS_VS_CD8POS_DC_IN_CULTURE_DN.html</t>
  </si>
  <si>
    <t>GSE339_EX_VIVO_VS_IN_CULTURE_CD8POS_DC_UP</t>
  </si>
  <si>
    <t>9450;5579;695;3603;54899;64926;64333;348;4066;6546;7454;7462;51466</t>
  </si>
  <si>
    <t>LY86;PRKCB;BTK;IL16;PXK;RASAL3;ARHGAP9;APOE;LYL1;SLC8A1;WAS;LAT2;EVL</t>
  </si>
  <si>
    <t>http://www.broadinstitute.org/gsea/msigdb/cards/GSE339_EX_VIVO_VS_IN_CULTURE_CD8POS_DC_UP.html</t>
  </si>
  <si>
    <t>GSE339_EX_VIVO_VS_IN_CULTURE_CD4CD8DN_DC_UP</t>
  </si>
  <si>
    <t>5579;3055;2313;10320;3603;64333;50856;6546;7454;140885;4050;80821;4215</t>
  </si>
  <si>
    <t>PRKCB;HCK;FLI1;IKZF1;IL16;ARHGAP9;CLEC4A;SLC8A1;WAS;SIRPA;LTB;DDHD1;MAP3K3</t>
  </si>
  <si>
    <t>http://www.broadinstitute.org/gsea/msigdb/cards/GSE339_EX_VIVO_VS_IN_CULTURE_CD4CD8DN_DC_UP.html</t>
  </si>
  <si>
    <t>54440;972;971;5778;2219;10990;6518;3988;11010;1414;4208;9815;10457</t>
  </si>
  <si>
    <t>SASH3;CD74;CD72;PTPN7;FCN1;LILRB5;SLC2A5;LIPA;GLIPR1;CRYBB1;MEF2C;GIT2;GPNMB</t>
  </si>
  <si>
    <t>http://www.broadinstitute.org/gsea/msigdb/cards/GSE360_CTRL_VS_M_TUBERCULOSIS_MAC_UP.html</t>
  </si>
  <si>
    <t>GSE360_DC_VS_MAC_T_GONDII_UP</t>
  </si>
  <si>
    <t>3575;1236;1439;26051;2672;2162;3122;3117;3115;2811;3113;4360;5376</t>
  </si>
  <si>
    <t>IL7R;CCR7;CSF2RB;PPP1R16B;GFI1;F13A1;HLA-DRA;HLA-DQA1;HLA-DPB1;GP1BA;HLA-DPA1;MRC1;PMP22</t>
  </si>
  <si>
    <t>http://www.broadinstitute.org/gsea/msigdb/cards/GSE360_DC_VS_MAC_T_GONDII_UP.html</t>
  </si>
  <si>
    <t>GSE360_L_DONOVANI_VS_B_MALAYI_LOW_DOSE_DC_UP</t>
  </si>
  <si>
    <t>1318;6352;3561;1439;2014;26051;8530;6402;6556;4973;5376;7185;9363</t>
  </si>
  <si>
    <t>SLC31A2;CCL5;IL2RG;CSF2RB;EMP3;PPP1R16B;CST7;SELL;SLC11A1;OLR1;PMP22;TRAF1;RAB33A</t>
  </si>
  <si>
    <t>http://www.broadinstitute.org/gsea/msigdb/cards/GSE360_L_DONOVANI_VS_B_MALAYI_LOW_DOSE_DC_UP.html</t>
  </si>
  <si>
    <t>GSE360_L_MAJOR_VS_B_MALAYI_LOW_DOSE_DC_UP</t>
  </si>
  <si>
    <t>925;940;7133;1236;6890;3820;6504;3553;6402;6556;4973;5376;3824</t>
  </si>
  <si>
    <t>CD8A;CD28;TNFRSF1B;CCR7;TAP1;KLRB1;SLAMF1;IL1B;SELL;SLC11A1;OLR1;PMP22;KLRD1</t>
  </si>
  <si>
    <t>http://www.broadinstitute.org/gsea/msigdb/cards/GSE360_L_MAJOR_VS_B_MALAYI_LOW_DOSE_DC_UP.html</t>
  </si>
  <si>
    <t>GSE36392_TYPE_2_MYELOID_VS_NEUTROPHIL_IL25_TREATED_LUNG_UP</t>
  </si>
  <si>
    <t>8676;3055;89857;89790;6556;2833;969;55911;9815;10148;89846;79865;23312</t>
  </si>
  <si>
    <t>STX11;HCK;KLHL6;SIGLEC10;SLC11A1;CXCR3;CD69;APOBR;GIT2;EBI3;FGD3;TREML2;DMXL2</t>
  </si>
  <si>
    <t>http://www.broadinstitute.org/gsea/msigdb/cards/GSE36392_TYPE_2_MYELOID_VS_NEUTROPHIL_IL25_TREATED_LUNG_UP.html</t>
  </si>
  <si>
    <t>GSE37416_CTRL_VS_48H_F_TULARENSIS_LVS_NEUTROPHIL_UP</t>
  </si>
  <si>
    <t>9214;917;3676;9459;50852;11184;114836;51338;84174;55303;145581;64919;26157</t>
  </si>
  <si>
    <t>FCMR;CD3G;ITGA4;ARHGEF6;TRAT1;MAP4K1;SLAMF6;MS4A4A;SLA2;GIMAP4;LRFN5;BCL11B;GIMAP2</t>
  </si>
  <si>
    <t>http://www.broadinstitute.org/gsea/msigdb/cards/GSE37416_CTRL_VS_48H_F_TULARENSIS_LVS_NEUTROPHIL_UP.html</t>
  </si>
  <si>
    <t>GSE37416_0H_VS_24H_F_TULARENSIS_LVS_NEUTROPHIL_UP</t>
  </si>
  <si>
    <t>7940;9051;7305;1439;199;150372;64333;8530;9103;7454;54518;64098;26157</t>
  </si>
  <si>
    <t>LST1;PSTPIP1;TYROBP;CSF2RB;AIF1;NFAM1;ARHGAP9;CST7;FCGR2A;WAS;APBB1IP;PARVG;GIMAP2</t>
  </si>
  <si>
    <t>http://www.broadinstitute.org/gsea/msigdb/cards/GSE37416_0H_VS_24H_F_TULARENSIS_LVS_NEUTROPHIL_UP.html</t>
  </si>
  <si>
    <t>GSE3982_MAST_CELL_VS_CENT_MEMORY_CD4_TCELL_DN</t>
  </si>
  <si>
    <t>27334;4068;3458;920;940;3683;2124;3702;399;474344;80342;926;10077</t>
  </si>
  <si>
    <t>P2RY10;SH2D1A;IFNG;CD4;CD28;ITGAL;EVI2B;ITK;RHOH;GIMAP6;TRAF3IP3;CD8B;TSPAN32</t>
  </si>
  <si>
    <t>http://www.broadinstitute.org/gsea/msigdb/cards/GSE3982_MAST_CELL_VS_CENT_MEMORY_CD4_TCELL_DN.html</t>
  </si>
  <si>
    <t>GSE3982_DC_VS_BASOPHIL_UP</t>
  </si>
  <si>
    <t>712;1536;3055;7453;51393;8564;526;3586;2359;6507;4208;10457;8605</t>
  </si>
  <si>
    <t>C1QA;CYBB;HCK;WARS;TRPV2;KMO;ATP6V1B2;IL10;FPR3;SLC1A3;MEF2C;GPNMB;PLA2G4C</t>
  </si>
  <si>
    <t>http://www.broadinstitute.org/gsea/msigdb/cards/GSE3982_DC_VS_BASOPHIL_UP.html</t>
  </si>
  <si>
    <t>GSE3982_DC_VS_NKCELL_UP</t>
  </si>
  <si>
    <t>1318;11309;10261;80896;8564;1435;2359;2213;3123;55704;79865;4327;1522</t>
  </si>
  <si>
    <t>SLC31A2;SLCO2B1;IGSF6;NPL;KMO;CSF1;FPR3;FCGR2B;HLA-DRB1;CCDC88A;TREML2;MMP19;CTSZ</t>
  </si>
  <si>
    <t>http://www.broadinstitute.org/gsea/msigdb/cards/GSE3982_DC_VS_NKCELL_UP.html</t>
  </si>
  <si>
    <t>GSE3982_CENT_MEMORY_CD4_TCELL_VS_TH2_UP</t>
  </si>
  <si>
    <t>3689;10225;3702;55843;55340;11314;9881;3115;6402;7454;90634;79630;64174</t>
  </si>
  <si>
    <t>ITGB2;CD96;ITK;ARHGAP15;GIMAP5;CD300A;TRANK1;HLA-DPB1;SELL;WAS;N4BP2L1;C1orf54;DPEP2</t>
  </si>
  <si>
    <t>http://www.broadinstitute.org/gsea/msigdb/cards/GSE3982_CENT_MEMORY_CD4_TCELL_VS_TH2_UP.html</t>
  </si>
  <si>
    <t>GSE3982_NKCELL_VS_TH2_UP</t>
  </si>
  <si>
    <t>3575;3683;313;3101;3820;81030;2848;3553;3113;728;10462;81553;55691</t>
  </si>
  <si>
    <t>IL7R;ITGAL;AOAH;HK3;KLRB1;ZBP1;GPR25;IL1B;HLA-DPA1;C5AR1;CLEC10A;FAM49A;FRMD4A</t>
  </si>
  <si>
    <t>http://www.broadinstitute.org/gsea/msigdb/cards/GSE3982_NKCELL_VS_TH2_UP.html</t>
  </si>
  <si>
    <t>GSE7460_TREG_VS_TCONV_ACT_DN</t>
  </si>
  <si>
    <t>6036;2123;3702;255231;387357;23533;89790;116986;54;2359;4033;161145;9806</t>
  </si>
  <si>
    <t>RNASE2;EVI2A;ITK;MCOLN2;THEMIS;PIK3R5;SIGLEC10;AGAP2;ACP5;FPR3;LRMP;TMEM229B;SPOCK2</t>
  </si>
  <si>
    <t>http://www.broadinstitute.org/gsea/msigdb/cards/GSE7460_TREG_VS_TCONV_ACT_DN.html</t>
  </si>
  <si>
    <t>GSE7460_CTRL_VS_TGFB_TREATED_ACT_TCONV_DN</t>
  </si>
  <si>
    <t>9404;925;951;653361;10875;4689;3662;399;3635;51225;79865;91010;50943</t>
  </si>
  <si>
    <t>LPXN;CD8A;CD37;NCF1;FGL2;NCF4;IRF4;RHOH;INPP5D;ABI3;TREML2;FMNL3;FOXP3</t>
  </si>
  <si>
    <t>http://www.broadinstitute.org/gsea/msigdb/cards/GSE7460_CTRL_VS_TGFB_TREATED_ACT_TCONV_DN.html</t>
  </si>
  <si>
    <t>GSE7460_FOXP3_MUT_VS_WT_ACT_WITH_TGFB_TCONV_DN</t>
  </si>
  <si>
    <t>3676;399;55843;79626;50852;3111;3112;6402;27163;4240;79865;85464;50943</t>
  </si>
  <si>
    <t>ITGA4;RHOH;ARHGAP15;TNFAIP8L2;TRAT1;HLA-DOA;HLA-DOB;SELL;NAAA;MFGE8;TREML2;SSH2;FOXP3</t>
  </si>
  <si>
    <t>http://www.broadinstitute.org/gsea/msigdb/cards/GSE7460_FOXP3_MUT_VS_WT_ACT_WITH_TGFB_TCONV_DN.html</t>
  </si>
  <si>
    <t>GSE7764_IL15_TREATED_VS_CTRL_NK_CELL_24H_DN</t>
  </si>
  <si>
    <t>3676;3575;219972;114836;10154;19;348;54;4481;2213;54518;10077;64919</t>
  </si>
  <si>
    <t>ITGA4;IL7R;MPEG1;SLAMF6;PLXNC1;ABCA1;APOE;ACP5;MSR1;FCGR2B;APBB1IP;TSPAN32;BCL11B</t>
  </si>
  <si>
    <t>http://www.broadinstitute.org/gsea/msigdb/cards/GSE7764_IL15_TREATED_VS_CTRL_NK_CELL_24H_DN.html</t>
  </si>
  <si>
    <t>GSE7852_THYMUS_VS_FAT_TREG_DN</t>
  </si>
  <si>
    <t>10663;8676;3594;1233;3587;170371;3635;64092;55589;730249;729230;131450;55281</t>
  </si>
  <si>
    <t>CXCR6;STX11;IL12RB1;CCR4;IL10RA;TMEM273;INPP5D;SAMSN1;BMP2K;ACOD1;CCR2;CD200R1;TMEM140</t>
  </si>
  <si>
    <t>http://www.broadinstitute.org/gsea/msigdb/cards/GSE7852_THYMUS_VS_FAT_TREG_DN.html</t>
  </si>
  <si>
    <t>GSE9988_ANTI_TREM1_VS_ANTI_TREM1_AND_LPS_MONOCYTE_UP</t>
  </si>
  <si>
    <t>9046;9595;5294;257106;126364;80301;84868;4064;4063;27128;10437;1230;55911</t>
  </si>
  <si>
    <t>DOK2;CYTIP;PIK3CG;ARHGAP30;LRRC25;PLEKHO2;HAVCR2;CD180;LY9;CYTH4;IFI30;CCR1;APOBR</t>
  </si>
  <si>
    <t>http://www.broadinstitute.org/gsea/msigdb/cards/GSE9988_ANTI_TREM1_VS_ANTI_TREM1_AND_LPS_MONOCYTE_UP.html</t>
  </si>
  <si>
    <t>GSE2770_UNTREATED_VS_ACT_CD4_TCELL_6H_UP</t>
  </si>
  <si>
    <t>9535;1234;51296;57580;114836;3956;3684;241;11010;2833;10148;7462;55013</t>
  </si>
  <si>
    <t>GMFG;CCR5;SLC15A3;PREX1;SLAMF6;LGALS1;ITGAM;ALOX5AP;GLIPR1;CXCR3;EBI3;LAT2;MCUB</t>
  </si>
  <si>
    <t>http://www.broadinstitute.org/gsea/msigdb/cards/GSE2770_UNTREATED_VS_ACT_CD4_TCELL_6H_UP.html</t>
  </si>
  <si>
    <t>GSE2770_UNTREATED_VS_IL4_TREATED_ACT_CD4_TCELL_6H_DN</t>
  </si>
  <si>
    <t>7456;914;6688;54899;80301;139716;3717;54;3112;10672;3123;4215;64747</t>
  </si>
  <si>
    <t>WIPF1;CD2;SPI1;PXK;PLEKHO2;GAB3;JAK2;ACP5;HLA-DOB;GNA13;HLA-DRB1;MAP3K3;MFSD1</t>
  </si>
  <si>
    <t>http://www.broadinstitute.org/gsea/msigdb/cards/GSE2770_UNTREATED_VS_IL4_TREATED_ACT_CD4_TCELL_6H_DN.html</t>
  </si>
  <si>
    <t>GSE2770_IL12_VS_IL4_TREATED_ACT_CD4_TCELL_6H_DN</t>
  </si>
  <si>
    <t>3689;2014;3071;259307;51744;10870;348;3002;2113;969;5133;3123;80709</t>
  </si>
  <si>
    <t>ITGB2;EMP3;NCKAP1L;IL4I1;CD244;HCST;APOE;GZMB;ETS1;CD69;PDCD1;HLA-DRB1;AKNA</t>
  </si>
  <si>
    <t>http://www.broadinstitute.org/gsea/msigdb/cards/GSE2770_IL12_VS_IL4_TREATED_ACT_CD4_TCELL_6H_DN.html</t>
  </si>
  <si>
    <t>GSE2770_IL12_AND_TGFB_ACT_VS_ACT_CD4_TCELL_6H_UP</t>
  </si>
  <si>
    <t>3695;313;53347;3603;149628;3635;4063;55423;27128;80342;9806;64174;51466</t>
  </si>
  <si>
    <t>ITGB7;AOAH;UBASH3A;IL16;PYHIN1;INPP5D;LY9;SIRPG;CYTH4;TRAF3IP3;SPOCK2;DPEP2;EVL</t>
  </si>
  <si>
    <t>http://www.broadinstitute.org/gsea/msigdb/cards/GSE2770_IL12_AND_TGFB_ACT_VS_ACT_CD4_TCELL_6H_UP.html</t>
  </si>
  <si>
    <t>GSE2770_UNTREATED_VS_IL12_TREATED_ACT_CD4_TCELL_2H_UP</t>
  </si>
  <si>
    <t>6036;313;2124;10875;9459;1794;366;7439;2162;3936;23312;4215;4644</t>
  </si>
  <si>
    <t>RNASE2;AOAH;EVI2B;FGL2;ARHGEF6;DOCK2;AQP9;BEST1;F13A1;LCP1;DMXL2;MAP3K3;MYO5A</t>
  </si>
  <si>
    <t>http://www.broadinstitute.org/gsea/msigdb/cards/GSE2770_UNTREATED_VS_IL12_TREATED_ACT_CD4_TCELL_2H_UP.html</t>
  </si>
  <si>
    <t>GSE2770_IL12_ACT_VS_ACT_CD4_TCELL_2H_UP</t>
  </si>
  <si>
    <t>1318;2209;2123;3603;64926;241;6556;1601;11009;597;284759;79895;7462</t>
  </si>
  <si>
    <t>SLC31A2;FCGR1A;EVI2A;IL16;RASAL3;ALOX5AP;SLC11A1;DAB2;IL24;BCL2A1;SIRPB2;ATP8B4;LAT2</t>
  </si>
  <si>
    <t>http://www.broadinstitute.org/gsea/msigdb/cards/GSE2770_IL12_ACT_VS_ACT_CD4_TCELL_2H_UP.html</t>
  </si>
  <si>
    <t>GSE3691_IFN_PRODUCING_KILLER_DC_VS_CONVENTIONAL_DC_SPLEEN_DN</t>
  </si>
  <si>
    <t>962;6688;963;51056;3702;3937;53346;56659;64092;79974;4033;441168;145581</t>
  </si>
  <si>
    <t>CD48;SPI1;CD53;LAP3;ITK;LCP2;TM6SF1;KCNK13;SAMSN1;CPED1;LRMP;CALHM6;LRFN5</t>
  </si>
  <si>
    <t>http://www.broadinstitute.org/gsea/msigdb/cards/GSE3691_IFN_PRODUCING_KILLER_DC_VS_CONVENTIONAL_DC_SPLEEN_DN.html</t>
  </si>
  <si>
    <t>GSE8921_3H_VS_24H_TLR1_2_STIM_MONOCYTE_UP</t>
  </si>
  <si>
    <t>962;940;2124;283897;257106;2219;27306;924;4261;55704;118788;84541;51466</t>
  </si>
  <si>
    <t>CD48;CD28;EVI2B;C16orf54;ARHGAP30;FCN1;HPGDS;CD7;CIITA;CCDC88A;PIK3AP1;KBTBD8;EVL</t>
  </si>
  <si>
    <t>http://www.broadinstitute.org/gsea/msigdb/cards/GSE8921_3H_VS_24H_TLR1_2_STIM_MONOCYTE_UP.html</t>
  </si>
  <si>
    <t>GSE3039_NKT_CELL_VS_B1_BCELL_UP</t>
  </si>
  <si>
    <t>22797;9595;10875;92241;3717;56253;8905;4050;8809;100506736;57705;115727;84106</t>
  </si>
  <si>
    <t>TFEC;CYTIP;FGL2;RCSD1;JAK2;CRTAM;AP1S2;LTB;IL18R1;SLFN12L;WDFY4;RASGRP4;PRAM1</t>
  </si>
  <si>
    <t>http://www.broadinstitute.org/gsea/msigdb/cards/GSE3039_NKT_CELL_VS_B1_BCELL_UP.html</t>
  </si>
  <si>
    <t>GSE3039_CD4_TCELL_VS_ALPHAALPHA_CD8_TCELL_UP</t>
  </si>
  <si>
    <t>9332;80301;2162;6402;7941;55704;245972;80821;84329;64581;1522;51466;4644</t>
  </si>
  <si>
    <t>CD163;PLEKHO2;F13A1;SELL;PLA2G7;CCDC88A;ATP6V0D2;DDHD1;HVCN1;CLEC7A;CTSZ;EVL;MYO5A</t>
  </si>
  <si>
    <t>http://www.broadinstitute.org/gsea/msigdb/cards/GSE3039_CD4_TCELL_VS_ALPHAALPHA_CD8_TCELL_UP.html</t>
  </si>
  <si>
    <t>GSE3039_ALPHAALPHA_VS_ALPHABETA_CD8_TCELL_UP</t>
  </si>
  <si>
    <t>929;6351;1234;51296;79974;29909;2213;1230;3363;1601;6891;597;53831</t>
  </si>
  <si>
    <t>CD14;CCL4;CCR5;SLC15A3;CPED1;GPR171;FCGR2B;CCR1;HTR7;DAB2;TAP2;BCL2A1;GPR84</t>
  </si>
  <si>
    <t>http://www.broadinstitute.org/gsea/msigdb/cards/GSE3039_ALPHAALPHA_VS_ALPHABETA_CD8_TCELL_UP.html</t>
  </si>
  <si>
    <t>9450;3695;1439;1234;2014;4689;79626;55303;10870;2848;596;3274;56606</t>
  </si>
  <si>
    <t>LY86;ITGB7;CSF2RB;CCR5;EMP3;NCF4;TNFAIP8L2;GIMAP4;HCST;GPR25;BCL2;HRH2;SLC2A9</t>
  </si>
  <si>
    <t>http://www.broadinstitute.org/gsea/msigdb/cards/GSE5542_IFNG_VS_IFNA_TREATED_EPITHELIAL_CELLS_6H_DN.html</t>
  </si>
  <si>
    <t>GSE5679_PPARG_LIGAND_ROSIGLITAZONE_VS_ROSIGLITAZONE_AND_RARA_AGONIST_AM580_TREATED_DC_DN</t>
  </si>
  <si>
    <t>3559;653361;923;10225;942;55843;64333;366;1102;921;3824;54518;91526</t>
  </si>
  <si>
    <t>IL2RA;NCF1;CD6;CD96;CD86;ARHGAP15;ARHGAP9;AQP9;RCBTB2;CD5;KLRD1;APBB1IP;ANKRD44</t>
  </si>
  <si>
    <t>http://www.broadinstitute.org/gsea/msigdb/cards/GSE5679_PPARG_LIGAND_ROSIGLITAZONE_VS_ROSIGLITAZONE_AND_RARA_AGONIST_AM580_TREATED_DC_DN.html</t>
  </si>
  <si>
    <t>2533;9595;962;3575;3695;1236;3594;84166;3635;84174;3988;155038;26157</t>
  </si>
  <si>
    <t>FYB1;CYTIP;CD48;IL7R;ITGB7;CCR7;IL12RB1;NLRC5;INPP5D;SLA2;LIPA;GIMAP8;GIMAP2</t>
  </si>
  <si>
    <t>http://www.broadinstitute.org/gsea/msigdb/cards/GSE5099_DAY3_VS_DAY7_MCSF_TREATED_MACROPHAGE_UP.html</t>
  </si>
  <si>
    <t>GSE5589_LPS_AND_IL10_VS_LPS_AND_IL6_STIM_IL10_KO_MACROPHAGE_45MIN_DN</t>
  </si>
  <si>
    <t>5341;3683;399;286336;3903;197358;23048;50615;2113;4481;2833;54518;56606</t>
  </si>
  <si>
    <t>PLEK;ITGAL;RHOH;FAM78A;LAIR1;NLRC3;FNBP1;IL21R;ETS1;MSR1;CXCR3;APBB1IP;SLC2A9</t>
  </si>
  <si>
    <t>http://www.broadinstitute.org/gsea/msigdb/cards/GSE5589_LPS_AND_IL10_VS_LPS_AND_IL6_STIM_IL10_KO_MACROPHAGE_45MIN_DN.html</t>
  </si>
  <si>
    <t>GSE5589_WT_VS_IL6_KO_LPS_STIM_MACROPHAGE_45MIN_DN</t>
  </si>
  <si>
    <t>9046;10068;6351;3687;10875;3662;9332;55016;1794;50615;197135;6507;7941</t>
  </si>
  <si>
    <t>DOK2;IL18BP;CCL4;ITGAX;FGL2;IRF4;CD163;MARCH1;DOCK2;IL21R;PATL2;SLC1A3;PLA2G7</t>
  </si>
  <si>
    <t>http://www.broadinstitute.org/gsea/msigdb/cards/GSE5589_WT_VS_IL6_KO_LPS_STIM_MACROPHAGE_45MIN_DN.html</t>
  </si>
  <si>
    <t>GSE5589_IL6_KO_VS_IL10_KO_LPS_AND_IL10_STIM_MACROPHAGE_180MIN_UP</t>
  </si>
  <si>
    <t>4242;714;2313;139716;4064;53829;64231;2857;80342;4094;241;338339;10507</t>
  </si>
  <si>
    <t>MFNG;C1QC;FLI1;GAB3;CD180;P2RY13;MS4A6A;GPR34;TRAF3IP3;MAF;ALOX5AP;CLEC4D;SEMA4D</t>
  </si>
  <si>
    <t>http://www.broadinstitute.org/gsea/msigdb/cards/GSE5589_IL6_KO_VS_IL10_KO_LPS_AND_IL10_STIM_MACROPHAGE_180MIN_UP.html</t>
  </si>
  <si>
    <t>GSE6259_BCELL_VS_CD8_TCELL_DN</t>
  </si>
  <si>
    <t>22797;5294;3937;286530;117289;139716;58475;55589;596;4033;375387;29125;22900</t>
  </si>
  <si>
    <t>TFEC;PIK3CG;LCP2;P2RY8;TAGAP;GAB3;MS4A7;BMP2K;BCL2;LRMP;NRROS;C11orf21;CARD8</t>
  </si>
  <si>
    <t>http://www.broadinstitute.org/gsea/msigdb/cards/GSE6259_BCELL_VS_CD8_TCELL_DN.html</t>
  </si>
  <si>
    <t>GSE7548_NAIVE_VS_DAY7_PCC_IMMUNIZATION_CD4_TCELL_DN</t>
  </si>
  <si>
    <t>22797;3627;7453;2633;1439;4332;6890;4283;3587;1240;6373;3902;969</t>
  </si>
  <si>
    <t>TFEC;CXCL10;WARS;GBP1;CSF2RB;MNDA;TAP1;CXCL9;IL10RA;CMKLR1;CXCL11;LAG3;CD69</t>
  </si>
  <si>
    <t>http://www.broadinstitute.org/gsea/msigdb/cards/GSE7548_NAIVE_VS_DAY7_PCC_IMMUNIZATION_CD4_TCELL_DN.html</t>
  </si>
  <si>
    <t>GSE6674_CPG_VS_CPG_AND_ANTI_IGM_STIM_BCELL_UP</t>
  </si>
  <si>
    <t>340152;972;1536;4245;6890;219972;30009;3117;241;3109;6891;11217;25939</t>
  </si>
  <si>
    <t>ZC3H12D;CD74;CYBB;MGAT1;TAP1;MPEG1;TBX21;HLA-DQA1;ALOX5AP;HLA-DMB;TAP2;AKAP2;SAMHD1</t>
  </si>
  <si>
    <t>http://www.broadinstitute.org/gsea/msigdb/cards/GSE6674_CPG_VS_CPG_AND_ANTI_IGM_STIM_BCELL_UP.html</t>
  </si>
  <si>
    <t>3695;5294;197358;256380;80380;27033;10437;3059;526;1230;9938;6556;55911</t>
  </si>
  <si>
    <t>ITGB7;PIK3CG;NLRC3;SCML4;PDCD1LG2;ZBTB32;IFI30;HCLS1;ATP6V1B2;CCR1;ARHGAP25;SLC11A1;APOBR</t>
  </si>
  <si>
    <t>http://www.broadinstitute.org/gsea/msigdb/cards/GSE5503_LIVER_DC_VS_SPLEEN_DC_ACTIVATED_ALLOGENIC_TCELL_DN.html</t>
  </si>
  <si>
    <t>GSE5503_MLN_DC_VS_SPLEEN_DC_ACTIVATED_ALLOGENIC_TCELL_UP</t>
  </si>
  <si>
    <t>962;6352;945;3071;219972;3903;474344;139716;11184;64333;50615;1102;596</t>
  </si>
  <si>
    <t>CD48;CCL5;CD33;NCKAP1L;MPEG1;LAIR1;GIMAP6;GAB3;MAP4K1;ARHGAP9;IL21R;RCBTB2;BCL2</t>
  </si>
  <si>
    <t>http://www.broadinstitute.org/gsea/msigdb/cards/GSE5503_MLN_DC_VS_SPLEEN_DC_ACTIVATED_ALLOGENIC_TCELL_UP.html</t>
  </si>
  <si>
    <t>GSE10273_HIGH_IL7_VS_HIGH_IL7_AND_IRF4_IN_IRF4_8_NULL_PRE_BCELL_DN</t>
  </si>
  <si>
    <t>972;5579;3676;197358;3635;26051;4063;921;3112;3059;6753;25780;84230</t>
  </si>
  <si>
    <t>CD74;PRKCB;ITGA4;NLRC3;INPP5D;PPP1R16B;LY9;CD5;HLA-DOB;HCLS1;SSTR3;RASGRP3;LRRC8C</t>
  </si>
  <si>
    <t>http://www.broadinstitute.org/gsea/msigdb/cards/GSE10273_HIGH_IL7_VS_HIGH_IL7_AND_IRF4_IN_IRF4_8_NULL_PRE_BCELL_DN.html</t>
  </si>
  <si>
    <t>GSE14415_FOXP3_KO_NATURAL_TREG_VS_TCONV_UP</t>
  </si>
  <si>
    <t>3575;55843;286336;50852;221188;256380;19;6402;79865;85464;51466;11217</t>
  </si>
  <si>
    <t>IL7R;ARHGAP15;FAM78A;TRAT1;ADGRG5;SCML4;ABCA1;SELL;TREML2;SSH2;EVL;AKAP2</t>
  </si>
  <si>
    <t>http://www.broadinstitute.org/gsea/msigdb/cards/GSE14415_FOXP3_KO_NATURAL_TREG_VS_TCONV_UP.html</t>
  </si>
  <si>
    <t>GSE14415_FOXP3_KO_NATURAL_TREG_VS_TCONV_DN</t>
  </si>
  <si>
    <t>3575;1236;944;286336;50852;221188;89857;114836;6402;79865;85464;375387</t>
  </si>
  <si>
    <t>IL7R;CCR7;TNFSF8;FAM78A;TRAT1;ADGRG5;KLHL6;SLAMF6;SELL;TREML2;SSH2;NRROS</t>
  </si>
  <si>
    <t>http://www.broadinstitute.org/gsea/msigdb/cards/GSE14415_FOXP3_KO_NATURAL_TREG_VS_TCONV_DN.html</t>
  </si>
  <si>
    <t>GSE15330_LYMPHOID_MULTIPOTENT_VS_MEGAKARYOCYTE_ERYTHROID_PROGENITOR_DN</t>
  </si>
  <si>
    <t>9839;920;917;6351;2123;3071;81704;114548;2529;57514;91526;161145;29126</t>
  </si>
  <si>
    <t>ZEB2;CD4;CD3G;CCL4;EVI2A;NCKAP1L;DOCK8;NLRP3;FUT7;ARHGAP31;ANKRD44;TMEM229B;CD274</t>
  </si>
  <si>
    <t>http://www.broadinstitute.org/gsea/msigdb/cards/GSE15330_LYMPHOID_MULTIPOTENT_VS_MEGAKARYOCYTE_ERYTHROID_PROGENITOR_DN.html</t>
  </si>
  <si>
    <t>GSE12198_CTRL_VS_HIGH_IL2_STIM_NK_CELL_DN</t>
  </si>
  <si>
    <t>10261;3627;2123;391;3603;4689;221472;1794;27033;27306;4049;91010;51063</t>
  </si>
  <si>
    <t>IGSF6;CXCL10;EVI2A;RHOG;IL16;NCF4;FGD2;DOCK2;ZBTB32;HPGDS;LTA;FMNL3;CALHM2</t>
  </si>
  <si>
    <t>http://www.broadinstitute.org/gsea/msigdb/cards/GSE12198_CTRL_VS_HIGH_IL2_STIM_NK_CELL_DN.html</t>
  </si>
  <si>
    <t>GSE17186_CD21LOW_VS_CD21HIGH_TRANSITIONAL_BCELL_UP</t>
  </si>
  <si>
    <t>3627;3689;5579;971;4689;114548;4064;80231;2529;151556;375387;25780;64098</t>
  </si>
  <si>
    <t>CXCL10;ITGB2;PRKCB;CD72;NCF4;NLRP3;CD180;CXorf21;FUT7;GPR155;NRROS;RASGRP3;PARVG</t>
  </si>
  <si>
    <t>http://www.broadinstitute.org/gsea/msigdb/cards/GSE17186_CD21LOW_VS_CD21HIGH_TRANSITIONAL_BCELL_UP.html</t>
  </si>
  <si>
    <t>GSE17186_BLOOD_VS_CORD_BLOOD_NAIVE_BCELL_DN</t>
  </si>
  <si>
    <t>5551;3560;3561;6404;399;64926;374403;1794;64231;1102;921;4050;56606</t>
  </si>
  <si>
    <t>PRF1;IL2RB;IL2RG;SELPLG;RHOH;RASAL3;TBC1D10C;DOCK2;MS4A6A;RCBTB2;CD5;LTB;SLC2A9</t>
  </si>
  <si>
    <t>http://www.broadinstitute.org/gsea/msigdb/cards/GSE17186_BLOOD_VS_CORD_BLOOD_NAIVE_BCELL_DN.html</t>
  </si>
  <si>
    <t>3695;7535;2014;3937;10320;92241;50615;4063;80342;29851;4049;54;85464</t>
  </si>
  <si>
    <t>ITGB7;ZAP70;EMP3;LCP2;IKZF1;RCSD1;IL21R;LY9;TRAF3IP3;ICOS;LTA;ACP5;SSH2</t>
  </si>
  <si>
    <t>http://www.broadinstitute.org/gsea/msigdb/cards/GSE17186_BLOOD_VS_CORD_BLOOD_CD21LOW_TRANSITIONAL_BCELL_UP.html</t>
  </si>
  <si>
    <t>GSE17186_NAIVE_VS_CD21HIGH_TRANSITIONAL_BCELL_UP</t>
  </si>
  <si>
    <t>9051;9535;1236;2322;10320;257106;139716;10870;11326;1508;8809;116442;145864</t>
  </si>
  <si>
    <t>PSTPIP1;GMFG;CCR7;FLT3;IKZF1;ARHGAP30;GAB3;HCST;VSIG4;CTSB;IL18R1;RAB39B;HAPLN3</t>
  </si>
  <si>
    <t>http://www.broadinstitute.org/gsea/msigdb/cards/GSE17186_NAIVE_VS_CD21HIGH_TRANSITIONAL_BCELL_UP.html</t>
  </si>
  <si>
    <t>GSE16266_LPS_VS_HEATSHOCK_AND_LPS_STIM_MEF_DN</t>
  </si>
  <si>
    <t>9839;5341;4245;942;4671;3587;124460;126364;55016;53829;8905;375387;56670</t>
  </si>
  <si>
    <t>ZEB2;PLEK;MGAT1;CD86;NAIP;IL10RA;SNX20;LRRC25;MARCH1;P2RY13;AP1S2;NRROS;SUCNR1</t>
  </si>
  <si>
    <t>http://www.broadinstitute.org/gsea/msigdb/cards/GSE16266_LPS_VS_HEATSHOCK_AND_LPS_STIM_MEF_DN.html</t>
  </si>
  <si>
    <t>GSE18281_PERIMEDULLARY_CORTICAL_REGION_VS_WHOLE_CORTEX_THYMUS_DN</t>
  </si>
  <si>
    <t>7456;2350;5551;2123;64092;6793;3936;6402;3586;3274;6753;4215;55803</t>
  </si>
  <si>
    <t>WIPF1;FOLR2;PRF1;EVI2A;SAMSN1;STK10;LCP1;SELL;IL10;HRH2;SSTR3;MAP3K3;ADAP2</t>
  </si>
  <si>
    <t>http://www.broadinstitute.org/gsea/msigdb/cards/GSE18281_PERIMEDULLARY_CORTICAL_REGION_VS_WHOLE_CORTEX_THYMUS_DN.html</t>
  </si>
  <si>
    <t>GSE19923_E2A_KO_VS_HEB_AND_E2A_KO_DP_THYMOCYTE_DN</t>
  </si>
  <si>
    <t>712;2350;2123;10990;3112;3274;1043;6753;5376;4050;10462;25780;6363</t>
  </si>
  <si>
    <t>C1QA;FOLR2;EVI2A;LILRB5;HLA-DOB;HRH2;CD52;SSTR3;PMP22;LTB;CLEC10A;RASGRP3;CCL19</t>
  </si>
  <si>
    <t>http://www.broadinstitute.org/gsea/msigdb/cards/GSE19923_E2A_KO_VS_HEB_AND_E2A_KO_DP_THYMOCYTE_DN.html</t>
  </si>
  <si>
    <t>GSE20198_UNTREATED_VS_IFNA_TREATED_ACT_CD4_TCELL_UP</t>
  </si>
  <si>
    <t>6772;257106;80380;84174;29851;2162;3936;3290;2213;8905;151556;375387;55691</t>
  </si>
  <si>
    <t>STAT1;ARHGAP30;PDCD1LG2;SLA2;ICOS;F13A1;LCP1;HSD11B1;FCGR2B;AP1S2;GPR155;NRROS;FRMD4A</t>
  </si>
  <si>
    <t>http://www.broadinstitute.org/gsea/msigdb/cards/GSE20198_UNTREATED_VS_IFNA_TREATED_ACT_CD4_TCELL_UP.html</t>
  </si>
  <si>
    <t>GSE20484_MCSG_VS_CXCL4_MONOCYTE_DERIVED_MACROPHAGE_DN</t>
  </si>
  <si>
    <t>9046;11309;713;714;10875;6039;8530;3113;2359;6776;1235;4050;441168</t>
  </si>
  <si>
    <t>DOK2;SLCO2B1;C1QB;C1QC;FGL2;RNASE6;CST7;HLA-DPA1;FPR3;STAT5A;CCR6;LTB;CALHM6</t>
  </si>
  <si>
    <t>http://www.broadinstitute.org/gsea/msigdb/cards/GSE20484_MCSG_VS_CXCL4_MONOCYTE_DERIVED_MACROPHAGE_DN.html</t>
  </si>
  <si>
    <t>GSE16450_CTRL_VS_IFNA_6H_STIM_MATURE_NEURON_CELL_LINE_UP</t>
  </si>
  <si>
    <t>3559;1536;1493;942;29851;3112;5816;729230;55911;2529;8809;84230;9806</t>
  </si>
  <si>
    <t>IL2RA;CYBB;CTLA4;CD86;ICOS;HLA-DOB;PVALB;CCR2;APOBR;FUT7;IL18R1;LRRC8C;SPOCK2</t>
  </si>
  <si>
    <t>http://www.broadinstitute.org/gsea/msigdb/cards/GSE16450_CTRL_VS_IFNA_6H_STIM_MATURE_NEURON_CELL_LINE_UP.html</t>
  </si>
  <si>
    <t>GSE21379_WT_VS_SAP_KO_CD4_TCELL_DN</t>
  </si>
  <si>
    <t>5579;3662;79930;54899;51296;114836;26051;55303;4094;57823;22806;11217;27240</t>
  </si>
  <si>
    <t>PRKCB;IRF4;DOK3;PXK;SLC15A3;SLAMF6;PPP1R16B;GIMAP4;MAF;SLAMF7;IKZF3;AKAP2;SIT1</t>
  </si>
  <si>
    <t>http://www.broadinstitute.org/gsea/msigdb/cards/GSE21379_WT_VS_SAP_KO_CD4_TCELL_DN.html</t>
  </si>
  <si>
    <t>GSE22935_24H_VS_48H_MBOVIS_BCG_STIM_MYD88_KO_MACROPHAGE_UP</t>
  </si>
  <si>
    <t>3687;7453;4354;3587;1794;730249;1435;9363;116071;64581;51063;1522;11217</t>
  </si>
  <si>
    <t>ITGAX;WARS;MPP1;IL10RA;DOCK2;ACOD1;CSF1;RAB33A;BATF2;CLEC7A;CALHM2;CTSZ;AKAP2</t>
  </si>
  <si>
    <t>http://www.broadinstitute.org/gsea/msigdb/cards/GSE22935_24H_VS_48H_MBOVIS_BCG_STIM_MYD88_KO_MACROPHAGE_UP.html</t>
  </si>
  <si>
    <t>GSE22432_CONVENTIONAL_CDC_VS_PLASMACYTOID_PDC_DN</t>
  </si>
  <si>
    <t>9450;3594;6890;4689;115361;4064;56833;51225;8530;3111;6891;3824;10672</t>
  </si>
  <si>
    <t>LY86;IL12RB1;TAP1;NCF4;GBP4;CD180;SLAMF8;ABI3;CST7;HLA-DOA;TAP2;KLRD1;GNA13</t>
  </si>
  <si>
    <t>http://www.broadinstitute.org/gsea/msigdb/cards/GSE22432_CONVENTIONAL_CDC_VS_PLASMACYTOID_PDC_DN.html</t>
  </si>
  <si>
    <t>GSE22919_RESTING_VS_IL2_IL12_IL15_STIM_NK_CELL_DN</t>
  </si>
  <si>
    <t>9450;5788;653361;2124;2313;219972;81704;64333;7099;3112;80709;4215;83937</t>
  </si>
  <si>
    <t>LY86;PTPRC;NCF1;EVI2B;FLI1;MPEG1;DOCK8;ARHGAP9;TLR4;HLA-DOB;AKNA;MAP3K3;RASSF4</t>
  </si>
  <si>
    <t>http://www.broadinstitute.org/gsea/msigdb/cards/GSE22919_RESTING_VS_IL2_IL12_IL15_STIM_NK_CELL_DN.html</t>
  </si>
  <si>
    <t>GSE24210_IL35_TREATED_VS_UNTREATED_TCONV_CD4_TCELL_DN</t>
  </si>
  <si>
    <t>3458;3932;653361;255231;117289;27299;8530;348;1435;5816;203100;4033;5133</t>
  </si>
  <si>
    <t>IFNG;LCK;NCF1;MCOLN2;TAGAP;ADAMDEC1;CST7;APOE;CSF1;PVALB;HTRA4;LRMP;PDCD1</t>
  </si>
  <si>
    <t>http://www.broadinstitute.org/gsea/msigdb/cards/GSE24210_IL35_TREATED_VS_UNTREATED_TCONV_CD4_TCELL_DN.html</t>
  </si>
  <si>
    <t>GSE23505_UNTREATED_VS_4DAY_IL6_IL1_IL23_TREATED_CD4_TCELL_UP</t>
  </si>
  <si>
    <t>7456;9535;3627;972;10875;55843;474344;23048;80380;9034;3111;4261;4050</t>
  </si>
  <si>
    <t>WIPF1;GMFG;CXCL10;CD74;FGL2;ARHGAP15;GIMAP6;FNBP1;PDCD1LG2;CCRL2;HLA-DOA;CIITA;LTB</t>
  </si>
  <si>
    <t>http://www.broadinstitute.org/gsea/msigdb/cards/GSE23505_UNTREATED_VS_4DAY_IL6_IL1_IL23_TREATED_CD4_TCELL_UP.html</t>
  </si>
  <si>
    <t>GSE16385_UNTREATED_VS_12H_ROSIGLITAZONE_IFNG_TNF_TREATED_MACROPHAGE_UP</t>
  </si>
  <si>
    <t>6351;7133;2123;1233;2672;80380;29909;366;596;356;11010;969;29126</t>
  </si>
  <si>
    <t>CCL4;TNFRSF1B;EVI2A;CCR4;GFI1;PDCD1LG2;GPR171;AQP9;BCL2;FASLG;GLIPR1;CD69;CD274</t>
  </si>
  <si>
    <t>http://www.broadinstitute.org/gsea/msigdb/cards/GSE16385_UNTREATED_VS_12H_ROSIGLITAZONE_IFNG_TNF_TREATED_MACROPHAGE_UP.html</t>
  </si>
  <si>
    <t>GSE17301_IFNA2_VS_IFNA5_STIM_ACD3_ACD28_ACT_CD8_TCELL_UP</t>
  </si>
  <si>
    <t>27334;919;1236;53347;64092;80342;4049;3059;814;90634;10235;9806;64747</t>
  </si>
  <si>
    <t>P2RY10;CD247;CCR7;UBASH3A;SAMSN1;TRAF3IP3;LTA;HCLS1;CAMK4;N4BP2L1;RASGRP2;SPOCK2;MFSD1</t>
  </si>
  <si>
    <t>http://www.broadinstitute.org/gsea/msigdb/cards/GSE17301_IFNA2_VS_IFNA5_STIM_ACD3_ACD28_ACT_CD8_TCELL_UP.html</t>
  </si>
  <si>
    <t>GSE19941_IL10_KO_VS_IL10_KO_AND_NFKBP50_KO_LPS_STIM_MACROPHAGE_DN</t>
  </si>
  <si>
    <t>4068;1536;917;6351;919;10225;50852;124460;84174;5133;597;57589;100506736</t>
  </si>
  <si>
    <t>SH2D1A;CYBB;CD3G;CCL4;CD247;CD96;TRAT1;SNX20;SLA2;PDCD1;BCL2A1;RIC1;SLFN12L</t>
  </si>
  <si>
    <t>http://www.broadinstitute.org/gsea/msigdb/cards/GSE19941_IL10_KO_VS_IL10_KO_AND_NFKBP50_KO_LPS_STIM_MACROPHAGE_DN.html</t>
  </si>
  <si>
    <t>GSE19941_UNSTIM_VS_LPS_STIM_IL10_KO_MACROPHAGE_UP</t>
  </si>
  <si>
    <t>340152;4242;714;929;940;941;7805;124460;8477;57105;51225;3824;57705</t>
  </si>
  <si>
    <t>ZC3H12D;MFNG;C1QC;CD14;CD28;CD80;LAPTM5;SNX20;GPR65;CYSLTR2;ABI3;KLRD1;WDFY4</t>
  </si>
  <si>
    <t>http://www.broadinstitute.org/gsea/msigdb/cards/GSE19941_UNSTIM_VS_LPS_STIM_IL10_KO_MACROPHAGE_UP.html</t>
  </si>
  <si>
    <t>GSE19941_LPS_VS_LPS_AND_IL10_STIM_IL10_KO_NFKBP50_KO_MACROPHAGE_UP</t>
  </si>
  <si>
    <t>27334;925;3695;5294;3394;6404;26051;51225;6373;4094;2113;84230;4644</t>
  </si>
  <si>
    <t>P2RY10;CD8A;ITGB7;PIK3CG;IRF8;SELPLG;PPP1R16B;ABI3;CXCL11;MAF;ETS1;LRRC8C;MYO5A</t>
  </si>
  <si>
    <t>http://www.broadinstitute.org/gsea/msigdb/cards/GSE19941_LPS_VS_LPS_AND_IL10_STIM_IL10_KO_NFKBP50_KO_MACROPHAGE_UP.html</t>
  </si>
  <si>
    <t>GSE26488_HDAC7_KO_VS_VP16_TRANSGENIC_HDAC7_KO_DOUBLE_POSITIVE_THYMOCYTE_DN</t>
  </si>
  <si>
    <t>9595;3575;1439;941;55589;9056;8320;3111;526;3109;1235;3604;10148</t>
  </si>
  <si>
    <t>CYTIP;IL7R;CSF2RB;CD80;BMP2K;SLC7A7;EOMES;HLA-DOA;ATP6V1B2;HLA-DMB;CCR6;TNFRSF9;EBI3</t>
  </si>
  <si>
    <t>http://www.broadinstitute.org/gsea/msigdb/cards/GSE26488_HDAC7_KO_VS_VP16_TRANSGENIC_HDAC7_KO_DOUBLE_POSITIVE_THYMOCYTE_DN.html</t>
  </si>
  <si>
    <t>GSE21063_CTRL_VS_ANTI_IGM_STIM_BCELL_16H_DN</t>
  </si>
  <si>
    <t>3937;399;374403;1794;64092;55303;3002;3718;2529;3824;597;116071;79690</t>
  </si>
  <si>
    <t>LCP2;RHOH;TBC1D10C;DOCK2;SAMSN1;GIMAP4;GZMB;JAK3;FUT7;KLRD1;BCL2A1;BATF2;GAL3ST4</t>
  </si>
  <si>
    <t>http://www.broadinstitute.org/gsea/msigdb/cards/GSE21063_CTRL_VS_ANTI_IGM_STIM_BCELL_16H_DN.html</t>
  </si>
  <si>
    <t>GSE21063_WT_VS_NFATC1_KO_8H_ANTI_IGM_STIM_BCELL_UP</t>
  </si>
  <si>
    <t>259197;5579;3001;3683;3695;9744;4689;1794;51744;1435;526;3109;729230</t>
  </si>
  <si>
    <t>NCR3;PRKCB;GZMA;ITGAL;ITGB7;ACAP1;NCF4;DOCK2;CD244;CSF1;ATP6V1B2;HLA-DMB;CCR2</t>
  </si>
  <si>
    <t>http://www.broadinstitute.org/gsea/msigdb/cards/GSE21063_WT_VS_NFATC1_KO_8H_ANTI_IGM_STIM_BCELL_UP.html</t>
  </si>
  <si>
    <t>GSE28726_NAIVE_CD4_TCELL_VS_NAIVE_VA24NEG_NKTCELL_DN</t>
  </si>
  <si>
    <t>10663;11309;3689;951;11151;1236;10871;9744;54;1237;10235;8605;27240</t>
  </si>
  <si>
    <t>CXCR6;SLCO2B1;ITGB2;CD37;CORO1A;CCR7;CD300C;ACAP1;ACP5;CCR8;RASGRP2;PLA2G4C;SIT1</t>
  </si>
  <si>
    <t>http://www.broadinstitute.org/gsea/msigdb/cards/GSE28726_NAIVE_CD4_TCELL_VS_NAIVE_VA24NEG_NKTCELL_DN.html</t>
  </si>
  <si>
    <t>GSE24574_BCL6_HIGH_VS_LOW_TFH_CD4_TCELL_DN</t>
  </si>
  <si>
    <t>7453;2633;3937;8530;4049;3956;3902;2999;7185;8809;597;4818;27240</t>
  </si>
  <si>
    <t>WARS;GBP1;LCP2;CST7;LTA;LGALS1;LAG3;GZMH;TRAF1;IL18R1;BCL2A1;NKG7;SIT1</t>
  </si>
  <si>
    <t>http://www.broadinstitute.org/gsea/msigdb/cards/GSE24574_BCL6_HIGH_VS_LOW_TFH_CD4_TCELL_DN.html</t>
  </si>
  <si>
    <t>GSE28449_WT_VS_LRF_KO_GERMINAL_CENTER_BCELL_UP</t>
  </si>
  <si>
    <t>3560;7133;8832;6373;1102;56253;921;1508;4688;2359;1230;4973;23312</t>
  </si>
  <si>
    <t>IL2RB;TNFRSF1B;CD84;CXCL11;RCBTB2;CRTAM;CD5;CTSB;NCF2;FPR3;CCR1;OLR1;DMXL2</t>
  </si>
  <si>
    <t>http://www.broadinstitute.org/gsea/msigdb/cards/GSE28449_WT_VS_LRF_KO_GERMINAL_CENTER_BCELL_UP.html</t>
  </si>
  <si>
    <t>GSE28783_ANTI_MIR33_VS_UNTREATED_ATHEROSCLEROSIS_MACROPHAGE_DN</t>
  </si>
  <si>
    <t>925;2124;3820;3937;3587;10875;366;926;6402;4688;1230;6503;8605</t>
  </si>
  <si>
    <t>CD8A;EVI2B;KLRB1;LCP2;IL10RA;FGL2;AQP9;CD8B;SELL;NCF2;CCR1;SLA;PLA2G4C</t>
  </si>
  <si>
    <t>http://www.broadinstitute.org/gsea/msigdb/cards/GSE28783_ANTI_MIR33_VS_UNTREATED_ATHEROSCLEROSIS_MACROPHAGE_DN.html</t>
  </si>
  <si>
    <t>GSE29949_MICROGLIA_BRAIN_VS_MONOCYTE_BONE_MARROW_UP</t>
  </si>
  <si>
    <t>9450;941;3587;11006;26051;2672;1435;926;6402;4688;3290;11009;3824</t>
  </si>
  <si>
    <t>LY86;CD80;IL10RA;LILRB4;PPP1R16B;GFI1;CSF1;CD8B;SELL;NCF2;HSD11B1;IL24;KLRD1</t>
  </si>
  <si>
    <t>http://www.broadinstitute.org/gsea/msigdb/cards/GSE29949_MICROGLIA_BRAIN_VS_MONOCYTE_BONE_MARROW_UP.html</t>
  </si>
  <si>
    <t>GSE29949_CD8_NEG_DC_SPLEEN_VS_DC_BRAIN_DN</t>
  </si>
  <si>
    <t>11309;914;962;6036;923;6504;399;10666;8477;3717;1102;7185;7941</t>
  </si>
  <si>
    <t>SLCO2B1;CD2;CD48;RNASE2;CD6;SLAMF1;RHOH;CD226;GPR65;JAK2;RCBTB2;TRAF1;PLA2G7</t>
  </si>
  <si>
    <t>http://www.broadinstitute.org/gsea/msigdb/cards/GSE29949_CD8_NEG_DC_SPLEEN_VS_DC_BRAIN_DN.html</t>
  </si>
  <si>
    <t>GSE30153_LUPUS_VS_HEALTHY_DONOR_BCELL_UP</t>
  </si>
  <si>
    <t>3627;2124;4332;1233;50852;9332;56253;4049;729230;4050;3604;10457;4644</t>
  </si>
  <si>
    <t>CXCL10;EVI2B;MNDA;CCR4;TRAT1;CD163;CRTAM;LTA;CCR2;LTB;TNFRSF9;GPNMB;MYO5A</t>
  </si>
  <si>
    <t>http://www.broadinstitute.org/gsea/msigdb/cards/GSE30153_LUPUS_VS_HEALTHY_DONOR_BCELL_UP.html</t>
  </si>
  <si>
    <t>GSE24814_STAT5_KO_VS_WT_PRE_BCELL_DN</t>
  </si>
  <si>
    <t>940;313;4354;2313;3587;8530;6793;924;5552;3002;9938;10457;597</t>
  </si>
  <si>
    <t>CD28;AOAH;MPP1;FLI1;IL10RA;CST7;STK10;CD7;SRGN;GZMB;ARHGAP25;GPNMB;BCL2A1</t>
  </si>
  <si>
    <t>http://www.broadinstitute.org/gsea/msigdb/cards/GSE24814_STAT5_KO_VS_WT_PRE_BCELL_DN.html</t>
  </si>
  <si>
    <t>GSE29164_CD8_TCELL_VS_CD8_TCELL_AND_IL12_TREATED_MELANOMA_DAY3_DN</t>
  </si>
  <si>
    <t>9595;9402;919;3695;1236;2014;8514;56253;921;6402;10235;10077;59345</t>
  </si>
  <si>
    <t>CYTIP;GRAP2;CD247;ITGB7;CCR7;EMP3;KCNAB2;CRTAM;CD5;SELL;RASGRP2;TSPAN32;GNB4</t>
  </si>
  <si>
    <t>http://www.broadinstitute.org/gsea/msigdb/cards/GSE29164_CD8_TCELL_VS_CD8_TCELL_AND_IL12_TREATED_MELANOMA_DAY3_DN.html</t>
  </si>
  <si>
    <t>GSE33374_CD8_ALPHAALPHA_VS_ALPHABETA_CD161_HIGH_TCELL_UP</t>
  </si>
  <si>
    <t>9402;920;925;714;972;914;923;1236;926;6402;943;6363;27240</t>
  </si>
  <si>
    <t>GRAP2;CD4;CD8A;C1QC;CD74;CD2;CD6;CCR7;CD8B;SELL;TNFRSF8;CCL19;SIT1</t>
  </si>
  <si>
    <t>http://www.broadinstitute.org/gsea/msigdb/cards/GSE33374_CD8_ALPHAALPHA_VS_ALPHABETA_CD161_HIGH_TCELL_UP.html</t>
  </si>
  <si>
    <t>GSE26030_UNSTIM_VS_RESTIM_TH17_DAY5_POST_POLARIZATION_DN</t>
  </si>
  <si>
    <t>6351;3662;10666;366;3936;2113;4688;3290;7185;6503;27314;54518;29126</t>
  </si>
  <si>
    <t>CCL4;IRF4;CD226;AQP9;LCP1;ETS1;NCF2;HSD11B1;TRAF1;SLA;RAB30;APBB1IP;CD274</t>
  </si>
  <si>
    <t>http://www.broadinstitute.org/gsea/msigdb/cards/GSE26030_UNSTIM_VS_RESTIM_TH17_DAY5_POST_POLARIZATION_DN.html</t>
  </si>
  <si>
    <t>GSE27859_MACROPHAGE_VS_CD11C_INT_F480_HI_MACROPHAGE_UP</t>
  </si>
  <si>
    <t>5341;3659;3937;80301;114548;115362;2672;58484;969;6503;118788;54518</t>
  </si>
  <si>
    <t>PLEK;IRF1;LCP2;PLEKHO2;NLRP3;GBP5;GFI1;NLRC4;CD69;SLA;PIK3AP1;APBB1IP</t>
  </si>
  <si>
    <t>http://www.broadinstitute.org/gsea/msigdb/cards/GSE27859_MACROPHAGE_VS_CD11C_INT_F480_HI_MACROPHAGE_UP.html</t>
  </si>
  <si>
    <t>GSE32986_CURDLAN_HIGHDOSE_VS_GMCSF_AND_CURDLAN_HIGHDOSE_STIM_DC_UP</t>
  </si>
  <si>
    <t>9404;3603;64333;9056;23228;7099;27306;1102;5376;79895;79630;9754;10507</t>
  </si>
  <si>
    <t>LPXN;IL16;ARHGAP9;SLC7A7;PLCL2;TLR4;HPGDS;RCBTB2;PMP22;ATP8B4;C1orf54;STARD8;SEMA4D</t>
  </si>
  <si>
    <t>http://www.broadinstitute.org/gsea/msigdb/cards/GSE32986_CURDLAN_HIGHDOSE_VS_GMCSF_AND_CURDLAN_HIGHDOSE_STIM_DC_UP.html</t>
  </si>
  <si>
    <t>GSE35825_IFNA_VS_IFNG_STIM_MACROPHAGE_DN</t>
  </si>
  <si>
    <t>54440;79626;283897;8477;55016;89857;64333;55589;729230;27163;90634;85464;10462</t>
  </si>
  <si>
    <t>SASH3;TNFAIP8L2;C16orf54;GPR65;MARCH1;KLHL6;ARHGAP9;BMP2K;CCR2;NAAA;N4BP2L1;SSH2;CLEC10A</t>
  </si>
  <si>
    <t>http://www.broadinstitute.org/gsea/msigdb/cards/GSE35825_IFNA_VS_IFNG_STIM_MACROPHAGE_DN.html</t>
  </si>
  <si>
    <t>GSE37605_C57BL6_VS_NOD_FOXP3_IRES_GFP_TREG_DN</t>
  </si>
  <si>
    <t>10663;7456;962;5734;6772;4689;170575;30009;2857;366;4049;9815;90634</t>
  </si>
  <si>
    <t>CXCR6;WIPF1;CD48;PTGER4;STAT1;NCF4;GIMAP1;TBX21;GPR34;AQP9;LTA;GIT2;N4BP2L1</t>
  </si>
  <si>
    <t>http://www.broadinstitute.org/gsea/msigdb/cards/GSE37605_C57BL6_VS_NOD_FOXP3_IRES_GFP_TREG_DN.html</t>
  </si>
  <si>
    <t>GSE37301_COMMON_LYMPHOID_PROGENITOR_VS_RAG2_KO_NK_CELL_UP</t>
  </si>
  <si>
    <t>9051;8676;713;3689;914;919;959;55340;10154;3274;8809;206358;55803</t>
  </si>
  <si>
    <t>PSTPIP1;STX11;C1QB;ITGB2;CD2;CD247;CD40LG;GIMAP5;PLXNC1;HRH2;IL18R1;SLC36A1;ADAP2</t>
  </si>
  <si>
    <t>http://www.broadinstitute.org/gsea/msigdb/cards/GSE37301_COMMON_LYMPHOID_PROGENITOR_VS_RAG2_KO_NK_CELL_UP.html</t>
  </si>
  <si>
    <t>GSE37301_HEMATOPOIETIC_STEM_CELL_VS_RAG2_KO_NK_CELL_UP</t>
  </si>
  <si>
    <t>340152;4068;9402;915;653361;944;6772;3903;115362;3737;4050;81553</t>
  </si>
  <si>
    <t>ZC3H12D;SH2D1A;GRAP2;CD3D;NCF1;TNFSF8;STAT1;LAIR1;GBP5;KCNA2;LTB;FAM49A</t>
  </si>
  <si>
    <t>http://www.broadinstitute.org/gsea/msigdb/cards/GSE37301_HEMATOPOIETIC_STEM_CELL_VS_RAG2_KO_NK_CELL_UP.html</t>
  </si>
  <si>
    <t>GSE37532_WT_VS_PPARG_KO_LN_TCONV_UP</t>
  </si>
  <si>
    <t>3689;917;940;3676;1493;10225;114836;53346;29909;4688;90634;55619;54861</t>
  </si>
  <si>
    <t>ITGB2;CD3G;CD28;ITGA4;CTLA4;CD96;SLAMF6;TM6SF1;GPR171;NCF2;N4BP2L1;DOCK10;SNRK</t>
  </si>
  <si>
    <t>http://www.broadinstitute.org/gsea/msigdb/cards/GSE37532_WT_VS_PPARG_KO_LN_TCONV_UP.html</t>
  </si>
  <si>
    <t>962;3659;2209;1234;3587;399;83706;64231;51284;4066;4360;54518;23166</t>
  </si>
  <si>
    <t>CD48;IRF1;FCGR1A;CCR5;IL10RA;RHOH;FERMT3;MS4A6A;TLR7;LYL1;MRC1;APBB1IP;STAB1</t>
  </si>
  <si>
    <t>http://www.broadinstitute.org/gsea/msigdb/cards/GSE32034_LY6C_HIGH_VS_LOW_ROSIGLIZATONE_TREATED_MONOCYTE_UP.html</t>
  </si>
  <si>
    <t>GSE40274_FOXP3_VS_FOXP3_AND_PBX1_TRANSDUCED_ACTIVATED_CD4_TCELL_DN</t>
  </si>
  <si>
    <t>340152;653361;1236;944;387357;19;4049;3108;6776;1235;91010;55013;11217</t>
  </si>
  <si>
    <t>ZC3H12D;NCF1;CCR7;TNFSF8;THEMIS;ABCA1;LTA;HLA-DMA;STAT5A;CCR6;FMNL3;MCUB;AKAP2</t>
  </si>
  <si>
    <t>http://www.broadinstitute.org/gsea/msigdb/cards/GSE40274_FOXP3_VS_FOXP3_AND_PBX1_TRANSDUCED_ACTIVATED_CD4_TCELL_DN.html</t>
  </si>
  <si>
    <t>GSE40443_INDUCED_VS_TOTAL_TREG_UP</t>
  </si>
  <si>
    <t>4068;3683;1233;6504;9459;84636;53346;2162;3109;814;91010;51762;25939</t>
  </si>
  <si>
    <t>SH2D1A;ITGAL;CCR4;SLAMF1;ARHGEF6;GPR174;TM6SF1;F13A1;HLA-DMB;CAMK4;FMNL3;RAB8B;SAMHD1</t>
  </si>
  <si>
    <t>http://www.broadinstitute.org/gsea/msigdb/cards/GSE40443_INDUCED_VS_TOTAL_TREG_UP.html</t>
  </si>
  <si>
    <t>GSE40666_WT_VS_STAT1_KO_CD8_TCELL_DN</t>
  </si>
  <si>
    <t>4068;7133;4689;115361;53346;80231;9034;4094;8530;5552;10437;55911;55281</t>
  </si>
  <si>
    <t>SH2D1A;TNFRSF1B;NCF4;GBP4;TM6SF1;CXorf21;CCRL2;MAF;CST7;SRGN;IFI30;APOBR;TMEM140</t>
  </si>
  <si>
    <t>http://www.broadinstitute.org/gsea/msigdb/cards/GSE40666_WT_VS_STAT1_KO_CD8_TCELL_DN.html</t>
  </si>
  <si>
    <t>GSE40666_WT_VS_STAT1_KO_CD8_TCELL_WITH_IFNA_STIM_90MIN_UP</t>
  </si>
  <si>
    <t>5551;4689;170371;79626;55589;2857;56253;3290;8905;55911;90634;168537;145581</t>
  </si>
  <si>
    <t>PRF1;NCF4;TMEM273;TNFAIP8L2;BMP2K;GPR34;CRTAM;HSD11B1;AP1S2;APOBR;N4BP2L1;GIMAP7;LRFN5</t>
  </si>
  <si>
    <t>http://www.broadinstitute.org/gsea/msigdb/cards/GSE40666_WT_VS_STAT1_KO_CD8_TCELL_WITH_IFNA_STIM_90MIN_UP.html</t>
  </si>
  <si>
    <t>GSE40666_UNTREATED_VS_IFNA_STIM_STAT4_KO_EFFECTOR_CD8_TCELL_90MIN_DN</t>
  </si>
  <si>
    <t>9402;1236;3394;7805;124535;348378;151888;128346;115361;55589;4208;79865;59345</t>
  </si>
  <si>
    <t>GRAP2;CCR7;IRF8;LAPTM5;HSF5;SHISAL2A;BTLA;C1orf162;GBP4;BMP2K;MEF2C;TREML2;GNB4</t>
  </si>
  <si>
    <t>http://www.broadinstitute.org/gsea/msigdb/cards/GSE40666_UNTREATED_VS_IFNA_STIM_STAT4_KO_EFFECTOR_CD8_TCELL_90MIN_DN.html</t>
  </si>
  <si>
    <t>GSE40068_BCL6_POS_VS_NEG_CXCR5_POS_TFH_UP</t>
  </si>
  <si>
    <t>2268;1234;3662;3003;3718;8905;8809;5133;118788;151556;51762;116442;55281</t>
  </si>
  <si>
    <t>FGR;CCR5;IRF4;GZMK;JAK3;AP1S2;IL18R1;PDCD1;PIK3AP1;GPR155;RAB8B;RAB39B;TMEM140</t>
  </si>
  <si>
    <t>http://www.broadinstitute.org/gsea/msigdb/cards/GSE40068_BCL6_POS_VS_NEG_CXCR5_POS_TFH_UP.html</t>
  </si>
  <si>
    <t>GSE40068_CXCR5NEG_BCL6NEG_CD4_TCELL_VS_CXCR5POS_BCL6NEG_TFH_UP</t>
  </si>
  <si>
    <t>9046;3559;1493;2207;941;1435;3290;729230;3003;8905;27163;168537;55281</t>
  </si>
  <si>
    <t>DOK2;IL2RA;CTLA4;FCER1G;CD80;CSF1;HSD11B1;CCR2;GZMK;AP1S2;NAAA;GIMAP7;TMEM140</t>
  </si>
  <si>
    <t>http://www.broadinstitute.org/gsea/msigdb/cards/GSE40068_CXCR5NEG_BCL6NEG_CD4_TCELL_VS_CXCR5POS_BCL6NEG_TFH_UP.html</t>
  </si>
  <si>
    <t>GSE11961_FOLLICULAR_BCELL_VS_GERMINAL_CENTER_BCELL_DAY40_UP</t>
  </si>
  <si>
    <t>3689;5579;3932;914;971;79626;124460;57580;114836;9363;80821;81553;51063</t>
  </si>
  <si>
    <t>ITGB2;PRKCB;LCK;CD2;CD72;TNFAIP8L2;SNX20;PREX1;SLAMF6;RAB33A;DDHD1;FAM49A;CALHM2</t>
  </si>
  <si>
    <t>http://www.broadinstitute.org/gsea/msigdb/cards/GSE11961_FOLLICULAR_BCELL_VS_GERMINAL_CENTER_BCELL_DAY40_UP.html</t>
  </si>
  <si>
    <t>GSE11961_MARGINAL_ZONE_BCELL_VS_MEMORY_BCELL_DAY40_UP</t>
  </si>
  <si>
    <t>2214;653361;6688;55589;3988;54331;27163;55911;441168;150771;57705;59345;55803</t>
  </si>
  <si>
    <t>FCGR3A;NCF1;SPI1;BMP2K;LIPA;GNG2;NAAA;APOBR;CALHM6;ITPRIPL1;WDFY4;GNB4;ADAP2</t>
  </si>
  <si>
    <t>http://www.broadinstitute.org/gsea/msigdb/cards/GSE11961_MARGINAL_ZONE_BCELL_VS_MEMORY_BCELL_DAY40_UP.html</t>
  </si>
  <si>
    <t>GSE11961_MARGINAL_ZONE_BCELL_VS_MEMORY_BCELL_DAY40_DN</t>
  </si>
  <si>
    <t>940;6351;919;3394;286336;139716;1240;84636;29909;3956;2113;151556;79895</t>
  </si>
  <si>
    <t>CD28;CCL4;CD247;IRF8;FAM78A;GAB3;CMKLR1;GPR174;GPR171;LGALS1;ETS1;GPR155;ATP8B4</t>
  </si>
  <si>
    <t>http://www.broadinstitute.org/gsea/msigdb/cards/GSE11961_MARGINAL_ZONE_BCELL_VS_MEMORY_BCELL_DAY40_DN.html</t>
  </si>
  <si>
    <t>GSE11961_FOLLICULAR_BCELL_VS_MARGINAL_ZONE_BCELL_UP</t>
  </si>
  <si>
    <t>22797;7305;114836;58475;80231;924;4688;1601;4208;89846;151556;84106;64805</t>
  </si>
  <si>
    <t>TFEC;TYROBP;SLAMF6;MS4A7;CXorf21;CD7;NCF2;DAB2;MEF2C;FGD3;GPR155;PRAM1;P2RY12</t>
  </si>
  <si>
    <t>http://www.broadinstitute.org/gsea/msigdb/cards/GSE11961_FOLLICULAR_BCELL_VS_MARGINAL_ZONE_BCELL_UP.html</t>
  </si>
  <si>
    <t>GSE11961_PLASMA_CELL_DAY7_VS_MEMORY_BCELL_DAY40_UP</t>
  </si>
  <si>
    <t>9046;9595;940;963;971;4063;9034;27299;5452;526;1230;3824;51466</t>
  </si>
  <si>
    <t>DOK2;CYTIP;CD28;CD53;CD72;LY9;CCRL2;ADAMDEC1;POU2F2;ATP6V1B2;CCR1;KLRD1;EVL</t>
  </si>
  <si>
    <t>http://www.broadinstitute.org/gsea/msigdb/cards/GSE11961_PLASMA_CELL_DAY7_VS_MEMORY_BCELL_DAY40_UP.html</t>
  </si>
  <si>
    <t>GSE39556_UNTREATED_VS_3H_POLYIC_INJ_MOUSE_NK_CELL_DN</t>
  </si>
  <si>
    <t>7940;6036;199;4354;3937;10288;9881;2357;6518;6776;4208;11027;23312</t>
  </si>
  <si>
    <t>LST1;RNASE2;AIF1;MPP1;LCP2;LILRB2;TRANK1;FPR1;SLC2A5;STAT5A;MEF2C;LILRA2;DMXL2</t>
  </si>
  <si>
    <t>http://www.broadinstitute.org/gsea/msigdb/cards/GSE39556_UNTREATED_VS_3H_POLYIC_INJ_MOUSE_NK_CELL_DN.html</t>
  </si>
  <si>
    <t>GSE41867_DAY6_VS_DAY15_LCMV_ARMSTRONG_EFFECTOR_CD8_TCELL_UP</t>
  </si>
  <si>
    <t>8676;3659;6352;5734;84166;255231;115362;259307;81030;353514;3003;597;53831</t>
  </si>
  <si>
    <t>STX11;IRF1;CCL5;PTGER4;NLRC5;MCOLN2;GBP5;IL4I1;ZBP1;LILRA5;GZMK;BCL2A1;GPR84</t>
  </si>
  <si>
    <t>http://www.broadinstitute.org/gsea/msigdb/cards/GSE41867_DAY6_VS_DAY15_LCMV_ARMSTRONG_EFFECTOR_CD8_TCELL_UP.html</t>
  </si>
  <si>
    <t>GSE41978_WT_VS_ID2_KO_AND_BIM_KO_KLRG1_LOW_EFFECTOR_CD8_TCELL_UP</t>
  </si>
  <si>
    <t>929;3659;93978;114836;3122;921;4688;2833;8905;2529;5133;54861;27240</t>
  </si>
  <si>
    <t>CD14;IRF1;CLEC6A;SLAMF6;HLA-DRA;CD5;NCF2;CXCR3;AP1S2;FUT7;PDCD1;SNRK;SIT1</t>
  </si>
  <si>
    <t>http://www.broadinstitute.org/gsea/msigdb/cards/GSE41978_WT_VS_ID2_KO_AND_BIM_KO_KLRG1_LOW_EFFECTOR_CD8_TCELL_UP.html</t>
  </si>
  <si>
    <t>GSE42021_TREG_PLN_VS_CD24LO_TREG_THYMUS_DN</t>
  </si>
  <si>
    <t>7305;51056;2633;5778;6772;6890;79930;9881;10437;1237;6891;54518;25939</t>
  </si>
  <si>
    <t>TYROBP;LAP3;GBP1;PTPN7;STAT1;TAP1;DOK3;TRANK1;IFI30;CCR8;TAP2;APBB1IP;SAMHD1</t>
  </si>
  <si>
    <t>http://www.broadinstitute.org/gsea/msigdb/cards/GSE42021_TREG_PLN_VS_CD24LO_TREG_THYMUS_DN.html</t>
  </si>
  <si>
    <t>GSE42021_CD24INT_VS_CD24LOW_TREG_THYMUS_UP</t>
  </si>
  <si>
    <t>11151;1234;3394;3702;4671;7805;3587;10875;719;2162;3363;8905;22806</t>
  </si>
  <si>
    <t>CORO1A;CCR5;IRF8;ITK;NAIP;LAPTM5;IL10RA;FGL2;C3AR1;F13A1;HTR7;AP1S2;IKZF3</t>
  </si>
  <si>
    <t>http://www.broadinstitute.org/gsea/msigdb/cards/GSE42021_CD24INT_VS_CD24LOW_TREG_THYMUS_UP.html</t>
  </si>
  <si>
    <t>GSE42021_CD24INT_VS_CD24LOW_TCONV_THYMUS_UP</t>
  </si>
  <si>
    <t>80833;3659;7453;51056;3394;4283;3702;51338;3717;10437;526;64747;55013</t>
  </si>
  <si>
    <t>APOL3;IRF1;WARS;LAP3;IRF8;CXCL9;ITK;MS4A4A;JAK2;IFI30;ATP6V1B2;MFSD1;MCUB</t>
  </si>
  <si>
    <t>http://www.broadinstitute.org/gsea/msigdb/cards/GSE42021_CD24INT_VS_CD24LOW_TCONV_THYMUS_UP.html</t>
  </si>
  <si>
    <t>GSE42021_TREG_PLN_VS_CD24INT_TREG_THYMUS_UP</t>
  </si>
  <si>
    <t>929;3937;255231;9056;730249;3717;3553;5552;4481;3586;6776;597;338339</t>
  </si>
  <si>
    <t>CD14;LCP2;MCOLN2;SLC7A7;ACOD1;JAK2;IL1B;SRGN;MSR1;IL10;STAT5A;BCL2A1;CLEC4D</t>
  </si>
  <si>
    <t>http://www.broadinstitute.org/gsea/msigdb/cards/GSE42021_TREG_PLN_VS_CD24INT_TREG_THYMUS_UP.html</t>
  </si>
  <si>
    <t>GSE27434_WT_VS_DNMT1_KO_TREG_DN</t>
  </si>
  <si>
    <t>9535;929;3659;942;4283;3937;255231;730249;3717;3553;5552;3586;338339</t>
  </si>
  <si>
    <t>GMFG;CD14;IRF1;CD86;CXCL9;LCP2;MCOLN2;ACOD1;JAK2;IL1B;SRGN;IL10;CLEC4D</t>
  </si>
  <si>
    <t>http://www.broadinstitute.org/gsea/msigdb/cards/GSE27434_WT_VS_DNMT1_KO_TREG_DN.html</t>
  </si>
  <si>
    <t>3055;940;5734;2313;3394;2213;6776;54331;4208;3604;91010;4215;23166</t>
  </si>
  <si>
    <t>HCK;CD28;PTGER4;FLI1;IRF8;FCGR2B;STAT5A;GNG2;MEF2C;TNFRSF9;FMNL3;MAP3K3;STAB1</t>
  </si>
  <si>
    <t>http://www.broadinstitute.org/gsea/msigdb/cards/GSE43955_TH0_VS_TGFB_IL6_IL23_TH17_ACT_CD4_TCELL_60H_DN.html</t>
  </si>
  <si>
    <t>GSE43863_LY6C_INT_CXCR5POS_VS_LY6C_LOW_CXCR5NEG_EFFECTOR_CD4_TCELL_UP</t>
  </si>
  <si>
    <t>27334;5579;653361;2322;64231;10154;596;6402;8809;10148;57589;83937;26279</t>
  </si>
  <si>
    <t>P2RY10;PRKCB;NCF1;FLT3;MS4A6A;PLXNC1;BCL2;SELL;IL18R1;EBI3;RIC1;RASSF4;PLA2G2D</t>
  </si>
  <si>
    <t>http://www.broadinstitute.org/gsea/msigdb/cards/GSE43863_LY6C_INT_CXCR5POS_VS_LY6C_LOW_CXCR5NEG_EFFECTOR_CD4_TCELL_UP.html</t>
  </si>
  <si>
    <t>GSE43863_TFH_VS_LY6C_INT_CXCR5POS_MEMORY_CD4_TCELL_UP</t>
  </si>
  <si>
    <t>3627;6352;3394;6890;6504;117289;58475;51284;30009;5552;10148;51762;55619</t>
  </si>
  <si>
    <t>CXCL10;CCL5;IRF8;TAP1;SLAMF1;TAGAP;MS4A7;TLR7;TBX21;SRGN;EBI3;RAB8B;DOCK10</t>
  </si>
  <si>
    <t>http://www.broadinstitute.org/gsea/msigdb/cards/GSE43863_TFH_VS_LY6C_INT_CXCR5POS_MEMORY_CD4_TCELL_UP.html</t>
  </si>
  <si>
    <t>GSE46606_IRF4HIGH_VS_IRF4MID_CD40L_IL2_IL5_DAY1_STIMULATED_BCELL_UP</t>
  </si>
  <si>
    <t>340152;54440;940;3662;139818;89857;11184;84174;51225;6793;2113;3824;84329</t>
  </si>
  <si>
    <t>ZC3H12D;SASH3;CD28;IRF4;DOCK11;KLHL6;MAP4K1;SLA2;ABI3;STK10;ETS1;KLRD1;HVCN1</t>
  </si>
  <si>
    <t>http://www.broadinstitute.org/gsea/msigdb/cards/GSE46606_IRF4HIGH_VS_IRF4MID_CD40L_IL2_IL5_DAY1_STIMULATED_BCELL_UP.html</t>
  </si>
  <si>
    <t>GSE41176_UNSTIM_VS_ANTI_IGM_STIM_BCELL_3H_DN</t>
  </si>
  <si>
    <t>2533;2124;4332;695;4671;11326;1043;25900;4033;64780;4215;51063;29125</t>
  </si>
  <si>
    <t>FYB1;EVI2B;MNDA;BTK;NAIP;VSIG4;CD52;IFFO1;LRMP;MICAL1;MAP3K3;CALHM2;C11orf21</t>
  </si>
  <si>
    <t>http://www.broadinstitute.org/gsea/msigdb/cards/GSE41176_UNSTIM_VS_ANTI_IGM_STIM_BCELL_3H_DN.html</t>
  </si>
  <si>
    <t>GSE41176_UNSTIM_VS_ANTI_IGM_STIM_TAK1_KO_BCELL_24H_DN</t>
  </si>
  <si>
    <t>3458;3055;2207;1439;7805;3903;64092;29992;9056;1508;2357;6363;7462</t>
  </si>
  <si>
    <t>IFNG;HCK;FCER1G;CSF2RB;LAPTM5;LAIR1;SAMSN1;PILRA;SLC7A7;CTSB;FPR1;CCL19;LAT2</t>
  </si>
  <si>
    <t>http://www.broadinstitute.org/gsea/msigdb/cards/GSE41176_UNSTIM_VS_ANTI_IGM_STIM_TAK1_KO_BCELL_24H_DN.html</t>
  </si>
  <si>
    <t>915;5579;51056;944;286336;151888;221188;8320;6402;2833;4050;51466</t>
  </si>
  <si>
    <t>CD3D;PRKCB;LAP3;TNFSF8;FAM78A;BTLA;ADGRG5;EOMES;SELL;CXCR3;LTB;EVL</t>
  </si>
  <si>
    <t>http://www.broadinstitute.org/gsea/msigdb/cards/GSE3720_UNSTIM_VS_PMA_STIM_VD2_GAMMADELTA_TCELL_UP.html</t>
  </si>
  <si>
    <t>4542;9595;7805;399;81704;4063;30009;9034;3059;2113;2833;283316</t>
  </si>
  <si>
    <t>MYO1F;CYTIP;LAPTM5;RHOH;DOCK8;LY9;TBX21;CCRL2;HCLS1;ETS1;CXCR3;CD163L1</t>
  </si>
  <si>
    <t>http://www.broadinstitute.org/gsea/msigdb/cards/GSE40274_IRF4_VS_FOXP3_AND_IRF4_TRANSDUCED_ACTIVATED_CD4_TCELL_UP.html</t>
  </si>
  <si>
    <t>951;3695;11151;391;399;79930;11184;64407;3956;4033;7185;132160</t>
  </si>
  <si>
    <t>CD37;ITGB7;CORO1A;RHOG;RHOH;DOK3;MAP4K1;RGS18;LGALS1;LRMP;TRAF1;PPM1M</t>
  </si>
  <si>
    <t>http://www.broadinstitute.org/gsea/msigdb/cards/GSE6259_DEC205_POS_DC_VS_CD8_TCELL_UP.html</t>
  </si>
  <si>
    <t>GSE32901_NAIVE_VS_TH17_ENRICHED_CD4_TCELL_DN</t>
  </si>
  <si>
    <t>1236;4354;6504;23048;64092;8564;3059;969;6503;814;118788;79630</t>
  </si>
  <si>
    <t>CCR7;MPP1;SLAMF1;FNBP1;SAMSN1;KMO;HCLS1;CD69;SLA;CAMK4;PIK3AP1;C1orf54</t>
  </si>
  <si>
    <t>http://www.broadinstitute.org/gsea/msigdb/cards/GSE32901_NAIVE_VS_TH17_ENRICHED_CD4_TCELL_DN.html</t>
  </si>
  <si>
    <t>GSE14699_NAIVE_VS_DELETIONAL_TOLERANCE_CD8_TCELL_UP</t>
  </si>
  <si>
    <t>3575;1236;944;10666;55843;50852;84166;256380;50615;54;79865</t>
  </si>
  <si>
    <t>IL7R;CCR7;TNFSF8;CD226;ARHGAP15;TRAT1;NLRC5;SCML4;IL21R;ACP5;TREML2</t>
  </si>
  <si>
    <t>http://www.broadinstitute.org/gsea/msigdb/cards/GSE14699_NAIVE_VS_DELETIONAL_TOLERANCE_CD8_TCELL_UP.html</t>
  </si>
  <si>
    <t>GSE6674_UNSTIM_VS_ANTI_IGM_STIM_BCELL_DN</t>
  </si>
  <si>
    <t>929;256380;30009;27033;3553;921;2811;3604;338339;10004</t>
  </si>
  <si>
    <t>CD14;SCML4;TBX21;ZBTB32;IL1B;CD5;GP1BA;TNFRSF9;CLEC4D;NAALADL1</t>
  </si>
  <si>
    <t>http://www.broadinstitute.org/gsea/msigdb/cards/GSE6674_UNSTIM_VS_ANTI_IGM_STIM_BCELL_DN.html</t>
  </si>
  <si>
    <t>GSE6259_33D1_POS_VS_DEC205_POS_FLT3L_INDUCED_SPLENIC_DC_DN</t>
  </si>
  <si>
    <t>5734;6772;8477;3635;64333;56659;9938;7462;81553;51063;55803;55691</t>
  </si>
  <si>
    <t>PTGER4;STAT1;GPR65;INPP5D;ARHGAP9;KCNK13;ARHGAP25;LAT2;FAM49A;CALHM2;ADAP2;FRMD4A</t>
  </si>
  <si>
    <t>http://www.broadinstitute.org/gsea/msigdb/cards/GSE6259_33D1_POS_VS_DEC205_POS_FLT3L_INDUCED_SPLENIC_DC_DN.html</t>
  </si>
  <si>
    <t>GSE26030_UNSTIM_VS_RESTIM_TH17_DAY5_POST_POLARIZATION_UP</t>
  </si>
  <si>
    <t>9595;963;5734;3937;6504;2672;23228;4094;5452;10148;51676;64919</t>
  </si>
  <si>
    <t>CYTIP;CD53;PTGER4;LCP2;SLAMF1;GFI1;PLCL2;MAF;POU2F2;EBI3;ASB2;BCL11B</t>
  </si>
  <si>
    <t>http://www.broadinstitute.org/gsea/msigdb/cards/GSE26030_UNSTIM_VS_RESTIM_TH17_DAY5_POST_POLARIZATION_UP.html</t>
  </si>
  <si>
    <t>GSE32255_WT_VS_JMJD2D_KNOCKDOWN_4H_LPS_STIM_DC_UP</t>
  </si>
  <si>
    <t>5579;5551;959;10871;256380;150372;23533;23228;29909;9363;79865</t>
  </si>
  <si>
    <t>PRKCB;PRF1;CD40LG;CD300C;SCML4;NFAM1;PIK3R5;PLCL2;GPR171;RAB33A;TREML2</t>
  </si>
  <si>
    <t>http://www.broadinstitute.org/gsea/msigdb/cards/GSE32255_WT_VS_JMJD2D_KNOCKDOWN_4H_LPS_STIM_DC_UP.html</t>
  </si>
  <si>
    <t>GSE37301_PRO_BCELL_VS_RAG2_KO_NK_CELL_UP</t>
  </si>
  <si>
    <t>1318;962;919;3594;80301;51393;3956;943;1230;10235;206358;55013</t>
  </si>
  <si>
    <t>SLC31A2;CD48;CD247;IL12RB1;PLEKHO2;TRPV2;LGALS1;TNFRSF8;CCR1;RASGRP2;SLC36A1;MCUB</t>
  </si>
  <si>
    <t>http://www.broadinstitute.org/gsea/msigdb/cards/GSE37301_PRO_BCELL_VS_RAG2_KO_NK_CELL_UP.html</t>
  </si>
  <si>
    <t>GSE32901_NAIVE_VS_TH1_CD4_TCELL_UP</t>
  </si>
  <si>
    <t>1436;3676;10225;3101;3603;286336;348378;387357;256380;203100</t>
  </si>
  <si>
    <t>CSF1R;ITGA4;CD96;HK3;IL16;FAM78A;SHISAL2A;THEMIS;SCML4;HTRA4</t>
  </si>
  <si>
    <t>http://www.broadinstitute.org/gsea/msigdb/cards/GSE32901_NAIVE_VS_TH1_CD4_TCELL_UP.html</t>
  </si>
  <si>
    <t>GSE40274_FOXP3_VS_FOXP3_AND_SATB1_TRANSDUCED_ACTIVATED_CD4_TCELL_UP</t>
  </si>
  <si>
    <t>712;714;2268;80896;27299;1621;10457;5027;55013;9033</t>
  </si>
  <si>
    <t>C1QA;C1QC;FGR;NPL;ADAMDEC1;DBH;GPNMB;P2RX7;MCUB;PKD2L1</t>
  </si>
  <si>
    <t>http://www.broadinstitute.org/gsea/msigdb/cards/GSE40274_FOXP3_VS_FOXP3_AND_SATB1_TRANSDUCED_ACTIVATED_CD4_TCELL_UP.html</t>
  </si>
  <si>
    <t>GSE9509_10MIN_VS_30MIN_LPS_AND_IL10_STIM_IL10_KO_MACROPHAGE_DN</t>
  </si>
  <si>
    <t>3932;3676;55016;2672;4049;5452;2357;5376;10507;81553;64747</t>
  </si>
  <si>
    <t>LCK;ITGA4;MARCH1;GFI1;LTA;POU2F2;FPR1;PMP22;SEMA4D;FAM49A;MFSD1</t>
  </si>
  <si>
    <t>http://www.broadinstitute.org/gsea/msigdb/cards/GSE9509_10MIN_VS_30MIN_LPS_AND_IL10_STIM_IL10_KO_MACROPHAGE_DN.html</t>
  </si>
  <si>
    <t>GSE4590_PRE_BCELL_VS_LARGE_PRE_BCELL_UP</t>
  </si>
  <si>
    <t>3627;6352;3937;151888;59067;57105;730249;969;91526;9754;59345</t>
  </si>
  <si>
    <t>CXCL10;CCL5;LCP2;BTLA;IL21;CYSLTR2;ACOD1;CD69;ANKRD44;STARD8;GNB4</t>
  </si>
  <si>
    <t>http://www.broadinstitute.org/gsea/msigdb/cards/GSE4590_PRE_BCELL_VS_LARGE_PRE_BCELL_UP.html</t>
  </si>
  <si>
    <t>GSE13547_CTRL_VS_ANTI_IGM_STIM_ZFX_KO_BCELL_12H_DN</t>
  </si>
  <si>
    <t>971;1236;286336;50852;221188;256380;152789;19;6402;79865;51466</t>
  </si>
  <si>
    <t>CD72;CCR7;FAM78A;TRAT1;ADGRG5;SCML4;JAKMIP1;ABCA1;SELL;TREML2;EVL</t>
  </si>
  <si>
    <t>http://www.broadinstitute.org/gsea/msigdb/cards/GSE13547_CTRL_VS_ANTI_IGM_STIM_ZFX_KO_BCELL_12H_DN.html</t>
  </si>
  <si>
    <t>GSE22342_CD11C_HIGH_VS_LOW_DECIDUAL_MACROPHAGES_DN</t>
  </si>
  <si>
    <t>1436;128346;146722;4063;8832;50856;2857;3117;4688;3109;6546;146850</t>
  </si>
  <si>
    <t>CSF1R;C1orf162;CD300LF;LY9;CD84;CLEC4A;GPR34;HLA-DQA1;NCF2;HLA-DMB;SLC8A1;PIK3R6</t>
  </si>
  <si>
    <t>http://www.broadinstitute.org/gsea/msigdb/cards/GSE22342_CD11C_HIGH_VS_LOW_DECIDUAL_MACROPHAGES_DN.html</t>
  </si>
  <si>
    <t>GSE15330_LYMPHOID_MULTIPOTENT_VS_MEGAKARYOCYTE_ERYTHROID_PROGENITOR_IKAROS_KO_UP</t>
  </si>
  <si>
    <t>1236;55843;286336;50852;221188;256380;19;6402;79865;4215;11217</t>
  </si>
  <si>
    <t>CCR7;ARHGAP15;FAM78A;TRAT1;ADGRG5;SCML4;ABCA1;SELL;TREML2;MAP3K3;AKAP2</t>
  </si>
  <si>
    <t>http://www.broadinstitute.org/gsea/msigdb/cards/GSE15330_LYMPHOID_MULTIPOTENT_VS_MEGAKARYOCYTE_ERYTHROID_PROGENITOR_IKAROS_KO_UP.html</t>
  </si>
  <si>
    <t>GSE5542_UNTREATED_VS_IFNG_TREATED_EPITHELIAL_CELLS_6H_UP</t>
  </si>
  <si>
    <t>340152;9840;9214;2207;124535;84868;23228;4208;89846;84230;79690;64174</t>
  </si>
  <si>
    <t>ZC3H12D;TESPA1;FCMR;FCER1G;HSF5;HAVCR2;PLCL2;MEF2C;FGD3;LRRC8C;GAL3ST4;DPEP2</t>
  </si>
  <si>
    <t>http://www.broadinstitute.org/gsea/msigdb/cards/GSE5542_UNTREATED_VS_IFNG_TREATED_EPITHELIAL_CELLS_6H_UP.html</t>
  </si>
  <si>
    <t>GSE21927_GMCSF_IL6_VS_GMCSF_GCSF_TREATED_BONE_MARROW_UP</t>
  </si>
  <si>
    <t>22797;10068;313;170575;80896;11314;2857;2358;25890;81553;50515;57823</t>
  </si>
  <si>
    <t>TFEC;IL18BP;AOAH;GIMAP1;NPL;CD300A;GPR34;FPR2;ABI3BP;FAM49A;CHST11;SLAMF7</t>
  </si>
  <si>
    <t>http://www.broadinstitute.org/gsea/msigdb/cards/GSE21927_GMCSF_IL6_VS_GMCSF_GCSF_TREATED_BONE_MARROW_UP.html</t>
  </si>
  <si>
    <t>GSE8685_IL2_ACT_IL2_STARVED_VS_IL21_ACT_IL2_STARVED_CD4_TCELL_DN</t>
  </si>
  <si>
    <t>10663;9595;114548;51311;6518;3003;4240;3824;8809;25780</t>
  </si>
  <si>
    <t>CXCR6;CYTIP;NLRP3;TLR8;SLC2A5;GZMK;MFGE8;KLRD1;IL18R1;RASGRP3</t>
  </si>
  <si>
    <t>http://www.broadinstitute.org/gsea/msigdb/cards/GSE8685_IL2_ACT_IL2_STARVED_VS_IL21_ACT_IL2_STARVED_CD4_TCELL_DN.html</t>
  </si>
  <si>
    <t>GSE22601_DOUBLE_NEGATIVE_VS_DOUBLE_POSITIVE_THYMOCYTE_UP</t>
  </si>
  <si>
    <t>1493;11151;10666;283897;6373;2811;1508;10672;814;441168;131450;85479</t>
  </si>
  <si>
    <t>CTLA4;CORO1A;CD226;C16orf54;CXCL11;GP1BA;CTSB;GNA13;CAMK4;CALHM6;CD200R1;DNAJC5B</t>
  </si>
  <si>
    <t>http://www.broadinstitute.org/gsea/msigdb/cards/GSE22601_DOUBLE_NEGATIVE_VS_DOUBLE_POSITIVE_THYMOCYTE_UP.html</t>
  </si>
  <si>
    <t>GSE3920_IFNA_VS_IFNG_TREATED_ENDOTHELIAL_CELL_DN</t>
  </si>
  <si>
    <t>9839;5341;2268;3001;4245;3587;10875;387357;27033;10154;64805</t>
  </si>
  <si>
    <t>ZEB2;PLEK;FGR;GZMA;MGAT1;IL10RA;FGL2;THEMIS;ZBTB32;PLXNC1;P2RY12</t>
  </si>
  <si>
    <t>http://www.broadinstitute.org/gsea/msigdb/cards/GSE3920_IFNA_VS_IFNG_TREATED_ENDOTHELIAL_CELL_DN.html</t>
  </si>
  <si>
    <t>GSE21546_UNSTIM_VS_ANTI_CD3_STIM_ELK1_KO_DP_THYMOCYTES_UP</t>
  </si>
  <si>
    <t>9595;3659;1439;6772;6890;79626;84166;115362;728;55281;8605;25939</t>
  </si>
  <si>
    <t>CYTIP;IRF1;CSF2RB;STAT1;TAP1;TNFAIP8L2;NLRC5;GBP5;C5AR1;TMEM140;PLA2G4C;SAMHD1</t>
  </si>
  <si>
    <t>http://www.broadinstitute.org/gsea/msigdb/cards/GSE21546_UNSTIM_VS_ANTI_CD3_STIM_ELK1_KO_DP_THYMOCYTES_UP.html</t>
  </si>
  <si>
    <t>GSE25088_CTRL_VS_IL4_STIM_MACROPHAGE_UP</t>
  </si>
  <si>
    <t>9450;945;10225;3603;89857;27128;926;147138;9754;84329;59345;64098</t>
  </si>
  <si>
    <t>LY86;CD33;CD96;IL16;KLHL6;CYTH4;CD8B;TMC8;STARD8;HVCN1;GNB4;PARVG</t>
  </si>
  <si>
    <t>http://www.broadinstitute.org/gsea/msigdb/cards/GSE25088_CTRL_VS_IL4_STIM_MACROPHAGE_UP.html</t>
  </si>
  <si>
    <t>GSE3565_CTRL_VS_LPS_INJECTED_DUSP1_KO_SPLENOCYTES_DN</t>
  </si>
  <si>
    <t>1236;4354;10320;399;286336;64333;6402;3988;4050;79865;54861</t>
  </si>
  <si>
    <t>CCR7;MPP1;IKZF1;RHOH;FAM78A;ARHGAP9;SELL;LIPA;LTB;TREML2;SNRK</t>
  </si>
  <si>
    <t>http://www.broadinstitute.org/gsea/msigdb/cards/GSE3565_CTRL_VS_LPS_INJECTED_DUSP1_KO_SPLENOCYTES_DN.html</t>
  </si>
  <si>
    <t>GSE12366_GC_BCELL_VS_PLASMA_CELL_UP</t>
  </si>
  <si>
    <t>9450;1536;5788;963;83706;374403;3635;10019;2113;9363;10235;55013</t>
  </si>
  <si>
    <t>LY86;CYBB;PTPRC;CD53;FERMT3;TBC1D10C;INPP5D;SH2B3;ETS1;RAB33A;RASGRP2;MCUB</t>
  </si>
  <si>
    <t>http://www.broadinstitute.org/gsea/msigdb/cards/GSE12366_GC_BCELL_VS_PLASMA_CELL_UP.html</t>
  </si>
  <si>
    <t>9046;3055;53347;50856;27036;27180;29909;8742;10154;4261;6503;10077</t>
  </si>
  <si>
    <t>DOK2;HCK;UBASH3A;CLEC4A;SIGLEC7;SIGLEC9;GPR171;TNFSF12;PLXNC1;CIITA;SLA;TSPAN32</t>
  </si>
  <si>
    <t>http://www.broadinstitute.org/gsea/msigdb/cards/GSE12845_IGD_POS_BLOOD_VS_DARKZONE_GC_TONSIL_BCELL_UP.html</t>
  </si>
  <si>
    <t>GSE13306_LAMINA_PROPRIA_VS_SPLEEN_TREG_UP</t>
  </si>
  <si>
    <t>3683;4245;283897;257106;117289;81704;246329;84636;55303;6793;155038;11217</t>
  </si>
  <si>
    <t>ITGAL;MGAT1;C16orf54;ARHGAP30;TAGAP;DOCK8;STAC3;GPR174;GIMAP4;STK10;GIMAP8;AKAP2</t>
  </si>
  <si>
    <t>http://www.broadinstitute.org/gsea/msigdb/cards/GSE13306_LAMINA_PROPRIA_VS_SPLEEN_TREG_UP.html</t>
  </si>
  <si>
    <t>GSE13411_IGM_VS_SWITCHED_MEMORY_BCELL_DN</t>
  </si>
  <si>
    <t>1318;3676;1439;2014;3394;719;2219;6793;2162;2212;3123;50515</t>
  </si>
  <si>
    <t>SLC31A2;ITGA4;CSF2RB;EMP3;IRF8;C3AR1;FCN1;STK10;F13A1;FCGR2A;HLA-DRB1;CHST11</t>
  </si>
  <si>
    <t>http://www.broadinstitute.org/gsea/msigdb/cards/GSE13411_IGM_VS_SWITCHED_MEMORY_BCELL_DN.html</t>
  </si>
  <si>
    <t>GSE13493_DP_VS_CD8POS_THYMOCYTE_UP</t>
  </si>
  <si>
    <t>27334;2533;925;5579;3683;4354;695;399;51225;51393;926;3059</t>
  </si>
  <si>
    <t>P2RY10;FYB1;CD8A;PRKCB;ITGAL;MPP1;BTK;RHOH;ABI3;TRPV2;CD8B;HCLS1</t>
  </si>
  <si>
    <t>http://www.broadinstitute.org/gsea/msigdb/cards/GSE13493_DP_VS_CD8POS_THYMOCYTE_UP.html</t>
  </si>
  <si>
    <t>259197;945;4354;11184;2162;4261;11010;8905;10077;64098;51466;25939</t>
  </si>
  <si>
    <t>NCR3;CD33;MPP1;MAP4K1;F13A1;CIITA;GLIPR1;AP1S2;TSPAN32;PARVG;EVL;SAMHD1</t>
  </si>
  <si>
    <t>http://www.broadinstitute.org/gsea/msigdb/cards/GSE14000_4H_VS_16H_LPS_DC_UP.html</t>
  </si>
  <si>
    <t>GSE14308_TH2_VS_TH17_DN</t>
  </si>
  <si>
    <t>920;5788;940;919;3071;9744;57105;2212;2113;7941;151556;80709</t>
  </si>
  <si>
    <t>CD4;PTPRC;CD28;CD247;NCKAP1L;ACAP1;CYSLTR2;FCGR2A;ETS1;PLA2G7;GPR155;AKNA</t>
  </si>
  <si>
    <t>http://www.broadinstitute.org/gsea/msigdb/cards/GSE14308_TH2_VS_TH17_DN.html</t>
  </si>
  <si>
    <t>GSE1460_INTRATHYMIC_T_PROGENITOR_VS_NAIVE_CD4_TCELL_CORD_BLOOD_DN</t>
  </si>
  <si>
    <t>1436;3001;7133;9459;4063;9056;80342;3363;140885;11009;814;25890</t>
  </si>
  <si>
    <t>CSF1R;GZMA;TNFRSF1B;ARHGEF6;LY9;SLC7A7;TRAF3IP3;HTR7;SIRPA;IL24;CAMK4;ABI3BP</t>
  </si>
  <si>
    <t>http://www.broadinstitute.org/gsea/msigdb/cards/GSE1460_INTRATHYMIC_T_PROGENITOR_VS_NAIVE_CD4_TCELL_CORD_BLOOD_DN.html</t>
  </si>
  <si>
    <t>GSE14769_20MIN_VS_360MIN_LPS_BMDM_DN</t>
  </si>
  <si>
    <t>340152;9535;3559;3932;2207;391;2219;366;3117;6402;3718;10672</t>
  </si>
  <si>
    <t>ZC3H12D;GMFG;IL2RA;LCK;FCER1G;RHOG;FCN1;AQP9;HLA-DQA1;SELL;JAK3;GNA13</t>
  </si>
  <si>
    <t>http://www.broadinstitute.org/gsea/msigdb/cards/GSE14769_20MIN_VS_360MIN_LPS_BMDM_DN.html</t>
  </si>
  <si>
    <t>GSE15324_NAIVE_VS_ACTIVATED_CD8_TCELL_UP</t>
  </si>
  <si>
    <t>3055;6352;116986;2857;3117;3111;3684;241;2359;4261;3003;441168</t>
  </si>
  <si>
    <t>HCK;CCL5;AGAP2;GPR34;HLA-DQA1;HLA-DOA;ITGAM;ALOX5AP;FPR3;CIITA;GZMK;CALHM6</t>
  </si>
  <si>
    <t>http://www.broadinstitute.org/gsea/msigdb/cards/GSE15324_NAIVE_VS_ACTIVATED_CD8_TCELL_UP.html</t>
  </si>
  <si>
    <t>GSE15324_ELF4_KO_VS_WT_ACTIVATED_CD8_TCELL_DN</t>
  </si>
  <si>
    <t>2214;10225;6772;3603;10875;221188;1794;30009;27163;4033;814;149699</t>
  </si>
  <si>
    <t>FCGR3A;CD96;STAT1;IL16;FGL2;ADGRG5;DOCK2;TBX21;NAAA;LRMP;CAMK4;GTSF1L</t>
  </si>
  <si>
    <t>http://www.broadinstitute.org/gsea/msigdb/cards/GSE15324_ELF4_KO_VS_WT_ACTIVATED_CD8_TCELL_DN.html</t>
  </si>
  <si>
    <t>GSE15659_CD45RA_NEG_CD4_TCELL_VS_NONSUPPRESSIVE_TCELL_DN</t>
  </si>
  <si>
    <t>7453;149628;64092;29992;7099;8742;118788;85464;375686;51762;84106;9033</t>
  </si>
  <si>
    <t>WARS;PYHIN1;SAMSN1;PILRA;TLR4;TNFSF12;PIK3AP1;SSH2;SPATC1;RAB8B;PRAM1;PKD2L1</t>
  </si>
  <si>
    <t>http://www.broadinstitute.org/gsea/msigdb/cards/GSE15659_CD45RA_NEG_CD4_TCELL_VS_NONSUPPRESSIVE_TCELL_DN.html</t>
  </si>
  <si>
    <t>GSE15767_MED_VS_SCS_MAC_LN_DN</t>
  </si>
  <si>
    <t>9404;9402;919;3702;6504;26051;51393;926;2113;6693;7185;8809</t>
  </si>
  <si>
    <t>LPXN;GRAP2;CD247;ITK;SLAMF1;PPP1R16B;TRPV2;CD8B;ETS1;SPN;TRAF1;IL18R1</t>
  </si>
  <si>
    <t>http://www.broadinstitute.org/gsea/msigdb/cards/GSE15767_MED_VS_SCS_MAC_LN_DN.html</t>
  </si>
  <si>
    <t>GSE15930_NAIVE_VS_72H_IN_VITRO_STIM_CD8_TCELL_DN</t>
  </si>
  <si>
    <t>1493;1234;3603;255231;3111;3956;3002;10437;3604;8809;597;161145</t>
  </si>
  <si>
    <t>CTLA4;CCR5;IL16;MCOLN2;HLA-DOA;LGALS1;GZMB;IFI30;TNFRSF9;IL18R1;BCL2A1;TMEM229B</t>
  </si>
  <si>
    <t>http://www.broadinstitute.org/gsea/msigdb/cards/GSE15930_NAIVE_VS_72H_IN_VITRO_STIM_CD8_TCELL_DN.html</t>
  </si>
  <si>
    <t>GSE15930_STIM_VS_STIM_AND_IFNAB_24H_CD8_T_CELL_UP</t>
  </si>
  <si>
    <t>1536;916;959;2322;2014;55589;27299;526;10235;54518;338339;6614</t>
  </si>
  <si>
    <t>CYBB;CD3E;CD40LG;FLT3;EMP3;BMP2K;ADAMDEC1;ATP6V1B2;RASGRP2;APBB1IP;CLEC4D;SIGLEC1</t>
  </si>
  <si>
    <t>http://www.broadinstitute.org/gsea/msigdb/cards/GSE15930_STIM_VS_STIM_AND_IFNAB_24H_CD8_T_CELL_UP.html</t>
  </si>
  <si>
    <t>GSE17721_CTRL_VS_LPS_2H_BMDC_DN</t>
  </si>
  <si>
    <t>6504;51296;54557;64092;3122;1435;3002;943;11010;4973;10148;10672</t>
  </si>
  <si>
    <t>SLAMF1;SLC15A3;SGTB;SAMSN1;HLA-DRA;CSF1;GZMB;TNFRSF8;GLIPR1;OLR1;EBI3;GNA13</t>
  </si>
  <si>
    <t>http://www.broadinstitute.org/gsea/msigdb/cards/GSE17721_CTRL_VS_LPS_2H_BMDC_DN.html</t>
  </si>
  <si>
    <t>GSE17721_CTRL_VS_LPS_8H_BMDC_DN</t>
  </si>
  <si>
    <t>3676;7133;4354;3394;115361;64092;5452;3162;6776;10672;54518;80821</t>
  </si>
  <si>
    <t>ITGA4;TNFRSF1B;MPP1;IRF8;GBP4;SAMSN1;POU2F2;HMOX1;STAT5A;GNA13;APBB1IP;DDHD1</t>
  </si>
  <si>
    <t>http://www.broadinstitute.org/gsea/msigdb/cards/GSE17721_CTRL_VS_LPS_8H_BMDC_DN.html</t>
  </si>
  <si>
    <t>GSE17721_CTRL_VS_POLYIC_0.5H_BMDC_UP</t>
  </si>
  <si>
    <t>2209;1493;51056;1439;2322;4354;8514;3903;474344;8832;366;1230</t>
  </si>
  <si>
    <t>FCGR1A;CTLA4;LAP3;CSF2RB;FLT3;MPP1;KCNAB2;LAIR1;GIMAP6;CD84;AQP9;CCR1</t>
  </si>
  <si>
    <t>http://www.broadinstitute.org/gsea/msigdb/cards/GSE17721_CTRL_VS_POLYIC_0.5H_BMDC_UP.html</t>
  </si>
  <si>
    <t>GSE17721_CTRL_VS_POLYIC_6H_BMDC_DN</t>
  </si>
  <si>
    <t>3394;3587;146722;115361;4049;6546;2829;356;4973;10672;4818;80821</t>
  </si>
  <si>
    <t>IRF8;IL10RA;CD300LF;GBP4;LTA;SLC8A1;XCR1;FASLG;OLR1;GNA13;NKG7;DDHD1</t>
  </si>
  <si>
    <t>http://www.broadinstitute.org/gsea/msigdb/cards/GSE17721_CTRL_VS_POLYIC_6H_BMDC_DN.html</t>
  </si>
  <si>
    <t>54440;962;940;2209;51056;695;139716;729230;1235;1601;79630;55281</t>
  </si>
  <si>
    <t>SASH3;CD48;CD28;FCGR1A;LAP3;BTK;GAB3;CCR2;CCR6;DAB2;C1orf54;TMEM140</t>
  </si>
  <si>
    <t>http://www.broadinstitute.org/gsea/msigdb/cards/GSE17721_CTRL_VS_PAM3CSK4_6H_BMDC_UP.html</t>
  </si>
  <si>
    <t>GSE17721_CTRL_VS_CPG_2H_BMDC_DN</t>
  </si>
  <si>
    <t>10261;929;3676;7133;64092;29851;8564;3717;8530;2213;6776;80821</t>
  </si>
  <si>
    <t>IGSF6;CD14;ITGA4;TNFRSF1B;SAMSN1;ICOS;KMO;JAK2;CST7;FCGR2B;STAT5A;DDHD1</t>
  </si>
  <si>
    <t>http://www.broadinstitute.org/gsea/msigdb/cards/GSE17721_CTRL_VS_CPG_2H_BMDC_DN.html</t>
  </si>
  <si>
    <t>GSE17721_CTRL_VS_CPG_8H_BMDC_DN</t>
  </si>
  <si>
    <t>51056;4283;10875;92241;54899;114836;81030;64092;1414;2529;27314;80821</t>
  </si>
  <si>
    <t>LAP3;CXCL9;FGL2;RCSD1;PXK;SLAMF6;ZBP1;SAMSN1;CRYBB1;FUT7;RAB30;DDHD1</t>
  </si>
  <si>
    <t>http://www.broadinstitute.org/gsea/msigdb/cards/GSE17721_CTRL_VS_CPG_8H_BMDC_DN.html</t>
  </si>
  <si>
    <t>GSE17721_CTRL_VS_CPG_12H_BMDC_DN</t>
  </si>
  <si>
    <t>6352;971;5294;1233;10875;92241;56833;8530;3162;6507;4973;10148</t>
  </si>
  <si>
    <t>CCL5;CD72;PIK3CG;CCR4;FGL2;RCSD1;SLAMF8;CST7;HMOX1;SLC1A3;OLR1;EBI3</t>
  </si>
  <si>
    <t>http://www.broadinstitute.org/gsea/msigdb/cards/GSE17721_CTRL_VS_CPG_12H_BMDC_DN.html</t>
  </si>
  <si>
    <t>GSE17721_LPS_VS_POLYIC_2H_BMDC_UP</t>
  </si>
  <si>
    <t>22797;3659;3676;944;942;255231;23228;3902;2357;2213;7185;151556</t>
  </si>
  <si>
    <t>TFEC;IRF1;ITGA4;TNFSF8;CD86;MCOLN2;PLCL2;LAG3;FPR1;FCGR2B;TRAF1;GPR155</t>
  </si>
  <si>
    <t>http://www.broadinstitute.org/gsea/msigdb/cards/GSE17721_LPS_VS_POLYIC_2H_BMDC_UP.html</t>
  </si>
  <si>
    <t>3575;2014;199;8514;348;10437;4688;1230;4050;90634;64780;23166</t>
  </si>
  <si>
    <t>IL7R;EMP3;AIF1;KCNAB2;APOE;IFI30;NCF2;CCR1;LTB;N4BP2L1;MICAL1;STAB1</t>
  </si>
  <si>
    <t>http://www.broadinstitute.org/gsea/msigdb/cards/GSE17721_LPS_VS_POLYIC_4H_BMDC_DN.html</t>
  </si>
  <si>
    <t>GSE17721_POLYIC_VS_PAM3CSK4_4H_BMDC_DN</t>
  </si>
  <si>
    <t>2533;7133;919;971;313;3937;27036;6753;4973;151556;54518;10462</t>
  </si>
  <si>
    <t>FYB1;TNFRSF1B;CD247;CD72;AOAH;LCP2;SIGLEC7;SSTR3;OLR1;GPR155;APBB1IP;CLEC10A</t>
  </si>
  <si>
    <t>http://www.broadinstitute.org/gsea/msigdb/cards/GSE17721_POLYIC_VS_PAM3CSK4_4H_BMDC_DN.html</t>
  </si>
  <si>
    <t>GSE17721_PAM3CSK4_VS_CPG_6H_BMDC_DN</t>
  </si>
  <si>
    <t>3932;3676;4283;399;146722;54209;56833;4049;348;1621;118788;375387</t>
  </si>
  <si>
    <t>LCK;ITGA4;CXCL9;RHOH;CD300LF;TREM2;SLAMF8;LTA;APOE;DBH;PIK3AP1;NRROS</t>
  </si>
  <si>
    <t>http://www.broadinstitute.org/gsea/msigdb/cards/GSE17721_PAM3CSK4_VS_CPG_6H_BMDC_DN.html</t>
  </si>
  <si>
    <t>GSE17721_LPS_VS_PAM3CSK4_4H_BMDC_UP</t>
  </si>
  <si>
    <t>2214;1493;3561;941;3587;81704;23228;1435;100506736;64805;11217;9935</t>
  </si>
  <si>
    <t>FCGR3A;CTLA4;IL2RG;CD80;IL10RA;DOCK8;PLCL2;CSF1;SLFN12L;P2RY12;AKAP2;MAFB</t>
  </si>
  <si>
    <t>http://www.broadinstitute.org/gsea/msigdb/cards/GSE17721_LPS_VS_PAM3CSK4_4H_BMDC_UP.html</t>
  </si>
  <si>
    <t>GSE17721_LPS_VS_PAM3CSK4_8H_BMDC_UP</t>
  </si>
  <si>
    <t>944;3587;92241;115361;51284;4049;1435;1230;54331;116071;51762;64805</t>
  </si>
  <si>
    <t>TNFSF8;IL10RA;RCSD1;GBP4;TLR7;LTA;CSF1;CCR1;GNG2;BATF2;RAB8B;P2RY12</t>
  </si>
  <si>
    <t>http://www.broadinstitute.org/gsea/msigdb/cards/GSE17721_LPS_VS_PAM3CSK4_8H_BMDC_UP.html</t>
  </si>
  <si>
    <t>2268;10871;3603;79930;23048;29992;3956;2212;54331;64780;9806;55013</t>
  </si>
  <si>
    <t>FGR;CD300C;IL16;DOK3;FNBP1;PILRA;LGALS1;FCGR2A;GNG2;MICAL1;SPOCK2;MCUB</t>
  </si>
  <si>
    <t>http://www.broadinstitute.org/gsea/msigdb/cards/GSE17721_LPS_VS_PAM3CSK4_24H_BMDC_DN.html</t>
  </si>
  <si>
    <t>GSE17721_POLYIC_VS_CPG_16H_BMDC_UP</t>
  </si>
  <si>
    <t>2214;3575;6772;4354;3635;56833;4066;4261;10457;5133;55281;23166</t>
  </si>
  <si>
    <t>FCGR3A;IL7R;STAT1;MPP1;INPP5D;SLAMF8;LYL1;CIITA;GPNMB;PDCD1;TMEM140;STAB1</t>
  </si>
  <si>
    <t>http://www.broadinstitute.org/gsea/msigdb/cards/GSE17721_POLYIC_VS_CPG_16H_BMDC_UP.html</t>
  </si>
  <si>
    <t>GSE17721_POLYIC_VS_GARDIQUIMOD_24H_BMDC_UP</t>
  </si>
  <si>
    <t>7456;2214;2123;944;124460;80301;54209;3988;729230;27163;3604;3824</t>
  </si>
  <si>
    <t>WIPF1;FCGR3A;EVI2A;TNFSF8;SNX20;PLEKHO2;TREM2;LIPA;CCR2;NAAA;TNFRSF9;KLRD1</t>
  </si>
  <si>
    <t>http://www.broadinstitute.org/gsea/msigdb/cards/GSE17721_POLYIC_VS_GARDIQUIMOD_24H_BMDC_UP.html</t>
  </si>
  <si>
    <t>3458;5579;971;2014;10871;56659;6793;3290;729230;11010;54331;64581</t>
  </si>
  <si>
    <t>IFNG;PRKCB;CD72;EMP3;CD300C;KCNK13;STK10;HSD11B1;CCR2;GLIPR1;GNG2;CLEC7A</t>
  </si>
  <si>
    <t>http://www.broadinstitute.org/gsea/msigdb/cards/GSE17721_LPS_VS_GARDIQUIMOD_16H_BMDC_DN.html</t>
  </si>
  <si>
    <t>GSE17721_0.5H_VS_4H_CPG_BMDC_UP</t>
  </si>
  <si>
    <t>2124;199;10871;8477;64333;2212;4261;27163;4033;6503;64780;23166</t>
  </si>
  <si>
    <t>EVI2B;AIF1;CD300C;GPR65;ARHGAP9;FCGR2A;CIITA;NAAA;LRMP;SLA;MICAL1;STAB1</t>
  </si>
  <si>
    <t>http://www.broadinstitute.org/gsea/msigdb/cards/GSE17721_0.5H_VS_4H_CPG_BMDC_UP.html</t>
  </si>
  <si>
    <t>GSE17974_0H_VS_0.5H_IN_VITRO_ACT_CD4_TCELL_UP</t>
  </si>
  <si>
    <t>54440;929;3055;2268;11262;10288;2210;115362;9056;10437;79690;64581</t>
  </si>
  <si>
    <t>SASH3;CD14;HCK;FGR;SP140;LILRB2;FCGR1B;GBP5;SLC7A7;IFI30;GAL3ST4;CLEC7A</t>
  </si>
  <si>
    <t>http://www.broadinstitute.org/gsea/msigdb/cards/GSE17974_0H_VS_0.5H_IN_VITRO_ACT_CD4_TCELL_UP.html</t>
  </si>
  <si>
    <t>GSE17974_0H_VS_0.5H_IN_VITRO_ACT_CD4_TCELL_DN</t>
  </si>
  <si>
    <t>9595;6688;2123;124535;8477;117289;80231;29851;27306;3902;969;597</t>
  </si>
  <si>
    <t>CYTIP;SPI1;EVI2A;HSF5;GPR65;TAGAP;CXorf21;ICOS;HPGDS;LAG3;CD69;BCL2A1</t>
  </si>
  <si>
    <t>http://www.broadinstitute.org/gsea/msigdb/cards/GSE17974_0H_VS_0.5H_IN_VITRO_ACT_CD4_TCELL_DN.html</t>
  </si>
  <si>
    <t>GSE17974_IL4_AND_ANTI_IL12_VS_UNTREATED_4H_ACT_CD4_TCELL_UP</t>
  </si>
  <si>
    <t>9840;925;4245;3587;139716;11184;9034;3717;926;27314;79865;84034</t>
  </si>
  <si>
    <t>TESPA1;CD8A;MGAT1;IL10RA;GAB3;MAP4K1;CCRL2;JAK2;CD8B;RAB30;TREML2;EMILIN2</t>
  </si>
  <si>
    <t>http://www.broadinstitute.org/gsea/msigdb/cards/GSE17974_IL4_AND_ANTI_IL12_VS_UNTREATED_4H_ACT_CD4_TCELL_UP.html</t>
  </si>
  <si>
    <t>GSE17974_IL4_AND_ANTI_IL12_VS_UNTREATED_12H_ACT_CD4_TCELL_UP</t>
  </si>
  <si>
    <t>959;2124;3587;160365;154075;139716;2672;51744;8832;27314;25780;23312</t>
  </si>
  <si>
    <t>CD40LG;EVI2B;IL10RA;CLECL1;SAMD3;GAB3;GFI1;CD244;CD84;RAB30;RASGRP3;DMXL2</t>
  </si>
  <si>
    <t>http://www.broadinstitute.org/gsea/msigdb/cards/GSE17974_IL4_AND_ANTI_IL12_VS_UNTREATED_12H_ACT_CD4_TCELL_UP.html</t>
  </si>
  <si>
    <t>GSE18791_CTRL_VS_NEWCASTLE_VIRUS_DC_14H_DN</t>
  </si>
  <si>
    <t>3659;3394;4283;84166;115362;115361;81030;10990;4049;116071;57823;8605</t>
  </si>
  <si>
    <t>IRF1;IRF8;CXCL9;NLRC5;GBP5;GBP4;ZBP1;LILRB5;LTA;BATF2;SLAMF7;PLA2G4C</t>
  </si>
  <si>
    <t>http://www.broadinstitute.org/gsea/msigdb/cards/GSE18791_CTRL_VS_NEWCASTLE_VIRUS_DC_14H_DN.html</t>
  </si>
  <si>
    <t>GSE2197_IMMUNOSUPPRESSIVE_DNA_VS_UNTREATED_IN_DC_UP</t>
  </si>
  <si>
    <t>8477;53829;80231;51284;56253;4049;3274;2358;4973;7185;118788;80821</t>
  </si>
  <si>
    <t>GPR65;P2RY13;CXorf21;TLR7;CRTAM;LTA;HRH2;FPR2;OLR1;TRAF1;PIK3AP1;DDHD1</t>
  </si>
  <si>
    <t>http://www.broadinstitute.org/gsea/msigdb/cards/GSE2197_IMMUNOSUPPRESSIVE_DNA_VS_UNTREATED_IN_DC_UP.html</t>
  </si>
  <si>
    <t>GSE22886_IGA_VS_IGM_MEMORY_BCELL_UP</t>
  </si>
  <si>
    <t>4542;8676;80833;919;2123;942;8514;23533;4094;8530;2529;10004</t>
  </si>
  <si>
    <t>MYO1F;STX11;APOL3;CD247;EVI2A;CD86;KCNAB2;PIK3R5;MAF;CST7;FUT7;NAALADL1</t>
  </si>
  <si>
    <t>http://www.broadinstitute.org/gsea/msigdb/cards/GSE22886_IGA_VS_IGM_MEMORY_BCELL_UP.html</t>
  </si>
  <si>
    <t>GSE22886_NEUTROPHIL_VS_DC_UP</t>
  </si>
  <si>
    <t>259197;4210;5551;11314;2219;6402;2357;7454;4050;3824;79865;80183</t>
  </si>
  <si>
    <t>NCR3;MEFV;PRF1;CD300A;FCN1;SELL;FPR1;WAS;LTB;KLRD1;TREML2;RUBCNL</t>
  </si>
  <si>
    <t>http://www.broadinstitute.org/gsea/msigdb/cards/GSE22886_NEUTROPHIL_VS_DC_UP.html</t>
  </si>
  <si>
    <t>259197;9214;940;951;971;959;3111;3112;6402;4208;4050;11009</t>
  </si>
  <si>
    <t>NCR3;FCMR;CD28;CD37;CD72;CD40LG;HLA-DOA;HLA-DOB;SELL;MEF2C;LTB;IL24</t>
  </si>
  <si>
    <t>http://www.broadinstitute.org/gsea/msigdb/cards/GSE22886_NAIVE_BCELL_VS_DC_UP.html</t>
  </si>
  <si>
    <t>GSE24081_CONTROLLER_VS_PROGRESSOR_HIV_SPECIFIC_CD8_TCELL_DN</t>
  </si>
  <si>
    <t>5341;5788;5551;4332;6772;7634;225;3717;3002;2999;57823;22806</t>
  </si>
  <si>
    <t>PLEK;PTPRC;PRF1;MNDA;STAT1;ZNF80;ABCD2;JAK2;GZMB;GZMH;SLAMF7;IKZF3</t>
  </si>
  <si>
    <t>http://www.broadinstitute.org/gsea/msigdb/cards/GSE24081_CONTROLLER_VS_PROGRESSOR_HIV_SPECIFIC_CD8_TCELL_DN.html</t>
  </si>
  <si>
    <t>GSE24142_DN2_VS_DN3_THYMOCYTE_ADULT_UP</t>
  </si>
  <si>
    <t>7305;3659;6352;3687;695;115361;6373;2162;1414;2529;8809;10235</t>
  </si>
  <si>
    <t>TYROBP;IRF1;CCL5;ITGAX;BTK;GBP4;CXCL11;F13A1;CRYBB1;FUT7;IL18R1;RASGRP2</t>
  </si>
  <si>
    <t>http://www.broadinstitute.org/gsea/msigdb/cards/GSE24142_DN2_VS_DN3_THYMOCYTE_ADULT_UP.html</t>
  </si>
  <si>
    <t>GSE24142_ADULT_VS_FETAL_DN3_THYMOCYTE_DN</t>
  </si>
  <si>
    <t>9450;914;6772;8514;5800;55303;2857;29851;348;3586;3604;54861</t>
  </si>
  <si>
    <t>LY86;CD2;STAT1;KCNAB2;PTPRO;GIMAP4;GPR34;ICOS;APOE;IL10;TNFRSF9;SNRK</t>
  </si>
  <si>
    <t>http://www.broadinstitute.org/gsea/msigdb/cards/GSE24142_ADULT_VS_FETAL_DN3_THYMOCYTE_DN.html</t>
  </si>
  <si>
    <t>2533;9214;962;919;3695;923;5734;3603;9120;64919;64174;55013</t>
  </si>
  <si>
    <t>FYB1;FCMR;CD48;CD247;ITGB7;CD6;PTGER4;IL16;SLC16A6;BCL11B;DPEP2;MCUB</t>
  </si>
  <si>
    <t>http://www.broadinstitute.org/gsea/msigdb/cards/GSE24634_NAIVE_CD4_TCELL_VS_DAY3_IL4_CONV_TREG_UP.html</t>
  </si>
  <si>
    <t>GSE24634_NAIVE_CD4_TCELL_VS_DAY3_IL4_CONV_TREG_DN</t>
  </si>
  <si>
    <t>972;7453;1439;4689;27306;241;4360;7185;10148;3123;51762;9935</t>
  </si>
  <si>
    <t>CD74;WARS;CSF2RB;NCF4;HPGDS;ALOX5AP;MRC1;TRAF1;EBI3;HLA-DRB1;RAB8B;MAFB</t>
  </si>
  <si>
    <t>http://www.broadinstitute.org/gsea/msigdb/cards/GSE24634_NAIVE_CD4_TCELL_VS_DAY3_IL4_CONV_TREG_DN.html</t>
  </si>
  <si>
    <t>GSE24634_IL4_VS_CTRL_TREATED_NAIVE_CD4_TCELL_DAY7_UP</t>
  </si>
  <si>
    <t>11309;3676;2014;64231;50615;6518;11010;1237;8905;10507;6363;23166</t>
  </si>
  <si>
    <t>SLCO2B1;ITGA4;EMP3;MS4A6A;IL21R;SLC2A5;GLIPR1;CCR8;AP1S2;SEMA4D;CCL19;STAB1</t>
  </si>
  <si>
    <t>http://www.broadinstitute.org/gsea/msigdb/cards/GSE24634_IL4_VS_CTRL_TREATED_NAIVE_CD4_TCELL_DAY7_UP.html</t>
  </si>
  <si>
    <t>GSE25087_TREG_VS_TCONV_FETUS_UP</t>
  </si>
  <si>
    <t>1536;5551;3560;3683;7634;3587;23048;64092;1235;3123;118788;51063</t>
  </si>
  <si>
    <t>CYBB;PRF1;IL2RB;ITGAL;ZNF80;IL10RA;FNBP1;SAMSN1;CCR6;HLA-DRB1;PIK3AP1;CALHM2</t>
  </si>
  <si>
    <t>http://www.broadinstitute.org/gsea/msigdb/cards/GSE25087_TREG_VS_TCONV_FETUS_UP.html</t>
  </si>
  <si>
    <t>GSE26669_CTRL_VS_COSTIM_BLOCK_MLR_CD4_TCELL_UP</t>
  </si>
  <si>
    <t>1493;6890;84166;55303;29851;2219;8530;4049;2358;6776;1601;6891</t>
  </si>
  <si>
    <t>CTLA4;TAP1;NLRC5;GIMAP4;ICOS;FCN1;CST7;LTA;FPR2;STAT5A;DAB2;TAP2</t>
  </si>
  <si>
    <t>http://www.broadinstitute.org/gsea/msigdb/cards/GSE26669_CTRL_VS_COSTIM_BLOCK_MLR_CD4_TCELL_UP.html</t>
  </si>
  <si>
    <t>GSE26669_CD4_VS_CD8_TCELL_IN_MLR_DN</t>
  </si>
  <si>
    <t>9404;5579;5788;917;5294;255231;256380;139716;84174;9120;55619;11217</t>
  </si>
  <si>
    <t>LPXN;PRKCB;PTPRC;CD3G;PIK3CG;MCOLN2;SCML4;GAB3;SLA2;SLC16A6;DOCK10;AKAP2</t>
  </si>
  <si>
    <t>http://www.broadinstitute.org/gsea/msigdb/cards/GSE26669_CD4_VS_CD8_TCELL_IN_MLR_DN.html</t>
  </si>
  <si>
    <t>GSE2706_R848_VS_R848_AND_LPS_8H_STIM_DC_DN</t>
  </si>
  <si>
    <t>7453;1236;944;53347;115362;27033;3112;6518;6507;3604;161176;81553</t>
  </si>
  <si>
    <t>WARS;CCR7;TNFSF8;UBASH3A;GBP5;ZBTB32;HLA-DOB;SLC2A5;SLC1A3;TNFRSF9;SYNE3;FAM49A</t>
  </si>
  <si>
    <t>http://www.broadinstitute.org/gsea/msigdb/cards/GSE2706_R848_VS_R848_AND_LPS_8H_STIM_DC_DN.html</t>
  </si>
  <si>
    <t>5788;3676;391;4354;8514;7805;257106;64926;8477;81030;8905;10507</t>
  </si>
  <si>
    <t>PTPRC;ITGA4;RHOG;MPP1;KCNAB2;LAPTM5;ARHGAP30;RASAL3;GPR65;ZBP1;AP1S2;SEMA4D</t>
  </si>
  <si>
    <t>http://www.broadinstitute.org/gsea/msigdb/cards/GSE27786_LSK_VS_CD8_TCELL_DN.html</t>
  </si>
  <si>
    <t>GSE27786_LIN_NEG_VS_ERYTHROBLAST_UP</t>
  </si>
  <si>
    <t>3689;3659;6688;3695;51056;2322;10875;399;219972;497189;84166;91526</t>
  </si>
  <si>
    <t>ITGB2;IRF1;SPI1;ITGB7;LAP3;FLT3;FGL2;RHOH;MPEG1;TIFAB;NLRC5;ANKRD44</t>
  </si>
  <si>
    <t>http://www.broadinstitute.org/gsea/msigdb/cards/GSE27786_LIN_NEG_VS_ERYTHROBLAST_UP.html</t>
  </si>
  <si>
    <t>GSE27786_CD4_TCELL_VS_NKCELL_DN</t>
  </si>
  <si>
    <t>3689;5788;3676;5551;971;4354;257106;53346;56253;3824;25780;91010</t>
  </si>
  <si>
    <t>ITGB2;PTPRC;ITGA4;PRF1;CD72;MPP1;ARHGAP30;TM6SF1;CRTAM;KLRD1;RASGRP3;FMNL3</t>
  </si>
  <si>
    <t>http://www.broadinstitute.org/gsea/msigdb/cards/GSE27786_CD4_TCELL_VS_NKCELL_DN.html</t>
  </si>
  <si>
    <t>GSE27786_NEUTROPHIL_VS_MONO_MAC_UP</t>
  </si>
  <si>
    <t>4542;2214;951;653361;6688;2124;92241;51296;10870;7439;6891;80709</t>
  </si>
  <si>
    <t>MYO1F;FCGR3A;CD37;NCF1;SPI1;EVI2B;RCSD1;SLC15A3;HCST;BEST1;TAP2;AKNA</t>
  </si>
  <si>
    <t>http://www.broadinstitute.org/gsea/msigdb/cards/GSE27786_NEUTROPHIL_VS_MONO_MAC_UP.html</t>
  </si>
  <si>
    <t>GSE2826_WT_VS_XID_BCELL_UP</t>
  </si>
  <si>
    <t>3561;4354;255231;170575;259307;64231;55303;10437;1230;54331;10148;597</t>
  </si>
  <si>
    <t>IL2RG;MPP1;MCOLN2;GIMAP1;IL4I1;MS4A6A;GIMAP4;IFI30;CCR1;GNG2;EBI3;BCL2A1</t>
  </si>
  <si>
    <t>http://www.broadinstitute.org/gsea/msigdb/cards/GSE2826_WT_VS_XID_BCELL_UP.html</t>
  </si>
  <si>
    <t>GSE30083_SP1_VS_SP2_THYMOCYTE_DN</t>
  </si>
  <si>
    <t>2350;3695;944;942;6890;9744;84166;126014;19;3684;3604;84329</t>
  </si>
  <si>
    <t>FOLR2;ITGB7;TNFSF8;CD86;TAP1;ACAP1;NLRC5;OSCAR;ABCA1;ITGAM;TNFRSF9;HVCN1</t>
  </si>
  <si>
    <t>http://www.broadinstitute.org/gsea/msigdb/cards/GSE30083_SP1_VS_SP2_THYMOCYTE_DN.html</t>
  </si>
  <si>
    <t>GSE30083_SP2_VS_SP3_THYMOCYTE_UP</t>
  </si>
  <si>
    <t>8676;914;919;923;80380;59067;366;921;1237;3604;51762;51676</t>
  </si>
  <si>
    <t>STX11;CD2;CD247;CD6;PDCD1LG2;IL21;AQP9;CD5;CCR8;TNFRSF9;RAB8B;ASB2</t>
  </si>
  <si>
    <t>http://www.broadinstitute.org/gsea/msigdb/cards/GSE30083_SP2_VS_SP3_THYMOCYTE_UP.html</t>
  </si>
  <si>
    <t>GSE31082_DN_VS_CD4_SP_THYMOCYTE_DN</t>
  </si>
  <si>
    <t>5788;3659;11151;944;6890;9459;10870;3717;5816;3290;51676;81553</t>
  </si>
  <si>
    <t>PTPRC;IRF1;CORO1A;TNFSF8;TAP1;ARHGEF6;HCST;JAK2;PVALB;HSD11B1;ASB2;FAM49A</t>
  </si>
  <si>
    <t>http://www.broadinstitute.org/gsea/msigdb/cards/GSE31082_DN_VS_CD4_SP_THYMOCYTE_DN.html</t>
  </si>
  <si>
    <t>GSE32423_CTRL_VS_IL7_IL4_MEMORY_CD8_TCELL_UP</t>
  </si>
  <si>
    <t>6352;3695;10225;84636;29909;6793;56253;924;2212;3112;79895;84329</t>
  </si>
  <si>
    <t>CCL5;ITGB7;CD96;GPR174;GPR171;STK10;CRTAM;CD7;FCGR2A;HLA-DOB;ATP8B4;HVCN1</t>
  </si>
  <si>
    <t>http://www.broadinstitute.org/gsea/msigdb/cards/GSE32423_CTRL_VS_IL7_IL4_MEMORY_CD8_TCELL_UP.html</t>
  </si>
  <si>
    <t>GSE339_CD4POS_VS_CD8POS_DC_DN</t>
  </si>
  <si>
    <t>925;3627;942;3394;219972;23048;2213;3363;2829;6556;2833;10077</t>
  </si>
  <si>
    <t>CD8A;CXCL10;CD86;IRF8;MPEG1;FNBP1;FCGR2B;HTR7;XCR1;SLC11A1;CXCR3;TSPAN32</t>
  </si>
  <si>
    <t>http://www.broadinstitute.org/gsea/msigdb/cards/GSE339_CD4POS_VS_CD8POS_DC_DN.html</t>
  </si>
  <si>
    <t>7305;5579;5551;64333;64231;1235;4050;3824;80821;10507;4215;1522</t>
  </si>
  <si>
    <t>TYROBP;PRKCB;PRF1;ARHGAP9;MS4A6A;CCR6;LTB;KLRD1;DDHD1;SEMA4D;MAP3K3;CTSZ</t>
  </si>
  <si>
    <t>923;3071;219972;11184;55303;341;5724;3108;3109;2829;6556;51762</t>
  </si>
  <si>
    <t>CD6;NCKAP1L;MPEG1;MAP4K1;GIMAP4;APOC1;PTAFR;HLA-DMA;HLA-DMB;XCR1;SLC11A1;RAB8B</t>
  </si>
  <si>
    <t>http://www.broadinstitute.org/gsea/msigdb/cards/GSE339_CD8POS_VS_CD4CD8DN_DC_IN_CULTURE_UP.html</t>
  </si>
  <si>
    <t>GSE360_CTRL_VS_B_MALAYI_HIGH_DOSE_DC_UP</t>
  </si>
  <si>
    <t>1318;3458;5294;3071;695;719;116986;11326;56253;10578;6507;23166</t>
  </si>
  <si>
    <t>SLC31A2;IFNG;PIK3CG;NCKAP1L;BTK;C3AR1;AGAP2;VSIG4;CRTAM;GNLY;SLC1A3;STAB1</t>
  </si>
  <si>
    <t>http://www.broadinstitute.org/gsea/msigdb/cards/GSE360_CTRL_VS_B_MALAYI_HIGH_DOSE_DC_UP.html</t>
  </si>
  <si>
    <t>GSE360_L_MAJOR_VS_B_MALAYI_HIGH_DOSE_DC_UP</t>
  </si>
  <si>
    <t>9595;6688;7133;919;366;10154;10990;8530;3117;7185;3824;23312</t>
  </si>
  <si>
    <t>CYTIP;SPI1;TNFRSF1B;CD247;AQP9;PLXNC1;LILRB5;CST7;HLA-DQA1;TRAF1;KLRD1;DMXL2</t>
  </si>
  <si>
    <t>http://www.broadinstitute.org/gsea/msigdb/cards/GSE360_L_MAJOR_VS_B_MALAYI_HIGH_DOSE_DC_UP.html</t>
  </si>
  <si>
    <t>GSE360_HIGH_DOSE_B_MALAYI_VS_M_TUBERCULOSIS_DC_UP</t>
  </si>
  <si>
    <t>9535;11309;9450;6039;11314;2162;341;4066;9363;10462;11027;54504</t>
  </si>
  <si>
    <t>GMFG;SLCO2B1;LY86;RNASE6;CD300A;F13A1;APOC1;LYL1;RAB33A;CLEC10A;LILRA2;CPVL</t>
  </si>
  <si>
    <t>http://www.broadinstitute.org/gsea/msigdb/cards/GSE360_HIGH_DOSE_B_MALAYI_VS_M_TUBERCULOSIS_DC_UP.html</t>
  </si>
  <si>
    <t>GSE360_L_DONOVANI_VS_M_TUBERCULOSIS_MAC_UP</t>
  </si>
  <si>
    <t>9450;2268;3687;1236;3662;6793;3162;54;4360;3988;1601;10457</t>
  </si>
  <si>
    <t>LY86;FGR;ITGAX;CCR7;IRF4;STK10;HMOX1;ACP5;MRC1;LIPA;DAB2;GPNMB</t>
  </si>
  <si>
    <t>http://www.broadinstitute.org/gsea/msigdb/cards/GSE360_L_DONOVANI_VS_M_TUBERCULOSIS_MAC_UP.html</t>
  </si>
  <si>
    <t>1536;3394;8514;719;5800;497189;259307;3956;596;57514;4327;51063</t>
  </si>
  <si>
    <t>CYBB;IRF8;KCNAB2;C3AR1;PTPRO;TIFAB;IL4I1;LGALS1;BCL2;ARHGAP31;MMP19;CALHM2</t>
  </si>
  <si>
    <t>http://www.broadinstitute.org/gsea/msigdb/cards/GSE36392_EOSINOPHIL_VS_NEUTROPHIL_IL25_TREATED_LUNG_DN.html</t>
  </si>
  <si>
    <t>GSE37416_CTRL_VS_12H_F_TULARENSIS_LVS_NEUTROPHIL_UP</t>
  </si>
  <si>
    <t>27334;4332;6404;9459;64407;55303;10673;7454;155038;84329;64174;4644</t>
  </si>
  <si>
    <t>P2RY10;MNDA;SELPLG;ARHGEF6;RGS18;GIMAP4;TNFSF13B;WAS;GIMAP8;HVCN1;DPEP2;MYO5A</t>
  </si>
  <si>
    <t>http://www.broadinstitute.org/gsea/msigdb/cards/GSE37416_CTRL_VS_12H_F_TULARENSIS_LVS_NEUTROPHIL_UP.html</t>
  </si>
  <si>
    <t>GSE37416_CTRL_VS_24H_F_TULARENSIS_LVS_NEUTROPHIL_UP</t>
  </si>
  <si>
    <t>27334;3676;11151;10875;9459;55843;139716;9881;6402;7454;4050;64174</t>
  </si>
  <si>
    <t>P2RY10;ITGA4;CORO1A;FGL2;ARHGEF6;ARHGAP15;GAB3;TRANK1;SELL;WAS;LTB;DPEP2</t>
  </si>
  <si>
    <t>http://www.broadinstitute.org/gsea/msigdb/cards/GSE37416_CTRL_VS_24H_F_TULARENSIS_LVS_NEUTROPHIL_UP.html</t>
  </si>
  <si>
    <t>GSE37416_0H_VS_6H_F_TULARENSIS_LVS_NEUTROPHIL_DN</t>
  </si>
  <si>
    <t>5778;3587;124460;8477;23533;64092;5552;54331;4973;9363;597;53831</t>
  </si>
  <si>
    <t>PTPN7;IL10RA;SNX20;GPR65;PIK3R5;SAMSN1;SRGN;GNG2;OLR1;RAB33A;BCL2A1;GPR84</t>
  </si>
  <si>
    <t>http://www.broadinstitute.org/gsea/msigdb/cards/GSE37416_0H_VS_6H_F_TULARENSIS_LVS_NEUTROPHIL_DN.html</t>
  </si>
  <si>
    <t>27334;940;10320;3587;3662;2672;6373;9881;25900;90634;10077;51466</t>
  </si>
  <si>
    <t>P2RY10;CD28;IKZF1;IL10RA;IRF4;GFI1;CXCL11;TRANK1;IFFO1;N4BP2L1;TSPAN32;EVL</t>
  </si>
  <si>
    <t>http://www.broadinstitute.org/gsea/msigdb/cards/GSE3982_MAC_VS_CENT_MEMORY_CD4_TCELL_DN.html</t>
  </si>
  <si>
    <t>GSE3982_MAC_VS_TH1_DN</t>
  </si>
  <si>
    <t>9595;940;919;3702;51744;64092;3586;3290;3004;6891;4050;79895</t>
  </si>
  <si>
    <t>CYTIP;CD28;CD247;ITK;CD244;SAMSN1;IL10;HSD11B1;GZMM;TAP2;LTB;ATP8B4</t>
  </si>
  <si>
    <t>http://www.broadinstitute.org/gsea/msigdb/cards/GSE3982_MAC_VS_TH1_DN.html</t>
  </si>
  <si>
    <t>GSE7460_CTRL_VS_TGFB_TREATED_ACT_FOXP3_HET_TCONV_DN</t>
  </si>
  <si>
    <t>925;916;951;653361;9744;4689;64333;1043;3988;8809;10077;50943</t>
  </si>
  <si>
    <t>CD8A;CD3E;CD37;NCF1;ACAP1;NCF4;ARHGAP9;CD52;LIPA;IL18R1;TSPAN32;FOXP3</t>
  </si>
  <si>
    <t>http://www.broadinstitute.org/gsea/msigdb/cards/GSE7460_CTRL_VS_TGFB_TREATED_ACT_FOXP3_HET_TCONV_DN.html</t>
  </si>
  <si>
    <t>GSE7460_CTRL_VS_TGFB_TREATED_ACT_FOXP3_MUT_TCONV_UP</t>
  </si>
  <si>
    <t>27334;9046;4068;940;1233;84636;4063;64092;10154;55911;79865;150771</t>
  </si>
  <si>
    <t>P2RY10;DOK2;SH2D1A;CD28;CCR4;GPR174;LY9;SAMSN1;PLXNC1;APOBR;TREML2;ITPRIPL1</t>
  </si>
  <si>
    <t>http://www.broadinstitute.org/gsea/msigdb/cards/GSE7460_CTRL_VS_TGFB_TREATED_ACT_FOXP3_MUT_TCONV_UP.html</t>
  </si>
  <si>
    <t>GSE7852_TREG_VS_TCONV_LN_DN</t>
  </si>
  <si>
    <t>3702;10320;286336;151888;387357;256380;23533;54209;56253;3824;10235;79895</t>
  </si>
  <si>
    <t>ITK;IKZF1;FAM78A;BTLA;THEMIS;SCML4;PIK3R5;TREM2;CRTAM;KLRD1;RASGRP2;ATP8B4</t>
  </si>
  <si>
    <t>http://www.broadinstitute.org/gsea/msigdb/cards/GSE7852_TREG_VS_TCONV_LN_DN.html</t>
  </si>
  <si>
    <t>GSE7852_TREG_VS_TCONV_FAT_UP</t>
  </si>
  <si>
    <t>8676;3627;3587;10875;64092;3604;10148;5133;57514;131450;23312;84230</t>
  </si>
  <si>
    <t>STX11;CXCL10;IL10RA;FGL2;SAMSN1;TNFRSF9;EBI3;PDCD1;ARHGAP31;CD200R1;DMXL2;LRRC8C</t>
  </si>
  <si>
    <t>http://www.broadinstitute.org/gsea/msigdb/cards/GSE7852_TREG_VS_TCONV_FAT_UP.html</t>
  </si>
  <si>
    <t>GSE8678_IL7R_LOW_VS_HIGH_EFF_CD8_TCELL_UP</t>
  </si>
  <si>
    <t>9839;3689;3001;6351;5551;2014;2848;2213;10235;84230;10077;55013</t>
  </si>
  <si>
    <t>ZEB2;ITGB2;GZMA;CCL4;PRF1;EMP3;GPR25;FCGR2B;RASGRP2;LRRC8C;TSPAN32;MCUB</t>
  </si>
  <si>
    <t>http://www.broadinstitute.org/gsea/msigdb/cards/GSE8678_IL7R_LOW_VS_HIGH_EFF_CD8_TCELL_UP.html</t>
  </si>
  <si>
    <t>GSE8868_SPLEEN_VS_INTESTINE_CD11B_POS_CD11C_NEG_DC_UP</t>
  </si>
  <si>
    <t>4542;3695;11151;150372;116986;366;6776;27163;4050;161176;50515;54861</t>
  </si>
  <si>
    <t>MYO1F;ITGB7;CORO1A;NFAM1;AGAP2;AQP9;STAT5A;NAAA;LTB;SYNE3;CHST11;SNRK</t>
  </si>
  <si>
    <t>http://www.broadinstitute.org/gsea/msigdb/cards/GSE8868_SPLEEN_VS_INTESTINE_CD11B_POS_CD11C_NEG_DC_UP.html</t>
  </si>
  <si>
    <t>GSE8868_SPLEEN_VS_INTESTINE_CD11B_POS_CD11C_NEG_DC_DN</t>
  </si>
  <si>
    <t>2533;1318;2209;971;941;199;3903;9120;54;969;64805;26279</t>
  </si>
  <si>
    <t>FYB1;SLC31A2;FCGR1A;CD72;CD80;AIF1;LAIR1;SLC16A6;ACP5;CD69;P2RY12;PLA2G2D</t>
  </si>
  <si>
    <t>http://www.broadinstitute.org/gsea/msigdb/cards/GSE8868_SPLEEN_VS_INTESTINE_CD11B_POS_CD11C_NEG_DC_DN.html</t>
  </si>
  <si>
    <t>GSE9037_CTRL_VS_LPS_4H_STIM_BMDM_UP</t>
  </si>
  <si>
    <t>7805;257106;64333;80231;4066;5816;3109;1601;91010;64780;55691;4644</t>
  </si>
  <si>
    <t>LAPTM5;ARHGAP30;ARHGAP9;CXorf21;LYL1;PVALB;HLA-DMB;DAB2;FMNL3;MICAL1;FRMD4A;MYO5A</t>
  </si>
  <si>
    <t>http://www.broadinstitute.org/gsea/msigdb/cards/GSE9037_CTRL_VS_LPS_4H_STIM_BMDM_UP.html</t>
  </si>
  <si>
    <t>GSE9650_EFFECTOR_VS_EXHAUSTED_CD8_TCELL_UP</t>
  </si>
  <si>
    <t>4242;3683;3687;7453;3695;54;3059;2113;3290;2213;729230;3824</t>
  </si>
  <si>
    <t>MFNG;ITGAL;ITGAX;WARS;ITGB7;ACP5;HCLS1;ETS1;HSD11B1;FCGR2B;CCR2;KLRD1</t>
  </si>
  <si>
    <t>http://www.broadinstitute.org/gsea/msigdb/cards/GSE9650_EFFECTOR_VS_EXHAUSTED_CD8_TCELL_UP.html</t>
  </si>
  <si>
    <t>GSE9650_GP33_VS_GP276_LCMV_SPECIFIC_EXHAUSTED_CD8_TCELL_UP</t>
  </si>
  <si>
    <t>7305;9450;714;5800;51284;225;27299;5452;4360;3108;2829;6556</t>
  </si>
  <si>
    <t>TYROBP;LY86;C1QC;PTPRO;TLR7;ABCD2;ADAMDEC1;POU2F2;MRC1;HLA-DMA;XCR1;SLC11A1</t>
  </si>
  <si>
    <t>http://www.broadinstitute.org/gsea/msigdb/cards/GSE9650_GP33_VS_GP276_LCMV_SPECIFIC_EXHAUSTED_CD8_TCELL_UP.html</t>
  </si>
  <si>
    <t>GSE9988_ANTI_TREM1_AND_LPS_VS_VEHICLE_TREATED_MONOCYTES_UP</t>
  </si>
  <si>
    <t>5341;1236;114548;730249;9034;366;3553;1435;3586;9754;4327;29126</t>
  </si>
  <si>
    <t>PLEK;CCR7;NLRP3;ACOD1;CCRL2;AQP9;IL1B;CSF1;IL10;STARD8;MMP19;CD274</t>
  </si>
  <si>
    <t>http://www.broadinstitute.org/gsea/msigdb/cards/GSE9988_ANTI_TREM1_AND_LPS_VS_VEHICLE_TREATED_MONOCYTES_UP.html</t>
  </si>
  <si>
    <t>GSE2770_IL4_ACT_VS_ACT_CD4_TCELL_2H_DN</t>
  </si>
  <si>
    <t>5341;4245;3937;84166;146722;3717;6891;79865;155038;79895;64098;57823</t>
  </si>
  <si>
    <t>PLEK;MGAT1;LCP2;NLRC5;CD300LF;JAK2;TAP2;TREML2;GIMAP8;ATP8B4;PARVG;SLAMF7</t>
  </si>
  <si>
    <t>http://www.broadinstitute.org/gsea/msigdb/cards/GSE2770_IL4_ACT_VS_ACT_CD4_TCELL_2H_DN.html</t>
  </si>
  <si>
    <t>GSE2770_TGFB_AND_IL4_VS_TGFB_AND_IL12_TREATED_ACT_CD4_TCELL_6H_DN</t>
  </si>
  <si>
    <t>4068;55843;151888;57580;114836;526;8905;969;7185;9806;54861;22806</t>
  </si>
  <si>
    <t>SH2D1A;ARHGAP15;BTLA;PREX1;SLAMF6;ATP6V1B2;AP1S2;CD69;TRAF1;SPOCK2;SNRK;IKZF3</t>
  </si>
  <si>
    <t>http://www.broadinstitute.org/gsea/msigdb/cards/GSE2770_TGFB_AND_IL4_VS_TGFB_AND_IL12_TREATED_ACT_CD4_TCELL_6H_DN.html</t>
  </si>
  <si>
    <t>GSE2770_IL12_AND_TGFB_ACT_VS_ACT_CD4_TCELL_2H_DN</t>
  </si>
  <si>
    <t>9051;8676;6036;951;3676;55843;11184;53829;7454;10235;147138;29125</t>
  </si>
  <si>
    <t>PSTPIP1;STX11;RNASE2;CD37;ITGA4;ARHGAP15;MAP4K1;P2RY13;WAS;RASGRP2;TMC8;C11orf21</t>
  </si>
  <si>
    <t>http://www.broadinstitute.org/gsea/msigdb/cards/GSE2770_IL12_AND_TGFB_ACT_VS_ACT_CD4_TCELL_2H_DN.html</t>
  </si>
  <si>
    <t>GSE2770_IL12_AND_TGFB_ACT_VS_ACT_CD4_TCELL_48H_UP</t>
  </si>
  <si>
    <t>713;714;6352;51338;4094;3290;9938;7185;6503;8809;30835;23166</t>
  </si>
  <si>
    <t>C1QB;C1QC;CCL5;MS4A4A;MAF;HSD11B1;ARHGAP25;TRAF1;SLA;IL18R1;CD209;STAB1</t>
  </si>
  <si>
    <t>http://www.broadinstitute.org/gsea/msigdb/cards/GSE2770_IL12_AND_TGFB_ACT_VS_ACT_CD4_TCELL_48H_UP.html</t>
  </si>
  <si>
    <t>GSE1791_CTRL_VS_NEUROMEDINU_IN_T_CELL_LINE_6H_UP</t>
  </si>
  <si>
    <t>7805;53346;29851;241;6556;1601;11009;597;284759;79895;7462;22900</t>
  </si>
  <si>
    <t>LAPTM5;TM6SF1;ICOS;ALOX5AP;SLC11A1;DAB2;IL24;BCL2A1;SIRPB2;ATP8B4;LAT2;CARD8</t>
  </si>
  <si>
    <t>http://www.broadinstitute.org/gsea/msigdb/cards/GSE1791_CTRL_VS_NEUROMEDINU_IN_T_CELL_LINE_6H_UP.html</t>
  </si>
  <si>
    <t>GSE2128_C57BL6_VS_NOD_THYMOCYTE_UP</t>
  </si>
  <si>
    <t>9046;6351;7133;942;10875;116986;84174;80231;4063;3290;55911;79895</t>
  </si>
  <si>
    <t>DOK2;CCL4;TNFRSF1B;CD86;FGL2;AGAP2;SLA2;CXorf21;LY9;HSD11B1;APOBR;ATP8B4</t>
  </si>
  <si>
    <t>http://www.broadinstitute.org/gsea/msigdb/cards/GSE2128_C57BL6_VS_NOD_THYMOCYTE_UP.html</t>
  </si>
  <si>
    <t>GSE2405_S_AUREUS_VS_UNTREATED_NEUTROPHIL_UP</t>
  </si>
  <si>
    <t>2533;5551;3662;50852;8477;29909;1237;54331;597;147138;161145;84329</t>
  </si>
  <si>
    <t>FYB1;PRF1;IRF4;TRAT1;GPR65;GPR171;CCR8;GNG2;BCL2A1;TMC8;TMEM229B;HVCN1</t>
  </si>
  <si>
    <t>http://www.broadinstitute.org/gsea/msigdb/cards/GSE2405_S_AUREUS_VS_UNTREATED_NEUTROPHIL_UP.html</t>
  </si>
  <si>
    <t>GSE2405_HEAT_KILLED_LYSATE_VS_LIVE_A_PHAGOCYTOPHILUM_STIM_NEUTROPHIL_9H_UP</t>
  </si>
  <si>
    <t>4068;925;1436;2268;2207;4354;2672;1102;3117;3123;55281;11217</t>
  </si>
  <si>
    <t>SH2D1A;CD8A;CSF1R;FGR;FCER1G;MPP1;GFI1;RCBTB2;HLA-DQA1;HLA-DRB1;TMEM140;AKAP2</t>
  </si>
  <si>
    <t>http://www.broadinstitute.org/gsea/msigdb/cards/GSE2405_HEAT_KILLED_LYSATE_VS_LIVE_A_PHAGOCYTOPHILUM_STIM_NEUTROPHIL_9H_UP.html</t>
  </si>
  <si>
    <t>9450;3932;2207;11151;3662;79626;83706;81030;4063;3059;55911;155038</t>
  </si>
  <si>
    <t>LY86;LCK;FCER1G;CORO1A;IRF4;TNFAIP8L2;FERMT3;ZBP1;LY9;HCLS1;APOBR;GIMAP8</t>
  </si>
  <si>
    <t>http://www.broadinstitute.org/gsea/msigdb/cards/GSE2405_0H_VS_24H_A_PHAGOCYTOPHILUM_STIM_NEUTROPHIL_UP.html</t>
  </si>
  <si>
    <t>GSE2405_0H_VS_1.5H_A_PHAGOCYTOPHILUM_STIM_NEUTROPHIL_DN</t>
  </si>
  <si>
    <t>54440;915;3676;919;7535;3603;399;286336;374403;89857;11184;27240</t>
  </si>
  <si>
    <t>SASH3;CD3D;ITGA4;CD247;ZAP70;IL16;RHOH;FAM78A;TBC1D10C;KLHL6;MAP4K1;SIT1</t>
  </si>
  <si>
    <t>http://www.broadinstitute.org/gsea/msigdb/cards/GSE2405_0H_VS_1.5H_A_PHAGOCYTOPHILUM_STIM_NEUTROPHIL_DN.html</t>
  </si>
  <si>
    <t>GSE2405_0H_VS_3H_A_PHAGOCYTOPHILUM_STIM_NEUTROPHIL_UP</t>
  </si>
  <si>
    <t>1536;1439;3903;9056;2212;4688;241;4261;3363;4240;59345;50515</t>
  </si>
  <si>
    <t>CYBB;CSF2RB;LAIR1;SLC7A7;FCGR2A;NCF2;ALOX5AP;CIITA;HTR7;MFGE8;GNB4;CHST11</t>
  </si>
  <si>
    <t>http://www.broadinstitute.org/gsea/msigdb/cards/GSE2405_0H_VS_3H_A_PHAGOCYTOPHILUM_STIM_NEUTROPHIL_UP.html</t>
  </si>
  <si>
    <t>11151;6772;1234;6404;9459;286336;51393;2833;54331;6503;4818;168537</t>
  </si>
  <si>
    <t>CORO1A;STAT1;CCR5;SELPLG;ARHGEF6;FAM78A;TRPV2;CXCR3;GNG2;SLA;NKG7;GIMAP7</t>
  </si>
  <si>
    <t>929;2209;2350;313;51296;9034;366;4094;2811;2357;10148;4215</t>
  </si>
  <si>
    <t>CD14;FCGR1A;FOLR2;AOAH;SLC15A3;CCRL2;AQP9;MAF;GP1BA;FPR1;EBI3;MAP3K3</t>
  </si>
  <si>
    <t>http://www.broadinstitute.org/gsea/msigdb/cards/GSE2585_CTEC_VS_MTEC_THYMUS_UP.html</t>
  </si>
  <si>
    <t>GSE2585_CTEC_VS_THYMIC_MACROPHAGE_UP</t>
  </si>
  <si>
    <t>2533;713;971;6772;5294;199;51296;10673;8530;2162;2213;23166</t>
  </si>
  <si>
    <t>FYB1;C1QB;CD72;STAT1;PIK3CG;AIF1;SLC15A3;TNFSF13B;CST7;F13A1;FCGR2B;STAB1</t>
  </si>
  <si>
    <t>http://www.broadinstitute.org/gsea/msigdb/cards/GSE2585_CTEC_VS_THYMIC_MACROPHAGE_UP.html</t>
  </si>
  <si>
    <t>GSE2585_THYMIC_DC_VS_MTEC_DN</t>
  </si>
  <si>
    <t>3627;962;919;51056;1236;4332;1234;399;366;526;6546;9935</t>
  </si>
  <si>
    <t>CXCL10;CD48;CD247;LAP3;CCR7;MNDA;CCR5;RHOH;AQP9;ATP6V1B2;SLC8A1;MAFB</t>
  </si>
  <si>
    <t>http://www.broadinstitute.org/gsea/msigdb/cards/GSE2585_THYMIC_DC_VS_MTEC_DN.html</t>
  </si>
  <si>
    <t>7305;712;714;972;971;64926;348;1435;926;6402;6503;10672</t>
  </si>
  <si>
    <t>TYROBP;C1QA;C1QC;CD74;CD72;RASAL3;APOE;CSF1;CD8B;SELL;SLA;GNA13</t>
  </si>
  <si>
    <t>http://www.broadinstitute.org/gsea/msigdb/cards/GSE1925_CTRL_VS_IFNG_PRIMED_MACROPHAGE_DN.html</t>
  </si>
  <si>
    <t>GSE3720_UNSTIM_VS_PMA_STIM_VD2_GAMMADELTA_TCELL_DN</t>
  </si>
  <si>
    <t>5341;2214;942;8514;84166;23533;1102;3956;1435;3824;168537;64747</t>
  </si>
  <si>
    <t>PLEK;FCGR3A;CD86;KCNAB2;NLRC5;PIK3R5;RCBTB2;LGALS1;CSF1;KLRD1;GIMAP7;MFSD1</t>
  </si>
  <si>
    <t>http://www.broadinstitute.org/gsea/msigdb/cards/GSE3720_UNSTIM_VS_PMA_STIM_VD2_GAMMADELTA_TCELL_DN.html</t>
  </si>
  <si>
    <t>GSE4142_GC_BCELL_VS_MEMORY_BCELL_UP</t>
  </si>
  <si>
    <t>9051;54440;3689;3695;1234;283897;89857;59067;57105;3718;9815;8605</t>
  </si>
  <si>
    <t>PSTPIP1;SASH3;ITGB2;ITGB7;CCR5;C16orf54;KLHL6;IL21;CYSLTR2;JAK3;GIT2;PLA2G4C</t>
  </si>
  <si>
    <t>http://www.broadinstitute.org/gsea/msigdb/cards/GSE4142_GC_BCELL_VS_MEMORY_BCELL_UP.html</t>
  </si>
  <si>
    <t>GSE3039_CD4_TCELL_VS_B2_BCELL_UP</t>
  </si>
  <si>
    <t>8676;714;5788;2214;653361;89790;2219;348;2358;441168;85464;9935</t>
  </si>
  <si>
    <t>STX11;C1QC;PTPRC;FCGR3A;NCF1;SIGLEC10;FCN1;APOE;FPR2;CALHM6;SSH2;MAFB</t>
  </si>
  <si>
    <t>http://www.broadinstitute.org/gsea/msigdb/cards/GSE3039_CD4_TCELL_VS_B2_BCELL_UP.html</t>
  </si>
  <si>
    <t>GSE5679_CTRL_VS_PPARG_LIGAND_ROSIGLITAZONE_AND_RARA_AGONIST_AM580_TREATED_DC_DN</t>
  </si>
  <si>
    <t>940;963;2123;4354;719;50856;348;3956;4360;4240;7462;9935</t>
  </si>
  <si>
    <t>CD28;CD53;EVI2A;MPP1;C3AR1;CLEC4A;APOE;LGALS1;MRC1;MFGE8;LAT2;MAFB</t>
  </si>
  <si>
    <t>http://www.broadinstitute.org/gsea/msigdb/cards/GSE5679_CTRL_VS_PPARG_LIGAND_ROSIGLITAZONE_AND_RARA_AGONIST_AM580_TREATED_DC_DN.html</t>
  </si>
  <si>
    <t>GSE5679_RARA_AGONIST_AM580_VS_AM580_AND_ROSIGLITAZONE_TREATED_DC_UP</t>
  </si>
  <si>
    <t>8676;941;4354;3394;80380;59067;55589;3717;1508;3162;4066;3902</t>
  </si>
  <si>
    <t>STX11;CD80;MPP1;IRF8;PDCD1LG2;IL21;BMP2K;JAK2;CTSB;HMOX1;LYL1;LAG3</t>
  </si>
  <si>
    <t>http://www.broadinstitute.org/gsea/msigdb/cards/GSE5679_RARA_AGONIST_AM580_VS_AM580_AND_ROSIGLITAZONE_TREATED_DC_UP.html</t>
  </si>
  <si>
    <t>GSE5099_UNSTIM_VS_MCSF_TREATED_MONOCYTE_DAY3_DN</t>
  </si>
  <si>
    <t>3055;6404;83706;51296;23228;2848;3112;10148;80709;375387;84230;64780</t>
  </si>
  <si>
    <t>HCK;SELPLG;FERMT3;SLC15A3;PLCL2;GPR25;HLA-DOB;EBI3;AKNA;NRROS;LRRC8C;MICAL1</t>
  </si>
  <si>
    <t>http://www.broadinstitute.org/gsea/msigdb/cards/GSE5099_UNSTIM_VS_MCSF_TREATED_MONOCYTE_DAY3_DN.html</t>
  </si>
  <si>
    <t>GSE5589_WT_VS_IL10_KO_LPS_AND_IL10_STIM_MACROPHAGE_45MIN_UP</t>
  </si>
  <si>
    <t>9535;2209;945;5294;146722;23048;1102;2212;7454;91010;79895;338339</t>
  </si>
  <si>
    <t>GMFG;FCGR1A;CD33;PIK3CG;CD300LF;FNBP1;RCBTB2;FCGR2A;WAS;FMNL3;ATP8B4;CLEC4D</t>
  </si>
  <si>
    <t>http://www.broadinstitute.org/gsea/msigdb/cards/GSE5589_WT_VS_IL10_KO_LPS_AND_IL10_STIM_MACROPHAGE_45MIN_UP.html</t>
  </si>
  <si>
    <t>GSE6259_33D1_POS_VS_DEC205_POS_SPLENIC_DC_DN</t>
  </si>
  <si>
    <t>9046;9404;962;3575;2207;1236;4094;2529;9363;27314;64747;1522</t>
  </si>
  <si>
    <t>DOK2;LPXN;CD48;IL7R;FCER1G;CCR7;MAF;FUT7;RAB33A;RAB30;MFSD1;CTSZ</t>
  </si>
  <si>
    <t>http://www.broadinstitute.org/gsea/msigdb/cards/GSE6259_33D1_POS_VS_DEC205_POS_SPLENIC_DC_DN.html</t>
  </si>
  <si>
    <t>GSE6259_FLT3L_INDUCED_33D1_POS_DC_VS_BCELL_DN</t>
  </si>
  <si>
    <t>9051;5551;3937;10320;115361;19;3956;9938;7454;4215;64919;50515</t>
  </si>
  <si>
    <t>PSTPIP1;PRF1;LCP2;IKZF1;GBP4;ABCA1;LGALS1;ARHGAP25;WAS;MAP3K3;BCL11B;CHST11</t>
  </si>
  <si>
    <t>http://www.broadinstitute.org/gsea/msigdb/cards/GSE6259_FLT3L_INDUCED_33D1_POS_DC_VS_BCELL_DN.html</t>
  </si>
  <si>
    <t>GSE9316_IL6_KO_VS_IFNG_KO_INVIVO_EXPANDED_CD4_TCELL_UP</t>
  </si>
  <si>
    <t>3687;10871;7805;64333;23228;924;241;3988;11010;27163;4033;10235</t>
  </si>
  <si>
    <t>ITGAX;CD300C;LAPTM5;ARHGAP9;PLCL2;CD7;ALOX5AP;LIPA;GLIPR1;NAAA;LRMP;RASGRP2</t>
  </si>
  <si>
    <t>http://www.broadinstitute.org/gsea/msigdb/cards/GSE9316_IL6_KO_VS_IFNG_KO_INVIVO_EXPANDED_CD4_TCELL_UP.html</t>
  </si>
  <si>
    <t>GSE9316_CD4_TCELL_BALBC_VS_TH17_ENRI_CD4_TCELL_SKG_PMA_IONO_STIM_FR4NEG_DN</t>
  </si>
  <si>
    <t>7456;3689;3055;971;3561;2313;10875;474344;10154;2113;3824;25890</t>
  </si>
  <si>
    <t>WIPF1;ITGB2;HCK;CD72;IL2RG;FLI1;FGL2;GIMAP6;PLXNC1;ETS1;KLRD1;ABI3BP</t>
  </si>
  <si>
    <t>http://www.broadinstitute.org/gsea/msigdb/cards/GSE9316_CD4_TCELL_BALBC_VS_TH17_ENRI_CD4_TCELL_SKG_PMA_IONO_STIM_FR4NEG_DN.html</t>
  </si>
  <si>
    <t>GSE9509_LPS_VS_LPS_AND_IL10_STIM_IL10_KO_MACROPHAGE_30MIN_DN</t>
  </si>
  <si>
    <t>9214;971;944;79930;54899;2672;19;161176;85464;11027;79690;80183</t>
  </si>
  <si>
    <t>FCMR;CD72;TNFSF8;DOK3;PXK;GFI1;ABCA1;SYNE3;SSH2;LILRA2;GAL3ST4;RUBCNL</t>
  </si>
  <si>
    <t>http://www.broadinstitute.org/gsea/msigdb/cards/GSE9509_LPS_VS_LPS_AND_IL10_STIM_IL10_KO_MACROPHAGE_30MIN_DN.html</t>
  </si>
  <si>
    <t>GSE6674_ANTI_IGM_VS_CPG_STIM_BCELL_UP</t>
  </si>
  <si>
    <t>340152;54440;3575;3603;283897;80342;921;6503;90634;10077;4215;51466</t>
  </si>
  <si>
    <t>ZC3H12D;SASH3;IL7R;IL16;C16orf54;TRAF3IP3;CD5;SLA;N4BP2L1;TSPAN32;MAP3K3;EVL</t>
  </si>
  <si>
    <t>http://www.broadinstitute.org/gsea/msigdb/cards/GSE6674_ANTI_IGM_VS_CPG_STIM_BCELL_UP.html</t>
  </si>
  <si>
    <t>GSE7831_UNSTIM_VS_CPG_STIM_PDC_1H_DN</t>
  </si>
  <si>
    <t>27334;9214;4068;9402;3559;1493;3575;387357;55589;10154;4049;356</t>
  </si>
  <si>
    <t>P2RY10;FCMR;SH2D1A;GRAP2;IL2RA;CTLA4;IL7R;THEMIS;BMP2K;PLXNC1;LTA;FASLG</t>
  </si>
  <si>
    <t>http://www.broadinstitute.org/gsea/msigdb/cards/GSE7831_UNSTIM_VS_CPG_STIM_PDC_1H_DN.html</t>
  </si>
  <si>
    <t>GSE5503_PLN_DC_VS_SPLEEN_DC_ACTIVATED_ALLOGENIC_TCELL_DN</t>
  </si>
  <si>
    <t>916;5788;951;7133;391;10320;6404;399;84174;7454;1235;3824</t>
  </si>
  <si>
    <t>CD3E;PTPRC;CD37;TNFRSF1B;RHOG;IKZF1;SELPLG;RHOH;SLA2;WAS;CCR6;KLRD1</t>
  </si>
  <si>
    <t>http://www.broadinstitute.org/gsea/msigdb/cards/GSE5503_PLN_DC_VS_SPLEEN_DC_ACTIVATED_ALLOGENIC_TCELL_DN.html</t>
  </si>
  <si>
    <t>GSE8685_IL2_ACT_IL2_STARVED_VS_IL15_ACT_IL2_STARVED_CD4_TCELL_UP</t>
  </si>
  <si>
    <t>10225;6890;139818;256380;53346;2212;441168;79865;80821;4215;81553;53831</t>
  </si>
  <si>
    <t>CD96;TAP1;DOCK11;SCML4;TM6SF1;FCGR2A;CALHM6;TREML2;DDHD1;MAP3K3;FAM49A;GPR84</t>
  </si>
  <si>
    <t>http://www.broadinstitute.org/gsea/msigdb/cards/GSE8685_IL2_ACT_IL2_STARVED_VS_IL15_ACT_IL2_STARVED_CD4_TCELL_UP.html</t>
  </si>
  <si>
    <t>GSE7219_WT_VS_NIK_NFKB2_KO_LPS_AND_ANTI_CD40_STIM_DC_UP</t>
  </si>
  <si>
    <t>5341;3575;10871;170371;93978;114548;80896;56253;2162;348;6503;56670</t>
  </si>
  <si>
    <t>PLEK;IL7R;CD300C;TMEM273;CLEC6A;NLRP3;NPL;CRTAM;F13A1;APOE;SLA;SUCNR1</t>
  </si>
  <si>
    <t>http://www.broadinstitute.org/gsea/msigdb/cards/GSE7219_WT_VS_NIK_NFKB2_KO_LPS_AND_ANTI_CD40_STIM_DC_UP.html</t>
  </si>
  <si>
    <t>GSE15330_WT_VS_IKAROS_KO_GRANULOCYTE_MONOCYTE_PROGENITOR_UP</t>
  </si>
  <si>
    <t>3659;3676;944;10225;3702;92241;114836;3111;5452;10437;57823;54861</t>
  </si>
  <si>
    <t>IRF1;ITGA4;TNFSF8;CD96;ITK;RCSD1;SLAMF6;HLA-DOA;POU2F2;IFI30;SLAMF7;SNRK</t>
  </si>
  <si>
    <t>http://www.broadinstitute.org/gsea/msigdb/cards/GSE15330_WT_VS_IKAROS_KO_GRANULOCYTE_MONOCYTE_PROGENITOR_UP.html</t>
  </si>
  <si>
    <t>GSE15330_HSC_VS_GRANULOCYTE_MONOCYTE_PROGENITOR_DN</t>
  </si>
  <si>
    <t>5788;7133;7453;3561;150372;50615;5452;526;100506736;7462;54861;9935</t>
  </si>
  <si>
    <t>PTPRC;TNFRSF1B;WARS;IL2RG;NFAM1;IL21R;POU2F2;ATP6V1B2;SLFN12L;LAT2;SNRK;MAFB</t>
  </si>
  <si>
    <t>http://www.broadinstitute.org/gsea/msigdb/cards/GSE15330_HSC_VS_GRANULOCYTE_MONOCYTE_PROGENITOR_DN.html</t>
  </si>
  <si>
    <t>GSE15330_HSC_VS_PRO_BCELL_UP</t>
  </si>
  <si>
    <t>2533;5579;962;919;3695;6404;92241;64926;55303;3059;3902;1235</t>
  </si>
  <si>
    <t>FYB1;PRKCB;CD48;CD247;ITGB7;SELPLG;RCSD1;RASAL3;GIMAP4;HCLS1;LAG3;CCR6</t>
  </si>
  <si>
    <t>http://www.broadinstitute.org/gsea/msigdb/cards/GSE15330_HSC_VS_PRO_BCELL_UP.html</t>
  </si>
  <si>
    <t>GSE12392_IFNAR_KO_VS_IFNB_KO_CD8_NEG_SPLEEN_DC_DN</t>
  </si>
  <si>
    <t>9595;941;7805;6404;3635;9034;27299;6793;5552;4360;3109;27240</t>
  </si>
  <si>
    <t>CYTIP;CD80;LAPTM5;SELPLG;INPP5D;CCRL2;ADAMDEC1;STK10;SRGN;MRC1;HLA-DMB;SIT1</t>
  </si>
  <si>
    <t>http://www.broadinstitute.org/gsea/msigdb/cards/GSE12392_IFNAR_KO_VS_IFNB_KO_CD8_NEG_SPLEEN_DC_DN.html</t>
  </si>
  <si>
    <t>GSE17186_NAIVE_VS_CD21LOW_TRANSITIONAL_BCELL_CORD_BLOOD_DN</t>
  </si>
  <si>
    <t>3689;5579;2214;941;4283;9459;221472;3684;7185;151556;375387;25939</t>
  </si>
  <si>
    <t>ITGB2;PRKCB;FCGR3A;CD80;CXCL9;ARHGEF6;FGD2;ITGAM;TRAF1;GPR155;NRROS;SAMHD1</t>
  </si>
  <si>
    <t>http://www.broadinstitute.org/gsea/msigdb/cards/GSE17186_NAIVE_VS_CD21LOW_TRANSITIONAL_BCELL_CORD_BLOOD_DN.html</t>
  </si>
  <si>
    <t>GSE17186_CD21LOW_VS_CD21HIGH_TRANSITIONAL_BCELL_CORD_BLOOD_UP</t>
  </si>
  <si>
    <t>8676;941;3101;57580;80301;23533;1102;6891;3123;79630;55803;55691</t>
  </si>
  <si>
    <t>STX11;CD80;HK3;PREX1;PLEKHO2;PIK3R5;RCBTB2;TAP2;HLA-DRB1;C1orf54;ADAP2;FRMD4A</t>
  </si>
  <si>
    <t>http://www.broadinstitute.org/gsea/msigdb/cards/GSE17186_CD21LOW_VS_CD21HIGH_TRANSITIONAL_BCELL_CORD_BLOOD_UP.html</t>
  </si>
  <si>
    <t>GSE19198_CTRL_VS_IL21_TREATED_TCELL_24H_UP</t>
  </si>
  <si>
    <t>3458;6351;1236;4283;115361;6373;10537;3002;3586;116071;51762;23166</t>
  </si>
  <si>
    <t>IFNG;CCL4;CCR7;CXCL9;GBP4;CXCL11;UBD;GZMB;IL10;BATF2;RAB8B;STAB1</t>
  </si>
  <si>
    <t>http://www.broadinstitute.org/gsea/msigdb/cards/GSE19198_CTRL_VS_IL21_TREATED_TCELL_24H_UP.html</t>
  </si>
  <si>
    <t>GSE19923_HEB_KO_VS_HEB_AND_E2A_KO_DP_THYMOCYTE_UP</t>
  </si>
  <si>
    <t>9051;714;962;951;3695;11151;2313;3603;3662;4208;84230;4215</t>
  </si>
  <si>
    <t>PSTPIP1;C1QC;CD48;CD37;ITGB7;CORO1A;FLI1;IL16;IRF4;MEF2C;LRRC8C;MAP3K3</t>
  </si>
  <si>
    <t>http://www.broadinstitute.org/gsea/msigdb/cards/GSE19923_HEB_KO_VS_HEB_AND_E2A_KO_DP_THYMOCYTE_UP.html</t>
  </si>
  <si>
    <t>GSE18893_TCONV_VS_TREG_2H_CULTURE_DN</t>
  </si>
  <si>
    <t>3458;3689;3659;653361;1236;6890;81030;30009;1435;3002;3586;3108</t>
  </si>
  <si>
    <t>IFNG;ITGB2;IRF1;NCF1;CCR7;TAP1;ZBP1;TBX21;CSF1;GZMB;IL10;HLA-DMA</t>
  </si>
  <si>
    <t>http://www.broadinstitute.org/gsea/msigdb/cards/GSE18893_TCONV_VS_TREG_2H_CULTURE_DN.html</t>
  </si>
  <si>
    <t>GSE18893_CTRL_VS_TNF_TREATED_TREG_2H_DN</t>
  </si>
  <si>
    <t>3559;916;199;391;3702;124535;497189;54899;4064;1435;2529;116071</t>
  </si>
  <si>
    <t>IL2RA;CD3E;AIF1;RHOG;ITK;HSF5;TIFAB;PXK;CD180;CSF1;FUT7;BATF2</t>
  </si>
  <si>
    <t>http://www.broadinstitute.org/gsea/msigdb/cards/GSE18893_CTRL_VS_TNF_TREATED_TREG_2H_DN.html</t>
  </si>
  <si>
    <t>GSE19888_ADENOSINE_A3R_ACT_VS_A3R_ACT_WITH_A3R_INH_PRETREATMENT_IN_MAST_CELL_DN</t>
  </si>
  <si>
    <t>3627;3055;2214;6772;4283;80896;56833;6373;1621;3002;969;100506736</t>
  </si>
  <si>
    <t>CXCL10;HCK;FCGR3A;STAT1;CXCL9;NPL;SLAMF8;CXCL11;DBH;GZMB;CD69;SLFN12L</t>
  </si>
  <si>
    <t>http://www.broadinstitute.org/gsea/msigdb/cards/GSE19888_ADENOSINE_A3R_ACT_VS_A3R_ACT_WITH_A3R_INH_PRETREATMENT_IN_MAST_CELL_DN.html</t>
  </si>
  <si>
    <t>GSE19888_NO_PRETREAT_VS_ADENOSINE_A3R_INHIBITOR_PRETREATED_MAST_CELL_TCELL_MEMBRANES_ACT_DN</t>
  </si>
  <si>
    <t>5788;2209;971;2123;313;4354;6404;257106;54899;81030;3684;5376</t>
  </si>
  <si>
    <t>PTPRC;FCGR1A;CD72;EVI2A;AOAH;MPP1;SELPLG;ARHGAP30;PXK;ZBP1;ITGAM;PMP22</t>
  </si>
  <si>
    <t>http://www.broadinstitute.org/gsea/msigdb/cards/GSE19888_NO_PRETREAT_VS_ADENOSINE_A3R_INHIBITOR_PRETREATED_MAST_CELL_TCELL_MEMBRANES_ACT_DN.html</t>
  </si>
  <si>
    <t>GSE16450_IMMATURE_VS_MATURE_NEURON_CELL_LINE_6H_IFNA_STIM_UP</t>
  </si>
  <si>
    <t>22797;3627;2124;151888;8832;29909;8564;3117;3902;4215;53831;51466</t>
  </si>
  <si>
    <t>TFEC;CXCL10;EVI2B;BTLA;CD84;GPR171;KMO;HLA-DQA1;LAG3;MAP3K3;GPR84;EVL</t>
  </si>
  <si>
    <t>http://www.broadinstitute.org/gsea/msigdb/cards/GSE16450_IMMATURE_VS_MATURE_NEURON_CELL_LINE_6H_IFNA_STIM_UP.html</t>
  </si>
  <si>
    <t>GSE16450_IMMATURE_VS_MATURE_NEURON_CELL_LINE_12H_IFNA_STIM_DN</t>
  </si>
  <si>
    <t>3458;944;151888;117289;2672;3717;56253;356;969;597;100506736;79895</t>
  </si>
  <si>
    <t>IFNG;TNFSF8;BTLA;TAGAP;GFI1;JAK2;CRTAM;FASLG;CD69;BCL2A1;SLFN12L;ATP8B4</t>
  </si>
  <si>
    <t>http://www.broadinstitute.org/gsea/msigdb/cards/GSE16450_IMMATURE_VS_MATURE_NEURON_CELL_LINE_12H_IFNA_STIM_DN.html</t>
  </si>
  <si>
    <t>GSE21670_TGFB_VS_TGFB_AND_IL6_TREATED_STAT3_KO_CD4_TCELL_UP</t>
  </si>
  <si>
    <t>653361;1236;255231;23533;596;54;969;3824;3123;4215;56606;55691</t>
  </si>
  <si>
    <t>NCF1;CCR7;MCOLN2;PIK3R5;BCL2;ACP5;CD69;KLRD1;HLA-DRB1;MAP3K3;SLC2A9;FRMD4A</t>
  </si>
  <si>
    <t>http://www.broadinstitute.org/gsea/msigdb/cards/GSE21670_TGFB_VS_TGFB_AND_IL6_TREATED_STAT3_KO_CD4_TCELL_UP.html</t>
  </si>
  <si>
    <t>GSE21670_STAT3_KO_VS_WT_CD4_TCELL_TGFB_IL6_TREATED_UP</t>
  </si>
  <si>
    <t>8676;6352;3594;2014;8514;139716;29992;10437;2833;3824;10235;27240</t>
  </si>
  <si>
    <t>STX11;CCL5;IL12RB1;EMP3;KCNAB2;GAB3;PILRA;IFI30;CXCR3;KLRD1;RASGRP2;SIT1</t>
  </si>
  <si>
    <t>http://www.broadinstitute.org/gsea/msigdb/cards/GSE21670_STAT3_KO_VS_WT_CD4_TCELL_TGFB_IL6_TREATED_UP.html</t>
  </si>
  <si>
    <t>GSE21546_SAP1A_KO_VS_SAP1A_KO_AND_ELK1_KO_DP_THYMOCYTES_DN</t>
  </si>
  <si>
    <t>5294;92241;374403;51296;80301;170575;114836;55340;89790;6793;4050;8605</t>
  </si>
  <si>
    <t>PIK3CG;RCSD1;TBC1D10C;SLC15A3;PLEKHO2;GIMAP1;SLAMF6;GIMAP5;SIGLEC10;STK10;LTB;PLA2G4C</t>
  </si>
  <si>
    <t>http://www.broadinstitute.org/gsea/msigdb/cards/GSE21546_SAP1A_KO_VS_SAP1A_KO_AND_ELK1_KO_DP_THYMOCYTES_DN.html</t>
  </si>
  <si>
    <t>9535;5788;951;3676;923;10225;4063;9815;90634;54518;64174;29125</t>
  </si>
  <si>
    <t>GMFG;PTPRC;CD37;ITGA4;CD6;CD96;LY9;GIT2;N4BP2L1;APBB1IP;DPEP2;C11orf21</t>
  </si>
  <si>
    <t>259197;9535;9404;2268;963;53347;7805;1794;27128;7454;9363;54504</t>
  </si>
  <si>
    <t>NCR3;GMFG;LPXN;FGR;CD53;UBASH3A;LAPTM5;DOCK2;CYTH4;WAS;RAB33A;CPVL</t>
  </si>
  <si>
    <t>http://www.broadinstitute.org/gsea/msigdb/cards/GSE21360_NAIVE_VS_TERTIARY_MEMORY_CD8_TCELL_DN.html</t>
  </si>
  <si>
    <t>GSE23308_CTRL_VS_CORTICOSTERONE_TREATED_MACROPHAGE_MINERALCORTICOID_REC_KO_DN</t>
  </si>
  <si>
    <t>940;3659;3587;92241;1435;8905;4208;90634;91526;9754;10507;64098</t>
  </si>
  <si>
    <t>CD28;IRF1;IL10RA;RCSD1;CSF1;AP1S2;MEF2C;N4BP2L1;ANKRD44;STARD8;SEMA4D;PARVG</t>
  </si>
  <si>
    <t>http://www.broadinstitute.org/gsea/msigdb/cards/GSE23308_CTRL_VS_CORTICOSTERONE_TREATED_MACROPHAGE_MINERALCORTICOID_REC_KO_DN.html</t>
  </si>
  <si>
    <t>GSE22935_UNSTIM_VS_24H_MBOVIS_BCG_STIM_MACROPHAGE_UP</t>
  </si>
  <si>
    <t>916;3659;3687;5734;80301;115361;64092;54209;10673;9120;168537;51762</t>
  </si>
  <si>
    <t>CD3E;IRF1;ITGAX;PTGER4;PLEKHO2;GBP4;SAMSN1;TREM2;TNFSF13B;SLC16A6;GIMAP7;RAB8B</t>
  </si>
  <si>
    <t>http://www.broadinstitute.org/gsea/msigdb/cards/GSE22935_UNSTIM_VS_24H_MBOVIS_BCG_STIM_MACROPHAGE_UP.html</t>
  </si>
  <si>
    <t>GSE22935_UNSTIM_VS_24H_MBOVIS_BCG_STIM_MYD88_KO_MACROPHAGE_DN</t>
  </si>
  <si>
    <t>4242;22797;9450;914;2672;926;3684;3902;4688;4360;3604;4033</t>
  </si>
  <si>
    <t>MFNG;TFEC;LY86;CD2;GFI1;CD8B;ITGAM;LAG3;NCF2;MRC1;TNFRSF9;LRMP</t>
  </si>
  <si>
    <t>http://www.broadinstitute.org/gsea/msigdb/cards/GSE22935_UNSTIM_VS_24H_MBOVIS_BCG_STIM_MYD88_KO_MACROPHAGE_DN.html</t>
  </si>
  <si>
    <t>GSE22935_24H_VS_48H_MBOVIS_BCG_STIM_MACROPHAGE_UP</t>
  </si>
  <si>
    <t>27334;10068;972;1236;6772;3071;50852;117289;81030;64231;3363;55281</t>
  </si>
  <si>
    <t>P2RY10;IL18BP;CD74;CCR7;STAT1;NCKAP1L;TRAT1;TAGAP;ZBP1;MS4A6A;HTR7;TMEM140</t>
  </si>
  <si>
    <t>http://www.broadinstitute.org/gsea/msigdb/cards/GSE22935_24H_VS_48H_MBOVIS_BCG_STIM_MACROPHAGE_UP.html</t>
  </si>
  <si>
    <t>GSE22103_UNSTIM_VS_LPS_STIM_NEUTROPHIL_UP</t>
  </si>
  <si>
    <t>3575;391;3662;23533;23048;26051;51225;10672;597;10507;51676;145864</t>
  </si>
  <si>
    <t>IL7R;RHOG;IRF4;PIK3R5;FNBP1;PPP1R16B;ABI3;GNA13;BCL2A1;SEMA4D;ASB2;HAPLN3</t>
  </si>
  <si>
    <t>http://www.broadinstitute.org/gsea/msigdb/cards/GSE22103_UNSTIM_VS_LPS_STIM_NEUTROPHIL_UP.html</t>
  </si>
  <si>
    <t>GSE22589_HIV_VS_HIV_AND_SIV_INFECTED_DC_UP</t>
  </si>
  <si>
    <t>22797;1493;941;7805;53829;64092;9034;3553;969;100506736;151556;53831</t>
  </si>
  <si>
    <t>TFEC;CTLA4;CD80;LAPTM5;P2RY13;SAMSN1;CCRL2;IL1B;CD69;SLFN12L;GPR155;GPR84</t>
  </si>
  <si>
    <t>http://www.broadinstitute.org/gsea/msigdb/cards/GSE22589_HIV_VS_HIV_AND_SIV_INFECTED_DC_UP.html</t>
  </si>
  <si>
    <t>GSE23505_IL6_IL1_VS_IL6_IL1_IL23_TREATED_CD4_TCELL_DN</t>
  </si>
  <si>
    <t>972;3394;3662;80380;55303;348;3112;4050;55619;81553;64747;29126</t>
  </si>
  <si>
    <t>CD74;IRF8;IRF4;PDCD1LG2;GIMAP4;APOE;HLA-DOB;LTB;DOCK10;FAM49A;MFSD1;CD274</t>
  </si>
  <si>
    <t>http://www.broadinstitute.org/gsea/msigdb/cards/GSE23505_IL6_IL1_VS_IL6_IL1_IL23_TREATED_CD4_TCELL_DN.html</t>
  </si>
  <si>
    <t>GSE16385_MONOCYTE_VS_12H_IFNG_TNF_TREATED_MACROPHAGE_DN</t>
  </si>
  <si>
    <t>9535;1493;199;219972;170371;257106;64231;29992;10437;2357;116442;145581</t>
  </si>
  <si>
    <t>GMFG;CTLA4;AIF1;MPEG1;TMEM273;ARHGAP30;MS4A6A;PILRA;IFI30;FPR1;RAB39B;LRFN5</t>
  </si>
  <si>
    <t>http://www.broadinstitute.org/gsea/msigdb/cards/GSE16385_MONOCYTE_VS_12H_IFNG_TNF_TREATED_MACROPHAGE_DN.html</t>
  </si>
  <si>
    <t>GSE25088_WT_VS_STAT6_KO_MACROPHAGE_ROSIGLITAZONE_STIM_DN</t>
  </si>
  <si>
    <t>9839;1536;5788;3659;963;3683;6039;114836;89790;84174;2848;83937</t>
  </si>
  <si>
    <t>ZEB2;CYBB;PTPRC;IRF1;CD53;ITGAL;RNASE6;SLAMF6;SIGLEC10;SLA2;GPR25;RASSF4</t>
  </si>
  <si>
    <t>http://www.broadinstitute.org/gsea/msigdb/cards/GSE25088_WT_VS_STAT6_KO_MACROPHAGE_ROSIGLITAZONE_STIM_DN.html</t>
  </si>
  <si>
    <t>GSE25088_WT_VS_STAT6_KO_MACROPHAGE_ROSIGLITAZONE_AND_IL4_STIM_DN</t>
  </si>
  <si>
    <t>3458;6351;2633;942;8514;126014;152789;30009;29851;1508;10004;4644</t>
  </si>
  <si>
    <t>IFNG;CCL4;GBP1;CD86;KCNAB2;OSCAR;JAKMIP1;TBX21;ICOS;CTSB;NAALADL1;MYO5A</t>
  </si>
  <si>
    <t>http://www.broadinstitute.org/gsea/msigdb/cards/GSE25088_WT_VS_STAT6_KO_MACROPHAGE_ROSIGLITAZONE_AND_IL4_STIM_DN.html</t>
  </si>
  <si>
    <t>GSE17301_CTRL_VS_48H_IFNA2_STIM_CD8_TCELL_DN</t>
  </si>
  <si>
    <t>925;919;971;6504;6373;926;1043;4240;6503;206358;9806;27240</t>
  </si>
  <si>
    <t>CD8A;CD247;CD72;SLAMF1;CXCL11;CD8B;CD52;MFGE8;SLA;SLC36A1;SPOCK2;SIT1</t>
  </si>
  <si>
    <t>http://www.broadinstitute.org/gsea/msigdb/cards/GSE17301_CTRL_VS_48H_IFNA2_STIM_CD8_TCELL_DN.html</t>
  </si>
  <si>
    <t>GSE17301_CTRL_VS_48H_ACD3_ACD28_IFNA2_STIM_CD8_TCELL_UP</t>
  </si>
  <si>
    <t>1439;199;64092;50856;27036;10148;146850;4327;7462;83937;29126;1522</t>
  </si>
  <si>
    <t>CSF2RB;AIF1;SAMSN1;CLEC4A;SIGLEC7;EBI3;PIK3R6;MMP19;LAT2;RASSF4;CD274;CTSZ</t>
  </si>
  <si>
    <t>http://www.broadinstitute.org/gsea/msigdb/cards/GSE17301_CTRL_VS_48H_ACD3_ACD28_IFNA2_STIM_CD8_TCELL_UP.html</t>
  </si>
  <si>
    <t>GSE23398_WT_VS_IL2_KO_CD4_TCELL_SCURFY_MOUSE_UP</t>
  </si>
  <si>
    <t>10068;714;972;6352;3561;942;64407;8530;3117;1508;3123;51466</t>
  </si>
  <si>
    <t>IL18BP;C1QC;CD74;CCL5;IL2RG;CD86;RGS18;CST7;HLA-DQA1;CTSB;HLA-DRB1;EVL</t>
  </si>
  <si>
    <t>http://www.broadinstitute.org/gsea/msigdb/cards/GSE23398_WT_VS_IL2_KO_CD4_TCELL_SCURFY_MOUSE_UP.html</t>
  </si>
  <si>
    <t>GSE24972_WT_VS_IRF8_KO_SPLEEN_FOLLICULAR_BCELL_UP</t>
  </si>
  <si>
    <t>10663;916;917;3560;53347;9744;139818;11184;55303;4066;83937;22806</t>
  </si>
  <si>
    <t>CXCR6;CD3E;CD3G;IL2RB;UBASH3A;ACAP1;DOCK11;MAP4K1;GIMAP4;LYL1;RASSF4;IKZF3</t>
  </si>
  <si>
    <t>http://www.broadinstitute.org/gsea/msigdb/cards/GSE24972_WT_VS_IRF8_KO_SPLEEN_FOLLICULAR_BCELL_UP.html</t>
  </si>
  <si>
    <t>GSE19941_IL10_KO_VS_IL10_KO_AND_NFKBP50_KO_UNSTIM_MACROPHAGE_DN</t>
  </si>
  <si>
    <t>4242;7805;91752;257106;83706;8477;23533;114548;51225;29851;366;57705</t>
  </si>
  <si>
    <t>MFNG;LAPTM5;ZNF804A;ARHGAP30;FERMT3;GPR65;PIK3R5;NLRP3;ABI3;ICOS;AQP9;WDFY4</t>
  </si>
  <si>
    <t>http://www.broadinstitute.org/gsea/msigdb/cards/GSE19941_IL10_KO_VS_IL10_KO_AND_NFKBP50_KO_UNSTIM_MACROPHAGE_DN.html</t>
  </si>
  <si>
    <t>GSE19941_UNSTIM_VS_LPS_AND_IL10_STIM_IL10_KO_NFKBP50_KO_MACROPHAGE_DN</t>
  </si>
  <si>
    <t>2533;6352;959;5734;9459;114836;3002;11010;6891;4033;441168;29126</t>
  </si>
  <si>
    <t>FYB1;CCL5;CD40LG;PTGER4;ARHGEF6;SLAMF6;GZMB;GLIPR1;TAP2;LRMP;CALHM6;CD274</t>
  </si>
  <si>
    <t>http://www.broadinstitute.org/gsea/msigdb/cards/GSE19941_UNSTIM_VS_LPS_AND_IL10_STIM_IL10_KO_NFKBP50_KO_MACROPHAGE_DN.html</t>
  </si>
  <si>
    <t>GSE19941_IL10_KO_VS_IL10_KO_AND_NFKBP50_KO_LPS_AND_IL10_STIM_MACROPHAGE_UP</t>
  </si>
  <si>
    <t>5294;8514;6404;4689;23533;55589;51225;4094;7454;3824;23166;4644</t>
  </si>
  <si>
    <t>PIK3CG;KCNAB2;SELPLG;NCF4;PIK3R5;BMP2K;ABI3;MAF;WAS;KLRD1;STAB1;MYO5A</t>
  </si>
  <si>
    <t>http://www.broadinstitute.org/gsea/msigdb/cards/GSE19941_IL10_KO_VS_IL10_KO_AND_NFKBP50_KO_LPS_AND_IL10_STIM_MACROPHAGE_UP.html</t>
  </si>
  <si>
    <t>GSE26290_WT_VS_PDK1_KO_ANTI_CD3_AND_IL2_STIM_CD8_TCELL_UP</t>
  </si>
  <si>
    <t>22797;929;942;3394;151888;6039;80342;9120;3684;9754;54861;29126</t>
  </si>
  <si>
    <t>TFEC;CD14;CD86;IRF8;BTLA;RNASE6;TRAF3IP3;SLC16A6;ITGAM;STARD8;SNRK;CD274</t>
  </si>
  <si>
    <t>http://www.broadinstitute.org/gsea/msigdb/cards/GSE26290_WT_VS_PDK1_KO_ANTI_CD3_AND_IL2_STIM_CD8_TCELL_UP.html</t>
  </si>
  <si>
    <t>GSE21063_WT_VS_NFATC1_KO_3H_ANTI_IGM_STIM_BCELL_UP</t>
  </si>
  <si>
    <t>962;940;6351;3676;10225;126014;64231;921;3902;2833;10457;118788</t>
  </si>
  <si>
    <t>CD48;CD28;CCL4;ITGA4;CD96;OSCAR;MS4A6A;CD5;LAG3;CXCR3;GPNMB;PIK3AP1</t>
  </si>
  <si>
    <t>http://www.broadinstitute.org/gsea/msigdb/cards/GSE21063_WT_VS_NFATC1_KO_3H_ANTI_IGM_STIM_BCELL_UP.html</t>
  </si>
  <si>
    <t>GSE23114_WT_VS_SLE2C1_MOUSE_SPLEEN_B1A_BCELL_UP</t>
  </si>
  <si>
    <t>9595;962;959;391;3937;3662;3553;5552;356;11010;8809;597</t>
  </si>
  <si>
    <t>CYTIP;CD48;CD40LG;RHOG;LCP2;IRF4;IL1B;SRGN;FASLG;GLIPR1;IL18R1;BCL2A1</t>
  </si>
  <si>
    <t>http://www.broadinstitute.org/gsea/msigdb/cards/GSE23114_WT_VS_SLE2C1_MOUSE_SPLEEN_B1A_BCELL_UP.html</t>
  </si>
  <si>
    <t>GSE26727_WT_VS_KLF2_KO_LPS_STIM_MACROPHAGE_UP</t>
  </si>
  <si>
    <t>10663;4242;2533;11309;3689;9744;9034;4360;140885;27163;4215;8605</t>
  </si>
  <si>
    <t>CXCR6;MFNG;FYB1;SLCO2B1;ITGB2;ACAP1;CCRL2;MRC1;SIRPA;NAAA;MAP3K3;PLA2G4C</t>
  </si>
  <si>
    <t>http://www.broadinstitute.org/gsea/msigdb/cards/GSE26727_WT_VS_KLF2_KO_LPS_STIM_MACROPHAGE_UP.html</t>
  </si>
  <si>
    <t>GSE26727_WT_VS_KLF2_KO_LPS_STIM_MACROPHAGE_DN</t>
  </si>
  <si>
    <t>6351;7133;959;2124;391;3662;114548;2672;3553;356;7185;597</t>
  </si>
  <si>
    <t>CCL4;TNFRSF1B;CD40LG;EVI2B;RHOG;IRF4;NLRP3;GFI1;IL1B;FASLG;TRAF1;BCL2A1</t>
  </si>
  <si>
    <t>http://www.broadinstitute.org/gsea/msigdb/cards/GSE26727_WT_VS_KLF2_KO_LPS_STIM_MACROPHAGE_DN.html</t>
  </si>
  <si>
    <t>2533;9214;951;3575;7805;9881;5552;4240;25900;10235;9806;54861</t>
  </si>
  <si>
    <t>FYB1;FCMR;CD37;IL7R;LAPTM5;TRANK1;SRGN;MFGE8;IFFO1;RASGRP2;SPOCK2;SNRK</t>
  </si>
  <si>
    <t>http://www.broadinstitute.org/gsea/msigdb/cards/GSE28726_ACT_CD4_TCELL_VS_ACT_VA24NEG_NKTCELL_DN.html</t>
  </si>
  <si>
    <t>GSE28726_NAIVE_VS_ACTIVATED_NKTCELL_DN</t>
  </si>
  <si>
    <t>9595;6351;7133;959;391;3937;2672;29851;5552;7185;8809;597</t>
  </si>
  <si>
    <t>CYTIP;CCL4;TNFRSF1B;CD40LG;RHOG;LCP2;GFI1;ICOS;SRGN;TRAF1;IL18R1;BCL2A1</t>
  </si>
  <si>
    <t>http://www.broadinstitute.org/gsea/msigdb/cards/GSE28726_NAIVE_VS_ACTIVATED_NKTCELL_DN.html</t>
  </si>
  <si>
    <t>9214;1536;962;3575;919;1236;7805;4050;4240;25900;10184;8605</t>
  </si>
  <si>
    <t>FCMR;CYBB;CD48;IL7R;CD247;CCR7;LAPTM5;LTB;MFGE8;IFFO1;LHFPL2;PLA2G4C</t>
  </si>
  <si>
    <t>GSE23321_CENTRAL_VS_EFFECTOR_MEMORY_CD8_TCELL_UP</t>
  </si>
  <si>
    <t>7133;80301;7099;4094;8530;5552;3902;3586;7185;100506736;168537;55013</t>
  </si>
  <si>
    <t>TNFRSF1B;PLEKHO2;TLR4;MAF;CST7;SRGN;LAG3;IL10;TRAF1;SLFN12L;GIMAP7;MCUB</t>
  </si>
  <si>
    <t>http://www.broadinstitute.org/gsea/msigdb/cards/GSE23321_CENTRAL_VS_EFFECTOR_MEMORY_CD8_TCELL_UP.html</t>
  </si>
  <si>
    <t>11151;8514;9744;56833;3111;6037;2833;55704;64780;79630;64581;25939</t>
  </si>
  <si>
    <t>CORO1A;KCNAB2;ACAP1;SLAMF8;HLA-DOA;RNASE3;CXCR3;CCDC88A;MICAL1;C1orf54;CLEC7A;SAMHD1</t>
  </si>
  <si>
    <t>http://www.broadinstitute.org/gsea/msigdb/cards/GSE26351_UNSTIM_VS_BMP_PATHWAY_STIM_HEMATOPOIETIC_PROGENITORS_UP.html</t>
  </si>
  <si>
    <t>6688;2123;2207;11151;151888;926;4066;4688;11010;6556;597;7462</t>
  </si>
  <si>
    <t>SPI1;EVI2A;FCER1G;CORO1A;BTLA;CD8B;LYL1;NCF2;GLIPR1;SLC11A1;BCL2A1;LAT2</t>
  </si>
  <si>
    <t>http://www.broadinstitute.org/gsea/msigdb/cards/GSE26030_TH1_VS_TH17_RESTIMULATED_DAY15_POST_POLARIZATION_DN.html</t>
  </si>
  <si>
    <t>9535;963;3603;83706;115361;84174;10870;1043;7454;11009;161145;4215</t>
  </si>
  <si>
    <t>GMFG;CD53;IL16;FERMT3;GBP4;SLA2;HCST;CD52;WAS;IL24;TMEM229B;MAP3K3</t>
  </si>
  <si>
    <t>GSE30971_WBP7_HET_VS_KO_MACROPHAGE_UP</t>
  </si>
  <si>
    <t>27334;929;3561;1236;3071;9120;6503;10672;5133;57514;50515;85479</t>
  </si>
  <si>
    <t>P2RY10;CD14;IL2RG;CCR7;NCKAP1L;SLC16A6;SLA;GNA13;PDCD1;ARHGAP31;CHST11;DNAJC5B</t>
  </si>
  <si>
    <t>http://www.broadinstitute.org/gsea/msigdb/cards/GSE30971_WBP7_HET_VS_KO_MACROPHAGE_UP.html</t>
  </si>
  <si>
    <t>3695;944;3662;11184;64231;2162;6402;4261;1601;55704;131450;84230</t>
  </si>
  <si>
    <t>ITGB7;TNFSF8;IRF4;MAP4K1;MS4A6A;F13A1;SELL;CIITA;DAB2;CCDC88A;CD200R1;LRRC8C</t>
  </si>
  <si>
    <t>http://www.broadinstitute.org/gsea/msigdb/cards/GSE34515_CD16_NEG_VS_POS_MONOCYTE_DN.html</t>
  </si>
  <si>
    <t>GSE37301_MULTIPOTENT_PROGENITOR_VS_GRAN_MONO_PROGENITOR_UP</t>
  </si>
  <si>
    <t>929;3575;6772;51744;55589;3717;4094;6037;728;1601;3824;25939</t>
  </si>
  <si>
    <t>CD14;IL7R;STAT1;CD244;BMP2K;JAK2;MAF;RNASE3;C5AR1;DAB2;KLRD1;SAMHD1</t>
  </si>
  <si>
    <t>http://www.broadinstitute.org/gsea/msigdb/cards/GSE37301_MULTIPOTENT_PROGENITOR_VS_GRAN_MONO_PROGENITOR_UP.html</t>
  </si>
  <si>
    <t>1436;962;1236;2124;3702;55843;50615;56253;3162;728;10462;6614</t>
  </si>
  <si>
    <t>CSF1R;CD48;CCR7;EVI2B;ITK;ARHGAP15;IL21R;CRTAM;HMOX1;C5AR1;CLEC10A;SIGLEC1</t>
  </si>
  <si>
    <t>http://www.broadinstitute.org/gsea/msigdb/cards/GSE37301_COMMON_LYMPHOID_PROGENITOR_VS_GRAN_MONO_PROGENITOR_DN.html</t>
  </si>
  <si>
    <t>GSE37301_HEMATOPOIETIC_STEM_CELL_VS_COMMON_LYMPHOID_PROGENITOR_DN</t>
  </si>
  <si>
    <t>3627;3575;6688;2322;399;8477;80380;56659;54209;526;2213;9815</t>
  </si>
  <si>
    <t>CXCL10;IL7R;SPI1;FLT3;RHOH;GPR65;PDCD1LG2;KCNK13;TREM2;ATP6V1B2;FCGR2B;GIT2</t>
  </si>
  <si>
    <t>http://www.broadinstitute.org/gsea/msigdb/cards/GSE37301_HEMATOPOIETIC_STEM_CELL_VS_COMMON_LYMPHOID_PROGENITOR_DN.html</t>
  </si>
  <si>
    <t>3932;944;151888;10019;56253;2811;4050;3824;10235;120425;54861</t>
  </si>
  <si>
    <t>LCK;TNFSF8;BTLA;SH2B3;CRTAM;GP1BA;LTB;KLRD1;RASGRP2;JAML;SNRK</t>
  </si>
  <si>
    <t>http://www.broadinstitute.org/gsea/msigdb/cards/GSE32255_WT_UNSTIM_VS_JMJD2D_KNOCKDOWN_4H_LPS_STIM_DC_UP.html</t>
  </si>
  <si>
    <t>GSE37534_UNTREATED_VS_PIOGLITAZONE_TREATED_CD4_TCELL_PPARG1_AND_FOXP3_TRASDUCED_DN</t>
  </si>
  <si>
    <t>3627;3659;7453;2633;6772;6890;51296;80380;51393;10437;6891;55281</t>
  </si>
  <si>
    <t>CXCL10;IRF1;WARS;GBP1;STAT1;TAP1;SLC15A3;PDCD1LG2;TRPV2;IFI30;TAP2;TMEM140</t>
  </si>
  <si>
    <t>http://www.broadinstitute.org/gsea/msigdb/cards/GSE37534_UNTREATED_VS_PIOGLITAZONE_TREATED_CD4_TCELL_PPARG1_AND_FOXP3_TRASDUCED_DN.html</t>
  </si>
  <si>
    <t>GSE38697_LIGHT_ZONE_VS_DARK_ZONE_BCELL_UP</t>
  </si>
  <si>
    <t>962;941;10666;114836;8905;54331;969;54518;131450;79895;51063</t>
  </si>
  <si>
    <t>CD48;CD80;CD226;SLAMF6;AP1S2;GNG2;CD69;APBB1IP;CD200R1;ATP8B4;CALHM2</t>
  </si>
  <si>
    <t>http://www.broadinstitute.org/gsea/msigdb/cards/GSE38697_LIGHT_ZONE_VS_DARK_ZONE_BCELL_UP.html</t>
  </si>
  <si>
    <t>GSE33162_HDAC3_KO_VS_HDAC3_KO_MACROPHAGE_UP</t>
  </si>
  <si>
    <t>3627;919;1236;6772;6890;54557;50615;57105;596;7185;55803;11217</t>
  </si>
  <si>
    <t>CXCL10;CD247;CCR7;STAT1;TAP1;SGTB;IL21R;CYSLTR2;BCL2;TRAF1;ADAP2;AKAP2</t>
  </si>
  <si>
    <t>http://www.broadinstitute.org/gsea/msigdb/cards/GSE33162_HDAC3_KO_VS_HDAC3_KO_MACROPHAGE_UP.html</t>
  </si>
  <si>
    <t>GSE39152_SPLEEN_CD103_NEG_VS_BRAIN_CD103_POS_MEMORY_CD8_TCELL_UP</t>
  </si>
  <si>
    <t>712;653361;919;3594;83706;3635;10019;19;3162;3109;51762;9935</t>
  </si>
  <si>
    <t>C1QA;NCF1;CD247;IL12RB1;FERMT3;INPP5D;SH2B3;ABCA1;HMOX1;HLA-DMB;RAB8B;MAFB</t>
  </si>
  <si>
    <t>http://www.broadinstitute.org/gsea/msigdb/cards/GSE39152_SPLEEN_CD103_NEG_VS_BRAIN_CD103_POS_MEMORY_CD8_TCELL_UP.html</t>
  </si>
  <si>
    <t>GSE40666_NAIVE_VS_EFFECTOR_CD8_TCELL_WITH_IFNA_STIM_90MIN_DN</t>
  </si>
  <si>
    <t>919;3937;6504;26051;51225;9120;2162;3111;55704;59345;56606;25939</t>
  </si>
  <si>
    <t>CD247;LCP2;SLAMF1;PPP1R16B;ABI3;SLC16A6;F13A1;HLA-DOA;CCDC88A;GNB4;SLC2A9;SAMHD1</t>
  </si>
  <si>
    <t>http://www.broadinstitute.org/gsea/msigdb/cards/GSE40666_NAIVE_VS_EFFECTOR_CD8_TCELL_WITH_IFNA_STIM_90MIN_DN.html</t>
  </si>
  <si>
    <t>GSE40666_WT_VS_STAT4_KO_CD8_TCELL_WITH_IFNA_STIM_90MIN_DN</t>
  </si>
  <si>
    <t>9404;51284;51393;9034;8530;3956;5552;3824;8809;4818;79895;22806</t>
  </si>
  <si>
    <t>LPXN;TLR7;TRPV2;CCRL2;CST7;LGALS1;SRGN;KLRD1;IL18R1;NKG7;ATP8B4;IKZF3</t>
  </si>
  <si>
    <t>http://www.broadinstitute.org/gsea/msigdb/cards/GSE40666_WT_VS_STAT4_KO_CD8_TCELL_WITH_IFNA_STIM_90MIN_DN.html</t>
  </si>
  <si>
    <t>3659;3575;1236;55843;3903;8477;256380;139716;23533;3290;11010;4215</t>
  </si>
  <si>
    <t>IRF1;IL7R;CCR7;ARHGAP15;LAIR1;GPR65;SCML4;GAB3;PIK3R5;HSD11B1;GLIPR1;MAP3K3</t>
  </si>
  <si>
    <t>http://www.broadinstitute.org/gsea/msigdb/cards/GSE39110_DAY3_VS_DAY6_POST_IMMUNIZATION_CD8_TCELL_WITH_IL2_TREATMENT_DN.html</t>
  </si>
  <si>
    <t>GSE36078_WT_VS_IL1R_KO_LUNG_DC_AFTER_AD5_T425A_HEXON_INF_UP</t>
  </si>
  <si>
    <t>4542;9839;3687;942;3594;23533;115361;30009;9120;3956;10235;25939</t>
  </si>
  <si>
    <t>MYO1F;ZEB2;ITGAX;CD86;IL12RB1;PIK3R5;GBP4;TBX21;SLC16A6;LGALS1;RASGRP2;SAMHD1</t>
  </si>
  <si>
    <t>http://www.broadinstitute.org/gsea/msigdb/cards/GSE36078_WT_VS_IL1R_KO_LUNG_DC_AFTER_AD5_T425A_HEXON_INF_UP.html</t>
  </si>
  <si>
    <t>GSE11961_GERMINAL_CENTER_BCELL_DAY7_VS_GERMINAL_CENTER_BCELL_DAY40_DN</t>
  </si>
  <si>
    <t>3659;942;199;84166;114836;348;241;1235;4050;57705;11217;27240</t>
  </si>
  <si>
    <t>IRF1;CD86;AIF1;NLRC5;SLAMF6;APOE;ALOX5AP;CCR6;LTB;WDFY4;AKAP2;SIT1</t>
  </si>
  <si>
    <t>http://www.broadinstitute.org/gsea/msigdb/cards/GSE11961_GERMINAL_CENTER_BCELL_DAY7_VS_GERMINAL_CENTER_BCELL_DAY40_DN.html</t>
  </si>
  <si>
    <t>7305;10320;257106;23533;3717;5376;5133;79865;118788;64780;55281;55691</t>
  </si>
  <si>
    <t>TYROBP;IKZF1;ARHGAP30;PIK3R5;JAK2;PMP22;PDCD1;TREML2;PIK3AP1;MICAL1;TMEM140;FRMD4A</t>
  </si>
  <si>
    <t>http://www.broadinstitute.org/gsea/msigdb/cards/GSE11961_FOLLICULAR_BCELL_VS_MEMORY_BCELL_DAY7_UP.html</t>
  </si>
  <si>
    <t>GSE11961_MEMORY_BCELL_DAY7_VS_GERMINAL_CENTER_BCELL_DAY40_UP</t>
  </si>
  <si>
    <t>3627;3659;7453;942;3594;8477;730249;3718;79865;161145;168537;10507</t>
  </si>
  <si>
    <t>CXCL10;IRF1;WARS;CD86;IL12RB1;GPR65;ACOD1;JAK3;TREML2;TMEM229B;GIMAP7;SEMA4D</t>
  </si>
  <si>
    <t>http://www.broadinstitute.org/gsea/msigdb/cards/GSE11961_MEMORY_BCELL_DAY7_VS_GERMINAL_CENTER_BCELL_DAY40_UP.html</t>
  </si>
  <si>
    <t>GSE11961_GERMINAL_CENTER_BCELL_DAY7_VS_PLASMA_CELL_DAY7_DN</t>
  </si>
  <si>
    <t>27334;1439;942;80231;55589;4049;241;3108;27163;118788;10184;83937</t>
  </si>
  <si>
    <t>P2RY10;CSF2RB;CD86;CXorf21;BMP2K;LTA;ALOX5AP;HLA-DMA;NAAA;PIK3AP1;LHFPL2;RASSF4</t>
  </si>
  <si>
    <t>http://www.broadinstitute.org/gsea/msigdb/cards/GSE11961_GERMINAL_CENTER_BCELL_DAY7_VS_PLASMA_CELL_DAY7_DN.html</t>
  </si>
  <si>
    <t>GSE11961_GERMINAL_CENTER_BCELL_DAY7_VS_MEMORY_BCELL_DAY40_UP</t>
  </si>
  <si>
    <t>6351;3683;286336;57580;64333;51744;366;3902;11010;55911;54504;50515</t>
  </si>
  <si>
    <t>CCL4;ITGAL;FAM78A;PREX1;ARHGAP9;CD244;AQP9;LAG3;GLIPR1;APOBR;CPVL;CHST11</t>
  </si>
  <si>
    <t>http://www.broadinstitute.org/gsea/msigdb/cards/GSE11961_GERMINAL_CENTER_BCELL_DAY7_VS_MEMORY_BCELL_DAY40_UP.html</t>
  </si>
  <si>
    <t>GSE34179_THPOK_KO_VS_WT_VA14I_NKTCELL_DN</t>
  </si>
  <si>
    <t>3559;5341;6351;3394;3662;219972;80301;59067;6776;1237;3604;969</t>
  </si>
  <si>
    <t>IL2RA;PLEK;CCL4;IRF8;IRF4;MPEG1;PLEKHO2;IL21;STAT5A;CCR8;TNFRSF9;CD69</t>
  </si>
  <si>
    <t>http://www.broadinstitute.org/gsea/msigdb/cards/GSE34179_THPOK_KO_VS_WT_VA14I_NKTCELL_DN.html</t>
  </si>
  <si>
    <t>GSE39556_CD8A_DC_VS_NK_CELL_UP</t>
  </si>
  <si>
    <t>7940;2633;2322;10225;199;3937;10288;6518;4208;11027;23312;81553</t>
  </si>
  <si>
    <t>LST1;GBP1;FLT3;CD96;AIF1;LCP2;LILRB2;SLC2A5;MEF2C;LILRA2;DMXL2;FAM49A</t>
  </si>
  <si>
    <t>http://www.broadinstitute.org/gsea/msigdb/cards/GSE39556_CD8A_DC_VS_NK_CELL_UP.html</t>
  </si>
  <si>
    <t>GSE41867_NAIVE_VS_DAY8_LCMV_ARMSTRONG_EFFECTOR_CD8_TCELL_DN</t>
  </si>
  <si>
    <t>340152;4542;3689;2268;5551;221472;256380;58475;1508;5452;2212;4360</t>
  </si>
  <si>
    <t>ZC3H12D;MYO1F;ITGB2;FGR;PRF1;FGD2;SCML4;MS4A7;CTSB;POU2F2;FCGR2A;MRC1</t>
  </si>
  <si>
    <t>http://www.broadinstitute.org/gsea/msigdb/cards/GSE41867_NAIVE_VS_DAY8_LCMV_ARMSTRONG_EFFECTOR_CD8_TCELL_DN.html</t>
  </si>
  <si>
    <t>GSE39382_IL3_VS_IL3_IL33_TREATED_MAST_CELL_DN</t>
  </si>
  <si>
    <t>1318;8676;80833;3458;3659;391;3394;26051;29851;366;3717;51513</t>
  </si>
  <si>
    <t>SLC31A2;STX11;APOL3;IFNG;IRF1;RHOG;IRF8;PPP1R16B;ICOS;AQP9;JAK2;ETV7</t>
  </si>
  <si>
    <t>http://www.broadinstitute.org/gsea/msigdb/cards/GSE39382_IL3_VS_IL3_IL33_TREATED_MAST_CELL_DN.html</t>
  </si>
  <si>
    <t>GSE41978_WT_VS_ID2_KO_KLRG1_LOW_EFFECTOR_CD8_TCELL_DN</t>
  </si>
  <si>
    <t>9450;2209;3676;7453;221472;9034;8564;5552;596;91010;84230;5027</t>
  </si>
  <si>
    <t>LY86;FCGR1A;ITGA4;WARS;FGD2;CCRL2;KMO;SRGN;BCL2;FMNL3;LRRC8C;P2RX7</t>
  </si>
  <si>
    <t>http://www.broadinstitute.org/gsea/msigdb/cards/GSE41978_WT_VS_ID2_KO_KLRG1_LOW_EFFECTOR_CD8_TCELL_DN.html</t>
  </si>
  <si>
    <t>GSE41978_ID2_KO_AND_BIM_KO_VS_BIM_KO_KLRG1_LOW_EFFECTOR_CD8_TCELL_UP</t>
  </si>
  <si>
    <t>22797;4068;929;3055;93978;921;4481;2529;10457;57514;11217;27240</t>
  </si>
  <si>
    <t>TFEC;SH2D1A;CD14;HCK;CLEC6A;CD5;MSR1;FUT7;GPNMB;ARHGAP31;AKAP2;SIT1</t>
  </si>
  <si>
    <t>http://www.broadinstitute.org/gsea/msigdb/cards/GSE41978_ID2_KO_AND_BIM_KO_VS_BIM_KO_KLRG1_LOW_EFFECTOR_CD8_TCELL_UP.html</t>
  </si>
  <si>
    <t>GSE42021_CD24INT_VS_CD24LOW_TREG_THYMUS_DN</t>
  </si>
  <si>
    <t>11309;3627;914;6352;51056;51296;6373;9881;5376;64919;7462;80183</t>
  </si>
  <si>
    <t>SLCO2B1;CXCL10;CD2;CCL5;LAP3;SLC15A3;CXCL11;TRANK1;PMP22;BCL11B;LAT2;RUBCNL</t>
  </si>
  <si>
    <t>http://www.broadinstitute.org/gsea/msigdb/cards/GSE42021_CD24INT_VS_CD24LOW_TREG_THYMUS_DN.html</t>
  </si>
  <si>
    <t>GSE42021_CD24INT_TREG_VS_CD24INT_TCONV_THYMUS_UP</t>
  </si>
  <si>
    <t>7456;2313;719;5800;64926;3635;64231;6793;4066;7454;10077;7462</t>
  </si>
  <si>
    <t>WIPF1;FLI1;C3AR1;PTPRO;RASAL3;INPP5D;MS4A6A;STK10;LYL1;WAS;TSPAN32;LAT2</t>
  </si>
  <si>
    <t>http://www.broadinstitute.org/gsea/msigdb/cards/GSE42021_CD24INT_TREG_VS_CD24INT_TCONV_THYMUS_UP.html</t>
  </si>
  <si>
    <t>GSE43955_TH0_VS_TGFB_IL6_TH17_ACT_CD4_TCELL_30H_DN</t>
  </si>
  <si>
    <t>925;917;7133;2123;2014;695;4063;3553;3059;943;1043;597</t>
  </si>
  <si>
    <t>CD8A;CD3G;TNFRSF1B;EVI2A;EMP3;BTK;LY9;IL1B;HCLS1;TNFRSF8;CD52;BCL2A1</t>
  </si>
  <si>
    <t>http://www.broadinstitute.org/gsea/msigdb/cards/GSE43955_TH0_VS_TGFB_IL6_TH17_ACT_CD4_TCELL_30H_DN.html</t>
  </si>
  <si>
    <t>9051;9535;925;2014;3937;4689;255231;55589;6793;7941;64747;23166</t>
  </si>
  <si>
    <t>PSTPIP1;GMFG;CD8A;EMP3;LCP2;NCF4;MCOLN2;BMP2K;STK10;PLA2G7;MFSD1;STAB1</t>
  </si>
  <si>
    <t>http://www.broadinstitute.org/gsea/msigdb/cards/GSE43955_TGFB_IL6_VS_TGFB_IL6_IL23_TH17_ACT_CD4_TCELL_60H_UP.html</t>
  </si>
  <si>
    <t>GSE43955_1H_VS_42H_ACT_CD4_TCELL_WITH_TGFB_IL6_UP</t>
  </si>
  <si>
    <t>3559;925;8514;6404;83706;9056;6793;3108;729230;1235;7941;10077</t>
  </si>
  <si>
    <t>IL2RA;CD8A;KCNAB2;SELPLG;FERMT3;SLC7A7;STK10;HLA-DMA;CCR2;CCR6;PLA2G7;TSPAN32</t>
  </si>
  <si>
    <t>http://www.broadinstitute.org/gsea/msigdb/cards/GSE43955_1H_VS_42H_ACT_CD4_TCELL_WITH_TGFB_IL6_UP.html</t>
  </si>
  <si>
    <t>GSE43955_10H_VS_60H_ACT_CD4_TCELL_DN</t>
  </si>
  <si>
    <t>9535;9595;940;7535;3662;255231;55589;4094;3586;2213;10672;4644</t>
  </si>
  <si>
    <t>GMFG;CYTIP;CD28;ZAP70;IRF4;MCOLN2;BMP2K;MAF;IL10;FCGR2B;GNA13;MYO5A</t>
  </si>
  <si>
    <t>http://www.broadinstitute.org/gsea/msigdb/cards/GSE43955_10H_VS_60H_ACT_CD4_TCELL_DN.html</t>
  </si>
  <si>
    <t>GSE43955_10H_VS_30H_ACT_CD4_TCELL_WITH_TGFB_IL6_UP</t>
  </si>
  <si>
    <t>713;962;6352;3687;1439;10871;8477;2672;2811;3936;8905;55704</t>
  </si>
  <si>
    <t>C1QB;CD48;CCL5;ITGAX;CSF2RB;CD300C;GPR65;GFI1;GP1BA;LCP1;AP1S2;CCDC88A</t>
  </si>
  <si>
    <t>http://www.broadinstitute.org/gsea/msigdb/cards/GSE43955_10H_VS_30H_ACT_CD4_TCELL_WITH_TGFB_IL6_UP.html</t>
  </si>
  <si>
    <t>GSE44955_MCSF_VS_MCSF_AND_IL27_STIM_MACROPHAGE_DN</t>
  </si>
  <si>
    <t>3561;6404;128346;3635;11184;3956;2113;27163;9363;79865;57705;84230</t>
  </si>
  <si>
    <t>IL2RG;SELPLG;C1orf162;INPP5D;MAP4K1;LGALS1;ETS1;NAAA;RAB33A;TREML2;WDFY4;LRRC8C</t>
  </si>
  <si>
    <t>http://www.broadinstitute.org/gsea/msigdb/cards/GSE44955_MCSF_VS_MCSF_AND_IL27_STIM_MACROPHAGE_DN.html</t>
  </si>
  <si>
    <t>GSE46606_DAY1_VS_DAY3_CD40L_IL2_IL5_STIMULATED_IRF4MID_BCELL_UP</t>
  </si>
  <si>
    <t>6352;1493;971;941;51296;259307;29851;10537;10154;3936;3586;10148</t>
  </si>
  <si>
    <t>CCL5;CTLA4;CD72;CD80;SLC15A3;IL4I1;ICOS;UBD;PLXNC1;LCP1;IL10;EBI3</t>
  </si>
  <si>
    <t>http://www.broadinstitute.org/gsea/msigdb/cards/GSE46606_DAY1_VS_DAY3_CD40L_IL2_IL5_STIMULATED_IRF4MID_BCELL_UP.html</t>
  </si>
  <si>
    <t>GSE45739_NRAS_KO_VS_WT_UNSTIM_CD4_TCELL_UP</t>
  </si>
  <si>
    <t>4242;8676;3458;962;3560;3587;152789;64092;10019;366;596;51762</t>
  </si>
  <si>
    <t>MFNG;STX11;IFNG;CD48;IL2RB;IL10RA;JAKMIP1;SAMSN1;SH2B3;AQP9;BCL2;RAB8B</t>
  </si>
  <si>
    <t>http://www.broadinstitute.org/gsea/msigdb/cards/GSE45739_NRAS_KO_VS_WT_UNSTIM_CD4_TCELL_UP.html</t>
  </si>
  <si>
    <t>GSE45739_NRAS_KO_VS_WT_UNSTIM_CD4_TCELL_DN</t>
  </si>
  <si>
    <t>2123;6772;55843;197358;8477;6402;2113;3988;203100;145864;8605;51513</t>
  </si>
  <si>
    <t>EVI2A;STAT1;ARHGAP15;NLRC3;GPR65;SELL;ETS1;LIPA;HTRA4;HAPLN3;PLA2G4C;ETV7</t>
  </si>
  <si>
    <t>http://www.broadinstitute.org/gsea/msigdb/cards/GSE45739_NRAS_KO_VS_WT_UNSTIM_CD4_TCELL_DN.html</t>
  </si>
  <si>
    <t>GSE42088_UNINF_VS_LEISHMANIA_INF_DC_4H_UP</t>
  </si>
  <si>
    <t>941;29992;4360;3290;6507;7941;10148;55704;83937;30835;57823;51466</t>
  </si>
  <si>
    <t>CD80;PILRA;MRC1;HSD11B1;SLC1A3;PLA2G7;EBI3;CCDC88A;RASSF4;CD209;SLAMF7;EVL</t>
  </si>
  <si>
    <t>http://www.broadinstitute.org/gsea/msigdb/cards/GSE42088_UNINF_VS_LEISHMANIA_INF_DC_4H_UP.html</t>
  </si>
  <si>
    <t>GSE45365_NK_CELL_VS_CD8A_DC_UP</t>
  </si>
  <si>
    <t>27334;11151;3561;2014;10871;3937;140885;80709;84329;23166;51466;9935</t>
  </si>
  <si>
    <t>P2RY10;CORO1A;IL2RG;EMP3;CD300C;LCP2;SIRPA;AKNA;HVCN1;STAB1;EVL;MAFB</t>
  </si>
  <si>
    <t>http://www.broadinstitute.org/gsea/msigdb/cards/GSE45365_NK_CELL_VS_CD8A_DC_UP.html</t>
  </si>
  <si>
    <t>GSE7348_LPS_VS_TOLERIZED_AND_LPS_STIM_MACROPHAGE_DN</t>
  </si>
  <si>
    <t>6352;3676;7453;944;3594;53829;57105;9938;9754;59345;9935</t>
  </si>
  <si>
    <t>CCL5;ITGA4;WARS;TNFSF8;IL12RB1;P2RY13;CYSLTR2;ARHGAP25;STARD8;GNB4;MAFB</t>
  </si>
  <si>
    <t>http://www.broadinstitute.org/gsea/msigdb/cards/GSE7348_LPS_VS_TOLERIZED_AND_LPS_STIM_MACROPHAGE_DN.html</t>
  </si>
  <si>
    <t>GSE35825_UNTREATED_VS_IFNA_STIM_MACROPHAGE_UP</t>
  </si>
  <si>
    <t>4542;2313;286336;57580;139716;3635;23048;4033;375387;25780;64780</t>
  </si>
  <si>
    <t>MYO1F;FLI1;FAM78A;PREX1;GAB3;INPP5D;FNBP1;LRMP;NRROS;RASGRP3;MICAL1</t>
  </si>
  <si>
    <t>http://www.broadinstitute.org/gsea/msigdb/cards/GSE35825_UNTREATED_VS_IFNA_STIM_MACROPHAGE_UP.html</t>
  </si>
  <si>
    <t>GSE6259_FLT3L_INDUCED_DEC205_POS_DC_VS_CD8_TCELL_UP</t>
  </si>
  <si>
    <t>1436;3687;2014;150372;4261;1235;1601;27163;8809;115727</t>
  </si>
  <si>
    <t>CSF1R;ITGAX;EMP3;NFAM1;CIITA;CCR6;DAB2;NAAA;IL18R1;RASGRP4</t>
  </si>
  <si>
    <t>http://www.broadinstitute.org/gsea/msigdb/cards/GSE6259_FLT3L_INDUCED_DEC205_POS_DC_VS_CD8_TCELL_UP.html</t>
  </si>
  <si>
    <t>GSE13547_2H_VS_12_H_ANTI_IGM_STIM_BCELL_UP</t>
  </si>
  <si>
    <t>3055;10875;84868;1240;51284;8320;3902;3586;3003;5133;7462</t>
  </si>
  <si>
    <t>HCK;FGL2;HAVCR2;CMKLR1;TLR7;EOMES;LAG3;IL10;GZMK;PDCD1;LAT2</t>
  </si>
  <si>
    <t>http://www.broadinstitute.org/gsea/msigdb/cards/GSE13547_2H_VS_12_H_ANTI_IGM_STIM_BCELL_UP.html</t>
  </si>
  <si>
    <t>GSE3920_UNTREATED_VS_IFNB_TREATED_ENDOTHELIAL_CELL_DN</t>
  </si>
  <si>
    <t>3560;10875;286336;283897;387357;57580;27163;54518;91526;84230;51063</t>
  </si>
  <si>
    <t>IL2RB;FGL2;FAM78A;C16orf54;THEMIS;PREX1;NAAA;APBB1IP;ANKRD44;LRRC8C;CALHM2</t>
  </si>
  <si>
    <t>http://www.broadinstitute.org/gsea/msigdb/cards/GSE3920_UNTREATED_VS_IFNB_TREATED_ENDOTHELIAL_CELL_DN.html</t>
  </si>
  <si>
    <t>GSE8685_IL2_ACT_IL2_STARVED_VS_IL21_ACT_IL2_STARVED_CD4_TCELL_UP</t>
  </si>
  <si>
    <t>9404;2268;5734;399;10154;8530;6776;54331;168537;51676;5027</t>
  </si>
  <si>
    <t>LPXN;FGR;PTGER4;RHOH;PLXNC1;CST7;STAT5A;GNG2;GIMAP7;ASB2;P2RX7</t>
  </si>
  <si>
    <t>http://www.broadinstitute.org/gsea/msigdb/cards/GSE8685_IL2_ACT_IL2_STARVED_VS_IL21_ACT_IL2_STARVED_CD4_TCELL_UP.html</t>
  </si>
  <si>
    <t>GSE37532_WT_VS_PPARG_KO_LN_TREG_UP</t>
  </si>
  <si>
    <t>7456;920;653361;941;23533;26051;55589;19;5452;5552;27163</t>
  </si>
  <si>
    <t>WIPF1;CD4;NCF1;CD80;PIK3R5;PPP1R16B;BMP2K;ABCA1;POU2F2;SRGN;NAAA</t>
  </si>
  <si>
    <t>http://www.broadinstitute.org/gsea/msigdb/cards/GSE37532_WT_VS_PPARG_KO_LN_TREG_UP.html</t>
  </si>
  <si>
    <t>GSE27859_CD11C_INT_F480_HI_MACROPHAGE_VS_CD11C_ING_F480_INT_DC_UP</t>
  </si>
  <si>
    <t>4245;2313;719;116986;64407;54209;8832;1043;1230;206358;5027</t>
  </si>
  <si>
    <t>MGAT1;FLI1;C3AR1;AGAP2;RGS18;TREM2;CD84;CD52;CCR1;SLC36A1;P2RX7</t>
  </si>
  <si>
    <t>http://www.broadinstitute.org/gsea/msigdb/cards/GSE27859_CD11C_INT_F480_HI_MACROPHAGE_VS_CD11C_ING_F480_INT_DC_UP.html</t>
  </si>
  <si>
    <t>3559;5579;940;971;117289;89857;57105;4050;57514;79865;120425</t>
  </si>
  <si>
    <t>IL2RA;PRKCB;CD28;CD72;TAGAP;KLHL6;CYSLTR2;LTB;ARHGAP31;TREML2;JAML</t>
  </si>
  <si>
    <t>GSE25146_UNSTIM_VS_HELIOBACTER_PYLORI_LPS_STIM_AGS_CELL_UP</t>
  </si>
  <si>
    <t>5778;695;9744;257106;154075;115362;51393;10154;4033;10235;25780</t>
  </si>
  <si>
    <t>PTPN7;BTK;ACAP1;ARHGAP30;SAMD3;GBP5;TRPV2;PLXNC1;LRMP;RASGRP2;RASGRP3</t>
  </si>
  <si>
    <t>http://www.broadinstitute.org/gsea/msigdb/cards/GSE25146_UNSTIM_VS_HELIOBACTER_PYLORI_LPS_STIM_AGS_CELL_UP.html</t>
  </si>
  <si>
    <t>GSE13547_WT_VS_ZFX_KO_BCELL_ANTI_IGM_STIM_12H_DN</t>
  </si>
  <si>
    <t>10663;3575;10225;10666;256380;154075;139716;56253;3274;7185</t>
  </si>
  <si>
    <t>CXCR6;IL7R;CD96;CD226;SCML4;SAMD3;GAB3;CRTAM;HRH2;TRAF1</t>
  </si>
  <si>
    <t>http://www.broadinstitute.org/gsea/msigdb/cards/GSE13547_WT_VS_ZFX_KO_BCELL_ANTI_IGM_STIM_12H_DN.html</t>
  </si>
  <si>
    <t>GSE14415_NATURAL_TREG_VS_FOXP3_KO_NATURAL_TREG_DN</t>
  </si>
  <si>
    <t>9839;917;6351;6352;50852;154075;8320;3553;924;90634</t>
  </si>
  <si>
    <t>ZEB2;CD3G;CCL4;CCL5;TRAT1;SAMD3;EOMES;IL1B;CD7;N4BP2L1</t>
  </si>
  <si>
    <t>http://www.broadinstitute.org/gsea/msigdb/cards/GSE14415_NATURAL_TREG_VS_FOXP3_KO_NATURAL_TREG_DN.html</t>
  </si>
  <si>
    <t>GSE14415_INDUCED_VS_NATURAL_TREG_UP</t>
  </si>
  <si>
    <t>9839;4068;917;6351;6352;154075;139716;8320;924;90634</t>
  </si>
  <si>
    <t>ZEB2;SH2D1A;CD3G;CCL4;CCL5;SAMD3;GAB3;EOMES;CD7;N4BP2L1</t>
  </si>
  <si>
    <t>http://www.broadinstitute.org/gsea/msigdb/cards/GSE14415_INDUCED_VS_NATURAL_TREG_UP.html</t>
  </si>
  <si>
    <t>GSE35825_UNTREATED_VS_IFNG_STIM_MACROPHAGE_DN</t>
  </si>
  <si>
    <t>4542;4354;719;57580;89857;1794;23048;8905;140885;4208;54861</t>
  </si>
  <si>
    <t>MYO1F;MPP1;C3AR1;PREX1;KLHL6;DOCK2;FNBP1;AP1S2;SIRPA;MEF2C;SNRK</t>
  </si>
  <si>
    <t>http://www.broadinstitute.org/gsea/msigdb/cards/GSE35825_UNTREATED_VS_IFNG_STIM_MACROPHAGE_DN.html</t>
  </si>
  <si>
    <t>GSE3920_UNTREATED_VS_IFNG_TREATED_ENDOTHELIAL_CELL_UP</t>
  </si>
  <si>
    <t>3627;6351;3702;26051;1237;203100;969;7185;89846;29126</t>
  </si>
  <si>
    <t>CXCL10;CCL4;ITK;PPP1R16B;CCR8;HTRA4;CD69;TRAF1;FGD3;CD274</t>
  </si>
  <si>
    <t>http://www.broadinstitute.org/gsea/msigdb/cards/GSE3920_UNTREATED_VS_IFNG_TREATED_ENDOTHELIAL_CELL_UP.html</t>
  </si>
  <si>
    <t>GSE3920_IFNA_VS_IFNG_TREATED_FIBROBLAST_DN</t>
  </si>
  <si>
    <t>5579;971;1236;1233;221188;152789;64170;27306;57514;79865;9754</t>
  </si>
  <si>
    <t>PRKCB;CD72;CCR7;CCR4;ADGRG5;JAKMIP1;CARD9;HPGDS;ARHGAP31;TREML2;STARD8</t>
  </si>
  <si>
    <t>http://www.broadinstitute.org/gsea/msigdb/cards/GSE3920_IFNA_VS_IFNG_TREATED_FIBROBLAST_DN.html</t>
  </si>
  <si>
    <t>GSE37301_HEMATOPOIETIC_STEM_CELL_VS_GRAN_MONO_PROGENITOR_UP</t>
  </si>
  <si>
    <t>3560;1493;923;2672;8320;921;1237;3604;4033;9815</t>
  </si>
  <si>
    <t>IL2RB;CTLA4;CD6;GFI1;EOMES;CD5;CCR8;TNFRSF9;LRMP;GIT2</t>
  </si>
  <si>
    <t>http://www.broadinstitute.org/gsea/msigdb/cards/GSE37301_HEMATOPOIETIC_STEM_CELL_VS_GRAN_MONO_PROGENITOR_UP.html</t>
  </si>
  <si>
    <t>GSE7596_AKT_TRANSD_VS_CTRL_CD4_TCONV_WITH_TGFB_UP</t>
  </si>
  <si>
    <t>2533;1536;3659;3394;114836;115362;29851;3717;4094;29126</t>
  </si>
  <si>
    <t>FYB1;CYBB;IRF1;IRF8;SLAMF6;GBP5;ICOS;JAK2;MAF;CD274</t>
  </si>
  <si>
    <t>http://www.broadinstitute.org/gsea/msigdb/cards/GSE7596_AKT_TRANSD_VS_CTRL_CD4_TCONV_WITH_TGFB_UP.html</t>
  </si>
  <si>
    <t>GSE13522_CTRL_VS_T_CRUZI_Y_STRAIN_INF_SKIN_BALBC_MOUSE_DN</t>
  </si>
  <si>
    <t>1236;387357;51338;6402;55704;441168;338339;81553;51466</t>
  </si>
  <si>
    <t>CCR7;THEMIS;MS4A4A;SELL;CCDC88A;CALHM6;CLEC4D;FAM49A;EVL</t>
  </si>
  <si>
    <t>http://www.broadinstitute.org/gsea/msigdb/cards/GSE13522_CTRL_VS_T_CRUZI_Y_STRAIN_INF_SKIN_BALBC_MOUSE_DN.html</t>
  </si>
  <si>
    <t>4242;9402;920;959;5294;10320;387357;29909;366;55704</t>
  </si>
  <si>
    <t>MFNG;GRAP2;CD4;CD40LG;PIK3CG;IKZF1;THEMIS;GPR171;AQP9;CCDC88A</t>
  </si>
  <si>
    <t>http://www.broadinstitute.org/gsea/msigdb/cards/GSE8685_IL15_ACT_IL2_STARVED_VS_IL21_ACT_IL2_STARVED_CD4_TCELL_DN.html</t>
  </si>
  <si>
    <t>GSE1566_WT_VS_EZH2_KO_LN_TCELL_UP</t>
  </si>
  <si>
    <t>1493;10666;283897;6373;341;1508;441168;116071;131450;6363;85479</t>
  </si>
  <si>
    <t>CTLA4;CD226;C16orf54;CXCL11;APOC1;CTSB;CALHM6;BATF2;CD200R1;CCL19;DNAJC5B</t>
  </si>
  <si>
    <t>http://www.broadinstitute.org/gsea/msigdb/cards/GSE1566_WT_VS_EZH2_KO_LN_TCELL_UP.html</t>
  </si>
  <si>
    <t>GSE6269_HEALTHY_VS_STAPH_PNEUMO_INF_PBMC_UP</t>
  </si>
  <si>
    <t>5551;3394;3603;9744;3635;23048;81030;3002;9938;1235;10235</t>
  </si>
  <si>
    <t>PRF1;IRF8;IL16;ACAP1;INPP5D;FNBP1;ZBP1;GZMB;ARHGAP25;CCR6;RASGRP2</t>
  </si>
  <si>
    <t>http://www.broadinstitute.org/gsea/msigdb/cards/GSE6269_HEALTHY_VS_STAPH_PNEUMO_INF_PBMC_UP.html</t>
  </si>
  <si>
    <t>GSE37605_C57BL6_VS_NOD_FOXP3_IRES_GFP_TCONV_DN</t>
  </si>
  <si>
    <t>9051;9535;5800;124460;8564;4049;3059;2213;6753;10672</t>
  </si>
  <si>
    <t>PSTPIP1;GMFG;PTPRO;SNX20;KMO;LTA;HCLS1;FCGR2B;SSTR3;GNA13</t>
  </si>
  <si>
    <t>http://www.broadinstitute.org/gsea/msigdb/cards/GSE37605_C57BL6_VS_NOD_FOXP3_IRES_GFP_TCONV_DN.html</t>
  </si>
  <si>
    <t>GSE3920_UNTREATED_VS_IFNA_TREATED_ENDOTHELIAL_CELL_DN</t>
  </si>
  <si>
    <t>6504;151888;152789;2672;8564;921;3004;969;51466;27240</t>
  </si>
  <si>
    <t>SLAMF1;BTLA;JAKMIP1;GFI1;KMO;CD5;GZMM;CD69;EVL;SIT1</t>
  </si>
  <si>
    <t>http://www.broadinstitute.org/gsea/msigdb/cards/GSE3920_UNTREATED_VS_IFNA_TREATED_ENDOTHELIAL_CELL_DN.html</t>
  </si>
  <si>
    <t>GSE4984_LPS_VS_VEHICLE_CTRL_TREATED_DC_UP</t>
  </si>
  <si>
    <t>2207;4354;3662;348378;84868;225;5452;6402;3290;79690;54861</t>
  </si>
  <si>
    <t>FCER1G;MPP1;IRF4;SHISAL2A;HAVCR2;ABCD2;POU2F2;SELL;HSD11B1;GAL3ST4;SNRK</t>
  </si>
  <si>
    <t>http://www.broadinstitute.org/gsea/msigdb/cards/GSE4984_LPS_VS_VEHICLE_CTRL_TREATED_DC_UP.html</t>
  </si>
  <si>
    <t>GSE5542_UNTREATED_VS_IFNA_AND_IFNG_TREATED_EPITHELIAL_CELLS_6H_UP</t>
  </si>
  <si>
    <t>340152;9840;124535;54557;114548;29851;6402;161176;23312;84230;145864</t>
  </si>
  <si>
    <t>ZC3H12D;TESPA1;HSF5;SGTB;NLRP3;ICOS;SELL;SYNE3;DMXL2;LRRC8C;HAPLN3</t>
  </si>
  <si>
    <t>http://www.broadinstitute.org/gsea/msigdb/cards/GSE5542_UNTREATED_VS_IFNA_AND_IFNG_TREATED_EPITHELIAL_CELLS_6H_UP.html</t>
  </si>
  <si>
    <t>3702;51296;26051;80380;10019;1237;969;7185;89846;29126</t>
  </si>
  <si>
    <t>ITK;SLC15A3;PPP1R16B;PDCD1LG2;SH2B3;CCR8;CD69;TRAF1;FGD3;CD274</t>
  </si>
  <si>
    <t>GSE2405_HEAT_KILLED_VS_LIVE_A_PHAGOCYTOPHILUM_STIM_NEUTROPHIL_24H_UP</t>
  </si>
  <si>
    <t>3627;1493;2811;8905;10672;814;441168;116071;80821;55619;79690</t>
  </si>
  <si>
    <t>CXCL10;CTLA4;GP1BA;AP1S2;GNA13;CAMK4;CALHM6;BATF2;DDHD1;DOCK10;GAL3ST4</t>
  </si>
  <si>
    <t>http://www.broadinstitute.org/gsea/msigdb/cards/GSE2405_HEAT_KILLED_VS_LIVE_A_PHAGOCYTOPHILUM_STIM_NEUTROPHIL_24H_UP.html</t>
  </si>
  <si>
    <t>GSE27291_0H_VS_7D_STIM_GAMMADELTA_TCELL_UP</t>
  </si>
  <si>
    <t>7456;9535;915;1234;719;80896;55589;9120;6793;10672;10457</t>
  </si>
  <si>
    <t>WIPF1;GMFG;CD3D;CCR5;C3AR1;NPL;BMP2K;SLC16A6;STK10;GNA13;GPNMB</t>
  </si>
  <si>
    <t>http://www.broadinstitute.org/gsea/msigdb/cards/GSE27291_0H_VS_7D_STIM_GAMMADELTA_TCELL_UP.html</t>
  </si>
  <si>
    <t>GSE27896_HDAC6_KO_VS_WT_TREG_DN</t>
  </si>
  <si>
    <t>9404;2268;5734;1233;80896;8564;1237;27163;7185;55013</t>
  </si>
  <si>
    <t>LPXN;FGR;PTGER4;CCR4;NPL;KMO;CCR8;NAAA;TRAF1;MCUB</t>
  </si>
  <si>
    <t>http://www.broadinstitute.org/gsea/msigdb/cards/GSE27896_HDAC6_KO_VS_WT_TREG_DN.html</t>
  </si>
  <si>
    <t>GSE21546_UNSTIM_VS_ANTI_CD3_STIM_SAP1A_KO_AND_ELK1_KO_DP_THYMOCYTES_DN</t>
  </si>
  <si>
    <t>920;712;915;3695;3561;11262;3111;6037;11027;338339;9935</t>
  </si>
  <si>
    <t>CD4;C1QA;CD3D;ITGB7;IL2RG;SP140;HLA-DOA;RNASE3;LILRA2;CLEC4D;MAFB</t>
  </si>
  <si>
    <t>http://www.broadinstitute.org/gsea/msigdb/cards/GSE21546_UNSTIM_VS_ANTI_CD3_STIM_SAP1A_KO_AND_ELK1_KO_DP_THYMOCYTES_DN.html</t>
  </si>
  <si>
    <t>GSE11884_WT_VS_FURIN_KO_NAIVE_CD4_TCELL_UP</t>
  </si>
  <si>
    <t>7305;9839;79930;117289;29992;9034;926;7454;1237</t>
  </si>
  <si>
    <t>TYROBP;ZEB2;DOK3;TAGAP;PILRA;CCRL2;CD8B;WAS;CCR8</t>
  </si>
  <si>
    <t>http://www.broadinstitute.org/gsea/msigdb/cards/GSE11884_WT_VS_FURIN_KO_NAIVE_CD4_TCELL_UP.html</t>
  </si>
  <si>
    <t>GSE18281_MEDULLARY_THYMOCYTE_VS_WHOLE_MEDULLA_THYMUS_UP</t>
  </si>
  <si>
    <t>7133;695;3587;9459;3903;64333;80342;241;4050;8809;120425</t>
  </si>
  <si>
    <t>TNFRSF1B;BTK;IL10RA;ARHGEF6;LAIR1;ARHGAP9;TRAF3IP3;ALOX5AP;LTB;IL18R1;JAML</t>
  </si>
  <si>
    <t>http://www.broadinstitute.org/gsea/msigdb/cards/GSE18281_MEDULLARY_THYMOCYTE_VS_WHOLE_MEDULLA_THYMUS_UP.html</t>
  </si>
  <si>
    <t>GSE18281_MEDULLARY_THYMOCYTE_VS_WHOLE_MEDULLA_THYMUS_DN</t>
  </si>
  <si>
    <t>3458;916;5551;5294;10288;79974;6693;1230;284759;6363;29126</t>
  </si>
  <si>
    <t>IFNG;CD3E;PRF1;PIK3CG;LILRB2;CPED1;SPN;CCR1;SIRPB2;CCL19;CD274</t>
  </si>
  <si>
    <t>http://www.broadinstitute.org/gsea/msigdb/cards/GSE18281_MEDULLARY_THYMOCYTE_VS_WHOLE_MEDULLA_THYMUS_DN.html</t>
  </si>
  <si>
    <t>925;919;1236;4354;3702;921;924;54;6402;3988;51466</t>
  </si>
  <si>
    <t>CD8A;CD247;CCR7;MPP1;ITK;CD5;CD7;ACP5;SELL;LIPA;EVL</t>
  </si>
  <si>
    <t>http://www.broadinstitute.org/gsea/msigdb/cards/KAECH_NAIVE_VS_DAY15_EFF_CD8_TCELL_UP.html</t>
  </si>
  <si>
    <t>4242;5579;6404;79626;474344;8832;79865;100506736;85464;55619;64919</t>
  </si>
  <si>
    <t>MFNG;PRKCB;SELPLG;TNFAIP8L2;GIMAP6;CD84;TREML2;SLFN12L;SSH2;DOCK10;BCL11B</t>
  </si>
  <si>
    <t>http://www.broadinstitute.org/gsea/msigdb/cards/GSE10239_NAIVE_VS_KLRG1INT_EFF_CD8_TCELL_UP.html</t>
  </si>
  <si>
    <t>951;919;2123;2124;3820;729230;8905;55911;64174;29125;10004</t>
  </si>
  <si>
    <t>CD37;CD247;EVI2A;EVI2B;KLRB1;CCR2;AP1S2;APOBR;DPEP2;C11orf21;NAALADL1</t>
  </si>
  <si>
    <t>http://www.broadinstitute.org/gsea/msigdb/cards/GSE10325_CD4_TCELL_VS_LUPUS_CD4_TCELL_UP.html</t>
  </si>
  <si>
    <t>GSE11057_NAIVE_CD4_VS_PBMC_CD4_TCELL_UP</t>
  </si>
  <si>
    <t>9214;3932;923;3702;256380;80342;6776;814;145864;64919;51466</t>
  </si>
  <si>
    <t>FCMR;LCK;CD6;ITK;SCML4;TRAF3IP3;STAT5A;CAMK4;HAPLN3;BCL11B;EVL</t>
  </si>
  <si>
    <t>http://www.broadinstitute.org/gsea/msigdb/cards/GSE11057_NAIVE_CD4_VS_PBMC_CD4_TCELL_UP.html</t>
  </si>
  <si>
    <t>GSE12366_NAIVE_VS_MEMORY_BCELL_UP</t>
  </si>
  <si>
    <t>971;124535;3903;6039;53346;4066;6503;79865;116071;80821;59345</t>
  </si>
  <si>
    <t>CD72;HSF5;LAIR1;RNASE6;TM6SF1;LYL1;SLA;TREML2;BATF2;DDHD1;GNB4</t>
  </si>
  <si>
    <t>http://www.broadinstitute.org/gsea/msigdb/cards/GSE12366_NAIVE_VS_MEMORY_BCELL_UP.html</t>
  </si>
  <si>
    <t>GSE12845_IGD_POS_BLOOD_VS_NAIVE_TONSIL_BCELL_UP</t>
  </si>
  <si>
    <t>914;5341;3055;940;3695;1236;3101;11006;9056;29909;84034</t>
  </si>
  <si>
    <t>CD2;PLEK;HCK;CD28;ITGB7;CCR7;HK3;LILRB4;SLC7A7;GPR171;EMILIN2</t>
  </si>
  <si>
    <t>http://www.broadinstitute.org/gsea/msigdb/cards/GSE12845_IGD_POS_BLOOD_VS_NAIVE_TONSIL_BCELL_UP.html</t>
  </si>
  <si>
    <t>9839;9046;3055;923;55016;26051;27128;80342;3717;3737;6503</t>
  </si>
  <si>
    <t>ZEB2;DOK2;HCK;CD6;MARCH1;PPP1R16B;CYTH4;TRAF3IP3;JAK2;KCNA2;SLA</t>
  </si>
  <si>
    <t>GSE13229_IMM_VS_INTMATURE_NKCELL_DN</t>
  </si>
  <si>
    <t>5579;5788;4064;19;3290;4973;10235;206358;84230;4215;64098</t>
  </si>
  <si>
    <t>PRKCB;PTPRC;CD180;ABCA1;HSD11B1;OLR1;RASGRP2;SLC36A1;LRRC8C;MAP3K3;PARVG</t>
  </si>
  <si>
    <t>http://www.broadinstitute.org/gsea/msigdb/cards/GSE13229_IMM_VS_INTMATURE_NKCELL_DN.html</t>
  </si>
  <si>
    <t>GSE13229_MATURE_VS_INTMATURE_NKCELL_DN</t>
  </si>
  <si>
    <t>9839;257106;2672;1240;30009;6793;6693;3824;57514;84541;131450</t>
  </si>
  <si>
    <t>ZEB2;ARHGAP30;GFI1;CMKLR1;TBX21;STK10;SPN;KLRD1;ARHGAP31;KBTBD8;CD200R1</t>
  </si>
  <si>
    <t>http://www.broadinstitute.org/gsea/msigdb/cards/GSE13229_MATURE_VS_INTMATURE_NKCELL_DN.html</t>
  </si>
  <si>
    <t>GSE13484_UNSTIM_VS_12H_YF17D_VACCINE_STIM_PBMC_DN</t>
  </si>
  <si>
    <t>2123;51056;474344;26051;81030;29992;366;3290;9363;79690;22806</t>
  </si>
  <si>
    <t>EVI2A;LAP3;GIMAP6;PPP1R16B;ZBP1;PILRA;AQP9;HSD11B1;RAB33A;GAL3ST4;IKZF3</t>
  </si>
  <si>
    <t>http://www.broadinstitute.org/gsea/msigdb/cards/GSE13484_UNSTIM_VS_12H_YF17D_VACCINE_STIM_PBMC_DN.html</t>
  </si>
  <si>
    <t>GSE13484_12H_VS_3H_YF17D_VACCINE_STIM_PBMC_UP</t>
  </si>
  <si>
    <t>4542;3932;1234;474344;27180;1102;3290;10184;79895;83937;55803</t>
  </si>
  <si>
    <t>MYO1F;LCK;CCR5;GIMAP6;SIGLEC9;RCBTB2;HSD11B1;LHFPL2;ATP8B4;RASSF4;ADAP2</t>
  </si>
  <si>
    <t>http://www.broadinstitute.org/gsea/msigdb/cards/GSE13484_12H_VS_3H_YF17D_VACCINE_STIM_PBMC_UP.html</t>
  </si>
  <si>
    <t>GSE13485_DAY1_VS_DAY3_YF17D_VACCINE_PBMC_DN</t>
  </si>
  <si>
    <t>1318;2633;6772;6890;221472;84868;55589;51284;7099;1230;6614</t>
  </si>
  <si>
    <t>SLC31A2;GBP1;STAT1;TAP1;FGD2;HAVCR2;BMP2K;TLR7;TLR4;CCR1;SIGLEC1</t>
  </si>
  <si>
    <t>http://www.broadinstitute.org/gsea/msigdb/cards/GSE13485_DAY1_VS_DAY3_YF17D_VACCINE_PBMC_DN.html</t>
  </si>
  <si>
    <t>GSE13493_DP_VS_CD8POS_THYMOCYTE_DN</t>
  </si>
  <si>
    <t>3458;972;3695;2014;225;645432;2811;3108;3718;84230;54504</t>
  </si>
  <si>
    <t>IFNG;CD74;ITGB7;EMP3;ABCD2;ARRDC5;GP1BA;HLA-DMA;JAK3;LRRC8C;CPVL</t>
  </si>
  <si>
    <t>http://www.broadinstitute.org/gsea/msigdb/cards/GSE13493_DP_VS_CD8POS_THYMOCYTE_DN.html</t>
  </si>
  <si>
    <t>54440;945;3603;64333;64170;4033;9815;150771;10077;4215;64098</t>
  </si>
  <si>
    <t>SASH3;CD33;IL16;ARHGAP9;CARD9;LRMP;GIT2;ITPRIPL1;TSPAN32;MAP3K3;PARVG</t>
  </si>
  <si>
    <t>http://www.broadinstitute.org/gsea/msigdb/cards/GSE14000_UNSTIM_VS_16H_LPS_DC_UP.html</t>
  </si>
  <si>
    <t>GSE14308_TH2_VS_TH1_DN</t>
  </si>
  <si>
    <t>3689;5788;2014;497189;374403;8477;23533;27128;3274;80709;59345</t>
  </si>
  <si>
    <t>ITGB2;PTPRC;EMP3;TIFAB;TBC1D10C;GPR65;PIK3R5;CYTH4;HRH2;AKNA;GNB4</t>
  </si>
  <si>
    <t>http://www.broadinstitute.org/gsea/msigdb/cards/GSE14308_TH2_VS_TH1_DN.html</t>
  </si>
  <si>
    <t>GSE14308_TH17_VS_NAIVE_CD4_TCELL_DN</t>
  </si>
  <si>
    <t>5788;6351;391;695;55303;921;54;80709;91010;4215;51466</t>
  </si>
  <si>
    <t>PTPRC;CCL4;RHOG;BTK;GIMAP4;CD5;ACP5;AKNA;FMNL3;MAP3K3;EVL</t>
  </si>
  <si>
    <t>http://www.broadinstitute.org/gsea/msigdb/cards/GSE14308_TH17_VS_NAIVE_CD4_TCELL_DN.html</t>
  </si>
  <si>
    <t>GSE14350_TREG_VS_TEFF_UP</t>
  </si>
  <si>
    <t>7133;4354;6504;50852;81704;56253;6776;85464;10077;54861;11217</t>
  </si>
  <si>
    <t>TNFRSF1B;MPP1;SLAMF1;TRAT1;DOCK8;CRTAM;STAT5A;SSH2;TSPAN32;SNRK;AKAP2</t>
  </si>
  <si>
    <t>http://www.broadinstitute.org/gsea/msigdb/cards/GSE14350_TREG_VS_TEFF_UP.html</t>
  </si>
  <si>
    <t>3932;3695;399;55843;197358;55340;64231;55589;4049;91010;54861</t>
  </si>
  <si>
    <t>LCK;ITGB7;RHOH;ARHGAP15;NLRC3;GIMAP5;MS4A6A;BMP2K;LTA;FMNL3;SNRK</t>
  </si>
  <si>
    <t>1318;9595;6772;116986;6793;3117;3162;54;3108;6891;10507</t>
  </si>
  <si>
    <t>SLC31A2;CYTIP;STAT1;AGAP2;STK10;HLA-DQA1;HMOX1;ACP5;HLA-DMA;TAP2;SEMA4D</t>
  </si>
  <si>
    <t>http://www.broadinstitute.org/gsea/msigdb/cards/GSE1460_DP_THYMOCYTE_VS_NAIVE_CD4_TCELL_CORD_BLOOD_DN.html</t>
  </si>
  <si>
    <t>GSE14769_UNSTIM_VS_20MIN_LPS_BMDM_DN</t>
  </si>
  <si>
    <t>2533;3627;929;6351;387357;84636;9034;7185;6503;161145;57823</t>
  </si>
  <si>
    <t>FYB1;CXCL10;CD14;CCL4;THEMIS;GPR174;CCRL2;TRAF1;SLA;TMEM229B;SLAMF7</t>
  </si>
  <si>
    <t>http://www.broadinstitute.org/gsea/msigdb/cards/GSE14769_UNSTIM_VS_20MIN_LPS_BMDM_DN.html</t>
  </si>
  <si>
    <t>GSE14769_40MIN_VS_360MIN_LPS_BMDM_DN</t>
  </si>
  <si>
    <t>9839;3559;3932;2207;1439;3071;54;3737;4973;10672;55619</t>
  </si>
  <si>
    <t>ZEB2;IL2RA;LCK;FCER1G;CSF2RB;NCKAP1L;ACP5;KCNA2;OLR1;GNA13;DOCK10</t>
  </si>
  <si>
    <t>http://www.broadinstitute.org/gsea/msigdb/cards/GSE14769_40MIN_VS_360MIN_LPS_BMDM_DN.html</t>
  </si>
  <si>
    <t>GSE15733_BM_VS_SPLEEN_MEMORY_CD4_TCELL_DN</t>
  </si>
  <si>
    <t>340152;9595;4068;1236;283897;114836;59067;3112;3988;9815;5133</t>
  </si>
  <si>
    <t>ZC3H12D;CYTIP;SH2D1A;CCR7;C16orf54;SLAMF6;IL21;HLA-DOB;LIPA;GIT2;PDCD1</t>
  </si>
  <si>
    <t>http://www.broadinstitute.org/gsea/msigdb/cards/GSE15733_BM_VS_SPLEEN_MEMORY_CD4_TCELL_DN.html</t>
  </si>
  <si>
    <t>9839;6351;3575;313;474344;221188;117289;256380;53346;596;2213</t>
  </si>
  <si>
    <t>ZEB2;CCL4;IL7R;AOAH;GIMAP6;ADGRG5;TAGAP;SCML4;TM6SF1;BCL2;FCGR2B</t>
  </si>
  <si>
    <t>GSE15930_NAIVE_VS_72H_IN_VITRO_STIM_TRICHOSTATINA_CD8_TCELL_DN</t>
  </si>
  <si>
    <t>3458;3559;5734;1234;3394;3587;3662;3002;10437;3604;597</t>
  </si>
  <si>
    <t>IFNG;IL2RA;PTGER4;CCR5;IRF8;IL10RA;IRF4;GZMB;IFI30;TNFRSF9;BCL2A1</t>
  </si>
  <si>
    <t>http://www.broadinstitute.org/gsea/msigdb/cards/GSE15930_NAIVE_VS_72H_IN_VITRO_STIM_TRICHOSTATINA_CD8_TCELL_DN.html</t>
  </si>
  <si>
    <t>GSE15930_STIM_VS_STIM_AND_IL12_24H_CD8_T_CELL_UP</t>
  </si>
  <si>
    <t>1536;916;2350;2322;2014;55589;27299;6037;526;3004;6614</t>
  </si>
  <si>
    <t>CYBB;CD3E;FOLR2;FLT3;EMP3;BMP2K;ADAMDEC1;RNASE3;ATP6V1B2;GZMM;SIGLEC1</t>
  </si>
  <si>
    <t>http://www.broadinstitute.org/gsea/msigdb/cards/GSE15930_STIM_VS_STIM_AND_IL12_24H_CD8_T_CELL_UP.html</t>
  </si>
  <si>
    <t>GSE15930_STIM_VS_STIM_AND_TRICHOSTATINA_48H_CD8_T_CELL_DN</t>
  </si>
  <si>
    <t>6772;6890;3662;9056;9034;921;4066;1235;6891;100506736;25939</t>
  </si>
  <si>
    <t>STAT1;TAP1;IRF4;SLC7A7;CCRL2;CD5;LYL1;CCR6;TAP2;SLFN12L;SAMHD1</t>
  </si>
  <si>
    <t>http://www.broadinstitute.org/gsea/msigdb/cards/GSE15930_STIM_VS_STIM_AND_TRICHOSTATINA_48H_CD8_T_CELL_DN.html</t>
  </si>
  <si>
    <t>GSE16522_MEMORY_VS_NAIVE_CD8_TCELL_DN</t>
  </si>
  <si>
    <t>653361;942;7535;30009;730249;3717;3902;3586;4033;6503;10184</t>
  </si>
  <si>
    <t>NCF1;CD86;ZAP70;TBX21;ACOD1;JAK2;LAG3;IL10;LRMP;SLA;LHFPL2</t>
  </si>
  <si>
    <t>http://www.broadinstitute.org/gsea/msigdb/cards/GSE16522_MEMORY_VS_NAIVE_CD8_TCELL_DN.html</t>
  </si>
  <si>
    <t>GSE17721_CTRL_VS_LPS_6H_BMDC_DN</t>
  </si>
  <si>
    <t>929;4354;10875;29851;1601;4818;100506736;375387;80821;11217;27240</t>
  </si>
  <si>
    <t>CD14;MPP1;FGL2;ICOS;DAB2;NKG7;SLFN12L;NRROS;DDHD1;AKAP2;SIT1</t>
  </si>
  <si>
    <t>http://www.broadinstitute.org/gsea/msigdb/cards/GSE17721_CTRL_VS_LPS_6H_BMDC_DN.html</t>
  </si>
  <si>
    <t>22797;962;695;150372;56659;10437;6693;4360;11010;4033;4327</t>
  </si>
  <si>
    <t>TFEC;CD48;BTK;NFAM1;KCNK13;IFI30;SPN;MRC1;GLIPR1;LRMP;MMP19</t>
  </si>
  <si>
    <t>http://www.broadinstitute.org/gsea/msigdb/cards/GSE17721_CTRL_VS_LPS_12H_BMDC_UP.html</t>
  </si>
  <si>
    <t>GSE17721_CTRL_VS_LPS_12H_BMDC_DN</t>
  </si>
  <si>
    <t>929;6352;7133;391;6890;6504;114836;64092;5452;4973;11217</t>
  </si>
  <si>
    <t>CD14;CCL5;TNFRSF1B;RHOG;TAP1;SLAMF1;SLAMF6;SAMSN1;POU2F2;OLR1;AKAP2</t>
  </si>
  <si>
    <t>http://www.broadinstitute.org/gsea/msigdb/cards/GSE17721_CTRL_VS_LPS_12H_BMDC_DN.html</t>
  </si>
  <si>
    <t>GSE17721_CTRL_VS_POLYIC_2H_BMDC_DN</t>
  </si>
  <si>
    <t>929;9034;6373;8530;1435;728;10672;27314;80709;53831;4644</t>
  </si>
  <si>
    <t>CD14;CCRL2;CXCL11;CST7;CSF1;C5AR1;GNA13;RAB30;AKNA;GPR84;MYO5A</t>
  </si>
  <si>
    <t>http://www.broadinstitute.org/gsea/msigdb/cards/GSE17721_CTRL_VS_POLYIC_2H_BMDC_DN.html</t>
  </si>
  <si>
    <t>GSE17721_CTRL_VS_POLYIC_8H_BMDC_DN</t>
  </si>
  <si>
    <t>3676;51056;391;4283;64231;3717;6776;1601;10148;80821;11217</t>
  </si>
  <si>
    <t>ITGA4;LAP3;RHOG;CXCL9;MS4A6A;JAK2;STAT5A;DAB2;EBI3;DDHD1;AKAP2</t>
  </si>
  <si>
    <t>http://www.broadinstitute.org/gsea/msigdb/cards/GSE17721_CTRL_VS_POLYIC_8H_BMDC_DN.html</t>
  </si>
  <si>
    <t>GSE17721_CTRL_VS_CPG_4H_BMDC_DN</t>
  </si>
  <si>
    <t>3676;6504;115361;64231;64092;23228;8530;1435;943;118788;64747</t>
  </si>
  <si>
    <t>ITGA4;SLAMF1;GBP4;MS4A6A;SAMSN1;PLCL2;CST7;CSF1;TNFRSF8;PIK3AP1;MFSD1</t>
  </si>
  <si>
    <t>http://www.broadinstitute.org/gsea/msigdb/cards/GSE17721_CTRL_VS_CPG_4H_BMDC_DN.html</t>
  </si>
  <si>
    <t>GSE17721_LPS_VS_POLYIC_4H_BMDC_UP</t>
  </si>
  <si>
    <t>1493;3683;919;971;313;51311;29992;29851;6037;118788;9754</t>
  </si>
  <si>
    <t>CTLA4;ITGAL;CD247;CD72;AOAH;TLR8;PILRA;ICOS;RNASE3;PIK3AP1;STARD8</t>
  </si>
  <si>
    <t>http://www.broadinstitute.org/gsea/msigdb/cards/GSE17721_LPS_VS_POLYIC_4H_BMDC_UP.html</t>
  </si>
  <si>
    <t>GSE17721_LPS_VS_POLYIC_6H_BMDC_UP</t>
  </si>
  <si>
    <t>7133;919;313;57105;4094;3936;3586;2358;151556;84230;338339</t>
  </si>
  <si>
    <t>TNFRSF1B;CD247;AOAH;CYSLTR2;MAF;LCP1;IL10;FPR2;GPR155;LRRC8C;CLEC4D</t>
  </si>
  <si>
    <t>http://www.broadinstitute.org/gsea/msigdb/cards/GSE17721_LPS_VS_POLYIC_6H_BMDC_UP.html</t>
  </si>
  <si>
    <t>GSE17721_POLYIC_VS_PAM3CSK4_12H_BMDC_UP</t>
  </si>
  <si>
    <t>3559;3695;3561;3394;3587;6404;80301;11314;84230;6363;7462</t>
  </si>
  <si>
    <t>IL2RA;ITGB7;IL2RG;IRF8;IL10RA;SELPLG;PLEKHO2;CD300A;LRRC8C;CCL19;LAT2</t>
  </si>
  <si>
    <t>http://www.broadinstitute.org/gsea/msigdb/cards/GSE17721_POLYIC_VS_PAM3CSK4_12H_BMDC_UP.html</t>
  </si>
  <si>
    <t>GSE17721_PAM3CSK4_VS_CPG_2H_BMDC_DN</t>
  </si>
  <si>
    <t>951;6351;945;3937;10875;53346;225;596;3123;116071;29126</t>
  </si>
  <si>
    <t>CD37;CCL4;CD33;LCP2;FGL2;TM6SF1;ABCD2;BCL2;HLA-DRB1;BATF2;CD274</t>
  </si>
  <si>
    <t>http://www.broadinstitute.org/gsea/msigdb/cards/GSE17721_PAM3CSK4_VS_CPG_2H_BMDC_DN.html</t>
  </si>
  <si>
    <t>GSE17721_PAM3CSK4_VS_CPG_16H_BMDC_DN</t>
  </si>
  <si>
    <t>4068;10068;712;3575;4354;115361;64231;57105;10019;3586;6507</t>
  </si>
  <si>
    <t>SH2D1A;IL18BP;C1QA;IL7R;MPP1;GBP4;MS4A6A;CYSLTR2;SH2B3;IL10;SLC1A3</t>
  </si>
  <si>
    <t>http://www.broadinstitute.org/gsea/msigdb/cards/GSE17721_PAM3CSK4_VS_CPG_16H_BMDC_DN.html</t>
  </si>
  <si>
    <t>GSE17721_LPS_VS_PAM3CSK4_6H_BMDC_DN</t>
  </si>
  <si>
    <t>4210;7305;1436;929;8514;7805;93978;4688;151556;84329;23166</t>
  </si>
  <si>
    <t>MEFV;TYROBP;CSF1R;CD14;KCNAB2;LAPTM5;CLEC6A;NCF2;GPR155;HVCN1;STAB1</t>
  </si>
  <si>
    <t>http://www.broadinstitute.org/gsea/msigdb/cards/GSE17721_LPS_VS_PAM3CSK4_6H_BMDC_DN.html</t>
  </si>
  <si>
    <t>GSE17721_PAM3CSK4_VS_GADIQUIMOD_1H_BMDC_DN</t>
  </si>
  <si>
    <t>11151;695;8477;1240;64407;3059;241;54331;161145;9754;55013</t>
  </si>
  <si>
    <t>CORO1A;BTK;GPR65;CMKLR1;RGS18;HCLS1;ALOX5AP;GNG2;TMEM229B;STARD8;MCUB</t>
  </si>
  <si>
    <t>http://www.broadinstitute.org/gsea/msigdb/cards/GSE17721_PAM3CSK4_VS_GADIQUIMOD_1H_BMDC_DN.html</t>
  </si>
  <si>
    <t>GSE17721_PAM3CSK4_VS_GADIQUIMOD_16H_BMDC_UP</t>
  </si>
  <si>
    <t>4210;9535;929;919;959;3603;29992;9034;3956;4261;57514</t>
  </si>
  <si>
    <t>MEFV;GMFG;CD14;CD247;CD40LG;IL16;PILRA;CCRL2;LGALS1;CIITA;ARHGAP31</t>
  </si>
  <si>
    <t>http://www.broadinstitute.org/gsea/msigdb/cards/GSE17721_PAM3CSK4_VS_GADIQUIMOD_16H_BMDC_UP.html</t>
  </si>
  <si>
    <t>GSE17721_PAM3CSK4_VS_GADIQUIMOD_24H_BMDC_DN</t>
  </si>
  <si>
    <t>10068;714;6351;1234;199;6890;4689;150372;9034;116071;29126</t>
  </si>
  <si>
    <t>IL18BP;C1QC;CCL4;CCR5;AIF1;TAP1;NCF4;NFAM1;CCRL2;BATF2;CD274</t>
  </si>
  <si>
    <t>http://www.broadinstitute.org/gsea/msigdb/cards/GSE17721_PAM3CSK4_VS_GADIQUIMOD_24H_BMDC_DN.html</t>
  </si>
  <si>
    <t>GSE17721_LPS_VS_CPG_2H_BMDC_UP</t>
  </si>
  <si>
    <t>3559;944;199;4354;695;4283;4064;8530;356;1601;168537</t>
  </si>
  <si>
    <t>IL2RA;TNFSF8;AIF1;MPP1;BTK;CXCL9;CD180;CST7;FASLG;DAB2;GIMAP7</t>
  </si>
  <si>
    <t>http://www.broadinstitute.org/gsea/msigdb/cards/GSE17721_LPS_VS_CPG_2H_BMDC_UP.html</t>
  </si>
  <si>
    <t>GSE17721_LPS_VS_CPG_16H_BMDC_UP</t>
  </si>
  <si>
    <t>3676;3575;51056;3903;2672;6373;4481;5133;100506736;116071;25939</t>
  </si>
  <si>
    <t>ITGA4;IL7R;LAP3;LAIR1;GFI1;CXCL11;MSR1;PDCD1;SLFN12L;BATF2;SAMHD1</t>
  </si>
  <si>
    <t>http://www.broadinstitute.org/gsea/msigdb/cards/GSE17721_LPS_VS_CPG_16H_BMDC_UP.html</t>
  </si>
  <si>
    <t>GSE17721_POLYIC_VS_GARDIQUIMOD_6H_BMDC_UP</t>
  </si>
  <si>
    <t>1439;1435;4360;27163;4033;10672;116071;91526;9754;7462;64805</t>
  </si>
  <si>
    <t>CSF2RB;CSF1;MRC1;NAAA;LRMP;GNA13;BATF2;ANKRD44;STARD8;LAT2;P2RY12</t>
  </si>
  <si>
    <t>http://www.broadinstitute.org/gsea/msigdb/cards/GSE17721_POLYIC_VS_GARDIQUIMOD_6H_BMDC_UP.html</t>
  </si>
  <si>
    <t>GSE17721_POLYIC_VS_GARDIQUIMOD_8H_BMDC_UP</t>
  </si>
  <si>
    <t>54440;941;3394;3587;124460;7099;10437;4360;375387;116071;26279</t>
  </si>
  <si>
    <t>SASH3;CD80;IRF8;IL10RA;SNX20;TLR4;IFI30;MRC1;NRROS;BATF2;PLA2G2D</t>
  </si>
  <si>
    <t>http://www.broadinstitute.org/gsea/msigdb/cards/GSE17721_POLYIC_VS_GARDIQUIMOD_8H_BMDC_UP.html</t>
  </si>
  <si>
    <t>GSE17721_POLYIC_VS_GARDIQUIMOD_12H_BMDC_UP</t>
  </si>
  <si>
    <t>9404;942;3594;146722;56833;7941;161145;84230;55803;57823;29126</t>
  </si>
  <si>
    <t>LPXN;CD86;IL12RB1;CD300LF;SLAMF8;PLA2G7;TMEM229B;LRRC8C;ADAP2;SLAMF7;CD274</t>
  </si>
  <si>
    <t>http://www.broadinstitute.org/gsea/msigdb/cards/GSE17721_POLYIC_VS_GARDIQUIMOD_12H_BMDC_UP.html</t>
  </si>
  <si>
    <t>GSE17721_LPS_VS_GARDIQUIMOD_8H_BMDC_UP</t>
  </si>
  <si>
    <t>3559;3659;4354;3394;3662;80301;56833;3936;1601;10672;55281</t>
  </si>
  <si>
    <t>IL2RA;IRF1;MPP1;IRF8;IRF4;PLEKHO2;SLAMF8;LCP1;DAB2;GNA13;TMEM140</t>
  </si>
  <si>
    <t>http://www.broadinstitute.org/gsea/msigdb/cards/GSE17721_LPS_VS_GARDIQUIMOD_8H_BMDC_UP.html</t>
  </si>
  <si>
    <t>22797;54440;56659;225;926;10437;6693;4360;3108;1235;4033</t>
  </si>
  <si>
    <t>TFEC;SASH3;KCNK13;ABCD2;CD8B;IFI30;SPN;MRC1;HLA-DMA;CCR6;LRMP</t>
  </si>
  <si>
    <t>http://www.broadinstitute.org/gsea/msigdb/cards/GSE17721_0.5H_VS_12H_LPS_BMDC_UP.html</t>
  </si>
  <si>
    <t>GSE17721_0.5H_VS_12H_LPS_BMDC_DN</t>
  </si>
  <si>
    <t>1536;6352;3676;4283;5800;64092;3717;5452;4973;64747;11217</t>
  </si>
  <si>
    <t>CYBB;CCL5;ITGA4;CXCL9;PTPRO;SAMSN1;JAK2;POU2F2;OLR1;MFSD1;AKAP2</t>
  </si>
  <si>
    <t>http://www.broadinstitute.org/gsea/msigdb/cards/GSE17721_0.5H_VS_12H_LPS_BMDC_DN.html</t>
  </si>
  <si>
    <t>GSE17721_4_VS_24H_CPG_BMDC_UP</t>
  </si>
  <si>
    <t>2014;9332;256380;2162;1230;2829;5376;25890;375387;91526;149699</t>
  </si>
  <si>
    <t>EMP3;CD163;SCML4;F13A1;CCR1;XCR1;PMP22;ABI3BP;NRROS;ANKRD44;GTSF1L</t>
  </si>
  <si>
    <t>http://www.broadinstitute.org/gsea/msigdb/cards/GSE17721_4_VS_24H_CPG_BMDC_UP.html</t>
  </si>
  <si>
    <t>5734;695;23048;59067;926;3988;3604;115727;64581;64098;55013</t>
  </si>
  <si>
    <t>PTGER4;BTK;FNBP1;IL21;CD8B;LIPA;TNFRSF9;RASGRP4;CLEC7A;PARVG;MCUB</t>
  </si>
  <si>
    <t>http://www.broadinstitute.org/gsea/msigdb/cards/GSE17721_0.5H_VS_12H_GARDIQUIMOD_BMDC_UP.html</t>
  </si>
  <si>
    <t>GSE17974_0H_VS_4H_IN_VITRO_ACT_CD4_TCELL_UP</t>
  </si>
  <si>
    <t>920;3689;3676;3695;3587;9744;23533;3684;64174;29125;25939</t>
  </si>
  <si>
    <t>CD4;ITGB2;ITGA4;ITGB7;IL10RA;ACAP1;PIK3R5;ITGAM;DPEP2;C11orf21;SAMHD1</t>
  </si>
  <si>
    <t>http://www.broadinstitute.org/gsea/msigdb/cards/GSE17974_0H_VS_4H_IN_VITRO_ACT_CD4_TCELL_UP.html</t>
  </si>
  <si>
    <t>GSE17974_0H_VS_4H_IN_VITRO_ACT_CD4_TCELL_DN</t>
  </si>
  <si>
    <t>3559;3394;6504;3662;151888;2672;8320;4049;356;8809;597</t>
  </si>
  <si>
    <t>IL2RA;IRF8;SLAMF1;IRF4;BTLA;GFI1;EOMES;LTA;FASLG;IL18R1;BCL2A1</t>
  </si>
  <si>
    <t>http://www.broadinstitute.org/gsea/msigdb/cards/GSE17974_0H_VS_4H_IN_VITRO_ACT_CD4_TCELL_DN.html</t>
  </si>
  <si>
    <t>GSE17974_0H_VS_12H_IN_VITRO_ACT_CD4_TCELL_UP</t>
  </si>
  <si>
    <t>4542;9214;5341;917;3676;8477;10870;10235;64780;64581;64174</t>
  </si>
  <si>
    <t>MYO1F;FCMR;PLEK;CD3G;ITGA4;GPR65;HCST;RASGRP2;MICAL1;CLEC7A;DPEP2</t>
  </si>
  <si>
    <t>http://www.broadinstitute.org/gsea/msigdb/cards/GSE17974_0H_VS_12H_IN_VITRO_ACT_CD4_TCELL_UP.html</t>
  </si>
  <si>
    <t>GSE17974_0H_VS_72H_IN_VITRO_ACT_CD4_TCELL_UP</t>
  </si>
  <si>
    <t>9214;3055;3575;944;283897;348378;10288;2219;3553;64581;64747</t>
  </si>
  <si>
    <t>FCMR;HCK;IL7R;TNFSF8;C16orf54;SHISAL2A;LILRB2;FCN1;IL1B;CLEC7A;MFSD1</t>
  </si>
  <si>
    <t>http://www.broadinstitute.org/gsea/msigdb/cards/GSE17974_0H_VS_72H_IN_VITRO_ACT_CD4_TCELL_UP.html</t>
  </si>
  <si>
    <t>GSE17974_CTRL_VS_ACT_IL4_AND_ANTI_IL12_6H_CD4_TCELL_DN</t>
  </si>
  <si>
    <t>3559;925;3662;124535;151888;8832;30009;356;3604;79865;116442</t>
  </si>
  <si>
    <t>IL2RA;CD8A;IRF4;HSF5;BTLA;CD84;TBX21;FASLG;TNFRSF9;TREML2;RAB39B</t>
  </si>
  <si>
    <t>http://www.broadinstitute.org/gsea/msigdb/cards/GSE17974_CTRL_VS_ACT_IL4_AND_ANTI_IL12_6H_CD4_TCELL_DN.html</t>
  </si>
  <si>
    <t>GSE17974_IL4_AND_ANTI_IL12_VS_UNTREATED_4H_ACT_CD4_TCELL_DN</t>
  </si>
  <si>
    <t>399;149628;151888;115362;80896;56253;943;11027;79690;83937;57823</t>
  </si>
  <si>
    <t>RHOH;PYHIN1;BTLA;GBP5;NPL;CRTAM;TNFRSF8;LILRA2;GAL3ST4;RASSF4;SLAMF7</t>
  </si>
  <si>
    <t>http://www.broadinstitute.org/gsea/msigdb/cards/GSE17974_IL4_AND_ANTI_IL12_VS_UNTREATED_4H_ACT_CD4_TCELL_DN.html</t>
  </si>
  <si>
    <t>GSE17974_IL4_AND_ANTI_IL12_VS_UNTREATED_24H_ACT_CD4_TCELL_UP</t>
  </si>
  <si>
    <t>9840;9402;925;3903;160365;128346;51744;10870;1435;5816;55911</t>
  </si>
  <si>
    <t>TESPA1;GRAP2;CD8A;LAIR1;CLECL1;C1orf162;CD244;HCST;CSF1;PVALB;APOBR</t>
  </si>
  <si>
    <t>http://www.broadinstitute.org/gsea/msigdb/cards/GSE17974_IL4_AND_ANTI_IL12_VS_UNTREATED_24H_ACT_CD4_TCELL_UP.html</t>
  </si>
  <si>
    <t>GSE20366_TREG_VS_TCONV_UP</t>
  </si>
  <si>
    <t>4068;146722;114548;197135;9034;3902;11010;203100;131450;84034;59345</t>
  </si>
  <si>
    <t>SH2D1A;CD300LF;NLRP3;PATL2;CCRL2;LAG3;GLIPR1;HTRA4;CD200R1;EMILIN2;GNB4</t>
  </si>
  <si>
    <t>http://www.broadinstitute.org/gsea/msigdb/cards/GSE20366_TREG_VS_TCONV_UP.html</t>
  </si>
  <si>
    <t>GSE20366_EX_VIVO_VS_HOMEOSTATIC_CONVERSION_NAIVE_CD4_TCELL_UP</t>
  </si>
  <si>
    <t>3594;1234;6504;139818;286336;2672;57105;51225;9120;5027;55281</t>
  </si>
  <si>
    <t>IL12RB1;CCR5;SLAMF1;DOCK11;FAM78A;GFI1;CYSLTR2;ABI3;SLC16A6;P2RX7;TMEM140</t>
  </si>
  <si>
    <t>http://www.broadinstitute.org/gsea/msigdb/cards/GSE20366_EX_VIVO_VS_HOMEOSTATIC_CONVERSION_NAIVE_CD4_TCELL_UP.html</t>
  </si>
  <si>
    <t>GSE22886_NAIVE_CD4_TCELL_VS_MEMORY_TCELL_DN</t>
  </si>
  <si>
    <t>9402;940;2633;10225;1233;6504;9459;55843;474344;55303;4050</t>
  </si>
  <si>
    <t>GRAP2;CD28;GBP1;CD96;CCR4;SLAMF1;ARHGEF6;ARHGAP15;GIMAP6;GIMAP4;LTB</t>
  </si>
  <si>
    <t>http://www.broadinstitute.org/gsea/msigdb/cards/GSE22886_NAIVE_CD4_TCELL_VS_MEMORY_TCELL_DN.html</t>
  </si>
  <si>
    <t>923;2322;1240;81030;9881;6402;3003;9806;4215;54504;64174</t>
  </si>
  <si>
    <t>CD6;FLT3;CMKLR1;ZBP1;TRANK1;SELL;GZMK;SPOCK2;MAP3K3;CPVL;DPEP2</t>
  </si>
  <si>
    <t>GSE24142_DN2_VS_DN3_THYMOCYTE_ADULT_DN</t>
  </si>
  <si>
    <t>4068;915;5579;3932;940;3001;114836;1508;90634;54861;27240</t>
  </si>
  <si>
    <t>SH2D1A;CD3D;PRKCB;LCK;CD28;GZMA;SLAMF6;CTSB;N4BP2L1;SNRK;SIT1</t>
  </si>
  <si>
    <t>http://www.broadinstitute.org/gsea/msigdb/cards/GSE24142_DN2_VS_DN3_THYMOCYTE_ADULT_DN.html</t>
  </si>
  <si>
    <t>GSE26669_CTRL_VS_COSTIM_BLOCK_MLR_CD4_TCELL_DN</t>
  </si>
  <si>
    <t>4242;4068;5579;3676;2124;23048;27128;4066;54;2359;1235</t>
  </si>
  <si>
    <t>MFNG;SH2D1A;PRKCB;ITGA4;EVI2B;FNBP1;CYTH4;LYL1;ACP5;FPR3;CCR6</t>
  </si>
  <si>
    <t>http://www.broadinstitute.org/gsea/msigdb/cards/GSE26669_CTRL_VS_COSTIM_BLOCK_MLR_CD4_TCELL_DN.html</t>
  </si>
  <si>
    <t>GSE26669_CTRL_VS_COSTIM_BLOCK_MLR_CD8_TCELL_UP</t>
  </si>
  <si>
    <t>3559;942;27033;27299;366;4049;921;3956;6891;3604;79865</t>
  </si>
  <si>
    <t>IL2RA;CD86;ZBTB32;ADAMDEC1;AQP9;LTA;CD5;LGALS1;TAP2;TNFRSF9;TREML2</t>
  </si>
  <si>
    <t>http://www.broadinstitute.org/gsea/msigdb/cards/GSE26669_CTRL_VS_COSTIM_BLOCK_MLR_CD8_TCELL_UP.html</t>
  </si>
  <si>
    <t>945;3071;374403;6546;4261;1601;9363;10462;64581;51063;55691</t>
  </si>
  <si>
    <t>CD33;NCKAP1L;TBC1D10C;SLC8A1;CIITA;DAB2;RAB33A;CLEC10A;CLEC7A;CALHM2;FRMD4A</t>
  </si>
  <si>
    <t>http://www.broadinstitute.org/gsea/msigdb/cards/GSE2706_UNSTIM_VS_8H_LPS_AND_R848_DC_UP.html</t>
  </si>
  <si>
    <t>GSE2706_R848_VS_LPS_2H_STIM_DC_DN</t>
  </si>
  <si>
    <t>51056;2633;944;3937;115362;730249;6373;3553;3586;3274;118788</t>
  </si>
  <si>
    <t>LAP3;GBP1;TNFSF8;LCP2;GBP5;ACOD1;CXCL11;IL1B;IL10;HRH2;PIK3AP1</t>
  </si>
  <si>
    <t>http://www.broadinstitute.org/gsea/msigdb/cards/GSE2706_R848_VS_LPS_2H_STIM_DC_DN.html</t>
  </si>
  <si>
    <t>971;7805;8477;50615;57105;9120;1102;10437;10457;4215;11217</t>
  </si>
  <si>
    <t>CD72;LAPTM5;GPR65;IL21R;CYSLTR2;SLC16A6;RCBTB2;IFI30;GPNMB;MAP3K3;AKAP2</t>
  </si>
  <si>
    <t>http://www.broadinstitute.org/gsea/msigdb/cards/GSE27786_LSK_VS_NKTCELL_DN.html</t>
  </si>
  <si>
    <t>GSE27786_LSK_VS_NEUTROPHIL_DN</t>
  </si>
  <si>
    <t>920;7805;374403;89857;81030;366;1621;2113;64098;10004;4644</t>
  </si>
  <si>
    <t>CD4;LAPTM5;TBC1D10C;KLHL6;ZBP1;AQP9;DBH;ETS1;PARVG;NAALADL1;MYO5A</t>
  </si>
  <si>
    <t>http://www.broadinstitute.org/gsea/msigdb/cards/GSE27786_LSK_VS_NEUTROPHIL_DN.html</t>
  </si>
  <si>
    <t>GSE27786_LIN_NEG_VS_CD8_TCELL_DN</t>
  </si>
  <si>
    <t>9404;3689;5788;3683;6772;84166;84174;8530;5133;89846;27240</t>
  </si>
  <si>
    <t>LPXN;ITGB2;PTPRC;ITGAL;STAT1;NLRC5;SLA2;CST7;PDCD1;FGD3;SIT1</t>
  </si>
  <si>
    <t>http://www.broadinstitute.org/gsea/msigdb/cards/GSE27786_LIN_NEG_VS_CD8_TCELL_DN.html</t>
  </si>
  <si>
    <t>GSE27786_LIN_NEG_VS_NKTCELL_DN</t>
  </si>
  <si>
    <t>3687;6890;387357;53346;57105;80342;1102;3956;3059;9938;9815</t>
  </si>
  <si>
    <t>ITGAX;TAP1;THEMIS;TM6SF1;CYSLTR2;TRAF3IP3;RCBTB2;LGALS1;HCLS1;ARHGAP25;GIT2</t>
  </si>
  <si>
    <t>http://www.broadinstitute.org/gsea/msigdb/cards/GSE27786_LIN_NEG_VS_NKTCELL_DN.html</t>
  </si>
  <si>
    <t>GSE2826_WT_VS_BTK_KO_BCELL_UP</t>
  </si>
  <si>
    <t>7456;2123;695;4689;399;255231;3635;259307;596;10148;597</t>
  </si>
  <si>
    <t>WIPF1;EVI2A;BTK;NCF4;RHOH;MCOLN2;INPP5D;IL4I1;BCL2;EBI3;BCL2A1</t>
  </si>
  <si>
    <t>http://www.broadinstitute.org/gsea/msigdb/cards/GSE2826_WT_VS_BTK_KO_BCELL_UP.html</t>
  </si>
  <si>
    <t>8676;6352;3702;80380;3111;1230;1237;3604;10184;51762;51676</t>
  </si>
  <si>
    <t>STX11;CCL5;ITK;PDCD1LG2;HLA-DOA;CCR1;CCR8;TNFRSF9;LHFPL2;RAB8B;ASB2</t>
  </si>
  <si>
    <t>http://www.broadinstitute.org/gsea/msigdb/cards/GSE30083_SP1_VS_SP3_THYMOCYTE_UP.html</t>
  </si>
  <si>
    <t>4242;7453;942;8514;3662;5552;3108;7185;151556;155038;55619</t>
  </si>
  <si>
    <t>MFNG;WARS;CD86;KCNAB2;IRF4;SRGN;HLA-DMA;TRAF1;GPR155;GIMAP8;DOCK10</t>
  </si>
  <si>
    <t>http://www.broadinstitute.org/gsea/msigdb/cards/GSE31082_DP_VS_CD8_SP_THYMOCYTE_DN.html</t>
  </si>
  <si>
    <t>GSE32423_IL7_VS_IL7_IL4_MEMORY_CD8_TCELL_DN</t>
  </si>
  <si>
    <t>27334;10068;3001;3594;6890;3662;3002;3109;10507;5027;149699</t>
  </si>
  <si>
    <t>P2RY10;IL18BP;GZMA;IL12RB1;TAP1;IRF4;GZMB;HLA-DMB;SEMA4D;P2RX7;GTSF1L</t>
  </si>
  <si>
    <t>http://www.broadinstitute.org/gsea/msigdb/cards/GSE32423_IL7_VS_IL7_IL4_MEMORY_CD8_TCELL_DN.html</t>
  </si>
  <si>
    <t>GSE32423_IL7_VS_IL7_IL4_NAIVE_CD8_TCELL_UP</t>
  </si>
  <si>
    <t>7305;719;9332;53829;8832;27299;140885;11009;79895;79630;50943</t>
  </si>
  <si>
    <t>TYROBP;C3AR1;CD163;P2RY13;CD84;ADAMDEC1;SIRPA;IL24;ATP8B4;C1orf54;FOXP3</t>
  </si>
  <si>
    <t>http://www.broadinstitute.org/gsea/msigdb/cards/GSE32423_IL7_VS_IL7_IL4_NAIVE_CD8_TCELL_UP.html</t>
  </si>
  <si>
    <t>GSE34205_HEALTHY_VS_FLU_INF_INFANT_PBMC_DN</t>
  </si>
  <si>
    <t>714;6036;391;79930;83706;51338;81030;2219;6037;3586;6614</t>
  </si>
  <si>
    <t>C1QC;RNASE2;RHOG;DOK3;FERMT3;MS4A4A;ZBP1;FCN1;RNASE3;IL10;SIGLEC1</t>
  </si>
  <si>
    <t>http://www.broadinstitute.org/gsea/msigdb/cards/GSE34205_HEALTHY_VS_FLU_INF_INFANT_PBMC_DN.html</t>
  </si>
  <si>
    <t>GSE360_CTRL_VS_L_DONOVANI_DC_DN</t>
  </si>
  <si>
    <t>8676;6351;3561;1439;2014;8530;2212;2213;1235;3718;7185</t>
  </si>
  <si>
    <t>STX11;CCL4;IL2RG;CSF2RB;EMP3;CST7;FCGR2A;FCGR2B;CCR6;JAK3;TRAF1</t>
  </si>
  <si>
    <t>http://www.broadinstitute.org/gsea/msigdb/cards/GSE360_CTRL_VS_L_DONOVANI_DC_DN.html</t>
  </si>
  <si>
    <t>GSE360_L_DONOVANI_VS_T_GONDII_MAC_UP</t>
  </si>
  <si>
    <t>9450;2214;313;9332;3553;3162;3059;5724;1230;1601;6503</t>
  </si>
  <si>
    <t>LY86;FCGR3A;AOAH;CD163;IL1B;HMOX1;HCLS1;PTAFR;CCR1;DAB2;SLA</t>
  </si>
  <si>
    <t>http://www.broadinstitute.org/gsea/msigdb/cards/GSE360_L_DONOVANI_VS_T_GONDII_MAC_UP.html</t>
  </si>
  <si>
    <t>GSE360_L_DONOVANI_VS_B_MALAYI_HIGH_DOSE_MAC_UP</t>
  </si>
  <si>
    <t>22797;2214;3575;1236;3101;9332;366;3162;4360;1230;597</t>
  </si>
  <si>
    <t>TFEC;FCGR3A;IL7R;CCR7;HK3;CD163;AQP9;HMOX1;MRC1;CCR1;BCL2A1</t>
  </si>
  <si>
    <t>http://www.broadinstitute.org/gsea/msigdb/cards/GSE360_L_DONOVANI_VS_B_MALAYI_HIGH_DOSE_MAC_UP.html</t>
  </si>
  <si>
    <t>GSE360_L_DONOVANI_VS_M_TUBERCULOSIS_MAC_DN</t>
  </si>
  <si>
    <t>54440;713;3627;914;3659;6352;2633;10288;2113;3113;6363</t>
  </si>
  <si>
    <t>SASH3;C1QB;CXCL10;CD2;IRF1;CCL5;GBP1;LILRB2;ETS1;HLA-DPA1;CCL19</t>
  </si>
  <si>
    <t>http://www.broadinstitute.org/gsea/msigdb/cards/GSE360_L_DONOVANI_VS_M_TUBERCULOSIS_MAC_DN.html</t>
  </si>
  <si>
    <t>GSE360_LOW_DOSE_B_MALAYI_VS_M_TUBERCULOSIS_MAC_UP</t>
  </si>
  <si>
    <t>9450;2268;1236;2014;2219;10990;3113;2213;1414;4208;11027</t>
  </si>
  <si>
    <t>LY86;FGR;CCR7;EMP3;FCN1;LILRB5;HLA-DPA1;FCGR2B;CRYBB1;MEF2C;LILRA2</t>
  </si>
  <si>
    <t>http://www.broadinstitute.org/gsea/msigdb/cards/GSE360_LOW_DOSE_B_MALAYI_VS_M_TUBERCULOSIS_MAC_UP.html</t>
  </si>
  <si>
    <t>962;51056;8514;719;83706;89790;3956;596;3363;83937;11217</t>
  </si>
  <si>
    <t>CD48;LAP3;KCNAB2;C3AR1;FERMT3;SIGLEC10;LGALS1;BCL2;HTR7;RASSF4;AKAP2</t>
  </si>
  <si>
    <t>http://www.broadinstitute.org/gsea/msigdb/cards/GSE36392_TYPE_2_MYELOID_VS_EOSINOPHIL_IL25_TREATED_LUNG_UP.html</t>
  </si>
  <si>
    <t>GSE36392_EOSINOPHIL_VS_MAC_IL25_TREATED_LUNG_UP</t>
  </si>
  <si>
    <t>22797;929;7805;10875;9744;255231;53346;10537;9120;3004;9806</t>
  </si>
  <si>
    <t>TFEC;CD14;LAPTM5;FGL2;ACAP1;MCOLN2;TM6SF1;UBD;SLC16A6;GZMM;SPOCK2</t>
  </si>
  <si>
    <t>http://www.broadinstitute.org/gsea/msigdb/cards/GSE36392_EOSINOPHIL_VS_MAC_IL25_TREATED_LUNG_UP.html</t>
  </si>
  <si>
    <t>3676;374403;51744;6793;921;5452;55911;80709;115727;4215;81553</t>
  </si>
  <si>
    <t>ITGA4;TBC1D10C;CD244;STK10;CD5;POU2F2;APOBR;AKNA;RASGRP4;MAP3K3;FAM49A</t>
  </si>
  <si>
    <t>GSE37416_CTRL_VS_6H_F_TULARENSIS_LVS_NEUTROPHIL_UP</t>
  </si>
  <si>
    <t>2123;3071;286336;64407;441168;84329;4215;56670;64174;59345;30817</t>
  </si>
  <si>
    <t>EVI2A;NCKAP1L;FAM78A;RGS18;CALHM6;HVCN1;MAP3K3;SUCNR1;DPEP2;GNB4;ADGRE2</t>
  </si>
  <si>
    <t>http://www.broadinstitute.org/gsea/msigdb/cards/GSE37416_CTRL_VS_6H_F_TULARENSIS_LVS_NEUTROPHIL_UP.html</t>
  </si>
  <si>
    <t>GSE37416_0H_VS_12H_F_TULARENSIS_LVS_NEUTROPHIL_UP</t>
  </si>
  <si>
    <t>945;4332;3101;6404;3717;6546;79865;57705;54518;11027;4644</t>
  </si>
  <si>
    <t>CD33;MNDA;HK3;SELPLG;JAK2;SLC8A1;TREML2;WDFY4;APBB1IP;LILRA2;MYO5A</t>
  </si>
  <si>
    <t>http://www.broadinstitute.org/gsea/msigdb/cards/GSE37416_0H_VS_12H_F_TULARENSIS_LVS_NEUTROPHIL_UP.html</t>
  </si>
  <si>
    <t>GSE37416_0H_VS_48H_F_TULARENSIS_LVS_NEUTROPHIL_DN</t>
  </si>
  <si>
    <t>7133;4245;1234;11314;158830;19;54;943;7185;114132;57823</t>
  </si>
  <si>
    <t>TNFRSF1B;MGAT1;CCR5;CD300A;CXorf65;ABCA1;ACP5;TNFRSF8;TRAF1;SIGLEC11;SLAMF7</t>
  </si>
  <si>
    <t>http://www.broadinstitute.org/gsea/msigdb/cards/GSE37416_0H_VS_48H_F_TULARENSIS_LVS_NEUTROPHIL_DN.html</t>
  </si>
  <si>
    <t>GSE37416_12H_VS_24H_F_TULARENSIS_LVS_NEUTROPHIL_DN</t>
  </si>
  <si>
    <t>9839;10068;54557;80896;11314;6373;2213;161176;11027;55281;22806</t>
  </si>
  <si>
    <t>ZEB2;IL18BP;SGTB;NPL;CD300A;CXCL11;FCGR2B;SYNE3;LILRA2;TMEM140;IKZF3</t>
  </si>
  <si>
    <t>http://www.broadinstitute.org/gsea/msigdb/cards/GSE37416_12H_VS_24H_F_TULARENSIS_LVS_NEUTROPHIL_DN.html</t>
  </si>
  <si>
    <t>GSE3982_CTRL_VS_LPS_48H_DC_UP</t>
  </si>
  <si>
    <t>9214;9459;64231;11314;2162;3115;1043;1601;4208;10462;11027</t>
  </si>
  <si>
    <t>FCMR;ARHGEF6;MS4A6A;CD300A;F13A1;HLA-DPB1;CD52;DAB2;MEF2C;CLEC10A;LILRA2</t>
  </si>
  <si>
    <t>http://www.broadinstitute.org/gsea/msigdb/cards/GSE3982_CTRL_VS_LPS_48H_DC_UP.html</t>
  </si>
  <si>
    <t>962;2633;10225;3702;3820;55340;4063;3003;1235;90634;64919</t>
  </si>
  <si>
    <t>CD48;GBP1;CD96;ITK;KLRB1;GIMAP5;LY9;GZMK;CCR6;N4BP2L1;BCL11B</t>
  </si>
  <si>
    <t>4210;3676;919;695;9459;399;719;55843;5376;8809;25890</t>
  </si>
  <si>
    <t>MEFV;ITGA4;CD247;BTK;ARHGEF6;RHOH;C3AR1;ARHGAP15;PMP22;IL18R1;ABI3BP</t>
  </si>
  <si>
    <t>http://www.broadinstitute.org/gsea/msigdb/cards/GSE3982_MAST_CELL_VS_DC_UP.html</t>
  </si>
  <si>
    <t>GSE3982_MAST_CELL_VS_BCELL_UP</t>
  </si>
  <si>
    <t>8676;2207;3702;51338;54209;56833;11314;8530;2162;3988;4240</t>
  </si>
  <si>
    <t>STX11;FCER1G;ITK;MS4A4A;TREM2;SLAMF8;CD300A;CST7;F13A1;LIPA;MFGE8</t>
  </si>
  <si>
    <t>http://www.broadinstitute.org/gsea/msigdb/cards/GSE3982_MAST_CELL_VS_BCELL_UP.html</t>
  </si>
  <si>
    <t>GSE3982_MAST_CELL_VS_TH2_UP</t>
  </si>
  <si>
    <t>2350;6688;91752;64092;11314;1102;2162;9103;1601;25890;54504</t>
  </si>
  <si>
    <t>FOLR2;SPI1;ZNF804A;SAMSN1;CD300A;RCBTB2;F13A1;FCGR2A;DAB2;ABI3BP;CPVL</t>
  </si>
  <si>
    <t>http://www.broadinstitute.org/gsea/msigdb/cards/GSE3982_MAST_CELL_VS_TH2_UP.html</t>
  </si>
  <si>
    <t>GSE3982_DC_VS_MAC_UP</t>
  </si>
  <si>
    <t>4671;9459;10666;114548;26051;64170;2848;6373;54;4688;3290</t>
  </si>
  <si>
    <t>NAIP;ARHGEF6;CD226;NLRP3;PPP1R16B;CARD9;GPR25;CXCL11;ACP5;NCF2;HSD11B1</t>
  </si>
  <si>
    <t>http://www.broadinstitute.org/gsea/msigdb/cards/GSE3982_DC_VS_MAC_UP.html</t>
  </si>
  <si>
    <t>GSE3982_NEUTROPHIL_VS_TH2_UP</t>
  </si>
  <si>
    <t>2123;2124;3101;7805;27128;9056;6556;9815;10077;64174;30817</t>
  </si>
  <si>
    <t>EVI2A;EVI2B;HK3;LAPTM5;CYTH4;SLC7A7;SLC11A1;GIT2;TSPAN32;DPEP2;ADGRE2</t>
  </si>
  <si>
    <t>http://www.broadinstitute.org/gsea/msigdb/cards/GSE3982_NEUTROPHIL_VS_TH2_UP.html</t>
  </si>
  <si>
    <t>GSE3982_BCELL_VS_BASOPHIL_UP</t>
  </si>
  <si>
    <t>9214;7133;971;3394;81030;4063;3113;4050;3123;10235;80183</t>
  </si>
  <si>
    <t>FCMR;TNFRSF1B;CD72;IRF8;ZBP1;LY9;HLA-DPA1;LTB;HLA-DRB1;RASGRP2;RUBCNL</t>
  </si>
  <si>
    <t>http://www.broadinstitute.org/gsea/msigdb/cards/GSE3982_BCELL_VS_BASOPHIL_UP.html</t>
  </si>
  <si>
    <t>GSE39820_TGFBETA1_IL6_VS_TGFBETA1_IL6_IL23A_TREATED_CD4_TCELL_UP</t>
  </si>
  <si>
    <t>3689;942;3071;117289;55589;4094;9938;10672;64919;81553;22806</t>
  </si>
  <si>
    <t>ITGB2;CD86;NCKAP1L;TAGAP;BMP2K;MAF;ARHGAP25;GNA13;BCL11B;FAM49A;IKZF3</t>
  </si>
  <si>
    <t>http://www.broadinstitute.org/gsea/msigdb/cards/GSE39820_TGFBETA1_IL6_VS_TGFBETA1_IL6_IL23A_TREATED_CD4_TCELL_UP.html</t>
  </si>
  <si>
    <t>972;917;919;29909;10154;10437;3902;11010;2833;84106;51466</t>
  </si>
  <si>
    <t>CD74;CD3G;CD247;GPR171;PLXNC1;IFI30;LAG3;GLIPR1;CXCR3;PRAM1;EVL</t>
  </si>
  <si>
    <t>http://www.broadinstitute.org/gsea/msigdb/cards/GSE39820_TGFBETA1_IL6_VS_TGFBETA1_IL6_IL23A_TREATED_CD4_TCELL_DN.html</t>
  </si>
  <si>
    <t>GSE39820_TGFBETA3_IL6_VS_TGFBETA3_IL6_IL23A_TREATED_CD4_TCELL_UP</t>
  </si>
  <si>
    <t>5579;3071;10666;124535;120939;117289;23533;1235;11009;51762;81553</t>
  </si>
  <si>
    <t>PRKCB;NCKAP1L;CD226;HSF5;TMEM52B;TAGAP;PIK3R5;CCR6;IL24;RAB8B;FAM49A</t>
  </si>
  <si>
    <t>http://www.broadinstitute.org/gsea/msigdb/cards/GSE39820_TGFBETA3_IL6_VS_TGFBETA3_IL6_IL23A_TREATED_CD4_TCELL_UP.html</t>
  </si>
  <si>
    <t>GSE7460_CTRL_VS_TGFB_TREATED_ACT_TREG_DN</t>
  </si>
  <si>
    <t>9404;10225;5800;19;6556;1237;54331;8809;9815;25780;91010</t>
  </si>
  <si>
    <t>LPXN;CD96;PTPRO;ABCA1;SLC11A1;CCR8;GNG2;IL18R1;GIT2;RASGRP3;FMNL3</t>
  </si>
  <si>
    <t>http://www.broadinstitute.org/gsea/msigdb/cards/GSE7460_CTRL_VS_TGFB_TREATED_ACT_TREG_DN.html</t>
  </si>
  <si>
    <t>GSE7852_LN_VS_FAT_TREG_DN</t>
  </si>
  <si>
    <t>10663;3627;3594;1233;3587;64092;23228;730249;5552;729230;57514</t>
  </si>
  <si>
    <t>CXCR6;CXCL10;IL12RB1;CCR4;IL10RA;SAMSN1;PLCL2;ACOD1;SRGN;CCR2;ARHGAP31</t>
  </si>
  <si>
    <t>http://www.broadinstitute.org/gsea/msigdb/cards/GSE7852_LN_VS_FAT_TREG_DN.html</t>
  </si>
  <si>
    <t>GSE9006_HEALTHY_VS_TYPE_1_DIABETES_PBMC_4MONTH_POST_DX_UP</t>
  </si>
  <si>
    <t>1536;3659;51056;2313;7805;1794;80380;1508;6891;969;64747</t>
  </si>
  <si>
    <t>CYBB;IRF1;LAP3;FLI1;LAPTM5;DOCK2;PDCD1LG2;CTSB;TAP2;CD69;MFSD1</t>
  </si>
  <si>
    <t>http://www.broadinstitute.org/gsea/msigdb/cards/GSE9006_HEALTHY_VS_TYPE_1_DIABETES_PBMC_4MONTH_POST_DX_UP.html</t>
  </si>
  <si>
    <t>GSE9006_TYPE_1_DIABETES_AT_DX_VS_4MONTH_POST_DX_PBMC_UP</t>
  </si>
  <si>
    <t>8676;1536;7805;80301;366;3553;2357;2358;55911;1522;9935</t>
  </si>
  <si>
    <t>STX11;CYBB;LAPTM5;PLEKHO2;AQP9;IL1B;FPR1;FPR2;APOBR;CTSZ;MAFB</t>
  </si>
  <si>
    <t>http://www.broadinstitute.org/gsea/msigdb/cards/GSE9006_TYPE_1_DIABETES_AT_DX_VS_4MONTH_POST_DX_PBMC_UP.html</t>
  </si>
  <si>
    <t>GSE9037_CTRL_VS_LPS_4H_STIM_IRAK4_KO_BMDM_UP</t>
  </si>
  <si>
    <t>9046;2209;1234;150372;51284;50856;56253;4066;241;161176;375387</t>
  </si>
  <si>
    <t>DOK2;FCGR1A;CCR5;NFAM1;TLR7;CLEC4A;CRTAM;LYL1;ALOX5AP;SYNE3;NRROS</t>
  </si>
  <si>
    <t>http://www.broadinstitute.org/gsea/msigdb/cards/GSE9037_CTRL_VS_LPS_4H_STIM_IRAK4_KO_BMDM_UP.html</t>
  </si>
  <si>
    <t>GSE9650_NAIVE_VS_MEMORY_CD8_TCELL_UP</t>
  </si>
  <si>
    <t>925;5579;1236;4354;719;921;3111;3112;3988;10077;7462</t>
  </si>
  <si>
    <t>CD8A;PRKCB;CCR7;MPP1;C3AR1;CD5;HLA-DOA;HLA-DOB;LIPA;TSPAN32;LAT2</t>
  </si>
  <si>
    <t>http://www.broadinstitute.org/gsea/msigdb/cards/GSE9650_NAIVE_VS_MEMORY_CD8_TCELL_UP.html</t>
  </si>
  <si>
    <t>GSE9988_ANTI_TREM1_VS_CTRL_TREATED_MONOCYTES_UP</t>
  </si>
  <si>
    <t>84868;89857;4063;56253;1435;526;10672;375387;84541;9754;4327</t>
  </si>
  <si>
    <t>HAVCR2;KLHL6;LY9;CRTAM;CSF1;ATP6V1B2;GNA13;NRROS;KBTBD8;STARD8;MMP19</t>
  </si>
  <si>
    <t>http://www.broadinstitute.org/gsea/msigdb/cards/GSE9988_ANTI_TREM1_VS_CTRL_TREATED_MONOCYTES_UP.html</t>
  </si>
  <si>
    <t>GSE9988_ANTI_TREM1_VS_VEHICLE_TREATED_MONOCYTES_UP</t>
  </si>
  <si>
    <t>84868;89857;4063;9034;56253;1435;1601;10672;84541;9754;4327</t>
  </si>
  <si>
    <t>HAVCR2;KLHL6;LY9;CCRL2;CRTAM;CSF1;DAB2;GNA13;KBTBD8;STARD8;MMP19</t>
  </si>
  <si>
    <t>http://www.broadinstitute.org/gsea/msigdb/cards/GSE9988_ANTI_TREM1_VS_VEHICLE_TREATED_MONOCYTES_UP.html</t>
  </si>
  <si>
    <t>GSE2770_UNTREATED_VS_IL4_TREATED_ACT_CD4_TCELL_48H_UP</t>
  </si>
  <si>
    <t>3627;3687;10871;2672;27036;730249;3553;2212;2358;6556;116442</t>
  </si>
  <si>
    <t>CXCL10;ITGAX;CD300C;GFI1;SIGLEC7;ACOD1;IL1B;FCGR2A;FPR2;SLC11A1;RAB39B</t>
  </si>
  <si>
    <t>http://www.broadinstitute.org/gsea/msigdb/cards/GSE2770_UNTREATED_VS_IL4_TREATED_ACT_CD4_TCELL_48H_UP.html</t>
  </si>
  <si>
    <t>9051;6688;971;923;10225;5800;2672;8742;3902;597;90634</t>
  </si>
  <si>
    <t>PSTPIP1;SPI1;CD72;CD6;CD96;PTPRO;GFI1;TNFSF12;LAG3;BCL2A1;N4BP2L1</t>
  </si>
  <si>
    <t>GSE2770_TGFB_AND_IL4_VS_TGFB_AND_IL12_TREATED_ACT_CD4_TCELL_48H_DN</t>
  </si>
  <si>
    <t>9051;714;3676;2313;11184;11326;7454;10235;147138;29125;26157</t>
  </si>
  <si>
    <t>PSTPIP1;C1QC;ITGA4;FLI1;MAP4K1;VSIG4;WAS;RASGRP2;TMC8;C11orf21;GIMAP2</t>
  </si>
  <si>
    <t>http://www.broadinstitute.org/gsea/msigdb/cards/GSE2770_TGFB_AND_IL4_VS_TGFB_AND_IL12_TREATED_ACT_CD4_TCELL_48H_DN.html</t>
  </si>
  <si>
    <t>GSE2770_IL12_AND_TGFB_VS_IL4_TREATED_ACT_CD4_TCELL_2H_UP</t>
  </si>
  <si>
    <t>3561;9034;8564;3553;1508;526;140885;7941;57514;9754;29126</t>
  </si>
  <si>
    <t>IL2RG;CCRL2;KMO;IL1B;CTSB;ATP6V1B2;SIRPA;PLA2G7;ARHGAP31;STARD8;CD274</t>
  </si>
  <si>
    <t>http://www.broadinstitute.org/gsea/msigdb/cards/GSE2770_IL12_AND_TGFB_VS_IL4_TREATED_ACT_CD4_TCELL_2H_UP.html</t>
  </si>
  <si>
    <t>GSE2405_0H_VS_1.5H_A_PHAGOCYTOPHILUM_STIM_NEUTROPHIL_UP</t>
  </si>
  <si>
    <t>3659;3560;963;51056;199;341;1508;4688;131450;84329;9935</t>
  </si>
  <si>
    <t>IRF1;IL2RB;CD53;LAP3;AIF1;APOC1;CTSB;NCF2;CD200R1;HVCN1;MAFB</t>
  </si>
  <si>
    <t>http://www.broadinstitute.org/gsea/msigdb/cards/GSE2405_0H_VS_1.5H_A_PHAGOCYTOPHILUM_STIM_NEUTROPHIL_UP.html</t>
  </si>
  <si>
    <t>GSE22601_DOUBLE_NEGATIVE_VS_DOUBLE_POSITIVE_THYMOCYTE_DN</t>
  </si>
  <si>
    <t>4068;283897;257106;1794;55303;6402;3824;151556;155038;84541;131450</t>
  </si>
  <si>
    <t>SH2D1A;C16orf54;ARHGAP30;DOCK2;GIMAP4;SELL;KLRD1;GPR155;GIMAP8;KBTBD8;CD200R1</t>
  </si>
  <si>
    <t>http://www.broadinstitute.org/gsea/msigdb/cards/GSE22601_DOUBLE_NEGATIVE_VS_DOUBLE_POSITIVE_THYMOCYTE_DN.html</t>
  </si>
  <si>
    <t>4242;3627;91752;89857;2672;64092;730249;1043;4973;91010;79690</t>
  </si>
  <si>
    <t>MFNG;CXCL10;ZNF804A;KLHL6;GFI1;SAMSN1;ACOD1;CD52;OLR1;FMNL3;GAL3ST4</t>
  </si>
  <si>
    <t>http://www.broadinstitute.org/gsea/msigdb/cards/GSE2585_CTEC_VS_THYMIC_DC_DN.html</t>
  </si>
  <si>
    <t>7940;9450;1233;3603;6404;80380;5552;3059;1043;55911;51466</t>
  </si>
  <si>
    <t>LST1;LY86;CCR4;IL16;SELPLG;PDCD1LG2;SRGN;HCLS1;CD52;APOBR;EVL</t>
  </si>
  <si>
    <t>http://www.broadinstitute.org/gsea/msigdb/cards/GSE2585_THYMIC_DC_VS_THYMIC_MACROPHAGE_DN.html</t>
  </si>
  <si>
    <t>GSE1925_CTRL_VS_IFNG_PRIMED_MACROPHAGE_24H_IFNG_STIM_DN</t>
  </si>
  <si>
    <t>3559;3659;3001;3676;7453;1794;115361;348;926;6402;8809</t>
  </si>
  <si>
    <t>IL2RA;IRF1;GZMA;ITGA4;WARS;DOCK2;GBP4;APOE;CD8B;SELL;IL18R1</t>
  </si>
  <si>
    <t>http://www.broadinstitute.org/gsea/msigdb/cards/GSE1925_CTRL_VS_IFNG_PRIMED_MACROPHAGE_24H_IFNG_STIM_DN.html</t>
  </si>
  <si>
    <t>GSE8921_UNSTIM_VS_TLR1_2_STIM_MONOCYTE_3H_DN</t>
  </si>
  <si>
    <t>340152;9404;3695;3594;7535;5294;51225;1435;151556;245972;7462</t>
  </si>
  <si>
    <t>ZC3H12D;LPXN;ITGB7;IL12RB1;ZAP70;PIK3CG;ABI3;CSF1;GPR155;ATP6V0D2;LAT2</t>
  </si>
  <si>
    <t>http://www.broadinstitute.org/gsea/msigdb/cards/GSE8921_UNSTIM_VS_TLR1_2_STIM_MONOCYTE_3H_DN.html</t>
  </si>
  <si>
    <t>GSE8921_UNSTIM_VS_TLR1_2_STIM_MONOCYTE_6H_UP</t>
  </si>
  <si>
    <t>940;3575;399;286336;50852;114836;596;89846;85464;245972;9806</t>
  </si>
  <si>
    <t>CD28;IL7R;RHOH;FAM78A;TRAT1;SLAMF6;BCL2;FGD3;SSH2;ATP6V0D2;SPOCK2</t>
  </si>
  <si>
    <t>http://www.broadinstitute.org/gsea/msigdb/cards/GSE8921_UNSTIM_VS_TLR1_2_STIM_MONOCYTE_6H_UP.html</t>
  </si>
  <si>
    <t>GSE8921_UNSTIM_VS_TLR1_2_STIM_MONOCYTE_6H_DN</t>
  </si>
  <si>
    <t>3458;3627;2268;3695;923;3594;1234;30009;8809;10148;5133</t>
  </si>
  <si>
    <t>IFNG;CXCL10;FGR;ITGB7;CD6;IL12RB1;CCR5;TBX21;IL18R1;EBI3;PDCD1</t>
  </si>
  <si>
    <t>http://www.broadinstitute.org/gsea/msigdb/cards/GSE8921_UNSTIM_VS_TLR1_2_STIM_MONOCYTE_6H_DN.html</t>
  </si>
  <si>
    <t>2533;925;2214;5294;4689;81704;146722;51744;50856;6503;55691</t>
  </si>
  <si>
    <t>FYB1;CD8A;FCGR3A;PIK3CG;NCF4;DOCK8;CD300LF;CD244;CLEC4A;SLA;FRMD4A</t>
  </si>
  <si>
    <t>http://www.broadinstitute.org/gsea/msigdb/cards/GSE3039_CD4_TCELL_VS_ALPHAALPHA_CD8_TCELL_DN.html</t>
  </si>
  <si>
    <t>GSE5589_WT_VS_IL10_KO_LPS_STIM_MACROPHAGE_45MIN_UP</t>
  </si>
  <si>
    <t>1536;3683;2124;170371;92241;221472;54899;146722;9120;79895;64805</t>
  </si>
  <si>
    <t>CYBB;ITGAL;EVI2B;TMEM273;RCSD1;FGD2;PXK;CD300LF;SLC16A6;ATP8B4;P2RY12</t>
  </si>
  <si>
    <t>http://www.broadinstitute.org/gsea/msigdb/cards/GSE5589_WT_VS_IL10_KO_LPS_STIM_MACROPHAGE_45MIN_UP.html</t>
  </si>
  <si>
    <t>GSE3920_UNTREATED_VS_IFNB_TREATED_ENDOTHELIAL_CELL_UP</t>
  </si>
  <si>
    <t>4068;1436;653361;942;1794;27299;3122;2113;27163;90634;85464</t>
  </si>
  <si>
    <t>SH2D1A;CSF1R;NCF1;CD86;DOCK2;ADAMDEC1;HLA-DRA;ETS1;NAAA;N4BP2L1;SSH2</t>
  </si>
  <si>
    <t>http://www.broadinstitute.org/gsea/msigdb/cards/GSE3920_UNTREATED_VS_IFNB_TREATED_ENDOTHELIAL_CELL_UP.html</t>
  </si>
  <si>
    <t>GSE6681_DELETED_FOXP3_VS_WT_TREG_UP</t>
  </si>
  <si>
    <t>10663;2214;971;10225;91752;9881;2162;3737;4481;4818;116071</t>
  </si>
  <si>
    <t>CXCR6;FCGR3A;CD72;CD96;ZNF804A;TRANK1;F13A1;KCNA2;MSR1;NKG7;BATF2</t>
  </si>
  <si>
    <t>http://www.broadinstitute.org/gsea/msigdb/cards/GSE6681_DELETED_FOXP3_VS_WT_TREG_UP.html</t>
  </si>
  <si>
    <t>GSE6875_WT_VS_FOXP3_KO_TREG_DN</t>
  </si>
  <si>
    <t>1536;3055;7535;199;4354;4064;53829;84174;56659;140885;3824</t>
  </si>
  <si>
    <t>CYBB;HCK;ZAP70;AIF1;MPP1;CD180;P2RY13;SLA2;KCNK13;SIRPA;KLRD1</t>
  </si>
  <si>
    <t>http://www.broadinstitute.org/gsea/msigdb/cards/GSE6875_WT_VS_FOXP3_KO_TREG_DN.html</t>
  </si>
  <si>
    <t>GSE9509_LPS_VS_LPS_AND_IL10_STIM_IL10_KO_MACROPHAGE_30MIN_UP</t>
  </si>
  <si>
    <t>9840;4542;920;5788;5778;55843;64092;5552;10437;3988;29125</t>
  </si>
  <si>
    <t>TESPA1;MYO1F;CD4;PTPRC;PTPN7;ARHGAP15;SAMSN1;SRGN;IFI30;LIPA;C11orf21</t>
  </si>
  <si>
    <t>http://www.broadinstitute.org/gsea/msigdb/cards/GSE9509_LPS_VS_LPS_AND_IL10_STIM_IL10_KO_MACROPHAGE_30MIN_UP.html</t>
  </si>
  <si>
    <t>GSE7831_UNSTIM_VS_INFLUENZA_STIM_PDC_4H_DN</t>
  </si>
  <si>
    <t>962;940;3659;3575;1234;2014;3394;399;255231;1508;161145</t>
  </si>
  <si>
    <t>CD48;CD28;IRF1;IL7R;CCR5;EMP3;IRF8;RHOH;MCOLN2;CTSB;TMEM229B</t>
  </si>
  <si>
    <t>http://www.broadinstitute.org/gsea/msigdb/cards/GSE7831_UNSTIM_VS_INFLUENZA_STIM_PDC_4H_DN.html</t>
  </si>
  <si>
    <t>916;951;7133;391;399;92241;197358;257106;23048;50615;55013</t>
  </si>
  <si>
    <t>CD3E;CD37;TNFRSF1B;RHOG;RHOH;RCSD1;NLRC3;ARHGAP30;FNBP1;IL21R;MCUB</t>
  </si>
  <si>
    <t>http://www.broadinstitute.org/gsea/msigdb/cards/GSE5503_LIVER_DC_VS_MLN_DC_ACTIVATED_ALLOGENIC_TCELL_DN.html</t>
  </si>
  <si>
    <t>2533;6688;11184;7439;348;3112;6753;54331;375387;116071;54504</t>
  </si>
  <si>
    <t>FYB1;SPI1;MAP4K1;BEST1;APOE;HLA-DOB;SSTR3;GNG2;NRROS;BATF2;CPVL</t>
  </si>
  <si>
    <t>http://www.broadinstitute.org/gsea/msigdb/cards/GSE5503_LIVER_DC_VS_PLN_DC_ACTIVATED_ALLOGENIC_TCELL_UP.html</t>
  </si>
  <si>
    <t>GSE5503_MLN_DC_VS_PLN_DC_ACTIVATED_ALLOGENIC_TCELL_DN</t>
  </si>
  <si>
    <t>3559;5579;3575;286336;51296;55589;2219;6793;118788;25780;10507</t>
  </si>
  <si>
    <t>IL2RA;PRKCB;IL7R;FAM78A;SLC15A3;BMP2K;FCN1;STK10;PIK3AP1;RASGRP3;SEMA4D</t>
  </si>
  <si>
    <t>http://www.broadinstitute.org/gsea/msigdb/cards/GSE5503_MLN_DC_VS_PLN_DC_ACTIVATED_ALLOGENIC_TCELL_DN.html</t>
  </si>
  <si>
    <t>GSE13547_CTRL_VS_ANTI_IGM_STIM_ZFX_KO_BCELL_2H_DN</t>
  </si>
  <si>
    <t>3458;3627;971;8477;11006;366;924;969;151556;120425</t>
  </si>
  <si>
    <t>IFNG;CXCL10;CD72;GPR65;LILRB4;AQP9;CD7;CD69;GPR155;JAML</t>
  </si>
  <si>
    <t>http://www.broadinstitute.org/gsea/msigdb/cards/GSE13547_CTRL_VS_ANTI_IGM_STIM_ZFX_KO_BCELL_2H_DN.html</t>
  </si>
  <si>
    <t>GSE15330_MEGAKARYOCYTE_ERYTHROID_VS_GRANULOCYTE_MONOCYTE_PROGENITOR_DN</t>
  </si>
  <si>
    <t>3627;124460;9120;4094;4049;5552;3586;3718;131450;84230;23166</t>
  </si>
  <si>
    <t>CXCL10;SNX20;SLC16A6;MAF;LTA;SRGN;IL10;JAK3;CD200R1;LRRC8C;STAB1</t>
  </si>
  <si>
    <t>http://www.broadinstitute.org/gsea/msigdb/cards/GSE15330_MEGAKARYOCYTE_ERYTHROID_VS_GRANULOCYTE_MONOCYTE_PROGENITOR_DN.html</t>
  </si>
  <si>
    <t>GSE15330_WT_VS_IKAROS_KO_GRANULOCYTE_MONOCYTE_PROGENITOR_DN</t>
  </si>
  <si>
    <t>9404;914;3560;1493;2014;8514;8477;55589;3059;51063;4644</t>
  </si>
  <si>
    <t>LPXN;CD2;IL2RB;CTLA4;EMP3;KCNAB2;GPR65;BMP2K;HCLS1;CALHM2;MYO5A</t>
  </si>
  <si>
    <t>http://www.broadinstitute.org/gsea/msigdb/cards/GSE15330_WT_VS_IKAROS_KO_GRANULOCYTE_MONOCYTE_PROGENITOR_DN.html</t>
  </si>
  <si>
    <t>GSE15330_MEGAKARYOCYTE_ERYTHROID_PROGENITOR_VS_PRO_BCELL_UP</t>
  </si>
  <si>
    <t>10663;9535;951;3575;3059;1230;729230;54331;27163;814;84230</t>
  </si>
  <si>
    <t>CXCR6;GMFG;CD37;IL7R;HCLS1;CCR1;CCR2;GNG2;NAAA;CAMK4;LRRC8C</t>
  </si>
  <si>
    <t>http://www.broadinstitute.org/gsea/msigdb/cards/GSE15330_MEGAKARYOCYTE_ERYTHROID_PROGENITOR_VS_PRO_BCELL_UP.html</t>
  </si>
  <si>
    <t>GSE15330_HSC_VS_PRO_BCELL_DN</t>
  </si>
  <si>
    <t>5579;951;653361;3695;64926;6793;4049;54331;27163;64780;23166</t>
  </si>
  <si>
    <t>PRKCB;CD37;NCF1;ITGB7;RASAL3;STK10;LTA;GNG2;NAAA;MICAL1;STAB1</t>
  </si>
  <si>
    <t>http://www.broadinstitute.org/gsea/msigdb/cards/GSE15330_HSC_VS_PRO_BCELL_DN.html</t>
  </si>
  <si>
    <t>GSE12198_CTRL_VS_HIGH_IL2_STIM_NK_CELL_UP</t>
  </si>
  <si>
    <t>2209;6351;8477;150372;54557;80896;5452;4481;729230;3718;55281</t>
  </si>
  <si>
    <t>FCGR1A;CCL4;GPR65;NFAM1;SGTB;NPL;POU2F2;MSR1;CCR2;JAK3;TMEM140</t>
  </si>
  <si>
    <t>http://www.broadinstitute.org/gsea/msigdb/cards/GSE12198_CTRL_VS_HIGH_IL2_STIM_NK_CELL_UP.html</t>
  </si>
  <si>
    <t>GSE9960_GRAM_NEG_VS_GRAM_NEG_AND_POS_SEPSIS_PBMC_UP</t>
  </si>
  <si>
    <t>10663;6352;6772;11262;84166;27299;3718;3604;7185;10148;57823</t>
  </si>
  <si>
    <t>CXCR6;CCL5;STAT1;SP140;NLRC5;ADAMDEC1;JAK3;TNFRSF9;TRAF1;EBI3;SLAMF7</t>
  </si>
  <si>
    <t>http://www.broadinstitute.org/gsea/msigdb/cards/GSE9960_GRAM_NEG_VS_GRAM_NEG_AND_POS_SEPSIS_PBMC_UP.html</t>
  </si>
  <si>
    <t>GSE12392_CD8A_POS_VS_NEG_SPLEEN_DC_DN</t>
  </si>
  <si>
    <t>3695;2322;1234;283897;84166;81030;3956;6693;241;2833;55691</t>
  </si>
  <si>
    <t>ITGB7;FLT3;CCR5;C16orf54;NLRC5;ZBP1;LGALS1;SPN;ALOX5AP;CXCR3;FRMD4A</t>
  </si>
  <si>
    <t>http://www.broadinstitute.org/gsea/msigdb/cards/GSE12392_CD8A_POS_VS_NEG_SPLEEN_DC_DN.html</t>
  </si>
  <si>
    <t>GSE17186_CD21LOW_VS_CD21HIGH_TRANSITIONAL_BCELL_DN</t>
  </si>
  <si>
    <t>5579;219972;51225;9034;27306;3553;4066;151556;375387;115727;55619</t>
  </si>
  <si>
    <t>PRKCB;MPEG1;ABI3;CCRL2;HPGDS;IL1B;LYL1;GPR155;NRROS;RASGRP4;DOCK10</t>
  </si>
  <si>
    <t>http://www.broadinstitute.org/gsea/msigdb/cards/GSE17186_CD21LOW_VS_CD21HIGH_TRANSITIONAL_BCELL_DN.html</t>
  </si>
  <si>
    <t>GSE17186_MEMORY_VS_CD21LOW_TRANSITIONAL_BCELL_UP</t>
  </si>
  <si>
    <t>941;942;3101;114548;1102;3117;3059;6776;9754;64098;57823</t>
  </si>
  <si>
    <t>CD80;CD86;HK3;NLRP3;RCBTB2;HLA-DQA1;HCLS1;STAT5A;STARD8;PARVG;SLAMF7</t>
  </si>
  <si>
    <t>http://www.broadinstitute.org/gsea/msigdb/cards/GSE17186_MEMORY_VS_CD21LOW_TRANSITIONAL_BCELL_UP.html</t>
  </si>
  <si>
    <t>5579;5551;963;256380;64333;80231;80342;6402;79865;84034;11217</t>
  </si>
  <si>
    <t>PRKCB;PRF1;CD53;SCML4;ARHGAP9;CXorf21;TRAF3IP3;SELL;TREML2;EMILIN2;AKAP2</t>
  </si>
  <si>
    <t>http://www.broadinstitute.org/gsea/msigdb/cards/GSE17186_MEMORY_VS_CD21LOW_TRANSITIONAL_BCELL_DN.html</t>
  </si>
  <si>
    <t>GSE17186_BLOOD_VS_CORD_BLOOD_CD21HIGH_TRANSITIONAL_BCELL_UP</t>
  </si>
  <si>
    <t>51056;2207;2124;3101;3071;80301;11184;259307;10019;55704;55013</t>
  </si>
  <si>
    <t>LAP3;FCER1G;EVI2B;HK3;NCKAP1L;PLEKHO2;MAP4K1;IL4I1;SH2B3;CCDC88A;MCUB</t>
  </si>
  <si>
    <t>http://www.broadinstitute.org/gsea/msigdb/cards/GSE17186_BLOOD_VS_CORD_BLOOD_CD21HIGH_TRANSITIONAL_BCELL_UP.html</t>
  </si>
  <si>
    <t>GSE17186_NAIVE_VS_CD21HIGH_TRANSITIONAL_BCELL_DN</t>
  </si>
  <si>
    <t>10261;941;2124;9459;80301;114548;55704;9754;64098;50515;55013</t>
  </si>
  <si>
    <t>IGSF6;CD80;EVI2B;ARHGEF6;PLEKHO2;NLRP3;CCDC88A;STARD8;PARVG;CHST11;MCUB</t>
  </si>
  <si>
    <t>http://www.broadinstitute.org/gsea/msigdb/cards/GSE17186_NAIVE_VS_CD21HIGH_TRANSITIONAL_BCELL_DN.html</t>
  </si>
  <si>
    <t>GSE19923_WT_VS_HEB_KO_DP_THYMOCYTE_UP</t>
  </si>
  <si>
    <t>9450;920;1493;3687;2322;6890;219972;730249;5816;3604;5133</t>
  </si>
  <si>
    <t>LY86;CD4;CTLA4;ITGAX;FLT3;TAP1;MPEG1;ACOD1;PVALB;TNFRSF9;PDCD1</t>
  </si>
  <si>
    <t>http://www.broadinstitute.org/gsea/msigdb/cards/GSE19923_WT_VS_HEB_KO_DP_THYMOCYTE_UP.html</t>
  </si>
  <si>
    <t>GSE20198_IL12_VS_IL12_IL18_TREATED_ACT_CD4_TCELL_DN</t>
  </si>
  <si>
    <t>1536;3055;919;3903;256380;53829;55589;9120;9938;25900;83937</t>
  </si>
  <si>
    <t>CYBB;HCK;CD247;LAIR1;SCML4;P2RY13;BMP2K;SLC16A6;ARHGAP25;IFFO1;RASSF4</t>
  </si>
  <si>
    <t>http://www.broadinstitute.org/gsea/msigdb/cards/GSE20198_IL12_VS_IL12_IL18_TREATED_ACT_CD4_TCELL_DN.html</t>
  </si>
  <si>
    <t>GSE21379_WT_VS_SAP_KO_TFH_CD4_TCELL_UP</t>
  </si>
  <si>
    <t>10261;929;2214;55589;55303;4094;2212;4360;2833;1601;55013</t>
  </si>
  <si>
    <t>IGSF6;CD14;FCGR3A;BMP2K;GIMAP4;MAF;FCGR2A;MRC1;CXCR3;DAB2;MCUB</t>
  </si>
  <si>
    <t>http://www.broadinstitute.org/gsea/msigdb/cards/GSE21379_WT_VS_SAP_KO_TFH_CD4_TCELL_UP.html</t>
  </si>
  <si>
    <t>GSE21546_WT_VS_SAP1A_KO_AND_ELK1_KO_ANTI_CD3_STIM_DP_THYMOCYTES_DN</t>
  </si>
  <si>
    <t>5579;3662;54899;51296;170575;114836;55340;7099;4033;57823;27240</t>
  </si>
  <si>
    <t>PRKCB;IRF4;PXK;SLC15A3;GIMAP1;SLAMF6;GIMAP5;TLR4;LRMP;SLAMF7;SIT1</t>
  </si>
  <si>
    <t>http://www.broadinstitute.org/gsea/msigdb/cards/GSE21546_WT_VS_SAP1A_KO_AND_ELK1_KO_ANTI_CD3_STIM_DP_THYMOCYTES_DN.html</t>
  </si>
  <si>
    <t>9535;3676;2123;923;10225;9744;55843;11184;51063;54861;51466</t>
  </si>
  <si>
    <t>GMFG;ITGA4;EVI2A;CD6;CD96;ACAP1;ARHGAP15;MAP4K1;CALHM2;SNRK;EVL</t>
  </si>
  <si>
    <t>259197;53347;7805;3903;1794;240;3936;7454;4050;9363;27240</t>
  </si>
  <si>
    <t>NCR3;UBASH3A;LAPTM5;LAIR1;DOCK2;ALOX5;LCP1;WAS;LTB;RAB33A;SIT1</t>
  </si>
  <si>
    <t>http://www.broadinstitute.org/gsea/msigdb/cards/GSE21360_NAIVE_VS_TERTIARY_MEMORY_CD8_TCELL_UP.html</t>
  </si>
  <si>
    <t>GSE23308_CTRL_VS_CORTICOSTERONE_TREATED_MACROPHAGE_DN</t>
  </si>
  <si>
    <t>10261;1236;5734;4689;114836;114548;259307;27036;9034;3553;3604</t>
  </si>
  <si>
    <t>IGSF6;CCR7;PTGER4;NCF4;SLAMF6;NLRP3;IL4I1;SIGLEC7;CCRL2;IL1B;TNFRSF9</t>
  </si>
  <si>
    <t>http://www.broadinstitute.org/gsea/msigdb/cards/GSE23308_CTRL_VS_CORTICOSTERONE_TREATED_MACROPHAGE_DN.html</t>
  </si>
  <si>
    <t>GSE22935_UNSTIM_VS_12H_MBOVIS_BCG_STIM_MYD88_KO_MACROPHAGE_DN</t>
  </si>
  <si>
    <t>2268;11151;92241;221472;89857;11184;53829;84174;80342;10235;115727</t>
  </si>
  <si>
    <t>FGR;CORO1A;RCSD1;FGD2;KLHL6;MAP4K1;P2RY13;SLA2;TRAF3IP3;RASGRP2;RASGRP4</t>
  </si>
  <si>
    <t>http://www.broadinstitute.org/gsea/msigdb/cards/GSE22935_UNSTIM_VS_12H_MBOVIS_BCG_STIM_MYD88_KO_MACROPHAGE_DN.html</t>
  </si>
  <si>
    <t>GSE20754_WT_VS_TCF1_KO_MEMORY_CD8_TCELL_DN</t>
  </si>
  <si>
    <t>54440;1436;1439;1234;286336;2857;80342;29909;8905;57514;375387</t>
  </si>
  <si>
    <t>SASH3;CSF1R;CSF2RB;CCR5;FAM78A;GPR34;TRAF3IP3;GPR171;AP1S2;ARHGAP31;NRROS</t>
  </si>
  <si>
    <t>http://www.broadinstitute.org/gsea/msigdb/cards/GSE20754_WT_VS_TCF1_KO_MEMORY_CD8_TCELL_DN.html</t>
  </si>
  <si>
    <t>GSE22589_HEALTHY_VS_SIV_INFECTED_DC_UP</t>
  </si>
  <si>
    <t>9051;3659;497189;221472;83706;114548;51225;27128;3553;4261;84329</t>
  </si>
  <si>
    <t>PSTPIP1;IRF1;TIFAB;FGD2;FERMT3;NLRP3;ABI3;CYTH4;IL1B;CIITA;HVCN1</t>
  </si>
  <si>
    <t>http://www.broadinstitute.org/gsea/msigdb/cards/GSE22589_HEALTHY_VS_SIV_INFECTED_DC_UP.html</t>
  </si>
  <si>
    <t>GSE22432_MULTIPOTENT_VS_COMMON_DC_PROGENITOR_DN</t>
  </si>
  <si>
    <t>10663;9450;944;942;6772;114836;4064;56833;23228;6891;64747</t>
  </si>
  <si>
    <t>CXCR6;LY86;TNFSF8;CD86;STAT1;SLAMF6;CD180;SLAMF8;PLCL2;TAP2;MFSD1</t>
  </si>
  <si>
    <t>http://www.broadinstitute.org/gsea/msigdb/cards/GSE22432_MULTIPOTENT_VS_COMMON_DC_PROGENITOR_DN.html</t>
  </si>
  <si>
    <t>GSE24210_IL35_TREATED_VS_RESTING_TREG_UP</t>
  </si>
  <si>
    <t>27334;4068;940;53346;55589;29851;2811;161176;84230;56670;1522</t>
  </si>
  <si>
    <t>P2RY10;SH2D1A;CD28;TM6SF1;BMP2K;ICOS;GP1BA;SYNE3;LRRC8C;SUCNR1;CTSZ</t>
  </si>
  <si>
    <t>http://www.broadinstitute.org/gsea/msigdb/cards/GSE24210_IL35_TREATED_VS_RESTING_TREG_UP.html</t>
  </si>
  <si>
    <t>GSE24210_TCONV_VS_TREG_UP</t>
  </si>
  <si>
    <t>3695;9744;89857;11184;53346;1508;4066;91010;145581;55013;27240</t>
  </si>
  <si>
    <t>ITGB7;ACAP1;KLHL6;MAP4K1;TM6SF1;CTSB;LYL1;FMNL3;LRFN5;MCUB;SIT1</t>
  </si>
  <si>
    <t>http://www.broadinstitute.org/gsea/msigdb/cards/GSE24210_TCONV_VS_TREG_UP.html</t>
  </si>
  <si>
    <t>GSE23925_DARK_ZONE_VS_NAIVE_BCELL_UP</t>
  </si>
  <si>
    <t>10663;3575;1236;3603;4689;283897;114836;64231;3824;100506736;51762</t>
  </si>
  <si>
    <t>CXCR6;IL7R;CCR7;IL16;NCF4;C16orf54;SLAMF6;MS4A6A;KLRD1;SLFN12L;RAB8B</t>
  </si>
  <si>
    <t>http://www.broadinstitute.org/gsea/msigdb/cards/GSE23925_DARK_ZONE_VS_NAIVE_BCELL_UP.html</t>
  </si>
  <si>
    <t>GSE23925_DARK_ZONE_VS_NAIVE_BCELL_DN</t>
  </si>
  <si>
    <t>4242;3458;6351;6404;29909;5552;3059;969;6503;597;10507</t>
  </si>
  <si>
    <t>MFNG;IFNG;CCL4;SELPLG;GPR171;SRGN;HCLS1;CD69;SLA;BCL2A1;SEMA4D</t>
  </si>
  <si>
    <t>http://www.broadinstitute.org/gsea/msigdb/cards/GSE23925_DARK_ZONE_VS_NAIVE_BCELL_DN.html</t>
  </si>
  <si>
    <t>GSE25088_CTRL_VS_IL4_AND_ROSIGLITAZONE_STIM_MACROPHAGE_UP</t>
  </si>
  <si>
    <t>3659;3575;942;3587;89857;6402;3108;1230;2833;3003;3604</t>
  </si>
  <si>
    <t>IRF1;IL7R;CD86;IL10RA;KLHL6;SELL;HLA-DMA;CCR1;CXCR3;GZMK;TNFRSF9</t>
  </si>
  <si>
    <t>http://www.broadinstitute.org/gsea/msigdb/cards/GSE25088_CTRL_VS_IL4_AND_ROSIGLITAZONE_STIM_MACROPHAGE_UP.html</t>
  </si>
  <si>
    <t>GSE25123_CTRL_VS_IL4_AND_ROSIGLITAZONE_STIM_PPARG_KO_MACROPHAGE_DN</t>
  </si>
  <si>
    <t>9402;3903;9332;256380;56253;3112;6402;55704;79865;79895;64919</t>
  </si>
  <si>
    <t>GRAP2;LAIR1;CD163;SCML4;CRTAM;HLA-DOB;SELL;CCDC88A;TREML2;ATP8B4;BCL11B</t>
  </si>
  <si>
    <t>http://www.broadinstitute.org/gsea/msigdb/cards/GSE25123_CTRL_VS_IL4_AND_ROSIGLITAZONE_STIM_PPARG_KO_MACROPHAGE_DN.html</t>
  </si>
  <si>
    <t>GSE17301_IFNA2_VS_IFNA2_AND_ACD3_ACD28_STIM_CD8_TCELL_DN</t>
  </si>
  <si>
    <t>2533;9450;4354;4689;50852;6039;80896;59067;1102;6776;79690</t>
  </si>
  <si>
    <t>FYB1;LY86;MPP1;NCF4;TRAT1;RNASE6;NPL;IL21;RCBTB2;STAT5A;GAL3ST4</t>
  </si>
  <si>
    <t>http://www.broadinstitute.org/gsea/msigdb/cards/GSE17301_IFNA2_VS_IFNA2_AND_ACD3_ACD28_STIM_CD8_TCELL_DN.html</t>
  </si>
  <si>
    <t>GSE17301_CTRL_VS_48H_ACD3_ACD28_STIM_CD8_TCELL_UP</t>
  </si>
  <si>
    <t>6352;5551;3575;3695;3820;51393;926;9806;10077;7462;54861</t>
  </si>
  <si>
    <t>CCL5;PRF1;IL7R;ITGB7;KLRB1;TRPV2;CD8B;SPOCK2;TSPAN32;LAT2;SNRK</t>
  </si>
  <si>
    <t>http://www.broadinstitute.org/gsea/msigdb/cards/GSE17301_CTRL_VS_48H_ACD3_ACD28_STIM_CD8_TCELL_UP.html</t>
  </si>
  <si>
    <t>GSE17301_CTRL_VS_48H_ACD3_ACD28_IFNA5_STIM_CD8_TCELL_UP</t>
  </si>
  <si>
    <t>2124;1234;4354;3603;719;81704;8564;348;8905;4240;151556</t>
  </si>
  <si>
    <t>EVI2B;CCR5;MPP1;IL16;C3AR1;DOCK8;KMO;APOE;AP1S2;MFGE8;GPR155</t>
  </si>
  <si>
    <t>http://www.broadinstitute.org/gsea/msigdb/cards/GSE17301_CTRL_VS_48H_ACD3_ACD28_IFNA5_STIM_CD8_TCELL_UP.html</t>
  </si>
  <si>
    <t>GSE24292_WT_VS_PPARG_KO_MACROPHAGE_UP</t>
  </si>
  <si>
    <t>10261;313;1439;941;497189;53829;64092;27036;19;146850;55013</t>
  </si>
  <si>
    <t>IGSF6;AOAH;CSF2RB;CD80;TIFAB;P2RY13;SAMSN1;SIGLEC7;ABCA1;PIK3R6;MCUB</t>
  </si>
  <si>
    <t>http://www.broadinstitute.org/gsea/msigdb/cards/GSE24292_WT_VS_PPARG_KO_MACROPHAGE_UP.html</t>
  </si>
  <si>
    <t>4242;11151;695;197358;81704;2857;51393;729230;10672;90634;91010</t>
  </si>
  <si>
    <t>MFNG;CORO1A;BTK;NLRC3;DOCK8;GPR34;TRPV2;CCR2;GNA13;N4BP2L1;FMNL3</t>
  </si>
  <si>
    <t>http://www.broadinstitute.org/gsea/msigdb/cards/GSE24726_WT_VS_E2_2_KO_PDC_DAY6_POST_DELETION_UP.html</t>
  </si>
  <si>
    <t>GSE23502_BM_VS_COLON_TUMOR_HDC_KO_MYELOID_DERIVED_SUPPRESSOR_CELL_DN</t>
  </si>
  <si>
    <t>340152;914;3676;391;80301;23533;29909;3290;5376;4050;3604</t>
  </si>
  <si>
    <t>ZC3H12D;CD2;ITGA4;RHOG;PLEKHO2;PIK3R5;GPR171;HSD11B1;PMP22;LTB;TNFRSF9</t>
  </si>
  <si>
    <t>http://www.broadinstitute.org/gsea/msigdb/cards/GSE23502_BM_VS_COLON_TUMOR_HDC_KO_MYELOID_DERIVED_SUPPRESSOR_CELL_DN.html</t>
  </si>
  <si>
    <t>GSE24972_MARGINAL_ZONE_BCELL_VS_FOLLICULAR_BCELL_UP</t>
  </si>
  <si>
    <t>340152;2533;11309;3695;3702;4049;54;4033;64780;81553;59345</t>
  </si>
  <si>
    <t>ZC3H12D;FYB1;SLCO2B1;ITGB7;ITK;LTA;ACP5;LRMP;MICAL1;FAM49A;GNB4</t>
  </si>
  <si>
    <t>http://www.broadinstitute.org/gsea/msigdb/cards/GSE24972_MARGINAL_ZONE_BCELL_VS_FOLLICULAR_BCELL_UP.html</t>
  </si>
  <si>
    <t>GSE19941_UNSTIM_VS_LPS_STIM_IL10_KO_MACROPHAGE_DN</t>
  </si>
  <si>
    <t>9046;2123;695;84636;8832;2857;4688;1237;441168;91526;51466</t>
  </si>
  <si>
    <t>DOK2;EVI2A;BTK;GPR174;CD84;GPR34;NCF2;CCR8;CALHM6;ANKRD44;EVL</t>
  </si>
  <si>
    <t>http://www.broadinstitute.org/gsea/msigdb/cards/GSE19941_UNSTIM_VS_LPS_STIM_IL10_KO_MACROPHAGE_DN.html</t>
  </si>
  <si>
    <t>GSE22611_UNSTIM_VS_2H_MDP_STIM_MUTANT_NOD2_TRANSDUCED_HEK293T_CELL_UP</t>
  </si>
  <si>
    <t>9840;9404;1436;313;10288;3635;2999;79630;4215;57823;55013</t>
  </si>
  <si>
    <t>TESPA1;LPXN;CSF1R;AOAH;LILRB2;INPP5D;GZMH;C1orf54;MAP3K3;SLAMF7;MCUB</t>
  </si>
  <si>
    <t>http://www.broadinstitute.org/gsea/msigdb/cards/GSE22611_UNSTIM_VS_2H_MDP_STIM_MUTANT_NOD2_TRANSDUCED_HEK293T_CELL_UP.html</t>
  </si>
  <si>
    <t>GSE22611_UNSTIM_VS_6H_MDP_STIM_NOD2_TRANSDUCED_HEK293T_CELL_DN</t>
  </si>
  <si>
    <t>962;23228;9034;1102;9103;1230;10148;5027;57823;29125;51466</t>
  </si>
  <si>
    <t>CD48;PLCL2;CCRL2;RCBTB2;FCGR2A;CCR1;EBI3;P2RX7;SLAMF7;C11orf21;EVL</t>
  </si>
  <si>
    <t>http://www.broadinstitute.org/gsea/msigdb/cards/GSE22611_UNSTIM_VS_6H_MDP_STIM_NOD2_TRANSDUCED_HEK293T_CELL_DN.html</t>
  </si>
  <si>
    <t>GSE21063_CTRL_VS_ANTI_IGM_STIM_BCELL_NFATC1_KO_3H_UP</t>
  </si>
  <si>
    <t>10663;929;941;10225;6404;51296;56253;11010;25890;168537;26279</t>
  </si>
  <si>
    <t>CXCR6;CD14;CD80;CD96;SELPLG;SLC15A3;CRTAM;GLIPR1;ABI3BP;GIMAP7;PLA2G2D</t>
  </si>
  <si>
    <t>http://www.broadinstitute.org/gsea/msigdb/cards/GSE21063_CTRL_VS_ANTI_IGM_STIM_BCELL_NFATC1_KO_3H_UP.html</t>
  </si>
  <si>
    <t>GSE23114_PERITONEAL_CAVITY_B1A_BCELL_VS_SPLEEN_BCELL_IN_SLE2C1_MOUSE_DN</t>
  </si>
  <si>
    <t>941;5734;53347;6504;259307;64092;6373;943;1230;597;85479</t>
  </si>
  <si>
    <t>CD80;PTGER4;UBASH3A;SLAMF1;IL4I1;SAMSN1;CXCL11;TNFRSF8;CCR1;BCL2A1;DNAJC5B</t>
  </si>
  <si>
    <t>http://www.broadinstitute.org/gsea/msigdb/cards/GSE23114_PERITONEAL_CAVITY_B1A_BCELL_VS_SPLEEN_BCELL_IN_SLE2C1_MOUSE_DN.html</t>
  </si>
  <si>
    <t>GSE28726_NAIVE_CD4_TCELL_VS_NAIVE_NKTCELL_DN</t>
  </si>
  <si>
    <t>10663;3689;11151;199;10871;54;2213;140885;4240;10235;27240</t>
  </si>
  <si>
    <t>CXCR6;ITGB2;CORO1A;AIF1;CD300C;ACP5;FCGR2B;SIRPA;MFGE8;RASGRP2;SIT1</t>
  </si>
  <si>
    <t>http://www.broadinstitute.org/gsea/msigdb/cards/GSE28726_NAIVE_CD4_TCELL_VS_NAIVE_NKTCELL_DN.html</t>
  </si>
  <si>
    <t>GSE24574_BCL6_HIGH_TFH_VS_NAIVE_CD4_TCELL_UP</t>
  </si>
  <si>
    <t>10663;4242;3689;199;10871;9881;1237;140885;4240;8605;27240</t>
  </si>
  <si>
    <t>CXCR6;MFNG;ITGB2;AIF1;CD300C;TRANK1;CCR8;SIRPA;MFGE8;PLA2G4C;SIT1</t>
  </si>
  <si>
    <t>http://www.broadinstitute.org/gsea/msigdb/cards/GSE24574_BCL6_HIGH_TFH_VS_NAIVE_CD4_TCELL_UP.html</t>
  </si>
  <si>
    <t>GSE24574_BCL6_HIGH_TFH_VS_NAIVE_CD4_TCELL_DN</t>
  </si>
  <si>
    <t>959;2014;391;2672;3553;5552;356;8905;7185;5133;597</t>
  </si>
  <si>
    <t>CD40LG;EMP3;RHOG;GFI1;IL1B;SRGN;FASLG;AP1S2;TRAF1;PDCD1;BCL2A1</t>
  </si>
  <si>
    <t>http://www.broadinstitute.org/gsea/msigdb/cards/GSE24574_BCL6_HIGH_TFH_VS_NAIVE_CD4_TCELL_DN.html</t>
  </si>
  <si>
    <t>GSE28783_ANTI_MIR33_VS_UNTREATED_ATHEROSCLEROSIS_MACROPHAGE_UP</t>
  </si>
  <si>
    <t>4242;9404;5341;2209;7133;971;3695;923;5452;6037;1601</t>
  </si>
  <si>
    <t>MFNG;LPXN;PLEK;FCGR1A;TNFRSF1B;CD72;ITGB7;CD6;POU2F2;RNASE3;DAB2</t>
  </si>
  <si>
    <t>http://www.broadinstitute.org/gsea/msigdb/cards/GSE28783_ANTI_MIR33_VS_UNTREATED_ATHEROSCLEROSIS_MACROPHAGE_UP.html</t>
  </si>
  <si>
    <t>GSE19512_NAUTRAL_VS_INDUCED_TREG_DN</t>
  </si>
  <si>
    <t>9404;6351;3560;7133;3561;56253;921;924;4261;4973;6503</t>
  </si>
  <si>
    <t>LPXN;CCL4;IL2RB;TNFRSF1B;IL2RG;CRTAM;CD5;CD7;CIITA;OLR1;SLA</t>
  </si>
  <si>
    <t>http://www.broadinstitute.org/gsea/msigdb/cards/GSE19512_NAUTRAL_VS_INDUCED_TREG_DN.html</t>
  </si>
  <si>
    <t>GSE22025_UNTREATED_VS_TGFB1_TREATED_CD4_TCELL_UP</t>
  </si>
  <si>
    <t>9450;6036;4354;3587;26051;2672;23228;348;3684;6402;6503</t>
  </si>
  <si>
    <t>LY86;RNASE2;MPP1;IL10RA;PPP1R16B;GFI1;PLCL2;APOE;ITGAM;SELL;SLA</t>
  </si>
  <si>
    <t>http://www.broadinstitute.org/gsea/msigdb/cards/GSE22025_UNTREATED_VS_TGFB1_TREATED_CD4_TCELL_UP.html</t>
  </si>
  <si>
    <t>GSE22025_UNTREATED_VS_PROGESTERONE_TREATED_CD4_TCELL_UP</t>
  </si>
  <si>
    <t>3659;3695;9332;4063;8832;3717;5452;3109;9806;81553;22900</t>
  </si>
  <si>
    <t>IRF1;ITGB7;CD163;LY9;CD84;JAK2;POU2F2;HLA-DMB;SPOCK2;FAM49A;CARD8</t>
  </si>
  <si>
    <t>http://www.broadinstitute.org/gsea/msigdb/cards/GSE22025_UNTREATED_VS_PROGESTERONE_TREATED_CD4_TCELL_UP.html</t>
  </si>
  <si>
    <t>9450;925;3587;26051;2672;23228;6402;6503;9815;597;10184</t>
  </si>
  <si>
    <t>LY86;CD8A;IL10RA;PPP1R16B;GFI1;PLCL2;SELL;SLA;GIT2;BCL2A1;LHFPL2</t>
  </si>
  <si>
    <t>http://www.broadinstitute.org/gsea/msigdb/cards/GSE22025_UNTREATED_VS_PROGESTERONE_TREATED_CD4_TCELL_DN.html</t>
  </si>
  <si>
    <t>GSE22025_UNTREATED_VS_TGFB1_TREATED_CD4_TCELL_DN</t>
  </si>
  <si>
    <t>3687;971;3695;7634;3903;4063;3717;2999;3108;9806;4327</t>
  </si>
  <si>
    <t>ITGAX;CD72;ITGB7;ZNF80;LAIR1;LY9;JAK2;GZMH;HLA-DMA;SPOCK2;MMP19</t>
  </si>
  <si>
    <t>http://www.broadinstitute.org/gsea/msigdb/cards/GSE22025_UNTREATED_VS_TGFB1_TREATED_CD4_TCELL_DN.html</t>
  </si>
  <si>
    <t>GSE29949_MICROGLIA_VS_DC_BRAIN_UP</t>
  </si>
  <si>
    <t>915;914;923;3937;6504;7805;55589;4973;6503;9815;54504</t>
  </si>
  <si>
    <t>CD3D;CD2;CD6;LCP2;SLAMF1;LAPTM5;BMP2K;OLR1;SLA;GIT2;CPVL</t>
  </si>
  <si>
    <t>http://www.broadinstitute.org/gsea/msigdb/cards/GSE29949_MICROGLIA_VS_DC_BRAIN_UP.html</t>
  </si>
  <si>
    <t>GSE29949_CD8_NEG_DC_SPLEEN_VS_MONOCYTE_BONE_MARROW_UP</t>
  </si>
  <si>
    <t>6352;3560;2123;313;2124;1233;3587;241;4261;3988;4818</t>
  </si>
  <si>
    <t>CCL5;IL2RB;EVI2A;AOAH;EVI2B;CCR4;IL10RA;ALOX5AP;CIITA;LIPA;NKG7</t>
  </si>
  <si>
    <t>http://www.broadinstitute.org/gsea/msigdb/cards/GSE29949_CD8_NEG_DC_SPLEEN_VS_MONOCYTE_BONE_MARROW_UP.html</t>
  </si>
  <si>
    <t>GSE29949_DC_BRAIN_VS_MONOCYTE_BONE_MARROW_UP</t>
  </si>
  <si>
    <t>914;6352;3676;3560;313;3587;3956;2833;3718;4818;8605</t>
  </si>
  <si>
    <t>CD2;CCL5;ITGA4;IL2RB;AOAH;IL10RA;LGALS1;CXCR3;JAK3;NKG7;PLA2G4C</t>
  </si>
  <si>
    <t>http://www.broadinstitute.org/gsea/msigdb/cards/GSE29949_DC_BRAIN_VS_MONOCYTE_BONE_MARROW_UP.html</t>
  </si>
  <si>
    <t>GSE23321_EFFECTOR_MEMORY_VS_NAIVE_CD8_TCELL_UP</t>
  </si>
  <si>
    <t>10663;5341;6352;3676;1240;8832;8742;2833;4818;23166;8605</t>
  </si>
  <si>
    <t>CXCR6;PLEK;CCL5;ITGA4;CMKLR1;CD84;TNFSF12;CXCR3;NKG7;STAB1;PLA2G4C</t>
  </si>
  <si>
    <t>http://www.broadinstitute.org/gsea/msigdb/cards/GSE23321_EFFECTOR_MEMORY_VS_NAIVE_CD8_TCELL_UP.html</t>
  </si>
  <si>
    <t>GSE23321_CD8_STEM_CELL_MEMORY_VS_EFFECTOR_MEMORY_CD8_TCELL_DN</t>
  </si>
  <si>
    <t>5341;940;8514;3587;3662;6793;4208;9363;10672;10457;597</t>
  </si>
  <si>
    <t>PLEK;CD28;KCNAB2;IL10RA;IRF4;STK10;MEF2C;RAB33A;GNA13;GPNMB;BCL2A1</t>
  </si>
  <si>
    <t>http://www.broadinstitute.org/gsea/msigdb/cards/GSE23321_CD8_STEM_CELL_MEMORY_VS_EFFECTOR_MEMORY_CD8_TCELL_DN.html</t>
  </si>
  <si>
    <t>GSE32533_WT_VS_MIR17_KO_ACT_CD4_TCELL_DN</t>
  </si>
  <si>
    <t>2533;1318;9459;170575;3936;9815;85464;206358;155038;168537;64098</t>
  </si>
  <si>
    <t>FYB1;SLC31A2;ARHGEF6;GIMAP1;LCP1;GIT2;SSH2;SLC36A1;GIMAP8;GIMAP7;PARVG</t>
  </si>
  <si>
    <t>http://www.broadinstitute.org/gsea/msigdb/cards/GSE32533_WT_VS_MIR17_KO_ACT_CD4_TCELL_DN.html</t>
  </si>
  <si>
    <t>9051;2014;3394;54209;10870;366;3956;3684;1043;729230;54504</t>
  </si>
  <si>
    <t>PSTPIP1;EMP3;IRF8;TREM2;HCST;AQP9;LGALS1;ITGAM;CD52;CCR2;CPVL</t>
  </si>
  <si>
    <t>http://www.broadinstitute.org/gsea/msigdb/cards/GSE26030_TH1_VS_TH17_RESTIMULATED_DAY5_POST_POLARIZATION_UP.html</t>
  </si>
  <si>
    <t>GSE32986_CURDLAN_LOWDOSE_VS_GMCSF_AND_CURDLAN_LOWDOSE_STIM_DC_UP</t>
  </si>
  <si>
    <t>4542;940;951;79626;80896;7941;10184;79630;9754;5027;7462</t>
  </si>
  <si>
    <t>MYO1F;CD28;CD37;TNFAIP8L2;NPL;PLA2G7;LHFPL2;C1orf54;STARD8;P2RX7;LAT2</t>
  </si>
  <si>
    <t>http://www.broadinstitute.org/gsea/msigdb/cards/GSE32986_CURDLAN_LOWDOSE_VS_GMCSF_AND_CURDLAN_LOWDOSE_STIM_DC_UP.html</t>
  </si>
  <si>
    <t>GSE26343_UNSTIM_VS_LPS_STIM_NFAT5_KO_MACROPHAGE_UP</t>
  </si>
  <si>
    <t>5341;3662;259307;1240;29851;29909;2212;6776;57514;84034;59345</t>
  </si>
  <si>
    <t>PLEK;IRF4;IL4I1;CMKLR1;ICOS;GPR171;FCGR2A;STAT5A;ARHGAP31;EMILIN2;GNB4</t>
  </si>
  <si>
    <t>http://www.broadinstitute.org/gsea/msigdb/cards/GSE26343_UNSTIM_VS_LPS_STIM_NFAT5_KO_MACROPHAGE_UP.html</t>
  </si>
  <si>
    <t>GSE34156_TLR1_TLR2_LIGAND_VS_NOD2_AND_TLR1_TLR2_LIGAND_6H_TREATED_MONOCYTE_UP</t>
  </si>
  <si>
    <t>10068;10320;151888;80301;23533;259307;55303;80342;80821;84230;6614</t>
  </si>
  <si>
    <t>IL18BP;IKZF1;BTLA;PLEKHO2;PIK3R5;IL4I1;GIMAP4;TRAF3IP3;DDHD1;LRRC8C;SIGLEC1</t>
  </si>
  <si>
    <t>http://www.broadinstitute.org/gsea/msigdb/cards/GSE34156_TLR1_TLR2_LIGAND_VS_NOD2_AND_TLR1_TLR2_LIGAND_6H_TREATED_MONOCYTE_UP.html</t>
  </si>
  <si>
    <t>GSE30971_2H_VS_4H_LPS_STIM_MACROPHAGE_WBP7_KO_DN</t>
  </si>
  <si>
    <t>10261;919;5734;10320;283897;387357;4033;6363;56670;64919;55691</t>
  </si>
  <si>
    <t>IGSF6;CD247;PTGER4;IKZF1;C16orf54;THEMIS;LRMP;CCL19;SUCNR1;BCL11B;FRMD4A</t>
  </si>
  <si>
    <t>http://www.broadinstitute.org/gsea/msigdb/cards/GSE30971_2H_VS_4H_LPS_STIM_MACROPHAGE_WBP7_KO_DN.html</t>
  </si>
  <si>
    <t>GSE30971_2H_VS_4H_LPS_STIM_MACROPHAGE_WBP7_KO_UP</t>
  </si>
  <si>
    <t>9214;3676;919;3603;23533;55303;9056;197135;596;5816;10077</t>
  </si>
  <si>
    <t>FCMR;ITGA4;CD247;IL16;PIK3R5;GIMAP4;SLC7A7;PATL2;BCL2;PVALB;TSPAN32</t>
  </si>
  <si>
    <t>http://www.broadinstitute.org/gsea/msigdb/cards/GSE30971_2H_VS_4H_LPS_STIM_MACROPHAGE_WBP7_KO_UP.html</t>
  </si>
  <si>
    <t>GSE36888_STAT5_AB_KNOCKIN_VS_WT_TCELL_IL2_TREATED_6H_DN</t>
  </si>
  <si>
    <t>7305;5579;3001;2207;5734;10875;51744;55303;3002;3824;55691</t>
  </si>
  <si>
    <t>TYROBP;PRKCB;GZMA;FCER1G;PTGER4;FGL2;CD244;GIMAP4;GZMB;KLRD1;FRMD4A</t>
  </si>
  <si>
    <t>http://www.broadinstitute.org/gsea/msigdb/cards/GSE36888_STAT5_AB_KNOCKIN_VS_WT_TCELL_IL2_TREATED_6H_DN.html</t>
  </si>
  <si>
    <t>GSE34515_CD16_POS_MONOCYTE_VS_DC_UP</t>
  </si>
  <si>
    <t>3683;10875;23048;27033;6373;921;10148;4818;91010;9806;4644</t>
  </si>
  <si>
    <t>ITGAL;FGL2;FNBP1;ZBTB32;CXCL11;CD5;EBI3;NKG7;FMNL3;SPOCK2;MYO5A</t>
  </si>
  <si>
    <t>http://www.broadinstitute.org/gsea/msigdb/cards/GSE34515_CD16_POS_MONOCYTE_VS_DC_UP.html</t>
  </si>
  <si>
    <t>940;5294;391;92241;257106;8477;3059;5376;9815;80709;338339</t>
  </si>
  <si>
    <t>CD28;PIK3CG;RHOG;RCSD1;ARHGAP30;GPR65;HCLS1;PMP22;GIT2;AKNA;CLEC4D</t>
  </si>
  <si>
    <t>GSE37301_LYMPHOID_PRIMED_MPP_VS_CD4_TCELL_UP</t>
  </si>
  <si>
    <t>713;3702;9459;59067;50615;51284;366;10990;2811;206358;81553</t>
  </si>
  <si>
    <t>C1QB;ITK;ARHGEF6;IL21;IL21R;TLR7;AQP9;LILRB5;GP1BA;SLC36A1;FAM49A</t>
  </si>
  <si>
    <t>http://www.broadinstitute.org/gsea/msigdb/cards/GSE37301_LYMPHOID_PRIMED_MPP_VS_CD4_TCELL_UP.html</t>
  </si>
  <si>
    <t>GSE35685_CD34POS_CD38NEG_VS_CD34POS_CD10NEG_CD62LPOS_BONE_MARROW_DN</t>
  </si>
  <si>
    <t>10068;2209;4245;391;10875;55589;3162;2213;6776;3718;51762</t>
  </si>
  <si>
    <t>IL18BP;FCGR1A;MGAT1;RHOG;FGL2;BMP2K;HMOX1;FCGR2B;STAT5A;JAK3;RAB8B</t>
  </si>
  <si>
    <t>http://www.broadinstitute.org/gsea/msigdb/cards/GSE35685_CD34POS_CD38NEG_VS_CD34POS_CD10NEG_CD62LPOS_BONE_MARROW_DN.html</t>
  </si>
  <si>
    <t>GSE40273_XBP1_KO_VS_WT_TREG_UP</t>
  </si>
  <si>
    <t>9214;9402;963;3587;79626;64407;80342;6402;3290;4033;79865</t>
  </si>
  <si>
    <t>FCMR;GRAP2;CD53;IL10RA;TNFAIP8L2;RGS18;TRAF3IP3;SELL;HSD11B1;LRMP;TREML2</t>
  </si>
  <si>
    <t>http://www.broadinstitute.org/gsea/msigdb/cards/GSE40273_XBP1_KO_VS_WT_TREG_UP.html</t>
  </si>
  <si>
    <t>GSE40274_HELIOS_VS_FOXP3_AND_HELIOS_TRANSDUCED_ACTIVATED_CD4_TCELL_DN</t>
  </si>
  <si>
    <t>919;10320;9459;256380;53346;59067;51225;8832;1102;56253;54</t>
  </si>
  <si>
    <t>CD247;IKZF1;ARHGEF6;SCML4;TM6SF1;IL21;ABI3;CD84;RCBTB2;CRTAM;ACP5</t>
  </si>
  <si>
    <t>http://www.broadinstitute.org/gsea/msigdb/cards/GSE40274_HELIOS_VS_FOXP3_AND_HELIOS_TRANSDUCED_ACTIVATED_CD4_TCELL_DN.html</t>
  </si>
  <si>
    <t>GSE40277_EOS_AND_LEF1_TRANSDUCED_VS_CTRL_CD4_TCELL_UP</t>
  </si>
  <si>
    <t>9214;3560;971;3695;53347;474344;2672;197135;6776;6891;4050</t>
  </si>
  <si>
    <t>FCMR;IL2RB;CD72;ITGB7;UBASH3A;GIMAP6;GFI1;PATL2;STAT5A;TAP2;LTB</t>
  </si>
  <si>
    <t>http://www.broadinstitute.org/gsea/msigdb/cards/GSE40277_EOS_AND_LEF1_TRANSDUCED_VS_CTRL_CD4_TCELL_UP.html</t>
  </si>
  <si>
    <t>GSE40274_FOXP3_VS_FOXP3_AND_LEF1_TRANSDUCED_ACTIVATED_CD4_TCELL_DN</t>
  </si>
  <si>
    <t>695;4283;3702;2672;53346;9120;4033;10235;91010;84106;22806</t>
  </si>
  <si>
    <t>BTK;CXCL9;ITK;GFI1;TM6SF1;SLC16A6;LRMP;RASGRP2;FMNL3;PRAM1;IKZF3</t>
  </si>
  <si>
    <t>http://www.broadinstitute.org/gsea/msigdb/cards/GSE40274_FOXP3_VS_FOXP3_AND_LEF1_TRANSDUCED_ACTIVATED_CD4_TCELL_DN.html</t>
  </si>
  <si>
    <t>89857;51225;10019;4049;2811;924;6402;85464;84329;55691;51466</t>
  </si>
  <si>
    <t>KLHL6;ABI3;SH2B3;LTA;GP1BA;CD7;SELL;SSH2;HVCN1;FRMD4A;EVL</t>
  </si>
  <si>
    <t>http://www.broadinstitute.org/gsea/msigdb/cards/GSE20727_H2O2_VS_ROS_INHIBITOR_TREATED_DC_DN.html</t>
  </si>
  <si>
    <t>GSE40068_CXCR5POS_BCL6POS_TFH_VS_CXCR5NEG_BCL6NEG_CD4_TCELL_DN</t>
  </si>
  <si>
    <t>9595;4354;10320;399;9332;81030;3988;814;10077;64919;59345</t>
  </si>
  <si>
    <t>CYTIP;MPP1;IKZF1;RHOH;CD163;ZBP1;LIPA;CAMK4;TSPAN32;BCL11B;GNB4</t>
  </si>
  <si>
    <t>http://www.broadinstitute.org/gsea/msigdb/cards/GSE40068_CXCR5POS_BCL6POS_TFH_VS_CXCR5NEG_BCL6NEG_CD4_TCELL_DN.html</t>
  </si>
  <si>
    <t>GSE36078_UNTREATED_VS_AD5_T425A_HEXON_INF_MOUSE_LUNG_DC_UP</t>
  </si>
  <si>
    <t>6772;1233;114836;26051;10019;3717;4049;3988;8905;441168;116442</t>
  </si>
  <si>
    <t>STAT1;CCR4;SLAMF6;PPP1R16B;SH2B3;JAK2;LTA;LIPA;AP1S2;CALHM6;RAB39B</t>
  </si>
  <si>
    <t>http://www.broadinstitute.org/gsea/msigdb/cards/GSE36078_UNTREATED_VS_AD5_T425A_HEXON_INF_MOUSE_LUNG_DC_UP.html</t>
  </si>
  <si>
    <t>GSE40685_NAIVE_CD4_TCELL_VS_FOXP3_KO_TREG_PRECURSOR_UP</t>
  </si>
  <si>
    <t>4542;7305;6351;3560;942;8477;3956;3274;729230;356;11010</t>
  </si>
  <si>
    <t>MYO1F;TYROBP;CCL4;IL2RB;CD86;GPR65;LGALS1;HRH2;CCR2;FASLG;GLIPR1</t>
  </si>
  <si>
    <t>http://www.broadinstitute.org/gsea/msigdb/cards/GSE40685_NAIVE_CD4_TCELL_VS_FOXP3_KO_TREG_PRECURSOR_UP.html</t>
  </si>
  <si>
    <t>GSE11961_FOLLICULAR_BCELL_VS_GERMINAL_CENTER_BCELL_DAY7_UP</t>
  </si>
  <si>
    <t>3071;286336;3903;83706;256380;64333;7439;6753;4261;1601;54861</t>
  </si>
  <si>
    <t>NCKAP1L;FAM78A;LAIR1;FERMT3;SCML4;ARHGAP9;BEST1;SSTR3;CIITA;DAB2;SNRK</t>
  </si>
  <si>
    <t>http://www.broadinstitute.org/gsea/msigdb/cards/GSE11961_FOLLICULAR_BCELL_VS_GERMINAL_CENTER_BCELL_DAY7_UP.html</t>
  </si>
  <si>
    <t>GSE28737_BCL6_HET_VS_BCL6_KO_MARGINAL_ZONE_BCELL_DN</t>
  </si>
  <si>
    <t>9402;929;10537;3684;2357;2358;23312;64747;53831;56606;55013</t>
  </si>
  <si>
    <t>GRAP2;CD14;UBD;ITGAM;FPR1;FPR2;DMXL2;MFSD1;GPR84;SLC2A9;MCUB</t>
  </si>
  <si>
    <t>http://www.broadinstitute.org/gsea/msigdb/cards/GSE28737_BCL6_HET_VS_BCL6_KO_MARGINAL_ZONE_BCELL_DN.html</t>
  </si>
  <si>
    <t>GSE11961_MEMORY_BCELL_DAY7_VS_PLASMA_CELL_DAY7_DN</t>
  </si>
  <si>
    <t>3458;3559;1493;3683;124535;91752;64333;730249;3956;6693;57514</t>
  </si>
  <si>
    <t>IFNG;IL2RA;CTLA4;ITGAL;HSF5;ZNF804A;ARHGAP9;ACOD1;LGALS1;SPN;ARHGAP31</t>
  </si>
  <si>
    <t>http://www.broadinstitute.org/gsea/msigdb/cards/GSE11961_MEMORY_BCELL_DAY7_VS_PLASMA_CELL_DAY7_DN.html</t>
  </si>
  <si>
    <t>92241;474344;151888;221472;6793;3586;8905;85464;91526;79630;81553</t>
  </si>
  <si>
    <t>RCSD1;GIMAP6;BTLA;FGD2;STK10;IL10;AP1S2;SSH2;ANKRD44;C1orf54;FAM49A</t>
  </si>
  <si>
    <t>GSE41978_WT_VS_ID2_KO_AND_BIM_KO_KLRG1_LOW_EFFECTOR_CD8_TCELL_DN</t>
  </si>
  <si>
    <t>4068;914;93978;114836;10154;19;3553;2358;6556;2529;5133</t>
  </si>
  <si>
    <t>SH2D1A;CD2;CLEC6A;SLAMF6;PLXNC1;ABCA1;IL1B;FPR2;SLC11A1;FUT7;PDCD1</t>
  </si>
  <si>
    <t>http://www.broadinstitute.org/gsea/msigdb/cards/GSE41978_WT_VS_ID2_KO_AND_BIM_KO_KLRG1_LOW_EFFECTOR_CD8_TCELL_DN.html</t>
  </si>
  <si>
    <t>GSE42021_CD24HI_TREG_VS_CD24HI_TCONV_THYMUS_DN</t>
  </si>
  <si>
    <t>3627;929;3659;942;4283;255231;4049;3553;3162;5552;3586</t>
  </si>
  <si>
    <t>CXCL10;CD14;IRF1;CD86;CXCL9;MCOLN2;LTA;IL1B;HMOX1;SRGN;IL10</t>
  </si>
  <si>
    <t>http://www.broadinstitute.org/gsea/msigdb/cards/GSE42021_CD24HI_TREG_VS_CD24HI_TCONV_THYMUS_DN.html</t>
  </si>
  <si>
    <t>GSE43700_UNTREATED_VS_IL10_TREATED_PBMC_UP</t>
  </si>
  <si>
    <t>9595;7133;10225;730249;9034;2359;2358;5376;597;91010;6363</t>
  </si>
  <si>
    <t>CYTIP;TNFRSF1B;CD96;ACOD1;CCRL2;FPR3;FPR2;PMP22;BCL2A1;FMNL3;CCL19</t>
  </si>
  <si>
    <t>http://www.broadinstitute.org/gsea/msigdb/cards/GSE43700_UNTREATED_VS_IL10_TREATED_PBMC_UP.html</t>
  </si>
  <si>
    <t>GSE43700_UNTREATED_VS_IL10_TREATED_PBMC_DN</t>
  </si>
  <si>
    <t>3627;3932;3659;6351;5734;3394;695;4283;255231;10019;2213</t>
  </si>
  <si>
    <t>CXCL10;LCK;IRF1;CCL4;PTGER4;IRF8;BTK;CXCL9;MCOLN2;SH2B3;FCGR2B</t>
  </si>
  <si>
    <t>http://www.broadinstitute.org/gsea/msigdb/cards/GSE43700_UNTREATED_VS_IL10_TREATED_PBMC_DN.html</t>
  </si>
  <si>
    <t>GSE43955_TH0_VS_TGFB_IL6_IL23_TH17_ACT_CD4_TCELL_52H_UP</t>
  </si>
  <si>
    <t>3676;653361;11151;2014;719;6793;1435;3059;526;80821;10507</t>
  </si>
  <si>
    <t>ITGA4;NCF1;CORO1A;EMP3;C3AR1;STK10;CSF1;HCLS1;ATP6V1B2;DDHD1;SEMA4D</t>
  </si>
  <si>
    <t>http://www.broadinstitute.org/gsea/msigdb/cards/GSE43955_TH0_VS_TGFB_IL6_IL23_TH17_ACT_CD4_TCELL_52H_UP.html</t>
  </si>
  <si>
    <t>GSE43955_TH0_VS_TGFB_IL6_IL23_TH17_ACT_CD4_TCELL_60H_UP</t>
  </si>
  <si>
    <t>713;962;6352;919;10871;4063;348;596;4973;4240;51466</t>
  </si>
  <si>
    <t>C1QB;CD48;CCL5;CD247;CD300C;LY9;APOE;BCL2;OLR1;MFGE8;EVL</t>
  </si>
  <si>
    <t>http://www.broadinstitute.org/gsea/msigdb/cards/GSE43955_TH0_VS_TGFB_IL6_IL23_TH17_ACT_CD4_TCELL_60H_UP.html</t>
  </si>
  <si>
    <t>GSE43955_10H_VS_30H_ACT_CD4_TCELL_WITH_TGFB_IL6_DN</t>
  </si>
  <si>
    <t>9595;3659;3594;1234;3394;4689;115361;50856;4049;1230;11217</t>
  </si>
  <si>
    <t>CYTIP;IRF1;IL12RB1;CCR5;IRF8;NCF4;GBP4;CLEC4A;LTA;CCR1;AKAP2</t>
  </si>
  <si>
    <t>http://www.broadinstitute.org/gsea/msigdb/cards/GSE43955_10H_VS_30H_ACT_CD4_TCELL_WITH_TGFB_IL6_DN.html</t>
  </si>
  <si>
    <t>GSE46143_CTRL_VS_LMP2A_TRANSDUCED_CD10_POS_GC_BCELL_DN</t>
  </si>
  <si>
    <t>9535;3689;3001;4245;1234;399;5800;170575;3936;2213;3824</t>
  </si>
  <si>
    <t>GMFG;ITGB2;GZMA;MGAT1;CCR5;RHOH;PTPRO;GIMAP1;LCP1;FCGR2B;KLRD1</t>
  </si>
  <si>
    <t>http://www.broadinstitute.org/gsea/msigdb/cards/GSE46143_CTRL_VS_LMP2A_TRANSDUCED_CD10_POS_GC_BCELL_DN.html</t>
  </si>
  <si>
    <t>GSE44649_WT_VS_MIR155_KO_NAIVE_CD8_TCELL_UP</t>
  </si>
  <si>
    <t>11309;79930;58475;225;29992;1508;2358;6507;140885;9754;11217</t>
  </si>
  <si>
    <t>SLCO2B1;DOK3;MS4A7;ABCD2;PILRA;CTSB;FPR2;SLC1A3;SIRPA;STARD8;AKAP2</t>
  </si>
  <si>
    <t>http://www.broadinstitute.org/gsea/msigdb/cards/GSE44649_WT_VS_MIR155_KO_NAIVE_CD8_TCELL_UP.html</t>
  </si>
  <si>
    <t>713;3676;10320;80231;6373;969;3824;161176;116071;53831;55691</t>
  </si>
  <si>
    <t>C1QB;ITGA4;IKZF1;CXorf21;CXCL11;CD69;KLRD1;SYNE3;BATF2;GPR84;FRMD4A</t>
  </si>
  <si>
    <t>http://www.broadinstitute.org/gsea/msigdb/cards/GSE42724_NAIVE_VS_MEMORY_BCELL_DN.html</t>
  </si>
  <si>
    <t>GSE46606_IRF4_KO_VS_WT_CD40L_IL2_IL5_3DAY_STIMULATED_BCELL_UP</t>
  </si>
  <si>
    <t>3559;942;6504;10666;255231;56659;50615;3290;7185;9363;29126</t>
  </si>
  <si>
    <t>IL2RA;CD86;SLAMF1;CD226;MCOLN2;KCNK13;IL21R;HSD11B1;TRAF1;RAB33A;CD274</t>
  </si>
  <si>
    <t>http://www.broadinstitute.org/gsea/msigdb/cards/GSE46606_IRF4_KO_VS_WT_CD40L_IL2_IL5_3DAY_STIMULATED_BCELL_UP.html</t>
  </si>
  <si>
    <t>GSE46606_UNSTIM_VS_CD40L_IL2_IL5_1DAY_STIMULATED_IRF4MID_SORTED_BCELL_UP</t>
  </si>
  <si>
    <t>942;51296;84636;730249;9034;29909;4049;3553;7185;51762;4215</t>
  </si>
  <si>
    <t>CD86;SLC15A3;GPR174;ACOD1;CCRL2;GPR171;LTA;IL1B;TRAF1;RAB8B;MAP3K3</t>
  </si>
  <si>
    <t>http://www.broadinstitute.org/gsea/msigdb/cards/GSE46606_UNSTIM_VS_CD40L_IL2_IL5_1DAY_STIMULATED_IRF4MID_SORTED_BCELL_UP.html</t>
  </si>
  <si>
    <t>GSE46606_UNSTIM_VS_CD40L_IL2_IL5_3DAY_STIMULATED_IRF4MID_SORTED_BCELL_DN</t>
  </si>
  <si>
    <t>3559;6352;10875;399;81030;3717;3002;10148;79865;375387;4644</t>
  </si>
  <si>
    <t>IL2RA;CCL5;FGL2;RHOH;ZBP1;JAK2;GZMB;EBI3;TREML2;NRROS;MYO5A</t>
  </si>
  <si>
    <t>http://www.broadinstitute.org/gsea/msigdb/cards/GSE46606_UNSTIM_VS_CD40L_IL2_IL5_3DAY_STIMULATED_IRF4MID_SORTED_BCELL_DN.html</t>
  </si>
  <si>
    <t>9595;2123;2124;942;391;10875;80301;23048;240;90634;81553</t>
  </si>
  <si>
    <t>CYTIP;EVI2A;EVI2B;CD86;RHOG;FGL2;PLEKHO2;FNBP1;ALOX5;N4BP2L1;FAM49A</t>
  </si>
  <si>
    <t>http://www.broadinstitute.org/gsea/msigdb/cards/GSE41176_WT_VS_TAK1_KO_ANTI_IGM_STIM_BCELL_24H_DN.html</t>
  </si>
  <si>
    <t>GSE45365_WT_VS_IFNAR_KO_CD8A_DC_MCMV_INFECTION_UP</t>
  </si>
  <si>
    <t>4542;22797;3055;3561;6772;50856;80342;3717;27163;79630;83937</t>
  </si>
  <si>
    <t>MYO1F;TFEC;HCK;IL2RG;STAT1;CLEC4A;TRAF3IP3;JAK2;NAAA;C1orf54;RASSF4</t>
  </si>
  <si>
    <t>http://www.broadinstitute.org/gsea/msigdb/cards/GSE45365_WT_VS_IFNAR_KO_CD8A_DC_MCMV_INFECTION_UP.html</t>
  </si>
  <si>
    <t>GSE45365_WT_VS_IFNAR_KO_CD11B_DC_UP</t>
  </si>
  <si>
    <t>9214;923;53347;11184;152789;197135;921;596;2113;2833;9806</t>
  </si>
  <si>
    <t>FCMR;CD6;UBASH3A;MAP4K1;JAKMIP1;PATL2;CD5;BCL2;ETS1;CXCR3;SPOCK2</t>
  </si>
  <si>
    <t>http://www.broadinstitute.org/gsea/msigdb/cards/GSE45365_WT_VS_IFNAR_KO_CD11B_DC_UP.html</t>
  </si>
  <si>
    <t>GSE45365_NK_CELL_VS_BCELL_DN</t>
  </si>
  <si>
    <t>4242;9046;712;917;3561;57105;9034;7185;79865</t>
  </si>
  <si>
    <t>MFNG;DOK2;C1QA;CD3G;IL2RG;CYSLTR2;CCRL2;TRAF1;TREML2</t>
  </si>
  <si>
    <t>http://www.broadinstitute.org/gsea/msigdb/cards/GSE45365_NK_CELL_VS_BCELL_DN.html</t>
  </si>
  <si>
    <t>GSE2935_UV_INACTIVATED_VS_LIVE_SENDAI_VIRUS_INF_MACROPHAGE_UP</t>
  </si>
  <si>
    <t>9595;1236;1233;10320;399;286336;6402;3737;79865;10004</t>
  </si>
  <si>
    <t>CYTIP;CCR7;CCR4;IKZF1;RHOH;FAM78A;SELL;KCNA2;TREML2;NAALADL1</t>
  </si>
  <si>
    <t>http://www.broadinstitute.org/gsea/msigdb/cards/GSE2935_UV_INACTIVATED_VS_LIVE_SENDAI_VIRUS_INF_MACROPHAGE_UP.html</t>
  </si>
  <si>
    <t>GSE13547_2H_VS_12_H_ANTI_IGM_STIM_ZFX_KO_BCELL_DN</t>
  </si>
  <si>
    <t>3458;3559;3687;4283;115362;3956;729230;8809;10457;79895</t>
  </si>
  <si>
    <t>IFNG;IL2RA;ITGAX;CXCL9;GBP5;LGALS1;CCR2;IL18R1;GPNMB;ATP8B4</t>
  </si>
  <si>
    <t>http://www.broadinstitute.org/gsea/msigdb/cards/GSE13547_2H_VS_12_H_ANTI_IGM_STIM_ZFX_KO_BCELL_DN.html</t>
  </si>
  <si>
    <t>GSE6269_HEALTHY_VS_STAPH_AUREUS_INF_PBMC_UP</t>
  </si>
  <si>
    <t>5788;951;3561;6772;5800;81030;29909;9881;2113;6614</t>
  </si>
  <si>
    <t>PTPRC;CD37;IL2RG;STAT1;PTPRO;ZBP1;GPR171;TRANK1;ETS1;SIGLEC1</t>
  </si>
  <si>
    <t>http://www.broadinstitute.org/gsea/msigdb/cards/GSE6269_HEALTHY_VS_STAPH_AUREUS_INF_PBMC_UP.html</t>
  </si>
  <si>
    <t>GSE6269_HEALTHY_VS_E_COLI_INF_PBMC_UP</t>
  </si>
  <si>
    <t>9744;11184;50615;3117;4261;9938;1235;25900;10235;29125</t>
  </si>
  <si>
    <t>ACAP1;MAP4K1;IL21R;HLA-DQA1;CIITA;ARHGAP25;CCR6;IFFO1;RASGRP2;C11orf21</t>
  </si>
  <si>
    <t>http://www.broadinstitute.org/gsea/msigdb/cards/GSE6269_HEALTHY_VS_E_COLI_INF_PBMC_UP.html</t>
  </si>
  <si>
    <t>GSE4984_UNTREATED_VS_LPS_TREATED_DC_UP</t>
  </si>
  <si>
    <t>286336;151888;221188;50615;27128;366;4066;11009;54861</t>
  </si>
  <si>
    <t>FAM78A;BTLA;ADGRG5;IL21R;CYTH4;AQP9;LYL1;IL24;SNRK</t>
  </si>
  <si>
    <t>http://www.broadinstitute.org/gsea/msigdb/cards/GSE4984_UNTREATED_VS_LPS_TREATED_DC_UP.html</t>
  </si>
  <si>
    <t>GSE36095_WT_VS_HDAC9_KO_TREG_UP</t>
  </si>
  <si>
    <t>1536;914;64092;348;3002;10437;4208;57705;25780;1522</t>
  </si>
  <si>
    <t>CYBB;CD2;SAMSN1;APOE;GZMB;IFI30;MEF2C;WDFY4;RASGRP3;CTSZ</t>
  </si>
  <si>
    <t>http://www.broadinstitute.org/gsea/msigdb/cards/GSE36095_WT_VS_HDAC9_KO_TREG_UP.html</t>
  </si>
  <si>
    <t>GSE4984_UNTREATED_VS_VEHICLE_CTRL_TREATED_DC_UP</t>
  </si>
  <si>
    <t>714;199;3071;53347;6404;2857;3290;25780;54861</t>
  </si>
  <si>
    <t>C1QC;AIF1;NCKAP1L;UBASH3A;SELPLG;GPR34;HSD11B1;RASGRP3;SNRK</t>
  </si>
  <si>
    <t>http://www.broadinstitute.org/gsea/msigdb/cards/GSE4984_UNTREATED_VS_VEHICLE_CTRL_TREATED_DC_UP.html</t>
  </si>
  <si>
    <t>GSE7348_UNSTIM_VS_LPS_STIM_MACROPHAGE_UP</t>
  </si>
  <si>
    <t>54440;286336;283897;10019;4066;25900;9815;150771;10184</t>
  </si>
  <si>
    <t>SASH3;FAM78A;C16orf54;SH2B3;LYL1;IFFO1;GIT2;ITPRIPL1;LHFPL2</t>
  </si>
  <si>
    <t>http://www.broadinstitute.org/gsea/msigdb/cards/GSE7348_UNSTIM_VS_LPS_STIM_MACROPHAGE_UP.html</t>
  </si>
  <si>
    <t>GSE12484_HEALTHY_VS_PERIDONTITIS_NEUTROPHILS_DN</t>
  </si>
  <si>
    <t>4354;353345;4063;51311;366;1621;526;441168;145864</t>
  </si>
  <si>
    <t>MPP1;GPR141;LY9;TLR8;AQP9;DBH;ATP6V1B2;CALHM6;HAPLN3</t>
  </si>
  <si>
    <t>http://www.broadinstitute.org/gsea/msigdb/cards/GSE12484_HEALTHY_VS_PERIDONTITIS_NEUTROPHILS_DN.html</t>
  </si>
  <si>
    <t>GSE12003_MIR223_KO_VS_WT_BM_PROGENITOR_8D_CULTURE_UP</t>
  </si>
  <si>
    <t>714;5800;283897;58484;4240;9815;91010;283316</t>
  </si>
  <si>
    <t>C1QC;PTPRO;C16orf54;NLRC4;MFGE8;GIT2;FMNL3;CD163L1</t>
  </si>
  <si>
    <t>http://www.broadinstitute.org/gsea/msigdb/cards/GSE12003_MIR223_KO_VS_WT_BM_PROGENITOR_8D_CULTURE_UP.html</t>
  </si>
  <si>
    <t>GSE6269_FLU_VS_STAPH_AUREUS_INF_PBMC_UP</t>
  </si>
  <si>
    <t>971;3603;3635;55340;4063;3112;4261;9938;10235;10507</t>
  </si>
  <si>
    <t>CD72;IL16;INPP5D;GIMAP5;LY9;HLA-DOB;CIITA;ARHGAP25;RASGRP2;SEMA4D</t>
  </si>
  <si>
    <t>http://www.broadinstitute.org/gsea/msigdb/cards/GSE6269_FLU_VS_STAPH_AUREUS_INF_PBMC_UP.html</t>
  </si>
  <si>
    <t>GSE13887_ACT_CD4_VS_NO_TREATED_CD4_TCELL_UP</t>
  </si>
  <si>
    <t>11309;713;124535;348378;58475;2829;64581;26279</t>
  </si>
  <si>
    <t>SLCO2B1;C1QB;HSF5;SHISAL2A;MS4A7;XCR1;CLEC7A;PLA2G2D</t>
  </si>
  <si>
    <t>http://www.broadinstitute.org/gsea/msigdb/cards/GSE13887_ACT_CD4_VS_NO_TREATED_CD4_TCELL_UP.html</t>
  </si>
  <si>
    <t>GSE32901_NAIVE_VS_TH17_NEG_CD4_TCELL_DN</t>
  </si>
  <si>
    <t>9214;972;6351;653361;10437;3604;57705;7462</t>
  </si>
  <si>
    <t>FCMR;CD74;CCL4;NCF1;IFI30;TNFRSF9;WDFY4;LAT2</t>
  </si>
  <si>
    <t>http://www.broadinstitute.org/gsea/msigdb/cards/GSE32901_NAIVE_VS_TH17_NEG_CD4_TCELL_DN.html</t>
  </si>
  <si>
    <t>GSE37563_WT_VS_CTLA4_KO_CD4_TCELL_D4_POST_IMMUNIZATION_DN</t>
  </si>
  <si>
    <t>972;3560;5734;1233;51296;84868;4094;7454;84230;5027</t>
  </si>
  <si>
    <t>CD74;IL2RB;PTGER4;CCR4;SLC15A3;HAVCR2;MAF;WAS;LRRC8C;P2RX7</t>
  </si>
  <si>
    <t>http://www.broadinstitute.org/gsea/msigdb/cards/GSE37563_WT_VS_CTLA4_KO_CD4_TCELL_D4_POST_IMMUNIZATION_DN.html</t>
  </si>
  <si>
    <t>GSE5589_WT_VS_IL10_KO_LPS_STIM_MACROPHAGE_180MIN_DN</t>
  </si>
  <si>
    <t>10261;3676;2350;2322;57580;2672;6507;10672;64581</t>
  </si>
  <si>
    <t>IGSF6;ITGA4;FOLR2;FLT3;PREX1;GFI1;SLC1A3;GNA13;CLEC7A</t>
  </si>
  <si>
    <t>http://www.broadinstitute.org/gsea/msigdb/cards/GSE5589_WT_VS_IL10_KO_LPS_STIM_MACROPHAGE_180MIN_DN.html</t>
  </si>
  <si>
    <t>GSE13522_WT_VS_IFNG_KO_SKING_T_CRUZI_Y_STRAIN_INF_DN</t>
  </si>
  <si>
    <t>653361;54557;2672;921;9938;1237;10235;51676</t>
  </si>
  <si>
    <t>NCF1;SGTB;GFI1;CD5;ARHGAP25;CCR8;RASGRP2;ASB2</t>
  </si>
  <si>
    <t>http://www.broadinstitute.org/gsea/msigdb/cards/GSE13522_WT_VS_IFNG_KO_SKING_T_CRUZI_Y_STRAIN_INF_DN.html</t>
  </si>
  <si>
    <t>GSE6259_DEC205_POS_DC_VS_CD8_TCELL_DN</t>
  </si>
  <si>
    <t>4542;2533;4210;941;6404;3662;11314;729230;146850</t>
  </si>
  <si>
    <t>MYO1F;FYB1;MEFV;CD80;SELPLG;IRF4;CD300A;CCR2;PIK3R6</t>
  </si>
  <si>
    <t>http://www.broadinstitute.org/gsea/msigdb/cards/GSE6259_DEC205_POS_DC_VS_CD8_TCELL_DN.html</t>
  </si>
  <si>
    <t>GSE32986_GMCSF_AND_CURDLAN_LOWDOSE_VS_GMCSF_AND_CURDLAN_HIGHDOSE_STIM_DC_DN</t>
  </si>
  <si>
    <t>9595;940;4689;388325;54899;53346;55423;3956;240;51513</t>
  </si>
  <si>
    <t>CYTIP;CD28;NCF4;SCIMP;PXK;TM6SF1;SIRPG;LGALS1;ALOX5;ETV7</t>
  </si>
  <si>
    <t>http://www.broadinstitute.org/gsea/msigdb/cards/GSE32986_GMCSF_AND_CURDLAN_LOWDOSE_VS_GMCSF_AND_CURDLAN_HIGHDOSE_STIM_DC_DN.html</t>
  </si>
  <si>
    <t>27334;10663;3575;971;1236;3603;154075;924;51466</t>
  </si>
  <si>
    <t>P2RY10;CXCR6;IL7R;CD72;CCR7;IL16;SAMD3;CD7;EVL</t>
  </si>
  <si>
    <t>http://www.broadinstitute.org/gsea/msigdb/cards/GSE13547_WT_VS_ZFX_KO_BCELL_ANTI_IGM_STIM_2H_DN.html</t>
  </si>
  <si>
    <t>GSE36891_UNSTIM_VS_PAM_TLR2_STIM_PERITONEAL_MACROPHAGE_DN</t>
  </si>
  <si>
    <t>9046;54440;3689;3001;374403;64333;10437;64780;79630</t>
  </si>
  <si>
    <t>DOK2;SASH3;ITGB2;GZMA;TBC1D10C;ARHGAP9;IFI30;MICAL1;C1orf54</t>
  </si>
  <si>
    <t>http://www.broadinstitute.org/gsea/msigdb/cards/GSE36891_UNSTIM_VS_PAM_TLR2_STIM_PERITONEAL_MACROPHAGE_DN.html</t>
  </si>
  <si>
    <t>GSE6259_FLT3L_INDUCED_VS_WT_SPLENIC_DC_33D1_POS_DN</t>
  </si>
  <si>
    <t>340152;9595;3575;219972;11009;79895;10077;7462;9935</t>
  </si>
  <si>
    <t>ZC3H12D;CYTIP;IL7R;MPEG1;IL24;ATP8B4;TSPAN32;LAT2;MAFB</t>
  </si>
  <si>
    <t>http://www.broadinstitute.org/gsea/msigdb/cards/GSE6259_FLT3L_INDUCED_VS_WT_SPLENIC_DC_33D1_POS_DN.html</t>
  </si>
  <si>
    <t>GSE37533_UNTREATED_VS_PIOGLIZATONE_TREATED_CD4_TCELL_FOXP3_TRASDUCED_CD4_TCELL_DN</t>
  </si>
  <si>
    <t>8676;6890;3587;6039;80896;51393;3162;1601;10672</t>
  </si>
  <si>
    <t>STX11;TAP1;IL10RA;RNASE6;NPL;TRPV2;HMOX1;DAB2;GNA13</t>
  </si>
  <si>
    <t>http://www.broadinstitute.org/gsea/msigdb/cards/GSE37533_UNTREATED_VS_PIOGLIZATONE_TREATED_CD4_TCELL_FOXP3_TRASDUCED_CD4_TCELL_DN.html</t>
  </si>
  <si>
    <t>GSE43863_NAIVE_VS_TH1_EFF_CD4_TCELL_D6_LCMV_DN</t>
  </si>
  <si>
    <t>6352;221472;55340;115362;4094;9103;6891;3824;25780;29126</t>
  </si>
  <si>
    <t>CCL5;FGD2;GIMAP5;GBP5;MAF;FCGR2A;TAP2;KLRD1;RASGRP3;CD274</t>
  </si>
  <si>
    <t>http://www.broadinstitute.org/gsea/msigdb/cards/GSE43863_NAIVE_VS_TH1_EFF_CD4_TCELL_D6_LCMV_DN.html</t>
  </si>
  <si>
    <t>GSE6674_UNSTIM_VS_ANTI_IGM_STIM_BCELL_UP</t>
  </si>
  <si>
    <t>714;3689;55843;497189;83706;80380;51393;8905;81553</t>
  </si>
  <si>
    <t>C1QC;ITGB2;ARHGAP15;TIFAB;FERMT3;PDCD1LG2;TRPV2;AP1S2;FAM49A</t>
  </si>
  <si>
    <t>http://www.broadinstitute.org/gsea/msigdb/cards/GSE6674_UNSTIM_VS_ANTI_IGM_STIM_BCELL_UP.html</t>
  </si>
  <si>
    <t>GSE21033_3H_VS_12H_POLYIC_STIM_DC_UP</t>
  </si>
  <si>
    <t>923;5778;26051;59067;2857;2162;921;6891;84106</t>
  </si>
  <si>
    <t>CD6;PTPN7;PPP1R16B;IL21;GPR34;F13A1;CD5;TAP2;PRAM1</t>
  </si>
  <si>
    <t>http://www.broadinstitute.org/gsea/msigdb/cards/GSE21033_3H_VS_12H_POLYIC_STIM_DC_UP.html</t>
  </si>
  <si>
    <t>GSE6269_E_COLI_VS_STAPH_AUREUS_INF_PBMC_UP</t>
  </si>
  <si>
    <t>940;3575;959;399;341;2113;969;79690;55013</t>
  </si>
  <si>
    <t>CD28;IL7R;CD40LG;RHOH;APOC1;ETS1;CD69;GAL3ST4;MCUB</t>
  </si>
  <si>
    <t>http://www.broadinstitute.org/gsea/msigdb/cards/GSE6269_E_COLI_VS_STAPH_AUREUS_INF_PBMC_UP.html</t>
  </si>
  <si>
    <t>GSE9601_UNTREATED_VS_NFKB_INHIBITOR_TREATED_HCMV_INF_MONOCYTE_UP</t>
  </si>
  <si>
    <t>10068;3676;1493;3903;255231;57580;115361;3956;3002</t>
  </si>
  <si>
    <t>IL18BP;ITGA4;CTLA4;LAIR1;MCOLN2;PREX1;GBP4;LGALS1;GZMB</t>
  </si>
  <si>
    <t>http://www.broadinstitute.org/gsea/msigdb/cards/GSE9601_UNTREATED_VS_NFKB_INHIBITOR_TREATED_HCMV_INF_MONOCYTE_UP.html</t>
  </si>
  <si>
    <t>GSE40274_CTRL_VS_IRF4_TRANSDUCED_ACTIVATED_CD4_TCELL_DN</t>
  </si>
  <si>
    <t>5551;653361;1233;3702;117289;26051;50615;3604;29126</t>
  </si>
  <si>
    <t>PRF1;NCF1;CCR4;ITK;TAGAP;PPP1R16B;IL21R;TNFRSF9;CD274</t>
  </si>
  <si>
    <t>http://www.broadinstitute.org/gsea/msigdb/cards/GSE40274_CTRL_VS_IRF4_TRANSDUCED_ACTIVATED_CD4_TCELL_DN.html</t>
  </si>
  <si>
    <t>GSE21927_SPLEEN_VS_C26GM_TUMOR_MONOCYTE_BALBC_UP</t>
  </si>
  <si>
    <t>10068;5778;84636;8832;9056;2857;27299;3586;161176;25780</t>
  </si>
  <si>
    <t>IL18BP;PTPN7;GPR174;CD84;SLC7A7;GPR34;ADAMDEC1;IL10;SYNE3;RASGRP3</t>
  </si>
  <si>
    <t>http://www.broadinstitute.org/gsea/msigdb/cards/GSE21927_SPLEEN_VS_C26GM_TUMOR_MONOCYTE_BALBC_UP.html</t>
  </si>
  <si>
    <t>GSE21063_WT_VS_NFATC1_KO_16H_ANTI_IGM_STIM_BCELL_DN</t>
  </si>
  <si>
    <t>917;3695;84868;1240;27180;8530;3002;2999;6546;83937</t>
  </si>
  <si>
    <t>CD3G;ITGB7;HAVCR2;CMKLR1;SIGLEC9;CST7;GZMB;GZMH;SLC8A1;RASSF4</t>
  </si>
  <si>
    <t>http://www.broadinstitute.org/gsea/msigdb/cards/GSE21063_WT_VS_NFATC1_KO_16H_ANTI_IGM_STIM_BCELL_DN.html</t>
  </si>
  <si>
    <t>GSE14413_UNSTIM_VS_IFNB_STIM_L929_CELLS_UP</t>
  </si>
  <si>
    <t>6351;4283;50615;11326;146850;116071;84034</t>
  </si>
  <si>
    <t>CCL4;CXCL9;IL21R;VSIG4;PIK3R6;BATF2;EMILIN2</t>
  </si>
  <si>
    <t>http://www.broadinstitute.org/gsea/msigdb/cards/GSE14413_UNSTIM_VS_IFNB_STIM_L929_CELLS_UP.html</t>
  </si>
  <si>
    <t>GSE1112_HY_CD8AB_VS_HY_CD8AA_THYMOCYTE_RTOC_CULTURE_DN</t>
  </si>
  <si>
    <t>2209;3603;64926;19;3553;241;55911;11009;597;79895</t>
  </si>
  <si>
    <t>FCGR1A;IL16;RASAL3;ABCA1;IL1B;ALOX5AP;APOBR;IL24;BCL2A1;ATP8B4</t>
  </si>
  <si>
    <t>http://www.broadinstitute.org/gsea/msigdb/cards/GSE1112_HY_CD8AB_VS_HY_CD8AA_THYMOCYTE_RTOC_CULTURE_DN.html</t>
  </si>
  <si>
    <t>GSE45365_CD8A_DC_VS_CD11B_DC_IFNAR_KO_MCMV_INFECTION_DN</t>
  </si>
  <si>
    <t>27334;920;3394;10320;10666;348378;54209;8832;9056;3604</t>
  </si>
  <si>
    <t>P2RY10;CD4;IRF8;IKZF1;CD226;SHISAL2A;TREM2;CD84;SLC7A7;TNFRSF9</t>
  </si>
  <si>
    <t>http://www.broadinstitute.org/gsea/msigdb/cards/GSE45365_CD8A_DC_VS_CD11B_DC_IFNAR_KO_MCMV_INFECTION_DN.html</t>
  </si>
  <si>
    <t>GSE34217_MIR17_92_OVEREXPRESS_VS_WT_ACT_CD8_TCELL_UP</t>
  </si>
  <si>
    <t>9595;9402;5788;3560;84166;2113;64174;11217</t>
  </si>
  <si>
    <t>CYTIP;GRAP2;PTPRC;IL2RB;NLRC5;ETS1;DPEP2;AKAP2</t>
  </si>
  <si>
    <t>http://www.broadinstitute.org/gsea/msigdb/cards/GSE34217_MIR17_92_OVEREXPRESS_VS_WT_ACT_CD8_TCELL_UP.html</t>
  </si>
  <si>
    <t>GSE10239_NAIVE_VS_KLRG1INT_EFF_CD8_TCELL_DN</t>
  </si>
  <si>
    <t>3001;7133;1234;3394;51296;3956;3003;118788;9754;57823</t>
  </si>
  <si>
    <t>GZMA;TNFRSF1B;CCR5;IRF8;SLC15A3;LGALS1;GZMK;PIK3AP1;STARD8;SLAMF7</t>
  </si>
  <si>
    <t>http://www.broadinstitute.org/gsea/msigdb/cards/GSE10239_NAIVE_VS_KLRG1INT_EFF_CD8_TCELL_DN.html</t>
  </si>
  <si>
    <t>9214;971;3561;11262;3662;399;26051;4063;969;25780</t>
  </si>
  <si>
    <t>FCMR;CD72;IL2RG;SP140;IRF4;RHOH;PPP1R16B;LY9;CD69;RASGRP3</t>
  </si>
  <si>
    <t>http://www.broadinstitute.org/gsea/msigdb/cards/GSE10325_LUPUS_BCELL_VS_LUPUS_MYELOID_UP.html</t>
  </si>
  <si>
    <t>GSE11864_UNTREATED_VS_CSF1_IN_MAC_DN</t>
  </si>
  <si>
    <t>971;387357;84868;51311;29992;27180;7439;6614;51063;57823</t>
  </si>
  <si>
    <t>CD72;THEMIS;HAVCR2;TLR8;PILRA;SIGLEC9;BEST1;SIGLEC1;CALHM2;SLAMF7</t>
  </si>
  <si>
    <t>http://www.broadinstitute.org/gsea/msigdb/cards/GSE11864_UNTREATED_VS_CSF1_IN_MAC_DN.html</t>
  </si>
  <si>
    <t>GSE11864_CSF1_VS_CSF1_IFNG_IN_MAC_UP</t>
  </si>
  <si>
    <t>11309;919;719;64333;54209;2857;943;9363;51063;23166</t>
  </si>
  <si>
    <t>SLCO2B1;CD247;C3AR1;ARHGAP9;TREM2;GPR34;TNFRSF8;RAB33A;CALHM2;STAB1</t>
  </si>
  <si>
    <t>http://www.broadinstitute.org/gsea/msigdb/cards/GSE11864_CSF1_VS_CSF1_IFNG_IN_MAC_UP.html</t>
  </si>
  <si>
    <t>GSE11864_CSF1_VS_CSF1_IFNG_IN_MAC_DN</t>
  </si>
  <si>
    <t>945;1234;11006;353514;11024;5724;161145;84329;55281;29125</t>
  </si>
  <si>
    <t>CD33;CCR5;LILRB4;LILRA5;LILRA1;PTAFR;TMEM229B;HVCN1;TMEM140;C11orf21</t>
  </si>
  <si>
    <t>http://www.broadinstitute.org/gsea/msigdb/cards/GSE11864_CSF1_VS_CSF1_IFNG_IN_MAC_DN.html</t>
  </si>
  <si>
    <t>GSE11864_CSF1_VS_CSF1_PAM3CYS_IN_MAC_UP</t>
  </si>
  <si>
    <t>4542;9595;139818;246329;54;6402;8905;55704;51063;54861</t>
  </si>
  <si>
    <t>MYO1F;CYTIP;DOCK11;STAC3;ACP5;SELL;AP1S2;CCDC88A;CALHM2;SNRK</t>
  </si>
  <si>
    <t>http://www.broadinstitute.org/gsea/msigdb/cards/GSE11864_CSF1_VS_CSF1_PAM3CYS_IN_MAC_UP.html</t>
  </si>
  <si>
    <t>GSE11924_TH2_VS_TH17_CD4_TCELL_UP</t>
  </si>
  <si>
    <t>2672;80380;64092;366;8530;1435;55911;131450;51676;11217</t>
  </si>
  <si>
    <t>GFI1;PDCD1LG2;SAMSN1;AQP9;CST7;CSF1;APOBR;CD200R1;ASB2;AKAP2</t>
  </si>
  <si>
    <t>http://www.broadinstitute.org/gsea/msigdb/cards/GSE11924_TH2_VS_TH17_CD4_TCELL_UP.html</t>
  </si>
  <si>
    <t>GSE12845_IGD_POS_VS_NEG_BLOOD_BCELL_DN</t>
  </si>
  <si>
    <t>1439;942;6890;27033;1102;3956;5552;10437;4688;51063</t>
  </si>
  <si>
    <t>CSF2RB;CD86;TAP1;ZBTB32;RCBTB2;LGALS1;SRGN;IFI30;NCF2;CALHM2</t>
  </si>
  <si>
    <t>http://www.broadinstitute.org/gsea/msigdb/cards/GSE12845_IGD_POS_VS_NEG_BLOOD_BCELL_DN.html</t>
  </si>
  <si>
    <t>259197;9402;7133;4064;27036;6402;27163;10077;9033;29125</t>
  </si>
  <si>
    <t>NCR3;GRAP2;TNFRSF1B;CD180;SIGLEC7;SELL;NAAA;TSPAN32;PKD2L1;C11orf21</t>
  </si>
  <si>
    <t>http://www.broadinstitute.org/gsea/msigdb/cards/GSE12845_IGD_POS_BLOOD_VS_PRE_GC_TONSIL_BCELL_UP.html</t>
  </si>
  <si>
    <t>GSE12845_IGD_NEG_BLOOD_VS_NAIVE_TONSIL_BCELL_UP</t>
  </si>
  <si>
    <t>9046;3695;6890;3937;6404;11006;9056;80342;2833;4818</t>
  </si>
  <si>
    <t>DOK2;ITGB7;TAP1;LCP2;SELPLG;LILRB4;SLC7A7;TRAF3IP3;CXCR3;NKG7</t>
  </si>
  <si>
    <t>http://www.broadinstitute.org/gsea/msigdb/cards/GSE12845_IGD_NEG_BLOOD_VS_NAIVE_TONSIL_BCELL_UP.html</t>
  </si>
  <si>
    <t>GSE13306_TREG_VS_TCONV_SPLEEN_UP</t>
  </si>
  <si>
    <t>340152;3559;1493;945;4354;80380;29851;4049;596;10077</t>
  </si>
  <si>
    <t>ZC3H12D;IL2RA;CTLA4;CD33;MPP1;PDCD1LG2;ICOS;LTA;BCL2;TSPAN32</t>
  </si>
  <si>
    <t>http://www.broadinstitute.org/gsea/msigdb/cards/GSE13306_TREG_VS_TCONV_SPLEEN_UP.html</t>
  </si>
  <si>
    <t>GSE13484_3H_UNSTIM_VS_YF17D_VACCINE_STIM_PBMC_UP</t>
  </si>
  <si>
    <t>54440;3932;2268;944;55016;23533;27180;8905;814;54861</t>
  </si>
  <si>
    <t>SASH3;LCK;FGR;TNFSF8;MARCH1;PIK3R5;SIGLEC9;AP1S2;CAMK4;SNRK</t>
  </si>
  <si>
    <t>http://www.broadinstitute.org/gsea/msigdb/cards/GSE13484_3H_UNSTIM_VS_YF17D_VACCINE_STIM_PBMC_UP.html</t>
  </si>
  <si>
    <t>GSE13738_RESTING_VS_TCR_ACTIVATED_CD4_TCELL_DN</t>
  </si>
  <si>
    <t>7133;3687;971;3662;26051;55589;55423;3902;3604;84034</t>
  </si>
  <si>
    <t>TNFRSF1B;ITGAX;CD72;IRF4;PPP1R16B;BMP2K;SIRPG;LAG3;TNFRSF9;EMILIN2</t>
  </si>
  <si>
    <t>http://www.broadinstitute.org/gsea/msigdb/cards/GSE13738_RESTING_VS_TCR_ACTIVATED_CD4_TCELL_DN.html</t>
  </si>
  <si>
    <t>GSE13738_RESTING_VS_BYSTANDER_ACTIVATED_CD4_TCELL_UP</t>
  </si>
  <si>
    <t>387357;256380;55303;23228;221400;6402;6693;4033;814;168537</t>
  </si>
  <si>
    <t>THEMIS;SCML4;GIMAP4;PLCL2;TDRD6;SELL;SPN;LRMP;CAMK4;GIMAP7</t>
  </si>
  <si>
    <t>http://www.broadinstitute.org/gsea/msigdb/cards/GSE13738_RESTING_VS_BYSTANDER_ACTIVATED_CD4_TCELL_UP.html</t>
  </si>
  <si>
    <t>GSE14026_TH1_VS_TH17_UP</t>
  </si>
  <si>
    <t>4210;7456;1439;3101;5800;50615;3936;2357;4481;6776</t>
  </si>
  <si>
    <t>MEFV;WIPF1;CSF2RB;HK3;PTPRO;IL21R;LCP1;FPR1;MSR1;STAT5A</t>
  </si>
  <si>
    <t>http://www.broadinstitute.org/gsea/msigdb/cards/GSE14026_TH1_VS_TH17_UP.html</t>
  </si>
  <si>
    <t>GSE14308_TH2_VS_NAIVE_CD4_TCELL_DN</t>
  </si>
  <si>
    <t>2209;919;8514;51225;6776;9815;89846;91010;80821;4215</t>
  </si>
  <si>
    <t>FCGR1A;CD247;KCNAB2;ABI3;STAT5A;GIT2;FGD3;FMNL3;DDHD1;MAP3K3</t>
  </si>
  <si>
    <t>http://www.broadinstitute.org/gsea/msigdb/cards/GSE14308_TH2_VS_NAIVE_CD4_TCELL_DN.html</t>
  </si>
  <si>
    <t>GSE14308_TH2_VS_NATURAL_TREG_DN</t>
  </si>
  <si>
    <t>3627;10320;92241;57580;6039;2113;356;6891;91010;10077</t>
  </si>
  <si>
    <t>CXCL10;IKZF1;RCSD1;PREX1;RNASE6;ETS1;FASLG;TAP2;FMNL3;TSPAN32</t>
  </si>
  <si>
    <t>http://www.broadinstitute.org/gsea/msigdb/cards/GSE14308_TH2_VS_NATURAL_TREG_DN.html</t>
  </si>
  <si>
    <t>GSE14308_TH1_VS_TH17_DN</t>
  </si>
  <si>
    <t>54440;1233;84636;3117;921;4481;7941;3123;151556;23166</t>
  </si>
  <si>
    <t>SASH3;CCR4;GPR174;HLA-DQA1;CD5;MSR1;PLA2G7;HLA-DRB1;GPR155;STAB1</t>
  </si>
  <si>
    <t>http://www.broadinstitute.org/gsea/msigdb/cards/GSE14308_TH1_VS_TH17_DN.html</t>
  </si>
  <si>
    <t>GSE1448_CTRL_VS_ANTI_VBETA5_DP_THYMOCYTE_UP</t>
  </si>
  <si>
    <t>9051;920;3932;4354;3603;399;23048;926;54518;27240</t>
  </si>
  <si>
    <t>PSTPIP1;CD4;LCK;MPP1;IL16;RHOH;FNBP1;CD8B;APBB1IP;SIT1</t>
  </si>
  <si>
    <t>http://www.broadinstitute.org/gsea/msigdb/cards/GSE1448_CTRL_VS_ANTI_VBETA5_DP_THYMOCYTE_UP.html</t>
  </si>
  <si>
    <t>GSE1448_ANTI_VALPHA2_VS_VBETA5_DP_THYMOCYTE_UP</t>
  </si>
  <si>
    <t>925;1493;4354;54899;23048;3586;7185;54518;161145;27240</t>
  </si>
  <si>
    <t>CD8A;CTLA4;MPP1;PXK;FNBP1;IL10;TRAF1;APBB1IP;TMEM229B;SIT1</t>
  </si>
  <si>
    <t>http://www.broadinstitute.org/gsea/msigdb/cards/GSE1448_ANTI_VALPHA2_VS_VBETA5_DP_THYMOCYTE_UP.html</t>
  </si>
  <si>
    <t>GSE1460_INTRATHYMIC_T_PROGENITOR_VS_DP_THYMOCYTE_UP</t>
  </si>
  <si>
    <t>972;51296;64092;51284;366;6402;3108;81553;80183;8605</t>
  </si>
  <si>
    <t>CD74;SLC15A3;SAMSN1;TLR7;AQP9;SELL;HLA-DMA;FAM49A;RUBCNL;PLA2G4C</t>
  </si>
  <si>
    <t>http://www.broadinstitute.org/gsea/msigdb/cards/GSE1460_INTRATHYMIC_T_PROGENITOR_VS_DP_THYMOCYTE_UP.html</t>
  </si>
  <si>
    <t>80833;962;6404;55303;6793;3274;597;55281;9033;29125</t>
  </si>
  <si>
    <t>APOL3;CD48;SELPLG;GIMAP4;STK10;HRH2;BCL2A1;TMEM140;PKD2L1;C11orf21</t>
  </si>
  <si>
    <t>http://www.broadinstitute.org/gsea/msigdb/cards/GSE1460_CD4_THYMOCYTE_VS_NAIVE_CD4_TCELL_ADULT_BLOOD_DN.html</t>
  </si>
  <si>
    <t>GSE14769_20MIN_VS_360MIN_LPS_BMDM_UP</t>
  </si>
  <si>
    <t>7305;5294;8514;286336;8477;53346;3162;4066;3988;245972</t>
  </si>
  <si>
    <t>TYROBP;PIK3CG;KCNAB2;FAM78A;GPR65;TM6SF1;HMOX1;LYL1;LIPA;ATP6V0D2</t>
  </si>
  <si>
    <t>http://www.broadinstitute.org/gsea/msigdb/cards/GSE14769_20MIN_VS_360MIN_LPS_BMDM_UP.html</t>
  </si>
  <si>
    <t>GSE15659_CD45RA_NEG_CD4_TCELL_VS_ACTIVATED_TREG_DN</t>
  </si>
  <si>
    <t>4068;7453;399;149628;497189;64092;7099;8742;375686;51762</t>
  </si>
  <si>
    <t>SH2D1A;WARS;RHOH;PYHIN1;TIFAB;SAMSN1;TLR4;TNFSF12;SPATC1;RAB8B</t>
  </si>
  <si>
    <t>http://www.broadinstitute.org/gsea/msigdb/cards/GSE15659_CD45RA_NEG_CD4_TCELL_VS_ACTIVATED_TREG_DN.html</t>
  </si>
  <si>
    <t>GSE15930_NAIVE_VS_24H_IN_VITRO_STIM_IL12_CD8_TCELL_UP</t>
  </si>
  <si>
    <t>3603;255231;51284;3111;596;3274;4240;89846;10235;27240</t>
  </si>
  <si>
    <t>IL16;MCOLN2;TLR7;HLA-DOA;BCL2;HRH2;MFGE8;FGD3;RASGRP2;SIT1</t>
  </si>
  <si>
    <t>http://www.broadinstitute.org/gsea/msigdb/cards/GSE15930_NAIVE_VS_24H_IN_VITRO_STIM_IL12_CD8_TCELL_UP.html</t>
  </si>
  <si>
    <t>GSE15930_STIM_VS_STIM_AND_TRICHOSTATINA_24H_CD8_T_CELL_UP</t>
  </si>
  <si>
    <t>4242;1536;929;959;2014;3394;55589;526;3004;1235</t>
  </si>
  <si>
    <t>MFNG;CYBB;CD14;CD40LG;EMP3;IRF8;BMP2K;ATP6V1B2;GZMM;CCR6</t>
  </si>
  <si>
    <t>http://www.broadinstitute.org/gsea/msigdb/cards/GSE15930_STIM_VS_STIM_AND_TRICHOSTATINA_24H_CD8_T_CELL_UP.html</t>
  </si>
  <si>
    <t>GSE16522_MEMORY_VS_NAIVE_CD8_TCELL_UP</t>
  </si>
  <si>
    <t>3932;929;951;53347;7805;54899;84174;51393;3956;7462</t>
  </si>
  <si>
    <t>LCK;CD14;CD37;UBASH3A;LAPTM5;PXK;SLA2;TRPV2;LGALS1;LAT2</t>
  </si>
  <si>
    <t>http://www.broadinstitute.org/gsea/msigdb/cards/GSE16522_MEMORY_VS_NAIVE_CD8_TCELL_UP.html</t>
  </si>
  <si>
    <t>GSE17721_CTRL_VS_LPS_0.5H_BMDC_UP</t>
  </si>
  <si>
    <t>2209;1493;51056;1439;2014;4354;3903;64231;2857;366</t>
  </si>
  <si>
    <t>FCGR1A;CTLA4;LAP3;CSF2RB;EMP3;MPP1;LAIR1;MS4A6A;GPR34;AQP9</t>
  </si>
  <si>
    <t>http://www.broadinstitute.org/gsea/msigdb/cards/GSE17721_CTRL_VS_LPS_0.5H_BMDC_UP.html</t>
  </si>
  <si>
    <t>GSE17721_CTRL_VS_POLYIC_4H_BMDC_DN</t>
  </si>
  <si>
    <t>10068;3394;6890;4283;64231;56833;1601;118788;51762;55803</t>
  </si>
  <si>
    <t>IL18BP;IRF8;TAP1;CXCL9;MS4A6A;SLAMF8;DAB2;PIK3AP1;RAB8B;ADAP2</t>
  </si>
  <si>
    <t>http://www.broadinstitute.org/gsea/msigdb/cards/GSE17721_CTRL_VS_POLYIC_4H_BMDC_DN.html</t>
  </si>
  <si>
    <t>GSE17721_CTRL_VS_PAM3CSK4_1H_BMDC_DN</t>
  </si>
  <si>
    <t>4210;9839;10261;3394;1621;6776;11010;4973;100506736;375387</t>
  </si>
  <si>
    <t>MEFV;ZEB2;IGSF6;IRF8;DBH;STAT5A;GLIPR1;OLR1;SLFN12L;NRROS</t>
  </si>
  <si>
    <t>http://www.broadinstitute.org/gsea/msigdb/cards/GSE17721_CTRL_VS_PAM3CSK4_1H_BMDC_DN.html</t>
  </si>
  <si>
    <t>GSE17721_CTRL_VS_CPG_8H_BMDC_UP</t>
  </si>
  <si>
    <t>11151;10871;5800;9120;3108;4261;1235;3824;79630;64098</t>
  </si>
  <si>
    <t>CORO1A;CD300C;PTPRO;SLC16A6;HLA-DMA;CIITA;CCR6;KLRD1;C1orf54;PARVG</t>
  </si>
  <si>
    <t>http://www.broadinstitute.org/gsea/msigdb/cards/GSE17721_CTRL_VS_CPG_8H_BMDC_UP.html</t>
  </si>
  <si>
    <t>GSE17721_CTRL_VS_GARDIQUIMOD_4H_BMDC_DN</t>
  </si>
  <si>
    <t>3627;7453;10225;4049;2357;2213;6776;1237;4973;27314</t>
  </si>
  <si>
    <t>CXCL10;WARS;CD96;LTA;FPR1;FCGR2B;STAT5A;CCR8;OLR1;RAB30</t>
  </si>
  <si>
    <t>http://www.broadinstitute.org/gsea/msigdb/cards/GSE17721_CTRL_VS_GARDIQUIMOD_4H_BMDC_DN.html</t>
  </si>
  <si>
    <t>GSE17721_CTRL_VS_GARDIQUIMOD_24H_BMDC_UP</t>
  </si>
  <si>
    <t>10871;139716;27306;10437;4261;1601;90634;4327;64805;64098</t>
  </si>
  <si>
    <t>CD300C;GAB3;HPGDS;IFI30;CIITA;DAB2;N4BP2L1;MMP19;P2RY12;PARVG</t>
  </si>
  <si>
    <t>http://www.broadinstitute.org/gsea/msigdb/cards/GSE17721_CTRL_VS_GARDIQUIMOD_24H_BMDC_UP.html</t>
  </si>
  <si>
    <t>GSE17721_LPS_VS_POLYIC_8H_BMDC_UP</t>
  </si>
  <si>
    <t>9402;2214;3683;2207;941;3662;3162;2212;151556;50515</t>
  </si>
  <si>
    <t>GRAP2;FCGR3A;ITGAL;FCER1G;CD80;IRF4;HMOX1;FCGR2A;GPR155;CHST11</t>
  </si>
  <si>
    <t>http://www.broadinstitute.org/gsea/msigdb/cards/GSE17721_LPS_VS_POLYIC_8H_BMDC_UP.html</t>
  </si>
  <si>
    <t>GSE17721_POLYIC_VS_PAM3CSK4_24H_BMDC_DN</t>
  </si>
  <si>
    <t>9535;653361;3687;3603;10870;3059;6693;54331;64747;55013</t>
  </si>
  <si>
    <t>GMFG;NCF1;ITGAX;IL16;HCST;HCLS1;SPN;GNG2;MFSD1;MCUB</t>
  </si>
  <si>
    <t>http://www.broadinstitute.org/gsea/msigdb/cards/GSE17721_POLYIC_VS_PAM3CSK4_24H_BMDC_DN.html</t>
  </si>
  <si>
    <t>GSE17721_PAM3CSK4_VS_CPG_2H_BMDC_UP</t>
  </si>
  <si>
    <t>959;2207;7535;79930;59067;50615;11326;27299;3363;168537</t>
  </si>
  <si>
    <t>CD40LG;FCER1G;ZAP70;DOK3;IL21;IL21R;VSIG4;ADAMDEC1;HTR7;GIMAP7</t>
  </si>
  <si>
    <t>http://www.broadinstitute.org/gsea/msigdb/cards/GSE17721_PAM3CSK4_VS_CPG_2H_BMDC_UP.html</t>
  </si>
  <si>
    <t>GSE17721_CPG_VS_GARDIQUIMOD_6H_BMDC_DN</t>
  </si>
  <si>
    <t>4542;114548;3717;10437;7454;140885;3604;64747;54861;55013</t>
  </si>
  <si>
    <t>MYO1F;NLRP3;JAK2;IFI30;WAS;SIRPA;TNFRSF9;MFSD1;SNRK;MCUB</t>
  </si>
  <si>
    <t>http://www.broadinstitute.org/gsea/msigdb/cards/GSE17721_CPG_VS_GARDIQUIMOD_6H_BMDC_DN.html</t>
  </si>
  <si>
    <t>GSE17721_CPG_VS_GARDIQUIMOD_8H_BMDC_UP</t>
  </si>
  <si>
    <t>3559;3627;2214;51056;3587;146722;139716;728;1414;375387</t>
  </si>
  <si>
    <t>IL2RA;CXCL10;FCGR3A;LAP3;IL10RA;CD300LF;GAB3;C5AR1;CRYBB1;NRROS</t>
  </si>
  <si>
    <t>http://www.broadinstitute.org/gsea/msigdb/cards/GSE17721_CPG_VS_GARDIQUIMOD_8H_BMDC_UP.html</t>
  </si>
  <si>
    <t>GSE17721_CPG_VS_GARDIQUIMOD_16H_BMDC_UP</t>
  </si>
  <si>
    <t>3394;92241;1435;3108;4261;1235;3824;64805;30835;4644</t>
  </si>
  <si>
    <t>IRF8;RCSD1;CSF1;HLA-DMA;CIITA;CCR6;KLRD1;P2RY12;CD209;MYO5A</t>
  </si>
  <si>
    <t>http://www.broadinstitute.org/gsea/msigdb/cards/GSE17721_CPG_VS_GARDIQUIMOD_16H_BMDC_UP.html</t>
  </si>
  <si>
    <t>GSE17721_LPS_VS_PAM3CSK4_0.5H_BMDC_DN</t>
  </si>
  <si>
    <t>4354;3587;10875;56659;27306;1508;5552;1043;10457;64581</t>
  </si>
  <si>
    <t>MPP1;IL10RA;FGL2;KCNK13;HPGDS;CTSB;SRGN;CD52;GPNMB;CLEC7A</t>
  </si>
  <si>
    <t>http://www.broadinstitute.org/gsea/msigdb/cards/GSE17721_LPS_VS_PAM3CSK4_0.5H_BMDC_DN.html</t>
  </si>
  <si>
    <t>8514;7805;64333;56659;27036;3162;2357;3988;9363;84329</t>
  </si>
  <si>
    <t>KCNAB2;LAPTM5;ARHGAP9;KCNK13;SIGLEC7;HMOX1;FPR1;LIPA;RAB33A;HVCN1</t>
  </si>
  <si>
    <t>http://www.broadinstitute.org/gsea/msigdb/cards/GSE17721_LPS_VS_PAM3CSK4_8H_BMDC_DN.html</t>
  </si>
  <si>
    <t>951;2124;10871;56659;27036;6793;3290;11010;57514;84329</t>
  </si>
  <si>
    <t>CD37;EVI2B;CD300C;KCNK13;SIGLEC7;STK10;HSD11B1;GLIPR1;ARHGAP31;HVCN1</t>
  </si>
  <si>
    <t>http://www.broadinstitute.org/gsea/msigdb/cards/GSE17721_LPS_VS_PAM3CSK4_16H_BMDC_DN.html</t>
  </si>
  <si>
    <t>GSE17721_POLYIC_VS_CPG_1H_BMDC_DN</t>
  </si>
  <si>
    <t>22797;929;5734;3937;92241;80896;64092;2357;100506736;29126</t>
  </si>
  <si>
    <t>TFEC;CD14;PTGER4;LCP2;RCSD1;NPL;SAMSN1;FPR1;SLFN12L;CD274</t>
  </si>
  <si>
    <t>http://www.broadinstitute.org/gsea/msigdb/cards/GSE17721_POLYIC_VS_CPG_1H_BMDC_DN.html</t>
  </si>
  <si>
    <t>GSE17721_POLYIC_VS_CPG_12H_BMDC_DN</t>
  </si>
  <si>
    <t>4210;5579;3055;313;3071;9056;50856;2212;5376;4644</t>
  </si>
  <si>
    <t>MEFV;PRKCB;HCK;AOAH;NCKAP1L;SLC7A7;CLEC4A;FCGR2A;PMP22;MYO5A</t>
  </si>
  <si>
    <t>http://www.broadinstitute.org/gsea/msigdb/cards/GSE17721_POLYIC_VS_CPG_12H_BMDC_DN.html</t>
  </si>
  <si>
    <t>GSE17721_PAM3CSK4_VS_GADIQUIMOD_0.5H_BMDC_DN</t>
  </si>
  <si>
    <t>3676;695;10875;115361;64231;4063;23228;3274;3363;64805</t>
  </si>
  <si>
    <t>ITGA4;BTK;FGL2;GBP4;MS4A6A;LY9;PLCL2;HRH2;HTR7;P2RY12</t>
  </si>
  <si>
    <t>http://www.broadinstitute.org/gsea/msigdb/cards/GSE17721_PAM3CSK4_VS_GADIQUIMOD_0.5H_BMDC_DN.html</t>
  </si>
  <si>
    <t>GSE17721_PAM3CSK4_VS_GADIQUIMOD_4H_BMDC_UP</t>
  </si>
  <si>
    <t>971;3662;255231;26051;6793;3108;4261;10148;10672;27314</t>
  </si>
  <si>
    <t>CD72;IRF4;MCOLN2;PPP1R16B;STK10;HLA-DMA;CIITA;EBI3;GNA13;RAB30</t>
  </si>
  <si>
    <t>http://www.broadinstitute.org/gsea/msigdb/cards/GSE17721_PAM3CSK4_VS_GADIQUIMOD_4H_BMDC_UP.html</t>
  </si>
  <si>
    <t>22797;54440;941;8514;255231;6556;9363;10148;151556;84329</t>
  </si>
  <si>
    <t>TFEC;SASH3;CD80;KCNAB2;MCOLN2;SLC11A1;RAB33A;EBI3;GPR155;HVCN1</t>
  </si>
  <si>
    <t>http://www.broadinstitute.org/gsea/msigdb/cards/GSE17721_PAM3CSK4_VS_GADIQUIMOD_8H_BMDC_UP.html</t>
  </si>
  <si>
    <t>GSE17721_PAM3CSK4_VS_GADIQUIMOD_8H_BMDC_DN</t>
  </si>
  <si>
    <t>2533;9046;3559;6351;3575;115361;51311;8832;9034;729230</t>
  </si>
  <si>
    <t>FYB1;DOK2;IL2RA;CCL4;IL7R;GBP4;TLR8;CD84;CCRL2;CCR2</t>
  </si>
  <si>
    <t>http://www.broadinstitute.org/gsea/msigdb/cards/GSE17721_PAM3CSK4_VS_GADIQUIMOD_8H_BMDC_DN.html</t>
  </si>
  <si>
    <t>GSE17721_LPS_VS_CPG_4H_BMDC_UP</t>
  </si>
  <si>
    <t>925;3659;6351;1493;115361;23228;9034;55911;10672;9754</t>
  </si>
  <si>
    <t>CD8A;IRF1;CCL4;CTLA4;GBP4;PLCL2;CCRL2;APOBR;GNA13;STARD8</t>
  </si>
  <si>
    <t>http://www.broadinstitute.org/gsea/msigdb/cards/GSE17721_LPS_VS_CPG_4H_BMDC_UP.html</t>
  </si>
  <si>
    <t>GSE17721_LPS_VS_CPG_6H_BMDC_DN</t>
  </si>
  <si>
    <t>1436;2124;255231;3635;56833;8832;1230;7454;10148;51466</t>
  </si>
  <si>
    <t>CSF1R;EVI2B;MCOLN2;INPP5D;SLAMF8;CD84;CCR1;WAS;EBI3;EVL</t>
  </si>
  <si>
    <t>http://www.broadinstitute.org/gsea/msigdb/cards/GSE17721_LPS_VS_CPG_6H_BMDC_DN.html</t>
  </si>
  <si>
    <t>GSE17721_LPS_VS_GARDIQUIMOD_8H_BMDC_DN</t>
  </si>
  <si>
    <t>22797;9535;54440;150372;9056;27036;4688;2357;151556;53831</t>
  </si>
  <si>
    <t>TFEC;GMFG;SASH3;NFAM1;SLC7A7;SIGLEC7;NCF2;FPR1;GPR155;GPR84</t>
  </si>
  <si>
    <t>http://www.broadinstitute.org/gsea/msigdb/cards/GSE17721_LPS_VS_GARDIQUIMOD_8H_BMDC_DN.html</t>
  </si>
  <si>
    <t>GSE17721_0.5H_VS_4H_LPS_BMDC_DN</t>
  </si>
  <si>
    <t>4354;81030;29851;6776;4973;2529;10148;10672;54518;64919</t>
  </si>
  <si>
    <t>MPP1;ZBP1;ICOS;STAT5A;OLR1;FUT7;EBI3;GNA13;APBB1IP;BCL11B</t>
  </si>
  <si>
    <t>http://www.broadinstitute.org/gsea/msigdb/cards/GSE17721_0.5H_VS_4H_LPS_BMDC_DN.html</t>
  </si>
  <si>
    <t>GSE17721_0.5H_VS_12H_POLYIC_BMDC_DN</t>
  </si>
  <si>
    <t>9839;1536;6352;3676;115361;64231;6518;4973;79630;64805</t>
  </si>
  <si>
    <t>ZEB2;CYBB;CCL5;ITGA4;GBP4;MS4A6A;SLC2A5;OLR1;C1orf54;P2RY12</t>
  </si>
  <si>
    <t>http://www.broadinstitute.org/gsea/msigdb/cards/GSE17721_0.5H_VS_12H_POLYIC_BMDC_DN.html</t>
  </si>
  <si>
    <t>22797;2124;3071;10875;114548;53346;29851;6373;4208;64581</t>
  </si>
  <si>
    <t>TFEC;EVI2B;NCKAP1L;FGL2;NLRP3;TM6SF1;ICOS;CXCL11;MEF2C;CLEC7A</t>
  </si>
  <si>
    <t>http://www.broadinstitute.org/gsea/msigdb/cards/GSE17721_4H_VS_24H_POLYIC_BMDC_UP.html</t>
  </si>
  <si>
    <t>GSE17721_4H_VS_24H_POLYIC_BMDC_DN</t>
  </si>
  <si>
    <t>951;653361;7133;971;3594;8477;1240;81030;140885;3824</t>
  </si>
  <si>
    <t>CD37;NCF1;TNFRSF1B;CD72;IL12RB1;GPR65;CMKLR1;ZBP1;SIRPA;KLRD1</t>
  </si>
  <si>
    <t>http://www.broadinstitute.org/gsea/msigdb/cards/GSE17721_4H_VS_24H_POLYIC_BMDC_DN.html</t>
  </si>
  <si>
    <t>GSE17721_12H_VS_24H_POLYIC_BMDC_UP</t>
  </si>
  <si>
    <t>22797;10261;81704;348;3274;6776;55704;84230;84329;55013</t>
  </si>
  <si>
    <t>TFEC;IGSF6;DOCK8;APOE;HRH2;STAT5A;CCDC88A;LRRC8C;HVCN1;MCUB</t>
  </si>
  <si>
    <t>http://www.broadinstitute.org/gsea/msigdb/cards/GSE17721_12H_VS_24H_POLYIC_BMDC_UP.html</t>
  </si>
  <si>
    <t>GSE17721_12H_VS_24H_POLYIC_BMDC_DN</t>
  </si>
  <si>
    <t>2533;971;79930;3635;58475;64231;11314;51393;10537;10457</t>
  </si>
  <si>
    <t>FYB1;CD72;DOK3;INPP5D;MS4A7;MS4A6A;CD300A;TRPV2;UBD;GPNMB</t>
  </si>
  <si>
    <t>http://www.broadinstitute.org/gsea/msigdb/cards/GSE17721_12H_VS_24H_POLYIC_BMDC_DN.html</t>
  </si>
  <si>
    <t>3575;5734;6404;93978;51744;526;4208;3604;115727;55013</t>
  </si>
  <si>
    <t>IL7R;PTGER4;SELPLG;CLEC6A;CD244;ATP6V1B2;MEF2C;TNFRSF9;RASGRP4;MCUB</t>
  </si>
  <si>
    <t>http://www.broadinstitute.org/gsea/msigdb/cards/GSE17721_0.5H_VS_24H_PAM3CSK4_BMDC_UP.html</t>
  </si>
  <si>
    <t>11151;199;399;8477;64333;3956;10437;4360;729230;59345</t>
  </si>
  <si>
    <t>CORO1A;AIF1;RHOH;GPR65;ARHGAP9;LGALS1;IFI30;MRC1;CCR2;GNB4</t>
  </si>
  <si>
    <t>http://www.broadinstitute.org/gsea/msigdb/cards/GSE17721_0.5H_VS_12H_CPG_BMDC_UP.html</t>
  </si>
  <si>
    <t>2207;54899;51311;27036;3717;3586;6556;9363;84230;5027</t>
  </si>
  <si>
    <t>FCER1G;PXK;TLR8;SIGLEC7;JAK2;IL10;SLC11A1;RAB33A;LRRC8C;P2RX7</t>
  </si>
  <si>
    <t>54440;695;80301;259307;64407;10870;3274;115727;4327;64805</t>
  </si>
  <si>
    <t>SASH3;BTK;PLEKHO2;IL4I1;RGS18;HCST;HRH2;RASGRP4;MMP19;P2RY12</t>
  </si>
  <si>
    <t>http://www.broadinstitute.org/gsea/msigdb/cards/GSE17721_0.5H_VS_24H_GARDIQUIMOD_BMDC_UP.html</t>
  </si>
  <si>
    <t>GSE17974_0H_VS_2H_IN_VITRO_ACT_CD4_TCELL_UP</t>
  </si>
  <si>
    <t>2533;920;3676;3695;9744;286336;92241;7454;51466;25939</t>
  </si>
  <si>
    <t>FYB1;CD4;ITGA4;ITGB7;ACAP1;FAM78A;RCSD1;WAS;EVL;SAMHD1</t>
  </si>
  <si>
    <t>http://www.broadinstitute.org/gsea/msigdb/cards/GSE17974_0H_VS_2H_IN_VITRO_ACT_CD4_TCELL_UP.html</t>
  </si>
  <si>
    <t>GSE17974_CTRL_VS_ACT_IL4_AND_ANTI_IL12_6H_CD4_TCELL_UP</t>
  </si>
  <si>
    <t>9046;5579;3695;92241;149628;283897;23533;10235;29125;25939</t>
  </si>
  <si>
    <t>DOK2;PRKCB;ITGB7;RCSD1;PYHIN1;C16orf54;PIK3R5;RASGRP2;C11orf21;SAMHD1</t>
  </si>
  <si>
    <t>http://www.broadinstitute.org/gsea/msigdb/cards/GSE17974_CTRL_VS_ACT_IL4_AND_ANTI_IL12_6H_CD4_TCELL_UP.html</t>
  </si>
  <si>
    <t>GSE17974_CTRL_VS_ACT_IL4_AND_ANTI_IL12_12H_CD4_TCELL_UP</t>
  </si>
  <si>
    <t>9214;3676;944;283897;8477;23533;54557;11027;10077;25939</t>
  </si>
  <si>
    <t>FCMR;ITGA4;TNFSF8;C16orf54;GPR65;PIK3R5;SGTB;LILRA2;TSPAN32;SAMHD1</t>
  </si>
  <si>
    <t>http://www.broadinstitute.org/gsea/msigdb/cards/GSE17974_CTRL_VS_ACT_IL4_AND_ANTI_IL12_12H_CD4_TCELL_UP.html</t>
  </si>
  <si>
    <t>GSE17974_IL4_AND_ANTI_IL12_VS_UNTREATED_6H_ACT_CD4_TCELL_UP</t>
  </si>
  <si>
    <t>925;5778;3587;139716;197135;240;926;4481;27314;25780</t>
  </si>
  <si>
    <t>CD8A;PTPN7;IL10RA;GAB3;PATL2;ALOX5;CD8B;MSR1;RAB30;RASGRP3</t>
  </si>
  <si>
    <t>http://www.broadinstitute.org/gsea/msigdb/cards/GSE17974_IL4_AND_ANTI_IL12_VS_UNTREATED_6H_ACT_CD4_TCELL_UP.html</t>
  </si>
  <si>
    <t>GSE17974_IL4_AND_ANTI_IL12_VS_UNTREATED_72H_ACT_CD4_TCELL_UP</t>
  </si>
  <si>
    <t>917;313;2124;3587;6373;8320;120425;147138;30817;26279</t>
  </si>
  <si>
    <t>CD3G;AOAH;EVI2B;IL10RA;CXCL11;EOMES;JAML;TMC8;ADGRE2;PLA2G2D</t>
  </si>
  <si>
    <t>http://www.broadinstitute.org/gsea/msigdb/cards/GSE17974_IL4_AND_ANTI_IL12_VS_UNTREATED_72H_ACT_CD4_TCELL_UP.html</t>
  </si>
  <si>
    <t>GSE17974_1H_VS_72H_UNTREATED_IN_VITRO_CD4_TCELL_UP</t>
  </si>
  <si>
    <t>9214;3575;399;8477;117289;10019;2219;969;27314;30817</t>
  </si>
  <si>
    <t>FCMR;IL7R;RHOH;GPR65;TAGAP;SH2B3;FCN1;CD69;RAB30;ADGRE2</t>
  </si>
  <si>
    <t>http://www.broadinstitute.org/gsea/msigdb/cards/GSE17974_1H_VS_72H_UNTREATED_IN_VITRO_CD4_TCELL_UP.html</t>
  </si>
  <si>
    <t>GSE17974_2.5H_VS_72H_IL4_AND_ANTI_IL12_ACT_CD4_TCELL_UP</t>
  </si>
  <si>
    <t>9214;5341;3575;923;5734;348378;117289;10019;29851;64747</t>
  </si>
  <si>
    <t>FCMR;PLEK;IL7R;CD6;PTGER4;SHISAL2A;TAGAP;SH2B3;ICOS;MFSD1</t>
  </si>
  <si>
    <t>http://www.broadinstitute.org/gsea/msigdb/cards/GSE17974_2.5H_VS_72H_IL4_AND_ANTI_IL12_ACT_CD4_TCELL_UP.html</t>
  </si>
  <si>
    <t>GSE18791_CTRL_VS_NEWCASTLE_VIRUS_DC_14H_UP</t>
  </si>
  <si>
    <t>9046;11151;286336;170371;80301;53346;51393;9815;55691;9935</t>
  </si>
  <si>
    <t>DOK2;CORO1A;FAM78A;TMEM273;PLEKHO2;TM6SF1;TRPV2;GIT2;FRMD4A;MAFB</t>
  </si>
  <si>
    <t>http://www.broadinstitute.org/gsea/msigdb/cards/GSE18791_CTRL_VS_NEWCASTLE_VIRUS_DC_14H_UP.html</t>
  </si>
  <si>
    <t>GSE18791_CTRL_VS_NEWCASTLE_VIRUS_DC_18H_UP</t>
  </si>
  <si>
    <t>9046;11151;3603;286336;170371;26051;50615;51393;375387;84329</t>
  </si>
  <si>
    <t>DOK2;CORO1A;IL16;FAM78A;TMEM273;PPP1R16B;IL21R;TRPV2;NRROS;HVCN1</t>
  </si>
  <si>
    <t>http://www.broadinstitute.org/gsea/msigdb/cards/GSE18791_CTRL_VS_NEWCASTLE_VIRUS_DC_18H_UP.html</t>
  </si>
  <si>
    <t>GSE20366_EX_VIVO_VS_DEC205_CONVERSION_DN</t>
  </si>
  <si>
    <t>1236;695;117289;387357;26051;596;11009;7185;118788;338339</t>
  </si>
  <si>
    <t>CCR7;BTK;TAGAP;THEMIS;PPP1R16B;BCL2;IL24;TRAF1;PIK3AP1;CLEC4D</t>
  </si>
  <si>
    <t>http://www.broadinstitute.org/gsea/msigdb/cards/GSE20366_EX_VIVO_VS_DEC205_CONVERSION_DN.html</t>
  </si>
  <si>
    <t>GSE20715_WT_VS_TLR4_KO_24H_OZONE_LUNG_UP</t>
  </si>
  <si>
    <t>4210;7305;1536;3683;29992;10154;3956;3290;3988;54518</t>
  </si>
  <si>
    <t>MEFV;TYROBP;CYBB;ITGAL;PILRA;PLXNC1;LGALS1;HSD11B1;LIPA;APBB1IP</t>
  </si>
  <si>
    <t>http://www.broadinstitute.org/gsea/msigdb/cards/GSE20715_WT_VS_TLR4_KO_24H_OZONE_LUNG_UP.html</t>
  </si>
  <si>
    <t>GSE2197_CPG_DNA_VS_UNTREATED_IN_DC_DN</t>
  </si>
  <si>
    <t>27334;4242;2313;8514;3903;6039;64333;4066;64780;85479</t>
  </si>
  <si>
    <t>P2RY10;MFNG;FLI1;KCNAB2;LAIR1;RNASE6;ARHGAP9;LYL1;MICAL1;DNAJC5B</t>
  </si>
  <si>
    <t>http://www.broadinstitute.org/gsea/msigdb/cards/GSE2197_CPG_DNA_VS_UNTREATED_IN_DC_DN.html</t>
  </si>
  <si>
    <t>GSE22886_DAY0_VS_DAY7_MONOCYTE_IN_CULTURE_DN</t>
  </si>
  <si>
    <t>56833;51393;56253;348;1508;54;2359;10457;25780;55281</t>
  </si>
  <si>
    <t>SLAMF8;TRPV2;CRTAM;APOE;CTSB;ACP5;FPR3;GPNMB;RASGRP3;TMEM140</t>
  </si>
  <si>
    <t>http://www.broadinstitute.org/gsea/msigdb/cards/GSE22886_DAY0_VS_DAY7_MONOCYTE_IN_CULTURE_DN.html</t>
  </si>
  <si>
    <t>1536;3394;3587;9056;3122;1508;3956;3113;55013;9935</t>
  </si>
  <si>
    <t>CYBB;IRF8;IL10RA;SLC7A7;HLA-DRA;CTSB;LGALS1;HLA-DPA1;MCUB;MAFB</t>
  </si>
  <si>
    <t>http://www.broadinstitute.org/gsea/msigdb/cards/GSE22886_NEUTROPHIL_VS_MONOCYTE_DN.html</t>
  </si>
  <si>
    <t>GSE22886_TH1_VS_TH2_12H_ACT_UP</t>
  </si>
  <si>
    <t>9839;10666;3903;30009;27033;2848;3112;526;6503;56606</t>
  </si>
  <si>
    <t>ZEB2;CD226;LAIR1;TBX21;ZBTB32;GPR25;HLA-DOB;ATP6V1B2;SLA;SLC2A9</t>
  </si>
  <si>
    <t>http://www.broadinstitute.org/gsea/msigdb/cards/GSE22886_TH1_VS_TH2_12H_ACT_UP.html</t>
  </si>
  <si>
    <t>GSE22886_TH1_VS_TH2_48H_ACT_UP</t>
  </si>
  <si>
    <t>3458;10666;5800;30009;6373;2829;6556;7941;11027;9033</t>
  </si>
  <si>
    <t>IFNG;CD226;PTPRO;TBX21;CXCL11;XCR1;SLC11A1;PLA2G7;LILRA2;PKD2L1</t>
  </si>
  <si>
    <t>http://www.broadinstitute.org/gsea/msigdb/cards/GSE22886_TH1_VS_TH2_48H_ACT_UP.html</t>
  </si>
  <si>
    <t>GSE22886_TH1_VS_TH2_48H_ACT_DN</t>
  </si>
  <si>
    <t>3001;4245;5734;474344;1794;23228;10154;3717;54;3988</t>
  </si>
  <si>
    <t>GZMA;MGAT1;PTGER4;GIMAP6;DOCK2;PLCL2;PLXNC1;JAK2;ACP5;LIPA</t>
  </si>
  <si>
    <t>http://www.broadinstitute.org/gsea/msigdb/cards/GSE22886_TH1_VS_TH2_48H_ACT_DN.html</t>
  </si>
  <si>
    <t>3575;2313;23048;23228;3112;3988;10235;10077;64919;25939</t>
  </si>
  <si>
    <t>IL7R;FLI1;FNBP1;PLCL2;HLA-DOB;LIPA;RASGRP2;TSPAN32;BCL11B;SAMHD1</t>
  </si>
  <si>
    <t>2313;399;3903;55423;2811;4240;10077;54861;29125;25939</t>
  </si>
  <si>
    <t>FLI1;RHOH;LAIR1;SIRPG;GP1BA;MFGE8;TSPAN32;SNRK;C11orf21;SAMHD1</t>
  </si>
  <si>
    <t>2533;7305;2322;3587;1240;81030;9938;3003;1414;64174</t>
  </si>
  <si>
    <t>FYB1;TYROBP;FLT3;IL10RA;CMKLR1;ZBP1;ARHGAP25;GZMK;CRYBB1;DPEP2</t>
  </si>
  <si>
    <t>GSE24142_ADULT_VS_FETAL_DN3_THYMOCYTE_UP</t>
  </si>
  <si>
    <t>9839;940;3659;5734;10225;50852;64231;8832;3108;59345</t>
  </si>
  <si>
    <t>ZEB2;CD28;IRF1;PTGER4;CD96;TRAT1;MS4A6A;CD84;HLA-DMA;GNB4</t>
  </si>
  <si>
    <t>http://www.broadinstitute.org/gsea/msigdb/cards/GSE24142_ADULT_VS_FETAL_DN3_THYMOCYTE_UP.html</t>
  </si>
  <si>
    <t>GSE24634_NAIVE_CD4_TCELL_VS_DAY10_IL4_CONV_TREG_DN</t>
  </si>
  <si>
    <t>9404;914;10666;2672;27306;1508;54;7185;9363;51063</t>
  </si>
  <si>
    <t>LPXN;CD2;CD226;GFI1;HPGDS;CTSB;ACP5;TRAF1;RAB33A;CALHM2</t>
  </si>
  <si>
    <t>http://www.broadinstitute.org/gsea/msigdb/cards/GSE24634_NAIVE_CD4_TCELL_VS_DAY10_IL4_CONV_TREG_DN.html</t>
  </si>
  <si>
    <t>GSE24634_TREG_VS_TCONV_POST_DAY7_IL4_CONVERSION_UP</t>
  </si>
  <si>
    <t>3559;5579;3560;11151;11262;4689;3662;26051;1237;8809</t>
  </si>
  <si>
    <t>IL2RA;PRKCB;IL2RB;CORO1A;SP140;NCF4;IRF4;PPP1R16B;CCR8;IL18R1</t>
  </si>
  <si>
    <t>http://www.broadinstitute.org/gsea/msigdb/cards/GSE24634_TREG_VS_TCONV_POST_DAY7_IL4_CONVERSION_UP.html</t>
  </si>
  <si>
    <t>GSE24634_TEFF_VS_TCONV_DAY3_IN_CULTURE_UP</t>
  </si>
  <si>
    <t>3458;1493;6504;3662;3002;596;4050;10148;597;51762</t>
  </si>
  <si>
    <t>IFNG;CTLA4;SLAMF1;IRF4;GZMB;BCL2;LTB;EBI3;BCL2A1;RAB8B</t>
  </si>
  <si>
    <t>http://www.broadinstitute.org/gsea/msigdb/cards/GSE24634_TEFF_VS_TCONV_DAY3_IN_CULTURE_UP.html</t>
  </si>
  <si>
    <t>GSE25087_FETAL_VS_ADULT_TREG_DN</t>
  </si>
  <si>
    <t>3702;117289;89857;9120;3113;1235;203100;79168;84230;10507</t>
  </si>
  <si>
    <t>ITK;TAGAP;KLHL6;SLC16A6;HLA-DPA1;CCR6;HTRA4;LILRA6;LRRC8C;SEMA4D</t>
  </si>
  <si>
    <t>http://www.broadinstitute.org/gsea/msigdb/cards/GSE25087_FETAL_VS_ADULT_TREG_DN.html</t>
  </si>
  <si>
    <t>3676;2014;10320;474344;1794;4063;1621;1230;11217;27240</t>
  </si>
  <si>
    <t>ITGA4;EMP3;IKZF1;GIMAP6;DOCK2;LY9;DBH;CCR1;AKAP2;SIT1</t>
  </si>
  <si>
    <t>http://www.broadinstitute.org/gsea/msigdb/cards/GSE27786_LSK_VS_BCELL_DN.html</t>
  </si>
  <si>
    <t>GSE27786_BCELL_VS_MONO_MAC_DN</t>
  </si>
  <si>
    <t>10068;712;3001;391;3702;23533;53346;8832;3824;10184</t>
  </si>
  <si>
    <t>IL18BP;C1QA;GZMA;RHOG;ITK;PIK3R5;TM6SF1;CD84;KLRD1;LHFPL2</t>
  </si>
  <si>
    <t>http://www.broadinstitute.org/gsea/msigdb/cards/GSE27786_BCELL_VS_MONO_MAC_DN.html</t>
  </si>
  <si>
    <t>GSE27786_CD4_TCELL_VS_NKTCELL_UP</t>
  </si>
  <si>
    <t>340152;9535;920;6504;387357;170575;114836;921;2213;57514</t>
  </si>
  <si>
    <t>ZC3H12D;GMFG;CD4;SLAMF1;THEMIS;GIMAP1;SLAMF6;CD5;FCGR2B;ARHGAP31</t>
  </si>
  <si>
    <t>http://www.broadinstitute.org/gsea/msigdb/cards/GSE27786_CD4_TCELL_VS_NKTCELL_UP.html</t>
  </si>
  <si>
    <t>GSE27786_CD4_TCELL_VS_ERYTHTROBLAST_UP</t>
  </si>
  <si>
    <t>10320;4689;57580;84174;4240;4033;91010;131450;4215;4644</t>
  </si>
  <si>
    <t>IKZF1;NCF4;PREX1;SLA2;MFGE8;LRMP;FMNL3;CD200R1;MAP3K3;MYO5A</t>
  </si>
  <si>
    <t>http://www.broadinstitute.org/gsea/msigdb/cards/GSE27786_CD4_TCELL_VS_ERYTHTROBLAST_UP.html</t>
  </si>
  <si>
    <t>GSE27786_CD8_TCELL_VS_NEUTROPHIL_DN</t>
  </si>
  <si>
    <t>920;4354;9744;257106;10537;366;11010;2529;118788;116071</t>
  </si>
  <si>
    <t>CD4;MPP1;ACAP1;ARHGAP30;UBD;AQP9;GLIPR1;FUT7;PIK3AP1;BATF2</t>
  </si>
  <si>
    <t>http://www.broadinstitute.org/gsea/msigdb/cards/GSE27786_CD8_TCELL_VS_NEUTROPHIL_DN.html</t>
  </si>
  <si>
    <t>GSE27786_CD8_TCELL_VS_MONO_MAC_UP</t>
  </si>
  <si>
    <t>3659;944;7805;23533;84174;50615;8530;8809;5133;91526</t>
  </si>
  <si>
    <t>IRF1;TNFSF8;LAPTM5;PIK3R5;SLA2;IL21R;CST7;IL18R1;PDCD1;ANKRD44</t>
  </si>
  <si>
    <t>http://www.broadinstitute.org/gsea/msigdb/cards/GSE27786_CD8_TCELL_VS_MONO_MAC_UP.html</t>
  </si>
  <si>
    <t>GSE27786_NKCELL_VS_ERYTHROBLAST_UP</t>
  </si>
  <si>
    <t>942;399;221188;1240;80231;3162;4240;57705;91010;84106</t>
  </si>
  <si>
    <t>CD86;RHOH;ADGRG5;CMKLR1;CXorf21;HMOX1;MFGE8;WDFY4;FMNL3;PRAM1</t>
  </si>
  <si>
    <t>http://www.broadinstitute.org/gsea/msigdb/cards/GSE27786_NKCELL_VS_ERYTHROBLAST_UP.html</t>
  </si>
  <si>
    <t>GSE29618_PRE_VS_DAY7_FLU_VACCINE_MDC_DN</t>
  </si>
  <si>
    <t>7940;9046;9450;929;11006;55016;81030;7439;4261;79895</t>
  </si>
  <si>
    <t>LST1;DOK2;LY86;CD14;LILRB4;MARCH1;ZBP1;BEST1;CIITA;ATP8B4</t>
  </si>
  <si>
    <t>http://www.broadinstitute.org/gsea/msigdb/cards/GSE29618_PRE_VS_DAY7_FLU_VACCINE_MDC_DN.html</t>
  </si>
  <si>
    <t>GSE29618_PRE_VS_DAY7_POST_LAIV_FLU_VACCINE_MDC_UP</t>
  </si>
  <si>
    <t>3458;1236;7634;11262;2210;596;7941;25780;8605;27240</t>
  </si>
  <si>
    <t>IFNG;CCR7;ZNF80;SP140;FCGR1B;BCL2;PLA2G7;RASGRP3;PLA2G4C;SIT1</t>
  </si>
  <si>
    <t>http://www.broadinstitute.org/gsea/msigdb/cards/GSE29618_PRE_VS_DAY7_POST_LAIV_FLU_VACCINE_MDC_UP.html</t>
  </si>
  <si>
    <t>GSE29618_PRE_VS_DAY7_POST_TIV_FLU_VACCINE_MDC_UP</t>
  </si>
  <si>
    <t>9214;3702;6504;10320;27033;596;3604;5133;10507;79690</t>
  </si>
  <si>
    <t>FCMR;ITK;SLAMF1;IKZF1;ZBTB32;BCL2;TNFRSF9;PDCD1;SEMA4D;GAL3ST4</t>
  </si>
  <si>
    <t>http://www.broadinstitute.org/gsea/msigdb/cards/GSE29618_PRE_VS_DAY7_POST_TIV_FLU_VACCINE_MDC_UP.html</t>
  </si>
  <si>
    <t>GSE29618_LAIV_VS_TIV_FLU_VACCINE_DAY7_MDC_UP</t>
  </si>
  <si>
    <t>27334;962;10320;6039;11024;1601;79168;10507;51762;83937</t>
  </si>
  <si>
    <t>P2RY10;CD48;IKZF1;RNASE6;LILRA1;DAB2;LILRA6;SEMA4D;RAB8B;RASSF4</t>
  </si>
  <si>
    <t>http://www.broadinstitute.org/gsea/msigdb/cards/GSE29618_LAIV_VS_TIV_FLU_VACCINE_DAY7_MDC_UP.html</t>
  </si>
  <si>
    <t>GSE30083_SP1_VS_SP3_THYMOCYTE_DN</t>
  </si>
  <si>
    <t>3695;2014;6404;9744;286336;170575;64231;653567;10235;84329</t>
  </si>
  <si>
    <t>ITGB7;EMP3;SELPLG;ACAP1;FAM78A;GIMAP1;MS4A6A;TMEM236;RASGRP2;HVCN1</t>
  </si>
  <si>
    <t>http://www.broadinstitute.org/gsea/msigdb/cards/GSE30083_SP1_VS_SP3_THYMOCYTE_DN.html</t>
  </si>
  <si>
    <t>GSE32423_MEMORY_VS_NAIVE_CD8_TCELL_IL7_UP</t>
  </si>
  <si>
    <t>4542;2124;55303;3112;3274;356;25900;64780;79895;50515</t>
  </si>
  <si>
    <t>MYO1F;EVI2B;GIMAP4;HLA-DOB;HRH2;FASLG;IFFO1;MICAL1;ATP8B4;CHST11</t>
  </si>
  <si>
    <t>http://www.broadinstitute.org/gsea/msigdb/cards/GSE32423_MEMORY_VS_NAIVE_CD8_TCELL_IL7_UP.html</t>
  </si>
  <si>
    <t>GSE32423_MEMORY_VS_NAIVE_CD8_TCELL_IL7_IL4_UP</t>
  </si>
  <si>
    <t>2207;942;3101;55016;81030;10673;2212;728;27163;11009</t>
  </si>
  <si>
    <t>FCER1G;CD86;HK3;MARCH1;ZBP1;TNFSF13B;FCGR2A;C5AR1;NAAA;IL24</t>
  </si>
  <si>
    <t>http://www.broadinstitute.org/gsea/msigdb/cards/GSE32423_MEMORY_VS_NAIVE_CD8_TCELL_IL7_IL4_UP.html</t>
  </si>
  <si>
    <t>GSE32423_CTRL_VS_IL4_MEMORY_CD8_TCELL_UP</t>
  </si>
  <si>
    <t>22797;917;6352;3683;6793;924;653567;79895;55619;84329</t>
  </si>
  <si>
    <t>TFEC;CD3G;CCL5;ITGAL;STK10;CD7;TMEM236;ATP8B4;DOCK10;HVCN1</t>
  </si>
  <si>
    <t>http://www.broadinstitute.org/gsea/msigdb/cards/GSE32423_CTRL_VS_IL4_MEMORY_CD8_TCELL_UP.html</t>
  </si>
  <si>
    <t>GSE32423_CTRL_VS_IL4_MEMORY_CD8_TCELL_DN</t>
  </si>
  <si>
    <t>115361;366;8320;596;2358;3108;4033;1522;22806;10004</t>
  </si>
  <si>
    <t>GBP4;AQP9;EOMES;BCL2;FPR2;HLA-DMA;LRMP;CTSZ;IKZF3;NAALADL1</t>
  </si>
  <si>
    <t>http://www.broadinstitute.org/gsea/msigdb/cards/GSE32423_CTRL_VS_IL4_MEMORY_CD8_TCELL_DN.html</t>
  </si>
  <si>
    <t>GSE3337_4H_VS_16H_IFNG_IN_CD8POS_DC_UP</t>
  </si>
  <si>
    <t>3458;3627;1236;941;5734;259307;5552;10437;356;7185</t>
  </si>
  <si>
    <t>IFNG;CXCL10;CCR7;CD80;PTGER4;IL4I1;SRGN;IFI30;FASLG;TRAF1</t>
  </si>
  <si>
    <t>http://www.broadinstitute.org/gsea/msigdb/cards/GSE3337_4H_VS_16H_IFNG_IN_CD8POS_DC_UP.html</t>
  </si>
  <si>
    <t>GSE339_CD4POS_VS_CD4CD8DN_DC_IN_CULTURE_DN</t>
  </si>
  <si>
    <t>3458;714;3560;8514;1794;6793;2811;3737;4360;2213</t>
  </si>
  <si>
    <t>IFNG;C1QC;IL2RB;KCNAB2;DOCK2;STK10;GP1BA;KCNA2;MRC1;FCGR2B</t>
  </si>
  <si>
    <t>http://www.broadinstitute.org/gsea/msigdb/cards/GSE339_CD4POS_VS_CD4CD8DN_DC_IN_CULTURE_DN.html</t>
  </si>
  <si>
    <t>GSE339_CD8POS_VS_CD4CD8DN_DC_IN_CULTURE_DN</t>
  </si>
  <si>
    <t>9051;7305;5579;3575;695;2672;64333;6793;140885;10507</t>
  </si>
  <si>
    <t>PSTPIP1;TYROBP;PRKCB;IL7R;BTK;GFI1;ARHGAP9;STK10;SIRPA;SEMA4D</t>
  </si>
  <si>
    <t>http://www.broadinstitute.org/gsea/msigdb/cards/GSE339_CD8POS_VS_CD4CD8DN_DC_IN_CULTURE_DN.html</t>
  </si>
  <si>
    <t>972;3575;7133;5734;5552;3936;6776;10672;3123;51762</t>
  </si>
  <si>
    <t>CD74;IL7R;TNFRSF1B;PTGER4;SRGN;LCP1;STAT5A;GNA13;HLA-DRB1;RAB8B</t>
  </si>
  <si>
    <t>http://www.broadinstitute.org/gsea/msigdb/cards/GSE339_EX_VIVO_VS_IN_CULTURE_CD4CD8DN_DC_DN.html</t>
  </si>
  <si>
    <t>GSE360_CTRL_VS_L_MAJOR_DC_DN</t>
  </si>
  <si>
    <t>3659;1236;6890;921;5452;3112;3586;3290;2213;1235</t>
  </si>
  <si>
    <t>IRF1;CCR7;TAP1;CD5;POU2F2;HLA-DOB;IL10;HSD11B1;FCGR2B;CCR6</t>
  </si>
  <si>
    <t>http://www.broadinstitute.org/gsea/msigdb/cards/GSE360_CTRL_VS_L_MAJOR_DC_DN.html</t>
  </si>
  <si>
    <t>GSE360_CTRL_VS_B_MALAYI_HIGH_DOSE_MAC_DN</t>
  </si>
  <si>
    <t>4068;11309;951;3683;971;923;91752;9120;8530;6556</t>
  </si>
  <si>
    <t>SH2D1A;SLCO2B1;CD37;ITGAL;CD72;CD6;ZNF804A;SLC16A6;CST7;SLC11A1</t>
  </si>
  <si>
    <t>http://www.broadinstitute.org/gsea/msigdb/cards/GSE360_CTRL_VS_B_MALAYI_HIGH_DOSE_MAC_DN.html</t>
  </si>
  <si>
    <t>4542;27334;929;2322;2014;10154;3109;1043;10672;5027</t>
  </si>
  <si>
    <t>MYO1F;P2RY10;CD14;FLT3;EMP3;PLXNC1;HLA-DMB;CD52;GNA13;P2RX7</t>
  </si>
  <si>
    <t>http://www.broadinstitute.org/gsea/msigdb/cards/GSE360_DC_VS_MAC_DN.html</t>
  </si>
  <si>
    <t>GSE360_DC_VS_MAC_B_MALAYI_HIGH_DOSE_UP</t>
  </si>
  <si>
    <t>9046;5294;2313;3587;8530;3113;1230;5376;4033;10462</t>
  </si>
  <si>
    <t>DOK2;PIK3CG;FLI1;IL10RA;CST7;HLA-DPA1;CCR1;PMP22;LRMP;CLEC10A</t>
  </si>
  <si>
    <t>http://www.broadinstitute.org/gsea/msigdb/cards/GSE360_DC_VS_MAC_B_MALAYI_HIGH_DOSE_UP.html</t>
  </si>
  <si>
    <t>GSE360_L_DONOVANI_VS_B_MALAYI_LOW_DOSE_MAC_UP</t>
  </si>
  <si>
    <t>22797;10261;963;719;11006;27299;8742;6556;7185;23312</t>
  </si>
  <si>
    <t>TFEC;IGSF6;CD53;C3AR1;LILRB4;ADAMDEC1;TNFSF12;SLC11A1;TRAF1;DMXL2</t>
  </si>
  <si>
    <t>http://www.broadinstitute.org/gsea/msigdb/cards/GSE360_L_DONOVANI_VS_B_MALAYI_LOW_DOSE_MAC_UP.html</t>
  </si>
  <si>
    <t>GSE360_L_MAJOR_VS_B_MALAYI_LOW_DOSE_MAC_UP</t>
  </si>
  <si>
    <t>2214;3687;1236;3937;9744;9056;29851;8742;10672;27240</t>
  </si>
  <si>
    <t>FCGR3A;ITGAX;CCR7;LCP2;ACAP1;SLC7A7;ICOS;TNFSF12;GNA13;SIT1</t>
  </si>
  <si>
    <t>http://www.broadinstitute.org/gsea/msigdb/cards/GSE360_L_MAJOR_VS_B_MALAYI_LOW_DOSE_MAC_UP.html</t>
  </si>
  <si>
    <t>GSE360_T_GONDII_VS_M_TUBERCULOSIS_MAC_DN</t>
  </si>
  <si>
    <t>1318;2214;3659;6351;6352;199;9332;55589;3553;6363</t>
  </si>
  <si>
    <t>SLC31A2;FCGR3A;IRF1;CCL4;CCL5;AIF1;CD163;BMP2K;IL1B;CCL19</t>
  </si>
  <si>
    <t>http://www.broadinstitute.org/gsea/msigdb/cards/GSE360_T_GONDII_VS_M_TUBERCULOSIS_MAC_DN.html</t>
  </si>
  <si>
    <t>GSE36476_CTRL_VS_TSST_ACT_16H_MEMORY_CD4_TCELL_OLD_DN</t>
  </si>
  <si>
    <t>3559;7453;942;6772;6890;3662;51296;10437;6776;7185</t>
  </si>
  <si>
    <t>IL2RA;WARS;CD86;STAT1;TAP1;IRF4;SLC15A3;IFI30;STAT5A;TRAF1</t>
  </si>
  <si>
    <t>http://www.broadinstitute.org/gsea/msigdb/cards/GSE36476_CTRL_VS_TSST_ACT_16H_MEMORY_CD4_TCELL_OLD_DN.html</t>
  </si>
  <si>
    <t>GSE37416_CTRL_VS_6H_F_TULARENSIS_LVS_NEUTROPHIL_DN</t>
  </si>
  <si>
    <t>10068;7133;4245;124460;80301;23533;158830;6793;943;9363</t>
  </si>
  <si>
    <t>IL18BP;TNFRSF1B;MGAT1;SNX20;PLEKHO2;PIK3R5;CXorf65;STK10;TNFRSF8;RAB33A</t>
  </si>
  <si>
    <t>http://www.broadinstitute.org/gsea/msigdb/cards/GSE37416_CTRL_VS_6H_F_TULARENSIS_LVS_NEUTROPHIL_DN.html</t>
  </si>
  <si>
    <t>GSE37416_0H_VS_12H_F_TULARENSIS_LVS_NEUTROPHIL_DN</t>
  </si>
  <si>
    <t>3561;8514;51296;54557;4973;9363;597;9754;51762;56670</t>
  </si>
  <si>
    <t>IL2RG;KCNAB2;SLC15A3;SGTB;OLR1;RAB33A;BCL2A1;STARD8;RAB8B;SUCNR1</t>
  </si>
  <si>
    <t>http://www.broadinstitute.org/gsea/msigdb/cards/GSE37416_0H_VS_12H_F_TULARENSIS_LVS_NEUTROPHIL_DN.html</t>
  </si>
  <si>
    <t>GSE3982_CTRL_VS_PMA_STIM_EOSINOPHIL_DN</t>
  </si>
  <si>
    <t>4210;9051;9595;923;942;9056;6402;2999;90634;25890</t>
  </si>
  <si>
    <t>MEFV;PSTPIP1;CYTIP;CD6;CD86;SLC7A7;SELL;GZMH;N4BP2L1;ABI3BP</t>
  </si>
  <si>
    <t>http://www.broadinstitute.org/gsea/msigdb/cards/GSE3982_CTRL_VS_PMA_STIM_EOSINOPHIL_DN.html</t>
  </si>
  <si>
    <t>9214;923;3820;3587;4063;6793;1043;1235;23312;4215</t>
  </si>
  <si>
    <t>FCMR;CD6;KLRB1;IL10RA;LY9;STK10;CD52;CCR6;DMXL2;MAP3K3</t>
  </si>
  <si>
    <t>GSE3982_EOSINOPHIL_VS_TH2_UP</t>
  </si>
  <si>
    <t>3101;57105;10154;3122;3115;5724;9815;597;3123;206358</t>
  </si>
  <si>
    <t>HK3;CYSLTR2;PLXNC1;HLA-DRA;HLA-DPB1;PTAFR;GIT2;BCL2A1;HLA-DRB1;SLC36A1</t>
  </si>
  <si>
    <t>http://www.broadinstitute.org/gsea/msigdb/cards/GSE3982_EOSINOPHIL_VS_TH2_UP.html</t>
  </si>
  <si>
    <t>GSE3982_MAST_CELL_VS_TH2_DN</t>
  </si>
  <si>
    <t>27334;2633;5778;11262;30009;80342;924;3002;7185;3805</t>
  </si>
  <si>
    <t>P2RY10;GBP1;PTPN7;SP140;TBX21;TRAF3IP3;CD7;GZMB;TRAF1;KIR2DL4</t>
  </si>
  <si>
    <t>http://www.broadinstitute.org/gsea/msigdb/cards/GSE3982_MAST_CELL_VS_TH2_DN.html</t>
  </si>
  <si>
    <t>GSE3982_NEUTROPHIL_VS_TH1_UP</t>
  </si>
  <si>
    <t>7940;3689;963;27128;9881;9938;6503;80183;54861;30817</t>
  </si>
  <si>
    <t>LST1;ITGB2;CD53;CYTH4;TRANK1;ARHGAP25;SLA;RUBCNL;SNRK;ADGRE2</t>
  </si>
  <si>
    <t>http://www.broadinstitute.org/gsea/msigdb/cards/GSE3982_NEUTROPHIL_VS_TH1_UP.html</t>
  </si>
  <si>
    <t>GSE3982_BASOPHIL_VS_TH1_DN</t>
  </si>
  <si>
    <t>4068;3559;940;6351;2123;6504;6518;79168;8605;4644</t>
  </si>
  <si>
    <t>SH2D1A;IL2RA;CD28;CCL4;EVI2A;SLAMF1;SLC2A5;LILRA6;PLA2G4C;MYO5A</t>
  </si>
  <si>
    <t>http://www.broadinstitute.org/gsea/msigdb/cards/GSE3982_BASOPHIL_VS_TH1_DN.html</t>
  </si>
  <si>
    <t>914;1378;959;923;53347;6504;55303;29851;4050;64919</t>
  </si>
  <si>
    <t>CD2;CR1;CD40LG;CD6;UBASH3A;SLAMF1;GIMAP4;ICOS;LTB;BCL11B</t>
  </si>
  <si>
    <t>http://www.broadinstitute.org/gsea/msigdb/cards/GSE3982_EFF_MEMORY_CD4_TCELL_VS_NKCELL_UP.html</t>
  </si>
  <si>
    <t>GSE39820_CTRL_VS_TGFBETA3_IL6_CD4_TCELL_UP</t>
  </si>
  <si>
    <t>5734;10225;92241;80380;80231;64092;2857;8320;356;79895</t>
  </si>
  <si>
    <t>PTGER4;CD96;RCSD1;PDCD1LG2;CXorf21;SAMSN1;GPR34;EOMES;FASLG;ATP8B4</t>
  </si>
  <si>
    <t>http://www.broadinstitute.org/gsea/msigdb/cards/GSE39820_CTRL_VS_TGFBETA3_IL6_CD4_TCELL_UP.html</t>
  </si>
  <si>
    <t>GSE39820_TGFBETA1_VS_TGFBETA3_IN_IL6_IL23A_TREATED_CD4_TCELL_DN</t>
  </si>
  <si>
    <t>9459;474344;257106;23048;50615;8530;2999;2529;25780;85479</t>
  </si>
  <si>
    <t>ARHGEF6;GIMAP6;ARHGAP30;FNBP1;IL21R;CST7;GZMH;FUT7;RASGRP3;DNAJC5B</t>
  </si>
  <si>
    <t>http://www.broadinstitute.org/gsea/msigdb/cards/GSE39820_TGFBETA1_VS_TGFBETA3_IN_IL6_IL23A_TREATED_CD4_TCELL_DN.html</t>
  </si>
  <si>
    <t>GSE7400_CTRL_VS_CSF3_IN_VIVO_TREATED_PBMC_DN</t>
  </si>
  <si>
    <t>3101;4671;58484;8530;9815;118788;338339;132160;56670;53831</t>
  </si>
  <si>
    <t>HK3;NAIP;NLRC4;CST7;GIT2;PIK3AP1;CLEC4D;PPM1M;SUCNR1;GPR84</t>
  </si>
  <si>
    <t>http://www.broadinstitute.org/gsea/msigdb/cards/GSE7400_CTRL_VS_CSF3_IN_VIVO_TREATED_PBMC_DN.html</t>
  </si>
  <si>
    <t>2124;9744;286336;54899;387357;256380;6039;1102;2999;1601</t>
  </si>
  <si>
    <t>EVI2B;ACAP1;FAM78A;PXK;THEMIS;SCML4;RNASE6;RCBTB2;GZMH;DAB2</t>
  </si>
  <si>
    <t>GSE7460_TREG_VS_TCONV_ACT_WITH_TGFB_UP</t>
  </si>
  <si>
    <t>115361;30009;11326;1235;151556;59345;55013;55691;26279;11217</t>
  </si>
  <si>
    <t>GBP4;TBX21;VSIG4;CCR6;GPR155;GNB4;MCUB;FRMD4A;PLA2G2D;AKAP2</t>
  </si>
  <si>
    <t>http://www.broadinstitute.org/gsea/msigdb/cards/GSE7460_TREG_VS_TCONV_ACT_WITH_TGFB_UP.html</t>
  </si>
  <si>
    <t>GSE7460_FOXP3_MUT_VS_WT_ACT_TCONV_DN</t>
  </si>
  <si>
    <t>914;1236;944;151888;116986;23228;6402;27163;147138;59345</t>
  </si>
  <si>
    <t>CD2;CCR7;TNFSF8;BTLA;AGAP2;PLCL2;SELL;NAAA;TMC8;GNB4</t>
  </si>
  <si>
    <t>http://www.broadinstitute.org/gsea/msigdb/cards/GSE7460_FOXP3_MUT_VS_WT_ACT_TCONV_DN.html</t>
  </si>
  <si>
    <t>GSE7460_WT_VS_FOXP3_HET_ACT_TCONV_DN</t>
  </si>
  <si>
    <t>3001;3594;8477;11184;51225;4094;8530;2833;51676;50515</t>
  </si>
  <si>
    <t>GZMA;IL12RB1;GPR65;MAP4K1;ABI3;MAF;CST7;CXCR3;ASB2;CHST11</t>
  </si>
  <si>
    <t>http://www.broadinstitute.org/gsea/msigdb/cards/GSE7460_WT_VS_FOXP3_HET_ACT_TCONV_DN.html</t>
  </si>
  <si>
    <t>GSE7460_WT_VS_FOXP3_HET_ACT_WITH_TGFB_TCONV_UP</t>
  </si>
  <si>
    <t>713;923;50852;151888;246329;3112;3109;4240;79865;147138</t>
  </si>
  <si>
    <t>C1QB;CD6;TRAT1;BTLA;STAC3;HLA-DOB;HLA-DMB;MFGE8;TREML2;TMC8</t>
  </si>
  <si>
    <t>http://www.broadinstitute.org/gsea/msigdb/cards/GSE7460_WT_VS_FOXP3_HET_ACT_WITH_TGFB_TCONV_UP.html</t>
  </si>
  <si>
    <t>GSE7460_CTRL_VS_FOXP3_OVEREXPR_TCONV_DN</t>
  </si>
  <si>
    <t>170371;51744;51311;27128;2857;57705;338339;4327;55281;22806</t>
  </si>
  <si>
    <t>TMEM273;CD244;TLR8;CYTH4;GPR34;WDFY4;CLEC4D;MMP19;TMEM140;IKZF3</t>
  </si>
  <si>
    <t>http://www.broadinstitute.org/gsea/msigdb/cards/GSE7460_CTRL_VS_FOXP3_OVEREXPR_TCONV_DN.html</t>
  </si>
  <si>
    <t>GSE7460_CTRL_VS_FOXP3_OVEREXPR_TCONV_1_DN</t>
  </si>
  <si>
    <t>340152;8676;3559;962;951;55340;26051;27306;3604;115727</t>
  </si>
  <si>
    <t>ZC3H12D;STX11;IL2RA;CD48;CD37;GIMAP5;PPP1R16B;HPGDS;TNFRSF9;RASGRP4</t>
  </si>
  <si>
    <t>http://www.broadinstitute.org/gsea/msigdb/cards/GSE7460_CTRL_VS_FOXP3_OVEREXPR_TCONV_1_DN.html</t>
  </si>
  <si>
    <t>GSE8515_CTRL_VS_IL1_4H_STIM_MAC_DN</t>
  </si>
  <si>
    <t>5341;3055;6351;1236;3937;29992;29909;7185;10148;5027</t>
  </si>
  <si>
    <t>PLEK;HCK;CCL4;CCR7;LCP2;PILRA;GPR171;TRAF1;EBI3;P2RX7</t>
  </si>
  <si>
    <t>http://www.broadinstitute.org/gsea/msigdb/cards/GSE8515_CTRL_VS_IL1_4H_STIM_MAC_DN.html</t>
  </si>
  <si>
    <t>GSE9006_HEALTHY_VS_TYPE_1_DIABETES_PBMC_1MONTH_POST_DX_DN</t>
  </si>
  <si>
    <t>9535;1236;3071;3603;55340;1230;4261;2529;10077;27240</t>
  </si>
  <si>
    <t>GMFG;CCR7;NCKAP1L;IL16;GIMAP5;CCR1;CIITA;FUT7;TSPAN32;SIT1</t>
  </si>
  <si>
    <t>http://www.broadinstitute.org/gsea/msigdb/cards/GSE9006_HEALTHY_VS_TYPE_1_DIABETES_PBMC_1MONTH_POST_DX_DN.html</t>
  </si>
  <si>
    <t>GSE9037_CTRL_VS_LPS_1H_STIM_BMDM_DN</t>
  </si>
  <si>
    <t>2533;6351;11151;199;6039;3717;4481;1601;100506736;55803</t>
  </si>
  <si>
    <t>FYB1;CCL4;CORO1A;AIF1;RNASE6;JAK2;MSR1;DAB2;SLFN12L;ADAP2</t>
  </si>
  <si>
    <t>http://www.broadinstitute.org/gsea/msigdb/cards/GSE9037_CTRL_VS_LPS_1H_STIM_BMDM_DN.html</t>
  </si>
  <si>
    <t>GSE9037_CTRL_VS_LPS_1H_STIM_IRAK4_KO_BMDM_DN</t>
  </si>
  <si>
    <t>3458;6036;6351;6772;3903;81030;2358;375387;81553;55803</t>
  </si>
  <si>
    <t>IFNG;RNASE2;CCL4;STAT1;LAIR1;ZBP1;FPR2;NRROS;FAM49A;ADAP2</t>
  </si>
  <si>
    <t>http://www.broadinstitute.org/gsea/msigdb/cards/GSE9037_CTRL_VS_LPS_1H_STIM_IRAK4_KO_BMDM_DN.html</t>
  </si>
  <si>
    <t>GSE9037_WT_VS_IRAK4_KO_LPS_4H_STIM_BMDM_DN</t>
  </si>
  <si>
    <t>9535;1234;199;2313;719;56659;1102;9938;168537;4215</t>
  </si>
  <si>
    <t>GMFG;CCR5;AIF1;FLI1;C3AR1;KCNK13;RCBTB2;ARHGAP25;GIMAP7;MAP3K3</t>
  </si>
  <si>
    <t>http://www.broadinstitute.org/gsea/msigdb/cards/GSE9037_WT_VS_IRAK4_KO_LPS_4H_STIM_BMDM_DN.html</t>
  </si>
  <si>
    <t>GSE9988_ANTI_TREM1_AND_LPS_VS_CTRL_TREATED_MONOCYTES_UP</t>
  </si>
  <si>
    <t>1236;5734;89857;114548;9034;1435;3586;375387;9754;29126</t>
  </si>
  <si>
    <t>CCR7;PTGER4;KLHL6;NLRP3;CCRL2;CSF1;IL10;NRROS;STARD8;CD274</t>
  </si>
  <si>
    <t>http://www.broadinstitute.org/gsea/msigdb/cards/GSE9988_ANTI_TREM1_AND_LPS_VS_CTRL_TREATED_MONOCYTES_UP.html</t>
  </si>
  <si>
    <t>GSE369_SOCS3_KO_VS_IFNG_KO_LIVER_DN</t>
  </si>
  <si>
    <t>340152;2124;10875;219972;146722;2857;27306;140885;597;11217</t>
  </si>
  <si>
    <t>ZC3H12D;EVI2B;FGL2;MPEG1;CD300LF;GPR34;HPGDS;SIRPA;BCL2A1;AKAP2</t>
  </si>
  <si>
    <t>http://www.broadinstitute.org/gsea/msigdb/cards/GSE369_SOCS3_KO_VS_IFNG_KO_LIVER_DN.html</t>
  </si>
  <si>
    <t>GSE2770_UNTREATED_VS_IL4_TREATED_ACT_CD4_TCELL_6H_UP</t>
  </si>
  <si>
    <t>340152;7305;2214;7453;3101;4354;89857;89790;6402;2529</t>
  </si>
  <si>
    <t>ZC3H12D;TYROBP;FCGR3A;WARS;HK3;MPP1;KLHL6;SIGLEC10;SELL;FUT7</t>
  </si>
  <si>
    <t>http://www.broadinstitute.org/gsea/msigdb/cards/GSE2770_UNTREATED_VS_IL4_TREATED_ACT_CD4_TCELL_6H_UP.html</t>
  </si>
  <si>
    <t>GSE2770_IL12_AND_TGFB_VS_IL4_TREATED_ACT_CD4_TCELL_6H_DN</t>
  </si>
  <si>
    <t>3458;1536;6351;10870;30009;3936;2213;3363;729230;54504</t>
  </si>
  <si>
    <t>IFNG;CYBB;CCL4;HCST;TBX21;LCP1;FCGR2B;HTR7;CCR2;CPVL</t>
  </si>
  <si>
    <t>http://www.broadinstitute.org/gsea/msigdb/cards/GSE2770_IL12_AND_TGFB_VS_IL4_TREATED_ACT_CD4_TCELL_6H_DN.html</t>
  </si>
  <si>
    <t>GSE2770_TGFB_AND_IL4_ACT_VS_ACT_CD4_TCELL_2H_DN</t>
  </si>
  <si>
    <t>3627;51056;5734;4332;3394;474344;81030;55303;6373;51513</t>
  </si>
  <si>
    <t>CXCL10;LAP3;PTGER4;MNDA;IRF8;GIMAP6;ZBP1;GIMAP4;CXCL11;ETV7</t>
  </si>
  <si>
    <t>http://www.broadinstitute.org/gsea/msigdb/cards/GSE2770_TGFB_AND_IL4_ACT_VS_ACT_CD4_TCELL_2H_DN.html</t>
  </si>
  <si>
    <t>GSE2770_UNTREATED_VS_IL12_TREATED_ACT_CD4_TCELL_6H_UP</t>
  </si>
  <si>
    <t>3659;5734;391;6890;6504;79626;151888;80380;57823;10004</t>
  </si>
  <si>
    <t>IRF1;PTGER4;RHOG;TAP1;SLAMF1;TNFAIP8L2;BTLA;PDCD1LG2;SLAMF7;NAALADL1</t>
  </si>
  <si>
    <t>http://www.broadinstitute.org/gsea/msigdb/cards/GSE2770_UNTREATED_VS_IL12_TREATED_ACT_CD4_TCELL_6H_UP.html</t>
  </si>
  <si>
    <t>GSE2770_TGFB_AND_IL4_VS_IL4_TREATED_ACT_CD4_TCELL_48H_UP</t>
  </si>
  <si>
    <t>1234;23533;9034;8564;3553;6507;1601;7941;57514;4327</t>
  </si>
  <si>
    <t>CCR5;PIK3R5;CCRL2;KMO;IL1B;SLC1A3;DAB2;PLA2G7;ARHGAP31;MMP19</t>
  </si>
  <si>
    <t>http://www.broadinstitute.org/gsea/msigdb/cards/GSE2770_TGFB_AND_IL4_VS_IL4_TREATED_ACT_CD4_TCELL_48H_UP.html</t>
  </si>
  <si>
    <t>GSE2770_IL4_ACT_VS_ACT_CD4_TCELL_6H_DN</t>
  </si>
  <si>
    <t>713;3561;58484;9034;8564;4094;526;3290;1601;8809</t>
  </si>
  <si>
    <t>C1QB;IL2RG;NLRC4;CCRL2;KMO;MAF;ATP6V1B2;HSD11B1;DAB2;IL18R1</t>
  </si>
  <si>
    <t>http://www.broadinstitute.org/gsea/msigdb/cards/GSE2770_IL4_ACT_VS_ACT_CD4_TCELL_6H_DN.html</t>
  </si>
  <si>
    <t>GSE2770_IL12_ACT_VS_ACT_CD4_TCELL_2H_DN</t>
  </si>
  <si>
    <t>1234;23533;9034;8564;3553;1508;526;6507;140885;1601</t>
  </si>
  <si>
    <t>CCR5;PIK3R5;CCRL2;KMO;IL1B;CTSB;ATP6V1B2;SLC1A3;SIRPA;DAB2</t>
  </si>
  <si>
    <t>http://www.broadinstitute.org/gsea/msigdb/cards/GSE2770_IL12_ACT_VS_ACT_CD4_TCELL_2H_DN.html</t>
  </si>
  <si>
    <t>GSE2128_C57BL6_VS_NOD_CD4CD8_DP_THYMOCYTE_UP</t>
  </si>
  <si>
    <t>6772;55340;19;3553;241;6556;11009;597;79895;22900</t>
  </si>
  <si>
    <t>STAT1;GIMAP5;ABCA1;IL1B;ALOX5AP;SLC11A1;IL24;BCL2A1;ATP8B4;CARD8</t>
  </si>
  <si>
    <t>http://www.broadinstitute.org/gsea/msigdb/cards/GSE2128_C57BL6_VS_NOD_CD4CD8_DP_THYMOCYTE_UP.html</t>
  </si>
  <si>
    <t>GSE8835_HEALTHY_VS_CLL_CD8_TCELL_UP</t>
  </si>
  <si>
    <t>5579;2124;257106;89857;64231;55589;11314;50856;526;10457</t>
  </si>
  <si>
    <t>PRKCB;EVI2B;ARHGAP30;KLHL6;MS4A6A;BMP2K;CD300A;CLEC4A;ATP6V1B2;GPNMB</t>
  </si>
  <si>
    <t>http://www.broadinstitute.org/gsea/msigdb/cards/GSE8835_HEALTHY_VS_CLL_CD8_TCELL_UP.html</t>
  </si>
  <si>
    <t>GSE8835_HEALTHY_VS_CLL_CD8_TCELL_DN</t>
  </si>
  <si>
    <t>2533;313;51296;146722;115361;79974;366;2213;10235;4215</t>
  </si>
  <si>
    <t>FYB1;AOAH;SLC15A3;CD300LF;GBP4;CPED1;AQP9;FCGR2B;RASGRP2;MAP3K3</t>
  </si>
  <si>
    <t>http://www.broadinstitute.org/gsea/msigdb/cards/GSE8835_HEALTHY_VS_CLL_CD8_TCELL_DN.html</t>
  </si>
  <si>
    <t>9840;7940;915;3932;923;3603;3059;1043;9806;51466</t>
  </si>
  <si>
    <t>TESPA1;LST1;CD3D;LCK;CD6;IL16;HCLS1;CD52;SPOCK2;EVL</t>
  </si>
  <si>
    <t>http://www.broadinstitute.org/gsea/msigdb/cards/GSE2585_THYMIC_MACROPHAGE_VS_MTEC_UP.html</t>
  </si>
  <si>
    <t>GSE3691_IFN_PRODUCING_KILLER_DC_VS_PLASMACYTOID_DC_SPLEEN_UP</t>
  </si>
  <si>
    <t>54440;7133;3695;4354;3394;286336;374403;51744;8905;64747</t>
  </si>
  <si>
    <t>SASH3;TNFRSF1B;ITGB7;MPP1;IRF8;FAM78A;TBC1D10C;CD244;AP1S2;MFSD1</t>
  </si>
  <si>
    <t>http://www.broadinstitute.org/gsea/msigdb/cards/GSE3691_IFN_PRODUCING_KILLER_DC_VS_PLASMACYTOID_DC_SPLEEN_UP.html</t>
  </si>
  <si>
    <t>GSE4142_NAIVE_BCELL_VS_PLASMA_CELL_DN</t>
  </si>
  <si>
    <t>55843;474344;53346;56253;921;161145;155038;79895;55619;5027</t>
  </si>
  <si>
    <t>ARHGAP15;GIMAP6;TM6SF1;CRTAM;CD5;TMEM229B;GIMAP8;ATP8B4;DOCK10;P2RX7</t>
  </si>
  <si>
    <t>http://www.broadinstitute.org/gsea/msigdb/cards/GSE4142_NAIVE_BCELL_VS_PLASMA_CELL_DN.html</t>
  </si>
  <si>
    <t>340152;6890;151888;84166;89790;4064;50615;3290;57514;5027</t>
  </si>
  <si>
    <t>ZC3H12D;TAP1;BTLA;NLRC5;SIGLEC10;CD180;IL21R;HSD11B1;ARHGAP31;P2RX7</t>
  </si>
  <si>
    <t>http://www.broadinstitute.org/gsea/msigdb/cards/GSE8921_UNSTIM_VS_TLR1_2_STIM_MONOCYTE_12H_DN.html</t>
  </si>
  <si>
    <t>GSE8921_UNSTIM_VS_TLR1_2_STIM_MONOCYTE_24H_DN</t>
  </si>
  <si>
    <t>22797;9046;1234;8514;146722;6037;2213;206358;84034;56606</t>
  </si>
  <si>
    <t>TFEC;DOK2;CCR5;KCNAB2;CD300LF;RNASE3;FCGR2B;SLC36A1;EMILIN2;SLC2A9</t>
  </si>
  <si>
    <t>http://www.broadinstitute.org/gsea/msigdb/cards/GSE8921_UNSTIM_VS_TLR1_2_STIM_MONOCYTE_24H_DN.html</t>
  </si>
  <si>
    <t>GSE3039_NKT_CELL_VS_ALPHABETA_CD8_TCELL_DN</t>
  </si>
  <si>
    <t>920;3627;3575;3683;941;497189;55589;924;55704;25939</t>
  </si>
  <si>
    <t>CD4;CXCL10;IL7R;ITGAL;CD80;TIFAB;BMP2K;CD7;CCDC88A;SAMHD1</t>
  </si>
  <si>
    <t>http://www.broadinstitute.org/gsea/msigdb/cards/GSE3039_NKT_CELL_VS_ALPHABETA_CD8_TCELL_DN.html</t>
  </si>
  <si>
    <t>GSE3039_ALPHABETA_CD8_TCELL_VS_B1_BCELL_DN</t>
  </si>
  <si>
    <t>22797;3575;313;3702;29909;3604;375387;1522;51466;4644</t>
  </si>
  <si>
    <t>TFEC;IL7R;AOAH;ITK;GPR171;TNFRSF9;NRROS;CTSZ;EVL;MYO5A</t>
  </si>
  <si>
    <t>http://www.broadinstitute.org/gsea/msigdb/cards/GSE3039_ALPHABETA_CD8_TCELL_VS_B1_BCELL_DN.html</t>
  </si>
  <si>
    <t>2209;6351;963;7453;719;54209;730249;3956;53831;29126</t>
  </si>
  <si>
    <t>FCGR1A;CCL4;CD53;WARS;C3AR1;TREM2;ACOD1;LGALS1;GPR84;CD274</t>
  </si>
  <si>
    <t>http://www.broadinstitute.org/gsea/msigdb/cards/GSE3039_CD4_TCELL_VS_B2_BCELL_DN.html</t>
  </si>
  <si>
    <t>GSE4748_CYANOBACTERIUM_LPSLIKE_VS_LPS_AND_CYANOBACTERIUM_LPSLIKE_STIM_DC_3H_DN</t>
  </si>
  <si>
    <t>11025;6036;199;4689;79930;80896;6037;3290;115727;64581</t>
  </si>
  <si>
    <t>LILRB3;RNASE2;AIF1;NCF4;DOK3;NPL;RNASE3;HSD11B1;RASGRP4;CLEC7A</t>
  </si>
  <si>
    <t>http://www.broadinstitute.org/gsea/msigdb/cards/GSE4748_CYANOBACTERIUM_LPSLIKE_VS_LPS_AND_CYANOBACTERIUM_LPSLIKE_STIM_DC_3H_DN.html</t>
  </si>
  <si>
    <t>GSE5542_UNTREATED_VS_IFNA_AND_IFNG_TREATED_EPITHELIAL_CELLS_24H_DN</t>
  </si>
  <si>
    <t>962;3071;3937;124460;89857;4063;11010;9815;84329;4215</t>
  </si>
  <si>
    <t>CD48;NCKAP1L;LCP2;SNX20;KLHL6;LY9;GLIPR1;GIT2;HVCN1;MAP3K3</t>
  </si>
  <si>
    <t>http://www.broadinstitute.org/gsea/msigdb/cards/GSE5542_UNTREATED_VS_IFNA_AND_IFNG_TREATED_EPITHELIAL_CELLS_24H_DN.html</t>
  </si>
  <si>
    <t>GSE5542_IFNG_VS_IFNA_AND_IFNG_TREATED_EPITHELIAL_CELLS_6H_UP</t>
  </si>
  <si>
    <t>2207;391;64926;150372;10870;3936;1601;116442;79690;50515</t>
  </si>
  <si>
    <t>FCER1G;RHOG;RASAL3;NFAM1;HCST;LCP1;DAB2;RAB39B;GAL3ST4;CHST11</t>
  </si>
  <si>
    <t>http://www.broadinstitute.org/gsea/msigdb/cards/GSE5542_IFNG_VS_IFNA_AND_IFNG_TREATED_EPITHELIAL_CELLS_6H_UP.html</t>
  </si>
  <si>
    <t>GSE5142_CTRL_VS_HTERT_TRANSDUCED_CD8_TCELL_EARLY_PASSAGE_CLONE_DN</t>
  </si>
  <si>
    <t>3575;3702;286336;387357;256380;2212;6518;441168;10184;79895</t>
  </si>
  <si>
    <t>IL7R;ITK;FAM78A;THEMIS;SCML4;FCGR2A;SLC2A5;CALHM6;LHFPL2;ATP8B4</t>
  </si>
  <si>
    <t>http://www.broadinstitute.org/gsea/msigdb/cards/GSE5142_CTRL_VS_HTERT_TRANSDUCED_CD8_TCELL_EARLY_PASSAGE_CLONE_DN.html</t>
  </si>
  <si>
    <t>GSE5589_LPS_VS_LPS_AND_IL10_STIM_MACROPHAGE_45MIN_DN</t>
  </si>
  <si>
    <t>54440;11309;284417;341;3988;3004;1414;161176;23312;9935</t>
  </si>
  <si>
    <t>SASH3;SLCO2B1;TMEM150B;APOC1;LIPA;GZMM;CRYBB1;SYNE3;DMXL2;MAFB</t>
  </si>
  <si>
    <t>http://www.broadinstitute.org/gsea/msigdb/cards/GSE5589_LPS_VS_LPS_AND_IL10_STIM_MACROPHAGE_45MIN_DN.html</t>
  </si>
  <si>
    <t>GSE5589_LPS_VS_LPS_AND_IL10_STIM_IL6_KO_MACROPHAGE_45MIN_UP</t>
  </si>
  <si>
    <t>712;313;5294;23048;56659;55589;11314;51393;1508;64780</t>
  </si>
  <si>
    <t>C1QA;AOAH;PIK3CG;FNBP1;KCNK13;BMP2K;CD300A;TRPV2;CTSB;MICAL1</t>
  </si>
  <si>
    <t>http://www.broadinstitute.org/gsea/msigdb/cards/GSE5589_LPS_VS_LPS_AND_IL10_STIM_IL6_KO_MACROPHAGE_45MIN_UP.html</t>
  </si>
  <si>
    <t>GSE5589_LPS_VS_LPS_AND_IL10_STIM_IL6_KO_MACROPHAGE_180MIN_DN</t>
  </si>
  <si>
    <t>3695;1234;54557;56833;5552;10437;4261;55704;4327;29126</t>
  </si>
  <si>
    <t>ITGB7;CCR5;SGTB;SLAMF8;SRGN;IFI30;CIITA;CCDC88A;MMP19;CD274</t>
  </si>
  <si>
    <t>http://www.broadinstitute.org/gsea/msigdb/cards/GSE5589_LPS_VS_LPS_AND_IL10_STIM_IL6_KO_MACROPHAGE_180MIN_DN.html</t>
  </si>
  <si>
    <t>54440;3683;3603;225;27306;7454;356;10462;6614;64919</t>
  </si>
  <si>
    <t>SASH3;ITGAL;IL16;ABCD2;HPGDS;WAS;FASLG;CLEC10A;SIGLEC1;BCL11B</t>
  </si>
  <si>
    <t>http://www.broadinstitute.org/gsea/msigdb/cards/GSE5589_WT_VS_IL10_KO_LPS_AND_IL6_STIM_MACROPHAGE_45MIN_DN.html</t>
  </si>
  <si>
    <t>GSE5589_IL6_KO_VS_IL10_KO_LPS_STIM_MACROPHAGE_45MIN_UP</t>
  </si>
  <si>
    <t>713;945;146722;64231;2857;80342;1102;1601;54518;338339</t>
  </si>
  <si>
    <t>C1QB;CD33;CD300LF;MS4A6A;GPR34;TRAF3IP3;RCBTB2;DAB2;APBB1IP;CLEC4D</t>
  </si>
  <si>
    <t>http://www.broadinstitute.org/gsea/msigdb/cards/GSE5589_IL6_KO_VS_IL10_KO_LPS_STIM_MACROPHAGE_45MIN_UP.html</t>
  </si>
  <si>
    <t>GSE5589_IL6_KO_VS_IL10_KO_LPS_AND_IL6_STIM_MACROPHAGE_45MIN_DN</t>
  </si>
  <si>
    <t>972;3001;1234;1794;56833;50856;3117;27163;64581;25939</t>
  </si>
  <si>
    <t>CD74;GZMA;CCR5;DOCK2;SLAMF8;CLEC4A;HLA-DQA1;NAAA;CLEC7A;SAMHD1</t>
  </si>
  <si>
    <t>http://www.broadinstitute.org/gsea/msigdb/cards/GSE5589_IL6_KO_VS_IL10_KO_LPS_AND_IL6_STIM_MACROPHAGE_45MIN_DN.html</t>
  </si>
  <si>
    <t>GSE5589_IL6_KO_VS_IL10_KO_LPS_AND_IL10_STIM_MACROPHAGE_180MIN_DN</t>
  </si>
  <si>
    <t>9051;11184;225;366;5552;3684;6037;4208;57589;9033</t>
  </si>
  <si>
    <t>PSTPIP1;MAP4K1;ABCD2;AQP9;SRGN;ITGAM;RNASE3;MEF2C;RIC1;PKD2L1</t>
  </si>
  <si>
    <t>http://www.broadinstitute.org/gsea/msigdb/cards/GSE5589_IL6_KO_VS_IL10_KO_LPS_AND_IL10_STIM_MACROPHAGE_180MIN_DN.html</t>
  </si>
  <si>
    <t>GSE6259_33D1_POS_VS_DEC205_POS_SPLENIC_DC_UP</t>
  </si>
  <si>
    <t>2533;5294;3937;80231;55589;596;5724;1601;4208;4033</t>
  </si>
  <si>
    <t>FYB1;PIK3CG;LCP2;CXorf21;BMP2K;BCL2;PTAFR;DAB2;MEF2C;LRMP</t>
  </si>
  <si>
    <t>http://www.broadinstitute.org/gsea/msigdb/cards/GSE6259_33D1_POS_VS_DEC205_POS_SPLENIC_DC_UP.html</t>
  </si>
  <si>
    <t>GSE3203_HEALTHY_VS_INFLUENZA_INFECTED_LN_BCELL_UP</t>
  </si>
  <si>
    <t>3932;5294;4064;84174;9120;348;3936;5816;4261;3123</t>
  </si>
  <si>
    <t>LCK;PIK3CG;CD180;SLA2;SLC16A6;APOE;LCP1;PVALB;CIITA;HLA-DRB1</t>
  </si>
  <si>
    <t>http://www.broadinstitute.org/gsea/msigdb/cards/GSE3203_HEALTHY_VS_INFLUENZA_INFECTED_LN_BCELL_UP.html</t>
  </si>
  <si>
    <t>GSE7509_DC_VS_MONOCYTE_WITH_FCGRIIB_STIM_DN</t>
  </si>
  <si>
    <t>1318;3055;942;4283;3937;6373;3902;2358;1230;9938</t>
  </si>
  <si>
    <t>SLC31A2;HCK;CD86;CXCL9;LCP2;CXCL11;LAG3;FPR2;CCR1;ARHGAP25</t>
  </si>
  <si>
    <t>http://www.broadinstitute.org/gsea/msigdb/cards/GSE7509_DC_VS_MONOCYTE_WITH_FCGRIIB_STIM_DN.html</t>
  </si>
  <si>
    <t>GSE9601_NFKB_INHIBITOR_VS_PI3K_INHIBITOR_TREATED_HCMV_INF_MONOCYTE_UP</t>
  </si>
  <si>
    <t>10663;3903;53346;11314;6693;2833;8905;3824;9754;10077</t>
  </si>
  <si>
    <t>CXCR6;LAIR1;TM6SF1;CD300A;SPN;CXCR3;AP1S2;KLRD1;STARD8;TSPAN32</t>
  </si>
  <si>
    <t>http://www.broadinstitute.org/gsea/msigdb/cards/GSE9601_NFKB_INHIBITOR_VS_PI3K_INHIBITOR_TREATED_HCMV_INF_MONOCYTE_UP.html</t>
  </si>
  <si>
    <t>GSE6674_UNSTIM_VS_ANTI_IGM_AND_CPG_STIM_BCELL_DN</t>
  </si>
  <si>
    <t>3559;51056;3937;3662;23048;80380;3002;11009;91010;51676</t>
  </si>
  <si>
    <t>IL2RA;LAP3;LCP2;IRF4;FNBP1;PDCD1LG2;GZMB;IL24;FMNL3;ASB2</t>
  </si>
  <si>
    <t>http://www.broadinstitute.org/gsea/msigdb/cards/GSE6674_UNSTIM_VS_ANTI_IGM_AND_CPG_STIM_BCELL_DN.html</t>
  </si>
  <si>
    <t>GSE6674_ANTI_IGM_VS_CPG_STIM_BCELL_DN</t>
  </si>
  <si>
    <t>3458;3559;962;5734;3702;3662;366;4049;11009;5027</t>
  </si>
  <si>
    <t>IFNG;IL2RA;CD48;PTGER4;ITK;IRF4;AQP9;LTA;IL24;P2RX7</t>
  </si>
  <si>
    <t>http://www.broadinstitute.org/gsea/msigdb/cards/GSE6674_ANTI_IGM_VS_CPG_STIM_BCELL_DN.html</t>
  </si>
  <si>
    <t>GSE6674_CPG_VS_PL2_3_STIM_BCELL_DN</t>
  </si>
  <si>
    <t>3560;55589;9120;366;4094;3604;11009;10507;55619;64098</t>
  </si>
  <si>
    <t>IL2RB;BMP2K;SLC16A6;AQP9;MAF;TNFRSF9;IL24;SEMA4D;DOCK10;PARVG</t>
  </si>
  <si>
    <t>http://www.broadinstitute.org/gsea/msigdb/cards/GSE6674_CPG_VS_PL2_3_STIM_BCELL_DN.html</t>
  </si>
  <si>
    <t>GSE9239_CTRL_VS_TNF_INHIBITOR_TREATED_DC_DN</t>
  </si>
  <si>
    <t>9450;962;3683;497189;197358;4063;10537;921;5133;146850</t>
  </si>
  <si>
    <t>LY86;CD48;ITGAL;TIFAB;NLRC3;LY9;UBD;CD5;PDCD1;PIK3R6</t>
  </si>
  <si>
    <t>http://www.broadinstitute.org/gsea/msigdb/cards/GSE9239_CTRL_VS_TNF_INHIBITOR_TREATED_DC_DN.html</t>
  </si>
  <si>
    <t>951;6772;391;197358;257106;4063;30009;89846;54861;55013</t>
  </si>
  <si>
    <t>CD37;STAT1;RHOG;NLRC3;ARHGAP30;LY9;TBX21;FGD3;SNRK;MCUB</t>
  </si>
  <si>
    <t>http://www.broadinstitute.org/gsea/msigdb/cards/GSE8621_UNSTIM_VS_LPS_STIM_MACROPHAGE_DN.html</t>
  </si>
  <si>
    <t>GSE9878_CTRL_VS_EBF_TRANSDUCED_PAX5_KO_PRO_BCELL_UP</t>
  </si>
  <si>
    <t>6351;2124;10225;2014;6039;58475;348;3936;6891;55911</t>
  </si>
  <si>
    <t>CCL4;EVI2B;CD96;EMP3;RNASE6;MS4A7;APOE;LCP1;TAP2;APOBR</t>
  </si>
  <si>
    <t>http://www.broadinstitute.org/gsea/msigdb/cards/GSE9878_CTRL_VS_EBF_TRANSDUCED_PAX5_KO_PRO_BCELL_UP.html</t>
  </si>
  <si>
    <t>10225;6890;256380;51225;51393;3059;9938;27163;59345;50515</t>
  </si>
  <si>
    <t>CD96;TAP1;SCML4;ABI3;TRPV2;HCLS1;ARHGAP25;NAAA;GNB4;CHST11</t>
  </si>
  <si>
    <t>http://www.broadinstitute.org/gsea/msigdb/cards/GSE10240_CTRL_VS_IL22_STIM_PRIMARY_BRONCHIAL_EPITHELIAL_CELLS_DN.html</t>
  </si>
  <si>
    <t>GSE7568_IL4_VS_IL4_AND_TGFB_TREATED_MACROPHAGE_24H_UP</t>
  </si>
  <si>
    <t>4689;151888;256380;154075;55340;84636;9815;5027;64747</t>
  </si>
  <si>
    <t>NCF4;BTLA;SCML4;SAMD3;GIMAP5;GPR174;GIT2;P2RX7;MFSD1</t>
  </si>
  <si>
    <t>http://www.broadinstitute.org/gsea/msigdb/cards/GSE7568_IL4_VS_IL4_AND_TGFB_TREATED_MACROPHAGE_24H_UP.html</t>
  </si>
  <si>
    <t>940;3575;971;944;154075;924;85464;151556;51466</t>
  </si>
  <si>
    <t>CD28;IL7R;CD72;TNFSF8;SAMD3;CD7;SSH2;GPR155;EVL</t>
  </si>
  <si>
    <t>http://www.broadinstitute.org/gsea/msigdb/cards/GSE14415_ACT_VS_CTRL_NATURAL_TREG_DN.html</t>
  </si>
  <si>
    <t>GSE15330_LYMPHOID_MULTIPOTENT_VS_PRO_BCELL_UP</t>
  </si>
  <si>
    <t>54440;940;5551;6688;2123;2124;391;5552;597;84329</t>
  </si>
  <si>
    <t>SASH3;CD28;PRF1;SPI1;EVI2A;EVI2B;RHOG;SRGN;BCL2A1;HVCN1</t>
  </si>
  <si>
    <t>http://www.broadinstitute.org/gsea/msigdb/cards/GSE15330_LYMPHOID_MULTIPOTENT_VS_PRO_BCELL_UP.html</t>
  </si>
  <si>
    <t>GSE15330_HSC_VS_LYMPHOID_PRIMED_MULTIPOTENT_PROGENITOR_IKAROS_KO_DN</t>
  </si>
  <si>
    <t>3458;6351;653361;941;255231;115361;50615;27033;29126;11217</t>
  </si>
  <si>
    <t>IFNG;CCL4;NCF1;CD80;MCOLN2;GBP4;IL21R;ZBTB32;CD274;AKAP2</t>
  </si>
  <si>
    <t>http://www.broadinstitute.org/gsea/msigdb/cards/GSE15330_HSC_VS_LYMPHOID_PRIMED_MULTIPOTENT_PROGENITOR_IKAROS_KO_DN.html</t>
  </si>
  <si>
    <t>GSE15330_WT_VS_IKAROS_KO_HSC_DN</t>
  </si>
  <si>
    <t>10663;9535;3627;3903;51296;3718;54331;84230;10507;4644</t>
  </si>
  <si>
    <t>CXCR6;GMFG;CXCL10;LAIR1;SLC15A3;JAK3;GNG2;LRRC8C;SEMA4D;MYO5A</t>
  </si>
  <si>
    <t>http://www.broadinstitute.org/gsea/msigdb/cards/GSE15330_WT_VS_IKAROS_KO_HSC_DN.html</t>
  </si>
  <si>
    <t>GSE15330_GRANULOCYTE_MONOCYTE_PROGENITOR_VS_PRO_BCELL_DN</t>
  </si>
  <si>
    <t>916;971;942;7805;3903;54899;596;84230;27240;25939</t>
  </si>
  <si>
    <t>CD3E;CD72;CD86;LAPTM5;LAIR1;PXK;BCL2;LRRC8C;SIT1;SAMHD1</t>
  </si>
  <si>
    <t>http://www.broadinstitute.org/gsea/msigdb/cards/GSE15330_GRANULOCYTE_MONOCYTE_PROGENITOR_VS_PRO_BCELL_DN.html</t>
  </si>
  <si>
    <t>GSE15624_3H_VS_6H_HALOFUGINONE_TREATED_CD4_TCELL_UP</t>
  </si>
  <si>
    <t>4542;714;3560;10875;286336;8809;80821;64780;5027</t>
  </si>
  <si>
    <t>MYO1F;C1QC;IL2RB;FGL2;FAM78A;IL18R1;DDHD1;MICAL1;P2RX7</t>
  </si>
  <si>
    <t>http://www.broadinstitute.org/gsea/msigdb/cards/GSE15624_3H_VS_6H_HALOFUGINONE_TREATED_CD4_TCELL_UP.html</t>
  </si>
  <si>
    <t>GSE9960_GRAM_NEG_VS_GRAM_POS_SEPSIS_PBMC_DN</t>
  </si>
  <si>
    <t>9046;283897;53829;80896;58484;55704;132160;64098;56606;29125</t>
  </si>
  <si>
    <t>DOK2;C16orf54;P2RY13;NPL;NLRC4;CCDC88A;PPM1M;PARVG;SLC2A9;C11orf21</t>
  </si>
  <si>
    <t>http://www.broadinstitute.org/gsea/msigdb/cards/GSE9960_GRAM_NEG_VS_GRAM_POS_SEPSIS_PBMC_DN.html</t>
  </si>
  <si>
    <t>GSE17186_CD21LOW_VS_CD21HIGH_TRANSITIONAL_BCELL_CORD_BLOOD_DN</t>
  </si>
  <si>
    <t>5579;7453;4354;92241;80231;4063;51284;23228;4049;5452</t>
  </si>
  <si>
    <t>PRKCB;WARS;MPP1;RCSD1;CXorf21;LY9;TLR7;PLCL2;LTA;POU2F2</t>
  </si>
  <si>
    <t>http://www.broadinstitute.org/gsea/msigdb/cards/GSE17186_CD21LOW_VS_CD21HIGH_TRANSITIONAL_BCELL_CORD_BLOOD_DN.html</t>
  </si>
  <si>
    <t>4242;9402;2014;83706;6793;1102;7454;10235;161145;64919</t>
  </si>
  <si>
    <t>MFNG;GRAP2;EMP3;FERMT3;STK10;RCBTB2;WAS;RASGRP2;TMEM229B;BCL11B</t>
  </si>
  <si>
    <t>http://www.broadinstitute.org/gsea/msigdb/cards/GSE16266_CTRL_VS_HEATSHOCK_AND_LPS_STIM_MEF_DN.html</t>
  </si>
  <si>
    <t>GSE18281_CORTEX_VS_MEDULLA_THYMUS_DN</t>
  </si>
  <si>
    <t>9450;3587;9459;139818;497189;64333;80342;8530;4050;120425</t>
  </si>
  <si>
    <t>LY86;IL10RA;ARHGEF6;DOCK11;TIFAB;ARHGAP9;TRAF3IP3;CST7;LTB;JAML</t>
  </si>
  <si>
    <t>http://www.broadinstitute.org/gsea/msigdb/cards/GSE18281_CORTEX_VS_MEDULLA_THYMUS_DN.html</t>
  </si>
  <si>
    <t>GSE18281_CORTICAL_VS_MEDULLARY_THYMOCYTE_DN</t>
  </si>
  <si>
    <t>7456;1236;1439;50852;23533;1794;27033;8742;3586;3718</t>
  </si>
  <si>
    <t>WIPF1;CCR7;CSF2RB;TRAT1;PIK3R5;DOCK2;ZBTB32;TNFSF12;IL10;JAK3</t>
  </si>
  <si>
    <t>http://www.broadinstitute.org/gsea/msigdb/cards/GSE18281_CORTICAL_VS_MEDULLARY_THYMOCYTE_DN.html</t>
  </si>
  <si>
    <t>GSE18893_CTRL_VS_TNF_TREATED_TCONV_2H_UP</t>
  </si>
  <si>
    <t>4542;942;3702;8514;399;283897;23228;10154;1621;3290</t>
  </si>
  <si>
    <t>MYO1F;CD86;ITK;KCNAB2;RHOH;C16orf54;PLCL2;PLXNC1;DBH;HSD11B1</t>
  </si>
  <si>
    <t>http://www.broadinstitute.org/gsea/msigdb/cards/GSE18893_CTRL_VS_TNF_TREATED_TCONV_2H_UP.html</t>
  </si>
  <si>
    <t>GSE19888_CTRL_VS_A3R_ACT_TREATED_MAST_CELL_PRETREATED_WITH_A3R_INH_UP</t>
  </si>
  <si>
    <t>4068;3932;197358;256380;54557;3122;5724;6753;3363;9806</t>
  </si>
  <si>
    <t>SH2D1A;LCK;NLRC3;SCML4;SGTB;HLA-DRA;PTAFR;SSTR3;HTR7;SPOCK2</t>
  </si>
  <si>
    <t>http://www.broadinstitute.org/gsea/msigdb/cards/GSE19888_CTRL_VS_A3R_ACT_TREATED_MAST_CELL_PRETREATED_WITH_A3R_INH_UP.html</t>
  </si>
  <si>
    <t>GSE19888_CTRL_VS_A3R_ACT_TREATED_MAST_CELL_PRETREATED_WITH_A3R_INH_DN</t>
  </si>
  <si>
    <t>1234;7805;170371;9332;4064;59067;10870;7099;1230;80821</t>
  </si>
  <si>
    <t>CCR5;LAPTM5;TMEM273;CD163;CD180;IL21;HCST;TLR4;CCR1;DDHD1</t>
  </si>
  <si>
    <t>http://www.broadinstitute.org/gsea/msigdb/cards/GSE19888_CTRL_VS_A3R_ACT_TREATED_MAST_CELL_PRETREATED_WITH_A3R_INH_DN.html</t>
  </si>
  <si>
    <t>GSE25890_CTRL_VS_IL33_IL7_TREATED_NUOCYTES_DN</t>
  </si>
  <si>
    <t>27334;9839;93978;11314;50856;3111;3109;9938;80709;84230</t>
  </si>
  <si>
    <t>P2RY10;ZEB2;CLEC6A;CD300A;CLEC4A;HLA-DOA;HLA-DMB;ARHGAP25;AKNA;LRRC8C</t>
  </si>
  <si>
    <t>http://www.broadinstitute.org/gsea/msigdb/cards/GSE25890_CTRL_VS_IL33_IL7_TREATED_NUOCYTES_DN.html</t>
  </si>
  <si>
    <t>GSE20198_IL12_IL18_VS_IFNA_TREATED_ACT_CD4_TCELL_UP</t>
  </si>
  <si>
    <t>340152;6688;2313;8514;219972;114836;259307;3956;9815;64098</t>
  </si>
  <si>
    <t>ZC3H12D;SPI1;FLI1;KCNAB2;MPEG1;SLAMF6;IL4I1;LGALS1;GIT2;PARVG</t>
  </si>
  <si>
    <t>http://www.broadinstitute.org/gsea/msigdb/cards/GSE20198_IL12_IL18_VS_IFNA_TREATED_ACT_CD4_TCELL_UP.html</t>
  </si>
  <si>
    <t>GSE16450_CTRL_VS_IFNA_6H_STIM_MATURE_NEURON_CELL_LINE_DN</t>
  </si>
  <si>
    <t>916;963;3683;1233;474344;50615;924;10148;131450;51762</t>
  </si>
  <si>
    <t>CD3E;CD53;ITGAL;CCR4;GIMAP6;IL21R;CD7;EBI3;CD200R1;RAB8B</t>
  </si>
  <si>
    <t>http://www.broadinstitute.org/gsea/msigdb/cards/GSE16450_CTRL_VS_IFNA_6H_STIM_MATURE_NEURON_CELL_LINE_DN.html</t>
  </si>
  <si>
    <t>GSE21670_IL6_VS_TGFB_AND_IL6_TREATED_STAT3_KO_CD4_TCELL_DN</t>
  </si>
  <si>
    <t>951;3394;6504;4689;2857;19;8320;3111;85464;10077</t>
  </si>
  <si>
    <t>CD37;IRF8;SLAMF1;NCF4;GPR34;ABCA1;EOMES;HLA-DOA;SSH2;TSPAN32</t>
  </si>
  <si>
    <t>http://www.broadinstitute.org/gsea/msigdb/cards/GSE21670_IL6_VS_TGFB_AND_IL6_TREATED_STAT3_KO_CD4_TCELL_DN.html</t>
  </si>
  <si>
    <t>GSE22229_RENAL_TRANSPLANT_VS_HEALTHY_PBMC_DN</t>
  </si>
  <si>
    <t>170575;6039;7439;348;9938;4050;7185;9815;151556;155038</t>
  </si>
  <si>
    <t>GIMAP1;RNASE6;BEST1;APOE;ARHGAP25;LTB;TRAF1;GIT2;GPR155;GIMAP8</t>
  </si>
  <si>
    <t>http://www.broadinstitute.org/gsea/msigdb/cards/GSE22229_RENAL_TRANSPLANT_VS_HEALTHY_PBMC_DN.html</t>
  </si>
  <si>
    <t>GSE22229_UNTREATED_VS_IMMUNOSUPP_THERAPY_RENAL_TRANSPLANT_PATIENT_PBMC_DN</t>
  </si>
  <si>
    <t>9744;23048;80896;64231;3108;7185;89846;10184;50515;25939</t>
  </si>
  <si>
    <t>ACAP1;FNBP1;NPL;MS4A6A;HLA-DMA;TRAF1;FGD3;LHFPL2;CHST11;SAMHD1</t>
  </si>
  <si>
    <t>http://www.broadinstitute.org/gsea/msigdb/cards/GSE22229_UNTREATED_VS_IMMUNOSUPP_THERAPY_RENAL_TRANSPLANT_PATIENT_PBMC_DN.html</t>
  </si>
  <si>
    <t>GSE21546_SAP1A_KO_VS_SAP1A_KO_AND_ELK1_KO_DP_THYMOCYTES_UP</t>
  </si>
  <si>
    <t>4210;940;3683;2207;2014;3394;140885;6503;147138;64581</t>
  </si>
  <si>
    <t>MEFV;CD28;ITGAL;FCER1G;EMP3;IRF8;SIRPA;SLA;TMC8;CLEC7A</t>
  </si>
  <si>
    <t>http://www.broadinstitute.org/gsea/msigdb/cards/GSE21546_SAP1A_KO_VS_SAP1A_KO_AND_ELK1_KO_DP_THYMOCYTES_UP.html</t>
  </si>
  <si>
    <t>GSE22033_UNTREATED_VS_MRL24_TREATED_MEF_DN</t>
  </si>
  <si>
    <t>6352;7133;3662;399;1240;10019;8530;728;51762;54861</t>
  </si>
  <si>
    <t>CCL5;TNFRSF1B;IRF4;RHOH;CMKLR1;SH2B3;CST7;C5AR1;RAB8B;SNRK</t>
  </si>
  <si>
    <t>http://www.broadinstitute.org/gsea/msigdb/cards/GSE22033_UNTREATED_VS_MRL24_TREATED_MEF_DN.html</t>
  </si>
  <si>
    <t>GSE21033_CTRL_VS_POLYIC_STIM_DC_6H_UP</t>
  </si>
  <si>
    <t>4210;3575;7133;10666;1240;9103;356;140885;55911;8605</t>
  </si>
  <si>
    <t>MEFV;IL7R;TNFRSF1B;CD226;CMKLR1;FCGR2A;FASLG;SIRPA;APOBR;PLA2G4C</t>
  </si>
  <si>
    <t>http://www.broadinstitute.org/gsea/msigdb/cards/GSE21033_CTRL_VS_POLYIC_STIM_DC_6H_UP.html</t>
  </si>
  <si>
    <t>GSE23308_WT_VS_MINERALCORTICOID_REC_KO_MACROPHAGE_CORTICOSTERONE_TREATED_UP</t>
  </si>
  <si>
    <t>9595;3575;10871;51393;284417;8905;54331;4208;64780;7462</t>
  </si>
  <si>
    <t>CYTIP;IL7R;CD300C;TRPV2;TMEM150B;AP1S2;GNG2;MEF2C;MICAL1;LAT2</t>
  </si>
  <si>
    <t>http://www.broadinstitute.org/gsea/msigdb/cards/GSE23308_WT_VS_MINERALCORTICOID_REC_KO_MACROPHAGE_CORTICOSTERONE_TREATED_UP.html</t>
  </si>
  <si>
    <t>GSE23308_CTRL_VS_CORTICOSTERONE_TREATED_MACROPHAGE_MINERALCORTICOID_REC_KO_UP</t>
  </si>
  <si>
    <t>3575;10871;51393;284417;6793;4066;3988;5027;64581;54861</t>
  </si>
  <si>
    <t>IL7R;CD300C;TRPV2;TMEM150B;STK10;LYL1;LIPA;P2RX7;CLEC7A;SNRK</t>
  </si>
  <si>
    <t>http://www.broadinstitute.org/gsea/msigdb/cards/GSE23308_CTRL_VS_CORTICOSTERONE_TREATED_MACROPHAGE_MINERALCORTICOID_REC_KO_UP.html</t>
  </si>
  <si>
    <t>GSE22935_UNSTIM_VS_12H_MBOVIS_BCG_STIM_MYD88_KO_MACROPHAGE_UP</t>
  </si>
  <si>
    <t>3458;929;971;5734;92241;259307;6753;100506736;116071;84230</t>
  </si>
  <si>
    <t>IFNG;CD14;CD72;PTGER4;RCSD1;IL4I1;SSTR3;SLFN12L;BATF2;LRRC8C</t>
  </si>
  <si>
    <t>http://www.broadinstitute.org/gsea/msigdb/cards/GSE22935_UNSTIM_VS_12H_MBOVIS_BCG_STIM_MYD88_KO_MACROPHAGE_UP.html</t>
  </si>
  <si>
    <t>GSE22935_UNSTIM_VS_48H_MBOVIS_BCG_STIM_MACROPHAGE_DN</t>
  </si>
  <si>
    <t>972;914;919;7453;391;8477;6039;4049;55281;11217</t>
  </si>
  <si>
    <t>CD74;CD2;CD247;WARS;RHOG;GPR65;RNASE6;LTA;TMEM140;AKAP2</t>
  </si>
  <si>
    <t>http://www.broadinstitute.org/gsea/msigdb/cards/GSE22935_UNSTIM_VS_48H_MBOVIS_BCG_STIM_MACROPHAGE_DN.html</t>
  </si>
  <si>
    <t>GSE23695_CD57_POS_VS_NEG_NK_CELL_UP</t>
  </si>
  <si>
    <t>5294;151888;257106;221472;64092;1102;1435;6693;4050;57514</t>
  </si>
  <si>
    <t>PIK3CG;BTLA;ARHGAP30;FGD2;SAMSN1;RCBTB2;CSF1;SPN;LTB;ARHGAP31</t>
  </si>
  <si>
    <t>http://www.broadinstitute.org/gsea/msigdb/cards/GSE23695_CD57_POS_VS_NEG_NK_CELL_UP.html</t>
  </si>
  <si>
    <t>GSE22432_UNTREATED_VS_TGFB1_TREATED_COMMON_DC_PROGENITOR_UP</t>
  </si>
  <si>
    <t>9450;942;3594;6404;4689;374403;114836;81030;56833;3604</t>
  </si>
  <si>
    <t>LY86;CD86;IL12RB1;SELPLG;NCF4;TBC1D10C;SLAMF6;ZBP1;SLAMF8;TNFRSF9</t>
  </si>
  <si>
    <t>http://www.broadinstitute.org/gsea/msigdb/cards/GSE22432_UNTREATED_VS_TGFB1_TREATED_COMMON_DC_PROGENITOR_UP.html</t>
  </si>
  <si>
    <t>GSE16385_ROSIGLITAZONE_VS_UNTREATED_IFNG_TNF_STIM_MACROPHAGE_UP</t>
  </si>
  <si>
    <t>1536;6352;3662;80380;1102;4066;10437;1043;116442;54504</t>
  </si>
  <si>
    <t>CYBB;CCL5;IRF4;PDCD1LG2;RCBTB2;LYL1;IFI30;CD52;RAB39B;CPVL</t>
  </si>
  <si>
    <t>http://www.broadinstitute.org/gsea/msigdb/cards/GSE16385_ROSIGLITAZONE_VS_UNTREATED_IFNG_TNF_STIM_MACROPHAGE_UP.html</t>
  </si>
  <si>
    <t>GSE16385_MONOCYTE_VS_12H_IL4_TREATED_MACROPHAGE_UP</t>
  </si>
  <si>
    <t>3458;914;10320;84166;116986;1102;10437;3290;1235;115727</t>
  </si>
  <si>
    <t>IFNG;CD2;IKZF1;NLRC5;AGAP2;RCBTB2;IFI30;HSD11B1;CCR6;RASGRP4</t>
  </si>
  <si>
    <t>http://www.broadinstitute.org/gsea/msigdb/cards/GSE16385_MONOCYTE_VS_12H_IL4_TREATED_MACROPHAGE_UP.html</t>
  </si>
  <si>
    <t>GSE16385_UNTREATED_VS_12H_ROSIGLITAZONE_IL4_TREATED_MACROPHAGE_UP</t>
  </si>
  <si>
    <t>1236;474344;246329;4049;80709;54518;115727;10507;81553;51466</t>
  </si>
  <si>
    <t>CCR7;GIMAP6;STAC3;LTA;AKNA;APBB1IP;RASGRP4;SEMA4D;FAM49A;EVL</t>
  </si>
  <si>
    <t>http://www.broadinstitute.org/gsea/msigdb/cards/GSE16385_UNTREATED_VS_12H_ROSIGLITAZONE_IL4_TREATED_MACROPHAGE_UP.html</t>
  </si>
  <si>
    <t>GSE16385_UNTREATED_VS_12H_IFNG_TNF_TREATED_MACROPHAGE_DN</t>
  </si>
  <si>
    <t>80833;3458;3627;4283;80231;8320;2529;146850;118788;57823</t>
  </si>
  <si>
    <t>APOL3;IFNG;CXCL10;CXCL9;CXorf21;EOMES;FUT7;PIK3R6;PIK3AP1;SLAMF7</t>
  </si>
  <si>
    <t>http://www.broadinstitute.org/gsea/msigdb/cards/GSE16385_UNTREATED_VS_12H_IFNG_TNF_TREATED_MACROPHAGE_DN.html</t>
  </si>
  <si>
    <t>GSE16385_IFNG_TNF_VS_UNSTIM_MACROPHAGE_ROSIGLITAZONE_TREATED_UP</t>
  </si>
  <si>
    <t>1318;2633;3587;259307;64092;27033;9034;10507;57823;29126</t>
  </si>
  <si>
    <t>SLC31A2;GBP1;IL10RA;IL4I1;SAMSN1;ZBTB32;CCRL2;SEMA4D;SLAMF7;CD274</t>
  </si>
  <si>
    <t>http://www.broadinstitute.org/gsea/msigdb/cards/GSE16385_IFNG_TNF_VS_UNSTIM_MACROPHAGE_ROSIGLITAZONE_TREATED_UP.html</t>
  </si>
  <si>
    <t>GSE16385_ROSIGLITAZONE_IL4_VS_IFNG_TNF_STIM_MACROPHAGE_DN</t>
  </si>
  <si>
    <t>4210;3937;55303;27306;3553;9363;597;10077;64174;23166</t>
  </si>
  <si>
    <t>MEFV;LCP2;GIMAP4;HPGDS;IL1B;RAB33A;BCL2A1;TSPAN32;DPEP2;STAB1</t>
  </si>
  <si>
    <t>http://www.broadinstitute.org/gsea/msigdb/cards/GSE16385_ROSIGLITAZONE_IL4_VS_IFNG_TNF_STIM_MACROPHAGE_DN.html</t>
  </si>
  <si>
    <t>GSE17301_ACD3_ACD28_VS_ACD3_ACD28_AND_IFNA2_STIM_CD8_TCELL_UP</t>
  </si>
  <si>
    <t>7940;64231;51284;2848;8564;3956;3113;79865;80183;50515</t>
  </si>
  <si>
    <t>LST1;MS4A6A;TLR7;GPR25;KMO;LGALS1;HLA-DPA1;TREML2;RUBCNL;CHST11</t>
  </si>
  <si>
    <t>http://www.broadinstitute.org/gsea/msigdb/cards/GSE17301_ACD3_ACD28_VS_ACD3_ACD28_AND_IFNA2_STIM_CD8_TCELL_UP.html</t>
  </si>
  <si>
    <t>GSE23984_CTRL_VS_HYPOCALEMIC_VITAMIND_ANALOG_TCELL_UP</t>
  </si>
  <si>
    <t>9051;2268;945;23533;80896;27036;3717;4481;23312;84034</t>
  </si>
  <si>
    <t>PSTPIP1;FGR;CD33;PIK3R5;NPL;SIGLEC7;JAK2;MSR1;DMXL2;EMILIN2</t>
  </si>
  <si>
    <t>http://www.broadinstitute.org/gsea/msigdb/cards/GSE23984_CTRL_VS_HYPOCALEMIC_VITAMIND_ANALOG_TCELL_UP.html</t>
  </si>
  <si>
    <t>GSE19941_UNSTIM_VS_LPS_AND_IL10_STIM_IL10_KO_NFKBP50_KO_MACROPHAGE_UP</t>
  </si>
  <si>
    <t>9535;5579;1236;941;399;255231;2833;5133;84106</t>
  </si>
  <si>
    <t>GMFG;PRKCB;CCR7;CD80;RHOH;MCOLN2;CXCR3;PDCD1;PRAM1</t>
  </si>
  <si>
    <t>http://www.broadinstitute.org/gsea/msigdb/cards/GSE19941_UNSTIM_VS_LPS_AND_IL10_STIM_IL10_KO_NFKBP50_KO_MACROPHAGE_UP.html</t>
  </si>
  <si>
    <t>GSE22611_UNSTIM_VS_6H_MDP_STIM_MUTANT_NOD2_TRANSDUCED_HEK293T_CELL_UP</t>
  </si>
  <si>
    <t>9404;962;5778;53347;3635;10019;10148;79630;4215;57823</t>
  </si>
  <si>
    <t>LPXN;CD48;PTPN7;UBASH3A;INPP5D;SH2B3;EBI3;C1orf54;MAP3K3;SLAMF7</t>
  </si>
  <si>
    <t>http://www.broadinstitute.org/gsea/msigdb/cards/GSE22611_UNSTIM_VS_6H_MDP_STIM_MUTANT_NOD2_TRANSDUCED_HEK293T_CELL_UP.html</t>
  </si>
  <si>
    <t>GSE27241_CTRL_VS_DIGOXIN_TREATED_RORGT_KO_CD4_TCELL_IN_TH17_POLARIZING_CONDITIONS_UP</t>
  </si>
  <si>
    <t>6504;92241;926;3737;1043;4033;10672;57589;79690;54861</t>
  </si>
  <si>
    <t>SLAMF1;RCSD1;CD8B;KCNA2;CD52;LRMP;GNA13;RIC1;GAL3ST4;SNRK</t>
  </si>
  <si>
    <t>http://www.broadinstitute.org/gsea/msigdb/cards/GSE27241_CTRL_VS_DIGOXIN_TREATED_RORGT_KO_CD4_TCELL_IN_TH17_POLARIZING_CONDITIONS_UP.html</t>
  </si>
  <si>
    <t>GSE27241_WT_CTRL_VS_DIGOXIN_TREATED_RORGT_KO_CD4_TCELL_IN_TH17_POLARIZING_CONDITIONS_DN</t>
  </si>
  <si>
    <t>2014;3587;83706;27128;8530;5552;3059;79865;10462</t>
  </si>
  <si>
    <t>EMP3;IL10RA;FERMT3;CYTH4;CST7;SRGN;HCLS1;TREML2;CLEC10A</t>
  </si>
  <si>
    <t>http://www.broadinstitute.org/gsea/msigdb/cards/GSE27241_WT_CTRL_VS_DIGOXIN_TREATED_RORGT_KO_CD4_TCELL_IN_TH17_POLARIZING_CONDITIONS_DN.html</t>
  </si>
  <si>
    <t>GSE21063_3H_VS_16H_ANTI_IGM_STIM_BCELL_UP</t>
  </si>
  <si>
    <t>4542;1236;50852;54899;27299;10148;57514;80821;55619;27240</t>
  </si>
  <si>
    <t>MYO1F;CCR7;TRAT1;PXK;ADAMDEC1;EBI3;ARHGAP31;DDHD1;DOCK10;SIT1</t>
  </si>
  <si>
    <t>http://www.broadinstitute.org/gsea/msigdb/cards/GSE21063_3H_VS_16H_ANTI_IGM_STIM_BCELL_UP.html</t>
  </si>
  <si>
    <t>GSE21063_CTRL_VS_ANTI_IGM_STIM_BCELL_NFATC1_KO_3H_DN</t>
  </si>
  <si>
    <t>7456;10068;6351;3575;259307;9881;56253;2833;597;55803</t>
  </si>
  <si>
    <t>WIPF1;IL18BP;CCL4;IL7R;IL4I1;TRANK1;CRTAM;CXCR3;BCL2A1;ADAP2</t>
  </si>
  <si>
    <t>http://www.broadinstitute.org/gsea/msigdb/cards/GSE21063_CTRL_VS_ANTI_IGM_STIM_BCELL_NFATC1_KO_3H_DN.html</t>
  </si>
  <si>
    <t>GSE28726_NAIVE_VS_ACTIVATED_VA24NEG_NKTCELL_DN</t>
  </si>
  <si>
    <t>10663;9214;8676;11309;1536;10871;4360;140885;8605;27240</t>
  </si>
  <si>
    <t>CXCR6;FCMR;STX11;SLCO2B1;CYBB;CD300C;MRC1;SIRPA;PLA2G4C;SIT1</t>
  </si>
  <si>
    <t>http://www.broadinstitute.org/gsea/msigdb/cards/GSE28726_NAIVE_VS_ACTIVATED_VA24NEG_NKTCELL_DN.html</t>
  </si>
  <si>
    <t>2533;9214;951;7535;7805;3635;6793;5552;10235;54861</t>
  </si>
  <si>
    <t>FYB1;FCMR;CD37;ZAP70;LAPTM5;INPP5D;STK10;SRGN;RASGRP2;SNRK</t>
  </si>
  <si>
    <t>GSE28726_NAIVE_VS_ACTIVATED_CD4_TCELL_DN</t>
  </si>
  <si>
    <t>8676;6352;7453;3662;8530;4049;3956;3002;2999;3604</t>
  </si>
  <si>
    <t>STX11;CCL5;WARS;IRF4;CST7;LTA;LGALS1;GZMB;GZMH;TNFRSF9</t>
  </si>
  <si>
    <t>http://www.broadinstitute.org/gsea/msigdb/cards/GSE28726_NAIVE_VS_ACTIVATED_CD4_TCELL_DN.html</t>
  </si>
  <si>
    <t>9214;3689;951;11151;9744;54;3718;140885;10235;27240</t>
  </si>
  <si>
    <t>FCMR;ITGB2;CD37;CORO1A;ACAP1;ACP5;JAK3;SIRPA;RASGRP2;SIT1</t>
  </si>
  <si>
    <t>http://www.broadinstitute.org/gsea/msigdb/cards/GSE24574_NAIVE_VS_TCONV_CD4_TCELL_UP.html</t>
  </si>
  <si>
    <t>GSE24574_BCL6_LOW_TFH_VS_NAIVE_CD4_TCELL_UP</t>
  </si>
  <si>
    <t>7133;971;3695;2207;6890;3603;29851;5452;1043;7185</t>
  </si>
  <si>
    <t>TNFRSF1B;CD72;ITGB7;FCER1G;TAP1;IL16;ICOS;POU2F2;CD52;TRAF1</t>
  </si>
  <si>
    <t>http://www.broadinstitute.org/gsea/msigdb/cards/GSE24574_BCL6_LOW_TFH_VS_NAIVE_CD4_TCELL_UP.html</t>
  </si>
  <si>
    <t>GSE28783_CTRL_ANTI_MIR_VS_UNTREATED_ATHEROSCLEROSIS_MACROPHAGE_UP</t>
  </si>
  <si>
    <t>9404;6351;971;3394;6890;5452;3936;1237;969;6503</t>
  </si>
  <si>
    <t>LPXN;CCL4;CD72;IRF8;TAP1;POU2F2;LCP1;CCR8;CD69;SLA</t>
  </si>
  <si>
    <t>http://www.broadinstitute.org/gsea/msigdb/cards/GSE28783_CTRL_ANTI_MIR_VS_UNTREATED_ATHEROSCLEROSIS_MACROPHAGE_UP.html</t>
  </si>
  <si>
    <t>GSE24814_STAT5_KO_VS_WT_PRE_BCELL_UP</t>
  </si>
  <si>
    <t>10261;3676;4064;29909;8742;6037;2213;2529;5027;8605</t>
  </si>
  <si>
    <t>IGSF6;ITGA4;CD180;GPR171;TNFSF12;RNASE3;FCGR2B;FUT7;P2RX7;PLA2G4C</t>
  </si>
  <si>
    <t>http://www.broadinstitute.org/gsea/msigdb/cards/GSE24814_STAT5_KO_VS_WT_PRE_BCELL_UP.html</t>
  </si>
  <si>
    <t>GSE23321_CD8_STEM_CELL_MEMORY_VS_EFFECTOR_MEMORY_CD8_TCELL_UP</t>
  </si>
  <si>
    <t>940;5778;3587;10154;8530;921;5552;4481;597;54504</t>
  </si>
  <si>
    <t>CD28;PTPN7;IL10RA;PLXNC1;CST7;CD5;SRGN;MSR1;BCL2A1;CPVL</t>
  </si>
  <si>
    <t>http://www.broadinstitute.org/gsea/msigdb/cards/GSE23321_CD8_STEM_CELL_MEMORY_VS_EFFECTOR_MEMORY_CD8_TCELL_UP.html</t>
  </si>
  <si>
    <t>GSE46468_LUNG_INNATE_LYMPHOID_CELL_VS_SPLEEN_CD4_TCELL_UP</t>
  </si>
  <si>
    <t>4354;9744;9459;55843;3635;81030;84174;814;89846;64174</t>
  </si>
  <si>
    <t>MPP1;ACAP1;ARHGEF6;ARHGAP15;INPP5D;ZBP1;SLA2;CAMK4;FGD3;DPEP2</t>
  </si>
  <si>
    <t>http://www.broadinstitute.org/gsea/msigdb/cards/GSE46468_LUNG_INNATE_LYMPHOID_CELL_VS_SPLEEN_CD4_TCELL_UP.html</t>
  </si>
  <si>
    <t>GSE26351_WNT_VS_BMP_PATHWAY_STIM_HEMATOPOIETIC_PROGENITORS_UP</t>
  </si>
  <si>
    <t>3689;120939;3718;2529;597;80821;115727;84230;7462;25939</t>
  </si>
  <si>
    <t>ITGB2;TMEM52B;JAK3;FUT7;BCL2A1;DDHD1;RASGRP4;LRRC8C;LAT2;SAMHD1</t>
  </si>
  <si>
    <t>http://www.broadinstitute.org/gsea/msigdb/cards/GSE26351_WNT_VS_BMP_PATHWAY_STIM_HEMATOPOIETIC_PROGENITORS_UP.html</t>
  </si>
  <si>
    <t>GSE29164_DAY3_VS_DAY7_CD8_TCELL_AND_IL12_TREATED_MELANOMA_DN</t>
  </si>
  <si>
    <t>5579;3575;941;3937;10875;221472;51744;3122;3718;6891</t>
  </si>
  <si>
    <t>PRKCB;IL7R;CD80;LCP2;FGL2;FGD2;CD244;HLA-DRA;JAK3;TAP2</t>
  </si>
  <si>
    <t>http://www.broadinstitute.org/gsea/msigdb/cards/GSE29164_DAY3_VS_DAY7_CD8_TCELL_AND_IL12_TREATED_MELANOMA_DN.html</t>
  </si>
  <si>
    <t>GSE29164_CD8_TCELL_VS_CD8_TCELL_AND_IL12_TREATED_MELANOMA_DAY7_UP</t>
  </si>
  <si>
    <t>653361;2124;2014;497189;57580;10235;84106;83937;54861;56606</t>
  </si>
  <si>
    <t>NCF1;EVI2B;EMP3;TIFAB;PREX1;RASGRP2;PRAM1;RASSF4;SNRK;SLC2A9</t>
  </si>
  <si>
    <t>http://www.broadinstitute.org/gsea/msigdb/cards/GSE29164_CD8_TCELL_VS_CD8_TCELL_AND_IL12_TREATED_MELANOMA_DAY7_UP.html</t>
  </si>
  <si>
    <t>GSE23568_ID3_KO_VS_WT_CD8_TCELL_UP</t>
  </si>
  <si>
    <t>4542;925;6352;10875;255231;51744;8530;924;3002;3824</t>
  </si>
  <si>
    <t>MYO1F;CD8A;CCL5;FGL2;MCOLN2;CD244;CST7;CD7;GZMB;KLRD1</t>
  </si>
  <si>
    <t>http://www.broadinstitute.org/gsea/msigdb/cards/GSE23568_ID3_KO_VS_WT_CD8_TCELL_UP.html</t>
  </si>
  <si>
    <t>GSE32164_ALTERNATIVELY_ACT_M2_VS_CMYC_INHIBITED_MACROPHAGE_DN</t>
  </si>
  <si>
    <t>925;3676;2014;399;255231;51744;924;6402;3902;10235</t>
  </si>
  <si>
    <t>CD8A;ITGA4;EMP3;RHOH;MCOLN2;CD244;CD7;SELL;LAG3;RASGRP2</t>
  </si>
  <si>
    <t>http://www.broadinstitute.org/gsea/msigdb/cards/GSE32164_ALTERNATIVELY_ACT_M2_VS_CMYC_INHIBITED_MACROPHAGE_DN.html</t>
  </si>
  <si>
    <t>GSE33425_CD161_HIGH_VS_NEG_CD8_TCELL_DN</t>
  </si>
  <si>
    <t>3055;1493;941;10875;219972;255231;115361;55303;9056;10437</t>
  </si>
  <si>
    <t>HCK;CTLA4;CD80;FGL2;MPEG1;MCOLN2;GBP4;GIMAP4;SLC7A7;IFI30</t>
  </si>
  <si>
    <t>http://www.broadinstitute.org/gsea/msigdb/cards/GSE33425_CD161_HIGH_VS_NEG_CD8_TCELL_DN.html</t>
  </si>
  <si>
    <t>GSE33424_CD161_INT_VS_NEG_CD8_TCELL_DN</t>
  </si>
  <si>
    <t>2268;3695;5734;6504;197358;151556;84230;64780;83937;30835</t>
  </si>
  <si>
    <t>FGR;ITGB7;PTGER4;SLAMF1;NLRC3;GPR155;LRRC8C;MICAL1;RASSF4;CD209</t>
  </si>
  <si>
    <t>http://www.broadinstitute.org/gsea/msigdb/cards/GSE33424_CD161_INT_VS_NEG_CD8_TCELL_DN.html</t>
  </si>
  <si>
    <t>GSE26890_CXCR1_NEG_VS_POS_EFFECTOR_CD8_TCELL_DN</t>
  </si>
  <si>
    <t>3695;3903;64092;4049;924;241;10462;25780;91010;83937</t>
  </si>
  <si>
    <t>ITGB7;LAIR1;SAMSN1;LTA;CD7;ALOX5AP;CLEC10A;RASGRP3;FMNL3;RASSF4</t>
  </si>
  <si>
    <t>http://www.broadinstitute.org/gsea/msigdb/cards/GSE26890_CXCR1_NEG_VS_POS_EFFECTOR_CD8_TCELL_DN.html</t>
  </si>
  <si>
    <t>GSE26030_TH1_VS_TH17_DAY15_POST_POLARIZATION_UP</t>
  </si>
  <si>
    <t>9839;3559;6039;597;161176;151556;64780;6614;59345;25939</t>
  </si>
  <si>
    <t>ZEB2;IL2RA;RNASE6;BCL2A1;SYNE3;GPR155;MICAL1;SIGLEC1;GNB4;SAMHD1</t>
  </si>
  <si>
    <t>http://www.broadinstitute.org/gsea/msigdb/cards/GSE26030_TH1_VS_TH17_DAY15_POST_POLARIZATION_UP.html</t>
  </si>
  <si>
    <t>4542;9404;963;3683;3603;7099;2212;6776;3604;10672</t>
  </si>
  <si>
    <t>MYO1F;LPXN;CD53;ITGAL;IL16;TLR4;FCGR2A;STAT5A;TNFRSF9;GNA13</t>
  </si>
  <si>
    <t>http://www.broadinstitute.org/gsea/msigdb/cards/GSE27859_DC_VS_CD11C_INT_F480_INT_DC_UP.html</t>
  </si>
  <si>
    <t>GSE26343_WT_VS_NFAT5_KO_MACROPHAGE_UP</t>
  </si>
  <si>
    <t>9404;695;6404;283897;55016;4094;4360;1601;27163;85464</t>
  </si>
  <si>
    <t>LPXN;BTK;SELPLG;C16orf54;MARCH1;MAF;MRC1;DAB2;NAAA;SSH2</t>
  </si>
  <si>
    <t>http://www.broadinstitute.org/gsea/msigdb/cards/GSE26343_WT_VS_NFAT5_KO_MACROPHAGE_UP.html</t>
  </si>
  <si>
    <t>GSE34156_NOD2_LIGAND_VS_NOD2_AND_TLR1_TLR2_LIGAND_6H_TREATED_MONOCYTE_DN</t>
  </si>
  <si>
    <t>3055;653361;10320;3603;1240;6793;348;3002;10437;4688</t>
  </si>
  <si>
    <t>HCK;NCF1;IKZF1;IL16;CMKLR1;STK10;APOE;GZMB;IFI30;NCF2</t>
  </si>
  <si>
    <t>http://www.broadinstitute.org/gsea/msigdb/cards/GSE34156_NOD2_LIGAND_VS_NOD2_AND_TLR1_TLR2_LIGAND_6H_TREATED_MONOCYTE_DN.html</t>
  </si>
  <si>
    <t>GSE37301_COMMON_LYMPHOID_PROGENITOR_VS_CD4_TCELL_DN</t>
  </si>
  <si>
    <t>27334;3676;6772;3587;474344;3635;6039;56659;241;5027</t>
  </si>
  <si>
    <t>P2RY10;ITGA4;STAT1;IL10RA;GIMAP6;INPP5D;RNASE6;KCNK13;ALOX5AP;P2RX7</t>
  </si>
  <si>
    <t>http://www.broadinstitute.org/gsea/msigdb/cards/GSE37301_COMMON_LYMPHOID_PROGENITOR_VS_CD4_TCELL_DN.html</t>
  </si>
  <si>
    <t>GSE37301_PRO_BCELL_VS_CD4_TCELL_UP</t>
  </si>
  <si>
    <t>4068;3932;944;5734;64333;10019;3737;4050;5027</t>
  </si>
  <si>
    <t>SH2D1A;LCK;TNFSF8;PTGER4;ARHGAP9;SH2B3;KCNA2;LTB;P2RX7</t>
  </si>
  <si>
    <t>http://www.broadinstitute.org/gsea/msigdb/cards/GSE37301_PRO_BCELL_VS_CD4_TCELL_UP.html</t>
  </si>
  <si>
    <t>GSE33162_UNTREATED_VS_4H_LPS_STIM_HDAC3_HET_MACROPHAGE_DN</t>
  </si>
  <si>
    <t>3575;3561;3702;256380;54557;596;1235;9806;4215;11217</t>
  </si>
  <si>
    <t>IL7R;IL2RG;ITK;SCML4;SGTB;BCL2;CCR6;SPOCK2;MAP3K3;AKAP2</t>
  </si>
  <si>
    <t>http://www.broadinstitute.org/gsea/msigdb/cards/GSE33162_UNTREATED_VS_4H_LPS_STIM_HDAC3_HET_MACROPHAGE_DN.html</t>
  </si>
  <si>
    <t>GSE33162_UNTREATED_VS_4H_LPS_STIM_HDAC3_KO_MACROPHAGE_DN</t>
  </si>
  <si>
    <t>10663;5551;3687;27033;29851;9120;3956;3902;54331;51762</t>
  </si>
  <si>
    <t>CXCR6;PRF1;ITGAX;ZBTB32;ICOS;SLC16A6;LGALS1;LAG3;GNG2;RAB8B</t>
  </si>
  <si>
    <t>http://www.broadinstitute.org/gsea/msigdb/cards/GSE33162_UNTREATED_VS_4H_LPS_STIM_HDAC3_KO_MACROPHAGE_DN.html</t>
  </si>
  <si>
    <t>GSE34006_WT_VS_A2AR_KO_TREG_UP</t>
  </si>
  <si>
    <t>3458;7133;4245;3662;11184;50615;3586;7454;356;5376</t>
  </si>
  <si>
    <t>IFNG;TNFRSF1B;MGAT1;IRF4;MAP4K1;IL21R;IL10;WAS;FASLG;PMP22</t>
  </si>
  <si>
    <t>http://www.broadinstitute.org/gsea/msigdb/cards/GSE34006_WT_VS_A2AR_KO_TREG_UP.html</t>
  </si>
  <si>
    <t>GSE39152_CD103_NEG_VS_POS_MEMORY_CD8_TCELL_UP</t>
  </si>
  <si>
    <t>5579;962;940;3662;4066;7185;10148;597;161145;10507</t>
  </si>
  <si>
    <t>PRKCB;CD48;CD28;IRF4;LYL1;TRAF1;EBI3;BCL2A1;TMEM229B;SEMA4D</t>
  </si>
  <si>
    <t>http://www.broadinstitute.org/gsea/msigdb/cards/GSE39152_CD103_NEG_VS_POS_MEMORY_CD8_TCELL_UP.html</t>
  </si>
  <si>
    <t>GSE39152_BRAIN_VS_SPLEEN_CD103_NEG_MEMORY_CD8_TCELL_UP</t>
  </si>
  <si>
    <t>9046;3627;6772;6890;115361;730249;3717;1435;7185;597</t>
  </si>
  <si>
    <t>DOK2;CXCL10;STAT1;TAP1;GBP4;ACOD1;JAK2;CSF1;TRAF1;BCL2A1</t>
  </si>
  <si>
    <t>http://www.broadinstitute.org/gsea/msigdb/cards/GSE39152_BRAIN_VS_SPLEEN_CD103_NEG_MEMORY_CD8_TCELL_UP.html</t>
  </si>
  <si>
    <t>GSE40274_SATB1_VS_FOXP3_AND_SATB1_TRANSDUCED_ACTIVATED_CD4_TCELL_UP</t>
  </si>
  <si>
    <t>4542;5579;4354;2313;9034;3684;2833;147138;132160</t>
  </si>
  <si>
    <t>MYO1F;PRKCB;MPP1;FLI1;CCRL2;ITGAM;CXCR3;TMC8;PPM1M</t>
  </si>
  <si>
    <t>http://www.broadinstitute.org/gsea/msigdb/cards/GSE40274_SATB1_VS_FOXP3_AND_SATB1_TRANSDUCED_ACTIVATED_CD4_TCELL_UP.html</t>
  </si>
  <si>
    <t>GSE40666_UNTREATED_VS_IFNA_STIM_STAT1_KO_CD8_TCELL_90MIN_UP</t>
  </si>
  <si>
    <t>1236;6772;259307;55303;10154;10148;23312;10507;81553;57823</t>
  </si>
  <si>
    <t>CCR7;STAT1;IL4I1;GIMAP4;PLXNC1;EBI3;DMXL2;SEMA4D;FAM49A;SLAMF7</t>
  </si>
  <si>
    <t>http://www.broadinstitute.org/gsea/msigdb/cards/GSE40666_UNTREATED_VS_IFNA_STIM_STAT1_KO_CD8_TCELL_90MIN_UP.html</t>
  </si>
  <si>
    <t>GSE20727_H2O2_VS_ROS_INHIBITOR_TREATED_DC_UP</t>
  </si>
  <si>
    <t>3575;1236;5734;10666;286336;3903;23533;1102;924;64919</t>
  </si>
  <si>
    <t>IL7R;CCR7;PTGER4;CD226;FAM78A;LAIR1;PIK3R5;RCBTB2;CD7;BCL11B</t>
  </si>
  <si>
    <t>http://www.broadinstitute.org/gsea/msigdb/cards/GSE20727_H2O2_VS_ROS_INHIBITOR_TREATED_DC_UP.html</t>
  </si>
  <si>
    <t>GSE36078_UNTREATED_VS_AD5_INF_MOUSE_LUNG_DC_UP</t>
  </si>
  <si>
    <t>972;6772;53829;54209;10673;241;10148;57514;9806;51676</t>
  </si>
  <si>
    <t>CD74;STAT1;P2RY13;TREM2;TNFSF13B;ALOX5AP;EBI3;ARHGAP31;SPOCK2;ASB2</t>
  </si>
  <si>
    <t>http://www.broadinstitute.org/gsea/msigdb/cards/GSE36078_UNTREATED_VS_AD5_INF_MOUSE_LUNG_DC_UP.html</t>
  </si>
  <si>
    <t>GSE11961_FOLLICULAR_BCELL_VS_PLASMA_CELL_DAY7_UP</t>
  </si>
  <si>
    <t>6351;51296;8477;259307;730249;29909;3002;3902;151556;116071</t>
  </si>
  <si>
    <t>CCL4;SLC15A3;GPR65;IL4I1;ACOD1;GPR171;GZMB;LAG3;GPR155;BATF2</t>
  </si>
  <si>
    <t>http://www.broadinstitute.org/gsea/msigdb/cards/GSE11961_FOLLICULAR_BCELL_VS_PLASMA_CELL_DAY7_UP.html</t>
  </si>
  <si>
    <t>GSE11961_MARGINAL_ZONE_BCELL_VS_GERMINAL_CENTER_BCELL_DAY40_UP</t>
  </si>
  <si>
    <t>8514;10320;84166;139716;89857;2212;2113;161176;91526;50515</t>
  </si>
  <si>
    <t>KCNAB2;IKZF1;NLRC5;GAB3;KLHL6;FCGR2A;ETS1;SYNE3;ANKRD44;CHST11</t>
  </si>
  <si>
    <t>http://www.broadinstitute.org/gsea/msigdb/cards/GSE11961_MARGINAL_ZONE_BCELL_VS_GERMINAL_CENTER_BCELL_DAY40_UP.html</t>
  </si>
  <si>
    <t>GSE11961_MARGINAL_ZONE_BCELL_VS_GERMINAL_CENTER_BCELL_DAY7_UP</t>
  </si>
  <si>
    <t>9404;653361;971;219972;27299;4049;921;4208;57705;54504</t>
  </si>
  <si>
    <t>LPXN;NCF1;CD72;MPEG1;ADAMDEC1;LTA;CD5;MEF2C;WDFY4;CPVL</t>
  </si>
  <si>
    <t>http://www.broadinstitute.org/gsea/msigdb/cards/GSE11961_MARGINAL_ZONE_BCELL_VS_GERMINAL_CENTER_BCELL_DAY7_UP.html</t>
  </si>
  <si>
    <t>GSE28737_FOLLICULAR_VS_MARGINAL_ZONE_BCELL_DN</t>
  </si>
  <si>
    <t>27334;9450;124535;84636;1621;926;441168;79865;147138;55691</t>
  </si>
  <si>
    <t>P2RY10;LY86;HSF5;GPR174;DBH;CD8B;CALHM6;TREML2;TMC8;FRMD4A</t>
  </si>
  <si>
    <t>http://www.broadinstitute.org/gsea/msigdb/cards/GSE28737_FOLLICULAR_VS_MARGINAL_ZONE_BCELL_DN.html</t>
  </si>
  <si>
    <t>GSE28737_BCL6_HET_VS_BCL6_KO_FOLLICULAR_BCELL_DN</t>
  </si>
  <si>
    <t>9450;712;713;714;914;2209;115361;64231;9056;2529</t>
  </si>
  <si>
    <t>LY86;C1QA;C1QB;C1QC;CD2;FCGR1A;GBP4;MS4A6A;SLC7A7;FUT7</t>
  </si>
  <si>
    <t>http://www.broadinstitute.org/gsea/msigdb/cards/GSE28737_BCL6_HET_VS_BCL6_KO_FOLLICULAR_BCELL_DN.html</t>
  </si>
  <si>
    <t>GSE33292_WT_VS_TCF1_KO_DN3_THYMOCYTE_UP</t>
  </si>
  <si>
    <t>9839;5579;3055;6036;2313;3603;399;10019;9120;969</t>
  </si>
  <si>
    <t>ZEB2;PRKCB;HCK;RNASE2;FLI1;IL16;RHOH;SH2B3;SLC16A6;CD69</t>
  </si>
  <si>
    <t>http://www.broadinstitute.org/gsea/msigdb/cards/GSE33292_WT_VS_TCF1_KO_DN3_THYMOCYTE_UP.html</t>
  </si>
  <si>
    <t>963;3683;10320;474344;57580;29851;4094;7454;57514;64919</t>
  </si>
  <si>
    <t>CD53;ITGAL;IKZF1;GIMAP6;PREX1;ICOS;MAF;WAS;ARHGAP31;BCL11B</t>
  </si>
  <si>
    <t>GSE41867_DAY8_VS_DAY15_LCMV_CLONE13_EFFECTOR_CD8_TCELL_UP</t>
  </si>
  <si>
    <t>9402;1493;3575;2322;19;2113;3586;375387;91526;54861</t>
  </si>
  <si>
    <t>GRAP2;CTLA4;IL7R;FLT3;ABCA1;ETS1;IL10;NRROS;ANKRD44;SNRK</t>
  </si>
  <si>
    <t>http://www.broadinstitute.org/gsea/msigdb/cards/GSE41867_DAY8_VS_DAY15_LCMV_CLONE13_EFFECTOR_CD8_TCELL_UP.html</t>
  </si>
  <si>
    <t>GSE41867_NAIVE_VS_DAY8_LCMV_EFFECTOR_CD8_TCELL_DN</t>
  </si>
  <si>
    <t>27334;914;940;3695;139818;92241;221472;19;2113;10235</t>
  </si>
  <si>
    <t>P2RY10;CD2;CD28;ITGB7;DOCK11;RCSD1;FGD2;ABCA1;ETS1;RASGRP2</t>
  </si>
  <si>
    <t>http://www.broadinstitute.org/gsea/msigdb/cards/GSE41867_NAIVE_VS_DAY8_LCMV_EFFECTOR_CD8_TCELL_DN.html</t>
  </si>
  <si>
    <t>GSE41867_LCMV_ARMSTRONG_VS_CLONE13_DAY8_EFFECTOR_CD8_TCELL_UP</t>
  </si>
  <si>
    <t>6351;139818;286336;89857;27306;4033;9815;89846;151556;54861</t>
  </si>
  <si>
    <t>CCL4;DOCK11;FAM78A;KLHL6;HPGDS;LRMP;GIT2;FGD3;GPR155;SNRK</t>
  </si>
  <si>
    <t>http://www.broadinstitute.org/gsea/msigdb/cards/GSE41867_LCMV_ARMSTRONG_VS_CLONE13_DAY8_EFFECTOR_CD8_TCELL_UP.html</t>
  </si>
  <si>
    <t>GSE35435_RESTING_VS_IL4_TREATED_MACROPHAGE_UP</t>
  </si>
  <si>
    <t>4542;5551;3820;3903;149628;6039;56833;80342;9120;7462</t>
  </si>
  <si>
    <t>MYO1F;PRF1;KLRB1;LAIR1;PYHIN1;RNASE6;SLAMF8;TRAF3IP3;SLC16A6;LAT2</t>
  </si>
  <si>
    <t>http://www.broadinstitute.org/gsea/msigdb/cards/GSE35435_RESTING_VS_IL4_TREATED_MACROPHAGE_UP.html</t>
  </si>
  <si>
    <t>925;3001;3676;3560;11151;3956;5552;3002;2357;5027</t>
  </si>
  <si>
    <t>CD8A;GZMA;ITGA4;IL2RB;CORO1A;LGALS1;SRGN;GZMB;FPR1;P2RX7</t>
  </si>
  <si>
    <t>http://www.broadinstitute.org/gsea/msigdb/cards/GSE41978_ID2_KO_VS_ID2_KO_AND_BIM_KO_KLRG1_LOW_EFFECTOR_CD8_TCELL_DN.html</t>
  </si>
  <si>
    <t>GSE42021_CD24HI_VS_CD24LOW_TREG_THYMUS_DN</t>
  </si>
  <si>
    <t>3627;51056;6373;9881;6402;3274;2359;6776;25780;55281</t>
  </si>
  <si>
    <t>CXCL10;LAP3;CXCL11;TRANK1;SELL;HRH2;FPR3;STAT5A;RASGRP3;TMEM140</t>
  </si>
  <si>
    <t>http://www.broadinstitute.org/gsea/msigdb/cards/GSE42021_CD24HI_VS_CD24LOW_TREG_THYMUS_DN.html</t>
  </si>
  <si>
    <t>GSE43957_UNTREATED_VS_NACL_TREATED_ANTI_CD3_CD28_STIM_CD4_TCELL_DN</t>
  </si>
  <si>
    <t>3659;2209;5734;3394;4283;6404;255231;10019;3586;8809</t>
  </si>
  <si>
    <t>IRF1;FCGR1A;PTGER4;IRF8;CXCL9;SELPLG;MCOLN2;SH2B3;IL10;IL18R1</t>
  </si>
  <si>
    <t>http://www.broadinstitute.org/gsea/msigdb/cards/GSE43957_UNTREATED_VS_NACL_TREATED_ANTI_CD3_CD28_STIM_CD4_TCELL_DN.html</t>
  </si>
  <si>
    <t>GSE43955_TH0_VS_TGFB_IL6_TH17_ACT_CD4_TCELL_52H_DN</t>
  </si>
  <si>
    <t>9450;925;917;4283;3635;341;3108;2213;10672;27240</t>
  </si>
  <si>
    <t>LY86;CD8A;CD3G;CXCL9;INPP5D;APOC1;HLA-DMA;FCGR2B;GNA13;SIT1</t>
  </si>
  <si>
    <t>http://www.broadinstitute.org/gsea/msigdb/cards/GSE43955_TH0_VS_TGFB_IL6_TH17_ACT_CD4_TCELL_52H_DN.html</t>
  </si>
  <si>
    <t>GSE43955_1H_VS_42H_ACT_CD4_TCELL_WITH_TGFB_IL6_DN</t>
  </si>
  <si>
    <t>9595;9450;2209;2350;1234;199;719;3684;3586;2529</t>
  </si>
  <si>
    <t>CYTIP;LY86;FCGR1A;FOLR2;CCR5;AIF1;C3AR1;ITGAM;IL10;FUT7</t>
  </si>
  <si>
    <t>http://www.broadinstitute.org/gsea/msigdb/cards/GSE43955_1H_VS_42H_ACT_CD4_TCELL_WITH_TGFB_IL6_DN.html</t>
  </si>
  <si>
    <t>GSE43863_NAIVE_VS_MEMORY_TFH_CD4_TCELL_D150_LCMV_DN</t>
  </si>
  <si>
    <t>3559;51056;3394;51296;2672;80380;8530;3902;5376;50515</t>
  </si>
  <si>
    <t>IL2RA;LAP3;IRF8;SLC15A3;GFI1;PDCD1LG2;CST7;LAG3;PMP22;CHST11</t>
  </si>
  <si>
    <t>http://www.broadinstitute.org/gsea/msigdb/cards/GSE43863_NAIVE_VS_MEMORY_TFH_CD4_TCELL_D150_LCMV_DN.html</t>
  </si>
  <si>
    <t>GSE43863_DAY6_EFF_VS_DAY150_MEM_LY6C_INT_CXCR5POS_CD4_TCELL_UP</t>
  </si>
  <si>
    <t>9214;1436;942;9744;3635;8832;6793;1508;4066;7462</t>
  </si>
  <si>
    <t>FCMR;CSF1R;CD86;ACAP1;INPP5D;CD84;STK10;CTSB;LYL1;LAT2</t>
  </si>
  <si>
    <t>http://www.broadinstitute.org/gsea/msigdb/cards/GSE43863_DAY6_EFF_VS_DAY150_MEM_LY6C_INT_CXCR5POS_CD4_TCELL_UP.html</t>
  </si>
  <si>
    <t>GSE46606_UNSTIM_VS_CD40L_IL2_IL5_3DAY_STIMULATED_IRF4MID_SORTED_BCELL_UP</t>
  </si>
  <si>
    <t>3071;10871;9744;79626;221472;25900;6503;9815;85464;84329</t>
  </si>
  <si>
    <t>NCKAP1L;CD300C;ACAP1;TNFAIP8L2;FGD2;IFFO1;SLA;GIT2;SSH2;HVCN1</t>
  </si>
  <si>
    <t>http://www.broadinstitute.org/gsea/msigdb/cards/GSE46606_UNSTIM_VS_CD40L_IL2_IL5_3DAY_STIMULATED_IRF4MID_SORTED_BCELL_UP.html</t>
  </si>
  <si>
    <t>GSE46606_IRF4HIGH_VS_IRF4MID_CD40L_IL2_IL5_DAY1_STIMULATED_BCELL_DN</t>
  </si>
  <si>
    <t>6351;1493;115361;81030;29851;10154;3717;926;3586;375387</t>
  </si>
  <si>
    <t>CCL4;CTLA4;GBP4;ZBP1;ICOS;PLXNC1;JAK2;CD8B;IL10;NRROS</t>
  </si>
  <si>
    <t>http://www.broadinstitute.org/gsea/msigdb/cards/GSE46606_IRF4HIGH_VS_IRF4MID_CD40L_IL2_IL5_DAY1_STIMULATED_BCELL_DN.html</t>
  </si>
  <si>
    <t>GSE46606_DAY1_VS_DAY3_CD40L_IL2_IL5_STIMULATED_BCELL_UP</t>
  </si>
  <si>
    <t>3627;3575;286530;139716;366;596;4688;4261;4033;64919</t>
  </si>
  <si>
    <t>CXCL10;IL7R;P2RY8;GAB3;AQP9;BCL2;NCF2;CIITA;LRMP;BCL11B</t>
  </si>
  <si>
    <t>http://www.broadinstitute.org/gsea/msigdb/cards/GSE46606_DAY1_VS_DAY3_CD40L_IL2_IL5_STIMULATED_BCELL_UP.html</t>
  </si>
  <si>
    <t>GSE6269_FLU_VS_STREP_PNEUMO_INF_PBMC_UP</t>
  </si>
  <si>
    <t>5788;3561;2633;6772;3594;81030;6373;9881;6614</t>
  </si>
  <si>
    <t>PTPRC;IL2RG;GBP1;STAT1;IL12RB1;ZBP1;CXCL11;TRANK1;SIGLEC1</t>
  </si>
  <si>
    <t>http://www.broadinstitute.org/gsea/msigdb/cards/GSE6269_FLU_VS_STREP_PNEUMO_INF_PBMC_UP.html</t>
  </si>
  <si>
    <t>GSE37532_VISCERAL_ADIPOSE_TISSUE_VS_LN_DERIVED_PPARG_KO_TREG_CD4_TCELL_UP</t>
  </si>
  <si>
    <t>920;914;963;7805;80301;27306;3059;27163;814</t>
  </si>
  <si>
    <t>CD4;CD2;CD53;LAPTM5;PLEKHO2;HPGDS;HCLS1;NAAA;CAMK4</t>
  </si>
  <si>
    <t>http://www.broadinstitute.org/gsea/msigdb/cards/GSE37532_VISCERAL_ADIPOSE_TISSUE_VS_LN_DERIVED_PPARG_KO_TREG_CD4_TCELL_UP.html</t>
  </si>
  <si>
    <t>GSE40274_FOXP3_VS_FOXP3_AND_HELIOS_TRANSDUCED_ACTIVATED_CD4_TCELL_UP</t>
  </si>
  <si>
    <t>8676;2268;225;27299;3604;64805;51063;9033</t>
  </si>
  <si>
    <t>STX11;FGR;ABCD2;ADAMDEC1;TNFRSF9;P2RY12;CALHM2;PKD2L1</t>
  </si>
  <si>
    <t>http://www.broadinstitute.org/gsea/msigdb/cards/GSE40274_FOXP3_VS_FOXP3_AND_HELIOS_TRANSDUCED_ACTIVATED_CD4_TCELL_UP.html</t>
  </si>
  <si>
    <t>GSE9601_UNTREATED_VS_NFKB_INHIBITOR_TREATED_HCMV_INF_MONOCYTE_DN</t>
  </si>
  <si>
    <t>1233;10320;3662;151888;64333;55303;3717;2113;22806</t>
  </si>
  <si>
    <t>CCR4;IKZF1;IRF4;BTLA;ARHGAP9;GIMAP4;JAK2;ETS1;IKZF3</t>
  </si>
  <si>
    <t>http://www.broadinstitute.org/gsea/msigdb/cards/GSE9601_UNTREATED_VS_NFKB_INHIBITOR_TREATED_HCMV_INF_MONOCYTE_DN.html</t>
  </si>
  <si>
    <t>GSE37301_MULTIPOTENT_PROGENITOR_VS_PRO_BCELL_DN</t>
  </si>
  <si>
    <t>3559;941;3587;55589;1435;5724;969;4240;50515</t>
  </si>
  <si>
    <t>IL2RA;CD80;IL10RA;BMP2K;CSF1;PTAFR;CD69;MFGE8;CHST11</t>
  </si>
  <si>
    <t>http://www.broadinstitute.org/gsea/msigdb/cards/GSE37301_MULTIPOTENT_PROGENITOR_VS_PRO_BCELL_DN.html</t>
  </si>
  <si>
    <t>GSE6259_FLT3L_INDUCED_33D1_POS_DC_VS_CD8_TCELL_UP</t>
  </si>
  <si>
    <t>2350;2014;9332;2162;3956;4360;4208;25780</t>
  </si>
  <si>
    <t>FOLR2;EMP3;CD163;F13A1;LGALS1;MRC1;MEF2C;RASGRP3</t>
  </si>
  <si>
    <t>http://www.broadinstitute.org/gsea/msigdb/cards/GSE6259_FLT3L_INDUCED_33D1_POS_DC_VS_CD8_TCELL_UP.html</t>
  </si>
  <si>
    <t>GSE10211_UV_INACT_SENDAI_VS_LIVE_SENDAI_VIRUS_TRACHEAL_EPITHELIAL_CELLS_UP</t>
  </si>
  <si>
    <t>3575;10320;221472;152789;1240;29909;91526;4215</t>
  </si>
  <si>
    <t>IL7R;IKZF1;FGD2;JAKMIP1;CMKLR1;GPR171;ANKRD44;MAP3K3</t>
  </si>
  <si>
    <t>http://www.broadinstitute.org/gsea/msigdb/cards/GSE10211_UV_INACT_SENDAI_VS_LIVE_SENDAI_VIRUS_TRACHEAL_EPITHELIAL_CELLS_UP.html</t>
  </si>
  <si>
    <t>GSE7568_IL4_VS_IL4_AND_DEXAMETHASONE_TREATED_MACROPHAGE_DN</t>
  </si>
  <si>
    <t>10663;1318;3575;10870;441168;91526;56606;25939</t>
  </si>
  <si>
    <t>CXCR6;SLC31A2;IL7R;HCST;CALHM6;ANKRD44;SLC2A9;SAMHD1</t>
  </si>
  <si>
    <t>http://www.broadinstitute.org/gsea/msigdb/cards/GSE7568_IL4_VS_IL4_AND_DEXAMETHASONE_TREATED_MACROPHAGE_DN.html</t>
  </si>
  <si>
    <t>GSE36891_POLYIC_TLR3_VS_PAM_TLR2_STIM_PERITONEAL_MACROPHAGE_UP</t>
  </si>
  <si>
    <t>9595;1493;941;5734;8477;9034;3586;80821</t>
  </si>
  <si>
    <t>CYTIP;CTLA4;CD80;PTGER4;GPR65;CCRL2;IL10;DDHD1</t>
  </si>
  <si>
    <t>http://www.broadinstitute.org/gsea/msigdb/cards/GSE36891_POLYIC_TLR3_VS_PAM_TLR2_STIM_PERITONEAL_MACROPHAGE_UP.html</t>
  </si>
  <si>
    <t>GSE6259_FLT3L_INDUCED_DEC205_POS_DC_VS_BCELL_UP</t>
  </si>
  <si>
    <t>9450;10261;10068;197358;51338;8832;7439;5027</t>
  </si>
  <si>
    <t>LY86;IGSF6;IL18BP;NLRC3;MS4A4A;CD84;BEST1;P2RX7</t>
  </si>
  <si>
    <t>http://www.broadinstitute.org/gsea/msigdb/cards/GSE6259_FLT3L_INDUCED_DEC205_POS_DC_VS_BCELL_UP.html</t>
  </si>
  <si>
    <t>GSE14415_NATURAL_TREG_VS_TCONV_DN</t>
  </si>
  <si>
    <t>3001;3687;81030;27033;3002;3684;3059;6693;3003</t>
  </si>
  <si>
    <t>GZMA;ITGAX;ZBP1;ZBTB32;GZMB;ITGAM;HCLS1;SPN;GZMK</t>
  </si>
  <si>
    <t>http://www.broadinstitute.org/gsea/msigdb/cards/GSE14415_NATURAL_TREG_VS_TCONV_DN.html</t>
  </si>
  <si>
    <t>GSE3720_UNSTIM_VS_LPS_STIM_VD2_GAMMADELTA_TCELL_DN</t>
  </si>
  <si>
    <t>3559;3689;5551;6504;84868;3956;2213;64581</t>
  </si>
  <si>
    <t>IL2RA;ITGB2;PRF1;SLAMF1;HAVCR2;LGALS1;FCGR2B;CLEC7A</t>
  </si>
  <si>
    <t>http://www.broadinstitute.org/gsea/msigdb/cards/GSE3720_UNSTIM_VS_LPS_STIM_VD2_GAMMADELTA_TCELL_DN.html</t>
  </si>
  <si>
    <t>GSE13547_2H_VS_12_H_ANTI_IGM_STIM_BCELL_DN</t>
  </si>
  <si>
    <t>51056;3662;84868;27033;9034;3553;3956;3003;3604</t>
  </si>
  <si>
    <t>LAP3;IRF4;HAVCR2;ZBTB32;CCRL2;IL1B;LGALS1;GZMK;TNFRSF9</t>
  </si>
  <si>
    <t>http://www.broadinstitute.org/gsea/msigdb/cards/GSE13547_2H_VS_12_H_ANTI_IGM_STIM_BCELL_DN.html</t>
  </si>
  <si>
    <t>GSE21033_CTRL_VS_POLYIC_STIM_DC_6H_DN</t>
  </si>
  <si>
    <t>3559;3683;3937;374403;1794;8564;2162;22806</t>
  </si>
  <si>
    <t>IL2RA;ITGAL;LCP2;TBC1D10C;DOCK2;KMO;F13A1;IKZF3</t>
  </si>
  <si>
    <t>http://www.broadinstitute.org/gsea/msigdb/cards/GSE21033_CTRL_VS_POLYIC_STIM_DC_6H_DN.html</t>
  </si>
  <si>
    <t>GSE11386_NAIVE_VS_MEMORY_BCELL_UP</t>
  </si>
  <si>
    <t>10663;3559;3689;6504;11006;84868;3956;6693;64747</t>
  </si>
  <si>
    <t>CXCR6;IL2RA;ITGB2;SLAMF1;LILRB4;HAVCR2;LGALS1;SPN;MFSD1</t>
  </si>
  <si>
    <t>http://www.broadinstitute.org/gsea/msigdb/cards/GSE11386_NAIVE_VS_MEMORY_BCELL_UP.html</t>
  </si>
  <si>
    <t>GSE32901_TH1_VS_TH17_NEG_CD4_TCELL_DN</t>
  </si>
  <si>
    <t>9214;9450;6351;27306;4033;5133;283316</t>
  </si>
  <si>
    <t>FCMR;LY86;CCL4;HPGDS;LRMP;PDCD1;CD163L1</t>
  </si>
  <si>
    <t>http://www.broadinstitute.org/gsea/msigdb/cards/GSE32901_TH1_VS_TH17_NEG_CD4_TCELL_DN.html</t>
  </si>
  <si>
    <t>GSE37534_GW1929_VS_ROSIGLITAZONE_TREATED_CD4_TCELL_PPARG1_FOXP3_TRANSDUCED_UP</t>
  </si>
  <si>
    <t>3587;5800;3553;348;4066;3737;9363;55704</t>
  </si>
  <si>
    <t>IL10RA;PTPRO;IL1B;APOE;LYL1;KCNA2;RAB33A;CCDC88A</t>
  </si>
  <si>
    <t>http://www.broadinstitute.org/gsea/msigdb/cards/GSE37534_GW1929_VS_ROSIGLITAZONE_TREATED_CD4_TCELL_PPARG1_FOXP3_TRANSDUCED_UP.html</t>
  </si>
  <si>
    <t>GSE32255_UNSTIM_VS_4H_LPS_STIM_DC_DN</t>
  </si>
  <si>
    <t>54440;5778;201633;79626;117289;29851;10437;64098</t>
  </si>
  <si>
    <t>SASH3;PTPN7;TIGIT;TNFAIP8L2;TAGAP;ICOS;IFI30;PARVG</t>
  </si>
  <si>
    <t>http://www.broadinstitute.org/gsea/msigdb/cards/GSE32255_UNSTIM_VS_4H_LPS_STIM_DC_DN.html</t>
  </si>
  <si>
    <t>GSE3720_LPS_VS_PMA_STIM_VD2_GAMMADELTA_TCELL_DN</t>
  </si>
  <si>
    <t>51056;27299;4094;8320;526;3586;4261;2833</t>
  </si>
  <si>
    <t>LAP3;ADAMDEC1;MAF;EOMES;ATP6V1B2;IL10;CIITA;CXCR3</t>
  </si>
  <si>
    <t>http://www.broadinstitute.org/gsea/msigdb/cards/GSE3720_LPS_VS_PMA_STIM_VD2_GAMMADELTA_TCELL_DN.html</t>
  </si>
  <si>
    <t>GSE37605_NOD_VS_C57BL6_IRES_GFP_TREG_UP</t>
  </si>
  <si>
    <t>8676;712;713;2268;3676;1235;151556;9806</t>
  </si>
  <si>
    <t>STX11;C1QA;C1QB;FGR;ITGA4;CCR6;GPR155;SPOCK2</t>
  </si>
  <si>
    <t>http://www.broadinstitute.org/gsea/msigdb/cards/GSE37605_NOD_VS_C57BL6_IRES_GFP_TREG_UP.html</t>
  </si>
  <si>
    <t>GSE37605_NOD_VS_C57BL6_IRES_GFP_TREG_DN</t>
  </si>
  <si>
    <t>5551;971;2313;10320;51338;814;375387;55013</t>
  </si>
  <si>
    <t>PRF1;CD72;FLI1;IKZF1;MS4A4A;CAMK4;NRROS;MCUB</t>
  </si>
  <si>
    <t>http://www.broadinstitute.org/gsea/msigdb/cards/GSE37605_NOD_VS_C57BL6_IRES_GFP_TREG_DN.html</t>
  </si>
  <si>
    <t>GSE37336_LY6C_POS_VS_NEG_NAIVE_CD4_TCELL_DN</t>
  </si>
  <si>
    <t>7456;2350;919;3820;10875;120939;58484;6753;2829</t>
  </si>
  <si>
    <t>WIPF1;FOLR2;CD247;KLRB1;FGL2;TMEM52B;NLRC4;SSTR3;XCR1</t>
  </si>
  <si>
    <t>http://www.broadinstitute.org/gsea/msigdb/cards/GSE37336_LY6C_POS_VS_NEG_NAIVE_CD4_TCELL_DN.html</t>
  </si>
  <si>
    <t>GSE11386_NAIVE_VS_MEMORY_BCELL_DN</t>
  </si>
  <si>
    <t>923;84166;1794;921;54;7185;5027;51466</t>
  </si>
  <si>
    <t>CD6;NLRC5;DOCK2;CD5;ACP5;TRAF1;P2RX7;EVL</t>
  </si>
  <si>
    <t>http://www.broadinstitute.org/gsea/msigdb/cards/GSE11386_NAIVE_VS_MEMORY_BCELL_DN.html</t>
  </si>
  <si>
    <t>GSE4590_PRE_BCELL_VS_VPREB_POS_LARGE_PRE_BCELL_DN</t>
  </si>
  <si>
    <t>10261;9744;474344;89857;54209;921;10184;91010</t>
  </si>
  <si>
    <t>IGSF6;ACAP1;GIMAP6;KLHL6;TREM2;CD5;LHFPL2;FMNL3</t>
  </si>
  <si>
    <t>http://www.broadinstitute.org/gsea/msigdb/cards/GSE4590_PRE_BCELL_VS_VPREB_POS_LARGE_PRE_BCELL_DN.html</t>
  </si>
  <si>
    <t>GSE13547_CTRL_VS_ANTI_IGM_STIM_BCELL_2H_DN</t>
  </si>
  <si>
    <t>2350;3575;3687;2213;3004;3824;8809;51466</t>
  </si>
  <si>
    <t>FOLR2;IL7R;ITGAX;FCGR2B;GZMM;KLRD1;IL18R1;EVL</t>
  </si>
  <si>
    <t>http://www.broadinstitute.org/gsea/msigdb/cards/GSE13547_CTRL_VS_ANTI_IGM_STIM_BCELL_2H_DN.html</t>
  </si>
  <si>
    <t>GSE12505_WT_VS_E2_2_HET_PDC_UP</t>
  </si>
  <si>
    <t>714;3695;391;283897;497189;6556;64581</t>
  </si>
  <si>
    <t>C1QC;ITGB7;RHOG;C16orf54;TIFAB;SLC11A1;CLEC7A</t>
  </si>
  <si>
    <t>http://www.broadinstitute.org/gsea/msigdb/cards/GSE12505_WT_VS_E2_2_HET_PDC_UP.html</t>
  </si>
  <si>
    <t>GSE25088_CTRL_VS_IL4_STIM_STAT6_KO_MACROPHAGE_UP</t>
  </si>
  <si>
    <t>3458;2633;944;255231;2857;27299;2212;2529;57823</t>
  </si>
  <si>
    <t>IFNG;GBP1;TNFSF8;MCOLN2;GPR34;ADAMDEC1;FCGR2A;FUT7;SLAMF7</t>
  </si>
  <si>
    <t>http://www.broadinstitute.org/gsea/msigdb/cards/GSE25088_CTRL_VS_IL4_STIM_STAT6_KO_MACROPHAGE_UP.html</t>
  </si>
  <si>
    <t>GSE45365_BCELL_VS_CD8_TCELL_DN</t>
  </si>
  <si>
    <t>9402;713;714;7634;91752;51338;2811;3956;9754</t>
  </si>
  <si>
    <t>GRAP2;C1QB;C1QC;ZNF80;ZNF804A;MS4A4A;GP1BA;LGALS1;STARD8</t>
  </si>
  <si>
    <t>http://www.broadinstitute.org/gsea/msigdb/cards/GSE45365_BCELL_VS_CD8_TCELL_DN.html</t>
  </si>
  <si>
    <t>GSE45365_HEALTHY_VS_MCMV_INFECTION_CD8_TCELL_IFNAR_KO_DN</t>
  </si>
  <si>
    <t>3932;3560;971;7805;9744;154075;1794;56833;4360</t>
  </si>
  <si>
    <t>LCK;IL2RB;CD72;LAPTM5;ACAP1;SAMD3;DOCK2;SLAMF8;MRC1</t>
  </si>
  <si>
    <t>http://www.broadinstitute.org/gsea/msigdb/cards/GSE45365_HEALTHY_VS_MCMV_INFECTION_CD8_TCELL_IFNAR_KO_DN.html</t>
  </si>
  <si>
    <t>474344;84166;55303;140885;155038;79895;1522</t>
  </si>
  <si>
    <t>GIMAP6;NLRC5;GIMAP4;SIRPA;GIMAP8;ATP8B4;CTSZ</t>
  </si>
  <si>
    <t>http://www.broadinstitute.org/gsea/msigdb/cards/GSE10422_WT_VS_BAFF_TRANSGENIC_LN_BCELL_DN.html</t>
  </si>
  <si>
    <t>GSE12003_4D_VS_8D_CULTURE_BM_PROGENITOR_UP</t>
  </si>
  <si>
    <t>11025;653361;923;117289;51284;19;91010;29126</t>
  </si>
  <si>
    <t>LILRB3;NCF1;CD6;TAGAP;TLR7;ABCA1;FMNL3;CD274</t>
  </si>
  <si>
    <t>http://www.broadinstitute.org/gsea/msigdb/cards/GSE12003_4D_VS_8D_CULTURE_BM_PROGENITOR_UP.html</t>
  </si>
  <si>
    <t>GSE5542_UNTREATED_VS_IFNA_TREATED_EPITHELIAL_CELLS_6H_DN</t>
  </si>
  <si>
    <t>387357;170575;3111;926;3718;90634;10235;161145;79690</t>
  </si>
  <si>
    <t>THEMIS;GIMAP1;HLA-DOA;CD8B;JAK3;N4BP2L1;RASGRP2;TMEM229B;GAL3ST4</t>
  </si>
  <si>
    <t>http://www.broadinstitute.org/gsea/msigdb/cards/GSE5542_UNTREATED_VS_IFNA_TREATED_EPITHELIAL_CELLS_6H_DN.html</t>
  </si>
  <si>
    <t>GSE16385_IFNG_TNF_VS_IL4_STIM_MACROPHAGE_ROSIGLITAZONE_TREATED_UP</t>
  </si>
  <si>
    <t>11025;3676;963;2210;64092;10019;3002;5133;55013</t>
  </si>
  <si>
    <t>LILRB3;ITGA4;CD53;FCGR1B;SAMSN1;SH2B3;GZMB;PDCD1;MCUB</t>
  </si>
  <si>
    <t>http://www.broadinstitute.org/gsea/msigdb/cards/GSE16385_IFNG_TNF_VS_IL4_STIM_MACROPHAGE_ROSIGLITAZONE_TREATED_UP.html</t>
  </si>
  <si>
    <t>GSE37563_WT_VS_CTLA4_KO_CD4_TCELL_D4_POST_IMMUNIZATION_UP</t>
  </si>
  <si>
    <t>9402;3659;3071;55843;89857;225;89846;283316</t>
  </si>
  <si>
    <t>GRAP2;IRF1;NCKAP1L;ARHGAP15;KLHL6;ABCD2;FGD3;CD163L1</t>
  </si>
  <si>
    <t>http://www.broadinstitute.org/gsea/msigdb/cards/GSE37563_WT_VS_CTLA4_KO_CD4_TCELL_D4_POST_IMMUNIZATION_UP.html</t>
  </si>
  <si>
    <t>GSE21927_SPLEEN_VS_4T1_TUMOR_MONOCYTE_BALBC_UP</t>
  </si>
  <si>
    <t>1318;11309;712;313;942;139716;11314;3684;10437</t>
  </si>
  <si>
    <t>SLC31A2;SLCO2B1;C1QA;AOAH;CD86;GAB3;CD300A;ITGAM;IFI30</t>
  </si>
  <si>
    <t>http://www.broadinstitute.org/gsea/msigdb/cards/GSE21927_SPLEEN_VS_4T1_TUMOR_MONOCYTE_BALBC_UP.html</t>
  </si>
  <si>
    <t>GSE21927_SPLENIC_C26GM_TUMOROUS_VS_4T1_TUMOR_MONOCYTES_DN</t>
  </si>
  <si>
    <t>7940;9450;51056;55843;8564;10154;54331;57589;118788</t>
  </si>
  <si>
    <t>LST1;LY86;LAP3;ARHGAP15;KMO;PLXNC1;GNG2;RIC1;PIK3AP1</t>
  </si>
  <si>
    <t>http://www.broadinstitute.org/gsea/msigdb/cards/GSE21927_SPLENIC_C26GM_TUMOROUS_VS_4T1_TUMOR_MONOCYTES_DN.html</t>
  </si>
  <si>
    <t>GSE16385_UNTREATED_VS_12H_ROSIGLITAZONE_TREATED_MACROPHAGE_DN</t>
  </si>
  <si>
    <t>3627;941;55016;4049;2213;79865;84230;149699;57823</t>
  </si>
  <si>
    <t>CXCL10;CD80;MARCH1;LTA;FCGR2B;TREML2;LRRC8C;GTSF1L;SLAMF7</t>
  </si>
  <si>
    <t>http://www.broadinstitute.org/gsea/msigdb/cards/GSE16385_UNTREATED_VS_12H_ROSIGLITAZONE_TREATED_MACROPHAGE_DN.html</t>
  </si>
  <si>
    <t>GSE23114_PERITONEAL_CAVITY_B1A_BCELL_VS_SPLEEN_BCELL_UP</t>
  </si>
  <si>
    <t>9595;915;6404;64407;55303;2848;7439;5724;51063</t>
  </si>
  <si>
    <t>CYTIP;CD3D;SELPLG;RGS18;GIMAP4;GPR25;BEST1;PTAFR;CALHM2</t>
  </si>
  <si>
    <t>http://www.broadinstitute.org/gsea/msigdb/cards/GSE23114_PERITONEAL_CAVITY_B1A_BCELL_VS_SPLEEN_BCELL_UP.html</t>
  </si>
  <si>
    <t>GSE32986_GMCSF_VS_GMCSF_AND_CURDLAN_HIGHDOSE_STIM_DC_DN</t>
  </si>
  <si>
    <t>5734;5294;128346;57105;8832;55704;206358;25780;55619</t>
  </si>
  <si>
    <t>PTGER4;PIK3CG;C1orf162;CYSLTR2;CD84;CCDC88A;SLC36A1;RASGRP3;DOCK10</t>
  </si>
  <si>
    <t>http://www.broadinstitute.org/gsea/msigdb/cards/GSE32986_GMCSF_VS_GMCSF_AND_CURDLAN_HIGHDOSE_STIM_DC_DN.html</t>
  </si>
  <si>
    <t>GSE46242_CTRL_VS_EGR2_DELETED_TH1_CD4_TCELL_DN</t>
  </si>
  <si>
    <t>9404;5579;914;3575;139818;341;3290;84106;4327</t>
  </si>
  <si>
    <t>LPXN;PRKCB;CD2;IL7R;DOCK11;APOC1;HSD11B1;PRAM1;MMP19</t>
  </si>
  <si>
    <t>http://www.broadinstitute.org/gsea/msigdb/cards/GSE46242_CTRL_VS_EGR2_DELETED_TH1_CD4_TCELL_DN.html</t>
  </si>
  <si>
    <t>KAECH_NAIVE_VS_MEMORY_CD8_TCELL_UP</t>
  </si>
  <si>
    <t>925;5579;1236;4354;921;3111;3112;4688;10077</t>
  </si>
  <si>
    <t>CD8A;PRKCB;CCR7;MPP1;CD5;HLA-DOA;HLA-DOB;NCF2;TSPAN32</t>
  </si>
  <si>
    <t>http://www.broadinstitute.org/gsea/msigdb/cards/KAECH_NAIVE_VS_MEMORY_CD8_TCELL_UP.html</t>
  </si>
  <si>
    <t>GSE10094_LCMV_VS_LISTERIA_IND_EFF_CD4_TCELL_DN</t>
  </si>
  <si>
    <t>4210;6351;2322;197135;9881;4481;4050;64581;6614</t>
  </si>
  <si>
    <t>MEFV;CCL4;FLT3;PATL2;TRANK1;MSR1;LTB;CLEC7A;SIGLEC1</t>
  </si>
  <si>
    <t>http://www.broadinstitute.org/gsea/msigdb/cards/GSE10094_LCMV_VS_LISTERIA_IND_EFF_CD4_TCELL_DN.html</t>
  </si>
  <si>
    <t>GSE10239_NAIVE_VS_KLRG1HIGH_EFF_CD8_TCELL_DN</t>
  </si>
  <si>
    <t>8676;3676;7133;1234;3394;118788;57823;22806;4644</t>
  </si>
  <si>
    <t>STX11;ITGA4;TNFRSF1B;CCR5;IRF8;PIK3AP1;SLAMF7;IKZF3;MYO5A</t>
  </si>
  <si>
    <t>http://www.broadinstitute.org/gsea/msigdb/cards/GSE10239_NAIVE_VS_KLRG1HIGH_EFF_CD8_TCELL_DN.html</t>
  </si>
  <si>
    <t>GSE11864_UNTREATED_VS_CSF1_PAM3CYS_IN_MAC_UP</t>
  </si>
  <si>
    <t>9535;2322;4354;11262;124460;11314;1102;85464;54504</t>
  </si>
  <si>
    <t>GMFG;FLT3;MPP1;SP140;SNX20;CD300A;RCBTB2;SSH2;CPVL</t>
  </si>
  <si>
    <t>http://www.broadinstitute.org/gsea/msigdb/cards/GSE11864_UNTREATED_VS_CSF1_PAM3CYS_IN_MAC_UP.html</t>
  </si>
  <si>
    <t>GSE11864_UNTREATED_VS_CSF1_IFNG_PAM3CYS_IN_MAC_UP</t>
  </si>
  <si>
    <t>9535;920;7805;246329;11010;8905;161176;51063;29125</t>
  </si>
  <si>
    <t>GMFG;CD4;LAPTM5;STAC3;GLIPR1;AP1S2;SYNE3;CALHM2;C11orf21</t>
  </si>
  <si>
    <t>http://www.broadinstitute.org/gsea/msigdb/cards/GSE11864_UNTREATED_VS_CSF1_IFNG_PAM3CYS_IN_MAC_UP.html</t>
  </si>
  <si>
    <t>GSE11864_CSF1_VS_CSF1_PAM3CYS_IN_MAC_DN</t>
  </si>
  <si>
    <t>2633;80301;80380;9034;2113;6507;118788;5027;57823</t>
  </si>
  <si>
    <t>GBP1;PLEKHO2;PDCD1LG2;CCRL2;ETS1;SLC1A3;PIK3AP1;P2RX7;SLAMF7</t>
  </si>
  <si>
    <t>http://www.broadinstitute.org/gsea/msigdb/cards/GSE11864_CSF1_VS_CSF1_PAM3CYS_IN_MAC_DN.html</t>
  </si>
  <si>
    <t>GSE11864_CSF1_VS_CSF1_IFNG_PAM3CYS_IN_MAC_DN</t>
  </si>
  <si>
    <t>11025;5778;399;9034;3717;1435;3002;9938;53831</t>
  </si>
  <si>
    <t>LILRB3;PTPN7;RHOH;CCRL2;JAK2;CSF1;GZMB;ARHGAP25;GPR84</t>
  </si>
  <si>
    <t>http://www.broadinstitute.org/gsea/msigdb/cards/GSE11864_CSF1_VS_CSF1_IFNG_PAM3CYS_IN_MAC_DN.html</t>
  </si>
  <si>
    <t>GSE11864_CSF1_IFNG_VS_CSF1_IFNG_PAM3CYS_IN_MAC_DN</t>
  </si>
  <si>
    <t>914;3687;1234;64092;6793;2357;3718;56670;57823</t>
  </si>
  <si>
    <t>CD2;ITGAX;CCR5;SAMSN1;STK10;FPR1;JAK3;SUCNR1;SLAMF7</t>
  </si>
  <si>
    <t>http://www.broadinstitute.org/gsea/msigdb/cards/GSE11864_CSF1_IFNG_VS_CSF1_IFNG_PAM3CYS_IN_MAC_DN.html</t>
  </si>
  <si>
    <t>GSE11924_TFH_VS_TH1_CD4_TCELL_UP</t>
  </si>
  <si>
    <t>923;11151;5800;115361;348;4050;597;57589;53831</t>
  </si>
  <si>
    <t>CD6;CORO1A;PTPRO;GBP4;APOE;LTB;BCL2A1;RIC1;GPR84</t>
  </si>
  <si>
    <t>http://www.broadinstitute.org/gsea/msigdb/cards/GSE11924_TFH_VS_TH1_CD4_TCELL_UP.html</t>
  </si>
  <si>
    <t>GSE12845_IGD_POS_BLOOD_VS_NAIVE_TONSIL_BCELL_DN</t>
  </si>
  <si>
    <t>8514;10320;3662;26051;4063;27128;10019;4261;30835</t>
  </si>
  <si>
    <t>KCNAB2;IKZF1;IRF4;PPP1R16B;LY9;CYTH4;SH2B3;CIITA;CD209</t>
  </si>
  <si>
    <t>http://www.broadinstitute.org/gsea/msigdb/cards/GSE12845_IGD_POS_BLOOD_VS_NAIVE_TONSIL_BCELL_DN.html</t>
  </si>
  <si>
    <t>GSE12845_IGD_NEG_BLOOD_VS_NAIVE_TONSIL_BCELL_DN</t>
  </si>
  <si>
    <t>4242;9595;923;8514;27128;50856;11010;6503;50515</t>
  </si>
  <si>
    <t>MFNG;CYTIP;CD6;KCNAB2;CYTH4;CLEC4A;GLIPR1;SLA;CHST11</t>
  </si>
  <si>
    <t>http://www.broadinstitute.org/gsea/msigdb/cards/GSE12845_IGD_NEG_BLOOD_VS_NAIVE_TONSIL_BCELL_DN.html</t>
  </si>
  <si>
    <t>GSE12845_IGD_NEG_BLOOD_VS_PRE_GC_TONSIL_BCELL_DN</t>
  </si>
  <si>
    <t>9404;1436;971;50615;50856;27299;4033;10457;9935</t>
  </si>
  <si>
    <t>LPXN;CSF1R;CD72;IL21R;CLEC4A;ADAMDEC1;LRMP;GPNMB;MAFB</t>
  </si>
  <si>
    <t>http://www.broadinstitute.org/gsea/msigdb/cards/GSE12845_IGD_NEG_BLOOD_VS_PRE_GC_TONSIL_BCELL_DN.html</t>
  </si>
  <si>
    <t>GSE13411_NAIVE_VS_IGM_MEMORY_BCELL_DN</t>
  </si>
  <si>
    <t>9404;6352;10875;79930;6793;729230;4050;30817;10004</t>
  </si>
  <si>
    <t>LPXN;CCL5;FGL2;DOK3;STK10;CCR2;LTB;ADGRE2;NAALADL1</t>
  </si>
  <si>
    <t>http://www.broadinstitute.org/gsea/msigdb/cards/GSE13411_NAIVE_VS_IGM_MEMORY_BCELL_DN.html</t>
  </si>
  <si>
    <t>GSE13484_UNSTIM_VS_3H_YF17D_VACCINE_STIM_PBMC_DN</t>
  </si>
  <si>
    <t>9595;3662;80301;27299;2359;2213;356;2833;10148</t>
  </si>
  <si>
    <t>CYTIP;IRF4;PLEKHO2;ADAMDEC1;FPR3;FCGR2B;FASLG;CXCR3;EBI3</t>
  </si>
  <si>
    <t>http://www.broadinstitute.org/gsea/msigdb/cards/GSE13484_UNSTIM_VS_3H_YF17D_VACCINE_STIM_PBMC_DN.html</t>
  </si>
  <si>
    <t>GSE13484_UNSTIM_VS_YF17D_VACCINE_STIM_PBMC_UP</t>
  </si>
  <si>
    <t>4242;9046;54440;3936;729230;8905;25900;4215;51063</t>
  </si>
  <si>
    <t>MFNG;DOK2;SASH3;LCP1;CCR2;AP1S2;IFFO1;MAP3K3;CALHM2</t>
  </si>
  <si>
    <t>http://www.broadinstitute.org/gsea/msigdb/cards/GSE13484_UNSTIM_VS_YF17D_VACCINE_STIM_PBMC_UP.html</t>
  </si>
  <si>
    <t>GSE13485_DAY3_VS_DAY21_YF17D_VACCINE_PBMC_UP</t>
  </si>
  <si>
    <t>7133;7453;51056;3394;23533;10019;11024;57514;84034</t>
  </si>
  <si>
    <t>TNFRSF1B;WARS;LAP3;IRF8;PIK3R5;SH2B3;LILRA1;ARHGAP31;EMILIN2</t>
  </si>
  <si>
    <t>http://www.broadinstitute.org/gsea/msigdb/cards/GSE13485_DAY3_VS_DAY21_YF17D_VACCINE_PBMC_UP.html</t>
  </si>
  <si>
    <t>GSE14308_TH1_VS_TH17_UP</t>
  </si>
  <si>
    <t>7453;6772;53347;6404;10666;1102;1435;27163;91526</t>
  </si>
  <si>
    <t>WARS;STAT1;UBASH3A;SELPLG;CD226;RCBTB2;CSF1;NAAA;ANKRD44</t>
  </si>
  <si>
    <t>http://www.broadinstitute.org/gsea/msigdb/cards/GSE14308_TH1_VS_TH17_UP.html</t>
  </si>
  <si>
    <t>GSE14308_TH1_VS_NATURAL_TREG_DN</t>
  </si>
  <si>
    <t>9404;916;3659;3560;3587;84636;56253;55691;11217</t>
  </si>
  <si>
    <t>LPXN;CD3E;IRF1;IL2RB;IL10RA;GPR174;CRTAM;FRMD4A;AKAP2</t>
  </si>
  <si>
    <t>http://www.broadinstitute.org/gsea/msigdb/cards/GSE14308_TH1_VS_NATURAL_TREG_DN.html</t>
  </si>
  <si>
    <t>GSE14308_TH17_VS_NAIVE_CD4_TCELL_UP</t>
  </si>
  <si>
    <t>27334;9535;3117;3162;241;118788;64780;23166;4644</t>
  </si>
  <si>
    <t>P2RY10;GMFG;HLA-DQA1;HMOX1;ALOX5AP;PIK3AP1;MICAL1;STAB1;MYO5A</t>
  </si>
  <si>
    <t>http://www.broadinstitute.org/gsea/msigdb/cards/GSE14308_TH17_VS_NAIVE_CD4_TCELL_UP.html</t>
  </si>
  <si>
    <t>GSE1460_INTRATHYMIC_T_PROGENITOR_VS_THYMIC_STROMAL_CELL_UP</t>
  </si>
  <si>
    <t>8676;50852;27128;29851;9881;3109;5133;3123;10235</t>
  </si>
  <si>
    <t>STX11;TRAT1;CYTH4;ICOS;TRANK1;HLA-DMB;PDCD1;HLA-DRB1;RASGRP2</t>
  </si>
  <si>
    <t>http://www.broadinstitute.org/gsea/msigdb/cards/GSE1460_INTRATHYMIC_T_PROGENITOR_VS_THYMIC_STROMAL_CELL_UP.html</t>
  </si>
  <si>
    <t>80833;962;923;3936;526;9938;597;206358;25939</t>
  </si>
  <si>
    <t>APOL3;CD48;CD6;LCP1;ATP6V1B2;ARHGAP25;BCL2A1;SLC36A1;SAMHD1</t>
  </si>
  <si>
    <t>http://www.broadinstitute.org/gsea/msigdb/cards/GSE1460_CORD_VS_ADULT_BLOOD_NAIVE_CD4_TCELL_DN.html</t>
  </si>
  <si>
    <t>10068;3071;283897;27128;7099;4066;89846;10184;55281</t>
  </si>
  <si>
    <t>IL18BP;NCKAP1L;C16orf54;CYTH4;TLR4;LYL1;FGD3;LHFPL2;TMEM140</t>
  </si>
  <si>
    <t>http://www.broadinstitute.org/gsea/msigdb/cards/GSE14769_UNSTIM_VS_60MIN_LPS_BMDM_UP.html</t>
  </si>
  <si>
    <t>GSE14769_40MIN_VS_360MIN_LPS_BMDM_UP</t>
  </si>
  <si>
    <t>5294;8514;7805;3603;55843;3162;596;3684;245972</t>
  </si>
  <si>
    <t>PIK3CG;KCNAB2;LAPTM5;IL16;ARHGAP15;HMOX1;BCL2;ITGAM;ATP6V0D2</t>
  </si>
  <si>
    <t>http://www.broadinstitute.org/gsea/msigdb/cards/GSE14769_40MIN_VS_360MIN_LPS_BMDM_UP.html</t>
  </si>
  <si>
    <t>GSE15324_ELF4_KO_VS_WT_NAIVE_CD8_TCELL_UP</t>
  </si>
  <si>
    <t>3687;1234;124460;9332;197135;5133;115727;9806;57823</t>
  </si>
  <si>
    <t>ITGAX;CCR5;SNX20;CD163;PATL2;PDCD1;RASGRP4;SPOCK2;SLAMF7</t>
  </si>
  <si>
    <t>http://www.broadinstitute.org/gsea/msigdb/cards/GSE15324_ELF4_KO_VS_WT_NAIVE_CD8_TCELL_UP.html</t>
  </si>
  <si>
    <t>GSE15659_CD45RA_NEG_CD4_TCELL_VS_NONSUPPRESSIVE_TCELL_UP</t>
  </si>
  <si>
    <t>9595;959;1794;27299;924;926;2113;55013;51466</t>
  </si>
  <si>
    <t>CYTIP;CD40LG;DOCK2;ADAMDEC1;CD7;CD8B;ETS1;MCUB;EVL</t>
  </si>
  <si>
    <t>http://www.broadinstitute.org/gsea/msigdb/cards/GSE15659_CD45RA_NEG_CD4_TCELL_VS_NONSUPPRESSIVE_TCELL_UP.html</t>
  </si>
  <si>
    <t>GSE15659_RESTING_VS_ACTIVATED_TREG_UP</t>
  </si>
  <si>
    <t>1536;916;6351;57105;8320;924;926;55013;29125</t>
  </si>
  <si>
    <t>CYBB;CD3E;CCL4;CYSLTR2;EOMES;CD7;CD8B;MCUB;C11orf21</t>
  </si>
  <si>
    <t>http://www.broadinstitute.org/gsea/msigdb/cards/GSE15659_RESTING_VS_ACTIVATED_TREG_UP.html</t>
  </si>
  <si>
    <t>GSE15750_WT_VS_TRAF6KO_DAY6_EFF_CD8_TCELL_UP</t>
  </si>
  <si>
    <t>221188;256380;8320;80821;84329;51676;64805;50515;53831</t>
  </si>
  <si>
    <t>ADGRG5;SCML4;EOMES;DDHD1;HVCN1;ASB2;P2RY12;CHST11;GPR84</t>
  </si>
  <si>
    <t>http://www.broadinstitute.org/gsea/msigdb/cards/GSE15750_WT_VS_TRAF6KO_DAY6_EFF_CD8_TCELL_UP.html</t>
  </si>
  <si>
    <t>GSE15930_NAIVE_VS_24H_IN_VITRO_STIM_CD8_TCELL_UP</t>
  </si>
  <si>
    <t>255231;51284;3111;596;3274;6776;4240;89846;27240</t>
  </si>
  <si>
    <t>MCOLN2;TLR7;HLA-DOA;BCL2;HRH2;STAT5A;MFGE8;FGD3;SIT1</t>
  </si>
  <si>
    <t>http://www.broadinstitute.org/gsea/msigdb/cards/GSE15930_NAIVE_VS_24H_IN_VITRO_STIM_CD8_TCELL_UP.html</t>
  </si>
  <si>
    <t>GSE15930_NAIVE_VS_24H_IN_VITRO_STIM_IL12_CD8_TCELL_DN</t>
  </si>
  <si>
    <t>3458;3559;5734;1234;3394;3662;3002;10437;3604</t>
  </si>
  <si>
    <t>IFNG;IL2RA;PTGER4;CCR5;IRF8;IRF4;GZMB;IFI30;TNFRSF9</t>
  </si>
  <si>
    <t>http://www.broadinstitute.org/gsea/msigdb/cards/GSE15930_NAIVE_VS_24H_IN_VITRO_STIM_IL12_CD8_TCELL_DN.html</t>
  </si>
  <si>
    <t>GSE15930_NAIVE_VS_24H_IN_VITRO_STIM_INFAB_CD8_TCELL_UP</t>
  </si>
  <si>
    <t>4542;255231;3111;596;3274;6776;4240;89846;27240</t>
  </si>
  <si>
    <t>MYO1F;MCOLN2;HLA-DOA;BCL2;HRH2;STAT5A;MFGE8;FGD3;SIT1</t>
  </si>
  <si>
    <t>http://www.broadinstitute.org/gsea/msigdb/cards/GSE15930_NAIVE_VS_24H_IN_VITRO_STIM_INFAB_CD8_TCELL_UP.html</t>
  </si>
  <si>
    <t>GSE15930_NAIVE_VS_24H_IN_VITRO_STIM_INFAB_CD8_TCELL_DN</t>
  </si>
  <si>
    <t>3458;3559;6351;5734;3394;3662;3002;10437;3604</t>
  </si>
  <si>
    <t>IFNG;IL2RA;CCL4;PTGER4;IRF8;IRF4;GZMB;IFI30;TNFRSF9</t>
  </si>
  <si>
    <t>http://www.broadinstitute.org/gsea/msigdb/cards/GSE15930_NAIVE_VS_24H_IN_VITRO_STIM_INFAB_CD8_TCELL_DN.html</t>
  </si>
  <si>
    <t>GSE15930_NAIVE_VS_48H_IN_VITRO_STIM_CD8_TCELL_UP</t>
  </si>
  <si>
    <t>929;3001;2350;51284;19;924;3112;6776;4240</t>
  </si>
  <si>
    <t>CD14;GZMA;FOLR2;TLR7;ABCA1;CD7;HLA-DOB;STAT5A;MFGE8</t>
  </si>
  <si>
    <t>http://www.broadinstitute.org/gsea/msigdb/cards/GSE15930_NAIVE_VS_48H_IN_VITRO_STIM_CD8_TCELL_UP.html</t>
  </si>
  <si>
    <t>GSE17721_CTRL_VS_POLYIC_1H_BMDC_DN</t>
  </si>
  <si>
    <t>3627;916;50852;55589;225;27036;9120;2213;3004</t>
  </si>
  <si>
    <t>CXCL10;CD3E;TRAT1;BMP2K;ABCD2;SIGLEC7;SLC16A6;FCGR2B;GZMM</t>
  </si>
  <si>
    <t>http://www.broadinstitute.org/gsea/msigdb/cards/GSE17721_CTRL_VS_POLYIC_1H_BMDC_DN.html</t>
  </si>
  <si>
    <t>GSE17721_CTRL_VS_PAM3CSK4_4H_BMDC_UP</t>
  </si>
  <si>
    <t>10663;54440;11151;10871;81030;3108;1601;64805;64098</t>
  </si>
  <si>
    <t>CXCR6;SASH3;CORO1A;CD300C;ZBP1;HLA-DMA;DAB2;P2RY12;PARVG</t>
  </si>
  <si>
    <t>http://www.broadinstitute.org/gsea/msigdb/cards/GSE17721_CTRL_VS_PAM3CSK4_4H_BMDC_UP.html</t>
  </si>
  <si>
    <t>GSE17721_CTRL_VS_PAM3CSK4_8H_BMDC_UP</t>
  </si>
  <si>
    <t>962;51056;11151;4354;10871;5800;1621;4033;4327</t>
  </si>
  <si>
    <t>CD48;LAP3;CORO1A;MPP1;CD300C;PTPRO;DBH;LRMP;MMP19</t>
  </si>
  <si>
    <t>http://www.broadinstitute.org/gsea/msigdb/cards/GSE17721_CTRL_VS_PAM3CSK4_8H_BMDC_UP.html</t>
  </si>
  <si>
    <t>5294;79930;139716;56659;9056;10437;3108;3824;79630</t>
  </si>
  <si>
    <t>PIK3CG;DOK3;GAB3;KCNK13;SLC7A7;IFI30;HLA-DMA;KLRD1;C1orf54</t>
  </si>
  <si>
    <t>http://www.broadinstitute.org/gsea/msigdb/cards/GSE17721_CTRL_VS_CPG_4H_BMDC_UP.html</t>
  </si>
  <si>
    <t>GSE17721_CTRL_VS_CPG_6H_BMDC_UP</t>
  </si>
  <si>
    <t>11151;10871;225;30009;9056;4360;729230;1235;79630</t>
  </si>
  <si>
    <t>CORO1A;CD300C;ABCD2;TBX21;SLC7A7;MRC1;CCR2;CCR6;C1orf54</t>
  </si>
  <si>
    <t>http://www.broadinstitute.org/gsea/msigdb/cards/GSE17721_CTRL_VS_CPG_6H_BMDC_UP.html</t>
  </si>
  <si>
    <t>GSE17721_CTRL_VS_CPG_6H_BMDC_DN</t>
  </si>
  <si>
    <t>3676;6890;56833;23228;27036;29851;4973;100506736;161145</t>
  </si>
  <si>
    <t>ITGA4;TAP1;SLAMF8;PLCL2;SIGLEC7;ICOS;OLR1;SLFN12L;TMEM229B</t>
  </si>
  <si>
    <t>http://www.broadinstitute.org/gsea/msigdb/cards/GSE17721_CTRL_VS_CPG_6H_BMDC_DN.html</t>
  </si>
  <si>
    <t>GSE17721_CTRL_VS_GARDIQUIMOD_2H_BMDC_DN</t>
  </si>
  <si>
    <t>22797;10261;7133;10225;6504;64092;943;10672;100506736</t>
  </si>
  <si>
    <t>TFEC;IGSF6;TNFRSF1B;CD96;SLAMF1;SAMSN1;TNFRSF8;GNA13;SLFN12L</t>
  </si>
  <si>
    <t>http://www.broadinstitute.org/gsea/msigdb/cards/GSE17721_CTRL_VS_GARDIQUIMOD_2H_BMDC_DN.html</t>
  </si>
  <si>
    <t>GSE17721_CTRL_VS_GARDIQUIMOD_6H_BMDC_UP</t>
  </si>
  <si>
    <t>5800;79930;64926;6793;4360;3108;4033;79630;4327</t>
  </si>
  <si>
    <t>PTPRO;DOK3;RASAL3;STK10;MRC1;HLA-DMA;LRMP;C1orf54;MMP19</t>
  </si>
  <si>
    <t>http://www.broadinstitute.org/gsea/msigdb/cards/GSE17721_CTRL_VS_GARDIQUIMOD_6H_BMDC_UP.html</t>
  </si>
  <si>
    <t>GSE17721_CTRL_VS_GARDIQUIMOD_24H_BMDC_DN</t>
  </si>
  <si>
    <t>1536;5294;30009;8530;3059;6776;151556;26279;11217</t>
  </si>
  <si>
    <t>CYBB;PIK3CG;TBX21;CST7;HCLS1;STAT5A;GPR155;PLA2G2D;AKAP2</t>
  </si>
  <si>
    <t>http://www.broadinstitute.org/gsea/msigdb/cards/GSE17721_CTRL_VS_GARDIQUIMOD_24H_BMDC_DN.html</t>
  </si>
  <si>
    <t>1234;3071;51744;131450;64780;84329;55281;25939;9935</t>
  </si>
  <si>
    <t>CCR5;NCKAP1L;CD244;CD200R1;MICAL1;HVCN1;TMEM140;SAMHD1;MAFB</t>
  </si>
  <si>
    <t>http://www.broadinstitute.org/gsea/msigdb/cards/GSE17721_LPS_VS_POLYIC_2H_BMDC_DN.html</t>
  </si>
  <si>
    <t>GSE17721_POLYIC_VS_PAM3CSK4_8H_BMDC_UP</t>
  </si>
  <si>
    <t>3932;1236;2124;3587;1230;4261;27163;116071;9935</t>
  </si>
  <si>
    <t>LCK;CCR7;EVI2B;IL10RA;CCR1;CIITA;NAAA;BATF2;MAFB</t>
  </si>
  <si>
    <t>http://www.broadinstitute.org/gsea/msigdb/cards/GSE17721_POLYIC_VS_PAM3CSK4_8H_BMDC_UP.html</t>
  </si>
  <si>
    <t>GSE17721_CPG_VS_GARDIQUIMOD_2H_BMDC_UP</t>
  </si>
  <si>
    <t>3676;1493;3937;170575;23228;4049;924;7185;51466</t>
  </si>
  <si>
    <t>ITGA4;CTLA4;LCP2;GIMAP1;PLCL2;LTA;CD7;TRAF1;EVL</t>
  </si>
  <si>
    <t>http://www.broadinstitute.org/gsea/msigdb/cards/GSE17721_CPG_VS_GARDIQUIMOD_2H_BMDC_UP.html</t>
  </si>
  <si>
    <t>GSE17721_CPG_VS_GARDIQUIMOD_4H_BMDC_DN</t>
  </si>
  <si>
    <t>391;83706;3635;23048;11314;4688;526;7454;90634</t>
  </si>
  <si>
    <t>RHOG;FERMT3;INPP5D;FNBP1;CD300A;NCF2;ATP6V1B2;WAS;N4BP2L1</t>
  </si>
  <si>
    <t>http://www.broadinstitute.org/gsea/msigdb/cards/GSE17721_CPG_VS_GARDIQUIMOD_4H_BMDC_DN.html</t>
  </si>
  <si>
    <t>GSE17721_CPG_VS_GARDIQUIMOD_6H_BMDC_UP</t>
  </si>
  <si>
    <t>3695;5734;3587;54209;29851;1435;3902;9754;55803</t>
  </si>
  <si>
    <t>ITGB7;PTGER4;IL10RA;TREM2;ICOS;CSF1;LAG3;STARD8;ADAP2</t>
  </si>
  <si>
    <t>http://www.broadinstitute.org/gsea/msigdb/cards/GSE17721_CPG_VS_GARDIQUIMOD_6H_BMDC_UP.html</t>
  </si>
  <si>
    <t>GSE17721_CPG_VS_GARDIQUIMOD_24H_BMDC_DN</t>
  </si>
  <si>
    <t>1536;929;3676;4354;225;10019;1043;151556;91010</t>
  </si>
  <si>
    <t>CYBB;CD14;ITGA4;MPP1;ABCD2;SH2B3;CD52;GPR155;FMNL3</t>
  </si>
  <si>
    <t>http://www.broadinstitute.org/gsea/msigdb/cards/GSE17721_CPG_VS_GARDIQUIMOD_24H_BMDC_DN.html</t>
  </si>
  <si>
    <t>GSE17721_LPS_VS_PAM3CSK4_1H_BMDC_DN</t>
  </si>
  <si>
    <t>941;3394;256380;27306;4688;356;6556;54518;161145</t>
  </si>
  <si>
    <t>CD80;IRF8;SCML4;HPGDS;NCF2;FASLG;SLC11A1;APBB1IP;TMEM229B</t>
  </si>
  <si>
    <t>http://www.broadinstitute.org/gsea/msigdb/cards/GSE17721_LPS_VS_PAM3CSK4_1H_BMDC_DN.html</t>
  </si>
  <si>
    <t>GSE17721_POLYIC_VS_CPG_2H_BMDC_DN</t>
  </si>
  <si>
    <t>22797;10261;114548;2672;23228;8530;2357;3123;51762</t>
  </si>
  <si>
    <t>TFEC;IGSF6;NLRP3;GFI1;PLCL2;CST7;FPR1;HLA-DRB1;RAB8B</t>
  </si>
  <si>
    <t>http://www.broadinstitute.org/gsea/msigdb/cards/GSE17721_POLYIC_VS_CPG_2H_BMDC_DN.html</t>
  </si>
  <si>
    <t>925;3659;1236;199;23048;4688;1230;51063;23166</t>
  </si>
  <si>
    <t>CD8A;IRF1;CCR7;AIF1;FNBP1;NCF2;CCR1;CALHM2;STAB1</t>
  </si>
  <si>
    <t>http://www.broadinstitute.org/gsea/msigdb/cards/GSE17721_POLYIC_VS_CPG_4H_BMDC_UP.html</t>
  </si>
  <si>
    <t>GSE17721_POLYIC_VS_CPG_6H_BMDC_DN</t>
  </si>
  <si>
    <t>313;5734;114548;5552;3936;4973;100506736;338339;50515</t>
  </si>
  <si>
    <t>AOAH;PTGER4;NLRP3;SRGN;LCP1;OLR1;SLFN12L;CLEC4D;CHST11</t>
  </si>
  <si>
    <t>http://www.broadinstitute.org/gsea/msigdb/cards/GSE17721_POLYIC_VS_CPG_6H_BMDC_DN.html</t>
  </si>
  <si>
    <t>GSE17721_POLYIC_VS_CPG_12H_BMDC_UP</t>
  </si>
  <si>
    <t>3659;3695;7805;146722;11314;27163;10457;7462;9935</t>
  </si>
  <si>
    <t>IRF1;ITGB7;LAPTM5;CD300LF;CD300A;NAAA;GPNMB;LAT2;MAFB</t>
  </si>
  <si>
    <t>http://www.broadinstitute.org/gsea/msigdb/cards/GSE17721_POLYIC_VS_CPG_12H_BMDC_UP.html</t>
  </si>
  <si>
    <t>GSE17721_POLYIC_VS_CPG_24H_BMDC_UP</t>
  </si>
  <si>
    <t>4354;56833;10537;4066;4261;5133;91526;115727;64780</t>
  </si>
  <si>
    <t>MPP1;SLAMF8;UBD;LYL1;CIITA;PDCD1;ANKRD44;RASGRP4;MICAL1</t>
  </si>
  <si>
    <t>http://www.broadinstitute.org/gsea/msigdb/cards/GSE17721_POLYIC_VS_CPG_24H_BMDC_UP.html</t>
  </si>
  <si>
    <t>GSE17721_PAM3CSK4_VS_GADIQUIMOD_2H_BMDC_DN</t>
  </si>
  <si>
    <t>8477;81704;53346;64231;56659;4208;3123;161145;64805</t>
  </si>
  <si>
    <t>GPR65;DOCK8;TM6SF1;MS4A6A;KCNK13;MEF2C;HLA-DRB1;TMEM229B;P2RY12</t>
  </si>
  <si>
    <t>http://www.broadinstitute.org/gsea/msigdb/cards/GSE17721_PAM3CSK4_VS_GADIQUIMOD_2H_BMDC_DN.html</t>
  </si>
  <si>
    <t>3071;50852;23048;50856;3717;2212;4261;55911;9935</t>
  </si>
  <si>
    <t>NCKAP1L;TRAT1;FNBP1;CLEC4A;JAK2;FCGR2A;CIITA;APOBR;MAFB</t>
  </si>
  <si>
    <t>http://www.broadinstitute.org/gsea/msigdb/cards/GSE17721_PAM3CSK4_VS_GADIQUIMOD_24H_BMDC_UP.html</t>
  </si>
  <si>
    <t>GSE17721_LPS_VS_CPG_2H_BMDC_DN</t>
  </si>
  <si>
    <t>1436;945;1234;64092;54;3108;1230;10148;5027</t>
  </si>
  <si>
    <t>CSF1R;CD33;CCR5;SAMSN1;ACP5;HLA-DMA;CCR1;EBI3;P2RX7</t>
  </si>
  <si>
    <t>http://www.broadinstitute.org/gsea/msigdb/cards/GSE17721_LPS_VS_CPG_2H_BMDC_DN.html</t>
  </si>
  <si>
    <t>GSE17721_LPS_VS_CPG_8H_BMDC_DN</t>
  </si>
  <si>
    <t>22797;2313;255231;150372;2212;54;2357;4481;4973</t>
  </si>
  <si>
    <t>TFEC;FLI1;MCOLN2;NFAM1;FCGR2A;ACP5;FPR1;MSR1;OLR1</t>
  </si>
  <si>
    <t>http://www.broadinstitute.org/gsea/msigdb/cards/GSE17721_LPS_VS_CPG_8H_BMDC_DN.html</t>
  </si>
  <si>
    <t>10261;940;225;341;11010;1235;90634;80709;26279</t>
  </si>
  <si>
    <t>IGSF6;CD28;ABCD2;APOC1;GLIPR1;CCR6;N4BP2L1;AKNA;PLA2G2D</t>
  </si>
  <si>
    <t>http://www.broadinstitute.org/gsea/msigdb/cards/GSE17721_POLYIC_VS_GARDIQUIMOD_0.5H_BMDC_UP.html</t>
  </si>
  <si>
    <t>GSE17721_POLYIC_VS_GARDIQUIMOD_0.5H_BMDC_DN</t>
  </si>
  <si>
    <t>22797;56659;5452;6693;1414;10672;4818;100506736;118788</t>
  </si>
  <si>
    <t>TFEC;KCNK13;POU2F2;SPN;CRYBB1;GNA13;NKG7;SLFN12L;PIK3AP1</t>
  </si>
  <si>
    <t>http://www.broadinstitute.org/gsea/msigdb/cards/GSE17721_POLYIC_VS_GARDIQUIMOD_0.5H_BMDC_DN.html</t>
  </si>
  <si>
    <t>GSE17721_POLYIC_VS_GARDIQUIMOD_4H_BMDC_DN</t>
  </si>
  <si>
    <t>7133;51311;29992;27036;6753;54331;4973;10457;89846</t>
  </si>
  <si>
    <t>TNFRSF1B;TLR8;PILRA;SIGLEC7;SSTR3;GNG2;OLR1;GPNMB;FGD3</t>
  </si>
  <si>
    <t>http://www.broadinstitute.org/gsea/msigdb/cards/GSE17721_POLYIC_VS_GARDIQUIMOD_4H_BMDC_DN.html</t>
  </si>
  <si>
    <t>7305;962;653361;53346;4688;3290;8905;54331;140885</t>
  </si>
  <si>
    <t>TYROBP;CD48;NCF1;TM6SF1;NCF2;HSD11B1;AP1S2;GNG2;SIRPA</t>
  </si>
  <si>
    <t>http://www.broadinstitute.org/gsea/msigdb/cards/GSE17721_POLYIC_VS_GARDIQUIMOD_16H_BMDC_DN.html</t>
  </si>
  <si>
    <t>GSE17721_LPS_VS_GARDIQUIMOD_6H_BMDC_UP</t>
  </si>
  <si>
    <t>3932;6351;399;81030;50615;23228;27314;55803;25939</t>
  </si>
  <si>
    <t>LCK;CCL4;RHOH;ZBP1;IL21R;PLCL2;RAB30;ADAP2;SAMHD1</t>
  </si>
  <si>
    <t>http://www.broadinstitute.org/gsea/msigdb/cards/GSE17721_LPS_VS_GARDIQUIMOD_6H_BMDC_UP.html</t>
  </si>
  <si>
    <t>GSE17721_LPS_VS_GARDIQUIMOD_6H_BMDC_DN</t>
  </si>
  <si>
    <t>962;313;1439;93978;10537;4688;140885;151556;55013</t>
  </si>
  <si>
    <t>CD48;AOAH;CSF2RB;CLEC6A;UBD;NCF2;SIRPA;GPR155;MCUB</t>
  </si>
  <si>
    <t>http://www.broadinstitute.org/gsea/msigdb/cards/GSE17721_LPS_VS_GARDIQUIMOD_6H_BMDC_DN.html</t>
  </si>
  <si>
    <t>GSE17721_0.5H_VS_4H_POLYIC_BMDC_DN</t>
  </si>
  <si>
    <t>1536;3676;4283;5800;64231;8530;1435;4818;55803</t>
  </si>
  <si>
    <t>CYBB;ITGA4;CXCL9;PTPRO;MS4A6A;CST7;CSF1;NKG7;ADAP2</t>
  </si>
  <si>
    <t>http://www.broadinstitute.org/gsea/msigdb/cards/GSE17721_0.5H_VS_4H_POLYIC_BMDC_DN.html</t>
  </si>
  <si>
    <t>GSE17721_4_VS_24H_CPG_BMDC_DN</t>
  </si>
  <si>
    <t>9535;2207;3635;53346;4066;6693;241;3586;6503</t>
  </si>
  <si>
    <t>GMFG;FCER1G;INPP5D;TM6SF1;LYL1;SPN;ALOX5AP;IL10;SLA</t>
  </si>
  <si>
    <t>http://www.broadinstitute.org/gsea/msigdb/cards/GSE17721_4_VS_24H_CPG_BMDC_DN.html</t>
  </si>
  <si>
    <t>GSE17721_0.5H_VS_4H_GARDIQUIMOD_BMDC_DN</t>
  </si>
  <si>
    <t>3659;7133;941;8530;1435;10148;80821;84329;64747</t>
  </si>
  <si>
    <t>IRF1;TNFRSF1B;CD80;CST7;CSF1;EBI3;DDHD1;HVCN1;MFSD1</t>
  </si>
  <si>
    <t>http://www.broadinstitute.org/gsea/msigdb/cards/GSE17721_0.5H_VS_4H_GARDIQUIMOD_BMDC_DN.html</t>
  </si>
  <si>
    <t>GSE17974_CTRL_VS_ACT_IL4_AND_ANTI_IL12_1H_CD4_TCELL_DN</t>
  </si>
  <si>
    <t>2123;959;3662;79626;170575;4049;597;84541;116442</t>
  </si>
  <si>
    <t>EVI2A;CD40LG;IRF4;TNFAIP8L2;GIMAP1;LTA;BCL2A1;KBTBD8;RAB39B</t>
  </si>
  <si>
    <t>http://www.broadinstitute.org/gsea/msigdb/cards/GSE17974_CTRL_VS_ACT_IL4_AND_ANTI_IL12_1H_CD4_TCELL_DN.html</t>
  </si>
  <si>
    <t>GSE18791_CTRL_VS_NEWCASTLE_VIRUS_DC_16H_UP</t>
  </si>
  <si>
    <t>9046;3603;286336;170371;80301;53829;4094;206358;55691</t>
  </si>
  <si>
    <t>DOK2;IL16;FAM78A;TMEM273;PLEKHO2;P2RY13;MAF;SLC36A1;FRMD4A</t>
  </si>
  <si>
    <t>http://www.broadinstitute.org/gsea/msigdb/cards/GSE18791_CTRL_VS_NEWCASTLE_VIRUS_DC_16H_UP.html</t>
  </si>
  <si>
    <t>GSE19825_NAIVE_VS_IL2RAHIGH_DAY3_EFF_CD8_TCELL_UP</t>
  </si>
  <si>
    <t>9839;2214;3575;10225;6772;3112;3737;969;25780</t>
  </si>
  <si>
    <t>ZEB2;FCGR3A;IL7R;CD96;STAT1;HLA-DOB;KCNA2;CD69;RASGRP3</t>
  </si>
  <si>
    <t>http://www.broadinstitute.org/gsea/msigdb/cards/GSE19825_NAIVE_VS_IL2RAHIGH_DAY3_EFF_CD8_TCELL_UP.html</t>
  </si>
  <si>
    <t>GSE20151_CTRL_VS_FUSOBACT_NUCLEATUM_NEUTROPHIL_UP</t>
  </si>
  <si>
    <t>54440;80833;2268;6772;51296;7185;814;55704;80183</t>
  </si>
  <si>
    <t>SASH3;APOL3;FGR;STAT1;SLC15A3;TRAF1;CAMK4;CCDC88A;RUBCNL</t>
  </si>
  <si>
    <t>http://www.broadinstitute.org/gsea/msigdb/cards/GSE20151_CTRL_VS_FUSOBACT_NUCLEATUM_NEUTROPHIL_UP.html</t>
  </si>
  <si>
    <t>GSE20366_EX_VIVO_VS_DEC205_CONVERSION_UP</t>
  </si>
  <si>
    <t>10663;8676;1233;1234;1102;3586;151556;64098;22806</t>
  </si>
  <si>
    <t>CXCR6;STX11;CCR4;CCR5;RCBTB2;IL10;GPR155;PARVG;IKZF3</t>
  </si>
  <si>
    <t>http://www.broadinstitute.org/gsea/msigdb/cards/GSE20366_EX_VIVO_VS_DEC205_CONVERSION_UP.html</t>
  </si>
  <si>
    <t>GSE20715_WT_VS_TLR4_KO_LUNG_DN</t>
  </si>
  <si>
    <t>713;1436;83706;3635;4050;57514;55704;10462;26279</t>
  </si>
  <si>
    <t>C1QB;CSF1R;FERMT3;INPP5D;LTB;ARHGAP31;CCDC88A;CLEC10A;PLA2G2D</t>
  </si>
  <si>
    <t>http://www.broadinstitute.org/gsea/msigdb/cards/GSE20715_WT_VS_TLR4_KO_LUNG_DN.html</t>
  </si>
  <si>
    <t>GSE22886_NAIVE_CD4_TCELL_VS_MEMORY_TCELL_UP</t>
  </si>
  <si>
    <t>9450;199;64170;27033;7439;2811;4033;10077;51513</t>
  </si>
  <si>
    <t>LY86;AIF1;CARD9;ZBTB32;BEST1;GP1BA;LRMP;TSPAN32;ETV7</t>
  </si>
  <si>
    <t>http://www.broadinstitute.org/gsea/msigdb/cards/GSE22886_NAIVE_CD4_TCELL_VS_MEMORY_TCELL_UP.html</t>
  </si>
  <si>
    <t>GSE22886_NAIVE_CD4_TCELL_VS_NKCELL_DN</t>
  </si>
  <si>
    <t>7456;5788;313;80301;53346;241;3824;3805;7462</t>
  </si>
  <si>
    <t>WIPF1;PTPRC;AOAH;PLEKHO2;TM6SF1;ALOX5AP;KLRD1;KIR2DL4;LAT2</t>
  </si>
  <si>
    <t>http://www.broadinstitute.org/gsea/msigdb/cards/GSE22886_NAIVE_CD4_TCELL_VS_NKCELL_DN.html</t>
  </si>
  <si>
    <t>GSE22886_NEUTROPHIL_VS_MONOCYTE_UP</t>
  </si>
  <si>
    <t>4210;914;5551;3560;4050;3824;79865;3805;80183</t>
  </si>
  <si>
    <t>MEFV;CD2;PRF1;IL2RB;LTB;KLRD1;TREML2;KIR2DL4;RUBCNL</t>
  </si>
  <si>
    <t>http://www.broadinstitute.org/gsea/msigdb/cards/GSE22886_NEUTROPHIL_VS_MONOCYTE_UP.html</t>
  </si>
  <si>
    <t>4242;11025;712;596;10235;10077;54504;29125;25939</t>
  </si>
  <si>
    <t>MFNG;LILRB3;C1QA;BCL2;RASGRP2;TSPAN32;CPVL;C11orf21;SAMHD1</t>
  </si>
  <si>
    <t>http://www.broadinstitute.org/gsea/msigdb/cards/GSE22886_NAIVE_CD4_TCELL_VS_48H_ACT_TH2_UP.html</t>
  </si>
  <si>
    <t>GSE24081_CONTROLLER_VS_PROGRESSOR_HIV_SPECIFIC_CD8_TCELL_UP</t>
  </si>
  <si>
    <t>923;1236;5734;11006;27299;2833;4973;50943;80183</t>
  </si>
  <si>
    <t>CD6;CCR7;PTGER4;LILRB4;ADAMDEC1;CXCR3;OLR1;FOXP3;RUBCNL</t>
  </si>
  <si>
    <t>http://www.broadinstitute.org/gsea/msigdb/cards/GSE24081_CONTROLLER_VS_PROGRESSOR_HIV_SPECIFIC_CD8_TCELL_UP.html</t>
  </si>
  <si>
    <t>27334;9595;919;399;9120;596;969;64919;25939</t>
  </si>
  <si>
    <t>P2RY10;CYTIP;CD247;RHOH;SLC16A6;BCL2;CD69;BCL11B;SAMHD1</t>
  </si>
  <si>
    <t>http://www.broadinstitute.org/gsea/msigdb/cards/GSE24634_NAIVE_CD4_TCELL_VS_DAY5_IL4_CONV_TREG_UP.html</t>
  </si>
  <si>
    <t>7634;3587;79626;64407;197135;3115;10235;64780;10004</t>
  </si>
  <si>
    <t>ZNF80;IL10RA;TNFAIP8L2;RGS18;PATL2;HLA-DPB1;RASGRP2;MICAL1;NAALADL1</t>
  </si>
  <si>
    <t>GSE26669_CD4_VS_CD8_TCELL_IN_MLR_UP</t>
  </si>
  <si>
    <t>9046;3559;1493;92241;55303;29851;3717;596;3604</t>
  </si>
  <si>
    <t>DOK2;IL2RA;CTLA4;RCSD1;GIMAP4;ICOS;JAK2;BCL2;TNFRSF9</t>
  </si>
  <si>
    <t>http://www.broadinstitute.org/gsea/msigdb/cards/GSE26669_CD4_VS_CD8_TCELL_IN_MLR_UP.html</t>
  </si>
  <si>
    <t>GSE26928_NAIVE_VS_EFF_MEMORY_CD4_TCELL_DN</t>
  </si>
  <si>
    <t>6352;7133;79930;255231;154075;259307;8320;3956;1522</t>
  </si>
  <si>
    <t>CCL5;TNFRSF1B;DOK3;MCOLN2;SAMD3;IL4I1;EOMES;LGALS1;CTSZ</t>
  </si>
  <si>
    <t>http://www.broadinstitute.org/gsea/msigdb/cards/GSE26928_NAIVE_VS_EFF_MEMORY_CD4_TCELL_DN.html</t>
  </si>
  <si>
    <t>GSE26928_EFF_MEMORY_VS_CXCR5_POS_CD4_TCELL_UP</t>
  </si>
  <si>
    <t>713;3001;3662;8320;3002;2833;10457;375387;51513</t>
  </si>
  <si>
    <t>C1QB;GZMA;IRF4;EOMES;GZMB;CXCR3;GPNMB;NRROS;ETV7</t>
  </si>
  <si>
    <t>http://www.broadinstitute.org/gsea/msigdb/cards/GSE26928_EFF_MEMORY_VS_CXCR5_POS_CD4_TCELL_UP.html</t>
  </si>
  <si>
    <t>4542;8742;1102;240;4261;150771;10462;84106;4215</t>
  </si>
  <si>
    <t>MYO1F;TNFSF12;RCBTB2;ALOX5;CIITA;ITPRIPL1;CLEC10A;PRAM1;MAP3K3</t>
  </si>
  <si>
    <t>http://www.broadinstitute.org/gsea/msigdb/cards/GSE2706_UNSTIM_VS_8H_LPS_DC_UP.html</t>
  </si>
  <si>
    <t>GSE27786_LSK_VS_LIN_NEG_CELL_UP</t>
  </si>
  <si>
    <t>4242;971;474344;51744;6891;4240;118788;54861;56606</t>
  </si>
  <si>
    <t>MFNG;CD72;GIMAP6;CD244;TAP2;MFGE8;PIK3AP1;SNRK;SLC2A9</t>
  </si>
  <si>
    <t>http://www.broadinstitute.org/gsea/msigdb/cards/GSE27786_LSK_VS_LIN_NEG_CELL_UP.html</t>
  </si>
  <si>
    <t>6688;474344;497189;84166;81030;3717;7454;4973;54518</t>
  </si>
  <si>
    <t>SPI1;GIMAP6;TIFAB;NLRC5;ZBP1;JAK2;WAS;OLR1;APBB1IP</t>
  </si>
  <si>
    <t>http://www.broadinstitute.org/gsea/msigdb/cards/GSE27786_LSK_VS_NKCELL_DN.html</t>
  </si>
  <si>
    <t>GSE27786_LIN_NEG_VS_MONO_MAC_DN</t>
  </si>
  <si>
    <t>10068;5788;10875;9744;53346;6793;2213;9806;10507</t>
  </si>
  <si>
    <t>IL18BP;PTPRC;FGL2;ACAP1;TM6SF1;STK10;FCGR2B;SPOCK2;SEMA4D</t>
  </si>
  <si>
    <t>http://www.broadinstitute.org/gsea/msigdb/cards/GSE27786_LIN_NEG_VS_MONO_MAC_DN.html</t>
  </si>
  <si>
    <t>9535;3683;8477;55303;8832;30009;366;3002;55619</t>
  </si>
  <si>
    <t>GMFG;ITGAL;GPR65;GIMAP4;CD84;TBX21;AQP9;GZMB;DOCK10</t>
  </si>
  <si>
    <t>http://www.broadinstitute.org/gsea/msigdb/cards/GSE27786_BCELL_VS_CD8_TCELL_DN.html</t>
  </si>
  <si>
    <t>GSE27786_BCELL_VS_ERYTHROBLAST_UP</t>
  </si>
  <si>
    <t>5294;1234;10320;53346;4063;80342;54;6891;597</t>
  </si>
  <si>
    <t>PIK3CG;CCR5;IKZF1;TM6SF1;LY9;TRAF3IP3;ACP5;TAP2;BCL2A1</t>
  </si>
  <si>
    <t>http://www.broadinstitute.org/gsea/msigdb/cards/GSE27786_BCELL_VS_ERYTHROBLAST_UP.html</t>
  </si>
  <si>
    <t>GSE27786_BCELL_VS_NEUTROPHIL_DN</t>
  </si>
  <si>
    <t>920;7133;3683;92241;51744;10537;80709;10462;116071</t>
  </si>
  <si>
    <t>CD4;TNFRSF1B;ITGAL;RCSD1;CD244;UBD;AKNA;CLEC10A;BATF2</t>
  </si>
  <si>
    <t>http://www.broadinstitute.org/gsea/msigdb/cards/GSE27786_BCELL_VS_NEUTROPHIL_DN.html</t>
  </si>
  <si>
    <t>GSE27786_CD8_TCELL_VS_ERYTHROBLAST_UP</t>
  </si>
  <si>
    <t>340152;391;3903;53346;4049;4033;9815;597;10235</t>
  </si>
  <si>
    <t>ZC3H12D;RHOG;LAIR1;TM6SF1;LTA;LRMP;GIT2;BCL2A1;RASGRP2</t>
  </si>
  <si>
    <t>http://www.broadinstitute.org/gsea/msigdb/cards/GSE27786_CD8_TCELL_VS_ERYTHROBLAST_UP.html</t>
  </si>
  <si>
    <t>3689;6688;10320;23048;55589;51393;969;55911;79630</t>
  </si>
  <si>
    <t>ITGB2;SPI1;IKZF1;FNBP1;BMP2K;TRPV2;CD69;APOBR;C1orf54</t>
  </si>
  <si>
    <t>http://www.broadinstitute.org/gsea/msigdb/cards/GSE29618_PRE_VS_DAY7_POST_TIV_FLU_VACCINE_PDC_DN.html</t>
  </si>
  <si>
    <t>GSE29618_PRE_VS_DAY7_POST_LAIV_FLU_VACCINE_MDC_DN</t>
  </si>
  <si>
    <t>7940;9046;9450;11151;55016;27036;7439;4261;79895</t>
  </si>
  <si>
    <t>LST1;DOK2;LY86;CORO1A;MARCH1;SIGLEC7;BEST1;CIITA;ATP8B4</t>
  </si>
  <si>
    <t>http://www.broadinstitute.org/gsea/msigdb/cards/GSE29618_PRE_VS_DAY7_POST_LAIV_FLU_VACCINE_MDC_DN.html</t>
  </si>
  <si>
    <t>GSE32423_IL7_VS_IL4_MEMORY_CD8_TCELL_UP</t>
  </si>
  <si>
    <t>4542;22797;9744;257106;51393;54;6693;84329;145581</t>
  </si>
  <si>
    <t>MYO1F;TFEC;ACAP1;ARHGAP30;TRPV2;ACP5;SPN;HVCN1;LRFN5</t>
  </si>
  <si>
    <t>http://www.broadinstitute.org/gsea/msigdb/cards/GSE32423_IL7_VS_IL4_MEMORY_CD8_TCELL_UP.html</t>
  </si>
  <si>
    <t>GSE339_CD4POS_VS_CD4CD8DN_DC_IN_CULTURE_UP</t>
  </si>
  <si>
    <t>923;2672;1240;54;5724;3988;80821;338339;1522</t>
  </si>
  <si>
    <t>CD6;GFI1;CMKLR1;ACP5;PTAFR;LIPA;DDHD1;CLEC4D;CTSZ</t>
  </si>
  <si>
    <t>http://www.broadinstitute.org/gsea/msigdb/cards/GSE339_CD4POS_VS_CD4CD8DN_DC_IN_CULTURE_UP.html</t>
  </si>
  <si>
    <t>GSE339_EX_VIVO_VS_IN_CULTURE_CD8POS_DC_DN</t>
  </si>
  <si>
    <t>9595;7133;1439;941;5734;730249;7185;10672;51762</t>
  </si>
  <si>
    <t>CYTIP;TNFRSF1B;CSF2RB;CD80;PTGER4;ACOD1;TRAF1;GNA13;RAB8B</t>
  </si>
  <si>
    <t>http://www.broadinstitute.org/gsea/msigdb/cards/GSE339_EX_VIVO_VS_IN_CULTURE_CD8POS_DC_DN.html</t>
  </si>
  <si>
    <t>3820;3603;64333;3115;3111;3112;4360;4261;4050</t>
  </si>
  <si>
    <t>KLRB1;IL16;ARHGAP9;HLA-DPB1;HLA-DOA;HLA-DOB;MRC1;CIITA;LTB</t>
  </si>
  <si>
    <t>http://www.broadinstitute.org/gsea/msigdb/cards/GSE34205_HEALTHY_VS_FLU_INF_INFANT_PBMC_UP.html</t>
  </si>
  <si>
    <t>GSE360_CTRL_VS_B_MALAYI_LOW_DOSE_DC_UP</t>
  </si>
  <si>
    <t>259197;940;3820;56253;1508;10578;11027;1522;22900</t>
  </si>
  <si>
    <t>NCR3;CD28;KLRB1;CRTAM;CTSB;GNLY;LILRA2;CTSZ;CARD8</t>
  </si>
  <si>
    <t>http://www.broadinstitute.org/gsea/msigdb/cards/GSE360_CTRL_VS_B_MALAYI_LOW_DOSE_DC_UP.html</t>
  </si>
  <si>
    <t>GSE360_CTRL_VS_B_MALAYI_LOW_DOSE_DC_DN</t>
  </si>
  <si>
    <t>9046;6036;3575;1378;3394;3937;924;3586;10672</t>
  </si>
  <si>
    <t>DOK2;RNASE2;IL7R;CR1;IRF8;LCP2;CD7;IL10;GNA13</t>
  </si>
  <si>
    <t>http://www.broadinstitute.org/gsea/msigdb/cards/GSE360_CTRL_VS_B_MALAYI_LOW_DOSE_DC_DN.html</t>
  </si>
  <si>
    <t>9535;3689;9332;3635;6039;6693;11010;206358;54504</t>
  </si>
  <si>
    <t>GMFG;ITGB2;CD163;INPP5D;RNASE6;SPN;GLIPR1;SLC36A1;CPVL</t>
  </si>
  <si>
    <t>http://www.broadinstitute.org/gsea/msigdb/cards/GSE360_CTRL_VS_L_MAJOR_MAC_UP.html</t>
  </si>
  <si>
    <t>GSE360_CTRL_VS_M_TUBERCULOSIS_MAC_DN</t>
  </si>
  <si>
    <t>1318;963;2207;1236;10225;6772;3603;597;6363</t>
  </si>
  <si>
    <t>SLC31A2;CD53;FCER1G;CCR7;CD96;STAT1;IL16;BCL2A1;CCL19</t>
  </si>
  <si>
    <t>http://www.broadinstitute.org/gsea/msigdb/cards/GSE360_CTRL_VS_M_TUBERCULOSIS_MAC_DN.html</t>
  </si>
  <si>
    <t>GSE360_DC_VS_MAC_UP</t>
  </si>
  <si>
    <t>1236;91752;3111;5552;3113;4261;7185;6503;25939</t>
  </si>
  <si>
    <t>CCR7;ZNF804A;HLA-DOA;SRGN;HLA-DPA1;CIITA;TRAF1;SLA;SAMHD1</t>
  </si>
  <si>
    <t>http://www.broadinstitute.org/gsea/msigdb/cards/GSE360_DC_VS_MAC_UP.html</t>
  </si>
  <si>
    <t>GSE360_L_DONOVANI_VS_T_GONDII_DC_UP</t>
  </si>
  <si>
    <t>2350;3560;1233;91752;3635;2219;8742;56253;7941</t>
  </si>
  <si>
    <t>FOLR2;IL2RB;CCR4;ZNF804A;INPP5D;FCN1;TNFSF12;CRTAM;PLA2G7</t>
  </si>
  <si>
    <t>http://www.broadinstitute.org/gsea/msigdb/cards/GSE360_L_DONOVANI_VS_T_GONDII_DC_UP.html</t>
  </si>
  <si>
    <t>GSE360_L_MAJOR_VS_M_TUBERCULOSIS_DC_DN</t>
  </si>
  <si>
    <t>3627;1536;5579;940;945;9332;10288;241;22900</t>
  </si>
  <si>
    <t>CXCL10;CYBB;PRKCB;CD28;CD33;CD163;LILRB2;ALOX5AP;CARD8</t>
  </si>
  <si>
    <t>http://www.broadinstitute.org/gsea/msigdb/cards/GSE360_L_MAJOR_VS_M_TUBERCULOSIS_DC_DN.html</t>
  </si>
  <si>
    <t>GSE360_L_DONOVANI_VS_B_MALAYI_LOW_DOSE_MAC_DN</t>
  </si>
  <si>
    <t>54440;951;3683;5800;114548;10019;2219;6793;10462</t>
  </si>
  <si>
    <t>SASH3;CD37;ITGAL;PTPRO;NLRP3;SH2B3;FCN1;STK10;CLEC10A</t>
  </si>
  <si>
    <t>http://www.broadinstitute.org/gsea/msigdb/cards/GSE360_L_DONOVANI_VS_B_MALAYI_LOW_DOSE_MAC_DN.html</t>
  </si>
  <si>
    <t>GSE360_L_MAJOR_VS_T_GONDII_MAC_UP</t>
  </si>
  <si>
    <t>1318;3055;1236;3937;50852;9332;3553;10578;7941</t>
  </si>
  <si>
    <t>SLC31A2;HCK;CCR7;LCP2;TRAT1;CD163;IL1B;GNLY;PLA2G7</t>
  </si>
  <si>
    <t>http://www.broadinstitute.org/gsea/msigdb/cards/GSE360_L_MAJOR_VS_T_GONDII_MAC_UP.html</t>
  </si>
  <si>
    <t>GSE360_L_MAJOR_VS_B_MALAYI_HIGH_DOSE_MAC_UP</t>
  </si>
  <si>
    <t>7456;923;1236;3937;366;3553;4973;7185;7941</t>
  </si>
  <si>
    <t>WIPF1;CD6;CCR7;LCP2;AQP9;IL1B;OLR1;TRAF1;PLA2G7</t>
  </si>
  <si>
    <t>http://www.broadinstitute.org/gsea/msigdb/cards/GSE360_L_MAJOR_VS_B_MALAYI_HIGH_DOSE_MAC_UP.html</t>
  </si>
  <si>
    <t>GSE360_T_GONDII_VS_B_MALAYI_LOW_DOSE_MAC_DN</t>
  </si>
  <si>
    <t>4542;1318;9450;920;945;6793;1102;924;6693</t>
  </si>
  <si>
    <t>MYO1F;SLC31A2;LY86;CD4;CD33;STK10;RCBTB2;CD7;SPN</t>
  </si>
  <si>
    <t>http://www.broadinstitute.org/gsea/msigdb/cards/GSE360_T_GONDII_VS_B_MALAYI_LOW_DOSE_MAC_DN.html</t>
  </si>
  <si>
    <t>9459;497189;221188;51225;1508;4481;3363;729230;150771</t>
  </si>
  <si>
    <t>ARHGEF6;TIFAB;ADGRG5;ABI3;CTSB;MSR1;HTR7;CCR2;ITPRIPL1</t>
  </si>
  <si>
    <t>http://www.broadinstitute.org/gsea/msigdb/cards/GSE36392_TYPE_2_MYELOID_VS_NEUTROPHIL_IL25_TREATED_LUNG_DN.html</t>
  </si>
  <si>
    <t>GSE36476_CTRL_VS_TSST_ACT_72H_MEMORY_CD4_TCELL_OLD_UP</t>
  </si>
  <si>
    <t>2533;114548;23228;2357;1601;969;10235;79630;56606</t>
  </si>
  <si>
    <t>FYB1;NLRP3;PLCL2;FPR1;DAB2;CD69;RASGRP2;C1orf54;SLC2A9</t>
  </si>
  <si>
    <t>http://www.broadinstitute.org/gsea/msigdb/cards/GSE36476_CTRL_VS_TSST_ACT_72H_MEMORY_CD4_TCELL_OLD_UP.html</t>
  </si>
  <si>
    <t>7133;53347;51296;3117;54;3108;9363;64780;29125</t>
  </si>
  <si>
    <t>TNFRSF1B;UBASH3A;SLC15A3;HLA-DQA1;ACP5;HLA-DMA;RAB33A;MICAL1;C11orf21</t>
  </si>
  <si>
    <t>http://www.broadinstitute.org/gsea/msigdb/cards/GSE36476_YOUNG_VS_OLD_DONOR_MEMORY_CD4_TCELL_40H_TSST_ACT_DN.html</t>
  </si>
  <si>
    <t>GSE37416_0H_VS_3H_F_TULARENSIS_LVS_NEUTROPHIL_DN</t>
  </si>
  <si>
    <t>8676;2014;3587;124460;8477;23533;80342;943;51762</t>
  </si>
  <si>
    <t>STX11;EMP3;IL10RA;SNX20;GPR65;PIK3R5;TRAF3IP3;TNFRSF8;RAB8B</t>
  </si>
  <si>
    <t>http://www.broadinstitute.org/gsea/msigdb/cards/GSE37416_0H_VS_3H_F_TULARENSIS_LVS_NEUTROPHIL_DN.html</t>
  </si>
  <si>
    <t>GSE3982_DC_VS_MAC_LPS_STIM_UP</t>
  </si>
  <si>
    <t>6404;3662;55843;55303;8742;4818;6363;6614;22900</t>
  </si>
  <si>
    <t>SELPLG;IRF4;ARHGAP15;GIMAP4;TNFSF12;NKG7;CCL19;SIGLEC1;CARD8</t>
  </si>
  <si>
    <t>http://www.broadinstitute.org/gsea/msigdb/cards/GSE3982_DC_VS_MAC_LPS_STIM_UP.html</t>
  </si>
  <si>
    <t>GSE3982_MAC_VS_NEUTROPHIL_LPS_STIM_DN</t>
  </si>
  <si>
    <t>3458;3937;241;3274;64780;10077;3805;80183;26279</t>
  </si>
  <si>
    <t>IFNG;LCP2;ALOX5AP;HRH2;MICAL1;TSPAN32;KIR2DL4;RUBCNL;PLA2G2D</t>
  </si>
  <si>
    <t>http://www.broadinstitute.org/gsea/msigdb/cards/GSE3982_MAC_VS_NEUTROPHIL_LPS_STIM_DN.html</t>
  </si>
  <si>
    <t>GSE3982_EOSINOPHIL_VS_TH1_UP</t>
  </si>
  <si>
    <t>2268;6688;51744;7099;9103;5724;9938;11027;81553</t>
  </si>
  <si>
    <t>FGR;SPI1;CD244;TLR4;FCGR2A;PTAFR;ARHGAP25;LILRA2;FAM49A</t>
  </si>
  <si>
    <t>http://www.broadinstitute.org/gsea/msigdb/cards/GSE3982_EOSINOPHIL_VS_TH1_UP.html</t>
  </si>
  <si>
    <t>GSE3982_MAST_CELL_VS_EFF_MEMORY_CD4_TCELL_UP</t>
  </si>
  <si>
    <t>9404;51056;9459;51296;10019;240;9103;1601;23166</t>
  </si>
  <si>
    <t>LPXN;LAP3;ARHGEF6;SLC15A3;SH2B3;ALOX5;FCGR2A;DAB2;STAB1</t>
  </si>
  <si>
    <t>http://www.broadinstitute.org/gsea/msigdb/cards/GSE3982_MAST_CELL_VS_EFF_MEMORY_CD4_TCELL_UP.html</t>
  </si>
  <si>
    <t>GSE3982_BCELL_VS_CENT_MEMORY_CD4_TCELL_DN</t>
  </si>
  <si>
    <t>9402;3932;940;6352;3575;7535;6373;4481;25939</t>
  </si>
  <si>
    <t>GRAP2;LCK;CD28;CCL5;IL7R;ZAP70;CXCL11;MSR1;SAMHD1</t>
  </si>
  <si>
    <t>http://www.broadinstitute.org/gsea/msigdb/cards/GSE3982_BCELL_VS_CENT_MEMORY_CD4_TCELL_DN.html</t>
  </si>
  <si>
    <t>GSE3982_BCELL_VS_TH2_DN</t>
  </si>
  <si>
    <t>940;313;4354;3702;55340;8530;6891;4240;7185</t>
  </si>
  <si>
    <t>CD28;AOAH;MPP1;ITK;GIMAP5;CST7;TAP2;MFGE8;TRAF1</t>
  </si>
  <si>
    <t>http://www.broadinstitute.org/gsea/msigdb/cards/GSE3982_BCELL_VS_TH2_DN.html</t>
  </si>
  <si>
    <t>GSE3982_BASOPHIL_VS_CENT_MEMORY_CD4_TCELL_DN</t>
  </si>
  <si>
    <t>3458;940;2123;7535;55340;51393;29909;4050;10235</t>
  </si>
  <si>
    <t>IFNG;CD28;EVI2A;ZAP70;GIMAP5;TRPV2;GPR171;LTB;RASGRP2</t>
  </si>
  <si>
    <t>http://www.broadinstitute.org/gsea/msigdb/cards/GSE3982_BASOPHIL_VS_CENT_MEMORY_CD4_TCELL_DN.html</t>
  </si>
  <si>
    <t>GSE3982_EFF_MEMORY_CD4_TCELL_VS_TH1_DN</t>
  </si>
  <si>
    <t>3559;6890;55589;926;3902;3586;1230;6503;50515</t>
  </si>
  <si>
    <t>IL2RA;TAP1;BMP2K;CD8B;LAG3;IL10;CCR1;SLA;CHST11</t>
  </si>
  <si>
    <t>http://www.broadinstitute.org/gsea/msigdb/cards/GSE3982_EFF_MEMORY_CD4_TCELL_VS_TH1_DN.html</t>
  </si>
  <si>
    <t>914;940;959;53347;6504;399;55423;29851;1435</t>
  </si>
  <si>
    <t>CD2;CD28;CD40LG;UBASH3A;SLAMF1;RHOH;SIRPG;ICOS;CSF1</t>
  </si>
  <si>
    <t>http://www.broadinstitute.org/gsea/msigdb/cards/GSE3982_CENT_MEMORY_CD4_TCELL_VS_NKCELL_UP.html</t>
  </si>
  <si>
    <t>7456;4068;5788;962;653361;944;2857;6402;29126</t>
  </si>
  <si>
    <t>WIPF1;SH2D1A;PTPRC;CD48;NCF1;TNFSF8;GPR34;SELL;CD274</t>
  </si>
  <si>
    <t>GSE6269_FLU_VS_E_COLI_INF_PBMC_UP</t>
  </si>
  <si>
    <t>7456;972;1234;2014;81030;5452;7454;6614</t>
  </si>
  <si>
    <t>WIPF1;CD74;CCR5;EMP3;ZBP1;POU2F2;WAS;SIGLEC1</t>
  </si>
  <si>
    <t>http://www.broadinstitute.org/gsea/msigdb/cards/GSE6269_FLU_VS_E_COLI_INF_PBMC_UP.html</t>
  </si>
  <si>
    <t>GSE7460_CTRL_VS_TGFB_TREATED_ACT_TREG_UP</t>
  </si>
  <si>
    <t>92241;83706;64231;29851;11010;6503;10148;161145;155038</t>
  </si>
  <si>
    <t>RCSD1;FERMT3;MS4A6A;ICOS;GLIPR1;SLA;EBI3;TMEM229B;GIMAP8</t>
  </si>
  <si>
    <t>http://www.broadinstitute.org/gsea/msigdb/cards/GSE7460_CTRL_VS_TGFB_TREATED_ACT_TREG_UP.html</t>
  </si>
  <si>
    <t>GSE7460_CD8_TCELL_VS_CD4_TCELL_ACT_DN</t>
  </si>
  <si>
    <t>920;50852;151888;23228;4094;3290;151556;5027;59345</t>
  </si>
  <si>
    <t>CD4;TRAT1;BTLA;PLCL2;MAF;HSD11B1;GPR155;P2RX7;GNB4</t>
  </si>
  <si>
    <t>http://www.broadinstitute.org/gsea/msigdb/cards/GSE7460_CD8_TCELL_VS_CD4_TCELL_ACT_DN.html</t>
  </si>
  <si>
    <t>GSE9006_HEALTHY_VS_TYPE_2_DIABETES_PBMC_AT_DX_DN</t>
  </si>
  <si>
    <t>963;5294;719;51311;3553;241;1230;79865;9935</t>
  </si>
  <si>
    <t>CD53;PIK3CG;C3AR1;TLR8;IL1B;ALOX5AP;CCR1;TREML2;MAFB</t>
  </si>
  <si>
    <t>http://www.broadinstitute.org/gsea/msigdb/cards/GSE9006_HEALTHY_VS_TYPE_2_DIABETES_PBMC_AT_DX_DN.html</t>
  </si>
  <si>
    <t>GSE9037_CTRL_VS_LPS_4H_STIM_IRAK4_KO_BMDM_DN</t>
  </si>
  <si>
    <t>3683;942;6772;6890;64231;366;3059;2113;4973</t>
  </si>
  <si>
    <t>ITGAL;CD86;STAT1;TAP1;MS4A6A;AQP9;HCLS1;ETS1;OLR1</t>
  </si>
  <si>
    <t>http://www.broadinstitute.org/gsea/msigdb/cards/GSE9037_CTRL_VS_LPS_4H_STIM_IRAK4_KO_BMDM_DN.html</t>
  </si>
  <si>
    <t>GSE9037_WT_VS_IRAK4_KO_BMDM_DN</t>
  </si>
  <si>
    <t>9535;3559;653361;199;51296;526;8905;51676;64581</t>
  </si>
  <si>
    <t>GMFG;IL2RA;NCF1;AIF1;SLC15A3;ATP6V1B2;AP1S2;ASB2;CLEC7A</t>
  </si>
  <si>
    <t>http://www.broadinstitute.org/gsea/msigdb/cards/GSE9037_WT_VS_IRAK4_KO_BMDM_DN.html</t>
  </si>
  <si>
    <t>3575;1236;4354;719;924;3112;6402;3988;51466</t>
  </si>
  <si>
    <t>IL7R;CCR7;MPP1;C3AR1;CD7;HLA-DOB;SELL;LIPA;EVL</t>
  </si>
  <si>
    <t>http://www.broadinstitute.org/gsea/msigdb/cards/GSE9650_NAIVE_VS_EFF_CD8_TCELL_UP.html</t>
  </si>
  <si>
    <t>GSE369_SOCS3_KO_VS_WT_LIVER_POST_IL6_INJECTION_UP</t>
  </si>
  <si>
    <t>3932;971;51056;2207;4689;51744;9056;8530;9363</t>
  </si>
  <si>
    <t>LCK;CD72;LAP3;FCER1G;NCF4;CD244;SLC7A7;CST7;RAB33A</t>
  </si>
  <si>
    <t>http://www.broadinstitute.org/gsea/msigdb/cards/GSE369_SOCS3_KO_VS_WT_LIVER_POST_IL6_INJECTION_UP.html</t>
  </si>
  <si>
    <t>9535;3932;9744;51225;54;4688;9815;85464;57823</t>
  </si>
  <si>
    <t>GMFG;LCK;ACAP1;ABI3;ACP5;NCF2;GIT2;SSH2;SLAMF7</t>
  </si>
  <si>
    <t>GSE369_PRE_VS_POST_IL6_INJECTION_IFNG_KO_LIVER_DN</t>
  </si>
  <si>
    <t>27334;80380;2857;29909;348;2811;10437;1230;168537</t>
  </si>
  <si>
    <t>P2RY10;PDCD1LG2;GPR34;GPR171;APOE;GP1BA;IFI30;CCR1;GIMAP7</t>
  </si>
  <si>
    <t>http://www.broadinstitute.org/gsea/msigdb/cards/GSE369_PRE_VS_POST_IL6_INJECTION_IFNG_KO_LIVER_DN.html</t>
  </si>
  <si>
    <t>GSE369_PRE_VS_POST_IL6_INJECTION_IFNG_WT_LIVER_UP</t>
  </si>
  <si>
    <t>6352;3687;3394;80380;30009;2212;3274;55281;29126</t>
  </si>
  <si>
    <t>CCL5;ITGAX;IRF8;PDCD1LG2;TBX21;FCGR2A;HRH2;TMEM140;CD274</t>
  </si>
  <si>
    <t>http://www.broadinstitute.org/gsea/msigdb/cards/GSE369_PRE_VS_POST_IL6_INJECTION_IFNG_WT_LIVER_UP.html</t>
  </si>
  <si>
    <t>GSE411_WT_VS_SOCS3_KO_MACROPHAGE_IL6_STIM_100MIN_UP</t>
  </si>
  <si>
    <t>9595;925;3687;10871;11314;5552;6556;59345;55281</t>
  </si>
  <si>
    <t>CYTIP;CD8A;ITGAX;CD300C;CD300A;SRGN;SLC11A1;GNB4;TMEM140</t>
  </si>
  <si>
    <t>http://www.broadinstitute.org/gsea/msigdb/cards/GSE411_WT_VS_SOCS3_KO_MACROPHAGE_IL6_STIM_100MIN_UP.html</t>
  </si>
  <si>
    <t>GSE411_WT_VS_SOCS3_KO_MACROPHAGE_IL6_STIM_100MIN_DN</t>
  </si>
  <si>
    <t>54440;963;3603;283897;151888;259307;6402;151556;9754</t>
  </si>
  <si>
    <t>SASH3;CD53;IL16;C16orf54;BTLA;IL4I1;SELL;GPR155;STARD8</t>
  </si>
  <si>
    <t>http://www.broadinstitute.org/gsea/msigdb/cards/GSE411_WT_VS_SOCS3_KO_MACROPHAGE_IL6_STIM_100MIN_DN.html</t>
  </si>
  <si>
    <t>GSE411_UNSTIM_VS_400MIN_IL6_STIM_SOCS3_KO_MACROPHAGE_UP</t>
  </si>
  <si>
    <t>971;9744;219972;79930;3111;4688;80709;64780;56606</t>
  </si>
  <si>
    <t>CD72;ACAP1;MPEG1;DOK3;HLA-DOA;NCF2;AKNA;MICAL1;SLC2A9</t>
  </si>
  <si>
    <t>http://www.broadinstitute.org/gsea/msigdb/cards/GSE411_UNSTIM_VS_400MIN_IL6_STIM_SOCS3_KO_MACROPHAGE_UP.html</t>
  </si>
  <si>
    <t>GSE411_UNSTIM_VS_400MIN_IL6_STIM_SOCS3_KO_MACROPHAGE_DN</t>
  </si>
  <si>
    <t>5341;1493;5294;51296;80301;3956;4033;10672;11217</t>
  </si>
  <si>
    <t>PLEK;CTLA4;PIK3CG;SLC15A3;PLEKHO2;LGALS1;LRMP;GNA13;AKAP2</t>
  </si>
  <si>
    <t>http://www.broadinstitute.org/gsea/msigdb/cards/GSE411_UNSTIM_VS_400MIN_IL6_STIM_SOCS3_KO_MACROPHAGE_DN.html</t>
  </si>
  <si>
    <t>3627;1436;10871;11314;645432;730249;2212;6556;116442</t>
  </si>
  <si>
    <t>CXCL10;CSF1R;CD300C;CD300A;ARRDC5;ACOD1;FCGR2A;SLC11A1;RAB39B</t>
  </si>
  <si>
    <t>http://www.broadinstitute.org/gsea/msigdb/cards/GSE2770_UNTREATED_VS_TGFB_AND_IL4_TREATED_ACT_CD4_TCELL_2H_UP.html</t>
  </si>
  <si>
    <t>10068;5579;5341;2207;2322;10225;3937;54;7454</t>
  </si>
  <si>
    <t>IL18BP;PRKCB;PLEK;FCER1G;FLT3;CD96;LCP2;ACP5;WAS</t>
  </si>
  <si>
    <t>GSE1112_OT1_VS_HY_CD8AB_THYMOCYTE_RTOC_CULTURE_DN</t>
  </si>
  <si>
    <t>120939;139716;51338;58484;8564;4094;5452;3936;3290</t>
  </si>
  <si>
    <t>TMEM52B;GAB3;MS4A4A;NLRC4;KMO;MAF;POU2F2;LCP1;HSD11B1</t>
  </si>
  <si>
    <t>http://www.broadinstitute.org/gsea/msigdb/cards/GSE1112_OT1_VS_HY_CD8AB_THYMOCYTE_RTOC_CULTURE_DN.html</t>
  </si>
  <si>
    <t>GSE1791_CTRL_VS_NEUROMEDINU_IN_T_CELL_LINE_0.8H_UP</t>
  </si>
  <si>
    <t>713;714;6352;51338;4094;3290;9938;8809;30835</t>
  </si>
  <si>
    <t>C1QB;C1QC;CCL5;MS4A4A;MAF;HSD11B1;ARHGAP25;IL18R1;CD209</t>
  </si>
  <si>
    <t>http://www.broadinstitute.org/gsea/msigdb/cards/GSE1791_CTRL_VS_NEUROMEDINU_IN_T_CELL_LINE_0.8H_UP.html</t>
  </si>
  <si>
    <t>GSE2128_C57BL6_VS_NOD_THYMOCYTE_DN</t>
  </si>
  <si>
    <t>9839;3627;923;9744;51296;51744;6556;57589;83937</t>
  </si>
  <si>
    <t>ZEB2;CXCL10;CD6;ACAP1;SLC15A3;CD244;SLC11A1;RIC1;RASSF4</t>
  </si>
  <si>
    <t>http://www.broadinstitute.org/gsea/msigdb/cards/GSE2128_C57BL6_VS_NOD_THYMOCYTE_DN.html</t>
  </si>
  <si>
    <t>GSE8835_CD4_VS_CD8_TCELL_DN</t>
  </si>
  <si>
    <t>919;1240;29909;3111;3604;80709;80821;338339;64919</t>
  </si>
  <si>
    <t>CD247;CMKLR1;GPR171;HLA-DOA;TNFRSF9;AKNA;DDHD1;CLEC4D;BCL11B</t>
  </si>
  <si>
    <t>http://www.broadinstitute.org/gsea/msigdb/cards/GSE8835_CD4_VS_CD8_TCELL_DN.html</t>
  </si>
  <si>
    <t>GSE8835_HEALTHY_VS_CLL_CD4_TCELL_UP</t>
  </si>
  <si>
    <t>971;3695;64092;348;240;5376;969;53831;23166</t>
  </si>
  <si>
    <t>CD72;ITGB7;SAMSN1;APOE;ALOX5;PMP22;CD69;GPR84;STAB1</t>
  </si>
  <si>
    <t>http://www.broadinstitute.org/gsea/msigdb/cards/GSE8835_HEALTHY_VS_CLL_CD4_TCELL_UP.html</t>
  </si>
  <si>
    <t>GSE2585_AIRE_KO_VS_WT_CD80_HIGH_MTEC_DN</t>
  </si>
  <si>
    <t>2014;3956;3902;3988;4033;10457;64780;55619;145864</t>
  </si>
  <si>
    <t>EMP3;LGALS1;LAG3;LIPA;LRMP;GPNMB;MICAL1;DOCK10;HAPLN3</t>
  </si>
  <si>
    <t>http://www.broadinstitute.org/gsea/msigdb/cards/GSE2585_AIRE_KO_VS_WT_CD80_HIGH_MTEC_DN.html</t>
  </si>
  <si>
    <t>GSE1925_CTRL_VS_3H_IFNG_STIM_MACROPHAGE_DN</t>
  </si>
  <si>
    <t>3458;2209;945;941;4332;1233;64231;8530;55704</t>
  </si>
  <si>
    <t>IFNG;FCGR1A;CD33;CD80;MNDA;CCR4;MS4A6A;CST7;CCDC88A</t>
  </si>
  <si>
    <t>http://www.broadinstitute.org/gsea/msigdb/cards/GSE1925_CTRL_VS_3H_IFNG_STIM_MACROPHAGE_DN.html</t>
  </si>
  <si>
    <t>GSE1925_CTRL_VS_24H_IFNG_STIM_MACROPHAGE_DN</t>
  </si>
  <si>
    <t>714;1536;3561;5734;5800;126364;4064;64333;10019</t>
  </si>
  <si>
    <t>C1QC;CYBB;IL2RG;PTGER4;PTPRO;LRRC25;CD180;ARHGAP9;SH2B3</t>
  </si>
  <si>
    <t>http://www.broadinstitute.org/gsea/msigdb/cards/GSE1925_CTRL_VS_24H_IFNG_STIM_MACROPHAGE_DN.html</t>
  </si>
  <si>
    <t>GSE1925_3H_VS_24H_IFNG_STIM_IFNG_PRIMED_MACROPHAGE_UP</t>
  </si>
  <si>
    <t>915;917;3683;80896;9056;51393;3290;59345;51466</t>
  </si>
  <si>
    <t>CD3D;CD3G;ITGAL;NPL;SLC7A7;TRPV2;HSD11B1;GNB4;EVL</t>
  </si>
  <si>
    <t>http://www.broadinstitute.org/gsea/msigdb/cards/GSE1925_3H_VS_24H_IFNG_STIM_IFNG_PRIMED_MACROPHAGE_UP.html</t>
  </si>
  <si>
    <t>GSE1925_CTRL_VS_24H_IFNG_STIM_IFNG_PRIMED_MACROPHAGE_UP</t>
  </si>
  <si>
    <t>920;3689;917;943;3003;7462;59345;51466;11217</t>
  </si>
  <si>
    <t>CD4;ITGB2;CD3G;TNFRSF8;GZMK;LAT2;GNB4;EVL;AKAP2</t>
  </si>
  <si>
    <t>http://www.broadinstitute.org/gsea/msigdb/cards/GSE1925_CTRL_VS_24H_IFNG_STIM_IFNG_PRIMED_MACROPHAGE_UP.html</t>
  </si>
  <si>
    <t>1236;944;151888;64333;6402;7185;79865;54861</t>
  </si>
  <si>
    <t>CCR7;TNFSF8;BTLA;ARHGAP9;SELL;TRAF1;TREML2;SNRK</t>
  </si>
  <si>
    <t>http://www.broadinstitute.org/gsea/msigdb/cards/GSE3565_DUSP1_VS_WT_SPLENOCYTES_POST_LPS_INJECTION_UP.html</t>
  </si>
  <si>
    <t>GSE3720_VD1_VS_VD2_GAMMADELTA_TCELL_UP</t>
  </si>
  <si>
    <t>3627;6351;7453;255231;150372;81030;51284;27314;441168</t>
  </si>
  <si>
    <t>CXCL10;CCL4;WARS;MCOLN2;NFAM1;ZBP1;TLR7;RAB30;CALHM6</t>
  </si>
  <si>
    <t>http://www.broadinstitute.org/gsea/msigdb/cards/GSE3720_VD1_VS_VD2_GAMMADELTA_TCELL_UP.html</t>
  </si>
  <si>
    <t>GSE8921_UNSTIM_VS_TLR1_2_STIM_MONOCYTE_12H_UP</t>
  </si>
  <si>
    <t>5294;4689;55589;9056;9034;4094;728;7941;150771</t>
  </si>
  <si>
    <t>PIK3CG;NCF4;BMP2K;SLC7A7;CCRL2;MAF;C5AR1;PLA2G7;ITPRIPL1</t>
  </si>
  <si>
    <t>http://www.broadinstitute.org/gsea/msigdb/cards/GSE8921_UNSTIM_VS_TLR1_2_STIM_MONOCYTE_12H_UP.html</t>
  </si>
  <si>
    <t>22797;9046;712;713;115361;6373;3604;64805;53831</t>
  </si>
  <si>
    <t>TFEC;DOK2;C1QA;C1QB;GBP4;CXCL11;TNFRSF9;P2RY12;GPR84</t>
  </si>
  <si>
    <t>http://www.broadinstitute.org/gsea/msigdb/cards/GSE3039_NKT_CELL_VS_ALPHABETA_CD8_TCELL_UP.html</t>
  </si>
  <si>
    <t>GSE3039_ALPHAALPHA_CD8_TCELL_VS_B1_BCELL_DN</t>
  </si>
  <si>
    <t>9051;3055;53347;117289;366;4208;969;89846;25890</t>
  </si>
  <si>
    <t>PSTPIP1;HCK;UBASH3A;TAGAP;AQP9;MEF2C;CD69;FGD3;ABI3BP</t>
  </si>
  <si>
    <t>http://www.broadinstitute.org/gsea/msigdb/cards/GSE3039_ALPHAALPHA_CD8_TCELL_VS_B1_BCELL_DN.html</t>
  </si>
  <si>
    <t>GSE3039_CD4_TCELL_VS_ALPHABETA_CD8_TCELL_DN</t>
  </si>
  <si>
    <t>6351;1236;3662;730249;3717;3363;84034;59345;29126</t>
  </si>
  <si>
    <t>CCL4;CCR7;IRF4;ACOD1;JAK2;HTR7;EMILIN2;GNB4;CD274</t>
  </si>
  <si>
    <t>http://www.broadinstitute.org/gsea/msigdb/cards/GSE3039_CD4_TCELL_VS_ALPHABETA_CD8_TCELL_DN.html</t>
  </si>
  <si>
    <t>9839;929;219972;170371;366;8530;6891;3123;4644</t>
  </si>
  <si>
    <t>ZEB2;CD14;MPEG1;TMEM273;AQP9;CST7;TAP2;HLA-DRB1;MYO5A</t>
  </si>
  <si>
    <t>http://www.broadinstitute.org/gsea/msigdb/cards/GSE5542_UNTREATED_VS_IFNA_AND_IFNG_TREATED_EPITHELIAL_CELLS_24H_UP.html</t>
  </si>
  <si>
    <t>GSE5542_IFNG_VS_IFNA_AND_IFNG_TREATED_EPITHELIAL_CELLS_24H_UP</t>
  </si>
  <si>
    <t>7305;6772;6404;10870;11010;10148;89846;79865;91010</t>
  </si>
  <si>
    <t>TYROBP;STAT1;SELPLG;HCST;GLIPR1;EBI3;FGD3;TREML2;FMNL3</t>
  </si>
  <si>
    <t>http://www.broadinstitute.org/gsea/msigdb/cards/GSE5542_IFNG_VS_IFNA_AND_IFNG_TREATED_EPITHELIAL_CELLS_24H_UP.html</t>
  </si>
  <si>
    <t>GSE5542_IFNG_VS_IFNA_AND_IFNG_TREATED_EPITHELIAL_CELLS_24H_DN</t>
  </si>
  <si>
    <t>1536;3659;219972;257106;259307;4063;30009;969;116071</t>
  </si>
  <si>
    <t>CYBB;IRF1;MPEG1;ARHGAP30;IL4I1;LY9;TBX21;CD69;BATF2</t>
  </si>
  <si>
    <t>http://www.broadinstitute.org/gsea/msigdb/cards/GSE5542_IFNG_VS_IFNA_AND_IFNG_TREATED_EPITHELIAL_CELLS_24H_DN.html</t>
  </si>
  <si>
    <t>GSE5099_UNSTIM_VS_MCSF_TREATED_MONOCYTE_DAY7_DN</t>
  </si>
  <si>
    <t>929;653361;1493;348;10437;2113;3902;55911;3123</t>
  </si>
  <si>
    <t>CD14;NCF1;CTLA4;APOE;IFI30;ETS1;LAG3;APOBR;HLA-DRB1</t>
  </si>
  <si>
    <t>http://www.broadinstitute.org/gsea/msigdb/cards/GSE5099_UNSTIM_VS_MCSF_TREATED_MONOCYTE_DAY7_DN.html</t>
  </si>
  <si>
    <t>GSE5589_LPS_AND_IL10_VS_LPS_AND_IL6_STIM_IL10_KO_MACROPHAGE_45MIN_UP</t>
  </si>
  <si>
    <t>54440;11309;3603;51225;225;1230;6614;55803;9935</t>
  </si>
  <si>
    <t>SASH3;SLCO2B1;IL16;ABI3;ABCD2;CCR1;SIGLEC1;ADAP2;MAFB</t>
  </si>
  <si>
    <t>http://www.broadinstitute.org/gsea/msigdb/cards/GSE5589_LPS_AND_IL10_VS_LPS_AND_IL6_STIM_IL10_KO_MACROPHAGE_45MIN_UP.html</t>
  </si>
  <si>
    <t>GSE5589_WT_VS_IL10_KO_LPS_AND_IL10_STIM_MACROPHAGE_45MIN_DN</t>
  </si>
  <si>
    <t>3695;51056;9744;4689;259307;526;3274;1230;4033</t>
  </si>
  <si>
    <t>ITGB7;LAP3;ACAP1;NCF4;IL4I1;ATP6V1B2;HRH2;CCR1;LRMP</t>
  </si>
  <si>
    <t>http://www.broadinstitute.org/gsea/msigdb/cards/GSE5589_WT_VS_IL10_KO_LPS_AND_IL10_STIM_MACROPHAGE_45MIN_DN.html</t>
  </si>
  <si>
    <t>GSE5589_IL6_KO_VS_IL10_KO_LPS_AND_IL6_STIM_MACROPHAGE_45MIN_UP</t>
  </si>
  <si>
    <t>4242;313;54899;80342;9120;4094;118788;79895;64805</t>
  </si>
  <si>
    <t>MFNG;AOAH;PXK;TRAF3IP3;SLC16A6;MAF;PIK3AP1;ATP8B4;P2RY12</t>
  </si>
  <si>
    <t>http://www.broadinstitute.org/gsea/msigdb/cards/GSE5589_IL6_KO_VS_IL10_KO_LPS_AND_IL6_STIM_MACROPHAGE_45MIN_UP.html</t>
  </si>
  <si>
    <t>GSE5589_IL6_KO_VS_IL10_KO_LPS_STIM_MACROPHAGE_180MIN_UP</t>
  </si>
  <si>
    <t>940;9744;3662;64407;366;3684;4208;6503;25780</t>
  </si>
  <si>
    <t>CD28;ACAP1;IRF4;RGS18;AQP9;ITGAM;MEF2C;SLA;RASGRP3</t>
  </si>
  <si>
    <t>http://www.broadinstitute.org/gsea/msigdb/cards/GSE5589_IL6_KO_VS_IL10_KO_LPS_STIM_MACROPHAGE_180MIN_UP.html</t>
  </si>
  <si>
    <t>3575;971;1233;50852;221188;2162;10457;79865</t>
  </si>
  <si>
    <t>IL7R;CD72;CCR4;TRAT1;ADGRG5;F13A1;GPNMB;TREML2</t>
  </si>
  <si>
    <t>http://www.broadinstitute.org/gsea/msigdb/cards/GSE3920_IFNB_VS_IFNG_TREATED_ENDOTHELIAL_CELL_UP.html</t>
  </si>
  <si>
    <t>GSE3203_WT_VS_IFNAR1_KO_INFLUENZA_INFECTED_LN_BCELL_UP</t>
  </si>
  <si>
    <t>10663;3932;5788;6036;84174;348;118788;91010;50515</t>
  </si>
  <si>
    <t>CXCR6;LCK;PTPRC;RNASE2;SLA2;APOE;PIK3AP1;FMNL3;CHST11</t>
  </si>
  <si>
    <t>http://www.broadinstitute.org/gsea/msigdb/cards/GSE3203_WT_VS_IFNAR1_KO_INFLUENZA_INFECTED_LN_BCELL_UP.html</t>
  </si>
  <si>
    <t>GSE6674_CPG_VS_PL2_3_STIM_BCELL_UP</t>
  </si>
  <si>
    <t>340152;917;4354;115361;64231;80342;10077;81553;51466</t>
  </si>
  <si>
    <t>ZC3H12D;CD3G;MPP1;GBP4;MS4A6A;TRAF3IP3;TSPAN32;FAM49A;EVL</t>
  </si>
  <si>
    <t>http://www.broadinstitute.org/gsea/msigdb/cards/GSE6674_CPG_VS_PL2_3_STIM_BCELL_UP.html</t>
  </si>
  <si>
    <t>GSE6674_CPG_VS_CPG_AND_ANTI_IGM_STIM_BCELL_DN</t>
  </si>
  <si>
    <t>963;3702;9744;146722;366;4049;4050;3604;11009</t>
  </si>
  <si>
    <t>CD53;ITK;ACAP1;CD300LF;AQP9;LTA;LTB;TNFRSF9;IL24</t>
  </si>
  <si>
    <t>http://www.broadinstitute.org/gsea/msigdb/cards/GSE6674_CPG_VS_CPG_AND_ANTI_IGM_STIM_BCELL_DN.html</t>
  </si>
  <si>
    <t>GSE9239_CTRL_VS_TNF_INHIBITOR_TREATED_DC_UP</t>
  </si>
  <si>
    <t>170371;3903;6039;3117;6891;4240;55911;3123;155038</t>
  </si>
  <si>
    <t>TMEM273;LAIR1;RNASE6;HLA-DQA1;TAP2;MFGE8;APOBR;HLA-DRB1;GIMAP8</t>
  </si>
  <si>
    <t>http://www.broadinstitute.org/gsea/msigdb/cards/GSE9239_CTRL_VS_TNF_INHIBITOR_TREATED_DC_UP.html</t>
  </si>
  <si>
    <t>GSE8621_LPS_PRIMED_UNSTIM_VS_LPS_PRIMED_AND_LPS_STIM_MACROPHAGE_DN</t>
  </si>
  <si>
    <t>10875;53346;8564;8530;5552;80709;10462;84541;4644</t>
  </si>
  <si>
    <t>FGL2;TM6SF1;KMO;CST7;SRGN;AKNA;CLEC10A;KBTBD8;MYO5A</t>
  </si>
  <si>
    <t>http://www.broadinstitute.org/gsea/msigdb/cards/GSE8621_LPS_PRIMED_UNSTIM_VS_LPS_PRIMED_AND_LPS_STIM_MACROPHAGE_DN.html</t>
  </si>
  <si>
    <t>GSE10240_IL17_VS_IL17_AND_IL22_STIM_PRIMARY_BRONCHIAL_EPITHELIAL_CELLS_UP</t>
  </si>
  <si>
    <t>5294;3903;51296;256380;57580;27128;2358;23312;59345</t>
  </si>
  <si>
    <t>PIK3CG;LAIR1;SLC15A3;SCML4;PREX1;CYTH4;FPR2;DMXL2;GNB4</t>
  </si>
  <si>
    <t>http://www.broadinstitute.org/gsea/msigdb/cards/GSE10240_IL17_VS_IL17_AND_IL22_STIM_PRIMARY_BRONCHIAL_EPITHELIAL_CELLS_UP.html</t>
  </si>
  <si>
    <t>GSE7568_CTRL_VS_24H_TGFB_TREATED_MACROPHAGES_WITH_IL4_AND_DEXAMETHASONE_DN</t>
  </si>
  <si>
    <t>3559;3695;9332;9056;27036;3586;1235;1237;146850</t>
  </si>
  <si>
    <t>IL2RA;ITGB7;CD163;SLC7A7;SIGLEC7;IL10;CCR6;CCR8;PIK3R6</t>
  </si>
  <si>
    <t>http://www.broadinstitute.org/gsea/msigdb/cards/GSE7568_CTRL_VS_24H_TGFB_TREATED_MACROPHAGES_WITH_IL4_AND_DEXAMETHASONE_DN.html</t>
  </si>
  <si>
    <t>GSE13547_CTRL_VS_ANTI_IGM_STIM_ZFX_KO_BCELL_12H_UP</t>
  </si>
  <si>
    <t>6351;3575;8477;154075;139716;3824;441168</t>
  </si>
  <si>
    <t>CCL4;IL7R;GPR65;SAMD3;GAB3;KLRD1;CALHM6</t>
  </si>
  <si>
    <t>http://www.broadinstitute.org/gsea/msigdb/cards/GSE13547_CTRL_VS_ANTI_IGM_STIM_ZFX_KO_BCELL_12H_UP.html</t>
  </si>
  <si>
    <t>3932;916;971;6404;2113;7454;356;90634;27240</t>
  </si>
  <si>
    <t>LCK;CD3E;CD72;SELPLG;ETS1;WAS;FASLG;N4BP2L1;SIT1</t>
  </si>
  <si>
    <t>http://www.broadinstitute.org/gsea/msigdb/cards/GSE15330_WT_VS_IKAROS_KO_MEGAKARYOCYTE_ERYTHROID_PROGENITOR_DN.html</t>
  </si>
  <si>
    <t>GSE15330_LYMPHOID_MULTIPOTENT_VS_GRANULOCYTE_MONOCYTE_PROGENITOR_DN</t>
  </si>
  <si>
    <t>7456;962;3560;92241;83706;81704;51393;814;51063</t>
  </si>
  <si>
    <t>WIPF1;CD48;IL2RB;RCSD1;FERMT3;DOCK8;TRPV2;CAMK4;CALHM2</t>
  </si>
  <si>
    <t>http://www.broadinstitute.org/gsea/msigdb/cards/GSE15330_LYMPHOID_MULTIPOTENT_VS_GRANULOCYTE_MONOCYTE_PROGENITOR_DN.html</t>
  </si>
  <si>
    <t>GSE12198_NK_VS_NK_ACT_EXPANSION_SYSTEM_DERIVED_NK_CELL_DN</t>
  </si>
  <si>
    <t>3575;5734;3903;4049;1508;27163;10148;814;91526</t>
  </si>
  <si>
    <t>IL7R;PTGER4;LAIR1;LTA;CTSB;NAAA;EBI3;CAMK4;ANKRD44</t>
  </si>
  <si>
    <t>http://www.broadinstitute.org/gsea/msigdb/cards/GSE12198_NK_VS_NK_ACT_EXPANSION_SYSTEM_DERIVED_NK_CELL_DN.html</t>
  </si>
  <si>
    <t>GSE12198_CTRL_VS_LOW_IL2_STIM_NK_CELL_UP</t>
  </si>
  <si>
    <t>3001;963;150372;170575;51393;926;356;54331;27163</t>
  </si>
  <si>
    <t>GZMA;CD53;NFAM1;GIMAP1;TRPV2;CD8B;FASLG;GNG2;NAAA</t>
  </si>
  <si>
    <t>http://www.broadinstitute.org/gsea/msigdb/cards/GSE12198_CTRL_VS_LOW_IL2_STIM_NK_CELL_UP.html</t>
  </si>
  <si>
    <t>GSE15139_GMCSF_TREATED_VS_UNTREATED_NEUTROPHILS_UP</t>
  </si>
  <si>
    <t>9046;914;391;64092;926;2358;3290;3988;5133</t>
  </si>
  <si>
    <t>DOK2;CD2;RHOG;SAMSN1;CD8B;FPR2;HSD11B1;LIPA;PDCD1</t>
  </si>
  <si>
    <t>http://www.broadinstitute.org/gsea/msigdb/cards/GSE15139_GMCSF_TREATED_VS_UNTREATED_NEUTROPHILS_UP.html</t>
  </si>
  <si>
    <t>GSE9960_GRAM_POS_VS_GRAM_NEG_AND_POS_SEPSIS_PBMC_DN</t>
  </si>
  <si>
    <t>653361;2014;4689;2357;3290;4973;91010;51762;64747</t>
  </si>
  <si>
    <t>NCF1;EMP3;NCF4;FPR1;HSD11B1;OLR1;FMNL3;RAB8B;MFSD1</t>
  </si>
  <si>
    <t>http://www.broadinstitute.org/gsea/msigdb/cards/GSE9960_GRAM_POS_VS_GRAM_NEG_AND_POS_SEPSIS_PBMC_DN.html</t>
  </si>
  <si>
    <t>GSE12392_CD8A_POS_VS_NEG_SPLEEN_IFNB_KO_DC_DN</t>
  </si>
  <si>
    <t>9595;6404;10875;80896;51744;9034;27299;4360;9935</t>
  </si>
  <si>
    <t>CYTIP;SELPLG;FGL2;NPL;CD244;CCRL2;ADAMDEC1;MRC1;MAFB</t>
  </si>
  <si>
    <t>http://www.broadinstitute.org/gsea/msigdb/cards/GSE12392_CD8A_POS_VS_NEG_SPLEEN_IFNB_KO_DC_DN.html</t>
  </si>
  <si>
    <t>GSE12392_IFNAR_KO_VS_IFNB_KO_CD8_NEG_SPLEEN_DC_UP</t>
  </si>
  <si>
    <t>1318;9595;6351;5734;9120;3113;4240;10672;50515</t>
  </si>
  <si>
    <t>SLC31A2;CYTIP;CCL4;PTGER4;SLC16A6;HLA-DPA1;MFGE8;GNA13;CHST11</t>
  </si>
  <si>
    <t>http://www.broadinstitute.org/gsea/msigdb/cards/GSE12392_IFNAR_KO_VS_IFNB_KO_CD8_NEG_SPLEEN_DC_UP.html</t>
  </si>
  <si>
    <t>GSE12392_WT_VS_IFNB_KO_CD8A_POS_SPLEEN_DC_UP</t>
  </si>
  <si>
    <t>1318;3683;6404;56833;51393;1102;6402;11010;51466</t>
  </si>
  <si>
    <t>SLC31A2;ITGAL;SELPLG;SLAMF8;TRPV2;RCBTB2;SELL;GLIPR1;EVL</t>
  </si>
  <si>
    <t>http://www.broadinstitute.org/gsea/msigdb/cards/GSE12392_WT_VS_IFNB_KO_CD8A_POS_SPLEEN_DC_UP.html</t>
  </si>
  <si>
    <t>GSE17186_NAIVE_VS_CD21HIGH_TRANSITIONAL_BCELL_CORD_BLOOD_UP</t>
  </si>
  <si>
    <t>963;4354;256380;11184;7099;9120;4049;4050;79630</t>
  </si>
  <si>
    <t>CD53;MPP1;SCML4;MAP4K1;TLR4;SLC16A6;LTA;LTB;C1orf54</t>
  </si>
  <si>
    <t>http://www.broadinstitute.org/gsea/msigdb/cards/GSE17186_NAIVE_VS_CD21HIGH_TRANSITIONAL_BCELL_CORD_BLOOD_UP.html</t>
  </si>
  <si>
    <t>GSE19923_WT_VS_E2A_KO_DP_THYMOCYTE_DN</t>
  </si>
  <si>
    <t>713;6036;940;719;1240;55303;1235;79630;80183</t>
  </si>
  <si>
    <t>C1QB;RNASE2;CD28;C3AR1;CMKLR1;GIMAP4;CCR6;C1orf54;RUBCNL</t>
  </si>
  <si>
    <t>http://www.broadinstitute.org/gsea/msigdb/cards/GSE19923_WT_VS_E2A_KO_DP_THYMOCYTE_DN.html</t>
  </si>
  <si>
    <t>GSE18893_CTRL_VS_TNF_TREATED_TREG_24H_DN</t>
  </si>
  <si>
    <t>6352;6039;53829;55303;80342;3111;3936;100506736;10462</t>
  </si>
  <si>
    <t>CCL5;RNASE6;P2RY13;GIMAP4;TRAF3IP3;HLA-DOA;LCP1;SLFN12L;CLEC10A</t>
  </si>
  <si>
    <t>http://www.broadinstitute.org/gsea/msigdb/cards/GSE18893_CTRL_VS_TNF_TREATED_TREG_24H_DN.html</t>
  </si>
  <si>
    <t>919;146722;89857;23048;10870;9120;2529;10148;84329</t>
  </si>
  <si>
    <t>CD247;CD300LF;KLHL6;FNBP1;HCST;SLC16A6;FUT7;EBI3;HVCN1</t>
  </si>
  <si>
    <t>http://www.broadinstitute.org/gsea/msigdb/cards/GSE18893_TCONV_VS_TREG_2H_CULTURE_UP.html</t>
  </si>
  <si>
    <t>GSE18893_CTRL_VS_TNF_TREATED_TCONV_24H_DN</t>
  </si>
  <si>
    <t>59067;4094;56253;2529;597;57705;116071;84230;116442</t>
  </si>
  <si>
    <t>IL21;MAF;CRTAM;FUT7;BCL2A1;WDFY4;BATF2;LRRC8C;RAB39B</t>
  </si>
  <si>
    <t>http://www.broadinstitute.org/gsea/msigdb/cards/GSE18893_CTRL_VS_TNF_TREATED_TCONV_24H_DN.html</t>
  </si>
  <si>
    <t>GSE19888_CTRL_VS_A3R_INHIBITOR_TREATED_MAST_CELL_DN</t>
  </si>
  <si>
    <t>9839;3575;1236;7805;114548;3122;5552;4688;23312</t>
  </si>
  <si>
    <t>ZEB2;IL7R;CCR7;LAPTM5;NLRP3;HLA-DRA;SRGN;NCF2;DMXL2</t>
  </si>
  <si>
    <t>http://www.broadinstitute.org/gsea/msigdb/cards/GSE19888_CTRL_VS_A3R_INHIBITOR_TREATED_MAST_CELL_DN.html</t>
  </si>
  <si>
    <t>GSE19888_CTRL_VS_A3R_ACTIVATION_MAST_CELL_DN</t>
  </si>
  <si>
    <t>4068;940;256380;64092;29992;5724;6753;653567;9806</t>
  </si>
  <si>
    <t>SH2D1A;CD28;SCML4;SAMSN1;PILRA;PTAFR;SSTR3;TMEM236;SPOCK2</t>
  </si>
  <si>
    <t>http://www.broadinstitute.org/gsea/msigdb/cards/GSE19888_CTRL_VS_A3R_ACTIVATION_MAST_CELL_DN.html</t>
  </si>
  <si>
    <t>GSE20198_IL12_VS_IL12_IL18_TREATED_ACT_CD4_TCELL_UP</t>
  </si>
  <si>
    <t>27334;51056;6772;255231;53346;3111;969;79895;59345</t>
  </si>
  <si>
    <t>P2RY10;LAP3;STAT1;MCOLN2;TM6SF1;HLA-DOA;CD69;ATP8B4;GNB4</t>
  </si>
  <si>
    <t>http://www.broadinstitute.org/gsea/msigdb/cards/GSE20198_IL12_VS_IL12_IL18_TREATED_ACT_CD4_TCELL_UP.html</t>
  </si>
  <si>
    <t>GSE21678_WT_VS_FOXO1_FOXO3_KO_TREG_UP</t>
  </si>
  <si>
    <t>3559;1493;29851;9120;19;5552;85464;84541;84230</t>
  </si>
  <si>
    <t>IL2RA;CTLA4;ICOS;SLC16A6;ABCA1;SRGN;SSH2;KBTBD8;LRRC8C</t>
  </si>
  <si>
    <t>http://www.broadinstitute.org/gsea/msigdb/cards/GSE21678_WT_VS_FOXO1_FOXO3_KO_TREG_UP.html</t>
  </si>
  <si>
    <t>GSE16450_IMMATURE_VS_MATURE_NEURON_CELL_LINE_DN</t>
  </si>
  <si>
    <t>3559;3394;6504;124535;4049;3902;3586;3604;84541</t>
  </si>
  <si>
    <t>IL2RA;IRF8;SLAMF1;HSF5;LTA;LAG3;IL10;TNFRSF9;KBTBD8</t>
  </si>
  <si>
    <t>http://www.broadinstitute.org/gsea/msigdb/cards/GSE16450_IMMATURE_VS_MATURE_NEURON_CELL_LINE_DN.html</t>
  </si>
  <si>
    <t>GSE16451_CTRL_VS_WEST_EQUINE_ENC_VIRUS_MATURE_NEURON_CELL_LINE_UP</t>
  </si>
  <si>
    <t>3687;1240;59067;29909;3717;57514;25780;50943;50515</t>
  </si>
  <si>
    <t>ITGAX;CMKLR1;IL21;GPR171;JAK2;ARHGAP31;RASGRP3;FOXP3;CHST11</t>
  </si>
  <si>
    <t>http://www.broadinstitute.org/gsea/msigdb/cards/GSE16451_CTRL_VS_WEST_EQUINE_ENC_VIRUS_MATURE_NEURON_CELL_LINE_UP.html</t>
  </si>
  <si>
    <t>GSE21670_UNTREATED_VS_TGFB_IL6_TREATED_STAT3_KO_CD4_TCELL_UP</t>
  </si>
  <si>
    <t>3559;1493;7133;3394;3662;29909;3108;23166;22806</t>
  </si>
  <si>
    <t>IL2RA;CTLA4;TNFRSF1B;IRF8;IRF4;GPR171;HLA-DMA;STAB1;IKZF3</t>
  </si>
  <si>
    <t>http://www.broadinstitute.org/gsea/msigdb/cards/GSE21670_UNTREATED_VS_TGFB_IL6_TREATED_STAT3_KO_CD4_TCELL_UP.html</t>
  </si>
  <si>
    <t>GSE21670_STAT3_KO_VS_WT_CD4_TCELL_IL6_TREATED_UP</t>
  </si>
  <si>
    <t>3937;3903;80231;50856;2212;4973;1601;146183;64581</t>
  </si>
  <si>
    <t>LCP2;LAIR1;CXorf21;CLEC4A;FCGR2A;OLR1;DAB2;OTOA;CLEC7A</t>
  </si>
  <si>
    <t>http://www.broadinstitute.org/gsea/msigdb/cards/GSE21670_STAT3_KO_VS_WT_CD4_TCELL_IL6_TREATED_UP.html</t>
  </si>
  <si>
    <t>GSE21546_ELK1_KO_VS_SAP1A_KO_AND_ELK1_KO_DP_THYMOCYTES_UP</t>
  </si>
  <si>
    <t>51056;6772;120939;84166;64170;197135;10437;6891;55281</t>
  </si>
  <si>
    <t>LAP3;STAT1;TMEM52B;NLRC5;CARD9;PATL2;IFI30;TAP2;TMEM140</t>
  </si>
  <si>
    <t>http://www.broadinstitute.org/gsea/msigdb/cards/GSE21546_ELK1_KO_VS_SAP1A_KO_AND_ELK1_KO_DP_THYMOCYTES_UP.html</t>
  </si>
  <si>
    <t>GSE21927_C26GM_VS_4T1_TUMOR_MONOCYTE_BALBC_UP</t>
  </si>
  <si>
    <t>942;83706;255231;64092;51284;10437;54;54518;25939</t>
  </si>
  <si>
    <t>CD86;FERMT3;MCOLN2;SAMSN1;TLR7;IFI30;ACP5;APBB1IP;SAMHD1</t>
  </si>
  <si>
    <t>http://www.broadinstitute.org/gsea/msigdb/cards/GSE21927_C26GM_VS_4T1_TUMOR_MONOCYTE_BALBC_UP.html</t>
  </si>
  <si>
    <t>GSE21927_SPLEEN_VS_TUMOR_MONOCYTE_C57BL6_UP</t>
  </si>
  <si>
    <t>917;1378;9332;284417;6037;6503;132160;3805;51513</t>
  </si>
  <si>
    <t>CD3G;CR1;CD163;TMEM150B;RNASE3;SLA;PPM1M;KIR2DL4;ETV7</t>
  </si>
  <si>
    <t>http://www.broadinstitute.org/gsea/msigdb/cards/GSE21927_SPLEEN_VS_TUMOR_MONOCYTE_C57BL6_UP.html</t>
  </si>
  <si>
    <t>GSE19401_UNSTIM_VS_PAM2CSK4_STIM_FOLLICULAR_DC_DN</t>
  </si>
  <si>
    <t>4354;11006;27299;2359;3988;9938;25780;9754;55619</t>
  </si>
  <si>
    <t>MPP1;LILRB4;ADAMDEC1;FPR3;LIPA;ARHGAP25;RASGRP3;STARD8;DOCK10</t>
  </si>
  <si>
    <t>http://www.broadinstitute.org/gsea/msigdb/cards/GSE19401_UNSTIM_VS_PAM2CSK4_STIM_FOLLICULAR_DC_DN.html</t>
  </si>
  <si>
    <t>4542;695;10320;6404;3635;2672;10457;50515;55013</t>
  </si>
  <si>
    <t>MYO1F;BTK;IKZF1;SELPLG;INPP5D;GFI1;GPNMB;CHST11;MCUB</t>
  </si>
  <si>
    <t>http://www.broadinstitute.org/gsea/msigdb/cards/GSE19401_RETINOIC_ACID_VS_RETINOIC_ACID_AND_PAM2CSK4_STIM_FOLLICULAR_DC_DN.html</t>
  </si>
  <si>
    <t>GSE19401_RETINOIC_ACID_VS_RETINOIC_ACID_AND_PAM2CSK4_STIM_FOLLICULAR_DC_UP</t>
  </si>
  <si>
    <t>971;5778;4354;3662;10019;29909;8564;56253;814</t>
  </si>
  <si>
    <t>CD72;PTPN7;MPP1;IRF4;SH2B3;GPR171;KMO;CRTAM;CAMK4</t>
  </si>
  <si>
    <t>http://www.broadinstitute.org/gsea/msigdb/cards/GSE19401_RETINOIC_ACID_VS_RETINOIC_ACID_AND_PAM2CSK4_STIM_FOLLICULAR_DC_UP.html</t>
  </si>
  <si>
    <t>GSE20500_RETINOIC_ACID_VS_RARA_ANTAGONIST_TREATED_CD4_TCELL_UP</t>
  </si>
  <si>
    <t>929;6352;7133;26051;8832;3162;729230;9938;10507</t>
  </si>
  <si>
    <t>CD14;CCL5;TNFRSF1B;PPP1R16B;CD84;HMOX1;CCR2;ARHGAP25;SEMA4D</t>
  </si>
  <si>
    <t>http://www.broadinstitute.org/gsea/msigdb/cards/GSE20500_RETINOIC_ACID_VS_RARA_ANTAGONIST_TREATED_CD4_TCELL_UP.html</t>
  </si>
  <si>
    <t>GSE23308_WT_VS_MINERALCORTICOID_REC_KO_MACROPHAGE_CORTICOSTERONE_TREATED_DN</t>
  </si>
  <si>
    <t>4210;9535;3932;6351;50856;27036;3553;2357;3604</t>
  </si>
  <si>
    <t>MEFV;GMFG;LCK;CCL4;CLEC4A;SIGLEC7;IL1B;FPR1;TNFRSF9</t>
  </si>
  <si>
    <t>http://www.broadinstitute.org/gsea/msigdb/cards/GSE23308_WT_VS_MINERALCORTICOID_REC_KO_MACROPHAGE_CORTICOSTERONE_TREATED_DN.html</t>
  </si>
  <si>
    <t>GSE22935_UNSTIM_VS_24H_MBOVIS_BCG_STIM_MACROPHAGE_DN</t>
  </si>
  <si>
    <t>929;3055;4354;27299;3553;1435;2113;3586;91526</t>
  </si>
  <si>
    <t>CD14;HCK;MPP1;ADAMDEC1;IL1B;CSF1;ETS1;IL10;ANKRD44</t>
  </si>
  <si>
    <t>http://www.broadinstitute.org/gsea/msigdb/cards/GSE22935_UNSTIM_VS_24H_MBOVIS_BCG_STIM_MACROPHAGE_DN.html</t>
  </si>
  <si>
    <t>GSE24210_IL35_TREATED_VS_RESTING_TREG_DN</t>
  </si>
  <si>
    <t>920;3932;2811;3586;4240;146183;245972;84329;30835</t>
  </si>
  <si>
    <t>CD4;LCK;GP1BA;IL10;MFGE8;OTOA;ATP6V0D2;HVCN1;CD209</t>
  </si>
  <si>
    <t>http://www.broadinstitute.org/gsea/msigdb/cards/GSE24210_IL35_TREATED_VS_RESTING_TREG_DN.html</t>
  </si>
  <si>
    <t>GSE23505_IL6_IL1_IL23_VS_IL6_IL1_TGFB_TREATED_CD4_TCELL_DN</t>
  </si>
  <si>
    <t>6351;7133;3394;84174;27128;29909;3956;55911;10004</t>
  </si>
  <si>
    <t>CCL4;TNFRSF1B;IRF8;SLA2;CYTH4;GPR171;LGALS1;APOBR;NAALADL1</t>
  </si>
  <si>
    <t>http://www.broadinstitute.org/gsea/msigdb/cards/GSE23505_IL6_IL1_IL23_VS_IL6_IL1_TGFB_TREATED_CD4_TCELL_DN.html</t>
  </si>
  <si>
    <t>GSE25123_CTRL_VS_IL4_AND_ROSIGLITAZONE_STIM_MACROPHAGE_UP</t>
  </si>
  <si>
    <t>925;951;1236;3594;3662;84166;29909;3824;51466</t>
  </si>
  <si>
    <t>CD8A;CD37;CCR7;IL12RB1;IRF4;NLRC5;GPR171;KLRD1;EVL</t>
  </si>
  <si>
    <t>http://www.broadinstitute.org/gsea/msigdb/cards/GSE25123_CTRL_VS_IL4_AND_ROSIGLITAZONE_STIM_MACROPHAGE_UP.html</t>
  </si>
  <si>
    <t>3575;3587;2857;3717;55619;84329;84106;145864;59345</t>
  </si>
  <si>
    <t>IL7R;IL10RA;GPR34;JAK2;DOCK10;HVCN1;PRAM1;HAPLN3;GNB4</t>
  </si>
  <si>
    <t>http://www.broadinstitute.org/gsea/msigdb/cards/GSE25123_CTRL_VS_IL4_STIM_MACROPHAGE_DN.html</t>
  </si>
  <si>
    <t>GSE16385_IFNG_TNF_VS_IL4_STIM_MACROPHAGE_ROSIGLITAZONE_TREATED_DN</t>
  </si>
  <si>
    <t>9839;3689;919;3695;4245;719;55303;3059;6503</t>
  </si>
  <si>
    <t>ZEB2;ITGB2;CD247;ITGB7;MGAT1;C3AR1;GIMAP4;HCLS1;SLA</t>
  </si>
  <si>
    <t>http://www.broadinstitute.org/gsea/msigdb/cards/GSE16385_IFNG_TNF_VS_IL4_STIM_MACROPHAGE_ROSIGLITAZONE_TREATED_DN.html</t>
  </si>
  <si>
    <t>GSE25088_ROSIGLITAZONE_VS_IL4_AND_ROSIGLITAZONE_STIM_MACROPHAGE_DAY10_DN</t>
  </si>
  <si>
    <t>2124;10320;221472;170575;366;6402;441168;150771;10462</t>
  </si>
  <si>
    <t>EVI2B;IKZF1;FGD2;GIMAP1;AQP9;SELL;CALHM6;ITPRIPL1;CLEC10A</t>
  </si>
  <si>
    <t>http://www.broadinstitute.org/gsea/msigdb/cards/GSE25088_ROSIGLITAZONE_VS_IL4_AND_ROSIGLITAZONE_STIM_MACROPHAGE_DAY10_DN.html</t>
  </si>
  <si>
    <t>3394;399;64333;10537;54331;55911;3824;80709;375387</t>
  </si>
  <si>
    <t>IRF8;RHOH;ARHGAP9;UBD;GNG2;APOBR;KLRD1;AKNA;NRROS</t>
  </si>
  <si>
    <t>http://www.broadinstitute.org/gsea/msigdb/cards/GSE25088_CTRL_VS_ROSIGLITAZONE_STIM_STAT6_KO_MACROPHAGE_DN.html</t>
  </si>
  <si>
    <t>GSE25088_CTRL_VS_IL4_STIM_MACROPHAGE_DN</t>
  </si>
  <si>
    <t>7133;8530;924;3902;4240;4033;8809;597;115727</t>
  </si>
  <si>
    <t>TNFRSF1B;CST7;CD7;LAG3;MFGE8;LRMP;IL18R1;BCL2A1;RASGRP4</t>
  </si>
  <si>
    <t>http://www.broadinstitute.org/gsea/msigdb/cards/GSE25088_CTRL_VS_IL4_STIM_MACROPHAGE_DN.html</t>
  </si>
  <si>
    <t>GSE16385_IL4_VS_ROSIGLITAZONE_STIM_MACROPHAGE_DN</t>
  </si>
  <si>
    <t>1318;151888;246329;81030;3902;10148;10507;57823;29126</t>
  </si>
  <si>
    <t>SLC31A2;BTLA;STAC3;ZBP1;LAG3;EBI3;SEMA4D;SLAMF7;CD274</t>
  </si>
  <si>
    <t>http://www.broadinstitute.org/gsea/msigdb/cards/GSE16385_IL4_VS_ROSIGLITAZONE_STIM_MACROPHAGE_DN.html</t>
  </si>
  <si>
    <t>GSE16385_ROSIGLITAZONE_IL4_VS_IL4_ALONE_STIM_MACROPHAGE_12H_DN</t>
  </si>
  <si>
    <t>4689;474344;64092;11314;27306;1102;19;6402;79630</t>
  </si>
  <si>
    <t>NCF4;GIMAP6;SAMSN1;CD300A;HPGDS;RCBTB2;ABCA1;SELL;C1orf54</t>
  </si>
  <si>
    <t>http://www.broadinstitute.org/gsea/msigdb/cards/GSE16385_ROSIGLITAZONE_IL4_VS_IL4_ALONE_STIM_MACROPHAGE_12H_DN.html</t>
  </si>
  <si>
    <t>GSE17301_IFNA2_VS_IFNA5_STIM_ACD3_ACD28_ACT_CD8_TCELL_DN</t>
  </si>
  <si>
    <t>7305;945;8564;3122;1237;1601;4208;25890;80183</t>
  </si>
  <si>
    <t>TYROBP;CD33;KMO;HLA-DRA;CCR8;DAB2;MEF2C;ABI3BP;RUBCNL</t>
  </si>
  <si>
    <t>http://www.broadinstitute.org/gsea/msigdb/cards/GSE17301_IFNA2_VS_IFNA5_STIM_ACD3_ACD28_ACT_CD8_TCELL_DN.html</t>
  </si>
  <si>
    <t>GSE17301_CTRL_VS_48H_ACD3_ACD28_IFNA2_STIM_CD8_TCELL_DN</t>
  </si>
  <si>
    <t>7940;925;2268;971;2672;926;4240;80183;51513</t>
  </si>
  <si>
    <t>LST1;CD8A;FGR;CD72;GFI1;CD8B;MFGE8;RUBCNL;ETV7</t>
  </si>
  <si>
    <t>http://www.broadinstitute.org/gsea/msigdb/cards/GSE17301_CTRL_VS_48H_ACD3_ACD28_IFNA2_STIM_CD8_TCELL_DN.html</t>
  </si>
  <si>
    <t>GSE17301_ACD3_ACD28_VS_ACD3_ACD28_AND_IFNA2_STIM_CD8_TCELL_DN</t>
  </si>
  <si>
    <t>9840;2633;10666;55340;55303;1508;9363;597;90634</t>
  </si>
  <si>
    <t>TESPA1;GBP1;CD226;GIMAP5;GIMAP4;CTSB;RAB33A;BCL2A1;N4BP2L1</t>
  </si>
  <si>
    <t>http://www.broadinstitute.org/gsea/msigdb/cards/GSE17301_ACD3_ACD28_VS_ACD3_ACD28_AND_IFNA2_STIM_CD8_TCELL_DN.html</t>
  </si>
  <si>
    <t>GSE17301_CTRL_VS_48H_ACD3_ACD28_IFNA5_STIM_CD8_TCELL_DN</t>
  </si>
  <si>
    <t>9595;3575;51311;51284;225;10154;1102;9938;9935</t>
  </si>
  <si>
    <t>CYTIP;IL7R;TLR8;TLR7;ABCD2;PLXNC1;RCBTB2;ARHGAP25;MAFB</t>
  </si>
  <si>
    <t>http://www.broadinstitute.org/gsea/msigdb/cards/GSE17301_CTRL_VS_48H_ACD3_ACD28_IFNA5_STIM_CD8_TCELL_DN.html</t>
  </si>
  <si>
    <t>GSE24726_WT_VS_E2_2_KO_PDC_UP</t>
  </si>
  <si>
    <t>7456;1234;4354;10871;9459;64407;225;1102;729230</t>
  </si>
  <si>
    <t>WIPF1;CCR5;MPP1;CD300C;ARHGEF6;RGS18;ABCD2;RCBTB2;CCR2</t>
  </si>
  <si>
    <t>http://www.broadinstitute.org/gsea/msigdb/cards/GSE24726_WT_VS_E2_2_KO_PDC_UP.html</t>
  </si>
  <si>
    <t>GSE24972_WT_VS_IRF8_KO_MARGINAL_ZONE_SPLEEN_BCELL_UP</t>
  </si>
  <si>
    <t>9404;92241;284417;241;27163;85464;80821;55619;64747</t>
  </si>
  <si>
    <t>LPXN;RCSD1;TMEM150B;ALOX5AP;NAAA;SSH2;DDHD1;DOCK10;MFSD1</t>
  </si>
  <si>
    <t>http://www.broadinstitute.org/gsea/msigdb/cards/GSE24972_WT_VS_IRF8_KO_MARGINAL_ZONE_SPLEEN_BCELL_UP.html</t>
  </si>
  <si>
    <t>GSE22611_UNSTIM_VS_6H_MDP_STIM_MUTANT_NOD2_TRANSDUCED_HEK293T_CELL_DN</t>
  </si>
  <si>
    <t>4210;712;313;11151;4332;6039;27036;4208;30817</t>
  </si>
  <si>
    <t>MEFV;C1QA;AOAH;CORO1A;MNDA;RNASE6;SIGLEC7;MEF2C;ADGRE2</t>
  </si>
  <si>
    <t>http://www.broadinstitute.org/gsea/msigdb/cards/GSE22611_UNSTIM_VS_6H_MDP_STIM_MUTANT_NOD2_TRANSDUCED_HEK293T_CELL_DN.html</t>
  </si>
  <si>
    <t>GSE26488_WT_VS_VP16_TRANSGENIC_HDAC7_KO_DOUBLE_POSITIVE_THYMOCYTE_UP</t>
  </si>
  <si>
    <t>1536;3560;3695;1236;942;23048;4063;3112;3604</t>
  </si>
  <si>
    <t>CYBB;IL2RB;ITGB7;CCR7;CD86;FNBP1;LY9;HLA-DOB;TNFRSF9</t>
  </si>
  <si>
    <t>http://www.broadinstitute.org/gsea/msigdb/cards/GSE26488_WT_VS_VP16_TRANSGENIC_HDAC7_KO_DOUBLE_POSITIVE_THYMOCYTE_UP.html</t>
  </si>
  <si>
    <t>GSE27670_CTRL_VS_BLIMP1_TRANSDUCED_GC_BCELL_UP</t>
  </si>
  <si>
    <t>3055;1508;6776;6556;3604;7185;8809;64747;59345</t>
  </si>
  <si>
    <t>HCK;CTSB;STAT5A;SLC11A1;TNFRSF9;TRAF1;IL18R1;MFSD1;GNB4</t>
  </si>
  <si>
    <t>http://www.broadinstitute.org/gsea/msigdb/cards/GSE27670_CTRL_VS_BLIMP1_TRANSDUCED_GC_BCELL_UP.html</t>
  </si>
  <si>
    <t>3560;1493;139818;54557;6793;1235;10462;55619;27240</t>
  </si>
  <si>
    <t>IL2RB;CTLA4;DOCK11;SGTB;STK10;CCR6;CLEC10A;DOCK10;SIT1</t>
  </si>
  <si>
    <t>http://www.broadinstitute.org/gsea/msigdb/cards/GSE21063_CTRL_VS_ANTI_IGM_STIM_BCELL_NFATC1_KO_16H_DN.html</t>
  </si>
  <si>
    <t>GSE23114_WT_VS_SLE2C1_MOUSE_PERITONEAL_CAVITY_B1A_BCELL_UP</t>
  </si>
  <si>
    <t>3001;92241;11184;55303;1043;23312;51676;4215;29125</t>
  </si>
  <si>
    <t>GZMA;RCSD1;MAP4K1;GIMAP4;CD52;DMXL2;ASB2;MAP3K3;C11orf21</t>
  </si>
  <si>
    <t>http://www.broadinstitute.org/gsea/msigdb/cards/GSE23114_WT_VS_SLE2C1_MOUSE_PERITONEAL_CAVITY_B1A_BCELL_UP.html</t>
  </si>
  <si>
    <t>GSE26156_DOUBLE_POSITIVE_VS_CD4_SINGLE_POSITIVE_THYMOCYTE_DN</t>
  </si>
  <si>
    <t>6352;7453;2633;3937;4049;3002;3902;4818;27240</t>
  </si>
  <si>
    <t>CCL5;WARS;GBP1;LCP2;LTA;GZMB;LAG3;NKG7;SIT1</t>
  </si>
  <si>
    <t>http://www.broadinstitute.org/gsea/msigdb/cards/GSE26156_DOUBLE_POSITIVE_VS_CD4_SINGLE_POSITIVE_THYMOCYTE_DN.html</t>
  </si>
  <si>
    <t>940;391;3937;10666;3553;5552;3002;356;3604</t>
  </si>
  <si>
    <t>CD28;RHOG;LCP2;CD226;IL1B;SRGN;GZMB;FASLG;TNFRSF9</t>
  </si>
  <si>
    <t>http://www.broadinstitute.org/gsea/msigdb/cards/GSE28726_ACT_CD4_TCELL_VS_ACT_VA24NEG_NKTCELL_UP.html</t>
  </si>
  <si>
    <t>GSE28726_NAIVE_VS_ACTIVATED_NKTCELL_UP</t>
  </si>
  <si>
    <t>9214;8676;1536;3689;11184;3112;11027;8605;27240</t>
  </si>
  <si>
    <t>FCMR;STX11;CYBB;ITGB2;MAP4K1;HLA-DOB;LILRA2;PLA2G4C;SIT1</t>
  </si>
  <si>
    <t>http://www.broadinstitute.org/gsea/msigdb/cards/GSE28726_NAIVE_VS_ACTIVATED_NKTCELL_UP.html</t>
  </si>
  <si>
    <t>GSE24574_NAIVE_VS_TCONV_CD4_TCELL_DN</t>
  </si>
  <si>
    <t>3559;962;940;6351;391;10666;5552;356;8809</t>
  </si>
  <si>
    <t>IL2RA;CD48;CD28;CCL4;RHOG;CD226;SRGN;FASLG;IL18R1</t>
  </si>
  <si>
    <t>http://www.broadinstitute.org/gsea/msigdb/cards/GSE24574_NAIVE_VS_TCONV_CD4_TCELL_DN.html</t>
  </si>
  <si>
    <t>GSE28130_ACTIVATED_VS_INDUCEED_TREG_DN</t>
  </si>
  <si>
    <t>8676;7133;4283;29851;3162;10437;2213;10457;23312</t>
  </si>
  <si>
    <t>STX11;TNFRSF1B;CXCL9;ICOS;HMOX1;IFI30;FCGR2B;GPNMB;DMXL2</t>
  </si>
  <si>
    <t>http://www.broadinstitute.org/gsea/msigdb/cards/GSE28130_ACTIVATED_VS_INDUCEED_TREG_DN.html</t>
  </si>
  <si>
    <t>GSE28783_CTRL_ANTI_MIR_VS_UNTREATED_ATHEROSCLEROSIS_MACROPHAGE_DN</t>
  </si>
  <si>
    <t>7133;923;399;4063;6373;921;23312;4215;10004</t>
  </si>
  <si>
    <t>TNFRSF1B;CD6;RHOH;LY9;CXCL11;CD5;DMXL2;MAP3K3;NAALADL1</t>
  </si>
  <si>
    <t>http://www.broadinstitute.org/gsea/msigdb/cards/GSE28783_CTRL_ANTI_MIR_VS_UNTREATED_ATHEROSCLEROSIS_MACROPHAGE_DN.html</t>
  </si>
  <si>
    <t>GSE19512_NAUTRAL_VS_INDUCED_TREG_UP</t>
  </si>
  <si>
    <t>6036;695;10288;1240;2811;2999;1230;27314;23312</t>
  </si>
  <si>
    <t>RNASE2;BTK;LILRB2;CMKLR1;GP1BA;GZMH;CCR1;RAB30;DMXL2</t>
  </si>
  <si>
    <t>http://www.broadinstitute.org/gsea/msigdb/cards/GSE19512_NAUTRAL_VS_INDUCED_TREG_UP.html</t>
  </si>
  <si>
    <t>GSE29949_CD8_NEG_DC_SPLEEN_VS_CD8_POS_DC_SPLEEN_UP</t>
  </si>
  <si>
    <t>9450;3587;26051;2672;4094;1621;926;10437;6518</t>
  </si>
  <si>
    <t>LY86;IL10RA;PPP1R16B;GFI1;MAF;DBH;CD8B;IFI30;SLC2A5</t>
  </si>
  <si>
    <t>http://www.broadinstitute.org/gsea/msigdb/cards/GSE29949_CD8_NEG_DC_SPLEEN_VS_CD8_POS_DC_SPLEEN_UP.html</t>
  </si>
  <si>
    <t>GSE29949_CD8_NEG_DC_SPLEEN_VS_DC_BRAIN_UP</t>
  </si>
  <si>
    <t>6036;3903;225;9034;348;10437;2999;2833;4327</t>
  </si>
  <si>
    <t>RNASE2;LAIR1;ABCD2;CCRL2;APOE;IFI30;GZMH;CXCR3;MMP19</t>
  </si>
  <si>
    <t>http://www.broadinstitute.org/gsea/msigdb/cards/GSE29949_CD8_NEG_DC_SPLEEN_VS_DC_BRAIN_UP.html</t>
  </si>
  <si>
    <t>GSE29949_MICROGLIA_VS_DC_BRAIN_DN</t>
  </si>
  <si>
    <t>8676;3458;5579;2214;3575;944;4066;3902;3003</t>
  </si>
  <si>
    <t>STX11;IFNG;PRKCB;FCGR3A;IL7R;TNFSF8;LYL1;LAG3;GZMK</t>
  </si>
  <si>
    <t>http://www.broadinstitute.org/gsea/msigdb/cards/GSE29949_MICROGLIA_VS_DC_BRAIN_DN.html</t>
  </si>
  <si>
    <t>GSE29949_CD8_POS_DC_SPLEEN_VS_DC_BRAIN_UP</t>
  </si>
  <si>
    <t>313;1233;3587;4094;921;943;9938;25900;4818</t>
  </si>
  <si>
    <t>AOAH;CCR4;IL10RA;MAF;CD5;TNFRSF8;ARHGAP25;IFFO1;NKG7</t>
  </si>
  <si>
    <t>http://www.broadinstitute.org/gsea/msigdb/cards/GSE29949_CD8_POS_DC_SPLEEN_VS_DC_BRAIN_UP.html</t>
  </si>
  <si>
    <t>GSE29949_CD8_POS_DC_SPLEEN_VS_MONOCYTE_BONE_MARROW_UP</t>
  </si>
  <si>
    <t>10261;915;6352;3676;1233;4689;3112;4688;2213</t>
  </si>
  <si>
    <t>IGSF6;CD3D;CCL5;ITGA4;CCR4;NCF4;HLA-DOB;NCF2;FCGR2B</t>
  </si>
  <si>
    <t>http://www.broadinstitute.org/gsea/msigdb/cards/GSE29949_CD8_POS_DC_SPLEEN_VS_MONOCYTE_BONE_MARROW_UP.html</t>
  </si>
  <si>
    <t>GSE29949_CD8_NEG_DC_SPLEEN_VS_MONOCYTE_BONE_MARROW_DN</t>
  </si>
  <si>
    <t>5579;940;3575;27036;8530;921;3002;27314;4818</t>
  </si>
  <si>
    <t>PRKCB;CD28;IL7R;SIGLEC7;CST7;CD5;GZMB;RAB30;NKG7</t>
  </si>
  <si>
    <t>http://www.broadinstitute.org/gsea/msigdb/cards/GSE29949_CD8_NEG_DC_SPLEEN_VS_MONOCYTE_BONE_MARROW_DN.html</t>
  </si>
  <si>
    <t>GSE26559_TCF1_KO_VS_WT_LIN_NEG_CELL_UP</t>
  </si>
  <si>
    <t>940;3560;313;3587;8530;5552;9938;10457;597</t>
  </si>
  <si>
    <t>CD28;IL2RB;AOAH;IL10RA;CST7;SRGN;ARHGAP25;GPNMB;BCL2A1</t>
  </si>
  <si>
    <t>http://www.broadinstitute.org/gsea/msigdb/cards/GSE26559_TCF1_KO_VS_WT_LIN_NEG_CELL_UP.html</t>
  </si>
  <si>
    <t>GSE23321_CENTRAL_MEMORY_VS_NAIVE_CD8_TCELL_DN</t>
  </si>
  <si>
    <t>1536;2350;6772;3394;4689;80301;4481;9806;54504</t>
  </si>
  <si>
    <t>CYBB;FOLR2;STAT1;IRF8;NCF4;PLEKHO2;MSR1;SPOCK2;CPVL</t>
  </si>
  <si>
    <t>http://www.broadinstitute.org/gsea/msigdb/cards/GSE23321_CENTRAL_MEMORY_VS_NAIVE_CD8_TCELL_DN.html</t>
  </si>
  <si>
    <t>GSE23321_CD8_STEM_CELL_MEMORY_VS_CENTRAL_MEMORY_CD8_TCELL_UP</t>
  </si>
  <si>
    <t>915;971;3662;120939;23533;80380;3111;6776;9815</t>
  </si>
  <si>
    <t>CD3D;CD72;IRF4;TMEM52B;PIK3R5;PDCD1LG2;HLA-DOA;STAT5A;GIT2</t>
  </si>
  <si>
    <t>http://www.broadinstitute.org/gsea/msigdb/cards/GSE23321_CD8_STEM_CELL_MEMORY_VS_CENTRAL_MEMORY_CD8_TCELL_UP.html</t>
  </si>
  <si>
    <t>GSE29164_UNTREATED_VS_CD8_TCELL_TREATED_MELANOMA_DAY7_DN</t>
  </si>
  <si>
    <t>1318;3932;2124;3071;6504;80301;3122;27163;7185</t>
  </si>
  <si>
    <t>SLC31A2;LCK;EVI2B;NCKAP1L;SLAMF1;PLEKHO2;HLA-DRA;NAAA;TRAF1</t>
  </si>
  <si>
    <t>http://www.broadinstitute.org/gsea/msigdb/cards/GSE29164_UNTREATED_VS_CD8_TCELL_TREATED_MELANOMA_DAY7_DN.html</t>
  </si>
  <si>
    <t>GSE33425_CD161_INT_VS_NEG_CD8_TCELL_UP</t>
  </si>
  <si>
    <t>6352;3676;3575;10875;51744;5552;356;3824;597</t>
  </si>
  <si>
    <t>CCL5;ITGA4;IL7R;FGL2;CD244;SRGN;FASLG;KLRD1;BCL2A1</t>
  </si>
  <si>
    <t>http://www.broadinstitute.org/gsea/msigdb/cards/GSE33425_CD161_INT_VS_NEG_CD8_TCELL_UP.html</t>
  </si>
  <si>
    <t>3903;128346;54557;596;2113;969;55704;10235;79690</t>
  </si>
  <si>
    <t>LAIR1;C1orf162;SGTB;BCL2;ETS1;CD69;CCDC88A;RASGRP2;GAL3ST4</t>
  </si>
  <si>
    <t>http://www.broadinstitute.org/gsea/msigdb/cards/GSE32986_UNSTIM_VS_GMCSF_STIM_DC_UP.html</t>
  </si>
  <si>
    <t>GSE32986_UNSTIM_VS_GMCSF_AND_CURDLAN_LOWDOSE_STIM_DC_UP</t>
  </si>
  <si>
    <t>9595;9450;4354;53346;27033;19;3956;8809;59345</t>
  </si>
  <si>
    <t>CYTIP;LY86;MPP1;TM6SF1;ZBTB32;ABCA1;LGALS1;IL18R1;GNB4</t>
  </si>
  <si>
    <t>http://www.broadinstitute.org/gsea/msigdb/cards/GSE32986_UNSTIM_VS_GMCSF_AND_CURDLAN_LOWDOSE_STIM_DC_UP.html</t>
  </si>
  <si>
    <t>GSE32986_GMCSF_AND_CURDLAN_LOWDOSE_VS_GMCSF_AND_CURDLAN_HIGHDOSE_STIM_DC_UP</t>
  </si>
  <si>
    <t>83706;3635;53346;4688;10184;85464;79630;5027;54861</t>
  </si>
  <si>
    <t>FERMT3;INPP5D;TM6SF1;NCF2;LHFPL2;SSH2;C1orf54;P2RX7;SNRK</t>
  </si>
  <si>
    <t>http://www.broadinstitute.org/gsea/msigdb/cards/GSE32986_GMCSF_AND_CURDLAN_LOWDOSE_VS_GMCSF_AND_CURDLAN_HIGHDOSE_STIM_DC_UP.html</t>
  </si>
  <si>
    <t>GSE34156_NOD2_LIGAND_VS_TLR1_TLR2_LIGAND_24H_TREATED_MONOCYTE_UP</t>
  </si>
  <si>
    <t>259197;3695;3820;6504;4094;1235;4050;9806;51762</t>
  </si>
  <si>
    <t>NCR3;ITGB7;KLRB1;SLAMF1;MAF;CCR6;LTB;SPOCK2;RAB8B</t>
  </si>
  <si>
    <t>http://www.broadinstitute.org/gsea/msigdb/cards/GSE34156_NOD2_LIGAND_VS_TLR1_TLR2_LIGAND_24H_TREATED_MONOCYTE_UP.html</t>
  </si>
  <si>
    <t>GSE34156_UNTREATED_VS_24H_TLR1_TLR2_LIGAND_TREATED_MONOCYTE_UP</t>
  </si>
  <si>
    <t>259197;959;3820;6504;6373;10437;5724;1235;9754</t>
  </si>
  <si>
    <t>NCR3;CD40LG;KLRB1;SLAMF1;CXCL11;IFI30;PTAFR;CCR6;STARD8</t>
  </si>
  <si>
    <t>http://www.broadinstitute.org/gsea/msigdb/cards/GSE34156_UNTREATED_VS_24H_TLR1_TLR2_LIGAND_TREATED_MONOCYTE_UP.html</t>
  </si>
  <si>
    <t>GSE30971_WBP7_HET_VS_KO_MACROPHAGE_4H_LPS_STIM_UP</t>
  </si>
  <si>
    <t>2207;9120;3553;241;2358;6507;3604;7185;10148</t>
  </si>
  <si>
    <t>FCER1G;SLC16A6;IL1B;ALOX5AP;FPR2;SLC1A3;TNFRSF9;TRAF1;EBI3</t>
  </si>
  <si>
    <t>http://www.broadinstitute.org/gsea/msigdb/cards/GSE30971_WBP7_HET_VS_KO_MACROPHAGE_4H_LPS_STIM_UP.html</t>
  </si>
  <si>
    <t>GSE36009_WT_VS_NLRP10_KO_DC_LPS_STIM_UP</t>
  </si>
  <si>
    <t>923;51284;80342;1102;375387;4215;64098;55013;11217</t>
  </si>
  <si>
    <t>CD6;TLR7;TRAF3IP3;RCBTB2;NRROS;MAP3K3;PARVG;MCUB;AKAP2</t>
  </si>
  <si>
    <t>http://www.broadinstitute.org/gsea/msigdb/cards/GSE36009_WT_VS_NLRP10_KO_DC_LPS_STIM_UP.html</t>
  </si>
  <si>
    <t>GSE36891_UNSTIM_VS_POLYIC_TLR3_STIM_PERITONEAL_MACROPHAGE_DN</t>
  </si>
  <si>
    <t>9051;9404;3627;3055;1234;8477;64231;51311;59345</t>
  </si>
  <si>
    <t>PSTPIP1;LPXN;CXCL10;HCK;CCR5;GPR65;MS4A6A;TLR8;GNB4</t>
  </si>
  <si>
    <t>http://www.broadinstitute.org/gsea/msigdb/cards/GSE36891_UNSTIM_VS_POLYIC_TLR3_STIM_PERITONEAL_MACROPHAGE_DN.html</t>
  </si>
  <si>
    <t>GSE37605_TREG_VS_TCONV_C57BL6_FOXP3_FUSION_GFP_UP</t>
  </si>
  <si>
    <t>8676;945;59067;30009;1043;441168;245972</t>
  </si>
  <si>
    <t>STX11;CD33;IL21;TBX21;CD52;CALHM6;ATP6V0D2</t>
  </si>
  <si>
    <t>http://www.broadinstitute.org/gsea/msigdb/cards/GSE37605_TREG_VS_TCONV_C57BL6_FOXP3_FUSION_GFP_UP.html</t>
  </si>
  <si>
    <t>3458;3559;6351;1233;3662;23048;1435;6503;10148</t>
  </si>
  <si>
    <t>IFNG;IL2RA;CCL4;CCR4;IRF4;FNBP1;CSF1;SLA;EBI3</t>
  </si>
  <si>
    <t>http://www.broadinstitute.org/gsea/msigdb/cards/GSE37301_COMMON_LYMPHOID_PROGENITOR_VS_GRAN_MONO_PROGENITOR_UP.html</t>
  </si>
  <si>
    <t>GSE37301_HEMATOPOIETIC_STEM_CELL_VS_PRO_BCELL_UP</t>
  </si>
  <si>
    <t>9051;313;959;3594;50852;59067;1230;79895;27240</t>
  </si>
  <si>
    <t>PSTPIP1;AOAH;CD40LG;IL12RB1;TRAT1;IL21;CCR1;ATP8B4;SIT1</t>
  </si>
  <si>
    <t>http://www.broadinstitute.org/gsea/msigdb/cards/GSE37301_HEMATOPOIETIC_STEM_CELL_VS_PRO_BCELL_UP.html</t>
  </si>
  <si>
    <t>GSE37532_TREG_VS_TCONV_PPARG_KO_CD4_TCELL_FROM_LN_DN</t>
  </si>
  <si>
    <t>6351;391;6890;8564;10437;3936;3718;10148;64747</t>
  </si>
  <si>
    <t>CCL4;RHOG;TAP1;KMO;IFI30;LCP1;JAK3;EBI3;MFSD1</t>
  </si>
  <si>
    <t>http://www.broadinstitute.org/gsea/msigdb/cards/GSE37532_TREG_VS_TCONV_PPARG_KO_CD4_TCELL_FROM_LN_DN.html</t>
  </si>
  <si>
    <t>GSE37533_PPARG1_FOXP3_VS_FOXP3_TRANSDUCED_CD4_TCELL_PIOGLITAZONE_TREATED_DN</t>
  </si>
  <si>
    <t>3659;3394;4283;79974;10437;55704;10184;5027;54861</t>
  </si>
  <si>
    <t>IRF1;IRF8;CXCL9;CPED1;IFI30;CCDC88A;LHFPL2;P2RX7;SNRK</t>
  </si>
  <si>
    <t>http://www.broadinstitute.org/gsea/msigdb/cards/GSE37533_PPARG1_FOXP3_VS_FOXP3_TRANSDUCED_CD4_TCELL_PIOGLITAZONE_TREATED_DN.html</t>
  </si>
  <si>
    <t>GSE37533_PPARG2_FOXP3_VS_FOXP3_TRANSDUCED_CD4_TCELL_PIOGLITAZONE_TREATED_DN</t>
  </si>
  <si>
    <t>917;3659;5778;3394;3587;1435;3108;4208;4050</t>
  </si>
  <si>
    <t>CD3G;IRF1;PTPN7;IRF8;IL10RA;CSF1;HLA-DMA;MEF2C;LTB</t>
  </si>
  <si>
    <t>http://www.broadinstitute.org/gsea/msigdb/cards/GSE37533_PPARG2_FOXP3_VS_FOXP3_TRANSDUCED_CD4_TCELL_PIOGLITAZONE_TREATED_DN.html</t>
  </si>
  <si>
    <t>GSE37534_GW1929_VS_PIOGLITAZONE_TREATED_CD4_TCELL_PPARG1_FOXP3_TRANSDUCED_UP</t>
  </si>
  <si>
    <t>8676;712;3695;942;11006;9056;8742;6402;6753</t>
  </si>
  <si>
    <t>STX11;C1QA;ITGB7;CD86;LILRB4;SLC7A7;TNFSF12;SELL;SSTR3</t>
  </si>
  <si>
    <t>http://www.broadinstitute.org/gsea/msigdb/cards/GSE37534_GW1929_VS_PIOGLITAZONE_TREATED_CD4_TCELL_PPARG1_FOXP3_TRANSDUCED_UP.html</t>
  </si>
  <si>
    <t>GSE37534_GW1929_VS_PIOGLITAZONE_TREATED_CD4_TCELL_PPARG1_FOXP3_TRANSDUCED_DN</t>
  </si>
  <si>
    <t>9839;3659;7453;4283;3702;91752;23048;27306;206358</t>
  </si>
  <si>
    <t>ZEB2;IRF1;WARS;CXCL9;ITK;ZNF804A;FNBP1;HPGDS;SLC36A1</t>
  </si>
  <si>
    <t>http://www.broadinstitute.org/gsea/msigdb/cards/GSE37534_GW1929_VS_PIOGLITAZONE_TREATED_CD4_TCELL_PPARG1_FOXP3_TRANSDUCED_DN.html</t>
  </si>
  <si>
    <t>GSE39022_LN_VS_SPLEEN_DC_DN</t>
  </si>
  <si>
    <t>915;919;3587;399;8832;3902;1235;100506736;91526</t>
  </si>
  <si>
    <t>CD3D;CD247;IL10RA;RHOH;CD84;LAG3;CCR6;SLFN12L;ANKRD44</t>
  </si>
  <si>
    <t>http://www.broadinstitute.org/gsea/msigdb/cards/GSE39022_LN_VS_SPLEEN_DC_DN.html</t>
  </si>
  <si>
    <t>GSE36527_CD69_NEG_VS_POS_TREG_CD62L_LOS_KLRG1_NEG_DN</t>
  </si>
  <si>
    <t>7133;391;3603;124460;84174;6693;2833;80709;9806</t>
  </si>
  <si>
    <t>TNFRSF1B;RHOG;IL16;SNX20;SLA2;SPN;CXCR3;AKNA;SPOCK2</t>
  </si>
  <si>
    <t>http://www.broadinstitute.org/gsea/msigdb/cards/GSE36527_CD69_NEG_VS_POS_TREG_CD62L_LOS_KLRG1_NEG_DN.html</t>
  </si>
  <si>
    <t>929;2014;219972;1794;5376;4033;338339;4215;4644</t>
  </si>
  <si>
    <t>CD14;EMP3;MPEG1;DOCK2;PMP22;LRMP;CLEC4D;MAP3K3;MYO5A</t>
  </si>
  <si>
    <t>http://www.broadinstitute.org/gsea/msigdb/cards/GSE35685_CD34POS_CD38NEG_VS_CD34POS_CD10NEG_CD62LPOS_BONE_MARROW_UP.html</t>
  </si>
  <si>
    <t>GSE40274_FOXP3_VS_FOXP3_AND_GATA1_TRANSDUCED_ACTIVATED_CD4_TCELL_DN</t>
  </si>
  <si>
    <t>653361;944;9120;4049;3108;6776;91010;55013;11217</t>
  </si>
  <si>
    <t>NCF1;TNFSF8;SLC16A6;LTA;HLA-DMA;STAT5A;FMNL3;MCUB;AKAP2</t>
  </si>
  <si>
    <t>http://www.broadinstitute.org/gsea/msigdb/cards/GSE40274_FOXP3_VS_FOXP3_AND_GATA1_TRANSDUCED_ACTIVATED_CD4_TCELL_DN.html</t>
  </si>
  <si>
    <t>GSE40441_NRP1_POS_INDUCED_TREG_VS_NRP1_NEG_NATURAL_TREG_DN</t>
  </si>
  <si>
    <t>11184;53346;1102;2212;3290;10235;64919;55013;11217</t>
  </si>
  <si>
    <t>MAP4K1;TM6SF1;RCBTB2;FCGR2A;HSD11B1;RASGRP2;BCL11B;MCUB;AKAP2</t>
  </si>
  <si>
    <t>http://www.broadinstitute.org/gsea/msigdb/cards/GSE40441_NRP1_POS_INDUCED_TREG_VS_NRP1_NEG_NATURAL_TREG_DN.html</t>
  </si>
  <si>
    <t>GSE40666_WT_VS_STAT4_KO_CD8_TCELL_DN</t>
  </si>
  <si>
    <t>9051;3594;55843;2857;27036;3109;55704;10077;22900</t>
  </si>
  <si>
    <t>PSTPIP1;IL12RB1;ARHGAP15;GPR34;SIGLEC7;HLA-DMB;CCDC88A;TSPAN32;CARD8</t>
  </si>
  <si>
    <t>http://www.broadinstitute.org/gsea/msigdb/cards/GSE40666_WT_VS_STAT4_KO_CD8_TCELL_DN.html</t>
  </si>
  <si>
    <t>GSE20727_CTRL_VS_ROS_INH_AND_DNFB_ALLERGEN_TREATED_DC_UP</t>
  </si>
  <si>
    <t>6351;8514;286336;92241;10870;9120;10507;84329;29125</t>
  </si>
  <si>
    <t>CCL4;KCNAB2;FAM78A;RCSD1;HCST;SLC16A6;SEMA4D;HVCN1;C11orf21</t>
  </si>
  <si>
    <t>http://www.broadinstitute.org/gsea/msigdb/cards/GSE20727_CTRL_VS_ROS_INH_AND_DNFB_ALLERGEN_TREATED_DC_UP.html</t>
  </si>
  <si>
    <t>GSE20727_CTRL_VS_DNFB_ALLERGEN_TREATED_DC_UP</t>
  </si>
  <si>
    <t>3559;2268;6351;2207;941;3662;1508;3290;5133</t>
  </si>
  <si>
    <t>IL2RA;FGR;CCL4;FCER1G;CD80;IRF4;CTSB;HSD11B1;PDCD1</t>
  </si>
  <si>
    <t>http://www.broadinstitute.org/gsea/msigdb/cards/GSE20727_CTRL_VS_DNFB_ALLERGEN_TREATED_DC_UP.html</t>
  </si>
  <si>
    <t>GSE39110_UNTREATED_VS_IL2_TREATED_CD8_TCELL_DAY3_POST_IMMUNIZATION_DN</t>
  </si>
  <si>
    <t>55589;27033;2848;3956;3162;5552;3586;3604;59345</t>
  </si>
  <si>
    <t>BMP2K;ZBTB32;GPR25;LGALS1;HMOX1;SRGN;IL10;TNFRSF9;GNB4</t>
  </si>
  <si>
    <t>http://www.broadinstitute.org/gsea/msigdb/cards/GSE39110_UNTREATED_VS_IL2_TREATED_CD8_TCELL_DAY3_POST_IMMUNIZATION_DN.html</t>
  </si>
  <si>
    <t>GSE28737_WT_VS_BCL6_HET_MARGINAL_ZONE_BCELL_UP</t>
  </si>
  <si>
    <t>2533;9535;9404;497189;91752;80896;921;4688;23166</t>
  </si>
  <si>
    <t>FYB1;GMFG;LPXN;TIFAB;ZNF804A;NPL;CD5;NCF2;STAB1</t>
  </si>
  <si>
    <t>http://www.broadinstitute.org/gsea/msigdb/cards/GSE28737_WT_VS_BCL6_HET_MARGINAL_ZONE_BCELL_UP.html</t>
  </si>
  <si>
    <t>GSE40184_HEALTHY_VS_HCV_INFECTED_DONOR_PBMC_UP</t>
  </si>
  <si>
    <t>4068;5551;945;3587;27036;8320;240;728;151556</t>
  </si>
  <si>
    <t>SH2D1A;PRF1;CD33;IL10RA;SIGLEC7;EOMES;ALOX5;C5AR1;GPR155</t>
  </si>
  <si>
    <t>http://www.broadinstitute.org/gsea/msigdb/cards/GSE40184_HEALTHY_VS_HCV_INFECTED_DONOR_PBMC_UP.html</t>
  </si>
  <si>
    <t>GSE35543_IN_VITRO_ITREG_VS_CONVERTED_EX_ITREG_DN</t>
  </si>
  <si>
    <t>4242;51296;117289;56253;3117;3902;6776;50515;22806</t>
  </si>
  <si>
    <t>MFNG;SLC15A3;TAGAP;CRTAM;HLA-DQA1;LAG3;STAT5A;CHST11;IKZF3</t>
  </si>
  <si>
    <t>http://www.broadinstitute.org/gsea/msigdb/cards/GSE35543_IN_VITRO_ITREG_VS_CONVERTED_EX_ITREG_DN.html</t>
  </si>
  <si>
    <t>GSE41978_WT_VS_BIM_KO_KLRG1_LOW_EFFECTOR_CD8_TCELL_DN</t>
  </si>
  <si>
    <t>925;3001;3676;150372;55303;10148;91010;5027;27240</t>
  </si>
  <si>
    <t>CD8A;GZMA;ITGA4;NFAM1;GIMAP4;EBI3;FMNL3;P2RX7;SIT1</t>
  </si>
  <si>
    <t>http://www.broadinstitute.org/gsea/msigdb/cards/GSE41978_WT_VS_BIM_KO_KLRG1_LOW_EFFECTOR_CD8_TCELL_DN.html</t>
  </si>
  <si>
    <t>GSE41978_WT_VS_BIM_KO_KLRG1_LOW_EFFECTOR_CD8_TCELL_UP</t>
  </si>
  <si>
    <t>3055;2209;2350;219972;93978;19;3553;2358;25900</t>
  </si>
  <si>
    <t>HCK;FCGR1A;FOLR2;MPEG1;CLEC6A;ABCA1;IL1B;FPR2;IFFO1</t>
  </si>
  <si>
    <t>http://www.broadinstitute.org/gsea/msigdb/cards/GSE41978_WT_VS_BIM_KO_KLRG1_LOW_EFFECTOR_CD8_TCELL_UP.html</t>
  </si>
  <si>
    <t>GSE42021_CD24LO_TREG_VS_CD24LO_TCONV_THYMUS_UP</t>
  </si>
  <si>
    <t>6351;64231;3117;2811;4066;814;3123;7462;54861</t>
  </si>
  <si>
    <t>CCL4;MS4A6A;HLA-DQA1;GP1BA;LYL1;CAMK4;HLA-DRB1;LAT2;SNRK</t>
  </si>
  <si>
    <t>http://www.broadinstitute.org/gsea/msigdb/cards/GSE42021_CD24LO_TREG_VS_CD24LO_TCONV_THYMUS_UP.html</t>
  </si>
  <si>
    <t>GSE43955_TH0_VS_TGFB_IL6_TH17_ACT_CD4_TCELL_42H_UP</t>
  </si>
  <si>
    <t>9595;3659;51056;6890;10019;4973;5376;10507;51466</t>
  </si>
  <si>
    <t>CYTIP;IRF1;LAP3;TAP1;SH2B3;OLR1;PMP22;SEMA4D;EVL</t>
  </si>
  <si>
    <t>http://www.broadinstitute.org/gsea/msigdb/cards/GSE43955_TH0_VS_TGFB_IL6_TH17_ACT_CD4_TCELL_42H_UP.html</t>
  </si>
  <si>
    <t>GSE43955_TH0_VS_TGFB_IL6_TH17_ACT_CD4_TCELL_20H_DN</t>
  </si>
  <si>
    <t>2014;225;730249;924;3109;1043;2829;597;10507</t>
  </si>
  <si>
    <t>EMP3;ABCD2;ACOD1;CD7;HLA-DMB;CD52;XCR1;BCL2A1;SEMA4D</t>
  </si>
  <si>
    <t>http://www.broadinstitute.org/gsea/msigdb/cards/GSE43955_TH0_VS_TGFB_IL6_TH17_ACT_CD4_TCELL_20H_DN.html</t>
  </si>
  <si>
    <t>GSE43955_10H_VS_60H_ACT_CD4_TCELL_WITH_TGFB_IL6_DN</t>
  </si>
  <si>
    <t>9595;3659;3575;971;199;3988;4973;5027;51466</t>
  </si>
  <si>
    <t>CYTIP;IRF1;IL7R;CD72;AIF1;LIPA;OLR1;P2RX7;EVL</t>
  </si>
  <si>
    <t>http://www.broadinstitute.org/gsea/msigdb/cards/GSE43955_10H_VS_60H_ACT_CD4_TCELL_WITH_TGFB_IL6_DN.html</t>
  </si>
  <si>
    <t>GSE43955_10H_VS_60H_ACT_CD4_TCELL_UP</t>
  </si>
  <si>
    <t>713;2268;3676;919;10871;4063;2358;4261;3123</t>
  </si>
  <si>
    <t>C1QB;FGR;ITGA4;CD247;CD300C;LY9;FPR2;CIITA;HLA-DRB1</t>
  </si>
  <si>
    <t>http://www.broadinstitute.org/gsea/msigdb/cards/GSE43955_10H_VS_60H_ACT_CD4_TCELL_UP.html</t>
  </si>
  <si>
    <t>GSE46242_TH1_VS_ANERGIC_TH1_CD4_TCELL_WITH_EGR2_DELETED_DN</t>
  </si>
  <si>
    <t>9046;3575;139818;128346;11184;51393;57705;10507;51063</t>
  </si>
  <si>
    <t>DOK2;IL7R;DOCK11;C1orf162;MAP4K1;TRPV2;WDFY4;SEMA4D;CALHM2</t>
  </si>
  <si>
    <t>http://www.broadinstitute.org/gsea/msigdb/cards/GSE46242_TH1_VS_ANERGIC_TH1_CD4_TCELL_WITH_EGR2_DELETED_DN.html</t>
  </si>
  <si>
    <t>GSE43863_TH1_VS_LY6C_INT_CXCR5POS_MEMORY_CD4_TCELL_UP</t>
  </si>
  <si>
    <t>3559;3627;653361;6890;80380;10154;3586;10148;597</t>
  </si>
  <si>
    <t>IL2RA;CXCL10;NCF1;TAP1;PDCD1LG2;PLXNC1;IL10;EBI3;BCL2A1</t>
  </si>
  <si>
    <t>http://www.broadinstitute.org/gsea/msigdb/cards/GSE43863_TH1_VS_LY6C_INT_CXCR5POS_MEMORY_CD4_TCELL_UP.html</t>
  </si>
  <si>
    <t>GSE43863_TH1_VS_LY6C_LOW_CXCR5NEG_EFFECTOR_CD4_TCELL_UP</t>
  </si>
  <si>
    <t>3458;3683;80380;29851;8530;3902;943;10148;597</t>
  </si>
  <si>
    <t>IFNG;ITGAL;PDCD1LG2;ICOS;CST7;LAG3;TNFRSF8;EBI3;BCL2A1</t>
  </si>
  <si>
    <t>http://www.broadinstitute.org/gsea/msigdb/cards/GSE43863_TH1_VS_LY6C_LOW_CXCR5NEG_EFFECTOR_CD4_TCELL_UP.html</t>
  </si>
  <si>
    <t>4242;3603;79626;497189;83706;255231;6793;84541;79630</t>
  </si>
  <si>
    <t>MFNG;IL16;TNFAIP8L2;TIFAB;FERMT3;MCOLN2;STK10;KBTBD8;C1orf54</t>
  </si>
  <si>
    <t>http://www.broadinstitute.org/gsea/msigdb/cards/GSE46606_DAY1_VS_DAY3_CD40L_IL2_IL5_STIMULATED_IRF4HIGH_BCELL_UP.html</t>
  </si>
  <si>
    <t>340152;3394;286336;225;10154;1102;4066;25900;4033</t>
  </si>
  <si>
    <t>ZC3H12D;IRF8;FAM78A;ABCD2;PLXNC1;RCBTB2;LYL1;IFFO1;LRMP</t>
  </si>
  <si>
    <t>27334;9595;8832;9034;10154;3956;2113;10672;10457</t>
  </si>
  <si>
    <t>P2RY10;CYTIP;CD84;CCRL2;PLXNC1;LGALS1;ETS1;GNA13;GPNMB</t>
  </si>
  <si>
    <t>http://www.broadinstitute.org/gsea/msigdb/cards/GSE46606_IRF4HIGH_VS_WT_CD40L_IL2_IL5_DAY3_STIMULATED_BCELL_UP.html</t>
  </si>
  <si>
    <t>GSE46606_IRF4MID_VS_WT_CD40L_IL2_IL5_DAY3_STIMULATED_BCELL_UP</t>
  </si>
  <si>
    <t>22797;8676;929;6504;259307;9034;6776;10672;161176</t>
  </si>
  <si>
    <t>TFEC;STX11;CD14;SLAMF1;IL4I1;CCRL2;STAT5A;GNA13;SYNE3</t>
  </si>
  <si>
    <t>http://www.broadinstitute.org/gsea/msigdb/cards/GSE46606_IRF4MID_VS_WT_CD40L_IL2_IL5_DAY3_STIMULATED_BCELL_UP.html</t>
  </si>
  <si>
    <t>8676;7133;8564;366;3120;969;597;5027;81553</t>
  </si>
  <si>
    <t>STX11;TNFRSF1B;KMO;AQP9;HLA-DQB2;CD69;BCL2A1;P2RX7;FAM49A</t>
  </si>
  <si>
    <t>http://www.broadinstitute.org/gsea/msigdb/cards/GSE41176_WT_VS_TAK1_KO_UNSTIM_BCELL_UP.html</t>
  </si>
  <si>
    <t>GSE41176_WT_VS_TAK1_KO_ANTI_IGM_STIM_BCELL_1H_DN</t>
  </si>
  <si>
    <t>10663;3559;53347;3662;55303;27033;3004;116442;27240</t>
  </si>
  <si>
    <t>CXCR6;IL2RA;UBASH3A;IRF4;GIMAP4;ZBTB32;GZMM;RAB39B;SIT1</t>
  </si>
  <si>
    <t>http://www.broadinstitute.org/gsea/msigdb/cards/GSE41176_WT_VS_TAK1_KO_ANTI_IGM_STIM_BCELL_1H_DN.html</t>
  </si>
  <si>
    <t>GSE41176_WT_VS_TAK1_KO_ANTI_IGM_STIM_BCELL_6H_UP</t>
  </si>
  <si>
    <t>3659;6351;2313;114548;54209;3553;3112;3586;969</t>
  </si>
  <si>
    <t>IRF1;CCL4;FLI1;NLRP3;TREM2;IL1B;HLA-DOB;IL10;CD69</t>
  </si>
  <si>
    <t>http://www.broadinstitute.org/gsea/msigdb/cards/GSE41176_WT_VS_TAK1_KO_ANTI_IGM_STIM_BCELL_6H_UP.html</t>
  </si>
  <si>
    <t>GSE12484_HEALTHY_VS_PERIDONTITIS_NEUTROPHILS_UP</t>
  </si>
  <si>
    <t>3458;929;3055;124535;27299;54331;64805</t>
  </si>
  <si>
    <t>IFNG;CD14;HCK;HSF5;ADAMDEC1;GNG2;P2RY12</t>
  </si>
  <si>
    <t>http://www.broadinstitute.org/gsea/msigdb/cards/GSE12484_HEALTHY_VS_PERIDONTITIS_NEUTROPHILS_UP.html</t>
  </si>
  <si>
    <t>GSE7768_OVA_WITH_LPS_VS_OVA_WITH_MPL_IMMUNIZED_MOUSE_WHOLE_SPLEEN_6H_UP</t>
  </si>
  <si>
    <t>54440;283897;84868;1601;25900;89846;4327;9935</t>
  </si>
  <si>
    <t>SASH3;C16orf54;HAVCR2;DAB2;IFFO1;FGD3;MMP19;MAFB</t>
  </si>
  <si>
    <t>http://www.broadinstitute.org/gsea/msigdb/cards/GSE7768_OVA_WITH_LPS_VS_OVA_WITH_MPL_IMMUNIZED_MOUSE_WHOLE_SPLEEN_6H_UP.html</t>
  </si>
  <si>
    <t>10875;64092;29851;9034;729230;969;131450;64919</t>
  </si>
  <si>
    <t>FGL2;SAMSN1;ICOS;CCRL2;CCR2;CD69;CD200R1;BCL11B</t>
  </si>
  <si>
    <t>http://www.broadinstitute.org/gsea/msigdb/cards/GSE24671_CTRL_VS_BAKIMULC_INFECTED_MOUSE_SPLENOCYTES_DN.html</t>
  </si>
  <si>
    <t>GSE12003_4D_VS_8D_CULTURE_BM_PROGENITOR_DN</t>
  </si>
  <si>
    <t>54557;57105;7439;1237;91010;54861;11217</t>
  </si>
  <si>
    <t>SGTB;CYSLTR2;BEST1;CCR8;FMNL3;SNRK;AKAP2</t>
  </si>
  <si>
    <t>http://www.broadinstitute.org/gsea/msigdb/cards/GSE12003_4D_VS_8D_CULTURE_BM_PROGENITOR_DN.html</t>
  </si>
  <si>
    <t>GSE13522_CTRL_VS_T_CRUZI_Y_STRAIN_INF_SKIN_IFNG_KO_DN</t>
  </si>
  <si>
    <t>3560;3394;4283;3587;50615;146850;84034</t>
  </si>
  <si>
    <t>IL2RB;IRF8;CXCL9;IL10RA;IL21R;PIK3R6;EMILIN2</t>
  </si>
  <si>
    <t>http://www.broadinstitute.org/gsea/msigdb/cards/GSE13522_CTRL_VS_T_CRUZI_Y_STRAIN_INF_SKIN_IFNG_KO_DN.html</t>
  </si>
  <si>
    <t>GSE21033_3H_VS_12H_POLYIC_STIM_DC_DN</t>
  </si>
  <si>
    <t>353345;154075;29992;728;5133;120425;25780</t>
  </si>
  <si>
    <t>GPR141;SAMD3;PILRA;C5AR1;PDCD1;JAML;RASGRP3</t>
  </si>
  <si>
    <t>http://www.broadinstitute.org/gsea/msigdb/cards/GSE21033_3H_VS_12H_POLYIC_STIM_DC_DN.html</t>
  </si>
  <si>
    <t>GSE40274_CTRL_VS_SATB1_TRANSDUCED_ACTIVATED_CD4_TCELL_DN</t>
  </si>
  <si>
    <t>1236;117289;26051;23228;29851;3586;5376;53831</t>
  </si>
  <si>
    <t>CCR7;TAGAP;PPP1R16B;PLCL2;ICOS;IL10;PMP22;GPR84</t>
  </si>
  <si>
    <t>http://www.broadinstitute.org/gsea/msigdb/cards/GSE40274_CTRL_VS_SATB1_TRANSDUCED_ACTIVATED_CD4_TCELL_DN.html</t>
  </si>
  <si>
    <t>GSE12963_UNINF_VS_ENV_AND_NEF_DEFICIENT_HIV1_INF_CD4_TCELL_UP</t>
  </si>
  <si>
    <t>9402;714;916;2811;7454;6507;161145</t>
  </si>
  <si>
    <t>GRAP2;C1QC;CD3E;GP1BA;WAS;SLC1A3;TMEM229B</t>
  </si>
  <si>
    <t>http://www.broadinstitute.org/gsea/msigdb/cards/GSE12963_UNINF_VS_ENV_AND_NEF_DEFICIENT_HIV1_INF_CD4_TCELL_UP.html</t>
  </si>
  <si>
    <t>GSE40274_FOXP3_VS_FOXP3_AND_HELIOS_TRANSDUCED_ACTIVATED_CD4_TCELL_DN</t>
  </si>
  <si>
    <t>10068;944;3587;197358;114836;79865;5027</t>
  </si>
  <si>
    <t>IL18BP;TNFSF8;IL10RA;NLRC3;SLAMF6;TREML2;P2RX7</t>
  </si>
  <si>
    <t>http://www.broadinstitute.org/gsea/msigdb/cards/GSE40274_FOXP3_VS_FOXP3_AND_HELIOS_TRANSDUCED_ACTIVATED_CD4_TCELL_DN.html</t>
  </si>
  <si>
    <t>GSE37605_C57BL6_VS_NOD_FOXP3_IRES_GFP_TCONV_UP</t>
  </si>
  <si>
    <t>9214;3394;10666;80380;10673;3162;1235</t>
  </si>
  <si>
    <t>FCMR;IRF8;CD226;PDCD1LG2;TNFSF13B;HMOX1;CCR6</t>
  </si>
  <si>
    <t>http://www.broadinstitute.org/gsea/msigdb/cards/GSE37605_C57BL6_VS_NOD_FOXP3_IRES_GFP_TCONV_UP.html</t>
  </si>
  <si>
    <t>GSE14386_UNTREATED_VS_IFNA_TREATED_ACT_PBMC_MS_PATIENT_UP</t>
  </si>
  <si>
    <t>9839;3001;919;197135;6693;5816;51466</t>
  </si>
  <si>
    <t>ZEB2;GZMA;CD247;PATL2;SPN;PVALB;EVL</t>
  </si>
  <si>
    <t>http://www.broadinstitute.org/gsea/msigdb/cards/GSE14386_UNTREATED_VS_IFNA_TREATED_ACT_PBMC_MS_PATIENT_UP.html</t>
  </si>
  <si>
    <t>GSE27241_WT_VS_RORGT_KO_TH17_POLARIZED_CD4_TCELL_TREATED_WITH_DIGOXIN_DN</t>
  </si>
  <si>
    <t>920;917;3587;6404;114836;115361;3902;4050</t>
  </si>
  <si>
    <t>CD4;CD3G;IL10RA;SELPLG;SLAMF6;GBP4;LAG3;LTB</t>
  </si>
  <si>
    <t>http://www.broadinstitute.org/gsea/msigdb/cards/GSE27241_WT_VS_RORGT_KO_TH17_POLARIZED_CD4_TCELL_TREATED_WITH_DIGOXIN_DN.html</t>
  </si>
  <si>
    <t>GSE14415_INDUCED_VS_NATURAL_TREG_DN</t>
  </si>
  <si>
    <t>3687;7453;11151;53829;221400;2357;7941;29126</t>
  </si>
  <si>
    <t>ITGAX;WARS;CORO1A;P2RY13;TDRD6;FPR1;PLA2G7;CD274</t>
  </si>
  <si>
    <t>http://www.broadinstitute.org/gsea/msigdb/cards/GSE14415_INDUCED_VS_NATURAL_TREG_DN.html</t>
  </si>
  <si>
    <t>GSE13887_HEALTHY_VS_LUPUS_RESTING_CD4_TCELL_UP</t>
  </si>
  <si>
    <t>11025;353345;645432;10537;921;3004</t>
  </si>
  <si>
    <t>LILRB3;GPR141;ARRDC5;UBD;CD5;GZMM</t>
  </si>
  <si>
    <t>http://www.broadinstitute.org/gsea/msigdb/cards/GSE13887_HEALTHY_VS_LUPUS_RESTING_CD4_TCELL_UP.html</t>
  </si>
  <si>
    <t>GSE13762_CTRL_VS_125_VITAMIND_DAY12_DC_UP</t>
  </si>
  <si>
    <t>348378;11006;57105;730249;3936;131450;5027</t>
  </si>
  <si>
    <t>SHISAL2A;LILRB4;CYSLTR2;ACOD1;LCP1;CD200R1;P2RX7</t>
  </si>
  <si>
    <t>http://www.broadinstitute.org/gsea/msigdb/cards/GSE13762_CTRL_VS_125_VITAMIND_DAY12_DC_UP.html</t>
  </si>
  <si>
    <t>GSE22611_UNSTIM_VS_2H_MDP_STIM_MUTANT_NOD2_TRANSDUCED_HEK293T_CELL_DN</t>
  </si>
  <si>
    <t>5579;942;11006;64092;10019;3988;80821;115727</t>
  </si>
  <si>
    <t>PRKCB;CD86;LILRB4;SAMSN1;SH2B3;LIPA;DDHD1;RASGRP4</t>
  </si>
  <si>
    <t>http://www.broadinstitute.org/gsea/msigdb/cards/GSE22611_UNSTIM_VS_2H_MDP_STIM_MUTANT_NOD2_TRANSDUCED_HEK293T_CELL_DN.html</t>
  </si>
  <si>
    <t>GSE25123_ROSIGLITAZONE_VS_IL4_AND_ROSIGLITAZONE_STIM_MACROPHAGE_DAY10_DN</t>
  </si>
  <si>
    <t>5778;399;64170;3717;241;10672</t>
  </si>
  <si>
    <t>PTPN7;RHOH;CARD9;JAK2;ALOX5AP;GNA13</t>
  </si>
  <si>
    <t>http://www.broadinstitute.org/gsea/msigdb/cards/GSE25123_ROSIGLITAZONE_VS_IL4_AND_ROSIGLITAZONE_STIM_MACROPHAGE_DAY10_DN.html</t>
  </si>
  <si>
    <t>GSE10147_IL3_AND_HIVP17_VS_IL3_AND_CPG_STIM_PDC_DN</t>
  </si>
  <si>
    <t>3932;53347;256380;3737;57514;91010;4215</t>
  </si>
  <si>
    <t>LCK;UBASH3A;SCML4;KCNA2;ARHGAP31;FMNL3;MAP3K3</t>
  </si>
  <si>
    <t>http://www.broadinstitute.org/gsea/msigdb/cards/GSE10147_IL3_AND_HIVP17_VS_IL3_AND_CPG_STIM_PDC_DN.html</t>
  </si>
  <si>
    <t>GSE22601_IMMATURE_CD4_SINGLE_POSITIVE_VS_DOUBLE_POSITIVE_THYMOCYTE_UP</t>
  </si>
  <si>
    <t>1536;2268;10666;283897;341;116071;131450;85479</t>
  </si>
  <si>
    <t>CYBB;FGR;CD226;C16orf54;APOC1;BATF2;CD200R1;DNAJC5B</t>
  </si>
  <si>
    <t>http://www.broadinstitute.org/gsea/msigdb/cards/GSE22601_IMMATURE_CD4_SINGLE_POSITIVE_VS_DOUBLE_POSITIVE_THYMOCYTE_UP.html</t>
  </si>
  <si>
    <t>GSE2770_UNTREATED_VS_TGFB_AND_IL4_TREATED_ACT_CD4_TCELL_48H_UP</t>
  </si>
  <si>
    <t>7535;154075;26051;53829;221400;84106;64805</t>
  </si>
  <si>
    <t>ZAP70;SAMD3;PPP1R16B;P2RY13;TDRD6;PRAM1;P2RY12</t>
  </si>
  <si>
    <t>http://www.broadinstitute.org/gsea/msigdb/cards/GSE2770_UNTREATED_VS_TGFB_AND_IL4_TREATED_ACT_CD4_TCELL_48H_UP.html</t>
  </si>
  <si>
    <t>GSE45365_NK_CELL_VS_CD8_TCELL_UP</t>
  </si>
  <si>
    <t>3559;126014;23533;10154;146183;151556;80821</t>
  </si>
  <si>
    <t>IL2RA;OSCAR;PIK3R5;PLXNC1;OTOA;GPR155;DDHD1</t>
  </si>
  <si>
    <t>http://www.broadinstitute.org/gsea/msigdb/cards/GSE45365_NK_CELL_VS_CD8_TCELL_UP.html</t>
  </si>
  <si>
    <t>GSE2405_0H_VS_3H_A_PHAGOCYTOPHILUM_STIM_NEUTROPHIL_DN</t>
  </si>
  <si>
    <t>3627;10666;6373;2811;814;116071;131450;55619</t>
  </si>
  <si>
    <t>CXCL10;CD226;CXCL11;GP1BA;CAMK4;BATF2;CD200R1;DOCK10</t>
  </si>
  <si>
    <t>http://www.broadinstitute.org/gsea/msigdb/cards/GSE2405_0H_VS_3H_A_PHAGOCYTOPHILUM_STIM_NEUTROPHIL_DN.html</t>
  </si>
  <si>
    <t>GSE2405_0H_VS_6H_A_PHAGOCYTOPHILUM_STIM_NEUTROPHIL_DN</t>
  </si>
  <si>
    <t>3627;2268;6373;1508;814;441168;116071;131450</t>
  </si>
  <si>
    <t>CXCL10;FGR;CXCL11;CTSB;CAMK4;CALHM6;BATF2;CD200R1</t>
  </si>
  <si>
    <t>http://www.broadinstitute.org/gsea/msigdb/cards/GSE2405_0H_VS_6H_A_PHAGOCYTOPHILUM_STIM_NEUTROPHIL_DN.html</t>
  </si>
  <si>
    <t>9840;199;53347;128346;54557;10235;10077;26157</t>
  </si>
  <si>
    <t>TESPA1;AIF1;UBASH3A;C1orf162;SGTB;RASGRP2;TSPAN32;GIMAP2</t>
  </si>
  <si>
    <t>http://www.broadinstitute.org/gsea/msigdb/cards/GSE5542_UNTREATED_VS_IFNA_TREATED_EPITHELIAL_CELLS_24H_DN.html</t>
  </si>
  <si>
    <t>GSE21670_UNTREATED_VS_IL6_TREATED_CD4_TCELL_UP</t>
  </si>
  <si>
    <t>3560;971;7535;201633;255231;26051;257101;10507</t>
  </si>
  <si>
    <t>IL2RB;CD72;ZAP70;TIGIT;MCOLN2;PPP1R16B;ZNF683;SEMA4D</t>
  </si>
  <si>
    <t>http://www.broadinstitute.org/gsea/msigdb/cards/GSE21670_UNTREATED_VS_IL6_TREATED_CD4_TCELL_UP.html</t>
  </si>
  <si>
    <t>GSE45365_NK_CELL_VS_CD8A_DC_MCMV_INFECTION_UP</t>
  </si>
  <si>
    <t>7940;4242;26051;9120;3902;3604;969;84106</t>
  </si>
  <si>
    <t>LST1;MFNG;PPP1R16B;SLC16A6;LAG3;TNFRSF9;CD69;PRAM1</t>
  </si>
  <si>
    <t>http://www.broadinstitute.org/gsea/msigdb/cards/GSE45365_NK_CELL_VS_CD8A_DC_MCMV_INFECTION_UP.html</t>
  </si>
  <si>
    <t>GSE21927_EL4_VS_MCA203_TUMOR_MONOCYTES_UP</t>
  </si>
  <si>
    <t>10871;3662;9332;139716;9881;6037;3936;375686</t>
  </si>
  <si>
    <t>CD300C;IRF4;CD163;GAB3;TRANK1;RNASE3;LCP1;SPATC1</t>
  </si>
  <si>
    <t>http://www.broadinstitute.org/gsea/msigdb/cards/GSE21927_EL4_VS_MCA203_TUMOR_MONOCYTES_UP.html</t>
  </si>
  <si>
    <t>GSE25502_WT_VS_KLF13_KO_THYMIC_MEMORY_LIKE_CD8_TCELL_DN</t>
  </si>
  <si>
    <t>945;55303;11326;366;1414;27163;4818;85464</t>
  </si>
  <si>
    <t>CD33;GIMAP4;VSIG4;AQP9;CRYBB1;NAAA;NKG7;SSH2</t>
  </si>
  <si>
    <t>http://www.broadinstitute.org/gsea/msigdb/cards/GSE25502_WT_VS_KLF13_KO_THYMIC_MEMORY_LIKE_CD8_TCELL_DN.html</t>
  </si>
  <si>
    <t>GSE35543_IN_VIVO_NTREG_VS_IN_VITRO_ITREG_DN</t>
  </si>
  <si>
    <t>10320;399;55016;114836;51338;56833;27299;151556</t>
  </si>
  <si>
    <t>IKZF1;RHOH;MARCH1;SLAMF6;MS4A4A;SLAMF8;ADAMDEC1;GPR155</t>
  </si>
  <si>
    <t>http://www.broadinstitute.org/gsea/msigdb/cards/GSE35543_IN_VIVO_NTREG_VS_IN_VITRO_ITREG_DN.html</t>
  </si>
  <si>
    <t>GSE2770_IL12_VS_TGFB_AND_IL12_TREATED_ACT_CD4_TCELL_2H_UP</t>
  </si>
  <si>
    <t>923;139818;225;27128;1235;55704</t>
  </si>
  <si>
    <t>CD6;DOCK11;ABCD2;CYTH4;CCR6;CCDC88A</t>
  </si>
  <si>
    <t>http://www.broadinstitute.org/gsea/msigdb/cards/GSE2770_IL12_VS_TGFB_AND_IL12_TREATED_ACT_CD4_TCELL_2H_UP.html</t>
  </si>
  <si>
    <t>GSE25677_MPL_VS_MPL_AND_R848_STIM_BCELL_DN</t>
  </si>
  <si>
    <t>4064;8564;241;5724;202309;51676</t>
  </si>
  <si>
    <t>CD180;KMO;ALOX5AP;PTAFR;GAPT;ASB2</t>
  </si>
  <si>
    <t>http://www.broadinstitute.org/gsea/msigdb/cards/GSE25677_MPL_VS_MPL_AND_R848_STIM_BCELL_DN.html</t>
  </si>
  <si>
    <t>GSE45365_WT_VS_IFNAR_KO_BCELL_DN</t>
  </si>
  <si>
    <t>2123;120939;474344;1102;5724;56670;64581;6614</t>
  </si>
  <si>
    <t>EVI2A;TMEM52B;GIMAP6;RCBTB2;PTAFR;SUCNR1;CLEC7A;SIGLEC1</t>
  </si>
  <si>
    <t>http://www.broadinstitute.org/gsea/msigdb/cards/GSE45365_WT_VS_IFNAR_KO_BCELL_DN.html</t>
  </si>
  <si>
    <t>3575;971;1236;924;3112;6402;3988;51466</t>
  </si>
  <si>
    <t>IL7R;CD72;CCR7;CD7;HLA-DOB;SELL;LIPA;EVL</t>
  </si>
  <si>
    <t>http://www.broadinstitute.org/gsea/msigdb/cards/KAECH_NAIVE_VS_DAY8_EFF_CD8_TCELL_UP.html</t>
  </si>
  <si>
    <t>GSE10239_NAIVE_VS_DAY4.5_EFF_CD8_TCELL_DN</t>
  </si>
  <si>
    <t>8676;3458;7133;3394;3662;51296;3956;168537</t>
  </si>
  <si>
    <t>STX11;IFNG;TNFRSF1B;IRF8;IRF4;SLC15A3;LGALS1;GIMAP7</t>
  </si>
  <si>
    <t>http://www.broadinstitute.org/gsea/msigdb/cards/GSE10239_NAIVE_VS_DAY4.5_EFF_CD8_TCELL_DN.html</t>
  </si>
  <si>
    <t>GSE11864_CSF1_IFNG_VS_CSF1_PAM3CYS_IN_MAC_DN</t>
  </si>
  <si>
    <t>914;1234;391;255231;5452;2113;2357;6507</t>
  </si>
  <si>
    <t>CD2;CCR5;RHOG;MCOLN2;POU2F2;ETS1;FPR1;SLC1A3</t>
  </si>
  <si>
    <t>http://www.broadinstitute.org/gsea/msigdb/cards/GSE11864_CSF1_IFNG_VS_CSF1_PAM3CYS_IN_MAC_DN.html</t>
  </si>
  <si>
    <t>GSE11924_TH1_VS_TH17_CD4_TCELL_DN</t>
  </si>
  <si>
    <t>3055;3687;57105;197135;27163;10457;131450;27240</t>
  </si>
  <si>
    <t>HCK;ITGAX;CYSLTR2;PATL2;NAAA;GPNMB;CD200R1;SIT1</t>
  </si>
  <si>
    <t>http://www.broadinstitute.org/gsea/msigdb/cards/GSE11924_TH1_VS_TH17_CD4_TCELL_DN.html</t>
  </si>
  <si>
    <t>GSE12366_GC_VS_MEMORY_BCELL_UP</t>
  </si>
  <si>
    <t>6688;5294;3394;4033;10672;55704;80821;53831</t>
  </si>
  <si>
    <t>SPI1;PIK3CG;IRF8;LRMP;GNA13;CCDC88A;DDHD1;GPR84</t>
  </si>
  <si>
    <t>http://www.broadinstitute.org/gsea/msigdb/cards/GSE12366_GC_VS_MEMORY_BCELL_UP.html</t>
  </si>
  <si>
    <t>GSE12845_IGD_NEG_BLOOD_VS_PRE_GC_TONSIL_BCELL_UP</t>
  </si>
  <si>
    <t>4542;942;3937;27033;3956;51063;8605;10004</t>
  </si>
  <si>
    <t>MYO1F;CD86;LCP2;ZBTB32;LGALS1;CALHM2;PLA2G4C;NAALADL1</t>
  </si>
  <si>
    <t>http://www.broadinstitute.org/gsea/msigdb/cards/GSE12845_IGD_NEG_BLOOD_VS_PRE_GC_TONSIL_BCELL_UP.html</t>
  </si>
  <si>
    <t>GSE13306_LAMINA_PROPRIA_VS_SPLEEN_TREG_DN</t>
  </si>
  <si>
    <t>54440;971;221188;387357;366;1102;3002;9806</t>
  </si>
  <si>
    <t>SASH3;CD72;ADGRG5;THEMIS;AQP9;RCBTB2;GZMB;SPOCK2</t>
  </si>
  <si>
    <t>http://www.broadinstitute.org/gsea/msigdb/cards/GSE13306_LAMINA_PROPRIA_VS_SPLEEN_TREG_DN.html</t>
  </si>
  <si>
    <t>GSE13306_TREG_VS_TCONV_DN</t>
  </si>
  <si>
    <t>4542;10875;91752;11184;1102;2999;54331;206358</t>
  </si>
  <si>
    <t>MYO1F;FGL2;ZNF804A;MAP4K1;RCBTB2;GZMH;GNG2;SLC36A1</t>
  </si>
  <si>
    <t>http://www.broadinstitute.org/gsea/msigdb/cards/GSE13306_TREG_VS_TCONV_DN.html</t>
  </si>
  <si>
    <t>GSE13306_RA_VS_UNTREATED_TREG_DN</t>
  </si>
  <si>
    <t>84166;170575;56833;29851;10154;140885;8809;4818</t>
  </si>
  <si>
    <t>NLRC5;GIMAP1;SLAMF8;ICOS;PLXNC1;SIRPA;IL18R1;NKG7</t>
  </si>
  <si>
    <t>http://www.broadinstitute.org/gsea/msigdb/cards/GSE13306_RA_VS_UNTREATED_TREG_DN.html</t>
  </si>
  <si>
    <t>GSE13484_UNSTIM_VS_3H_YF17D_VACCINE_STIM_PBMC_UP</t>
  </si>
  <si>
    <t>9051;9214;959;9459;27128;11024;1102;64174</t>
  </si>
  <si>
    <t>PSTPIP1;FCMR;CD40LG;ARHGEF6;CYTH4;LILRA1;RCBTB2;DPEP2</t>
  </si>
  <si>
    <t>http://www.broadinstitute.org/gsea/msigdb/cards/GSE13484_UNSTIM_VS_3H_YF17D_VACCINE_STIM_PBMC_UP.html</t>
  </si>
  <si>
    <t>9051;11151;2313;4671;3115;4208;25900;6503</t>
  </si>
  <si>
    <t>PSTPIP1;CORO1A;FLI1;NAIP;HLA-DPB1;MEF2C;IFFO1;SLA</t>
  </si>
  <si>
    <t>http://www.broadinstitute.org/gsea/msigdb/cards/GSE13484_UNSTIM_VS_12H_YF17D_VACCINE_STIM_PBMC_UP.html</t>
  </si>
  <si>
    <t>920;92241;50852;341;3586;6891;4327;9935</t>
  </si>
  <si>
    <t>CD4;RCSD1;TRAT1;APOC1;IL10;TAP2;MMP19;MAFB</t>
  </si>
  <si>
    <t>GSE13493_DP_VS_CD4INTCD8POS_THYMOCYTE_DN</t>
  </si>
  <si>
    <t>3001;3560;2014;80380;645432;5552;27314;22806</t>
  </si>
  <si>
    <t>GZMA;IL2RB;EMP3;PDCD1LG2;ARRDC5;SRGN;RAB30;IKZF3</t>
  </si>
  <si>
    <t>http://www.broadinstitute.org/gsea/msigdb/cards/GSE13493_DP_VS_CD4INTCD8POS_THYMOCYTE_DN.html</t>
  </si>
  <si>
    <t>GSE13493_CD4INTCD8POS_VS_CD8POS_THYMOCYTE_DN</t>
  </si>
  <si>
    <t>340152;9214;971;7805;6402;3109;85479;25939</t>
  </si>
  <si>
    <t>ZC3H12D;FCMR;CD72;LAPTM5;SELL;HLA-DMB;DNAJC5B;SAMHD1</t>
  </si>
  <si>
    <t>http://www.broadinstitute.org/gsea/msigdb/cards/GSE13493_CD4INTCD8POS_VS_CD8POS_THYMOCYTE_DN.html</t>
  </si>
  <si>
    <t>GSE14308_TH2_VS_NAIVE_CD4_TCELL_UP</t>
  </si>
  <si>
    <t>8676;84636;9120;27306;1043;161176;118788;375387</t>
  </si>
  <si>
    <t>STX11;GPR174;SLC16A6;HPGDS;CD52;SYNE3;PIK3AP1;NRROS</t>
  </si>
  <si>
    <t>http://www.broadinstitute.org/gsea/msigdb/cards/GSE14308_TH2_VS_NAIVE_CD4_TCELL_UP.html</t>
  </si>
  <si>
    <t>GSE14308_TH1_VS_NAIVE_CD4_TCELL_DN</t>
  </si>
  <si>
    <t>2533;942;474344;51284;441168;206358;80821;27240</t>
  </si>
  <si>
    <t>FYB1;CD86;GIMAP6;TLR7;CALHM6;SLC36A1;DDHD1;SIT1</t>
  </si>
  <si>
    <t>http://www.broadinstitute.org/gsea/msigdb/cards/GSE14308_TH1_VS_NAIVE_CD4_TCELL_DN.html</t>
  </si>
  <si>
    <t>GSE14308_TH17_VS_NATURAL_TREG_DN</t>
  </si>
  <si>
    <t>3627;7453;170371;126014;23533;80709;91010;91526</t>
  </si>
  <si>
    <t>CXCL10;WARS;TMEM273;OSCAR;PIK3R5;AKNA;FMNL3;ANKRD44</t>
  </si>
  <si>
    <t>http://www.broadinstitute.org/gsea/msigdb/cards/GSE14308_TH17_VS_NATURAL_TREG_DN.html</t>
  </si>
  <si>
    <t>GSE1432_1H_VS_6H_IFNG_MICROGLIA_UP</t>
  </si>
  <si>
    <t>9595;9450;4354;8514;11184;3162;6503;25780</t>
  </si>
  <si>
    <t>CYTIP;LY86;MPP1;KCNAB2;MAP4K1;HMOX1;SLA;RASGRP3</t>
  </si>
  <si>
    <t>http://www.broadinstitute.org/gsea/msigdb/cards/GSE1432_1H_VS_6H_IFNG_MICROGLIA_UP.html</t>
  </si>
  <si>
    <t>GSE14350_IL2RB_KO_VS_WT_TREG_UP</t>
  </si>
  <si>
    <t>942;6772;4689;84166;255231;23533;10673;3290</t>
  </si>
  <si>
    <t>CD86;STAT1;NCF4;NLRC5;MCOLN2;PIK3R5;TNFSF13B;HSD11B1</t>
  </si>
  <si>
    <t>http://www.broadinstitute.org/gsea/msigdb/cards/GSE14350_IL2RB_KO_VS_WT_TREG_UP.html</t>
  </si>
  <si>
    <t>9595;3689;963;474344;51296;596;3363;55911</t>
  </si>
  <si>
    <t>CYTIP;ITGB2;CD53;GIMAP6;SLC15A3;BCL2;HTR7;APOBR</t>
  </si>
  <si>
    <t>http://www.broadinstitute.org/gsea/msigdb/cards/GSE1460_DP_THYMOCYTE_VS_NAIVE_CD4_TCELL_ADULT_BLOOD_DN.html</t>
  </si>
  <si>
    <t>GSE15215_CD2_POS_VS_NEG_PDC_UP</t>
  </si>
  <si>
    <t>2268;7453;9332;80301;1240;596;6776;25939</t>
  </si>
  <si>
    <t>FGR;WARS;CD163;PLEKHO2;CMKLR1;BCL2;STAT5A;SAMHD1</t>
  </si>
  <si>
    <t>http://www.broadinstitute.org/gsea/msigdb/cards/GSE15215_CD2_POS_VS_NEG_PDC_UP.html</t>
  </si>
  <si>
    <t>GSE15659_TREG_VS_TCONV_DN</t>
  </si>
  <si>
    <t>3676;6039;115361;53829;27180;29909;341;11027</t>
  </si>
  <si>
    <t>ITGA4;RNASE6;GBP4;P2RY13;SIGLEC9;GPR171;APOC1;LILRA2</t>
  </si>
  <si>
    <t>http://www.broadinstitute.org/gsea/msigdb/cards/GSE15659_TREG_VS_TCONV_DN.html</t>
  </si>
  <si>
    <t>GSE15659_NAIVE_CD4_TCELL_VS_NONSUPPRESSIVE_TCELL_UP</t>
  </si>
  <si>
    <t>916;6351;959;1794;924;155038;55013;29125</t>
  </si>
  <si>
    <t>CD3E;CCL4;CD40LG;DOCK2;CD7;GIMAP8;MCUB;C11orf21</t>
  </si>
  <si>
    <t>http://www.broadinstitute.org/gsea/msigdb/cards/GSE15659_NAIVE_CD4_TCELL_VS_NONSUPPRESSIVE_TCELL_UP.html</t>
  </si>
  <si>
    <t>GSE15659_NONSUPPRESSIVE_TCELL_VS_ACTIVATED_TREG_UP</t>
  </si>
  <si>
    <t>1536;959;8477;57105;8320;2162;926;155038</t>
  </si>
  <si>
    <t>CYBB;CD40LG;GPR65;CYSLTR2;EOMES;F13A1;CD8B;GIMAP8</t>
  </si>
  <si>
    <t>http://www.broadinstitute.org/gsea/msigdb/cards/GSE15659_NONSUPPRESSIVE_TCELL_VS_ACTIVATED_TREG_UP.html</t>
  </si>
  <si>
    <t>GSE15659_NONSUPPRESSIVE_TCELL_VS_ACTIVATED_TREG_DN</t>
  </si>
  <si>
    <t>4068;399;149628;497189;64092;7099;375686;51762</t>
  </si>
  <si>
    <t>SH2D1A;RHOH;PYHIN1;TIFAB;SAMSN1;TLR4;SPATC1;RAB8B</t>
  </si>
  <si>
    <t>http://www.broadinstitute.org/gsea/msigdb/cards/GSE15659_NONSUPPRESSIVE_TCELL_VS_ACTIVATED_TREG_DN.html</t>
  </si>
  <si>
    <t>GSE15750_DAY6_VS_DAY10_EFF_CD8_TCELL_DN</t>
  </si>
  <si>
    <t>3575;53346;56253;2213;55911;7185;57514;64919</t>
  </si>
  <si>
    <t>IL7R;TM6SF1;CRTAM;FCGR2B;APOBR;TRAF1;ARHGAP31;BCL11B</t>
  </si>
  <si>
    <t>http://www.broadinstitute.org/gsea/msigdb/cards/GSE15750_DAY6_VS_DAY10_EFF_CD8_TCELL_DN.html</t>
  </si>
  <si>
    <t>929;3001;3603;3111;3988;6776;4240;11217</t>
  </si>
  <si>
    <t>CD14;GZMA;IL16;HLA-DOA;LIPA;STAT5A;MFGE8;AKAP2</t>
  </si>
  <si>
    <t>http://www.broadinstitute.org/gsea/msigdb/cards/GSE15930_NAIVE_VS_48H_IN_VITRO_STIM_IL12_CD8_TCELL_UP.html</t>
  </si>
  <si>
    <t>GSE15930_NAIVE_VS_72H_IN_VITRO_STIM_IL12_CD8_TCELL_UP</t>
  </si>
  <si>
    <t>3001;255231;51284;10019;728;6776;89846;4215</t>
  </si>
  <si>
    <t>GZMA;MCOLN2;TLR7;SH2B3;C5AR1;STAT5A;FGD3;MAP3K3</t>
  </si>
  <si>
    <t>http://www.broadinstitute.org/gsea/msigdb/cards/GSE15930_NAIVE_VS_72H_IN_VITRO_STIM_IL12_CD8_TCELL_UP.html</t>
  </si>
  <si>
    <t>3001;255231;55589;51284;10019;6776;89846;10235</t>
  </si>
  <si>
    <t>GZMA;MCOLN2;BMP2K;TLR7;SH2B3;STAT5A;FGD3;RASGRP2</t>
  </si>
  <si>
    <t>http://www.broadinstitute.org/gsea/msigdb/cards/GSE15930_NAIVE_VS_72H_IN_VITRO_STIM_TRICHOSTATINA_CD8_TCELL_UP.html</t>
  </si>
  <si>
    <t>GSE15930_STIM_VS_STIM_AND_IFNAB_72H_CD8_T_CELL_UP</t>
  </si>
  <si>
    <t>4242;929;2350;2322;2014;3112;54518;338339</t>
  </si>
  <si>
    <t>MFNG;CD14;FOLR2;FLT3;EMP3;HLA-DOB;APBB1IP;CLEC4D</t>
  </si>
  <si>
    <t>http://www.broadinstitute.org/gsea/msigdb/cards/GSE15930_STIM_VS_STIM_AND_IFNAB_72H_CD8_T_CELL_UP.html</t>
  </si>
  <si>
    <t>GSE15930_STIM_VS_STIM_AND_TRICHOSTATINA_72H_CD8_T_CELL_UP</t>
  </si>
  <si>
    <t>916;2322;2014;27299;6793;6693;10235;54518</t>
  </si>
  <si>
    <t>CD3E;FLT3;EMP3;ADAMDEC1;STK10;SPN;RASGRP2;APBB1IP</t>
  </si>
  <si>
    <t>http://www.broadinstitute.org/gsea/msigdb/cards/GSE15930_STIM_VS_STIM_AND_TRICHOSTATINA_72H_CD8_T_CELL_UP.html</t>
  </si>
  <si>
    <t>GSE16522_ANTI_CD3CD28_STIM_VS_UNSTIM_MEMORY_CD8_TCELL_UP</t>
  </si>
  <si>
    <t>51296;255231;3717;5552;3586;4033;6503;10184</t>
  </si>
  <si>
    <t>SLC15A3;MCOLN2;JAK2;SRGN;IL10;LRMP;SLA;LHFPL2</t>
  </si>
  <si>
    <t>http://www.broadinstitute.org/gsea/msigdb/cards/GSE16522_ANTI_CD3CD28_STIM_VS_UNSTIM_MEMORY_CD8_TCELL_UP.html</t>
  </si>
  <si>
    <t>GSE17721_CTRL_VS_LPS_1H_BMDC_DN</t>
  </si>
  <si>
    <t>4210;10261;5734;80380;2357;1230;1235;10148</t>
  </si>
  <si>
    <t>MEFV;IGSF6;PTGER4;PDCD1LG2;FPR1;CCR1;CCR6;EBI3</t>
  </si>
  <si>
    <t>http://www.broadinstitute.org/gsea/msigdb/cards/GSE17721_CTRL_VS_LPS_1H_BMDC_DN.html</t>
  </si>
  <si>
    <t>22797;962;64926;139716;27306;3162;10437;4215</t>
  </si>
  <si>
    <t>TFEC;CD48;RASAL3;GAB3;HPGDS;HMOX1;IFI30;MAP3K3</t>
  </si>
  <si>
    <t>http://www.broadinstitute.org/gsea/msigdb/cards/GSE17721_CTRL_VS_LPS_6H_BMDC_UP.html</t>
  </si>
  <si>
    <t>GSE17721_CTRL_VS_LPS_8H_BMDC_UP</t>
  </si>
  <si>
    <t>11151;150372;9056;10437;4360;3824;5133;64098</t>
  </si>
  <si>
    <t>CORO1A;NFAM1;SLC7A7;IFI30;MRC1;KLRD1;PDCD1;PARVG</t>
  </si>
  <si>
    <t>http://www.broadinstitute.org/gsea/msigdb/cards/GSE17721_CTRL_VS_LPS_8H_BMDC_UP.html</t>
  </si>
  <si>
    <t>GSE17721_CTRL_VS_POLYIC_1H_BMDC_UP</t>
  </si>
  <si>
    <t>54440;2209;10871;56833;2857;3956;728;64747</t>
  </si>
  <si>
    <t>SASH3;FCGR1A;CD300C;SLAMF8;GPR34;LGALS1;C5AR1;MFSD1</t>
  </si>
  <si>
    <t>http://www.broadinstitute.org/gsea/msigdb/cards/GSE17721_CTRL_VS_POLYIC_1H_BMDC_UP.html</t>
  </si>
  <si>
    <t>GSE17721_CTRL_VS_POLYIC_12H_BMDC_DN</t>
  </si>
  <si>
    <t>6352;5800;115361;81030;64231;6518;4261;118788</t>
  </si>
  <si>
    <t>CCL5;PTPRO;GBP4;ZBP1;MS4A6A;SLC2A5;CIITA;PIK3AP1</t>
  </si>
  <si>
    <t>http://www.broadinstitute.org/gsea/msigdb/cards/GSE17721_CTRL_VS_POLYIC_12H_BMDC_DN.html</t>
  </si>
  <si>
    <t>GSE17721_CTRL_VS_PAM3CSK4_0.5H_BMDC_UP</t>
  </si>
  <si>
    <t>1536;3676;3561;10875;1794;1043;118788;64805</t>
  </si>
  <si>
    <t>CYBB;ITGA4;IL2RG;FGL2;DOCK2;CD52;PIK3AP1;P2RY12</t>
  </si>
  <si>
    <t>http://www.broadinstitute.org/gsea/msigdb/cards/GSE17721_CTRL_VS_PAM3CSK4_0.5H_BMDC_UP.html</t>
  </si>
  <si>
    <t>GSE17721_CTRL_VS_PAM3CSK4_4H_BMDC_DN</t>
  </si>
  <si>
    <t>10261;971;6776;4973;10148;10672;30835;11217</t>
  </si>
  <si>
    <t>IGSF6;CD72;STAT5A;OLR1;EBI3;GNA13;CD209;AKAP2</t>
  </si>
  <si>
    <t>http://www.broadinstitute.org/gsea/msigdb/cards/GSE17721_CTRL_VS_PAM3CSK4_4H_BMDC_DN.html</t>
  </si>
  <si>
    <t>GSE17721_CTRL_VS_PAM3CSK4_12H_BMDC_DN</t>
  </si>
  <si>
    <t>916;929;6352;81030;3162;2213;4973;118788</t>
  </si>
  <si>
    <t>CD3E;CD14;CCL5;ZBP1;HMOX1;FCGR2B;OLR1;PIK3AP1</t>
  </si>
  <si>
    <t>http://www.broadinstitute.org/gsea/msigdb/cards/GSE17721_CTRL_VS_PAM3CSK4_12H_BMDC_DN.html</t>
  </si>
  <si>
    <t>GSE17721_CTRL_VS_CPG_0.5H_BMDC_DN</t>
  </si>
  <si>
    <t>1233;10871;124460;256380;4261;6776;64919;57823</t>
  </si>
  <si>
    <t>CCR4;CD300C;SNX20;SCML4;CIITA;STAT5A;BCL11B;SLAMF7</t>
  </si>
  <si>
    <t>http://www.broadinstitute.org/gsea/msigdb/cards/GSE17721_CTRL_VS_CPG_0.5H_BMDC_DN.html</t>
  </si>
  <si>
    <t>GSE17721_CTRL_VS_CPG_1H_BMDC_DN</t>
  </si>
  <si>
    <t>3627;929;59067;64092;9034;1621;5724;10148</t>
  </si>
  <si>
    <t>CXCL10;CD14;IL21;SAMSN1;CCRL2;DBH;PTAFR;EBI3</t>
  </si>
  <si>
    <t>http://www.broadinstitute.org/gsea/msigdb/cards/GSE17721_CTRL_VS_CPG_1H_BMDC_DN.html</t>
  </si>
  <si>
    <t>GSE17721_CTRL_VS_CPG_24H_BMDC_UP</t>
  </si>
  <si>
    <t>2209;7805;474344;9332;8832;2857;1230;55911</t>
  </si>
  <si>
    <t>FCGR1A;LAPTM5;GIMAP6;CD163;CD84;GPR34;CCR1;APOBR</t>
  </si>
  <si>
    <t>http://www.broadinstitute.org/gsea/msigdb/cards/GSE17721_CTRL_VS_CPG_24H_BMDC_UP.html</t>
  </si>
  <si>
    <t>GSE17721_CTRL_VS_GARDIQUIMOD_0.5H_BMDC_DN</t>
  </si>
  <si>
    <t>6504;8514;93978;23228;11010;100506736;26279;11217</t>
  </si>
  <si>
    <t>SLAMF1;KCNAB2;CLEC6A;PLCL2;GLIPR1;SLFN12L;PLA2G2D;AKAP2</t>
  </si>
  <si>
    <t>http://www.broadinstitute.org/gsea/msigdb/cards/GSE17721_CTRL_VS_GARDIQUIMOD_0.5H_BMDC_DN.html</t>
  </si>
  <si>
    <t>GSE17721_CTRL_VS_GARDIQUIMOD_8H_BMDC_UP</t>
  </si>
  <si>
    <t>962;93978;79930;150372;9056;4360;4261;90634</t>
  </si>
  <si>
    <t>CD48;CLEC6A;DOK3;NFAM1;SLC7A7;MRC1;CIITA;N4BP2L1</t>
  </si>
  <si>
    <t>http://www.broadinstitute.org/gsea/msigdb/cards/GSE17721_CTRL_VS_GARDIQUIMOD_8H_BMDC_UP.html</t>
  </si>
  <si>
    <t>GSE17721_CTRL_VS_GARDIQUIMOD_12H_BMDC_DN</t>
  </si>
  <si>
    <t>81030;9034;4049;6776;10148;100506736;80821;11217</t>
  </si>
  <si>
    <t>ZBP1;CCRL2;LTA;STAT5A;EBI3;SLFN12L;DDHD1;AKAP2</t>
  </si>
  <si>
    <t>http://www.broadinstitute.org/gsea/msigdb/cards/GSE17721_CTRL_VS_GARDIQUIMOD_12H_BMDC_DN.html</t>
  </si>
  <si>
    <t>GSE17721_LPS_VS_POLYIC_12H_BMDC_UP</t>
  </si>
  <si>
    <t>3687;313;3662;29992;3717;1435;7185;91010</t>
  </si>
  <si>
    <t>ITGAX;AOAH;IRF4;PILRA;JAK2;CSF1;TRAF1;FMNL3</t>
  </si>
  <si>
    <t>http://www.broadinstitute.org/gsea/msigdb/cards/GSE17721_LPS_VS_POLYIC_12H_BMDC_UP.html</t>
  </si>
  <si>
    <t>GSE17721_POLYIC_VS_PAM3CSK4_2H_BMDC_DN</t>
  </si>
  <si>
    <t>10261;92241;255231;23228;3902;2358;10148;53831</t>
  </si>
  <si>
    <t>IGSF6;RCSD1;MCOLN2;PLCL2;LAG3;FPR2;EBI3;GPR84</t>
  </si>
  <si>
    <t>http://www.broadinstitute.org/gsea/msigdb/cards/GSE17721_POLYIC_VS_PAM3CSK4_2H_BMDC_DN.html</t>
  </si>
  <si>
    <t>1493;225;3737;3290;6776;6507;149699;64805</t>
  </si>
  <si>
    <t>CTLA4;ABCD2;KCNA2;HSD11B1;STAT5A;SLC1A3;GTSF1L;P2RY12</t>
  </si>
  <si>
    <t>http://www.broadinstitute.org/gsea/msigdb/cards/GSE17721_PAM3CSK4_VS_CPG_0.5H_BMDC_DN.html</t>
  </si>
  <si>
    <t>50852;9332;64926;114548;6556;8905;55911;149699</t>
  </si>
  <si>
    <t>TRAT1;CD163;RASAL3;NLRP3;SLC11A1;AP1S2;APOBR;GTSF1L</t>
  </si>
  <si>
    <t>http://www.broadinstitute.org/gsea/msigdb/cards/GSE17721_PAM3CSK4_VS_CPG_24H_BMDC_UP.html</t>
  </si>
  <si>
    <t>199;51296;8477;126014;4094;729230;5027;149699</t>
  </si>
  <si>
    <t>AIF1;SLC15A3;GPR65;OSCAR;MAF;CCR2;P2RX7;GTSF1L</t>
  </si>
  <si>
    <t>http://www.broadinstitute.org/gsea/msigdb/cards/GSE17721_CPG_VS_GARDIQUIMOD_0.5H_BMDC_UP.html</t>
  </si>
  <si>
    <t>GSE17721_CPG_VS_GARDIQUIMOD_1H_BMDC_UP</t>
  </si>
  <si>
    <t>22797;1236;3394;79930;1621;5552;2357;29126</t>
  </si>
  <si>
    <t>TFEC;CCR7;IRF8;DOK3;DBH;SRGN;FPR1;CD274</t>
  </si>
  <si>
    <t>http://www.broadinstitute.org/gsea/msigdb/cards/GSE17721_CPG_VS_GARDIQUIMOD_1H_BMDC_UP.html</t>
  </si>
  <si>
    <t>GSE17721_CPG_VS_GARDIQUIMOD_12H_BMDC_DN</t>
  </si>
  <si>
    <t>9046;945;93978;50856;3553;3059;3004;338339</t>
  </si>
  <si>
    <t>DOK2;CD33;CLEC6A;CLEC4A;IL1B;HCLS1;GZMM;CLEC4D</t>
  </si>
  <si>
    <t>http://www.broadinstitute.org/gsea/msigdb/cards/GSE17721_CPG_VS_GARDIQUIMOD_12H_BMDC_DN.html</t>
  </si>
  <si>
    <t>GSE17721_CPG_VS_GARDIQUIMOD_16H_BMDC_DN</t>
  </si>
  <si>
    <t>3676;5294;29992;9056;50856;9034;6518;55013</t>
  </si>
  <si>
    <t>ITGA4;PIK3CG;PILRA;SLC7A7;CLEC4A;CCRL2;SLC2A5;MCUB</t>
  </si>
  <si>
    <t>http://www.broadinstitute.org/gsea/msigdb/cards/GSE17721_CPG_VS_GARDIQUIMOD_16H_BMDC_DN.html</t>
  </si>
  <si>
    <t>GSE17721_LPS_VS_PAM3CSK4_0.5H_BMDC_UP</t>
  </si>
  <si>
    <t>1536;3676;7133;64926;348;6546;84329;64805</t>
  </si>
  <si>
    <t>CYBB;ITGA4;TNFRSF1B;RASAL3;APOE;SLC8A1;HVCN1;P2RY12</t>
  </si>
  <si>
    <t>http://www.broadinstitute.org/gsea/msigdb/cards/GSE17721_LPS_VS_PAM3CSK4_0.5H_BMDC_UP.html</t>
  </si>
  <si>
    <t>GSE17721_POLYIC_VS_CPG_6H_BMDC_UP</t>
  </si>
  <si>
    <t>2268;2209;2313;3587;4360;4208;10672;91526</t>
  </si>
  <si>
    <t>FGR;FCGR1A;FLI1;IL10RA;MRC1;MEF2C;GNA13;ANKRD44</t>
  </si>
  <si>
    <t>http://www.broadinstitute.org/gsea/msigdb/cards/GSE17721_POLYIC_VS_CPG_6H_BMDC_UP.html</t>
  </si>
  <si>
    <t>GSE17721_PAM3CSK4_VS_GADIQUIMOD_0.5H_BMDC_UP</t>
  </si>
  <si>
    <t>5579;3687;3587;51296;114548;51744;6546;84329</t>
  </si>
  <si>
    <t>PRKCB;ITGAX;IL10RA;SLC15A3;NLRP3;CD244;SLC8A1;HVCN1</t>
  </si>
  <si>
    <t>http://www.broadinstitute.org/gsea/msigdb/cards/GSE17721_PAM3CSK4_VS_GADIQUIMOD_0.5H_BMDC_UP.html</t>
  </si>
  <si>
    <t>GSE17721_LPS_VS_CPG_1H_BMDC_UP</t>
  </si>
  <si>
    <t>920;944;399;53346;4481;4360;1230;27163</t>
  </si>
  <si>
    <t>CD4;TNFSF8;RHOH;TM6SF1;MSR1;MRC1;CCR1;NAAA</t>
  </si>
  <si>
    <t>http://www.broadinstitute.org/gsea/msigdb/cards/GSE17721_LPS_VS_CPG_1H_BMDC_UP.html</t>
  </si>
  <si>
    <t>GSE17721_LPS_VS_CPG_1H_BMDC_DN</t>
  </si>
  <si>
    <t>5341;1236;3394;92241;79930;64092;3553;7185</t>
  </si>
  <si>
    <t>PLEK;CCR7;IRF8;RCSD1;DOK3;SAMSN1;IL1B;TRAF1</t>
  </si>
  <si>
    <t>http://www.broadinstitute.org/gsea/msigdb/cards/GSE17721_LPS_VS_CPG_1H_BMDC_DN.html</t>
  </si>
  <si>
    <t>944;5294;3071;126014;55589;10870;64780;9806</t>
  </si>
  <si>
    <t>TNFSF8;PIK3CG;NCKAP1L;OSCAR;BMP2K;HCST;MICAL1;SPOCK2</t>
  </si>
  <si>
    <t>http://www.broadinstitute.org/gsea/msigdb/cards/GSE17721_POLYIC_VS_GARDIQUIMOD_1H_BMDC_UP.html</t>
  </si>
  <si>
    <t>GSE17721_POLYIC_VS_GARDIQUIMOD_4H_BMDC_UP</t>
  </si>
  <si>
    <t>2313;51744;225;23228;90634;116071;161145;51063</t>
  </si>
  <si>
    <t>FLI1;CD244;ABCD2;PLCL2;N4BP2L1;BATF2;TMEM229B;CALHM2</t>
  </si>
  <si>
    <t>http://www.broadinstitute.org/gsea/msigdb/cards/GSE17721_POLYIC_VS_GARDIQUIMOD_4H_BMDC_UP.html</t>
  </si>
  <si>
    <t>GSE17721_POLYIC_VS_GARDIQUIMOD_24H_BMDC_DN</t>
  </si>
  <si>
    <t>150372;51744;9056;3059;7454;54331;140885;55013</t>
  </si>
  <si>
    <t>NFAM1;CD244;SLC7A7;HCLS1;WAS;GNG2;SIRPA;MCUB</t>
  </si>
  <si>
    <t>http://www.broadinstitute.org/gsea/msigdb/cards/GSE17721_POLYIC_VS_GARDIQUIMOD_24H_BMDC_DN.html</t>
  </si>
  <si>
    <t>4354;399;719;92241;23228;1435;10148;161145</t>
  </si>
  <si>
    <t>MPP1;RHOH;C3AR1;RCSD1;PLCL2;CSF1;EBI3;TMEM229B</t>
  </si>
  <si>
    <t>http://www.broadinstitute.org/gsea/msigdb/cards/GSE17721_LPS_VS_GARDIQUIMOD_4H_BMDC_UP.html</t>
  </si>
  <si>
    <t>962;11151;5294;9056;10437;4360;3824;64098</t>
  </si>
  <si>
    <t>CD48;CORO1A;PIK3CG;SLC7A7;IFI30;MRC1;KLRD1;PARVG</t>
  </si>
  <si>
    <t>http://www.broadinstitute.org/gsea/msigdb/cards/GSE17721_0.5H_VS_8H_LPS_BMDC_UP.html</t>
  </si>
  <si>
    <t>962;51056;11151;10871;9056;3122;1621;3108</t>
  </si>
  <si>
    <t>CD48;LAP3;CORO1A;CD300C;SLC7A7;HLA-DRA;DBH;HLA-DMA</t>
  </si>
  <si>
    <t>http://www.broadinstitute.org/gsea/msigdb/cards/GSE17721_0.5H_VS_24H_LPS_BMDC_UP.html</t>
  </si>
  <si>
    <t>GSE17721_0.5H_VS_8H_POLYIC_BMDC_DN</t>
  </si>
  <si>
    <t>51056;3394;81030;2529;10148;10672;100506736;11217</t>
  </si>
  <si>
    <t>LAP3;IRF8;ZBP1;FUT7;EBI3;GNA13;SLFN12L;AKAP2</t>
  </si>
  <si>
    <t>http://www.broadinstitute.org/gsea/msigdb/cards/GSE17721_0.5H_VS_8H_POLYIC_BMDC_DN.html</t>
  </si>
  <si>
    <t>GSE17721_0.5H_VS_12H_PAM3CSK4_BMDC_DN</t>
  </si>
  <si>
    <t>653361;58475;51311;5452;2357;11010;1237;64747</t>
  </si>
  <si>
    <t>NCF1;MS4A7;TLR8;POU2F2;FPR1;GLIPR1;CCR8;MFSD1</t>
  </si>
  <si>
    <t>http://www.broadinstitute.org/gsea/msigdb/cards/GSE17721_0.5H_VS_12H_PAM3CSK4_BMDC_DN.html</t>
  </si>
  <si>
    <t>GSE17721_0.5H_VS_4H_PAM3CSK4_BMDC_DN</t>
  </si>
  <si>
    <t>313;3561;941;80301;100506736;151556;91010;64747</t>
  </si>
  <si>
    <t>AOAH;IL2RG;CD80;PLEKHO2;SLFN12L;GPR155;FMNL3;MFSD1</t>
  </si>
  <si>
    <t>http://www.broadinstitute.org/gsea/msigdb/cards/GSE17721_0.5H_VS_4H_PAM3CSK4_BMDC_DN.html</t>
  </si>
  <si>
    <t>5294;391;3635;53346;27036;1102;4066;6693</t>
  </si>
  <si>
    <t>PIK3CG;RHOG;INPP5D;TM6SF1;SIGLEC7;RCBTB2;LYL1;SPN</t>
  </si>
  <si>
    <t>http://www.broadinstitute.org/gsea/msigdb/cards/GSE17721_12H_VS_24H_CPG_BMDC_DN.html</t>
  </si>
  <si>
    <t>GSE17721_0.5H_VS_24H_GARDIQUIMOD_BMDC_DN</t>
  </si>
  <si>
    <t>10068;2214;3937;719;4049;3290;84329;29126</t>
  </si>
  <si>
    <t>IL18BP;FCGR3A;LCP2;C3AR1;LTA;HSD11B1;HVCN1;CD274</t>
  </si>
  <si>
    <t>http://www.broadinstitute.org/gsea/msigdb/cards/GSE17721_0.5H_VS_24H_GARDIQUIMOD_BMDC_DN.html</t>
  </si>
  <si>
    <t>GSE17721_12H_VS_24H_GARDIQUIMOD_BMDC_DN</t>
  </si>
  <si>
    <t>2214;313;8514;8477;139716;7099;3586;7941</t>
  </si>
  <si>
    <t>FCGR3A;AOAH;KCNAB2;GPR65;GAB3;TLR4;IL10;PLA2G7</t>
  </si>
  <si>
    <t>http://www.broadinstitute.org/gsea/msigdb/cards/GSE17721_12H_VS_24H_GARDIQUIMOD_BMDC_DN.html</t>
  </si>
  <si>
    <t>GSE17974_CTRL_VS_ACT_IL4_AND_ANTI_IL12_0.5H_CD4_TCELL_DN</t>
  </si>
  <si>
    <t>9595;2123;124535;8477;117289;969;597;84541</t>
  </si>
  <si>
    <t>CYTIP;EVI2A;HSF5;GPR65;TAGAP;CD69;BCL2A1;KBTBD8</t>
  </si>
  <si>
    <t>http://www.broadinstitute.org/gsea/msigdb/cards/GSE17974_CTRL_VS_ACT_IL4_AND_ANTI_IL12_0.5H_CD4_TCELL_DN.html</t>
  </si>
  <si>
    <t>GSE17974_CTRL_VS_ACT_IL4_AND_ANTI_IL12_4H_CD4_TCELL_DN</t>
  </si>
  <si>
    <t>9840;3559;3937;3662;151888;8832;4049;50515</t>
  </si>
  <si>
    <t>TESPA1;IL2RA;LCP2;IRF4;BTLA;CD84;LTA;CHST11</t>
  </si>
  <si>
    <t>http://www.broadinstitute.org/gsea/msigdb/cards/GSE17974_CTRL_VS_ACT_IL4_AND_ANTI_IL12_4H_CD4_TCELL_DN.html</t>
  </si>
  <si>
    <t>GSE17974_0.5H_VS_72H_UNTREATED_IN_VITRO_CD4_TCELL_DN</t>
  </si>
  <si>
    <t>9402;54440;6504;9744;10666;170371;3717;10148</t>
  </si>
  <si>
    <t>GRAP2;SASH3;SLAMF1;ACAP1;CD226;TMEM273;JAK2;EBI3</t>
  </si>
  <si>
    <t>http://www.broadinstitute.org/gsea/msigdb/cards/GSE17974_0.5H_VS_72H_UNTREATED_IN_VITRO_CD4_TCELL_DN.html</t>
  </si>
  <si>
    <t>GSE17974_1H_VS_72H_UNTREATED_IN_VITRO_CD4_TCELL_DN</t>
  </si>
  <si>
    <t>9404;54440;963;5778;23048;54;3936;10148</t>
  </si>
  <si>
    <t>LPXN;SASH3;CD53;PTPN7;FNBP1;ACP5;LCP1;EBI3</t>
  </si>
  <si>
    <t>http://www.broadinstitute.org/gsea/msigdb/cards/GSE17974_1H_VS_72H_UNTREATED_IN_VITRO_CD4_TCELL_DN.html</t>
  </si>
  <si>
    <t>GSE17974_2H_VS_72H_UNTREATED_IN_VITRO_CD4_TCELL_UP</t>
  </si>
  <si>
    <t>944;348378;10019;730249;3553;356;11010;597</t>
  </si>
  <si>
    <t>TNFSF8;SHISAL2A;SH2B3;ACOD1;IL1B;FASLG;GLIPR1;BCL2A1</t>
  </si>
  <si>
    <t>http://www.broadinstitute.org/gsea/msigdb/cards/GSE17974_2H_VS_72H_UNTREATED_IN_VITRO_CD4_TCELL_UP.html</t>
  </si>
  <si>
    <t>GSE17974_2H_VS_72H_UNTREATED_IN_VITRO_CD4_TCELL_DN</t>
  </si>
  <si>
    <t>3689;9744;10666;170371;387357;11314;90634;4644</t>
  </si>
  <si>
    <t>ITGB2;ACAP1;CD226;TMEM273;THEMIS;CD300A;N4BP2L1;MYO5A</t>
  </si>
  <si>
    <t>http://www.broadinstitute.org/gsea/msigdb/cards/GSE17974_2H_VS_72H_UNTREATED_IN_VITRO_CD4_TCELL_DN.html</t>
  </si>
  <si>
    <t>GSE17974_1.5H_VS_72H_IL4_AND_ANTI_IL12_ACT_CD4_TCELL_UP</t>
  </si>
  <si>
    <t>3575;959;1236;944;399;348378;9120;969</t>
  </si>
  <si>
    <t>IL7R;CD40LG;CCR7;TNFSF8;RHOH;SHISAL2A;SLC16A6;CD69</t>
  </si>
  <si>
    <t>http://www.broadinstitute.org/gsea/msigdb/cards/GSE17974_1.5H_VS_72H_IL4_AND_ANTI_IL12_ACT_CD4_TCELL_UP.html</t>
  </si>
  <si>
    <t>GSE18791_CTRL_VS_NEWCASTLE_VIRUS_DC_2H_UP</t>
  </si>
  <si>
    <t>92241;474344;170575;55340;53829;50615;168537;26157</t>
  </si>
  <si>
    <t>RCSD1;GIMAP6;GIMAP1;GIMAP5;P2RY13;IL21R;GIMAP7;GIMAP2</t>
  </si>
  <si>
    <t>http://www.broadinstitute.org/gsea/msigdb/cards/GSE18791_CTRL_VS_NEWCASTLE_VIRUS_DC_2H_UP.html</t>
  </si>
  <si>
    <t>GSE18791_CTRL_VS_NEWCASTLE_VIRUS_DC_2H_DN</t>
  </si>
  <si>
    <t>3627;3659;5734;116986;197135;5376;7185;84541</t>
  </si>
  <si>
    <t>CXCL10;IRF1;PTGER4;AGAP2;PATL2;PMP22;TRAF1;KBTBD8</t>
  </si>
  <si>
    <t>http://www.broadinstitute.org/gsea/msigdb/cards/GSE18791_CTRL_VS_NEWCASTLE_VIRUS_DC_2H_DN.html</t>
  </si>
  <si>
    <t>GSE18791_CTRL_VS_NEWCASTLE_VIRUS_DC_4H_UP</t>
  </si>
  <si>
    <t>2313;286336;92241;170575;53829;50615;4033;9815</t>
  </si>
  <si>
    <t>FLI1;FAM78A;RCSD1;GIMAP1;P2RY13;IL21R;LRMP;GIT2</t>
  </si>
  <si>
    <t>http://www.broadinstitute.org/gsea/msigdb/cards/GSE18791_CTRL_VS_NEWCASTLE_VIRUS_DC_4H_UP.html</t>
  </si>
  <si>
    <t>GSE18791_CTRL_VS_NEWCASTLE_VIRUS_DC_12H_UP</t>
  </si>
  <si>
    <t>3603;286336;170371;53829;53346;50615;51393;23166</t>
  </si>
  <si>
    <t>IL16;FAM78A;TMEM273;P2RY13;TM6SF1;IL21R;TRPV2;STAB1</t>
  </si>
  <si>
    <t>http://www.broadinstitute.org/gsea/msigdb/cards/GSE18791_CTRL_VS_NEWCASTLE_VIRUS_DC_12H_UP.html</t>
  </si>
  <si>
    <t>GSE19825_NAIVE_VS_DAY3_EFF_CD8_TCELL_DN</t>
  </si>
  <si>
    <t>962;3001;10154;1508;3956;10437;54331;64780</t>
  </si>
  <si>
    <t>CD48;GZMA;PLXNC1;CTSB;LGALS1;IFI30;GNG2;MICAL1</t>
  </si>
  <si>
    <t>http://www.broadinstitute.org/gsea/msigdb/cards/GSE19825_NAIVE_VS_DAY3_EFF_CD8_TCELL_DN.html</t>
  </si>
  <si>
    <t>GSE20366_EX_VIVO_VS_DEC205_CONVERSION_NAIVE_CD4_TCELL_DN</t>
  </si>
  <si>
    <t>9214;117289;11326;55704;118788;10235;80821;55013</t>
  </si>
  <si>
    <t>FCMR;TAGAP;VSIG4;CCDC88A;PIK3AP1;RASGRP2;DDHD1;MCUB</t>
  </si>
  <si>
    <t>http://www.broadinstitute.org/gsea/msigdb/cards/GSE20366_EX_VIVO_VS_DEC205_CONVERSION_NAIVE_CD4_TCELL_DN.html</t>
  </si>
  <si>
    <t>GSE20366_CD103_POS_VS_CD103_KLRG1_DP_TREG_UP</t>
  </si>
  <si>
    <t>340152;10225;89857;64231;10154;4049;6402;54861</t>
  </si>
  <si>
    <t>ZC3H12D;CD96;KLHL6;MS4A6A;PLXNC1;LTA;SELL;SNRK</t>
  </si>
  <si>
    <t>http://www.broadinstitute.org/gsea/msigdb/cards/GSE20366_CD103_POS_VS_CD103_KLRG1_DP_TREG_UP.html</t>
  </si>
  <si>
    <t>GSE20715_WT_VS_TLR4_KO_24H_OZONE_LUNG_DN</t>
  </si>
  <si>
    <t>9404;712;6890;51393;348;1230;7185;57514</t>
  </si>
  <si>
    <t>LPXN;C1QA;TAP1;TRPV2;APOE;CCR1;TRAF1;ARHGAP31</t>
  </si>
  <si>
    <t>http://www.broadinstitute.org/gsea/msigdb/cards/GSE20715_WT_VS_TLR4_KO_24H_OZONE_LUNG_DN.html</t>
  </si>
  <si>
    <t>GSE22045_TREG_VS_TCONV_UP</t>
  </si>
  <si>
    <t>942;91752;4094;6753;2833;1235;8809;50943</t>
  </si>
  <si>
    <t>CD86;ZNF804A;MAF;SSTR3;CXCR3;CCR6;IL18R1;FOXP3</t>
  </si>
  <si>
    <t>http://www.broadinstitute.org/gsea/msigdb/cards/GSE22045_TREG_VS_TCONV_UP.html</t>
  </si>
  <si>
    <t>GSE22886_NAIVE_BCELL_VS_BM_PLASMA_CELL_DN</t>
  </si>
  <si>
    <t>929;4245;64092;27033;2848;3956;5552;57823</t>
  </si>
  <si>
    <t>CD14;MGAT1;SAMSN1;ZBTB32;GPR25;LGALS1;SRGN;SLAMF7</t>
  </si>
  <si>
    <t>http://www.broadinstitute.org/gsea/msigdb/cards/GSE22886_NAIVE_BCELL_VS_BM_PLASMA_CELL_DN.html</t>
  </si>
  <si>
    <t>GSE22886_IGM_MEMORY_BCELL_VS_BM_PLASMA_CELL_DN</t>
  </si>
  <si>
    <t>4245;51056;199;79930;54209;11314;27180;1102</t>
  </si>
  <si>
    <t>MGAT1;LAP3;AIF1;DOK3;TREM2;CD300A;SIGLEC9;RCBTB2</t>
  </si>
  <si>
    <t>http://www.broadinstitute.org/gsea/msigdb/cards/GSE22886_IGM_MEMORY_BCELL_VS_BM_PLASMA_CELL_DN.html</t>
  </si>
  <si>
    <t>4354;53346;348;54;3108;55704;25780;51063</t>
  </si>
  <si>
    <t>MPP1;TM6SF1;APOE;ACP5;HLA-DMA;CCDC88A;RASGRP3;CALHM2</t>
  </si>
  <si>
    <t>http://www.broadinstitute.org/gsea/msigdb/cards/GSE22886_DAY1_VS_DAY7_MONOCYTE_IN_CULTURE_DN.html</t>
  </si>
  <si>
    <t>1236;80342;924;1043;9806;55619;51466;25939</t>
  </si>
  <si>
    <t>CCR7;TRAF3IP3;CD7;CD52;SPOCK2;DOCK10;EVL;SAMHD1</t>
  </si>
  <si>
    <t>http://www.broadinstitute.org/gsea/msigdb/cards/GSE22886_NAIVE_TCELL_VS_NEUTROPHIL_UP.html</t>
  </si>
  <si>
    <t>GSE22886_TH1_VS_TH2_12H_ACT_DN</t>
  </si>
  <si>
    <t>3627;3001;8514;23048;27180;3717;814;22806</t>
  </si>
  <si>
    <t>CXCL10;GZMA;KCNAB2;FNBP1;SIGLEC9;JAK2;CAMK4;IKZF3</t>
  </si>
  <si>
    <t>http://www.broadinstitute.org/gsea/msigdb/cards/GSE22886_TH1_VS_TH2_12H_ACT_DN.html</t>
  </si>
  <si>
    <t>GSE24102_GRANULOCYSTIC_MDSC_VS_NEUTROPHIL_UP</t>
  </si>
  <si>
    <t>9535;2313;53346;8832;241;11010;27314;56606</t>
  </si>
  <si>
    <t>GMFG;FLI1;TM6SF1;CD84;ALOX5AP;GLIPR1;RAB30;SLC2A9</t>
  </si>
  <si>
    <t>http://www.broadinstitute.org/gsea/msigdb/cards/GSE24102_GRANULOCYSTIC_MDSC_VS_NEUTROPHIL_UP.html</t>
  </si>
  <si>
    <t>GSE24634_NAIVE_CD4_TCELL_VS_DAY7_IL4_CONV_TREG_UP</t>
  </si>
  <si>
    <t>944;5734;23228;9120;79630;79690;64919;25939</t>
  </si>
  <si>
    <t>TNFSF8;PTGER4;PLCL2;SLC16A6;C1orf54;GAL3ST4;BCL11B;SAMHD1</t>
  </si>
  <si>
    <t>http://www.broadinstitute.org/gsea/msigdb/cards/GSE24634_NAIVE_CD4_TCELL_VS_DAY7_IL4_CONV_TREG_UP.html</t>
  </si>
  <si>
    <t>GSE25087_FETAL_VS_ADULT_TREG_UP</t>
  </si>
  <si>
    <t>1536;6772;199;64092;3553;54331;4050;59345</t>
  </si>
  <si>
    <t>CYBB;STAT1;AIF1;SAMSN1;IL1B;GNG2;LTB;GNB4</t>
  </si>
  <si>
    <t>http://www.broadinstitute.org/gsea/msigdb/cards/GSE25087_FETAL_VS_ADULT_TREG_UP.html</t>
  </si>
  <si>
    <t>GSE25087_FETAL_VS_ADULT_TCONV_UP</t>
  </si>
  <si>
    <t>3561;6772;3594;719;10019;9034;4049;1508</t>
  </si>
  <si>
    <t>IL2RG;STAT1;IL12RB1;C3AR1;SH2B3;CCRL2;LTA;CTSB</t>
  </si>
  <si>
    <t>http://www.broadinstitute.org/gsea/msigdb/cards/GSE25087_FETAL_VS_ADULT_TCONV_UP.html</t>
  </si>
  <si>
    <t>GSE26928_NAIVE_VS_CENT_MEMORY_CD4_TCELL_DN</t>
  </si>
  <si>
    <t>3560;83706;8477;3635;3956;240;3113;54331</t>
  </si>
  <si>
    <t>IL2RB;FERMT3;GPR65;INPP5D;LGALS1;ALOX5;HLA-DPA1;GNG2</t>
  </si>
  <si>
    <t>http://www.broadinstitute.org/gsea/msigdb/cards/GSE26928_NAIVE_VS_CENT_MEMORY_CD4_TCELL_DN.html</t>
  </si>
  <si>
    <t>GSE26928_NAIVE_VS_CXCR5_POS_CD4_TCELL_DN</t>
  </si>
  <si>
    <t>3627;5579;7634;149628;83706;255231;150771;84541</t>
  </si>
  <si>
    <t>CXCL10;PRKCB;ZNF80;PYHIN1;FERMT3;MCOLN2;ITPRIPL1;KBTBD8</t>
  </si>
  <si>
    <t>http://www.broadinstitute.org/gsea/msigdb/cards/GSE26928_NAIVE_VS_CXCR5_POS_CD4_TCELL_DN.html</t>
  </si>
  <si>
    <t>GSE2706_LPS_VS_R848_AND_LPS_8H_STIM_DC_DN</t>
  </si>
  <si>
    <t>3458;915;3394;11326;7099;6518;116442;81553</t>
  </si>
  <si>
    <t>IFNG;CD3D;IRF8;VSIG4;TLR4;SLC2A5;RAB39B;FAM49A</t>
  </si>
  <si>
    <t>http://www.broadinstitute.org/gsea/msigdb/cards/GSE2706_LPS_VS_R848_AND_LPS_8H_STIM_DC_DN.html</t>
  </si>
  <si>
    <t>GSE27786_LSK_VS_ERYTHROBLAST_DN</t>
  </si>
  <si>
    <t>114836;59067;9120;4049;1621;3604;79690;84034</t>
  </si>
  <si>
    <t>SLAMF6;IL21;SLC16A6;LTA;DBH;TNFRSF9;GAL3ST4;EMILIN2</t>
  </si>
  <si>
    <t>http://www.broadinstitute.org/gsea/msigdb/cards/GSE27786_LSK_VS_ERYTHROBLAST_DN.html</t>
  </si>
  <si>
    <t>GSE27786_LSK_VS_MONO_MAC_DN</t>
  </si>
  <si>
    <t>340152;5788;5294;3702;2672;27299;6793;7454</t>
  </si>
  <si>
    <t>ZC3H12D;PTPRC;PIK3CG;ITK;GFI1;ADAMDEC1;STK10;WAS</t>
  </si>
  <si>
    <t>http://www.broadinstitute.org/gsea/msigdb/cards/GSE27786_LSK_VS_MONO_MAC_DN.html</t>
  </si>
  <si>
    <t>GSE27786_BCELL_VS_NKTCELL_DN</t>
  </si>
  <si>
    <t>9535;374403;8477;139716;53346;3717;80709;131450</t>
  </si>
  <si>
    <t>GMFG;TBC1D10C;GPR65;GAB3;TM6SF1;JAK2;AKNA;CD200R1</t>
  </si>
  <si>
    <t>http://www.broadinstitute.org/gsea/msigdb/cards/GSE27786_BCELL_VS_NKTCELL_DN.html</t>
  </si>
  <si>
    <t>GSE27786_CD4_TCELL_VS_NKCELL_UP</t>
  </si>
  <si>
    <t>919;9744;474344;11184;10870;80342;6891;57514</t>
  </si>
  <si>
    <t>CD247;ACAP1;GIMAP6;MAP4K1;HCST;TRAF3IP3;TAP2;ARHGAP31</t>
  </si>
  <si>
    <t>http://www.broadinstitute.org/gsea/msigdb/cards/GSE27786_CD4_TCELL_VS_NKCELL_UP.html</t>
  </si>
  <si>
    <t>GSE27786_CD4_TCELL_VS_MONO_MAC_UP</t>
  </si>
  <si>
    <t>9046;3659;3594;6890;50615;57105;56253;91526</t>
  </si>
  <si>
    <t>DOK2;IRF1;IL12RB1;TAP1;IL21R;CYSLTR2;CRTAM;ANKRD44</t>
  </si>
  <si>
    <t>http://www.broadinstitute.org/gsea/msigdb/cards/GSE27786_CD4_TCELL_VS_MONO_MAC_UP.html</t>
  </si>
  <si>
    <t>GSE27786_CD4_TCELL_VS_MONO_MAC_DN</t>
  </si>
  <si>
    <t>712;3689;4354;7099;8905;4208;89846;116071</t>
  </si>
  <si>
    <t>C1QA;ITGB2;MPP1;TLR4;AP1S2;MEF2C;FGD3;BATF2</t>
  </si>
  <si>
    <t>http://www.broadinstitute.org/gsea/msigdb/cards/GSE27786_CD4_TCELL_VS_MONO_MAC_DN.html</t>
  </si>
  <si>
    <t>GSE27786_CD8_TCELL_VS_NKCELL_UP</t>
  </si>
  <si>
    <t>8514;474344;283897;221188;80342;54;5133;6614</t>
  </si>
  <si>
    <t>KCNAB2;GIMAP6;C16orf54;ADGRG5;TRAF3IP3;ACP5;PDCD1;SIGLEC1</t>
  </si>
  <si>
    <t>http://www.broadinstitute.org/gsea/msigdb/cards/GSE27786_CD8_TCELL_VS_NKCELL_UP.html</t>
  </si>
  <si>
    <t>GSE27786_CD8_TCELL_VS_MONO_MAC_DN</t>
  </si>
  <si>
    <t>10068;4354;3903;4094;10184;10462;116071;9806</t>
  </si>
  <si>
    <t>IL18BP;MPP1;LAIR1;MAF;LHFPL2;CLEC10A;BATF2;SPOCK2</t>
  </si>
  <si>
    <t>http://www.broadinstitute.org/gsea/msigdb/cards/GSE27786_CD8_TCELL_VS_MONO_MAC_DN.html</t>
  </si>
  <si>
    <t>GSE27786_NKCELL_VS_NEUTROPHIL_UP</t>
  </si>
  <si>
    <t>917;3702;1240;6793;1102;3718;27163;80821</t>
  </si>
  <si>
    <t>CD3G;ITK;CMKLR1;STK10;RCBTB2;JAK3;NAAA;DDHD1</t>
  </si>
  <si>
    <t>http://www.broadinstitute.org/gsea/msigdb/cards/GSE27786_NKCELL_VS_NEUTROPHIL_UP.html</t>
  </si>
  <si>
    <t>GSE27786_NKCELL_VS_NEUTROPHIL_DN</t>
  </si>
  <si>
    <t>3055;6688;2014;257106;89790;2811;2529;27240</t>
  </si>
  <si>
    <t>HCK;SPI1;EMP3;ARHGAP30;SIGLEC10;GP1BA;FUT7;SIT1</t>
  </si>
  <si>
    <t>http://www.broadinstitute.org/gsea/msigdb/cards/GSE27786_NKCELL_VS_NEUTROPHIL_DN.html</t>
  </si>
  <si>
    <t>GSE27786_NKTCELL_VS_ERYTHROBLAST_UP</t>
  </si>
  <si>
    <t>3687;387357;80342;79865;4215;64747;51063;11217</t>
  </si>
  <si>
    <t>ITGAX;THEMIS;TRAF3IP3;TREML2;MAP3K3;MFSD1;CALHM2;AKAP2</t>
  </si>
  <si>
    <t>http://www.broadinstitute.org/gsea/msigdb/cards/GSE27786_NKTCELL_VS_ERYTHROBLAST_UP.html</t>
  </si>
  <si>
    <t>GSE27786_NKTCELL_VS_NEUTROPHIL_DN</t>
  </si>
  <si>
    <t>53829;9120;366;3059;11010;27163;10235;4215</t>
  </si>
  <si>
    <t>P2RY13;SLC16A6;AQP9;HCLS1;GLIPR1;NAAA;RASGRP2;MAP3K3</t>
  </si>
  <si>
    <t>http://www.broadinstitute.org/gsea/msigdb/cards/GSE27786_NKTCELL_VS_NEUTROPHIL_DN.html</t>
  </si>
  <si>
    <t>GSE27786_NKTCELL_VS_MONO_MAC_UP</t>
  </si>
  <si>
    <t>51056;6890;7805;257106;387357;80709;91526;10077</t>
  </si>
  <si>
    <t>LAP3;TAP1;LAPTM5;ARHGAP30;THEMIS;AKNA;ANKRD44;TSPAN32</t>
  </si>
  <si>
    <t>http://www.broadinstitute.org/gsea/msigdb/cards/GSE27786_NKTCELL_VS_MONO_MAC_UP.html</t>
  </si>
  <si>
    <t>GSE28237_FOLLICULAR_VS_LATE_GC_BCELL_DN</t>
  </si>
  <si>
    <t>963;5294;4354;8514;84166;387357;3002;50515</t>
  </si>
  <si>
    <t>CD53;PIK3CG;MPP1;KCNAB2;NLRC5;THEMIS;GZMB;CHST11</t>
  </si>
  <si>
    <t>http://www.broadinstitute.org/gsea/msigdb/cards/GSE28237_FOLLICULAR_VS_LATE_GC_BCELL_DN.html</t>
  </si>
  <si>
    <t>GSE2826_WT_VS_XID_BCELL_DN</t>
  </si>
  <si>
    <t>962;199;10871;5800;27299;54;6518;7941</t>
  </si>
  <si>
    <t>CD48;AIF1;CD300C;PTPRO;ADAMDEC1;ACP5;SLC2A5;PLA2G7</t>
  </si>
  <si>
    <t>http://www.broadinstitute.org/gsea/msigdb/cards/GSE2826_WT_VS_XID_BCELL_DN.html</t>
  </si>
  <si>
    <t>GSE29614_DAY3_VS_DAY7_TIV_FLU_VACCINE_PBMC_DN</t>
  </si>
  <si>
    <t>11262;4064;27033;6518;2833;27314;25780;57823</t>
  </si>
  <si>
    <t>SP140;CD180;ZBTB32;SLC2A5;CXCR3;RAB30;RASGRP3;SLAMF7</t>
  </si>
  <si>
    <t>http://www.broadinstitute.org/gsea/msigdb/cards/GSE29614_DAY3_VS_DAY7_TIV_FLU_VACCINE_PBMC_DN.html</t>
  </si>
  <si>
    <t>GSE29618_PRE_VS_DAY7_FLU_VACCINE_PDC_DN</t>
  </si>
  <si>
    <t>1536;55589;51393;8564;10154;4261;55911;26279</t>
  </si>
  <si>
    <t>CYBB;BMP2K;TRPV2;KMO;PLXNC1;CIITA;APOBR;PLA2G2D</t>
  </si>
  <si>
    <t>http://www.broadinstitute.org/gsea/msigdb/cards/GSE29618_PRE_VS_DAY7_FLU_VACCINE_PDC_DN.html</t>
  </si>
  <si>
    <t>GSE29618_PRE_VS_DAY7_POST_LAIV_FLU_VACCINE_MONOCYTE_UP</t>
  </si>
  <si>
    <t>7305;6036;5778;2014;11006;80301;10019;3111</t>
  </si>
  <si>
    <t>TYROBP;RNASE2;PTPN7;EMP3;LILRB4;PLEKHO2;SH2B3;HLA-DOA</t>
  </si>
  <si>
    <t>http://www.broadinstitute.org/gsea/msigdb/cards/GSE29618_PRE_VS_DAY7_POST_LAIV_FLU_VACCINE_MONOCYTE_UP.html</t>
  </si>
  <si>
    <t>GSE29618_PRE_VS_DAY7_POST_LAIV_FLU_VACCINE_MONOCYTE_DN</t>
  </si>
  <si>
    <t>6351;695;526;4261;25900;6503;7462;64747</t>
  </si>
  <si>
    <t>CCL4;BTK;ATP6V1B2;CIITA;IFFO1;SLA;LAT2;MFSD1</t>
  </si>
  <si>
    <t>http://www.broadinstitute.org/gsea/msigdb/cards/GSE29618_PRE_VS_DAY7_POST_LAIV_FLU_VACCINE_MONOCYTE_DN.html</t>
  </si>
  <si>
    <t>5788;962;3676;3587;10578;4261;64747;30817</t>
  </si>
  <si>
    <t>PTPRC;CD48;ITGA4;IL10RA;GNLY;CIITA;MFSD1;ADGRE2</t>
  </si>
  <si>
    <t>http://www.broadinstitute.org/gsea/msigdb/cards/GSE29618_LAIV_VS_TIV_FLU_VACCINE_DAY7_MONOCYTE_UP.html</t>
  </si>
  <si>
    <t>3676;80380;3717;10990;1508;10184;55281;10004</t>
  </si>
  <si>
    <t>ITGA4;PDCD1LG2;JAK2;LILRB5;CTSB;LHFPL2;TMEM140;NAALADL1</t>
  </si>
  <si>
    <t>GSE29618_LAIV_VS_TIV_FLU_VACCINE_DAY7_MDC_DN</t>
  </si>
  <si>
    <t>3458;719;80380;2999;3988;8905;64747;8605</t>
  </si>
  <si>
    <t>IFNG;C3AR1;PDCD1LG2;GZMH;LIPA;AP1S2;MFSD1;PLA2G4C</t>
  </si>
  <si>
    <t>http://www.broadinstitute.org/gsea/msigdb/cards/GSE29618_LAIV_VS_TIV_FLU_VACCINE_DAY7_MDC_DN.html</t>
  </si>
  <si>
    <t>GSE30083_SP2_VS_SP4_THYMOCYTE_UP</t>
  </si>
  <si>
    <t>923;126014;366;2162;3122;6037;3604;51676</t>
  </si>
  <si>
    <t>CD6;OSCAR;AQP9;F13A1;HLA-DRA;RNASE3;TNFRSF9;ASB2</t>
  </si>
  <si>
    <t>http://www.broadinstitute.org/gsea/msigdb/cards/GSE30083_SP2_VS_SP4_THYMOCYTE_UP.html</t>
  </si>
  <si>
    <t>GSE30962_PRIMARY_VS_SECONDARY_ACUTE_LCMV_INF_CD8_TCELL_UP</t>
  </si>
  <si>
    <t>7535;151888;29851;1102;8320;3111;7454;3604</t>
  </si>
  <si>
    <t>ZAP70;BTLA;ICOS;RCBTB2;EOMES;HLA-DOA;WAS;TNFRSF9</t>
  </si>
  <si>
    <t>http://www.broadinstitute.org/gsea/msigdb/cards/GSE30962_PRIMARY_VS_SECONDARY_ACUTE_LCMV_INF_CD8_TCELL_UP.html</t>
  </si>
  <si>
    <t>GSE30962_PRIMARY_VS_SECONDARY_ACUTE_LCMV_INF_CD8_TCELL_DN</t>
  </si>
  <si>
    <t>6352;221188;170575;366;2213;9938;81553;50515</t>
  </si>
  <si>
    <t>CCL5;ADGRG5;GIMAP1;AQP9;FCGR2B;ARHGAP25;FAM49A;CHST11</t>
  </si>
  <si>
    <t>http://www.broadinstitute.org/gsea/msigdb/cards/GSE30962_PRIMARY_VS_SECONDARY_ACUTE_LCMV_INF_CD8_TCELL_DN.html</t>
  </si>
  <si>
    <t>GSE30962_PRIMARY_VS_SECONDARY_CHRONIC_LCMV_INF_CD8_TCELL_UP</t>
  </si>
  <si>
    <t>3627;1236;92241;114836;56253;3111;2833;5027</t>
  </si>
  <si>
    <t>CXCL10;CCR7;RCSD1;SLAMF6;CRTAM;HLA-DOA;CXCR3;P2RX7</t>
  </si>
  <si>
    <t>http://www.broadinstitute.org/gsea/msigdb/cards/GSE30962_PRIMARY_VS_SECONDARY_CHRONIC_LCMV_INF_CD8_TCELL_UP.html</t>
  </si>
  <si>
    <t>GSE32423_CTRL_VS_IL7_IL4_MEMORY_CD8_TCELL_DN</t>
  </si>
  <si>
    <t>10068;6890;91752;81030;29992;4049;3109;10507</t>
  </si>
  <si>
    <t>IL18BP;TAP1;ZNF804A;ZBP1;PILRA;LTA;HLA-DMB;SEMA4D</t>
  </si>
  <si>
    <t>http://www.broadinstitute.org/gsea/msigdb/cards/GSE32423_CTRL_VS_IL7_IL4_MEMORY_CD8_TCELL_DN.html</t>
  </si>
  <si>
    <t>GSE32423_IL7_VS_IL4_MEMORY_CD8_TCELL_DN</t>
  </si>
  <si>
    <t>2533;3662;1240;3117;3936;3718;55281;22806</t>
  </si>
  <si>
    <t>FYB1;IRF4;CMKLR1;HLA-DQA1;LCP1;JAK3;TMEM140;IKZF3</t>
  </si>
  <si>
    <t>http://www.broadinstitute.org/gsea/msigdb/cards/GSE32423_IL7_VS_IL4_MEMORY_CD8_TCELL_DN.html</t>
  </si>
  <si>
    <t>GSE34205_HEALTHY_VS_RSV_INF_INFANT_PBMC_DN</t>
  </si>
  <si>
    <t>6036;4354;4689;120939;2210;3956;6037;53831</t>
  </si>
  <si>
    <t>RNASE2;MPP1;NCF4;TMEM52B;FCGR1B;LGALS1;RNASE3;GPR84</t>
  </si>
  <si>
    <t>http://www.broadinstitute.org/gsea/msigdb/cards/GSE34205_HEALTHY_VS_RSV_INF_INFANT_PBMC_DN.html</t>
  </si>
  <si>
    <t>GSE360_CTRL_VS_B_MALAYI_LOW_DOSE_MAC_UP</t>
  </si>
  <si>
    <t>4542;9214;11262;3603;719;5552;6693;3604</t>
  </si>
  <si>
    <t>MYO1F;FCMR;SP140;IL16;C3AR1;SRGN;SPN;TNFRSF9</t>
  </si>
  <si>
    <t>http://www.broadinstitute.org/gsea/msigdb/cards/GSE360_CTRL_VS_B_MALAYI_LOW_DOSE_MAC_UP.html</t>
  </si>
  <si>
    <t>GSE360_DC_VS_MAC_L_MAJOR_DN</t>
  </si>
  <si>
    <t>2214;3937;80301;1240;56253;7454;8809;10184</t>
  </si>
  <si>
    <t>FCGR3A;LCP2;PLEKHO2;CMKLR1;CRTAM;WAS;IL18R1;LHFPL2</t>
  </si>
  <si>
    <t>http://www.broadinstitute.org/gsea/msigdb/cards/GSE360_DC_VS_MAC_L_MAJOR_DN.html</t>
  </si>
  <si>
    <t>4242;54440;5778;9459;3635;3684;5724;22900</t>
  </si>
  <si>
    <t>MFNG;SASH3;PTPN7;ARHGEF6;INPP5D;ITGAM;PTAFR;CARD8</t>
  </si>
  <si>
    <t>http://www.broadinstitute.org/gsea/msigdb/cards/GSE360_DC_VS_MAC_B_MALAYI_LOW_DOSE_UP.html</t>
  </si>
  <si>
    <t>GSE360_L_DONOVANI_VS_L_MAJOR_DC_DN</t>
  </si>
  <si>
    <t>11326;6373;10154;921;596;3586;3290;597</t>
  </si>
  <si>
    <t>VSIG4;CXCL11;PLXNC1;CD5;BCL2;IL10;HSD11B1;BCL2A1</t>
  </si>
  <si>
    <t>http://www.broadinstitute.org/gsea/msigdb/cards/GSE360_L_DONOVANI_VS_L_MAJOR_DC_DN.html</t>
  </si>
  <si>
    <t>GSE360_L_DONOVANI_VS_M_TUBERCULOSIS_DC_UP</t>
  </si>
  <si>
    <t>4542;4245;3662;3115;5452;54;5816;9363</t>
  </si>
  <si>
    <t>MYO1F;MGAT1;IRF4;HLA-DPB1;POU2F2;ACP5;PVALB;RAB33A</t>
  </si>
  <si>
    <t>http://www.broadinstitute.org/gsea/msigdb/cards/GSE360_L_DONOVANI_VS_M_TUBERCULOSIS_DC_UP.html</t>
  </si>
  <si>
    <t>GSE360_L_MAJOR_VS_B_MALAYI_HIGH_DOSE_DC_DN</t>
  </si>
  <si>
    <t>11309;951;6039;4094;1102;1601;5133;54504</t>
  </si>
  <si>
    <t>SLCO2B1;CD37;RNASE6;MAF;RCBTB2;DAB2;PDCD1;CPVL</t>
  </si>
  <si>
    <t>http://www.broadinstitute.org/gsea/msigdb/cards/GSE360_L_MAJOR_VS_B_MALAYI_HIGH_DOSE_DC_DN.html</t>
  </si>
  <si>
    <t>348;3115;6753;9938;4208;9363;10457;10507</t>
  </si>
  <si>
    <t>APOE;HLA-DPB1;SSTR3;ARHGAP25;MEF2C;RAB33A;GPNMB;SEMA4D</t>
  </si>
  <si>
    <t>http://www.broadinstitute.org/gsea/msigdb/cards/GSE360_L_MAJOR_VS_M_TUBERCULOSIS_DC_UP.html</t>
  </si>
  <si>
    <t>GSE360_HIGH_VS_LOW_DOSE_B_MALAYI_DC_DN</t>
  </si>
  <si>
    <t>6688;5294;695;10871;11326;2359;4033;6503</t>
  </si>
  <si>
    <t>SPI1;PIK3CG;BTK;CD300C;VSIG4;FPR3;LRMP;SLA</t>
  </si>
  <si>
    <t>http://www.broadinstitute.org/gsea/msigdb/cards/GSE360_HIGH_VS_LOW_DOSE_B_MALAYI_DC_DN.html</t>
  </si>
  <si>
    <t>GSE360_L_DONOVANI_VS_L_MAJOR_MAC_DN</t>
  </si>
  <si>
    <t>1236;6504;5800;3553;3112;7185;7941;81553</t>
  </si>
  <si>
    <t>CCR7;SLAMF1;PTPRO;IL1B;HLA-DOB;TRAF1;PLA2G7;FAM49A</t>
  </si>
  <si>
    <t>http://www.broadinstitute.org/gsea/msigdb/cards/GSE360_L_DONOVANI_VS_L_MAJOR_MAC_DN.html</t>
  </si>
  <si>
    <t>GSE360_T_GONDII_VS_B_MALAYI_HIGH_DOSE_MAC_UP</t>
  </si>
  <si>
    <t>3575;1236;7535;6373;366;5552;11010;3604</t>
  </si>
  <si>
    <t>IL7R;CCR7;ZAP70;CXCL11;AQP9;SRGN;GLIPR1;TNFRSF9</t>
  </si>
  <si>
    <t>http://www.broadinstitute.org/gsea/msigdb/cards/GSE360_T_GONDII_VS_B_MALAYI_HIGH_DOSE_MAC_UP.html</t>
  </si>
  <si>
    <t>GSE360_T_GONDII_VS_B_MALAYI_LOW_DOSE_MAC_UP</t>
  </si>
  <si>
    <t>2214;9332;5552;3936;11010;3604;6503;9363</t>
  </si>
  <si>
    <t>FCGR3A;CD163;SRGN;LCP1;GLIPR1;TNFRSF9;SLA;RAB33A</t>
  </si>
  <si>
    <t>http://www.broadinstitute.org/gsea/msigdb/cards/GSE360_T_GONDII_VS_B_MALAYI_LOW_DOSE_MAC_UP.html</t>
  </si>
  <si>
    <t>GSE36476_YOUNG_VS_OLD_DONOR_MEMORY_CD4_TCELL_40H_TSST_ACT_UP</t>
  </si>
  <si>
    <t>925;1536;3687;695;3718;140885;25890;56606</t>
  </si>
  <si>
    <t>CD8A;CYBB;ITGAX;BTK;JAK3;SIRPA;ABI3BP;SLC2A9</t>
  </si>
  <si>
    <t>http://www.broadinstitute.org/gsea/msigdb/cards/GSE36476_YOUNG_VS_OLD_DONOR_MEMORY_CD4_TCELL_40H_TSST_ACT_UP.html</t>
  </si>
  <si>
    <t>GSE37416_CTRL_VS_12H_F_TULARENSIS_LVS_NEUTROPHIL_DN</t>
  </si>
  <si>
    <t>10068;7133;124460;259307;943;9363;597;51762</t>
  </si>
  <si>
    <t>IL18BP;TNFRSF1B;SNX20;IL4I1;TNFRSF8;RAB33A;BCL2A1;RAB8B</t>
  </si>
  <si>
    <t>http://www.broadinstitute.org/gsea/msigdb/cards/GSE37416_CTRL_VS_12H_F_TULARENSIS_LVS_NEUTROPHIL_DN.html</t>
  </si>
  <si>
    <t>9046;10068;1234;158830;2213;7941;56670;51466</t>
  </si>
  <si>
    <t>DOK2;IL18BP;CCR5;CXorf65;FCGR2B;PLA2G7;SUCNR1;EVL</t>
  </si>
  <si>
    <t>http://www.broadinstitute.org/gsea/msigdb/cards/GSE37416_12H_VS_48H_F_TULARENSIS_LVS_NEUTROPHIL_DN.html</t>
  </si>
  <si>
    <t>9840;917;2207;2313;474344;54209;3824;7462</t>
  </si>
  <si>
    <t>TESPA1;CD3G;FCER1G;FLI1;GIMAP6;TREM2;KLRD1;LAT2</t>
  </si>
  <si>
    <t>http://www.broadinstitute.org/gsea/msigdb/cards/GSE3982_EOSINOPHIL_VS_BASOPHIL_DN.html</t>
  </si>
  <si>
    <t>27334;259197;3702;10666;55589;4066;9938;79895</t>
  </si>
  <si>
    <t>P2RY10;NCR3;ITK;CD226;BMP2K;LYL1;ARHGAP25;ATP8B4</t>
  </si>
  <si>
    <t>http://www.broadinstitute.org/gsea/msigdb/cards/GSE3982_MAST_CELL_VS_MAC_UP.html</t>
  </si>
  <si>
    <t>9214;971;81030;80342;3115;3112;9938;9815</t>
  </si>
  <si>
    <t>FCMR;CD72;ZBP1;TRAF3IP3;HLA-DPB1;HLA-DOB;ARHGAP25;GIT2</t>
  </si>
  <si>
    <t>http://www.broadinstitute.org/gsea/msigdb/cards/GSE3982_MAC_VS_BCELL_DN.html</t>
  </si>
  <si>
    <t>GSE3982_MAC_VS_BASOPHIL_UP</t>
  </si>
  <si>
    <t>9839;7133;2123;9056;2219;4973;23166;4644</t>
  </si>
  <si>
    <t>ZEB2;TNFRSF1B;EVI2A;SLC7A7;FCN1;OLR1;STAB1;MYO5A</t>
  </si>
  <si>
    <t>http://www.broadinstitute.org/gsea/msigdb/cards/GSE3982_MAC_VS_BASOPHIL_UP.html</t>
  </si>
  <si>
    <t>GSE3982_MAC_VS_EFF_MEMORY_CD4_TCELL_DN</t>
  </si>
  <si>
    <t>10663;3458;1493;959;11262;3662;6373;3004</t>
  </si>
  <si>
    <t>CXCR6;IFNG;CTLA4;CD40LG;SP140;IRF4;CXCL11;GZMM</t>
  </si>
  <si>
    <t>http://www.broadinstitute.org/gsea/msigdb/cards/GSE3982_MAC_VS_EFF_MEMORY_CD4_TCELL_DN.html</t>
  </si>
  <si>
    <t>3932;971;942;3662;54;3108;3109;90634</t>
  </si>
  <si>
    <t>LCK;CD72;CD86;IRF4;ACP5;HLA-DMA;HLA-DMB;N4BP2L1</t>
  </si>
  <si>
    <t>http://www.broadinstitute.org/gsea/msigdb/cards/GSE3982_NEUTROPHIL_VS_BCELL_DN.html</t>
  </si>
  <si>
    <t>GSE3982_NEUTROPHIL_VS_BASOPHIL_UP</t>
  </si>
  <si>
    <t>2268;27128;5816;3586;4050;79865;80183;4644</t>
  </si>
  <si>
    <t>FGR;CYTH4;PVALB;IL10;LTB;TREML2;RUBCNL;MYO5A</t>
  </si>
  <si>
    <t>http://www.broadinstitute.org/gsea/msigdb/cards/GSE3982_NEUTROPHIL_VS_BASOPHIL_UP.html</t>
  </si>
  <si>
    <t>GSE3982_BASOPHIL_VS_EFF_MEMORY_CD4_TCELL_DN</t>
  </si>
  <si>
    <t>3689;3001;2123;51393;10154;3586;55013;8605</t>
  </si>
  <si>
    <t>ITGB2;GZMA;EVI2A;TRPV2;PLXNC1;IL10;MCUB;PLA2G4C</t>
  </si>
  <si>
    <t>http://www.broadinstitute.org/gsea/msigdb/cards/GSE3982_BASOPHIL_VS_EFF_MEMORY_CD4_TCELL_DN.html</t>
  </si>
  <si>
    <t>GSE3982_BASOPHIL_VS_TH2_DN</t>
  </si>
  <si>
    <t>10663;4068;3559;3932;7535;6504;29909;356</t>
  </si>
  <si>
    <t>CXCR6;SH2D1A;IL2RA;LCK;ZAP70;SLAMF1;GPR171;FASLG</t>
  </si>
  <si>
    <t>http://www.broadinstitute.org/gsea/msigdb/cards/GSE3982_BASOPHIL_VS_TH2_DN.html</t>
  </si>
  <si>
    <t>GSE3982_NKCELL_VS_TH2_DN</t>
  </si>
  <si>
    <t>10663;959;6504;55423;29851;29909;943;9363</t>
  </si>
  <si>
    <t>CXCR6;CD40LG;SLAMF1;SIRPG;ICOS;GPR171;TNFRSF8;RAB33A</t>
  </si>
  <si>
    <t>http://www.broadinstitute.org/gsea/msigdb/cards/GSE3982_NKCELL_VS_TH2_DN.html</t>
  </si>
  <si>
    <t>GSE39820_CTRL_VS_TGFBETA1_IL6_CD4_TCELL_DN</t>
  </si>
  <si>
    <t>54440;942;3594;9744;51225;27128;54;64747</t>
  </si>
  <si>
    <t>SASH3;CD86;IL12RB1;ACAP1;ABI3;CYTH4;ACP5;MFSD1</t>
  </si>
  <si>
    <t>http://www.broadinstitute.org/gsea/msigdb/cards/GSE39820_CTRL_VS_TGFBETA1_IL6_CD4_TCELL_DN.html</t>
  </si>
  <si>
    <t>GSE39820_CTRL_VS_TGFBETA3_IL6_IL23A_CD4_TCELL_DN</t>
  </si>
  <si>
    <t>9051;940;399;27128;4094;5376;814;64098</t>
  </si>
  <si>
    <t>PSTPIP1;CD28;RHOH;CYTH4;MAF;PMP22;CAMK4;PARVG</t>
  </si>
  <si>
    <t>http://www.broadinstitute.org/gsea/msigdb/cards/GSE39820_CTRL_VS_TGFBETA3_IL6_IL23A_CD4_TCELL_DN.html</t>
  </si>
  <si>
    <t>GSE6566_STRONG_VS_WEAK_DC_STIMULATED_CD4_TCELL_UP</t>
  </si>
  <si>
    <t>4210;3559;6890;27033;3717;7941;150771;30835</t>
  </si>
  <si>
    <t>MEFV;IL2RA;TAP1;ZBTB32;JAK2;PLA2G7;ITPRIPL1;CD209</t>
  </si>
  <si>
    <t>http://www.broadinstitute.org/gsea/msigdb/cards/GSE6566_STRONG_VS_WEAK_DC_STIMULATED_CD4_TCELL_UP.html</t>
  </si>
  <si>
    <t>GSE7460_CTRL_VS_TGFB_TREATED_ACT_FOXP3_HET_TCONV_UP</t>
  </si>
  <si>
    <t>940;3560;7535;10154;8530;10457;56670;84034</t>
  </si>
  <si>
    <t>CD28;IL2RB;ZAP70;PLXNC1;CST7;GPNMB;SUCNR1;EMILIN2</t>
  </si>
  <si>
    <t>http://www.broadinstitute.org/gsea/msigdb/cards/GSE7460_CTRL_VS_TGFB_TREATED_ACT_FOXP3_HET_TCONV_UP.html</t>
  </si>
  <si>
    <t>GSE7460_WT_VS_FOXP3_HET_ACT_WITH_TGFB_TCONV_DN</t>
  </si>
  <si>
    <t>3586;356;2833;597;6363;50515;55691;22806</t>
  </si>
  <si>
    <t>IL10;FASLG;CXCR3;BCL2A1;CCL19;CHST11;FRMD4A;IKZF3</t>
  </si>
  <si>
    <t>http://www.broadinstitute.org/gsea/msigdb/cards/GSE7460_WT_VS_FOXP3_HET_ACT_WITH_TGFB_TCONV_DN.html</t>
  </si>
  <si>
    <t>GSE7460_CTRL_VS_FOXP3_OVEREXPR_TCONV_1_UP</t>
  </si>
  <si>
    <t>10663;50852;80896;55589;3684;3274;9363;79895</t>
  </si>
  <si>
    <t>CXCR6;TRAT1;NPL;BMP2K;ITGAM;HRH2;RAB33A;ATP8B4</t>
  </si>
  <si>
    <t>http://www.broadinstitute.org/gsea/msigdb/cards/GSE7460_CTRL_VS_FOXP3_OVEREXPR_TCONV_1_UP.html</t>
  </si>
  <si>
    <t>GSE7852_TREG_VS_TCONV_THYMUS_DN</t>
  </si>
  <si>
    <t>2124;9744;286336;387357;256380;6039;10537;1102</t>
  </si>
  <si>
    <t>EVI2B;ACAP1;FAM78A;THEMIS;SCML4;RNASE6;UBD;RCBTB2</t>
  </si>
  <si>
    <t>http://www.broadinstitute.org/gsea/msigdb/cards/GSE7852_TREG_VS_TCONV_THYMUS_DN.html</t>
  </si>
  <si>
    <t>GSE7852_THYMUS_VS_FAT_TREG_UP</t>
  </si>
  <si>
    <t>1236;151888;387357;596;1235;441168;161145;51466</t>
  </si>
  <si>
    <t>CCR7;BTLA;THEMIS;BCL2;CCR6;CALHM6;TMEM229B;EVL</t>
  </si>
  <si>
    <t>http://www.broadinstitute.org/gsea/msigdb/cards/GSE7852_THYMUS_VS_FAT_TREG_UP.html</t>
  </si>
  <si>
    <t>GSE8384_CTRL_VS_B_ABORTUS_4H_MAC_CELL_LINE_UP</t>
  </si>
  <si>
    <t>9595;3659;2313;5800;8530;5724;4208;6503</t>
  </si>
  <si>
    <t>CYTIP;IRF1;FLI1;PTPRO;CST7;PTAFR;MEF2C;SLA</t>
  </si>
  <si>
    <t>http://www.broadinstitute.org/gsea/msigdb/cards/GSE8384_CTRL_VS_B_ABORTUS_4H_MAC_CELL_LINE_UP.html</t>
  </si>
  <si>
    <t>GSE9006_HEALTHY_VS_TYPE_1_DIABETES_PBMC_AT_DX_UP</t>
  </si>
  <si>
    <t>9450;51056;2162;8905;1601;6891;79630;5027</t>
  </si>
  <si>
    <t>LY86;LAP3;F13A1;AP1S2;DAB2;TAP2;C1orf54;P2RX7</t>
  </si>
  <si>
    <t>http://www.broadinstitute.org/gsea/msigdb/cards/GSE9006_HEALTHY_VS_TYPE_1_DIABETES_PBMC_AT_DX_UP.html</t>
  </si>
  <si>
    <t>GSE9037_CTRL_VS_LPS_1H_STIM_BMDM_UP</t>
  </si>
  <si>
    <t>54440;4354;286336;257106;53346;3956;4066;25900</t>
  </si>
  <si>
    <t>SASH3;MPP1;FAM78A;ARHGAP30;TM6SF1;LGALS1;LYL1;IFFO1</t>
  </si>
  <si>
    <t>http://www.broadinstitute.org/gsea/msigdb/cards/GSE9037_CTRL_VS_LPS_1H_STIM_BMDM_UP.html</t>
  </si>
  <si>
    <t>GSE9037_WT_VS_IRAK4_KO_LPS_4H_STIM_BMDM_UP</t>
  </si>
  <si>
    <t>972;5788;5551;6890;255231;1435;2113;441168</t>
  </si>
  <si>
    <t>CD74;PTPRC;PRF1;TAP1;MCOLN2;CSF1;ETS1;CALHM6</t>
  </si>
  <si>
    <t>http://www.broadinstitute.org/gsea/msigdb/cards/GSE9037_WT_VS_IRAK4_KO_LPS_4H_STIM_BMDM_UP.html</t>
  </si>
  <si>
    <t>GSE9650_EFFECTOR_VS_EXHAUSTED_CD8_TCELL_DN</t>
  </si>
  <si>
    <t>51744;51284;9034;8320;1435;3108;3604;9806</t>
  </si>
  <si>
    <t>CD244;TLR7;CCRL2;EOMES;CSF1;HLA-DMA;TNFRSF9;SPOCK2</t>
  </si>
  <si>
    <t>http://www.broadinstitute.org/gsea/msigdb/cards/GSE9650_EFFECTOR_VS_EXHAUSTED_CD8_TCELL_DN.html</t>
  </si>
  <si>
    <t>GSE369_IFNG_KO_VS_WT_LIVER_DN</t>
  </si>
  <si>
    <t>1236;1439;151888;51296;9120;3117;161145;84541</t>
  </si>
  <si>
    <t>CCR7;CSF2RB;BTLA;SLC15A3;SLC16A6;HLA-DQA1;TMEM229B;KBTBD8</t>
  </si>
  <si>
    <t>http://www.broadinstitute.org/gsea/msigdb/cards/GSE369_IFNG_KO_VS_WT_LIVER_DN.html</t>
  </si>
  <si>
    <t>GSE411_100MIN_VS_400MIN_IL6_STIM_MACROPHAGE_UP</t>
  </si>
  <si>
    <t>1536;9459;170575;139716;8564;3122;4208;79630</t>
  </si>
  <si>
    <t>CYBB;ARHGEF6;GIMAP1;GAB3;KMO;HLA-DRA;MEF2C;C1orf54</t>
  </si>
  <si>
    <t>http://www.broadinstitute.org/gsea/msigdb/cards/GSE411_100MIN_VS_400MIN_IL6_STIM_MACROPHAGE_UP.html</t>
  </si>
  <si>
    <t>GSE411_UNSTIM_VS_100MIN_IL6_STIM_SOCS3_KO_MACROPHAGE_UP</t>
  </si>
  <si>
    <t>9459;146722;11184;4063;55589;3123;54518;56606</t>
  </si>
  <si>
    <t>ARHGEF6;CD300LF;MAP4K1;LY9;BMP2K;HLA-DRB1;APBB1IP;SLC2A9</t>
  </si>
  <si>
    <t>http://www.broadinstitute.org/gsea/msigdb/cards/GSE411_UNSTIM_VS_100MIN_IL6_STIM_SOCS3_KO_MACROPHAGE_UP.html</t>
  </si>
  <si>
    <t>GSE411_100MIN_VS_400MIN_IL6_STIM_SOCS3_KO_MACROPHAGE_UP</t>
  </si>
  <si>
    <t>3627;4283;8514;23533;56833;5552;943;8605</t>
  </si>
  <si>
    <t>CXCL10;CXCL9;KCNAB2;PIK3R5;SLAMF8;SRGN;TNFRSF8;PLA2G4C</t>
  </si>
  <si>
    <t>http://www.broadinstitute.org/gsea/msigdb/cards/GSE411_100MIN_VS_400MIN_IL6_STIM_SOCS3_KO_MACROPHAGE_UP.html</t>
  </si>
  <si>
    <t>GSE557_WT_VS_I_AB_KO_DC_UP</t>
  </si>
  <si>
    <t>5734;1234;695;79626;79930;1794;3111;7185</t>
  </si>
  <si>
    <t>PTGER4;CCR5;BTK;TNFAIP8L2;DOK3;DOCK2;HLA-DOA;TRAF1</t>
  </si>
  <si>
    <t>http://www.broadinstitute.org/gsea/msigdb/cards/GSE557_WT_VS_I_AB_KO_DC_UP.html</t>
  </si>
  <si>
    <t>54440;6890;283897;256380;51225;4066;3902;245972</t>
  </si>
  <si>
    <t>SASH3;TAP1;C16orf54;SCML4;ABI3;LYL1;LAG3;ATP6V0D2</t>
  </si>
  <si>
    <t>http://www.broadinstitute.org/gsea/msigdb/cards/GSE2770_UNTREATED_VS_TGFB_AND_IL12_TREATED_ACT_CD4_TCELL_2H_UP.html</t>
  </si>
  <si>
    <t>GSE2770_UNTREATED_VS_TGFB_AND_IL12_TREATED_ACT_CD4_TCELL_48H_UP</t>
  </si>
  <si>
    <t>3689;5294;10871;124460;3684;161145;56606;29126</t>
  </si>
  <si>
    <t>ITGB2;PIK3CG;CD300C;SNX20;ITGAM;TMEM229B;SLC2A9;CD274</t>
  </si>
  <si>
    <t>http://www.broadinstitute.org/gsea/msigdb/cards/GSE2770_UNTREATED_VS_TGFB_AND_IL12_TREATED_ACT_CD4_TCELL_48H_UP.html</t>
  </si>
  <si>
    <t>944;8477;23533;10154;3120;2212;11010;3718</t>
  </si>
  <si>
    <t>TNFSF8;GPR65;PIK3R5;PLXNC1;HLA-DQB2;FCGR2A;GLIPR1;JAK3</t>
  </si>
  <si>
    <t>http://www.broadinstitute.org/gsea/msigdb/cards/GSE2770_IL12_VS_TGFB_AND_IL12_TREATED_ACT_CD4_TCELL_6H_DN.html</t>
  </si>
  <si>
    <t>GSE2770_IL12_ACT_VS_ACT_CD4_TCELL_6H_DN</t>
  </si>
  <si>
    <t>917;923;3561;6772;399;4094;5724;375387</t>
  </si>
  <si>
    <t>CD3G;CD6;IL2RG;STAT1;RHOH;MAF;PTAFR;NRROS</t>
  </si>
  <si>
    <t>http://www.broadinstitute.org/gsea/msigdb/cards/GSE2770_IL12_ACT_VS_ACT_CD4_TCELL_6H_DN.html</t>
  </si>
  <si>
    <t>7940;9535;92241;4973;27163;4327;55013;29125</t>
  </si>
  <si>
    <t>LST1;GMFG;RCSD1;OLR1;NAAA;MMP19;MCUB;C11orf21</t>
  </si>
  <si>
    <t>http://www.broadinstitute.org/gsea/msigdb/cards/GSE2770_TGFB_AND_IL4_VS_IL12_TREATED_ACT_CD4_TCELL_2H_UP.html</t>
  </si>
  <si>
    <t>GSE2770_TGFB_AND_IL4_VS_IL4_TREATED_ACT_CD4_TCELL_48H_DN</t>
  </si>
  <si>
    <t>7940;4242;9051;6036;3676;286530;53829;54518</t>
  </si>
  <si>
    <t>LST1;MFNG;PSTPIP1;RNASE2;ITGA4;P2RY8;P2RY13;APBB1IP</t>
  </si>
  <si>
    <t>http://www.broadinstitute.org/gsea/msigdb/cards/GSE2770_TGFB_AND_IL4_VS_IL4_TREATED_ACT_CD4_TCELL_48H_DN.html</t>
  </si>
  <si>
    <t>GSE2770_TGFB_AND_IL4_VS_IL12_TREATED_ACT_CD4_TCELL_48H_UP</t>
  </si>
  <si>
    <t>951;9744;286530;11184;10019;11326;54518;147138</t>
  </si>
  <si>
    <t>CD37;ACAP1;P2RY8;MAP4K1;SH2B3;VSIG4;APBB1IP;TMC8</t>
  </si>
  <si>
    <t>http://www.broadinstitute.org/gsea/msigdb/cards/GSE2770_TGFB_AND_IL4_VS_IL12_TREATED_ACT_CD4_TCELL_48H_UP.html</t>
  </si>
  <si>
    <t>GSE2770_IL12_AND_TGFB_ACT_VS_ACT_CD4_TCELL_2H_UP</t>
  </si>
  <si>
    <t>10068;3687;3561;23533;9034;8564;3290;11009</t>
  </si>
  <si>
    <t>IL18BP;ITGAX;IL2RG;PIK3R5;CCRL2;KMO;HSD11B1;IL24</t>
  </si>
  <si>
    <t>http://www.broadinstitute.org/gsea/msigdb/cards/GSE2770_IL12_AND_TGFB_ACT_VS_ACT_CD4_TCELL_2H_UP.html</t>
  </si>
  <si>
    <t>GSE1791_CTRL_VS_NEUROMEDINU_IN_T_CELL_LINE_12H_UP</t>
  </si>
  <si>
    <t>3662;139716;64170;4094;3290;140885;54518;91010</t>
  </si>
  <si>
    <t>IRF4;GAB3;CARD9;MAF;HSD11B1;SIRPA;APBB1IP;FMNL3</t>
  </si>
  <si>
    <t>http://www.broadinstitute.org/gsea/msigdb/cards/GSE1791_CTRL_VS_NEUROMEDINU_IN_T_CELL_LINE_12H_UP.html</t>
  </si>
  <si>
    <t>128346;53346;58484;8564;3553;4973;202309;22900</t>
  </si>
  <si>
    <t>C1orf162;TM6SF1;NLRC4;KMO;IL1B;OLR1;GAPT;CARD8</t>
  </si>
  <si>
    <t>GSE2128_C57BL6_VS_NOD_CD4CD8_DP_THYMOCYTE_DN</t>
  </si>
  <si>
    <t>3627;92241;80380;3717;4066;4050;151556;91010</t>
  </si>
  <si>
    <t>CXCL10;RCSD1;PDCD1LG2;JAK2;LYL1;LTB;GPR155;FMNL3</t>
  </si>
  <si>
    <t>http://www.broadinstitute.org/gsea/msigdb/cards/GSE2128_C57BL6_VS_NOD_CD4CD8_DP_THYMOCYTE_DN.html</t>
  </si>
  <si>
    <t>9402;5788;3676;11151;10320;27036;6753;3004</t>
  </si>
  <si>
    <t>GRAP2;PTPRC;ITGA4;CORO1A;IKZF1;SIGLEC7;SSTR3;GZMM</t>
  </si>
  <si>
    <t>http://www.broadinstitute.org/gsea/msigdb/cards/GSE2124_CTRL_VS_LYMPHOTOXIN_BETA_TREATED_MLN_UP.html</t>
  </si>
  <si>
    <t>GSE8835_HEALTHY_VS_CLL_CD4_TCELL_DN</t>
  </si>
  <si>
    <t>1436;2268;29909;7439;4261;3363;80821;55013</t>
  </si>
  <si>
    <t>CSF1R;FGR;GPR171;BEST1;CIITA;HTR7;DDHD1;MCUB</t>
  </si>
  <si>
    <t>http://www.broadinstitute.org/gsea/msigdb/cards/GSE8835_HEALTHY_VS_CLL_CD4_TCELL_DN.html</t>
  </si>
  <si>
    <t>GSE1925_CTRL_VS_24H_IFNG_STIM_MACROPHAGE_UP</t>
  </si>
  <si>
    <t>919;3695;1236;10019;5552;1043;9815;51466</t>
  </si>
  <si>
    <t>CD247;ITGB7;CCR7;SH2B3;SRGN;CD52;GIT2;EVL</t>
  </si>
  <si>
    <t>http://www.broadinstitute.org/gsea/msigdb/cards/GSE1925_CTRL_VS_24H_IFNG_STIM_MACROPHAGE_UP.html</t>
  </si>
  <si>
    <t>GSE1925_CTRL_VS_3H_IFNG_STIM_IFNG_PRIMED_MACROPHAGE_UP</t>
  </si>
  <si>
    <t>1318;7535;139716;84636;5724;7454;84329;50515</t>
  </si>
  <si>
    <t>SLC31A2;ZAP70;GAB3;GPR174;PTAFR;WAS;HVCN1;CHST11</t>
  </si>
  <si>
    <t>http://www.broadinstitute.org/gsea/msigdb/cards/GSE1925_CTRL_VS_3H_IFNG_STIM_IFNG_PRIMED_MACROPHAGE_UP.html</t>
  </si>
  <si>
    <t>GSE1925_CTRL_VS_3H_IFNG_STIM_IFNG_PRIMED_MACROPHAGE_DN</t>
  </si>
  <si>
    <t>3055;917;3683;255231;9056;51393;3290;3604</t>
  </si>
  <si>
    <t>HCK;CD3G;ITGAL;MCOLN2;SLC7A7;TRPV2;HSD11B1;TNFRSF9</t>
  </si>
  <si>
    <t>http://www.broadinstitute.org/gsea/msigdb/cards/GSE1925_CTRL_VS_3H_IFNG_STIM_IFNG_PRIMED_MACROPHAGE_DN.html</t>
  </si>
  <si>
    <t>GSE3720_VD1_VS_VD2_GAMMADELTA_TCELL_WITH_LPS_STIM_UP</t>
  </si>
  <si>
    <t>2533;1236;29851;3717;3988;2833;9806;55691</t>
  </si>
  <si>
    <t>FYB1;CCR7;ICOS;JAK2;LIPA;CXCR3;SPOCK2;FRMD4A</t>
  </si>
  <si>
    <t>http://www.broadinstitute.org/gsea/msigdb/cards/GSE3720_VD1_VS_VD2_GAMMADELTA_TCELL_WITH_LPS_STIM_UP.html</t>
  </si>
  <si>
    <t>GSE3720_VD1_VS_VD2_GAMMADELTA_TCELL_DN</t>
  </si>
  <si>
    <t>944;3937;80380;10154;5552;54331;5133;9806</t>
  </si>
  <si>
    <t>TNFSF8;LCP2;PDCD1LG2;PLXNC1;SRGN;GNG2;PDCD1;SPOCK2</t>
  </si>
  <si>
    <t>http://www.broadinstitute.org/gsea/msigdb/cards/GSE3720_VD1_VS_VD2_GAMMADELTA_TCELL_DN.html</t>
  </si>
  <si>
    <t>GSE3720_VD1_VS_VD2_GAMMADELTA_TCELL_WITH_PMA_STIM_DN</t>
  </si>
  <si>
    <t>9051;391;54899;56659;27299;4240;91010;10077</t>
  </si>
  <si>
    <t>PSTPIP1;RHOG;PXK;KCNK13;ADAMDEC1;MFGE8;FMNL3;TSPAN32</t>
  </si>
  <si>
    <t>http://www.broadinstitute.org/gsea/msigdb/cards/GSE3720_VD1_VS_VD2_GAMMADELTA_TCELL_WITH_PMA_STIM_DN.html</t>
  </si>
  <si>
    <t>GSE3691_IFN_PRODUCING_KILLER_DC_VS_PLASMACYTOID_DC_SPLEEN_DN</t>
  </si>
  <si>
    <t>5341;963;7453;51056;441168;146850;161145;29126</t>
  </si>
  <si>
    <t>PLEK;CD53;WARS;LAP3;CALHM6;PIK3R6;TMEM229B;CD274</t>
  </si>
  <si>
    <t>http://www.broadinstitute.org/gsea/msigdb/cards/GSE3691_IFN_PRODUCING_KILLER_DC_VS_PLASMACYTOID_DC_SPLEEN_DN.html</t>
  </si>
  <si>
    <t>GSE3994_WT_VS_PAC1_KO_ACTIVATED_MAST_CELL_UP</t>
  </si>
  <si>
    <t>4242;2268;942;79974;1235;8905;2529;57705</t>
  </si>
  <si>
    <t>MFNG;FGR;CD86;CPED1;CCR6;AP1S2;FUT7;WDFY4</t>
  </si>
  <si>
    <t>http://www.broadinstitute.org/gsea/msigdb/cards/GSE3994_WT_VS_PAC1_KO_ACTIVATED_MAST_CELL_UP.html</t>
  </si>
  <si>
    <t>GSE4142_NAIVE_BCELL_VS_PLASMA_CELL_UP</t>
  </si>
  <si>
    <t>3689;286336;257106;64926;139716;3956;8905;91010</t>
  </si>
  <si>
    <t>ITGB2;FAM78A;ARHGAP30;RASAL3;GAB3;LGALS1;AP1S2;FMNL3</t>
  </si>
  <si>
    <t>http://www.broadinstitute.org/gsea/msigdb/cards/GSE4142_NAIVE_BCELL_VS_PLASMA_CELL_UP.html</t>
  </si>
  <si>
    <t>GSE4142_NAIVE_VS_MEMORY_BCELL_UP</t>
  </si>
  <si>
    <t>313;497189;89790;53829;6753;206358;91010;53831</t>
  </si>
  <si>
    <t>AOAH;TIFAB;SIGLEC10;P2RY13;SSTR3;SLC36A1;FMNL3;GPR84</t>
  </si>
  <si>
    <t>http://www.broadinstitute.org/gsea/msigdb/cards/GSE4142_NAIVE_VS_MEMORY_BCELL_UP.html</t>
  </si>
  <si>
    <t>9051;1234;10875;124460;84636;8832;51393;366</t>
  </si>
  <si>
    <t>PSTPIP1;CCR5;FGL2;SNX20;GPR174;CD84;TRPV2;AQP9</t>
  </si>
  <si>
    <t>GSE4984_GALECTIN1_VS_VEHICLE_CTRL_TREATED_DC_UP</t>
  </si>
  <si>
    <t>27334;9046;10261;951;9459;51744;197135;89846</t>
  </si>
  <si>
    <t>P2RY10;DOK2;IGSF6;CD37;ARHGEF6;CD244;PATL2;FGD3</t>
  </si>
  <si>
    <t>http://www.broadinstitute.org/gsea/msigdb/cards/GSE4984_GALECTIN1_VS_VEHICLE_CTRL_TREATED_DC_UP.html</t>
  </si>
  <si>
    <t>GSE5542_IFNA_VS_IFNA_AND_IFNG_TREATED_EPITHELIAL_CELLS_6H_UP</t>
  </si>
  <si>
    <t>10068;3689;391;150372;9120;2529;80709;116442</t>
  </si>
  <si>
    <t>IL18BP;ITGB2;RHOG;NFAM1;SLC16A6;FUT7;AKNA;RAB39B</t>
  </si>
  <si>
    <t>http://www.broadinstitute.org/gsea/msigdb/cards/GSE5542_IFNA_VS_IFNA_AND_IFNG_TREATED_EPITHELIAL_CELLS_6H_UP.html</t>
  </si>
  <si>
    <t>4354;6039;51284;8564;241;2833;3824;131450</t>
  </si>
  <si>
    <t>MPP1;RNASE6;TLR7;KMO;ALOX5AP;CXCR3;KLRD1;CD200R1</t>
  </si>
  <si>
    <t>http://www.broadinstitute.org/gsea/msigdb/cards/GSE5099_UNSTIM_VS_MCSF_TREATED_MONOCYTE_DAY3_UP.html</t>
  </si>
  <si>
    <t>2533;9535;3055;1234;2014;597;84230;64780</t>
  </si>
  <si>
    <t>FYB1;GMFG;HCK;CCR5;EMP3;BCL2A1;LRRC8C;MICAL1</t>
  </si>
  <si>
    <t>http://www.broadinstitute.org/gsea/msigdb/cards/GSE5099_MONOCYTE_VS_CLASSICAL_M1_MACROPHAGE_DN.html</t>
  </si>
  <si>
    <t>GSE5099_DAY3_VS_DAY7_MCSF_TREATED_MACROPHAGE_DN</t>
  </si>
  <si>
    <t>50852;53346;57105;8832;10672;167465;64919;80183</t>
  </si>
  <si>
    <t>TRAT1;TM6SF1;CYSLTR2;CD84;GNA13;ZNF366;BCL11B;RUBCNL</t>
  </si>
  <si>
    <t>http://www.broadinstitute.org/gsea/msigdb/cards/GSE5099_DAY3_VS_DAY7_MCSF_TREATED_MACROPHAGE_DN.html</t>
  </si>
  <si>
    <t>GSE5099_CLASSICAL_M1_VS_ALTERNATIVE_M2_MACROPHAGE_DN</t>
  </si>
  <si>
    <t>4068;11314;27180;353514;9103;3805;64919;80183</t>
  </si>
  <si>
    <t>SH2D1A;CD300A;SIGLEC9;LILRA5;FCGR2A;KIR2DL4;BCL11B;RUBCNL</t>
  </si>
  <si>
    <t>http://www.broadinstitute.org/gsea/msigdb/cards/GSE5099_CLASSICAL_M1_VS_ALTERNATIVE_M2_MACROPHAGE_DN.html</t>
  </si>
  <si>
    <t>GSE5589_UNSTIM_VS_45MIN_LPS_AND_IL10_STIM_MACROPHAGE_UP</t>
  </si>
  <si>
    <t>972;2214;124460;64092;6891;7941;80821;29126</t>
  </si>
  <si>
    <t>CD74;FCGR3A;SNX20;SAMSN1;TAP2;PLA2G7;DDHD1;CD274</t>
  </si>
  <si>
    <t>http://www.broadinstitute.org/gsea/msigdb/cards/GSE5589_UNSTIM_VS_45MIN_LPS_AND_IL10_STIM_MACROPHAGE_UP.html</t>
  </si>
  <si>
    <t>GSE5589_LPS_VS_LPS_AND_IL10_STIM_IL6_KO_MACROPHAGE_180MIN_UP</t>
  </si>
  <si>
    <t>712;3627;3603;79930;11314;9120;441168;57705</t>
  </si>
  <si>
    <t>C1QA;CXCL10;IL16;DOK3;CD300A;SLC16A6;CALHM6;WDFY4</t>
  </si>
  <si>
    <t>http://www.broadinstitute.org/gsea/msigdb/cards/GSE5589_LPS_VS_LPS_AND_IL10_STIM_IL6_KO_MACROPHAGE_180MIN_UP.html</t>
  </si>
  <si>
    <t>GSE5589_LPS_VS_LPS_AND_IL10_STIM_IL10_KO_MACROPHAGE_180MIN_UP</t>
  </si>
  <si>
    <t>11309;925;256380;139716;80231;27306;6546;10004</t>
  </si>
  <si>
    <t>SLCO2B1;CD8A;SCML4;GAB3;CXorf21;HPGDS;SLC8A1;NAALADL1</t>
  </si>
  <si>
    <t>http://www.broadinstitute.org/gsea/msigdb/cards/GSE5589_LPS_VS_LPS_AND_IL10_STIM_IL10_KO_MACROPHAGE_180MIN_UP.html</t>
  </si>
  <si>
    <t>GSE5589_IL6_KO_VS_IL10_KO_LPS_AND_IL10_STIM_MACROPHAGE_45MIN_DN</t>
  </si>
  <si>
    <t>3603;9459;80231;225;3162;54;526;245972</t>
  </si>
  <si>
    <t>IL16;ARHGEF6;CXorf21;ABCD2;HMOX1;ACP5;ATP6V1B2;ATP6V0D2</t>
  </si>
  <si>
    <t>http://www.broadinstitute.org/gsea/msigdb/cards/GSE5589_IL6_KO_VS_IL10_KO_LPS_AND_IL10_STIM_MACROPHAGE_45MIN_DN.html</t>
  </si>
  <si>
    <t>GSE6259_BCELL_VS_CD4_TCELL_DN</t>
  </si>
  <si>
    <t>925;962;2207;50856;27299;6037;3113;64747</t>
  </si>
  <si>
    <t>CD8A;CD48;FCER1G;CLEC4A;ADAMDEC1;RNASE3;HLA-DPA1;MFSD1</t>
  </si>
  <si>
    <t>http://www.broadinstitute.org/gsea/msigdb/cards/GSE6259_BCELL_VS_CD4_TCELL_DN.html</t>
  </si>
  <si>
    <t>GSE6259_BCELL_VS_CD8_TCELL_UP</t>
  </si>
  <si>
    <t>9404;3683;1236;8514;4689;6793;2529;80821</t>
  </si>
  <si>
    <t>LPXN;ITGAL;CCR7;KCNAB2;NCF4;STK10;FUT7;DDHD1</t>
  </si>
  <si>
    <t>http://www.broadinstitute.org/gsea/msigdb/cards/GSE6259_BCELL_VS_CD8_TCELL_UP.html</t>
  </si>
  <si>
    <t>914;963;474344;221472;8477;55303;10235;168537</t>
  </si>
  <si>
    <t>CD2;CD53;GIMAP6;FGD2;GPR65;GIMAP4;RASGRP2;GIMAP7</t>
  </si>
  <si>
    <t>http://www.broadinstitute.org/gsea/msigdb/cards/GSE6259_FLT3L_INDUCED_33D1_POS_DC_VS_BCELL_UP.html</t>
  </si>
  <si>
    <t>GSE6259_FLT3L_INDUCED_DEC205_POS_DC_VS_CD4_TCELL_UP</t>
  </si>
  <si>
    <t>27334;283897;51338;2357;729230;4208;79865</t>
  </si>
  <si>
    <t>P2RY10;C16orf54;MS4A4A;FPR1;CCR2;MEF2C;TREML2</t>
  </si>
  <si>
    <t>http://www.broadinstitute.org/gsea/msigdb/cards/GSE6259_FLT3L_INDUCED_DEC205_POS_DC_VS_CD4_TCELL_UP.html</t>
  </si>
  <si>
    <t>GSE3203_UNTREATED_VS_IFNB_TREATED_LN_BCELL_DN</t>
  </si>
  <si>
    <t>2209;3676;1233;23533;3902;4818;57705;145864</t>
  </si>
  <si>
    <t>FCGR1A;ITGA4;CCR4;PIK3R5;LAG3;NKG7;WDFY4;HAPLN3</t>
  </si>
  <si>
    <t>http://www.broadinstitute.org/gsea/msigdb/cards/GSE3203_UNTREATED_VS_IFNB_TREATED_LN_BCELL_DN.html</t>
  </si>
  <si>
    <t>GSE3203_UNTREATED_VS_IFNB_TREATED_LN_BCELL_UP</t>
  </si>
  <si>
    <t>5294;219972;58475;8832;29851;8809;64805;50515</t>
  </si>
  <si>
    <t>PIK3CG;MPEG1;MS4A7;CD84;ICOS;IL18R1;P2RY12;CHST11</t>
  </si>
  <si>
    <t>http://www.broadinstitute.org/gsea/msigdb/cards/GSE3203_UNTREATED_VS_IFNB_TREATED_LN_BCELL_UP.html</t>
  </si>
  <si>
    <t>GSE7548_DAY7_VS_DAY28_PCC_IMMUNIZATION_CD4_TCELL_UP</t>
  </si>
  <si>
    <t>1436;3659;942;9332;8477;1102;4261;9938</t>
  </si>
  <si>
    <t>CSF1R;IRF1;CD86;CD163;GPR65;RCBTB2;CIITA;ARHGAP25</t>
  </si>
  <si>
    <t>http://www.broadinstitute.org/gsea/msigdb/cards/GSE7548_DAY7_VS_DAY28_PCC_IMMUNIZATION_CD4_TCELL_UP.html</t>
  </si>
  <si>
    <t>GSE9509_10MIN_VS_30MIN_LPS_STIM_IL10_KO_MACROPHAGE_DN</t>
  </si>
  <si>
    <t>9214;80833;4354;7805;79930;115361;161176;4215</t>
  </si>
  <si>
    <t>FCMR;APOL3;MPP1;LAPTM5;DOK3;GBP4;SYNE3;MAP3K3</t>
  </si>
  <si>
    <t>http://www.broadinstitute.org/gsea/msigdb/cards/GSE9509_10MIN_VS_30MIN_LPS_STIM_IL10_KO_MACROPHAGE_DN.html</t>
  </si>
  <si>
    <t>GSE6674_ANTI_IGM_VS_PL2_3_STIM_BCELL_DN</t>
  </si>
  <si>
    <t>3559;3560;8514;55589;3002;91010;10507;57823</t>
  </si>
  <si>
    <t>IL2RA;IL2RB;KCNAB2;BMP2K;GZMB;FMNL3;SEMA4D;SLAMF7</t>
  </si>
  <si>
    <t>http://www.broadinstitute.org/gsea/msigdb/cards/GSE6674_ANTI_IGM_VS_PL2_3_STIM_BCELL_DN.html</t>
  </si>
  <si>
    <t>4245;3561;84166;80301;89857;11184;6039;4066</t>
  </si>
  <si>
    <t>MGAT1;IL2RG;NLRC5;PLEKHO2;KLHL6;MAP4K1;RNASE6;LYL1</t>
  </si>
  <si>
    <t>http://www.broadinstitute.org/gsea/msigdb/cards/GSE8621_LPS_PRIMED_UNSTIM_VS_LPS_PRIMED_AND_LPS_STIM_MACROPHAGE_UP.html</t>
  </si>
  <si>
    <t>GSE5503_PLN_DC_VS_SPLEEN_DC_ACTIVATED_ALLOGENIC_TCELL_UP</t>
  </si>
  <si>
    <t>9839;6351;53346;730249;6776;11010;4240;50515</t>
  </si>
  <si>
    <t>ZEB2;CCL4;TM6SF1;ACOD1;STAT5A;GLIPR1;MFGE8;CHST11</t>
  </si>
  <si>
    <t>http://www.broadinstitute.org/gsea/msigdb/cards/GSE5503_PLN_DC_VS_SPLEEN_DC_ACTIVATED_ALLOGENIC_TCELL_UP.html</t>
  </si>
  <si>
    <t>GSE10273_LOW_IL7_VS_HIGH_IL7_AND_IRF4_IN_IRF4_8_NULL_PRE_BCELL_DN</t>
  </si>
  <si>
    <t>3055;2313;286336;27128;3059;6556;597;81553</t>
  </si>
  <si>
    <t>HCK;FLI1;FAM78A;CYTH4;HCLS1;SLC11A1;BCL2A1;FAM49A</t>
  </si>
  <si>
    <t>http://www.broadinstitute.org/gsea/msigdb/cards/GSE10273_LOW_IL7_VS_HIGH_IL7_AND_IRF4_IN_IRF4_8_NULL_PRE_BCELL_DN.html</t>
  </si>
  <si>
    <t>GSE8685_IL2_STARVED_VS_IL15_ACT_IL2_STARVED_CD4_TCELL_UP</t>
  </si>
  <si>
    <t>54899;926;526;6518;597;375387;55619;84329</t>
  </si>
  <si>
    <t>PXK;CD8B;ATP6V1B2;SLC2A5;BCL2A1;NRROS;DOCK10;HVCN1</t>
  </si>
  <si>
    <t>http://www.broadinstitute.org/gsea/msigdb/cards/GSE8685_IL2_STARVED_VS_IL15_ACT_IL2_STARVED_CD4_TCELL_UP.html</t>
  </si>
  <si>
    <t>GSE11884_WT_VS_FURIN_KO_NAIVE_CD4_TCELL_DN</t>
  </si>
  <si>
    <t>962;83706;51393;1102;3274;3004</t>
  </si>
  <si>
    <t>CD48;FERMT3;TRPV2;RCBTB2;HRH2;GZMM</t>
  </si>
  <si>
    <t>http://www.broadinstitute.org/gsea/msigdb/cards/GSE11884_WT_VS_FURIN_KO_NAIVE_CD4_TCELL_DN.html</t>
  </si>
  <si>
    <t>GSE9946_IMMATURE_VS_LISTERIA_INF_MATURE_DC_DN</t>
  </si>
  <si>
    <t>55016;56659;64407;54331;118788;51676</t>
  </si>
  <si>
    <t>MARCH1;KCNK13;RGS18;GNG2;PIK3AP1;ASB2</t>
  </si>
  <si>
    <t>http://www.broadinstitute.org/gsea/msigdb/cards/GSE9946_IMMATURE_VS_LISTERIA_INF_MATURE_DC_DN.html</t>
  </si>
  <si>
    <t>GSE12707_AT16L1_HYPOMORPH_VS_WT_THYMUS_UP</t>
  </si>
  <si>
    <t>3458;929;653361;11006;4818;51676</t>
  </si>
  <si>
    <t>IFNG;CD14;NCF1;LILRB4;NKG7;ASB2</t>
  </si>
  <si>
    <t>http://www.broadinstitute.org/gsea/msigdb/cards/GSE12707_AT16L1_HYPOMORPH_VS_WT_THYMUS_UP.html</t>
  </si>
  <si>
    <t>GSE14413_UNSTIM_VS_IFNB_STIM_RAW264_CELLS_UP</t>
  </si>
  <si>
    <t>3071;55016;1240;4481;3363;4818</t>
  </si>
  <si>
    <t>NCKAP1L;MARCH1;CMKLR1;MSR1;HTR7;NKG7</t>
  </si>
  <si>
    <t>http://www.broadinstitute.org/gsea/msigdb/cards/GSE14413_UNSTIM_VS_IFNB_STIM_RAW264_CELLS_UP.html</t>
  </si>
  <si>
    <t>GSE13522_CTRL_VS_T_CRUZI_G_STRAIN_INF_SKIN_UP</t>
  </si>
  <si>
    <t>4242;3937;115361;4094;921;3586;6503;245972</t>
  </si>
  <si>
    <t>MFNG;LCP2;GBP4;MAF;CD5;IL10;SLA;ATP6V0D2</t>
  </si>
  <si>
    <t>http://www.broadinstitute.org/gsea/msigdb/cards/GSE13522_CTRL_VS_T_CRUZI_G_STRAIN_INF_SKIN_UP.html</t>
  </si>
  <si>
    <t>GSE15330_LYMPHOID_MULTIPOTENT_VS_PRO_BCELL_DN</t>
  </si>
  <si>
    <t>3560;6504;3662;8477;64231;366;3717;25939</t>
  </si>
  <si>
    <t>IL2RB;SLAMF1;IRF4;GPR65;MS4A6A;AQP9;JAK2;SAMHD1</t>
  </si>
  <si>
    <t>http://www.broadinstitute.org/gsea/msigdb/cards/GSE15330_LYMPHOID_MULTIPOTENT_VS_PRO_BCELL_DN.html</t>
  </si>
  <si>
    <t>GSE15330_WT_VS_IKAROS_KO_LYMPHOID_MULTIPOTENT_PROGENITOR_UP</t>
  </si>
  <si>
    <t>5734;942;10875;1435;596;3059;2113;91010</t>
  </si>
  <si>
    <t>PTGER4;CD86;FGL2;CSF1;BCL2;HCLS1;ETS1;FMNL3</t>
  </si>
  <si>
    <t>http://www.broadinstitute.org/gsea/msigdb/cards/GSE15330_WT_VS_IKAROS_KO_LYMPHOID_MULTIPOTENT_PROGENITOR_UP.html</t>
  </si>
  <si>
    <t>GSE15330_LYMPHOID_MULTIPOTENT_VS_GRANULOCYTE_MONOCYTE_PROGENITOR_IKAROS_KO_DN</t>
  </si>
  <si>
    <t>923;2014;54899;9120;54;54331;84329;23166</t>
  </si>
  <si>
    <t>CD6;EMP3;PXK;SLC16A6;ACP5;GNG2;HVCN1;STAB1</t>
  </si>
  <si>
    <t>http://www.broadinstitute.org/gsea/msigdb/cards/GSE15330_LYMPHOID_MULTIPOTENT_VS_GRANULOCYTE_MONOCYTE_PROGENITOR_IKAROS_KO_DN.html</t>
  </si>
  <si>
    <t>GSE12198_LOW_IL2_STIM_NK_CELL_VS_HIGH_IL2_STIM_NK_CELL_UP</t>
  </si>
  <si>
    <t>963;10225;64231;64092;6518;11010;4050;91010</t>
  </si>
  <si>
    <t>CD53;CD96;MS4A6A;SAMSN1;SLC2A5;GLIPR1;LTB;FMNL3</t>
  </si>
  <si>
    <t>http://www.broadinstitute.org/gsea/msigdb/cards/GSE12198_LOW_IL2_STIM_NK_CELL_VS_HIGH_IL2_STIM_NK_CELL_UP.html</t>
  </si>
  <si>
    <t>GSE12198_LOW_IL2_STIM_NK_CELL_VS_HIGH_IL2_STIM_NK_CELL_DN</t>
  </si>
  <si>
    <t>2268;313;3937;3603;1794;6793;4049;59345</t>
  </si>
  <si>
    <t>FGR;AOAH;LCP2;IL16;DOCK2;STK10;LTA;GNB4</t>
  </si>
  <si>
    <t>http://www.broadinstitute.org/gsea/msigdb/cards/GSE12198_LOW_IL2_STIM_NK_CELL_VS_HIGH_IL2_STIM_NK_CELL_DN.html</t>
  </si>
  <si>
    <t>GSE14908_RESTING_VS_HDM_STIM_CD4_TCELL_ATOPIC_PATIENT_DN</t>
  </si>
  <si>
    <t>3001;942;7805;3603;4689;150372;81704;596</t>
  </si>
  <si>
    <t>GZMA;CD86;LAPTM5;IL16;NCF4;NFAM1;DOCK8;BCL2</t>
  </si>
  <si>
    <t>http://www.broadinstitute.org/gsea/msigdb/cards/GSE14908_RESTING_VS_HDM_STIM_CD4_TCELL_ATOPIC_PATIENT_DN.html</t>
  </si>
  <si>
    <t>GSE12392_CD8A_POS_VS_NEG_SPLEEN_DC_UP</t>
  </si>
  <si>
    <t>1536;3659;1236;6890;3702;54;4973;91010</t>
  </si>
  <si>
    <t>CYBB;IRF1;CCR7;TAP1;ITK;ACP5;OLR1;FMNL3</t>
  </si>
  <si>
    <t>http://www.broadinstitute.org/gsea/msigdb/cards/GSE12392_CD8A_POS_VS_NEG_SPLEEN_DC_UP.html</t>
  </si>
  <si>
    <t>GSE17186_MEMORY_VS_NAIVE_BCELL_UP</t>
  </si>
  <si>
    <t>1236;6504;8514;6404;10870;9120;8320;921</t>
  </si>
  <si>
    <t>CCR7;SLAMF1;KCNAB2;SELPLG;HCST;SLC16A6;EOMES;CD5</t>
  </si>
  <si>
    <t>http://www.broadinstitute.org/gsea/msigdb/cards/GSE17186_MEMORY_VS_NAIVE_BCELL_UP.html</t>
  </si>
  <si>
    <t>GSE17186_BLOOD_VS_CORD_BLOOD_CD21LOW_TRANSITIONAL_BCELL_DN</t>
  </si>
  <si>
    <t>340152;1318;1439;941;80301;4064;6546;3988</t>
  </si>
  <si>
    <t>ZC3H12D;SLC31A2;CSF2RB;CD80;PLEKHO2;CD180;SLC8A1;LIPA</t>
  </si>
  <si>
    <t>http://www.broadinstitute.org/gsea/msigdb/cards/GSE17186_BLOOD_VS_CORD_BLOOD_CD21LOW_TRANSITIONAL_BCELL_DN.html</t>
  </si>
  <si>
    <t>GSE19772_CTRL_VS_HCMV_INF_MONOCYTES_AND_PI3K_INHIBITION_DN</t>
  </si>
  <si>
    <t>9402;914;313;1236;3587;8320;6402;3290</t>
  </si>
  <si>
    <t>GRAP2;CD2;AOAH;CCR7;IL10RA;EOMES;SELL;HSD11B1</t>
  </si>
  <si>
    <t>http://www.broadinstitute.org/gsea/msigdb/cards/GSE19772_CTRL_VS_HCMV_INF_MONOCYTES_AND_PI3K_INHIBITION_DN.html</t>
  </si>
  <si>
    <t>GSE18893_CTRL_VS_TNF_TREATED_TREG_24H_UP</t>
  </si>
  <si>
    <t>5788;197358;246329;11314;197135;4973;8809;100506736</t>
  </si>
  <si>
    <t>PTPRC;NLRC3;STAC3;CD300A;PATL2;OLR1;IL18R1;SLFN12L</t>
  </si>
  <si>
    <t>http://www.broadinstitute.org/gsea/msigdb/cards/GSE18893_CTRL_VS_TNF_TREATED_TREG_24H_UP.html</t>
  </si>
  <si>
    <t>GSE18893_TCONV_VS_TREG_2H_TNF_STIM_DN</t>
  </si>
  <si>
    <t>9839;5341;128346;114548;58475;924;151556;155038</t>
  </si>
  <si>
    <t>ZEB2;PLEK;C1orf162;NLRP3;MS4A7;CD7;GPR155;GIMAP8</t>
  </si>
  <si>
    <t>http://www.broadinstitute.org/gsea/msigdb/cards/GSE18893_TCONV_VS_TREG_2H_TNF_STIM_DN.html</t>
  </si>
  <si>
    <t>GSE20198_UNTREATED_VS_IL12_IL18_TREATED_ACT_CD4_TCELL_UP</t>
  </si>
  <si>
    <t>53347;8514;10320;51284;55911;597;79865;4644</t>
  </si>
  <si>
    <t>UBASH3A;KCNAB2;IKZF1;TLR7;APOBR;BCL2A1;TREML2;MYO5A</t>
  </si>
  <si>
    <t>http://www.broadinstitute.org/gsea/msigdb/cards/GSE20198_UNTREATED_VS_IL12_IL18_TREATED_ACT_CD4_TCELL_UP.html</t>
  </si>
  <si>
    <t>GSE16451_IMMATURE_VS_MATURE_NEURON_CELL_LINE_WEST_EQUINE_ENC_VIRUS_DN</t>
  </si>
  <si>
    <t>7453;5778;6504;10666;30009;27033;3902;56670</t>
  </si>
  <si>
    <t>WARS;PTPN7;SLAMF1;CD226;TBX21;ZBTB32;LAG3;SUCNR1</t>
  </si>
  <si>
    <t>http://www.broadinstitute.org/gsea/msigdb/cards/GSE16451_IMMATURE_VS_MATURE_NEURON_CELL_LINE_WEST_EQUINE_ENC_VIRUS_DN.html</t>
  </si>
  <si>
    <t>GSE21670_TGFB_VS_TGFB_AND_IL6_TREATED_STAT3_KO_CD4_TCELL_DN</t>
  </si>
  <si>
    <t>3560;3683;1234;80380;53346;3902;5027;4644</t>
  </si>
  <si>
    <t>IL2RB;ITGAL;CCR5;PDCD1LG2;TM6SF1;LAG3;P2RX7;MYO5A</t>
  </si>
  <si>
    <t>http://www.broadinstitute.org/gsea/msigdb/cards/GSE21670_TGFB_VS_TGFB_AND_IL6_TREATED_STAT3_KO_CD4_TCELL_DN.html</t>
  </si>
  <si>
    <t>GSE21546_UNSTIM_VS_ANTI_CD3_STIM_SAP1A_KO_AND_ELK1_KO_DP_THYMOCYTES_UP</t>
  </si>
  <si>
    <t>6772;128611;1240;84174;19;728;943;120425</t>
  </si>
  <si>
    <t>STAT1;ZNF831;CMKLR1;SLA2;ABCA1;C5AR1;TNFRSF8;JAML</t>
  </si>
  <si>
    <t>http://www.broadinstitute.org/gsea/msigdb/cards/GSE21546_UNSTIM_VS_ANTI_CD3_STIM_SAP1A_KO_AND_ELK1_KO_DP_THYMOCYTES_UP.html</t>
  </si>
  <si>
    <t>GSE21927_UNTREATED_VS_GMCSF_IL6_TREATED_BONE_MARROW_DN</t>
  </si>
  <si>
    <t>712;5294;8564;926;6518;27314;80183;59345</t>
  </si>
  <si>
    <t>C1QA;PIK3CG;KMO;CD8B;SLC2A5;RAB30;RUBCNL;GNB4</t>
  </si>
  <si>
    <t>http://www.broadinstitute.org/gsea/msigdb/cards/GSE21927_UNTREATED_VS_GMCSF_IL6_TREATED_BONE_MARROW_DN.html</t>
  </si>
  <si>
    <t>GSE21927_UNTREATED_VS_GMCSF_GCSF_TREATED_BONE_MARROW_DN</t>
  </si>
  <si>
    <t>712;942;114548;3684;10184;11027;3805;59345</t>
  </si>
  <si>
    <t>C1QA;CD86;NLRP3;ITGAM;LHFPL2;LILRA2;KIR2DL4;GNB4</t>
  </si>
  <si>
    <t>http://www.broadinstitute.org/gsea/msigdb/cards/GSE21927_UNTREATED_VS_GMCSF_GCSF_TREATED_BONE_MARROW_DN.html</t>
  </si>
  <si>
    <t>GSE21360_PRIMARY_VS_SECONDARY_MEMORY_CD8_TCELL_DN</t>
  </si>
  <si>
    <t>4245;6890;6404;51296;81030;19;5376;9754</t>
  </si>
  <si>
    <t>MGAT1;TAP1;SELPLG;SLC15A3;ZBP1;ABCA1;PMP22;STARD8</t>
  </si>
  <si>
    <t>http://www.broadinstitute.org/gsea/msigdb/cards/GSE21360_PRIMARY_VS_SECONDARY_MEMORY_CD8_TCELL_DN.html</t>
  </si>
  <si>
    <t>GSE22033_UNTREATED_VS_MRL24_TREATED_MEF_UP</t>
  </si>
  <si>
    <t>945;10320;719;23048;2672;64170;50615;50515</t>
  </si>
  <si>
    <t>CD33;IKZF1;C3AR1;FNBP1;GFI1;CARD9;IL21R;CHST11</t>
  </si>
  <si>
    <t>http://www.broadinstitute.org/gsea/msigdb/cards/GSE22033_UNTREATED_VS_MRL24_TREATED_MEF_UP.html</t>
  </si>
  <si>
    <t>GSE22527_ANTI_CD3_INVIVO_VS_UNTREATED_MOUSE_TREG_UP</t>
  </si>
  <si>
    <t>3932;116986;10019;353514;2359;2213;1237;9033</t>
  </si>
  <si>
    <t>LCK;AGAP2;SH2B3;LILRA5;FPR3;FCGR2B;CCR8;PKD2L1</t>
  </si>
  <si>
    <t>http://www.broadinstitute.org/gsea/msigdb/cards/GSE22527_ANTI_CD3_INVIVO_VS_UNTREATED_MOUSE_TREG_UP.html</t>
  </si>
  <si>
    <t>GSE23308_WT_VS_MINERALCORTICOID_REC_KO_MACROPHAGE_UP</t>
  </si>
  <si>
    <t>3687;8514;53346;51393;3988;11010;7462;56606</t>
  </si>
  <si>
    <t>ITGAX;KCNAB2;TM6SF1;TRPV2;LIPA;GLIPR1;LAT2;SLC2A9</t>
  </si>
  <si>
    <t>http://www.broadinstitute.org/gsea/msigdb/cards/GSE23308_WT_VS_MINERALCORTICOID_REC_KO_MACROPHAGE_UP.html</t>
  </si>
  <si>
    <t>GSE22935_UNSTIM_VS_12H_MBOVIS_BCG_STIM_MACROPHAGE_UP</t>
  </si>
  <si>
    <t>54440;3071;11184;51393;7099;3988;4208;814</t>
  </si>
  <si>
    <t>SASH3;NCKAP1L;MAP4K1;TRPV2;TLR4;LIPA;MEF2C;CAMK4</t>
  </si>
  <si>
    <t>http://www.broadinstitute.org/gsea/msigdb/cards/GSE22935_UNSTIM_VS_12H_MBOVIS_BCG_STIM_MACROPHAGE_UP.html</t>
  </si>
  <si>
    <t>GSE22935_UNSTIM_VS_48H_MBOVIS_BCG_STIM_MACROPHAGE_UP</t>
  </si>
  <si>
    <t>653361;170371;114836;2672;3109;4973;27163;5027</t>
  </si>
  <si>
    <t>NCF1;TMEM273;SLAMF6;GFI1;HLA-DMB;OLR1;NAAA;P2RX7</t>
  </si>
  <si>
    <t>http://www.broadinstitute.org/gsea/msigdb/cards/GSE22935_UNSTIM_VS_48H_MBOVIS_BCG_STIM_MACROPHAGE_UP.html</t>
  </si>
  <si>
    <t>4542;7305;9046;3683;944;11184;3108;10235</t>
  </si>
  <si>
    <t>MYO1F;TYROBP;DOK2;ITGAL;TNFSF8;MAP4K1;HLA-DMA;RASGRP2</t>
  </si>
  <si>
    <t>http://www.broadinstitute.org/gsea/msigdb/cards/GSE22103_UNSTIM_VS_GMCSF_AND_IFNG_STIM_NEUTROPHIL_DN.html</t>
  </si>
  <si>
    <t>GSE24210_IL35_TREATED_VS_UNTREATED_TCONV_CD4_TCELL_UP</t>
  </si>
  <si>
    <t>3458;653361;9459;117289;348;3003;140885;4033</t>
  </si>
  <si>
    <t>IFNG;NCF1;ARHGEF6;TAGAP;APOE;GZMK;SIRPA;LRMP</t>
  </si>
  <si>
    <t>http://www.broadinstitute.org/gsea/msigdb/cards/GSE24210_IL35_TREATED_VS_UNTREATED_TCONV_CD4_TCELL_UP.html</t>
  </si>
  <si>
    <t>GSE23505_UNTREATED_VS_4DAY_IL6_IL1_TREATED_CD4_TCELL_DN</t>
  </si>
  <si>
    <t>3575;1439;10537;4240;7185;55704;6363;26279</t>
  </si>
  <si>
    <t>IL7R;CSF2RB;UBD;MFGE8;TRAF1;CCDC88A;CCL19;PLA2G2D</t>
  </si>
  <si>
    <t>http://www.broadinstitute.org/gsea/msigdb/cards/GSE23505_UNTREATED_VS_4DAY_IL6_IL1_TREATED_CD4_TCELL_DN.html</t>
  </si>
  <si>
    <t>GSE23505_IL6_IL1_VS_IL6_IL1_IL23_TREATED_CD4_TCELL_UP</t>
  </si>
  <si>
    <t>942;3594;2014;10875;139716;1240;118788;79895</t>
  </si>
  <si>
    <t>CD86;IL12RB1;EMP3;FGL2;GAB3;CMKLR1;PIK3AP1;ATP8B4</t>
  </si>
  <si>
    <t>http://www.broadinstitute.org/gsea/msigdb/cards/GSE23505_IL6_IL1_VS_IL6_IL1_IL23_TREATED_CD4_TCELL_UP.html</t>
  </si>
  <si>
    <t>GSE23505_IL6_IL1_VS_IL6_IL1_TGFB_TREATED_CD4_TCELL_UP</t>
  </si>
  <si>
    <t>340152;54440;944;89857;8530;56253;3988;115727</t>
  </si>
  <si>
    <t>ZC3H12D;SASH3;TNFSF8;KLHL6;CST7;CRTAM;LIPA;RASGRP4</t>
  </si>
  <si>
    <t>http://www.broadinstitute.org/gsea/msigdb/cards/GSE23505_IL6_IL1_VS_IL6_IL1_TGFB_TREATED_CD4_TCELL_UP.html</t>
  </si>
  <si>
    <t>GSE16385_MONOCYTE_VS_MACROPHAGE_DN</t>
  </si>
  <si>
    <t>219972;5724;3290;1043;4208;25780;116442;10077</t>
  </si>
  <si>
    <t>MPEG1;PTAFR;HSD11B1;CD52;MEF2C;RASGRP3;RAB39B;TSPAN32</t>
  </si>
  <si>
    <t>http://www.broadinstitute.org/gsea/msigdb/cards/GSE16385_MONOCYTE_VS_MACROPHAGE_DN.html</t>
  </si>
  <si>
    <t>3560;3575;3587;9744;79895;55619;145864;55013</t>
  </si>
  <si>
    <t>IL2RB;IL7R;IL10RA;ACAP1;ATP8B4;DOCK10;HAPLN3;MCUB</t>
  </si>
  <si>
    <t>GSE25123_ROSIGLITAZONE_VS_IL4_AND_ROSIGLITAZONE_STIM_MACROPHAGE_DAY10_UP</t>
  </si>
  <si>
    <t>4068;5341;2123;53347;474344;221188;3003;51676</t>
  </si>
  <si>
    <t>SH2D1A;PLEK;EVI2A;UBASH3A;GIMAP6;ADGRG5;GZMK;ASB2</t>
  </si>
  <si>
    <t>http://www.broadinstitute.org/gsea/msigdb/cards/GSE25123_ROSIGLITAZONE_VS_IL4_AND_ROSIGLITAZONE_STIM_MACROPHAGE_DAY10_UP.html</t>
  </si>
  <si>
    <t>GSE16385_ROSIGLITAZONE_IFNG_TNF_VS_IL4_STIM_MACROPHAGE_DN</t>
  </si>
  <si>
    <t>9535;929;4354;4481;356;10235;50515;56606</t>
  </si>
  <si>
    <t>GMFG;CD14;MPP1;MSR1;FASLG;RASGRP2;CHST11;SLC2A9</t>
  </si>
  <si>
    <t>http://www.broadinstitute.org/gsea/msigdb/cards/GSE16385_ROSIGLITAZONE_IFNG_TNF_VS_IL4_STIM_MACROPHAGE_DN.html</t>
  </si>
  <si>
    <t>GSE19941_IL10_KO_VS_IL10_KO_AND_NFKBP50_KO_LPS_STIM_MACROPHAGE_UP</t>
  </si>
  <si>
    <t>6352;3101;114836;30009;6891;4033;5133;161145</t>
  </si>
  <si>
    <t>CCL5;HK3;SLAMF6;TBX21;TAP2;LRMP;PDCD1;TMEM229B</t>
  </si>
  <si>
    <t>http://www.broadinstitute.org/gsea/msigdb/cards/GSE19941_IL10_KO_VS_IL10_KO_AND_NFKBP50_KO_LPS_STIM_MACROPHAGE_UP.html</t>
  </si>
  <si>
    <t>GSE25846_IL10_POS_VS_NEG_CD8_TCELL_DAY7_POST_CORONAVIRUS_BRAIN_UP</t>
  </si>
  <si>
    <t>6351;149628;27299;3553;6693;597;55803;9935</t>
  </si>
  <si>
    <t>CCL4;PYHIN1;ADAMDEC1;IL1B;SPN;BCL2A1;ADAP2;MAFB</t>
  </si>
  <si>
    <t>http://www.broadinstitute.org/gsea/msigdb/cards/GSE25846_IL10_POS_VS_NEG_CD8_TCELL_DAY7_POST_CORONAVIRUS_BRAIN_UP.html</t>
  </si>
  <si>
    <t>GSE22611_NOD2_TRANSD_VS_CTRL_TRANSD_HEK293_MDP_STIM_2H_UP</t>
  </si>
  <si>
    <t>10225;55016;29909;4094;341;921;3718;22806</t>
  </si>
  <si>
    <t>CD96;MARCH1;GPR171;MAF;APOC1;CD5;JAK3;IKZF3</t>
  </si>
  <si>
    <t>http://www.broadinstitute.org/gsea/msigdb/cards/GSE22611_NOD2_TRANSD_VS_CTRL_TRANSD_HEK293_MDP_STIM_2H_UP.html</t>
  </si>
  <si>
    <t>9404;3689;6352;3937;8530;3553;10507;57823</t>
  </si>
  <si>
    <t>LPXN;ITGB2;CCL5;LCP2;CST7;IL1B;SEMA4D;SLAMF7</t>
  </si>
  <si>
    <t>http://www.broadinstitute.org/gsea/msigdb/cards/GSE22611_MUTANT_NOD2_VS_CTRL_TRANSDUCED_HEK293T_CELL_UP.html</t>
  </si>
  <si>
    <t>GSE26488_HDAC7_KO_VS_VP16_TRANSGENIC_HDAC7_KO_DOUBLE_POSITIVE_THYMOCYTE_UP</t>
  </si>
  <si>
    <t>91752;2210;10673;8564;206358;84230;51762;30817</t>
  </si>
  <si>
    <t>ZNF804A;FCGR1B;TNFSF13B;KMO;SLC36A1;LRRC8C;RAB8B;ADGRE2</t>
  </si>
  <si>
    <t>http://www.broadinstitute.org/gsea/msigdb/cards/GSE26488_HDAC7_KO_VS_VP16_TRANSGENIC_HDAC7_KO_DOUBLE_POSITIVE_THYMOCYTE_UP.html</t>
  </si>
  <si>
    <t>GSE25502_WT_VS_KLF13_KO_THYMIC_MEMORY_LIKE_CD8_TCELL_UP</t>
  </si>
  <si>
    <t>10666;259307;58475;8809;597;80709;51676;64805</t>
  </si>
  <si>
    <t>CD226;IL4I1;MS4A7;IL18R1;BCL2A1;AKNA;ASB2;P2RY12</t>
  </si>
  <si>
    <t>http://www.broadinstitute.org/gsea/msigdb/cards/GSE25502_WT_VS_KLF13_KO_THYMIC_MEMORY_LIKE_CD8_TCELL_UP.html</t>
  </si>
  <si>
    <t>GSE28726_NAIVE_CD4_TCELL_VS_NAIVE_VA24NEG_NKTCELL_UP</t>
  </si>
  <si>
    <t>8676;8530;3902;2999;3604;7185;4818;27240</t>
  </si>
  <si>
    <t>STX11;CST7;LAG3;GZMH;TNFRSF9;TRAF1;NKG7;SIT1</t>
  </si>
  <si>
    <t>http://www.broadinstitute.org/gsea/msigdb/cards/GSE28726_NAIVE_CD4_TCELL_VS_NAIVE_VA24NEG_NKTCELL_UP.html</t>
  </si>
  <si>
    <t>GSE28726_NAIVE_VS_ACTIVATED_VA24NEG_NKTCELL_UP</t>
  </si>
  <si>
    <t>6351;7453;2633;3937;29851;3604;6503;8809</t>
  </si>
  <si>
    <t>CCL4;WARS;GBP1;LCP2;ICOS;TNFRSF9;SLA;IL18R1</t>
  </si>
  <si>
    <t>http://www.broadinstitute.org/gsea/msigdb/cards/GSE28726_NAIVE_VS_ACTIVATED_VA24NEG_NKTCELL_UP.html</t>
  </si>
  <si>
    <t>2533;951;919;7805;54;4240;25900;54861</t>
  </si>
  <si>
    <t>FYB1;CD37;CD247;LAPTM5;ACP5;MFGE8;IFFO1;SNRK</t>
  </si>
  <si>
    <t>http://www.broadinstitute.org/gsea/msigdb/cards/GSE24574_BCL6_HIGH_TFH_VS_TFH_CD4_TCELL_DN.html</t>
  </si>
  <si>
    <t>GSE24574_BCL6_LOW_TFH_VS_NAIVE_CD4_TCELL_DN</t>
  </si>
  <si>
    <t>9404;54440;6373;27306;3117;6503;23166;10004</t>
  </si>
  <si>
    <t>LPXN;SASH3;CXCL11;HPGDS;HLA-DQA1;SLA;STAB1;NAALADL1</t>
  </si>
  <si>
    <t>http://www.broadinstitute.org/gsea/msigdb/cards/GSE24574_BCL6_LOW_TFH_VS_NAIVE_CD4_TCELL_DN.html</t>
  </si>
  <si>
    <t>GSE22025_UNTREATED_VS_TGFB1_AND_PROGESTERONE_TREATED_CD4_TCELL_DN</t>
  </si>
  <si>
    <t>1536;3659;11006;4094;6518;4360;3109;22900</t>
  </si>
  <si>
    <t>CYBB;IRF1;LILRB4;MAF;SLC2A5;MRC1;HLA-DMB;CARD8</t>
  </si>
  <si>
    <t>http://www.broadinstitute.org/gsea/msigdb/cards/GSE22025_UNTREATED_VS_TGFB1_AND_PROGESTERONE_TREATED_CD4_TCELL_DN.html</t>
  </si>
  <si>
    <t>GSE29949_DC_BRAIN_VS_MONOCYTE_BONE_MARROW_DN</t>
  </si>
  <si>
    <t>9535;8676;962;944;3394;8530;4050;7941</t>
  </si>
  <si>
    <t>GMFG;STX11;CD48;TNFSF8;IRF8;CST7;LTB;PLA2G7</t>
  </si>
  <si>
    <t>http://www.broadinstitute.org/gsea/msigdb/cards/GSE29949_DC_BRAIN_VS_MONOCYTE_BONE_MARROW_DN.html</t>
  </si>
  <si>
    <t>GSE23321_CD8_STEM_CELL_MEMORY_VS_NAIVE_CD8_TCELL_DN</t>
  </si>
  <si>
    <t>3676;3071;3903;7454;25900;85464;64747;55013</t>
  </si>
  <si>
    <t>ITGA4;NCKAP1L;LAIR1;WAS;IFFO1;SSH2;MFSD1;MCUB</t>
  </si>
  <si>
    <t>http://www.broadinstitute.org/gsea/msigdb/cards/GSE23321_CD8_STEM_CELL_MEMORY_VS_NAIVE_CD8_TCELL_DN.html</t>
  </si>
  <si>
    <t>GSE23321_EFFECTOR_MEMORY_VS_NAIVE_CD8_TCELL_DN</t>
  </si>
  <si>
    <t>8676;391;3662;27033;1435;7185;84541;51762</t>
  </si>
  <si>
    <t>STX11;RHOG;IRF4;ZBTB32;CSF1;TRAF1;KBTBD8;RAB8B</t>
  </si>
  <si>
    <t>http://www.broadinstitute.org/gsea/msigdb/cards/GSE23321_EFFECTOR_MEMORY_VS_NAIVE_CD8_TCELL_DN.html</t>
  </si>
  <si>
    <t>GSE27291_6H_VS_7D_STIM_GAMMADELTA_TCELL_UP</t>
  </si>
  <si>
    <t>9046;3575;3687;3695;2014;51393;3956;10004</t>
  </si>
  <si>
    <t>DOK2;IL7R;ITGAX;ITGB7;EMP3;TRPV2;LGALS1;NAALADL1</t>
  </si>
  <si>
    <t>http://www.broadinstitute.org/gsea/msigdb/cards/GSE27291_6H_VS_7D_STIM_GAMMADELTA_TCELL_UP.html</t>
  </si>
  <si>
    <t>GSE26351_UNSTIM_VS_WNT_PATHWAY_STIM_HEMATOPOIETIC_PROGENITORS_UP</t>
  </si>
  <si>
    <t>3575;7133;10320;83706;57580;50615;57514;51063</t>
  </si>
  <si>
    <t>IL7R;TNFRSF1B;IKZF1;FERMT3;PREX1;IL21R;ARHGAP31;CALHM2</t>
  </si>
  <si>
    <t>http://www.broadinstitute.org/gsea/msigdb/cards/GSE26351_UNSTIM_VS_WNT_PATHWAY_STIM_HEMATOPOIETIC_PROGENITORS_UP.html</t>
  </si>
  <si>
    <t>GSE29164_DAY3_VS_DAY7_CD8_TCELL_TREATED_MELANOMA_DN</t>
  </si>
  <si>
    <t>340152;9046;3687;2322;257106;8564;57589;51466</t>
  </si>
  <si>
    <t>ZC3H12D;DOK2;ITGAX;FLT3;ARHGAP30;KMO;RIC1;EVL</t>
  </si>
  <si>
    <t>http://www.broadinstitute.org/gsea/msigdb/cards/GSE29164_DAY3_VS_DAY7_CD8_TCELL_TREATED_MELANOMA_DN.html</t>
  </si>
  <si>
    <t>GSE26030_UNSTIM_VS_RESTIM_TH1_DAY5_POST_POLARIZATION_UP</t>
  </si>
  <si>
    <t>5579;5734;6504;197358;51744;8905;84230;64780</t>
  </si>
  <si>
    <t>PRKCB;PTGER4;SLAMF1;NLRC3;CD244;AP1S2;LRRC8C;MICAL1</t>
  </si>
  <si>
    <t>http://www.broadinstitute.org/gsea/msigdb/cards/GSE26030_UNSTIM_VS_RESTIM_TH1_DAY5_POST_POLARIZATION_UP.html</t>
  </si>
  <si>
    <t>GSE26030_UNSTIM_VS_RESTIM_TH17_DAY15_POST_POLARIZATION_DN</t>
  </si>
  <si>
    <t>7535;83706;114548;23048;6503;146850;51762;83937</t>
  </si>
  <si>
    <t>ZAP70;FERMT3;NLRP3;FNBP1;SLA;PIK3R6;RAB8B;RASSF4</t>
  </si>
  <si>
    <t>http://www.broadinstitute.org/gsea/msigdb/cards/GSE26030_UNSTIM_VS_RESTIM_TH17_DAY15_POST_POLARIZATION_DN.html</t>
  </si>
  <si>
    <t>GSE32986_GMCSF_VS_GMCSF_AND_CURDLAN_HIGHDOSE_STIM_DC_UP</t>
  </si>
  <si>
    <t>962;10871;53346;9120;526;151556;131450;9935</t>
  </si>
  <si>
    <t>CD48;CD300C;TM6SF1;SLC16A6;ATP6V1B2;GPR155;CD200R1;MAFB</t>
  </si>
  <si>
    <t>http://www.broadinstitute.org/gsea/msigdb/cards/GSE32986_GMCSF_VS_GMCSF_AND_CURDLAN_HIGHDOSE_STIM_DC_UP.html</t>
  </si>
  <si>
    <t>GSE32986_UNSTIM_VS_GMCSF_STIM_DC_DN</t>
  </si>
  <si>
    <t>3458;80301;56833;4050;441168;84329;59345;30835</t>
  </si>
  <si>
    <t>IFNG;PLEKHO2;SLAMF8;LTB;CALHM6;HVCN1;GNB4;CD209</t>
  </si>
  <si>
    <t>http://www.broadinstitute.org/gsea/msigdb/cards/GSE32986_UNSTIM_VS_GMCSF_STIM_DC_DN.html</t>
  </si>
  <si>
    <t>GSE30971_CTRL_VS_LPS_STIM_MACROPHAGE_WBP7_HET_2H_UP</t>
  </si>
  <si>
    <t>6351;3561;10666;19;3553;2358;3604;597</t>
  </si>
  <si>
    <t>CCL4;IL2RG;CD226;ABCA1;IL1B;FPR2;TNFRSF9;BCL2A1</t>
  </si>
  <si>
    <t>http://www.broadinstitute.org/gsea/msigdb/cards/GSE30971_CTRL_VS_LPS_STIM_MACROPHAGE_WBP7_HET_2H_UP.html</t>
  </si>
  <si>
    <t>GSE30971_2H_VS_4H_LPS_STIM_MACROPHAGE_WBP7_HET_UP</t>
  </si>
  <si>
    <t>4242;3689;2123;56833;8832;4360;10462;55803</t>
  </si>
  <si>
    <t>MFNG;ITGB2;EVI2A;SLAMF8;CD84;MRC1;CLEC10A;ADAP2</t>
  </si>
  <si>
    <t>http://www.broadinstitute.org/gsea/msigdb/cards/GSE30971_2H_VS_4H_LPS_STIM_MACROPHAGE_WBP7_HET_UP.html</t>
  </si>
  <si>
    <t>GSE36888_UNTREATED_VS_IL2_TREATED_TCELL_2H_DN</t>
  </si>
  <si>
    <t>84868;8832;341;1043;3988;10184;10077;51466</t>
  </si>
  <si>
    <t>HAVCR2;CD84;APOC1;CD52;LIPA;LHFPL2;TSPAN32;EVL</t>
  </si>
  <si>
    <t>http://www.broadinstitute.org/gsea/msigdb/cards/GSE36888_UNTREATED_VS_IL2_TREATED_TCELL_2H_DN.html</t>
  </si>
  <si>
    <t>2533;2350;5551;7805;80231;597;10462;27240</t>
  </si>
  <si>
    <t>FYB1;FOLR2;PRF1;LAPTM5;CXorf21;BCL2A1;CLEC10A;SIT1</t>
  </si>
  <si>
    <t>GSE37301_HEMATOPOIETIC_STEM_CELL_VS_MULTIPOTENT_PROGENITOR_DN</t>
  </si>
  <si>
    <t>9214;3055;221188;51311;10537;8564;348</t>
  </si>
  <si>
    <t>FCMR;HCK;ADGRG5;TLR8;UBD;KMO;APOE</t>
  </si>
  <si>
    <t>http://www.broadinstitute.org/gsea/msigdb/cards/GSE37301_HEMATOPOIETIC_STEM_CELL_VS_MULTIPOTENT_PROGENITOR_DN.html</t>
  </si>
  <si>
    <t>GSE37301_RAG2_KO_VS_RAG2_AND_ETS1_KO_NK_CELL_UP</t>
  </si>
  <si>
    <t>3689;929;7453;2313;219972;19;2113;7941</t>
  </si>
  <si>
    <t>ITGB2;CD14;WARS;FLI1;MPEG1;ABCA1;ETS1;PLA2G7</t>
  </si>
  <si>
    <t>http://www.broadinstitute.org/gsea/msigdb/cards/GSE37301_RAG2_KO_VS_RAG2_AND_ETS1_KO_NK_CELL_UP.html</t>
  </si>
  <si>
    <t>GSE37301_LYMPHOID_PRIMED_MPP_VS_COMMON_LYMPHOID_PROGENITOR_DN</t>
  </si>
  <si>
    <t>929;1234;6404;3717;4094;3162;5552;25939</t>
  </si>
  <si>
    <t>CD14;CCR5;SELPLG;JAK2;MAF;HMOX1;SRGN;SAMHD1</t>
  </si>
  <si>
    <t>http://www.broadinstitute.org/gsea/msigdb/cards/GSE37301_LYMPHOID_PRIMED_MPP_VS_COMMON_LYMPHOID_PROGENITOR_DN.html</t>
  </si>
  <si>
    <t>GSE37301_LYMPHOID_PRIMED_MPP_VS_CD4_TCELL_DN</t>
  </si>
  <si>
    <t>8514;7805;474344;53346;1102;241;9806;4644</t>
  </si>
  <si>
    <t>KCNAB2;LAPTM5;GIMAP6;TM6SF1;RCBTB2;ALOX5AP;SPOCK2;MYO5A</t>
  </si>
  <si>
    <t>http://www.broadinstitute.org/gsea/msigdb/cards/GSE37301_LYMPHOID_PRIMED_MPP_VS_CD4_TCELL_DN.html</t>
  </si>
  <si>
    <t>GSE37301_LYMPHOID_PRIMED_MPP_VS_RAG2_KO_NK_CELL_UP</t>
  </si>
  <si>
    <t>962;2123;3394;3662;64092;924;1435;7185</t>
  </si>
  <si>
    <t>CD48;EVI2A;IRF8;IRF4;SAMSN1;CD7;CSF1;TRAF1</t>
  </si>
  <si>
    <t>http://www.broadinstitute.org/gsea/msigdb/cards/GSE37301_LYMPHOID_PRIMED_MPP_VS_RAG2_KO_NK_CELL_UP.html</t>
  </si>
  <si>
    <t>GSE32901_TH1_VS_TH17_NEG_CD4_TCELL_UP</t>
  </si>
  <si>
    <t>1439;6890;5800;5552;115727;25939</t>
  </si>
  <si>
    <t>CSF2RB;TAP1;PTPRO;SRGN;RASGRP4;SAMHD1</t>
  </si>
  <si>
    <t>http://www.broadinstitute.org/gsea/msigdb/cards/GSE32901_TH1_VS_TH17_NEG_CD4_TCELL_UP.html</t>
  </si>
  <si>
    <t>340152;9402;2207;1439;5800;50615;10672</t>
  </si>
  <si>
    <t>ZC3H12D;GRAP2;FCER1G;CSF2RB;PTPRO;IL21R;GNA13</t>
  </si>
  <si>
    <t>GSE36527_CD62L_HIGH_CD69_NEG_VS_CD62L_LOW_CD69_POS_TREG_KLRG1_NEG_UP</t>
  </si>
  <si>
    <t>4242;54440;940;1236;3603;8320;10235;11217</t>
  </si>
  <si>
    <t>MFNG;SASH3;CD28;CCR7;IL16;EOMES;RASGRP2;AKAP2</t>
  </si>
  <si>
    <t>http://www.broadinstitute.org/gsea/msigdb/cards/GSE36527_CD62L_HIGH_CD69_NEG_VS_CD62L_LOW_CD69_POS_TREG_KLRG1_NEG_UP.html</t>
  </si>
  <si>
    <t>GSE40274_XBP1_VS_FOXP3_AND_XBP1_TRANSDUCED_ACTIVATED_CD4_TCELL_DN</t>
  </si>
  <si>
    <t>1236;7535;387357;59067;9120;3717;55704;91010</t>
  </si>
  <si>
    <t>CCR7;ZAP70;THEMIS;IL21;SLC16A6;JAK2;CCDC88A;FMNL3</t>
  </si>
  <si>
    <t>http://www.broadinstitute.org/gsea/msigdb/cards/GSE40274_XBP1_VS_FOXP3_AND_XBP1_TRANSDUCED_ACTIVATED_CD4_TCELL_DN.html</t>
  </si>
  <si>
    <t>GSE40274_GATA1_VS_FOXP3_AND_GATA1_TRANSDUCED_ACTIVATED_CD4_TCELL_DN</t>
  </si>
  <si>
    <t>8676;3559;26051;9120;6776;55704;51762;55013</t>
  </si>
  <si>
    <t>STX11;IL2RA;PPP1R16B;SLC16A6;STAT5A;CCDC88A;RAB8B;MCUB</t>
  </si>
  <si>
    <t>http://www.broadinstitute.org/gsea/msigdb/cards/GSE40274_GATA1_VS_FOXP3_AND_GATA1_TRANSDUCED_ACTIVATED_CD4_TCELL_DN.html</t>
  </si>
  <si>
    <t>GSE40277_EOS_AND_LEF1_TRANSDUCED_VS_GATA1_AND_SATB1_TRANSDUCED_CD4_TCELL_UP</t>
  </si>
  <si>
    <t>8676;7133;5734;942;115361;3112;168537;10077</t>
  </si>
  <si>
    <t>STX11;TNFRSF1B;PTGER4;CD86;GBP4;HLA-DOB;GIMAP7;TSPAN32</t>
  </si>
  <si>
    <t>http://www.broadinstitute.org/gsea/msigdb/cards/GSE40277_EOS_AND_LEF1_TRANSDUCED_VS_GATA1_AND_SATB1_TRANSDUCED_CD4_TCELL_UP.html</t>
  </si>
  <si>
    <t>GSE40666_NAIVE_VS_EFFECTOR_CD8_TCELL_UP</t>
  </si>
  <si>
    <t>5579;9459;387357;51225;3112;3109;814;91010</t>
  </si>
  <si>
    <t>PRKCB;ARHGEF6;THEMIS;ABI3;HLA-DOB;HLA-DMB;CAMK4;FMNL3</t>
  </si>
  <si>
    <t>http://www.broadinstitute.org/gsea/msigdb/cards/GSE40666_NAIVE_VS_EFFECTOR_CD8_TCELL_UP.html</t>
  </si>
  <si>
    <t>GSE11961_GERMINAL_CENTER_BCELL_DAY7_VS_GERMINAL_CENTER_BCELL_DAY40_UP</t>
  </si>
  <si>
    <t>3683;8514;8477;64333;3956;6693;3902;151556</t>
  </si>
  <si>
    <t>ITGAL;KCNAB2;GPR65;ARHGAP9;LGALS1;SPN;LAG3;GPR155</t>
  </si>
  <si>
    <t>http://www.broadinstitute.org/gsea/msigdb/cards/GSE11961_GERMINAL_CENTER_BCELL_DAY7_VS_GERMINAL_CENTER_BCELL_DAY40_UP.html</t>
  </si>
  <si>
    <t>GSE11961_FOLLICULAR_BCELL_VS_GERMINAL_CENTER_BCELL_DAY7_DN</t>
  </si>
  <si>
    <t>6772;4283;730249;5376;969;79865;118788;116071</t>
  </si>
  <si>
    <t>STAT1;CXCL9;ACOD1;PMP22;CD69;TREML2;PIK3AP1;BATF2</t>
  </si>
  <si>
    <t>http://www.broadinstitute.org/gsea/msigdb/cards/GSE11961_FOLLICULAR_BCELL_VS_GERMINAL_CENTER_BCELL_DAY7_DN.html</t>
  </si>
  <si>
    <t>GSE28737_BCL6_HET_VS_BCL6_KO_MARGINAL_ZONE_BCELL_UP</t>
  </si>
  <si>
    <t>3627;3702;387357;51284;1621;2999;9938;55691</t>
  </si>
  <si>
    <t>CXCL10;ITK;THEMIS;TLR7;DBH;GZMH;ARHGAP25;FRMD4A</t>
  </si>
  <si>
    <t>http://www.broadinstitute.org/gsea/msigdb/cards/GSE28737_BCL6_HET_VS_BCL6_KO_MARGINAL_ZONE_BCELL_UP.html</t>
  </si>
  <si>
    <t>GSE40655_FOXO1_KO_VS_WT_NTREG_UP</t>
  </si>
  <si>
    <t>3603;3903;57580;139716;51744;58475;4208;64919</t>
  </si>
  <si>
    <t>IL16;LAIR1;PREX1;GAB3;CD244;MS4A7;MEF2C;BCL11B</t>
  </si>
  <si>
    <t>http://www.broadinstitute.org/gsea/msigdb/cards/GSE40655_FOXO1_KO_VS_WT_NTREG_UP.html</t>
  </si>
  <si>
    <t>GSE41867_NAIVE_VS_DAY6_LCMV_ARMSTRONG_EFFECTOR_CD8_TCELL_UP</t>
  </si>
  <si>
    <t>27334;4354;8477;80380;79974;2113;57823;4644</t>
  </si>
  <si>
    <t>P2RY10;MPP1;GPR65;PDCD1LG2;CPED1;ETS1;SLAMF7;MYO5A</t>
  </si>
  <si>
    <t>http://www.broadinstitute.org/gsea/msigdb/cards/GSE41867_NAIVE_VS_DAY6_LCMV_ARMSTRONG_EFFECTOR_CD8_TCELL_UP.html</t>
  </si>
  <si>
    <t>GSE41867_NAIVE_VS_DAY30_LCMV_ARMSTRONG_MEMORY_CD8_TCELL_UP</t>
  </si>
  <si>
    <t>962;10225;286336;27033;9034;3717;51762;59345</t>
  </si>
  <si>
    <t>CD48;CD96;FAM78A;ZBTB32;CCRL2;JAK2;RAB8B;GNB4</t>
  </si>
  <si>
    <t>http://www.broadinstitute.org/gsea/msigdb/cards/GSE41867_NAIVE_VS_DAY30_LCMV_ARMSTRONG_MEMORY_CD8_TCELL_UP.html</t>
  </si>
  <si>
    <t>GSE41867_DAY15_EFFECTOR_VS_DAY30_MEMORY_CD8_TCELL_LCMV_ARMSTRONG_DN</t>
  </si>
  <si>
    <t>4671;286336;91752;58484;729230;1601;84541;84106</t>
  </si>
  <si>
    <t>NAIP;FAM78A;ZNF804A;NLRC4;CCR2;DAB2;KBTBD8;PRAM1</t>
  </si>
  <si>
    <t>http://www.broadinstitute.org/gsea/msigdb/cards/GSE41867_DAY15_EFFECTOR_VS_DAY30_MEMORY_CD8_TCELL_LCMV_ARMSTRONG_DN.html</t>
  </si>
  <si>
    <t>GSE36826_NORMAL_VS_STAPH_AUREUS_INF_IL1R_KO_SKIN_UP</t>
  </si>
  <si>
    <t>940;2350;4689;8742;2162;4481;6518;56606</t>
  </si>
  <si>
    <t>CD28;FOLR2;NCF4;TNFSF12;F13A1;MSR1;SLC2A5;SLC2A9</t>
  </si>
  <si>
    <t>http://www.broadinstitute.org/gsea/msigdb/cards/GSE36826_NORMAL_VS_STAPH_AUREUS_INF_IL1R_KO_SKIN_UP.html</t>
  </si>
  <si>
    <t>GSE41978_ID2_KO_VS_ID2_KO_AND_BIM_KO_KLRG1_LOW_EFFECTOR_CD8_TCELL_UP</t>
  </si>
  <si>
    <t>914;3055;695;10154;5376;2529;89846;10462</t>
  </si>
  <si>
    <t>CD2;HCK;BTK;PLXNC1;PMP22;FUT7;FGD3;CLEC10A</t>
  </si>
  <si>
    <t>http://www.broadinstitute.org/gsea/msigdb/cards/GSE41978_ID2_KO_VS_ID2_KO_AND_BIM_KO_KLRG1_LOW_EFFECTOR_CD8_TCELL_UP.html</t>
  </si>
  <si>
    <t>GSE42021_TREG_PLN_VS_CD24LO_TREG_THYMUS_UP</t>
  </si>
  <si>
    <t>4542;9450;7133;240;926;140885;9363;55013</t>
  </si>
  <si>
    <t>MYO1F;LY86;TNFRSF1B;ALOX5;CD8B;SIRPA;RAB33A;MCUB</t>
  </si>
  <si>
    <t>http://www.broadinstitute.org/gsea/msigdb/cards/GSE42021_TREG_PLN_VS_CD24LO_TREG_THYMUS_UP.html</t>
  </si>
  <si>
    <t>GSE43955_TH0_VS_TGFB_IL6_TH17_ACT_CD4_TCELL_10H_UP</t>
  </si>
  <si>
    <t>3932;963;942;199;255231;3586;2358;1601</t>
  </si>
  <si>
    <t>LCK;CD53;CD86;AIF1;MCOLN2;IL10;FPR2;DAB2</t>
  </si>
  <si>
    <t>http://www.broadinstitute.org/gsea/msigdb/cards/GSE43955_TH0_VS_TGFB_IL6_TH17_ACT_CD4_TCELL_10H_UP.html</t>
  </si>
  <si>
    <t>GSE43955_TH0_VS_TGFB_IL6_TH17_ACT_CD4_TCELL_10H_DN</t>
  </si>
  <si>
    <t>10068;6351;4283;115361;29851;3824;23166;9935</t>
  </si>
  <si>
    <t>IL18BP;CCL4;CXCL9;GBP4;ICOS;KLRD1;STAB1;MAFB</t>
  </si>
  <si>
    <t>http://www.broadinstitute.org/gsea/msigdb/cards/GSE43955_TH0_VS_TGFB_IL6_TH17_ACT_CD4_TCELL_10H_DN.html</t>
  </si>
  <si>
    <t>GSE43955_TH0_VS_TGFB_IL6_TH17_ACT_CD4_TCELL_20H_UP</t>
  </si>
  <si>
    <t>972;1536;6352;3603;2672;54;3586;1235</t>
  </si>
  <si>
    <t>CD74;CYBB;CCL5;IL16;GFI1;ACP5;IL10;CCR6</t>
  </si>
  <si>
    <t>http://www.broadinstitute.org/gsea/msigdb/cards/GSE43955_TH0_VS_TGFB_IL6_TH17_ACT_CD4_TCELL_20H_UP.html</t>
  </si>
  <si>
    <t>GSE43955_TH0_VS_TGFB_IL6_IL23_TH17_ACT_CD4_TCELL_52H_DN</t>
  </si>
  <si>
    <t>2209;963;942;3394;3956;3902;2358;1601</t>
  </si>
  <si>
    <t>FCGR1A;CD53;CD86;IRF8;LGALS1;LAG3;FPR2;DAB2</t>
  </si>
  <si>
    <t>http://www.broadinstitute.org/gsea/msigdb/cards/GSE43955_TH0_VS_TGFB_IL6_IL23_TH17_ACT_CD4_TCELL_52H_DN.html</t>
  </si>
  <si>
    <t>GSE43955_1H_VS_10H_ACT_CD4_TCELL_DN</t>
  </si>
  <si>
    <t>9595;914;3695;1234;3394;4689;80896;3586</t>
  </si>
  <si>
    <t>CYTIP;CD2;ITGB7;CCR5;IRF8;NCF4;NPL;IL10</t>
  </si>
  <si>
    <t>http://www.broadinstitute.org/gsea/msigdb/cards/GSE43955_1H_VS_10H_ACT_CD4_TCELL_DN.html</t>
  </si>
  <si>
    <t>GSE43955_1H_VS_20H_ACT_CD4_TCELL_DN</t>
  </si>
  <si>
    <t>9595;1436;3659;4689;255231;3111;89846;23166</t>
  </si>
  <si>
    <t>CYTIP;CSF1R;IRF1;NCF4;MCOLN2;HLA-DOA;FGD3;STAB1</t>
  </si>
  <si>
    <t>http://www.broadinstitute.org/gsea/msigdb/cards/GSE43955_1H_VS_20H_ACT_CD4_TCELL_DN.html</t>
  </si>
  <si>
    <t>GSE43955_1H_VS_20H_ACT_CD4_TCELL_WITH_TGFB_IL6_UP</t>
  </si>
  <si>
    <t>9051;3055;8514;6404;5800;11184;9056;3109</t>
  </si>
  <si>
    <t>PSTPIP1;HCK;KCNAB2;SELPLG;PTPRO;MAP4K1;SLC7A7;HLA-DMB</t>
  </si>
  <si>
    <t>http://www.broadinstitute.org/gsea/msigdb/cards/GSE43955_1H_VS_20H_ACT_CD4_TCELL_WITH_TGFB_IL6_UP.html</t>
  </si>
  <si>
    <t>7456;3055;2268;3687;10437;526;2358;64747</t>
  </si>
  <si>
    <t>WIPF1;HCK;FGR;ITGAX;IFI30;ATP6V1B2;FPR2;MFSD1</t>
  </si>
  <si>
    <t>http://www.broadinstitute.org/gsea/msigdb/cards/GSE43955_10H_VS_60H_ACT_CD4_TCELL_WITH_TGFB_IL6_UP.html</t>
  </si>
  <si>
    <t>GSE43863_NAIVE_VS_LY6C_LOW_CXCR5NEG_CD4_EFF_TCELL_D6_LCMV_DN</t>
  </si>
  <si>
    <t>7305;4245;283897;197358;9332;3956;4066;284759</t>
  </si>
  <si>
    <t>TYROBP;MGAT1;C16orf54;NLRC3;CD163;LGALS1;LYL1;SIRPB2</t>
  </si>
  <si>
    <t>http://www.broadinstitute.org/gsea/msigdb/cards/GSE43863_NAIVE_VS_LY6C_LOW_CXCR5NEG_CD4_EFF_TCELL_D6_LCMV_DN.html</t>
  </si>
  <si>
    <t>GSE43863_TFH_VS_LY6C_INT_CXCR5POS_MEMORY_CD4_TCELL_DN</t>
  </si>
  <si>
    <t>972;89790;8564;3117;10437;4208;3123;84106</t>
  </si>
  <si>
    <t>CD74;SIGLEC10;KMO;HLA-DQA1;IFI30;MEF2C;HLA-DRB1;PRAM1</t>
  </si>
  <si>
    <t>http://www.broadinstitute.org/gsea/msigdb/cards/GSE43863_TFH_VS_LY6C_INT_CXCR5POS_MEMORY_CD4_TCELL_DN.html</t>
  </si>
  <si>
    <t>GSE43863_TH1_VS_TFH_EFFECTOR_CD4_TCELL_DN</t>
  </si>
  <si>
    <t>951;1236;9744;399;6793;3112;4050;814</t>
  </si>
  <si>
    <t>CD37;CCR7;ACAP1;RHOH;STK10;HLA-DOB;LTB;CAMK4</t>
  </si>
  <si>
    <t>http://www.broadinstitute.org/gsea/msigdb/cards/GSE43863_TH1_VS_TFH_EFFECTOR_CD4_TCELL_DN.html</t>
  </si>
  <si>
    <t>GSE44649_NAIVE_VS_ACTIVATED_CD8_TCELL_UP</t>
  </si>
  <si>
    <t>3594;3587;170575;1794;64333;3108;5133;51466</t>
  </si>
  <si>
    <t>IL12RB1;IL10RA;GIMAP1;DOCK2;ARHGAP9;HLA-DMA;PDCD1;EVL</t>
  </si>
  <si>
    <t>http://www.broadinstitute.org/gsea/msigdb/cards/GSE44649_NAIVE_VS_ACTIVATED_CD8_TCELL_UP.html</t>
  </si>
  <si>
    <t>GSE42724_NAIVE_VS_B1_BCELL_UP</t>
  </si>
  <si>
    <t>10068;3659;2209;7453;5452;6891;161176;55691</t>
  </si>
  <si>
    <t>IL18BP;IRF1;FCGR1A;WARS;POU2F2;TAP2;SYNE3;FRMD4A</t>
  </si>
  <si>
    <t>http://www.broadinstitute.org/gsea/msigdb/cards/GSE42724_NAIVE_VS_B1_BCELL_UP.html</t>
  </si>
  <si>
    <t>GSE46606_UNSTIM_VS_CD40L_IL2_IL5_3DAY_STIMULATED_IRF4_KO_BCELL_DN</t>
  </si>
  <si>
    <t>22797;3627;4245;259307;80231;56253;4481;55281</t>
  </si>
  <si>
    <t>TFEC;CXCL10;MGAT1;IL4I1;CXorf21;CRTAM;MSR1;TMEM140</t>
  </si>
  <si>
    <t>http://www.broadinstitute.org/gsea/msigdb/cards/GSE46606_UNSTIM_VS_CD40L_IL2_IL5_3DAY_STIMULATED_IRF4_KO_BCELL_DN.html</t>
  </si>
  <si>
    <t>9595;3394;219972;139716;225;25900;151556;9935</t>
  </si>
  <si>
    <t>CYTIP;IRF8;MPEG1;GAB3;ABCD2;IFFO1;GPR155;MAFB</t>
  </si>
  <si>
    <t>http://www.broadinstitute.org/gsea/msigdb/cards/GSE46606_IRF4_KO_VS_WT_UNSTIM_BCELL_UP.html</t>
  </si>
  <si>
    <t>3559;7133;6772;84166;3002;4818;8605;51513</t>
  </si>
  <si>
    <t>IL2RA;TNFRSF1B;STAT1;NLRC5;GZMB;NKG7;PLA2G4C;ETV7</t>
  </si>
  <si>
    <t>http://www.broadinstitute.org/gsea/msigdb/cards/GSE46606_DAY1_VS_DAY3_CD40L_IL2_IL5_STIMULATED_BCELL_DN.html</t>
  </si>
  <si>
    <t>GSE46025_WT_VS_FOXO1_KO_KLRG1_LOW_CD8_EFFECTOR_TCELL_DN</t>
  </si>
  <si>
    <t>7456;7305;120939;8477;80342;9034;91526;4644</t>
  </si>
  <si>
    <t>WIPF1;TYROBP;TMEM52B;GPR65;TRAF3IP3;CCRL2;ANKRD44;MYO5A</t>
  </si>
  <si>
    <t>http://www.broadinstitute.org/gsea/msigdb/cards/GSE46025_WT_VS_FOXO1_KO_KLRG1_LOW_CD8_EFFECTOR_TCELL_DN.html</t>
  </si>
  <si>
    <t>GSE41176_UNSTIM_VS_ANTI_IGM_STIM_BCELL_24H_UP</t>
  </si>
  <si>
    <t>8676;10871;51311;1621;6546;6556;1601;10077</t>
  </si>
  <si>
    <t>STX11;CD300C;TLR8;DBH;SLC8A1;SLC11A1;DAB2;TSPAN32</t>
  </si>
  <si>
    <t>http://www.broadinstitute.org/gsea/msigdb/cards/GSE41176_UNSTIM_VS_ANTI_IGM_STIM_BCELL_24H_UP.html</t>
  </si>
  <si>
    <t>GSE45365_WT_VS_IFNAR_KO_CD8A_DC_UP</t>
  </si>
  <si>
    <t>9051;11151;3603;4360;3988;7454;25900;4033</t>
  </si>
  <si>
    <t>PSTPIP1;CORO1A;IL16;MRC1;LIPA;WAS;IFFO1;LRMP</t>
  </si>
  <si>
    <t>http://www.broadinstitute.org/gsea/msigdb/cards/GSE45365_WT_VS_IFNAR_KO_CD8A_DC_UP.html</t>
  </si>
  <si>
    <t>GSE45365_WT_VS_IFNAR_KO_CD8A_DC_MCMV_INFECTION_DN</t>
  </si>
  <si>
    <t>10663;3559;917;1378;2219;1621;2113;3737</t>
  </si>
  <si>
    <t>CXCR6;IL2RA;CD3G;CR1;FCN1;DBH;ETS1;KCNA2</t>
  </si>
  <si>
    <t>http://www.broadinstitute.org/gsea/msigdb/cards/GSE45365_WT_VS_IFNAR_KO_CD8A_DC_MCMV_INFECTION_DN.html</t>
  </si>
  <si>
    <t>GSE45365_WT_VS_IFNAR_KO_BCELL_UP</t>
  </si>
  <si>
    <t>11025;2014;126364;146722;27180;8564;4481;79168</t>
  </si>
  <si>
    <t>LILRB3;EMP3;LRRC25;CD300LF;SIGLEC9;KMO;MSR1;LILRA6</t>
  </si>
  <si>
    <t>http://www.broadinstitute.org/gsea/msigdb/cards/GSE45365_WT_VS_IFNAR_KO_BCELL_UP.html</t>
  </si>
  <si>
    <t>GSE9946_MATURE_STIMULATORY_VS_PROSTAGLANDINE2_TREATED_MATURE_DC_UP</t>
  </si>
  <si>
    <t>914;313;79626;4688;441168;4215</t>
  </si>
  <si>
    <t>CD2;AOAH;TNFAIP8L2;NCF2;CALHM6;MAP3K3</t>
  </si>
  <si>
    <t>http://www.broadinstitute.org/gsea/msigdb/cards/GSE9946_MATURE_STIMULATORY_VS_PROSTAGLANDINE2_TREATED_MATURE_DC_UP.html</t>
  </si>
  <si>
    <t>GSE3920_UNTREATED_VS_IFNG_TREATED_FIBROBLAST_UP</t>
  </si>
  <si>
    <t>3001;51056;3594;2672;80380;924;22806</t>
  </si>
  <si>
    <t>GZMA;LAP3;IL12RB1;GFI1;PDCD1LG2;CD7;IKZF3</t>
  </si>
  <si>
    <t>http://www.broadinstitute.org/gsea/msigdb/cards/GSE3920_UNTREATED_VS_IFNG_TREATED_FIBROBLAST_UP.html</t>
  </si>
  <si>
    <t>GSE9946_IMMATURE_VS_MATURE_STIMULATORY_DC_DN</t>
  </si>
  <si>
    <t>3559;221188;4481;64581;6614;26279</t>
  </si>
  <si>
    <t>IL2RA;ADGRG5;MSR1;CLEC7A;SIGLEC1;PLA2G2D</t>
  </si>
  <si>
    <t>http://www.broadinstitute.org/gsea/msigdb/cards/GSE9946_IMMATURE_VS_MATURE_STIMULATORY_DC_DN.html</t>
  </si>
  <si>
    <t>GSE4984_GALECTIN1_VS_LPS_STIM_DC_DN</t>
  </si>
  <si>
    <t>9595;11025;9450;8514;4033;84230;10507</t>
  </si>
  <si>
    <t>CYTIP;LILRB3;LY86;KCNAB2;LRMP;LRRC8C;SEMA4D</t>
  </si>
  <si>
    <t>http://www.broadinstitute.org/gsea/msigdb/cards/GSE4984_GALECTIN1_VS_LPS_STIM_DC_DN.html</t>
  </si>
  <si>
    <t>3627;117289;80380;7185;89846;84106;29126</t>
  </si>
  <si>
    <t>CXCL10;TAGAP;PDCD1LG2;TRAF1;FGD3;PRAM1;CD274</t>
  </si>
  <si>
    <t>GSE37532_VISCERAL_ADIPOSE_TISSUE_VS_LN_DERIVED_TREG_CD4_TCELL_UP</t>
  </si>
  <si>
    <t>3560;941;201633;1794;197135;19;55013</t>
  </si>
  <si>
    <t>IL2RB;CD80;TIGIT;DOCK2;PATL2;ABCA1;MCUB</t>
  </si>
  <si>
    <t>http://www.broadinstitute.org/gsea/msigdb/cards/GSE37532_VISCERAL_ADIPOSE_TISSUE_VS_LN_DERIVED_TREG_CD4_TCELL_UP.html</t>
  </si>
  <si>
    <t>GSE7459_UNTREATED_VS_IL6_TREATED_ACT_CD4_TCELL_UP</t>
  </si>
  <si>
    <t>340152;54557;10235;25890;80821;168537</t>
  </si>
  <si>
    <t>ZC3H12D;SGTB;RASGRP2;ABI3BP;DDHD1;GIMAP7</t>
  </si>
  <si>
    <t>http://www.broadinstitute.org/gsea/msigdb/cards/GSE7459_UNTREATED_VS_IL6_TREATED_ACT_CD4_TCELL_UP.html</t>
  </si>
  <si>
    <t>GSE6269_HEALTHY_VS_E_COLI_INF_PBMC_DN</t>
  </si>
  <si>
    <t>1536;5341;2210;80896;1621;6037;140885</t>
  </si>
  <si>
    <t>CYBB;PLEK;FCGR1B;NPL;DBH;RNASE3;SIRPA</t>
  </si>
  <si>
    <t>http://www.broadinstitute.org/gsea/msigdb/cards/GSE6269_HEALTHY_VS_E_COLI_INF_PBMC_DN.html</t>
  </si>
  <si>
    <t>GSE32901_TH17_EMRICHED_VS_TH17_NEG_CD4_TCELL_DN</t>
  </si>
  <si>
    <t>9595;959;286336;64333;3059;7185;6503</t>
  </si>
  <si>
    <t>CYTIP;CD40LG;FAM78A;ARHGAP9;HCLS1;TRAF1;SLA</t>
  </si>
  <si>
    <t>http://www.broadinstitute.org/gsea/msigdb/cards/GSE32901_TH17_EMRICHED_VS_TH17_NEG_CD4_TCELL_DN.html</t>
  </si>
  <si>
    <t>GSE9946_IMMATURE_VS_LISTERIA_INF_MATURE_DC_UP</t>
  </si>
  <si>
    <t>3055;4354;348378;58475;730249;56670</t>
  </si>
  <si>
    <t>HCK;MPP1;SHISAL2A;MS4A7;ACOD1;SUCNR1</t>
  </si>
  <si>
    <t>http://www.broadinstitute.org/gsea/msigdb/cards/GSE9946_IMMATURE_VS_LISTERIA_INF_MATURE_DC_UP.html</t>
  </si>
  <si>
    <t>GSE12507_PDC_CELL_LINE_VS_IMMATUE_T_CELL_LINE_DN</t>
  </si>
  <si>
    <t>653361;348378;55016;27299;4360;4327</t>
  </si>
  <si>
    <t>NCF1;SHISAL2A;MARCH1;ADAMDEC1;MRC1;MMP19</t>
  </si>
  <si>
    <t>http://www.broadinstitute.org/gsea/msigdb/cards/GSE12507_PDC_CELL_LINE_VS_IMMATUE_T_CELL_LINE_DN.html</t>
  </si>
  <si>
    <t>GSE13173_UNTREATED_VS_IL12_TREATED_ACT_CD8_TCELL_DN</t>
  </si>
  <si>
    <t>2350;114836;57105;64092;2857;10672</t>
  </si>
  <si>
    <t>FOLR2;SLAMF6;CYSLTR2;SAMSN1;GPR34;GNA13</t>
  </si>
  <si>
    <t>http://www.broadinstitute.org/gsea/msigdb/cards/GSE13173_UNTREATED_VS_IL12_TREATED_ACT_CD8_TCELL_DN.html</t>
  </si>
  <si>
    <t>3512;973;3385;608;5368;5450;54900;11040;3782</t>
  </si>
  <si>
    <t>JCHAIN;CD79A;ICAM3;TNFRSF17;PNOC;POU2AF1;LAX1;PIM2;KCNN3</t>
  </si>
  <si>
    <t>VECCHI_GASTRIC_CANCER_EARLY_DN</t>
  </si>
  <si>
    <t>3512;973;270;608;5368;5450;51237;83416</t>
  </si>
  <si>
    <t>JCHAIN;CD79A;AMPD1;TNFRSF17;PNOC;POU2AF1;MZB1;FCRL5</t>
  </si>
  <si>
    <t>http://www.broadinstitute.org/gsea/msigdb/cards/VECCHI_GASTRIC_CANCER_EARLY_DN.html</t>
  </si>
  <si>
    <t>3512;939;5368;5450;3782</t>
  </si>
  <si>
    <t>JCHAIN;CD27;PNOC;POU2AF1;KCNN3</t>
  </si>
  <si>
    <t>3512;608;5450;51237</t>
  </si>
  <si>
    <t>JCHAIN;TNFRSF17;POU2AF1;MZB1</t>
  </si>
  <si>
    <t>3512;973;939;5450;51237;11040</t>
  </si>
  <si>
    <t>JCHAIN;CD79A;CD27;POU2AF1;MZB1;PIM2</t>
  </si>
  <si>
    <t>3512;7253;608;5450;11040;3782</t>
  </si>
  <si>
    <t>JCHAIN;TSHR;TNFRSF17;POU2AF1;PIM2;KCNN3</t>
  </si>
  <si>
    <t>3512;973;939;608;5368;5450;51237</t>
  </si>
  <si>
    <t>JCHAIN;CD79A;CD27;TNFRSF17;PNOC;POU2AF1;MZB1</t>
  </si>
  <si>
    <t>973;3543;939;5450;51237</t>
  </si>
  <si>
    <t>CD79A;IGLL1;CD27;POU2AF1;MZB1</t>
  </si>
  <si>
    <t>SHAFFER_IRF4_MULTIPLE_MYELOMA_PROGRAM</t>
  </si>
  <si>
    <t>270;608;11040</t>
  </si>
  <si>
    <t>AMPD1;TNFRSF17;PIM2</t>
  </si>
  <si>
    <t>http://www.broadinstitute.org/gsea/msigdb/cards/SHAFFER_IRF4_MULTIPLE_MYELOMA_PROGRAM.html</t>
  </si>
  <si>
    <t>3512;973;939;608;5450;51237</t>
  </si>
  <si>
    <t>JCHAIN;CD79A;CD27;TNFRSF17;POU2AF1;MZB1</t>
  </si>
  <si>
    <t>ZHAN_MULTIPLE_MYELOMA_CD2_UP</t>
  </si>
  <si>
    <t>973;939;5368</t>
  </si>
  <si>
    <t>CD79A;CD27;PNOC</t>
  </si>
  <si>
    <t>http://www.broadinstitute.org/gsea/msigdb/cards/ZHAN_MULTIPLE_MYELOMA_CD2_UP.html</t>
  </si>
  <si>
    <t>973;3543;939;5450;11040</t>
  </si>
  <si>
    <t>CD79A;IGLL1;CD27;POU2AF1;PIM2</t>
  </si>
  <si>
    <t>SHAFFER_IRF4_TARGETS_IN_PLASMA_CELL_VS_MATURE_B_LYMPHOCYTE</t>
  </si>
  <si>
    <t>http://www.broadinstitute.org/gsea/msigdb/cards/SHAFFER_IRF4_TARGETS_IN_PLASMA_CELL_VS_MATURE_B_LYMPHOCYTE.html</t>
  </si>
  <si>
    <t>3512;973;3543;939;608;5450;11040;3782</t>
  </si>
  <si>
    <t>JCHAIN;CD79A;IGLL1;CD27;TNFRSF17;POU2AF1;PIM2;KCNN3</t>
  </si>
  <si>
    <t>973;270;5368</t>
  </si>
  <si>
    <t>CD79A;AMPD1;PNOC</t>
  </si>
  <si>
    <t>939;608</t>
  </si>
  <si>
    <t>CD27;TNFRSF17</t>
  </si>
  <si>
    <t>HELLER_SILENCED_BY_METHYLATION_DN</t>
  </si>
  <si>
    <t>3512;7253;608</t>
  </si>
  <si>
    <t>JCHAIN;TSHR;TNFRSF17</t>
  </si>
  <si>
    <t>http://www.broadinstitute.org/gsea/msigdb/cards/HELLER_SILENCED_BY_METHYLATION_DN.html</t>
  </si>
  <si>
    <t>7253;608;5450;3782</t>
  </si>
  <si>
    <t>TSHR;TNFRSF17;POU2AF1;KCNN3</t>
  </si>
  <si>
    <t>SHAFFER_IRF4_TARGETS_IN_MYELOMA_VS_MATURE_B_LYMPHOCYTE</t>
  </si>
  <si>
    <t>http://www.broadinstitute.org/gsea/msigdb/cards/SHAFFER_IRF4_TARGETS_IN_MYELOMA_VS_MATURE_B_LYMPHOCYTE.html</t>
  </si>
  <si>
    <t>3512;939;5450;11040</t>
  </si>
  <si>
    <t>JCHAIN;CD27;POU2AF1;PIM2</t>
  </si>
  <si>
    <t>3512;973;608;5450</t>
  </si>
  <si>
    <t>JCHAIN;CD79A;TNFRSF17;POU2AF1</t>
  </si>
  <si>
    <t>270;5450;11040</t>
  </si>
  <si>
    <t>AMPD1;POU2AF1;PIM2</t>
  </si>
  <si>
    <t>973;3543;939;5023;608</t>
  </si>
  <si>
    <t>CD79A;IGLL1;CD27;P2RX1;TNFRSF17</t>
  </si>
  <si>
    <t>973;3543;939;3385</t>
  </si>
  <si>
    <t>CD79A;IGLL1;CD27;ICAM3</t>
  </si>
  <si>
    <t>3385;5023;11040</t>
  </si>
  <si>
    <t>ICAM3;P2RX1;PIM2</t>
  </si>
  <si>
    <t>3512;973;939;3385;11040</t>
  </si>
  <si>
    <t>JCHAIN;CD79A;CD27;ICAM3;PIM2</t>
  </si>
  <si>
    <t>3512;973;3385;5023;11040</t>
  </si>
  <si>
    <t>JCHAIN;CD79A;ICAM3;P2RX1;PIM2</t>
  </si>
  <si>
    <t>3512;973;939;3385</t>
  </si>
  <si>
    <t>JCHAIN;CD79A;CD27;ICAM3</t>
  </si>
  <si>
    <t>973;3543;939</t>
  </si>
  <si>
    <t>CD79A;IGLL1;CD27</t>
  </si>
  <si>
    <t>100423062;3512;973;3543;939;608;54900</t>
  </si>
  <si>
    <t>IGLL5;JCHAIN;CD79A;IGLL1;CD27;TNFRSF17;LAX1</t>
  </si>
  <si>
    <t>GO_IMMUNOGLOBULIN_COMPLEX</t>
  </si>
  <si>
    <t>100423062;3512;973;3543</t>
  </si>
  <si>
    <t>IGLL5;JCHAIN;CD79A;IGLL1</t>
  </si>
  <si>
    <t>http://www.broadinstitute.org/gsea/msigdb/cards/GO_IMMUNOGLOBULIN_COMPLEX.html</t>
  </si>
  <si>
    <t>100423062;3512;973;3543;939;3385;608;5450;389643;54900</t>
  </si>
  <si>
    <t>IGLL5;JCHAIN;CD79A;IGLL1;CD27;ICAM3;TNFRSF17;POU2AF1;NUGGC;LAX1</t>
  </si>
  <si>
    <t>100423062;3512;973;3543;939;608;5450;54900</t>
  </si>
  <si>
    <t>IGLL5;JCHAIN;CD79A;IGLL1;CD27;TNFRSF17;POU2AF1;LAX1</t>
  </si>
  <si>
    <t>GO_IMMUNOGLOBULIN_RECEPTOR_BINDING</t>
  </si>
  <si>
    <t>100423062;3512;3543</t>
  </si>
  <si>
    <t>IGLL5;JCHAIN;IGLL1</t>
  </si>
  <si>
    <t>http://www.broadinstitute.org/gsea/msigdb/cards/GO_IMMUNOGLOBULIN_RECEPTOR_BINDING.html</t>
  </si>
  <si>
    <t>100423062;3543;939;51237</t>
  </si>
  <si>
    <t>IGLL5;IGLL1;CD27;MZB1</t>
  </si>
  <si>
    <t>100423062;973;3543;939;3385;54900;51237</t>
  </si>
  <si>
    <t>IGLL5;CD79A;IGLL1;CD27;ICAM3;LAX1;MZB1</t>
  </si>
  <si>
    <t>100423062;973;3543;3385;54900</t>
  </si>
  <si>
    <t>IGLL5;CD79A;IGLL1;ICAM3;LAX1</t>
  </si>
  <si>
    <t>100423062;973;3543;939;3385;54900;51237;83416</t>
  </si>
  <si>
    <t>IGLL5;CD79A;IGLL1;CD27;ICAM3;LAX1;MZB1;FCRL5</t>
  </si>
  <si>
    <t>100423062;973;3543</t>
  </si>
  <si>
    <t>IGLL5;CD79A;IGLL1</t>
  </si>
  <si>
    <t>100423062;3512;3543;5450</t>
  </si>
  <si>
    <t>IGLL5;JCHAIN;IGLL1;POU2AF1</t>
  </si>
  <si>
    <t>100423062;973;3543;54900</t>
  </si>
  <si>
    <t>IGLL5;CD79A;IGLL1;LAX1</t>
  </si>
  <si>
    <t>100423062;973;3543;939;5023</t>
  </si>
  <si>
    <t>IGLL5;CD79A;IGLL1;CD27;P2RX1</t>
  </si>
  <si>
    <t>100423062;3543;939;54900;51237</t>
  </si>
  <si>
    <t>IGLL5;IGLL1;CD27;LAX1;MZB1</t>
  </si>
  <si>
    <t>100423062;973;3543;939</t>
  </si>
  <si>
    <t>IGLL5;CD79A;IGLL1;CD27</t>
  </si>
  <si>
    <t>100423062;973;3543;3385;54900;83416</t>
  </si>
  <si>
    <t>IGLL5;CD79A;IGLL1;ICAM3;LAX1;FCRL5</t>
  </si>
  <si>
    <t>100423062;3543;939</t>
  </si>
  <si>
    <t>IGLL5;IGLL1;CD27</t>
  </si>
  <si>
    <t>100423062;973;3543;939;3385;54900;11040;2837</t>
  </si>
  <si>
    <t>IGLL5;CD79A;IGLL1;CD27;ICAM3;LAX1;PIM2;UTS2R</t>
  </si>
  <si>
    <t>3512;608;5368;5450;54900;51237;91319;83416</t>
  </si>
  <si>
    <t>JCHAIN;TNFRSF17;PNOC;POU2AF1;LAX1;MZB1;DERL3;FCRL5</t>
  </si>
  <si>
    <t>3512;973;939;608;5368;5450;51237;83416</t>
  </si>
  <si>
    <t>JCHAIN;CD79A;CD27;TNFRSF17;PNOC;POU2AF1;MZB1;FCRL5</t>
  </si>
  <si>
    <t>3512;973;939;5368;5450;51237;11040</t>
  </si>
  <si>
    <t>JCHAIN;CD79A;CD27;PNOC;POU2AF1;MZB1;PIM2</t>
  </si>
  <si>
    <t>3512;973;608;5368;54900;51237;83416</t>
  </si>
  <si>
    <t>JCHAIN;CD79A;TNFRSF17;PNOC;LAX1;MZB1;FCRL5</t>
  </si>
  <si>
    <t>3512;973;608;5368;5450;51237</t>
  </si>
  <si>
    <t>JCHAIN;CD79A;TNFRSF17;PNOC;POU2AF1;MZB1</t>
  </si>
  <si>
    <t>3512;973;5368;5450;51237;11040</t>
  </si>
  <si>
    <t>JCHAIN;CD79A;PNOC;POU2AF1;MZB1;PIM2</t>
  </si>
  <si>
    <t>3512;973;5368;5450;51237</t>
  </si>
  <si>
    <t>JCHAIN;CD79A;PNOC;POU2AF1;MZB1</t>
  </si>
  <si>
    <t>3512;973;5368;5450;11040</t>
  </si>
  <si>
    <t>JCHAIN;CD79A;PNOC;POU2AF1;PIM2</t>
  </si>
  <si>
    <t>3512;5023;608;5450;51237</t>
  </si>
  <si>
    <t>JCHAIN;P2RX1;TNFRSF17;POU2AF1;MZB1</t>
  </si>
  <si>
    <t>973;5023;608;54900;51237</t>
  </si>
  <si>
    <t>CD79A;P2RX1;TNFRSF17;LAX1;MZB1</t>
  </si>
  <si>
    <t>GSE13411_PLASMA_CELL_VS_MEMORY_BCELL_UP</t>
  </si>
  <si>
    <t>270;608;51237;11040</t>
  </si>
  <si>
    <t>AMPD1;TNFRSF17;MZB1;PIM2</t>
  </si>
  <si>
    <t>http://www.broadinstitute.org/gsea/msigdb/cards/GSE13411_PLASMA_CELL_VS_MEMORY_BCELL_UP.html</t>
  </si>
  <si>
    <t>GSE1460_INTRATHYMIC_T_PROGENITOR_VS_CD4_THYMOCYTE_UP</t>
  </si>
  <si>
    <t>3512;973;7253;51237</t>
  </si>
  <si>
    <t>JCHAIN;CD79A;TSHR;MZB1</t>
  </si>
  <si>
    <t>http://www.broadinstitute.org/gsea/msigdb/cards/GSE1460_INTRATHYMIC_T_PROGENITOR_VS_CD4_THYMOCYTE_UP.html</t>
  </si>
  <si>
    <t>270;939;608;51237</t>
  </si>
  <si>
    <t>AMPD1;CD27;TNFRSF17;MZB1</t>
  </si>
  <si>
    <t>973;5368;5450;51237</t>
  </si>
  <si>
    <t>CD79A;PNOC;POU2AF1;MZB1</t>
  </si>
  <si>
    <t>GSE29614_CTRL_VS_DAY7_TIV_FLU_VACCINE_PBMC_DN</t>
  </si>
  <si>
    <t>http://www.broadinstitute.org/gsea/msigdb/cards/GSE29614_CTRL_VS_DAY7_TIV_FLU_VACCINE_PBMC_DN.html</t>
  </si>
  <si>
    <t>GSE29617_CTRL_VS_DAY7_TIV_FLU_VACCINE_PBMC_2008_DN</t>
  </si>
  <si>
    <t>939;608;5450;51237</t>
  </si>
  <si>
    <t>CD27;TNFRSF17;POU2AF1;MZB1</t>
  </si>
  <si>
    <t>http://www.broadinstitute.org/gsea/msigdb/cards/GSE29617_CTRL_VS_DAY7_TIV_FLU_VACCINE_PBMC_2008_DN.html</t>
  </si>
  <si>
    <t>973;5368;5450;11040</t>
  </si>
  <si>
    <t>CD79A;PNOC;POU2AF1;PIM2</t>
  </si>
  <si>
    <t>973;3543;5450;51237</t>
  </si>
  <si>
    <t>CD79A;IGLL1;POU2AF1;MZB1</t>
  </si>
  <si>
    <t>GSE41867_DAY6_VS_DAY8_LCMV_ARMSTRONG_EFFECTOR_CD8_TCELL_UP</t>
  </si>
  <si>
    <t>608;51237;91319;11040</t>
  </si>
  <si>
    <t>TNFRSF17;MZB1;DERL3;PIM2</t>
  </si>
  <si>
    <t>http://www.broadinstitute.org/gsea/msigdb/cards/GSE41867_DAY6_VS_DAY8_LCMV_ARMSTRONG_EFFECTOR_CD8_TCELL_UP.html</t>
  </si>
  <si>
    <t>5023;333929;2837</t>
  </si>
  <si>
    <t>P2RX1;SNAI3;UTS2R</t>
  </si>
  <si>
    <t>3512;939;51237</t>
  </si>
  <si>
    <t>JCHAIN;CD27;MZB1</t>
  </si>
  <si>
    <t>GSE13411_NAIVE_VS_MEMORY_BCELL_DN</t>
  </si>
  <si>
    <t>3512;939;5450</t>
  </si>
  <si>
    <t>JCHAIN;CD27;POU2AF1</t>
  </si>
  <si>
    <t>http://www.broadinstitute.org/gsea/msigdb/cards/GSE13411_NAIVE_VS_MEMORY_BCELL_DN.html</t>
  </si>
  <si>
    <t>GSE13411_IGM_MEMORY_BCELL_VS_PLASMA_CELL_DN</t>
  </si>
  <si>
    <t>7253;608;11040</t>
  </si>
  <si>
    <t>TSHR;TNFRSF17;PIM2</t>
  </si>
  <si>
    <t>http://www.broadinstitute.org/gsea/msigdb/cards/GSE13411_IGM_MEMORY_BCELL_VS_PLASMA_CELL_DN.html</t>
  </si>
  <si>
    <t>5450;54900;11040</t>
  </si>
  <si>
    <t>POU2AF1;LAX1;PIM2</t>
  </si>
  <si>
    <t>100271849;91319;3782</t>
  </si>
  <si>
    <t>MEF2B;DERL3;KCNN3</t>
  </si>
  <si>
    <t>91319;11040;3782</t>
  </si>
  <si>
    <t>DERL3;PIM2;KCNN3</t>
  </si>
  <si>
    <t>333929;54900;11040</t>
  </si>
  <si>
    <t>SNAI3;LAX1;PIM2</t>
  </si>
  <si>
    <t>3512;939;608</t>
  </si>
  <si>
    <t>JCHAIN;CD27;TNFRSF17</t>
  </si>
  <si>
    <t>973;3385;5450</t>
  </si>
  <si>
    <t>CD79A;ICAM3;POU2AF1</t>
  </si>
  <si>
    <t>3512;5368;51237</t>
  </si>
  <si>
    <t>JCHAIN;PNOC;MZB1</t>
  </si>
  <si>
    <t>3543;3385;54900</t>
  </si>
  <si>
    <t>IGLL1;ICAM3;LAX1</t>
  </si>
  <si>
    <t>7253;608;51237</t>
  </si>
  <si>
    <t>TSHR;TNFRSF17;MZB1</t>
  </si>
  <si>
    <t>7253;5368;51237</t>
  </si>
  <si>
    <t>TSHR;PNOC;MZB1</t>
  </si>
  <si>
    <t>696;51237;11040</t>
  </si>
  <si>
    <t>BTN1A1;MZB1;PIM2</t>
  </si>
  <si>
    <t>3512;973;5450</t>
  </si>
  <si>
    <t>JCHAIN;CD79A;POU2AF1</t>
  </si>
  <si>
    <t>973;54900;51237</t>
  </si>
  <si>
    <t>CD79A;LAX1;MZB1</t>
  </si>
  <si>
    <t>3385;150365;11040</t>
  </si>
  <si>
    <t>ICAM3;MEI1;PIM2</t>
  </si>
  <si>
    <t>939;5450;3782</t>
  </si>
  <si>
    <t>CD27;POU2AF1;KCNN3</t>
  </si>
  <si>
    <t>GSE10240_IL17_VS_IL17_AND_IL22_STIM_PRIMARY_BRONCHIAL_EPITHELIAL_CELLS_DN</t>
  </si>
  <si>
    <t>973;3543;608</t>
  </si>
  <si>
    <t>CD79A;IGLL1;TNFRSF17</t>
  </si>
  <si>
    <t>http://www.broadinstitute.org/gsea/msigdb/cards/GSE10240_IL17_VS_IL17_AND_IL22_STIM_PRIMARY_BRONCHIAL_EPITHELIAL_CELLS_DN.html</t>
  </si>
  <si>
    <t>3512;54900;91319</t>
  </si>
  <si>
    <t>JCHAIN;LAX1;DERL3</t>
  </si>
  <si>
    <t>GSE13547_CTRL_VS_ANTI_IGM_STIM_ZFX_KO_BCELL_2H_UP</t>
  </si>
  <si>
    <t>3512;608;91319</t>
  </si>
  <si>
    <t>JCHAIN;TNFRSF17;DERL3</t>
  </si>
  <si>
    <t>http://www.broadinstitute.org/gsea/msigdb/cards/GSE13547_CTRL_VS_ANTI_IGM_STIM_ZFX_KO_BCELL_2H_UP.html</t>
  </si>
  <si>
    <t>973;5450;83416</t>
  </si>
  <si>
    <t>CD79A;POU2AF1;FCRL5</t>
  </si>
  <si>
    <t>5450;91319;57699</t>
  </si>
  <si>
    <t>POU2AF1;DERL3;CPNE5</t>
  </si>
  <si>
    <t>973;7253;51237</t>
  </si>
  <si>
    <t>CD79A;TSHR;MZB1</t>
  </si>
  <si>
    <t>3512;3543;608</t>
  </si>
  <si>
    <t>JCHAIN;IGLL1;TNFRSF17</t>
  </si>
  <si>
    <t>5023;333929;57699</t>
  </si>
  <si>
    <t>P2RX1;SNAI3;CPNE5</t>
  </si>
  <si>
    <t>3385;5023;5368</t>
  </si>
  <si>
    <t>ICAM3;P2RX1;PNOC</t>
  </si>
  <si>
    <t>939;5450;11040</t>
  </si>
  <si>
    <t>CD27;POU2AF1;PIM2</t>
  </si>
  <si>
    <t>3512;608;5368</t>
  </si>
  <si>
    <t>JCHAIN;TNFRSF17;PNOC</t>
  </si>
  <si>
    <t>973;3543;11040</t>
  </si>
  <si>
    <t>CD79A;IGLL1;PIM2</t>
  </si>
  <si>
    <t>GSE11961_PLASMA_CELL_DAY7_VS_MEMORY_BCELL_DAY40_DN</t>
  </si>
  <si>
    <t>270;57699;11040</t>
  </si>
  <si>
    <t>AMPD1;CPNE5;PIM2</t>
  </si>
  <si>
    <t>http://www.broadinstitute.org/gsea/msigdb/cards/GSE11961_PLASMA_CELL_DAY7_VS_MEMORY_BCELL_DAY40_DN.html</t>
  </si>
  <si>
    <t>973;5450;51237</t>
  </si>
  <si>
    <t>CD79A;POU2AF1;MZB1</t>
  </si>
  <si>
    <t>939;100271849;51237</t>
  </si>
  <si>
    <t>CD27;MEF2B;MZB1</t>
  </si>
  <si>
    <t>973;5368;5450</t>
  </si>
  <si>
    <t>CD79A;PNOC;POU2AF1</t>
  </si>
  <si>
    <t>HALLMARK_MITOTIC_SPINDLE</t>
  </si>
  <si>
    <t>9826;3799;5981;5048;6711;6654;6093;9793;1778;253260;23332;11064;7840;7248;57679;9126;23637;23095;5116;9113;4763;6249;10128;11214;22930;10426;11190;9874</t>
  </si>
  <si>
    <t>ARHGEF11;KIF5B;RFC1;PAFAH1B1;SPTBN1;SOS1;ROCK1;CKAP5;DYNC1H1;RICTOR;CLASP1;CNTRL;ALMS1;TSC1;ALS2;SMC3;RABGAP1;KIF1B;PCNT;LATS1;NF1;CLIP1;LRPPRC;AKAP13;RAB3GAP1;TUBGCP3;CEP250;TLK1</t>
  </si>
  <si>
    <t>http://www.broadinstitute.org/gsea/msigdb/cards/HALLMARK_MITOTIC_SPINDLE.html</t>
  </si>
  <si>
    <t>HALLMARK_E2F_TARGETS</t>
  </si>
  <si>
    <t>5981;9972;5591;3609;10274;79677;9126;7514;11168;23468;4361;3930;9221;10714;23047</t>
  </si>
  <si>
    <t>RFC1;NUP153;PRKDC;ILF3;STAG1;SMC6;SMC3;XPO1;PSIP1;CBX5;MRE11;LBR;NOLC1;POLD3;PDS5B</t>
  </si>
  <si>
    <t>http://www.broadinstitute.org/gsea/msigdb/cards/HALLMARK_E2F_TARGETS.html</t>
  </si>
  <si>
    <t>HALLMARK_G2M_CHECKPOINT</t>
  </si>
  <si>
    <t>7468;3799;5048;546;3192;3609;8899;10274;91746;7514;3930;9221;23047;10762</t>
  </si>
  <si>
    <t>NSD2;KIF5B;PAFAH1B1;ATRX;HNRNPU;ILF3;PRPF4B;STAG1;YTHDC1;XPO1;LBR;NOLC1;PDS5B;NUP50</t>
  </si>
  <si>
    <t>http://www.broadinstitute.org/gsea/msigdb/cards/HALLMARK_G2M_CHECKPOINT.html</t>
  </si>
  <si>
    <t>chr12q24</t>
  </si>
  <si>
    <t>55206;23014;7637;5781;2802;6433;80018;9733;23389;65117;89910;8315;100289635;28981;57634;64426;23067;7574;7556;6249;55596;144348;160760;10985;55743;10198;84260;9904</t>
  </si>
  <si>
    <t>SBNO1;FBXO21;ZNF84;PTPN11;GOLGA3;SFSWAP;NAA25;SART3;MED13L;RSRC2;UBE3B;BRAP;ZNF605;IFT81;EP400;SUDS3;SETD1B;ZNF26;ZNF10;CLIP1;ZCCHC8;ZNF664;PPTC7;GCN1;CHFR;MPHOSPH9;TCHP;RBM19</t>
  </si>
  <si>
    <t>http://www.broadinstitute.org/gsea/msigdb/cards/chr12q24.html</t>
  </si>
  <si>
    <t>chr2p22</t>
  </si>
  <si>
    <t>5495;90957;23369;57448;54497;6801;10153</t>
  </si>
  <si>
    <t>PPM1B;DHX57;PUM2;BIRC6;HEATR5B;STRN;CEBPZ</t>
  </si>
  <si>
    <t>http://www.broadinstitute.org/gsea/msigdb/cards/chr2p22.html</t>
  </si>
  <si>
    <t>chr3q29</t>
  </si>
  <si>
    <t>26043;5062;165918;9711;55341;79572;23527;84248</t>
  </si>
  <si>
    <t>UBXN7;PAK2;RNF168;RUBCN;LSG1;ATP13A3;ACAP2;FYTTD1</t>
  </si>
  <si>
    <t>http://www.broadinstitute.org/gsea/msigdb/cards/chr3q29.html</t>
  </si>
  <si>
    <t>DACOSTA_UV_RESPONSE_VIA_ERCC3_DN</t>
  </si>
  <si>
    <t>23347;9044;8672;4976;5980;9475;23317;26057;23077;5495;27340;26046;23328;26043;51366;27107;6651;5927;9931;5048;546;9972;5903;4299;6654;2186;6093;9793;8661;9584;9320;26130;84986;23512;9869;23160;10771;23244;84162;26005;55183;9857;9202;25836;26058;9736;23389;23064;23332;23063;171023;23001;23369;10274;55023;23522;23505;23185;8880;30849;6311;10142;51230;29072;79572;23195;7750;29994;23131;57498;54454;23358;23405;9126;200576;23637;8295;9693;23215;6874;5286;7514;23350;23140;23036;10299;9678;51585;285527;5116;3096;7528;4140;6249;10128;2932;8087;6670;11214;8453;7159;1859;8621;4863;6596;9698;27332;23198;22930;23527;5469;463;5586;80205;54520;9662;131544;79882;57553;157680;11011;8505;26009;10735;56987;25909;7994;8239;10426;54765;23013;10198;26019;9188;23047;4848;10765;9969;9874;27161;23499;22828;51592;7707;23200;55818;23335;8202;4216</t>
  </si>
  <si>
    <t>SMCHD1;BTAF1;EIF4G3;OPA1;REV3L;ROCK2;DNAJC13;ANKRD17;MYCBP2;PPM1B;UTP20;LTN1;SASH1;UBXN7;UBR5;ZBTB11;SON;KDM5A;HELZ;PAFAH1B1;ATRX;NUP153;RANBP2;AFF1;SOS1;BPTF;ROCK1;CKAP5;EIF3A;RBM39;TRIP12;GAPVD1;ARHGAP19;SUZ12;SETDB1;WDR43;ZMYND11;PDS5A;KIAA1109;C2CD3;RIF1;CEP350;ZMYM4;NIPBL;GIGYF2;USP34;MED13L;SETX;CLASP1;WAPL;ASXL1;WDFY3;PUM2;STAG1;PHIP;KAT6B;TMEM131;LARP4B;FUBP1;PIK3R4;ATXN2;AKAP9;PHF20;SETD2;ATP13A3;MDN1;ZMYM2;BAZ2B;GPATCH8;KIDINS220;ATAD2B;USP24;DICER1;SMC3;PIKFYVE;RABGAP1;TRRAP;RAPGEF2;PRRC2C;TAF4;PIK3C2A;XPO1;U2SURP;ZZEF1;ZNF292;MARCH6;PHF14;PCF11;FRYL;PCNT;HIVEP1;YY1;MARK3;CLIP1;LRPPRC;GSK3B;FXR1;SP3;AKAP13;CUL2;TP53BP2;DYRK1A;CDK13;NPAT;HLTF;PUM1;ZNF638;PSME4;RAB3GAP1;ACAP2;MED1;ZFHX3;PKN2;CHD9;CCDC93;CEP135;CRYBG3;ZC3H14;MICAL3;VPS13B;TLK2;PARG;AC118549.1;STAG2;BBX;AHCTF1;KAT6A;USP9X;TUBGCP3;TRIM44;SPEN;MPHOSPH9;UPF2;DDX21;PDS5B;AC092881.1;KDM5B;MED13;TLK1;AGO2;MACF1;SCAF8;TRIM33;ZNF148;ATP11B;KDM3A;WDR7;NCOA3;MAP3K4</t>
  </si>
  <si>
    <t>http://www.broadinstitute.org/gsea/msigdb/cards/DACOSTA_UV_RESPONSE_VIA_ERCC3_DN.html</t>
  </si>
  <si>
    <t>DACOSTA_UV_RESPONSE_VIA_ERCC3_COMMON_DN</t>
  </si>
  <si>
    <t>23347;8672;4976;5980;9475;23317;26057;23077;5495;51366;5927;9931;5048;546;9972;4299;6654;2186;9793;9584;9320;26130;23512;23160;10771;23244;84162;26005;9857;9202;25836;26058;23389;23332;23063;23369;10274;55023;23522;23505;23185;8880;6311;10142;51230;29072;79572;23195;7750;29994;54454;23358;200576;23637;8295;9693;23215;6874;7514;23350;23036;10299;285527;3096;4140;6249;10128;2932;8087;7159;1859;8621;9698;27332;22930;5586;80205;54520;9662;57553;11011;8505;26009;56987;7994;8239;10426;54765;23013;26019;4848;9969;9874;22828;51592;7707;23200;23335;8202</t>
  </si>
  <si>
    <t>SMCHD1;EIF4G3;OPA1;REV3L;ROCK2;DNAJC13;ANKRD17;MYCBP2;PPM1B;UBR5;KDM5A;HELZ;PAFAH1B1;ATRX;NUP153;AFF1;SOS1;BPTF;CKAP5;RBM39;TRIP12;GAPVD1;SUZ12;WDR43;ZMYND11;PDS5A;KIAA1109;C2CD3;CEP350;ZMYM4;NIPBL;GIGYF2;MED13L;CLASP1;WAPL;PUM2;STAG1;PHIP;KAT6B;TMEM131;LARP4B;FUBP1;ATXN2;AKAP9;PHF20;SETD2;ATP13A3;MDN1;ZMYM2;BAZ2B;ATAD2B;USP24;PIKFYVE;RABGAP1;TRRAP;RAPGEF2;PRRC2C;TAF4;XPO1;U2SURP;ZNF292;MARCH6;FRYL;HIVEP1;MARK3;CLIP1;LRPPRC;GSK3B;FXR1;TP53BP2;DYRK1A;CDK13;PUM1;ZNF638;RAB3GAP1;PKN2;CHD9;CCDC93;CEP135;MICAL3;TLK2;PARG;AC118549.1;BBX;KAT6A;USP9X;TUBGCP3;TRIM44;SPEN;UPF2;AC092881.1;MED13;TLK1;SCAF8;TRIM33;ZNF148;ATP11B;WDR7;NCOA3</t>
  </si>
  <si>
    <t>http://www.broadinstitute.org/gsea/msigdb/cards/DACOSTA_UV_RESPONSE_VIA_ERCC3_COMMON_DN.html</t>
  </si>
  <si>
    <t>11128;10526;10236;5980;9475;23317;26057;9611;23328;23014;51366;7175;5451;673;6651;1656;3799;5981;5048;546;7182;3836;353274;2969;5591;3192;6711;4297;5781;1660;3609;6093;9793;9584;23512;9321;23244;84162;22848;375748;55183;25836;22976;9736;65117;57551;10075;55193;25914;57697;23001;58508;23369;10274;55023;57459;8880;55914;79677;9169;6311;51322;51230;64682;170506;84146;79572;57448;55870;23195;9774;57609;29994;23131;26190;57472;23019;5286;10915;7514;23036;23095;905;11168;51585;285527;10277;5422;4763;867;2005;6249;23468;2932;987;10914;7701;55014;6670;5471;2551;472;8453;1859;9698;3930;27332;9221;10714;463;4899;51742;84301;27042;131544;253959;55671;55596;284058;92140;23269;57531;10735;27327;56987;25909;8239;54765;23013;80155;26054;80314;55127;79646;55802;54014;51132;4848;29843;55636;25831;22828;23112;7707;9967;4216</t>
  </si>
  <si>
    <t>POLR3A;IPO8;HNRNPR;REV3L;ROCK2;DNAJC13;ANKRD17;NCOR1;SASH1;FBXO21;UBR5;TPR;POU2F1;BRAF;SON;DDX6;KIF5B;RFC1;PAFAH1B1;ATRX;NR2C2;KPNA1;ZNF445;GTF2I;PRKDC;HNRNPU;SPTBN1;KMT2A;PTPN11;DHX9;ILF3;ROCK1;CKAP5;RBM39;SUZ12;TRIP11;PDS5A;KIAA1109;AAK1;ERCC6L2;RIF1;NIPBL;PAXIP1;USP34;RSRC2;TAOK1;HUWE1;PBRM1;RTTN;FANCM;WDFY3;KMT2C;PUM2;STAG1;PHIP;GATAD2B;FUBP1;ERBIN;SMC6;SCAF11;ATXN2;WAC;PHF20;ANAPC1;DHX36;ZNF644;ATP13A3;BIRC6;ASH1L;MDN1;BCLAF1;DIP2B;BAZ2B;GPATCH8;FBXW2;CNOT6;CNOT1;PIK3C2A;TCERG1;XPO1;ZNF292;KIF1B;CCNT2;PSIP1;PCF11;FRYL;UBE4B;POLA1;NF1;CBL;ELK4;CLIP1;CBX5;GSK3B;LRBA;PAPOLA;ZNF142;STX17;SP3;PPAT;GABPA;ATM;CUL2;DYRK1A;PUM1;LBR;ZNF638;NOLC1;POLD3;ZFHX3;NRF1;ARID4B;DDI2;UTP25;CRYBG3;RALGAPA1;PPP4R3A;ZCCHC8;KANSL1;MTDH;MGA;HACE1;STAG2;TNRC6A;BBX;AHCTF1;USP9X;TRIM44;SPEN;NAA15;SENP6;EPC1;HEATR1;PANK3;DCP1A;BRWD1;RLIM;AC092881.1;SENP1;CHD7;HECTD1;SCAF8;TNRC6B;ZNF148;THRAP3;MAP3K4</t>
  </si>
  <si>
    <t>55206;3840;11128;10526;10236;8672;8888;23317;26057;9611;23451;23077;26046;6651;1656;2475;7182;4299;3192;6711;6659;2186;3609;5062;7156;23054;80018;8019;23160;11052;158427;23248;157769;196528;22976;23389;23064;23126;23332;57695;80204;22853;171023;166378;58508;57492;23369;10274;3842;57634;51230;55628;80218;64682;64397;54542;57690;51479;23131;26190;26523;7776;57498;23358;23405;23215;23019;6874;317;10915;571;7514;23140;9841;8867;6801;10299;10897;8518;9527;867;7528;4140;2005;6249;2117;7109;2932;2957;6670;5471;11214;6789;7159;9698;3930;9221;22930;10714;23527;5469;64864;79707;84301;131544;25962;55596;55159;91748;157680;92140;84196;8505;25948;26009;26065;27327;140775;9392;9887;7994;55102;55743;55705;5814;55342;10198;80314;79657;79813;84132;55167;55802;29843;55727;440193;55636;51696;27161;9439;22828;23200;9967</t>
  </si>
  <si>
    <t>SBNO1;KPNA4;POLR3A;IPO8;HNRNPR;EIF4G3;MCM3AP;DNAJC13;ANKRD17;NCOR1;SF3B1;MYCBP2;LTN1;SON;DDX6;MTOR;NR2C2;AFF1;HNRNPU;SPTBN1;SOX4;BPTF;ILF3;PAK2;TOP3A;NCOA6;NAA25;BRD3;WDR43;CPSF6;TSTD2;RPRD2;FAM91A1;ARID2;PAXIP1;MED13L;SETX;POGZ;CLASP1;USP37;FBXO11;LMTK2;ASXL1;SPATA5;KMT2C;ARID1B;PUM2;STAG1;TNPO1;EP400;PHF20;ZNF407;NAA50;ANAPC1;ZNF106;RC3H2;TNRC6C;ANKFY1;GPATCH8;FBXW2;AGO1;ZNF236;KIDINS220;USP24;DICER1;PRRC2C;CNOT1;TAF4;APAF1;TCERG1;BACH1;XPO1;ZZEF1;ZBTB24;SYNJ1;STRN;MARCH6;YIF1A;ELP1;GOSR1;CBL;YY1;MARK3;ELK4;CLIP1;ETV3;TRAPPC10;GSK3B;GTF2A1;SP3;PPAT;AKAP13;STK4;TP53BP2;PUM1;LBR;NOLC1;RAB3GAP1;POLD3;ACAP2;MED1;RFX7;NOL9;DDI2;CRYBG3;VIRMA;ZCCHC8;RFWD3;ELMSAN1;VPS13B;MTDH;USP48;PARG;KBTBD2;AC118549.1;LSM14A;TNRC6A;SMCR8;TGFBRAP1;SMG7;KAT6A;ATG2B;CHFR;IPO9;PURB;STRBP;MPHOSPH9;EPC1;RPAP3;EHMT1;USP42;MSL2;DCP1A;SENP1;BTBD7;CCDC88C;CHD7;HECA;AGO2;MED23;SCAF8;ATP11B;THRAP3</t>
  </si>
  <si>
    <t>DAZARD_RESPONSE_TO_UV_NHEK_DN</t>
  </si>
  <si>
    <t>9139;5980;51366;5927;9931;5048;546;9972;4299;2186;26130;9733;7705;26098;55183;9857;25836;23389;23126;23332;23063;171023;23001;23369;55023;23522;9712;30849;9169;10142;79572;29994;23358;200576;9693;23215;571;7514;9841;10299;51585;285527;6670;1859;4863;9698;27332;10714;80205;54520;23033;157680;11011;25948;26009;26065;22849;56987;7994;10426;23013;11083;4848;9874;27161;7707;8202</t>
  </si>
  <si>
    <t>CBFA2T2;REV3L;UBR5;KDM5A;HELZ;PAFAH1B1;ATRX;NUP153;AFF1;BPTF;GAPVD1;SART3;ZNF146;EDRF1;RIF1;CEP350;NIPBL;MED13L;POGZ;CLASP1;WAPL;ASXL1;WDFY3;PUM2;PHIP;KAT6B;USP6NL;PIK3R4;SCAF11;AKAP9;ATP13A3;BAZ2B;USP24;PIKFYVE;RAPGEF2;PRRC2C;BACH1;XPO1;ZBTB24;MARCH6;PCF11;FRYL;SP3;DYRK1A;NPAT;PUM1;ZNF638;POLD3;CHD9;CCDC93;DOP1A;VPS13B;TLK2;KBTBD2;AC118549.1;LSM14A;CPEB3;BBX;KAT6A;TUBGCP3;SPEN;DIDO1;AC092881.1;TLK1;AGO2;ZNF148;NCOA3</t>
  </si>
  <si>
    <t>http://www.broadinstitute.org/gsea/msigdb/cards/DAZARD_RESPONSE_TO_UV_NHEK_DN.html</t>
  </si>
  <si>
    <t>HAMAI_APOPTOSIS_VIA_TRAIL_UP</t>
  </si>
  <si>
    <t>55814;4976;5980;23317;23077;27107;6651;3799;5981;5290;7155;9360;8661;23512;7705;9135;9321;9857;54906;25836;65117;23064;5930;55193;28981;3842;85476;79677;51773;9169;55628;170506;84146;9774;29994;11244;57498;9126;51105;7514;23350;7559;6249;8087;10153;9897;472;8453;6596;2804;27332;51742;55320;54832;9879;84196;10735;56987;8239;64421;55342;80155;83448;79657;9188;23047;55727;26973;51592;7707</t>
  </si>
  <si>
    <t>BDP1;OPA1;REV3L;DNAJC13;MYCBP2;ZBTB11;SON;KIF5B;RFC1;PIK3CA;TOP2B;PPIG;EIF3A;SUZ12;ZNF146;RABEP1;TRIP11;CEP350;TASOR2;NIPBL;RSRC2;SETX;RBBP6;PBRM1;IFT81;TNPO1;GFM1;SMC6;RSF1;SCAF11;ZNF407;DHX36;ZNF644;BCLAF1;BAZ2B;ZHX1;KIDINS220;SMC3;PHF20L1;XPO1;U2SURP;ZNF12;CLIP1;FXR1;CEBPZ;WASHC5;ATM;CUL2;HLTF;GOLGB1;ZNF638;ARID4B;MIS18BP1;VPS13C;DDX46;USP48;STAG2;BBX;USP9X;DCLRE1C;STRBP;NAA15;PUS7L;RPAP3;DDX21;PDS5B;BTBD7;CHORDC1;TRIM33;ZNF148</t>
  </si>
  <si>
    <t>http://www.broadinstitute.org/gsea/msigdb/cards/HAMAI_APOPTOSIS_VIA_TRAIL_UP.html</t>
  </si>
  <si>
    <t>23347;9044;10236;9139;9681;23317;55660;23451;26043;7468;7587;6872;405;5981;7428;7182;5130;9972;5591;7155;1660;2186;3609;5062;9360;6093;8899;23054;9790;4520;169841;23512;23160;9135;23244;55183;6873;23253;22976;9736;5930;11064;57148;55023;23185;8880;57634;91746;10730;9169;22852;9126;23215;23019;10915;7514;9841;6801;905;23633;11168;51585;9527;5422;7528;7174;4361;10914;2957;7690;6670;10153;2033;9897;7024;6789;472;8453;8621;9816;4863;3930;9221;23527;5469;9662;9879;92140;26009;10735;26065;9887;55705;10198;11083;26019;9188;58487;23047;6942;11176;10762;23200;55818</t>
  </si>
  <si>
    <t>SMCHD1;BTAF1;HNRNPR;CBFA2T2;DEPDC5;DNAJC13;PRPF40A;SF3B1;UBXN7;NSD2;ZNF37A;TAF1;ARNT;RFC1;VHL;NR2C2;PCYT1A;NUP153;PRKDC;TOP2B;DHX9;BPTF;ILF3;PAK2;PPIG;ROCK1;PRPF4B;NCOA6;BMS1;MTF1;ZNF169;SUZ12;WDR43;RABEP1;PDS5A;RIF1;TAF2;ANKRD12;PAXIP1;USP34;RBBP6;CNTRL;RALGAPB;PHIP;LARP4B;FUBP1;EP400;YTHDC1;YME1L1;SCAF11;ANKRD26;SMC3;PRRC2C;CNOT1;TCERG1;XPO1;ZBTB24;STRN;CCNT2;KPNA6;PSIP1;PCF11;GOSR1;POLA1;YY1;TPP2;MRE11;PAPOLA;GTF2A1;ZNF131;SP3;CEBPZ;EP300;WASHC5;TFCP2;STK4;ATM;CUL2;CDK13;URB2;NPAT;LBR;NOLC1;ACAP2;MED1;CEP135;DDX46;MTDH;AC118549.1;STAG2;LSM14A;SMG7;IPO9;MPHOSPH9;DIDO1;UPF2;DDX21;CREBZF;PDS5B;TCF20;BAZ2A;NUP50;ATP11B;KDM3A</t>
  </si>
  <si>
    <t>SHEN_SMARCA2_TARGETS_UP</t>
  </si>
  <si>
    <t>26057;9611;6651;5048;546;5781;6093;9320;23054;10771;84162;9857;54906;65117;23064;57148;80204;23001;374354;23369;10274;23505;3842;91746;79811;9774;29994;26190;57498;9126;23637;7514;23350;9147;8518;4763;6670;7024;8453;6596;5586;51742;157922;23392;54832;9879;204851;26065;8239;10426;26054;79646;26019;58487;51455;9874;23499;22828</t>
  </si>
  <si>
    <t>ANKRD17;NCOR1;SON;PAFAH1B1;ATRX;PTPN11;ROCK1;TRIP12;NCOA6;ZMYND11;KIAA1109;CEP350;TASOR2;RSRC2;SETX;RALGAPB;FBXO11;WDFY3;NHLRC2;PUM2;STAG1;TMEM131;TNPO1;YTHDC1;SLTM;BCLAF1;BAZ2B;FBXW2;KIDINS220;SMC3;RABGAP1;XPO1;U2SURP;NEMF;ELP1;NF1;SP3;TFCP2;CUL2;HLTF;PKN2;ARID4B;CAMSAP1;ECPAS;VPS13C;DDX46;HIPK1;LSM14A;USP9X;TUBGCP3;SENP6;PANK3;UPF2;CREBZF;REV1;TLK1;MACF1;SCAF8</t>
  </si>
  <si>
    <t>http://www.broadinstitute.org/gsea/msigdb/cards/SHEN_SMARCA2_TARGETS_UP.html</t>
  </si>
  <si>
    <t>9044;10236;55660;23451;27340;9631;51366;7468;7175;673;7587;405;5981;7428;2475;5130;9972;5591;3192;7155;1660;3609;5062;9360;8899;9793;9790;84986;9733;23512;23160;9135;23244;26098;55183;6873;22976;9736;8315;23063;27291;5930;11064;57148;23185;8880;57634;10730;51230;79572;23195;54454;22852;9126;23215;23019;6874;10915;7514;9841;6801;905;23633;11168;9527;5422;7528;7174;23468;4361;2957;7690;10093;10153;9897;472;8453;93;8621;9816;6596;3930;9221;23198;10714;5469;9662;22850;9879;92140;11011;8505;26009;2074;10735;26065;9887;10426;10198;11083;26019;9188;58487;23047;6942;10762;23200;4216</t>
  </si>
  <si>
    <t>BTAF1;HNRNPR;PRPF40A;SF3B1;UTP20;NUP155;UBR5;NSD2;TPR;BRAF;ZNF37A;ARNT;RFC1;VHL;MTOR;PCYT1A;NUP153;PRKDC;HNRNPU;TOP2B;DHX9;ILF3;PAK2;PPIG;PRPF4B;CKAP5;BMS1;ARHGAP19;SART3;SUZ12;WDR43;RABEP1;PDS5A;EDRF1;RIF1;TAF2;PAXIP1;USP34;BRAP;WAPL;R3HCC1L;RBBP6;CNTRL;RALGAPB;LARP4B;FUBP1;EP400;YME1L1;PHF20;ATP13A3;MDN1;ATAD2B;ANKRD26;SMC3;PRRC2C;CNOT1;TAF4;TCERG1;XPO1;ZBTB24;STRN;CCNT2;KPNA6;PSIP1;GOSR1;POLA1;YY1;TPP2;CBX5;MRE11;GTF2A1;ZNF131;ARPC4;CEBPZ;WASHC5;ATM;CUL2;ACVR2B;CDK13;URB2;HLTF;LBR;NOLC1;PSME4;POLD3;MED1;CEP135;ADNP2;DDX46;MTDH;TLK2;PARG;AC118549.1;ERCC6;STAG2;LSM14A;SMG7;TUBGCP3;MPHOSPH9;DIDO1;UPF2;DDX21;CREBZF;PDS5B;TCF20;NUP50;ATP11B;MAP3K4</t>
  </si>
  <si>
    <t>55206;9139;26043;5451;5290;5048;7182;7637;6654;6433;8661;9584;23054;4520;9135;221037;84726;54619;25836;23253;23389;65117;8315;23063;27291;57148;23001;7248;51773;10142;51322;29072;53944;29994;23131;22992;23660;23637;571;10299;905;3096;4140;2005;2932;8087;2551;2033;7159;9698;2804;4899;54856;51742;54520;27042;22850;10735;26054;192669;26019;55802;56980;54014;9923;51696;10765;6942;26973;11176;11108;10762;51592;55818;8202</t>
  </si>
  <si>
    <t>SBNO1;CBFA2T2;UBXN7;POU2F1;PIK3CA;PAFAH1B1;NR2C2;ZNF84;SOS1;SFSWAP;EIF3A;RBM39;NCOA6;MTF1;RABEP1;JMJD1C;PRRC2B;CCNJ;NIPBL;ANKRD12;MED13L;RSRC2;BRAP;WAPL;R3HCC1L;RALGAPB;WDFY3;TSC1;RSF1;AKAP9;WAC;SETD2;CSNK1G1;BAZ2B;GPATCH8;KDM2A;ZKSCAN5;RABGAP1;BACH1;MARCH6;CCNT2;HIVEP1;MARK3;ELK4;GSK3B;FXR1;GABPA;EP300;TP53BP2;PUM1;GOLGB1;NRF1;GON4L;ARID4B;CCDC93;UTP25;ADNP2;STAG2;SENP6;AGO3;UPF2;DCP1A;PRDM10;BRWD1;ZBTB40;HECA;KDM5B;TCF20;CHORDC1;BAZ2A;PRDM4;NUP50;TRIM33;KDM3A;NCOA3</t>
  </si>
  <si>
    <t>GABRIELY_MIR21_TARGETS</t>
  </si>
  <si>
    <t>5980;23077;23328;51366;6872;546;2969;26130;23512;255967;25836;130507;9736;11064;55193;80204;80312;55023;3842;80311;57679;51773;10730;9169;7750;54764;54454;23637;51105;5286;317;23036;9113;2957;122830;23527;64864;55432;9879;79598;23269;22849;5814;55727;25831;51592;23112;23200</t>
  </si>
  <si>
    <t>REV3L;MYCBP2;SASH1;UBR5;TAF1;ATRX;GTF2I;GAPVD1;SUZ12;PAN3;NIPBL;UBR3;USP34;CNTRL;PBRM1;FBXO11;TET1;PHIP;TNPO1;KLHL15;ALS2;RSF1;YME1L1;SCAF11;ZMYM2;ZRANB1;ATAD2B;RABGAP1;PHF20L1;PIK3C2A;APAF1;ZNF292;LATS1;GTF2A1;NAA30;ACAP2;RFX7;YOD1;DDX46;CEP97;MGA;CPEB3;PURB;BTBD7;HECTD1;TRIM33;TNRC6B;ATP11B</t>
  </si>
  <si>
    <t>http://www.broadinstitute.org/gsea/msigdb/cards/GABRIELY_MIR21_TARGETS.html</t>
  </si>
  <si>
    <t>ZHANG_TLX_TARGETS_36HR_DN</t>
  </si>
  <si>
    <t>3840;9475;7175;5451;5981;5903;3192;9360;6093;8899;9793;23512;79832;51248;55183;54906;10274;55023;79677;9169;55870;9774;9126;5286;7514;23036;11168;5422;10153;5471;472;27332;55320;9879;10735;80155;79723;26019;23499;7707</t>
  </si>
  <si>
    <t>KPNA4;ROCK2;TPR;POU2F1;RFC1;RANBP2;HNRNPU;PPIG;ROCK1;PRPF4B;CKAP5;SUZ12;QSER1;PDZD11;RIF1;TASOR2;STAG1;PHIP;SMC6;SCAF11;ASH1L;BCLAF1;SMC3;PIK3C2A;XPO1;ZNF292;PSIP1;POLA1;CEBPZ;PPAT;ATM;ZNF638;MIS18BP1;DDX46;STAG2;NAA15;SUV39H2;UPF2;MACF1;ZNF148</t>
  </si>
  <si>
    <t>http://www.broadinstitute.org/gsea/msigdb/cards/ZHANG_TLX_TARGETS_36HR_DN.html</t>
  </si>
  <si>
    <t>RODRIGUES_THYROID_CARCINOMA_ANAPLASTIC_UP</t>
  </si>
  <si>
    <t>3840;9044;23317;55660;23451;27107;7175;3799;5981;5290;546;5781;1660;5062;8899;9793;9584;7705;79832;55183;25836;9736;8315;23063;5930;57148;80204;259282;10274;55023;79677;51773;80218;64682;170506;84146;79572;54542;9774;9126;23019;23350;6801;9147;2932;4361;10914;8087;7690;10153;6789;23527;157922;55632;54464;8239;10426;84248;80155;79657;57703;54014;57786;53981;9874;25831;23200</t>
  </si>
  <si>
    <t>KPNA4;BTAF1;DNAJC13;PRPF40A;SF3B1;ZBTB11;TPR;KIF5B;RFC1;PIK3CA;ATRX;PTPN11;DHX9;PAK2;PRPF4B;CKAP5;RBM39;ZNF146;QSER1;RIF1;NIPBL;USP34;BRAP;WAPL;RBBP6;RALGAPB;FBXO11;BOD1L1;STAG1;PHIP;SMC6;RSF1;NAA50;ANAPC1;DHX36;ZNF644;ATP13A3;RC3H2;BCLAF1;SMC3;CNOT1;U2SURP;STRN;NEMF;GSK3B;MRE11;PAPOLA;FXR1;ZNF131;CEBPZ;STK4;ACAP2;CAMSAP1;G2E3;XRN1;USP9X;TUBGCP3;FYTTD1;NAA15;RPAP3;CWC22;BRWD1;RBAK;CPSF2;TLK1;HECTD1;ATP11B</t>
  </si>
  <si>
    <t>http://www.broadinstitute.org/gsea/msigdb/cards/RODRIGUES_THYROID_CARCINOMA_ANAPLASTIC_UP.html</t>
  </si>
  <si>
    <t>55660;5495;1656;5927;3799;9931;7637;4299;3836;9632;2969;4297;2802;6433;5062;9360;6093;7156;8899;4520;8019;9135;9857;9202;25836;23126;89910;8315;5930;55193;80204;7840;23032;10274;23522;3842;57634;55914;51773;10142;51230;29072;54542;51755;7750;29994;26523;7776;23405;22992;23637;1106;10299;23633;9527;9113;7559;7528;4140;2932;8087;7690;6670;2033;11214;8621;9698;23181;2804;9221;23198;22930;23527;5469;463;51742;55291;10594;84196;25948;2074;10735;26065;6601;25909;7994;54765;55743;64421;64783;23013;79723;55802;9188;4848;6942;9969;11176;23499;7707;55818;8202</t>
  </si>
  <si>
    <t>PRPF40A;PPM1B;DDX6;KDM5A;KIF5B;HELZ;ZNF84;AFF1;KPNA1;SEC24C;GTF2I;KMT2A;GOLGA3;SFSWAP;PAK2;PPIG;ROCK1;TOP3A;PRPF4B;MTF1;BRD3;RABEP1;CEP350;ZMYM4;NIPBL;POGZ;UBE3B;BRAP;RBBP6;PBRM1;FBXO11;ALMS1;USP33;STAG1;KAT6B;TNPO1;EP400;ERBIN;RSF1;AKAP9;PHF20;SETD2;RC3H2;CDK12;ZMYM2;BAZ2B;AGO1;ZNF236;DICER1;KDM2A;RABGAP1;CHD2;MARCH6;KPNA6;GOSR1;LATS1;ZNF12;YY1;MARK3;GSK3B;FXR1;ZNF131;SP3;EP300;AKAP13;CDK13;PUM1;DIP2A;GOLGB1;NOLC1;PSME4;RAB3GAP1;ACAP2;MED1;ZFHX3;ARID4B;PPP6R3;PRPF8;USP48;KBTBD2;ERCC6;STAG2;LSM14A;SMARCC2;AHCTF1;KAT6A;TRIM44;CHFR;DCLRE1C;RBM15;SPEN;SUV39H2;DCP1A;DDX21;AC092881.1;TCF20;MED13;BAZ2A;MACF1;ZNF148;KDM3A;NCOA3</t>
  </si>
  <si>
    <t>FISCHER_DREAM_TARGETS</t>
  </si>
  <si>
    <t>23347;10236;4976;26057;9631;7468;5451;5981;9972;5591;3192;3609;7156;9793;8661;84986;23512;7705;55183;196528;25836;57532;5930;57695;55193;25914;171023;57697;166378;7840;10274;79677;64682;57448;54876;9774;9126;23019;10915;11168;51585;5116;5422;23468;4361;5471;1859;4863;6596;3930;9221;10714;84131;347240;9662;55320;55159;9879;55632;79598;25909;64421;10198;80155;55127;79723;9188;58487;23047;29843;10762;9967</t>
  </si>
  <si>
    <t>SMCHD1;HNRNPR;OPA1;ANKRD17;NUP155;NSD2;POU2F1;RFC1;NUP153;PRKDC;HNRNPU;ILF3;TOP3A;CKAP5;EIF3A;ARHGAP19;SUZ12;ZNF146;RIF1;ARID2;NIPBL;NUFIP2;RBBP6;USP37;PBRM1;RTTN;ASXL1;FANCM;SPATA5;ALMS1;STAG1;SMC6;ANAPC1;BIRC6;DCAF16;BCLAF1;SMC3;CNOT1;TCERG1;PSIP1;PCF11;PCNT;POLA1;CBX5;MRE11;PPAT;DYRK1A;NPAT;HLTF;LBR;NOLC1;POLD3;CEP78;KIF24;CEP135;MIS18BP1;RFWD3;DDX46;G2E3;CEP97;AHCTF1;DCLRE1C;MPHOSPH9;NAA15;HEATR1;SUV39H2;DDX21;CREBZF;PDS5B;SENP1;NUP50;THRAP3</t>
  </si>
  <si>
    <t>http://www.broadinstitute.org/gsea/msigdb/cards/FISCHER_DREAM_TARGETS.html</t>
  </si>
  <si>
    <t>MILI_PSEUDOPODIA_HAPTOTAXIS_UP</t>
  </si>
  <si>
    <t>23347;10236;4976;9611;55660;23451;26046;3799;5048;546;6654;6093;23160;9135;10771;11052;25836;130507;57532;55193;10274;91746;55914;10730;80218;80351;79811;9774;51755;26190;23358;9126;5286;7514;6801;9147;11168;5422;4361;8087;7690;64854;8453;122830;11011;57534;10735;26065;54765;84725;84248;55342;80155;4848</t>
  </si>
  <si>
    <t>SMCHD1;HNRNPR;OPA1;NCOR1;PRPF40A;SF3B1;LTN1;KIF5B;PAFAH1B1;ATRX;SOS1;ROCK1;WDR43;RABEP1;ZMYND11;CPSF6;NIPBL;UBR3;NUFIP2;PBRM1;STAG1;YTHDC1;ERBIN;YME1L1;NAA50;TNKS2;SLTM;BCLAF1;CDK12;FBXW2;USP24;SMC3;PIK3C2A;XPO1;STRN;NEMF;PSIP1;POLA1;MRE11;FXR1;ZNF131;USP46;CUL2;NAA30;TLK2;MIB1;STAG2;LSM14A;TRIM44;PLEKHA8;FYTTD1;STRBP;NAA15;AC092881.1</t>
  </si>
  <si>
    <t>http://www.broadinstitute.org/gsea/msigdb/cards/MILI_PSEUDOPODIA_HAPTOTAXIS_UP.html</t>
  </si>
  <si>
    <t>JOHNSTONE_PARVB_TARGETS_3_DN</t>
  </si>
  <si>
    <t>55206;55814;23347;10236;4976;55660;5495;26043;2969;5591;6711;23160;11052;79832;54619;55183;9857;54906;23253;9736;57551;57695;55728;80204;3842;8880;80311;91746;85476;51322;51230;29072;80218;64426;10137;9126;9693;23215;1106;23350;6801;11168;5422;2005;23468;4361;10714;23527;5586;23033;23392;55320;145508;55632;57534;84295;26065;7994;10426;165055;55705;64783;10198;80155;79723;65250;23047;10762;23112</t>
  </si>
  <si>
    <t>SBNO1;BDP1;SMCHD1;HNRNPR;OPA1;PRPF40A;PPM1B;UBXN7;GTF2I;PRKDC;SPTBN1;WDR43;CPSF6;QSER1;CCNJ;RIF1;CEP350;TASOR2;ANKRD12;USP34;TAOK1;USP37;N4BP2;FBXO11;TNPO1;FUBP1;KLHL15;YTHDC1;GFM1;WAC;PHF20;SETD2;NAA50;SUDS3;RBM12;SMC3;RAPGEF2;PRRC2C;CHD2;U2SURP;STRN;PSIP1;POLA1;ELK4;CBX5;MRE11;POLD3;ACAP2;PKN2;DOP1A;ECPAS;MIS18BP1;CEP128;G2E3;MIB1;PHF6;LSM14A;KAT6A;TUBGCP3;CCDC138;IPO9;RBM15;MPHOSPH9;NAA15;SUV39H2;CPLANE1;PDS5B;NUP50;TNRC6B</t>
  </si>
  <si>
    <t>http://www.broadinstitute.org/gsea/msigdb/cards/JOHNSTONE_PARVB_TARGETS_3_DN.html</t>
  </si>
  <si>
    <t>SCHAEFFER_PROSTATE_DEVELOPMENT_6HR_DN</t>
  </si>
  <si>
    <t>9611;55660;27107;6872;1656;2969;3192;6711;5781;6659;3609;8661;23054;26058;57551;57532;23293;58508;51322;170506;84146;54542;59343;9774;29994;11244;26523;200576;23215;285527;10093;9698;122830;9221;463;64864;80205;54856;55671;22850;55159;54812;284058;84295;25948;27327;9874;27161;23499;23112;9967;1788</t>
  </si>
  <si>
    <t>NCOR1;PRPF40A;ZBTB11;TAF1;DDX6;GTF2I;HNRNPU;SPTBN1;PTPN11;SOX4;ILF3;EIF3A;NCOA6;GIGYF2;TAOK1;NUFIP2;SMG6;KMT2C;WAC;DHX36;ZNF644;RC3H2;SENP2;BCLAF1;BAZ2B;ZHX1;AGO1;PIKFYVE;PRRC2C;FRYL;ARPC4;PUM1;NAA30;NOLC1;ZFHX3;RFX7;CHD9;GON4L;PPP4R3A;ADNP2;RFWD3;AFTPH;KANSL1;PHF6;KBTBD2;TNRC6A;TLK1;AGO2;MACF1;TNRC6B;THRAP3;DNMT3A</t>
  </si>
  <si>
    <t>http://www.broadinstitute.org/gsea/msigdb/cards/SCHAEFFER_PROSTATE_DEVELOPMENT_6HR_DN.html</t>
  </si>
  <si>
    <t>DAZARD_UV_RESPONSE_CLUSTER_G6</t>
  </si>
  <si>
    <t>5980;51366;5048;7705;26098;23332;23063;55023;23522;79572;23358;200576;23215;7514;10299;285527;6670;27332;10714;80205;23033;157680;11011;26009;26065;56987;7994;10426;4848;9874;27161</t>
  </si>
  <si>
    <t>REV3L;UBR5;PAFAH1B1;ZNF146;EDRF1;CLASP1;WAPL;PHIP;KAT6B;ATP13A3;USP24;PIKFYVE;PRRC2C;XPO1;MARCH6;FRYL;SP3;ZNF638;POLD3;CHD9;DOP1A;VPS13B;TLK2;AC118549.1;LSM14A;BBX;KAT6A;TUBGCP3;AC092881.1;TLK1;AGO2</t>
  </si>
  <si>
    <t>http://www.broadinstitute.org/gsea/msigdb/cards/DAZARD_UV_RESPONSE_CLUSTER_G6.html</t>
  </si>
  <si>
    <t>9877;55660;9631;7468;7587;5981;5903;7637;5591;3192;54799;6659;3609;9793;80018;23512;23160;7705;11052;79832;26098;55183;196528;22976;23332;8315;57697;80312;3842;8880;85440;23049;85476;10940;80218;64682;79691;51755;23215;5286;7514;23350;9841;23095;9678;5422;4763;10128;23468;8087;7690;5471;51182;7024;9816;9221;84131;9662;27042;22850;26009;84893;25909;55705;56652;64783;10198;80155;26054;83448;55127;79723;192669;9188;55668;4848;29843;9329;27161;55689</t>
  </si>
  <si>
    <t>ZC3H11A;PRPF40A;NUP155;NSD2;ZNF37A;RFC1;RANBP2;ZNF84;PRKDC;HNRNPU;MBTD1;SOX4;ILF3;CKAP5;NAA25;SUZ12;WDR43;ZNF146;CPSF6;QSER1;EDRF1;RIF1;ARID2;PAXIP1;CLASP1;BRAP;FANCM;TET1;TNPO1;FUBP1;DOCK7;SMG1;GFM1;POP1;NAA50;ANAPC1;QTRT2;CDK12;PRRC2C;PIK3C2A;XPO1;U2SURP;ZBTB24;KIF1B;PHF14;POLA1;NF1;LRPPRC;CBX5;FXR1;ZNF131;PPAT;HSPA14;TFCP2;URB2;NOLC1;CEP78;CEP135;UTP25;ADNP2;AC118549.1;FBH1;AHCTF1;IPO9;TWNK;RBM15;MPHOSPH9;NAA15;SENP6;PUS7L;HEATR1;SUV39H2;AGO3;DDX21;GPATCH2L;AC092881.1;SENP1;GTF3C4;AGO2;YEATS2</t>
  </si>
  <si>
    <t>26057;55660;23451;26043;6654;84162;55183;58508;3842;23049;51773;9169;80351;170506;9774;9126;6801;9147;23633;7528;56252;8087;10093;11214;6789;23198;80205;79707;283578;254065;55632;92140;389677;80012;23299;56987;79048;192669;84132;440193;23112;7707;23200</t>
  </si>
  <si>
    <t>ANKRD17;PRPF40A;SF3B1;UBXN7;SOS1;KIAA1109;RIF1;KMT2C;TNPO1;SMG1;RSF1;SCAF11;TNKS2;DHX36;BCLAF1;SMC3;STRN;NEMF;KPNA6;YY1;YLPM1;FXR1;ARPC4;AKAP13;STK4;PSME4;CHD9;NOL9;TMED8;BRWD3;G2E3;MTDH;RBM12B;PHC3;BICD2;BBX;SECISBP2;AGO3;USP42;CCDC88C;TNRC6B;ZNF148;ATP11B</t>
  </si>
  <si>
    <t>LASTOWSKA_NEUROBLASTOMA_COPY_NUMBER_DN</t>
  </si>
  <si>
    <t>11128;9044;10236;8672;7468;7428;2475;7182;9632;353274;7155;4297;4520;26098;26005;23352;9202;56946;23063;27291;55193;374354;254225;259282;23032;23522;85440;51773;29072;85459;80351;54876;54764;23095;23633;51585;285527;10277;867;4361;472;93;4863;9698;10714;79707;84301;55187;54455;84196;22849;23013;192669;56980;9188;58487;26973;23499;9967</t>
  </si>
  <si>
    <t>POLR3A;BTAF1;HNRNPR;EIF4G3;NSD2;VHL;MTOR;NR2C2;SEC24C;ZNF445;TOP2B;KMT2A;MTF1;EDRF1;C2CD3;UBR4;ZMYM4;EMSY;WAPL;R3HCC1L;PBRM1;NHLRC2;RNF169;BOD1L1;USP33;KAT6B;DOCK7;RSF1;SETD2;CEP295;TNKS2;DCAF16;ZRANB1;KIF1B;KPNA6;PCF11;FRYL;UBE4B;CBL;MRE11;ATM;ACVR2B;NPAT;PUM1;POLD3;NOL9;DDI2;VPS13D;FBXO42;USP48;CPEB3;SPEN;AGO3;PRDM10;DDX21;CREBZF;CHORDC1;MACF1;THRAP3</t>
  </si>
  <si>
    <t>http://www.broadinstitute.org/gsea/msigdb/cards/LASTOWSKA_NEUROBLASTOMA_COPY_NUMBER_DN.html</t>
  </si>
  <si>
    <t>9475;55660;5495;7175;7586;6651;405;546;5130;6659;1660;6433;9360;23512;7705;10771;65117;57532;11064;8880;55914;79677;6311;80218;64397;9774;51105;7514;23095;9147;905;5422;867;23468;10914;9221;51742;10594;92140;84196;84248;79646;9188;27161;7707;9967</t>
  </si>
  <si>
    <t>ROCK2;PRPF40A;PPM1B;TPR;ZKSCAN1;SON;ARNT;ATRX;PCYT1A;SOX4;DHX9;SFSWAP;PPIG;SUZ12;ZNF146;ZMYND11;RSRC2;NUFIP2;CNTRL;FUBP1;ERBIN;SMC6;ATXN2;NAA50;ZNF106;BCLAF1;PHF20L1;XPO1;KIF1B;NEMF;CCNT2;POLA1;CBL;CBX5;PAPOLA;NOLC1;ARID4B;PRPF8;MTDH;USP48;FYTTD1;PANK3;DDX21;AGO2;ZNF148;THRAP3</t>
  </si>
  <si>
    <t>ZHANG_BREAST_CANCER_PROGENITORS_UP</t>
  </si>
  <si>
    <t>55206;23347;10526;5495;9631;5981;3192;3609;11052;375748;253143;55183;23248;6873;9736;23064;55728;171023;28981;10142;64682;57472;22852;8295;7514;10299;9678;5422;7109;987;5471;10714;55596;55320;92140;84295;57531;55342;83448;23047;57786;7707</t>
  </si>
  <si>
    <t>SBNO1;SMCHD1;IPO8;PPM1B;NUP155;RFC1;HNRNPU;ILF3;CPSF6;ERCC6L2;PRR14L;RIF1;RPRD2;TAF2;USP34;SETX;N4BP2;ASXL1;IFT81;AKAP9;ANAPC1;CNOT6;ANKRD26;TRRAP;XPO1;MARCH6;PHF14;POLA1;TRAPPC10;LRBA;PPAT;POLD3;ZCCHC8;MIS18BP1;MTDH;PHF6;HACE1;STRBP;PUS7L;PDS5B;RBAK;ZNF148</t>
  </si>
  <si>
    <t>http://www.broadinstitute.org/gsea/msigdb/cards/ZHANG_BREAST_CANCER_PROGENITORS_UP.html</t>
  </si>
  <si>
    <t>ENK_UV_RESPONSE_KERATINOCYTE_DN</t>
  </si>
  <si>
    <t>10236;8888;9475;51366;7175;5927;5048;546;5903;4299;5591;7155;1660;2186;9360;8899;9320;7705;10771;23369;91746;10730;9169;6311;7750;23637;10915;7514;51585;8518;9527;4140;6249;2932;3930;27332;9221;11011;7994;54765;4848;23499;7707;8202</t>
  </si>
  <si>
    <t>HNRNPR;MCM3AP;ROCK2;UBR5;TPR;KDM5A;PAFAH1B1;ATRX;RANBP2;AFF1;PRKDC;TOP2B;DHX9;BPTF;PPIG;PRPF4B;TRIP12;ZNF146;ZMYND11;PUM2;YTHDC1;YME1L1;SCAF11;ATXN2;ZMYM2;RABGAP1;TCERG1;XPO1;PCF11;ELP1;GOSR1;MARK3;CLIP1;GSK3B;LBR;ZNF638;NOLC1;TLK2;KAT6A;TRIM44;AC092881.1;MACF1;ZNF148;NCOA3</t>
  </si>
  <si>
    <t>http://www.broadinstitute.org/gsea/msigdb/cards/ENK_UV_RESPONSE_KERATINOCYTE_DN.html</t>
  </si>
  <si>
    <t>KINSEY_TARGETS_OF_EWSR1_FLII_FUSION_UP</t>
  </si>
  <si>
    <t>10236;55660;9631;51366;7468;3799;5981;9972;3836;5591;3192;5781;3609;5062;9793;84986;23244;54619;55183;157769;6873;130507;57695;55193;55728;25914;10274;9712;8880;85476;79677;10730;10940;80218;64426;10137;11244;23405;9126;23019;51105;10277;5422;2957;5471;8621;6596;10714;84131;9662;54887;55596;55159;55632;92140;57534;22847;10426;165055;10198;11083;26054;79723;79646;9188;23047;53981;26973;9874;27161;10762</t>
  </si>
  <si>
    <t>HNRNPR;PRPF40A;NUP155;UBR5;NSD2;KIF5B;RFC1;NUP153;KPNA1;PRKDC;HNRNPU;PTPN11;ILF3;PAK2;CKAP5;ARHGAP19;PDS5A;CCNJ;RIF1;FAM91A1;TAF2;UBR3;USP37;PBRM1;N4BP2;RTTN;STAG1;USP6NL;FUBP1;GFM1;SMC6;YME1L1;POP1;NAA50;SUDS3;RBM12;ZHX1;DICER1;SMC3;CNOT1;PHF20L1;UBE4B;POLA1;GTF2A1;PPAT;CDK13;HLTF;POLD3;CEP78;CEP135;UHRF1BP1;ZCCHC8;RFWD3;G2E3;MTDH;MIB1;ZNF507;TUBGCP3;CCDC138;MPHOSPH9;DIDO1;SENP6;SUV39H2;PANK3;DDX21;PDS5B;CPSF2;CHORDC1;TLK1;AGO2;NUP50</t>
  </si>
  <si>
    <t>http://www.broadinstitute.org/gsea/msigdb/cards/KINSEY_TARGETS_OF_EWSR1_FLII_FUSION_UP.html</t>
  </si>
  <si>
    <t>RODRIGUES_THYROID_CARCINOMA_POORLY_DIFFERENTIATED_DN</t>
  </si>
  <si>
    <t>23328;23014;51366;8925;22848;196528;254048;9736;23389;23126;57492;7840;64324;91746;55914;51773;10142;51322;64426;7750;23405;5286;1106;23350;4763;4140;6249;7109;10914;4301;6789;8621;2804;27332;463;80205;54856;55291;54832;284058;26065;80012;10207;56987;9887;64421;55342;56995;55668;51455;27161;9439;25831;23112;23335</t>
  </si>
  <si>
    <t>SASH1;FBXO21;UBR5;HERC1;AAK1;ARID2;UBN2;USP34;MED13L;POGZ;ARID1B;ALMS1;NSD1;YTHDC1;ERBIN;RSF1;AKAP9;WAC;SUDS3;ZMYM2;DICER1;PIK3C2A;CHD2;U2SURP;NF1;MARK3;CLIP1;TRAPPC10;PAPOLA;AFDN;STK4;CDK13;GOLGB1;ZNF638;ZFHX3;CHD9;GON4L;PPP6R3;VPS13C;KANSL1;LSM14A;PHC3;PATJ;BBX;SMG7;DCLRE1C;STRBP;TULP4;GPATCH2L;REV1;AGO2;MED23;HECTD1;TNRC6B;WDR7</t>
  </si>
  <si>
    <t>http://www.broadinstitute.org/gsea/msigdb/cards/RODRIGUES_THYROID_CARCINOMA_POORLY_DIFFERENTIATED_DN.html</t>
  </si>
  <si>
    <t>MITSIADES_RESPONSE_TO_APLIDIN_DN</t>
  </si>
  <si>
    <t>10236;23451;7468;7175;5591;6711;5781;8661;84986;23244;5930;79572;23195;9126;8295;23019;23468;5471;3930;10714;157922;10594;9879;23299;10985;23013;80155;55127;23047;10762;23499</t>
  </si>
  <si>
    <t>HNRNPR;SF3B1;NSD2;TPR;PRKDC;SPTBN1;PTPN11;EIF3A;ARHGAP19;PDS5A;RBBP6;ATP13A3;MDN1;SMC3;TRRAP;CNOT1;CBX5;PPAT;LBR;POLD3;CAMSAP1;PRPF8;DDX46;BICD2;GCN1;SPEN;NAA15;HEATR1;PDS5B;NUP50;MACF1</t>
  </si>
  <si>
    <t>http://www.broadinstitute.org/gsea/msigdb/cards/MITSIADES_RESPONSE_TO_APLIDIN_DN.html</t>
  </si>
  <si>
    <t>PUJANA_BRCA2_PCC_NETWORK</t>
  </si>
  <si>
    <t>9044;51366;7468;7637;5591;3609;5062;8899;9793;84986;23512;11052;55183;22976;11064;171023;8880;51230;54454;9126;200576;8295;6874;10915;7514;9880;11168;5422;4361;7690;6596;3930;10714;9879;11011;10735;10426;10198;23200</t>
  </si>
  <si>
    <t>BTAF1;UBR5;NSD2;ZNF84;PRKDC;ILF3;PAK2;PRPF4B;CKAP5;ARHGAP19;SUZ12;CPSF6;RIF1;PAXIP1;CNTRL;ASXL1;FUBP1;PHF20;ATAD2B;SMC3;PIKFYVE;TRRAP;TAF4;TCERG1;XPO1;ZBTB39;PSIP1;POLA1;MRE11;ZNF131;HLTF;LBR;POLD3;DDX46;TLK2;STAG2;TUBGCP3;MPHOSPH9;ATP11B</t>
  </si>
  <si>
    <t>http://www.broadinstitute.org/gsea/msigdb/cards/PUJANA_BRCA2_PCC_NETWORK.html</t>
  </si>
  <si>
    <t>SENESE_HDAC3_TARGETS_UP</t>
  </si>
  <si>
    <t>55814;9877;23317;23451;7175;5903;2969;3192;6711;5781;1660;221037;54906;9736;57551;23049;51322;80351;84146;79572;55870;571;6801;4763;7109;2932;10914;8087;6789;23198;55671;25948;84669;160760;23299;25909;9887;7994;55127;79657;57786;23200</t>
  </si>
  <si>
    <t>BDP1;ZC3H11A;DNAJC13;SF3B1;TPR;RANBP2;GTF2I;HNRNPU;SPTBN1;PTPN11;DHX9;JMJD1C;TASOR2;USP34;TAOK1;SMG1;WAC;TNKS2;ZNF644;ATP13A3;ASH1L;BACH1;STRN;NF1;TRAPPC10;GSK3B;PAPOLA;FXR1;STK4;PSME4;PPP4R3A;KBTBD2;USP32;PPTC7;BICD2;AHCTF1;SMG7;KAT6A;HEATR1;RPAP3;RBAK;ATP11B</t>
  </si>
  <si>
    <t>http://www.broadinstitute.org/gsea/msigdb/cards/SENESE_HDAC3_TARGETS_UP.html</t>
  </si>
  <si>
    <t>CHANDRAN_METASTASIS_UP</t>
  </si>
  <si>
    <t>23077;5927;6659;2186;1778;9584;57551;5930;100289635;58508;259282;64324;57634;23049;6311;57448;54552;23350;23468;2932;157922;55320;284058;9392;79048;55668;26973;27161;7707</t>
  </si>
  <si>
    <t>MYCBP2;KDM5A;SOX4;BPTF;DYNC1H1;RBM39;TAOK1;RBBP6;ZNF605;KMT2C;BOD1L1;NSD1;EP400;SMG1;ATXN2;BIRC6;GNL3L;U2SURP;CBX5;GSK3B;CAMSAP1;MIS18BP1;KANSL1;TGFBRAP1;SECISBP2;GPATCH2L;CHORDC1;AGO2;ZNF148</t>
  </si>
  <si>
    <t>http://www.broadinstitute.org/gsea/msigdb/cards/CHANDRAN_METASTASIS_UP.html</t>
  </si>
  <si>
    <t>RODRIGUES_THYROID_CARCINOMA_POORLY_DIFFERENTIATED_UP</t>
  </si>
  <si>
    <t>3840;55660;9631;7175;3799;5981;5591;1660;9790;7705;9321;26098;55183;55252;23063;374354;85476;79677;10730;84146;9126;23350;23095;9147;9678;285527;10128;23468;10914;8087;10153;5471;51182;6596;9221;55159;25948;9786;80155;55127;79723;79657;54014;57786;53981;9874;10762</t>
  </si>
  <si>
    <t>KPNA4;PRPF40A;NUP155;TPR;KIF5B;RFC1;PRKDC;DHX9;BMS1;ZNF146;TRIP11;EDRF1;RIF1;ASXL2;WAPL;NHLRC2;GFM1;SMC6;YME1L1;ZNF644;SMC3;U2SURP;KIF1B;NEMF;PHF14;FRYL;LRPPRC;CBX5;PAPOLA;FXR1;CEBPZ;PPAT;HSPA14;HLTF;NOLC1;RFWD3;KBTBD2;KIAA0586;NAA15;HEATR1;SUV39H2;RPAP3;BRWD1;RBAK;CPSF2;TLK1;NUP50</t>
  </si>
  <si>
    <t>http://www.broadinstitute.org/gsea/msigdb/cards/RODRIGUES_THYROID_CARCINOMA_POORLY_DIFFERENTIATED_UP.html</t>
  </si>
  <si>
    <t>MONNIER_POSTRADIATION_TUMOR_ESCAPE_UP</t>
  </si>
  <si>
    <t>9044;1656;5130;6711;5781;1660;9790;80018;56957;25836;65117;57551;374354;10940;64397;59343;53944;79811;9147;8518;5471;9816;22984;9221;54856;54520;79612;9879;55605;92140;204851;56987;80155;58487;51132;27161;9904</t>
  </si>
  <si>
    <t>BTAF1;DDX6;PCYT1A;SPTBN1;PTPN11;DHX9;BMS1;NAA25;OTUD7B;NIPBL;RSRC2;TAOK1;NHLRC2;POP1;ZNF106;SENP2;CSNK1G1;SLTM;NEMF;ELP1;PPAT;URB2;PDCD11;NOLC1;GON4L;CCDC93;NAA16;DDX46;KIF21A;MTDH;HIPK1;BBX;NAA15;CREBZF;RLIM;AGO2;RBM19</t>
  </si>
  <si>
    <t>http://www.broadinstitute.org/gsea/msigdb/cards/MONNIER_POSTRADIATION_TUMOR_ESCAPE_UP.html</t>
  </si>
  <si>
    <t>10236;27340;7468;9972;5591;1660;3609;9360;84986;9733;23512;23160;11052;23244;55183;6873;22976;5930;11064;23185;8880;79572;9126;23215;23019;6874;10915;7514;9841;11168;5422;4763;7528;7174;4361;7690;10153;9897;472;9816;3930;9221;22850;9879;92140;8505;9887;10426;10198;9188;6942;23200</t>
  </si>
  <si>
    <t>HNRNPR;UTP20;NSD2;NUP153;PRKDC;DHX9;ILF3;PPIG;ARHGAP19;SART3;SUZ12;WDR43;CPSF6;PDS5A;RIF1;TAF2;PAXIP1;RBBP6;CNTRL;LARP4B;FUBP1;ATP13A3;SMC3;PRRC2C;CNOT1;TAF4;TCERG1;XPO1;ZBTB24;PSIP1;POLA1;NF1;YY1;TPP2;MRE11;ZNF131;CEBPZ;WASHC5;ATM;URB2;LBR;NOLC1;ADNP2;DDX46;MTDH;PARG;SMG7;TUBGCP3;MPHOSPH9;DDX21;TCF20;ATP11B</t>
  </si>
  <si>
    <t>http://www.broadinstitute.org/gsea/msigdb/cards/PUJANA_CHEK2_PCC_NETWORK.html</t>
  </si>
  <si>
    <t>LEE_BMP2_TARGETS_DN</t>
  </si>
  <si>
    <t>23347;3840;9044;4976;55660;27340;9631;9972;3836;8899;80018;23160;11052;55183;6873;22976;166378;8880;85476;10940;80218;79691;10137;23195;22852;23358;9126;92312;51105;10915;7514;10128;4361;7690;64854;5471;51182;9816;22984;9221;79707;84301;27042;5814;79048;80155;83448;55127;79723;79646;9188;26973;10762;7707;9904</t>
  </si>
  <si>
    <t>SMCHD1;KPNA4;BTAF1;OPA1;PRPF40A;UTP20;NUP155;NUP153;KPNA1;PRPF4B;NAA25;WDR43;CPSF6;RIF1;TAF2;PAXIP1;SPATA5;FUBP1;GFM1;POP1;NAA50;QTRT2;RBM12;MDN1;ANKRD26;USP24;SMC3;MEX3A;PHF20L1;TCERG1;XPO1;LRPPRC;MRE11;ZNF131;USP46;PPAT;HSPA14;URB2;PDCD11;NOLC1;NOL9;DDI2;UTP25;PURB;SECISBP2;NAA15;PUS7L;HEATR1;SUV39H2;PANK3;DDX21;CHORDC1;NUP50;ZNF148;RBM19</t>
  </si>
  <si>
    <t>http://www.broadinstitute.org/gsea/msigdb/cards/LEE_BMP2_TARGETS_DN.html</t>
  </si>
  <si>
    <t>23347;9360;9584;9869;221037;26098;6873;65117;5930;51322;55249;79811;54454;571;9147;905;4140;7690;80205;51742;55596;11011;26009;64421;64783;4848;55818;8202</t>
  </si>
  <si>
    <t>SMCHD1;PPIG;RBM39;SETDB1;JMJD1C;EDRF1;TAF2;RSRC2;RBBP6;WAC;YY1AP1;SLTM;ATAD2B;BACH1;NEMF;CCNT2;MARK3;ZNF131;CHD9;ARID4B;ZCCHC8;TLK2;AC118549.1;DCLRE1C;RBM15;AC092881.1;KDM3A;NCOA3</t>
  </si>
  <si>
    <t>BILD_CTNNB1_ONCOGENIC_SIGNATURE</t>
  </si>
  <si>
    <t>546;1778;23253;80204;259282;23185;91746;23049;9169;170506;55870;9126;5286;9147;285527;987;80205;79048;8202</t>
  </si>
  <si>
    <t>ATRX;DYNC1H1;ANKRD12;FBXO11;BOD1L1;LARP4B;YTHDC1;SMG1;SCAF11;DHX36;ASH1L;SMC3;PIK3C2A;NEMF;FRYL;LRBA;CHD9;SECISBP2;NCOA3</t>
  </si>
  <si>
    <t>http://www.broadinstitute.org/gsea/msigdb/cards/BILD_CTNNB1_ONCOGENIC_SIGNATURE.html</t>
  </si>
  <si>
    <t>23347;9044;8672;8888;5980;9877;23317;9611;51366;7175;7637;5591;6654;8899;9869;221037;23244;6873;3842;10142;80351;29994;8295;23215;51105;5286;10915;5422;4763;4140;7174;6249;7109;9897;11214;472;23198;54520;253959;157680;92140;84196;26065;23299;55705;10198;55636;27161;23499;51592</t>
  </si>
  <si>
    <t>SMCHD1;BTAF1;EIF4G3;MCM3AP;REV3L;ZC3H11A;DNAJC13;NCOR1;UBR5;TPR;ZNF84;PRKDC;SOS1;PRPF4B;SETDB1;JMJD1C;PDS5A;TAF2;TNPO1;AKAP9;TNKS2;BAZ2B;TRRAP;PRRC2C;PHF20L1;PIK3C2A;TCERG1;POLA1;NF1;MARK3;TPP2;CLIP1;TRAPPC10;WASHC5;AKAP13;ATM;PSME4;CCDC93;RALGAPA1;VPS13B;MTDH;USP48;LSM14A;BICD2;IPO9;MPHOSPH9;CHD7;AGO2;MACF1;TRIM33</t>
  </si>
  <si>
    <t>WANG_LMO4_TARGETS_DN</t>
  </si>
  <si>
    <t>8672;55660;51366;353274;6711;4297;5062;8661;1778;9320;23352;253260;57532;23063;57695;10142;55628;55051;54542;29994;54454;8087;25962;9879;84295;56987;8239;5814;64783;80314;79813;53981</t>
  </si>
  <si>
    <t>EIF4G3;PRPF40A;UBR5;ZNF445;SPTBN1;KMT2A;PAK2;EIF3A;DYNC1H1;TRIP12;UBR4;RICTOR;NUFIP2;WAPL;USP37;AKAP9;ZNF407;NRDE2;RC3H2;BAZ2B;ATAD2B;FXR1;VIRMA;DDX46;PHF6;BBX;USP9X;PURB;RBM15;EPC1;EHMT1;CPSF2</t>
  </si>
  <si>
    <t>http://www.broadinstitute.org/gsea/msigdb/cards/WANG_LMO4_TARGETS_DN.html</t>
  </si>
  <si>
    <t>PATIL_LIVER_CANCER</t>
  </si>
  <si>
    <t>9631;51366;7175;7586;405;5591;6654;2186;3609;1778;23248;285346;254048;89910;22853;28981;3842;81609;84079;55249;26523;23215;7514;23350;5422;9897;7159;6596;3930;23527;54856;51742;54520;55671;92140;79598;389677;56987;9887;10198;11083;53981;10765;27161;1788;8202</t>
  </si>
  <si>
    <t>NUP155;UBR5;TPR;ZKSCAN1;ARNT;PRKDC;SOS1;BPTF;ILF3;DYNC1H1;RPRD2;ZNF852;UBN2;UBE3B;LMTK2;IFT81;TNPO1;SNX27;ANKRD27;YY1AP1;AGO1;PRRC2C;XPO1;U2SURP;POLA1;WASHC5;TP53BP2;HLTF;LBR;ACAP2;GON4L;ARID4B;CCDC93;PPP4R3A;MTDH;CEP97;RBM12B;BBX;SMG7;MPHOSPH9;DIDO1;CPSF2;KDM5B;AGO2;DNMT3A;NCOA3</t>
  </si>
  <si>
    <t>http://www.broadinstitute.org/gsea/msigdb/cards/PATIL_LIVER_CANCER.html</t>
  </si>
  <si>
    <t>FLECHNER_BIOPSY_KIDNEY_TRANSPLANT_OK_VS_DONOR_UP</t>
  </si>
  <si>
    <t>10236;55660;5495;26046;5048;9972;4299;7155;1660;6093;7705;10771;84162;65117;23001;23032;3842;23049;9169;7750;23405;8295;5286;7514;6670;1859;8621;6596;9698;5586;92140;8505;204851;56987;54765;58487;9969;10762;8202</t>
  </si>
  <si>
    <t>HNRNPR;PRPF40A;PPM1B;LTN1;PAFAH1B1;NUP153;AFF1;TOP2B;DHX9;ROCK1;ZNF146;ZMYND11;KIAA1109;RSRC2;WDFY3;USP33;TNPO1;SMG1;SCAF11;ZMYM2;DICER1;TRRAP;PIK3C2A;XPO1;SP3;DYRK1A;CDK13;HLTF;PUM1;PKN2;MTDH;PARG;HIPK1;BBX;TRIM44;CREBZF;MED13;NUP50;NCOA3</t>
  </si>
  <si>
    <t>http://www.broadinstitute.org/gsea/msigdb/cards/FLECHNER_BIOPSY_KIDNEY_TRANSPLANT_OK_VS_DONOR_UP.html</t>
  </si>
  <si>
    <t>DING_LUNG_CANCER_EXPRESSION_BY_COPY_NUMBER</t>
  </si>
  <si>
    <t>3840;10526;5290;9972;5062;255967;157769;25836;6873;10142;59343;8087;2551;9897;80012;54014;55636;23200</t>
  </si>
  <si>
    <t>KPNA4;IPO8;PIK3CA;NUP153;PAK2;PAN3;FAM91A1;NIPBL;TAF2;AKAP9;SENP2;FXR1;GABPA;WASHC5;PHC3;BRWD1;CHD7;ATP11B</t>
  </si>
  <si>
    <t>http://www.broadinstitute.org/gsea/msigdb/cards/DING_LUNG_CANCER_EXPRESSION_BY_COPY_NUMBER.html</t>
  </si>
  <si>
    <t>27340;7175;5290;3609;9584;23160;22848;9736;8315;56946;57695;23001;7840;84181;85476;9169;7750;29994;54454;23423;9693;23215;1106;8867;23095;11168;6341;6249;10128;23468;6670;11214;6789;22984;2804;9221;25962;253959;9879;79598;57531;140775;8239;55743;84725;64783;80155;9188;55668;51696;23112;8202</t>
  </si>
  <si>
    <t>UTP20;TPR;PIK3CA;ILF3;RBM39;WDR43;AAK1;USP34;BRAP;EMSY;USP37;WDFY3;ALMS1;CHD6;GFM1;SCAF11;ZMYM2;BAZ2B;ATAD2B;TMED3;RAPGEF2;PRRC2C;CHD2;SYNJ1;KIF1B;PSIP1;SCO1;CLIP1;LRPPRC;CBX5;SP3;AKAP13;STK4;PDCD11;GOLGB1;NOLC1;VIRMA;RALGAPA1;DDX46;CEP97;HACE1;SMCR8;USP9X;CHFR;PLEKHA8;RBM15;NAA15;DDX21;GPATCH2L;HECA;TNRC6B;NCOA3</t>
  </si>
  <si>
    <t>9044;9611;6651;405;3799;5290;2802;6093;9321;56957;253260;130507;57551;5930;58508;23369;23032;51230;54542;55870;54497;11244;51105;6801;23095;285527;3096;867;6249;987;2957;64854;23527;55432;23392;10735;23299;56987;8239;142891;5814;79646;84132;58487;9969;9439;23499;23143</t>
  </si>
  <si>
    <t>BTAF1;NCOR1;SON;ARNT;KIF5B;PIK3CA;GOLGA3;ROCK1;TRIP11;OTUD7B;RICTOR;UBR3;TAOK1;RBBP6;KMT2C;PUM2;USP33;PHF20;RC3H2;ASH1L;HEATR5B;ZHX1;PHF20L1;STRN;KIF1B;FRYL;HIVEP1;CBL;CLIP1;LRBA;GTF2A1;USP46;ACAP2;YOD1;ECPAS;STAG2;BICD2;BBX;USP9X;SAMD8;PURB;PANK3;USP42;CREBZF;MED13;MED23;MACF1;LRCH1</t>
  </si>
  <si>
    <t>23347;9139;9611;5495;3192;6654;9584;84986;9736;23126;57459;8880;57690;92312;7514;9880;93;3930;388228;283337;25909;55705;55167;27161;1788</t>
  </si>
  <si>
    <t>SMCHD1;CBFA2T2;NCOR1;PPM1B;HNRNPU;SOS1;RBM39;ARHGAP19;USP34;POGZ;GATAD2B;FUBP1;TNRC6C;MEX3A;XPO1;ZBTB39;ACVR2B;LBR;SBK1;ZNF740;AHCTF1;IPO9;MSL2;AGO2;DNMT3A</t>
  </si>
  <si>
    <t>GOBERT_OLIGODENDROCYTE_DIFFERENTIATION_DN</t>
  </si>
  <si>
    <t>10236;9611;23328;140710;7468;7586;9931;5048;353274;6711;54799;6659;9321;11052;253260;23253;5930;25914;7840;9711;9712;57634;85440;55914;51773;51322;85459;57690;10137;29994;57498;23215;6801;23095;905;7174;56252;2932;463;84131;23392;145508;389072;57553;284058;55605;11011;54464;84669;2140;9786;56995;10765;23112;1788</t>
  </si>
  <si>
    <t>HNRNPR;NCOR1;SASH1;SOGA1;NSD2;ZKSCAN1;HELZ;PAFAH1B1;ZNF445;SPTBN1;MBTD1;SOX4;TRIP11;CPSF6;RICTOR;ANKRD12;RBBP6;RTTN;ALMS1;RUBCN;USP6NL;EP400;DOCK7;ERBIN;RSF1;WAC;CEP295;TNRC6C;RBM12;BAZ2B;KIDINS220;PRRC2C;STRN;KIF1B;CCNT2;TPP2;YLPM1;GSK3B;ZFHX3;CEP78;ECPAS;CEP128;PLEKHM3;MICAL3;KANSL1;KIF21A;TLK2;XRN1;USP32;EYA3;KIAA0586;TULP4;KDM5B;TNRC6B;DNMT3A</t>
  </si>
  <si>
    <t>http://www.broadinstitute.org/gsea/msigdb/cards/GOBERT_OLIGODENDROCYTE_DIFFERENTIATION_DN.html</t>
  </si>
  <si>
    <t>GEORGES_TARGETS_OF_MIR192_AND_MIR215</t>
  </si>
  <si>
    <t>4976;7468;5451;3799;5048;6711;84986;10771;11052;26098;9736;55728;57697;158405;8880;80311;85459;80218;26190;23405;7514;5471;1859;93;84131;347240;54887;55320;55159;145508;54832;55632;92140;57534;84295;254887;2074;57209;10426;84260;79657;55802;58487;29843;55636;11108;27161;23499;8202</t>
  </si>
  <si>
    <t>OPA1;NSD2;POU2F1;KIF5B;PAFAH1B1;SPTBN1;ARHGAP19;ZMYND11;CPSF6;EDRF1;USP34;N4BP2;FANCM;KIAA1958;FUBP1;KLHL15;CEP295;NAA50;FBXW2;DICER1;XPO1;PPAT;DYRK1A;ACVR2B;CEP78;KIF24;UHRF1BP1;MIS18BP1;RFWD3;CEP128;VPS13C;G2E3;MTDH;MIB1;PHF6;ZDHHC23;ERCC6;ZNF248;TUBGCP3;TCHP;RPAP3;DCP1A;CREBZF;SENP1;CHD7;PRDM4;AGO2;MACF1;NCOA3</t>
  </si>
  <si>
    <t>http://www.broadinstitute.org/gsea/msigdb/cards/GEORGES_TARGETS_OF_MIR192_AND_MIR215.html</t>
  </si>
  <si>
    <t>GRAESSMANN_RESPONSE_TO_MC_AND_DOXORUBICIN_DN</t>
  </si>
  <si>
    <t>11128;10526;5451;5981;1660;3609;9584;9321;375748;9736;57551;57697;23001;55023;8880;51322;170506;84146;23195;9774;26190;57472;10915;23036;11168;10914;7701;6670;5471;3930;9221;10714;51742;27042;55671;55596;23269;23013;80155;55127;55802;51132;4848;29843;4216</t>
  </si>
  <si>
    <t>POLR3A;IPO8;POU2F1;RFC1;DHX9;ILF3;RBM39;TRIP11;ERCC6L2;USP34;TAOK1;FANCM;WDFY3;PHIP;FUBP1;WAC;DHX36;ZNF644;MDN1;BCLAF1;FBXW2;CNOT6;TCERG1;ZNF292;PSIP1;PAPOLA;ZNF142;SP3;PPAT;LBR;NOLC1;POLD3;ARID4B;UTP25;PPP4R3A;ZCCHC8;MGA;SPEN;NAA15;HEATR1;DCP1A;RLIM;AC092881.1;SENP1;MAP3K4</t>
  </si>
  <si>
    <t>http://www.broadinstitute.org/gsea/msigdb/cards/GRAESSMANN_RESPONSE_TO_MC_AND_DOXORUBICIN_DN.html</t>
  </si>
  <si>
    <t>SCHLOSSER_SERUM_RESPONSE_DN</t>
  </si>
  <si>
    <t>10236;8672;5980;23451;23077;5495;5048;7155;5781;1660;5062;9360;23512;10771;23032;91746;10730;9774;57498;54454;200576;23215;317;571;11168;9527;7174;6249;2033;7159;1859;6596;9879;92140;8505;204851;26065;26019;23047;6942;11176;23200;23335</t>
  </si>
  <si>
    <t>HNRNPR;EIF4G3;REV3L;SF3B1;MYCBP2;PPM1B;PAFAH1B1;TOP2B;PTPN11;DHX9;PAK2;PPIG;SUZ12;ZMYND11;USP33;YTHDC1;YME1L1;BCLAF1;KIDINS220;ATAD2B;PIKFYVE;PRRC2C;APAF1;BACH1;PSIP1;GOSR1;TPP2;CLIP1;EP300;TP53BP2;DYRK1A;HLTF;DDX46;MTDH;PARG;HIPK1;LSM14A;UPF2;PDS5B;TCF20;BAZ2A;ATP11B;WDR7</t>
  </si>
  <si>
    <t>http://www.broadinstitute.org/gsea/msigdb/cards/SCHLOSSER_SERUM_RESPONSE_DN.html</t>
  </si>
  <si>
    <t>DACOSTA_UV_RESPONSE_VIA_ERCC3_TTD_DN</t>
  </si>
  <si>
    <t>9044;26043;6651;8661;57148;171023;23131;5286;9678;5116;23527;463;157680;10198;23047;27161</t>
  </si>
  <si>
    <t>BTAF1;UBXN7;SON;EIF3A;RALGAPB;ASXL1;GPATCH8;PIK3C2A;PHF14;PCNT;ACAP2;ZFHX3;VPS13B;MPHOSPH9;PDS5B;AGO2</t>
  </si>
  <si>
    <t>http://www.broadinstitute.org/gsea/msigdb/cards/DACOSTA_UV_RESPONSE_VIA_ERCC3_TTD_DN.html</t>
  </si>
  <si>
    <t>7468;7175;673;1656;405;7428;5290;4299;4297;5781;23512;9135;9321;11064;80312;23522;7248;64324;7750;11168;4763;867;4301;2033;472;64783;51592;9967</t>
  </si>
  <si>
    <t>NSD2;TPR;BRAF;DDX6;ARNT;VHL;PIK3CA;AFF1;KMT2A;PTPN11;SUZ12;RABEP1;TRIP11;CNTRL;TET1;KAT6B;TSC1;NSD1;ZMYM2;PSIP1;NF1;CBL;AFDN;EP300;ATM;RBM15;TRIM33;THRAP3</t>
  </si>
  <si>
    <t>4976;26043;57695;10274;64426;7776;54454;375248;23350;8867;11168;5422;6596;23181;10714;57531;25909;64783;55167;58487;54014;51455</t>
  </si>
  <si>
    <t>OPA1;UBXN7;USP37;STAG1;SUDS3;ZNF236;ATAD2B;ANKRD36;U2SURP;SYNJ1;PSIP1;POLA1;HLTF;DIP2A;POLD3;HACE1;AHCTF1;RBM15;MSL2;CREBZF;BRWD1;REV1</t>
  </si>
  <si>
    <t>VILLANUEVA_LIVER_CANCER_KRT19_UP</t>
  </si>
  <si>
    <t>6659;2802;23054;196528;100289635;57695;158405;7840;8880;26523;23036;5422;4361;6789;10714;9662;64421;55342;80314;57703;4216</t>
  </si>
  <si>
    <t>SOX4;GOLGA3;NCOA6;ARID2;ZNF605;USP37;KIAA1958;ALMS1;FUBP1;AGO1;ZNF292;POLA1;MRE11;STK4;POLD3;CEP135;DCLRE1C;STRBP;EPC1;CWC22;MAP3K4</t>
  </si>
  <si>
    <t>http://www.broadinstitute.org/gsea/msigdb/cards/VILLANUEVA_LIVER_CANCER_KRT19_UP.html</t>
  </si>
  <si>
    <t>DACOSTA_UV_RESPONSE_VIA_ERCC3_XPCS_DN</t>
  </si>
  <si>
    <t>26043;6651;5903;8661;57148;171023;23131;5286;9678;5116;8453;23527;157680;10198;23047;27161</t>
  </si>
  <si>
    <t>UBXN7;SON;RANBP2;EIF3A;RALGAPB;ASXL1;GPATCH8;PIK3C2A;PHF14;PCNT;CUL2;ACAP2;VPS13B;MPHOSPH9;PDS5B;AGO2</t>
  </si>
  <si>
    <t>http://www.broadinstitute.org/gsea/msigdb/cards/DACOSTA_UV_RESPONSE_VIA_ERCC3_XPCS_DN.html</t>
  </si>
  <si>
    <t>23347;23451;26046;7175;6651;546;100381270;1660;3609;9360;9584;9733;79832;55183;23253;57695;259282;85459;9774;7750;9126;375248;23350;10914;23198;5586;55632;57534;80155;27161;9967</t>
  </si>
  <si>
    <t>SMCHD1;SF3B1;LTN1;TPR;SON;ATRX;ZBED6;DHX9;ILF3;PPIG;RBM39;SART3;QSER1;RIF1;ANKRD12;USP37;BOD1L1;CEP295;BCLAF1;ZMYM2;SMC3;ANKRD36;U2SURP;PAPOLA;PSME4;PKN2;G2E3;MIB1;NAA15;AGO2;THRAP3</t>
  </si>
  <si>
    <t>DAZARD_RESPONSE_TO_UV_SCC_DN</t>
  </si>
  <si>
    <t>9972;6659;7705;23126;79572;57680;29994;22992;9693;4140;1859;9698;11011;25948;7994;4848;9874;27161</t>
  </si>
  <si>
    <t>NUP153;SOX4;ZNF146;POGZ;ATP13A3;CHD8;BAZ2B;KDM2A;RAPGEF2;MARK3;DYRK1A;PUM1;TLK2;KBTBD2;KAT6A;AC092881.1;TLK1;AGO2</t>
  </si>
  <si>
    <t>http://www.broadinstitute.org/gsea/msigdb/cards/DAZARD_RESPONSE_TO_UV_SCC_DN.html</t>
  </si>
  <si>
    <t>GRYDER_PAX3FOXO1_ENHANCERS_IN_TADS</t>
  </si>
  <si>
    <t>9044;4976;26057;23328;23014;3799;6659;1660;8661;23160;84726;130507;23389;23064;23126;23332;23001;84181;10274;28981;3842;8880;80351;84146;64426;59343;54552;54454;23405;1106;23140;11168;8518;7174;6670;10153;9221;5586;145508;157680;79598;84295;54464;144348;92797;54765;10198;4848;55636;6942</t>
  </si>
  <si>
    <t>BTAF1;OPA1;ANKRD17;SASH1;FBXO21;KIF5B;SOX4;DHX9;EIF3A;WDR43;PRRC2B;UBR3;MED13L;SETX;POGZ;CLASP1;WDFY3;CHD6;STAG1;IFT81;TNPO1;FUBP1;TNKS2;ZNF644;SUDS3;SENP2;GNL3L;ATAD2B;DICER1;CHD2;ZZEF1;PSIP1;ELP1;TPP2;SP3;CEBPZ;NOLC1;PKN2;CEP128;VPS13B;CEP97;PHF6;XRN1;ZNF664;HELB;TRIM44;MPHOSPH9;AC092881.1;CHD7;TCF20</t>
  </si>
  <si>
    <t>http://www.broadinstitute.org/gsea/msigdb/cards/GRYDER_PAX3FOXO1_ENHANCERS_IN_TADS.html</t>
  </si>
  <si>
    <t>PILON_KLF1_TARGETS_UP</t>
  </si>
  <si>
    <t>55206;7468;3836;4297;9869;23160;26005;255967;90957;26058;55252;56946;10075;55728;57148;165918;23369;23185;80351;57680;53944;54552;23637;285527;55291;55320;54455;54812;54832;57534;53981;9969;9874;25831</t>
  </si>
  <si>
    <t>SBNO1;NSD2;KPNA1;KMT2A;SETDB1;WDR43;C2CD3;PAN3;DHX57;GIGYF2;ASXL2;EMSY;HUWE1;N4BP2;RALGAPB;RNF168;PUM2;LARP4B;TNKS2;CHD8;CSNK1G1;GNL3L;RABGAP1;FRYL;PPP6R3;MIS18BP1;FBXO42;AFTPH;VPS13C;MIB1;CPSF2;MED13;TLK1;HECTD1</t>
  </si>
  <si>
    <t>http://www.broadinstitute.org/gsea/msigdb/cards/PILON_KLF1_TARGETS_UP.html</t>
  </si>
  <si>
    <t>PUJANA_XPRSS_INT_NETWORK</t>
  </si>
  <si>
    <t>7468;5591;3609;23512;55183;22976;11064;8880;9126;10915;7514;11168;5422;4361;7690;472;3930;9879;10198;23200</t>
  </si>
  <si>
    <t>NSD2;PRKDC;ILF3;SUZ12;RIF1;PAXIP1;CNTRL;FUBP1;SMC3;TCERG1;XPO1;PSIP1;POLA1;MRE11;ZNF131;ATM;LBR;DDX46;MPHOSPH9;ATP11B</t>
  </si>
  <si>
    <t>http://www.broadinstitute.org/gsea/msigdb/cards/PUJANA_XPRSS_INT_NETWORK.html</t>
  </si>
  <si>
    <t>LIU_SOX4_TARGETS_DN</t>
  </si>
  <si>
    <t>9139;4976;5048;3192;1660;8661;23054;9736;89910;5930;8880;57634;54542;54552;9774;9126;5471;9698;9221;10594;57553;10735;23299;55743;23112;4216</t>
  </si>
  <si>
    <t>CBFA2T2;OPA1;PAFAH1B1;HNRNPU;DHX9;EIF3A;NCOA6;USP34;UBE3B;RBBP6;FUBP1;EP400;RC3H2;GNL3L;BCLAF1;SMC3;PPAT;PUM1;NOLC1;PRPF8;MICAL3;STAG2;BICD2;CHFR;TNRC6B;MAP3K4</t>
  </si>
  <si>
    <t>http://www.broadinstitute.org/gsea/msigdb/cards/LIU_SOX4_TARGETS_DN.html</t>
  </si>
  <si>
    <t>MARTINEZ_RESPONSE_TO_TRABECTEDIN_DN</t>
  </si>
  <si>
    <t>9044;23077;6651;8661;23054;26130;221037;65117;56946;57634;57448;7750;23637;10915;9919;285527;3930;10714;5586;84295;26065;9188;9967;4216</t>
  </si>
  <si>
    <t>BTAF1;MYCBP2;SON;EIF3A;NCOA6;GAPVD1;JMJD1C;RSRC2;EMSY;EP400;BIRC6;ZMYM2;RABGAP1;TCERG1;SEC16A;FRYL;LBR;POLD3;PKN2;PHF6;LSM14A;DDX21;THRAP3;MAP3K4</t>
  </si>
  <si>
    <t>http://www.broadinstitute.org/gsea/msigdb/cards/MARTINEZ_RESPONSE_TO_TRABECTEDIN_DN.html</t>
  </si>
  <si>
    <t>55814;3840;23451;7175;2969;5781;1660;54906;9736;57551;84146;79572;9774;23019;5286;571;6801;2932;10914;23198;55432;25948;84669;160760;25909;9887;8239;79657;27161;25831;23200</t>
  </si>
  <si>
    <t>BDP1;KPNA4;SF3B1;TPR;GTF2I;PTPN11;DHX9;TASOR2;USP34;TAOK1;ZNF644;ATP13A3;BCLAF1;CNOT1;PIK3C2A;BACH1;STRN;GSK3B;PAPOLA;PSME4;YOD1;KBTBD2;USP32;PPTC7;AHCTF1;SMG7;USP9X;RPAP3;AGO2;HECTD1;ATP11B</t>
  </si>
  <si>
    <t>7175;5048;1660;3609;9360;55193;374354;10274;9712;3842;8880;85476;55628;79691;54552;9774;51755;9841;8518;10914;10153;51182;8453;9221;9879;56652;26054;55127;51132;26973</t>
  </si>
  <si>
    <t>TPR;PAFAH1B1;DHX9;ILF3;PPIG;PBRM1;NHLRC2;STAG1;USP6NL;TNPO1;FUBP1;GFM1;ZNF407;QTRT2;GNL3L;BCLAF1;CDK12;ZBTB24;ELP1;PAPOLA;CEBPZ;HSPA14;CUL2;NOLC1;DDX46;TWNK;SENP6;HEATR1;RLIM;CHORDC1</t>
  </si>
  <si>
    <t>WHITFIELD_CELL_CYCLE_M_G1</t>
  </si>
  <si>
    <t>140710;3799;221037;57532;10274;9712;10915;51585;7528;8087;11214;55291;9786;55802;56995;10765;9329;8202</t>
  </si>
  <si>
    <t>SOGA1;KIF5B;JMJD1C;NUFIP2;STAG1;USP6NL;TCERG1;PCF11;YY1;FXR1;AKAP13;PPP6R3;KIAA0586;DCP1A;TULP4;KDM5B;GTF3C4;NCOA3</t>
  </si>
  <si>
    <t>http://www.broadinstitute.org/gsea/msigdb/cards/WHITFIELD_CELL_CYCLE_M_G1.html</t>
  </si>
  <si>
    <t>9611;140710;7468;2969;1660;3609;257218;84986;11052;55183;7840;10274;10940;29072;23195;23132;11168;4361;10714;54520;55320;10207;10426;119016;64421;55342;10198;11083;26019;9188;51592</t>
  </si>
  <si>
    <t>NCOR1;SOGA1;NSD2;GTF2I;DHX9;ILF3;SHPRH;ARHGAP19;CPSF6;RIF1;ALMS1;STAG1;POP1;SETD2;MDN1;RAD54L2;PSIP1;MRE11;POLD3;CCDC93;MIS18BP1;PATJ;TUBGCP3;AGAP4;DCLRE1C;STRBP;MPHOSPH9;DIDO1;UPF2;DDX21;TRIM33</t>
  </si>
  <si>
    <t>DIAZ_CHRONIC_MEYLOGENOUS_LEUKEMIA_UP</t>
  </si>
  <si>
    <t>3840;10236;9611;5495;546;9972;5903;5591;1660;3609;8661;9584;9320;9733;7705;10771;11052;6873;23369;91746;55914;10730;9169;51230;64682;26190;9126;23423;9693;10915;7514;10299;9147;11168;10277;8518;7528;4140;4361;5471;7024;7159;1859;4863;6596;9698;3930;9221;51742;27042;10735;6601;8239;10426;9188;10765;9969;9874;10762</t>
  </si>
  <si>
    <t>KPNA4;HNRNPR;NCOR1;PPM1B;ATRX;NUP153;RANBP2;PRKDC;DHX9;ILF3;EIF3A;RBM39;TRIP12;SART3;ZNF146;ZMYND11;CPSF6;TAF2;PUM2;YTHDC1;ERBIN;YME1L1;SCAF11;PHF20;ANAPC1;FBXW2;SMC3;TMED3;RAPGEF2;TCERG1;XPO1;MARCH6;NEMF;PSIP1;UBE4B;ELP1;YY1;MARK3;MRE11;PPAT;TFCP2;TP53BP2;DYRK1A;NPAT;HLTF;PUM1;LBR;NOLC1;ARID4B;UTP25;STAG2;SMARCC2;USP9X;TUBGCP3;DDX21;KDM5B;MED13;TLK1;NUP50</t>
  </si>
  <si>
    <t>http://www.broadinstitute.org/gsea/msigdb/cards/DIAZ_CHRONIC_MEYLOGENOUS_LEUKEMIA_UP.html</t>
  </si>
  <si>
    <t>JOHNSTONE_PARVB_TARGETS_2_DN</t>
  </si>
  <si>
    <t>10236;4976;23077;9972;7155;8899;6873;9736;57532;10274;8880;9126;1106;10915;23633;23468;8087;2957;64854;8621;64864;55320;204851;54464;80012;23200</t>
  </si>
  <si>
    <t>HNRNPR;OPA1;MYCBP2;NUP153;TOP2B;PRPF4B;TAF2;USP34;NUFIP2;STAG1;FUBP1;SMC3;CHD2;TCERG1;KPNA6;CBX5;FXR1;GTF2A1;USP46;CDK13;RFX7;MIS18BP1;HIPK1;XRN1;PHC3;ATP11B</t>
  </si>
  <si>
    <t>http://www.broadinstitute.org/gsea/msigdb/cards/JOHNSTONE_PARVB_TARGETS_2_DN.html</t>
  </si>
  <si>
    <t>GENTILE_UV_HIGH_DOSE_DN</t>
  </si>
  <si>
    <t>5048;9972;3192;7705;26098;23126;23369;79572;23405;200576;23637;9693;571;7514;987;1859;9698;3930;11011;26065;10426;23013;4848;9874;8202</t>
  </si>
  <si>
    <t>PAFAH1B1;NUP153;HNRNPU;ZNF146;EDRF1;POGZ;PUM2;ATP13A3;DICER1;PIKFYVE;RABGAP1;RAPGEF2;BACH1;XPO1;LRBA;DYRK1A;PUM1;LBR;TLK2;LSM14A;TUBGCP3;SPEN;AC092881.1;TLK1;NCOA3</t>
  </si>
  <si>
    <t>http://www.broadinstitute.org/gsea/msigdb/cards/GENTILE_UV_HIGH_DOSE_DN.html</t>
  </si>
  <si>
    <t>55660;7637;9360;8899;9135;9857;8315;5930;55193;7840;55914;10142;51230;7750;26523;23405;1106;10299;2932;6670;2033;11214;23181;5469;10735;6601;54765;8202</t>
  </si>
  <si>
    <t>PRPF40A;ZNF84;PPIG;PRPF4B;RABEP1;CEP350;BRAP;RBBP6;PBRM1;ALMS1;ERBIN;AKAP9;PHF20;ZMYM2;AGO1;DICER1;CHD2;MARCH6;GSK3B;SP3;EP300;AKAP13;DIP2A;MED1;STAG2;SMARCC2;TRIM44;NCOA3</t>
  </si>
  <si>
    <t>NUYTTEN_NIPP1_TARGETS_DN</t>
  </si>
  <si>
    <t>9475;26057;23014;7468;405;2802;5062;23054;11052;55183;205717;10075;57695;55728;158405;80312;23369;23185;8880;85476;10730;64397;79572;10137;54764;23405;9919;10299;5422;10914;6670;3930;5469;204851;79598;5814;80155;55802;56995;54014;10762;51592;23200</t>
  </si>
  <si>
    <t>ROCK2;ANKRD17;FBXO21;NSD2;ARNT;GOLGA3;PAK2;NCOA6;CPSF6;RIF1;USF3;HUWE1;USP37;N4BP2;KIAA1958;TET1;PUM2;LARP4B;FUBP1;GFM1;YME1L1;ZNF106;ATP13A3;RBM12;ZRANB1;DICER1;SEC16A;MARCH6;POLA1;PAPOLA;SP3;LBR;MED1;HIPK1;CEP97;PURB;NAA15;DCP1A;TULP4;BRWD1;NUP50;TRIM33;ATP11B</t>
  </si>
  <si>
    <t>http://www.broadinstitute.org/gsea/msigdb/cards/NUYTTEN_NIPP1_TARGETS_DN.html</t>
  </si>
  <si>
    <t>9475;55660;5927;3799;9972;3192;9733;9869;8925;84614;89910;55193;9711;9712;3842;8880;55870;11276;200576;23132;317;571;7514;10299;2005;6249;2117;10153;5471;472;1859;4863;22930;10714;23392;27042;54812;84196;9887;54765;84248;64421;4848;29843;53981;10765;27161;8202</t>
  </si>
  <si>
    <t>ROCK2;PRPF40A;KDM5A;KIF5B;NUP153;HNRNPU;SART3;SETDB1;HERC1;ZBTB37;UBE3B;PBRM1;RUBCN;USP6NL;TNPO1;FUBP1;ASH1L;SYNRG;PIKFYVE;RAD54L2;APAF1;BACH1;XPO1;MARCH6;ELK4;CLIP1;ETV3;CEBPZ;PPAT;ATM;DYRK1A;NPAT;RAB3GAP1;POLD3;ECPAS;UTP25;AFTPH;USP48;SMG7;TRIM44;FYTTD1;DCLRE1C;AC092881.1;SENP1;CPSF2;KDM5B;AGO2;NCOA3</t>
  </si>
  <si>
    <t>23060;9611;55660;5927;3799;9931;9972;5903;3192;7155;9733;9869;7705;8925;89910;374354;23522;9712;3842;8880;51322;200576;23660;7514;10299;9147;3096;2005;7174;2117;56252;6789;472;4863;3930;5469;5586;79612;55320;10594;84196;57534;84295;26065;64421;80155;4848;53981;10765;26973;27161;51592;8202</t>
  </si>
  <si>
    <t>ZNF609;NCOR1;PRPF40A;KDM5A;KIF5B;HELZ;NUP153;RANBP2;HNRNPU;TOP2B;SART3;SETDB1;ZNF146;HERC1;UBE3B;NHLRC2;KAT6B;USP6NL;TNPO1;FUBP1;WAC;PIKFYVE;ZKSCAN5;XPO1;MARCH6;NEMF;HIVEP1;ELK4;TPP2;ETV3;YLPM1;STK4;ATM;NPAT;LBR;MED1;PKN2;NAA16;MIS18BP1;PRPF8;USP48;MIB1;PHF6;LSM14A;DCLRE1C;NAA15;AC092881.1;CPSF2;KDM5B;CHORDC1;AGO2;TRIM33;NCOA3</t>
  </si>
  <si>
    <t>REACTOME_CELL_CYCLE</t>
  </si>
  <si>
    <t>5048;5903;9793;1778;57551;23332;11064;7840;10274;51773;10142;64682;9126;7514;5116;5422;6249;472;1859;23198;10714;9662;55320;10735;25909;10426;11083;11190</t>
  </si>
  <si>
    <t>PAFAH1B1;RANBP2;CKAP5;DYNC1H1;TAOK1;CLASP1;CNTRL;ALMS1;STAG1;RSF1;AKAP9;ANAPC1;SMC3;XPO1;PCNT;POLA1;CLIP1;ATM;DYRK1A;PSME4;POLD3;CEP135;MIS18BP1;STAG2;AHCTF1;TUBGCP3;DIDO1;CEP250</t>
  </si>
  <si>
    <t>http://www.broadinstitute.org/gsea/msigdb/cards/REACTOME_CELL_CYCLE.html</t>
  </si>
  <si>
    <t>DURCHDEWALD_SKIN_CARCINOGENESIS_DN</t>
  </si>
  <si>
    <t>26046;1656;405;3799;8899;9857;205717;57551;23185;3842;23049;79572;57609;23095;6249;2932;7690;55432;131544;10765;9969;23499</t>
  </si>
  <si>
    <t>LTN1;DDX6;ARNT;KIF5B;PRPF4B;CEP350;USF3;TAOK1;LARP4B;TNPO1;SMG1;ATP13A3;DIP2B;KIF1B;CLIP1;GSK3B;ZNF131;YOD1;CRYBG3;KDM5B;MED13;MACF1</t>
  </si>
  <si>
    <t>http://www.broadinstitute.org/gsea/msigdb/cards/DURCHDEWALD_SKIN_CARCINOGENESIS_DN.html</t>
  </si>
  <si>
    <t>9877;23077;7182;353274;6711;6093;9584;84726;253260;51773;2932;6670;6789;253959;54812;9879;92140;6601;9887</t>
  </si>
  <si>
    <t>ZC3H11A;MYCBP2;NR2C2;ZNF445;SPTBN1;ROCK1;RBM39;PRRC2B;RICTOR;RSF1;GSK3B;SP3;STK4;RALGAPA1;AFTPH;DDX46;MTDH;SMARCC2;SMG7</t>
  </si>
  <si>
    <t>WEI_MYCN_TARGETS_WITH_E_BOX</t>
  </si>
  <si>
    <t>55206;3840;4976;55660;9631;405;3192;1660;80018;23160;79832;55183;89910;171023;85476;79677;10940;55341;79572;2844;23633;6341;10914;5471;51182;9816;9221;84131;27042;55320;55159;9879;55632;92140;25909;165055;80155;26019;9188;9329</t>
  </si>
  <si>
    <t>SBNO1;KPNA4;OPA1;PRPF40A;NUP155;ARNT;HNRNPU;DHX9;NAA25;WDR43;QSER1;RIF1;UBE3B;ASXL1;GFM1;SMC6;POP1;LSG1;ATP13A3;RABGAP1;KPNA6;SCO1;PAPOLA;PPAT;HSPA14;URB2;NOLC1;CEP78;UTP25;MIS18BP1;RFWD3;DDX46;G2E3;MTDH;AHCTF1;CCDC138;NAA15;UPF2;DDX21;GTF3C4</t>
  </si>
  <si>
    <t>http://www.broadinstitute.org/gsea/msigdb/cards/WEI_MYCN_TARGETS_WITH_E_BOX.html</t>
  </si>
  <si>
    <t>RICKMAN_METASTASIS_UP</t>
  </si>
  <si>
    <t>10526;7428;546;9360;9793;9320;10771;51248;26058;5930;22853;57634;91746;57679;55249;59343;54454;10914;79707;283578;23269;10735;64783;55167;51132</t>
  </si>
  <si>
    <t>IPO8;VHL;ATRX;PPIG;CKAP5;TRIP12;ZMYND11;PDZD11;GIGYF2;RBBP6;LMTK2;EP400;YTHDC1;ALS2;YY1AP1;SENP2;ATAD2B;PAPOLA;NOL9;TMED8;MGA;STAG2;RBM15;MSL2;RLIM</t>
  </si>
  <si>
    <t>http://www.broadinstitute.org/gsea/msigdb/cards/RICKMAN_METASTASIS_UP.html</t>
  </si>
  <si>
    <t>5495;23328;51366;5451;3609;9584;158427;55183;65117;57532;10075;80204;57492;51773;55341;59343;9774;51755;9147;51585;23468;2932;6596;9698;122830;51742;54520;23392;8505;144348;27327;9887;7994;11083;9188;6942;27161;55818</t>
  </si>
  <si>
    <t>PPM1B;SASH1;UBR5;POU2F1;ILF3;RBM39;TSTD2;RIF1;RSRC2;NUFIP2;HUWE1;FBXO11;ARID1B;RSF1;LSG1;SENP2;BCLAF1;CDK12;NEMF;PCF11;CBX5;GSK3B;HLTF;PUM1;NAA30;ARID4B;CCDC93;ECPAS;PARG;ZNF664;TNRC6A;SMG7;KAT6A;DIDO1;DDX21;TCF20;AGO2;KDM3A</t>
  </si>
  <si>
    <t>BROWNE_HCMV_INFECTION_16HR_UP</t>
  </si>
  <si>
    <t>5451;673;7587;6651;7182;9972;5781;6654;23512;9712;8880;23049;29072;23633;9513;7690;6596;157922;9188;51592</t>
  </si>
  <si>
    <t>POU2F1;BRAF;ZNF37A;SON;NR2C2;NUP153;PTPN11;SOS1;SUZ12;USP6NL;FUBP1;SMG1;SETD2;KPNA6;FXR2;ZNF131;HLTF;CAMSAP1;DDX21;TRIM33</t>
  </si>
  <si>
    <t>http://www.broadinstitute.org/gsea/msigdb/cards/BROWNE_HCMV_INFECTION_16HR_UP.html</t>
  </si>
  <si>
    <t>REACTOME_CELL_CYCLE_MITOTIC</t>
  </si>
  <si>
    <t>5048;5903;9793;1778;57551;23332;11064;7840;10274;10142;64682;9126;7514;5116;5422;6249;1859;23198;10714;9662;10735;25909;10426;11190</t>
  </si>
  <si>
    <t>PAFAH1B1;RANBP2;CKAP5;DYNC1H1;TAOK1;CLASP1;CNTRL;ALMS1;STAG1;AKAP9;ANAPC1;SMC3;XPO1;PCNT;POLA1;CLIP1;DYRK1A;PSME4;POLD3;CEP135;STAG2;AHCTF1;TUBGCP3;CEP250</t>
  </si>
  <si>
    <t>http://www.broadinstitute.org/gsea/msigdb/cards/REACTOME_CELL_CYCLE_MITOTIC.html</t>
  </si>
  <si>
    <t>FEVR_CTNNB1_TARGETS_DN</t>
  </si>
  <si>
    <t>10236;23451;9631;3799;5981;6659;3609;6093;8661;65117;79677;51773;170506;9126;7514;23350;8518;5422;23468;4361;10914;6670;5471;3930;9221;463;55320;55632;80155;9188;23047;7707</t>
  </si>
  <si>
    <t>HNRNPR;SF3B1;NUP155;KIF5B;RFC1;SOX4;ILF3;ROCK1;EIF3A;RSRC2;SMC6;RSF1;DHX36;SMC3;XPO1;U2SURP;ELP1;POLA1;CBX5;MRE11;PAPOLA;SP3;PPAT;LBR;NOLC1;ZFHX3;MIS18BP1;G2E3;NAA15;DDX21;PDS5B;ZNF148</t>
  </si>
  <si>
    <t>http://www.broadinstitute.org/gsea/msigdb/cards/FEVR_CTNNB1_TARGETS_DN.html</t>
  </si>
  <si>
    <t>RAMALHO_STEMNESS_UP</t>
  </si>
  <si>
    <t>9475;26057;27340;23160;9202;65117;3842;55341;84146;23405;571;7514;51585;7174;79882;26009;8239;57703;9439</t>
  </si>
  <si>
    <t>ROCK2;ANKRD17;UTP20;WDR43;ZMYM4;RSRC2;TNPO1;LSG1;ZNF644;DICER1;BACH1;XPO1;PCF11;TPP2;ZC3H14;AC118549.1;USP9X;CWC22;MED23</t>
  </si>
  <si>
    <t>http://www.broadinstitute.org/gsea/msigdb/cards/RAMALHO_STEMNESS_UP.html</t>
  </si>
  <si>
    <t>MARKEY_RB1_ACUTE_LOF_UP</t>
  </si>
  <si>
    <t>10236;5981;3609;10771;25836;8880;51322;9126;7514;11168;5422;23468;56252;4361;10153;55320;27327;92797;56995;53981</t>
  </si>
  <si>
    <t>HNRNPR;RFC1;ILF3;ZMYND11;NIPBL;FUBP1;WAC;SMC3;XPO1;PSIP1;POLA1;CBX5;YLPM1;MRE11;CEBPZ;MIS18BP1;TNRC6A;HELB;TULP4;CPSF2</t>
  </si>
  <si>
    <t>http://www.broadinstitute.org/gsea/msigdb/cards/MARKEY_RB1_ACUTE_LOF_UP.html</t>
  </si>
  <si>
    <t>BIDUS_METASTASIS_UP</t>
  </si>
  <si>
    <t>10236;7468;9972;5591;3192;2186;5062;9793;10075;28981;51322;23095;4763;92140;11011;8239;10198;9188;51132</t>
  </si>
  <si>
    <t>HNRNPR;NSD2;NUP153;PRKDC;HNRNPU;BPTF;PAK2;CKAP5;HUWE1;IFT81;WAC;KIF1B;NF1;MTDH;TLK2;USP9X;MPHOSPH9;DDX21;RLIM</t>
  </si>
  <si>
    <t>http://www.broadinstitute.org/gsea/msigdb/cards/BIDUS_METASTASIS_UP.html</t>
  </si>
  <si>
    <t>10236;27340;7468;5981;9972;5591;3609;9793;11052;22976;10075;10137;23195;57472;23358;8295;10915;23350;10128;4361;8087;5471;22984;9221;23392;55159;92140;10985;56652;55127;55636;55689;1788</t>
  </si>
  <si>
    <t>HNRNPR;UTP20;NSD2;RFC1;NUP153;PRKDC;ILF3;CKAP5;CPSF6;PAXIP1;HUWE1;RBM12;MDN1;CNOT6;USP24;TRRAP;TCERG1;U2SURP;LRPPRC;MRE11;FXR1;PPAT;PDCD11;NOLC1;ECPAS;RFWD3;MTDH;GCN1;TWNK;HEATR1;CHD7;YEATS2;DNMT3A</t>
  </si>
  <si>
    <t>http://www.broadinstitute.org/gsea/msigdb/cards/CAIRO_HEPATOBLASTOMA_CLASSES_UP.html</t>
  </si>
  <si>
    <t>5980;55660;5495;9360;9857;23253;23032;8880;29994;9126;200576;9693;317;23036;10914;8087;23527;55596;55320;54832;8505;26009;10426;10198;54014;51455;55689;55818</t>
  </si>
  <si>
    <t>REV3L;PRPF40A;PPM1B;PPIG;CEP350;ANKRD12;USP33;FUBP1;BAZ2B;SMC3;PIKFYVE;RAPGEF2;APAF1;ZNF292;PAPOLA;FXR1;ACAP2;ZCCHC8;MIS18BP1;VPS13C;PARG;AC118549.1;TUBGCP3;MPHOSPH9;BRWD1;REV1;YEATS2;KDM3A</t>
  </si>
  <si>
    <t>11128;7175;5451;5927;2475;5130;9972;5591;9584;4520;8925;10142;57448;23660;6341;51585;10897;9113;7559;7528;7174;23468;9513;7701;10093;10153;2551;51182;472;5586;8505;2074;54765;80314;4848;9329;51592;9967</t>
  </si>
  <si>
    <t>POLR3A;TPR;POU2F1;KDM5A;MTOR;PCYT1A;NUP153;PRKDC;RBM39;MTF1;HERC1;AKAP9;BIRC6;ZKSCAN5;SCO1;PCF11;YIF1A;LATS1;ZNF12;YY1;TPP2;CBX5;FXR2;ZNF142;ARPC4;CEBPZ;GABPA;HSPA14;ATM;PKN2;PARG;ERCC6;TRIM44;EPC1;AC092881.1;GTF3C4;TRIM33;THRAP3</t>
  </si>
  <si>
    <t>http://www.broadinstitute.org/gsea/msigdb/cards/BENPORATH_MYC_MAX_TARGETS.html</t>
  </si>
  <si>
    <t>100381270;55183;9857;54906;26058;9736;5930;9169;9693;7690;27332;55187;23392;160760;56987;119016;55342;64783;56995;7707</t>
  </si>
  <si>
    <t>ZBED6;RIF1;CEP350;TASOR2;GIGYF2;USP34;RBBP6;SCAF11;RAPGEF2;ZNF131;ZNF638;VPS13D;ECPAS;PPTC7;BBX;AGAP4;STRBP;RBM15;TULP4;ZNF148</t>
  </si>
  <si>
    <t>23077;3799;6093;7156;9793;84986;221037;25836;65117;171023;10274;9712;54876;9774;51585;5422;8087;4301;11214;4863;3930;10714;55291;55320;55632;25948;10207;9786;65250;56995;58487;10765;9967;8202</t>
  </si>
  <si>
    <t>MYCBP2;KIF5B;ROCK1;TOP3A;CKAP5;ARHGAP19;JMJD1C;NIPBL;RSRC2;ASXL1;STAG1;USP6NL;DCAF16;BCLAF1;PCF11;POLA1;FXR1;AFDN;AKAP13;NPAT;LBR;POLD3;PPP6R3;MIS18BP1;G2E3;KBTBD2;PATJ;KIAA0586;CPLANE1;TULP4;CREBZF;KDM5B;THRAP3;NCOA3</t>
  </si>
  <si>
    <t>BOYAULT_LIVER_CANCER_SUBCLASS_G1_UP</t>
  </si>
  <si>
    <t>26043;7175;8899;9869;8019;9736;23126;23637;23215;8518;3930;9887;10765;8202</t>
  </si>
  <si>
    <t>UBXN7;TPR;PRPF4B;SETDB1;BRD3;USP34;POGZ;RABGAP1;PRRC2C;ELP1;LBR;SMG7;KDM5B;NCOA3</t>
  </si>
  <si>
    <t>http://www.broadinstitute.org/gsea/msigdb/cards/BOYAULT_LIVER_CANCER_SUBCLASS_G1_UP.html</t>
  </si>
  <si>
    <t>7175;9931;9972;2969;3192;9584;23512;8019;9774;2033;472;7159;3930;10985</t>
  </si>
  <si>
    <t>TPR;HELZ;NUP153;GTF2I;HNRNPU;RBM39;SUZ12;BRD3;BCLAF1;EP300;ATM;TP53BP2;LBR;GCN1</t>
  </si>
  <si>
    <t>http://www.broadinstitute.org/gsea/msigdb/cards/HOSHIDA_LIVER_CANCER_SUBCLASS_S2.html</t>
  </si>
  <si>
    <t>WAKABAYASHI_ADIPOGENESIS_PPARG_BOUND_8D</t>
  </si>
  <si>
    <t>200424;9475;26057;9611;55660;2475;5048;2969;6711;6659;6654;9584;257218;9869;26005;65117;28981;57448;26523;23405;23140;2932;6670;1859;84196;57534;84893;92797;5814;11083;11190;79813;9923;57786</t>
  </si>
  <si>
    <t>TET3;ROCK2;ANKRD17;NCOR1;PRPF40A;MTOR;PAFAH1B1;GTF2I;SPTBN1;SOX4;SOS1;RBM39;SHPRH;SETDB1;C2CD3;RSRC2;IFT81;BIRC6;AGO1;DICER1;ZZEF1;GSK3B;SP3;DYRK1A;USP48;MIB1;FBH1;HELB;PURB;DIDO1;CEP250;EHMT1;ZBTB40;RBAK</t>
  </si>
  <si>
    <t>http://www.broadinstitute.org/gsea/msigdb/cards/WAKABAYASHI_ADIPOGENESIS_PPARG_BOUND_8D.html</t>
  </si>
  <si>
    <t>MCBRYAN_PUBERTAL_BREAST_5_6WK_DN</t>
  </si>
  <si>
    <t>7175;1656;5927;5130;57551;8880;79677;10142;170506;463;55291;5814;79646;9967;1788</t>
  </si>
  <si>
    <t>TPR;DDX6;KDM5A;PCYT1A;TAOK1;FUBP1;SMC6;AKAP9;DHX36;ZFHX3;PPP6R3;PURB;PANK3;THRAP3;DNMT3A</t>
  </si>
  <si>
    <t>http://www.broadinstitute.org/gsea/msigdb/cards/MCBRYAN_PUBERTAL_BREAST_5_6WK_DN.html</t>
  </si>
  <si>
    <t>MARSON_BOUND_BY_E2F4_UNSTIMULATED</t>
  </si>
  <si>
    <t>4976;546;9972;5591;7156;84986;9733;51248;25914;57697;7840;79677;10730;170506;79691;51479;57472;9126;10915;5116;5422;56252;4361;2957;5471;51182;6596;9221;10714;347240;145508;23299;140775;25909;29843;10762</t>
  </si>
  <si>
    <t>OPA1;ATRX;NUP153;PRKDC;TOP3A;ARHGAP19;SART3;PDZD11;RTTN;FANCM;ALMS1;SMC6;YME1L1;DHX36;QTRT2;ANKFY1;CNOT6;SMC3;TCERG1;PCNT;POLA1;YLPM1;MRE11;GTF2A1;PPAT;HSPA14;HLTF;NOLC1;POLD3;KIF24;CEP128;BICD2;SMCR8;AHCTF1;SENP1;NUP50</t>
  </si>
  <si>
    <t>http://www.broadinstitute.org/gsea/msigdb/cards/MARSON_BOUND_BY_E2F4_UNSTIMULATED.html</t>
  </si>
  <si>
    <t>PARENT_MTOR_SIGNALING_UP</t>
  </si>
  <si>
    <t>9681;23328;405;5927;2475;9931;1660;9360;7156;84726;9857;90957;9736;171023;23522;64324;51755;23660;11168;10277;7701;11214;23181;22930;55187;54832;7994;11190;54014;23112;9904</t>
  </si>
  <si>
    <t>DEPDC5;SASH1;ARNT;KDM5A;MTOR;HELZ;DHX9;PPIG;TOP3A;PRRC2B;CEP350;DHX57;USP34;ASXL1;KAT6B;NSD1;CDK12;ZKSCAN5;PSIP1;UBE4B;ZNF142;AKAP13;DIP2A;RAB3GAP1;VPS13D;VPS13C;KAT6A;CEP250;BRWD1;TNRC6B;RBM19</t>
  </si>
  <si>
    <t>http://www.broadinstitute.org/gsea/msigdb/cards/PARENT_MTOR_SIGNALING_UP.html</t>
  </si>
  <si>
    <t>REACTOME_MITOTIC_G2_G2_M_PHASES</t>
  </si>
  <si>
    <t>5048;9793;1778;23332;11064;7840;10142;7514;5116;9662;10426;11190</t>
  </si>
  <si>
    <t>PAFAH1B1;CKAP5;DYNC1H1;CLASP1;CNTRL;ALMS1;AKAP9;XPO1;PCNT;CEP135;TUBGCP3;CEP250</t>
  </si>
  <si>
    <t>http://www.broadinstitute.org/gsea/msigdb/cards/REACTOME_MITOTIC_G2_G2_M_PHASES.html</t>
  </si>
  <si>
    <t>REACTOME_RECRUITMENT_OF_MITOTIC_CENTROSOME_PROTEINS_AND_COMPLEXES</t>
  </si>
  <si>
    <t>5048;9793;1778;23332;11064;7840;10142;5116;9662;10426;11190</t>
  </si>
  <si>
    <t>PAFAH1B1;CKAP5;DYNC1H1;CLASP1;CNTRL;ALMS1;AKAP9;PCNT;CEP135;TUBGCP3;CEP250</t>
  </si>
  <si>
    <t>http://www.broadinstitute.org/gsea/msigdb/cards/REACTOME_RECRUITMENT_OF_MITOTIC_CENTROSOME_PROTEINS_AND_COMPLEXES.html</t>
  </si>
  <si>
    <t>MARTINEZ_RB1_TARGETS_UP</t>
  </si>
  <si>
    <t>11128;4976;9877;7175;5981;5130;353274;6711;6659;3609;8661;10771;23244;9736;57551;5930;9169;64397;23637;571;285527;7174;2932;10914;472;9698;23198;23269;5814;55342;6942;7707;9967;253725</t>
  </si>
  <si>
    <t>POLR3A;OPA1;ZC3H11A;TPR;RFC1;PCYT1A;ZNF445;SPTBN1;SOX4;ILF3;EIF3A;ZMYND11;PDS5A;USP34;TAOK1;RBBP6;SCAF11;ZNF106;RABGAP1;BACH1;FRYL;TPP2;GSK3B;PAPOLA;ATM;PUM1;PSME4;MGA;PURB;STRBP;TCF20;ZNF148;THRAP3;WASHC2C</t>
  </si>
  <si>
    <t>http://www.broadinstitute.org/gsea/msigdb/cards/MARTINEZ_RB1_TARGETS_UP.html</t>
  </si>
  <si>
    <t>BILANGES_SERUM_SENSITIVE_VIA_TSC2</t>
  </si>
  <si>
    <t>55814;2186;8661;23293;22852;23405;23095;54856;9879</t>
  </si>
  <si>
    <t>BDP1;BPTF;EIF3A;SMG6;ANKRD26;DICER1;KIF1B;GON4L;DDX46</t>
  </si>
  <si>
    <t>http://www.broadinstitute.org/gsea/msigdb/cards/BILANGES_SERUM_SENSITIVE_VIA_TSC2.html</t>
  </si>
  <si>
    <t>5290;9584;22848;9736;8315;56946;57695;23001;7840;84181;7750;29994;54454;9693;1106;8867;23095;11168;6249;23468;6670;11214;6789;2804;253959;79598;57531;140775;8239;55743;84725;64783;55668;51696;11176;23112;8202</t>
  </si>
  <si>
    <t>PIK3CA;RBM39;AAK1;USP34;BRAP;EMSY;USP37;WDFY3;ALMS1;CHD6;ZMYM2;BAZ2B;ATAD2B;RAPGEF2;CHD2;SYNJ1;KIF1B;PSIP1;CLIP1;CBX5;SP3;AKAP13;STK4;GOLGB1;RALGAPA1;CEP97;HACE1;SMCR8;USP9X;CHFR;PLEKHA8;RBM15;GPATCH2L;HECA;BAZ2A;TNRC6B;NCOA3</t>
  </si>
  <si>
    <t>200424;9972;6711;7155;221037;157769;205717;25836;55252;5930;171023;23522;9712;1106;7174;2117;11214;79598;4848;55636;9874;27161;25831;23499;23112;23143;55818;8202</t>
  </si>
  <si>
    <t>TET3;NUP153;SPTBN1;TOP2B;JMJD1C;FAM91A1;USF3;NIPBL;ASXL2;RBBP6;ASXL1;KAT6B;USP6NL;CHD2;TPP2;ETV3;AKAP13;CEP97;AC092881.1;CHD7;TLK1;AGO2;HECTD1;MACF1;TNRC6B;LRCH1;KDM3A;NCOA3</t>
  </si>
  <si>
    <t>55814;27340;7175;6659;3609;80018;23160;90957;5930;171023;80312;7840;8880;84079;85476;10940;9169;10137;54552;23423;23215;375248;9841;6341;8518;7528;7174;10128;22984;9221;84301;25962;9879;9392;165055;56652;55342;80155;55127;9188;55727;26973;23200</t>
  </si>
  <si>
    <t>BDP1;UTP20;TPR;SOX4;ILF3;NAA25;WDR43;DHX57;RBBP6;ASXL1;TET1;ALMS1;FUBP1;ANKRD27;GFM1;POP1;SCAF11;RBM12;GNL3L;TMED3;PRRC2C;ANKRD36;ZBTB24;SCO1;ELP1;YY1;TPP2;LRPPRC;PDCD11;NOLC1;DDI2;VIRMA;DDX46;TGFBRAP1;CCDC138;TWNK;STRBP;NAA15;HEATR1;DDX21;BTBD7;CHORDC1;ATP11B</t>
  </si>
  <si>
    <t>http://www.broadinstitute.org/gsea/msigdb/cards/KRIGE_RESPONSE_TO_TOSEDOSTAT_24HR_DN.html</t>
  </si>
  <si>
    <t>23060;7175;5451;7586;2186;6433;5062;84162;23253;23389;23637;23215;23036;55671;9887;23013;54014;440193;10765;9874</t>
  </si>
  <si>
    <t>ZNF609;TPR;POU2F1;ZKSCAN1;BPTF;SFSWAP;PAK2;KIAA1109;ANKRD12;MED13L;RABGAP1;PRRC2C;ZNF292;PPP4R3A;SMG7;SPEN;BRWD1;CCDC88C;KDM5B;TLK1</t>
  </si>
  <si>
    <t>REACTOME_LOSS_OF_NLP_FROM_MITOTIC_CENTROSOMES</t>
  </si>
  <si>
    <t>5048;9793;1778;23332;11064;7840;10142;5116;9662;11190</t>
  </si>
  <si>
    <t>PAFAH1B1;CKAP5;DYNC1H1;CLASP1;CNTRL;ALMS1;AKAP9;PCNT;CEP135;CEP250</t>
  </si>
  <si>
    <t>http://www.broadinstitute.org/gsea/msigdb/cards/REACTOME_LOSS_OF_NLP_FROM_MITOTIC_CENTROSOMES.html</t>
  </si>
  <si>
    <t>9611;23451;23328;51366;5451;6651;3609;9584;9733;55183;56957;65117;171023;57492;3842;59343;9774;22992;1106;10915;6801;9147;23468;4361;8087;10153;6596;122830;9221;54520;23392;8505;144348;27327;7994;64421;79048;11083;6942;9329;9439;55818</t>
  </si>
  <si>
    <t>NCOR1;SF3B1;SASH1;UBR5;POU2F1;SON;ILF3;RBM39;SART3;RIF1;OTUD7B;RSRC2;ASXL1;ARID1B;TNPO1;SENP2;BCLAF1;KDM2A;CHD2;TCERG1;STRN;NEMF;CBX5;MRE11;FXR1;CEBPZ;HLTF;NAA30;NOLC1;CCDC93;ECPAS;PARG;ZNF664;TNRC6A;KAT6A;DCLRE1C;SECISBP2;DIDO1;TCF20;GTF3C4;MED23;KDM3A</t>
  </si>
  <si>
    <t>http://www.broadinstitute.org/gsea/msigdb/cards/BENPORATH_NANOG_TARGETS.html</t>
  </si>
  <si>
    <t>BROWNE_HCMV_INFECTION_18HR_UP</t>
  </si>
  <si>
    <t>27340;9931;26130;55183;9711;81609;4763;8087;7159;6596;26146;9887;10198;58487;9969;27161</t>
  </si>
  <si>
    <t>UTP20;HELZ;GAPVD1;RIF1;RUBCN;SNX27;NF1;FXR1;TP53BP2;HLTF;TRAF3IP1;SMG7;MPHOSPH9;CREBZF;MED13;AGO2</t>
  </si>
  <si>
    <t>http://www.broadinstitute.org/gsea/msigdb/cards/BROWNE_HCMV_INFECTION_18HR_UP.html</t>
  </si>
  <si>
    <t>9044;54619;11064;9711;8880;79677;79691;23637;8295;1106;7701;11214;9698;54520;79612;55167</t>
  </si>
  <si>
    <t>BTAF1;CCNJ;CNTRL;RUBCN;FUBP1;SMC6;QTRT2;RABGAP1;TRRAP;CHD2;ZNF142;AKAP13;PUM1;CCDC93;NAA16;MSL2</t>
  </si>
  <si>
    <t>8888;23451;7175;9584;9736;23389;5930;4763;9188;23499;51592;55818</t>
  </si>
  <si>
    <t>MCM3AP;SF3B1;TPR;RBM39;USP34;MED13L;RBBP6;NF1;DDX21;MACF1;TRIM33;KDM3A</t>
  </si>
  <si>
    <t>KAUFFMANN_DNA_REPAIR_GENES</t>
  </si>
  <si>
    <t>5980;5981;2475;546;5591;7155;7156;55183;55728;57697;9126;5422;4361;472;10714;2074;64421;51455</t>
  </si>
  <si>
    <t>REV3L;RFC1;MTOR;ATRX;PRKDC;TOP2B;TOP3A;RIF1;N4BP2;FANCM;SMC3;POLA1;MRE11;ATM;POLD3;ERCC6;DCLRE1C;REV1</t>
  </si>
  <si>
    <t>http://www.broadinstitute.org/gsea/msigdb/cards/KAUFFMANN_DNA_REPAIR_GENES.html</t>
  </si>
  <si>
    <t>IKEDA_MIR30_TARGETS_UP</t>
  </si>
  <si>
    <t>6651;9736;57551;53944;57472;7514;10914;80205;51742;9879;27327;55818;23335</t>
  </si>
  <si>
    <t>SON;USP34;TAOK1;CSNK1G1;CNOT6;XPO1;PAPOLA;CHD9;ARID4B;DDX46;TNRC6A;KDM3A;WDR7</t>
  </si>
  <si>
    <t>http://www.broadinstitute.org/gsea/msigdb/cards/IKEDA_MIR30_TARGETS_UP.html</t>
  </si>
  <si>
    <t>SESTO_RESPONSE_TO_UV_C5</t>
  </si>
  <si>
    <t>5048;9793;30849;6249;2932;9698;5586;9874;7707</t>
  </si>
  <si>
    <t>PAFAH1B1;CKAP5;PIK3R4;CLIP1;GSK3B;PUM1;PKN2;TLK1;ZNF148</t>
  </si>
  <si>
    <t>http://www.broadinstitute.org/gsea/msigdb/cards/SESTO_RESPONSE_TO_UV_C5.html</t>
  </si>
  <si>
    <t>MULLIGHAN_NPM1_SIGNATURE_3_UP</t>
  </si>
  <si>
    <t>3840;9826;6651;546;5781;7156;22848;25836;10730;7750;2844;4361;6670;472;4863;5586;9662;54455;10735;23047;9874;8202</t>
  </si>
  <si>
    <t>KPNA4;ARHGEF11;SON;ATRX;PTPN11;TOP3A;AAK1;NIPBL;YME1L1;ZMYM2;RABGAP1;MRE11;SP3;ATM;NPAT;PKN2;CEP135;FBXO42;STAG2;PDS5B;TLK1;NCOA3</t>
  </si>
  <si>
    <t>http://www.broadinstitute.org/gsea/msigdb/cards/MULLIGHAN_NPM1_SIGNATURE_3_UP.html</t>
  </si>
  <si>
    <t>GRYDER_PAX3FOXO1_TOP_ENHANCERS</t>
  </si>
  <si>
    <t>9044;4976;23328;23014;6659;23160;23389;23064;23332;84181;3842;80351;64426;54552;23140;8518;10153;9221;145508;54464;144348;92797;10198;4848;55636</t>
  </si>
  <si>
    <t>BTAF1;OPA1;SASH1;FBXO21;SOX4;WDR43;MED13L;SETX;CLASP1;CHD6;TNPO1;TNKS2;SUDS3;GNL3L;ZZEF1;ELP1;CEBPZ;NOLC1;CEP128;XRN1;ZNF664;HELB;MPHOSPH9;AC092881.1;CHD7</t>
  </si>
  <si>
    <t>http://www.broadinstitute.org/gsea/msigdb/cards/GRYDER_PAX3FOXO1_TOP_ENHANCERS.html</t>
  </si>
  <si>
    <t>BROWNE_HCMV_INFECTION_20HR_UP</t>
  </si>
  <si>
    <t>26046;673;7587;5781;8899;4520;9712;23049;23633;2005;56252;9513;2957;7690;9392;25909;79646;51592</t>
  </si>
  <si>
    <t>LTN1;BRAF;ZNF37A;PTPN11;PRPF4B;MTF1;USP6NL;SMG1;KPNA6;ELK4;YLPM1;FXR2;GTF2A1;ZNF131;TGFBRAP1;AHCTF1;PANK3;TRIM33</t>
  </si>
  <si>
    <t>http://www.broadinstitute.org/gsea/msigdb/cards/BROWNE_HCMV_INFECTION_20HR_UP.html</t>
  </si>
  <si>
    <t>WEST_ADRENOCORTICAL_TUMOR_UP</t>
  </si>
  <si>
    <t>3799;1778;26130;9733;8019;7248;3842;79691;23405;23215;7514;9870;23095;7024;23198;55159;23299;79657;79646;11108</t>
  </si>
  <si>
    <t>KIF5B;DYNC1H1;GAPVD1;SART3;BRD3;TSC1;TNPO1;QTRT2;DICER1;PRRC2C;XPO1;AREL1;KIF1B;TFCP2;PSME4;RFWD3;BICD2;RPAP3;PANK3;PRDM4</t>
  </si>
  <si>
    <t>http://www.broadinstitute.org/gsea/msigdb/cards/WEST_ADRENOCORTICAL_TUMOR_UP.html</t>
  </si>
  <si>
    <t>CHARAFE_BREAST_CANCER_LUMINAL_VS_BASAL_UP</t>
  </si>
  <si>
    <t>8085;140710;7637;2186;9857;196528;23126;23522;23185;9711;81609;55870;23215;9919;7559;388228;253959;6601;55342;79048;84132;57786;11176</t>
  </si>
  <si>
    <t>KMT2D;SOGA1;ZNF84;BPTF;CEP350;ARID2;POGZ;KAT6B;LARP4B;RUBCN;SNX27;ASH1L;PRRC2C;SEC16A;ZNF12;SBK1;RALGAPA1;SMARCC2;STRBP;SECISBP2;USP42;RBAK;BAZ2A</t>
  </si>
  <si>
    <t>http://www.broadinstitute.org/gsea/msigdb/cards/CHARAFE_BREAST_CANCER_LUMINAL_VS_BASAL_UP.html</t>
  </si>
  <si>
    <t>6093;25836;130507;259282;23369;2957;6670;27332</t>
  </si>
  <si>
    <t>ROCK1;NIPBL;UBR3;BOD1L1;PUM2;GTF2A1;SP3;ZNF638</t>
  </si>
  <si>
    <t>BASAKI_YBX1_TARGETS_DN</t>
  </si>
  <si>
    <t>23347;9877;23451;9931;546;2186;9584;253260;51773;54876;51755;7750;29994;375248;4301;472;157680;92140;57534;54464;56987;54014;23047</t>
  </si>
  <si>
    <t>SMCHD1;ZC3H11A;SF3B1;HELZ;ATRX;BPTF;RBM39;RICTOR;RSF1;DCAF16;CDK12;ZMYM2;BAZ2B;ANKRD36;AFDN;ATM;VPS13B;MTDH;MIB1;XRN1;BBX;BRWD1;PDS5B</t>
  </si>
  <si>
    <t>http://www.broadinstitute.org/gsea/msigdb/cards/BASAKI_YBX1_TARGETS_DN.html</t>
  </si>
  <si>
    <t>REACTOME_MITOTIC_PROMETAPHASE</t>
  </si>
  <si>
    <t>5048;5903;9793;57551;23332;10274;9126;7514;6249;10735;25909</t>
  </si>
  <si>
    <t>PAFAH1B1;RANBP2;CKAP5;TAOK1;CLASP1;STAG1;SMC3;XPO1;CLIP1;STAG2;AHCTF1</t>
  </si>
  <si>
    <t>http://www.broadinstitute.org/gsea/msigdb/cards/REACTOME_MITOTIC_PROMETAPHASE.html</t>
  </si>
  <si>
    <t>ZHANG_TLX_TARGETS_60HR_DN</t>
  </si>
  <si>
    <t>10236;9631;6651;5981;9869;23160;51248;55183;79677;170506;5422;23468;4361;5471;472;9221;27327;9188;9967</t>
  </si>
  <si>
    <t>HNRNPR;NUP155;SON;RFC1;SETDB1;WDR43;PDZD11;RIF1;SMC6;DHX36;POLA1;CBX5;MRE11;PPAT;ATM;NOLC1;TNRC6A;DDX21;THRAP3</t>
  </si>
  <si>
    <t>http://www.broadinstitute.org/gsea/msigdb/cards/ZHANG_TLX_TARGETS_60HR_DN.html</t>
  </si>
  <si>
    <t>KOINUMA_TARGETS_OF_SMAD2_OR_SMAD3</t>
  </si>
  <si>
    <t>3840;9931;3836;2969;6711;54799;221037;11052;9857;196528;23126;25914;165918;23001;58508;3842;8880;10730;23637;571;867;4140;6249;4301;11214;80205;55432;27042;54832;25948;9887;5814;56980;55727;7707;55818</t>
  </si>
  <si>
    <t>KPNA4;HELZ;KPNA1;GTF2I;SPTBN1;MBTD1;JMJD1C;CPSF6;CEP350;ARID2;POGZ;RTTN;RNF168;WDFY3;KMT2C;TNPO1;FUBP1;YME1L1;RABGAP1;BACH1;CBL;MARK3;CLIP1;AFDN;AKAP13;CHD9;YOD1;UTP25;VPS13C;KBTBD2;SMG7;PURB;PRDM10;BTBD7;ZNF148;KDM3A</t>
  </si>
  <si>
    <t>http://www.broadinstitute.org/gsea/msigdb/cards/KOINUMA_TARGETS_OF_SMAD2_OR_SMAD3.html</t>
  </si>
  <si>
    <t>REACTOME_REGULATORY_RNA_PATHWAYS</t>
  </si>
  <si>
    <t>57690;26523;23405;27327;192669;27161;23112</t>
  </si>
  <si>
    <t>TNRC6C;AGO1;DICER1;TNRC6A;AGO3;AGO2;TNRC6B</t>
  </si>
  <si>
    <t>http://www.broadinstitute.org/gsea/msigdb/cards/REACTOME_REGULATORY_RNA_PATHWAYS.html</t>
  </si>
  <si>
    <t>SESTO_RESPONSE_TO_UV_C2</t>
  </si>
  <si>
    <t>7586;3799;3192;7705;79572;7514;7528;23198;7994</t>
  </si>
  <si>
    <t>ZKSCAN1;KIF5B;HNRNPU;ZNF146;ATP13A3;XPO1;YY1;PSME4;KAT6A</t>
  </si>
  <si>
    <t>http://www.broadinstitute.org/gsea/msigdb/cards/SESTO_RESPONSE_TO_UV_C2.html</t>
  </si>
  <si>
    <t>DEBIASI_APOPTOSIS_BY_REOVIRUS_INFECTION_UP</t>
  </si>
  <si>
    <t>1660;8899;23389;65117;8315;91746;29994;571;23036;4763;8087;5471;1859;22930;26009;22849;8239;79646;58487;9874</t>
  </si>
  <si>
    <t>DHX9;PRPF4B;MED13L;RSRC2;BRAP;YTHDC1;BAZ2B;BACH1;ZNF292;NF1;FXR1;PPAT;DYRK1A;RAB3GAP1;AC118549.1;CPEB3;USP9X;PANK3;CREBZF;TLK1</t>
  </si>
  <si>
    <t>http://www.broadinstitute.org/gsea/msigdb/cards/DEBIASI_APOPTOSIS_BY_REOVIRUS_INFECTION_UP.html</t>
  </si>
  <si>
    <t>UDAYAKUMAR_MED1_TARGETS_UP</t>
  </si>
  <si>
    <t>51366;8661;10771;54619;54542;57472;23405;4763;3930;5469;5586;23392;92140</t>
  </si>
  <si>
    <t>UBR5;EIF3A;ZMYND11;CCNJ;RC3H2;CNOT6;DICER1;NF1;LBR;MED1;PKN2;ECPAS;MTDH</t>
  </si>
  <si>
    <t>http://www.broadinstitute.org/gsea/msigdb/cards/UDAYAKUMAR_MED1_TARGETS_UP.html</t>
  </si>
  <si>
    <t>EPPERT_PROGENITOR</t>
  </si>
  <si>
    <t>10236;7175;5591;9793;9790;9733;54619;84079;5422;10128;4361;64864;84295</t>
  </si>
  <si>
    <t>HNRNPR;TPR;PRKDC;CKAP5;BMS1;SART3;CCNJ;ANKRD27;POLA1;LRPPRC;MRE11;RFX7;PHF6</t>
  </si>
  <si>
    <t>http://www.broadinstitute.org/gsea/msigdb/cards/EPPERT_PROGENITOR.html</t>
  </si>
  <si>
    <t>OISHI_CHOLANGIOMA_STEM_CELL_LIKE_UP</t>
  </si>
  <si>
    <t>9681;5495;9972;3192;1660;9869;7705;22848;23126;23332;79572;23660;2005;9513;3930;54856;27042;22847;25909;9887;55127</t>
  </si>
  <si>
    <t>DEPDC5;PPM1B;NUP153;HNRNPU;DHX9;SETDB1;ZNF146;AAK1;POGZ;CLASP1;ATP13A3;ZKSCAN5;ELK4;FXR2;LBR;GON4L;UTP25;ZNF507;AHCTF1;SMG7;HEATR1</t>
  </si>
  <si>
    <t>http://www.broadinstitute.org/gsea/msigdb/cards/OISHI_CHOLANGIOMA_STEM_CELL_LIKE_UP.html</t>
  </si>
  <si>
    <t>23253;8315;8880;10730;22992;23036;7109;10153;51182;472;8453;4863;23198;51742;54455;84196;64421;55167;58487;11176</t>
  </si>
  <si>
    <t>ANKRD12;BRAP;FUBP1;YME1L1;KDM2A;ZNF292;TRAPPC10;CEBPZ;HSPA14;ATM;CUL2;NPAT;PSME4;ARID4B;FBXO42;USP48;DCLRE1C;MSL2;CREBZF;BAZ2A</t>
  </si>
  <si>
    <t>REACTOME_PRE_NOTCH_TRANSCRIPTION_AND_TRANSLATION</t>
  </si>
  <si>
    <t>57690;26523;2033;27327;192669;27161;23112</t>
  </si>
  <si>
    <t>TNRC6C;AGO1;EP300;TNRC6A;AGO3;AGO2;TNRC6B</t>
  </si>
  <si>
    <t>http://www.broadinstitute.org/gsea/msigdb/cards/REACTOME_PRE_NOTCH_TRANSCRIPTION_AND_TRANSLATION.html</t>
  </si>
  <si>
    <t>10236;23451;9631;7175;9972;5903;3192;1660;51585;10914;10594;53981;10762</t>
  </si>
  <si>
    <t>HNRNPR;SF3B1;NUP155;TPR;NUP153;RANBP2;HNRNPU;DHX9;PCF11;PAPOLA;PRPF8;CPSF2;NUP50</t>
  </si>
  <si>
    <t>KEGG_LYSINE_DEGRADATION</t>
  </si>
  <si>
    <t>7468;9869;64324;29072;55870;23067;79723;79813</t>
  </si>
  <si>
    <t>NSD2;SETDB1;NSD1;SETD2;ASH1L;SETD1B;SUV39H2;EHMT1</t>
  </si>
  <si>
    <t>http://www.broadinstitute.org/gsea/msigdb/cards/KEGG_LYSINE_DEGRADATION.html</t>
  </si>
  <si>
    <t>WANG_CLIM2_TARGETS_UP</t>
  </si>
  <si>
    <t>6872;5062;196528;23126;85459;26190;7514;2117;55291;55596;284058;9392;155435;119016;11083;23047;27161;7707</t>
  </si>
  <si>
    <t>TAF1;PAK2;ARID2;POGZ;CEP295;FBXW2;XPO1;ETV3;PPP6R3;ZCCHC8;KANSL1;TGFBRAP1;RBM33;AGAP4;DIDO1;PDS5B;AGO2;ZNF148</t>
  </si>
  <si>
    <t>http://www.broadinstitute.org/gsea/msigdb/cards/WANG_CLIM2_TARGETS_UP.html</t>
  </si>
  <si>
    <t>27107;55870;10299;7559;4140;157680;79048;79813;51592</t>
  </si>
  <si>
    <t>ZBTB11;ASH1L;MARCH6;ZNF12;MARK3;VPS13B;SECISBP2;EHMT1;TRIM33</t>
  </si>
  <si>
    <t>http://www.broadinstitute.org/gsea/msigdb/cards/BILD_SRC_ONCOGENIC_SIGNATURE.html</t>
  </si>
  <si>
    <t>IVANOVA_HEMATOPOIESIS_STEM_CELL_SHORT_TERM</t>
  </si>
  <si>
    <t>2186;23054;55914;9774;54764;10198;26054</t>
  </si>
  <si>
    <t>BPTF;NCOA6;ERBIN;BCLAF1;ZRANB1;MPHOSPH9;SENP6</t>
  </si>
  <si>
    <t>http://www.broadinstitute.org/gsea/msigdb/cards/IVANOVA_HEMATOPOIESIS_STEM_CELL_SHORT_TERM.html</t>
  </si>
  <si>
    <t>11128;9631;5451;5927;7428;2475;5130;9972;5591;6654;9584;7705;8925;10142;57448;23660;23350;6341;10897;9113;7559;7528;7174;23468;2932;8087;9513;7701;10093;10153;5471;2551;51182;472;3930;5586;79882;8505;2074;80314;9329;9967</t>
  </si>
  <si>
    <t>POLR3A;NUP155;POU2F1;KDM5A;VHL;MTOR;PCYT1A;NUP153;PRKDC;SOS1;RBM39;ZNF146;HERC1;AKAP9;BIRC6;ZKSCAN5;U2SURP;SCO1;YIF1A;LATS1;ZNF12;YY1;TPP2;CBX5;GSK3B;FXR1;FXR2;ZNF142;ARPC4;CEBPZ;PPAT;GABPA;HSPA14;ATM;LBR;PKN2;ZC3H14;PARG;ERCC6;EPC1;GTF3C4;THRAP3</t>
  </si>
  <si>
    <t>http://www.broadinstitute.org/gsea/msigdb/cards/DANG_BOUND_BY_MYC.html</t>
  </si>
  <si>
    <t>8085;9826;9681;2475;6433;3609;9869;5930;23195;23637;8295;9513;9816;27332;54520;9887;155435;64421;2140;84260</t>
  </si>
  <si>
    <t>KMT2D;ARHGEF11;DEPDC5;MTOR;SFSWAP;ILF3;SETDB1;RBBP6;MDN1;RABGAP1;TRRAP;FXR2;URB2;ZNF638;CCDC93;SMG7;RBM33;DCLRE1C;EYA3;TCHP</t>
  </si>
  <si>
    <t>SAKAI_CHRONIC_HEPATITIS_VS_LIVER_CANCER_UP</t>
  </si>
  <si>
    <t>3840;10236;5290;5903;3192;23032;3842;10730;317;8453</t>
  </si>
  <si>
    <t>KPNA4;HNRNPR;PIK3CA;RANBP2;HNRNPU;USP33;TNPO1;YME1L1;APAF1;CUL2</t>
  </si>
  <si>
    <t>http://www.broadinstitute.org/gsea/msigdb/cards/SAKAI_CHRONIC_HEPATITIS_VS_LIVER_CANCER_UP.html</t>
  </si>
  <si>
    <t>REACTOME_INTERACTIONS_OF_VPR_WITH_HOST_CELLULAR_PROTEINS</t>
  </si>
  <si>
    <t>9631;7175;9972;5903;3836;11168;10762</t>
  </si>
  <si>
    <t>NUP155;TPR;NUP153;RANBP2;KPNA1;PSIP1;NUP50</t>
  </si>
  <si>
    <t>http://www.broadinstitute.org/gsea/msigdb/cards/REACTOME_INTERACTIONS_OF_VPR_WITH_HOST_CELLULAR_PROTEINS.html</t>
  </si>
  <si>
    <t>3840;8672;5495;9631;7175;9972;5903;3836;10762</t>
  </si>
  <si>
    <t>KPNA4;EIF4G3;PPM1B;NUP155;TPR;NUP153;RANBP2;KPNA1;NUP50</t>
  </si>
  <si>
    <t>http://www.broadinstitute.org/gsea/msigdb/cards/REACTOME_ANTIVIRAL_MECHANISM_BY_IFN_STIMULATED_GENES.html</t>
  </si>
  <si>
    <t>PLASARI_TGFB1_SIGNALING_VIA_NFIC_1HR_DN</t>
  </si>
  <si>
    <t>7175;1656;5927;546;6711;253260;6311;10142;54542;867;27161</t>
  </si>
  <si>
    <t>TPR;DDX6;KDM5A;ATRX;SPTBN1;RICTOR;ATXN2;AKAP9;RC3H2;CBL;AGO2</t>
  </si>
  <si>
    <t>http://www.broadinstitute.org/gsea/msigdb/cards/PLASARI_TGFB1_SIGNALING_VIA_NFIC_1HR_DN.html</t>
  </si>
  <si>
    <t>23451;3192;6659;8661;9733;23512;80204;3842;23036;8087;6670;64783;26019;9969</t>
  </si>
  <si>
    <t>SF3B1;HNRNPU;SOX4;EIF3A;SART3;SUZ12;FBXO11;TNPO1;ZNF292;FXR1;SP3;RBM15;UPF2;MED13</t>
  </si>
  <si>
    <t>VANHARANTA_UTERINE_FIBROID_WITH_7Q_DELETION_UP</t>
  </si>
  <si>
    <t>23014;5930;80204;51585;10914;54856;79612;2074;4848</t>
  </si>
  <si>
    <t>FBXO21;RBBP6;FBXO11;PCF11;PAPOLA;GON4L;NAA16;ERCC6;AC092881.1</t>
  </si>
  <si>
    <t>http://www.broadinstitute.org/gsea/msigdb/cards/VANHARANTA_UTERINE_FIBROID_WITH_7Q_DELETION_UP.html</t>
  </si>
  <si>
    <t>546;8661;23054;25836;56946;8880;79677;51322;9126;1106;55014;9698;55596;54455;10735;9392;80314;58487;26973</t>
  </si>
  <si>
    <t>ATRX;EIF3A;NCOA6;NIPBL;EMSY;FUBP1;SMC6;WAC;SMC3;CHD2;STX17;PUM1;ZCCHC8;FBXO42;STAG2;TGFBRAP1;EPC1;CREBZF;CHORDC1</t>
  </si>
  <si>
    <t>http://www.broadinstitute.org/gsea/msigdb/cards/BRUINS_UVC_RESPONSE_EARLY_LATE.html</t>
  </si>
  <si>
    <t>CAIRO_HEPATOBLASTOMA_UP</t>
  </si>
  <si>
    <t>9475;6659;8019;84079;54542;10137;8518;23468;8087;6670;55127;56995;10765;8202;4216</t>
  </si>
  <si>
    <t>ROCK2;SOX4;BRD3;ANKRD27;RC3H2;RBM12;ELP1;CBX5;FXR1;SP3;HEATR1;TULP4;KDM5B;NCOA3;MAP3K4</t>
  </si>
  <si>
    <t>http://www.broadinstitute.org/gsea/msigdb/cards/CAIRO_HEPATOBLASTOMA_UP.html</t>
  </si>
  <si>
    <t>KEGG_RENAL_CELL_CARCINOMA</t>
  </si>
  <si>
    <t>673;405;7428;5290;5781;6654;5062;2033;8453</t>
  </si>
  <si>
    <t>BRAF;ARNT;VHL;PIK3CA;PTPN11;SOS1;PAK2;EP300;CUL2</t>
  </si>
  <si>
    <t>http://www.broadinstitute.org/gsea/msigdb/cards/KEGG_RENAL_CELL_CARCINOMA.html</t>
  </si>
  <si>
    <t>4520;26130;84986;22848;22853;8867;2957;55014;64854;3930;55632;57531;283337;84669;55094;10762;25831;23112</t>
  </si>
  <si>
    <t>MTF1;GAPVD1;ARHGAP19;AAK1;LMTK2;SYNJ1;GTF2A1;STX17;USP46;LBR;G2E3;HACE1;ZNF740;USP32;GPATCH1;NUP50;HECTD1;TNRC6B</t>
  </si>
  <si>
    <t>INAMURA_LUNG_CANCER_SCC_SUBTYPES_DN</t>
  </si>
  <si>
    <t>6654;55870;23358;9662</t>
  </si>
  <si>
    <t>SOS1;ASH1L;USP24;CEP135</t>
  </si>
  <si>
    <t>http://www.broadinstitute.org/gsea/msigdb/cards/INAMURA_LUNG_CANCER_SCC_SUBTYPES_DN.html</t>
  </si>
  <si>
    <t>PICCALUGA_ANGIOIMMUNOBLASTIC_LYMPHOMA_DN</t>
  </si>
  <si>
    <t>8672;4976;6651;221037;65117;29072;1106;9841;204851;80314;51696;55818</t>
  </si>
  <si>
    <t>EIF4G3;OPA1;SON;JMJD1C;RSRC2;SETD2;CHD2;ZBTB24;HIPK1;EPC1;HECA;KDM3A</t>
  </si>
  <si>
    <t>http://www.broadinstitute.org/gsea/msigdb/cards/PICCALUGA_ANGIOIMMUNOBLASTIC_LYMPHOMA_DN.html</t>
  </si>
  <si>
    <t>DE_YY1_TARGETS_DN</t>
  </si>
  <si>
    <t>9611;5048;5930;10274;55914;5586;8239;10198;80155;23499</t>
  </si>
  <si>
    <t>NCOR1;PAFAH1B1;RBBP6;STAG1;ERBIN;PKN2;USP9X;MPHOSPH9;NAA15;MACF1</t>
  </si>
  <si>
    <t>http://www.broadinstitute.org/gsea/msigdb/cards/DE_YY1_TARGETS_DN.html</t>
  </si>
  <si>
    <t>PUJANA_BRCA_CENTERED_NETWORK</t>
  </si>
  <si>
    <t>5591;23512;9126;10915;7514;11168;5422;4361;472;3930;9879</t>
  </si>
  <si>
    <t>PRKDC;SUZ12;SMC3;TCERG1;XPO1;PSIP1;POLA1;MRE11;ATM;LBR;DDX46</t>
  </si>
  <si>
    <t>http://www.broadinstitute.org/gsea/msigdb/cards/PUJANA_BRCA_CENTERED_NETWORK.html</t>
  </si>
  <si>
    <t>GAUSSMANN_MLL_AF4_FUSION_TARGETS_A_UP</t>
  </si>
  <si>
    <t>7182;221037;11052;26005;55183;10075;51322;57680;7750;347240;27327;54765;55342;55727</t>
  </si>
  <si>
    <t>NR2C2;JMJD1C;CPSF6;C2CD3;RIF1;HUWE1;WAC;CHD8;ZMYM2;KIF24;TNRC6A;TRIM44;STRBP;BTBD7</t>
  </si>
  <si>
    <t>http://www.broadinstitute.org/gsea/msigdb/cards/GAUSSMANN_MLL_AF4_FUSION_TARGETS_A_UP.html</t>
  </si>
  <si>
    <t>JAIN_NFKB_SIGNALING</t>
  </si>
  <si>
    <t>10526;5422;4361;6789;5469;9879;26009;9887;10198</t>
  </si>
  <si>
    <t>IPO8;POLA1;MRE11;STK4;MED1;DDX46;AC118549.1;SMG7;MPHOSPH9</t>
  </si>
  <si>
    <t>http://www.broadinstitute.org/gsea/msigdb/cards/JAIN_NFKB_SIGNALING.html</t>
  </si>
  <si>
    <t>REACTOME_DNA_REPLICATION</t>
  </si>
  <si>
    <t>5048;5903;9793;57551;23332;10274;9126;7514;5422;6249;23198;10714;10735;25909</t>
  </si>
  <si>
    <t>PAFAH1B1;RANBP2;CKAP5;TAOK1;CLASP1;STAG1;SMC3;XPO1;POLA1;CLIP1;PSME4;POLD3;STAG2;AHCTF1</t>
  </si>
  <si>
    <t>http://www.broadinstitute.org/gsea/msigdb/cards/REACTOME_DNA_REPLICATION.html</t>
  </si>
  <si>
    <t>RIGGINS_TAMOXIFEN_RESISTANCE_DN</t>
  </si>
  <si>
    <t>5903;5781;23244;51322;79811;9693;285527;987;10914;6670;5471;157680;80155;58487;7707</t>
  </si>
  <si>
    <t>RANBP2;PTPN11;PDS5A;WAC;SLTM;RAPGEF2;FRYL;LRBA;PAPOLA;SP3;PPAT;VPS13B;NAA15;CREBZF;ZNF148</t>
  </si>
  <si>
    <t>http://www.broadinstitute.org/gsea/msigdb/cards/RIGGINS_TAMOXIFEN_RESISTANCE_DN.html</t>
  </si>
  <si>
    <t>ONDER_CDH1_TARGETS_1_DN</t>
  </si>
  <si>
    <t>27340;3799;5048;3192;1660;3609;10940;79572;10137;9774;23215;55159;10762</t>
  </si>
  <si>
    <t>UTP20;KIF5B;PAFAH1B1;HNRNPU;DHX9;ILF3;POP1;ATP13A3;RBM12;BCLAF1;PRRC2C;RFWD3;NUP50</t>
  </si>
  <si>
    <t>http://www.broadinstitute.org/gsea/msigdb/cards/ONDER_CDH1_TARGETS_1_DN.html</t>
  </si>
  <si>
    <t>REACTOME_NEP_NS2_INTERACTS_WITH_THE_CELLULAR_EXPORT_MACHINERY</t>
  </si>
  <si>
    <t>9631;7175;9972;5903;7514;10762</t>
  </si>
  <si>
    <t>NUP155;TPR;NUP153;RANBP2;XPO1;NUP50</t>
  </si>
  <si>
    <t>http://www.broadinstitute.org/gsea/msigdb/cards/REACTOME_NEP_NS2_INTERACTS_WITH_THE_CELLULAR_EXPORT_MACHINERY.html</t>
  </si>
  <si>
    <t>REACTOME_TRANSPORT_OF_RIBONUCLEOPROTEINS_INTO_THE_HOST_NUCLEUS</t>
  </si>
  <si>
    <t>9631;7175;9972;5903;3836;10762</t>
  </si>
  <si>
    <t>NUP155;TPR;NUP153;RANBP2;KPNA1;NUP50</t>
  </si>
  <si>
    <t>http://www.broadinstitute.org/gsea/msigdb/cards/REACTOME_TRANSPORT_OF_RIBONUCLEOPROTEINS_INTO_THE_HOST_NUCLEUS.html</t>
  </si>
  <si>
    <t>9972;7155;221037;157769;23253;55252;23522;7174;11214;122830;80205;4848;23143;8202</t>
  </si>
  <si>
    <t>NUP153;TOP2B;JMJD1C;FAM91A1;ANKRD12;ASXL2;KAT6B;TPP2;AKAP13;NAA30;CHD9;AC092881.1;LRCH1;NCOA3</t>
  </si>
  <si>
    <t>FINETTI_BREAST_CANCERS_KINOME_GRAY</t>
  </si>
  <si>
    <t>8899;1859;204851;9874;51592</t>
  </si>
  <si>
    <t>PRPF4B;DYRK1A;HIPK1;TLK1;TRIM33</t>
  </si>
  <si>
    <t>http://www.broadinstitute.org/gsea/msigdb/cards/FINETTI_BREAST_CANCERS_KINOME_GRAY.html</t>
  </si>
  <si>
    <t>CHICAS_RB1_TARGETS_SENESCENT</t>
  </si>
  <si>
    <t>23451;23014;7175;6651;546;5591;6711;1778;9584;55183;80204;165918;79677;9126;23215;11168;7528;6249;23468;10153;10714;55159;57534;56987;23013;9967</t>
  </si>
  <si>
    <t>SF3B1;FBXO21;TPR;SON;ATRX;PRKDC;SPTBN1;DYNC1H1;RBM39;RIF1;FBXO11;RNF168;SMC6;SMC3;PRRC2C;PSIP1;YY1;CLIP1;CBX5;CEBPZ;POLD3;RFWD3;MIB1;BBX;SPEN;THRAP3</t>
  </si>
  <si>
    <t>http://www.broadinstitute.org/gsea/msigdb/cards/CHICAS_RB1_TARGETS_SENESCENT.html</t>
  </si>
  <si>
    <t>9139;9733;55252;171023;51230;51755;1106;9527;6249;55014;9698;27332;22850;160760;6601;10426;155435;55342;11083;80314;29843</t>
  </si>
  <si>
    <t>CBFA2T2;SART3;ASXL2;ASXL1;PHF20;CDK12;CHD2;GOSR1;CLIP1;STX17;PUM1;ZNF638;ADNP2;PPTC7;SMARCC2;TUBGCP3;RBM33;STRBP;DIDO1;EPC1;SENP1</t>
  </si>
  <si>
    <t>EPPERT_LSC_R</t>
  </si>
  <si>
    <t>51366;9360;9869;51755;23637;9880;4763</t>
  </si>
  <si>
    <t>UBR5;PPIG;SETDB1;CDK12;RABGAP1;ZBTB39;NF1</t>
  </si>
  <si>
    <t>http://www.broadinstitute.org/gsea/msigdb/cards/EPPERT_LSC_R.html</t>
  </si>
  <si>
    <t>REACTOME_MITOTIC_M_M_G1_PHASES</t>
  </si>
  <si>
    <t>5048;5903;9793;57551;23332;10274;9126;7514;5422;6249;23198;10735;25909</t>
  </si>
  <si>
    <t>PAFAH1B1;RANBP2;CKAP5;TAOK1;CLASP1;STAG1;SMC3;XPO1;POLA1;CLIP1;PSME4;STAG2;AHCTF1</t>
  </si>
  <si>
    <t>http://www.broadinstitute.org/gsea/msigdb/cards/REACTOME_MITOTIC_M_M_G1_PHASES.html</t>
  </si>
  <si>
    <t>GARGALOVIC_RESPONSE_TO_OXIDIZED_PHOSPHOLIPIDS_TURQUOISE_UP</t>
  </si>
  <si>
    <t>253260;23253;3842;23049;142891;11083;79646;27161;8202</t>
  </si>
  <si>
    <t>RICTOR;ANKRD12;TNPO1;SMG1;SAMD8;DIDO1;PANK3;AGO2;NCOA3</t>
  </si>
  <si>
    <t>http://www.broadinstitute.org/gsea/msigdb/cards/GARGALOVIC_RESPONSE_TO_OXIDIZED_PHOSPHOLIPIDS_TURQUOISE_UP.html</t>
  </si>
  <si>
    <t>55814;6659;3609;80018;90957;5930;171023;80312;7840;8880;84079;85476;10940;10137;54552;23215;375248;9841;8518;7528;7174;10128;23468;22984;9221;84301;9392;165055;56652;55342;55127;55727;26973;11176;23200</t>
  </si>
  <si>
    <t>BDP1;SOX4;ILF3;NAA25;DHX57;RBBP6;ASXL1;TET1;ALMS1;FUBP1;ANKRD27;GFM1;POP1;RBM12;GNL3L;PRRC2C;ANKRD36;ZBTB24;ELP1;YY1;TPP2;LRPPRC;CBX5;PDCD11;NOLC1;DDI2;TGFBRAP1;CCDC138;TWNK;STRBP;HEATR1;BTBD7;CHORDC1;BAZ2A;ATP11B</t>
  </si>
  <si>
    <t>http://www.broadinstitute.org/gsea/msigdb/cards/KRIGE_RESPONSE_TO_TOSEDOSTAT_6HR_DN.html</t>
  </si>
  <si>
    <t>PUJANA_BREAST_CANCER_LIT_INT_NETWORK</t>
  </si>
  <si>
    <t>5981;5591;1660;8315;56946;571;4361;2033;472;5469</t>
  </si>
  <si>
    <t>RFC1;PRKDC;DHX9;BRAP;EMSY;BACH1;MRE11;EP300;ATM;MED1</t>
  </si>
  <si>
    <t>http://www.broadinstitute.org/gsea/msigdb/cards/PUJANA_BREAST_CANCER_LIT_INT_NETWORK.html</t>
  </si>
  <si>
    <t>23077;5927;9857;205717;9736;7840;8880;23405;11214;8621;155435;64421;10198;7707</t>
  </si>
  <si>
    <t>MYCBP2;KDM5A;CEP350;USF3;USP34;ALMS1;FUBP1;DICER1;AKAP13;CDK13;RBM33;DCLRE1C;MPHOSPH9;ZNF148</t>
  </si>
  <si>
    <t>KOYAMA_SEMA3B_TARGETS_DN</t>
  </si>
  <si>
    <t>55206;51366;673;5781;9320;23244;79832;9857;22976;57679;10142;55870;23019;23140;7690;54856;55320;26146;55705;29843;55636</t>
  </si>
  <si>
    <t>SBNO1;UBR5;BRAF;PTPN11;TRIP12;PDS5A;QSER1;CEP350;PAXIP1;ALS2;AKAP9;ASH1L;CNOT1;ZZEF1;ZNF131;GON4L;MIS18BP1;TRAF3IP1;IPO9;SENP1;CHD7</t>
  </si>
  <si>
    <t>http://www.broadinstitute.org/gsea/msigdb/cards/KOYAMA_SEMA3B_TARGETS_DN.html</t>
  </si>
  <si>
    <t>9631;7175;6872;9972;5903;6874;7514;905;11168;2957;10762</t>
  </si>
  <si>
    <t>NUP155;TPR;TAF1;NUP153;RANBP2;TAF4;XPO1;CCNT2;PSIP1;GTF2A1;NUP50</t>
  </si>
  <si>
    <t>http://www.broadinstitute.org/gsea/msigdb/cards/REACTOME_HIV_LIFE_CYCLE.html</t>
  </si>
  <si>
    <t>REACTOME_PRE_NOTCH_EXPRESSION_AND_PROCESSING</t>
  </si>
  <si>
    <t>http://www.broadinstitute.org/gsea/msigdb/cards/REACTOME_PRE_NOTCH_EXPRESSION_AND_PROCESSING.html</t>
  </si>
  <si>
    <t>WAKABAYASHI_ADIPOGENESIS_PPARG_RXRA_BOUND_8D</t>
  </si>
  <si>
    <t>8672;23077;5495;51366;5927;5903;9632;8899;9135;84162;25836;26058;10274;23505;9712;79691;10137;23019;10277;9527;2117;4361;2551;8621;54856;139285;54812;92140;204851;283337;22849;142891;79646;11176</t>
  </si>
  <si>
    <t>EIF4G3;MYCBP2;PPM1B;UBR5;KDM5A;RANBP2;SEC24C;PRPF4B;RABEP1;KIAA1109;NIPBL;GIGYF2;STAG1;TMEM131;USP6NL;QTRT2;RBM12;CNOT1;UBE4B;GOSR1;ETV3;MRE11;GABPA;CDK13;GON4L;AMER1;AFTPH;MTDH;HIPK1;ZNF740;CPEB3;SAMD8;PANK3;BAZ2A</t>
  </si>
  <si>
    <t>http://www.broadinstitute.org/gsea/msigdb/cards/WAKABAYASHI_ADIPOGENESIS_PPARG_RXRA_BOUND_8D.html</t>
  </si>
  <si>
    <t>9611;7586;7587;353274;23054;169841;23660;10168;905;7559;7574;7556;7581;5469;57209;8239;9439;51592;8202</t>
  </si>
  <si>
    <t>NCOR1;ZKSCAN1;ZNF37A;ZNF445;NCOA6;ZNF169;ZKSCAN5;ZNF197;CCNT2;ZNF12;ZNF26;ZNF10;ZNF33A;MED1;ZNF248;USP9X;MED23;TRIM33;NCOA3</t>
  </si>
  <si>
    <t>9631;7175;6872;9972;5903;6874;7514;905;2957;10762</t>
  </si>
  <si>
    <t>NUP155;TPR;TAF1;NUP153;RANBP2;TAF4;XPO1;CCNT2;GTF2A1;NUP50</t>
  </si>
  <si>
    <t>http://www.broadinstitute.org/gsea/msigdb/cards/REACTOME_LATE_PHASE_OF_HIV_LIFE_CYCLE.html</t>
  </si>
  <si>
    <t>11128;7175;6651;3609;8019;10771;23244;9202;57551;5930;10075;8880;9169;571;23633;285527;472;93;23269;27327;5814;55342;10765;6942;7707;9967</t>
  </si>
  <si>
    <t>POLR3A;TPR;SON;ILF3;BRD3;ZMYND11;PDS5A;ZMYM4;TAOK1;RBBP6;HUWE1;FUBP1;SCAF11;BACH1;KPNA6;FRYL;ATM;ACVR2B;MGA;TNRC6A;PURB;STRBP;KDM5B;TCF20;ZNF148;THRAP3</t>
  </si>
  <si>
    <t>http://www.broadinstitute.org/gsea/msigdb/cards/MARTINEZ_RB1_AND_TP53_TARGETS_DN.html</t>
  </si>
  <si>
    <t>9631;7175;6872;9972;5903;3836;5062;6874;7514;905;11168;2957;23198;10762</t>
  </si>
  <si>
    <t>NUP155;TPR;TAF1;NUP153;RANBP2;KPNA1;PAK2;TAF4;XPO1;CCNT2;PSIP1;GTF2A1;PSME4;NUP50</t>
  </si>
  <si>
    <t>http://www.broadinstitute.org/gsea/msigdb/cards/REACTOME_HIV_INFECTION.html</t>
  </si>
  <si>
    <t>11128;7175;6651;3609;8019;10771;23244;57551;5930;10075;8880;9169;571;285527;2932;472;93;25962;23269;27327;5814;55342;10765;6942;7707;9967</t>
  </si>
  <si>
    <t>POLR3A;TPR;SON;ILF3;BRD3;ZMYND11;PDS5A;TAOK1;RBBP6;HUWE1;FUBP1;SCAF11;BACH1;FRYL;GSK3B;ATM;ACVR2B;VIRMA;MGA;TNRC6A;PURB;STRBP;KDM5B;TCF20;ZNF148;THRAP3</t>
  </si>
  <si>
    <t>http://www.broadinstitute.org/gsea/msigdb/cards/MARTINEZ_TP53_TARGETS_DN.html</t>
  </si>
  <si>
    <t>ZWANG_TRANSIENTLY_UP_BY_1ST_EGF_PULSE_ONLY</t>
  </si>
  <si>
    <t>5495;23014;27107;5981;54799;4520;84986;221037;56946;11064;84181;28981;23522;9711;80311;23049;51773;10142;51230;55628;55249;59343;54876;23131;9841;10299;905;11168;51585;3096;7559;7574;6249;2117;7690;64854;7159;8621;4863;2804;9662;10735;22849;8239;55102;2140;10198;11083;9786;57703;55802;56995;54014;10765;9329;23200;55818</t>
  </si>
  <si>
    <t>PPM1B;FBXO21;ZBTB11;RFC1;MBTD1;MTF1;ARHGAP19;JMJD1C;EMSY;CNTRL;CHD6;IFT81;KAT6B;RUBCN;KLHL15;SMG1;RSF1;AKAP9;PHF20;ZNF407;YY1AP1;SENP2;DCAF16;GPATCH8;ZBTB24;MARCH6;CCNT2;PSIP1;PCF11;HIVEP1;ZNF12;ZNF26;CLIP1;ETV3;ZNF131;USP46;TP53BP2;CDK13;NPAT;GOLGB1;CEP135;STAG2;CPEB3;USP9X;ATG2B;EYA3;MPHOSPH9;DIDO1;KIAA0586;CWC22;DCP1A;TULP4;BRWD1;KDM5B;GTF3C4;ATP11B;KDM3A</t>
  </si>
  <si>
    <t>http://www.broadinstitute.org/gsea/msigdb/cards/ZWANG_TRANSIENTLY_UP_BY_1ST_EGF_PULSE_ONLY.html</t>
  </si>
  <si>
    <t>LASTOWSKA_NEUROBLASTOMA_COPY_NUMBER_UP</t>
  </si>
  <si>
    <t>9611;5048;6654;2186;90957;79677;57448;51479;11276;6341;9527;140775;9969</t>
  </si>
  <si>
    <t>NCOR1;PAFAH1B1;SOS1;BPTF;DHX57;SMC6;BIRC6;ANKFY1;SYNRG;SCO1;GOSR1;SMCR8;MED13</t>
  </si>
  <si>
    <t>http://www.broadinstitute.org/gsea/msigdb/cards/LASTOWSKA_NEUROBLASTOMA_COPY_NUMBER_UP.html</t>
  </si>
  <si>
    <t>RAMASWAMY_METASTASIS_UP</t>
  </si>
  <si>
    <t>3192;2186;1106;23633;5116;157680;23013;26019</t>
  </si>
  <si>
    <t>HNRNPU;BPTF;CHD2;KPNA6;PCNT;VPS13B;SPEN;UPF2</t>
  </si>
  <si>
    <t>http://www.broadinstitute.org/gsea/msigdb/cards/RAMASWAMY_METASTASIS_UP.html</t>
  </si>
  <si>
    <t>SCHAEFFER_PROSTATE_DEVELOPMENT_AND_CANCER_BOX4_DN</t>
  </si>
  <si>
    <t>55660;8661;9774;80205;144348;23112</t>
  </si>
  <si>
    <t>PRPF40A;EIF3A;BCLAF1;CHD9;ZNF664;TNRC6B</t>
  </si>
  <si>
    <t>http://www.broadinstitute.org/gsea/msigdb/cards/SCHAEFFER_PROSTATE_DEVELOPMENT_AND_CANCER_BOX4_DN.html</t>
  </si>
  <si>
    <t>55206;4976;9475;55660;5495;9631;26043;23014;7468;5062;26130;57695;7248;23185;84146;10137;9774;7750;9126;23019;10915;8812;7109;10914;6670;3930;79612;55320;55159;79598;10207;10426;165055;5814;11083;55127;9874</t>
  </si>
  <si>
    <t>SBNO1;OPA1;ROCK2;PRPF40A;PPM1B;NUP155;UBXN7;FBXO21;NSD2;PAK2;GAPVD1;USP37;TSC1;LARP4B;ZNF644;RBM12;BCLAF1;ZMYM2;SMC3;CNOT1;TCERG1;CCNK;TRAPPC10;PAPOLA;SP3;LBR;NAA16;MIS18BP1;RFWD3;CEP97;PATJ;TUBGCP3;CCDC138;PURB;DIDO1;HEATR1;TLK1</t>
  </si>
  <si>
    <t>http://www.broadinstitute.org/gsea/msigdb/cards/NUYTTEN_EZH2_TARGETS_DN.html</t>
  </si>
  <si>
    <t>LOCKWOOD_AMPLIFIED_IN_LUNG_CANCER</t>
  </si>
  <si>
    <t>9826;4976;405;5290;5130;9869;23126;55051;22992;7528;8453;80012;54765;27161</t>
  </si>
  <si>
    <t>ARHGEF11;OPA1;ARNT;PIK3CA;PCYT1A;SETDB1;POGZ;NRDE2;KDM2A;YY1;CUL2;PHC3;TRIM44;AGO2</t>
  </si>
  <si>
    <t>http://www.broadinstitute.org/gsea/msigdb/cards/LOCKWOOD_AMPLIFIED_IN_LUNG_CANCER.html</t>
  </si>
  <si>
    <t>IVANOVA_HEMATOPOIESIS_STEM_CELL_AND_PROGENITOR</t>
  </si>
  <si>
    <t>9139;23014;2475;9632;3192;54799;6659;9790;80018;79832;9202;55252;10075;57148;80312;26523;23405;23215;23019;7559;56252;10153;2551;54520;139285;23392;54765;51132</t>
  </si>
  <si>
    <t>CBFA2T2;FBXO21;MTOR;SEC24C;HNRNPU;MBTD1;SOX4;BMS1;NAA25;QSER1;ZMYM4;ASXL2;HUWE1;RALGAPB;TET1;AGO1;DICER1;PRRC2C;CNOT1;ZNF12;YLPM1;CEBPZ;GABPA;CCDC93;AMER1;ECPAS;TRIM44;RLIM</t>
  </si>
  <si>
    <t>http://www.broadinstitute.org/gsea/msigdb/cards/IVANOVA_HEMATOPOIESIS_STEM_CELL_AND_PROGENITOR.html</t>
  </si>
  <si>
    <t>REACTOME_TRANSPORT_OF_MATURE_MRNA_DERIVED_FROM_AN_INTRONLESS_TRANSCRIPT</t>
  </si>
  <si>
    <t>9631;7175;9972;5903;53981;10762</t>
  </si>
  <si>
    <t>NUP155;TPR;NUP153;RANBP2;CPSF2;NUP50</t>
  </si>
  <si>
    <t>http://www.broadinstitute.org/gsea/msigdb/cards/REACTOME_TRANSPORT_OF_MATURE_MRNA_DERIVED_FROM_AN_INTRONLESS_TRANSCRIPT.html</t>
  </si>
  <si>
    <t>GARGALOVIC_RESPONSE_TO_OXIDIZED_PHOSPHOLIPIDS_BLUE_UP</t>
  </si>
  <si>
    <t>5130;6654;5930;571;23095;51585;55605;140775;155435;26973;27161</t>
  </si>
  <si>
    <t>PCYT1A;SOS1;RBBP6;BACH1;KIF1B;PCF11;KIF21A;SMCR8;RBM33;CHORDC1;AGO2</t>
  </si>
  <si>
    <t>http://www.broadinstitute.org/gsea/msigdb/cards/GARGALOVIC_RESPONSE_TO_OXIDIZED_PHOSPHOLIPIDS_BLUE_UP.html</t>
  </si>
  <si>
    <t>WHITFIELD_CELL_CYCLE_G2_M</t>
  </si>
  <si>
    <t>140710;3799;6711;9793;84986;171023;3842;51585;4301;3930;55320;55632;10207;9967</t>
  </si>
  <si>
    <t>SOGA1;KIF5B;SPTBN1;CKAP5;ARHGAP19;ASXL1;TNPO1;PCF11;AFDN;LBR;MIS18BP1;G2E3;PATJ;THRAP3</t>
  </si>
  <si>
    <t>http://www.broadinstitute.org/gsea/msigdb/cards/WHITFIELD_CELL_CYCLE_G2_M.html</t>
  </si>
  <si>
    <t>LIAO_METASTASIS</t>
  </si>
  <si>
    <t>55206;9139;7468;6711;6659;84726;9736;3842;1106;23036;10128;23468;8621;9816;54520;54832;84196;55743;5814;55342;10198;84132;55636;4216</t>
  </si>
  <si>
    <t>SBNO1;CBFA2T2;NSD2;SPTBN1;SOX4;PRRC2B;USP34;TNPO1;CHD2;ZNF292;LRPPRC;CBX5;CDK13;URB2;CCDC93;VPS13C;USP48;CHFR;PURB;STRBP;MPHOSPH9;USP42;CHD7;MAP3K4</t>
  </si>
  <si>
    <t>http://www.broadinstitute.org/gsea/msigdb/cards/LIAO_METASTASIS.html</t>
  </si>
  <si>
    <t>5980;7156;22976;7248;30849;22992;1106;8087;1859;2804;23527;10426;56995;23047</t>
  </si>
  <si>
    <t>REV3L;TOP3A;PAXIP1;TSC1;PIK3R4;KDM2A;CHD2;FXR1;DYRK1A;GOLGB1;ACAP2;TUBGCP3;TULP4;PDS5B</t>
  </si>
  <si>
    <t>BONOME_OVARIAN_CANCER_SURVIVAL_OPTIMAL_DEBULKING</t>
  </si>
  <si>
    <t>4976;6651;405;7637;5591;23389;64324;7750;23423;9527;7109;23033;157922;253959;55102</t>
  </si>
  <si>
    <t>OPA1;SON;ARNT;ZNF84;PRKDC;MED13L;NSD1;ZMYM2;TMED3;GOSR1;TRAPPC10;DOP1A;CAMSAP1;RALGAPA1;ATG2B</t>
  </si>
  <si>
    <t>http://www.broadinstitute.org/gsea/msigdb/cards/BONOME_OVARIAN_CANCER_SURVIVAL_OPTIMAL_DEBULKING.html</t>
  </si>
  <si>
    <t>HEDENFALK_BREAST_CANCER_BRCA1_VS_BRCA2</t>
  </si>
  <si>
    <t>9631;6872;3799;9712;85440;11168;867;8453;7159;10426;80155;27161</t>
  </si>
  <si>
    <t>NUP155;TAF1;KIF5B;USP6NL;DOCK7;PSIP1;CBL;CUL2;TP53BP2;TUBGCP3;NAA15;AGO2</t>
  </si>
  <si>
    <t>http://www.broadinstitute.org/gsea/msigdb/cards/HEDENFALK_BREAST_CANCER_BRCA1_VS_BRCA2.html</t>
  </si>
  <si>
    <t>KEGG_UBIQUITIN_MEDIATED_PROTEOLYSIS</t>
  </si>
  <si>
    <t>51366;7428;9320;8925;89910;10075;64682;57448;10277;867;8453</t>
  </si>
  <si>
    <t>UBR5;VHL;TRIP12;HERC1;UBE3B;HUWE1;ANAPC1;BIRC6;UBE4B;CBL;CUL2</t>
  </si>
  <si>
    <t>http://www.broadinstitute.org/gsea/msigdb/cards/KEGG_UBIQUITIN_MEDIATED_PROTEOLYSIS.html</t>
  </si>
  <si>
    <t>9877;26046;26043;673;6872;3836;9584;57551;51322;7750;10299;9678;4763;2932;987;55014;11214;6789;5586;10426;55727;8202</t>
  </si>
  <si>
    <t>ZC3H11A;LTN1;UBXN7;BRAF;TAF1;KPNA1;RBM39;TAOK1;WAC;ZMYM2;MARCH6;PHF14;NF1;GSK3B;LRBA;STX17;AKAP13;STK4;PKN2;TUBGCP3;BTBD7;NCOA3</t>
  </si>
  <si>
    <t>10236;7468;7182;6711;6654;80018;9736;58508;9712;8880;85476;79572;54876;2957;1859;92140;23047;4848;9874</t>
  </si>
  <si>
    <t>HNRNPR;NSD2;NR2C2;SPTBN1;SOS1;NAA25;USP34;KMT2C;USP6NL;FUBP1;GFM1;ATP13A3;DCAF16;GTF2A1;DYRK1A;MTDH;PDS5B;AC092881.1;TLK1</t>
  </si>
  <si>
    <t>CREIGHTON_ENDOCRINE_THERAPY_RESISTANCE_2</t>
  </si>
  <si>
    <t>5980;4520;26130;23512;9857;56957;11064;28981;85459;11168;55291;84131;157922;347240;54887;145508;84669;165055;55342;65250;27161;25831</t>
  </si>
  <si>
    <t>REV3L;MTF1;GAPVD1;SUZ12;CEP350;OTUD7B;CNTRL;IFT81;CEP295;PSIP1;PPP6R3;CEP78;CAMSAP1;KIF24;UHRF1BP1;CEP128;USP32;CCDC138;STRBP;CPLANE1;AGO2;HECTD1</t>
  </si>
  <si>
    <t>http://www.broadinstitute.org/gsea/msigdb/cards/CREIGHTON_ENDOCRINE_THERAPY_RESISTANCE_2.html</t>
  </si>
  <si>
    <t>LINDGREN_BLADDER_CANCER_WITH_LOH_IN_CHR9Q</t>
  </si>
  <si>
    <t>23064;11064;7248;26190;23637;9919;55014;157922;23392;79048</t>
  </si>
  <si>
    <t>SETX;CNTRL;TSC1;FBXW2;RABGAP1;SEC16A;STX17;CAMSAP1;ECPAS;SECISBP2</t>
  </si>
  <si>
    <t>http://www.broadinstitute.org/gsea/msigdb/cards/LINDGREN_BLADDER_CANCER_WITH_LOH_IN_CHR9Q.html</t>
  </si>
  <si>
    <t>KENNY_CTNNB1_TARGETS_DN</t>
  </si>
  <si>
    <t>9611;51366;3799;3842;55291;8239;51592</t>
  </si>
  <si>
    <t>NCOR1;UBR5;KIF5B;TNPO1;PPP6R3;USP9X;TRIM33</t>
  </si>
  <si>
    <t>http://www.broadinstitute.org/gsea/msigdb/cards/KENNY_CTNNB1_TARGETS_DN.html</t>
  </si>
  <si>
    <t>MARIADASON_RESPONSE_TO_BUTYRATE_SULINDAC_6</t>
  </si>
  <si>
    <t>7468;7155;1660;23248;57492;9169;64864</t>
  </si>
  <si>
    <t>NSD2;TOP2B;DHX9;RPRD2;ARID1B;SCAF11;RFX7</t>
  </si>
  <si>
    <t>http://www.broadinstitute.org/gsea/msigdb/cards/MARIADASON_RESPONSE_TO_BUTYRATE_SULINDAC_6.html</t>
  </si>
  <si>
    <t>IVANOVA_HEMATOPOIESIS_STEM_CELL</t>
  </si>
  <si>
    <t>23077;23328;54799;6654;9733;84614;9736;5930;28981;9169;55870;92312;2117;53981;1788</t>
  </si>
  <si>
    <t>MYCBP2;SASH1;MBTD1;SOS1;SART3;ZBTB37;USP34;RBBP6;IFT81;SCAF11;ASH1L;MEX3A;ETV3;CPSF2;DNMT3A</t>
  </si>
  <si>
    <t>http://www.broadinstitute.org/gsea/msigdb/cards/IVANOVA_HEMATOPOIESIS_STEM_CELL.html</t>
  </si>
  <si>
    <t>ROESSLER_LIVER_CANCER_METASTASIS_DN</t>
  </si>
  <si>
    <t>100289635;55051;51585;10128;22984;204851;51592</t>
  </si>
  <si>
    <t>ZNF605;NRDE2;PCF11;LRPPRC;PDCD11;HIPK1;TRIM33</t>
  </si>
  <si>
    <t>http://www.broadinstitute.org/gsea/msigdb/cards/ROESSLER_LIVER_CANCER_METASTASIS_DN.html</t>
  </si>
  <si>
    <t>LU_EZH2_TARGETS_DN</t>
  </si>
  <si>
    <t>9044;23317;26057;3192;8899;11052;22848;55728;59343;10137;9774;23405;317;6341;987;139285;200030;160760;27161;51592</t>
  </si>
  <si>
    <t>BTAF1;DNAJC13;ANKRD17;HNRNPU;PRPF4B;CPSF6;AAK1;N4BP2;SENP2;RBM12;BCLAF1;DICER1;APAF1;SCO1;LRBA;AMER1;NBPF11;PPTC7;AGO2;TRIM33</t>
  </si>
  <si>
    <t>http://www.broadinstitute.org/gsea/msigdb/cards/LU_EZH2_TARGETS_DN.html</t>
  </si>
  <si>
    <t>NOUZOVA_TRETINOIN_AND_H4_ACETYLATION</t>
  </si>
  <si>
    <t>9631;9869;65117;91746;23215;9527;10093;2804;84196;9967;55818</t>
  </si>
  <si>
    <t>NUP155;SETDB1;RSRC2;YTHDC1;PRRC2C;GOSR1;ARPC4;GOLGB1;USP48;THRAP3;KDM3A</t>
  </si>
  <si>
    <t>http://www.broadinstitute.org/gsea/msigdb/cards/NOUZOVA_TRETINOIN_AND_H4_ACETYLATION.html</t>
  </si>
  <si>
    <t>9044;10236;9475;26046;9972;9320;23054;84986;9736;55252;55023;170506;64397;59343;51755;57498;9126;23215;317;7514;51182;9897;7159;284058;254887;10735;56987;25909;55705;55342;84260;55127;9188;10765;55689</t>
  </si>
  <si>
    <t>BTAF1;HNRNPR;ROCK2;LTN1;NUP153;TRIP12;NCOA6;ARHGAP19;USP34;ASXL2;PHIP;DHX36;ZNF106;SENP2;CDK12;KIDINS220;SMC3;PRRC2C;APAF1;XPO1;HSPA14;WASHC5;TP53BP2;KANSL1;ZDHHC23;STAG2;BBX;AHCTF1;IPO9;STRBP;TCHP;HEATR1;DDX21;KDM5B;YEATS2</t>
  </si>
  <si>
    <t>GOLDRATH_HOMEOSTATIC_PROLIFERATION</t>
  </si>
  <si>
    <t>5048;1660;6093;55193;8880;10730;11244;6801;2876;7690;55167;53981</t>
  </si>
  <si>
    <t>PAFAH1B1;DHX9;ROCK1;PBRM1;FUBP1;YME1L1;ZHX1;STRN;GPX1;ZNF131;MSL2;CPSF2</t>
  </si>
  <si>
    <t>http://www.broadinstitute.org/gsea/msigdb/cards/GOLDRATH_HOMEOSTATIC_PROLIFERATION.html</t>
  </si>
  <si>
    <t>OUILLETTE_CLL_13Q14_DELETION_UP</t>
  </si>
  <si>
    <t>5048;23332;57695;9712;7581;160760;56987;11190</t>
  </si>
  <si>
    <t>PAFAH1B1;CLASP1;USP37;USP6NL;ZNF33A;PPTC7;BBX;CEP250</t>
  </si>
  <si>
    <t>http://www.broadinstitute.org/gsea/msigdb/cards/OUILLETTE_CLL_13Q14_DELETION_UP.html</t>
  </si>
  <si>
    <t>MOREAUX_MULTIPLE_MYELOMA_BY_TACI_DN</t>
  </si>
  <si>
    <t>8888;5591;3609;26098;6873;51773;85459;80218;10914;7690;64864;10198</t>
  </si>
  <si>
    <t>MCM3AP;PRKDC;ILF3;EDRF1;TAF2;RSF1;CEP295;NAA50;PAPOLA;ZNF131;RFX7;MPHOSPH9</t>
  </si>
  <si>
    <t>http://www.broadinstitute.org/gsea/msigdb/cards/MOREAUX_MULTIPLE_MYELOMA_BY_TACI_DN.html</t>
  </si>
  <si>
    <t>51366;7586;546;9135;221037;23369;9147;80205;27327;5814;79646</t>
  </si>
  <si>
    <t>UBR5;ZKSCAN1;ATRX;RABEP1;JMJD1C;PUM2;NEMF;CHD9;TNRC6A;PURB;PANK3</t>
  </si>
  <si>
    <t>GENTILE_UV_RESPONSE_CLUSTER_D4</t>
  </si>
  <si>
    <t>23126;79572;23405;9693;7514;9698;23013</t>
  </si>
  <si>
    <t>POGZ;ATP13A3;DICER1;RAPGEF2;XPO1;PUM1;SPEN</t>
  </si>
  <si>
    <t>http://www.broadinstitute.org/gsea/msigdb/cards/GENTILE_UV_RESPONSE_CLUSTER_D4.html</t>
  </si>
  <si>
    <t>CHANDRAN_METASTASIS_TOP50_UP</t>
  </si>
  <si>
    <t>57532;100289635;57448;54552;23350;7528</t>
  </si>
  <si>
    <t>NUFIP2;ZNF605;BIRC6;GNL3L;U2SURP;YY1</t>
  </si>
  <si>
    <t>http://www.broadinstitute.org/gsea/msigdb/cards/CHANDRAN_METASTASIS_TOP50_UP.html</t>
  </si>
  <si>
    <t>BIOCARTA_MTOR_PATHWAY</t>
  </si>
  <si>
    <t>8672;5290;2475;8661;7248</t>
  </si>
  <si>
    <t>EIF4G3;PIK3CA;MTOR;EIF3A;TSC1</t>
  </si>
  <si>
    <t>http://www.broadinstitute.org/gsea/msigdb/cards/BIOCARTA_MTOR_PATHWAY.html</t>
  </si>
  <si>
    <t>REACTOME_CIRCADIAN_REPRESSION_OF_EXPRESSION_BY_REV_ERBA</t>
  </si>
  <si>
    <t>9611;23054;2033;5469;8202</t>
  </si>
  <si>
    <t>NCOR1;NCOA6;EP300;MED1;NCOA3</t>
  </si>
  <si>
    <t>http://www.broadinstitute.org/gsea/msigdb/cards/REACTOME_CIRCADIAN_REPRESSION_OF_EXPRESSION_BY_REV_ERBA.html</t>
  </si>
  <si>
    <t>SAGIV_CD24_TARGETS_UP</t>
  </si>
  <si>
    <t>23317;9736;55023;285527;54832</t>
  </si>
  <si>
    <t>DNAJC13;USP34;PHIP;FRYL;VPS13C</t>
  </si>
  <si>
    <t>http://www.broadinstitute.org/gsea/msigdb/cards/SAGIV_CD24_TARGETS_UP.html</t>
  </si>
  <si>
    <t>7637;5591;54799;6659;79832;55183;23332;85440;51105;7514;23350;3096;7690;9662;10198;27161</t>
  </si>
  <si>
    <t>ZNF84;PRKDC;MBTD1;SOX4;QSER1;RIF1;CLASP1;DOCK7;PHF20L1;XPO1;U2SURP;HIVEP1;ZNF131;CEP135;MPHOSPH9;AGO2</t>
  </si>
  <si>
    <t>BURTON_ADIPOGENESIS_11</t>
  </si>
  <si>
    <t>3799;7155;9584;22848;55193;84146;56995</t>
  </si>
  <si>
    <t>KIF5B;TOP2B;RBM39;AAK1;PBRM1;ZNF644;TULP4</t>
  </si>
  <si>
    <t>http://www.broadinstitute.org/gsea/msigdb/cards/BURTON_ADIPOGENESIS_11.html</t>
  </si>
  <si>
    <t>5451;673;6654;8880;6874;10168;7556;7528;2033</t>
  </si>
  <si>
    <t>POU2F1;BRAF;SOS1;FUBP1;TAF4;ZNF197;ZNF10;YY1;EP300</t>
  </si>
  <si>
    <t>REACTOME_RORA_ACTIVATES_CIRCADIAN_EXPRESSION</t>
  </si>
  <si>
    <t>http://www.broadinstitute.org/gsea/msigdb/cards/REACTOME_RORA_ACTIVATES_CIRCADIAN_EXPRESSION.html</t>
  </si>
  <si>
    <t>9631;7175;1656;9972;5903;23293;3842;23049;57472;7514;23198;54464;9887;26019;55802;4848;10762</t>
  </si>
  <si>
    <t>NUP155;TPR;DDX6;NUP153;RANBP2;SMG6;TNPO1;SMG1;CNOT6;XPO1;PSME4;XRN1;SMG7;UPF2;DCP1A;AC092881.1;NUP50</t>
  </si>
  <si>
    <t>http://www.broadinstitute.org/gsea/msigdb/cards/REACTOME_METABOLISM_OF_RNA.html</t>
  </si>
  <si>
    <t>BIOCARTA_VDR_PATHWAY</t>
  </si>
  <si>
    <t>9611;2033;5469;8202</t>
  </si>
  <si>
    <t>NCOR1;EP300;MED1;NCOA3</t>
  </si>
  <si>
    <t>http://www.broadinstitute.org/gsea/msigdb/cards/BIOCARTA_VDR_PATHWAY.html</t>
  </si>
  <si>
    <t>DAVICIONI_MOLECULAR_ARMS_VS_ERMS_UP</t>
  </si>
  <si>
    <t>26057;5048;8019;84726;23389;28981;23095;285527;9527;5116;4763;6249;157922;11011;57209;56995;55636</t>
  </si>
  <si>
    <t>ANKRD17;PAFAH1B1;BRD3;PRRC2B;MED13L;IFT81;KIF1B;FRYL;GOSR1;PCNT;NF1;CLIP1;CAMSAP1;TLK2;ZNF248;TULP4;CHD7</t>
  </si>
  <si>
    <t>http://www.broadinstitute.org/gsea/msigdb/cards/DAVICIONI_MOLECULAR_ARMS_VS_ERMS_UP.html</t>
  </si>
  <si>
    <t>KEGG_RNA_DEGRADATION</t>
  </si>
  <si>
    <t>1656;57472;23019;10914;54464;55802;4848</t>
  </si>
  <si>
    <t>DDX6;CNOT6;CNOT1;PAPOLA;XRN1;DCP1A;AC092881.1</t>
  </si>
  <si>
    <t>http://www.broadinstitute.org/gsea/msigdb/cards/KEGG_RNA_DEGRADATION.html</t>
  </si>
  <si>
    <t>PID_P53_REGULATION_PATHWAY</t>
  </si>
  <si>
    <t>10075;80204;53944;7528;2932;2033;472</t>
  </si>
  <si>
    <t>HUWE1;FBXO11;CSNK1G1;YY1;GSK3B;EP300;ATM</t>
  </si>
  <si>
    <t>http://www.broadinstitute.org/gsea/msigdb/cards/PID_P53_REGULATION_PATHWAY.html</t>
  </si>
  <si>
    <t>YOSHIMURA_MAPK8_TARGETS_DN</t>
  </si>
  <si>
    <t>9475;23077;9584;9733;9135;84181;80351;9774;1106;23036;4763;7174;5471;3930;9221;92140;5814;27161</t>
  </si>
  <si>
    <t>ROCK2;MYCBP2;RBM39;SART3;RABEP1;CHD6;TNKS2;BCLAF1;CHD2;ZNF292;NF1;TPP2;PPAT;LBR;NOLC1;MTDH;PURB;AGO2</t>
  </si>
  <si>
    <t>http://www.broadinstitute.org/gsea/msigdb/cards/YOSHIMURA_MAPK8_TARGETS_DN.html</t>
  </si>
  <si>
    <t>9826;9139;7637;5062;84986;9733;89910;85440;23049;85459;2844;23468;472;4863;9221;64864;80205;389677;144348;23047;57786</t>
  </si>
  <si>
    <t>ARHGEF11;CBFA2T2;ZNF84;PAK2;ARHGAP19;SART3;UBE3B;DOCK7;SMG1;CEP295;RABGAP1;CBX5;ATM;NPAT;NOLC1;RFX7;CHD9;RBM12B;ZNF664;PDS5B;RBAK</t>
  </si>
  <si>
    <t>REACTOME_SIGNALING_BY_NOTCH</t>
  </si>
  <si>
    <t>9611;57690;26523;2033;57534;27327;192669;27161;23112</t>
  </si>
  <si>
    <t>NCOR1;TNRC6C;AGO1;EP300;MIB1;TNRC6A;AGO3;AGO2;TNRC6B</t>
  </si>
  <si>
    <t>http://www.broadinstitute.org/gsea/msigdb/cards/REACTOME_SIGNALING_BY_NOTCH.html</t>
  </si>
  <si>
    <t>IVANOVA_HEMATOPOIESIS_STEM_CELL_LONG_TERM</t>
  </si>
  <si>
    <t>7586;10771;26098;55252;3842;10142;79811;57609;54764;9880;5471;122830;22930;92140;23269;144348</t>
  </si>
  <si>
    <t>ZKSCAN1;ZMYND11;EDRF1;ASXL2;TNPO1;AKAP9;SLTM;DIP2B;ZRANB1;ZBTB39;PPAT;NAA30;RAB3GAP1;MTDH;MGA;ZNF664</t>
  </si>
  <si>
    <t>http://www.broadinstitute.org/gsea/msigdb/cards/IVANOVA_HEMATOPOIESIS_STEM_CELL_LONG_TERM.html</t>
  </si>
  <si>
    <t>BORCZUK_MALIGNANT_MESOTHELIOMA_UP</t>
  </si>
  <si>
    <t>26043;3799;5591;5062;10771;55183;3842;23215;10914;10093;23527;27042;204851;23299;8239;10765</t>
  </si>
  <si>
    <t>UBXN7;KIF5B;PRKDC;PAK2;ZMYND11;RIF1;TNPO1;PRRC2C;PAPOLA;ARPC4;ACAP2;UTP25;HIPK1;BICD2;USP9X;KDM5B</t>
  </si>
  <si>
    <t>http://www.broadinstitute.org/gsea/msigdb/cards/BORCZUK_MALIGNANT_MESOTHELIOMA_UP.html</t>
  </si>
  <si>
    <t>8888;23451;6651;3799;5981;5130;6433;9733;23369;23522;91746;10730;9169;54542;23423;2551;51182;9221;5469;7994;54765;9188;4848;7707</t>
  </si>
  <si>
    <t>MCM3AP;SF3B1;SON;KIF5B;RFC1;PCYT1A;SFSWAP;SART3;PUM2;KAT6B;YTHDC1;YME1L1;SCAF11;RC3H2;TMED3;GABPA;HSPA14;NOLC1;MED1;KAT6A;TRIM44;DDX21;AC092881.1;ZNF148</t>
  </si>
  <si>
    <t>IVANOV_MUTATED_IN_COLON_CANCER</t>
  </si>
  <si>
    <t>9611;26046;9678;8087</t>
  </si>
  <si>
    <t>NCOR1;LTN1;PHF14;FXR1</t>
  </si>
  <si>
    <t>http://www.broadinstitute.org/gsea/msigdb/cards/IVANOV_MUTATED_IN_COLON_CANCER.html</t>
  </si>
  <si>
    <t>9631;7175;9972;5903;3836;5062;7514;11168;23198;10762</t>
  </si>
  <si>
    <t>NUP155;TPR;NUP153;RANBP2;KPNA1;PAK2;XPO1;PSIP1;PSME4;NUP50</t>
  </si>
  <si>
    <t>5903;4299;2802;1778;23160;84162;54906;23389;55023;317;9870;2117;11011;7994;84132;55802;55636;23200;23143</t>
  </si>
  <si>
    <t>RANBP2;AFF1;GOLGA3;DYNC1H1;WDR43;KIAA1109;TASOR2;MED13L;PHIP;APAF1;AREL1;ETV3;TLK2;KAT6A;USP42;DCP1A;CHD7;ATP11B;LRCH1</t>
  </si>
  <si>
    <t>SCHLOSSER_MYC_TARGETS_REPRESSED_BY_SERUM</t>
  </si>
  <si>
    <t>23014;27107;9972;1660;8661;79572;10915;7528;9221;79882;26009</t>
  </si>
  <si>
    <t>FBXO21;ZBTB11;NUP153;DHX9;EIF3A;ATP13A3;TCERG1;YY1;NOLC1;ZC3H14;AC118549.1</t>
  </si>
  <si>
    <t>http://www.broadinstitute.org/gsea/msigdb/cards/SCHLOSSER_MYC_TARGETS_REPRESSED_BY_SERUM.html</t>
  </si>
  <si>
    <t>IKEDA_MIR133_TARGETS_UP</t>
  </si>
  <si>
    <t>8672;23054;23253;10142;23637;84669</t>
  </si>
  <si>
    <t>EIF4G3;NCOA6;ANKRD12;AKAP9;RABGAP1;USP32</t>
  </si>
  <si>
    <t>http://www.broadinstitute.org/gsea/msigdb/cards/IKEDA_MIR133_TARGETS_UP.html</t>
  </si>
  <si>
    <t>BOYAULT_LIVER_CANCER_SUBCLASS_G3_UP</t>
  </si>
  <si>
    <t>10236;9631;51366;6873;7514;23095;10914;8087;10093;9897;5469;55818</t>
  </si>
  <si>
    <t>HNRNPR;NUP155;UBR5;TAF2;XPO1;KIF1B;PAPOLA;FXR1;ARPC4;WASHC5;MED1;KDM3A</t>
  </si>
  <si>
    <t>http://www.broadinstitute.org/gsea/msigdb/cards/BOYAULT_LIVER_CANCER_SUBCLASS_G3_UP.html</t>
  </si>
  <si>
    <t>REACTOME_REGULATION_OF_GLUCOKINASE_BY_GLUCOKINASE_REGULATORY_PROTEIN</t>
  </si>
  <si>
    <t>9631;7175;9972;5903;10762</t>
  </si>
  <si>
    <t>NUP155;TPR;NUP153;RANBP2;NUP50</t>
  </si>
  <si>
    <t>http://www.broadinstitute.org/gsea/msigdb/cards/REACTOME_REGULATION_OF_GLUCOKINASE_BY_GLUCOKINASE_REGULATORY_PROTEIN.html</t>
  </si>
  <si>
    <t>BENPORATH_ES_1</t>
  </si>
  <si>
    <t>55660;5495;3609;8880;23195;11168;23468;4361;8087;10153;9221;55320;8239;11083;80155;9188;54014;1788</t>
  </si>
  <si>
    <t>PRPF40A;PPM1B;ILF3;FUBP1;MDN1;PSIP1;CBX5;MRE11;FXR1;CEBPZ;NOLC1;MIS18BP1;USP9X;DIDO1;NAA15;DDX21;BRWD1;DNMT3A</t>
  </si>
  <si>
    <t>http://www.broadinstitute.org/gsea/msigdb/cards/BENPORATH_ES_1.html</t>
  </si>
  <si>
    <t>NGUYEN_NOTCH1_TARGETS_DN</t>
  </si>
  <si>
    <t>5980;2969;1778;9320;23352;10075;23198;10735</t>
  </si>
  <si>
    <t>REV3L;GTF2I;DYNC1H1;TRIP12;UBR4;HUWE1;PSME4;STAG2</t>
  </si>
  <si>
    <t>http://www.broadinstitute.org/gsea/msigdb/cards/NGUYEN_NOTCH1_TARGETS_DN.html</t>
  </si>
  <si>
    <t>LI_WILMS_TUMOR_VS_FETAL_KIDNEY_1_DN</t>
  </si>
  <si>
    <t>9044;55660;9793;84726;65117;10915;23468;7159;9221;10985;10198</t>
  </si>
  <si>
    <t>BTAF1;PRPF40A;CKAP5;PRRC2B;RSRC2;TCERG1;CBX5;TP53BP2;NOLC1;GCN1;MPHOSPH9</t>
  </si>
  <si>
    <t>http://www.broadinstitute.org/gsea/msigdb/cards/LI_WILMS_TUMOR_VS_FETAL_KIDNEY_1_DN.html</t>
  </si>
  <si>
    <t>SCHAEFFER_SOX9_TARGETS_IN_PROSTATE_DEVELOPMENT_DN</t>
  </si>
  <si>
    <t>1656;6711;6659;8661;9698;84295</t>
  </si>
  <si>
    <t>DDX6;SPTBN1;SOX4;EIF3A;PUM1;PHF6</t>
  </si>
  <si>
    <t>http://www.broadinstitute.org/gsea/msigdb/cards/SCHAEFFER_SOX9_TARGETS_IN_PROSTATE_DEVELOPMENT_DN.html</t>
  </si>
  <si>
    <t>ABRAMSON_INTERACT_WITH_AIRE</t>
  </si>
  <si>
    <t>5903;5591;84181;9126;7514;10985</t>
  </si>
  <si>
    <t>RANBP2;PRKDC;CHD6;SMC3;XPO1;GCN1</t>
  </si>
  <si>
    <t>http://www.broadinstitute.org/gsea/msigdb/cards/ABRAMSON_INTERACT_WITH_AIRE.html</t>
  </si>
  <si>
    <t>PID_HDAC_CLASSI_PATHWAY</t>
  </si>
  <si>
    <t>9611;5903;57459;7514;7528;2033;7024</t>
  </si>
  <si>
    <t>NCOR1;RANBP2;GATAD2B;XPO1;YY1;EP300;TFCP2</t>
  </si>
  <si>
    <t>http://www.broadinstitute.org/gsea/msigdb/cards/PID_HDAC_CLASSI_PATHWAY.html</t>
  </si>
  <si>
    <t>8672;23077;140710;673;6651;7428;3836;7155;4297;5781;3609;22976;10075;8880;10142;55249;79811;29994;26190;26523;8295;9919;10093;6789;7159;51742;54455;91748;6601;9188;440193;9969;9329</t>
  </si>
  <si>
    <t>EIF4G3;MYCBP2;SOGA1;BRAF;SON;VHL;KPNA1;TOP2B;KMT2A;PTPN11;ILF3;PAXIP1;HUWE1;FUBP1;AKAP9;YY1AP1;SLTM;BAZ2B;FBXW2;AGO1;TRRAP;SEC16A;ARPC4;STK4;TP53BP2;ARID4B;FBXO42;ELMSAN1;SMARCC2;DDX21;CCDC88C;MED13;GTF3C4</t>
  </si>
  <si>
    <t>http://www.broadinstitute.org/gsea/msigdb/cards/LOPEZ_MBD_TARGETS.html</t>
  </si>
  <si>
    <t>9044;55660;6872;6433;1778;9584;9880;9147;4763;2117;7024;11214;1859;8239;23013;11083;11176;10762;22828</t>
  </si>
  <si>
    <t>BTAF1;PRPF40A;TAF1;SFSWAP;DYNC1H1;RBM39;ZBTB39;NEMF;NF1;ETV3;TFCP2;AKAP13;DYRK1A;USP9X;SPEN;DIDO1;BAZ2A;NUP50;SCAF8</t>
  </si>
  <si>
    <t>http://www.broadinstitute.org/gsea/msigdb/cards/YAGI_AML_WITH_INV_16_TRANSLOCATION.html</t>
  </si>
  <si>
    <t>BOYLAN_MULTIPLE_MYELOMA_C_D_UP</t>
  </si>
  <si>
    <t>6659;9733;23244;4140;9221;23527;388228;27042;10985;53981</t>
  </si>
  <si>
    <t>SOX4;SART3;PDS5A;MARK3;NOLC1;ACAP2;SBK1;UTP25;GCN1;CPSF2</t>
  </si>
  <si>
    <t>http://www.broadinstitute.org/gsea/msigdb/cards/BOYLAN_MULTIPLE_MYELOMA_C_D_UP.html</t>
  </si>
  <si>
    <t>BIOCARTA_PITX2_PATHWAY</t>
  </si>
  <si>
    <t>8295;2932;2033;5469</t>
  </si>
  <si>
    <t>TRRAP;GSK3B;EP300;MED1</t>
  </si>
  <si>
    <t>http://www.broadinstitute.org/gsea/msigdb/cards/BIOCARTA_PITX2_PATHWAY.html</t>
  </si>
  <si>
    <t>NIKOLSKY_BREAST_CANCER_12Q24_AMPLICON</t>
  </si>
  <si>
    <t>2802;6433;57634;55743</t>
  </si>
  <si>
    <t>GOLGA3;SFSWAP;EP400;CHFR</t>
  </si>
  <si>
    <t>http://www.broadinstitute.org/gsea/msigdb/cards/NIKOLSKY_BREAST_CANCER_12Q24_AMPLICON.html</t>
  </si>
  <si>
    <t>SIG_PIP3_SIGNALING_IN_CARDIAC_MYOCTES</t>
  </si>
  <si>
    <t>5290;2475;6654;5062;7248;2932;9221</t>
  </si>
  <si>
    <t>PIK3CA;MTOR;SOS1;PAK2;TSC1;GSK3B;NOLC1</t>
  </si>
  <si>
    <t>http://www.broadinstitute.org/gsea/msigdb/cards/SIG_PIP3_SIGNALING_IN_CARDIAC_MYOCTES.html</t>
  </si>
  <si>
    <t>PHONG_TNF_RESPONSE_VIA_P38_COMPLETE</t>
  </si>
  <si>
    <t>4299;4297;6654;23248;55023;23522;22992;571;23350;7690;51742;6942;9904</t>
  </si>
  <si>
    <t>AFF1;KMT2A;SOS1;RPRD2;PHIP;KAT6B;KDM2A;BACH1;U2SURP;ZNF131;ARID4B;TCF20;RBM19</t>
  </si>
  <si>
    <t>http://www.broadinstitute.org/gsea/msigdb/cards/PHONG_TNF_RESPONSE_VIA_P38_COMPLETE.html</t>
  </si>
  <si>
    <t>RAO_BOUND_BY_SALL4</t>
  </si>
  <si>
    <t>51366;405;157769;1106;9919;285527;9221;84196;9887;55636;9874;7707;1788</t>
  </si>
  <si>
    <t>UBR5;ARNT;FAM91A1;CHD2;SEC16A;FRYL;NOLC1;USP48;SMG7;CHD7;TLK1;ZNF148;DNMT3A</t>
  </si>
  <si>
    <t>http://www.broadinstitute.org/gsea/msigdb/cards/RAO_BOUND_BY_SALL4.html</t>
  </si>
  <si>
    <t>RODRIGUES_THYROID_CARCINOMA_ANAPLASTIC_DN</t>
  </si>
  <si>
    <t>23328;23014;51366;6711;8925;22848;196528;26058;23389;64324;51322;23195;57498;51105;4763;11214;27332;463;9887;55342;56995;54014</t>
  </si>
  <si>
    <t>SASH1;FBXO21;UBR5;SPTBN1;HERC1;AAK1;ARID2;GIGYF2;MED13L;NSD1;WAC;MDN1;KIDINS220;PHF20L1;NF1;AKAP13;ZNF638;ZFHX3;SMG7;STRBP;TULP4;BRWD1</t>
  </si>
  <si>
    <t>http://www.broadinstitute.org/gsea/msigdb/cards/RODRIGUES_THYROID_CARCINOMA_ANAPLASTIC_DN.html</t>
  </si>
  <si>
    <t>NIKOLSKY_BREAST_CANCER_20Q11_AMPLICON</t>
  </si>
  <si>
    <t>9584;23054;51230;10137;11190</t>
  </si>
  <si>
    <t>RBM39;NCOA6;PHF20;RBM12;CEP250</t>
  </si>
  <si>
    <t>http://www.broadinstitute.org/gsea/msigdb/cards/NIKOLSKY_BREAST_CANCER_20Q11_AMPLICON.html</t>
  </si>
  <si>
    <t>PID_CDC42_PATHWAY</t>
  </si>
  <si>
    <t>673;5290;2475;5062;867;2932;10093</t>
  </si>
  <si>
    <t>BRAF;PIK3CA;MTOR;PAK2;CBL;GSK3B;ARPC4</t>
  </si>
  <si>
    <t>http://www.broadinstitute.org/gsea/msigdb/cards/PID_CDC42_PATHWAY.html</t>
  </si>
  <si>
    <t>NIKOLSKY_MUTATED_AND_AMPLIFIED_IN_BREAST_CANCER</t>
  </si>
  <si>
    <t>23054;57532;57634;10940;10142;5116;157680;55636</t>
  </si>
  <si>
    <t>NCOA6;NUFIP2;EP400;POP1;AKAP9;PCNT;VPS13B;CHD7</t>
  </si>
  <si>
    <t>http://www.broadinstitute.org/gsea/msigdb/cards/NIKOLSKY_MUTATED_AND_AMPLIFIED_IN_BREAST_CANCER.html</t>
  </si>
  <si>
    <t>MARTINEZ_RESPONSE_TO_TRABECTEDIN</t>
  </si>
  <si>
    <t>8672;8925;23505;5422;987;463</t>
  </si>
  <si>
    <t>EIF4G3;HERC1;TMEM131;POLA1;LRBA;ZFHX3</t>
  </si>
  <si>
    <t>http://www.broadinstitute.org/gsea/msigdb/cards/MARTINEZ_RESPONSE_TO_TRABECTEDIN.html</t>
  </si>
  <si>
    <t>DORSAM_HOXA9_TARGETS_DN</t>
  </si>
  <si>
    <t>55206;7175;7428;5930;8087</t>
  </si>
  <si>
    <t>SBNO1;TPR;VHL;RBBP6;FXR1</t>
  </si>
  <si>
    <t>http://www.broadinstitute.org/gsea/msigdb/cards/DORSAM_HOXA9_TARGETS_DN.html</t>
  </si>
  <si>
    <t>ACEVEDO_LIVER_CANCER_WITH_H3K9ME3_DN</t>
  </si>
  <si>
    <t>27340;54799;9857;57148;79691;375248;145508;55727;10765</t>
  </si>
  <si>
    <t>UTP20;MBTD1;CEP350;RALGAPB;QTRT2;ANKRD36;CEP128;BTBD7;KDM5B</t>
  </si>
  <si>
    <t>http://www.broadinstitute.org/gsea/msigdb/cards/ACEVEDO_LIVER_CANCER_WITH_H3K9ME3_DN.html</t>
  </si>
  <si>
    <t>REACTOME_TRANSCRIPTIONAL_REGULATION_OF_WHITE_ADIPOCYTE_DIFFERENTIATION</t>
  </si>
  <si>
    <t>9611;23054;23389;2033;5469;9439;8202</t>
  </si>
  <si>
    <t>NCOR1;NCOA6;MED13L;EP300;MED1;MED23;NCOA3</t>
  </si>
  <si>
    <t>http://www.broadinstitute.org/gsea/msigdb/cards/REACTOME_TRANSCRIPTIONAL_REGULATION_OF_WHITE_ADIPOCYTE_DIFFERENTIATION.html</t>
  </si>
  <si>
    <t>LUI_THYROID_CANCER_CLUSTER_1</t>
  </si>
  <si>
    <t>6659;23332;55023;9711;79572;79882</t>
  </si>
  <si>
    <t>SOX4;CLASP1;PHIP;RUBCN;ATP13A3;ZC3H14</t>
  </si>
  <si>
    <t>http://www.broadinstitute.org/gsea/msigdb/cards/LUI_THYROID_CANCER_CLUSTER_1.html</t>
  </si>
  <si>
    <t>WENDT_COHESIN_TARGETS_UP</t>
  </si>
  <si>
    <t>7155;221037;3842;55432;11011</t>
  </si>
  <si>
    <t>TOP2B;JMJD1C;TNPO1;YOD1;TLK2</t>
  </si>
  <si>
    <t>http://www.broadinstitute.org/gsea/msigdb/cards/WENDT_COHESIN_TARGETS_UP.html</t>
  </si>
  <si>
    <t>PID_E2F_PATHWAY</t>
  </si>
  <si>
    <t>8295;317;5422;7528;23468;2033;472</t>
  </si>
  <si>
    <t>TRRAP;APAF1;POLA1;YY1;CBX5;EP300;ATM</t>
  </si>
  <si>
    <t>http://www.broadinstitute.org/gsea/msigdb/cards/PID_E2F_PATHWAY.html</t>
  </si>
  <si>
    <t>DAIRKEE_TERT_TARGETS_DN</t>
  </si>
  <si>
    <t>23014;5451;9931;5048;55193;23358;23527;389072;23499</t>
  </si>
  <si>
    <t>FBXO21;POU2F1;HELZ;PAFAH1B1;PBRM1;USP24;ACAP2;PLEKHM3;MACF1</t>
  </si>
  <si>
    <t>http://www.broadinstitute.org/gsea/msigdb/cards/DAIRKEE_TERT_TARGETS_DN.html</t>
  </si>
  <si>
    <t>PID_ATM_PATHWAY</t>
  </si>
  <si>
    <t>7156;9126;4361;472;64421</t>
  </si>
  <si>
    <t>TOP3A;SMC3;MRE11;ATM;DCLRE1C</t>
  </si>
  <si>
    <t>http://www.broadinstitute.org/gsea/msigdb/cards/PID_ATM_PATHWAY.html</t>
  </si>
  <si>
    <t>5290;2475;5781;6654;8661</t>
  </si>
  <si>
    <t>PIK3CA;MTOR;PTPN11;SOS1;EIF3A</t>
  </si>
  <si>
    <t>WHITFIELD_CELL_CYCLE_G2</t>
  </si>
  <si>
    <t>3799;84986;9857;25836;171023;9774;23468;3930;55320;55632;25948</t>
  </si>
  <si>
    <t>KIF5B;ARHGAP19;CEP350;NIPBL;ASXL1;BCLAF1;CBX5;LBR;MIS18BP1;G2E3;KBTBD2</t>
  </si>
  <si>
    <t>http://www.broadinstitute.org/gsea/msigdb/cards/WHITFIELD_CELL_CYCLE_G2.html</t>
  </si>
  <si>
    <t>REACTOME_TRANSPORT_OF_MATURE_TRANSCRIPT_TO_CYTOPLASM</t>
  </si>
  <si>
    <t>http://www.broadinstitute.org/gsea/msigdb/cards/REACTOME_TRANSPORT_OF_MATURE_TRANSCRIPT_TO_CYTOPLASM.html</t>
  </si>
  <si>
    <t>PID_PI3KCI_AKT_PATHWAY</t>
  </si>
  <si>
    <t>2475;3836;5591;253260;2932</t>
  </si>
  <si>
    <t>MTOR;KPNA1;PRKDC;RICTOR;GSK3B</t>
  </si>
  <si>
    <t>http://www.broadinstitute.org/gsea/msigdb/cards/PID_PI3KCI_AKT_PATHWAY.html</t>
  </si>
  <si>
    <t>REACTOME_SIGNALING_BY_FGFR1_FUSION_MUTANTS</t>
  </si>
  <si>
    <t>5290;11052;11064;7750</t>
  </si>
  <si>
    <t>PIK3CA;CPSF6;CNTRL;ZMYM2</t>
  </si>
  <si>
    <t>http://www.broadinstitute.org/gsea/msigdb/cards/REACTOME_SIGNALING_BY_FGFR1_FUSION_MUTANTS.html</t>
  </si>
  <si>
    <t>REACTOME_SIGNALING_BY_FGFR_IN_DISEASE</t>
  </si>
  <si>
    <t>673;5290;2475;6654;11052;253260;11064;7750;867</t>
  </si>
  <si>
    <t>BRAF;PIK3CA;MTOR;SOS1;CPSF6;RICTOR;CNTRL;ZMYM2;CBL</t>
  </si>
  <si>
    <t>http://www.broadinstitute.org/gsea/msigdb/cards/REACTOME_SIGNALING_BY_FGFR_IN_DISEASE.html</t>
  </si>
  <si>
    <t>RODRIGUES_THYROID_CARCINOMA_DN</t>
  </si>
  <si>
    <t>26043;51773;7750;23405;27332;284058;56987</t>
  </si>
  <si>
    <t>UBXN7;RSF1;ZMYM2;DICER1;ZNF638;KANSL1;BBX</t>
  </si>
  <si>
    <t>http://www.broadinstitute.org/gsea/msigdb/cards/RODRIGUES_THYROID_CARCINOMA_DN.html</t>
  </si>
  <si>
    <t>10526;10236;8888;26057;673;2475;7182;5130;1660;6093;1778;9733;9869;23160;57697;84146;26190;23405;9919;285527;2876;867;23468;8087;8453;11011;8239;84248;80155;1788</t>
  </si>
  <si>
    <t>IPO8;HNRNPR;MCM3AP;ANKRD17;BRAF;MTOR;NR2C2;PCYT1A;DHX9;ROCK1;DYNC1H1;SART3;SETDB1;WDR43;FANCM;ZNF644;FBXW2;DICER1;SEC16A;FRYL;GPX1;CBL;CBX5;FXR1;CUL2;TLK2;USP9X;FYTTD1;NAA15;DNMT3A</t>
  </si>
  <si>
    <t>DOUGLAS_BMI1_TARGETS_DN</t>
  </si>
  <si>
    <t>5130;2802;84986;157769;165918;374354;64682;9693;317;23633;10277;84301;283578;92797;11083</t>
  </si>
  <si>
    <t>PCYT1A;GOLGA3;ARHGAP19;FAM91A1;RNF168;NHLRC2;ANAPC1;RAPGEF2;APAF1;KPNA6;UBE4B;DDI2;TMED8;HELB;DIDO1</t>
  </si>
  <si>
    <t>http://www.broadinstitute.org/gsea/msigdb/cards/DOUGLAS_BMI1_TARGETS_DN.html</t>
  </si>
  <si>
    <t>WANG_CLIM2_TARGETS_DN</t>
  </si>
  <si>
    <t>9611;55660;6711;23389;5930;80351;170506;23036;6249;10153;23181</t>
  </si>
  <si>
    <t>NCOR1;PRPF40A;SPTBN1;MED13L;RBBP6;TNKS2;DHX36;ZNF292;CLIP1;CEBPZ;DIP2A</t>
  </si>
  <si>
    <t>http://www.broadinstitute.org/gsea/msigdb/cards/WANG_CLIM2_TARGETS_DN.html</t>
  </si>
  <si>
    <t>KEGG_BASAL_TRANSCRIPTION_FACTORS</t>
  </si>
  <si>
    <t>6872;2969;6873;6874;2957</t>
  </si>
  <si>
    <t>TAF1;GTF2I;TAF2;TAF4;GTF2A1</t>
  </si>
  <si>
    <t>http://www.broadinstitute.org/gsea/msigdb/cards/KEGG_BASAL_TRANSCRIPTION_FACTORS.html</t>
  </si>
  <si>
    <t>REACTOME_BMAL1_CLOCK_NPAS2_ACTIVATES_CIRCADIAN_EXPRESSION</t>
  </si>
  <si>
    <t>http://www.broadinstitute.org/gsea/msigdb/cards/REACTOME_BMAL1_CLOCK_NPAS2_ACTIVATES_CIRCADIAN_EXPRESSION.html</t>
  </si>
  <si>
    <t>GINESTIER_BREAST_CANCER_ZNF217_AMPLIFIED_UP</t>
  </si>
  <si>
    <t>23451;405;9321;55728;9169;10735;56987</t>
  </si>
  <si>
    <t>SF3B1;ARNT;TRIP11;N4BP2;SCAF11;STAG2;BBX</t>
  </si>
  <si>
    <t>http://www.broadinstitute.org/gsea/msigdb/cards/GINESTIER_BREAST_CANCER_ZNF217_AMPLIFIED_UP.html</t>
  </si>
  <si>
    <t>SHEDDEN_LUNG_CANCER_POOR_SURVIVAL_A6</t>
  </si>
  <si>
    <t>7468;5591;23160;79832;55183;23063;80204;79677;10730;80218;54542;10128;23468;5471;9221;54520;57209;10198;55689</t>
  </si>
  <si>
    <t>NSD2;PRKDC;WDR43;QSER1;RIF1;WAPL;FBXO11;SMC6;YME1L1;NAA50;RC3H2;LRPPRC;CBX5;PPAT;NOLC1;CCDC93;ZNF248;MPHOSPH9;YEATS2</t>
  </si>
  <si>
    <t>http://www.broadinstitute.org/gsea/msigdb/cards/SHEDDEN_LUNG_CANCER_POOR_SURVIVAL_A6.html</t>
  </si>
  <si>
    <t>REACTOME_PPARA_ACTIVATES_GENE_EXPRESSION</t>
  </si>
  <si>
    <t>9611;23054;23389;2033;5469;4899;9439;8202</t>
  </si>
  <si>
    <t>NCOR1;NCOA6;MED13L;EP300;MED1;NRF1;MED23;NCOA3</t>
  </si>
  <si>
    <t>http://www.broadinstitute.org/gsea/msigdb/cards/REACTOME_PPARA_ACTIVATES_GENE_EXPRESSION.html</t>
  </si>
  <si>
    <t>23347;2475;9931;2969;6711;8899;253260;22976;3842;51773;23140;6249;1859;51742;91748;23299</t>
  </si>
  <si>
    <t>SMCHD1;MTOR;HELZ;GTF2I;SPTBN1;PRPF4B;RICTOR;PAXIP1;TNPO1;RSF1;ZZEF1;CLIP1;DYRK1A;ARID4B;ELMSAN1;BICD2</t>
  </si>
  <si>
    <t>LEE_AGING_NEOCORTEX_DN</t>
  </si>
  <si>
    <t>2475;5591;23001;23660;10914;84669;55342</t>
  </si>
  <si>
    <t>MTOR;PRKDC;WDFY3;ZKSCAN5;PAPOLA;USP32;STRBP</t>
  </si>
  <si>
    <t>http://www.broadinstitute.org/gsea/msigdb/cards/LEE_AGING_NEOCORTEX_DN.html</t>
  </si>
  <si>
    <t>GAL_LEUKEMIC_STEM_CELL_UP</t>
  </si>
  <si>
    <t>5591;4297;23352;23001;4763;10198;55094;26054;51592</t>
  </si>
  <si>
    <t>PRKDC;KMT2A;UBR4;WDFY3;NF1;MPHOSPH9;GPATCH1;SENP6;TRIM33</t>
  </si>
  <si>
    <t>http://www.broadinstitute.org/gsea/msigdb/cards/GAL_LEUKEMIC_STEM_CELL_UP.html</t>
  </si>
  <si>
    <t>10236;4976;9475;26046;23014;6651;5048;546;9972;5903;3609;1778;8925;11052;9202;23369;23032;10730;30849;57498;8295;10915;8867;23095;5116;6249;10128;7701;51182;8453;6596;9221;27042;23269;8239;23047;9874;23335</t>
  </si>
  <si>
    <t>HNRNPR;OPA1;ROCK2;LTN1;FBXO21;SON;PAFAH1B1;ATRX;NUP153;RANBP2;ILF3;DYNC1H1;HERC1;CPSF6;ZMYM4;PUM2;USP33;YME1L1;PIK3R4;KIDINS220;TRRAP;TCERG1;SYNJ1;KIF1B;PCNT;CLIP1;LRPPRC;ZNF142;HSPA14;CUL2;HLTF;NOLC1;UTP25;MGA;USP9X;PDS5B;TLK1;WDR7</t>
  </si>
  <si>
    <t>http://www.broadinstitute.org/gsea/msigdb/cards/BLALOCK_ALZHEIMERS_DISEASE_DN.html</t>
  </si>
  <si>
    <t>JI_RESPONSE_TO_FSH_DN</t>
  </si>
  <si>
    <t>3799;7155;5062;8899;10771;79646</t>
  </si>
  <si>
    <t>KIF5B;TOP2B;PAK2;PRPF4B;ZMYND11;PANK3</t>
  </si>
  <si>
    <t>http://www.broadinstitute.org/gsea/msigdb/cards/JI_RESPONSE_TO_FSH_DN.html</t>
  </si>
  <si>
    <t>405;9931;546;165918;987;6670;9329</t>
  </si>
  <si>
    <t>ARNT;HELZ;ATRX;RNF168;LRBA;SP3;GTF3C4</t>
  </si>
  <si>
    <t>REACTOME_GLUCOSE_TRANSPORT</t>
  </si>
  <si>
    <t>http://www.broadinstitute.org/gsea/msigdb/cards/REACTOME_GLUCOSE_TRANSPORT.html</t>
  </si>
  <si>
    <t>RATTENBACHER_BOUND_BY_CELF1</t>
  </si>
  <si>
    <t>9139;7637;6654;2802;11052;55183;10075;64324;64426;51755;23637;6801;285527;9113;80205;157922;25962;79612;56995</t>
  </si>
  <si>
    <t>CBFA2T2;ZNF84;SOS1;GOLGA3;CPSF6;RIF1;HUWE1;NSD1;SUDS3;CDK12;RABGAP1;STRN;FRYL;LATS1;CHD9;CAMSAP1;VIRMA;NAA16;TULP4</t>
  </si>
  <si>
    <t>http://www.broadinstitute.org/gsea/msigdb/cards/RATTENBACHER_BOUND_BY_CELF1.html</t>
  </si>
  <si>
    <t>PID_NOTCH_PATHWAY</t>
  </si>
  <si>
    <t>9611;867;7528;2033;57534;23013</t>
  </si>
  <si>
    <t>NCOR1;CBL;YY1;EP300;MIB1;SPEN</t>
  </si>
  <si>
    <t>http://www.broadinstitute.org/gsea/msigdb/cards/PID_NOTCH_PATHWAY.html</t>
  </si>
  <si>
    <t>BENPORATH_OCT4_TARGETS</t>
  </si>
  <si>
    <t>51366;158427;55183;23001;57492;55341;23660;122830;8505;27327;7994;6942;9329;55818</t>
  </si>
  <si>
    <t>UBR5;TSTD2;RIF1;WDFY3;ARID1B;LSG1;ZKSCAN5;NAA30;PARG;TNRC6A;KAT6A;TCF20;GTF3C4;KDM3A</t>
  </si>
  <si>
    <t>http://www.broadinstitute.org/gsea/msigdb/cards/BENPORATH_OCT4_TARGETS.html</t>
  </si>
  <si>
    <t>7175;6651;23019;10277;204851;54765;51592;23112</t>
  </si>
  <si>
    <t>TPR;SON;CNOT1;UBE4B;HIPK1;TRIM44;TRIM33;TNRC6B</t>
  </si>
  <si>
    <t>http://www.broadinstitute.org/gsea/msigdb/cards/WATANABE_RECTAL_CANCER_RADIOTHERAPY_RESPONSIVE_UP.html</t>
  </si>
  <si>
    <t>10236;9475;23328;9972;23054;4520;84986;9736;81609;55341;64397;59343;9126;23215;7514;10277;5471;51182;9897;8453;7159;9879;144348;56987;55705;84260;9188;10765;55689</t>
  </si>
  <si>
    <t>HNRNPR;ROCK2;SASH1;NUP153;NCOA6;MTF1;ARHGAP19;USP34;SNX27;LSG1;ZNF106;SENP2;SMC3;PRRC2C;XPO1;UBE4B;PPAT;HSPA14;WASHC5;CUL2;TP53BP2;DDX46;ZNF664;BBX;IPO9;TCHP;DDX21;KDM5B;YEATS2</t>
  </si>
  <si>
    <t>http://www.broadinstitute.org/gsea/msigdb/cards/ACEVEDO_LIVER_TUMOR_VS_NORMAL_ADJACENT_TISSUE_UP.html</t>
  </si>
  <si>
    <t>GENTILE_UV_RESPONSE_CLUSTER_D5</t>
  </si>
  <si>
    <t>200576;1859;3930;11011;8202</t>
  </si>
  <si>
    <t>PIKFYVE;DYRK1A;LBR;TLK2;NCOA3</t>
  </si>
  <si>
    <t>http://www.broadinstitute.org/gsea/msigdb/cards/GENTILE_UV_RESPONSE_CLUSTER_D5.html</t>
  </si>
  <si>
    <t>YUAN_ZNF143_PARTNERS</t>
  </si>
  <si>
    <t>57680;7528;155435;11083</t>
  </si>
  <si>
    <t>CHD8;YY1;RBM33;DIDO1</t>
  </si>
  <si>
    <t>http://www.broadinstitute.org/gsea/msigdb/cards/YUAN_ZNF143_PARTNERS.html</t>
  </si>
  <si>
    <t>5495;7155;4297;221037;54906;9736;7750;54454;472;8621;5586;9662;23047;55636</t>
  </si>
  <si>
    <t>PPM1B;TOP2B;KMT2A;JMJD1C;TASOR2;USP34;ZMYM2;ATAD2B;ATM;CDK13;PKN2;CEP135;PDS5B;CHD7</t>
  </si>
  <si>
    <t>LIU_SOX4_TARGETS_UP</t>
  </si>
  <si>
    <t>26046;546;6659;84986;23244;8315;26523;23405;9786</t>
  </si>
  <si>
    <t>LTN1;ATRX;SOX4;ARHGAP19;PDS5A;BRAP;AGO1;DICER1;KIAA0586</t>
  </si>
  <si>
    <t>http://www.broadinstitute.org/gsea/msigdb/cards/LIU_SOX4_TARGETS_UP.html</t>
  </si>
  <si>
    <t>5290;2475;5781;867;2033</t>
  </si>
  <si>
    <t>PIK3CA;MTOR;PTPN11;CBL;EP300</t>
  </si>
  <si>
    <t>MCBRYAN_PUBERTAL_BREAST_6_7WK_UP</t>
  </si>
  <si>
    <t>7175;1656;5927;7182;5130;57551;79677;10142;170506;55291;79646</t>
  </si>
  <si>
    <t>TPR;DDX6;KDM5A;NR2C2;PCYT1A;TAOK1;SMC6;AKAP9;DHX36;PPP6R3;PANK3</t>
  </si>
  <si>
    <t>http://www.broadinstitute.org/gsea/msigdb/cards/MCBRYAN_PUBERTAL_BREAST_6_7WK_UP.html</t>
  </si>
  <si>
    <t>REACTOME_MRNA_SPLICING</t>
  </si>
  <si>
    <t>10236;23451;3192;1660;51585;10914;10594;53981</t>
  </si>
  <si>
    <t>HNRNPR;SF3B1;HNRNPU;DHX9;PCF11;PAPOLA;PRPF8;CPSF2</t>
  </si>
  <si>
    <t>http://www.broadinstitute.org/gsea/msigdb/cards/REACTOME_MRNA_SPLICING.html</t>
  </si>
  <si>
    <t>BROWNE_HCMV_INFECTION_12HR_UP</t>
  </si>
  <si>
    <t>673;7587;4520;26098;2957;5471;9392;25909</t>
  </si>
  <si>
    <t>BRAF;ZNF37A;MTF1;EDRF1;GTF2A1;PPAT;TGFBRAP1;AHCTF1</t>
  </si>
  <si>
    <t>http://www.broadinstitute.org/gsea/msigdb/cards/BROWNE_HCMV_INFECTION_12HR_UP.html</t>
  </si>
  <si>
    <t>MULLIGHAN_NPM1_MUTATED_SIGNATURE_2_UP</t>
  </si>
  <si>
    <t>3840;25836;7750;4863;5586;9662;10735;23047;9874</t>
  </si>
  <si>
    <t>KPNA4;NIPBL;ZMYM2;NPAT;PKN2;CEP135;STAG2;PDS5B;TLK1</t>
  </si>
  <si>
    <t>http://www.broadinstitute.org/gsea/msigdb/cards/MULLIGHAN_NPM1_MUTATED_SIGNATURE_2_UP.html</t>
  </si>
  <si>
    <t>REACTOME_MICRORNA_MIRNA_BIOGENESIS</t>
  </si>
  <si>
    <t>26523;23405;192669;27161</t>
  </si>
  <si>
    <t>AGO1;DICER1;AGO3;AGO2</t>
  </si>
  <si>
    <t>http://www.broadinstitute.org/gsea/msigdb/cards/REACTOME_MICRORNA_MIRNA_BIOGENESIS.html</t>
  </si>
  <si>
    <t>RIZ_ERYTHROID_DIFFERENTIATION_HBZ</t>
  </si>
  <si>
    <t>5927;4299;6659;10914;51132</t>
  </si>
  <si>
    <t>KDM5A;AFF1;SOX4;PAPOLA;RLIM</t>
  </si>
  <si>
    <t>http://www.broadinstitute.org/gsea/msigdb/cards/RIZ_ERYTHROID_DIFFERENTIATION_HBZ.html</t>
  </si>
  <si>
    <t>REACTOME_DNA_REPAIR</t>
  </si>
  <si>
    <t>5980;5591;57697;4361;472;10714;2074;51455</t>
  </si>
  <si>
    <t>REV3L;PRKDC;FANCM;MRE11;ATM;POLD3;ERCC6;REV1</t>
  </si>
  <si>
    <t>http://www.broadinstitute.org/gsea/msigdb/cards/REACTOME_DNA_REPAIR.html</t>
  </si>
  <si>
    <t>27340;6711;8661;26098;23064;23522;7248;79572;54542;2844;9113;472;54832;6942;10762;23200;9904;8202</t>
  </si>
  <si>
    <t>UTP20;SPTBN1;EIF3A;EDRF1;SETX;KAT6B;TSC1;ATP13A3;RC3H2;RABGAP1;LATS1;ATM;VPS13C;TCF20;NUP50;ATP11B;RBM19;NCOA3</t>
  </si>
  <si>
    <t>GAUSSMANN_MLL_AF4_FUSION_TARGETS_C_UP</t>
  </si>
  <si>
    <t>9877;5290;8899;23248;10274;55023;55914;9147;23143;1788</t>
  </si>
  <si>
    <t>ZC3H11A;PIK3CA;PRPF4B;RPRD2;STAG1;PHIP;ERBIN;NEMF;LRCH1;DNMT3A</t>
  </si>
  <si>
    <t>http://www.broadinstitute.org/gsea/msigdb/cards/GAUSSMANN_MLL_AF4_FUSION_TARGETS_C_UP.html</t>
  </si>
  <si>
    <t>KEGG_ERBB_SIGNALING_PATHWAY</t>
  </si>
  <si>
    <t>673;5290;2475;6654;5062;867;2932</t>
  </si>
  <si>
    <t>BRAF;PIK3CA;MTOR;SOS1;PAK2;CBL;GSK3B</t>
  </si>
  <si>
    <t>http://www.broadinstitute.org/gsea/msigdb/cards/KEGG_ERBB_SIGNALING_PATHWAY.html</t>
  </si>
  <si>
    <t>REACTOME_SYNTHESIS_OF_PIPS_AT_THE_LATE_ENDOSOME_MEMBRANE</t>
  </si>
  <si>
    <t>30849;200576;5286</t>
  </si>
  <si>
    <t>PIK3R4;PIKFYVE;PIK3C2A</t>
  </si>
  <si>
    <t>http://www.broadinstitute.org/gsea/msigdb/cards/REACTOME_SYNTHESIS_OF_PIPS_AT_THE_LATE_ENDOSOME_MEMBRANE.html</t>
  </si>
  <si>
    <t>MYLLYKANGAS_AMPLIFICATION_HOT_SPOT_23</t>
  </si>
  <si>
    <t>1656;4297;867;472</t>
  </si>
  <si>
    <t>DDX6;KMT2A;CBL;ATM</t>
  </si>
  <si>
    <t>http://www.broadinstitute.org/gsea/msigdb/cards/MYLLYKANGAS_AMPLIFICATION_HOT_SPOT_23.html</t>
  </si>
  <si>
    <t>TIEN_INTESTINE_PROBIOTICS_2HR_DN</t>
  </si>
  <si>
    <t>4976;6654;221037;89910;55023;9693;10128</t>
  </si>
  <si>
    <t>OPA1;SOS1;JMJD1C;UBE3B;PHIP;RAPGEF2;LRPPRC</t>
  </si>
  <si>
    <t>http://www.broadinstitute.org/gsea/msigdb/cards/TIEN_INTESTINE_PROBIOTICS_2HR_DN.html</t>
  </si>
  <si>
    <t>ZHANG_TLX_TARGETS_DN</t>
  </si>
  <si>
    <t>5981;51248;55183;79677;5422;5471;472</t>
  </si>
  <si>
    <t>RFC1;PDZD11;RIF1;SMC6;POLA1;PPAT;ATM</t>
  </si>
  <si>
    <t>http://www.broadinstitute.org/gsea/msigdb/cards/ZHANG_TLX_TARGETS_DN.html</t>
  </si>
  <si>
    <t>3840;26043;5290;7155;30849;51322;29072;80218;55341;79572;56252;8087;10093;64854;6596;56987;56652;10765;7707;23200</t>
  </si>
  <si>
    <t>KPNA4;UBXN7;PIK3CA;TOP2B;PIK3R4;WAC;SETD2;NAA50;LSG1;ATP13A3;YLPM1;FXR1;ARPC4;USP46;HLTF;BBX;TWNK;KDM5B;ZNF148;ATP11B</t>
  </si>
  <si>
    <t>http://www.broadinstitute.org/gsea/msigdb/cards/ONKEN_UVEAL_MELANOMA_DN.html</t>
  </si>
  <si>
    <t>MOHANKUMAR_HOXA1_TARGETS_UP</t>
  </si>
  <si>
    <t>1656;9931;2969;5591;3609;23248;23389;23293;81609;10730;80218;57680;7514;51182;9221;204851;9887</t>
  </si>
  <si>
    <t>DDX6;HELZ;GTF2I;PRKDC;ILF3;RPRD2;MED13L;SMG6;SNX27;YME1L1;NAA50;CHD8;XPO1;HSPA14;NOLC1;HIPK1;SMG7</t>
  </si>
  <si>
    <t>http://www.broadinstitute.org/gsea/msigdb/cards/MOHANKUMAR_HOXA1_TARGETS_UP.html</t>
  </si>
  <si>
    <t>DOUGLAS_BMI1_TARGETS_UP</t>
  </si>
  <si>
    <t>55206;1656;3836;4297;1660;3609;7705;84726;23389;57492;81609;79572;55870;57472;10714;26065;27327;11083;79646;27161;23499</t>
  </si>
  <si>
    <t>SBNO1;DDX6;KPNA1;KMT2A;DHX9;ILF3;ZNF146;PRRC2B;MED13L;ARID1B;SNX27;ATP13A3;ASH1L;CNOT6;POLD3;LSM14A;TNRC6A;DIDO1;PANK3;AGO2;MACF1</t>
  </si>
  <si>
    <t>http://www.broadinstitute.org/gsea/msigdb/cards/DOUGLAS_BMI1_TARGETS_UP.html</t>
  </si>
  <si>
    <t>REACTOME_REGULATION_OF_HYPOXIA_INDUCIBLE_FACTOR_HIF_BY_OXYGEN</t>
  </si>
  <si>
    <t>405;7428;2033;8453</t>
  </si>
  <si>
    <t>ARNT;VHL;EP300;CUL2</t>
  </si>
  <si>
    <t>http://www.broadinstitute.org/gsea/msigdb/cards/REACTOME_REGULATION_OF_HYPOXIA_INDUCIBLE_FACTOR_HIF_BY_OXYGEN.html</t>
  </si>
  <si>
    <t>IIZUKA_LIVER_CANCER_PROGRESSION_G1_G2_DN</t>
  </si>
  <si>
    <t>55660;23405;6670;23198</t>
  </si>
  <si>
    <t>PRPF40A;DICER1;SP3;PSME4</t>
  </si>
  <si>
    <t>http://www.broadinstitute.org/gsea/msigdb/cards/IIZUKA_LIVER_CANCER_PROGRESSION_G1_G2_DN.html</t>
  </si>
  <si>
    <t>PID_ERBB2_ERBB3_PATHWAY</t>
  </si>
  <si>
    <t>5290;2475;5781;6654;85440</t>
  </si>
  <si>
    <t>PIK3CA;MTOR;PTPN11;SOS1;DOCK7</t>
  </si>
  <si>
    <t>http://www.broadinstitute.org/gsea/msigdb/cards/PID_ERBB2_ERBB3_PATHWAY.html</t>
  </si>
  <si>
    <t>REACTOME_SIGNALING_BY_FGFR_MUTANTS</t>
  </si>
  <si>
    <t>5290;6654;11052;11064;7750</t>
  </si>
  <si>
    <t>PIK3CA;SOS1;CPSF6;CNTRL;ZMYM2</t>
  </si>
  <si>
    <t>http://www.broadinstitute.org/gsea/msigdb/cards/REACTOME_SIGNALING_BY_FGFR_MUTANTS.html</t>
  </si>
  <si>
    <t>LUI_THYROID_CANCER_PAX8_PPARG_UP</t>
  </si>
  <si>
    <t>6659;23332;9711;79572;79882</t>
  </si>
  <si>
    <t>SOX4;CLASP1;RUBCN;ATP13A3;ZC3H14</t>
  </si>
  <si>
    <t>http://www.broadinstitute.org/gsea/msigdb/cards/LUI_THYROID_CANCER_PAX8_PPARG_UP.html</t>
  </si>
  <si>
    <t>PARK_HSC_MARKERS</t>
  </si>
  <si>
    <t>26057;5930;55870;23468;11011</t>
  </si>
  <si>
    <t>ANKRD17;RBBP6;ASH1L;CBX5;TLK2</t>
  </si>
  <si>
    <t>http://www.broadinstitute.org/gsea/msigdb/cards/PARK_HSC_MARKERS.html</t>
  </si>
  <si>
    <t>UDAYAKUMAR_MED1_TARGETS_DN</t>
  </si>
  <si>
    <t>6433;8925;84726;8880;7750;23140;5116;1859;22930;157922;11108;55818</t>
  </si>
  <si>
    <t>SFSWAP;HERC1;PRRC2B;FUBP1;ZMYM2;ZZEF1;PCNT;DYRK1A;RAB3GAP1;CAMSAP1;PRDM4;KDM3A</t>
  </si>
  <si>
    <t>http://www.broadinstitute.org/gsea/msigdb/cards/UDAYAKUMAR_MED1_TARGETS_DN.html</t>
  </si>
  <si>
    <t>BONCI_TARGETS_OF_MIR15A_AND_MIR16_1</t>
  </si>
  <si>
    <t>5048;2186;10277;55605;9874;11108;23499</t>
  </si>
  <si>
    <t>PAFAH1B1;BPTF;UBE4B;KIF21A;TLK1;PRDM4;MACF1</t>
  </si>
  <si>
    <t>http://www.broadinstitute.org/gsea/msigdb/cards/BONCI_TARGETS_OF_MIR15A_AND_MIR16_1.html</t>
  </si>
  <si>
    <t>PURBEY_TARGETS_OF_CTBP1_NOT_SATB1_UP</t>
  </si>
  <si>
    <t>673;3836;6659;2802;9869;10274;9711;59343;51479;57498;6874;4140;7159;79598;389677</t>
  </si>
  <si>
    <t>BRAF;KPNA1;SOX4;GOLGA3;SETDB1;STAG1;RUBCN;SENP2;ANKFY1;KIDINS220;TAF4;MARK3;TP53BP2;CEP97;RBM12B</t>
  </si>
  <si>
    <t>http://www.broadinstitute.org/gsea/msigdb/cards/PURBEY_TARGETS_OF_CTBP1_NOT_SATB1_UP.html</t>
  </si>
  <si>
    <t>9931;22848;23389;23001;23522;23505;7750;7109;23013;643314</t>
  </si>
  <si>
    <t>HELZ;AAK1;MED13L;WDFY3;KAT6B;TMEM131;ZMYM2;TRAPPC10;SPEN;MACF1</t>
  </si>
  <si>
    <t>IVANOVA_HEMATOPOIESIS_EARLY_PROGENITOR</t>
  </si>
  <si>
    <t>55660;2969;5591;1660;3609;23332;57679;10142;23405;9678;56252;8453;9221;64864;55320;55605;26009;84248;9904;4216</t>
  </si>
  <si>
    <t>PRPF40A;GTF2I;PRKDC;DHX9;ILF3;CLASP1;ALS2;AKAP9;DICER1;PHF14;YLPM1;CUL2;NOLC1;RFX7;MIS18BP1;KIF21A;AC118549.1;FYTTD1;RBM19;MAP3K4</t>
  </si>
  <si>
    <t>http://www.broadinstitute.org/gsea/msigdb/cards/IVANOVA_HEMATOPOIESIS_EARLY_PROGENITOR.html</t>
  </si>
  <si>
    <t>GINESTIER_BREAST_CANCER_20Q13_AMPLIFICATION_UP</t>
  </si>
  <si>
    <t>7175;6872;405;3799;9584;10735;7707;8202</t>
  </si>
  <si>
    <t>TPR;TAF1;ARNT;KIF5B;RBM39;STAG2;ZNF148;NCOA3</t>
  </si>
  <si>
    <t>http://www.broadinstitute.org/gsea/msigdb/cards/GINESTIER_BREAST_CANCER_20Q13_AMPLIFICATION_UP.html</t>
  </si>
  <si>
    <t>MULLIGHAN_NPM1_MUTATED_SIGNATURE_1_UP</t>
  </si>
  <si>
    <t>3840;546;5781;25836;7750;2844;4361;6670;472;4863;5586;9662;23047</t>
  </si>
  <si>
    <t>KPNA4;ATRX;PTPN11;NIPBL;ZMYM2;RABGAP1;MRE11;SP3;ATM;NPAT;PKN2;CEP135;PDS5B</t>
  </si>
  <si>
    <t>http://www.broadinstitute.org/gsea/msigdb/cards/MULLIGHAN_NPM1_MUTATED_SIGNATURE_1_UP.html</t>
  </si>
  <si>
    <t>SIG_CHEMOTAXIS</t>
  </si>
  <si>
    <t>9826;9475;5290;5062;6093</t>
  </si>
  <si>
    <t>ARHGEF11;ROCK2;PIK3CA;PAK2;ROCK1</t>
  </si>
  <si>
    <t>http://www.broadinstitute.org/gsea/msigdb/cards/SIG_CHEMOTAXIS.html</t>
  </si>
  <si>
    <t>REACTOME_TRANSCRIPTION</t>
  </si>
  <si>
    <t>11128;5451;6872;6874;905;51585;10914;2957;2074;53981;9329</t>
  </si>
  <si>
    <t>POLR3A;POU2F1;TAF1;TAF4;CCNT2;PCF11;PAPOLA;GTF2A1;ERCC6;CPSF2;GTF3C4</t>
  </si>
  <si>
    <t>http://www.broadinstitute.org/gsea/msigdb/cards/REACTOME_TRANSCRIPTION.html</t>
  </si>
  <si>
    <t>MILI_PSEUDOPODIA_CHEMOTAXIS_DN</t>
  </si>
  <si>
    <t>7586;6651;6433;3609;9584;255967;253260;9774;9870;23140;905;2932;55291;22850;25909;10985;11083;9967</t>
  </si>
  <si>
    <t>ZKSCAN1;SON;SFSWAP;ILF3;RBM39;PAN3;RICTOR;BCLAF1;AREL1;ZZEF1;CCNT2;GSK3B;PPP6R3;ADNP2;AHCTF1;GCN1;DIDO1;THRAP3</t>
  </si>
  <si>
    <t>http://www.broadinstitute.org/gsea/msigdb/cards/MILI_PSEUDOPODIA_CHEMOTAXIS_DN.html</t>
  </si>
  <si>
    <t>BILD_E2F3_ONCOGENIC_SIGNATURE</t>
  </si>
  <si>
    <t>9631;23014;23195;6874;9147;11168;388228;84131;254887;57531;55636;51696</t>
  </si>
  <si>
    <t>NUP155;FBXO21;MDN1;TAF4;NEMF;PSIP1;SBK1;CEP78;ZDHHC23;HACE1;CHD7;HECA</t>
  </si>
  <si>
    <t>http://www.broadinstitute.org/gsea/msigdb/cards/BILD_E2F3_ONCOGENIC_SIGNATURE.html</t>
  </si>
  <si>
    <t>PID_MTOR_4PATHWAY</t>
  </si>
  <si>
    <t>673;2475;253260;7248;7528;6249</t>
  </si>
  <si>
    <t>BRAF;MTOR;RICTOR;TSC1;YY1;CLIP1</t>
  </si>
  <si>
    <t>http://www.broadinstitute.org/gsea/msigdb/cards/PID_MTOR_4PATHWAY.html</t>
  </si>
  <si>
    <t>PID_VEGFR1_2_PATHWAY</t>
  </si>
  <si>
    <t>673;5290;5781;5062;6093;867</t>
  </si>
  <si>
    <t>BRAF;PIK3CA;PTPN11;PAK2;ROCK1;CBL</t>
  </si>
  <si>
    <t>http://www.broadinstitute.org/gsea/msigdb/cards/PID_VEGFR1_2_PATHWAY.html</t>
  </si>
  <si>
    <t>REACTOME_CHROMOSOME_MAINTENANCE</t>
  </si>
  <si>
    <t>10274;51773;9126;5422;10714;55320;10735;11083</t>
  </si>
  <si>
    <t>STAG1;RSF1;SMC3;POLA1;POLD3;MIS18BP1;STAG2;DIDO1</t>
  </si>
  <si>
    <t>http://www.broadinstitute.org/gsea/msigdb/cards/REACTOME_CHROMOSOME_MAINTENANCE.html</t>
  </si>
  <si>
    <t>REACTOME_SYNTHESIS_OF_PIPS_AT_THE_EARLY_ENDOSOME_MEMBRANE</t>
  </si>
  <si>
    <t>http://www.broadinstitute.org/gsea/msigdb/cards/REACTOME_SYNTHESIS_OF_PIPS_AT_THE_EARLY_ENDOSOME_MEMBRANE.html</t>
  </si>
  <si>
    <t>BOYLAN_MULTIPLE_MYELOMA_C_UP</t>
  </si>
  <si>
    <t>2475;11052;6249;55127;51132</t>
  </si>
  <si>
    <t>MTOR;CPSF6;CLIP1;HEATR1;RLIM</t>
  </si>
  <si>
    <t>http://www.broadinstitute.org/gsea/msigdb/cards/BOYLAN_MULTIPLE_MYELOMA_C_UP.html</t>
  </si>
  <si>
    <t>PID_HES_HEY_PATHWAY</t>
  </si>
  <si>
    <t>9611;405;7528;2033;23013</t>
  </si>
  <si>
    <t>NCOR1;ARNT;YY1;EP300;SPEN</t>
  </si>
  <si>
    <t>http://www.broadinstitute.org/gsea/msigdb/cards/PID_HES_HEY_PATHWAY.html</t>
  </si>
  <si>
    <t>REACTOME_PI_METABOLISM</t>
  </si>
  <si>
    <t>5290;30849;200576;5286;8867</t>
  </si>
  <si>
    <t>PIK3CA;PIK3R4;PIKFYVE;PIK3C2A;SYNJ1</t>
  </si>
  <si>
    <t>http://www.broadinstitute.org/gsea/msigdb/cards/REACTOME_PI_METABOLISM.html</t>
  </si>
  <si>
    <t>REACTOME_DEADENYLATION_DEPENDENT_MRNA_DECAY</t>
  </si>
  <si>
    <t>1656;57472;54464;55802;4848</t>
  </si>
  <si>
    <t>DDX6;CNOT6;XRN1;DCP1A;AC092881.1</t>
  </si>
  <si>
    <t>http://www.broadinstitute.org/gsea/msigdb/cards/REACTOME_DEADENYLATION_DEPENDENT_MRNA_DECAY.html</t>
  </si>
  <si>
    <t>BYSTRYKH_HEMATOPOIESIS_STEM_CELL_AND_BRAIN_QTL_TRANS</t>
  </si>
  <si>
    <t>55206;8888;9320;9733;9202;64324;57680;4763;122830;2140</t>
  </si>
  <si>
    <t>SBNO1;MCM3AP;TRIP12;SART3;ZMYM4;NSD1;CHD8;NF1;NAA30;EYA3</t>
  </si>
  <si>
    <t>http://www.broadinstitute.org/gsea/msigdb/cards/BYSTRYKH_HEMATOPOIESIS_STEM_CELL_AND_BRAIN_QTL_TRANS.html</t>
  </si>
  <si>
    <t>SHEPARD_CRUSH_AND_BURN_MUTANT_DN</t>
  </si>
  <si>
    <t>9790;8880;10142;85459;57690;51105;9698;2804;57534;55818</t>
  </si>
  <si>
    <t>BMS1;FUBP1;AKAP9;CEP295;TNRC6C;PHF20L1;PUM1;GOLGB1;MIB1;KDM3A</t>
  </si>
  <si>
    <t>http://www.broadinstitute.org/gsea/msigdb/cards/SHEPARD_CRUSH_AND_BURN_MUTANT_DN.html</t>
  </si>
  <si>
    <t>FLECHNER_BIOPSY_KIDNEY_TRANSPLANT_REJECTED_VS_OK_DN</t>
  </si>
  <si>
    <t>55660;5495;23014;5048;10771;84162;3842;23049;9169;5286;10299;10128;6596;9698;79882;8505;204851;56987;54765;7707</t>
  </si>
  <si>
    <t>PRPF40A;PPM1B;FBXO21;PAFAH1B1;ZMYND11;KIAA1109;TNPO1;SMG1;SCAF11;PIK3C2A;MARCH6;LRPPRC;HLTF;PUM1;ZC3H14;PARG;HIPK1;BBX;TRIM44;ZNF148</t>
  </si>
  <si>
    <t>http://www.broadinstitute.org/gsea/msigdb/cards/FLECHNER_BIOPSY_KIDNEY_TRANSPLANT_REJECTED_VS_OK_DN.html</t>
  </si>
  <si>
    <t>FAELT_B_CLL_WITH_VH_REARRANGEMENTS_DN</t>
  </si>
  <si>
    <t>3192;10771;7514;7528;157680</t>
  </si>
  <si>
    <t>HNRNPU;ZMYND11;XPO1;YY1;VPS13B</t>
  </si>
  <si>
    <t>http://www.broadinstitute.org/gsea/msigdb/cards/FAELT_B_CLL_WITH_VH_REARRANGEMENTS_DN.html</t>
  </si>
  <si>
    <t>23451;3799;4297;91746;6311;57680;7690;9439</t>
  </si>
  <si>
    <t>SF3B1;KIF5B;KMT2A;YTHDC1;ATXN2;CHD8;ZNF131;MED23</t>
  </si>
  <si>
    <t>HAN_SATB1_TARGETS_UP</t>
  </si>
  <si>
    <t>55206;9611;6659;9135;79832;55023;23185;57634;7574;10914;23392;27042;55596;10985;7994;26054</t>
  </si>
  <si>
    <t>SBNO1;NCOR1;SOX4;RABEP1;QSER1;PHIP;LARP4B;EP400;ZNF26;PAPOLA;ECPAS;UTP25;ZCCHC8;GCN1;KAT6A;SENP6</t>
  </si>
  <si>
    <t>http://www.broadinstitute.org/gsea/msigdb/cards/HAN_SATB1_TARGETS_UP.html</t>
  </si>
  <si>
    <t>TAKAO_RESPONSE_TO_UVB_RADIATION_DN</t>
  </si>
  <si>
    <t>9869;23369;9711;6311;10093;9221;5586</t>
  </si>
  <si>
    <t>SETDB1;PUM2;RUBCN;ATXN2;ARPC4;NOLC1;PKN2</t>
  </si>
  <si>
    <t>http://www.broadinstitute.org/gsea/msigdb/cards/TAKAO_RESPONSE_TO_UVB_RADIATION_DN.html</t>
  </si>
  <si>
    <t>8899;26130;8867;5469;54520;22850;204851;9887;26019</t>
  </si>
  <si>
    <t>PRPF4B;GAPVD1;SYNJ1;MED1;CCDC93;ADNP2;HIPK1;SMG7;UPF2</t>
  </si>
  <si>
    <t>REACTOME_METABOLISM_OF_NON_CODING_RNA</t>
  </si>
  <si>
    <t>http://www.broadinstitute.org/gsea/msigdb/cards/REACTOME_METABOLISM_OF_NON_CODING_RNA.html</t>
  </si>
  <si>
    <t>STAMBOLSKY_TARGETS_OF_MUTATED_TP53_UP</t>
  </si>
  <si>
    <t>3192;55628;8621;27332;80155</t>
  </si>
  <si>
    <t>HNRNPU;ZNF407;CDK13;ZNF638;NAA15</t>
  </si>
  <si>
    <t>http://www.broadinstitute.org/gsea/msigdb/cards/STAMBOLSKY_TARGETS_OF_MUTATED_TP53_UP.html</t>
  </si>
  <si>
    <t>PID_REELIN_PATHWAY</t>
  </si>
  <si>
    <t>5290;5048;867;2932</t>
  </si>
  <si>
    <t>PIK3CA;PAFAH1B1;CBL;GSK3B</t>
  </si>
  <si>
    <t>http://www.broadinstitute.org/gsea/msigdb/cards/PID_REELIN_PATHWAY.html</t>
  </si>
  <si>
    <t>MANALO_HYPOXIA_DN</t>
  </si>
  <si>
    <t>27340;3192;3609;7156;79572;5471;9816;9221;23198;54455;10198;55127;9188</t>
  </si>
  <si>
    <t>UTP20;HNRNPU;ILF3;TOP3A;ATP13A3;PPAT;URB2;NOLC1;PSME4;FBXO42;MPHOSPH9;HEATR1;DDX21</t>
  </si>
  <si>
    <t>http://www.broadinstitute.org/gsea/msigdb/cards/MANALO_HYPOXIA_DN.html</t>
  </si>
  <si>
    <t>LIN_MELANOMA_COPY_NUMBER_UP</t>
  </si>
  <si>
    <t>673;405;8899;9869;23126;2033</t>
  </si>
  <si>
    <t>BRAF;ARNT;PRPF4B;SETDB1;POGZ;EP300</t>
  </si>
  <si>
    <t>http://www.broadinstitute.org/gsea/msigdb/cards/LIN_MELANOMA_COPY_NUMBER_UP.html</t>
  </si>
  <si>
    <t>KEGG_CELL_CYCLE</t>
  </si>
  <si>
    <t>5591;10274;64682;9126;2932;2033;472;10735</t>
  </si>
  <si>
    <t>PRKDC;STAG1;ANAPC1;SMC3;GSK3B;EP300;ATM;STAG2</t>
  </si>
  <si>
    <t>http://www.broadinstitute.org/gsea/msigdb/cards/KEGG_CELL_CYCLE.html</t>
  </si>
  <si>
    <t>BENPORATH_ES_CORE_NINE_CORRELATED</t>
  </si>
  <si>
    <t>7468;6659;3609;6873;3096;6942;55689</t>
  </si>
  <si>
    <t>NSD2;SOX4;ILF3;TAF2;HIVEP1;TCF20;YEATS2</t>
  </si>
  <si>
    <t>http://www.broadinstitute.org/gsea/msigdb/cards/BENPORATH_ES_CORE_NINE_CORRELATED.html</t>
  </si>
  <si>
    <t>9826;9475;5290;6654;6093;11214</t>
  </si>
  <si>
    <t>ARHGEF11;ROCK2;PIK3CA;SOS1;ROCK1;AKAP13</t>
  </si>
  <si>
    <t>RAY_TUMORIGENESIS_BY_ERBB2_CDC25A_DN</t>
  </si>
  <si>
    <t>8672;5495;9584;10277;9698;5586;57534;9923;8202</t>
  </si>
  <si>
    <t>EIF4G3;PPM1B;RBM39;UBE4B;PUM1;PKN2;MIB1;ZBTB40;NCOA3</t>
  </si>
  <si>
    <t>http://www.broadinstitute.org/gsea/msigdb/cards/RAY_TUMORIGENESIS_BY_ERBB2_CDC25A_DN.html</t>
  </si>
  <si>
    <t>673;5290;5781;6654;9712;867;4301;10093</t>
  </si>
  <si>
    <t>BRAF;PIK3CA;PTPN11;SOS1;USP6NL;CBL;AFDN;ARPC4</t>
  </si>
  <si>
    <t>RAO_BOUND_BY_SALL4_ISOFORM_B</t>
  </si>
  <si>
    <t>9611;2969;6711;54799;55183;23063;171023;7840;55023;80311;59343;54764;10299;23468;6670;3930;122830;23198;55632</t>
  </si>
  <si>
    <t>NCOR1;GTF2I;SPTBN1;MBTD1;RIF1;WAPL;ASXL1;ALMS1;PHIP;KLHL15;SENP2;ZRANB1;MARCH6;CBX5;SP3;LBR;NAA30;PSME4;G2E3</t>
  </si>
  <si>
    <t>http://www.broadinstitute.org/gsea/msigdb/cards/RAO_BOUND_BY_SALL4_ISOFORM_B.html</t>
  </si>
  <si>
    <t>REACTOME_SIGNALING_BY_FGFR1_MUTANTS</t>
  </si>
  <si>
    <t>http://www.broadinstitute.org/gsea/msigdb/cards/REACTOME_SIGNALING_BY_FGFR1_MUTANTS.html</t>
  </si>
  <si>
    <t>TIEN_INTESTINE_PROBIOTICS_24HR_UP</t>
  </si>
  <si>
    <t>4976;5048;7155;1660;11052;3842;30849;79572;10137;9774;23405;9693;9870;10128;51182;8453;9879;56652;79646;4216</t>
  </si>
  <si>
    <t>OPA1;PAFAH1B1;TOP2B;DHX9;CPSF6;TNPO1;PIK3R4;ATP13A3;RBM12;BCLAF1;DICER1;RAPGEF2;AREL1;LRPPRC;HSPA14;CUL2;DDX46;TWNK;PANK3;MAP3K4</t>
  </si>
  <si>
    <t>http://www.broadinstitute.org/gsea/msigdb/cards/TIEN_INTESTINE_PROBIOTICS_24HR_UP.html</t>
  </si>
  <si>
    <t>BROWNE_HCMV_INFECTION_12HR_DN</t>
  </si>
  <si>
    <t>9631;51366;5048;171023;10940;23350;157680</t>
  </si>
  <si>
    <t>NUP155;UBR5;PAFAH1B1;ASXL1;POP1;U2SURP;VPS13B</t>
  </si>
  <si>
    <t>http://www.broadinstitute.org/gsea/msigdb/cards/BROWNE_HCMV_INFECTION_12HR_DN.html</t>
  </si>
  <si>
    <t>KYNG_WERNER_SYNDROM_AND_NORMAL_AGING_DN</t>
  </si>
  <si>
    <t>3799;9793;255967;9736;23389;9712;23131;987;8453;11176;23112</t>
  </si>
  <si>
    <t>KIF5B;CKAP5;PAN3;USP34;MED13L;USP6NL;GPATCH8;LRBA;CUL2;BAZ2A;TNRC6B</t>
  </si>
  <si>
    <t>http://www.broadinstitute.org/gsea/msigdb/cards/KYNG_WERNER_SYNDROM_AND_NORMAL_AGING_DN.html</t>
  </si>
  <si>
    <t>3840;8672;5495;9631;7175;3799;7428;5290;2475;9972;5903;3836;9632;6654;5062;1778;9320;23352;253260;89910;10075;30849;64682;867;7174;2033;8453;23198;10762</t>
  </si>
  <si>
    <t>KPNA4;EIF4G3;PPM1B;NUP155;TPR;KIF5B;VHL;PIK3CA;MTOR;NUP153;RANBP2;KPNA1;SEC24C;SOS1;PAK2;DYNC1H1;TRIP12;UBR4;RICTOR;UBE3B;HUWE1;PIK3R4;ANAPC1;CBL;TPP2;EP300;CUL2;PSME4;NUP50</t>
  </si>
  <si>
    <t>26057;3799;5130;9733;84162;65117;23369;10730;55870;11214;27332;26065;84893;10985;8239;25831;9967</t>
  </si>
  <si>
    <t>ANKRD17;KIF5B;PCYT1A;SART3;KIAA1109;RSRC2;PUM2;YME1L1;ASH1L;AKAP13;ZNF638;LSM14A;FBH1;GCN1;USP9X;HECTD1;THRAP3</t>
  </si>
  <si>
    <t>http://www.broadinstitute.org/gsea/msigdb/cards/ROME_INSULIN_TARGETS_IN_MUSCLE_UP.html</t>
  </si>
  <si>
    <t>DER_IFN_BETA_RESPONSE_UP</t>
  </si>
  <si>
    <t>5781;8661;8880;9774;2005;7109;9188</t>
  </si>
  <si>
    <t>PTPN11;EIF3A;FUBP1;BCLAF1;ELK4;TRAPPC10;DDX21</t>
  </si>
  <si>
    <t>http://www.broadinstitute.org/gsea/msigdb/cards/DER_IFN_BETA_RESPONSE_UP.html</t>
  </si>
  <si>
    <t>KEGG_NON_HOMOLOGOUS_END_JOINING</t>
  </si>
  <si>
    <t>5591;4361;64421</t>
  </si>
  <si>
    <t>PRKDC;MRE11;DCLRE1C</t>
  </si>
  <si>
    <t>http://www.broadinstitute.org/gsea/msigdb/cards/KEGG_NON_HOMOLOGOUS_END_JOINING.html</t>
  </si>
  <si>
    <t>REACTOME_PROCESSING_OF_INTRONLESS_PRE_MRNAS</t>
  </si>
  <si>
    <t>51585;10914;53981</t>
  </si>
  <si>
    <t>PCF11;PAPOLA;CPSF2</t>
  </si>
  <si>
    <t>http://www.broadinstitute.org/gsea/msigdb/cards/REACTOME_PROCESSING_OF_INTRONLESS_PRE_MRNAS.html</t>
  </si>
  <si>
    <t>9611;405;9931;5930;165918;23522;987;6670;22847;8239;9329</t>
  </si>
  <si>
    <t>NCOR1;ARNT;HELZ;RBBP6;RNF168;KAT6B;LRBA;SP3;ZNF507;USP9X;GTF3C4</t>
  </si>
  <si>
    <t>3609;23054;10771;4763;10714;9874</t>
  </si>
  <si>
    <t>ILF3;NCOA6;ZMYND11;NF1;POLD3;TLK1</t>
  </si>
  <si>
    <t>KEGG_MTOR_SIGNALING_PATHWAY</t>
  </si>
  <si>
    <t>673;5290;2475;253260;7248</t>
  </si>
  <si>
    <t>BRAF;PIK3CA;MTOR;RICTOR;TSC1</t>
  </si>
  <si>
    <t>http://www.broadinstitute.org/gsea/msigdb/cards/KEGG_MTOR_SIGNALING_PATHWAY.html</t>
  </si>
  <si>
    <t>5290;5781;6654;867;2932</t>
  </si>
  <si>
    <t>PIK3CA;PTPN11;SOS1;CBL;GSK3B</t>
  </si>
  <si>
    <t>KIM_MYCN_AMPLIFICATION_TARGETS_DN</t>
  </si>
  <si>
    <t>205717;57492;2804;51742;254887;54464;23200</t>
  </si>
  <si>
    <t>USF3;ARID1B;GOLGB1;ARID4B;ZDHHC23;XRN1;ATP11B</t>
  </si>
  <si>
    <t>http://www.broadinstitute.org/gsea/msigdb/cards/KIM_MYCN_AMPLIFICATION_TARGETS_DN.html</t>
  </si>
  <si>
    <t>KRIEG_HYPOXIA_NOT_VIA_KDM3A</t>
  </si>
  <si>
    <t>5981;546;23160;255967;22976;171023;158405;254225;51322;7750;22992;571;23036;10299;2932;7159;55187;54455;57553;160760;84725;11190;10765;55689;4216</t>
  </si>
  <si>
    <t>RFC1;ATRX;WDR43;PAN3;PAXIP1;ASXL1;KIAA1958;RNF169;WAC;ZMYM2;KDM2A;BACH1;ZNF292;MARCH6;GSK3B;TP53BP2;VPS13D;FBXO42;MICAL3;PPTC7;PLEKHA8;CEP250;KDM5B;YEATS2;MAP3K4</t>
  </si>
  <si>
    <t>http://www.broadinstitute.org/gsea/msigdb/cards/KRIEG_HYPOXIA_NOT_VIA_KDM3A.html</t>
  </si>
  <si>
    <t>MUELLER_PLURINET</t>
  </si>
  <si>
    <t>5495;9972;8880;10940;64682;10915;11168;4361;10153;51182;9221;55342;10762</t>
  </si>
  <si>
    <t>PPM1B;NUP153;FUBP1;POP1;ANAPC1;TCERG1;PSIP1;MRE11;CEBPZ;HSPA14;NOLC1;STRBP;NUP50</t>
  </si>
  <si>
    <t>http://www.broadinstitute.org/gsea/msigdb/cards/MUELLER_PLURINET.html</t>
  </si>
  <si>
    <t>23014;3836;5062;80018;55252;55023;7776;9693;9870;10277;7574;4140;1859;23181;23033;55802;55668</t>
  </si>
  <si>
    <t>FBXO21;KPNA1;PAK2;NAA25;ASXL2;PHIP;ZNF236;RAPGEF2;AREL1;UBE4B;ZNF26;MARK3;DYRK1A;DIP2A;DOP1A;DCP1A;GPATCH2L</t>
  </si>
  <si>
    <t>PID_AR_TF_PATHWAY</t>
  </si>
  <si>
    <t>5451;7182;2932;2033;29843</t>
  </si>
  <si>
    <t>POU2F1;NR2C2;GSK3B;EP300;SENP1</t>
  </si>
  <si>
    <t>http://www.broadinstitute.org/gsea/msigdb/cards/PID_AR_TF_PATHWAY.html</t>
  </si>
  <si>
    <t>REACTOME_CIRCADIAN_CLOCK</t>
  </si>
  <si>
    <t>http://www.broadinstitute.org/gsea/msigdb/cards/REACTOME_CIRCADIAN_CLOCK.html</t>
  </si>
  <si>
    <t>PID_ERBB1_DOWNSTREAM_PATHWAY</t>
  </si>
  <si>
    <t>673;5290;2475;6654;253260;9712;10093</t>
  </si>
  <si>
    <t>BRAF;PIK3CA;MTOR;SOS1;RICTOR;USP6NL;ARPC4</t>
  </si>
  <si>
    <t>http://www.broadinstitute.org/gsea/msigdb/cards/PID_ERBB1_DOWNSTREAM_PATHWAY.html</t>
  </si>
  <si>
    <t>REACTOME_RNA_POL_II_TRANSCRIPTION</t>
  </si>
  <si>
    <t>6872;6874;905;51585;10914;2957;53981</t>
  </si>
  <si>
    <t>TAF1;TAF4;CCNT2;PCF11;PAPOLA;GTF2A1;CPSF2</t>
  </si>
  <si>
    <t>http://www.broadinstitute.org/gsea/msigdb/cards/REACTOME_RNA_POL_II_TRANSCRIPTION.html</t>
  </si>
  <si>
    <t>5290;2475;5062;253260</t>
  </si>
  <si>
    <t>PIK3CA;MTOR;PAK2;RICTOR</t>
  </si>
  <si>
    <t>9681;5130;9857;23248;3842;57680;10093;23112</t>
  </si>
  <si>
    <t>DEPDC5;PCYT1A;CEP350;RPRD2;TNPO1;CHD8;ARPC4;TNRC6B</t>
  </si>
  <si>
    <t>7155;8019;11052;23369;285527;6789;64864;388228;10735</t>
  </si>
  <si>
    <t>TOP2B;BRD3;CPSF6;PUM2;FRYL;STK4;RFX7;SBK1;STAG2</t>
  </si>
  <si>
    <t>BLALOCK_ALZHEIMERS_DISEASE_INCIPIENT_DN</t>
  </si>
  <si>
    <t>4976;9475;5048;5903;57498;23095;5116;8453;23269</t>
  </si>
  <si>
    <t>OPA1;ROCK2;PAFAH1B1;RANBP2;KIDINS220;KIF1B;PCNT;CUL2;MGA</t>
  </si>
  <si>
    <t>http://www.broadinstitute.org/gsea/msigdb/cards/BLALOCK_ALZHEIMERS_DISEASE_INCIPIENT_DN.html</t>
  </si>
  <si>
    <t>PENG_GLUTAMINE_DEPRIVATION_DN</t>
  </si>
  <si>
    <t>55660;1660;9790;5930;3842;7514;23350;10897;10153;1859;9221;23198;92140;9188</t>
  </si>
  <si>
    <t>PRPF40A;DHX9;BMS1;RBBP6;TNPO1;XPO1;U2SURP;YIF1A;CEBPZ;DYRK1A;NOLC1;PSME4;MTDH;DDX21</t>
  </si>
  <si>
    <t>http://www.broadinstitute.org/gsea/msigdb/cards/PENG_GLUTAMINE_DEPRIVATION_DN.html</t>
  </si>
  <si>
    <t>BIOCARTA_HIF_PATHWAY</t>
  </si>
  <si>
    <t>405;7428;2033</t>
  </si>
  <si>
    <t>ARNT;VHL;EP300</t>
  </si>
  <si>
    <t>http://www.broadinstitute.org/gsea/msigdb/cards/BIOCARTA_HIF_PATHWAY.html</t>
  </si>
  <si>
    <t>REACTOME_MRNA_DECAY_BY_5_TO_3_EXORIBONUCLEASE</t>
  </si>
  <si>
    <t>1656;54464;55802</t>
  </si>
  <si>
    <t>DDX6;XRN1;DCP1A</t>
  </si>
  <si>
    <t>http://www.broadinstitute.org/gsea/msigdb/cards/REACTOME_MRNA_DECAY_BY_5_TO_3_EXORIBONUCLEASE.html</t>
  </si>
  <si>
    <t>GOBERT_OLIGODENDROCYTE_DIFFERENTIATION_UP</t>
  </si>
  <si>
    <t>7468;6093;9793;84986;9733;55183;65117;10274;54542;6874;7514;8812;5422;4361;9221;10714;27042;55320;9786;79723</t>
  </si>
  <si>
    <t>NSD2;ROCK1;CKAP5;ARHGAP19;SART3;RIF1;RSRC2;STAG1;RC3H2;TAF4;XPO1;CCNK;POLA1;MRE11;NOLC1;POLD3;UTP25;MIS18BP1;KIAA0586;SUV39H2</t>
  </si>
  <si>
    <t>http://www.broadinstitute.org/gsea/msigdb/cards/GOBERT_OLIGODENDROCYTE_DIFFERENTIATION_UP.html</t>
  </si>
  <si>
    <t>MARIADASON_REGULATED_BY_HISTONE_ACETYLATION_DN</t>
  </si>
  <si>
    <t>55814;255967;7528;2551;57786</t>
  </si>
  <si>
    <t>BDP1;PAN3;YY1;GABPA;RBAK</t>
  </si>
  <si>
    <t>http://www.broadinstitute.org/gsea/msigdb/cards/MARIADASON_REGULATED_BY_HISTONE_ACETYLATION_DN.html</t>
  </si>
  <si>
    <t>23014;405;57551;23001;7514;23095;11168;2551;131544;389072</t>
  </si>
  <si>
    <t>FBXO21;ARNT;TAOK1;WDFY3;XPO1;KIF1B;PSIP1;GABPA;CRYBG3;PLEKHM3</t>
  </si>
  <si>
    <t>23451;2475;80204;9126;9678;4763;64854;11214;23198;22850;204851</t>
  </si>
  <si>
    <t>SF3B1;MTOR;FBXO11;SMC3;PHF14;NF1;USP46;AKAP13;PSME4;ADNP2;HIPK1</t>
  </si>
  <si>
    <t>TIEN_INTESTINE_PROBIOTICS_6HR_DN</t>
  </si>
  <si>
    <t>5495;57498;9693;9870;10128;8087;23198;64783;4216</t>
  </si>
  <si>
    <t>PPM1B;KIDINS220;RAPGEF2;AREL1;LRPPRC;FXR1;PSME4;RBM15;MAP3K4</t>
  </si>
  <si>
    <t>http://www.broadinstitute.org/gsea/msigdb/cards/TIEN_INTESTINE_PROBIOTICS_6HR_DN.html</t>
  </si>
  <si>
    <t>FERREIRA_EWINGS_SARCOMA_UNSTABLE_VS_STABLE_UP</t>
  </si>
  <si>
    <t>8888;55660;51366;7705;57697;57634;11168;55671;80155</t>
  </si>
  <si>
    <t>MCM3AP;PRPF40A;UBR5;ZNF146;FANCM;EP400;PSIP1;PPP4R3A;NAA15</t>
  </si>
  <si>
    <t>http://www.broadinstitute.org/gsea/msigdb/cards/FERREIRA_EWINGS_SARCOMA_UNSTABLE_VS_STABLE_UP.html</t>
  </si>
  <si>
    <t>PID_NCADHERIN_PATHWAY</t>
  </si>
  <si>
    <t>3799;5290;5781;6093</t>
  </si>
  <si>
    <t>KIF5B;PIK3CA;PTPN11;ROCK1</t>
  </si>
  <si>
    <t>http://www.broadinstitute.org/gsea/msigdb/cards/PID_NCADHERIN_PATHWAY.html</t>
  </si>
  <si>
    <t>PID_MET_PATHWAY</t>
  </si>
  <si>
    <t>5290;2475;5781;6654;5062;867</t>
  </si>
  <si>
    <t>PIK3CA;MTOR;PTPN11;SOS1;PAK2;CBL</t>
  </si>
  <si>
    <t>http://www.broadinstitute.org/gsea/msigdb/cards/PID_MET_PATHWAY.html</t>
  </si>
  <si>
    <t>LAU_APOPTOSIS_CDKN2A_UP</t>
  </si>
  <si>
    <t>5062;9774;317;7159;22984</t>
  </si>
  <si>
    <t>PAK2;BCLAF1;APAF1;TP53BP2;PDCD11</t>
  </si>
  <si>
    <t>http://www.broadinstitute.org/gsea/msigdb/cards/LAU_APOPTOSIS_CDKN2A_UP.html</t>
  </si>
  <si>
    <t>9139;140710;7586;7587;4299;84986;84726;196528;9736;254225;57492;9712;10142;57690;55870;22992;317;23095;8812;7559;23181;23033;389072;54832;57553;157680;57209;26146;9392;11083;55167;54014;55668;9439</t>
  </si>
  <si>
    <t>CBFA2T2;SOGA1;ZKSCAN1;ZNF37A;AFF1;ARHGAP19;PRRC2B;ARID2;USP34;RNF169;ARID1B;USP6NL;AKAP9;TNRC6C;ASH1L;KDM2A;APAF1;KIF1B;CCNK;ZNF12;DIP2A;DOP1A;PLEKHM3;VPS13C;MICAL3;VPS13B;ZNF248;TRAF3IP1;TGFBRAP1;DIDO1;MSL2;BRWD1;GPATCH2L;MED23</t>
  </si>
  <si>
    <t>3840;8672;5495;9631;7175;5290;9972;5903;3836;6654;867;10762</t>
  </si>
  <si>
    <t>KPNA4;EIF4G3;PPM1B;NUP155;TPR;PIK3CA;NUP153;RANBP2;KPNA1;SOS1;CBL;NUP50</t>
  </si>
  <si>
    <t>SAKAI_TUMOR_INFILTRATING_MONOCYTES_DN</t>
  </si>
  <si>
    <t>9611;2969;8899;11052;7514;23499</t>
  </si>
  <si>
    <t>NCOR1;GTF2I;PRPF4B;CPSF6;XPO1;MACF1</t>
  </si>
  <si>
    <t>http://www.broadinstitute.org/gsea/msigdb/cards/SAKAI_TUMOR_INFILTRATING_MONOCYTES_DN.html</t>
  </si>
  <si>
    <t>GUO_HEX_TARGETS_UP</t>
  </si>
  <si>
    <t>5451;9584;6311;170506;463;80155</t>
  </si>
  <si>
    <t>POU2F1;RBM39;ATXN2;DHX36;ZFHX3;NAA15</t>
  </si>
  <si>
    <t>http://www.broadinstitute.org/gsea/msigdb/cards/GUO_HEX_TARGETS_UP.html</t>
  </si>
  <si>
    <t>NIKOLSKY_BREAST_CANCER_21Q22_AMPLICON</t>
  </si>
  <si>
    <t>8888;5116;23181</t>
  </si>
  <si>
    <t>MCM3AP;PCNT;DIP2A</t>
  </si>
  <si>
    <t>http://www.broadinstitute.org/gsea/msigdb/cards/NIKOLSKY_BREAST_CANCER_21Q22_AMPLICON.html</t>
  </si>
  <si>
    <t>BROWNE_HCMV_INFECTION_10HR_DN</t>
  </si>
  <si>
    <t>6651;25836;23064;51585;23269</t>
  </si>
  <si>
    <t>SON;NIPBL;SETX;PCF11;MGA</t>
  </si>
  <si>
    <t>http://www.broadinstitute.org/gsea/msigdb/cards/BROWNE_HCMV_INFECTION_10HR_DN.html</t>
  </si>
  <si>
    <t>BRUINS_UVC_RESPONSE_LATE</t>
  </si>
  <si>
    <t>3840;55660;7175;1656;5781;6654;9869;9135;22853;81609;85440;57679;64426;200576;5422;4140;6249;2932;4361;10914;8087;2957;7690;4301;5471;51182;6789;1859;55291;57534;142891;79657;440193</t>
  </si>
  <si>
    <t>KPNA4;PRPF40A;TPR;DDX6;PTPN11;SOS1;SETDB1;RABEP1;LMTK2;SNX27;DOCK7;ALS2;SUDS3;PIKFYVE;POLA1;MARK3;CLIP1;GSK3B;MRE11;PAPOLA;FXR1;GTF2A1;ZNF131;AFDN;PPAT;HSPA14;STK4;DYRK1A;PPP6R3;MIB1;SAMD8;RPAP3;CCDC88C</t>
  </si>
  <si>
    <t>http://www.broadinstitute.org/gsea/msigdb/cards/BRUINS_UVC_RESPONSE_LATE.html</t>
  </si>
  <si>
    <t>ST_INTEGRIN_SIGNALING_PATHWAY</t>
  </si>
  <si>
    <t>9475;673;5290;6654;5062;6093</t>
  </si>
  <si>
    <t>ROCK2;BRAF;PIK3CA;SOS1;PAK2;ROCK1</t>
  </si>
  <si>
    <t>http://www.broadinstitute.org/gsea/msigdb/cards/ST_INTEGRIN_SIGNALING_PATHWAY.html</t>
  </si>
  <si>
    <t>1660;54906;23049;10914;23198;160760;23299;79657;27161;25831;23200</t>
  </si>
  <si>
    <t>DHX9;TASOR2;SMG1;PAPOLA;PSME4;PPTC7;BICD2;RPAP3;AGO2;HECTD1;ATP11B</t>
  </si>
  <si>
    <t>9611;51366;5451;1656;405;7156;8661;1778;8019;55183;23248;26058;80204;10274;7248;64324;80351;84146;55870;10137;54552;9774;7750;9126;22992;23215;1106;23140;51585;10277;5116;7528;4140;23468;2033;5469;84196;80012;140775;80314;79723;53981;9904</t>
  </si>
  <si>
    <t>NCOR1;UBR5;POU2F1;DDX6;ARNT;TOP3A;EIF3A;DYNC1H1;BRD3;RIF1;RPRD2;GIGYF2;FBXO11;STAG1;TSC1;NSD1;TNKS2;ZNF644;ASH1L;RBM12;GNL3L;BCLAF1;ZMYM2;SMC3;KDM2A;PRRC2C;CHD2;ZZEF1;PCF11;UBE4B;PCNT;YY1;MARK3;CBX5;EP300;MED1;USP48;PHC3;SMCR8;EPC1;SUV39H2;CPSF2;RBM19</t>
  </si>
  <si>
    <t>TGCACTT_MIR519C_MIR519B_MIR519A</t>
  </si>
  <si>
    <t>9826;9475;23328;51366;7468;5048;6659;54619;253260;23253;55252;56946;5930;23001;57459;23185;55914;53944;57448;51755;51479;26523;7776;57472;22992;9527;4763;10914;6670;11214;1859;4863;23181;122830;80205;51742;55291;57534;79598;25948;27327;84669;23299;25909;155435;5814;54014;55727;51696</t>
  </si>
  <si>
    <t>ARHGEF11;ROCK2;SASH1;UBR5;NSD2;PAFAH1B1;SOX4;CCNJ;RICTOR;ANKRD12;ASXL2;EMSY;RBBP6;WDFY3;GATAD2B;LARP4B;ERBIN;CSNK1G1;BIRC6;CDK12;ANKFY1;AGO1;ZNF236;CNOT6;KDM2A;GOSR1;NF1;PAPOLA;SP3;AKAP13;DYRK1A;NPAT;DIP2A;NAA30;CHD9;ARID4B;PPP6R3;MIB1;CEP97;KBTBD2;TNRC6A;USP32;BICD2;AHCTF1;RBM33;PURB;BRWD1;BTBD7;HECA</t>
  </si>
  <si>
    <t>http://www.broadinstitute.org/gsea/msigdb/cards/TGCACTT_MIR519C_MIR519B_MIR519A.html</t>
  </si>
  <si>
    <t>9044;26057;23451;9631;26046;27107;7579;6651;5927;5130;9632;2802;6433;9360;4520;9869;22848;26098;51248;23352;158427;55275;25836;90957;23126;23332;27291;5930;165918;166378;10274;79677;10730;80351;170506;54552;11276;23660;23215;51105;9870;23140;8867;6801;6341;5422;4763;867;4140;2005;7109;2957;10093;2033;7024;6789;472;8621;4863;54856;254065;157680;2074;10735;27327;80012;84669;5814;56652;64421;79646;55802;58487;55668;26973;9874;55689;9904</t>
  </si>
  <si>
    <t>BTAF1;ANKRD17;SF3B1;NUP155;LTN1;ZBTB11;ZSCAN20;SON;KDM5A;PCYT1A;SEC24C;GOLGA3;SFSWAP;PPIG;MTF1;SETDB1;AAK1;EDRF1;PDZD11;UBR4;TSTD2;VPS53;NIPBL;DHX57;POGZ;CLASP1;R3HCC1L;RBBP6;RNF168;SPATA5;STAG1;SMC6;YME1L1;TNKS2;DHX36;GNL3L;SYNRG;ZKSCAN5;PRRC2C;PHF20L1;AREL1;ZZEF1;SYNJ1;STRN;SCO1;POLA1;NF1;CBL;MARK3;ELK4;TRAPPC10;GTF2A1;ARPC4;EP300;TFCP2;STK4;ATM;CDK13;NPAT;GON4L;BRWD3;VPS13B;ERCC6;STAG2;TNRC6A;PHC3;USP32;PURB;TWNK;DCLRE1C;PANK3;DCP1A;CREBZF;GPATCH2L;CHORDC1;TLK1;YEATS2;RBM19</t>
  </si>
  <si>
    <t>http://www.broadinstitute.org/gsea/msigdb/cards/SCGGAAGY_ELK1_02.html</t>
  </si>
  <si>
    <t>TGAATGT_MIR181A_MIR181B_MIR181C_MIR181D</t>
  </si>
  <si>
    <t>9139;9877;23317;7182;4299;3836;9632;2186;3609;26130;54619;25836;90957;23332;80204;23032;10274;85440;59343;53944;57448;9774;57609;29994;51105;10915;8812;6249;987;9698;3930;23527;80205;23033;157922;91748;144348;5814;2140;80155;84132;56995;58487;54014;29843;55636;51696;11176;23112</t>
  </si>
  <si>
    <t>CBFA2T2;ZC3H11A;DNAJC13;NR2C2;AFF1;KPNA1;SEC24C;BPTF;ILF3;GAPVD1;CCNJ;NIPBL;DHX57;CLASP1;FBXO11;USP33;STAG1;DOCK7;SENP2;CSNK1G1;BIRC6;BCLAF1;DIP2B;BAZ2B;PHF20L1;TCERG1;CCNK;CLIP1;LRBA;PUM1;LBR;ACAP2;CHD9;DOP1A;CAMSAP1;ELMSAN1;ZNF664;PURB;EYA3;NAA15;USP42;TULP4;CREBZF;BRWD1;SENP1;CHD7;HECA;BAZ2A;TNRC6B</t>
  </si>
  <si>
    <t>http://www.broadinstitute.org/gsea/msigdb/cards/TGAATGT_MIR181A_MIR181B_MIR181C_MIR181D.html</t>
  </si>
  <si>
    <t>TTGCACT_MIR130A_MIR301_MIR130B</t>
  </si>
  <si>
    <t>9044;23060;23328;1656;5048;546;4297;6659;2186;4520;255967;23253;55252;23001;23032;7248;81609;55914;53944;57448;23131;26523;57472;23405;22992;6874;6249;4863;23181;122830;80205;51742;55291;84196;57534;27327;84669;155435;23013;10198;54014;55727;51696;11176;23112</t>
  </si>
  <si>
    <t>BTAF1;ZNF609;SASH1;DDX6;PAFAH1B1;ATRX;KMT2A;SOX4;BPTF;MTF1;PAN3;ANKRD12;ASXL2;WDFY3;USP33;TSC1;SNX27;ERBIN;CSNK1G1;BIRC6;GPATCH8;AGO1;CNOT6;DICER1;KDM2A;TAF4;CLIP1;NPAT;DIP2A;NAA30;CHD9;ARID4B;PPP6R3;USP48;MIB1;TNRC6A;USP32;RBM33;SPEN;MPHOSPH9;BRWD1;BTBD7;HECA;BAZ2A;TNRC6B</t>
  </si>
  <si>
    <t>http://www.broadinstitute.org/gsea/msigdb/cards/TTGCACT_MIR130A_MIR301_MIR130B.html</t>
  </si>
  <si>
    <t>27340;27107;5451;1656;5048;546;7182;3609;7156;1778;9584;23054;55183;26058;130507;55252;65117;57532;56946;7248;10137;22992;23215;23019;1106;23095;23633;8812;51585;5116;4140;23468;2033;9698;27332;140775;80314;56980;23047;9923;51132;53981;22828;55818;4216</t>
  </si>
  <si>
    <t>UTP20;ZBTB11;POU2F1;DDX6;PAFAH1B1;ATRX;NR2C2;ILF3;TOP3A;DYNC1H1;RBM39;NCOA6;RIF1;GIGYF2;UBR3;ASXL2;RSRC2;NUFIP2;EMSY;TSC1;RBM12;KDM2A;PRRC2C;CNOT1;CHD2;KIF1B;KPNA6;CCNK;PCF11;PCNT;MARK3;CBX5;EP300;PUM1;ZNF638;SMCR8;EPC1;PRDM10;PDS5B;ZBTB40;RLIM;CPSF2;SCAF8;KDM3A;MAP3K4</t>
  </si>
  <si>
    <t>GCACTTT_MIR175P_MIR20A_MIR106A_MIR106B_MIR20B_MIR519D</t>
  </si>
  <si>
    <t>9826;23328;23014;51366;5048;7182;6659;9135;9321;54619;65117;56946;23001;58508;80312;57459;51322;80351;53944;51479;26523;7776;57472;22992;23637;905;9527;10914;64854;11214;1859;4863;23181;122830;80205;51742;55291;55432;79598;84295;54464;27327;84669;23299;25909;5814;29843;55727;51696;23112;7707;8202</t>
  </si>
  <si>
    <t>ARHGEF11;SASH1;FBXO21;UBR5;PAFAH1B1;NR2C2;SOX4;RABEP1;TRIP11;CCNJ;RSRC2;EMSY;WDFY3;KMT2C;TET1;GATAD2B;WAC;TNKS2;CSNK1G1;ANKFY1;AGO1;ZNF236;CNOT6;KDM2A;RABGAP1;CCNT2;GOSR1;PAPOLA;USP46;AKAP13;DYRK1A;NPAT;DIP2A;NAA30;CHD9;ARID4B;PPP6R3;YOD1;CEP97;PHF6;XRN1;TNRC6A;USP32;BICD2;AHCTF1;PURB;SENP1;BTBD7;HECA;TNRC6B;ZNF148;NCOA3</t>
  </si>
  <si>
    <t>http://www.broadinstitute.org/gsea/msigdb/cards/GCACTTT_MIR175P_MIR20A_MIR106A_MIR106B_MIR20B_MIR519D.html</t>
  </si>
  <si>
    <t>GGGCGGR_SP1_Q6</t>
  </si>
  <si>
    <t>3840;10236;27107;7175;5451;673;6872;2475;5048;9972;9632;2969;6659;1660;2802;3609;5062;9360;1778;23054;257218;9869;8925;84614;56957;25836;23064;23126;57532;56946;27291;5930;57695;23293;80204;165918;7840;84181;10274;81609;91746;84079;23049;57679;51773;51322;84146;59343;10137;7750;26523;11276;200576;22992;23637;8295;23019;7514;23140;8867;6801;23095;10299;905;11168;51585;10277;5116;5422;3096;867;7528;7174;6249;23468;2932;9513;2957;55014;10093;6670;2033;7024;6789;93;9698;27332;9221;23527;5586;4899;139285;23033;22850;55596;55320;254065;11011;57534;10735;84669;10207;25909;84725;142891;165055;55705;5814;56652;2140;80155;83448;80314;79646;26019;55802;23047;29843;51455;11176;9439;55689;51592;55818;1788</t>
  </si>
  <si>
    <t>KPNA4;HNRNPR;ZBTB11;TPR;POU2F1;BRAF;TAF1;MTOR;PAFAH1B1;NUP153;SEC24C;GTF2I;SOX4;DHX9;GOLGA3;ILF3;PAK2;PPIG;DYNC1H1;NCOA6;SHPRH;SETDB1;HERC1;ZBTB37;OTUD7B;NIPBL;SETX;POGZ;NUFIP2;EMSY;R3HCC1L;RBBP6;USP37;SMG6;FBXO11;RNF168;ALMS1;CHD6;STAG1;SNX27;YTHDC1;ANKRD27;SMG1;ALS2;RSF1;WAC;ZNF644;SENP2;RBM12;ZMYM2;AGO1;SYNRG;PIKFYVE;KDM2A;RABGAP1;TRRAP;CNOT1;XPO1;ZZEF1;SYNJ1;STRN;KIF1B;MARCH6;CCNT2;PSIP1;PCF11;UBE4B;PCNT;POLA1;HIVEP1;CBL;YY1;TPP2;CLIP1;CBX5;GSK3B;FXR2;GTF2A1;STX17;ARPC4;SP3;EP300;TFCP2;STK4;ACVR2B;PUM1;ZNF638;NOLC1;ACAP2;PKN2;NRF1;AMER1;DOP1A;ADNP2;ZCCHC8;MIS18BP1;BRWD3;TLK2;MIB1;STAG2;USP32;PATJ;AHCTF1;PLEKHA8;SAMD8;CCDC138;IPO9;PURB;TWNK;EYA3;NAA15;PUS7L;EPC1;PANK3;UPF2;DCP1A;PDS5B;SENP1;REV1;BAZ2A;MED23;YEATS2;TRIM33;KDM3A;DNMT3A</t>
  </si>
  <si>
    <t>http://www.broadinstitute.org/gsea/msigdb/cards/GGGCGGR_SP1_Q6.html</t>
  </si>
  <si>
    <t>CTTGTAT_MIR381</t>
  </si>
  <si>
    <t>10236;8672;9475;51366;1656;2969;6659;8661;10771;23244;255967;23253;130507;23389;55252;23063;10274;57448;23095;905;11168;10914;51742;284058;204851;10198;84260;55167;23047;55727;9969;22828</t>
  </si>
  <si>
    <t>HNRNPR;EIF4G3;ROCK2;UBR5;DDX6;GTF2I;SOX4;EIF3A;ZMYND11;PDS5A;PAN3;ANKRD12;UBR3;MED13L;ASXL2;WAPL;STAG1;BIRC6;KIF1B;CCNT2;PSIP1;PAPOLA;ARID4B;KANSL1;HIPK1;MPHOSPH9;TCHP;MSL2;PDS5B;BTBD7;MED13;SCAF8</t>
  </si>
  <si>
    <t>http://www.broadinstitute.org/gsea/msigdb/cards/CTTGTAT_MIR381.html</t>
  </si>
  <si>
    <t>CTTTGTA_MIR524</t>
  </si>
  <si>
    <t>3840;23060;5495;26046;6651;1656;3192;6659;9584;221037;79832;26058;23001;23369;23032;57459;57634;55914;6311;80351;64397;29994;51105;6874;7528;23468;987;6670;1859;9698;51742;25962;204851;26065;22849;55342;23013;80155;58487;55727;55636;25831;8202</t>
  </si>
  <si>
    <t>KPNA4;ZNF609;PPM1B;LTN1;SON;DDX6;HNRNPU;SOX4;RBM39;JMJD1C;QSER1;GIGYF2;WDFY3;PUM2;USP33;GATAD2B;EP400;ERBIN;ATXN2;TNKS2;ZNF106;BAZ2B;PHF20L1;TAF4;YY1;CBX5;LRBA;SP3;DYRK1A;PUM1;ARID4B;VIRMA;HIPK1;LSM14A;CPEB3;STRBP;SPEN;NAA15;CREBZF;BTBD7;CHD7;HECTD1;NCOA3</t>
  </si>
  <si>
    <t>http://www.broadinstitute.org/gsea/msigdb/cards/CTTTGTA_MIR524.html</t>
  </si>
  <si>
    <t>9139;5495;23328;51366;7468;7175;5451;1656;5927;5981;7182;4297;6654;2186;3609;6093;9584;23054;4520;8019;221037;22848;84614;9857;23248;157769;56957;25836;90957;57532;56946;23063;80204;171023;58508;57492;84181;10274;7248;3842;89884;64324;91746;23049;55914;51773;80351;84146;53944;57448;79811;7750;23405;22992;2844;23637;23423;23019;5286;1106;51585;10277;3096;4763;7528;4140;8087;2957;55014;5471;2033;1859;9698;2804;23198;388289;5586;51742;55291;91748;55632;157680;79598;84295;25948;26009;144348;10735;27327;22849;10207;84725;9786;26054;55167;4848;9874;55818</t>
  </si>
  <si>
    <t>CBFA2T2;PPM1B;SASH1;UBR5;NSD2;TPR;POU2F1;DDX6;KDM5A;RFC1;NR2C2;KMT2A;SOS1;BPTF;ILF3;ROCK1;RBM39;NCOA6;MTF1;BRD3;JMJD1C;AAK1;ZBTB37;CEP350;RPRD2;FAM91A1;OTUD7B;NIPBL;DHX57;NUFIP2;EMSY;WAPL;FBXO11;ASXL1;KMT2C;ARID1B;CHD6;STAG1;TSC1;TNPO1;LHX4;NSD1;YTHDC1;SMG1;ERBIN;RSF1;TNKS2;ZNF644;CSNK1G1;BIRC6;SLTM;ZMYM2;DICER1;KDM2A;RABGAP1;RABGAP1;TMED3;CNOT1;PIK3C2A;CHD2;PCF11;UBE4B;HIVEP1;NF1;YY1;MARK3;FXR1;GTF2A1;STX17;PPAT;EP300;DYRK1A;PUM1;GOLGB1;PSME4;ZFHX3;PKN2;ARID4B;PPP6R3;ELMSAN1;G2E3;VPS13B;CEP97;PHF6;KBTBD2;AC118549.1;ZNF664;STAG2;TNRC6A;CPEB3;PATJ;PLEKHA8;KIAA0586;SENP6;MSL2;AC092881.1;TLK1;KDM3A</t>
  </si>
  <si>
    <t>ATGTACA_MIR493</t>
  </si>
  <si>
    <t>3840;9044;23317;26057;27107;23244;157769;23389;23332;5930;23001;57492;23369;23049;79677;170506;10137;26523;57472;200576;51105;23095;905;6670;23527;55187;92140;204851;25948;26065;84669;160760;23013;10765;9969;11176;23112</t>
  </si>
  <si>
    <t>KPNA4;BTAF1;DNAJC13;ANKRD17;ZBTB11;PDS5A;FAM91A1;MED13L;CLASP1;RBBP6;WDFY3;ARID1B;PUM2;SMG1;SMC6;DHX36;RBM12;AGO1;CNOT6;PIKFYVE;PHF20L1;KIF1B;CCNT2;SP3;ACAP2;VPS13D;MTDH;HIPK1;KBTBD2;LSM14A;USP32;PPTC7;SPEN;KDM5B;MED13;BAZ2A;TNRC6B</t>
  </si>
  <si>
    <t>http://www.broadinstitute.org/gsea/msigdb/cards/ATGTACA_MIR493.html</t>
  </si>
  <si>
    <t>TGCTGCT_MIR15A_MIR16_MIR15B_MIR195_MIR424_MIR497</t>
  </si>
  <si>
    <t>3840;23060;7586;6651;3799;9931;5048;4297;8661;157769;90957;253260;130507;23063;5930;55023;91746;6311;51230;53944;7750;23131;11244;26523;11276;51105;9880;8867;23095;905;10277;8453;55291;157922;55432;55605;57534;25948;22849;5814;23013;84132;26973;11176;9874;11108;10762;23112;4216</t>
  </si>
  <si>
    <t>KPNA4;ZNF609;ZKSCAN1;SON;KIF5B;HELZ;PAFAH1B1;KMT2A;EIF3A;FAM91A1;DHX57;RICTOR;UBR3;WAPL;RBBP6;PHIP;YTHDC1;ATXN2;PHF20;CSNK1G1;ZMYM2;GPATCH8;ZHX1;AGO1;SYNRG;PHF20L1;ZBTB39;SYNJ1;KIF1B;CCNT2;UBE4B;CUL2;PPP6R3;CAMSAP1;YOD1;KIF21A;MIB1;KBTBD2;CPEB3;PURB;SPEN;USP42;CHORDC1;BAZ2A;TLK1;PRDM4;NUP50;TNRC6B;MAP3K4</t>
  </si>
  <si>
    <t>http://www.broadinstitute.org/gsea/msigdb/cards/TGCTGCT_MIR15A_MIR16_MIR15B_MIR195_MIR424_MIR497.html</t>
  </si>
  <si>
    <t>YY1_02</t>
  </si>
  <si>
    <t>9611;51366;5451;1656;7156;9584;9733;55183;23248;26058;55252;7248;80351;55870;22992;23215;23140;8812;51585;5116;4140;2957;2033;9698;27332;26009;80012;140775;80314;56980;9923;4216</t>
  </si>
  <si>
    <t>NCOR1;UBR5;POU2F1;DDX6;TOP3A;RBM39;SART3;RIF1;RPRD2;GIGYF2;ASXL2;TSC1;TNKS2;ASH1L;KDM2A;PRRC2C;ZZEF1;CCNK;PCF11;PCNT;MARK3;GTF2A1;EP300;PUM1;ZNF638;AC118549.1;PHC3;SMCR8;EPC1;PRDM10;ZBTB40;MAP3K4</t>
  </si>
  <si>
    <t>http://www.broadinstitute.org/gsea/msigdb/cards/YY1_02.html</t>
  </si>
  <si>
    <t>TGTTTAC_MIR30A5P_MIR30C_MIR30D_MIR30B_MIR30E5P</t>
  </si>
  <si>
    <t>23317;26057;6651;4297;6659;80018;11052;157769;26058;57551;57532;57695;91746;85440;84146;53944;57609;29994;26523;57472;7514;9880;10299;905;8812;10914;8453;23527;51742;388228;92140;84196;84295;10735;27327;160760;22847;23013;56995;54014;55727;55636;51455;23112;55818;23335;1788</t>
  </si>
  <si>
    <t>DNAJC13;ANKRD17;SON;KMT2A;SOX4;NAA25;CPSF6;FAM91A1;GIGYF2;TAOK1;NUFIP2;USP37;YTHDC1;DOCK7;ZNF644;CSNK1G1;DIP2B;BAZ2B;AGO1;CNOT6;XPO1;ZBTB39;MARCH6;CCNT2;CCNK;PAPOLA;CUL2;ACAP2;ARID4B;SBK1;MTDH;USP48;PHF6;STAG2;TNRC6A;PPTC7;ZNF507;SPEN;TULP4;BRWD1;BTBD7;CHD7;REV1;TNRC6B;KDM3A;WDR7;DNMT3A</t>
  </si>
  <si>
    <t>http://www.broadinstitute.org/gsea/msigdb/cards/TGTTTAC_MIR30A5P_MIR30C_MIR30D_MIR30B_MIR30E5P.html</t>
  </si>
  <si>
    <t>TTTGCAC_MIR19A_MIR19B</t>
  </si>
  <si>
    <t>3840;9044;23060;1656;546;4299;3192;6659;2186;23512;10771;9857;23253;23389;55252;23001;23032;7248;81609;51230;53944;26523;57472;23405;22992;23215;6874;905;6249;8621;51742;157922;57534;204851;27327;84669;160760;23013;10198;54014;55727;23499;51592;23112</t>
  </si>
  <si>
    <t>KPNA4;BTAF1;ZNF609;DDX6;ATRX;AFF1;HNRNPU;SOX4;BPTF;SUZ12;ZMYND11;CEP350;ANKRD12;MED13L;ASXL2;WDFY3;USP33;TSC1;SNX27;PHF20;CSNK1G1;AGO1;CNOT6;DICER1;KDM2A;PRRC2C;TAF4;CCNT2;CLIP1;CDK13;ARID4B;CAMSAP1;MIB1;HIPK1;TNRC6A;USP32;PPTC7;SPEN;MPHOSPH9;BRWD1;BTBD7;MACF1;TRIM33;TNRC6B</t>
  </si>
  <si>
    <t>http://www.broadinstitute.org/gsea/msigdb/cards/TTTGCAC_MIR19A_MIR19B.html</t>
  </si>
  <si>
    <t>ATGTTAA_MIR302C</t>
  </si>
  <si>
    <t>9044;23451;23014;6651;9972;9584;26130;23244;23253;130507;27291;57492;84181;23032;51105;6801;905;9678;51585;9113;7528;8087;2551;91748;142891;26054;79723;79646;58487;9969;23112</t>
  </si>
  <si>
    <t>BTAF1;SF3B1;FBXO21;SON;NUP153;RBM39;GAPVD1;PDS5A;ANKRD12;UBR3;R3HCC1L;ARID1B;CHD6;USP33;PHF20L1;STRN;CCNT2;PHF14;PCF11;LATS1;YY1;FXR1;GABPA;ELMSAN1;SAMD8;SENP6;SUV39H2;PANK3;CREBZF;MED13;TNRC6B</t>
  </si>
  <si>
    <t>http://www.broadinstitute.org/gsea/msigdb/cards/ATGTTAA_MIR302C.html</t>
  </si>
  <si>
    <t>AATGTGA_MIR23A_MIR23B</t>
  </si>
  <si>
    <t>3840;9044;9139;8888;7468;4299;3836;3192;7155;8899;8661;23054;57532;80204;23369;89884;81609;29072;80351;53944;7750;8867;905;55014;64854;6789;3930;27327;80155;55167;56980;58487;54014;55727;55636;9874;10762;23112;23200</t>
  </si>
  <si>
    <t>KPNA4;BTAF1;CBFA2T2;MCM3AP;NSD2;AFF1;KPNA1;HNRNPU;TOP2B;PRPF4B;EIF3A;NCOA6;NUFIP2;FBXO11;PUM2;LHX4;SNX27;SETD2;TNKS2;CSNK1G1;ZMYM2;SYNJ1;CCNT2;STX17;USP46;STK4;LBR;TNRC6A;NAA15;MSL2;PRDM10;CREBZF;BRWD1;BTBD7;CHD7;TLK1;NUP50;TNRC6B;ATP11B</t>
  </si>
  <si>
    <t>http://www.broadinstitute.org/gsea/msigdb/cards/AATGTGA_MIR23A_MIR23B.html</t>
  </si>
  <si>
    <t>CATGTAA_MIR496</t>
  </si>
  <si>
    <t>10236;51366;5048;5781;55252;29072;7750;6874;571;9678;51585;7174;51742;55291;55671;22850;92140;57531;22847;84132;55167;56980;55636;51455;9874;23112</t>
  </si>
  <si>
    <t>HNRNPR;UBR5;PAFAH1B1;PTPN11;ASXL2;SETD2;ZMYM2;TAF4;BACH1;PHF14;PCF11;TPP2;ARID4B;PPP6R3;PPP4R3A;ADNP2;MTDH;HACE1;ZNF507;USP42;MSL2;PRDM10;CHD7;REV1;TLK1;TNRC6B</t>
  </si>
  <si>
    <t>http://www.broadinstitute.org/gsea/msigdb/cards/CATGTAA_MIR496.html</t>
  </si>
  <si>
    <t>TGCTTTG_MIR330</t>
  </si>
  <si>
    <t>9139;23317;5495;26046;5048;3192;9320;79832;157769;26058;23001;23369;57459;10137;57609;23405;571;23095;10914;1859;122830;55432;55159;284058;92140;204851;23299;9887;54765;84248;55342;55167;54014;23112</t>
  </si>
  <si>
    <t>CBFA2T2;DNAJC13;PPM1B;LTN1;PAFAH1B1;HNRNPU;TRIP12;QSER1;FAM91A1;GIGYF2;WDFY3;PUM2;GATAD2B;RBM12;DIP2B;DICER1;BACH1;KIF1B;PAPOLA;DYRK1A;NAA30;YOD1;RFWD3;KANSL1;MTDH;HIPK1;BICD2;SMG7;TRIM44;FYTTD1;STRBP;MSL2;BRWD1;TNRC6B</t>
  </si>
  <si>
    <t>http://www.broadinstitute.org/gsea/msigdb/cards/TGCTTTG_MIR330.html</t>
  </si>
  <si>
    <t>RCGCANGCGY_NRF1_Q6</t>
  </si>
  <si>
    <t>5451;6651;3799;3836;9632;5591;1660;3609;8661;80018;9733;158427;23248;9202;56946;57695;23293;10274;79677;51322;80351;84146;10137;9774;7750;26523;22992;23637;23019;5116;5422;7559;4763;23468;9513;2957;11214;472;4863;27332;54520;79882;54832;57534;25948;2074;10735;26146;142891;55705;84248;11083;80155;26019;29843;55818</t>
  </si>
  <si>
    <t>POU2F1;SON;KIF5B;KPNA1;SEC24C;PRKDC;DHX9;ILF3;EIF3A;NAA25;SART3;TSTD2;RPRD2;ZMYM4;EMSY;USP37;SMG6;STAG1;SMC6;WAC;TNKS2;ZNF644;RBM12;BCLAF1;ZMYM2;AGO1;KDM2A;RABGAP1;CNOT1;PCNT;POLA1;ZNF12;NF1;CBX5;FXR2;GTF2A1;AKAP13;ATM;NPAT;ZNF638;CCDC93;ZC3H14;VPS13C;MIB1;KBTBD2;ERCC6;STAG2;TRAF3IP1;SAMD8;IPO9;FYTTD1;DIDO1;NAA15;UPF2;SENP1;KDM3A</t>
  </si>
  <si>
    <t>http://www.broadinstitute.org/gsea/msigdb/cards/RCGCANGCGY_NRF1_Q6.html</t>
  </si>
  <si>
    <t>TACTTGA_MIR26A_MIR26B</t>
  </si>
  <si>
    <t>5062;8661;255967;9857;196528;130507;23389;23063;57695;80204;57634;57679;53944;29994;10277;2932;472;157922;92140;57534;84295;27327;8239;55743;55342;80155;58487;54014;55727;53981;10762;23112</t>
  </si>
  <si>
    <t>PAK2;EIF3A;PAN3;CEP350;ARID2;UBR3;MED13L;WAPL;USP37;FBXO11;EP400;ALS2;CSNK1G1;BAZ2B;UBE4B;GSK3B;ATM;CAMSAP1;MTDH;MIB1;PHF6;TNRC6A;USP9X;CHFR;STRBP;NAA15;CREBZF;BRWD1;BTBD7;CPSF2;NUP50;TNRC6B</t>
  </si>
  <si>
    <t>http://www.broadinstitute.org/gsea/msigdb/cards/TACTTGA_MIR26A_MIR26B.html</t>
  </si>
  <si>
    <t>CAGTATT_MIR200B_MIR200C_MIR429</t>
  </si>
  <si>
    <t>5495;546;9972;3192;2186;54619;9857;9202;196528;57532;23332;23063;171023;23001;23369;29994;26190;57472;200576;6874;8867;11168;6249;10914;8087;9513;2551;80205;51742;55291;204851;84295;55167;54014;23047;51455;9969;51592;1788</t>
  </si>
  <si>
    <t>PPM1B;ATRX;NUP153;HNRNPU;BPTF;CCNJ;CEP350;ZMYM4;ARID2;NUFIP2;CLASP1;WAPL;ASXL1;WDFY3;PUM2;BAZ2B;FBXW2;CNOT6;PIKFYVE;TAF4;SYNJ1;PSIP1;CLIP1;PAPOLA;FXR1;FXR2;GABPA;CHD9;ARID4B;PPP6R3;HIPK1;PHF6;MSL2;BRWD1;PDS5B;REV1;MED13;TRIM33;DNMT3A</t>
  </si>
  <si>
    <t>http://www.broadinstitute.org/gsea/msigdb/cards/CAGTATT_MIR200B_MIR200C_MIR429.html</t>
  </si>
  <si>
    <t>10236;9475;26057;9611;51366;5451;6651;6872;1656;405;5048;9632;4297;6659;6433;3609;9360;6093;8661;9584;4520;9733;23352;84614;56957;25836;57551;57532;80204;10274;7248;3842;89884;91746;84079;79677;51773;51322;84146;59343;51755;7750;9126;22992;8295;23019;51105;1106;7514;8867;23095;10299;11168;51585;10277;5116;4763;6249;2932;9513;2957;6670;2033;8453;1859;388289;4899;9662;91748;254065;54832;11011;84295;26009;10735;27327;9887;79646;26019;55167;23047;51132;55668;29843;9969;11176;9874;55689;25831;22828;51592;9967;55818;1788;8202</t>
  </si>
  <si>
    <t>HNRNPR;ROCK2;ANKRD17;NCOR1;UBR5;POU2F1;SON;TAF1;DDX6;ARNT;PAFAH1B1;SEC24C;KMT2A;SOX4;SFSWAP;ILF3;PPIG;ROCK1;EIF3A;RBM39;MTF1;SART3;UBR4;ZBTB37;OTUD7B;NIPBL;TAOK1;NUFIP2;FBXO11;STAG1;TSC1;TNPO1;LHX4;YTHDC1;ANKRD27;SMC6;RSF1;WAC;ZNF644;SENP2;CDK12;ZMYM2;SMC3;KDM2A;TRRAP;CNOT1;PHF20L1;CHD2;XPO1;SYNJ1;KIF1B;MARCH6;PSIP1;PCF11;UBE4B;PCNT;NF1;CLIP1;GSK3B;FXR2;GTF2A1;SP3;EP300;CUL2;DYRK1A;ZFHX3;NRF1;CEP135;ELMSAN1;BRWD3;VPS13C;TLK2;PHF6;AC118549.1;STAG2;TNRC6A;SMG7;PANK3;UPF2;MSL2;PDS5B;RLIM;GPATCH2L;SENP1;MED13;BAZ2A;TLK1;YEATS2;HECTD1;SCAF8;TRIM33;THRAP3;KDM3A;DNMT3A;NCOA3</t>
  </si>
  <si>
    <t>E2F_Q4</t>
  </si>
  <si>
    <t>10236;9972;5591;3609;56957;25836;55252;57532;56946;57695;55193;10274;91746;55914;79677;84146;7750;9126;23215;1106;5422;23468;6670;9221;10714;55596;10735;80314</t>
  </si>
  <si>
    <t>HNRNPR;NUP153;PRKDC;ILF3;OTUD7B;NIPBL;ASXL2;NUFIP2;EMSY;USP37;PBRM1;STAG1;YTHDC1;ERBIN;SMC6;ZNF644;ZMYM2;SMC3;PRRC2C;CHD2;POLA1;CBX5;SP3;NOLC1;POLD3;ZCCHC8;STAG2;EPC1</t>
  </si>
  <si>
    <t>http://www.broadinstitute.org/gsea/msigdb/cards/E2F_Q4.html</t>
  </si>
  <si>
    <t>CAGTGTT_MIR141_MIR200A</t>
  </si>
  <si>
    <t>23060;23317;7468;6651;7182;8019;23389;23063;171023;23001;7248;81609;91746;80351;84146;57609;51479;23637;10915;6801;867;8621;80205;57534;204851;23299;8239;155435;56995;23047;23112</t>
  </si>
  <si>
    <t>ZNF609;DNAJC13;NSD2;SON;NR2C2;BRD3;MED13L;WAPL;ASXL1;WDFY3;TSC1;SNX27;YTHDC1;TNKS2;ZNF644;DIP2B;ANKFY1;RABGAP1;TCERG1;STRN;CBL;CDK13;CHD9;MIB1;HIPK1;BICD2;USP9X;RBM33;TULP4;PDS5B;TNRC6B</t>
  </si>
  <si>
    <t>http://www.broadinstitute.org/gsea/msigdb/cards/CAGTGTT_MIR141_MIR200A.html</t>
  </si>
  <si>
    <t>ACTTTAT_MIR1425P</t>
  </si>
  <si>
    <t>5980;6651;8899;221037;11052;157769;196528;10274;57679;51773;29072;23131;8867;10299;905;64854;2033;8453;4863;6596;80205;51742;253959;204851;79598;22849;23013;23047;55727;11176</t>
  </si>
  <si>
    <t>REV3L;SON;PRPF4B;JMJD1C;CPSF6;FAM91A1;ARID2;STAG1;ALS2;RSF1;SETD2;GPATCH8;SYNJ1;MARCH6;CCNT2;USP46;EP300;CUL2;NPAT;HLTF;CHD9;ARID4B;RALGAPA1;HIPK1;CEP97;CPEB3;SPEN;PDS5B;BTBD7;BAZ2A</t>
  </si>
  <si>
    <t>http://www.broadinstitute.org/gsea/msigdb/cards/ACTTTAT_MIR1425P.html</t>
  </si>
  <si>
    <t>CAGCAGG_MIR370</t>
  </si>
  <si>
    <t>5495;4297;3609;10771;54619;90957;57551;57695;55193;51230;51105;9880;8812;51182;22984;51742;9887;54765;80155;56980;11176;51592;1788</t>
  </si>
  <si>
    <t>PPM1B;KMT2A;ILF3;ZMYND11;CCNJ;DHX57;TAOK1;USP37;PBRM1;PHF20;PHF20L1;ZBTB39;CCNK;HSPA14;PDCD11;ARID4B;SMG7;TRIM44;NAA15;PRDM10;BAZ2A;TRIM33;DNMT3A</t>
  </si>
  <si>
    <t>http://www.broadinstitute.org/gsea/msigdb/cards/CAGCAGG_MIR370.html</t>
  </si>
  <si>
    <t>ATTCTTT_MIR186</t>
  </si>
  <si>
    <t>9877;5495;7175;3192;8661;23244;255967;23001;81609;7750;29994;11244;9880;905;7528;987;6670;2033;8505;26009;10735;22849;5814;80155;26054;56980;23047;6942;22828</t>
  </si>
  <si>
    <t>ZC3H11A;PPM1B;TPR;HNRNPU;EIF3A;PDS5A;PAN3;WDFY3;SNX27;ZMYM2;BAZ2B;ZHX1;ZBTB39;CCNT2;YY1;LRBA;SP3;EP300;PARG;AC118549.1;STAG2;CPEB3;PURB;NAA15;SENP6;PRDM10;PDS5B;TCF20;SCAF8</t>
  </si>
  <si>
    <t>http://www.broadinstitute.org/gsea/msigdb/cards/ATTCTTT_MIR186.html</t>
  </si>
  <si>
    <t>E2F_Q6</t>
  </si>
  <si>
    <t>10236;9972;5591;3609;8899;56957;25836;55252;57532;56946;57695;55193;10274;91746;55914;79677;84146;7750;9126;23215;5422;23468;6670;9221;10714;55596;10735</t>
  </si>
  <si>
    <t>HNRNPR;NUP153;PRKDC;ILF3;PRPF4B;OTUD7B;NIPBL;ASXL2;NUFIP2;EMSY;USP37;PBRM1;STAG1;YTHDC1;ERBIN;SMC6;ZNF644;ZMYM2;SMC3;PRRC2C;POLA1;CBX5;SP3;NOLC1;POLD3;ZCCHC8;STAG2</t>
  </si>
  <si>
    <t>http://www.broadinstitute.org/gsea/msigdb/cards/E2F_Q6.html</t>
  </si>
  <si>
    <t>TGCACTG_MIR148A_MIR152_MIR148B</t>
  </si>
  <si>
    <t>9044;7468;1656;4297;4520;253260;80204;22853;23032;81609;9169;23131;26523;57472;23405;6874;8867;2033;3930;80205;284058;84196;26065;27327;84669;80155;51132;55636;11176;23112</t>
  </si>
  <si>
    <t>BTAF1;NSD2;DDX6;KMT2A;MTF1;RICTOR;FBXO11;LMTK2;USP33;SNX27;SCAF11;GPATCH8;AGO1;CNOT6;DICER1;TAF4;SYNJ1;EP300;LBR;CHD9;KANSL1;USP48;LSM14A;TNRC6A;USP32;NAA15;RLIM;CHD7;BAZ2A;TNRC6B</t>
  </si>
  <si>
    <t>http://www.broadinstitute.org/gsea/msigdb/cards/TGCACTG_MIR148A_MIR152_MIR148B.html</t>
  </si>
  <si>
    <t>CTACTGT_MIR199A</t>
  </si>
  <si>
    <t>2475;9584;80018;26058;23063;91746;53944;29994;11244;905;867;8087;27332;51742;84295;80155;23047;51132;55727;55636;23112;55818;1788;4216</t>
  </si>
  <si>
    <t>MTOR;RBM39;NAA25;GIGYF2;WAPL;YTHDC1;CSNK1G1;BAZ2B;ZHX1;CCNT2;CBL;FXR1;ZNF638;ARID4B;PHF6;NAA15;PDS5B;RLIM;BTBD7;CHD7;TNRC6B;KDM3A;DNMT3A;MAP3K4</t>
  </si>
  <si>
    <t>http://www.broadinstitute.org/gsea/msigdb/cards/CTACTGT_MIR199A.html</t>
  </si>
  <si>
    <t>TTTGCAG_MIR518A2</t>
  </si>
  <si>
    <t>3840;10236;8672;9139;26057;9611;23389;55193;58508;79811;6874;8453;1859;122830;4899;80205;55432;84295;10735;155435;5814;55167;10765;27161;25831</t>
  </si>
  <si>
    <t>KPNA4;HNRNPR;EIF4G3;CBFA2T2;ANKRD17;NCOR1;MED13L;PBRM1;KMT2C;SLTM;TAF4;CUL2;DYRK1A;NAA30;NRF1;CHD9;YOD1;PHF6;STAG2;RBM33;PURB;MSL2;KDM5B;AGO2;HECTD1</t>
  </si>
  <si>
    <t>http://www.broadinstitute.org/gsea/msigdb/cards/TTTGCAG_MIR518A2.html</t>
  </si>
  <si>
    <t>GTACTGT_MIR101</t>
  </si>
  <si>
    <t>9139;5980;26057;546;4297;8899;54619;23126;56946;23369;55914;29072;57609;51105;867;6789;1859;11011;10735;22849;23299;5814;79646;56995;11176;23112;1788</t>
  </si>
  <si>
    <t>CBFA2T2;REV3L;ANKRD17;ATRX;KMT2A;PRPF4B;CCNJ;POGZ;EMSY;PUM2;ERBIN;SETD2;DIP2B;PHF20L1;CBL;STK4;DYRK1A;TLK2;STAG2;CPEB3;BICD2;PURB;PANK3;TULP4;BAZ2A;TNRC6B;DNMT3A</t>
  </si>
  <si>
    <t>http://www.broadinstitute.org/gsea/msigdb/cards/GTACTGT_MIR101.html</t>
  </si>
  <si>
    <t>CTTTGT_LEF1_Q2</t>
  </si>
  <si>
    <t>8085;10236;23451;673;6872;546;2969;54799;6654;1660;2186;3609;1778;221037;8925;23244;54619;253143;157769;90957;23253;9736;57532;23332;5930;55193;80204;58508;10274;7248;64324;85440;55914;10142;29072;80351;84146;51755;26523;23423;1106;571;9870;23140;23095;10299;51585;3096;867;2932;9513;4301;7024;93;4863;23198;463;5586;139285;23033;347240;27042;91748;55632;55605;11011;144348;27327;6601;56987;7994;55705;2140;80314;79646;11176;9874;9329;27161;25831;55818;1788</t>
  </si>
  <si>
    <t>KMT2D;HNRNPR;SF3B1;BRAF;TAF1;ATRX;GTF2I;MBTD1;SOS1;DHX9;BPTF;ILF3;DYNC1H1;JMJD1C;HERC1;PDS5A;CCNJ;PRR14L;FAM91A1;DHX57;ANKRD12;USP34;NUFIP2;CLASP1;RBBP6;PBRM1;FBXO11;KMT2C;STAG1;TSC1;NSD1;DOCK7;ERBIN;AKAP9;SETD2;TNKS2;ZNF644;CDK12;AGO1;TMED3;CHD2;BACH1;AREL1;ZZEF1;KIF1B;MARCH6;PCF11;HIVEP1;CBL;GSK3B;FXR2;AFDN;TFCP2;ACVR2B;NPAT;PSME4;ZFHX3;PKN2;AMER1;DOP1A;KIF24;UTP25;ELMSAN1;G2E3;KIF21A;TLK2;ZNF664;TNRC6A;SMARCC2;BBX;KAT6A;IPO9;EYA3;EPC1;PANK3;BAZ2A;TLK1;GTF3C4;AGO2;HECTD1;KDM3A;DNMT3A</t>
  </si>
  <si>
    <t>http://www.broadinstitute.org/gsea/msigdb/cards/CTTTGT_LEF1_Q2.html</t>
  </si>
  <si>
    <t>CACGTG_MYC_Q2</t>
  </si>
  <si>
    <t>11128;26057;51366;27107;9972;4297;3609;8661;23054;80018;23352;23253;26058;9736;5930;55193;7248;23049;10940;79691;23195;11276;9126;23637;23215;51105;10915;7514;10277;2876;5422;23468;2932;8087;2957;5471;93;139285;23033;25948;26009;2074;80012;7994;9786;80314;79646;9923;51455;11108;27161;55689;55818;9904;1788</t>
  </si>
  <si>
    <t>POLR3A;ANKRD17;UBR5;ZBTB11;NUP153;KMT2A;ILF3;EIF3A;NCOA6;NAA25;UBR4;ANKRD12;GIGYF2;USP34;RBBP6;PBRM1;TSC1;SMG1;POP1;QTRT2;MDN1;SYNRG;SMC3;RABGAP1;PRRC2C;PHF20L1;TCERG1;XPO1;UBE4B;GPX1;POLA1;CBX5;GSK3B;FXR1;GTF2A1;PPAT;ACVR2B;AMER1;DOP1A;KBTBD2;AC118549.1;ERCC6;PHC3;KAT6A;KIAA0586;EPC1;PANK3;ZBTB40;REV1;PRDM4;AGO2;YEATS2;KDM3A;RBM19;DNMT3A</t>
  </si>
  <si>
    <t>http://www.broadinstitute.org/gsea/msigdb/cards/CACGTG_MYC_Q2.html</t>
  </si>
  <si>
    <t>YY1_Q6</t>
  </si>
  <si>
    <t>9611;5451;1656;405;7156;1778;55183;26058;56946;7248;80351;55870;23215;23140;8812;10277;5116;7528;4140;2033;9698;140775;55743;80314;9923;4216</t>
  </si>
  <si>
    <t>NCOR1;POU2F1;DDX6;ARNT;TOP3A;DYNC1H1;RIF1;GIGYF2;EMSY;TSC1;TNKS2;ASH1L;PRRC2C;ZZEF1;CCNK;UBE4B;PCNT;YY1;MARK3;EP300;PUM1;SMCR8;CHFR;EPC1;ZBTB40;MAP3K4</t>
  </si>
  <si>
    <t>http://www.broadinstitute.org/gsea/msigdb/cards/YY1_Q6.html</t>
  </si>
  <si>
    <t>AGCACTT_MIR93_MIR302A_MIR302B_MIR302C_MIR302D_MIR372_MIR373_MIR520E_MIR520A_MIR526B_MIR520B_MIR520C_MIR520D</t>
  </si>
  <si>
    <t>27107;7586;7182;4297;9135;10771;9321;255967;54619;130507;65117;57532;56946;80204;58508;80312;57459;80351;57472;23637;10914;64854;51742;55432;284058;84295;5814;84132;29843;11108</t>
  </si>
  <si>
    <t>ZBTB11;ZKSCAN1;NR2C2;KMT2A;RABEP1;ZMYND11;TRIP11;PAN3;CCNJ;UBR3;RSRC2;NUFIP2;EMSY;FBXO11;KMT2C;TET1;GATAD2B;TNKS2;CNOT6;RABGAP1;PAPOLA;USP46;ARID4B;YOD1;KANSL1;PHF6;PURB;USP42;SENP1;PRDM4</t>
  </si>
  <si>
    <t>http://www.broadinstitute.org/gsea/msigdb/cards/AGCACTT_MIR93_MIR302A_MIR302B_MIR302C_MIR302D_MIR372_MIR373_MIR520E_MIR520A_MIR526B_MIR520B_MIR520C_MIR520D.html</t>
  </si>
  <si>
    <t>TGGTGCT_MIR29A_MIR29B_MIR29C</t>
  </si>
  <si>
    <t>3840;23060;5980;7468;405;4297;257218;9869;56946;57695;23001;80312;23185;57448;57609;26523;23405;22992;905;7528;55014;11214;23198;139285;91748;254065;8505;10735;22849;55743;23013;84132;54014;9923;29843;1788;8202</t>
  </si>
  <si>
    <t>KPNA4;ZNF609;REV3L;NSD2;ARNT;KMT2A;SHPRH;SETDB1;EMSY;USP37;WDFY3;TET1;LARP4B;BIRC6;DIP2B;AGO1;DICER1;KDM2A;CCNT2;YY1;STX17;AKAP13;PSME4;AMER1;ELMSAN1;BRWD3;PARG;STAG2;CPEB3;CHFR;SPEN;USP42;BRWD1;ZBTB40;SENP1;DNMT3A;NCOA3</t>
  </si>
  <si>
    <t>http://www.broadinstitute.org/gsea/msigdb/cards/TGGTGCT_MIR29A_MIR29B_MIR29C.html</t>
  </si>
  <si>
    <t>AAGCACT_MIR520F</t>
  </si>
  <si>
    <t>23317;27107;7586;7182;4297;9135;255967;9857;253260;130507;80312;57459;91746;57472;23637;10914;51182;51742;55432;55671;5814;84132;29843;11108;23112</t>
  </si>
  <si>
    <t>DNAJC13;ZBTB11;ZKSCAN1;NR2C2;KMT2A;RABEP1;PAN3;CEP350;RICTOR;UBR3;TET1;GATAD2B;YTHDC1;CNOT6;RABGAP1;PAPOLA;HSPA14;ARID4B;YOD1;PPP4R3A;PURB;USP42;SENP1;PRDM4;TNRC6B</t>
  </si>
  <si>
    <t>http://www.broadinstitute.org/gsea/msigdb/cards/AAGCACT_MIR520F.html</t>
  </si>
  <si>
    <t>GTTATAT_MIR410</t>
  </si>
  <si>
    <t>11052;196528;23253;53944;29994;51105;7528;6670;51742;84295;26009;22849;7994;55167;55636;23499;23112</t>
  </si>
  <si>
    <t>CPSF6;ARID2;ANKRD12;CSNK1G1;BAZ2B;PHF20L1;YY1;SP3;ARID4B;PHF6;AC118549.1;CPEB3;KAT6A;MSL2;CHD7;MACF1;TNRC6B</t>
  </si>
  <si>
    <t>http://www.broadinstitute.org/gsea/msigdb/cards/GTTATAT_MIR410.html</t>
  </si>
  <si>
    <t>ACTGCCT_MIR34B</t>
  </si>
  <si>
    <t>23077;140710;6659;6433;196528;23253;57551;57532;57492;10137;57472;10299;51585;10914;51742;139285;91748;92140;26009;22849;5814;55342;9969;7707</t>
  </si>
  <si>
    <t>MYCBP2;SOGA1;SOX4;SFSWAP;ARID2;ANKRD12;TAOK1;NUFIP2;ARID1B;RBM12;CNOT6;MARCH6;PCF11;PAPOLA;ARID4B;AMER1;ELMSAN1;MTDH;AC118549.1;CPEB3;PURB;STRBP;MED13;ZNF148</t>
  </si>
  <si>
    <t>http://www.broadinstitute.org/gsea/msigdb/cards/ACTGCCT_MIR34B.html</t>
  </si>
  <si>
    <t>E2F1_Q4_01</t>
  </si>
  <si>
    <t>9631;5981;546;9972;5591;23054;56957;25836;55252;374354;10274;23049;55914;79677;30849;7750;9126;23215;905;5422;23468;55596;10735;55818</t>
  </si>
  <si>
    <t>NUP155;RFC1;ATRX;NUP153;PRKDC;NCOA6;OTUD7B;NIPBL;ASXL2;NHLRC2;STAG1;SMG1;ERBIN;SMC6;PIK3R4;ZMYM2;SMC3;PRRC2C;CCNT2;POLA1;CBX5;ZCCHC8;STAG2;KDM3A</t>
  </si>
  <si>
    <t>http://www.broadinstitute.org/gsea/msigdb/cards/E2F1_Q4_01.html</t>
  </si>
  <si>
    <t>E2F1DP1RB_01</t>
  </si>
  <si>
    <t>10236;5981;546;3609;9360;56957;25836;55252;57532;56946;57695;91746;79677;84146;7750;9126;23215;5422;23468;6670;9221;10714;55596;10735</t>
  </si>
  <si>
    <t>HNRNPR;RFC1;ATRX;ILF3;PPIG;OTUD7B;NIPBL;ASXL2;NUFIP2;EMSY;USP37;YTHDC1;SMC6;ZNF644;ZMYM2;SMC3;PRRC2C;POLA1;CBX5;SP3;NOLC1;POLD3;ZCCHC8;STAG2</t>
  </si>
  <si>
    <t>http://www.broadinstitute.org/gsea/msigdb/cards/E2F1DP1RB_01.html</t>
  </si>
  <si>
    <t>GGCAGCT_MIR22</t>
  </si>
  <si>
    <t>23060;23244;90957;57695;23001;80351;26523;51105;9880;867;64854;2033;80205;55671;11011;10735;283337;5814;64783;80314;55167;55636;23112;55818</t>
  </si>
  <si>
    <t>ZNF609;PDS5A;DHX57;USP37;WDFY3;TNKS2;AGO1;PHF20L1;ZBTB39;CBL;USP46;EP300;CHD9;PPP4R3A;TLK2;STAG2;ZNF740;PURB;RBM15;EPC1;MSL2;CHD7;TNRC6B;KDM3A</t>
  </si>
  <si>
    <t>http://www.broadinstitute.org/gsea/msigdb/cards/GGCAGCT_MIR22.html</t>
  </si>
  <si>
    <t>AAGCACA_MIR218</t>
  </si>
  <si>
    <t>23060;23317;23328;27107;4297;26130;9135;253260;130507;23369;23185;6311;57448;79811;7776;22992;8867;3096;9698;10714;51742;284058;84295;254887;84669;5814;55167;58487;29843;6942;10762</t>
  </si>
  <si>
    <t>ZNF609;DNAJC13;SASH1;ZBTB11;KMT2A;GAPVD1;RABEP1;RICTOR;UBR3;PUM2;LARP4B;ATXN2;BIRC6;SLTM;ZNF236;KDM2A;SYNJ1;HIVEP1;PUM1;POLD3;ARID4B;KANSL1;PHF6;ZDHHC23;USP32;PURB;MSL2;CREBZF;SENP1;TCF20;NUP50</t>
  </si>
  <si>
    <t>http://www.broadinstitute.org/gsea/msigdb/cards/AAGCACA_MIR218.html</t>
  </si>
  <si>
    <t>GTTTGTT_MIR495</t>
  </si>
  <si>
    <t>9139;140710;3192;3609;11052;253260;57532;56946;91746;64682;6801;867;4140;7109;1859;122830;55187;204851;84295;10735;27327;22849;84669;58487;51455</t>
  </si>
  <si>
    <t>CBFA2T2;SOGA1;HNRNPU;ILF3;CPSF6;RICTOR;NUFIP2;EMSY;YTHDC1;ANAPC1;STRN;CBL;MARK3;TRAPPC10;DYRK1A;NAA30;VPS13D;HIPK1;PHF6;STAG2;TNRC6A;CPEB3;USP32;CREBZF;REV1</t>
  </si>
  <si>
    <t>http://www.broadinstitute.org/gsea/msigdb/cards/GTTTGTT_MIR495.html</t>
  </si>
  <si>
    <t>TAGCTTT_MIR9</t>
  </si>
  <si>
    <t>6659;8899;9793;9584;10771;11052;9202;55914;51773;51322;11244;51105;8087;6789;57534;204851;84295;144348;22849;58487;23047;29843;51592;23112</t>
  </si>
  <si>
    <t>SOX4;PRPF4B;CKAP5;RBM39;ZMYND11;CPSF6;ZMYM4;ERBIN;RSF1;WAC;ZHX1;PHF20L1;FXR1;STK4;MIB1;HIPK1;PHF6;ZNF664;CPEB3;CREBZF;PDS5B;SENP1;TRIM33;TNRC6B</t>
  </si>
  <si>
    <t>http://www.broadinstitute.org/gsea/msigdb/cards/TAGCTTT_MIR9.html</t>
  </si>
  <si>
    <t>E2F1_Q6_01</t>
  </si>
  <si>
    <t>10236;5451;5591;3609;23054;158427;56957;25836;55252;57532;57695;10274;55914;79677;84146;7750;5422;23468;9513;472;4863;9221;10714;10735</t>
  </si>
  <si>
    <t>HNRNPR;POU2F1;PRKDC;ILF3;NCOA6;TSTD2;OTUD7B;NIPBL;ASXL2;NUFIP2;USP37;STAG1;ERBIN;SMC6;ZNF644;ZMYM2;POLA1;CBX5;FXR2;ATM;NPAT;NOLC1;POLD3;STAG2</t>
  </si>
  <si>
    <t>http://www.broadinstitute.org/gsea/msigdb/cards/E2F1_Q6_01.html</t>
  </si>
  <si>
    <t>GTGACGY_E4F1_Q6</t>
  </si>
  <si>
    <t>9044;26057;51366;27107;673;1656;5048;5903;5062;4520;9733;23352;26058;23064;56946;27291;5930;55193;22853;10274;91746;10730;80351;170506;84146;59343;22992;23140;8867;23095;10299;4763;2005;2957;7024;9221;22850;5814;79048;51132</t>
  </si>
  <si>
    <t>BTAF1;ANKRD17;UBR5;ZBTB11;BRAF;DDX6;PAFAH1B1;RANBP2;PAK2;MTF1;SART3;UBR4;GIGYF2;SETX;EMSY;R3HCC1L;RBBP6;PBRM1;LMTK2;STAG1;YTHDC1;YME1L1;TNKS2;DHX36;ZNF644;SENP2;KDM2A;ZZEF1;SYNJ1;KIF1B;MARCH6;NF1;ELK4;GTF2A1;TFCP2;NOLC1;ADNP2;PURB;SECISBP2;RLIM</t>
  </si>
  <si>
    <t>http://www.broadinstitute.org/gsea/msigdb/cards/GTGACGY_E4F1_Q6.html</t>
  </si>
  <si>
    <t>GACTGTT_MIR212_MIR132</t>
  </si>
  <si>
    <t>9826;23077;3192;6659;8899;157769;196528;90957;8880;84146;51105;6874;10914;8087;2033;91748;8239;5814;54014;55727</t>
  </si>
  <si>
    <t>ARHGEF11;MYCBP2;HNRNPU;SOX4;PRPF4B;FAM91A1;ARID2;DHX57;FUBP1;ZNF644;PHF20L1;TAF4;PAPOLA;FXR1;EP300;ELMSAN1;USP9X;PURB;BRWD1;BTBD7</t>
  </si>
  <si>
    <t>http://www.broadinstitute.org/gsea/msigdb/cards/GACTGTT_MIR212_MIR132.html</t>
  </si>
  <si>
    <t>51366;6651;5903;8899;8661;221037;9857;25836;253260;23032;6311;7750;29994;23131;26523;200576;23660;23019;987;6670;6789;9698;84295;26009;5814;55167;54014;51132</t>
  </si>
  <si>
    <t>UBR5;SON;RANBP2;PRPF4B;EIF3A;JMJD1C;CEP350;NIPBL;RICTOR;USP33;ATXN2;ZMYM2;BAZ2B;GPATCH8;AGO1;PIKFYVE;ZKSCAN5;CNOT1;LRBA;SP3;STK4;PUM1;PHF6;AC118549.1;PURB;MSL2;BRWD1;RLIM</t>
  </si>
  <si>
    <t>GCAAAAA_MIR129</t>
  </si>
  <si>
    <t>23060;8672;23317;1656;405;7182;6659;2186;3609;23244;25836;23389;57532;79811;22992;6670;2033;388228;119016;192669;55636</t>
  </si>
  <si>
    <t>ZNF609;EIF4G3;DNAJC13;DDX6;ARNT;NR2C2;SOX4;BPTF;ILF3;PDS5A;NIPBL;MED13L;NUFIP2;SLTM;KDM2A;SP3;EP300;SBK1;AGAP4;AGO3;CHD7</t>
  </si>
  <si>
    <t>http://www.broadinstitute.org/gsea/msigdb/cards/GCAAAAA_MIR129.html</t>
  </si>
  <si>
    <t>AACTTT_UNKNOWN</t>
  </si>
  <si>
    <t>8085;9826;10236;9475;7468;5451;3799;5981;4297;6659;2186;6433;8899;23244;22848;23352;84614;9857;9202;157769;56957;25836;6873;26058;130507;65117;56946;58508;57492;84181;10274;7248;64324;81609;29072;57448;51755;200576;22992;23637;1106;7514;23633;51585;2876;64854;1859;388289;23033;55671;91748;254065;9879;284058;200030;11011;204851;84295;10735;7994;84725;79048;26054;80314;58487;23047;9969;9874;27161;22828;9967;55818;1788;8202;4216</t>
  </si>
  <si>
    <t>KMT2D;ARHGEF11;HNRNPR;ROCK2;NSD2;POU2F1;KIF5B;RFC1;KMT2A;SOX4;BPTF;SFSWAP;PRPF4B;PDS5A;AAK1;UBR4;ZBTB37;CEP350;ZMYM4;FAM91A1;OTUD7B;NIPBL;TAF2;GIGYF2;UBR3;RSRC2;EMSY;KMT2C;ARID1B;CHD6;STAG1;TSC1;NSD1;SNX27;SETD2;BIRC6;CDK12;PIKFYVE;KDM2A;RABGAP1;CHD2;XPO1;KPNA6;PCF11;GPX1;USP46;DYRK1A;ZFHX3;DOP1A;PPP4R3A;ELMSAN1;BRWD3;DDX46;KANSL1;NBPF11;TLK2;HIPK1;PHF6;STAG2;KAT6A;PLEKHA8;SECISBP2;SENP6;EPC1;CREBZF;PDS5B;MED13;TLK1;AGO2;SCAF8;THRAP3;KDM3A;DNMT3A;NCOA3;MAP3K4</t>
  </si>
  <si>
    <t>http://www.broadinstitute.org/gsea/msigdb/cards/AACTTT_UNKNOWN.html</t>
  </si>
  <si>
    <t>USF_02</t>
  </si>
  <si>
    <t>51366;5981;3609;7156;8661;23054;23253;26058;130507;84181;29072;9126;51105;10915;7514;10277;2876;3096;23468;2957;25948;140775;80314;11108;1788</t>
  </si>
  <si>
    <t>UBR5;RFC1;ILF3;TOP3A;EIF3A;NCOA6;ANKRD12;GIGYF2;UBR3;CHD6;SETD2;SMC3;PHF20L1;TCERG1;XPO1;UBE4B;GPX1;HIVEP1;CBX5;GTF2A1;KBTBD2;SMCR8;EPC1;PRDM4;DNMT3A</t>
  </si>
  <si>
    <t>http://www.broadinstitute.org/gsea/msigdb/cards/USF_02.html</t>
  </si>
  <si>
    <t>E2F1_Q6</t>
  </si>
  <si>
    <t>10236;5591;3609;8899;56957;25836;55252;57532;56946;57695;55193;10274;91746;55914;79677;84146;9126;5422;6670;9221;10714;55596;10735</t>
  </si>
  <si>
    <t>HNRNPR;PRKDC;ILF3;PRPF4B;OTUD7B;NIPBL;ASXL2;NUFIP2;EMSY;USP37;PBRM1;STAG1;YTHDC1;ERBIN;SMC6;ZNF644;SMC3;POLA1;SP3;NOLC1;POLD3;ZCCHC8;STAG2</t>
  </si>
  <si>
    <t>http://www.broadinstitute.org/gsea/msigdb/cards/E2F1_Q6.html</t>
  </si>
  <si>
    <t>27107;5451;1656;546;6433;3609;54619;253143;25836;23332;10137;7750;22992;2844;23019;1106;23095;51585;4763;7174;23468;2932;6670;27332;4899;27042;80314;79646;9969;9874</t>
  </si>
  <si>
    <t>ZBTB11;POU2F1;DDX6;ATRX;SFSWAP;ILF3;CCNJ;PRR14L;NIPBL;CLASP1;RBM12;ZMYM2;KDM2A;RABGAP1;CNOT1;CHD2;KIF1B;PCF11;NF1;TPP2;CBX5;GSK3B;SP3;ZNF638;NRF1;UTP25;EPC1;PANK3;MED13;TLK1</t>
  </si>
  <si>
    <t>GCGSCMNTTT_UNKNOWN</t>
  </si>
  <si>
    <t>5451;56957;9774;23019;5422;5471;472;4863;9662;10735;80314;79723;56980;23047</t>
  </si>
  <si>
    <t>POU2F1;OTUD7B;BCLAF1;CNOT1;POLA1;PPAT;ATM;NPAT;CEP135;STAG2;EPC1;SUV39H2;PRDM10;PDS5B</t>
  </si>
  <si>
    <t>http://www.broadinstitute.org/gsea/msigdb/cards/GCGSCMNTTT_UNKNOWN.html</t>
  </si>
  <si>
    <t>E2F_02</t>
  </si>
  <si>
    <t>10236;5591;3609;9360;8899;56957;25836;55252;57532;56946;57695;55193;10274;91746;79677;84146;9126;5422;6670;9221;10714;55596;10735</t>
  </si>
  <si>
    <t>HNRNPR;PRKDC;ILF3;PPIG;PRPF4B;OTUD7B;NIPBL;ASXL2;NUFIP2;EMSY;USP37;PBRM1;STAG1;YTHDC1;SMC6;ZNF644;SMC3;POLA1;SP3;NOLC1;POLD3;ZCCHC8;STAG2</t>
  </si>
  <si>
    <t>http://www.broadinstitute.org/gsea/msigdb/cards/E2F_02.html</t>
  </si>
  <si>
    <t>E2F_Q3_01</t>
  </si>
  <si>
    <t>9631;5981;9972;5591;23054;56957;25836;55252;374354;10274;23049;55914;79677;30849;7750;9126;23215;5422;23468;55596;10735;23047;55818</t>
  </si>
  <si>
    <t>NUP155;RFC1;NUP153;PRKDC;NCOA6;OTUD7B;NIPBL;ASXL2;NHLRC2;STAG1;SMG1;ERBIN;SMC6;PIK3R4;ZMYM2;SMC3;PRRC2C;POLA1;CBX5;ZCCHC8;STAG2;PDS5B;KDM3A</t>
  </si>
  <si>
    <t>http://www.broadinstitute.org/gsea/msigdb/cards/E2F_Q3_01.html</t>
  </si>
  <si>
    <t>E2F1_Q4</t>
  </si>
  <si>
    <t>5981;9972;5591;26098;51248;56957;65117;56946;5930;374354;10274;55914;7750;9126;23215;9870;23633;23468;5586;55596;10735;55705;80314</t>
  </si>
  <si>
    <t>RFC1;NUP153;PRKDC;EDRF1;PDZD11;OTUD7B;RSRC2;EMSY;RBBP6;NHLRC2;STAG1;ERBIN;ZMYM2;SMC3;PRRC2C;AREL1;KPNA6;CBX5;PKN2;ZCCHC8;STAG2;IPO9;EPC1</t>
  </si>
  <si>
    <t>http://www.broadinstitute.org/gsea/msigdb/cards/E2F1_Q4.html</t>
  </si>
  <si>
    <t>TAATGTG_MIR323</t>
  </si>
  <si>
    <t>9044;5980;7468;3836;7155;205717;57532;23332;84079;170506;7750;11244;64854;204851;27327;8239;55689;51592;23200</t>
  </si>
  <si>
    <t>BTAF1;REV3L;NSD2;KPNA1;TOP2B;USF3;NUFIP2;CLASP1;ANKRD27;DHX36;ZMYM2;ZHX1;USP46;HIPK1;TNRC6A;USP9X;YEATS2;TRIM33;ATP11B</t>
  </si>
  <si>
    <t>http://www.broadinstitute.org/gsea/msigdb/cards/TAATGTG_MIR323.html</t>
  </si>
  <si>
    <t>ACAGGGT_MIR10A_MIR10B</t>
  </si>
  <si>
    <t>6651;405;5048;23054;10771;171023;53944;51479;29994;57472;9513;64854;51182;5814;80155;54014;23112</t>
  </si>
  <si>
    <t>SON;ARNT;PAFAH1B1;NCOA6;ZMYND11;ASXL1;CSNK1G1;ANKFY1;BAZ2B;CNOT6;FXR2;USP46;HSPA14;PURB;NAA15;BRWD1;TNRC6B</t>
  </si>
  <si>
    <t>http://www.broadinstitute.org/gsea/msigdb/cards/ACAGGGT_MIR10A_MIR10B.html</t>
  </si>
  <si>
    <t>CACCAGC_MIR138</t>
  </si>
  <si>
    <t>23060;9139;9475;140710;5781;6659;8899;10771;221037;90957;23049;51773;26523;388289;55671;26065;7994;55802;56995;55668;29843;23499</t>
  </si>
  <si>
    <t>ZNF609;CBFA2T2;ROCK2;SOGA1;PTPN11;SOX4;PRPF4B;ZMYND11;JMJD1C;DHX57;SMG1;RSF1;AGO1;ZFHX3;PPP4R3A;LSM14A;KAT6A;DCP1A;TULP4;GPATCH2L;SENP1;MACF1</t>
  </si>
  <si>
    <t>http://www.broadinstitute.org/gsea/msigdb/cards/CACCAGC_MIR138.html</t>
  </si>
  <si>
    <t>ACACTAC_MIR1423P</t>
  </si>
  <si>
    <t>9475;4299;4297;253260;57551;23049;9774;571;7514;905;11168;2957;9698;254065;5814;55727;25831</t>
  </si>
  <si>
    <t>ROCK2;AFF1;KMT2A;RICTOR;TAOK1;SMG1;BCLAF1;BACH1;XPO1;CCNT2;PSIP1;GTF2A1;PUM1;BRWD3;PURB;BTBD7;HECTD1</t>
  </si>
  <si>
    <t>http://www.broadinstitute.org/gsea/msigdb/cards/ACACTAC_MIR1423P.html</t>
  </si>
  <si>
    <t>E2F1DP1_01</t>
  </si>
  <si>
    <t>10236;5591;3609;9360;8899;56957;25836;55252;57532;56946;57695;55193;10274;91746;79677;84146;9126;5422;6670;9221;10714;55596</t>
  </si>
  <si>
    <t>HNRNPR;PRKDC;ILF3;PPIG;PRPF4B;OTUD7B;NIPBL;ASXL2;NUFIP2;EMSY;USP37;PBRM1;STAG1;YTHDC1;SMC6;ZNF644;SMC3;POLA1;SP3;NOLC1;POLD3;ZCCHC8</t>
  </si>
  <si>
    <t>http://www.broadinstitute.org/gsea/msigdb/cards/E2F1DP1_01.html</t>
  </si>
  <si>
    <t>E2F1DP2_01</t>
  </si>
  <si>
    <t>http://www.broadinstitute.org/gsea/msigdb/cards/E2F1DP2_01.html</t>
  </si>
  <si>
    <t>E2F4DP2_01</t>
  </si>
  <si>
    <t>http://www.broadinstitute.org/gsea/msigdb/cards/E2F4DP2_01.html</t>
  </si>
  <si>
    <t>GTGCAAA_MIR507</t>
  </si>
  <si>
    <t>5980;23317;23253;23389;55193;80312;79811;51585;4140;6670;2033;1859;80205;92140;10735;23299;119016</t>
  </si>
  <si>
    <t>REV3L;DNAJC13;ANKRD12;MED13L;PBRM1;TET1;SLTM;PCF11;MARK3;SP3;EP300;DYRK1A;CHD9;MTDH;STAG2;BICD2;AGAP4</t>
  </si>
  <si>
    <t>http://www.broadinstitute.org/gsea/msigdb/cards/GTGCAAA_MIR507.html</t>
  </si>
  <si>
    <t>26057;9631;7579;9972;9733;22848;26098;51248;158427;55275;25836;55252;79677;54552;11276;51105;4763;472;4863;157680;84295;54765;26019</t>
  </si>
  <si>
    <t>ANKRD17;NUP155;ZSCAN20;NUP153;SART3;AAK1;EDRF1;PDZD11;TSTD2;VPS53;NIPBL;ASXL2;SMC6;GNL3L;SYNRG;PHF20L1;NF1;ATM;NPAT;VPS13B;PHF6;TRIM44;UPF2</t>
  </si>
  <si>
    <t>http://www.broadinstitute.org/gsea/msigdb/cards/GABP_B.html</t>
  </si>
  <si>
    <t>ATCATGA_MIR433</t>
  </si>
  <si>
    <t>10236;51366;2186;9320;157769;23253;57472;51105;3096;4140;6249;9662;165055;55167;54014;23112</t>
  </si>
  <si>
    <t>HNRNPR;UBR5;BPTF;TRIP12;FAM91A1;ANKRD12;CNOT6;PHF20L1;HIVEP1;MARK3;CLIP1;CEP135;CCDC138;MSL2;BRWD1;TNRC6B</t>
  </si>
  <si>
    <t>http://www.broadinstitute.org/gsea/msigdb/cards/ATCATGA_MIR433.html</t>
  </si>
  <si>
    <t>ARNT_01</t>
  </si>
  <si>
    <t>51366;4297;3609;5062;8661;23352;23253;5930;55193;11276;10915;7514;10277;23468;5471;25948;80012;7994;9786;80314;11108;27161;1788</t>
  </si>
  <si>
    <t>UBR5;KMT2A;ILF3;PAK2;EIF3A;UBR4;ANKRD12;RBBP6;PBRM1;SYNRG;TCERG1;XPO1;UBE4B;CBX5;PPAT;KBTBD2;PHC3;KAT6A;KIAA0586;EPC1;PRDM4;AGO2;DNMT3A</t>
  </si>
  <si>
    <t>http://www.broadinstitute.org/gsea/msigdb/cards/ARNT_01.html</t>
  </si>
  <si>
    <t>E2F4DP1_01</t>
  </si>
  <si>
    <t>10236;5591;3609;8899;56957;25836;55252;57532;56946;57695;55193;10274;91746;79677;84146;9126;5422;6670;9221;10714;55596;10735</t>
  </si>
  <si>
    <t>HNRNPR;PRKDC;ILF3;PRPF4B;OTUD7B;NIPBL;ASXL2;NUFIP2;EMSY;USP37;PBRM1;STAG1;YTHDC1;SMC6;ZNF644;SMC3;POLA1;SP3;NOLC1;POLD3;ZCCHC8;STAG2</t>
  </si>
  <si>
    <t>http://www.broadinstitute.org/gsea/msigdb/cards/E2F4DP1_01.html</t>
  </si>
  <si>
    <t>ACCAAAG_MIR9</t>
  </si>
  <si>
    <t>7468;7586;6651;5903;5062;9857;56957;23253;171023;57492;55914;9774;26190;51105;8867;10299;10277;7690;1859;4899;55291;55605;8505;204851;54464;84248;79646;56980;56995;29843;9874;23112</t>
  </si>
  <si>
    <t>NSD2;ZKSCAN1;SON;RANBP2;PAK2;CEP350;OTUD7B;ANKRD12;ASXL1;ARID1B;ERBIN;BCLAF1;FBXW2;PHF20L1;SYNJ1;MARCH6;UBE4B;ZNF131;DYRK1A;NRF1;PPP6R3;KIF21A;PARG;HIPK1;XRN1;FYTTD1;PANK3;PRDM10;TULP4;SENP1;TLK1;TNRC6B</t>
  </si>
  <si>
    <t>http://www.broadinstitute.org/gsea/msigdb/cards/ACCAAAG_MIR9.html</t>
  </si>
  <si>
    <t>CACTGTG_MIR128A_MIR128B</t>
  </si>
  <si>
    <t>9826;23328;51366;1656;4297;158427;25836;23389;22853;57492;23049;29994;57472;6874;9880;23468;9513;51742;92140;84295;80155;55802;51132;6942;9969;25831</t>
  </si>
  <si>
    <t>ARHGEF11;SASH1;UBR5;DDX6;KMT2A;TSTD2;NIPBL;MED13L;LMTK2;ARID1B;SMG1;BAZ2B;CNOT6;TAF4;ZBTB39;CBX5;FXR2;ARID4B;MTDH;PHF6;NAA15;DCP1A;RLIM;TCF20;MED13;HECTD1</t>
  </si>
  <si>
    <t>http://www.broadinstitute.org/gsea/msigdb/cards/CACTGTG_MIR128A_MIR128B.html</t>
  </si>
  <si>
    <t>ETF_Q6</t>
  </si>
  <si>
    <t>5451;2475;23352;23248;51322;84146;55870;26523;23633;2005;8453;84196;80314;79723;192669;51592</t>
  </si>
  <si>
    <t>POU2F1;MTOR;UBR4;RPRD2;WAC;ZNF644;ASH1L;AGO1;KPNA6;ELK4;CUL2;USP48;EPC1;SUV39H2;AGO3;TRIM33</t>
  </si>
  <si>
    <t>http://www.broadinstitute.org/gsea/msigdb/cards/ETF_Q6.html</t>
  </si>
  <si>
    <t>E2F_Q2</t>
  </si>
  <si>
    <t>10236;7175;5451;9202;23126;81609;51322;84146;26523;23095;10277;9698;5586;200030;84196;204851;55705;79723;51592</t>
  </si>
  <si>
    <t>HNRNPR;TPR;POU2F1;ZMYM4;POGZ;SNX27;WAC;ZNF644;AGO1;KIF1B;UBE4B;PUM1;PKN2;NBPF11;USP48;HIPK1;IPO9;SUV39H2;TRIM33</t>
  </si>
  <si>
    <t>http://www.broadinstitute.org/gsea/msigdb/cards/E2F_Q2.html</t>
  </si>
  <si>
    <t>ATAGGAA_MIR202</t>
  </si>
  <si>
    <t>4297;23389;55914;57472;867;3930;5469;57534;22849;23299;9887;80155;55167;29843;51592</t>
  </si>
  <si>
    <t>KMT2A;MED13L;ERBIN;CNOT6;CBL;LBR;MED1;MIB1;CPEB3;BICD2;SMG7;NAA15;MSL2;SENP1;TRIM33</t>
  </si>
  <si>
    <t>http://www.broadinstitute.org/gsea/msigdb/cards/ATAGGAA_MIR202.html</t>
  </si>
  <si>
    <t>TGTGTGA_MIR377</t>
  </si>
  <si>
    <t>7468;9972;4297;8899;9320;23054;11052;253260;57492;29994;23637;2033;9698;23198;51742;84295;80155;55727;11176;23499</t>
  </si>
  <si>
    <t>NSD2;NUP153;KMT2A;PRPF4B;TRIP12;NCOA6;CPSF6;RICTOR;ARID1B;BAZ2B;RABGAP1;EP300;PUM1;PSME4;ARID4B;PHF6;NAA15;BTBD7;BAZ2A;MACF1</t>
  </si>
  <si>
    <t>http://www.broadinstitute.org/gsea/msigdb/cards/TGTGTGA_MIR377.html</t>
  </si>
  <si>
    <t>YY1_01</t>
  </si>
  <si>
    <t>26057;1656;5048;7182;2186;9584;130507;10274;29072;84146;55870;1106;23095;51585;10277;2957;9662;11011;84295;26009;80314;56980</t>
  </si>
  <si>
    <t>ANKRD17;DDX6;PAFAH1B1;NR2C2;BPTF;RBM39;UBR3;STAG1;SETD2;ZNF644;ASH1L;CHD2;KIF1B;PCF11;UBE4B;GTF2A1;CEP135;TLK2;PHF6;AC118549.1;EPC1;PRDM10</t>
  </si>
  <si>
    <t>http://www.broadinstitute.org/gsea/msigdb/cards/YY1_01.html</t>
  </si>
  <si>
    <t>AAGCAAT_MIR137</t>
  </si>
  <si>
    <t>6651;5903;4297;10771;11052;23253;130507;10137;57609;7750;22992;1859;5469;51742;55432;55671;145508;57534;26973;9969;51592</t>
  </si>
  <si>
    <t>SON;RANBP2;KMT2A;ZMYND11;CPSF6;ANKRD12;UBR3;RBM12;DIP2B;ZMYM2;KDM2A;DYRK1A;MED1;ARID4B;YOD1;PPP4R3A;CEP128;MIB1;CHORDC1;MED13;TRIM33</t>
  </si>
  <si>
    <t>http://www.broadinstitute.org/gsea/msigdb/cards/AAGCAAT_MIR137.html</t>
  </si>
  <si>
    <t>GTGCCTT_MIR506</t>
  </si>
  <si>
    <t>3840;23060;27107;1656;5048;7182;4297;5781;26130;26098;255967;65117;23001;158405;84079;10730;10137;23131;26523;3096;867;7109;9513;6789;4863;22850;91748;57534;204851;84295;54464;84669;23299;155435;80155;54014;55727;55689;23112</t>
  </si>
  <si>
    <t>KPNA4;ZNF609;ZBTB11;DDX6;PAFAH1B1;NR2C2;KMT2A;PTPN11;GAPVD1;EDRF1;PAN3;RSRC2;WDFY3;KIAA1958;ANKRD27;YME1L1;RBM12;GPATCH8;AGO1;HIVEP1;CBL;TRAPPC10;FXR2;STK4;NPAT;ADNP2;ELMSAN1;MIB1;HIPK1;PHF6;XRN1;USP32;BICD2;RBM33;NAA15;BRWD1;BTBD7;YEATS2;TNRC6B</t>
  </si>
  <si>
    <t>http://www.broadinstitute.org/gsea/msigdb/cards/GTGCCTT_MIR506.html</t>
  </si>
  <si>
    <t>TGACAGNY_MEIS1_01</t>
  </si>
  <si>
    <t>3840;140710;51366;27107;673;1656;5981;5048;6659;9584;23054;157769;25836;23253;55193;58508;3842;55870;11276;51105;1106;7514;23140;23095;51585;5116;8087;2033;27332;4899;23033;157922;55632;11011;27327;84669;7994;58487;51132;4848;9969;11176</t>
  </si>
  <si>
    <t>KPNA4;SOGA1;UBR5;ZBTB11;BRAF;DDX6;RFC1;PAFAH1B1;SOX4;RBM39;NCOA6;FAM91A1;NIPBL;ANKRD12;PBRM1;KMT2C;TNPO1;ASH1L;SYNRG;PHF20L1;CHD2;XPO1;ZZEF1;KIF1B;PCF11;PCNT;FXR1;EP300;ZNF638;NRF1;DOP1A;CAMSAP1;G2E3;TLK2;TNRC6A;USP32;KAT6A;CREBZF;RLIM;AC092881.1;MED13;BAZ2A</t>
  </si>
  <si>
    <t>http://www.broadinstitute.org/gsea/msigdb/cards/TGACAGNY_MEIS1_01.html</t>
  </si>
  <si>
    <t>AGGCACT_MIR5153P</t>
  </si>
  <si>
    <t>7586;5048;57459;23185;26523;6789;1859;92140;11011;54464;23299;7994;11176;23112</t>
  </si>
  <si>
    <t>ZKSCAN1;PAFAH1B1;GATAD2B;LARP4B;AGO1;STK4;DYRK1A;MTDH;TLK2;XRN1;BICD2;KAT6A;BAZ2A;TNRC6B</t>
  </si>
  <si>
    <t>http://www.broadinstitute.org/gsea/msigdb/cards/AGGCACT_MIR5153P.html</t>
  </si>
  <si>
    <t>CTGTTAC_MIR194</t>
  </si>
  <si>
    <t>9320;255967;9857;196528;130507;23063;84181;26523;6874;9880;80205;91748;57534;55727;1788</t>
  </si>
  <si>
    <t>TRIP12;PAN3;CEP350;ARID2;UBR3;WAPL;CHD6;AGO1;TAF4;ZBTB39;CHD9;ELMSAN1;MIB1;BTBD7;DNMT3A</t>
  </si>
  <si>
    <t>http://www.broadinstitute.org/gsea/msigdb/cards/CTGTTAC_MIR194.html</t>
  </si>
  <si>
    <t>CTACCTC_LET7A_LET7B_LET7C_LET7D_LET7E_LET7F_MIR98_LET7G_LET7I</t>
  </si>
  <si>
    <t>26046;5903;6433;22848;54619;90957;253260;7248;84146;51479;571;9880;8518;867;55014;51182;1859;122830;84301;55432;57534;2074;283337;84669;25909;54014;8202</t>
  </si>
  <si>
    <t>LTN1;RANBP2;SFSWAP;AAK1;CCNJ;DHX57;RICTOR;TSC1;ZNF644;ANKFY1;BACH1;ZBTB39;ELP1;CBL;STX17;HSPA14;DYRK1A;NAA30;DDI2;YOD1;MIB1;ERCC6;ZNF740;USP32;AHCTF1;BRWD1;NCOA3</t>
  </si>
  <si>
    <t>http://www.broadinstitute.org/gsea/msigdb/cards/CTACCTC_LET7A_LET7B_LET7C_LET7D_LET7E_LET7F_MIR98_LET7G_LET7I.html</t>
  </si>
  <si>
    <t>CATTTCA_MIR203</t>
  </si>
  <si>
    <t>5495;1656;7182;2186;80018;10771;9202;196528;130507;57532;23001;8867;472;1859;122830;23198;204851;5814;23013;55094;58487;55727;23112</t>
  </si>
  <si>
    <t>PPM1B;DDX6;NR2C2;BPTF;NAA25;ZMYND11;ZMYM4;ARID2;UBR3;NUFIP2;WDFY3;SYNJ1;ATM;DYRK1A;NAA30;PSME4;HIPK1;PURB;SPEN;GPATCH1;CREBZF;BTBD7;TNRC6B</t>
  </si>
  <si>
    <t>http://www.broadinstitute.org/gsea/msigdb/cards/CATTTCA_MIR203.html</t>
  </si>
  <si>
    <t>YGCGYRCGC_UNKNOWN</t>
  </si>
  <si>
    <t>10236;7175;5451;7182;2969;23248;9202;57551;57695;55193;23293;51322;80351;9774;22992;8518;5116;2957;26009;84248;55167;58487;23047;51592</t>
  </si>
  <si>
    <t>HNRNPR;TPR;POU2F1;NR2C2;GTF2I;RPRD2;ZMYM4;TAOK1;USP37;PBRM1;SMG6;WAC;TNKS2;BCLAF1;KDM2A;ELP1;PCNT;GTF2A1;AC118549.1;FYTTD1;MSL2;CREBZF;PDS5B;TRIM33</t>
  </si>
  <si>
    <t>http://www.broadinstitute.org/gsea/msigdb/cards/YGCGYRCGC_UNKNOWN.html</t>
  </si>
  <si>
    <t>ATGCTGC_MIR103_MIR107</t>
  </si>
  <si>
    <t>7182;3836;130507;51230;7750;23131;11244;26523;23405;51105;9880;8867;4763;55605;57534;22849;5814;84132;11176;23112</t>
  </si>
  <si>
    <t>NR2C2;KPNA1;UBR3;PHF20;ZMYM2;GPATCH8;ZHX1;AGO1;DICER1;PHF20L1;ZBTB39;SYNJ1;NF1;KIF21A;MIB1;CPEB3;PURB;USP42;BAZ2A;TNRC6B</t>
  </si>
  <si>
    <t>http://www.broadinstitute.org/gsea/msigdb/cards/ATGCTGC_MIR103_MIR107.html</t>
  </si>
  <si>
    <t>ATAAGCT_MIR21</t>
  </si>
  <si>
    <t>6433;255967;130507;55193;80204;57459;8880;9678;55432;10735;22849;5814;55636;27161;23112</t>
  </si>
  <si>
    <t>SFSWAP;PAN3;UBR3;PBRM1;FBXO11;GATAD2B;FUBP1;PHF14;YOD1;STAG2;CPEB3;PURB;CHD7;AGO2;TNRC6B</t>
  </si>
  <si>
    <t>http://www.broadinstitute.org/gsea/msigdb/cards/ATAAGCT_MIR21.html</t>
  </si>
  <si>
    <t>ATACCTC_MIR202</t>
  </si>
  <si>
    <t>3840;9877;9632;23389;81609;84146;59343;53944;23405;23095;867;2551;11214;54464;22849;7994;80155;23112</t>
  </si>
  <si>
    <t>KPNA4;ZC3H11A;SEC24C;MED13L;SNX27;ZNF644;SENP2;CSNK1G1;DICER1;KIF1B;CBL;GABPA;AKAP13;XRN1;CPEB3;KAT6A;NAA15;TNRC6B</t>
  </si>
  <si>
    <t>http://www.broadinstitute.org/gsea/msigdb/cards/ATACCTC_MIR202.html</t>
  </si>
  <si>
    <t>AAGWWRNYGGC_UNKNOWN</t>
  </si>
  <si>
    <t>51366;5981;55183;7248;84146;23215;23140;5116;7528;2033;5469;55102;80314;79723;51132</t>
  </si>
  <si>
    <t>UBR5;RFC1;RIF1;TSC1;ZNF644;PRRC2C;ZZEF1;PCNT;YY1;EP300;MED1;ATG2B;EPC1;SUV39H2;RLIM</t>
  </si>
  <si>
    <t>http://www.broadinstitute.org/gsea/msigdb/cards/AAGWWRNYGGC_UNKNOWN.html</t>
  </si>
  <si>
    <t>TGCCTTA_MIR124A</t>
  </si>
  <si>
    <t>9475;23328;1656;5290;9733;22848;9857;65117;23001;23185;53944;51479;29994;23405;9880;2005;6670;6789;55291;55432;92140;84196;204851;84295;10735;160760;155435;80155;54014;55689;23499;7707</t>
  </si>
  <si>
    <t>ROCK2;SASH1;DDX6;PIK3CA;SART3;AAK1;CEP350;RSRC2;WDFY3;LARP4B;CSNK1G1;ANKFY1;BAZ2B;DICER1;ZBTB39;ELK4;SP3;STK4;PPP6R3;YOD1;MTDH;USP48;HIPK1;PHF6;STAG2;PPTC7;RBM33;NAA15;BRWD1;YEATS2;MACF1;ZNF148</t>
  </si>
  <si>
    <t>http://www.broadinstitute.org/gsea/msigdb/cards/TGCCTTA_MIR124A.html</t>
  </si>
  <si>
    <t>ACATTCC_MIR1_MIR206</t>
  </si>
  <si>
    <t>23317;140710;51366;5048;3192;7705;157769;196528;253260;55193;23369;23032;80351;26523;7776;5422;867;10153;23527;5469;84295;10762;8202</t>
  </si>
  <si>
    <t>DNAJC13;SOGA1;UBR5;PAFAH1B1;HNRNPU;ZNF146;FAM91A1;ARID2;RICTOR;PBRM1;PUM2;USP33;TNKS2;AGO1;ZNF236;POLA1;CBL;CEBPZ;ACAP2;MED1;PHF6;NUP50;NCOA3</t>
  </si>
  <si>
    <t>http://www.broadinstitute.org/gsea/msigdb/cards/ACATTCC_MIR1_MIR206.html</t>
  </si>
  <si>
    <t>CAGCTTT_MIR320</t>
  </si>
  <si>
    <t>5495;7468;6651;5927;9931;546;255967;23126;23332;80204;7248;7514;8621;92140;11011;204851;10735;140775;9887;5814;23112</t>
  </si>
  <si>
    <t>PPM1B;NSD2;SON;KDM5A;HELZ;ATRX;PAN3;POGZ;CLASP1;FBXO11;TSC1;XPO1;CDK13;MTDH;TLK2;HIPK1;STAG2;SMCR8;SMG7;PURB;TNRC6B</t>
  </si>
  <si>
    <t>http://www.broadinstitute.org/gsea/msigdb/cards/CAGCTTT_MIR320.html</t>
  </si>
  <si>
    <t>GGCACTT_MIR519E</t>
  </si>
  <si>
    <t>23014;51366;6651;5048;57459;51322;26523;905;51742;54464;23299;7994;55727;23112;7707</t>
  </si>
  <si>
    <t>FBXO21;UBR5;SON;PAFAH1B1;GATAD2B;WAC;AGO1;CCNT2;ARID4B;XRN1;BICD2;KAT6A;BTBD7;TNRC6B;ZNF148</t>
  </si>
  <si>
    <t>http://www.broadinstitute.org/gsea/msigdb/cards/GGCACTT_MIR519E.html</t>
  </si>
  <si>
    <t>9044;9631;27107;7579;3799;9632;4520;9733;22848;23352;55275;25836;6873;23126;28981;64324;79677;30849;54552;9774;11276;23019;8867;4763;4140;2005;2117;10093;6789;8621;9662;22850;91748;157680;27327;10207;51132;9874</t>
  </si>
  <si>
    <t>BTAF1;NUP155;ZBTB11;ZSCAN20;KIF5B;SEC24C;MTF1;SART3;AAK1;UBR4;VPS53;NIPBL;TAF2;POGZ;IFT81;NSD1;SMC6;PIK3R4;GNL3L;BCLAF1;SYNRG;CNOT1;SYNJ1;NF1;MARK3;ELK4;ETV3;ARPC4;STK4;CDK13;CEP135;ADNP2;ELMSAN1;VPS13B;TNRC6A;PATJ;RLIM;TLK1</t>
  </si>
  <si>
    <t>TATTATA_MIR374</t>
  </si>
  <si>
    <t>4299;6659;8661;23054;196528;25836;22976;23185;51773;29072;7776;200576;10915;7690;6670;2033;54455;27327;23299;55636;9969;25831</t>
  </si>
  <si>
    <t>AFF1;SOX4;EIF3A;NCOA6;ARID2;NIPBL;PAXIP1;LARP4B;RSF1;SETD2;ZNF236;PIKFYVE;TCERG1;ZNF131;SP3;EP300;FBXO42;TNRC6A;BICD2;CHD7;MED13;HECTD1</t>
  </si>
  <si>
    <t>http://www.broadinstitute.org/gsea/msigdb/cards/TATTATA_MIR374.html</t>
  </si>
  <si>
    <t>E2F_Q4_01</t>
  </si>
  <si>
    <t>5981;5591;23054;25836;55252;65117;374354;10274;23049;55914;79677;30849;7750;9126;5422;23468;55596;10735;23047;55818</t>
  </si>
  <si>
    <t>RFC1;PRKDC;NCOA6;NIPBL;ASXL2;RSRC2;NHLRC2;STAG1;SMG1;ERBIN;SMC6;PIK3R4;ZMYM2;SMC3;POLA1;CBX5;ZCCHC8;STAG2;PDS5B;KDM3A</t>
  </si>
  <si>
    <t>http://www.broadinstitute.org/gsea/msigdb/cards/E2F_Q4_01.html</t>
  </si>
  <si>
    <t>GATTGGY_NFY_Q6_01</t>
  </si>
  <si>
    <t>3840;10236;9139;23077;5495;6651;3799;2475;7182;2969;5591;6659;1778;23512;23248;90957;23253;57532;10274;10142;79691;57690;7750;23660;23019;10915;23095;51585;5116;5422;7174;23468;2932;4361;9513;7024;472;4863;139285;79707;10735;22849;84669;92797;23299;55743;26019;56980;51132</t>
  </si>
  <si>
    <t>KPNA4;HNRNPR;CBFA2T2;MYCBP2;PPM1B;SON;KIF5B;MTOR;NR2C2;GTF2I;PRKDC;SOX4;DYNC1H1;SUZ12;RPRD2;DHX57;ANKRD12;NUFIP2;STAG1;AKAP9;QTRT2;TNRC6C;ZMYM2;ZKSCAN5;CNOT1;TCERG1;KIF1B;PCF11;PCNT;POLA1;TPP2;CBX5;GSK3B;MRE11;FXR2;TFCP2;ATM;NPAT;AMER1;NOL9;STAG2;CPEB3;USP32;HELB;BICD2;CHFR;UPF2;PRDM10;RLIM</t>
  </si>
  <si>
    <t>http://www.broadinstitute.org/gsea/msigdb/cards/GATTGGY_NFY_Q6_01.html</t>
  </si>
  <si>
    <t>E2F1_Q3</t>
  </si>
  <si>
    <t>10236;3609;56957;25836;55252;57532;56946;57695;91746;23049;79677;84146;9126;5422;6670;9221;10714;55596;10735;23047</t>
  </si>
  <si>
    <t>HNRNPR;ILF3;OTUD7B;NIPBL;ASXL2;NUFIP2;EMSY;USP37;YTHDC1;SMG1;SMC6;ZNF644;SMC3;POLA1;SP3;NOLC1;POLD3;ZCCHC8;STAG2;PDS5B</t>
  </si>
  <si>
    <t>http://www.broadinstitute.org/gsea/msigdb/cards/E2F1_Q3.html</t>
  </si>
  <si>
    <t>E2F_Q3</t>
  </si>
  <si>
    <t>5981;546;9972;5591;23244;56957;25836;91746;23049;55914;79677;7750;9126;23215;5422;23468;55596;10735;23047</t>
  </si>
  <si>
    <t>RFC1;ATRX;NUP153;PRKDC;PDS5A;OTUD7B;NIPBL;YTHDC1;SMG1;ERBIN;SMC6;ZMYM2;SMC3;PRRC2C;POLA1;CBX5;ZCCHC8;STAG2;PDS5B</t>
  </si>
  <si>
    <t>http://www.broadinstitute.org/gsea/msigdb/cards/E2F_Q3.html</t>
  </si>
  <si>
    <t>TCF11_01</t>
  </si>
  <si>
    <t>10236;5451;4297;9584;221037;84614;25836;56946;79811;11276;1106;23095;2876;157922;10735;27327;58487;51132;9969;9874</t>
  </si>
  <si>
    <t>HNRNPR;POU2F1;KMT2A;RBM39;JMJD1C;ZBTB37;NIPBL;EMSY;SLTM;SYNRG;CHD2;KIF1B;GPX1;CAMSAP1;STAG2;TNRC6A;CREBZF;RLIM;MED13;TLK1</t>
  </si>
  <si>
    <t>http://www.broadinstitute.org/gsea/msigdb/cards/TCF11_01.html</t>
  </si>
  <si>
    <t>ACCATTT_MIR522</t>
  </si>
  <si>
    <t>9877;23077;546;6711;5781;196528;10274;85440;10142;1859;4863;23527;92140;79813;55167;23112</t>
  </si>
  <si>
    <t>ZC3H11A;MYCBP2;ATRX;SPTBN1;PTPN11;ARID2;STAG1;DOCK7;AKAP9;DYRK1A;NPAT;ACAP2;MTDH;EHMT1;MSL2;TNRC6B</t>
  </si>
  <si>
    <t>http://www.broadinstitute.org/gsea/msigdb/cards/ACCATTT_MIR522.html</t>
  </si>
  <si>
    <t>AAGCCAT_MIR135A_MIR135B</t>
  </si>
  <si>
    <t>9475;6651;9972;3192;6433;23063;51322;51230;53944;26523;7776;6874;571;11168;10914;6670;55291;92140;84132;55167;54014;57786;9874</t>
  </si>
  <si>
    <t>ROCK2;SON;NUP153;HNRNPU;SFSWAP;WAPL;WAC;PHF20;CSNK1G1;AGO1;ZNF236;TAF4;BACH1;PSIP1;PAPOLA;SP3;PPP6R3;MTDH;USP42;MSL2;BRWD1;RBAK;TLK1</t>
  </si>
  <si>
    <t>http://www.broadinstitute.org/gsea/msigdb/cards/AAGCCAT_MIR135A_MIR135B.html</t>
  </si>
  <si>
    <t>GTATTAT_MIR3693P</t>
  </si>
  <si>
    <t>4297;6659;6433;196528;25836;22976;29072;29994;200576;6670;2033;23299;155435;55167;55636;9969;23112;8202</t>
  </si>
  <si>
    <t>KMT2A;SOX4;SFSWAP;ARID2;NIPBL;PAXIP1;SETD2;BAZ2B;PIKFYVE;SP3;EP300;BICD2;RBM33;MSL2;CHD7;MED13;TNRC6B;NCOA3</t>
  </si>
  <si>
    <t>http://www.broadinstitute.org/gsea/msigdb/cards/GTATTAT_MIR3693P.html</t>
  </si>
  <si>
    <t>ATGTTTC_MIR494</t>
  </si>
  <si>
    <t>6651;405;546;4297;6433;8899;9584;23063;80204;51755;8518;80205;51742;26009;5814;192669</t>
  </si>
  <si>
    <t>SON;ARNT;ATRX;KMT2A;SFSWAP;PRPF4B;RBM39;WAPL;FBXO11;CDK12;ELP1;CHD9;ARID4B;AC118549.1;PURB;AGO3</t>
  </si>
  <si>
    <t>http://www.broadinstitute.org/gsea/msigdb/cards/ATGTTTC_MIR494.html</t>
  </si>
  <si>
    <t>AP2_Q6</t>
  </si>
  <si>
    <t>5980;5451;23248;80204;84079;51322;84146;22992;10299;9513;6670;2033;10714;4899;84196;26009;10735;84725;9969;1788</t>
  </si>
  <si>
    <t>REV3L;POU2F1;RPRD2;FBXO11;ANKRD27;WAC;ZNF644;KDM2A;MARCH6;FXR2;SP3;EP300;POLD3;NRF1;USP48;AC118549.1;STAG2;PLEKHA8;MED13;DNMT3A</t>
  </si>
  <si>
    <t>http://www.broadinstitute.org/gsea/msigdb/cards/AP2_Q6.html</t>
  </si>
  <si>
    <t>ATGGYGGA_UNKNOWN</t>
  </si>
  <si>
    <t>5451;56957;57532;5930;7750;23633;157922;55671;10735;80012;80155;80314;55818</t>
  </si>
  <si>
    <t>POU2F1;OTUD7B;NUFIP2;RBBP6;ZMYM2;KPNA6;CAMSAP1;PPP4R3A;STAG2;PHC3;NAA15;EPC1;KDM3A</t>
  </si>
  <si>
    <t>http://www.broadinstitute.org/gsea/msigdb/cards/ATGGYGGA_UNKNOWN.html</t>
  </si>
  <si>
    <t>ERR1_Q2</t>
  </si>
  <si>
    <t>5927;7182;9584;80018;9733;221037;23001;54764;23215;1106;6801;11168;55671;84295;144348;27327;160760;6601;7994;9786</t>
  </si>
  <si>
    <t>KDM5A;NR2C2;RBM39;NAA25;SART3;JMJD1C;WDFY3;ZRANB1;PRRC2C;CHD2;STRN;PSIP1;PPP4R3A;PHF6;ZNF664;TNRC6A;PPTC7;SMARCC2;KAT6A;KIAA0586</t>
  </si>
  <si>
    <t>http://www.broadinstitute.org/gsea/msigdb/cards/ERR1_Q2.html</t>
  </si>
  <si>
    <t>AACTGGA_MIR145</t>
  </si>
  <si>
    <t>5980;9877;57532;23185;81609;91746;6311;10142;29072;59343;23215;23095;64854;1859;55605;157680;54464;2140;11176</t>
  </si>
  <si>
    <t>REV3L;ZC3H11A;NUFIP2;LARP4B;SNX27;YTHDC1;ATXN2;AKAP9;SETD2;SENP2;PRRC2C;KIF1B;USP46;DYRK1A;KIF21A;VPS13B;XRN1;EYA3;BAZ2A</t>
  </si>
  <si>
    <t>http://www.broadinstitute.org/gsea/msigdb/cards/AACTGGA_MIR145.html</t>
  </si>
  <si>
    <t>CTTTGCA_MIR527</t>
  </si>
  <si>
    <t>3840;255967;23253;55193;22992;23095;51182;8621;9698;122830;80205;51742;84295;10735;27327;23299;84248;23013;23112</t>
  </si>
  <si>
    <t>KPNA4;PAN3;ANKRD12;PBRM1;KDM2A;KIF1B;HSPA14;CDK13;PUM1;NAA30;CHD9;ARID4B;PHF6;STAG2;TNRC6A;BICD2;FYTTD1;SPEN;TNRC6B</t>
  </si>
  <si>
    <t>http://www.broadinstitute.org/gsea/msigdb/cards/CTTTGCA_MIR527.html</t>
  </si>
  <si>
    <t>SOX9_B1</t>
  </si>
  <si>
    <t>9139;23328;1656;9632;6711;6659;2186;9584;54619;56957;84181;3842;9698;139285;55632;144348;7994;23047;51132</t>
  </si>
  <si>
    <t>CBFA2T2;SASH1;DDX6;SEC24C;SPTBN1;SOX4;BPTF;RBM39;CCNJ;OTUD7B;CHD6;TNPO1;PUM1;AMER1;G2E3;ZNF664;KAT6A;PDS5B;RLIM</t>
  </si>
  <si>
    <t>http://www.broadinstitute.org/gsea/msigdb/cards/SOX9_B1.html</t>
  </si>
  <si>
    <t>5451;1656;5048;6654;3609;9584;25836;9126;22992;7514;51585;10735;55818</t>
  </si>
  <si>
    <t>POU2F1;DDX6;PAFAH1B1;SOS1;ILF3;RBM39;NIPBL;SMC3;KDM2A;XPO1;PCF11;STAG2;KDM3A</t>
  </si>
  <si>
    <t>GTAAGAT_MIR200A</t>
  </si>
  <si>
    <t>10236;7468;5048;257218;23512;130507;6670;1859;5814;55636</t>
  </si>
  <si>
    <t>HNRNPR;NSD2;PAFAH1B1;SHPRH;SUZ12;UBR3;SP3;DYRK1A;PURB;CHD7</t>
  </si>
  <si>
    <t>http://www.broadinstitute.org/gsea/msigdb/cards/GTAAGAT_MIR200A.html</t>
  </si>
  <si>
    <t>SGCGSSAAA_E2F1DP2_01</t>
  </si>
  <si>
    <t>10236;5591;3609;8899;25836;55252;56946;57695;79677;84146;9126;5422;9221;10714;55596;10735</t>
  </si>
  <si>
    <t>HNRNPR;PRKDC;ILF3;PRPF4B;NIPBL;ASXL2;EMSY;USP37;SMC6;ZNF644;SMC3;POLA1;NOLC1;POLD3;ZCCHC8;STAG2</t>
  </si>
  <si>
    <t>http://www.broadinstitute.org/gsea/msigdb/cards/SGCGSSAAA_E2F1DP2_01.html</t>
  </si>
  <si>
    <t>E2F_03</t>
  </si>
  <si>
    <t>5981;9972;5591;23244;25836;55252;65117;374354;10274;91746;23049;7750;9126;905;5422;23468;55596;10735;23047</t>
  </si>
  <si>
    <t>RFC1;NUP153;PRKDC;PDS5A;NIPBL;ASXL2;RSRC2;NHLRC2;STAG1;YTHDC1;SMG1;ZMYM2;SMC3;CCNT2;POLA1;CBX5;ZCCHC8;STAG2;PDS5B</t>
  </si>
  <si>
    <t>http://www.broadinstitute.org/gsea/msigdb/cards/E2F_03.html</t>
  </si>
  <si>
    <t>ELK1_02</t>
  </si>
  <si>
    <t>9044;27107;6651;5130;9632;9360;22848;25836;54552;6341;4763;4140;6789;8621;84669;54765;142891;5814;58487</t>
  </si>
  <si>
    <t>BTAF1;ZBTB11;SON;PCYT1A;SEC24C;PPIG;AAK1;NIPBL;GNL3L;SCO1;NF1;MARK3;STK4;CDK13;USP32;TRIM44;SAMD8;PURB;CREBZF</t>
  </si>
  <si>
    <t>http://www.broadinstitute.org/gsea/msigdb/cards/ELK1_02.html</t>
  </si>
  <si>
    <t>ATACTGT_MIR144</t>
  </si>
  <si>
    <t>6651;5048;3836;3192;196528;130507;23001;10274;57679;10137;8812;9698;26065;22849;7994;80155;84132</t>
  </si>
  <si>
    <t>SON;PAFAH1B1;KPNA1;HNRNPU;ARID2;UBR3;WDFY3;STAG1;ALS2;RBM12;CCNK;PUM1;LSM14A;CPEB3;KAT6A;NAA15;USP42</t>
  </si>
  <si>
    <t>http://www.broadinstitute.org/gsea/msigdb/cards/ATACTGT_MIR144.html</t>
  </si>
  <si>
    <t>CMYB_01</t>
  </si>
  <si>
    <t>8085;5048;9360;6093;157769;55252;23126;57532;5930;51322;55870;2844;2932;79598;10735;9392;80314;56980;7707</t>
  </si>
  <si>
    <t>KMT2D;PAFAH1B1;PPIG;ROCK1;FAM91A1;ASXL2;POGZ;NUFIP2;RBBP6;WAC;ASH1L;RABGAP1;GSK3B;CEP97;STAG2;TGFBRAP1;EPC1;PRDM10;ZNF148</t>
  </si>
  <si>
    <t>http://www.broadinstitute.org/gsea/msigdb/cards/CMYB_01.html</t>
  </si>
  <si>
    <t>AAAGGGA_MIR204_MIR211</t>
  </si>
  <si>
    <t>23317;23451;4297;6659;9320;26130;253260;23389;79811;22992;905;9113;6249;1859;54464;80155;11176;23112</t>
  </si>
  <si>
    <t>DNAJC13;SF3B1;KMT2A;SOX4;TRIP12;GAPVD1;RICTOR;MED13L;SLTM;KDM2A;CCNT2;LATS1;CLIP1;DYRK1A;XRN1;NAA15;BAZ2A;TNRC6B</t>
  </si>
  <si>
    <t>http://www.broadinstitute.org/gsea/msigdb/cards/AAAGGGA_MIR204_MIR211.html</t>
  </si>
  <si>
    <t>TTTTGAG_MIR373</t>
  </si>
  <si>
    <t>3840;5048;6659;54619;57532;23332;51322;7776;51105;7514;11168;122830;26065;27327;5814;51132;29843;51592</t>
  </si>
  <si>
    <t>KPNA4;PAFAH1B1;SOX4;CCNJ;NUFIP2;CLASP1;WAC;ZNF236;PHF20L1;XPO1;PSIP1;NAA30;LSM14A;TNRC6A;PURB;RLIM;SENP1;TRIM33</t>
  </si>
  <si>
    <t>http://www.broadinstitute.org/gsea/msigdb/cards/TTTTGAG_MIR373.html</t>
  </si>
  <si>
    <t>ACATATC_MIR190</t>
  </si>
  <si>
    <t>23001;79677;51105;8867;27327;51132;57786;55636;51696;23112</t>
  </si>
  <si>
    <t>WDFY3;SMC6;PHF20L1;SYNJ1;TNRC6A;RLIM;RBAK;CHD7;HECA;TNRC6B</t>
  </si>
  <si>
    <t>http://www.broadinstitute.org/gsea/msigdb/cards/ACATATC_MIR190.html</t>
  </si>
  <si>
    <t>ACACTGG_MIR199A_MIR199B</t>
  </si>
  <si>
    <t>3840;5495;5903;255967;54619;23063;23293;8880;57679;23095;867;6249;2932;6789;253959</t>
  </si>
  <si>
    <t>KPNA4;PPM1B;RANBP2;PAN3;CCNJ;WAPL;SMG6;FUBP1;ALS2;KIF1B;CBL;CLIP1;GSK3B;STK4;RALGAPA1</t>
  </si>
  <si>
    <t>http://www.broadinstitute.org/gsea/msigdb/cards/ACACTGG_MIR199A_MIR199B.html</t>
  </si>
  <si>
    <t>ATGCAGT_MIR217</t>
  </si>
  <si>
    <t>9584;25836;253260;23063;80204;57459;91746;1859;11011;10735;55342;79813;23047</t>
  </si>
  <si>
    <t>RBM39;NIPBL;RICTOR;WAPL;FBXO11;GATAD2B;YTHDC1;DYRK1A;TLK2;STAG2;STRBP;EHMT1;PDS5B</t>
  </si>
  <si>
    <t>http://www.broadinstitute.org/gsea/msigdb/cards/ATGCAGT_MIR217.html</t>
  </si>
  <si>
    <t>USF_01</t>
  </si>
  <si>
    <t>3609;8661;23253;26058;5930;7248;9126;51105;7514;10277;2876;2932;2957;25948;80012;7994;80314;11108;1788</t>
  </si>
  <si>
    <t>ILF3;EIF3A;ANKRD12;GIGYF2;RBBP6;TSC1;SMC3;PHF20L1;XPO1;UBE4B;GPX1;GSK3B;GTF2A1;KBTBD2;PHC3;KAT6A;EPC1;PRDM4;DNMT3A</t>
  </si>
  <si>
    <t>http://www.broadinstitute.org/gsea/msigdb/cards/USF_01.html</t>
  </si>
  <si>
    <t>SF1_Q6</t>
  </si>
  <si>
    <t>23014;5927;8661;80018;23248;84146;54764;23215;1106;6801;23633;55671;91748;144348;27327;84893;160760;9786;9967</t>
  </si>
  <si>
    <t>FBXO21;KDM5A;EIF3A;NAA25;RPRD2;ZNF644;ZRANB1;PRRC2C;CHD2;STRN;KPNA6;PPP4R3A;ELMSAN1;ZNF664;TNRC6A;FBH1;PPTC7;KIAA0586;THRAP3</t>
  </si>
  <si>
    <t>http://www.broadinstitute.org/gsea/msigdb/cards/SF1_Q6.html</t>
  </si>
  <si>
    <t>MAX_01</t>
  </si>
  <si>
    <t>51366;4297;3609;8661;23352;23253;79691;9126;51105;10915;7514;10277;2876;23468;25948;80314;11108;27161;1788</t>
  </si>
  <si>
    <t>UBR5;KMT2A;ILF3;EIF3A;UBR4;ANKRD12;QTRT2;SMC3;PHF20L1;TCERG1;XPO1;UBE4B;GPX1;CBX5;KBTBD2;EPC1;PRDM4;AGO2;DNMT3A</t>
  </si>
  <si>
    <t>http://www.broadinstitute.org/gsea/msigdb/cards/MAX_01.html</t>
  </si>
  <si>
    <t>CACTTTG_MIR520G_MIR520H</t>
  </si>
  <si>
    <t>7468;3836;54619;56946;57695;23637;10915;1859;122830;80205;51742;27327;25909;8239;29843;23499;51592;8202</t>
  </si>
  <si>
    <t>NSD2;KPNA1;CCNJ;EMSY;USP37;RABGAP1;TCERG1;DYRK1A;NAA30;CHD9;ARID4B;TNRC6A;AHCTF1;USP9X;SENP1;MACF1;TRIM33;NCOA3</t>
  </si>
  <si>
    <t>http://www.broadinstitute.org/gsea/msigdb/cards/CACTTTG_MIR520G_MIR520H.html</t>
  </si>
  <si>
    <t>TCCATTKW_UNKNOWN</t>
  </si>
  <si>
    <t>6651;7182;6659;2186;23332;374354;84181;91746;29072;7750;1106;905;3096;2957;6670;267004;144348;10735</t>
  </si>
  <si>
    <t>SON;NR2C2;SOX4;BPTF;CLASP1;NHLRC2;CHD6;YTHDC1;SETD2;ZMYM2;CHD2;CCNT2;HIVEP1;GTF2A1;SP3;ERCC6;ZNF664;STAG2</t>
  </si>
  <si>
    <t>http://www.broadinstitute.org/gsea/msigdb/cards/TCCATTKW_UNKNOWN.html</t>
  </si>
  <si>
    <t>AHR_Q5</t>
  </si>
  <si>
    <t>5980;5451;8661;23244;57695;23293;10274;51322;80351;7750;22992;5116;4899;91748;2140;79646;58487</t>
  </si>
  <si>
    <t>REV3L;POU2F1;EIF3A;PDS5A;USP37;SMG6;STAG1;WAC;TNKS2;ZMYM2;KDM2A;PCNT;NRF1;ELMSAN1;EYA3;PANK3;CREBZF</t>
  </si>
  <si>
    <t>http://www.broadinstitute.org/gsea/msigdb/cards/AHR_Q5.html</t>
  </si>
  <si>
    <t>ACTGTAG_MIR139</t>
  </si>
  <si>
    <t>3840;546;8899;157769;130507;57551;23198;204851;84295;25948;26065;55743;55636</t>
  </si>
  <si>
    <t>KPNA4;ATRX;PRPF4B;FAM91A1;UBR3;TAOK1;PSME4;HIPK1;PHF6;KBTBD2;LSM14A;CHFR;CHD7</t>
  </si>
  <si>
    <t>http://www.broadinstitute.org/gsea/msigdb/cards/ACTGTAG_MIR139.html</t>
  </si>
  <si>
    <t>AGGAGTG_MIR483</t>
  </si>
  <si>
    <t>7468;6651;6433;29072;51105;7514;64854;5469;22849;57786</t>
  </si>
  <si>
    <t>NSD2;SON;SFSWAP;SETD2;PHF20L1;XPO1;USP46;MED1;CPEB3;RBAK</t>
  </si>
  <si>
    <t>http://www.broadinstitute.org/gsea/msigdb/cards/AGGAGTG_MIR483.html</t>
  </si>
  <si>
    <t>VDR_Q6</t>
  </si>
  <si>
    <t>10236;9475;7579;6093;56957;25836;5930;171023;26523;22992;7514;23095;51585;388289;79882;84725;51592;55818;1788</t>
  </si>
  <si>
    <t>HNRNPR;ROCK2;ZSCAN20;ROCK1;OTUD7B;NIPBL;RBBP6;ASXL1;AGO1;KDM2A;XPO1;KIF1B;PCF11;ZFHX3;ZC3H14;PLEKHA8;TRIM33;KDM3A;DNMT3A</t>
  </si>
  <si>
    <t>http://www.broadinstitute.org/gsea/msigdb/cards/VDR_Q6.html</t>
  </si>
  <si>
    <t>ACTGTGA_MIR27A_MIR27B</t>
  </si>
  <si>
    <t>23317;51366;4297;221037;26098;54619;196528;23389;10274;7248;9169;53944;11244;317;9880;8812;64854;11011;26009;22849;80155;84132;23047;51132;27161;55818</t>
  </si>
  <si>
    <t>DNAJC13;UBR5;KMT2A;JMJD1C;EDRF1;CCNJ;ARID2;MED13L;STAG1;TSC1;SCAF11;CSNK1G1;ZHX1;APAF1;ZBTB39;CCNK;USP46;TLK2;AC118549.1;CPEB3;NAA15;USP42;PDS5B;RLIM;AGO2;KDM3A</t>
  </si>
  <si>
    <t>http://www.broadinstitute.org/gsea/msigdb/cards/ACTGTGA_MIR27A_MIR27B.html</t>
  </si>
  <si>
    <t>GGGTGGRR_PAX4_03</t>
  </si>
  <si>
    <t>10236;5495;27107;5451;3799;5048;4297;6433;6093;1778;4520;221037;22848;84614;23248;56957;65117;57551;23126;57532;23332;56946;374354;10274;51322;51755;26523;51585;10277;2033;1859;54520;139285;22850;254065;10735;119016;23013;9786;80155;80314;56980;51132;11176;9874;9329;9967;55818;8202</t>
  </si>
  <si>
    <t>HNRNPR;PPM1B;ZBTB11;POU2F1;KIF5B;PAFAH1B1;KMT2A;SFSWAP;ROCK1;DYNC1H1;MTF1;JMJD1C;AAK1;ZBTB37;RPRD2;OTUD7B;RSRC2;TAOK1;POGZ;NUFIP2;CLASP1;EMSY;NHLRC2;STAG1;WAC;CDK12;AGO1;PCF11;UBE4B;EP300;DYRK1A;CCDC93;AMER1;ADNP2;BRWD3;STAG2;AGAP4;SPEN;KIAA0586;NAA15;EPC1;PRDM10;RLIM;BAZ2A;TLK1;GTF3C4;THRAP3;KDM3A;NCOA3</t>
  </si>
  <si>
    <t>http://www.broadinstitute.org/gsea/msigdb/cards/GGGTGGRR_PAX4_03.html</t>
  </si>
  <si>
    <t>MAZ_Q6</t>
  </si>
  <si>
    <t>10236;5451;9869;23352;23248;56957;23126;89884;51322;84146;10277;8453;9887;26019;51592;9967</t>
  </si>
  <si>
    <t>HNRNPR;POU2F1;SETDB1;UBR4;RPRD2;OTUD7B;POGZ;LHX4;WAC;ZNF644;UBE4B;CUL2;SMG7;UPF2;TRIM33;THRAP3</t>
  </si>
  <si>
    <t>http://www.broadinstitute.org/gsea/msigdb/cards/MAZ_Q6.html</t>
  </si>
  <si>
    <t>SP3_Q3</t>
  </si>
  <si>
    <t>5980;26057;9632;1106;2932;9513;6670;2033;388289;139285;57534;84295;10735;22849;142891;192669;56980;1788</t>
  </si>
  <si>
    <t>REV3L;ANKRD17;SEC24C;CHD2;GSK3B;FXR2;SP3;EP300;ZFHX3;AMER1;MIB1;PHF6;STAG2;CPEB3;SAMD8;AGO3;PRDM10;DNMT3A</t>
  </si>
  <si>
    <t>http://www.broadinstitute.org/gsea/msigdb/cards/SP3_Q3.html</t>
  </si>
  <si>
    <t>GTGTTGA_MIR505</t>
  </si>
  <si>
    <t>23060;6651;8661;10771;130507;10075;57679;204851;84669;23299;55167;23143</t>
  </si>
  <si>
    <t>ZNF609;SON;EIF3A;ZMYND11;UBR3;HUWE1;ALS2;HIPK1;USP32;BICD2;MSL2;LRCH1</t>
  </si>
  <si>
    <t>http://www.broadinstitute.org/gsea/msigdb/cards/GTGTTGA_MIR505.html</t>
  </si>
  <si>
    <t>GGCCAGT_MIR193A_MIR193B</t>
  </si>
  <si>
    <t>9877;23317;6651;4297;57532;51773;51479;57472;51182;1859;11176</t>
  </si>
  <si>
    <t>ZC3H11A;DNAJC13;SON;KMT2A;NUFIP2;RSF1;ANKFY1;CNOT6;HSPA14;DYRK1A;BAZ2A</t>
  </si>
  <si>
    <t>http://www.broadinstitute.org/gsea/msigdb/cards/GGCCAGT_MIR193A_MIR193B.html</t>
  </si>
  <si>
    <t>GGGACCA_MIR133A_MIR133B</t>
  </si>
  <si>
    <t>23077;23328;140710;5903;6433;26130;10142;57609;571;867;55671;91748;84669;58487;29843;11176</t>
  </si>
  <si>
    <t>MYCBP2;SASH1;SOGA1;RANBP2;SFSWAP;GAPVD1;AKAP9;DIP2B;BACH1;CBL;PPP4R3A;ELMSAN1;USP32;CREBZF;SENP1;BAZ2A</t>
  </si>
  <si>
    <t>http://www.broadinstitute.org/gsea/msigdb/cards/GGGACCA_MIR133A_MIR133B.html</t>
  </si>
  <si>
    <t>WHN_B</t>
  </si>
  <si>
    <t>26057;23451;51366;27107;8925;84614;23248;84146;59343;8867;4763;51182;9221;51742;91748;57534;10735;56980</t>
  </si>
  <si>
    <t>ANKRD17;SF3B1;UBR5;ZBTB11;HERC1;ZBTB37;RPRD2;ZNF644;SENP2;SYNJ1;NF1;HSPA14;NOLC1;ARID4B;ELMSAN1;MIB1;STAG2;PRDM10</t>
  </si>
  <si>
    <t>http://www.broadinstitute.org/gsea/msigdb/cards/WHN_B.html</t>
  </si>
  <si>
    <t>ACTGCAG_MIR173P</t>
  </si>
  <si>
    <t>1656;196528;90957;23032;81609;57472;7109;55291;55671;254065;284058;25948</t>
  </si>
  <si>
    <t>DDX6;ARID2;DHX57;USP33;SNX27;CNOT6;TRAPPC10;PPP6R3;PPP4R3A;BRWD3;KANSL1;KBTBD2</t>
  </si>
  <si>
    <t>http://www.broadinstitute.org/gsea/msigdb/cards/ACTGCAG_MIR173P.html</t>
  </si>
  <si>
    <t>CETS1P54_01</t>
  </si>
  <si>
    <t>9044;27107;2475;9632;9360;25836;30849;80351;23660;1106;4763;7024;6789;284058;2074;54765;51132;11176</t>
  </si>
  <si>
    <t>BTAF1;ZBTB11;MTOR;SEC24C;PPIG;NIPBL;PIK3R4;TNKS2;ZKSCAN5;CHD2;NF1;TFCP2;STK4;KANSL1;ERCC6;TRIM44;RLIM;BAZ2A</t>
  </si>
  <si>
    <t>http://www.broadinstitute.org/gsea/msigdb/cards/CETS1P54_01.html</t>
  </si>
  <si>
    <t>ATF4_Q2</t>
  </si>
  <si>
    <t>673;5048;4520;22853;170506;23215;1106;7514;23140;10299;4763;2932;2957;23198;84196;84248;11176;55818</t>
  </si>
  <si>
    <t>BRAF;PAFAH1B1;MTF1;LMTK2;DHX36;PRRC2C;CHD2;XPO1;ZZEF1;MARCH6;NF1;GSK3B;GTF2A1;PSME4;USP48;FYTTD1;BAZ2A;KDM3A</t>
  </si>
  <si>
    <t>http://www.broadinstitute.org/gsea/msigdb/cards/ATF4_Q2.html</t>
  </si>
  <si>
    <t>CAATGCA_MIR33</t>
  </si>
  <si>
    <t>3840;9632;57532;23049;122830;204851;84669;5814;80155;58487;51132</t>
  </si>
  <si>
    <t>KPNA4;SEC24C;NUFIP2;SMG1;NAA30;HIPK1;USP32;PURB;NAA15;CREBZF;RLIM</t>
  </si>
  <si>
    <t>http://www.broadinstitute.org/gsea/msigdb/cards/CAATGCA_MIR33.html</t>
  </si>
  <si>
    <t>ATGAAGG_MIR205</t>
  </si>
  <si>
    <t>23060;1656;5048;2186;80018;54619;81609;79811;23095;5469;54520;55671;9887;55167</t>
  </si>
  <si>
    <t>ZNF609;DDX6;PAFAH1B1;BPTF;NAA25;CCNJ;SNX27;SLTM;KIF1B;MED1;CCDC93;PPP4R3A;SMG7;MSL2</t>
  </si>
  <si>
    <t>http://www.broadinstitute.org/gsea/msigdb/cards/ATGAAGG_MIR205.html</t>
  </si>
  <si>
    <t>CTCTGGA_MIR520A_MIR525</t>
  </si>
  <si>
    <t>140710;6651;5048;4297;23126;23369;64324;81609;23049;10137;55291;55671;80155;51592</t>
  </si>
  <si>
    <t>SOGA1;SON;PAFAH1B1;KMT2A;POGZ;PUM2;NSD1;SNX27;SMG1;RBM12;PPP6R3;PPP4R3A;NAA15;TRIM33</t>
  </si>
  <si>
    <t>http://www.broadinstitute.org/gsea/msigdb/cards/CTCTGGA_MIR520A_MIR525.html</t>
  </si>
  <si>
    <t>SOX5_01</t>
  </si>
  <si>
    <t>9139;5495;140710;51366;1656;5927;7182;2186;54619;25836;80204;80351;7750;9698;55632;10735;84669;7994</t>
  </si>
  <si>
    <t>CBFA2T2;PPM1B;SOGA1;UBR5;DDX6;KDM5A;NR2C2;BPTF;CCNJ;NIPBL;FBXO11;TNKS2;ZMYM2;PUM1;G2E3;STAG2;USP32;KAT6A</t>
  </si>
  <si>
    <t>http://www.broadinstitute.org/gsea/msigdb/cards/SOX5_01.html</t>
  </si>
  <si>
    <t>MEIS1AHOXA9_01</t>
  </si>
  <si>
    <t>6659;157769;25836;23253;171023;23405;51105;6801;23095;388289;84669;4848</t>
  </si>
  <si>
    <t>SOX4;FAM91A1;NIPBL;ANKRD12;ASXL1;DICER1;PHF20L1;STRN;KIF1B;ZFHX3;USP32;AC092881.1</t>
  </si>
  <si>
    <t>http://www.broadinstitute.org/gsea/msigdb/cards/MEIS1AHOXA9_01.html</t>
  </si>
  <si>
    <t>ATCTTGC_MIR31</t>
  </si>
  <si>
    <t>5048;11052;9857;57459;51322;79811;7528;55671;91748;56995</t>
  </si>
  <si>
    <t>PAFAH1B1;CPSF6;CEP350;GATAD2B;WAC;SLTM;YY1;PPP4R3A;ELMSAN1;TULP4</t>
  </si>
  <si>
    <t>http://www.broadinstitute.org/gsea/msigdb/cards/ATCTTGC_MIR31.html</t>
  </si>
  <si>
    <t>TITF1_Q3</t>
  </si>
  <si>
    <t>9826;5451;3609;9584;4520;8925;84614;23126;56946;64324;26523;5422;4140;2932;27327;55175;4848</t>
  </si>
  <si>
    <t>ARHGEF11;POU2F1;ILF3;RBM39;MTF1;HERC1;ZBTB37;POGZ;EMSY;NSD1;AGO1;POLA1;MARK3;GSK3B;TNRC6A;KLHL11;AC092881.1</t>
  </si>
  <si>
    <t>http://www.broadinstitute.org/gsea/msigdb/cards/TITF1_Q3.html</t>
  </si>
  <si>
    <t>RGAANNTTC_HSF1_01</t>
  </si>
  <si>
    <t>51366;23248;130507;9736;65117;57532;22853;51773;29072;200576;1106;7514;8867;4140;11214;8453;4899;204851;84295;10735;25909;23013;26973;9874</t>
  </si>
  <si>
    <t>UBR5;RPRD2;UBR3;USP34;RSRC2;NUFIP2;LMTK2;RSF1;SETD2;PIKFYVE;CHD2;XPO1;SYNJ1;MARK3;AKAP13;CUL2;NRF1;HIPK1;PHF6;STAG2;AHCTF1;SPEN;CHORDC1;TLK1</t>
  </si>
  <si>
    <t>http://www.broadinstitute.org/gsea/msigdb/cards/RGAANNTTC_HSF1_01.html</t>
  </si>
  <si>
    <t>8085;23317;5495;9631;23328;51366;7468;353274;6711;4297;6654;9584;4520;221037;84614;9202;56957;26058;130507;23126;57532;80204;58508;57492;10274;3842;10730;51322;55628;84146;79691;11276;23405;1106;7514;23140;905;11168;51585;2876;3096;4763;9513;388289;91748;55605;157680;57534;84295;389677;22849;84669;55102;11083;9786;80314;192669;26019;58487;29843;9969;8202</t>
  </si>
  <si>
    <t>KMT2D;DNAJC13;PPM1B;NUP155;SASH1;UBR5;NSD2;ZNF445;SPTBN1;KMT2A;SOS1;RBM39;MTF1;JMJD1C;ZBTB37;ZMYM4;OTUD7B;GIGYF2;UBR3;POGZ;NUFIP2;FBXO11;KMT2C;ARID1B;STAG1;TNPO1;YME1L1;WAC;ZNF407;ZNF644;QTRT2;SYNRG;DICER1;CHD2;XPO1;ZZEF1;CCNT2;PSIP1;PCF11;GPX1;HIVEP1;NF1;FXR2;ZFHX3;ELMSAN1;KIF21A;VPS13B;MIB1;PHF6;RBM12B;CPEB3;USP32;ATG2B;DIDO1;KIAA0586;EPC1;AGO3;UPF2;CREBZF;SENP1;MED13;NCOA3</t>
  </si>
  <si>
    <t>WGTTNNNNNAAA_UNKNOWN</t>
  </si>
  <si>
    <t>10236;5495;221037;130507;171023;84181;64324;29072;55628;54764;1106;7514;2876;5422;3096;10735;57209;9786;26054;55802;56980;58487;55175;9969;27161;9967;4216</t>
  </si>
  <si>
    <t>HNRNPR;PPM1B;JMJD1C;UBR3;ASXL1;CHD6;NSD1;SETD2;ZNF407;ZRANB1;CHD2;XPO1;GPX1;POLA1;HIVEP1;STAG2;ZNF248;KIAA0586;SENP6;DCP1A;PRDM10;CREBZF;KLHL11;MED13;AGO2;THRAP3;MAP3K4</t>
  </si>
  <si>
    <t>http://www.broadinstitute.org/gsea/msigdb/cards/WGTTNNNNNAAA_UNKNOWN.html</t>
  </si>
  <si>
    <t>WTGAAAT_UNKNOWN</t>
  </si>
  <si>
    <t>9044;26057;5495;8019;23244;157769;26058;9736;374354;84181;55628;57448;1106;23633;11168;51585;10277;1859;388289;9662;79598;267004;7994;79813;26019;56995;58487;51132;51696</t>
  </si>
  <si>
    <t>BTAF1;ANKRD17;PPM1B;BRD3;PDS5A;FAM91A1;GIGYF2;USP34;NHLRC2;CHD6;ZNF407;BIRC6;CHD2;KPNA6;PSIP1;PCF11;UBE4B;DYRK1A;ZFHX3;CEP135;CEP97;ERCC6;KAT6A;EHMT1;UPF2;TULP4;CREBZF;RLIM;HECA</t>
  </si>
  <si>
    <t>http://www.broadinstitute.org/gsea/msigdb/cards/WTGAAAT_UNKNOWN.html</t>
  </si>
  <si>
    <t>AGGTGCA_MIR500</t>
  </si>
  <si>
    <t>9632;257218;23063;7776;51182;4899;204851;25948;5814;23047;23112</t>
  </si>
  <si>
    <t>SEC24C;SHPRH;WAPL;ZNF236;HSPA14;NRF1;HIPK1;KBTBD2;PURB;PDS5B;TNRC6B</t>
  </si>
  <si>
    <t>http://www.broadinstitute.org/gsea/msigdb/cards/AGGTGCA_MIR500.html</t>
  </si>
  <si>
    <t>PAX4_04</t>
  </si>
  <si>
    <t>6659;6093;25836;55252;23063;80204;171023;7750;23405;5286;2932;388289;10735;27327;8239;4848</t>
  </si>
  <si>
    <t>SOX4;ROCK1;NIPBL;ASXL2;WAPL;FBXO11;ASXL1;ZMYM2;DICER1;PIK3C2A;GSK3B;ZFHX3;STAG2;TNRC6A;USP9X;AC092881.1</t>
  </si>
  <si>
    <t>http://www.broadinstitute.org/gsea/msigdb/cards/PAX4_04.html</t>
  </si>
  <si>
    <t>DR3_Q4</t>
  </si>
  <si>
    <t>51366;5451;6093;25836;55252;5930;171023;55914;51773;7750;1106;7514;284058</t>
  </si>
  <si>
    <t>UBR5;POU2F1;ROCK1;NIPBL;ASXL2;RBBP6;ASXL1;ERBIN;RSF1;ZMYM2;CHD2;XPO1;KANSL1</t>
  </si>
  <si>
    <t>http://www.broadinstitute.org/gsea/msigdb/cards/DR3_Q4.html</t>
  </si>
  <si>
    <t>ACTACCT_MIR196A_MIR196B</t>
  </si>
  <si>
    <t>26046;7182;5903;6433;10771;54619;253260;57448;23405;571;54520;55432;140775</t>
  </si>
  <si>
    <t>LTN1;NR2C2;RANBP2;SFSWAP;ZMYND11;CCNJ;RICTOR;BIRC6;DICER1;BACH1;CCDC93;YOD1;SMCR8</t>
  </si>
  <si>
    <t>http://www.broadinstitute.org/gsea/msigdb/cards/ACTACCT_MIR196A_MIR196B.html</t>
  </si>
  <si>
    <t>ACAWNRNSRCGG_UNKNOWN</t>
  </si>
  <si>
    <t>7182;3609;23054;23633;51585;10277;2033;9698;27332</t>
  </si>
  <si>
    <t>NR2C2;ILF3;NCOA6;KPNA6;PCF11;UBE4B;EP300;PUM1;ZNF638</t>
  </si>
  <si>
    <t>http://www.broadinstitute.org/gsea/msigdb/cards/ACAWNRNSRCGG_UNKNOWN.html</t>
  </si>
  <si>
    <t>GGTAACC_MIR4095P</t>
  </si>
  <si>
    <t>11052;26523;23095;1859;51742;10735;23499</t>
  </si>
  <si>
    <t>CPSF6;AGO1;KIF1B;DYRK1A;ARID4B;STAG2;MACF1</t>
  </si>
  <si>
    <t>http://www.broadinstitute.org/gsea/msigdb/cards/GGTAACC_MIR4095P.html</t>
  </si>
  <si>
    <t>MYCMAX_03</t>
  </si>
  <si>
    <t>26057;3609;8661;26058;55193;79691;9126;51105;7514;10277;23468;2957;25948;7994;80314;11108;1788</t>
  </si>
  <si>
    <t>ANKRD17;ILF3;EIF3A;GIGYF2;PBRM1;QTRT2;SMC3;PHF20L1;XPO1;UBE4B;CBX5;GTF2A1;KBTBD2;KAT6A;EPC1;PRDM4;DNMT3A</t>
  </si>
  <si>
    <t>http://www.broadinstitute.org/gsea/msigdb/cards/MYCMAX_03.html</t>
  </si>
  <si>
    <t>CACTGCC_MIR34A_MIR34C_MIR449</t>
  </si>
  <si>
    <t>6659;9202;23126;84146;53944;57472;9880;8867;51742;388228;139285;91748;254887;22849;5814;55167;11176;23112</t>
  </si>
  <si>
    <t>SOX4;ZMYM4;POGZ;ZNF644;CSNK1G1;CNOT6;ZBTB39;SYNJ1;ARID4B;SBK1;AMER1;ELMSAN1;ZDHHC23;CPEB3;PURB;MSL2;BAZ2A;TNRC6B</t>
  </si>
  <si>
    <t>http://www.broadinstitute.org/gsea/msigdb/cards/CACTGCC_MIR34A_MIR34C_MIR449.html</t>
  </si>
  <si>
    <t>GTGCAAT_MIR25_MIR32_MIR92_MIR363_MIR367</t>
  </si>
  <si>
    <t>5980;23077;3799;5048;546;6659;57492;57459;7248;29994;200576;8867;3096;8087;4899;22849;56995;23047;11176</t>
  </si>
  <si>
    <t>REV3L;MYCBP2;KIF5B;PAFAH1B1;ATRX;SOX4;ARID1B;GATAD2B;TSC1;BAZ2B;PIKFYVE;SYNJ1;HIVEP1;FXR1;NRF1;CPEB3;TULP4;PDS5B;BAZ2A</t>
  </si>
  <si>
    <t>http://www.broadinstitute.org/gsea/msigdb/cards/GTGCAAT_MIR25_MIR32_MIR92_MIR363_MIR367.html</t>
  </si>
  <si>
    <t>GCATTTG_MIR105</t>
  </si>
  <si>
    <t>3840;6651;4297;8899;8661;255967;51755;26523;23405;51105;9527;6670;284058;56995</t>
  </si>
  <si>
    <t>KPNA4;SON;KMT2A;PRPF4B;EIF3A;PAN3;CDK12;AGO1;DICER1;PHF20L1;GOSR1;SP3;KANSL1;TULP4</t>
  </si>
  <si>
    <t>http://www.broadinstitute.org/gsea/msigdb/cards/GCATTTG_MIR105.html</t>
  </si>
  <si>
    <t>ACTGAAA_MIR30A3P_MIR30E3P</t>
  </si>
  <si>
    <t>7182;80018;253260;57532;55193;10142;57448;11168;867;8087;6670;2033;55432;2140;23112</t>
  </si>
  <si>
    <t>NR2C2;NAA25;RICTOR;NUFIP2;PBRM1;AKAP9;BIRC6;PSIP1;CBL;FXR1;SP3;EP300;YOD1;EYA3;TNRC6B</t>
  </si>
  <si>
    <t>http://www.broadinstitute.org/gsea/msigdb/cards/ACTGAAA_MIR30A3P_MIR30E3P.html</t>
  </si>
  <si>
    <t>AAAGACA_MIR511</t>
  </si>
  <si>
    <t>5980;23317;546;8899;9857;26523;905;9113;7528;6596;25962;57534;27327;27161;23112</t>
  </si>
  <si>
    <t>REV3L;DNAJC13;ATRX;PRPF4B;CEP350;AGO1;CCNT2;LATS1;YY1;HLTF;VIRMA;MIB1;TNRC6A;AGO2;TNRC6B</t>
  </si>
  <si>
    <t>http://www.broadinstitute.org/gsea/msigdb/cards/AAAGACA_MIR511.html</t>
  </si>
  <si>
    <t>CCAGGTT_MIR490</t>
  </si>
  <si>
    <t>7182;22976;57532;55193;23049;29072;80351;10914;25909</t>
  </si>
  <si>
    <t>NR2C2;PAXIP1;NUFIP2;PBRM1;SMG1;SETD2;TNKS2;PAPOLA;AHCTF1</t>
  </si>
  <si>
    <t>http://www.broadinstitute.org/gsea/msigdb/cards/CCAGGTT_MIR490.html</t>
  </si>
  <si>
    <t>TGTATGA_MIR4853P</t>
  </si>
  <si>
    <t>9793;79832;9202;26058;130507;5930;23369;23049;6670;1859;4899;55605;27161</t>
  </si>
  <si>
    <t>CKAP5;QSER1;ZMYM4;GIGYF2;UBR3;RBBP6;PUM2;SMG1;SP3;DYRK1A;NRF1;KIF21A;AGO2</t>
  </si>
  <si>
    <t>http://www.broadinstitute.org/gsea/msigdb/cards/TGTATGA_MIR4853P.html</t>
  </si>
  <si>
    <t>GGGCATT_MIR365</t>
  </si>
  <si>
    <t>5980;26057;157769;253260;57532;23032;84146;10137;8867;84196;204851</t>
  </si>
  <si>
    <t>REV3L;ANKRD17;FAM91A1;RICTOR;NUFIP2;USP33;ZNF644;RBM12;SYNJ1;USP48;HIPK1</t>
  </si>
  <si>
    <t>http://www.broadinstitute.org/gsea/msigdb/cards/GGGCATT_MIR365.html</t>
  </si>
  <si>
    <t>MZF1_02</t>
  </si>
  <si>
    <t>6651;5048;23054;171023;89884;84146;51755;1106;7514;51585;10277;4763;8621;56980;9969;1788</t>
  </si>
  <si>
    <t>SON;PAFAH1B1;NCOA6;ASXL1;LHX4;ZNF644;CDK12;CHD2;XPO1;PCF11;UBE4B;NF1;CDK13;PRDM10;MED13;DNMT3A</t>
  </si>
  <si>
    <t>http://www.broadinstitute.org/gsea/msigdb/cards/MZF1_02.html</t>
  </si>
  <si>
    <t>CEBPB_01</t>
  </si>
  <si>
    <t>9584;157769;57492;79677;54542;23019;1106;6801;51585;2876;6249;2033;1859;91748;54832;8239;79646</t>
  </si>
  <si>
    <t>RBM39;FAM91A1;ARID1B;SMC6;RC3H2;CNOT1;CHD2;STRN;PCF11;GPX1;CLIP1;EP300;DYRK1A;ELMSAN1;VPS13C;USP9X;PANK3</t>
  </si>
  <si>
    <t>http://www.broadinstitute.org/gsea/msigdb/cards/CEBPB_01.html</t>
  </si>
  <si>
    <t>GTGACTT_MIR224</t>
  </si>
  <si>
    <t>9972;3192;8899;23054;23389;57695;23369;22992;10915;55432;389677;11176;55818</t>
  </si>
  <si>
    <t>NUP153;HNRNPU;PRPF4B;NCOA6;MED13L;USP37;PUM2;KDM2A;TCERG1;YOD1;RBM12B;BAZ2A;KDM3A</t>
  </si>
  <si>
    <t>http://www.broadinstitute.org/gsea/msigdb/cards/GTGACTT_MIR224.html</t>
  </si>
  <si>
    <t>MYCMAX_02</t>
  </si>
  <si>
    <t>26057;4297;7156;221037;23352;9736;571;7514;23468;8087;9221;91748;25948;140775;51132;11108;55818</t>
  </si>
  <si>
    <t>ANKRD17;KMT2A;TOP3A;JMJD1C;UBR4;USP34;BACH1;XPO1;CBX5;FXR1;NOLC1;ELMSAN1;KBTBD2;SMCR8;RLIM;PRDM4;KDM3A</t>
  </si>
  <si>
    <t>http://www.broadinstitute.org/gsea/msigdb/cards/MYCMAX_02.html</t>
  </si>
  <si>
    <t>CCTGCTG_MIR214</t>
  </si>
  <si>
    <t>23060;5048;9632;3192;6433;57532;23332;9880;10299;867;64854;84295;160760;5814;80155;11176</t>
  </si>
  <si>
    <t>ZNF609;PAFAH1B1;SEC24C;HNRNPU;SFSWAP;NUFIP2;CLASP1;ZBTB39;MARCH6;CBL;USP46;PHF6;PPTC7;PURB;NAA15;BAZ2A</t>
  </si>
  <si>
    <t>http://www.broadinstitute.org/gsea/msigdb/cards/CCTGCTG_MIR214.html</t>
  </si>
  <si>
    <t>9044;27107;9632;4520;55275;25836;80351;11276;4763;4140;2005;7024;6789;463;84295;54765;29843</t>
  </si>
  <si>
    <t>BTAF1;ZBTB11;SEC24C;MTF1;VPS53;NIPBL;TNKS2;SYNRG;NF1;MARK3;ELK4;TFCP2;STK4;ZFHX3;PHF6;TRIM44;SENP1</t>
  </si>
  <si>
    <t>http://www.broadinstitute.org/gsea/msigdb/cards/NRF2_01.html</t>
  </si>
  <si>
    <t>5495;673;7579;6659;221037;22848;84614;23332;80204;23522;7248;89884;51322;55051;51105;1106;7174;8087;6670;388289;139285;204851;389677;267004;10735;160760;55167;9969;9874;51592</t>
  </si>
  <si>
    <t>PPM1B;BRAF;ZSCAN20;SOX4;JMJD1C;AAK1;ZBTB37;CLASP1;FBXO11;KAT6B;TSC1;LHX4;WAC;NRDE2;PHF20L1;CHD2;TPP2;FXR1;SP3;ZFHX3;AMER1;HIPK1;RBM12B;ERCC6;STAG2;PPTC7;MSL2;MED13;TLK1;TRIM33</t>
  </si>
  <si>
    <t>TGTTTGY_HNF3_Q6</t>
  </si>
  <si>
    <t>1656;4297;6659;2186;9584;8019;26098;84614;25836;6873;56946;171023;57492;23369;84181;64324;51105;6341;2957;5471;2033;2804;388289;27042;91748;254065;10735;22849;160760;56987;54765</t>
  </si>
  <si>
    <t>DDX6;KMT2A;SOX4;BPTF;RBM39;BRD3;EDRF1;ZBTB37;NIPBL;TAF2;EMSY;ASXL1;ARID1B;PUM2;CHD6;NSD1;PHF20L1;SCO1;GTF2A1;PPAT;EP300;GOLGB1;ZFHX3;UTP25;ELMSAN1;BRWD3;STAG2;CPEB3;PPTC7;BBX;TRIM44</t>
  </si>
  <si>
    <t>http://www.broadinstitute.org/gsea/msigdb/cards/TGTTTGY_HNF3_Q6.html</t>
  </si>
  <si>
    <t>GCACCTT_MIR18A_MIR18B</t>
  </si>
  <si>
    <t>6651;55252;22992;23637;51105;6789;254065;5814;79813;10765;23112</t>
  </si>
  <si>
    <t>SON;ASXL2;KDM2A;RABGAP1;PHF20L1;STK4;BRWD3;PURB;EHMT1;KDM5B;TNRC6B</t>
  </si>
  <si>
    <t>http://www.broadinstitute.org/gsea/msigdb/cards/GCACCTT_MIR18A_MIR18B.html</t>
  </si>
  <si>
    <t>5980;9611;23328;5451;3799;5981;2969;6659;2186;5062;6093;23054;9135;221037;22848;54619;84614;56957;26058;130507;55252;57551;57532;56946;57695;55193;22853;171023;84181;10274;23049;51773;80351;84146;26523;1106;11168;2876;3096;2117;64854;2033;472;93;4863;3930;463;5586;4899;139285;23033;79707;200030;11011;84196;84295;2074;144348;22849;84669;160760;6601;56987;54765;2140;10198;80155;56980;58487;55668;23499;1788;4216</t>
  </si>
  <si>
    <t>REV3L;NCOR1;SASH1;POU2F1;KIF5B;RFC1;GTF2I;SOX4;BPTF;PAK2;ROCK1;NCOA6;RABEP1;JMJD1C;AAK1;CCNJ;ZBTB37;OTUD7B;GIGYF2;UBR3;ASXL2;TAOK1;NUFIP2;EMSY;USP37;PBRM1;LMTK2;ASXL1;CHD6;STAG1;SMG1;RSF1;TNKS2;ZNF644;AGO1;CHD2;PSIP1;GPX1;HIVEP1;ETV3;USP46;EP300;ATM;ACVR2B;NPAT;LBR;ZFHX3;PKN2;NRF1;AMER1;DOP1A;NOL9;NBPF11;TLK2;USP48;PHF6;ERCC6;ZNF664;CPEB3;USP32;PPTC7;SMARCC2;BBX;TRIM44;EYA3;MPHOSPH9;NAA15;PRDM10;CREBZF;GPATCH2L;MACF1;DNMT3A;MAP3K4</t>
  </si>
  <si>
    <t>5451;5048;9584;10274;64324;54552;23095;10277;9698;80314;9923</t>
  </si>
  <si>
    <t>POU2F1;PAFAH1B1;RBM39;STAG1;NSD1;GNL3L;KIF1B;UBE4B;PUM1;EPC1;ZBTB40</t>
  </si>
  <si>
    <t>http://www.broadinstitute.org/gsea/msigdb/cards/GGCNKCCATNK_UNKNOWN.html</t>
  </si>
  <si>
    <t>AACATTC_MIR4093P</t>
  </si>
  <si>
    <t>140710;3192;7705;25836;55193;23369;23032;51773;53944;7776;84295;79813</t>
  </si>
  <si>
    <t>SOGA1;HNRNPU;ZNF146;NIPBL;PBRM1;PUM2;USP33;RSF1;CSNK1G1;ZNF236;PHF6;EHMT1</t>
  </si>
  <si>
    <t>http://www.broadinstitute.org/gsea/msigdb/cards/AACATTC_MIR4093P.html</t>
  </si>
  <si>
    <t>MAZR_01</t>
  </si>
  <si>
    <t>10236;6651;5048;6093;4520;56957;23126;7750;51585;10277;9513;11011;9969;11176;1788</t>
  </si>
  <si>
    <t>HNRNPR;SON;PAFAH1B1;ROCK1;MTF1;OTUD7B;POGZ;ZMYM2;PCF11;UBE4B;FXR2;TLK2;MED13;BAZ2A;DNMT3A</t>
  </si>
  <si>
    <t>http://www.broadinstitute.org/gsea/msigdb/cards/MAZR_01.html</t>
  </si>
  <si>
    <t>MYB_Q3</t>
  </si>
  <si>
    <t>8085;26057;23451;9584;25836;7750;7514;9513;4899;91748;84669;79048;79813;4848;9969;7707</t>
  </si>
  <si>
    <t>KMT2D;ANKRD17;SF3B1;RBM39;NIPBL;ZMYM2;XPO1;FXR2;NRF1;ELMSAN1;USP32;SECISBP2;EHMT1;AC092881.1;MED13;ZNF148</t>
  </si>
  <si>
    <t>http://www.broadinstitute.org/gsea/msigdb/cards/MYB_Q3.html</t>
  </si>
  <si>
    <t>GTCTTCC_MIR7</t>
  </si>
  <si>
    <t>23060;26046;205717;23253;23063;171023;23049;51479;26523;905;1859;5814;1788</t>
  </si>
  <si>
    <t>ZNF609;LTN1;USF3;ANKRD12;WAPL;ASXL1;SMG1;ANKFY1;AGO1;CCNT2;DYRK1A;PURB;DNMT3A</t>
  </si>
  <si>
    <t>http://www.broadinstitute.org/gsea/msigdb/cards/GTCTTCC_MIR7.html</t>
  </si>
  <si>
    <t>CREB_Q3</t>
  </si>
  <si>
    <t>9631;7175;5981;221037;9202;23126;57679;23215;1106;9870;9221;51742;55671;84196;56980;9874</t>
  </si>
  <si>
    <t>NUP155;TPR;RFC1;JMJD1C;ZMYM4;POGZ;ALS2;PRRC2C;CHD2;AREL1;NOLC1;ARID4B;PPP4R3A;USP48;PRDM10;TLK1</t>
  </si>
  <si>
    <t>http://www.broadinstitute.org/gsea/msigdb/cards/CREB_Q3.html</t>
  </si>
  <si>
    <t>GKCGCNNNNNNNTGAYG_UNKNOWN</t>
  </si>
  <si>
    <t>9631;5981;9972;5903;84146;79691;59343;51105</t>
  </si>
  <si>
    <t>NUP155;RFC1;NUP153;RANBP2;ZNF644;QTRT2;SENP2;PHF20L1</t>
  </si>
  <si>
    <t>http://www.broadinstitute.org/gsea/msigdb/cards/GKCGCNNNNNNNTGAYG_UNKNOWN.html</t>
  </si>
  <si>
    <t>PAX4_03</t>
  </si>
  <si>
    <t>10236;5451;3799;5048;84614;25836;57532;374354;51585;93;10735;56987;56980;29843;11176;9874</t>
  </si>
  <si>
    <t>HNRNPR;POU2F1;KIF5B;PAFAH1B1;ZBTB37;NIPBL;NUFIP2;NHLRC2;PCF11;ACVR2B;STAG2;BBX;PRDM10;SENP1;BAZ2A;TLK1</t>
  </si>
  <si>
    <t>http://www.broadinstitute.org/gsea/msigdb/cards/PAX4_03.html</t>
  </si>
  <si>
    <t>CREBP1_Q2</t>
  </si>
  <si>
    <t>27107;673;5048;5903;9360;23064;28981;10730;170506;59343;23140;10299;4763;2957;79723;9967</t>
  </si>
  <si>
    <t>ZBTB11;BRAF;PAFAH1B1;RANBP2;PPIG;SETX;IFT81;YME1L1;DHX36;SENP2;ZZEF1;MARCH6;NF1;GTF2A1;SUV39H2;THRAP3</t>
  </si>
  <si>
    <t>http://www.broadinstitute.org/gsea/msigdb/cards/CREBP1_Q2.html</t>
  </si>
  <si>
    <t>SRY_02</t>
  </si>
  <si>
    <t>9139;140710;51366;1656;54619;84614;25836;7750;51585;9698;25948;144348;10735;27327;84669;7994</t>
  </si>
  <si>
    <t>CBFA2T2;SOGA1;UBR5;DDX6;CCNJ;ZBTB37;NIPBL;ZMYM2;PCF11;PUM1;KBTBD2;ZNF664;STAG2;TNRC6A;USP32;KAT6A</t>
  </si>
  <si>
    <t>http://www.broadinstitute.org/gsea/msigdb/cards/SRY_02.html</t>
  </si>
  <si>
    <t>9611;5451;4297;257218;80018;9202;57695;23293;80351;26523;5422;7559;23468;9513;2957;4899;54832;57534;57209;160760;55705;83448;26019;55167;55818</t>
  </si>
  <si>
    <t>NCOR1;POU2F1;KMT2A;SHPRH;NAA25;ZMYM4;USP37;SMG6;TNKS2;AGO1;POLA1;ZNF12;CBX5;FXR2;GTF2A1;NRF1;VPS13C;MIB1;ZNF248;PPTC7;IPO9;PUS7L;UPF2;MSL2;KDM3A</t>
  </si>
  <si>
    <t>AATGGAG_MIR136</t>
  </si>
  <si>
    <t>2186;57695;55193;1859;23198;5814;55167;7707;55818</t>
  </si>
  <si>
    <t>BPTF;USP37;PBRM1;DYRK1A;PSME4;PURB;MSL2;ZNF148;KDM3A</t>
  </si>
  <si>
    <t>http://www.broadinstitute.org/gsea/msigdb/cards/AATGGAG_MIR136.html</t>
  </si>
  <si>
    <t>TCATCTC_MIR143</t>
  </si>
  <si>
    <t>26058;65117;57609;51105;11214;122830;23198;204851;84295;58487;22828;1788</t>
  </si>
  <si>
    <t>GIGYF2;RSRC2;DIP2B;PHF20L1;AKAP13;NAA30;PSME4;HIPK1;PHF6;CREBZF;SCAF8;DNMT3A</t>
  </si>
  <si>
    <t>http://www.broadinstitute.org/gsea/msigdb/cards/TCATCTC_MIR143.html</t>
  </si>
  <si>
    <t>MAF_Q6</t>
  </si>
  <si>
    <t>4297;221037;57551;57532;51773;1106;2876;2117;6670;11214;6789;8453;1859;91748;11011;8202</t>
  </si>
  <si>
    <t>KMT2A;JMJD1C;TAOK1;NUFIP2;RSF1;CHD2;GPX1;ETV3;SP3;AKAP13;STK4;CUL2;DYRK1A;ELMSAN1;TLK2;NCOA3</t>
  </si>
  <si>
    <t>http://www.broadinstitute.org/gsea/msigdb/cards/MAF_Q6.html</t>
  </si>
  <si>
    <t>TGACCTY_ERR1_Q2</t>
  </si>
  <si>
    <t>5495;26046;673;3799;7182;4297;6659;23054;80018;9733;221037;23248;55252;57532;57695;171023;23001;84146;54764;1106;10915;9527;6249;10128;2551;8621;139285;91748;79598;84893;160760;6601;9786;9923;55668;29843;9969;1788</t>
  </si>
  <si>
    <t>PPM1B;LTN1;BRAF;KIF5B;NR2C2;KMT2A;SOX4;NCOA6;NAA25;SART3;JMJD1C;RPRD2;ASXL2;NUFIP2;USP37;ASXL1;WDFY3;ZNF644;ZRANB1;CHD2;TCERG1;GOSR1;CLIP1;LRPPRC;GABPA;CDK13;AMER1;ELMSAN1;CEP97;FBH1;PPTC7;SMARCC2;KIAA0586;ZBTB40;GPATCH2L;SENP1;MED13;DNMT3A</t>
  </si>
  <si>
    <t>http://www.broadinstitute.org/gsea/msigdb/cards/TGACCTY_ERR1_Q2.html</t>
  </si>
  <si>
    <t>TCF11MAFG_01</t>
  </si>
  <si>
    <t>9826;5048;5130;9135;23352;22853;23001;58508;57448;23215;10277;2957;27327;9874</t>
  </si>
  <si>
    <t>ARHGEF11;PAFAH1B1;PCYT1A;RABEP1;UBR4;LMTK2;WDFY3;KMT2C;BIRC6;PRRC2C;UBE4B;GTF2A1;TNRC6A;TLK1</t>
  </si>
  <si>
    <t>http://www.broadinstitute.org/gsea/msigdb/cards/TCF11MAFG_01.html</t>
  </si>
  <si>
    <t>PAX5_01</t>
  </si>
  <si>
    <t>8899;23054;56957;171023;8867;2932;9513;4899;10735;51132;29843;9874</t>
  </si>
  <si>
    <t>PRPF4B;NCOA6;OTUD7B;ASXL1;SYNJ1;GSK3B;FXR2;NRF1;STAG2;RLIM;SENP1;TLK1</t>
  </si>
  <si>
    <t>http://www.broadinstitute.org/gsea/msigdb/cards/PAX5_01.html</t>
  </si>
  <si>
    <t>CATTGTYY_SOX9_B1</t>
  </si>
  <si>
    <t>9139;2186;5062;8661;9584;56957;57532;80204;3842;23095;11168;1859;139285;55596;84295;144348;7994;23047;55689</t>
  </si>
  <si>
    <t>CBFA2T2;BPTF;PAK2;EIF3A;RBM39;OTUD7B;NUFIP2;FBXO11;TNPO1;KIF1B;PSIP1;DYRK1A;AMER1;ZCCHC8;PHF6;ZNF664;KAT6A;PDS5B;YEATS2</t>
  </si>
  <si>
    <t>http://www.broadinstitute.org/gsea/msigdb/cards/CATTGTYY_SOX9_B1.html</t>
  </si>
  <si>
    <t>TTGCCAA_MIR182</t>
  </si>
  <si>
    <t>7468;5048;4297;8899;8661;54619;157769;57532;26523;57472;4140;8087;6670;1859;55671;26065;55167;23112</t>
  </si>
  <si>
    <t>NSD2;PAFAH1B1;KMT2A;PRPF4B;EIF3A;CCNJ;FAM91A1;NUFIP2;AGO1;CNOT6;MARK3;FXR1;SP3;DYRK1A;PPP4R3A;LSM14A;MSL2;TNRC6B</t>
  </si>
  <si>
    <t>http://www.broadinstitute.org/gsea/msigdb/cards/TTGCCAA_MIR182.html</t>
  </si>
  <si>
    <t>CAGGGTC_MIR504</t>
  </si>
  <si>
    <t>405;10771;84181;53944;57472;9513;4899;8239;5814</t>
  </si>
  <si>
    <t>ARNT;ZMYND11;CHD6;CSNK1G1;CNOT6;FXR2;NRF1;USP9X;PURB</t>
  </si>
  <si>
    <t>http://www.broadinstitute.org/gsea/msigdb/cards/CAGGGTC_MIR504.html</t>
  </si>
  <si>
    <t>GATGKMRGCG_UNKNOWN</t>
  </si>
  <si>
    <t>51366;9733;7248;5116;7528;2033;5469;79723</t>
  </si>
  <si>
    <t>UBR5;SART3;TSC1;PCNT;YY1;EP300;MED1;SUV39H2</t>
  </si>
  <si>
    <t>http://www.broadinstitute.org/gsea/msigdb/cards/GATGKMRGCG_UNKNOWN.html</t>
  </si>
  <si>
    <t>TAGGTCA_MIR192_MIR215</t>
  </si>
  <si>
    <t>1656;25836;253260;23637;905;867;1859</t>
  </si>
  <si>
    <t>DDX6;NIPBL;RICTOR;RABGAP1;CCNT2;CBL;DYRK1A</t>
  </si>
  <si>
    <t>http://www.broadinstitute.org/gsea/msigdb/cards/TAGGTCA_MIR192_MIR215.html</t>
  </si>
  <si>
    <t>GAGCCTG_MIR484</t>
  </si>
  <si>
    <t>23077;7468;4297;8899;26130;26523;22992;867;204851;51592</t>
  </si>
  <si>
    <t>MYCBP2;NSD2;KMT2A;PRPF4B;GAPVD1;AGO1;KDM2A;CBL;HIPK1;TRIM33</t>
  </si>
  <si>
    <t>http://www.broadinstitute.org/gsea/msigdb/cards/GAGCCTG_MIR484.html</t>
  </si>
  <si>
    <t>ATATGCA_MIR448</t>
  </si>
  <si>
    <t>23451;5903;23244;196528;253260;23389;23001;7174;7109;6670;6789;92140;79598;23299</t>
  </si>
  <si>
    <t>SF3B1;RANBP2;PDS5A;ARID2;RICTOR;MED13L;WDFY3;TPP2;TRAPPC10;SP3;STK4;MTDH;CEP97;BICD2</t>
  </si>
  <si>
    <t>http://www.broadinstitute.org/gsea/msigdb/cards/ATATGCA_MIR448.html</t>
  </si>
  <si>
    <t>GGGATGC_MIR3245P</t>
  </si>
  <si>
    <t>7468;25836;80204;51182;54856;55432;56987</t>
  </si>
  <si>
    <t>NSD2;NIPBL;FBXO11;HSPA14;GON4L;YOD1;BBX</t>
  </si>
  <si>
    <t>http://www.broadinstitute.org/gsea/msigdb/cards/GGGATGC_MIR3245P.html</t>
  </si>
  <si>
    <t>GTTAAAG_MIR302B</t>
  </si>
  <si>
    <t>5903;22976;27291;171023;8867;51742;10735;5814</t>
  </si>
  <si>
    <t>RANBP2;PAXIP1;R3HCC1L;ASXL1;SYNJ1;ARID4B;STAG2;PURB</t>
  </si>
  <si>
    <t>http://www.broadinstitute.org/gsea/msigdb/cards/GTTAAAG_MIR302B.html</t>
  </si>
  <si>
    <t>ARNT_02</t>
  </si>
  <si>
    <t>26057;51366;23352;26058;23637;23215;10277;23468;139285;25948;80314;9923;51455;11108;55689</t>
  </si>
  <si>
    <t>ANKRD17;UBR5;UBR4;GIGYF2;RABGAP1;PRRC2C;UBE4B;CBX5;AMER1;KBTBD2;EPC1;ZBTB40;REV1;PRDM4;YEATS2</t>
  </si>
  <si>
    <t>http://www.broadinstitute.org/gsea/msigdb/cards/ARNT_02.html</t>
  </si>
  <si>
    <t>GTATGAT_MIR154_MIR487</t>
  </si>
  <si>
    <t>9202;196528;5930;23369;91746;6670;1859;1788</t>
  </si>
  <si>
    <t>ZMYM4;ARID2;RBBP6;PUM2;YTHDC1;SP3;DYRK1A;DNMT3A</t>
  </si>
  <si>
    <t>http://www.broadinstitute.org/gsea/msigdb/cards/GTATGAT_MIR154_MIR487.html</t>
  </si>
  <si>
    <t>TCANNTGAY_SREBP1_01</t>
  </si>
  <si>
    <t>26057;673;546;3609;7156;9135;253143;26058;55252;22853;10274;57679;29072;22992;1106;10277;3096;2117;2932;10735;140775;80314</t>
  </si>
  <si>
    <t>ANKRD17;BRAF;ATRX;ILF3;TOP3A;RABEP1;PRR14L;GIGYF2;ASXL2;LMTK2;STAG1;ALS2;SETD2;KDM2A;CHD2;UBE4B;HIVEP1;ETV3;GSK3B;STAG2;SMCR8;EPC1</t>
  </si>
  <si>
    <t>http://www.broadinstitute.org/gsea/msigdb/cards/TCANNTGAY_SREBP1_01.html</t>
  </si>
  <si>
    <t>ATGCTGG_MIR338</t>
  </si>
  <si>
    <t>23077;405;57532;29072;9880;905;22849;55167;51592;23112</t>
  </si>
  <si>
    <t>MYCBP2;ARNT;NUFIP2;SETD2;ZBTB39;CCNT2;CPEB3;MSL2;TRIM33;TNRC6B</t>
  </si>
  <si>
    <t>http://www.broadinstitute.org/gsea/msigdb/cards/ATGCTGG_MIR338.html</t>
  </si>
  <si>
    <t>ATGTAGC_MIR221_MIR222</t>
  </si>
  <si>
    <t>405;4297;80018;23126;1859;388228;253959;284058;204851;55167;58487</t>
  </si>
  <si>
    <t>ARNT;KMT2A;NAA25;POGZ;DYRK1A;SBK1;RALGAPA1;KANSL1;HIPK1;MSL2;CREBZF</t>
  </si>
  <si>
    <t>http://www.broadinstitute.org/gsea/msigdb/cards/ATGTAGC_MIR221_MIR222.html</t>
  </si>
  <si>
    <t>RRAGTTGT_UNKNOWN</t>
  </si>
  <si>
    <t>8085;9826;5981;7156;25836;57492;10274;81609;7750;2844;79598;140775;56987;79646;1788</t>
  </si>
  <si>
    <t>KMT2D;ARHGEF11;RFC1;TOP3A;NIPBL;ARID1B;STAG1;SNX27;ZMYM2;RABGAP1;CEP97;SMCR8;BBX;PANK3;DNMT3A</t>
  </si>
  <si>
    <t>http://www.broadinstitute.org/gsea/msigdb/cards/RRAGTTGT_UNKNOWN.html</t>
  </si>
  <si>
    <t>NRF1_Q6</t>
  </si>
  <si>
    <t>5451;9632;80018;23248;57695;23293;80351;22992;5116;4763;9513;27332;57534;57209;80012</t>
  </si>
  <si>
    <t>POU2F1;SEC24C;NAA25;RPRD2;USP37;SMG6;TNKS2;KDM2A;PCNT;NF1;FXR2;ZNF638;MIB1;ZNF248;PHC3</t>
  </si>
  <si>
    <t>http://www.broadinstitute.org/gsea/msigdb/cards/NRF1_Q6.html</t>
  </si>
  <si>
    <t>GAGACTG_MIR452</t>
  </si>
  <si>
    <t>90957;26058;80204;81609;84146;6874;1859;347240;6942</t>
  </si>
  <si>
    <t>DHX57;GIGYF2;FBXO11;SNX27;ZNF644;TAF4;DYRK1A;KIF24;TCF20</t>
  </si>
  <si>
    <t>http://www.broadinstitute.org/gsea/msigdb/cards/GAGACTG_MIR452.html</t>
  </si>
  <si>
    <t>AREB6_02</t>
  </si>
  <si>
    <t>23317;6711;6659;9584;56957;57695;10274;23049;2876;2117;388289;4899;84196;58487;1788</t>
  </si>
  <si>
    <t>DNAJC13;SPTBN1;SOX4;RBM39;OTUD7B;USP37;STAG1;SMG1;GPX1;ETV3;ZFHX3;NRF1;USP48;CREBZF;DNMT3A</t>
  </si>
  <si>
    <t>http://www.broadinstitute.org/gsea/msigdb/cards/AREB6_02.html</t>
  </si>
  <si>
    <t>MYCMAX_01</t>
  </si>
  <si>
    <t>51366;4297;3609;23352;9736;171023;79691;9126;10915;23468;5471;9786;27161;55689;55818</t>
  </si>
  <si>
    <t>UBR5;KMT2A;ILF3;UBR4;USP34;ASXL1;QTRT2;SMC3;TCERG1;CBX5;PPAT;KIAA0586;AGO2;YEATS2;KDM3A</t>
  </si>
  <si>
    <t>http://www.broadinstitute.org/gsea/msigdb/cards/MYCMAX_01.html</t>
  </si>
  <si>
    <t>CART1_01</t>
  </si>
  <si>
    <t>51366;5451;6659;56957;23126;1106;51585;2876;867;27327;56987;56980;51132;7707</t>
  </si>
  <si>
    <t>UBR5;POU2F1;SOX4;OTUD7B;POGZ;CHD2;PCF11;GPX1;CBL;TNRC6A;BBX;PRDM10;RLIM;ZNF148</t>
  </si>
  <si>
    <t>http://www.broadinstitute.org/gsea/msigdb/cards/CART1_01.html</t>
  </si>
  <si>
    <t>CREBP1CJUN_01</t>
  </si>
  <si>
    <t>27107;673;5048;9632;84614;10274;57679;10730;170506;59343;7750;4763;22850;84196;79723</t>
  </si>
  <si>
    <t>ZBTB11;BRAF;PAFAH1B1;SEC24C;ZBTB37;STAG1;ALS2;YME1L1;DHX36;SENP2;ZMYM2;NF1;ADNP2;USP48;SUV39H2</t>
  </si>
  <si>
    <t>http://www.broadinstitute.org/gsea/msigdb/cards/CREBP1CJUN_01.html</t>
  </si>
  <si>
    <t>GGCNNMSMYNTTG_UNKNOWN</t>
  </si>
  <si>
    <t>5048;4297;10274;23095;10277;9698;80314;9923</t>
  </si>
  <si>
    <t>PAFAH1B1;KMT2A;STAG1;KIF1B;UBE4B;PUM1;EPC1;ZBTB40</t>
  </si>
  <si>
    <t>http://www.broadinstitute.org/gsea/msigdb/cards/GGCNNMSMYNTTG_UNKNOWN.html</t>
  </si>
  <si>
    <t>9139;51366;405;6711;4297;6659;6093;9321;221037;22848;51248;54619;253143;9202;25836;23253;26058;374354;57679;10142;79691;57690;7750;54764;11276;22992;2844;571;23095;11168;51585;2876;6249;2932;987;8087;5471;139285;79707;22849;84669;55743;165055;2140;79723;9969;11176;23143</t>
  </si>
  <si>
    <t>CBFA2T2;UBR5;ARNT;SPTBN1;KMT2A;SOX4;ROCK1;TRIP11;JMJD1C;AAK1;PDZD11;CCNJ;PRR14L;ZMYM4;NIPBL;ANKRD12;GIGYF2;NHLRC2;ALS2;AKAP9;QTRT2;TNRC6C;ZMYM2;ZRANB1;SYNRG;KDM2A;RABGAP1;BACH1;KIF1B;PSIP1;PCF11;GPX1;CLIP1;GSK3B;LRBA;FXR1;PPAT;AMER1;NOL9;CPEB3;USP32;CHFR;CCDC138;EYA3;SUV39H2;MED13;BAZ2A;LRCH1</t>
  </si>
  <si>
    <t>SPZ1_01</t>
  </si>
  <si>
    <t>5451;3609;10137;7750;54764;7514;51585;3096;2957;6789;8453;10735;51132;11176</t>
  </si>
  <si>
    <t>POU2F1;ILF3;RBM12;ZMYM2;ZRANB1;XPO1;PCF11;HIVEP1;GTF2A1;STK4;CUL2;STAG2;RLIM;BAZ2A</t>
  </si>
  <si>
    <t>http://www.broadinstitute.org/gsea/msigdb/cards/SPZ1_01.html</t>
  </si>
  <si>
    <t>TCCAGAG_MIR518C</t>
  </si>
  <si>
    <t>10771;253260;80351;53944;26523;22992;6874;10915;9698;140775;1788</t>
  </si>
  <si>
    <t>ZMYND11;RICTOR;TNKS2;CSNK1G1;AGO1;KDM2A;TAF4;TCERG1;PUM1;SMCR8;DNMT3A</t>
  </si>
  <si>
    <t>http://www.broadinstitute.org/gsea/msigdb/cards/TCCAGAG_MIR518C.html</t>
  </si>
  <si>
    <t>TAANNYSGCG_UNKNOWN</t>
  </si>
  <si>
    <t>6651;9360;84146;23019;6670;2033;10735;2140</t>
  </si>
  <si>
    <t>SON;PPIG;ZNF644;CNOT1;SP3;EP300;STAG2;EYA3</t>
  </si>
  <si>
    <t>http://www.broadinstitute.org/gsea/msigdb/cards/TAANNYSGCG_UNKNOWN.html</t>
  </si>
  <si>
    <t>E2F_Q6_01</t>
  </si>
  <si>
    <t>5981;5591;25836;374354;10274;23049;55914;7750;9126;5422;23468;55596;10735;23047</t>
  </si>
  <si>
    <t>RFC1;PRKDC;NIPBL;NHLRC2;STAG1;SMG1;ERBIN;ZMYM2;SMC3;POLA1;CBX5;ZCCHC8;STAG2;PDS5B</t>
  </si>
  <si>
    <t>http://www.broadinstitute.org/gsea/msigdb/cards/E2F_Q6_01.html</t>
  </si>
  <si>
    <t>GGGNRMNNYCAT_UNKNOWN</t>
  </si>
  <si>
    <t>27340;5048;4520;7248;7514;7528;53981;9904</t>
  </si>
  <si>
    <t>UTP20;PAFAH1B1;MTF1;TSC1;XPO1;YY1;CPSF2;RBM19</t>
  </si>
  <si>
    <t>http://www.broadinstitute.org/gsea/msigdb/cards/GGGNRMNNYCAT_UNKNOWN.html</t>
  </si>
  <si>
    <t>TCCCRNNRTGC_UNKNOWN</t>
  </si>
  <si>
    <t>8085;6651;55252;171023;64324;91746;23049;9698;55596;79598;144348;26146;10426</t>
  </si>
  <si>
    <t>KMT2D;SON;ASXL2;ASXL1;NSD1;YTHDC1;SMG1;PUM1;ZCCHC8;CEP97;ZNF664;TRAF3IP1;TUBGCP3</t>
  </si>
  <si>
    <t>http://www.broadinstitute.org/gsea/msigdb/cards/TCCCRNNRTGC_UNKNOWN.html</t>
  </si>
  <si>
    <t>HAND1E47_01</t>
  </si>
  <si>
    <t>9139;26057;5451;157769;10274;55870;51585;5422;2005;2932;2033;388289;55291;155435;65250</t>
  </si>
  <si>
    <t>CBFA2T2;ANKRD17;POU2F1;FAM91A1;STAG1;ASH1L;PCF11;POLA1;ELK4;GSK3B;EP300;ZFHX3;PPP6R3;RBM33;CPLANE1</t>
  </si>
  <si>
    <t>http://www.broadinstitute.org/gsea/msigdb/cards/HAND1E47_01.html</t>
  </si>
  <si>
    <t>TCTATGA_MIR376A_MIR376B</t>
  </si>
  <si>
    <t>3840;9475;2186;10771;25836;80204;54014;27161</t>
  </si>
  <si>
    <t>KPNA4;ROCK2;BPTF;ZMYND11;NIPBL;FBXO11;BRWD1;AGO2</t>
  </si>
  <si>
    <t>http://www.broadinstitute.org/gsea/msigdb/cards/TCTATGA_MIR376A_MIR376B.html</t>
  </si>
  <si>
    <t>TCTGGAC_MIR198</t>
  </si>
  <si>
    <t>7182;3192;23389;23126;23369;89884;84295;23112</t>
  </si>
  <si>
    <t>NR2C2;HNRNPU;MED13L;POGZ;PUM2;LHX4;PHF6;TNRC6B</t>
  </si>
  <si>
    <t>http://www.broadinstitute.org/gsea/msigdb/cards/TCTGGAC_MIR198.html</t>
  </si>
  <si>
    <t>E2F1_Q3_01</t>
  </si>
  <si>
    <t>51366;673;9202;10274;91746;51773;7750;5422;9513;2957;11011;10735;25909;55175</t>
  </si>
  <si>
    <t>UBR5;BRAF;ZMYM4;STAG1;YTHDC1;RSF1;ZMYM2;POLA1;FXR2;GTF2A1;TLK2;STAG2;AHCTF1;KLHL11</t>
  </si>
  <si>
    <t>http://www.broadinstitute.org/gsea/msigdb/cards/E2F1_Q3_01.html</t>
  </si>
  <si>
    <t>9139;23317;23328;5048;56946;5930;25914;22853;171023;58508;57448;54764;23405;23660;2932;8621;23198;388289;11011;204851;160760;165055;9786;58487;27161;25831</t>
  </si>
  <si>
    <t>CBFA2T2;DNAJC13;SASH1;PAFAH1B1;EMSY;RBBP6;RTTN;LMTK2;ASXL1;KMT2C;BIRC6;ZRANB1;DICER1;ZKSCAN5;GSK3B;CDK13;PSME4;ZFHX3;TLK2;HIPK1;PPTC7;CCDC138;KIAA0586;CREBZF;AGO2;HECTD1</t>
  </si>
  <si>
    <t>9584;54619;57551;171023;51755;51479;79707;11011;26009;9887;58487</t>
  </si>
  <si>
    <t>RBM39;CCNJ;TAOK1;ASXL1;CDK12;ANKFY1;NOL9;TLK2;AC118549.1;SMG7;CREBZF</t>
  </si>
  <si>
    <t>http://www.broadinstitute.org/gsea/msigdb/cards/TMTCGCGANR_UNKNOWN.html</t>
  </si>
  <si>
    <t>9044;6654;9584;25836;130507;84181;55628;22992;3096;2005;84295;56987;58487;9969</t>
  </si>
  <si>
    <t>BTAF1;SOS1;RBM39;NIPBL;UBR3;CHD6;ZNF407;KDM2A;HIVEP1;ELK4;PHF6;BBX;CREBZF;MED13</t>
  </si>
  <si>
    <t>196528;57532;80204;7750;7776;571;11168;6670;25948;55636</t>
  </si>
  <si>
    <t>ARID2;NUFIP2;FBXO11;ZMYM2;ZNF236;BACH1;PSIP1;SP3;KBTBD2;CHD7</t>
  </si>
  <si>
    <t>10236;9139;9475;51366;405;9584;23512;8925;51248;9857;26058;130507;9736;55193;23001;89884;64324;57679;29072;1106;10915;11168;10277;2957;6596;2804;23527;388289;91748;254065;79598;25948;10735;84669;6601;9887;29843;9969;51592;55818</t>
  </si>
  <si>
    <t>HNRNPR;CBFA2T2;ROCK2;UBR5;ARNT;RBM39;SUZ12;HERC1;PDZD11;CEP350;GIGYF2;UBR3;USP34;PBRM1;WDFY3;LHX4;NSD1;ALS2;SETD2;CHD2;TCERG1;PSIP1;UBE4B;GTF2A1;HLTF;GOLGB1;ACAP2;ZFHX3;ELMSAN1;BRWD3;CEP97;KBTBD2;STAG2;USP32;SMARCC2;SMG7;SENP1;MED13;TRIM33;KDM3A</t>
  </si>
  <si>
    <t>8085;9972;7156;1778;22848;55252;56946;27291;171023;10940;79691;55596;84196;79598;57531;22849;140775;25909;79646;8202</t>
  </si>
  <si>
    <t>KMT2D;NUP153;TOP3A;DYNC1H1;AAK1;ASXL2;EMSY;R3HCC1L;ASXL1;POP1;QTRT2;ZCCHC8;USP48;CEP97;HACE1;CPEB3;SMCR8;AHCTF1;PANK3;NCOA3</t>
  </si>
  <si>
    <t>http://www.broadinstitute.org/gsea/msigdb/cards/ACTAYRNNNCCCR_UNKNOWN.html</t>
  </si>
  <si>
    <t>CTAGGAA_MIR384</t>
  </si>
  <si>
    <t>130507;80204;23049;55914;7528;144348;11108</t>
  </si>
  <si>
    <t>UBR3;FBXO11;SMG1;ERBIN;YY1;ZNF664;PRDM4</t>
  </si>
  <si>
    <t>http://www.broadinstitute.org/gsea/msigdb/cards/CTAGGAA_MIR384.html</t>
  </si>
  <si>
    <t>SRF_Q4</t>
  </si>
  <si>
    <t>9475;546;23054;8925;253143;55914;51773;84146;1106;10093;10735;9969;55818</t>
  </si>
  <si>
    <t>ROCK2;ATRX;NCOA6;HERC1;PRR14L;ERBIN;RSF1;ZNF644;CHD2;ARPC4;STAG2;MED13;KDM3A</t>
  </si>
  <si>
    <t>http://www.broadinstitute.org/gsea/msigdb/cards/SRF_Q4.html</t>
  </si>
  <si>
    <t>6651;4297;6659;255967;56957;25836;84181;7514;51585;4763;91748;10735;5814;55818</t>
  </si>
  <si>
    <t>SON;KMT2A;SOX4;PAN3;OTUD7B;NIPBL;CHD6;XPO1;PCF11;NF1;ELMSAN1;STAG2;PURB;KDM3A</t>
  </si>
  <si>
    <t>TACAATC_MIR508</t>
  </si>
  <si>
    <t>23332;3842;23049;200576;55671;5814;27161</t>
  </si>
  <si>
    <t>CLASP1;TNPO1;SMG1;PIKFYVE;PPP4R3A;PURB;AGO2</t>
  </si>
  <si>
    <t>http://www.broadinstitute.org/gsea/msigdb/cards/TACAATC_MIR508.html</t>
  </si>
  <si>
    <t>TAXCREB_01</t>
  </si>
  <si>
    <t>673;5048;171023;84146;22992;51105;10299;51585;7109;2957</t>
  </si>
  <si>
    <t>BRAF;PAFAH1B1;ASXL1;ZNF644;KDM2A;PHF20L1;MARCH6;PCF11;TRAPPC10;GTF2A1</t>
  </si>
  <si>
    <t>http://www.broadinstitute.org/gsea/msigdb/cards/TAXCREB_01.html</t>
  </si>
  <si>
    <t>TTANTCA_UNKNOWN</t>
  </si>
  <si>
    <t>10236;9139;5451;5048;6659;8899;9584;9135;221037;56957;25836;55252;80204;7248;85440;55914;54764;22992;23095;51585;10277;2876;2005;57534;84295;10735;22849;84669;155435;79646;51132;9969;51592</t>
  </si>
  <si>
    <t>HNRNPR;CBFA2T2;POU2F1;PAFAH1B1;SOX4;PRPF4B;RBM39;RABEP1;JMJD1C;OTUD7B;NIPBL;ASXL2;FBXO11;TSC1;DOCK7;ERBIN;ZRANB1;KDM2A;KIF1B;PCF11;UBE4B;GPX1;ELK4;MIB1;PHF6;STAG2;CPEB3;USP32;RBM33;PANK3;RLIM;MED13;TRIM33</t>
  </si>
  <si>
    <t>http://www.broadinstitute.org/gsea/msigdb/cards/TTANTCA_UNKNOWN.html</t>
  </si>
  <si>
    <t>ATGTCAC_MIR489</t>
  </si>
  <si>
    <t>546;2186;55252;5930;64324;10137;7514;84248</t>
  </si>
  <si>
    <t>ATRX;BPTF;ASXL2;RBBP6;NSD1;RBM12;XPO1;FYTTD1</t>
  </si>
  <si>
    <t>http://www.broadinstitute.org/gsea/msigdb/cards/ATGTCAC_MIR489.html</t>
  </si>
  <si>
    <t>SRY_01</t>
  </si>
  <si>
    <t>1656;4297;221037;84614;56957;56946;80351;84146;5286;51585;51742;26009;22849</t>
  </si>
  <si>
    <t>DDX6;KMT2A;JMJD1C;ZBTB37;OTUD7B;EMSY;TNKS2;ZNF644;PIK3C2A;PCF11;ARID4B;AC118549.1;CPEB3</t>
  </si>
  <si>
    <t>http://www.broadinstitute.org/gsea/msigdb/cards/SRY_01.html</t>
  </si>
  <si>
    <t>SMAD_Q6</t>
  </si>
  <si>
    <t>7175;7579;6093;221037;23248;84181;64324;23049;10137;10277;23468;2957;6670;388289</t>
  </si>
  <si>
    <t>TPR;ZSCAN20;ROCK1;JMJD1C;RPRD2;CHD6;NSD1;SMG1;RBM12;UBE4B;CBX5;GTF2A1;SP3;ZFHX3</t>
  </si>
  <si>
    <t>http://www.broadinstitute.org/gsea/msigdb/cards/SMAD_Q6.html</t>
  </si>
  <si>
    <t>GGTGTGT_MIR329</t>
  </si>
  <si>
    <t>8899;57532;23063;23185;57472;9513;204851;80155;23112</t>
  </si>
  <si>
    <t>PRPF4B;NUFIP2;WAPL;LARP4B;CNOT6;FXR2;HIPK1;NAA15;TNRC6B</t>
  </si>
  <si>
    <t>http://www.broadinstitute.org/gsea/msigdb/cards/GGTGTGT_MIR329.html</t>
  </si>
  <si>
    <t>TEF1_Q6</t>
  </si>
  <si>
    <t>5927;221037;84614;56957;23126;89884;51773;26523;23215;23095;2117;8453;80314</t>
  </si>
  <si>
    <t>KDM5A;JMJD1C;ZBTB37;OTUD7B;POGZ;LHX4;RSF1;AGO1;PRRC2C;KIF1B;ETV3;CUL2;EPC1</t>
  </si>
  <si>
    <t>http://www.broadinstitute.org/gsea/msigdb/cards/TEF1_Q6.html</t>
  </si>
  <si>
    <t>8085;140710;673;5048;4299;9632;4297;5781;79832;57532;23293;91746;23049;55914;51773;30849;80351;55870;51755;23019;1106;6801;10897;2876;7559;2005;7174;6670;6789;9698;91748;284058;55342;83448;51132;11176</t>
  </si>
  <si>
    <t>KMT2D;SOGA1;BRAF;PAFAH1B1;AFF1;SEC24C;KMT2A;PTPN11;QSER1;NUFIP2;SMG6;YTHDC1;SMG1;ERBIN;RSF1;PIK3R4;TNKS2;ASH1L;CDK12;CNOT1;CHD2;STRN;YIF1A;GPX1;ZNF12;ELK4;TPP2;SP3;STK4;PUM1;ELMSAN1;KANSL1;STRBP;PUS7L;RLIM;BAZ2A</t>
  </si>
  <si>
    <t>DR4_Q2</t>
  </si>
  <si>
    <t>6651;9584;56957;25836;57532;23369;89884;7750;5422;51742;91748;10735;26019;29843</t>
  </si>
  <si>
    <t>SON;RBM39;OTUD7B;NIPBL;NUFIP2;PUM2;LHX4;ZMYM2;POLA1;ARID4B;ELMSAN1;STAG2;UPF2;SENP1</t>
  </si>
  <si>
    <t>http://www.broadinstitute.org/gsea/msigdb/cards/DR4_Q2.html</t>
  </si>
  <si>
    <t>5451;5048;221037;5930;26523;905;2876;867;2957;463;388289;84295;9887;56995</t>
  </si>
  <si>
    <t>POU2F1;PAFAH1B1;JMJD1C;RBBP6;AGO1;CCNT2;GPX1;CBL;GTF2A1;ZFHX3;ZFHX3;PHF6;SMG7;TULP4</t>
  </si>
  <si>
    <t>9044;6651;221037;22848;157769;57532;80204;23001;64324;23405;22992;2844;51585;157922;91748;10735;51132;29843;9969;25831;9967;1788</t>
  </si>
  <si>
    <t>BTAF1;SON;JMJD1C;AAK1;FAM91A1;NUFIP2;FBXO11;WDFY3;NSD1;DICER1;KDM2A;RABGAP1;PCF11;CAMSAP1;ELMSAN1;STAG2;RLIM;SENP1;MED13;HECTD1;THRAP3;DNMT3A</t>
  </si>
  <si>
    <t>PAX4_01</t>
  </si>
  <si>
    <t>10236;7175;9733;25836;26058;57532;5930;23049;51105;7514;11168;51585;58487;27161</t>
  </si>
  <si>
    <t>HNRNPR;TPR;SART3;NIPBL;GIGYF2;NUFIP2;RBBP6;SMG1;PHF20L1;XPO1;PSIP1;PCF11;CREBZF;AGO2</t>
  </si>
  <si>
    <t>http://www.broadinstitute.org/gsea/msigdb/cards/PAX4_01.html</t>
  </si>
  <si>
    <t>CTCAGGG_MIR125B_MIR125A</t>
  </si>
  <si>
    <t>5048;11052;54619;57695;23049;7776;23405;10914;5471;55671;91748;11011;57534;22849;11176;27161</t>
  </si>
  <si>
    <t>PAFAH1B1;CPSF6;CCNJ;USP37;SMG1;ZNF236;DICER1;PAPOLA;PPAT;PPP4R3A;ELMSAN1;TLK2;MIB1;CPEB3;BAZ2A;AGO2</t>
  </si>
  <si>
    <t>http://www.broadinstitute.org/gsea/msigdb/cards/CTCAGGG_MIR125B_MIR125A.html</t>
  </si>
  <si>
    <t>CAGCCTC_MIR4855P</t>
  </si>
  <si>
    <t>90957;91746;23049;29072;9880;4899;80205;79646;11176;23112</t>
  </si>
  <si>
    <t>DHX57;YTHDC1;SMG1;SETD2;ZBTB39;NRF1;CHD9;PANK3;BAZ2A;TNRC6B</t>
  </si>
  <si>
    <t>http://www.broadinstitute.org/gsea/msigdb/cards/CAGCCTC_MIR4855P.html</t>
  </si>
  <si>
    <t>TEL2_Q6</t>
  </si>
  <si>
    <t>9044;9632;9733;30849;23660;1106;4140;2005;91748;2074;27327;64421;51132</t>
  </si>
  <si>
    <t>BTAF1;SEC24C;SART3;PIK3R4;ZKSCAN5;CHD2;MARK3;ELK4;ELMSAN1;ERCC6;TNRC6A;DCLRE1C;RLIM</t>
  </si>
  <si>
    <t>http://www.broadinstitute.org/gsea/msigdb/cards/TEL2_Q6.html</t>
  </si>
  <si>
    <t>YNGTTNNNATT_UNKNOWN</t>
  </si>
  <si>
    <t>51366;1778;9584;221037;84614;25836;84181;28981;51773;23019;1106;27332;55291;204851;84295;10735;7707</t>
  </si>
  <si>
    <t>UBR5;DYNC1H1;RBM39;JMJD1C;ZBTB37;NIPBL;CHD6;IFT81;RSF1;CNOT1;CHD2;ZNF638;PPP6R3;HIPK1;PHF6;STAG2;ZNF148</t>
  </si>
  <si>
    <t>http://www.broadinstitute.org/gsea/msigdb/cards/YNGTTNNNATT_UNKNOWN.html</t>
  </si>
  <si>
    <t>TCF1P_Q6</t>
  </si>
  <si>
    <t>57551;51322;7750;23215;2876;7174;472;4863;4899;10735;9923;9969;9874;51592</t>
  </si>
  <si>
    <t>TAOK1;WAC;ZMYM2;PRRC2C;GPX1;TPP2;ATM;NPAT;NRF1;STAG2;ZBTB40;MED13;TLK1;TRIM33</t>
  </si>
  <si>
    <t>http://www.broadinstitute.org/gsea/msigdb/cards/TCF1P_Q6.html</t>
  </si>
  <si>
    <t>SYATTGTG_UNKNOWN</t>
  </si>
  <si>
    <t>4297;6659;3609;23512;57532;84181;64324;51773;905;2033;254065;55605;27327</t>
  </si>
  <si>
    <t>KMT2A;SOX4;ILF3;SUZ12;NUFIP2;CHD6;NSD1;RSF1;CCNT2;EP300;BRWD3;KIF21A;TNRC6A</t>
  </si>
  <si>
    <t>http://www.broadinstitute.org/gsea/msigdb/cards/SYATTGTG_UNKNOWN.html</t>
  </si>
  <si>
    <t>ACAACTT_MIR382</t>
  </si>
  <si>
    <t>8672;9632;57492;64397;571;51182;55727</t>
  </si>
  <si>
    <t>EIF4G3;SEC24C;ARID1B;ZNF106;BACH1;HSPA14;BTBD7</t>
  </si>
  <si>
    <t>http://www.broadinstitute.org/gsea/msigdb/cards/ACAACTT_MIR382.html</t>
  </si>
  <si>
    <t>CGTSACG_PAX3_B</t>
  </si>
  <si>
    <t>673;5062;26058;56946;55193;10730;170506;23140;26009;80314</t>
  </si>
  <si>
    <t>BRAF;PAK2;GIGYF2;EMSY;PBRM1;YME1L1;DHX36;ZZEF1;AC118549.1;EPC1</t>
  </si>
  <si>
    <t>http://www.broadinstitute.org/gsea/msigdb/cards/CGTSACG_PAX3_B.html</t>
  </si>
  <si>
    <t>AACTGAC_MIR223</t>
  </si>
  <si>
    <t>26057;6651;53944;51105;6670;5814;23047;22828</t>
  </si>
  <si>
    <t>ANKRD17;SON;CSNK1G1;PHF20L1;SP3;PURB;PDS5B;SCAF8</t>
  </si>
  <si>
    <t>http://www.broadinstitute.org/gsea/msigdb/cards/AACTGAC_MIR223.html</t>
  </si>
  <si>
    <t>RREB1_01</t>
  </si>
  <si>
    <t>10236;9584;57532;80204;10137;51755;51585;2033;254065;10735;84669;56987</t>
  </si>
  <si>
    <t>HNRNPR;RBM39;NUFIP2;FBXO11;RBM12;CDK12;PCF11;EP300;BRWD3;STAG2;USP32;BBX</t>
  </si>
  <si>
    <t>http://www.broadinstitute.org/gsea/msigdb/cards/RREB1_01.html</t>
  </si>
  <si>
    <t>WTTGKCTG_UNKNOWN</t>
  </si>
  <si>
    <t>10236;7579;7182;221037;25836;23253;23126;23332;57492;84181;7750;23019;51105;7514;10897;10277;5116;2957;22850;8239;55743</t>
  </si>
  <si>
    <t>HNRNPR;ZSCAN20;NR2C2;JMJD1C;NIPBL;ANKRD12;POGZ;CLASP1;ARID1B;CHD6;ZMYM2;CNOT1;PHF20L1;XPO1;YIF1A;UBE4B;PCNT;GTF2A1;ADNP2;USP9X;CHFR</t>
  </si>
  <si>
    <t>http://www.broadinstitute.org/gsea/msigdb/cards/WTTGKCTG_UNKNOWN.html</t>
  </si>
  <si>
    <t>GCTGAGT_MIR5125P</t>
  </si>
  <si>
    <t>51366;1656;546;80205;84295;11176</t>
  </si>
  <si>
    <t>UBR5;DDX6;ATRX;CHD9;PHF6;BAZ2A</t>
  </si>
  <si>
    <t>http://www.broadinstitute.org/gsea/msigdb/cards/GCTGAGT_MIR5125P.html</t>
  </si>
  <si>
    <t>OLF1_01</t>
  </si>
  <si>
    <t>7579;3799;84614;57532;5930;22992;4763;2932;9513;11011;57531;160760;80314;26019</t>
  </si>
  <si>
    <t>ZSCAN20;KIF5B;ZBTB37;NUFIP2;RBBP6;KDM2A;NF1;GSK3B;FXR2;TLK2;HACE1;PPTC7;EPC1;UPF2</t>
  </si>
  <si>
    <t>http://www.broadinstitute.org/gsea/msigdb/cards/OLF1_01.html</t>
  </si>
  <si>
    <t>AP2_Q6_01</t>
  </si>
  <si>
    <t>23054;56957;25836;57532;7750;22992;93;4899;11011;57534;22849;84725;9969;1788</t>
  </si>
  <si>
    <t>NCOA6;OTUD7B;NIPBL;NUFIP2;ZMYM2;KDM2A;ACVR2B;NRF1;TLK2;MIB1;CPEB3;PLEKHA8;MED13;DNMT3A</t>
  </si>
  <si>
    <t>http://www.broadinstitute.org/gsea/msigdb/cards/AP2_Q6_01.html</t>
  </si>
  <si>
    <t>AGGAAGC_MIR5163P</t>
  </si>
  <si>
    <t>8899;55252;23063;53944;26523;10299;867;9887;23112</t>
  </si>
  <si>
    <t>PRPF4B;ASXL2;WAPL;CSNK1G1;AGO1;MARCH6;CBL;SMG7;TNRC6B</t>
  </si>
  <si>
    <t>http://www.broadinstitute.org/gsea/msigdb/cards/AGGAAGC_MIR5163P.html</t>
  </si>
  <si>
    <t>CREB_Q4_01</t>
  </si>
  <si>
    <t>673;5048;9733;6873;57679;170506;59343;4763;2957;22850;84196;79723</t>
  </si>
  <si>
    <t>BRAF;PAFAH1B1;SART3;TAF2;ALS2;DHX36;SENP2;NF1;GTF2A1;ADNP2;USP48;SUV39H2</t>
  </si>
  <si>
    <t>http://www.broadinstitute.org/gsea/msigdb/cards/CREB_Q4_01.html</t>
  </si>
  <si>
    <t>AAGGGAT_MIR188</t>
  </si>
  <si>
    <t>7468;6659;3609;9320;253260;80204;905</t>
  </si>
  <si>
    <t>NSD2;SOX4;ILF3;TRIP12;RICTOR;FBXO11;CCNT2</t>
  </si>
  <si>
    <t>http://www.broadinstitute.org/gsea/msigdb/cards/AAGGGAT_MIR188.html</t>
  </si>
  <si>
    <t>AAAGGAT_MIR501</t>
  </si>
  <si>
    <t>6659;23001;57679;9774;8867;10277;55291;55671;84295</t>
  </si>
  <si>
    <t>SOX4;WDFY3;ALS2;BCLAF1;SYNJ1;UBE4B;PPP6R3;PPP4R3A;PHF6</t>
  </si>
  <si>
    <t>http://www.broadinstitute.org/gsea/msigdb/cards/AAAGGAT_MIR501.html</t>
  </si>
  <si>
    <t>SP1_Q2_01</t>
  </si>
  <si>
    <t>1656;23054;23253;56946;23293;84181;26523;22992;10093;6670;204851;26019;1788</t>
  </si>
  <si>
    <t>DDX6;NCOA6;ANKRD12;EMSY;SMG6;CHD6;AGO1;KDM2A;ARPC4;SP3;HIPK1;UPF2;DNMT3A</t>
  </si>
  <si>
    <t>http://www.broadinstitute.org/gsea/msigdb/cards/SP1_Q2_01.html</t>
  </si>
  <si>
    <t>CTATGCA_MIR153</t>
  </si>
  <si>
    <t>23060;9475;2186;23244;171023;26523;23637;8621;284058;80314;55727;23112</t>
  </si>
  <si>
    <t>ZNF609;ROCK2;BPTF;PDS5A;ASXL1;AGO1;RABGAP1;CDK13;KANSL1;EPC1;BTBD7;TNRC6B</t>
  </si>
  <si>
    <t>http://www.broadinstitute.org/gsea/msigdb/cards/CTATGCA_MIR153.html</t>
  </si>
  <si>
    <t>ATTACAT_MIR3803P</t>
  </si>
  <si>
    <t>26046;130507;57448;317;2033;1859;25948;10735</t>
  </si>
  <si>
    <t>LTN1;UBR3;BIRC6;APAF1;EP300;DYRK1A;KBTBD2;STAG2</t>
  </si>
  <si>
    <t>http://www.broadinstitute.org/gsea/msigdb/cards/ATTACAT_MIR3803P.html</t>
  </si>
  <si>
    <t>CTGCAGY_UNKNOWN</t>
  </si>
  <si>
    <t>51366;1656;5048;6659;221037;8925;25836;57551;23126;23369;84181;10274;89884;64324;7750;26523;2844;23215;7514;2932;2957;6789;84295;56987;84248;1788;4216</t>
  </si>
  <si>
    <t>UBR5;DDX6;PAFAH1B1;SOX4;JMJD1C;HERC1;NIPBL;TAOK1;POGZ;PUM2;CHD6;STAG1;LHX4;NSD1;ZMYM2;AGO1;RABGAP1;PRRC2C;XPO1;GSK3B;GTF2A1;STK4;PHF6;BBX;FYTTD1;DNMT3A;MAP3K4</t>
  </si>
  <si>
    <t>http://www.broadinstitute.org/gsea/msigdb/cards/CTGCAGY_UNKNOWN.html</t>
  </si>
  <si>
    <t>ACTWSNACTNY_UNKNOWN</t>
  </si>
  <si>
    <t>8085;7156;23132;7514;55596;79598;140775;56987</t>
  </si>
  <si>
    <t>KMT2D;TOP3A;RAD54L2;XPO1;ZCCHC8;CEP97;SMCR8;BBX</t>
  </si>
  <si>
    <t>http://www.broadinstitute.org/gsea/msigdb/cards/ACTWSNACTNY_UNKNOWN.html</t>
  </si>
  <si>
    <t>STAT1_02</t>
  </si>
  <si>
    <t>7579;6659;4520;23352;23126;80204;9774;10915;51585;2033;11011;10207;55668</t>
  </si>
  <si>
    <t>ZSCAN20;SOX4;MTF1;UBR4;POGZ;FBXO11;BCLAF1;TCERG1;PCF11;EP300;TLK2;PATJ;GPATCH2L</t>
  </si>
  <si>
    <t>http://www.broadinstitute.org/gsea/msigdb/cards/STAT1_02.html</t>
  </si>
  <si>
    <t>CREB_02</t>
  </si>
  <si>
    <t>7175;673;5981;5048;9733;57679;170506;23195;51105;1106;4763;2957;84196</t>
  </si>
  <si>
    <t>TPR;BRAF;RFC1;PAFAH1B1;SART3;ALS2;DHX36;MDN1;PHF20L1;CHD2;NF1;GTF2A1;USP48</t>
  </si>
  <si>
    <t>http://www.broadinstitute.org/gsea/msigdb/cards/CREB_02.html</t>
  </si>
  <si>
    <t>FAC1_01</t>
  </si>
  <si>
    <t>9736;56946;5930;55193;80204;84181;2957;93;204851;10735;27327;51132</t>
  </si>
  <si>
    <t>USP34;EMSY;RBBP6;PBRM1;FBXO11;CHD6;GTF2A1;ACVR2B;HIPK1;STAG2;TNRC6A;RLIM</t>
  </si>
  <si>
    <t>http://www.broadinstitute.org/gsea/msigdb/cards/FAC1_01.html</t>
  </si>
  <si>
    <t>TAATAAT_MIR126</t>
  </si>
  <si>
    <t>3840;5781;57551;23332;23063;55914;23405;8453;55291;25909;5814;51696</t>
  </si>
  <si>
    <t>KPNA4;PTPN11;TAOK1;CLASP1;WAPL;ERBIN;DICER1;CUL2;PPP6R3;AHCTF1;PURB;HECA</t>
  </si>
  <si>
    <t>http://www.broadinstitute.org/gsea/msigdb/cards/TAATAAT_MIR126.html</t>
  </si>
  <si>
    <t>GTACAGG_MIR486</t>
  </si>
  <si>
    <t>9044;23054;5930;23369;6789;51455</t>
  </si>
  <si>
    <t>BTAF1;NCOA6;RBBP6;PUM2;STK4;REV1</t>
  </si>
  <si>
    <t>http://www.broadinstitute.org/gsea/msigdb/cards/GTACAGG_MIR486.html</t>
  </si>
  <si>
    <t>RFX1_01</t>
  </si>
  <si>
    <t>55252;23293;23049;30849;54764;2876;2932;55596;254065;55167;11108;9329;25831</t>
  </si>
  <si>
    <t>ASXL2;SMG6;SMG1;PIK3R4;ZRANB1;GPX1;GSK3B;ZCCHC8;BRWD3;MSL2;PRDM4;GTF3C4;HECTD1</t>
  </si>
  <si>
    <t>http://www.broadinstitute.org/gsea/msigdb/cards/RFX1_01.html</t>
  </si>
  <si>
    <t>VDR_Q3</t>
  </si>
  <si>
    <t>5451;23054;23126;57532;56946;5930;171023;1106;7514;2932;2957;10735</t>
  </si>
  <si>
    <t>POU2F1;NCOA6;POGZ;NUFIP2;EMSY;RBBP6;ASXL1;CHD2;XPO1;GSK3B;GTF2A1;STAG2</t>
  </si>
  <si>
    <t>http://www.broadinstitute.org/gsea/msigdb/cards/VDR_Q3.html</t>
  </si>
  <si>
    <t>ATF_01</t>
  </si>
  <si>
    <t>6651;5048;6873;22853;10730;170506;23140;4763;7109;2957;2804;463;84196</t>
  </si>
  <si>
    <t>SON;PAFAH1B1;TAF2;LMTK2;YME1L1;DHX36;ZZEF1;NF1;TRAPPC10;GTF2A1;GOLGB1;ZFHX3;USP48</t>
  </si>
  <si>
    <t>http://www.broadinstitute.org/gsea/msigdb/cards/ATF_01.html</t>
  </si>
  <si>
    <t>AR_Q6</t>
  </si>
  <si>
    <t>8085;51366;4520;5930;55193;23001;23369;79691;11276;51585;157922;27327;9874</t>
  </si>
  <si>
    <t>KMT2D;UBR5;MTF1;RBBP6;PBRM1;WDFY3;PUM2;QTRT2;SYNRG;PCF11;CAMSAP1;TNRC6A;TLK1</t>
  </si>
  <si>
    <t>http://www.broadinstitute.org/gsea/msigdb/cards/AR_Q6.html</t>
  </si>
  <si>
    <t>AGTCAGC_MIR345</t>
  </si>
  <si>
    <t>23060;57448;23215;23095;10914;26065</t>
  </si>
  <si>
    <t>ZNF609;BIRC6;PRRC2C;KIF1B;PAPOLA;LSM14A</t>
  </si>
  <si>
    <t>http://www.broadinstitute.org/gsea/msigdb/cards/AGTCAGC_MIR345.html</t>
  </si>
  <si>
    <t>CCATCCA_MIR432</t>
  </si>
  <si>
    <t>2969;6659;196528;23185;80205;11011</t>
  </si>
  <si>
    <t>GTF2I;SOX4;ARID2;LARP4B;CHD9;TLK2</t>
  </si>
  <si>
    <t>http://www.broadinstitute.org/gsea/msigdb/cards/CCATCCA_MIR432.html</t>
  </si>
  <si>
    <t>CCAWNWWNNNGGC_UNKNOWN</t>
  </si>
  <si>
    <t>546;9584;55183;10274;7248;157922;9969</t>
  </si>
  <si>
    <t>ATRX;RBM39;RIF1;STAG1;TSC1;CAMSAP1;MED13</t>
  </si>
  <si>
    <t>http://www.broadinstitute.org/gsea/msigdb/cards/CCAWNWWNNNGGC_UNKNOWN.html</t>
  </si>
  <si>
    <t>LEF1_Q6</t>
  </si>
  <si>
    <t>1660;23332;89884;29072;26523;1106;3096;7024;388289;91748;2140;79646;25831</t>
  </si>
  <si>
    <t>DHX9;CLASP1;LHX4;SETD2;AGO1;CHD2;HIVEP1;TFCP2;ZFHX3;ELMSAN1;EYA3;PANK3;HECTD1</t>
  </si>
  <si>
    <t>http://www.broadinstitute.org/gsea/msigdb/cards/LEF1_Q6.html</t>
  </si>
  <si>
    <t>AAACCAC_MIR140</t>
  </si>
  <si>
    <t>6659;90957;10274;29994;51105;571;2117;29843</t>
  </si>
  <si>
    <t>SOX4;DHX57;STAG1;BAZ2B;PHF20L1;BACH1;ETV3;SENP1</t>
  </si>
  <si>
    <t>http://www.broadinstitute.org/gsea/msigdb/cards/AAACCAC_MIR140.html</t>
  </si>
  <si>
    <t>SREBP1_01</t>
  </si>
  <si>
    <t>7156;26058;29072;1106;7514;10277;3096;2932;140775;80314</t>
  </si>
  <si>
    <t>TOP3A;GIGYF2;SETD2;CHD2;XPO1;UBE4B;HIVEP1;GSK3B;SMCR8;EPC1</t>
  </si>
  <si>
    <t>http://www.broadinstitute.org/gsea/msigdb/cards/SREBP1_01.html</t>
  </si>
  <si>
    <t>TACGGGT_MIR99A_MIR100_MIR99B</t>
  </si>
  <si>
    <t>2475;23140;11176;27161</t>
  </si>
  <si>
    <t>MTOR;ZZEF1;BAZ2A;AGO2</t>
  </si>
  <si>
    <t>http://www.broadinstitute.org/gsea/msigdb/cards/TACGGGT_MIR99A_MIR100_MIR99B.html</t>
  </si>
  <si>
    <t>5451;5048;4520;221037;56946;10274;26523;2876;11214;204851;84295;56980;56995</t>
  </si>
  <si>
    <t>POU2F1;PAFAH1B1;MTF1;JMJD1C;EMSY;STAG1;AGO1;GPX1;AKAP13;HIPK1;PHF6;PRDM10;TULP4</t>
  </si>
  <si>
    <t>ATAACCT_MIR154</t>
  </si>
  <si>
    <t>10236;3836;51322;51230;8453;1859</t>
  </si>
  <si>
    <t>HNRNPR;KPNA1;WAC;PHF20;CUL2;DYRK1A</t>
  </si>
  <si>
    <t>http://www.broadinstitute.org/gsea/msigdb/cards/ATAACCT_MIR154.html</t>
  </si>
  <si>
    <t>TGACGTCA_ATF3_Q6</t>
  </si>
  <si>
    <t>27107;673;5048;84614;57679;170506;59343;7750;4763;22850;84196;79723</t>
  </si>
  <si>
    <t>ZBTB11;BRAF;PAFAH1B1;ZBTB37;ALS2;DHX36;SENP2;ZMYM2;NF1;ADNP2;USP48;SUV39H2</t>
  </si>
  <si>
    <t>http://www.broadinstitute.org/gsea/msigdb/cards/TGACGTCA_ATF3_Q6.html</t>
  </si>
  <si>
    <t>CEBP_C</t>
  </si>
  <si>
    <t>9972;6659;9584;221037;84181;9169;5286;1106;2876;388289;10735</t>
  </si>
  <si>
    <t>NUP153;SOX4;RBM39;JMJD1C;CHD6;SCAF11;PIK3C2A;CHD2;GPX1;ZFHX3;STAG2</t>
  </si>
  <si>
    <t>http://www.broadinstitute.org/gsea/msigdb/cards/CEBP_C.html</t>
  </si>
  <si>
    <t>MYOD_01</t>
  </si>
  <si>
    <t>9139;5062;22848;9202;130507;84181;79691;54764;26523;571;11168;51585;80155</t>
  </si>
  <si>
    <t>CBFA2T2;PAK2;AAK1;ZMYM4;UBR3;CHD6;QTRT2;ZRANB1;AGO1;BACH1;PSIP1;PCF11;NAA15</t>
  </si>
  <si>
    <t>http://www.broadinstitute.org/gsea/msigdb/cards/MYOD_01.html</t>
  </si>
  <si>
    <t>5980;27107;84181;79677;51773;55870;29994;3096;2033;91748;9887;26019</t>
  </si>
  <si>
    <t>REV3L;ZBTB11;CHD6;SMC6;RSF1;ASH1L;BAZ2B;HIVEP1;EP300;ELMSAN1;SMG7;UPF2</t>
  </si>
  <si>
    <t>9139;5451;673;84614;56957;9736;55252;7248;91746;23049;54764;5286;1106;2876;4763;7174;2117;2957;5586;55605;11011;204851;25948;10735;22849;7994;23013;80155;55167;22828</t>
  </si>
  <si>
    <t>CBFA2T2;POU2F1;BRAF;ZBTB37;OTUD7B;USP34;ASXL2;TSC1;YTHDC1;SMG1;ZRANB1;PIK3C2A;CHD2;GPX1;NF1;TPP2;ETV3;GTF2A1;PKN2;KIF21A;TLK2;HIPK1;KBTBD2;STAG2;CPEB3;KAT6A;SPEN;NAA15;MSL2;SCAF8</t>
  </si>
  <si>
    <t>OCT1_06</t>
  </si>
  <si>
    <t>9139;64324;79572;54764;1106;2033;80205;22850;204851;267004;58487;55175;8202</t>
  </si>
  <si>
    <t>CBFA2T2;NSD1;ATP13A3;ZRANB1;CHD2;EP300;CHD9;ADNP2;HIPK1;ERCC6;CREBZF;KLHL11;NCOA3</t>
  </si>
  <si>
    <t>http://www.broadinstitute.org/gsea/msigdb/cards/OCT1_06.html</t>
  </si>
  <si>
    <t>5048;5930;374354;55628;51585;2876;867;463;388289;79707;84295;9887;56995</t>
  </si>
  <si>
    <t>PAFAH1B1;RBBP6;NHLRC2;ZNF407;PCF11;GPX1;CBL;ZFHX3;ZFHX3;NOL9;PHF6;SMG7;TULP4</t>
  </si>
  <si>
    <t>RRCCGTTA_UNKNOWN</t>
  </si>
  <si>
    <t>10236;6651;3609;23352;9202;8087;9786</t>
  </si>
  <si>
    <t>HNRNPR;SON;ILF3;UBR4;ZMYM4;FXR1;KIAA0586</t>
  </si>
  <si>
    <t>http://www.broadinstitute.org/gsea/msigdb/cards/RRCCGTTA_UNKNOWN.html</t>
  </si>
  <si>
    <t>PIT1_Q6</t>
  </si>
  <si>
    <t>5451;673;6659;85440;1106;51585;2876;3096;8087;388289;254887;8239</t>
  </si>
  <si>
    <t>POU2F1;BRAF;SOX4;DOCK7;CHD2;PCF11;GPX1;HIVEP1;FXR1;ZFHX3;ZDHHC23;USP9X</t>
  </si>
  <si>
    <t>http://www.broadinstitute.org/gsea/msigdb/cards/PIT1_Q6.html</t>
  </si>
  <si>
    <t>GACAATC_MIR219</t>
  </si>
  <si>
    <t>23060;7182;157769;23185;23095;11214;22849;55727;55636</t>
  </si>
  <si>
    <t>ZNF609;NR2C2;FAM91A1;LARP4B;KIF1B;AKAP13;CPEB3;BTBD7;CHD7</t>
  </si>
  <si>
    <t>http://www.broadinstitute.org/gsea/msigdb/cards/GACAATC_MIR219.html</t>
  </si>
  <si>
    <t>TGCCAAR_NF1_Q6</t>
  </si>
  <si>
    <t>9139;5451;6659;2186;22848;253143;157769;23253;23369;84181;28981;9169;64426;54542;7750;2844;9147;2117;55291;347240;55605;157680;160760;9969;25831</t>
  </si>
  <si>
    <t>CBFA2T2;POU2F1;SOX4;BPTF;AAK1;PRR14L;FAM91A1;ANKRD12;PUM2;CHD6;IFT81;SCAF11;SUDS3;RC3H2;ZMYM2;RABGAP1;NEMF;ETV3;PPP6R3;KIF24;KIF21A;VPS13B;PPTC7;MED13;HECTD1</t>
  </si>
  <si>
    <t>http://www.broadinstitute.org/gsea/msigdb/cards/TGCCAAR_NF1_Q6.html</t>
  </si>
  <si>
    <t>SP1_01</t>
  </si>
  <si>
    <t>7175;5451;4520;23293;84181;22992;51585;9513;10093;84725;55818;1788</t>
  </si>
  <si>
    <t>TPR;POU2F1;MTF1;SMG6;CHD6;KDM2A;PCF11;FXR2;ARPC4;PLEKHA8;KDM3A;DNMT3A</t>
  </si>
  <si>
    <t>http://www.broadinstitute.org/gsea/msigdb/cards/SP1_01.html</t>
  </si>
  <si>
    <t>ACAACCT_MIR453</t>
  </si>
  <si>
    <t>81609;26523;8621;58487;55727</t>
  </si>
  <si>
    <t>SNX27;AGO1;CDK13;CREBZF;BTBD7</t>
  </si>
  <si>
    <t>http://www.broadinstitute.org/gsea/msigdb/cards/ACAACCT_MIR453.html</t>
  </si>
  <si>
    <t>CTTTAAR_UNKNOWN</t>
  </si>
  <si>
    <t>5451;6651;7182;23054;221037;23352;9202;130507;57551;80204;55914;79677;84146;64426;11276;2844;8295;1106;23095;23633;51585;10277;3096;2957;2033;139285;200030;7994;11083;80314;55802</t>
  </si>
  <si>
    <t>POU2F1;SON;NR2C2;NCOA6;JMJD1C;UBR4;ZMYM4;UBR3;TAOK1;FBXO11;ERBIN;SMC6;ZNF644;SUDS3;SYNRG;RABGAP1;TRRAP;CHD2;KIF1B;KPNA6;PCF11;UBE4B;HIVEP1;GTF2A1;EP300;AMER1;NBPF11;KAT6A;DIDO1;EPC1;DCP1A</t>
  </si>
  <si>
    <t>http://www.broadinstitute.org/gsea/msigdb/cards/CTTTAAR_UNKNOWN.html</t>
  </si>
  <si>
    <t>TFIII_Q6</t>
  </si>
  <si>
    <t>9139;5451;5048;9360;23054;51755;7514;54832;9887;26019;11176</t>
  </si>
  <si>
    <t>CBFA2T2;POU2F1;PAFAH1B1;PPIG;NCOA6;CDK12;XPO1;VPS13C;SMG7;UPF2;BAZ2A</t>
  </si>
  <si>
    <t>http://www.broadinstitute.org/gsea/msigdb/cards/TFIII_Q6.html</t>
  </si>
  <si>
    <t>NMYC_01</t>
  </si>
  <si>
    <t>11128;9972;23352;9736;5930;11276;5471;26009;7994;9786;79646;55818;1788</t>
  </si>
  <si>
    <t>POLR3A;NUP153;UBR4;USP34;RBBP6;SYNRG;PPAT;AC118549.1;KAT6A;KIAA0586;PANK3;KDM3A;DNMT3A</t>
  </si>
  <si>
    <t>http://www.broadinstitute.org/gsea/msigdb/cards/NMYC_01.html</t>
  </si>
  <si>
    <t>CHOP_01</t>
  </si>
  <si>
    <t>27107;6659;2186;221037;84614;80204;472;4863;91748;84295;8239;58487</t>
  </si>
  <si>
    <t>ZBTB11;SOX4;BPTF;JMJD1C;ZBTB37;FBXO11;ATM;NPAT;ELMSAN1;PHF6;USP9X;CREBZF</t>
  </si>
  <si>
    <t>http://www.broadinstitute.org/gsea/msigdb/cards/CHOP_01.html</t>
  </si>
  <si>
    <t>POU1F1_Q6</t>
  </si>
  <si>
    <t>5451;6659;9584;56957;25836;85440;11244;23405;51585;10277;3096;51132</t>
  </si>
  <si>
    <t>POU2F1;SOX4;RBM39;OTUD7B;NIPBL;DOCK7;ZHX1;DICER1;PCF11;UBE4B;HIVEP1;RLIM</t>
  </si>
  <si>
    <t>http://www.broadinstitute.org/gsea/msigdb/cards/POU1F1_Q6.html</t>
  </si>
  <si>
    <t>GCTNWTTGK_UNKNOWN</t>
  </si>
  <si>
    <t>6659;5062;221037;25836;56946;84181;89884;4140;6670;23198;5586;11011;10735;7707</t>
  </si>
  <si>
    <t>SOX4;PAK2;JMJD1C;NIPBL;EMSY;CHD6;LHX4;MARK3;SP3;PSME4;PKN2;TLK2;STAG2;ZNF148</t>
  </si>
  <si>
    <t>http://www.broadinstitute.org/gsea/msigdb/cards/GCTNWTTGK_UNKNOWN.html</t>
  </si>
  <si>
    <t>KMCATNNWGGA_UNKNOWN</t>
  </si>
  <si>
    <t>27107;130507;57532;10274;7248;6670;22828</t>
  </si>
  <si>
    <t>ZBTB11;UBR3;NUFIP2;STAG1;TSC1;SP3;SCAF8</t>
  </si>
  <si>
    <t>http://www.broadinstitute.org/gsea/msigdb/cards/KMCATNNWGGA_UNKNOWN.html</t>
  </si>
  <si>
    <t>FOXO1_02</t>
  </si>
  <si>
    <t>5495;5451;9584;56957;171023;91746;51773;5286;1106;9879;27327;80155</t>
  </si>
  <si>
    <t>PPM1B;POU2F1;RBM39;OTUD7B;ASXL1;YTHDC1;RSF1;PIK3C2A;CHD2;DDX46;TNRC6A;NAA15</t>
  </si>
  <si>
    <t>http://www.broadinstitute.org/gsea/msigdb/cards/FOXO1_02.html</t>
  </si>
  <si>
    <t>TCTGATA_MIR361</t>
  </si>
  <si>
    <t>51366;6651;9972;23389;23185;84132;22828</t>
  </si>
  <si>
    <t>UBR5;SON;NUP153;MED13L;LARP4B;USP42;SCAF8</t>
  </si>
  <si>
    <t>http://www.broadinstitute.org/gsea/msigdb/cards/TCTGATA_MIR361.html</t>
  </si>
  <si>
    <t>ER_Q6</t>
  </si>
  <si>
    <t>9475;673;9733;221037;56957;57532;84181;22992;463;92140;22849;140775;1788</t>
  </si>
  <si>
    <t>ROCK2;BRAF;SART3;JMJD1C;OTUD7B;NUFIP2;CHD6;KDM2A;ZFHX3;MTDH;CPEB3;SMCR8;DNMT3A</t>
  </si>
  <si>
    <t>http://www.broadinstitute.org/gsea/msigdb/cards/ER_Q6.html</t>
  </si>
  <si>
    <t>GATA1_01</t>
  </si>
  <si>
    <t>3840;26057;5451;51773;51322;7750;23095;6670;51182;1859;388289;10735</t>
  </si>
  <si>
    <t>KPNA4;ANKRD17;POU2F1;RSF1;WAC;ZMYM2;KIF1B;SP3;HSPA14;DYRK1A;ZFHX3;STAG2</t>
  </si>
  <si>
    <t>http://www.broadinstitute.org/gsea/msigdb/cards/GATA1_01.html</t>
  </si>
  <si>
    <t>CEBPA_01</t>
  </si>
  <si>
    <t>10236;405;157769;9736;80204;57492;23369;54542;8867;6670;2033;8239</t>
  </si>
  <si>
    <t>HNRNPR;ARNT;FAM91A1;USP34;FBXO11;ARID1B;PUM2;RC3H2;SYNJ1;SP3;EP300;USP9X</t>
  </si>
  <si>
    <t>http://www.broadinstitute.org/gsea/msigdb/cards/CEBPA_01.html</t>
  </si>
  <si>
    <t>PTF1BETA_Q6</t>
  </si>
  <si>
    <t>26057;6659;55183;23405;1106;7514;9698;84260;79646;55167;9969;1788</t>
  </si>
  <si>
    <t>ANKRD17;SOX4;RIF1;DICER1;CHD2;XPO1;PUM1;TCHP;PANK3;MSL2;MED13;DNMT3A</t>
  </si>
  <si>
    <t>http://www.broadinstitute.org/gsea/msigdb/cards/PTF1BETA_Q6.html</t>
  </si>
  <si>
    <t>TTGGAGA_MIR5155P_MIR519E</t>
  </si>
  <si>
    <t>7468;5451;3836;4297;79832;3842;53944;10299;9698</t>
  </si>
  <si>
    <t>NSD2;POU2F1;KPNA1;KMT2A;QSER1;TNPO1;CSNK1G1;MARCH6;PUM1</t>
  </si>
  <si>
    <t>http://www.broadinstitute.org/gsea/msigdb/cards/TTGGAGA_MIR5155P_MIR519E.html</t>
  </si>
  <si>
    <t>GTGTGAG_MIR342</t>
  </si>
  <si>
    <t>7468;4297;253260;57492;2033;55727</t>
  </si>
  <si>
    <t>NSD2;KMT2A;RICTOR;ARID1B;EP300;BTBD7</t>
  </si>
  <si>
    <t>http://www.broadinstitute.org/gsea/msigdb/cards/GTGTGAG_MIR342.html</t>
  </si>
  <si>
    <t>SREBP1_Q6</t>
  </si>
  <si>
    <t>1656;4297;57551;57532;23332;51773;23095;51585;4763;1859;11176;23499</t>
  </si>
  <si>
    <t>DDX6;KMT2A;TAOK1;NUFIP2;CLASP1;RSF1;KIF1B;PCF11;NF1;DYRK1A;BAZ2A;MACF1</t>
  </si>
  <si>
    <t>http://www.broadinstitute.org/gsea/msigdb/cards/SREBP1_Q6.html</t>
  </si>
  <si>
    <t>TGAYRTCA_ATF3_Q6</t>
  </si>
  <si>
    <t>9139;23317;27107;673;5048;84614;57679;170506;59343;7750;23660;4763;8621;22850;84196;204851;10735;79723;58487;27161</t>
  </si>
  <si>
    <t>CBFA2T2;DNAJC13;ZBTB11;BRAF;PAFAH1B1;ZBTB37;ALS2;DHX36;SENP2;ZMYM2;ZKSCAN5;NF1;CDK13;ADNP2;USP48;HIPK1;STAG2;SUV39H2;CREBZF;AGO2</t>
  </si>
  <si>
    <t>http://www.broadinstitute.org/gsea/msigdb/cards/TGAYRTCA_ATF3_Q6.html</t>
  </si>
  <si>
    <t>TGIF_01</t>
  </si>
  <si>
    <t>51366;1656;6659;9584;25836;23253;55193;55870;23033;11011;58487;9969</t>
  </si>
  <si>
    <t>UBR5;DDX6;SOX4;RBM39;NIPBL;ANKRD12;PBRM1;ASH1L;DOP1A;TLK2;CREBZF;MED13</t>
  </si>
  <si>
    <t>http://www.broadinstitute.org/gsea/msigdb/cards/TGIF_01.html</t>
  </si>
  <si>
    <t>ZIC2_01</t>
  </si>
  <si>
    <t>10771;157769;25836;5930;51773;10137;11011;84295;56980;11176;23499;51592</t>
  </si>
  <si>
    <t>ZMYND11;FAM91A1;NIPBL;RBBP6;RSF1;RBM12;TLK2;PHF6;PRDM10;BAZ2A;MACF1;TRIM33</t>
  </si>
  <si>
    <t>http://www.broadinstitute.org/gsea/msigdb/cards/ZIC2_01.html</t>
  </si>
  <si>
    <t>9632;4297;5781;25836;30849;1106;10915;7174;55342;83448;51132;11176</t>
  </si>
  <si>
    <t>SEC24C;KMT2A;PTPN11;NIPBL;PIK3R4;CHD2;TCERG1;TPP2;STRBP;PUS7L;RLIM;BAZ2A</t>
  </si>
  <si>
    <t>GCGNNANTTCC_UNKNOWN</t>
  </si>
  <si>
    <t>23451;27107;5130;8925;165918;8867;6670;157680</t>
  </si>
  <si>
    <t>SF3B1;ZBTB11;PCYT1A;HERC1;RNF168;SYNJ1;SP3;VPS13B</t>
  </si>
  <si>
    <t>http://www.broadinstitute.org/gsea/msigdb/cards/GCGNNANTTCC_UNKNOWN.html</t>
  </si>
  <si>
    <t>GATA4_Q3</t>
  </si>
  <si>
    <t>89884;79811;2844;51585;2876;867;2957;91748;10735;27327;165055;65250</t>
  </si>
  <si>
    <t>LHX4;SLTM;RABGAP1;PCF11;GPX1;CBL;GTF2A1;ELMSAN1;STAG2;TNRC6A;CCDC138;CPLANE1</t>
  </si>
  <si>
    <t>http://www.broadinstitute.org/gsea/msigdb/cards/GATA4_Q3.html</t>
  </si>
  <si>
    <t>6093;22848;57695;2005;55014;8453;139285;11011;56987;56980;9969;55818</t>
  </si>
  <si>
    <t>ROCK1;AAK1;USP37;ELK4;STX17;CUL2;AMER1;TLK2;BBX;PRDM10;MED13;KDM3A</t>
  </si>
  <si>
    <t>AP2GAMMA_01</t>
  </si>
  <si>
    <t>7182;6654;6093;8661;56957;57532;23049;22992;10093;11011;84725;9969</t>
  </si>
  <si>
    <t>NR2C2;SOS1;ROCK1;EIF3A;OTUD7B;NUFIP2;SMG1;KDM2A;ARPC4;TLK2;PLEKHA8;MED13</t>
  </si>
  <si>
    <t>http://www.broadinstitute.org/gsea/msigdb/cards/AP2GAMMA_01.html</t>
  </si>
  <si>
    <t>AAGTCCA_MIR422B_MIR422A</t>
  </si>
  <si>
    <t>7468;5290;171023;64324;26523;144348</t>
  </si>
  <si>
    <t>NSD2;PIK3CA;ASXL1;NSD1;AGO1;ZNF664</t>
  </si>
  <si>
    <t>http://www.broadinstitute.org/gsea/msigdb/cards/AAGTCCA_MIR422B_MIR422A.html</t>
  </si>
  <si>
    <t>27107;25836;57532;84181;79677;51773;55870;10277;3096;5469;91748;23143</t>
  </si>
  <si>
    <t>ZBTB11;NIPBL;NUFIP2;CHD6;SMC6;RSF1;ASH1L;UBE4B;HIVEP1;MED1;ELMSAN1;LRCH1</t>
  </si>
  <si>
    <t>TFIIA_Q6</t>
  </si>
  <si>
    <t>9475;221037;9202;25836;80204;7248;84146;51585;2033;2804;10735;55802</t>
  </si>
  <si>
    <t>ROCK2;JMJD1C;ZMYM4;NIPBL;FBXO11;TSC1;ZNF644;PCF11;EP300;GOLGB1;STAG2;DCP1A</t>
  </si>
  <si>
    <t>http://www.broadinstitute.org/gsea/msigdb/cards/TFIIA_Q6.html</t>
  </si>
  <si>
    <t>USF2_Q6</t>
  </si>
  <si>
    <t>11128;4297;8661;23352;9126;23215;10277;23468;26009;2074;80314;9923</t>
  </si>
  <si>
    <t>POLR3A;KMT2A;EIF3A;UBR4;SMC3;PRRC2C;UBE4B;CBX5;AC118549.1;ERCC6;EPC1;ZBTB40</t>
  </si>
  <si>
    <t>http://www.broadinstitute.org/gsea/msigdb/cards/USF2_Q6.html</t>
  </si>
  <si>
    <t>AP2_Q3</t>
  </si>
  <si>
    <t>23054;55193;89884;23049;9513;4899;57534;10735;5814;80314;25831;51592</t>
  </si>
  <si>
    <t>NCOA6;PBRM1;LHX4;SMG1;FXR2;NRF1;MIB1;STAG2;PURB;EPC1;HECTD1;TRIM33</t>
  </si>
  <si>
    <t>http://www.broadinstitute.org/gsea/msigdb/cards/AP2_Q3.html</t>
  </si>
  <si>
    <t>GGCAGTG_MIR3243P</t>
  </si>
  <si>
    <t>546;55193;91746;59343;23131;8087;23112</t>
  </si>
  <si>
    <t>ATRX;PBRM1;YTHDC1;SENP2;GPATCH8;FXR1;TNRC6B</t>
  </si>
  <si>
    <t>http://www.broadinstitute.org/gsea/msigdb/cards/GGCAGTG_MIR3243P.html</t>
  </si>
  <si>
    <t>CCAGGGG_MIR331</t>
  </si>
  <si>
    <t>23060;7468;171023;9880;9513;91748;53981</t>
  </si>
  <si>
    <t>ZNF609;NSD2;ASXL1;ZBTB39;FXR2;ELMSAN1;CPSF2</t>
  </si>
  <si>
    <t>http://www.broadinstitute.org/gsea/msigdb/cards/CCAGGGG_MIR331.html</t>
  </si>
  <si>
    <t>6093;55870;8453;139285;56987;26019;9969;55818</t>
  </si>
  <si>
    <t>ROCK1;ASH1L;CUL2;AMER1;BBX;UPF2;MED13;KDM3A</t>
  </si>
  <si>
    <t>GGATTA_PITX2_Q2</t>
  </si>
  <si>
    <t>5495;5451;405;8019;221037;84614;9202;25836;57532;23293;80204;22853;8867;2804;388289;139285;10594;254065;11011;56980;9969</t>
  </si>
  <si>
    <t>PPM1B;POU2F1;ARNT;BRD3;JMJD1C;ZBTB37;ZMYM4;NIPBL;NUFIP2;SMG6;FBXO11;LMTK2;SYNJ1;GOLGB1;ZFHX3;AMER1;PRPF8;BRWD3;TLK2;PRDM10;MED13</t>
  </si>
  <si>
    <t>http://www.broadinstitute.org/gsea/msigdb/cards/GGATTA_PITX2_Q2.html</t>
  </si>
  <si>
    <t>PBX1_01</t>
  </si>
  <si>
    <t>1656;4297;80204;79677;1106;2876;2932;388289;55102;55167;9923;51455</t>
  </si>
  <si>
    <t>DDX6;KMT2A;FBXO11;SMC6;CHD2;GPX1;GSK3B;ZFHX3;ATG2B;MSL2;ZBTB40;REV1</t>
  </si>
  <si>
    <t>http://www.broadinstitute.org/gsea/msigdb/cards/PBX1_01.html</t>
  </si>
  <si>
    <t>6659;23352;7248;23405;2876;3096;2005;8453;5586;11011;26019;55818</t>
  </si>
  <si>
    <t>SOX4;UBR4;TSC1;DICER1;GPX1;HIVEP1;ELK4;CUL2;PKN2;TLK2;UPF2;KDM3A</t>
  </si>
  <si>
    <t>GTGGTGA_MIR197</t>
  </si>
  <si>
    <t>23014;9972;57459;23049;51105;27161</t>
  </si>
  <si>
    <t>FBXO21;NUP153;GATAD2B;SMG1;PHF20L1;AGO2</t>
  </si>
  <si>
    <t>http://www.broadinstitute.org/gsea/msigdb/cards/GTGGTGA_MIR197.html</t>
  </si>
  <si>
    <t>GTAGGCA_MIR189</t>
  </si>
  <si>
    <t>3840;2186;155435;8202</t>
  </si>
  <si>
    <t>KPNA4;BPTF;RBM33;NCOA3</t>
  </si>
  <si>
    <t>http://www.broadinstitute.org/gsea/msigdb/cards/GTAGGCA_MIR189.html</t>
  </si>
  <si>
    <t>WCAANNNYCAG_UNKNOWN</t>
  </si>
  <si>
    <t>8085;7156;22848;56957;27291;9169;84146;79691;79598;10735;140775;79646</t>
  </si>
  <si>
    <t>KMT2D;TOP3A;AAK1;OTUD7B;R3HCC1L;SCAF11;ZNF644;QTRT2;CEP97;STAG2;SMCR8;PANK3</t>
  </si>
  <si>
    <t>http://www.broadinstitute.org/gsea/msigdb/cards/WCAANNNYCAG_UNKNOWN.html</t>
  </si>
  <si>
    <t>E4F1_Q6</t>
  </si>
  <si>
    <t>673;5048;5903;22853;10274;170506;22992;10299;9513;2957;84196;5814;80314</t>
  </si>
  <si>
    <t>BRAF;PAFAH1B1;RANBP2;LMTK2;STAG1;DHX36;KDM2A;MARCH6;FXR2;GTF2A1;USP48;PURB;EPC1</t>
  </si>
  <si>
    <t>http://www.broadinstitute.org/gsea/msigdb/cards/E4F1_Q6.html</t>
  </si>
  <si>
    <t>9632;51773;54764;867;2005;2117;9698;204851;64421;83448;80314;51592</t>
  </si>
  <si>
    <t>SEC24C;RSF1;ZRANB1;CBL;ELK4;ETV3;PUM1;HIPK1;DCLRE1C;PUS7L;EPC1;TRIM33</t>
  </si>
  <si>
    <t>NRF2_Q4</t>
  </si>
  <si>
    <t>5048;9584;9135;57679;57690;2844;571;10897;2957;23198;91748;11176</t>
  </si>
  <si>
    <t>PAFAH1B1;RBM39;RABEP1;ALS2;TNRC6C;RABGAP1;BACH1;YIF1A;GTF2A1;PSME4;ELMSAN1;BAZ2A</t>
  </si>
  <si>
    <t>http://www.broadinstitute.org/gsea/msigdb/cards/NRF2_Q4.html</t>
  </si>
  <si>
    <t>PBX1_02</t>
  </si>
  <si>
    <t>64324;79677;54542;2932;6670;388289;10735;9874</t>
  </si>
  <si>
    <t>NSD1;SMC6;RC3H2;GSK3B;SP3;ZFHX3;STAG2;TLK1</t>
  </si>
  <si>
    <t>http://www.broadinstitute.org/gsea/msigdb/cards/PBX1_02.html</t>
  </si>
  <si>
    <t>CAGCACT_MIR5123P</t>
  </si>
  <si>
    <t>4297;58508;80351;64854;55432;26065;7994;5814;23112</t>
  </si>
  <si>
    <t>KMT2A;KMT2C;TNKS2;USP46;YOD1;LSM14A;KAT6A;PURB;TNRC6B</t>
  </si>
  <si>
    <t>http://www.broadinstitute.org/gsea/msigdb/cards/CAGCACT_MIR5123P.html</t>
  </si>
  <si>
    <t>TCTGATC_MIR383</t>
  </si>
  <si>
    <t>9972;196528;388289;2140;55167</t>
  </si>
  <si>
    <t>NUP153;ARID2;ZFHX3;EYA3;MSL2</t>
  </si>
  <si>
    <t>http://www.broadinstitute.org/gsea/msigdb/cards/TCTGATC_MIR383.html</t>
  </si>
  <si>
    <t>NKX22_01</t>
  </si>
  <si>
    <t>221037;25836;26058;130507;64324;55628;54764;5422;2932;10735</t>
  </si>
  <si>
    <t>JMJD1C;NIPBL;GIGYF2;UBR3;NSD1;ZNF407;ZRANB1;POLA1;GSK3B;STAG2</t>
  </si>
  <si>
    <t>http://www.broadinstitute.org/gsea/msigdb/cards/NKX22_01.html</t>
  </si>
  <si>
    <t>GAGCTGG_MIR337</t>
  </si>
  <si>
    <t>23060;7468;9632;4297;10771;23126;81609;23049;388228</t>
  </si>
  <si>
    <t>ZNF609;NSD2;SEC24C;KMT2A;ZMYND11;POGZ;SNX27;SMG1;SBK1</t>
  </si>
  <si>
    <t>http://www.broadinstitute.org/gsea/msigdb/cards/GAGCTGG_MIR337.html</t>
  </si>
  <si>
    <t>CEBPB_02</t>
  </si>
  <si>
    <t>10236;5495;405;9584;4520;253143;57492;54542;1106;8867;51585;91748</t>
  </si>
  <si>
    <t>HNRNPR;PPM1B;ARNT;RBM39;MTF1;PRR14L;ARID1B;RC3H2;CHD2;SYNJ1;PCF11;ELMSAN1</t>
  </si>
  <si>
    <t>http://www.broadinstitute.org/gsea/msigdb/cards/CEBPB_02.html</t>
  </si>
  <si>
    <t>LBP1_Q6</t>
  </si>
  <si>
    <t>4297;221037;9202;374354;7750;54764;23095;51585;6249;79707;11176</t>
  </si>
  <si>
    <t>KMT2A;JMJD1C;ZMYM4;NHLRC2;ZMYM2;ZRANB1;KIF1B;PCF11;CLIP1;NOL9;BAZ2A</t>
  </si>
  <si>
    <t>http://www.broadinstitute.org/gsea/msigdb/cards/LBP1_Q6.html</t>
  </si>
  <si>
    <t>ATCMNTCCGY_UNKNOWN</t>
  </si>
  <si>
    <t>5927;23126;7248;2932;55818</t>
  </si>
  <si>
    <t>KDM5A;POGZ;TSC1;GSK3B;KDM3A</t>
  </si>
  <si>
    <t>http://www.broadinstitute.org/gsea/msigdb/cards/ATCMNTCCGY_UNKNOWN.html</t>
  </si>
  <si>
    <t>ZID_01</t>
  </si>
  <si>
    <t>3840;5048;4520;9733;221037;56957;57532;91746;1106;51585;160760;84725</t>
  </si>
  <si>
    <t>KPNA4;PAFAH1B1;MTF1;SART3;JMJD1C;OTUD7B;NUFIP2;YTHDC1;CHD2;PCF11;PPTC7;PLEKHA8</t>
  </si>
  <si>
    <t>http://www.broadinstitute.org/gsea/msigdb/cards/ZID_01.html</t>
  </si>
  <si>
    <t>PPAR_DR1_Q2</t>
  </si>
  <si>
    <t>9475;9632;56957;6873;5930;57695;171023;79811;388289;160760;9923;1788</t>
  </si>
  <si>
    <t>ROCK2;SEC24C;OTUD7B;TAF2;RBBP6;USP37;ASXL1;SLTM;ZFHX3;PPTC7;ZBTB40;DNMT3A</t>
  </si>
  <si>
    <t>http://www.broadinstitute.org/gsea/msigdb/cards/PPAR_DR1_Q2.html</t>
  </si>
  <si>
    <t>ACACTCC_MIR122A</t>
  </si>
  <si>
    <t>3192;26523;23405;10914;27327;54014</t>
  </si>
  <si>
    <t>HNRNPU;AGO1;DICER1;PAPOLA;TNRC6A;BRWD1</t>
  </si>
  <si>
    <t>http://www.broadinstitute.org/gsea/msigdb/cards/ACACTCC_MIR122A.html</t>
  </si>
  <si>
    <t>ALPHACP1_01</t>
  </si>
  <si>
    <t>10236;5495;6651;25836;84146;7750;7514;51585;5422;4361;22850;56980</t>
  </si>
  <si>
    <t>HNRNPR;PPM1B;SON;NIPBL;ZNF644;ZMYM2;XPO1;PCF11;POLA1;MRE11;ADNP2;PRDM10</t>
  </si>
  <si>
    <t>http://www.broadinstitute.org/gsea/msigdb/cards/ALPHACP1_01.html</t>
  </si>
  <si>
    <t>ZIC1_01</t>
  </si>
  <si>
    <t>5451;10771;26058;10137;7750;388289;254065;11011;22849;55167;56980;9967</t>
  </si>
  <si>
    <t>POU2F1;ZMYND11;GIGYF2;RBM12;ZMYM2;ZFHX3;BRWD3;TLK2;CPEB3;MSL2;PRDM10;THRAP3</t>
  </si>
  <si>
    <t>http://www.broadinstitute.org/gsea/msigdb/cards/ZIC1_01.html</t>
  </si>
  <si>
    <t>CACGTTT_MIR302A</t>
  </si>
  <si>
    <t>8899;2932;8453;9698</t>
  </si>
  <si>
    <t>PRPF4B;GSK3B;CUL2;PUM1</t>
  </si>
  <si>
    <t>http://www.broadinstitute.org/gsea/msigdb/cards/CACGTTT_MIR302A.html</t>
  </si>
  <si>
    <t>CREB_01</t>
  </si>
  <si>
    <t>http://www.broadinstitute.org/gsea/msigdb/cards/CREB_01.html</t>
  </si>
  <si>
    <t>5451;405;221037;56946;374354;26523;23095;51585;867;2957;204851;9887</t>
  </si>
  <si>
    <t>POU2F1;ARNT;JMJD1C;EMSY;NHLRC2;AGO1;KIF1B;PCF11;CBL;GTF2A1;HIPK1;SMG7</t>
  </si>
  <si>
    <t>CCGNMNNTNACG_UNKNOWN</t>
  </si>
  <si>
    <t>9044;27107;8925;23064;4140;2005</t>
  </si>
  <si>
    <t>BTAF1;ZBTB11;HERC1;SETX;MARK3;ELK4</t>
  </si>
  <si>
    <t>http://www.broadinstitute.org/gsea/msigdb/cards/CCGNMNNTNACG_UNKNOWN.html</t>
  </si>
  <si>
    <t>GNCF_01</t>
  </si>
  <si>
    <t>22848;9736;55914;1106;27327;9786</t>
  </si>
  <si>
    <t>AAK1;USP34;ERBIN;CHD2;TNRC6A;KIAA0586</t>
  </si>
  <si>
    <t>http://www.broadinstitute.org/gsea/msigdb/cards/GNCF_01.html</t>
  </si>
  <si>
    <t>221037;22848;84614;84181;85476;29072;2876;91748;84248;55167;56980;58487</t>
  </si>
  <si>
    <t>JMJD1C;AAK1;ZBTB37;CHD6;GFM1;SETD2;GPX1;ELMSAN1;FYTTD1;MSL2;PRDM10;CREBZF</t>
  </si>
  <si>
    <t>GTGCCAA_MIR96</t>
  </si>
  <si>
    <t>2475;4297;221037;205717;25836;253260;84079;11244;51105;55671;23013;54014;51455</t>
  </si>
  <si>
    <t>MTOR;KMT2A;JMJD1C;USF3;NIPBL;RICTOR;ANKRD27;ZHX1;PHF20L1;PPP4R3A;SPEN;BRWD1;REV1</t>
  </si>
  <si>
    <t>http://www.broadinstitute.org/gsea/msigdb/cards/GTGCCAA_MIR96.html</t>
  </si>
  <si>
    <t>CRX_Q4</t>
  </si>
  <si>
    <t>140710;9584;221037;25836;9736;23332;2844;1106;2876;139285;26973;9969</t>
  </si>
  <si>
    <t>SOGA1;RBM39;JMJD1C;NIPBL;USP34;CLASP1;RABGAP1;CHD2;GPX1;AMER1;CHORDC1;MED13</t>
  </si>
  <si>
    <t>http://www.broadinstitute.org/gsea/msigdb/cards/CRX_Q4.html</t>
  </si>
  <si>
    <t>MZF1_01</t>
  </si>
  <si>
    <t>10236;5048;23248;25836;65117;51755;26523;7514;4763;2932;80155</t>
  </si>
  <si>
    <t>HNRNPR;PAFAH1B1;RPRD2;NIPBL;RSRC2;CDK12;AGO1;XPO1;NF1;GSK3B;NAA15</t>
  </si>
  <si>
    <t>http://www.broadinstitute.org/gsea/msigdb/cards/MZF1_01.html</t>
  </si>
  <si>
    <t>AHRARNT_01</t>
  </si>
  <si>
    <t>6659;25836;80351;7750;2957;23013;58487;25831</t>
  </si>
  <si>
    <t>SOX4;NIPBL;TNKS2;ZMYM2;GTF2A1;SPEN;CREBZF;HECTD1</t>
  </si>
  <si>
    <t>http://www.broadinstitute.org/gsea/msigdb/cards/AHRARNT_01.html</t>
  </si>
  <si>
    <t>MEIS1_01</t>
  </si>
  <si>
    <t>5048;55193;3842;51773;55870;11168;139285;11011;84669;51132;4848</t>
  </si>
  <si>
    <t>PAFAH1B1;PBRM1;TNPO1;RSF1;ASH1L;PSIP1;AMER1;TLK2;USP32;RLIM;AC092881.1</t>
  </si>
  <si>
    <t>http://www.broadinstitute.org/gsea/msigdb/cards/MEIS1_01.html</t>
  </si>
  <si>
    <t>USF_Q6_01</t>
  </si>
  <si>
    <t>26057;3609;23253;2957;22850;25948;7994;79646;9923;51132;1788</t>
  </si>
  <si>
    <t>ANKRD17;ILF3;ANKRD12;GTF2A1;ADNP2;KBTBD2;KAT6A;PANK3;ZBTB40;RLIM;DNMT3A</t>
  </si>
  <si>
    <t>http://www.broadinstitute.org/gsea/msigdb/cards/USF_Q6_01.html</t>
  </si>
  <si>
    <t>TAAYNRNNTCC_UNKNOWN</t>
  </si>
  <si>
    <t>9611;23451;6659;9360;9202;54764;51585;2876;58487</t>
  </si>
  <si>
    <t>NCOR1;SF3B1;SOX4;PPIG;ZMYM4;ZRANB1;PCF11;GPX1;CREBZF</t>
  </si>
  <si>
    <t>http://www.broadinstitute.org/gsea/msigdb/cards/TAAYNRNNTCC_UNKNOWN.html</t>
  </si>
  <si>
    <t>673;6093;25836;57532;80204;23001;11276;1106;11168;4140;64854;10714;23033;9662;83448;51132;22828;1788</t>
  </si>
  <si>
    <t>BRAF;ROCK1;NIPBL;NUFIP2;FBXO11;WDFY3;SYNRG;CHD2;PSIP1;MARK3;USP46;POLD3;DOP1A;CEP135;PUS7L;RLIM;SCAF8;DNMT3A</t>
  </si>
  <si>
    <t>CEBPDELTA_Q6</t>
  </si>
  <si>
    <t>9584;157769;57492;64324;54542;23019;1106;6249;51742;91748;8239</t>
  </si>
  <si>
    <t>RBM39;FAM91A1;ARID1B;NSD1;RC3H2;CNOT1;CHD2;CLIP1;ARID4B;ELMSAN1;USP9X</t>
  </si>
  <si>
    <t>http://www.broadinstitute.org/gsea/msigdb/cards/CEBPDELTA_Q6.html</t>
  </si>
  <si>
    <t>AP2ALPHA_01</t>
  </si>
  <si>
    <t>7182;6654;8661;57532;23049;22992;10093;6670;11011;84725;9969</t>
  </si>
  <si>
    <t>NR2C2;SOS1;EIF3A;NUFIP2;SMG1;KDM2A;ARPC4;SP3;TLK2;PLEKHA8;MED13</t>
  </si>
  <si>
    <t>http://www.broadinstitute.org/gsea/msigdb/cards/AP2ALPHA_01.html</t>
  </si>
  <si>
    <t>RORA1_01</t>
  </si>
  <si>
    <t>80018;221037;84146;54764;1106;11168;6249;55671;27327;9786;51132</t>
  </si>
  <si>
    <t>NAA25;JMJD1C;ZNF644;ZRANB1;CHD2;PSIP1;CLIP1;PPP4R3A;TNRC6A;KIAA0586;RLIM</t>
  </si>
  <si>
    <t>http://www.broadinstitute.org/gsea/msigdb/cards/RORA1_01.html</t>
  </si>
  <si>
    <t>9044;51366;4297;22992;905;11011;204851;10735;56987;26019;58487</t>
  </si>
  <si>
    <t>BTAF1;UBR5;KMT2A;KDM2A;CCNT2;TLK2;HIPK1;STAG2;BBX;UPF2;CREBZF</t>
  </si>
  <si>
    <t>GR_Q6_01</t>
  </si>
  <si>
    <t>8085;5495;7468;9321;221037;25836;79677;53944;571;2033;284058;8202</t>
  </si>
  <si>
    <t>KMT2D;PPM1B;NSD2;TRIP11;JMJD1C;NIPBL;SMC6;CSNK1G1;BACH1;EP300;KANSL1;NCOA3</t>
  </si>
  <si>
    <t>http://www.broadinstitute.org/gsea/msigdb/cards/GR_Q6_01.html</t>
  </si>
  <si>
    <t>GTCAGGA_MIR378</t>
  </si>
  <si>
    <t>7468;3836;4763;2551;3930</t>
  </si>
  <si>
    <t>NSD2;KPNA1;NF1;GABPA;LBR</t>
  </si>
  <si>
    <t>http://www.broadinstitute.org/gsea/msigdb/cards/GTCAGGA_MIR378.html</t>
  </si>
  <si>
    <t>GATA1_02</t>
  </si>
  <si>
    <t>51366;80204;29072;55628;57690;1106;2876;867;8453;51132;55818</t>
  </si>
  <si>
    <t>UBR5;FBXO11;SETD2;ZNF407;TNRC6C;CHD2;GPX1;CBL;CUL2;RLIM;KDM3A</t>
  </si>
  <si>
    <t>http://www.broadinstitute.org/gsea/msigdb/cards/GATA1_02.html</t>
  </si>
  <si>
    <t>NFY_C</t>
  </si>
  <si>
    <t>5495;2969;23512;23248;10915;7174;23468;2932;9513;7024;92797</t>
  </si>
  <si>
    <t>PPM1B;GTF2I;SUZ12;RPRD2;TCERG1;TPP2;CBX5;GSK3B;FXR2;TFCP2;HELB</t>
  </si>
  <si>
    <t>http://www.broadinstitute.org/gsea/msigdb/cards/NFY_C.html</t>
  </si>
  <si>
    <t>CCAWYNNGAAR_UNKNOWN</t>
  </si>
  <si>
    <t>5495;6659;90957;1106;254065;23047;51132;55818</t>
  </si>
  <si>
    <t>PPM1B;SOX4;DHX57;CHD2;BRWD3;PDS5B;RLIM;KDM3A</t>
  </si>
  <si>
    <t>http://www.broadinstitute.org/gsea/msigdb/cards/CCAWYNNGAAR_UNKNOWN.html</t>
  </si>
  <si>
    <t>GCTCTTG_MIR335</t>
  </si>
  <si>
    <t>80018;9857;23063;11244;51105;55743</t>
  </si>
  <si>
    <t>NAA25;CEP350;WAPL;ZHX1;PHF20L1;CHFR</t>
  </si>
  <si>
    <t>http://www.broadinstitute.org/gsea/msigdb/cards/GCTCTTG_MIR335.html</t>
  </si>
  <si>
    <t>NFAT_Q6</t>
  </si>
  <si>
    <t>26057;51366;4297;84146;23019;2876;2932;6670;388289;84295;55102</t>
  </si>
  <si>
    <t>ANKRD17;UBR5;KMT2A;ZNF644;CNOT1;GPX1;GSK3B;SP3;ZFHX3;PHF6;ATG2B</t>
  </si>
  <si>
    <t>http://www.broadinstitute.org/gsea/msigdb/cards/NFAT_Q6.html</t>
  </si>
  <si>
    <t>9044;9584;57532;80204;64682;2876;5586;139285;56987;58487;9969</t>
  </si>
  <si>
    <t>BTAF1;RBM39;NUFIP2;FBXO11;ANAPC1;GPX1;PKN2;AMER1;BBX;CREBZF;MED13</t>
  </si>
  <si>
    <t>GATA1_05</t>
  </si>
  <si>
    <t>9135;23063;22853;23369;29072;8867;2876;2932;7024;254065;27327;9874</t>
  </si>
  <si>
    <t>RABEP1;WAPL;LMTK2;PUM2;SETD2;SYNJ1;GPX1;GSK3B;TFCP2;BRWD3;TNRC6A;TLK1</t>
  </si>
  <si>
    <t>http://www.broadinstitute.org/gsea/msigdb/cards/GATA1_05.html</t>
  </si>
  <si>
    <t>CYTAGCAAY_UNKNOWN</t>
  </si>
  <si>
    <t>8085;546;7840;30849;4140;11214;27327;11108</t>
  </si>
  <si>
    <t>KMT2D;ATRX;ALMS1;PIK3R4;MARK3;AKAP13;TNRC6A;PRDM4</t>
  </si>
  <si>
    <t>http://www.broadinstitute.org/gsea/msigdb/cards/CYTAGCAAY_UNKNOWN.html</t>
  </si>
  <si>
    <t>HMGIY_Q6</t>
  </si>
  <si>
    <t>5495;5451;5048;22848;23253;130507;23293;79677;51322;2117;10714</t>
  </si>
  <si>
    <t>PPM1B;POU2F1;PAFAH1B1;AAK1;ANKRD12;UBR3;SMG6;SMC6;WAC;ETV3;POLD3</t>
  </si>
  <si>
    <t>http://www.broadinstitute.org/gsea/msigdb/cards/HMGIY_Q6.html</t>
  </si>
  <si>
    <t>YCATTAA_UNKNOWN</t>
  </si>
  <si>
    <t>51366;6659;6433;4520;9202;6873;64324;10299;10277;5422;4763;2932;463;388289;55605;84669;58487;9969;23143</t>
  </si>
  <si>
    <t>UBR5;SOX4;SFSWAP;MTF1;ZMYM4;TAF2;NSD1;MARCH6;UBE4B;POLA1;NF1;GSK3B;ZFHX3;ZFHX3;KIF21A;USP32;CREBZF;MED13;LRCH1</t>
  </si>
  <si>
    <t>http://www.broadinstitute.org/gsea/msigdb/cards/YCATTAA_UNKNOWN.html</t>
  </si>
  <si>
    <t>CCANNAGRKGGC_UNKNOWN</t>
  </si>
  <si>
    <t>57532;23369;10274;23633;7528;9969;23143</t>
  </si>
  <si>
    <t>NUFIP2;PUM2;STAG1;KPNA6;YY1;MED13;LRCH1</t>
  </si>
  <si>
    <t>http://www.broadinstitute.org/gsea/msigdb/cards/CCANNAGRKGGC_UNKNOWN.html</t>
  </si>
  <si>
    <t>TAGAACC_MIR182</t>
  </si>
  <si>
    <t>9972;10137;57472;9513</t>
  </si>
  <si>
    <t>NUP153;RBM12;CNOT6;FXR2</t>
  </si>
  <si>
    <t>http://www.broadinstitute.org/gsea/msigdb/cards/TAGAACC_MIR182.html</t>
  </si>
  <si>
    <t>FREAC3_01</t>
  </si>
  <si>
    <t>5451;673;9584;56957;25836;23126;57492;10299;51585;9786;9923</t>
  </si>
  <si>
    <t>POU2F1;BRAF;RBM39;OTUD7B;NIPBL;POGZ;ARID1B;MARCH6;PCF11;KIAA0586;ZBTB40</t>
  </si>
  <si>
    <t>http://www.broadinstitute.org/gsea/msigdb/cards/FREAC3_01.html</t>
  </si>
  <si>
    <t>10236;9631;405;6433;157769;9736;23369;91748;8239;165055;9969</t>
  </si>
  <si>
    <t>HNRNPR;NUP155;ARNT;SFSWAP;FAM91A1;USP34;PUM2;ELMSAN1;USP9X;CCDC138;MED13</t>
  </si>
  <si>
    <t>FREAC4_01</t>
  </si>
  <si>
    <t>673;9584;84614;9736;23369;139285;27042;25948</t>
  </si>
  <si>
    <t>BRAF;RBM39;ZBTB37;USP34;PUM2;AMER1;UTP25;KBTBD2</t>
  </si>
  <si>
    <t>http://www.broadinstitute.org/gsea/msigdb/cards/FREAC4_01.html</t>
  </si>
  <si>
    <t>ER_Q6_02</t>
  </si>
  <si>
    <t>5980;673;7182;57532;80312;1106;10128;8621;55671;79598;2140</t>
  </si>
  <si>
    <t>REV3L;BRAF;NR2C2;NUFIP2;TET1;CHD2;LRPPRC;CDK13;PPP4R3A;CEP97;EYA3</t>
  </si>
  <si>
    <t>http://www.broadinstitute.org/gsea/msigdb/cards/ER_Q6_02.html</t>
  </si>
  <si>
    <t>TTCYRGAA_UNKNOWN</t>
  </si>
  <si>
    <t>9972;2802;55628;7514;2876;7174;10914;2033;84295;10735;26019;26973;9874</t>
  </si>
  <si>
    <t>NUP153;GOLGA3;ZNF407;XPO1;GPX1;TPP2;PAPOLA;EP300;PHF6;STAG2;UPF2;CHORDC1;TLK1</t>
  </si>
  <si>
    <t>http://www.broadinstitute.org/gsea/msigdb/cards/TTCYRGAA_UNKNOWN.html</t>
  </si>
  <si>
    <t>CAGGTCC_MIR492</t>
  </si>
  <si>
    <t>130507;11214;1859;22849;5814</t>
  </si>
  <si>
    <t>UBR3;AKAP13;DYRK1A;CPEB3;PURB</t>
  </si>
  <si>
    <t>http://www.broadinstitute.org/gsea/msigdb/cards/CAGGTCC_MIR492.html</t>
  </si>
  <si>
    <t>CP2_02</t>
  </si>
  <si>
    <t>23244;5930;51773;571;2932;4899;91748;254065;80314;11108;25831</t>
  </si>
  <si>
    <t>PDS5A;RBBP6;RSF1;BACH1;GSK3B;NRF1;ELMSAN1;BRWD3;EPC1;PRDM4;HECTD1</t>
  </si>
  <si>
    <t>http://www.broadinstitute.org/gsea/msigdb/cards/CP2_02.html</t>
  </si>
  <si>
    <t>25836;64324;51773;55870;29994;7514;2033;5469;9887;23013;58487</t>
  </si>
  <si>
    <t>NIPBL;NSD1;RSF1;ASH1L;BAZ2B;XPO1;EP300;MED1;SMG7;SPEN;CREBZF</t>
  </si>
  <si>
    <t>CDX2_Q5</t>
  </si>
  <si>
    <t>9139;9611;6659;9202;157769;130507;10274;54764;51585;267004;23143</t>
  </si>
  <si>
    <t>CBFA2T2;NCOR1;SOX4;ZMYM4;FAM91A1;UBR3;STAG1;ZRANB1;PCF11;ERCC6;LRCH1</t>
  </si>
  <si>
    <t>http://www.broadinstitute.org/gsea/msigdb/cards/CDX2_Q5.html</t>
  </si>
  <si>
    <t>AAAYWAACM_HFH4_01</t>
  </si>
  <si>
    <t>9584;84614;25836;56946;171023;57492;5286;2876;91748;10735;22849</t>
  </si>
  <si>
    <t>RBM39;ZBTB37;NIPBL;EMSY;ASXL1;ARID1B;PIK3C2A;GPX1;ELMSAN1;STAG2;CPEB3</t>
  </si>
  <si>
    <t>http://www.broadinstitute.org/gsea/msigdb/cards/AAAYWAACM_HFH4_01.html</t>
  </si>
  <si>
    <t>TTCNRGNNNNTTC_HSF_Q6</t>
  </si>
  <si>
    <t>5048;84614;7514;84295;10735;26019;26973;7707</t>
  </si>
  <si>
    <t>PAFAH1B1;ZBTB37;XPO1;PHF6;STAG2;UPF2;CHORDC1;ZNF148</t>
  </si>
  <si>
    <t>http://www.broadinstitute.org/gsea/msigdb/cards/TTCNRGNNNNTTC_HSF_Q6.html</t>
  </si>
  <si>
    <t>FOXO4_02</t>
  </si>
  <si>
    <t>23328;4297;56957;171023;57492;51773;1106;5586;10735;27327;55818</t>
  </si>
  <si>
    <t>SASH1;KMT2A;OTUD7B;ASXL1;ARID1B;RSF1;CHD2;PKN2;STAG2;TNRC6A;KDM3A</t>
  </si>
  <si>
    <t>http://www.broadinstitute.org/gsea/msigdb/cards/FOXO4_02.html</t>
  </si>
  <si>
    <t>CREB_Q2_01</t>
  </si>
  <si>
    <t>9044;673;5048;6873;170506;59343;10299;4763;2957;22850</t>
  </si>
  <si>
    <t>BTAF1;BRAF;PAFAH1B1;TAF2;DHX36;SENP2;MARCH6;NF1;GTF2A1;ADNP2</t>
  </si>
  <si>
    <t>http://www.broadinstitute.org/gsea/msigdb/cards/CREB_Q2_01.html</t>
  </si>
  <si>
    <t>PXR_Q2</t>
  </si>
  <si>
    <t>7182;221037;57532;23660;1106;10277;2932;8621;55175;23499;23143</t>
  </si>
  <si>
    <t>NR2C2;JMJD1C;NUFIP2;ZKSCAN5;CHD2;UBE4B;GSK3B;CDK13;KLHL11;MACF1;LRCH1</t>
  </si>
  <si>
    <t>http://www.broadinstitute.org/gsea/msigdb/cards/PXR_Q2.html</t>
  </si>
  <si>
    <t>LXR_DR4_Q3</t>
  </si>
  <si>
    <t>23369;22992;5422;388289;254065;10735</t>
  </si>
  <si>
    <t>PUM2;KDM2A;POLA1;ZFHX3;BRWD3;STAG2</t>
  </si>
  <si>
    <t>http://www.broadinstitute.org/gsea/msigdb/cards/LXR_DR4_Q3.html</t>
  </si>
  <si>
    <t>AGCYRWTTC_UNKNOWN</t>
  </si>
  <si>
    <t>3840;4297;57532;57679;388289;11083;58487</t>
  </si>
  <si>
    <t>KPNA4;KMT2A;NUFIP2;ALS2;ZFHX3;DIDO1;CREBZF</t>
  </si>
  <si>
    <t>http://www.broadinstitute.org/gsea/msigdb/cards/AGCYRWTTC_UNKNOWN.html</t>
  </si>
  <si>
    <t>YRCCAKNNGNCGC_UNKNOWN</t>
  </si>
  <si>
    <t>5451;26523;23095;11168;22828</t>
  </si>
  <si>
    <t>POU2F1;AGO1;KIF1B;PSIP1;SCAF8</t>
  </si>
  <si>
    <t>http://www.broadinstitute.org/gsea/msigdb/cards/YRCCAKNNGNCGC_UNKNOWN.html</t>
  </si>
  <si>
    <t>84614;57551;84181;54764;2876;3096;6789;9698;23527;284058;58487</t>
  </si>
  <si>
    <t>ZBTB37;TAOK1;CHD6;ZRANB1;GPX1;HIVEP1;STK4;PUM1;ACAP2;KANSL1;CREBZF</t>
  </si>
  <si>
    <t>7579;9584;84614;57532;10274;51773;54764;8453;1859;27327;84669</t>
  </si>
  <si>
    <t>ZSCAN20;RBM39;ZBTB37;NUFIP2;STAG1;RSF1;ZRANB1;CUL2;DYRK1A;TNRC6A;USP32</t>
  </si>
  <si>
    <t>USF_Q6</t>
  </si>
  <si>
    <t>26058;5930;11276;10915;10277;2876;2957;26009;80314;79646;1788</t>
  </si>
  <si>
    <t>GIGYF2;RBBP6;SYNRG;TCERG1;UBE4B;GPX1;GTF2A1;AC118549.1;EPC1;PANK3;DNMT3A</t>
  </si>
  <si>
    <t>http://www.broadinstitute.org/gsea/msigdb/cards/USF_Q6.html</t>
  </si>
  <si>
    <t>GGCKCATGS_UNKNOWN</t>
  </si>
  <si>
    <t>51773;7750;4763;9513;54856</t>
  </si>
  <si>
    <t>RSF1;ZMYM2;NF1;FXR2;GON4L</t>
  </si>
  <si>
    <t>http://www.broadinstitute.org/gsea/msigdb/cards/GGCKCATGS_UNKNOWN.html</t>
  </si>
  <si>
    <t>YAATNANRNNNCAG_UNKNOWN</t>
  </si>
  <si>
    <t>9139;64324;51773;4140;10735</t>
  </si>
  <si>
    <t>CBFA2T2;NSD1;RSF1;MARK3;STAG2</t>
  </si>
  <si>
    <t>http://www.broadinstitute.org/gsea/msigdb/cards/YAATNANRNNNCAG_UNKNOWN.html</t>
  </si>
  <si>
    <t>FREAC2_01</t>
  </si>
  <si>
    <t>673;56957;25836;5286;1106;51585;7174;463;204851;25948;22828</t>
  </si>
  <si>
    <t>BRAF;OTUD7B;NIPBL;PIK3C2A;CHD2;PCF11;TPP2;ZFHX3;HIPK1;KBTBD2;SCAF8</t>
  </si>
  <si>
    <t>http://www.broadinstitute.org/gsea/msigdb/cards/FREAC2_01.html</t>
  </si>
  <si>
    <t>POU3F2_02</t>
  </si>
  <si>
    <t>5451;7579;4520;55252;57532;171023;28981;2844;5286;56987;56980</t>
  </si>
  <si>
    <t>POU2F1;ZSCAN20;MTF1;ASXL2;NUFIP2;ASXL1;IFT81;RABGAP1;PIK3C2A;BBX;PRDM10</t>
  </si>
  <si>
    <t>http://www.broadinstitute.org/gsea/msigdb/cards/POU3F2_02.html</t>
  </si>
  <si>
    <t>STAT_Q6</t>
  </si>
  <si>
    <t>6093;9584;55275;7248;79677;54764;10915;10277;867;157922;9874</t>
  </si>
  <si>
    <t>ROCK1;RBM39;VPS53;TSC1;SMC6;ZRANB1;TCERG1;UBE4B;CBL;CAMSAP1;TLK1</t>
  </si>
  <si>
    <t>http://www.broadinstitute.org/gsea/msigdb/cards/STAT_Q6.html</t>
  </si>
  <si>
    <t>CGGTGTG_MIR220</t>
  </si>
  <si>
    <t>7468;2876</t>
  </si>
  <si>
    <t>NSD2;GPX1</t>
  </si>
  <si>
    <t>http://www.broadinstitute.org/gsea/msigdb/cards/CGGTGTG_MIR220.html</t>
  </si>
  <si>
    <t>TCTCTCC_MIR185</t>
  </si>
  <si>
    <t>23389;26523;22992;23095;51182;204851;9887</t>
  </si>
  <si>
    <t>MED13L;AGO1;KDM2A;KIF1B;HSPA14;HIPK1;SMG7</t>
  </si>
  <si>
    <t>http://www.broadinstitute.org/gsea/msigdb/cards/TCTCTCC_MIR185.html</t>
  </si>
  <si>
    <t>CCTGTGA_MIR513</t>
  </si>
  <si>
    <t>7468;253260;23001;53944;55291;9887;7994</t>
  </si>
  <si>
    <t>NSD2;RICTOR;WDFY3;CSNK1G1;PPP6R3;SMG7;KAT6A</t>
  </si>
  <si>
    <t>http://www.broadinstitute.org/gsea/msigdb/cards/CCTGTGA_MIR513.html</t>
  </si>
  <si>
    <t>GACAGGG_MIR339</t>
  </si>
  <si>
    <t>5048;57472;55291;5814;10765</t>
  </si>
  <si>
    <t>PAFAH1B1;CNOT6;PPP6R3;PURB;KDM5B</t>
  </si>
  <si>
    <t>http://www.broadinstitute.org/gsea/msigdb/cards/GACAGGG_MIR339.html</t>
  </si>
  <si>
    <t>AGCTCCT_MIR28</t>
  </si>
  <si>
    <t>9869;53944;1859;7994;8239;55167</t>
  </si>
  <si>
    <t>SETDB1;CSNK1G1;DYRK1A;KAT6A;USP9X;MSL2</t>
  </si>
  <si>
    <t>http://www.broadinstitute.org/gsea/msigdb/cards/AGCTCCT_MIR28.html</t>
  </si>
  <si>
    <t>TST1_01</t>
  </si>
  <si>
    <t>546;84614;23063;10274;29994;23019;2876;91748;55632;10735;58487</t>
  </si>
  <si>
    <t>ATRX;ZBTB37;WAPL;STAG1;BAZ2B;CNOT1;GPX1;ELMSAN1;G2E3;STAG2;CREBZF</t>
  </si>
  <si>
    <t>http://www.broadinstitute.org/gsea/msigdb/cards/TST1_01.html</t>
  </si>
  <si>
    <t>CREB_Q2</t>
  </si>
  <si>
    <t>673;5048;9360;84614;22853;170506;59343;23140;10299;9513;2957</t>
  </si>
  <si>
    <t>BRAF;PAFAH1B1;PPIG;ZBTB37;LMTK2;DHX36;SENP2;ZZEF1;MARCH6;FXR2;GTF2A1</t>
  </si>
  <si>
    <t>http://www.broadinstitute.org/gsea/msigdb/cards/CREB_Q2.html</t>
  </si>
  <si>
    <t>NFY_Q6_01</t>
  </si>
  <si>
    <t>3840;10236;6651;7182;23248;23253;7514;51585;92797;56980;55818</t>
  </si>
  <si>
    <t>KPNA4;HNRNPR;SON;NR2C2;RPRD2;ANKRD12;XPO1;PCF11;HELB;PRDM10;KDM3A</t>
  </si>
  <si>
    <t>http://www.broadinstitute.org/gsea/msigdb/cards/NFY_Q6_01.html</t>
  </si>
  <si>
    <t>GGCAGAC_MIR346</t>
  </si>
  <si>
    <t>23060;9584;53944;27161</t>
  </si>
  <si>
    <t>ZNF609;RBM39;CSNK1G1;AGO2</t>
  </si>
  <si>
    <t>http://www.broadinstitute.org/gsea/msigdb/cards/GGCAGAC_MIR346.html</t>
  </si>
  <si>
    <t>HIF1_Q3</t>
  </si>
  <si>
    <t>84614;57695;5422;4899;254065;26009;51455;55689;51592;55818</t>
  </si>
  <si>
    <t>ZBTB37;USP37;POLA1;NRF1;BRWD3;AC118549.1;REV1;YEATS2;TRIM33;KDM3A</t>
  </si>
  <si>
    <t>http://www.broadinstitute.org/gsea/msigdb/cards/HIF1_Q3.html</t>
  </si>
  <si>
    <t>CREB_Q4</t>
  </si>
  <si>
    <t>9044;26057;673;5048;9360;170506;59343;23140;10299;4763;2957</t>
  </si>
  <si>
    <t>BTAF1;ANKRD17;BRAF;PAFAH1B1;PPIG;DHX36;SENP2;ZZEF1;MARCH6;NF1;GTF2A1</t>
  </si>
  <si>
    <t>http://www.broadinstitute.org/gsea/msigdb/cards/CREB_Q4.html</t>
  </si>
  <si>
    <t>ER_Q6_01</t>
  </si>
  <si>
    <t>25836;171023;58508;57690;22992;1106;23527;91748;92140;56980;1788</t>
  </si>
  <si>
    <t>NIPBL;ASXL1;KMT2C;TNRC6C;KDM2A;CHD2;ACAP2;ELMSAN1;MTDH;PRDM10;DNMT3A</t>
  </si>
  <si>
    <t>http://www.broadinstitute.org/gsea/msigdb/cards/ER_Q6_01.html</t>
  </si>
  <si>
    <t>POU3F2_01</t>
  </si>
  <si>
    <t>6659;80204;64324;1106;3096;84295</t>
  </si>
  <si>
    <t>SOX4;FBXO11;NSD1;CHD2;HIVEP1;PHF6</t>
  </si>
  <si>
    <t>http://www.broadinstitute.org/gsea/msigdb/cards/POU3F2_01.html</t>
  </si>
  <si>
    <t>HOX13_01</t>
  </si>
  <si>
    <t>6651;56957;80204;27327</t>
  </si>
  <si>
    <t>SON;OTUD7B;FBXO11;TNRC6A</t>
  </si>
  <si>
    <t>http://www.broadinstitute.org/gsea/msigdb/cards/HOX13_01.html</t>
  </si>
  <si>
    <t>AP4_Q5</t>
  </si>
  <si>
    <t>23253;79691;54764;22992;2844;571;11168;5471;254065;22849;79723</t>
  </si>
  <si>
    <t>ANKRD12;QTRT2;ZRANB1;KDM2A;RABGAP1;BACH1;PSIP1;PPAT;BRWD3;CPEB3;SUV39H2</t>
  </si>
  <si>
    <t>http://www.broadinstitute.org/gsea/msigdb/cards/AP4_Q5.html</t>
  </si>
  <si>
    <t>PPARG_01</t>
  </si>
  <si>
    <t>57695;171023;160760;9923</t>
  </si>
  <si>
    <t>USP37;ASXL1;PPTC7;ZBTB40</t>
  </si>
  <si>
    <t>http://www.broadinstitute.org/gsea/msigdb/cards/PPARG_01.html</t>
  </si>
  <si>
    <t>10236;84181;51773;55870;29994;3096;388289;91748;26019;23143</t>
  </si>
  <si>
    <t>HNRNPR;CHD6;RSF1;ASH1L;BAZ2B;HIVEP1;ZFHX3;ELMSAN1;UPF2;LRCH1</t>
  </si>
  <si>
    <t>25836;57532;51755;10915;11168;6670;91748;55342;83448;51132;11176</t>
  </si>
  <si>
    <t>NIPBL;NUFIP2;CDK12;TCERG1;PSIP1;SP3;ELMSAN1;STRBP;PUS7L;RLIM;BAZ2A</t>
  </si>
  <si>
    <t>5495;5048;9584;84181;55628;51105;1106;4899;79882;84295</t>
  </si>
  <si>
    <t>PPM1B;PAFAH1B1;RBM39;CHD6;ZNF407;PHF20L1;CHD2;NRF1;ZC3H14;PHF6</t>
  </si>
  <si>
    <t>ZF5_01</t>
  </si>
  <si>
    <t>8661;22992;23095;10277;7174;9513;11011;84196;204851;29843</t>
  </si>
  <si>
    <t>EIF3A;KDM2A;KIF1B;UBE4B;TPP2;FXR2;TLK2;USP48;HIPK1;SENP1</t>
  </si>
  <si>
    <t>http://www.broadinstitute.org/gsea/msigdb/cards/ZF5_01.html</t>
  </si>
  <si>
    <t>ACCAATC_MIR509</t>
  </si>
  <si>
    <t>23293;23215;5814;11176</t>
  </si>
  <si>
    <t>SMG6;PRRC2C;PURB;BAZ2A</t>
  </si>
  <si>
    <t>http://www.broadinstitute.org/gsea/msigdb/cards/ACCAATC_MIR509.html</t>
  </si>
  <si>
    <t>ACAWYAAAG_UNKNOWN</t>
  </si>
  <si>
    <t>1656;23248;23332;2140;9923;51455</t>
  </si>
  <si>
    <t>DDX6;RPRD2;CLASP1;EYA3;ZBTB40;REV1</t>
  </si>
  <si>
    <t>http://www.broadinstitute.org/gsea/msigdb/cards/ACAWYAAAG_UNKNOWN.html</t>
  </si>
  <si>
    <t>AGGGCAG_MIR18A</t>
  </si>
  <si>
    <t>255967;55193;81609;29072;84146;22992;55671</t>
  </si>
  <si>
    <t>PAN3;PBRM1;SNX27;SETD2;ZNF644;KDM2A;PPP4R3A</t>
  </si>
  <si>
    <t>http://www.broadinstitute.org/gsea/msigdb/cards/AGGGCAG_MIR18A.html</t>
  </si>
  <si>
    <t>CGTCTTA_MIR208</t>
  </si>
  <si>
    <t>6670;9969</t>
  </si>
  <si>
    <t>SP3;MED13</t>
  </si>
  <si>
    <t>http://www.broadinstitute.org/gsea/msigdb/cards/CGTCTTA_MIR208.html</t>
  </si>
  <si>
    <t>SRF_Q6</t>
  </si>
  <si>
    <t>9475;8925;253143;84181;51773;29072;84146;23095;10093;55818</t>
  </si>
  <si>
    <t>ROCK2;HERC1;PRR14L;CHD6;RSF1;SETD2;ZNF644;KIF1B;ARPC4;KDM3A</t>
  </si>
  <si>
    <t>http://www.broadinstitute.org/gsea/msigdb/cards/SRF_Q6.html</t>
  </si>
  <si>
    <t>TCF4_Q5</t>
  </si>
  <si>
    <t>10236;9139;9584;9736;89884;29072;1106;388289;91748;51592</t>
  </si>
  <si>
    <t>HNRNPR;CBFA2T2;RBM39;USP34;LHX4;SETD2;CHD2;ZFHX3;ELMSAN1;TRIM33</t>
  </si>
  <si>
    <t>http://www.broadinstitute.org/gsea/msigdb/cards/TCF4_Q5.html</t>
  </si>
  <si>
    <t>CACBINDINGPROTEIN_Q6</t>
  </si>
  <si>
    <t>10236;5451;6093;23248;65117;57532;51755;7750;80314;51132</t>
  </si>
  <si>
    <t>HNRNPR;POU2F1;ROCK1;RPRD2;RSRC2;NUFIP2;CDK12;ZMYM2;EPC1;RLIM</t>
  </si>
  <si>
    <t>http://www.broadinstitute.org/gsea/msigdb/cards/CACBINDINGPROTEIN_Q6.html</t>
  </si>
  <si>
    <t>HNF3ALPHA_Q6</t>
  </si>
  <si>
    <t>84614;23126;23369;84181;5286;1106;7174;2957;91748</t>
  </si>
  <si>
    <t>ZBTB37;POGZ;PUM2;CHD6;PIK3C2A;CHD2;TPP2;GTF2A1;ELMSAN1</t>
  </si>
  <si>
    <t>http://www.broadinstitute.org/gsea/msigdb/cards/HNF3ALPHA_Q6.html</t>
  </si>
  <si>
    <t>FOXO3_01</t>
  </si>
  <si>
    <t>51366;673;221037;84181;51773;1106;5586;27042;91748;27327</t>
  </si>
  <si>
    <t>UBR5;BRAF;JMJD1C;CHD6;RSF1;CHD2;PKN2;UTP25;ELMSAN1;TNRC6A</t>
  </si>
  <si>
    <t>http://www.broadinstitute.org/gsea/msigdb/cards/FOXO3_01.html</t>
  </si>
  <si>
    <t>TGAGATT_MIR216</t>
  </si>
  <si>
    <t>5495;23001;57459;23049;80155;55818</t>
  </si>
  <si>
    <t>PPM1B;WDFY3;GATAD2B;SMG1;NAA15;KDM3A</t>
  </si>
  <si>
    <t>http://www.broadinstitute.org/gsea/msigdb/cards/TGAGATT_MIR216.html</t>
  </si>
  <si>
    <t>LXR_Q3</t>
  </si>
  <si>
    <t>22992;5422;55671;254065;10735</t>
  </si>
  <si>
    <t>KDM2A;POLA1;PPP4R3A;BRWD3;STAG2</t>
  </si>
  <si>
    <t>http://www.broadinstitute.org/gsea/msigdb/cards/LXR_Q3.html</t>
  </si>
  <si>
    <t>LFA1_Q6</t>
  </si>
  <si>
    <t>10236;25836;5930;171023;10137;10299;2932;26019;56980;9969</t>
  </si>
  <si>
    <t>HNRNPR;NIPBL;RBBP6;ASXL1;RBM12;MARCH6;GSK3B;UPF2;PRDM10;MED13</t>
  </si>
  <si>
    <t>http://www.broadinstitute.org/gsea/msigdb/cards/LFA1_Q6.html</t>
  </si>
  <si>
    <t>CIZ_01</t>
  </si>
  <si>
    <t>10236;22976;23063;1106;2876;3096;2932;84295;56995;29843</t>
  </si>
  <si>
    <t>HNRNPR;PAXIP1;WAPL;CHD2;GPX1;HIVEP1;GSK3B;PHF6;TULP4;SENP1</t>
  </si>
  <si>
    <t>http://www.broadinstitute.org/gsea/msigdb/cards/CIZ_01.html</t>
  </si>
  <si>
    <t>AP3_Q6</t>
  </si>
  <si>
    <t>9631;1656;221037;56957;84181;64324;79677;1106;3096;84669</t>
  </si>
  <si>
    <t>NUP155;DDX6;JMJD1C;OTUD7B;CHD6;NSD1;SMC6;CHD2;HIVEP1;USP32</t>
  </si>
  <si>
    <t>http://www.broadinstitute.org/gsea/msigdb/cards/AP3_Q6.html</t>
  </si>
  <si>
    <t>GTGCCAT_MIR183</t>
  </si>
  <si>
    <t>80312;57459;53944;7750;55432;84295;27161;4216</t>
  </si>
  <si>
    <t>TET1;GATAD2B;CSNK1G1;ZMYM2;YOD1;PHF6;AGO2;MAP3K4</t>
  </si>
  <si>
    <t>http://www.broadinstitute.org/gsea/msigdb/cards/GTGCCAT_MIR183.html</t>
  </si>
  <si>
    <t>SRF_C</t>
  </si>
  <si>
    <t>9475;8925;22848;253143;55914;51773;29072;84146;10093</t>
  </si>
  <si>
    <t>ROCK2;HERC1;AAK1;PRR14L;ERBIN;RSF1;SETD2;ZNF644;ARPC4</t>
  </si>
  <si>
    <t>http://www.broadinstitute.org/gsea/msigdb/cards/SRF_C.html</t>
  </si>
  <si>
    <t>7468;55252;81609;10137;10735;9874</t>
  </si>
  <si>
    <t>NSD2;ASXL2;SNX27;RBM12;STAG2;TLK1</t>
  </si>
  <si>
    <t>TGACCTTG_SF1_Q6</t>
  </si>
  <si>
    <t>80018;23248;23001;84146;54764;1106;2551;91748;84893;9786</t>
  </si>
  <si>
    <t>NAA25;RPRD2;WDFY3;ZNF644;ZRANB1;CHD2;GABPA;ELMSAN1;FBH1;KIAA0586</t>
  </si>
  <si>
    <t>http://www.broadinstitute.org/gsea/msigdb/cards/TGACCTTG_SF1_Q6.html</t>
  </si>
  <si>
    <t>CAGTCAC_MIR134</t>
  </si>
  <si>
    <t>157769;4899;55342;9969</t>
  </si>
  <si>
    <t>FAM91A1;NRF1;STRBP;MED13</t>
  </si>
  <si>
    <t>http://www.broadinstitute.org/gsea/msigdb/cards/CAGTCAC_MIR134.html</t>
  </si>
  <si>
    <t>GTAAACC_MIR2995P</t>
  </si>
  <si>
    <t>6659;23369;3842;5814</t>
  </si>
  <si>
    <t>SOX4;PUM2;TNPO1;PURB</t>
  </si>
  <si>
    <t>http://www.broadinstitute.org/gsea/msigdb/cards/GTAAACC_MIR2995P.html</t>
  </si>
  <si>
    <t>YTTCCNNNGGAMR_UNKNOWN</t>
  </si>
  <si>
    <t>23317;7468;4520;57551</t>
  </si>
  <si>
    <t>DNAJC13;NSD2;MTF1;TAOK1</t>
  </si>
  <si>
    <t>http://www.broadinstitute.org/gsea/msigdb/cards/YTTCCNNNGGAMR_UNKNOWN.html</t>
  </si>
  <si>
    <t>TGCAAAC_MIR452</t>
  </si>
  <si>
    <t>23095;6670;80205;51742;57534;84295</t>
  </si>
  <si>
    <t>KIF1B;SP3;CHD9;ARID4B;MIB1;PHF6</t>
  </si>
  <si>
    <t>http://www.broadinstitute.org/gsea/msigdb/cards/TGCAAAC_MIR452.html</t>
  </si>
  <si>
    <t>TAL1ALPHAE47_01</t>
  </si>
  <si>
    <t>8661;57532;10274;91746;10735;2140;80155;9969;25831;23499</t>
  </si>
  <si>
    <t>EIF3A;NUFIP2;STAG1;YTHDC1;STAG2;EYA3;NAA15;MED13;HECTD1;MACF1</t>
  </si>
  <si>
    <t>http://www.broadinstitute.org/gsea/msigdb/cards/TAL1ALPHAE47_01.html</t>
  </si>
  <si>
    <t>CREBP1_01</t>
  </si>
  <si>
    <t>51366;7579;221037;23126;23332;57492;2033;27332</t>
  </si>
  <si>
    <t>UBR5;ZSCAN20;JMJD1C;POGZ;CLASP1;ARID1B;EP300;ZNF638</t>
  </si>
  <si>
    <t>http://www.broadinstitute.org/gsea/msigdb/cards/CREBP1_01.html</t>
  </si>
  <si>
    <t>HLF_01</t>
  </si>
  <si>
    <t>23248;23126;57532;23332;57492;1106;91748;80012;8239;192669</t>
  </si>
  <si>
    <t>RPRD2;POGZ;NUFIP2;CLASP1;ARID1B;CHD2;ELMSAN1;PHC3;USP9X;AGO3</t>
  </si>
  <si>
    <t>http://www.broadinstitute.org/gsea/msigdb/cards/HLF_01.html</t>
  </si>
  <si>
    <t>ZIC3_01</t>
  </si>
  <si>
    <t>5451;9584;10771;157769;10137;11011;84295;10735;56980;9967</t>
  </si>
  <si>
    <t>POU2F1;RBM39;ZMYND11;FAM91A1;RBM12;TLK2;PHF6;STAG2;PRDM10;THRAP3</t>
  </si>
  <si>
    <t>http://www.broadinstitute.org/gsea/msigdb/cards/ZIC3_01.html</t>
  </si>
  <si>
    <t>AP4_Q6_01</t>
  </si>
  <si>
    <t>26058;79691;54764;11276;22992;571;11168;6249;55014;5471</t>
  </si>
  <si>
    <t>GIGYF2;QTRT2;ZRANB1;SYNRG;KDM2A;BACH1;PSIP1;CLIP1;STX17;PPAT</t>
  </si>
  <si>
    <t>http://www.broadinstitute.org/gsea/msigdb/cards/AP4_Q6_01.html</t>
  </si>
  <si>
    <t>TGATTTRY_GFI1_01</t>
  </si>
  <si>
    <t>5451;546;6659;221037;8925;25836;23126;7248;54764;2876;9874</t>
  </si>
  <si>
    <t>POU2F1;ATRX;SOX4;JMJD1C;HERC1;NIPBL;POGZ;TSC1;ZRANB1;GPX1;TLK1</t>
  </si>
  <si>
    <t>http://www.broadinstitute.org/gsea/msigdb/cards/TGATTTRY_GFI1_01.html</t>
  </si>
  <si>
    <t>10236;6654;84181;29994;3096;388289;91748;26019;9969;23143</t>
  </si>
  <si>
    <t>HNRNPR;SOS1;CHD6;BAZ2B;HIVEP1;ZFHX3;ELMSAN1;UPF2;MED13;LRCH1</t>
  </si>
  <si>
    <t>STAT3_02</t>
  </si>
  <si>
    <t>51366;27107;4297;10277;7528;27327;9887</t>
  </si>
  <si>
    <t>UBR5;ZBTB11;KMT2A;UBE4B;YY1;TNRC6A;SMG7</t>
  </si>
  <si>
    <t>http://www.broadinstitute.org/gsea/msigdb/cards/STAT3_02.html</t>
  </si>
  <si>
    <t>GCTTGAA_MIR498</t>
  </si>
  <si>
    <t>23405;905;204851;84295;84248;80155</t>
  </si>
  <si>
    <t>DICER1;CCNT2;HIPK1;PHF6;FYTTD1;NAA15</t>
  </si>
  <si>
    <t>http://www.broadinstitute.org/gsea/msigdb/cards/GCTTGAA_MIR498.html</t>
  </si>
  <si>
    <t>DR1_Q3</t>
  </si>
  <si>
    <t>56957;5930;57695;171023;79811;388289;11011;160760;9923;1788</t>
  </si>
  <si>
    <t>OTUD7B;RBBP6;USP37;ASXL1;SLTM;ZFHX3;TLK2;PPTC7;ZBTB40;DNMT3A</t>
  </si>
  <si>
    <t>http://www.broadinstitute.org/gsea/msigdb/cards/DR1_Q3.html</t>
  </si>
  <si>
    <t>CTCCAAG_MIR432</t>
  </si>
  <si>
    <t>7468;8899;26523;51182;140775</t>
  </si>
  <si>
    <t>NSD2;PRPF4B;AGO1;HSPA14;SMCR8</t>
  </si>
  <si>
    <t>http://www.broadinstitute.org/gsea/msigdb/cards/CTCCAAG_MIR432.html</t>
  </si>
  <si>
    <t>SRF_Q5_01</t>
  </si>
  <si>
    <t>253143;55252;55914;51773;84146;1106;10093;9969;55818</t>
  </si>
  <si>
    <t>PRR14L;ASXL2;ERBIN;RSF1;ZNF644;CHD2;ARPC4;MED13;KDM3A</t>
  </si>
  <si>
    <t>http://www.broadinstitute.org/gsea/msigdb/cards/SRF_Q5_01.html</t>
  </si>
  <si>
    <t>SREBP_Q3</t>
  </si>
  <si>
    <t>5980;1656;4520;25836;57532;51773;51585;204851;2140;11176</t>
  </si>
  <si>
    <t>REV3L;DDX6;MTF1;NIPBL;NUFIP2;RSF1;PCF11;HIPK1;EYA3;BAZ2A</t>
  </si>
  <si>
    <t>http://www.broadinstitute.org/gsea/msigdb/cards/SREBP_Q3.html</t>
  </si>
  <si>
    <t>SP1_Q4_01</t>
  </si>
  <si>
    <t>2802;23054;56946;84181;57679;22992;204851;84725;26019;29843</t>
  </si>
  <si>
    <t>GOLGA3;NCOA6;EMSY;CHD6;ALS2;KDM2A;HIPK1;PLEKHA8;UPF2;SENP1</t>
  </si>
  <si>
    <t>http://www.broadinstitute.org/gsea/msigdb/cards/SP1_Q4_01.html</t>
  </si>
  <si>
    <t>YATTNATC_UNKNOWN</t>
  </si>
  <si>
    <t>9584;84614;23248;157769;64324;85440;11276;51105;23095;10277;2876;1859;119016</t>
  </si>
  <si>
    <t>RBM39;ZBTB37;RPRD2;FAM91A1;NSD1;DOCK7;SYNRG;PHF20L1;KIF1B;UBE4B;GPX1;DYRK1A;AGAP4</t>
  </si>
  <si>
    <t>http://www.broadinstitute.org/gsea/msigdb/cards/YATTNATC_UNKNOWN.html</t>
  </si>
  <si>
    <t>9632;4297;5781;6093;25836;7174;91748;83448;51132;11176</t>
  </si>
  <si>
    <t>SEC24C;KMT2A;PTPN11;ROCK1;NIPBL;TPP2;ELMSAN1;PUS7L;RLIM;BAZ2A</t>
  </si>
  <si>
    <t>RYAAAKNNNNNNTTGW_UNKNOWN</t>
  </si>
  <si>
    <t>221037;23049;29072;2932;204851</t>
  </si>
  <si>
    <t>JMJD1C;SMG1;SETD2;GSK3B;HIPK1</t>
  </si>
  <si>
    <t>http://www.broadinstitute.org/gsea/msigdb/cards/RYAAAKNNNNNNTTGW_UNKNOWN.html</t>
  </si>
  <si>
    <t>IPF1_Q4</t>
  </si>
  <si>
    <t>9139;51366;6659;4520;79811;1859;388289;267004;80314;9969</t>
  </si>
  <si>
    <t>CBFA2T2;UBR5;SOX4;MTF1;SLTM;DYRK1A;ZFHX3;ERCC6;EPC1;MED13</t>
  </si>
  <si>
    <t>http://www.broadinstitute.org/gsea/msigdb/cards/IPF1_Q4.html</t>
  </si>
  <si>
    <t>E4BP4_01</t>
  </si>
  <si>
    <t>51366;405;221037;25836;23126;23332;57492;2033;192669</t>
  </si>
  <si>
    <t>UBR5;ARNT;JMJD1C;NIPBL;POGZ;CLASP1;ARID1B;EP300;AGO3</t>
  </si>
  <si>
    <t>http://www.broadinstitute.org/gsea/msigdb/cards/E4BP4_01.html</t>
  </si>
  <si>
    <t>HNF4_DR1_Q3</t>
  </si>
  <si>
    <t>2969;221037;57695;171023;29072;84146;59343;388289;11011;9923</t>
  </si>
  <si>
    <t>GTF2I;JMJD1C;USP37;ASXL1;SETD2;ZNF644;SENP2;ZFHX3;TLK2;ZBTB40</t>
  </si>
  <si>
    <t>http://www.broadinstitute.org/gsea/msigdb/cards/HNF4_DR1_Q3.html</t>
  </si>
  <si>
    <t>AP4_01</t>
  </si>
  <si>
    <t>9139;221037;9202;25836;84181;57690;2932;91748;160760;11176</t>
  </si>
  <si>
    <t>CBFA2T2;JMJD1C;ZMYM4;NIPBL;CHD6;TNRC6C;GSK3B;ELMSAN1;PPTC7;BAZ2A</t>
  </si>
  <si>
    <t>http://www.broadinstitute.org/gsea/msigdb/cards/AP4_01.html</t>
  </si>
  <si>
    <t>COUP_01</t>
  </si>
  <si>
    <t>221037;5930;57695;171023;388289;160760;9923;9969;11176;1788</t>
  </si>
  <si>
    <t>JMJD1C;RBBP6;USP37;ASXL1;ZFHX3;PPTC7;ZBTB40;MED13;BAZ2A;DNMT3A</t>
  </si>
  <si>
    <t>http://www.broadinstitute.org/gsea/msigdb/cards/COUP_01.html</t>
  </si>
  <si>
    <t>RNCTGNYNRNCTGNY_UNKNOWN</t>
  </si>
  <si>
    <t>54542;51585;27327;160760;6942</t>
  </si>
  <si>
    <t>RC3H2;PCF11;TNRC6A;PPTC7;TCF20</t>
  </si>
  <si>
    <t>http://www.broadinstitute.org/gsea/msigdb/cards/RNCTGNYNRNCTGNY_UNKNOWN.html</t>
  </si>
  <si>
    <t>IK3_01</t>
  </si>
  <si>
    <t>9736;64324;51773;29994;7514;51585;3096;10735;25831</t>
  </si>
  <si>
    <t>USP34;NSD1;RSF1;BAZ2B;XPO1;PCF11;HIVEP1;STAG2;HECTD1</t>
  </si>
  <si>
    <t>http://www.broadinstitute.org/gsea/msigdb/cards/IK3_01.html</t>
  </si>
  <si>
    <t>STAT6_01</t>
  </si>
  <si>
    <t>5495;26005;130507;57532;51322;867;2033;389677;56987;4848</t>
  </si>
  <si>
    <t>PPM1B;C2CD3;UBR3;NUFIP2;WAC;CBL;EP300;RBM12B;BBX;AC092881.1</t>
  </si>
  <si>
    <t>http://www.broadinstitute.org/gsea/msigdb/cards/STAT6_01.html</t>
  </si>
  <si>
    <t>AFP1_Q6</t>
  </si>
  <si>
    <t>6659;25836;9736;55252;23369;23049;2876;463;56987;4848</t>
  </si>
  <si>
    <t>SOX4;NIPBL;USP34;ASXL2;PUM2;SMG1;GPX1;ZFHX3;BBX;AC092881.1</t>
  </si>
  <si>
    <t>http://www.broadinstitute.org/gsea/msigdb/cards/AFP1_Q6.html</t>
  </si>
  <si>
    <t>AP4_Q6</t>
  </si>
  <si>
    <t>405;6711;221037;54764;22992;571;22849;2140;79723</t>
  </si>
  <si>
    <t>ARNT;SPTBN1;JMJD1C;ZRANB1;KDM2A;BACH1;CPEB3;EYA3;SUV39H2</t>
  </si>
  <si>
    <t>http://www.broadinstitute.org/gsea/msigdb/cards/AP4_Q6.html</t>
  </si>
  <si>
    <t>CTCTAGA_MIR526C_MIR518F_MIR526A</t>
  </si>
  <si>
    <t>10236;23063;23369;79811</t>
  </si>
  <si>
    <t>HNRNPR;WAPL;PUM2;SLTM</t>
  </si>
  <si>
    <t>http://www.broadinstitute.org/gsea/msigdb/cards/CTCTAGA_MIR526C_MIR518F_MIR526A.html</t>
  </si>
  <si>
    <t>GGCACAT_MIR455</t>
  </si>
  <si>
    <t>29994;6874;8621;23112</t>
  </si>
  <si>
    <t>BAZ2B;TAF4;CDK13;TNRC6B</t>
  </si>
  <si>
    <t>http://www.broadinstitute.org/gsea/msigdb/cards/GGCACAT_MIR455.html</t>
  </si>
  <si>
    <t>HSF1_01</t>
  </si>
  <si>
    <t>7182;23248;65117;57532;29072;200576;204851;84295;26973;9874</t>
  </si>
  <si>
    <t>NR2C2;RPRD2;RSRC2;NUFIP2;SETD2;PIKFYVE;HIPK1;PHF6;CHORDC1;TLK1</t>
  </si>
  <si>
    <t>http://www.broadinstitute.org/gsea/msigdb/cards/HSF1_01.html</t>
  </si>
  <si>
    <t>HFH3_01</t>
  </si>
  <si>
    <t>84614;25836;80204;84181;23522;11276;5286;91748</t>
  </si>
  <si>
    <t>ZBTB37;NIPBL;FBXO11;CHD6;KAT6B;SYNRG;PIK3C2A;ELMSAN1</t>
  </si>
  <si>
    <t>http://www.broadinstitute.org/gsea/msigdb/cards/HFH3_01.html</t>
  </si>
  <si>
    <t>MYB_Q5_01</t>
  </si>
  <si>
    <t>8085;26057;9584;23248;157769;27291;7514;5116;91748;7994</t>
  </si>
  <si>
    <t>KMT2D;ANKRD17;RBM39;RPRD2;FAM91A1;R3HCC1L;XPO1;PCNT;ELMSAN1;KAT6A</t>
  </si>
  <si>
    <t>http://www.broadinstitute.org/gsea/msigdb/cards/MYB_Q5_01.html</t>
  </si>
  <si>
    <t>YYCATTCAWW_UNKNOWN</t>
  </si>
  <si>
    <t>5781;22848;84181;7248;1106;7514;2033;80155</t>
  </si>
  <si>
    <t>PTPN11;AAK1;CHD6;TSC1;CHD2;XPO1;EP300;NAA15</t>
  </si>
  <si>
    <t>http://www.broadinstitute.org/gsea/msigdb/cards/YYCATTCAWW_UNKNOWN.html</t>
  </si>
  <si>
    <t>OCT1_03</t>
  </si>
  <si>
    <t>22848;56957;80204;29072;2844;1106;1859;10735;9874</t>
  </si>
  <si>
    <t>AAK1;OTUD7B;FBXO11;SETD2;RABGAP1;CHD2;DYRK1A;STAG2;TLK1</t>
  </si>
  <si>
    <t>http://www.broadinstitute.org/gsea/msigdb/cards/OCT1_03.html</t>
  </si>
  <si>
    <t>HP1SITEFACTOR_Q6</t>
  </si>
  <si>
    <t>9611;5451;6659;25836;23369;1106;7514;23095;10735</t>
  </si>
  <si>
    <t>NCOR1;POU2F1;SOX4;NIPBL;PUM2;CHD2;XPO1;KIF1B;STAG2</t>
  </si>
  <si>
    <t>http://www.broadinstitute.org/gsea/msigdb/cards/HP1SITEFACTOR_Q6.html</t>
  </si>
  <si>
    <t>AACGGTT_MIR451</t>
  </si>
  <si>
    <t>56946;84146</t>
  </si>
  <si>
    <t>EMSY;ZNF644</t>
  </si>
  <si>
    <t>http://www.broadinstitute.org/gsea/msigdb/cards/AACGGTT_MIR451.html</t>
  </si>
  <si>
    <t>EGR1_01</t>
  </si>
  <si>
    <t>1656;5048;25836;57532;5930;7750;22992;254065;55167;4216</t>
  </si>
  <si>
    <t>DDX6;PAFAH1B1;NIPBL;NUFIP2;RBBP6;ZMYM2;KDM2A;BRWD3;MSL2;MAP3K4</t>
  </si>
  <si>
    <t>http://www.broadinstitute.org/gsea/msigdb/cards/EGR1_01.html</t>
  </si>
  <si>
    <t>CTGAGCC_MIR24</t>
  </si>
  <si>
    <t>7468;57551;23126;57472;51105;388228;55432;140775;51592</t>
  </si>
  <si>
    <t>NSD2;TAOK1;POGZ;CNOT6;PHF20L1;SBK1;YOD1;SMCR8;TRIM33</t>
  </si>
  <si>
    <t>http://www.broadinstitute.org/gsea/msigdb/cards/CTGAGCC_MIR24.html</t>
  </si>
  <si>
    <t>PAX3_B</t>
  </si>
  <si>
    <t>673;9202;7750;7514;3096</t>
  </si>
  <si>
    <t>BRAF;ZMYM4;ZMYM2;XPO1;HIVEP1</t>
  </si>
  <si>
    <t>http://www.broadinstitute.org/gsea/msigdb/cards/PAX3_B.html</t>
  </si>
  <si>
    <t>TTGGGAG_MIR150</t>
  </si>
  <si>
    <t>5048;170506;23131;1859;57534</t>
  </si>
  <si>
    <t>PAFAH1B1;DHX36;GPATCH8;DYRK1A;MIB1</t>
  </si>
  <si>
    <t>http://www.broadinstitute.org/gsea/msigdb/cards/TTGGGAG_MIR150.html</t>
  </si>
  <si>
    <t>SNACANNNYSYAGA_UNKNOWN</t>
  </si>
  <si>
    <t>7156;22848;55051;57531;140775</t>
  </si>
  <si>
    <t>TOP3A;AAK1;NRDE2;HACE1;SMCR8</t>
  </si>
  <si>
    <t>http://www.broadinstitute.org/gsea/msigdb/cards/SNACANNNYSYAGA_UNKNOWN.html</t>
  </si>
  <si>
    <t>BACH2_01</t>
  </si>
  <si>
    <t>9631;1778;80351;571;2876;23198;91748;27327;11176;55818</t>
  </si>
  <si>
    <t>NUP155;DYNC1H1;TNKS2;BACH1;GPX1;PSME4;ELMSAN1;TNRC6A;BAZ2A;KDM3A</t>
  </si>
  <si>
    <t>http://www.broadinstitute.org/gsea/msigdb/cards/BACH2_01.html</t>
  </si>
  <si>
    <t>HNF4ALPHA_Q6</t>
  </si>
  <si>
    <t>10236;6651;8899;157769;56957;57695;85440;29072;254065;10735</t>
  </si>
  <si>
    <t>HNRNPR;SON;PRPF4B;FAM91A1;OTUD7B;USP37;DOCK7;SETD2;BRWD3;STAG2</t>
  </si>
  <si>
    <t>http://www.broadinstitute.org/gsea/msigdb/cards/HNF4ALPHA_Q6.html</t>
  </si>
  <si>
    <t>CEBP_Q2</t>
  </si>
  <si>
    <t>405;10274;81609;1106;8867;2932;79707;91748;8239</t>
  </si>
  <si>
    <t>ARNT;STAG1;SNX27;CHD2;SYNJ1;GSK3B;NOL9;ELMSAN1;USP9X</t>
  </si>
  <si>
    <t>http://www.broadinstitute.org/gsea/msigdb/cards/CEBP_Q2.html</t>
  </si>
  <si>
    <t>HNF6_Q6</t>
  </si>
  <si>
    <t>5451;7182;6659;25836;23126;80204;22853;64324;1106</t>
  </si>
  <si>
    <t>POU2F1;NR2C2;SOX4;NIPBL;POGZ;FBXO11;LMTK2;NSD1;CHD2</t>
  </si>
  <si>
    <t>http://www.broadinstitute.org/gsea/msigdb/cards/HNF6_Q6.html</t>
  </si>
  <si>
    <t>TCCGTCC_MIR184</t>
  </si>
  <si>
    <t>27161;23112</t>
  </si>
  <si>
    <t>AGO2;TNRC6B</t>
  </si>
  <si>
    <t>http://www.broadinstitute.org/gsea/msigdb/cards/TCCGTCC_MIR184.html</t>
  </si>
  <si>
    <t>GRE_C</t>
  </si>
  <si>
    <t>23451;84181;64324;53944;91748;9969</t>
  </si>
  <si>
    <t>SF3B1;CHD6;NSD1;CSNK1G1;ELMSAN1;MED13</t>
  </si>
  <si>
    <t>http://www.broadinstitute.org/gsea/msigdb/cards/GRE_C.html</t>
  </si>
  <si>
    <t>YGCANTGCR_UNKNOWN</t>
  </si>
  <si>
    <t>1656;3836;80204;23215;1106;8867</t>
  </si>
  <si>
    <t>DDX6;KPNA1;FBXO11;PRRC2C;CHD2;SYNJ1</t>
  </si>
  <si>
    <t>http://www.broadinstitute.org/gsea/msigdb/cards/YGCANTGCR_UNKNOWN.html</t>
  </si>
  <si>
    <t>TATCTGG_MIR488</t>
  </si>
  <si>
    <t>8621;25962;22849;27161</t>
  </si>
  <si>
    <t>CDK13;VIRMA;CPEB3;AGO2</t>
  </si>
  <si>
    <t>http://www.broadinstitute.org/gsea/msigdb/cards/TATCTGG_MIR488.html</t>
  </si>
  <si>
    <t>YKACATTT_UNKNOWN</t>
  </si>
  <si>
    <t>9584;5930;58508;57448;2844;1106;55014;23198;160760;9874</t>
  </si>
  <si>
    <t>RBM39;RBBP6;KMT2C;BIRC6;RABGAP1;CHD2;STX17;PSME4;PPTC7;TLK1</t>
  </si>
  <si>
    <t>http://www.broadinstitute.org/gsea/msigdb/cards/YKACATTT_UNKNOWN.html</t>
  </si>
  <si>
    <t>BRN2_01</t>
  </si>
  <si>
    <t>5495;22848;84181;51585;2876;3096;867;267004;84669</t>
  </si>
  <si>
    <t>PPM1B;AAK1;CHD6;PCF11;GPX1;HIVEP1;CBL;ERCC6;USP32</t>
  </si>
  <si>
    <t>http://www.broadinstitute.org/gsea/msigdb/cards/BRN2_01.html</t>
  </si>
  <si>
    <t>PAX4_02</t>
  </si>
  <si>
    <t>9139;6659;56957;23126;1106;2876;472;4863;84669</t>
  </si>
  <si>
    <t>CBFA2T2;SOX4;OTUD7B;POGZ;CHD2;GPX1;ATM;NPAT;USP32</t>
  </si>
  <si>
    <t>http://www.broadinstitute.org/gsea/msigdb/cards/PAX4_02.html</t>
  </si>
  <si>
    <t>IK1_01</t>
  </si>
  <si>
    <t>84614;55275;64324;29994;5422;3096;2005;93;5469;23013</t>
  </si>
  <si>
    <t>ZBTB37;VPS53;NSD1;BAZ2B;POLA1;HIVEP1;ELK4;ACVR2B;MED1;SPEN</t>
  </si>
  <si>
    <t>http://www.broadinstitute.org/gsea/msigdb/cards/IK1_01.html</t>
  </si>
  <si>
    <t>CCACACA_MIR147</t>
  </si>
  <si>
    <t>90957;55671;10985;1788</t>
  </si>
  <si>
    <t>DHX57;PPP4R3A;GCN1;DNMT3A</t>
  </si>
  <si>
    <t>http://www.broadinstitute.org/gsea/msigdb/cards/CCACACA_MIR147.html</t>
  </si>
  <si>
    <t>HFH8_01</t>
  </si>
  <si>
    <t>5451;84614;23126;80204;171023;23660;2957;55605</t>
  </si>
  <si>
    <t>POU2F1;ZBTB37;POGZ;FBXO11;ASXL1;ZKSCAN5;GTF2A1;KIF21A</t>
  </si>
  <si>
    <t>http://www.broadinstitute.org/gsea/msigdb/cards/HFH8_01.html</t>
  </si>
  <si>
    <t>GCM_Q2</t>
  </si>
  <si>
    <t>26057;3836;23054;25836;65117;57551;905;10735;8239</t>
  </si>
  <si>
    <t>ANKRD17;KPNA1;NCOA6;NIPBL;RSRC2;TAOK1;CCNT2;STAG2;USP9X</t>
  </si>
  <si>
    <t>http://www.broadinstitute.org/gsea/msigdb/cards/GCM_Q2.html</t>
  </si>
  <si>
    <t>10236;5495;7468;7637;4297;2186;9360;80018;84726;23126;23032;23522;91746;10730;170506;7750;57498;57472;9126;23036;10299;8518;2932;122830;80205;253959;204851;10426;55705;55175;9969;11176;9329;25831;51592</t>
  </si>
  <si>
    <t>HNRNPR;PPM1B;NSD2;ZNF84;KMT2A;BPTF;PPIG;NAA25;PRRC2B;POGZ;USP33;KAT6B;YTHDC1;YME1L1;DHX36;ZMYM2;KIDINS220;CNOT6;SMC3;ZNF292;MARCH6;ELP1;GSK3B;NAA30;CHD9;RALGAPA1;HIPK1;TUBGCP3;IPO9;KLHL11;MED13;BAZ2A;GTF3C4;HECTD1;TRIM33</t>
  </si>
  <si>
    <t>GCM_DFFA</t>
  </si>
  <si>
    <t>10236;26057;5495;4297;80018;26005;84726;23126;259282;23032;23049;10730;170506;54497;7750;9126;10915;10299;8518;122830;51742;253959;10594;10426;55705;11176;25831</t>
  </si>
  <si>
    <t>HNRNPR;ANKRD17;PPM1B;KMT2A;NAA25;C2CD3;PRRC2B;POGZ;BOD1L1;USP33;SMG1;YME1L1;DHX36;HEATR5B;ZMYM2;SMC3;TCERG1;MARCH6;ELP1;NAA30;ARID4B;RALGAPA1;PRPF8;TUBGCP3;IPO9;BAZ2A;HECTD1</t>
  </si>
  <si>
    <t>http://www.broadinstitute.org/gsea/msigdb/cards/GCM_DFFA.html</t>
  </si>
  <si>
    <t>10236;7637;4297;2186;9360;80018;84726;55275;23253;23126;259282;23032;23522;3842;23049;170506;84146;57472;23350;23036;51585;80205;10594;8239;55102;55705;55175;11176;11108</t>
  </si>
  <si>
    <t>HNRNPR;ZNF84;KMT2A;BPTF;PPIG;NAA25;PRRC2B;VPS53;ANKRD12;POGZ;BOD1L1;USP33;KAT6B;TNPO1;SMG1;DHX36;ZNF644;CNOT6;U2SURP;ZNF292;PCF11;CHD9;PRPF8;USP9X;ATG2B;IPO9;KLHL11;BAZ2A;PRDM4</t>
  </si>
  <si>
    <t>10236;26057;7468;7637;3609;9360;80018;79832;84726;23126;57695;23032;23522;3842;170506;7750;57498;9126;10299;8518;2932;122830;80205;253959;204851;55705;55175;9969;9329</t>
  </si>
  <si>
    <t>HNRNPR;ANKRD17;NSD2;ZNF84;ILF3;PPIG;NAA25;QSER1;PRRC2B;POGZ;USP37;USP33;KAT6B;TNPO1;DHX36;ZMYM2;KIDINS220;SMC3;MARCH6;ELP1;GSK3B;NAA30;CHD9;RALGAPA1;HIPK1;IPO9;KLHL11;MED13;GTF3C4</t>
  </si>
  <si>
    <t>GCM_RAB10</t>
  </si>
  <si>
    <t>10526;26057;5495;23014;51366;26130;9857;23032;55914;84146;51479;57498;23405;23215;8518;2957;122830;51742;79882;157680;204851;26009;22847;119016;55705;65250;9439;25831;23499</t>
  </si>
  <si>
    <t>IPO8;ANKRD17;PPM1B;FBXO21;UBR5;GAPVD1;CEP350;USP33;ERBIN;ZNF644;ANKFY1;KIDINS220;DICER1;PRRC2C;ELP1;GTF2A1;NAA30;ARID4B;ZC3H14;VPS13B;HIPK1;AC118549.1;ZNF507;AGAP4;IPO9;CPLANE1;MED23;HECTD1;MACF1</t>
  </si>
  <si>
    <t>http://www.broadinstitute.org/gsea/msigdb/cards/GCM_RAB10.html</t>
  </si>
  <si>
    <t>26057;5495;80018;79832;26005;57695;23032;23522;170506;54497;7750;11244;57498;9126;10299;8518;2932;122830;51742;131544;253959;204851;10426</t>
  </si>
  <si>
    <t>ANKRD17;PPM1B;NAA25;QSER1;C2CD3;USP37;USP33;KAT6B;DHX36;HEATR5B;ZMYM2;ZHX1;KIDINS220;SMC3;MARCH6;ELP1;GSK3B;NAA30;ARID4B;CRYBG3;RALGAPA1;HIPK1;TUBGCP3</t>
  </si>
  <si>
    <t>5495;7637;4297;9360;80018;84726;55275;23126;259282;23032;170506;84146;57498;122830;80205;253959;55102;119016;55705;65250;55175;11176;11108;25831;51592</t>
  </si>
  <si>
    <t>PPM1B;ZNF84;KMT2A;PPIG;NAA25;PRRC2B;VPS53;POGZ;BOD1L1;USP33;DHX36;ZNF644;KIDINS220;NAA30;CHD9;RALGAPA1;ATG2B;AGAP4;IPO9;CPLANE1;KLHL11;BAZ2A;PRDM4;HECTD1;TRIM33</t>
  </si>
  <si>
    <t>MORF_ATRX</t>
  </si>
  <si>
    <t>5980;26046;7175;5048;546;2802;9857;6873;22976;57634;23049;23131;5286;23036;10299;51585;285527;10277;5422;2932;4361;8621;80205;9662;57553;23269;9786</t>
  </si>
  <si>
    <t>REV3L;LTN1;TPR;PAFAH1B1;ATRX;GOLGA3;CEP350;TAF2;PAXIP1;EP400;SMG1;GPATCH8;PIK3C2A;ZNF292;MARCH6;PCF11;FRYL;UBE4B;POLA1;GSK3B;MRE11;CDK13;CHD9;CEP135;MICAL3;MGA;KIAA0586</t>
  </si>
  <si>
    <t>http://www.broadinstitute.org/gsea/msigdb/cards/MORF_ATRX.html</t>
  </si>
  <si>
    <t>GCM_RAN</t>
  </si>
  <si>
    <t>26057;5495;23014;7637;9360;84162;84726;23126;259282;23032;81609;57498;23095;8518;2932;122830;80205;253959;204851;55102;10426;55705;55175;25831;51592</t>
  </si>
  <si>
    <t>ANKRD17;PPM1B;FBXO21;ZNF84;PPIG;KIAA1109;PRRC2B;POGZ;BOD1L1;USP33;SNX27;KIDINS220;KIF1B;ELP1;GSK3B;NAA30;CHD9;RALGAPA1;HIPK1;ATG2B;TUBGCP3;IPO9;KLHL11;HECTD1;TRIM33</t>
  </si>
  <si>
    <t>http://www.broadinstitute.org/gsea/msigdb/cards/GCM_RAN.html</t>
  </si>
  <si>
    <t>55206;4976;9611;673;9632;5781;5930;23369;80311;9919;10299;6789;3930;57553;160760;84248;64421;58487;27161</t>
  </si>
  <si>
    <t>SBNO1;OPA1;NCOR1;BRAF;SEC24C;PTPN11;RBBP6;PUM2;KLHL15;SEC16A;MARCH6;STK4;LBR;MICAL3;PPTC7;FYTTD1;DCLRE1C;CREBZF;AGO2</t>
  </si>
  <si>
    <t>MORF_RAP1A</t>
  </si>
  <si>
    <t>5981;546;6433;9790;9857;6873;22976;23049;23131;5286;23036;51585;285527;5422;7174;2932;8621;80205;9879;9786;4848</t>
  </si>
  <si>
    <t>RFC1;ATRX;SFSWAP;BMS1;CEP350;TAF2;PAXIP1;SMG1;GPATCH8;PIK3C2A;ZNF292;PCF11;FRYL;POLA1;TPP2;GSK3B;CDK13;CHD9;DDX46;KIAA0586;AC092881.1</t>
  </si>
  <si>
    <t>http://www.broadinstitute.org/gsea/msigdb/cards/MORF_RAP1A.html</t>
  </si>
  <si>
    <t>9044;2186;9584;23512;7705;23244;65117;23063;5930;9169;200576;10914;10153;51182;64421;64783</t>
  </si>
  <si>
    <t>BTAF1;BPTF;RBM39;SUZ12;ZNF146;PDS5A;RSRC2;WAPL;RBBP6;SCAF11;PIKFYVE;PAPOLA;CEBPZ;HSPA14;DCLRE1C;RBM15</t>
  </si>
  <si>
    <t>http://www.broadinstitute.org/gsea/msigdb/cards/GNF2_RBBP6.html</t>
  </si>
  <si>
    <t>55206;4976;9611;673;9632;5781;5930;23369;80311;64426;9919;6789;3930;160760;84248;64421;58487;27161</t>
  </si>
  <si>
    <t>SBNO1;OPA1;NCOR1;BRAF;SEC24C;PTPN11;RBBP6;PUM2;KLHL15;SUDS3;SEC16A;STK4;LBR;PPTC7;FYTTD1;DCLRE1C;CREBZF;AGO2</t>
  </si>
  <si>
    <t>GCM_NF2</t>
  </si>
  <si>
    <t>10236;7637;4297;9360;84726;55275;23126;259282;23032;3842;10730;84146;55870;23350;23036;23633;7559;2957;4301;122830;80205;10594;55102;119016;55175;11176;11108;25831</t>
  </si>
  <si>
    <t>HNRNPR;ZNF84;KMT2A;PPIG;PRRC2B;VPS53;POGZ;BOD1L1;USP33;TNPO1;YME1L1;ZNF644;ASH1L;U2SURP;ZNF292;KPNA6;ZNF12;GTF2A1;AFDN;NAA30;CHD9;PRPF8;ATG2B;AGAP4;KLHL11;BAZ2A;PRDM4;HECTD1</t>
  </si>
  <si>
    <t>http://www.broadinstitute.org/gsea/msigdb/cards/GCM_NF2.html</t>
  </si>
  <si>
    <t>GCM_SUFU</t>
  </si>
  <si>
    <t>26057;7637;4297;9360;80018;23126;23032;23522;57498;10299;8518;122830;253959;8239;9969;25831</t>
  </si>
  <si>
    <t>ANKRD17;ZNF84;KMT2A;PPIG;NAA25;POGZ;USP33;KAT6B;KIDINS220;MARCH6;ELP1;NAA30;RALGAPA1;USP9X;MED13;HECTD1</t>
  </si>
  <si>
    <t>http://www.broadinstitute.org/gsea/msigdb/cards/GCM_SUFU.html</t>
  </si>
  <si>
    <t>MORF_CDC10</t>
  </si>
  <si>
    <t>10236;5981;4299;5591;6433;9790;23369;55023;8295;23019;7514;10128;7690;8453;3930;23198;23527;10594;9879;23200</t>
  </si>
  <si>
    <t>HNRNPR;RFC1;AFF1;PRKDC;SFSWAP;BMS1;PUM2;PHIP;TRRAP;CNOT1;XPO1;LRPPRC;ZNF131;CUL2;LBR;PSME4;ACAP2;PRPF8;DDX46;ATP11B</t>
  </si>
  <si>
    <t>http://www.broadinstitute.org/gsea/msigdb/cards/MORF_CDC10.html</t>
  </si>
  <si>
    <t>MORF_TPR</t>
  </si>
  <si>
    <t>5980;23317;7175;546;6433;6093;23054;8019;23248;6873;10075;57680;23131;23633;285527;2932;4361;8621;9786;4848</t>
  </si>
  <si>
    <t>REV3L;DNAJC13;TPR;ATRX;SFSWAP;ROCK1;NCOA6;BRD3;RPRD2;TAF2;HUWE1;CHD8;GPATCH8;KPNA6;FRYL;GSK3B;MRE11;CDK13;KIAA0586;AC092881.1</t>
  </si>
  <si>
    <t>http://www.broadinstitute.org/gsea/msigdb/cards/MORF_TPR.html</t>
  </si>
  <si>
    <t>MODULE_98</t>
  </si>
  <si>
    <t>8085;10236;7175;6651;5981;7428;9972;3836;2969;5591;4297;6659;1660;3609;8899;9869;7705;11052;3842;6874;9841;5422;7528;23468;9513;10153;1859;6596;4899;22850;10594</t>
  </si>
  <si>
    <t>KMT2D;HNRNPR;TPR;SON;RFC1;VHL;NUP153;KPNA1;GTF2I;PRKDC;KMT2A;SOX4;DHX9;ILF3;PRPF4B;SETDB1;ZNF146;CPSF6;TNPO1;TAF4;ZBTB24;POLA1;YY1;CBX5;FXR2;CEBPZ;DYRK1A;HLTF;NRF1;ADNP2;PRPF8</t>
  </si>
  <si>
    <t>http://www.broadinstitute.org/gsea/msigdb/cards/MODULE_98.html</t>
  </si>
  <si>
    <t>23451;5927;2186;9584;25836;65117;91746;9169;29072;10914;54832;51696;22828;253725</t>
  </si>
  <si>
    <t>SF3B1;KDM5A;BPTF;RBM39;NIPBL;RSRC2;YTHDC1;SCAF11;SETD2;PAPOLA;VPS13C;HECA;SCAF8;WASHC2C</t>
  </si>
  <si>
    <t>MORF_RFC1</t>
  </si>
  <si>
    <t>26043;5981;5903;6433;9790;9202;23019;285527;7174;7690;472;8453;6596;23527;80205;9879;23200</t>
  </si>
  <si>
    <t>UBXN7;RFC1;RANBP2;SFSWAP;BMS1;ZMYM4;CNOT1;FRYL;TPP2;ZNF131;ATM;CUL2;HLTF;ACAP2;CHD9;DDX46;ATP11B</t>
  </si>
  <si>
    <t>http://www.broadinstitute.org/gsea/msigdb/cards/MORF_RFC1.html</t>
  </si>
  <si>
    <t>GCM_HBP1</t>
  </si>
  <si>
    <t>10236;5495;170506;84146;10915;51585;122830;51742;55596;10594;79882;92140;25831;22828</t>
  </si>
  <si>
    <t>HNRNPR;PPM1B;DHX36;ZNF644;TCERG1;PCF11;NAA30;ARID4B;ZCCHC8;PRPF8;ZC3H14;MTDH;HECTD1;SCAF8</t>
  </si>
  <si>
    <t>http://www.broadinstitute.org/gsea/msigdb/cards/GCM_HBP1.html</t>
  </si>
  <si>
    <t>GCM_MAP4K4</t>
  </si>
  <si>
    <t>26057;23014;7637;9360;1778;84162;26005;9857;23126;81609;55914;51479;57498;23095;285527;64854;122830;253959;204851;23499</t>
  </si>
  <si>
    <t>ANKRD17;FBXO21;ZNF84;PPIG;DYNC1H1;KIAA1109;C2CD3;CEP350;POGZ;SNX27;ERBIN;ANKFY1;KIDINS220;KIF1B;FRYL;USP46;NAA30;RALGAPA1;HIPK1;MACF1</t>
  </si>
  <si>
    <t>http://www.broadinstitute.org/gsea/msigdb/cards/GCM_MAP4K4.html</t>
  </si>
  <si>
    <t>GNF2_DEK</t>
  </si>
  <si>
    <t>10236;9972;3192;8661;23512;11052;23244;7514;23350;10914;55596;10735;10762</t>
  </si>
  <si>
    <t>HNRNPR;NUP153;HNRNPU;EIF3A;SUZ12;CPSF6;PDS5A;XPO1;U2SURP;PAPOLA;ZCCHC8;STAG2;NUP50</t>
  </si>
  <si>
    <t>http://www.broadinstitute.org/gsea/msigdb/cards/GNF2_DEK.html</t>
  </si>
  <si>
    <t>10236;8888;23451;3192;9584;9733;23244;5930;91746;9169;23350;7528;10914;55596;9879;64783</t>
  </si>
  <si>
    <t>HNRNPR;MCM3AP;SF3B1;HNRNPU;RBM39;SART3;PDS5A;RBBP6;YTHDC1;SCAF11;U2SURP;YY1;PAPOLA;ZCCHC8;DDX46;RBM15</t>
  </si>
  <si>
    <t>http://www.broadinstitute.org/gsea/msigdb/cards/GNF2_HDAC1.html</t>
  </si>
  <si>
    <t>MORF_REV3L</t>
  </si>
  <si>
    <t>5980;7175;546;157769;6873;22976;57634;23131;51585;285527;10277;80205</t>
  </si>
  <si>
    <t>REV3L;TPR;ATRX;FAM91A1;TAF2;PAXIP1;EP400;GPATCH8;PCF11;FRYL;UBE4B;CHD9</t>
  </si>
  <si>
    <t>http://www.broadinstitute.org/gsea/msigdb/cards/MORF_REV3L.html</t>
  </si>
  <si>
    <t>GNF2_KPNB1</t>
  </si>
  <si>
    <t>10236;55660;7175;9972;3192;23512;11052;23244;9126;23350;11168;80155;4216</t>
  </si>
  <si>
    <t>HNRNPR;PRPF40A;TPR;NUP153;HNRNPU;SUZ12;CPSF6;PDS5A;SMC3;U2SURP;PSIP1;NAA15;MAP3K4</t>
  </si>
  <si>
    <t>http://www.broadinstitute.org/gsea/msigdb/cards/GNF2_KPNB1.html</t>
  </si>
  <si>
    <t>GNF2_TDG</t>
  </si>
  <si>
    <t>10236;9972;3192;8661;11052;23244;7514;23350;10914;55596</t>
  </si>
  <si>
    <t>HNRNPR;NUP153;HNRNPU;EIF3A;CPSF6;PDS5A;XPO1;U2SURP;PAPOLA;ZCCHC8</t>
  </si>
  <si>
    <t>http://www.broadinstitute.org/gsea/msigdb/cards/GNF2_TDG.html</t>
  </si>
  <si>
    <t>GCM_NCAM1</t>
  </si>
  <si>
    <t>26057;7468;7637;79832;23522;57679;7750;57498;23095;10299;8518;2932;122830;131544;253959;55705</t>
  </si>
  <si>
    <t>ANKRD17;NSD2;ZNF84;QSER1;KAT6B;ALS2;ZMYM2;KIDINS220;KIF1B;MARCH6;ELP1;GSK3B;NAA30;CRYBG3;RALGAPA1;IPO9</t>
  </si>
  <si>
    <t>http://www.broadinstitute.org/gsea/msigdb/cards/GCM_NCAM1.html</t>
  </si>
  <si>
    <t>MORF_BRCA1</t>
  </si>
  <si>
    <t>5980;546;6873;22976;10274;57634;23049;23131;5286;51585;285527;10277;5422;4763;7174;80205;23269;22849;55705;9786;54014;9923</t>
  </si>
  <si>
    <t>REV3L;ATRX;TAF2;PAXIP1;STAG1;EP400;SMG1;GPATCH8;PIK3C2A;PCF11;FRYL;UBE4B;POLA1;NF1;TPP2;CHD9;MGA;CPEB3;IPO9;KIAA0586;BRWD1;ZBTB40</t>
  </si>
  <si>
    <t>http://www.broadinstitute.org/gsea/msigdb/cards/MORF_BRCA1.html</t>
  </si>
  <si>
    <t>MORF_DDB1</t>
  </si>
  <si>
    <t>23317;26057;7175;5591;2802;6433;9790;9733;8019;23248;10075;6311;8295;23633;10897;10128;6596;10594;9879;8505;6601</t>
  </si>
  <si>
    <t>DNAJC13;ANKRD17;TPR;PRKDC;GOLGA3;SFSWAP;BMS1;SART3;BRD3;RPRD2;HUWE1;ATXN2;TRRAP;KPNA6;YIF1A;LRPPRC;HLTF;PRPF8;DDX46;PARG;SMARCC2</t>
  </si>
  <si>
    <t>http://www.broadinstitute.org/gsea/msigdb/cards/MORF_DDB1.html</t>
  </si>
  <si>
    <t>MORF_CDC2L5</t>
  </si>
  <si>
    <t>7175;5048;546;6433;6093;9857;6873;22976;57634;23131;51585;285527;2932;8621;80205;9786</t>
  </si>
  <si>
    <t>TPR;PAFAH1B1;ATRX;SFSWAP;ROCK1;CEP350;TAF2;PAXIP1;EP400;GPATCH8;PCF11;FRYL;GSK3B;CDK13;CHD9;KIAA0586</t>
  </si>
  <si>
    <t>http://www.broadinstitute.org/gsea/msigdb/cards/MORF_CDC2L5.html</t>
  </si>
  <si>
    <t>MORF_HDAC2</t>
  </si>
  <si>
    <t>10236;26057;7468;6651;9632;5591;3192;3609;9790;9733;9202;10915;7514;10128;7690;10153;23527;10594;9879;92140;26009;10985</t>
  </si>
  <si>
    <t>HNRNPR;ANKRD17;NSD2;SON;SEC24C;PRKDC;HNRNPU;ILF3;BMS1;SART3;ZMYM4;TCERG1;XPO1;LRPPRC;ZNF131;CEBPZ;ACAP2;PRPF8;DDX46;MTDH;AC118549.1;GCN1</t>
  </si>
  <si>
    <t>http://www.broadinstitute.org/gsea/msigdb/cards/MORF_HDAC2.html</t>
  </si>
  <si>
    <t>MORF_PSMF1</t>
  </si>
  <si>
    <t>5980;546;6873;22976;57634;23049;23131;51585;285527;10277;2932;8621;80205;57553;23269;22849;9786</t>
  </si>
  <si>
    <t>REV3L;ATRX;TAF2;PAXIP1;EP400;SMG1;GPATCH8;PCF11;FRYL;UBE4B;GSK3B;CDK13;CHD9;MICAL3;MGA;CPEB3;KIAA0586</t>
  </si>
  <si>
    <t>http://www.broadinstitute.org/gsea/msigdb/cards/MORF_PSMF1.html</t>
  </si>
  <si>
    <t>MORF_PRKAG1</t>
  </si>
  <si>
    <t>26057;7175;5981;2802;6433;9790;9733;8019;23248;10075;6311;23633;10897;10128;6596;10594;8505;26009;23200</t>
  </si>
  <si>
    <t>ANKRD17;TPR;RFC1;GOLGA3;SFSWAP;BMS1;SART3;BRD3;RPRD2;HUWE1;ATXN2;KPNA6;YIF1A;LRPPRC;HLTF;PRPF8;PARG;AC118549.1;ATP11B</t>
  </si>
  <si>
    <t>http://www.broadinstitute.org/gsea/msigdb/cards/MORF_PRKAG1.html</t>
  </si>
  <si>
    <t>MORF_SS18</t>
  </si>
  <si>
    <t>27107;7175;546;6433;23248;6873;23633;285527;4361;8621;4848</t>
  </si>
  <si>
    <t>ZBTB11;TPR;ATRX;SFSWAP;RPRD2;TAF2;KPNA6;FRYL;MRE11;CDK13;AC092881.1</t>
  </si>
  <si>
    <t>http://www.broadinstitute.org/gsea/msigdb/cards/MORF_SS18.html</t>
  </si>
  <si>
    <t>9139;7468;5451;405;5927;2969;4297;6659;3609;6874;1106;9841;3096;2117;2033;6596;463;4899;22850;2074</t>
  </si>
  <si>
    <t>CBFA2T2;NSD2;POU2F1;ARNT;KDM5A;GTF2I;KMT2A;SOX4;ILF3;TAF4;CHD2;ZBTB24;HIVEP1;ETV3;EP300;HLTF;ZFHX3;NRF1;ADNP2;ERCC6</t>
  </si>
  <si>
    <t>GCM_RBM8A</t>
  </si>
  <si>
    <t>7468;7637;4297;84726;23126;57498;23036;2932;8239;55705;9969;11176</t>
  </si>
  <si>
    <t>NSD2;ZNF84;KMT2A;PRRC2B;POGZ;KIDINS220;ZNF292;GSK3B;USP9X;IPO9;MED13;BAZ2A</t>
  </si>
  <si>
    <t>http://www.broadinstitute.org/gsea/msigdb/cards/GCM_RBM8A.html</t>
  </si>
  <si>
    <t>GNF2_DENR</t>
  </si>
  <si>
    <t>10236;3192;8661;7705;11052;23244;7514;10914;92140;64783</t>
  </si>
  <si>
    <t>HNRNPR;HNRNPU;EIF3A;ZNF146;CPSF6;PDS5A;XPO1;PAPOLA;MTDH;RBM15</t>
  </si>
  <si>
    <t>http://www.broadinstitute.org/gsea/msigdb/cards/GNF2_DENR.html</t>
  </si>
  <si>
    <t>MORF_ERCC2</t>
  </si>
  <si>
    <t>7175;5981;546;6433;6873;22976;23131;285527;2932;4361;8621;80205;9786</t>
  </si>
  <si>
    <t>TPR;RFC1;ATRX;SFSWAP;TAF2;PAXIP1;GPATCH8;FRYL;GSK3B;MRE11;CDK13;CHD9;KIAA0586</t>
  </si>
  <si>
    <t>http://www.broadinstitute.org/gsea/msigdb/cards/MORF_ERCC2.html</t>
  </si>
  <si>
    <t>GCM_GSTA4</t>
  </si>
  <si>
    <t>7468;7637;9360;84726;23126;57498;4301;55705;55175;9969;9329</t>
  </si>
  <si>
    <t>NSD2;ZNF84;PPIG;PRRC2B;POGZ;KIDINS220;AFDN;IPO9;KLHL11;MED13;GTF3C4</t>
  </si>
  <si>
    <t>http://www.broadinstitute.org/gsea/msigdb/cards/GCM_GSTA4.html</t>
  </si>
  <si>
    <t>GCM_BMPR2</t>
  </si>
  <si>
    <t>23014;7637;9360;1778;23126;23032;81609;57498;23095;2932;253959;23499</t>
  </si>
  <si>
    <t>FBXO21;ZNF84;PPIG;DYNC1H1;POGZ;USP33;SNX27;KIDINS220;KIF1B;GSK3B;RALGAPA1;MACF1</t>
  </si>
  <si>
    <t>http://www.broadinstitute.org/gsea/msigdb/cards/GCM_BMPR2.html</t>
  </si>
  <si>
    <t>MODULE_252</t>
  </si>
  <si>
    <t>8085;10236;9972;2969;5591;4297;6659;1660;3609;8899;7705;3842;6874;5422;23468;1859;6596;22850;10594</t>
  </si>
  <si>
    <t>KMT2D;HNRNPR;NUP153;GTF2I;PRKDC;KMT2A;SOX4;DHX9;ILF3;PRPF4B;ZNF146;TNPO1;TAF4;POLA1;CBX5;DYRK1A;HLTF;ADNP2;PRPF8</t>
  </si>
  <si>
    <t>http://www.broadinstitute.org/gsea/msigdb/cards/MODULE_252.html</t>
  </si>
  <si>
    <t>GCM_PTK2</t>
  </si>
  <si>
    <t>26057;23014;7637;9360;9135;84162;23032;81609;57498;23095;285527;122830;253959;84669;56995</t>
  </si>
  <si>
    <t>ANKRD17;FBXO21;ZNF84;PPIG;RABEP1;KIAA1109;USP33;SNX27;KIDINS220;KIF1B;FRYL;NAA30;RALGAPA1;USP32;TULP4</t>
  </si>
  <si>
    <t>http://www.broadinstitute.org/gsea/msigdb/cards/GCM_PTK2.html</t>
  </si>
  <si>
    <t>MODULE_277</t>
  </si>
  <si>
    <t>26057;26046;5062;8899;26130;9202;6873;57532;23369;57534</t>
  </si>
  <si>
    <t>ANKRD17;LTN1;PAK2;PRPF4B;GAPVD1;ZMYM4;TAF2;NUFIP2;PUM2;MIB1</t>
  </si>
  <si>
    <t>http://www.broadinstitute.org/gsea/msigdb/cards/MODULE_277.html</t>
  </si>
  <si>
    <t>MORF_ESR1</t>
  </si>
  <si>
    <t>546;6873;22976;57634;23049;23131;51585;285527;10277;4763;2117;8621;80205;9662;23269;9786</t>
  </si>
  <si>
    <t>ATRX;TAF2;PAXIP1;EP400;SMG1;GPATCH8;PCF11;FRYL;UBE4B;NF1;ETV3;CDK13;CHD9;CEP135;MGA;KIAA0586</t>
  </si>
  <si>
    <t>http://www.broadinstitute.org/gsea/msigdb/cards/MORF_ESR1.html</t>
  </si>
  <si>
    <t>MORF_MSH3</t>
  </si>
  <si>
    <t>5980;546;6873;22976;57634;23049;23131;5286;51585;285527;10277;5422;4763;64854;80205;22849;9786;54014;9923</t>
  </si>
  <si>
    <t>REV3L;ATRX;TAF2;PAXIP1;EP400;SMG1;GPATCH8;PIK3C2A;PCF11;FRYL;UBE4B;POLA1;NF1;USP46;CHD9;CPEB3;KIAA0586;BRWD1;ZBTB40</t>
  </si>
  <si>
    <t>http://www.broadinstitute.org/gsea/msigdb/cards/MORF_MSH3.html</t>
  </si>
  <si>
    <t>GCM_CALM1</t>
  </si>
  <si>
    <t>26057;23014;7637;1778;23126;23032;81609;57498;23095;2932;122830;253959;84260</t>
  </si>
  <si>
    <t>ANKRD17;FBXO21;ZNF84;DYNC1H1;POGZ;USP33;SNX27;KIDINS220;KIF1B;GSK3B;NAA30;RALGAPA1;TCHP</t>
  </si>
  <si>
    <t>http://www.broadinstitute.org/gsea/msigdb/cards/GCM_CALM1.html</t>
  </si>
  <si>
    <t>GCM_MAX</t>
  </si>
  <si>
    <t>10236;55660;23077;23049;10915;51585;10735;26065</t>
  </si>
  <si>
    <t>HNRNPR;PRPF40A;MYCBP2;SMG1;TCERG1;PCF11;STAG2;LSM14A</t>
  </si>
  <si>
    <t>http://www.broadinstitute.org/gsea/msigdb/cards/GCM_MAX.html</t>
  </si>
  <si>
    <t>MODULE_198</t>
  </si>
  <si>
    <t>8085;10236;5981;9972;2969;5591;4297;6659;1660;3609;8899;9869;7705;3842;6874;5422;23468;1859;6596;22850;10594</t>
  </si>
  <si>
    <t>KMT2D;HNRNPR;RFC1;NUP153;GTF2I;PRKDC;KMT2A;SOX4;DHX9;ILF3;PRPF4B;SETDB1;ZNF146;TNPO1;TAF4;POLA1;CBX5;DYRK1A;HLTF;ADNP2;PRPF8</t>
  </si>
  <si>
    <t>http://www.broadinstitute.org/gsea/msigdb/cards/MODULE_198.html</t>
  </si>
  <si>
    <t>MORF_RFC5</t>
  </si>
  <si>
    <t>546;6873;22976;57634;23049;285527;10277;5422;7174;80205;9662</t>
  </si>
  <si>
    <t>ATRX;TAF2;PAXIP1;EP400;SMG1;FRYL;UBE4B;POLA1;TPP2;CHD9;CEP135</t>
  </si>
  <si>
    <t>http://www.broadinstitute.org/gsea/msigdb/cards/MORF_RFC5.html</t>
  </si>
  <si>
    <t>GNF2_ELAC2</t>
  </si>
  <si>
    <t>10236;55660;9733;11052;23244;23350;55596;80155;9188</t>
  </si>
  <si>
    <t>HNRNPR;PRPF40A;SART3;CPSF6;PDS5A;U2SURP;ZCCHC8;NAA15;DDX21</t>
  </si>
  <si>
    <t>http://www.broadinstitute.org/gsea/msigdb/cards/GNF2_ELAC2.html</t>
  </si>
  <si>
    <t>GCM_CRKL</t>
  </si>
  <si>
    <t>26057;7637;1778;26005;51479;2932;2957;122830;253959;10594</t>
  </si>
  <si>
    <t>ANKRD17;ZNF84;DYNC1H1;C2CD3;ANKFY1;GSK3B;GTF2A1;NAA30;RALGAPA1;PRPF8</t>
  </si>
  <si>
    <t>http://www.broadinstitute.org/gsea/msigdb/cards/GCM_CRKL.html</t>
  </si>
  <si>
    <t>MORF_RBBP8</t>
  </si>
  <si>
    <t>27107;5981;5048;546;5903;6433;6093;9790;6873;23253;22976;23131;285527;2932;8621;80205;9662</t>
  </si>
  <si>
    <t>ZBTB11;RFC1;PAFAH1B1;ATRX;RANBP2;SFSWAP;ROCK1;BMS1;TAF2;ANKRD12;PAXIP1;GPATCH8;FRYL;GSK3B;CDK13;CHD9;CEP135</t>
  </si>
  <si>
    <t>http://www.broadinstitute.org/gsea/msigdb/cards/MORF_RBBP8.html</t>
  </si>
  <si>
    <t>MORF_FANCG</t>
  </si>
  <si>
    <t>7175;5981;5048;546;5903;6433;9790;23248;6873;22976;285527;2932;8621;5586;80205</t>
  </si>
  <si>
    <t>TPR;RFC1;PAFAH1B1;ATRX;RANBP2;SFSWAP;BMS1;RPRD2;TAF2;PAXIP1;FRYL;GSK3B;CDK13;PKN2;CHD9</t>
  </si>
  <si>
    <t>http://www.broadinstitute.org/gsea/msigdb/cards/MORF_FANCG.html</t>
  </si>
  <si>
    <t>MORF_EIF4E</t>
  </si>
  <si>
    <t>26057;5981;5903;6433;9790;9202;6873;5422;7174;10153;9879</t>
  </si>
  <si>
    <t>ANKRD17;RFC1;RANBP2;SFSWAP;BMS1;ZMYM4;TAF2;POLA1;TPP2;CEBPZ;DDX46</t>
  </si>
  <si>
    <t>http://www.broadinstitute.org/gsea/msigdb/cards/MORF_EIF4E.html</t>
  </si>
  <si>
    <t>26057;80018;26005;57695;7750;8518;122830</t>
  </si>
  <si>
    <t>ANKRD17;NAA25;C2CD3;USP37;ZMYM2;ELP1;NAA30</t>
  </si>
  <si>
    <t>MODULE_206</t>
  </si>
  <si>
    <t>23317;9632;23512;9712;80218;9774;23637;51105;3096;8453;23198;10714;55671;4848</t>
  </si>
  <si>
    <t>DNAJC13;SEC24C;SUZ12;USP6NL;NAA50;BCLAF1;RABGAP1;PHF20L1;HIVEP1;CUL2;PSME4;POLD3;PPP4R3A;AC092881.1</t>
  </si>
  <si>
    <t>http://www.broadinstitute.org/gsea/msigdb/cards/MODULE_206.html</t>
  </si>
  <si>
    <t>MORF_AATF</t>
  </si>
  <si>
    <t>2475;5591;3192;6433;9790;9733;10075;23369;8295;23019;7514;10128;10153;10594;26009;6601</t>
  </si>
  <si>
    <t>MTOR;PRKDC;HNRNPU;SFSWAP;BMS1;SART3;HUWE1;PUM2;TRRAP;CNOT1;XPO1;LRPPRC;CEBPZ;PRPF8;AC118549.1;SMARCC2</t>
  </si>
  <si>
    <t>http://www.broadinstitute.org/gsea/msigdb/cards/MORF_AATF.html</t>
  </si>
  <si>
    <t>MODULE_352</t>
  </si>
  <si>
    <t>7175;9972;5903;3836;3842;7514</t>
  </si>
  <si>
    <t>TPR;NUP153;RANBP2;KPNA1;TNPO1;XPO1</t>
  </si>
  <si>
    <t>http://www.broadinstitute.org/gsea/msigdb/cards/MODULE_352.html</t>
  </si>
  <si>
    <t>MORF_DNMT1</t>
  </si>
  <si>
    <t>10236;7468;5591;3192;9126;8295;10915;7514;10128;7690;3930;10594</t>
  </si>
  <si>
    <t>HNRNPR;NSD2;PRKDC;HNRNPU;SMC3;TRRAP;TCERG1;XPO1;LRPPRC;ZNF131;LBR;PRPF8</t>
  </si>
  <si>
    <t>http://www.broadinstitute.org/gsea/msigdb/cards/MORF_DNMT1.html</t>
  </si>
  <si>
    <t>MORF_PRKDC</t>
  </si>
  <si>
    <t>10236;26057;7468;5591;3192;9790;8295;23019;7514;10128;7690;10153;3930;10594;9879</t>
  </si>
  <si>
    <t>HNRNPR;ANKRD17;NSD2;PRKDC;HNRNPU;BMS1;TRRAP;CNOT1;XPO1;LRPPRC;ZNF131;CEBPZ;LBR;PRPF8;DDX46</t>
  </si>
  <si>
    <t>http://www.broadinstitute.org/gsea/msigdb/cards/MORF_PRKDC.html</t>
  </si>
  <si>
    <t>55206;5781;80311;9774;9919;10299;6789;3930;160760;84248;27161</t>
  </si>
  <si>
    <t>SBNO1;PTPN11;KLHL15;BCLAF1;SEC16A;MARCH6;STK4;LBR;PPTC7;FYTTD1;AGO2</t>
  </si>
  <si>
    <t>55206;5781;80311;9919;10299;6789;3930;160760;84248;27161</t>
  </si>
  <si>
    <t>SBNO1;PTPN11;KLHL15;SEC16A;MARCH6;STK4;LBR;PPTC7;FYTTD1;AGO2</t>
  </si>
  <si>
    <t>GCM_ERBB2IP</t>
  </si>
  <si>
    <t>84162;9857;55914;51479;23405;285527;157680;26009;23499</t>
  </si>
  <si>
    <t>KIAA1109;CEP350;ERBIN;ANKFY1;DICER1;FRYL;VPS13B;AC118549.1;MACF1</t>
  </si>
  <si>
    <t>http://www.broadinstitute.org/gsea/msigdb/cards/GCM_ERBB2IP.html</t>
  </si>
  <si>
    <t>MORF_RAD54L</t>
  </si>
  <si>
    <t>7468;5981;5591;6433;9790;8295;10128;7690;10153;10594;9879</t>
  </si>
  <si>
    <t>NSD2;RFC1;PRKDC;SFSWAP;BMS1;TRRAP;LRPPRC;ZNF131;CEBPZ;PRPF8;DDX46</t>
  </si>
  <si>
    <t>http://www.broadinstitute.org/gsea/msigdb/cards/MORF_RAD54L.html</t>
  </si>
  <si>
    <t>MORF_RUNX1</t>
  </si>
  <si>
    <t>546;6873;22976;57634;23049;23131;51585;285527;10277;8621;80205;23269;9786</t>
  </si>
  <si>
    <t>ATRX;TAF2;PAXIP1;EP400;SMG1;GPATCH8;PCF11;FRYL;UBE4B;CDK13;CHD9;MGA;KIAA0586</t>
  </si>
  <si>
    <t>http://www.broadinstitute.org/gsea/msigdb/cards/MORF_RUNX1.html</t>
  </si>
  <si>
    <t>GCM_CSNK1A1</t>
  </si>
  <si>
    <t>26057;65117;10730;51742;10594;204851;26054</t>
  </si>
  <si>
    <t>ANKRD17;RSRC2;YME1L1;ARID4B;PRPF8;HIPK1;SENP6</t>
  </si>
  <si>
    <t>http://www.broadinstitute.org/gsea/msigdb/cards/GCM_CSNK1A1.html</t>
  </si>
  <si>
    <t>MORF_PPP5C</t>
  </si>
  <si>
    <t>5980;546;6873;22976;57634;285527;10277;2932;8621;9786</t>
  </si>
  <si>
    <t>REV3L;ATRX;TAF2;PAXIP1;EP400;FRYL;UBE4B;GSK3B;CDK13;KIAA0586</t>
  </si>
  <si>
    <t>http://www.broadinstitute.org/gsea/msigdb/cards/MORF_PPP5C.html</t>
  </si>
  <si>
    <t>10236;3609;9360;55023;10730;54454;23215;7514;10128;9698;10594;26065;10985;11176;9874</t>
  </si>
  <si>
    <t>HNRNPR;ILF3;PPIG;PHIP;YME1L1;ATAD2B;PRRC2C;XPO1;LRPPRC;PUM1;PRPF8;LSM14A;GCN1;BAZ2A;TLK1</t>
  </si>
  <si>
    <t>http://www.broadinstitute.org/gsea/msigdb/cards/MORF_ACP1.html</t>
  </si>
  <si>
    <t>GNF2_APEX1</t>
  </si>
  <si>
    <t>10236;3192;8661;23512;11052;23244;10915;7514;23350;9221</t>
  </si>
  <si>
    <t>HNRNPR;HNRNPU;EIF3A;SUZ12;CPSF6;PDS5A;TCERG1;XPO1;U2SURP;NOLC1</t>
  </si>
  <si>
    <t>http://www.broadinstitute.org/gsea/msigdb/cards/GNF2_APEX1.html</t>
  </si>
  <si>
    <t>MORF_CDC16</t>
  </si>
  <si>
    <t>10236;55660;23077;7468;5591;171023;23358;10128;10198</t>
  </si>
  <si>
    <t>HNRNPR;PRPF40A;MYCBP2;NSD2;PRKDC;ASXL1;USP24;LRPPRC;MPHOSPH9</t>
  </si>
  <si>
    <t>http://www.broadinstitute.org/gsea/msigdb/cards/MORF_CDC16.html</t>
  </si>
  <si>
    <t>MORF_PPP1CC</t>
  </si>
  <si>
    <t>10236;23077;7468;5591;3192;171023;9126;7514;10128;7690;3930;10594;9188</t>
  </si>
  <si>
    <t>HNRNPR;MYCBP2;NSD2;PRKDC;HNRNPU;ASXL1;SMC3;XPO1;LRPPRC;ZNF131;LBR;PRPF8;DDX21</t>
  </si>
  <si>
    <t>http://www.broadinstitute.org/gsea/msigdb/cards/MORF_PPP1CC.html</t>
  </si>
  <si>
    <t>MORF_GNB1</t>
  </si>
  <si>
    <t>10236;55660;7468;9632;5591;3192;3609;171023;23369;23215;7514;10128;7690;10594;92140;6601;10198;11176</t>
  </si>
  <si>
    <t>HNRNPR;PRPF40A;NSD2;SEC24C;PRKDC;HNRNPU;ILF3;ASXL1;PUM2;PRRC2C;XPO1;LRPPRC;ZNF131;PRPF8;MTDH;SMARCC2;MPHOSPH9;BAZ2A</t>
  </si>
  <si>
    <t>http://www.broadinstitute.org/gsea/msigdb/cards/MORF_GNB1.html</t>
  </si>
  <si>
    <t>GCM_NUMA1</t>
  </si>
  <si>
    <t>4297;84726;23126;170506;80205;10594;11176;11108</t>
  </si>
  <si>
    <t>KMT2A;PRRC2B;POGZ;DHX36;CHD9;PRPF8;BAZ2A;PRDM4</t>
  </si>
  <si>
    <t>http://www.broadinstitute.org/gsea/msigdb/cards/GCM_NUMA1.html</t>
  </si>
  <si>
    <t>MORF_MT4</t>
  </si>
  <si>
    <t>5981;546;5903;6433;6093;22848;9857;22976;23131;23036;285527;4763;8621;80205;9786;4848</t>
  </si>
  <si>
    <t>RFC1;ATRX;RANBP2;SFSWAP;ROCK1;AAK1;CEP350;PAXIP1;GPATCH8;ZNF292;FRYL;NF1;CDK13;CHD9;KIAA0586;AC092881.1</t>
  </si>
  <si>
    <t>http://www.broadinstitute.org/gsea/msigdb/cards/MORF_MT4.html</t>
  </si>
  <si>
    <t>MORF_CCNF</t>
  </si>
  <si>
    <t>9790;6873;22976;23049;285527;5422;7174;6596;9879</t>
  </si>
  <si>
    <t>BMS1;TAF2;PAXIP1;SMG1;FRYL;POLA1;TPP2;HLTF;DDX46</t>
  </si>
  <si>
    <t>http://www.broadinstitute.org/gsea/msigdb/cards/MORF_CCNF.html</t>
  </si>
  <si>
    <t>MODULE_239</t>
  </si>
  <si>
    <t>23451;6654;1660;1778;55252;55728;3842;30849;6670;8621;10735</t>
  </si>
  <si>
    <t>SF3B1;SOS1;DHX9;DYNC1H1;ASXL2;N4BP2;TNPO1;PIK3R4;SP3;CDK13;STAG2</t>
  </si>
  <si>
    <t>http://www.broadinstitute.org/gsea/msigdb/cards/MODULE_239.html</t>
  </si>
  <si>
    <t>MORF_SP3</t>
  </si>
  <si>
    <t>51366;7705;23126;23369;6311;6670;92140;8505;26009</t>
  </si>
  <si>
    <t>UBR5;ZNF146;POGZ;PUM2;ATXN2;SP3;MTDH;PARG;AC118549.1</t>
  </si>
  <si>
    <t>http://www.broadinstitute.org/gsea/msigdb/cards/MORF_SP3.html</t>
  </si>
  <si>
    <t>MODULE_197</t>
  </si>
  <si>
    <t>9139;7468;5927;2969;4297;6659;3609;6874;9841;7528;10153;9221;22850</t>
  </si>
  <si>
    <t>CBFA2T2;NSD2;KDM5A;GTF2I;KMT2A;SOX4;ILF3;TAF4;ZBTB24;YY1;CEBPZ;NOLC1;ADNP2</t>
  </si>
  <si>
    <t>http://www.broadinstitute.org/gsea/msigdb/cards/MODULE_197.html</t>
  </si>
  <si>
    <t>MORF_XRCC5</t>
  </si>
  <si>
    <t>10236;55660;7468;5591;3192;1660;23369;8295;10915;7514;10128;3930;10594;6601;10198</t>
  </si>
  <si>
    <t>HNRNPR;PRPF40A;NSD2;PRKDC;HNRNPU;DHX9;PUM2;TRRAP;TCERG1;XPO1;LRPPRC;LBR;PRPF8;SMARCC2;MPHOSPH9</t>
  </si>
  <si>
    <t>http://www.broadinstitute.org/gsea/msigdb/cards/MORF_XRCC5.html</t>
  </si>
  <si>
    <t>MORF_TERF1</t>
  </si>
  <si>
    <t>10236;3192;23369;7514;10128;9698;10594;6601</t>
  </si>
  <si>
    <t>HNRNPR;HNRNPU;PUM2;XPO1;LRPPRC;PUM1;PRPF8;SMARCC2</t>
  </si>
  <si>
    <t>http://www.broadinstitute.org/gsea/msigdb/cards/MORF_TERF1.html</t>
  </si>
  <si>
    <t>5980;3192;2186;79832;55252;8315;80204;55023;64397;200576;23637;23423;6801;23036;10914;10153;27332;64864;80205;9887;2140;57786;29843;10765</t>
  </si>
  <si>
    <t>REV3L;HNRNPU;BPTF;QSER1;ASXL2;BRAP;FBXO11;PHIP;ZNF106;PIKFYVE;RABGAP1;TMED3;STRN;ZNF292;PAPOLA;CEBPZ;ZNF638;RFX7;CHD9;SMG7;EYA3;RBAK;SENP1;KDM5B</t>
  </si>
  <si>
    <t>MORF_TERF2IP</t>
  </si>
  <si>
    <t>7175;6433;6093;8019;23248;57680;23019;25948;6601;4848</t>
  </si>
  <si>
    <t>TPR;SFSWAP;ROCK1;BRD3;RPRD2;CHD8;CNOT1;KBTBD2;SMARCC2;AC092881.1</t>
  </si>
  <si>
    <t>http://www.broadinstitute.org/gsea/msigdb/cards/MORF_TERF2IP.html</t>
  </si>
  <si>
    <t>MORF_UBE2N</t>
  </si>
  <si>
    <t>10236;5781;3609;23160;9126;23215;92140;9188;9874</t>
  </si>
  <si>
    <t>HNRNPR;PTPN11;ILF3;WDR43;SMC3;PRRC2C;MTDH;DDX21;TLK1</t>
  </si>
  <si>
    <t>http://www.broadinstitute.org/gsea/msigdb/cards/MORF_UBE2N.html</t>
  </si>
  <si>
    <t>GCM_RAD21</t>
  </si>
  <si>
    <t>7175;3192;23063;9774;10128;1859</t>
  </si>
  <si>
    <t>TPR;HNRNPU;WAPL;BCLAF1;LRPPRC;DYRK1A</t>
  </si>
  <si>
    <t>http://www.broadinstitute.org/gsea/msigdb/cards/GCM_RAD21.html</t>
  </si>
  <si>
    <t>MORF_HAT1</t>
  </si>
  <si>
    <t>10236;3192;5781;3609;9733;9126;23215;7514;10153;92140;26009;9887</t>
  </si>
  <si>
    <t>HNRNPR;HNRNPU;PTPN11;ILF3;SART3;SMC3;PRRC2C;XPO1;CEBPZ;MTDH;AC118549.1;SMG7</t>
  </si>
  <si>
    <t>http://www.broadinstitute.org/gsea/msigdb/cards/MORF_HAT1.html</t>
  </si>
  <si>
    <t>GCM_BAG5</t>
  </si>
  <si>
    <t>23032;84146;23215;8518;9439;25831</t>
  </si>
  <si>
    <t>USP33;ZNF644;PRRC2C;ELP1;MED23;HECTD1</t>
  </si>
  <si>
    <t>http://www.broadinstitute.org/gsea/msigdb/cards/GCM_BAG5.html</t>
  </si>
  <si>
    <t>GCM_PTPRD</t>
  </si>
  <si>
    <t>26057;9135;84162;23095;285527;122830;253959</t>
  </si>
  <si>
    <t>ANKRD17;RABEP1;KIAA1109;KIF1B;FRYL;NAA30;RALGAPA1</t>
  </si>
  <si>
    <t>http://www.broadinstitute.org/gsea/msigdb/cards/GCM_PTPRD.html</t>
  </si>
  <si>
    <t>MORF_HEAB</t>
  </si>
  <si>
    <t>546;5903;6873;23131;285527;8621;80205;9786</t>
  </si>
  <si>
    <t>ATRX;RANBP2;TAF2;GPATCH8;FRYL;CDK13;CHD9;KIAA0586</t>
  </si>
  <si>
    <t>http://www.broadinstitute.org/gsea/msigdb/cards/MORF_HEAB.html</t>
  </si>
  <si>
    <t>MORF_MSH2</t>
  </si>
  <si>
    <t>3192;9733;8295;7514;10128;8505;26009</t>
  </si>
  <si>
    <t>HNRNPU;SART3;TRRAP;XPO1;LRPPRC;PARG;AC118549.1</t>
  </si>
  <si>
    <t>http://www.broadinstitute.org/gsea/msigdb/cards/MORF_MSH2.html</t>
  </si>
  <si>
    <t>GNF2_MLH1</t>
  </si>
  <si>
    <t>9972;9126;23019;10915;23350;10128</t>
  </si>
  <si>
    <t>NUP153;SMC3;CNOT1;TCERG1;U2SURP;LRPPRC</t>
  </si>
  <si>
    <t>http://www.broadinstitute.org/gsea/msigdb/cards/GNF2_MLH1.html</t>
  </si>
  <si>
    <t>GCM_PPM1D</t>
  </si>
  <si>
    <t>80018;57695;23522;11244;9126</t>
  </si>
  <si>
    <t>NAA25;USP37;KAT6B;ZHX1;SMC3</t>
  </si>
  <si>
    <t>http://www.broadinstitute.org/gsea/msigdb/cards/GCM_PPM1D.html</t>
  </si>
  <si>
    <t>MORF_PTEN</t>
  </si>
  <si>
    <t>22976;10274;23131;285527;10277;23269;22849;9786</t>
  </si>
  <si>
    <t>PAXIP1;STAG1;GPATCH8;FRYL;UBE4B;MGA;CPEB3;KIAA0586</t>
  </si>
  <si>
    <t>http://www.broadinstitute.org/gsea/msigdb/cards/MORF_PTEN.html</t>
  </si>
  <si>
    <t>MODULE_36</t>
  </si>
  <si>
    <t>5495;9320;25836;5930;10137;867;5469;22850;8505;23013;26019</t>
  </si>
  <si>
    <t>PPM1B;TRIP12;NIPBL;RBBP6;RBM12;CBL;MED1;ADNP2;PARG;SPEN;UPF2</t>
  </si>
  <si>
    <t>http://www.broadinstitute.org/gsea/msigdb/cards/MODULE_36.html</t>
  </si>
  <si>
    <t>MODULE_337</t>
  </si>
  <si>
    <t>9631;3609;7840;5422;84725;9188;10762</t>
  </si>
  <si>
    <t>NUP155;ILF3;ALMS1;POLA1;PLEKHA8;DDX21;NUP50</t>
  </si>
  <si>
    <t>http://www.broadinstitute.org/gsea/msigdb/cards/MODULE_337.html</t>
  </si>
  <si>
    <t>MODULE_332</t>
  </si>
  <si>
    <t>3609;9584;57532;23369;7174;79612</t>
  </si>
  <si>
    <t>ILF3;RBM39;NUFIP2;PUM2;TPP2;NAA16</t>
  </si>
  <si>
    <t>http://www.broadinstitute.org/gsea/msigdb/cards/MODULE_332.html</t>
  </si>
  <si>
    <t>5980;3192;2186;79832;55252;8315;80204;23637;23423;6801;23036;10914;10153;27332;64864;80205;9887;2140;57786;29843;10765</t>
  </si>
  <si>
    <t>REV3L;HNRNPU;BPTF;QSER1;ASXL2;BRAP;FBXO11;RABGAP1;TMED3;STRN;ZNF292;PAPOLA;CEBPZ;ZNF638;RFX7;CHD9;SMG7;EYA3;RBAK;SENP1;KDM5B</t>
  </si>
  <si>
    <t>10236;6651;3192;3609;10075;23369;23215;7514;10128;6670;9698;10594;92140;26009</t>
  </si>
  <si>
    <t>HNRNPR;SON;HNRNPU;ILF3;HUWE1;PUM2;PRRC2C;XPO1;LRPPRC;SP3;PUM1;PRPF8;MTDH;AC118549.1</t>
  </si>
  <si>
    <t>http://www.broadinstitute.org/gsea/msigdb/cards/MORF_DEK.html</t>
  </si>
  <si>
    <t>GCM_TPR</t>
  </si>
  <si>
    <t>7175;1660;9869;23063;6670</t>
  </si>
  <si>
    <t>TPR;DHX9;SETDB1;WAPL;SP3</t>
  </si>
  <si>
    <t>http://www.broadinstitute.org/gsea/msigdb/cards/GCM_TPR.html</t>
  </si>
  <si>
    <t>10236;23512;11052;5930;10137;10915;7514;23350;51182;64783</t>
  </si>
  <si>
    <t>HNRNPR;SUZ12;CPSF6;RBBP6;RBM12;TCERG1;XPO1;U2SURP;HSPA14;RBM15</t>
  </si>
  <si>
    <t>http://www.broadinstitute.org/gsea/msigdb/cards/GNF2_FBL.html</t>
  </si>
  <si>
    <t>GCM_CHUK</t>
  </si>
  <si>
    <t>259282;10730;79811;51585;80205;10594;64421</t>
  </si>
  <si>
    <t>BOD1L1;YME1L1;SLTM;PCF11;CHD9;PRPF8;DCLRE1C</t>
  </si>
  <si>
    <t>http://www.broadinstitute.org/gsea/msigdb/cards/GCM_CHUK.html</t>
  </si>
  <si>
    <t>10236;8661;11052;10915;7514;10128;9221</t>
  </si>
  <si>
    <t>HNRNPR;EIF3A;CPSF6;TCERG1;XPO1;LRPPRC;NOLC1</t>
  </si>
  <si>
    <t>http://www.broadinstitute.org/gsea/msigdb/cards/GNF2_NPM1.html</t>
  </si>
  <si>
    <t>MODULE_567</t>
  </si>
  <si>
    <t>9631;3609;3842;26523;10897;2005;7024;463</t>
  </si>
  <si>
    <t>NUP155;ILF3;TNPO1;AGO1;YIF1A;ELK4;TFCP2;ZFHX3</t>
  </si>
  <si>
    <t>http://www.broadinstitute.org/gsea/msigdb/cards/MODULE_567.html</t>
  </si>
  <si>
    <t>GCM_RAP2A</t>
  </si>
  <si>
    <t>9857;81609;57498;253959;10426</t>
  </si>
  <si>
    <t>CEP350;SNX27;KIDINS220;RALGAPA1;TUBGCP3</t>
  </si>
  <si>
    <t>http://www.broadinstitute.org/gsea/msigdb/cards/GCM_RAP2A.html</t>
  </si>
  <si>
    <t>MORF_RAD23A</t>
  </si>
  <si>
    <t>10236;7468;9632;5591;3192;5781;3609;9360;23215;7514;10128;7690;10153;10594;92140;10985</t>
  </si>
  <si>
    <t>HNRNPR;NSD2;SEC24C;PRKDC;HNRNPU;PTPN11;ILF3;PPIG;PRRC2C;XPO1;LRPPRC;ZNF131;CEBPZ;PRPF8;MTDH;GCN1</t>
  </si>
  <si>
    <t>http://www.broadinstitute.org/gsea/msigdb/cards/MORF_RAD23A.html</t>
  </si>
  <si>
    <t>MODULE_72</t>
  </si>
  <si>
    <t>9632;1660;9793;9320;23512;3842;9126;23423;6670;10153;1859;26065;8239;10765;9874</t>
  </si>
  <si>
    <t>SEC24C;DHX9;CKAP5;TRIP12;SUZ12;TNPO1;SMC3;TMED3;SP3;CEBPZ;DYRK1A;LSM14A;USP9X;KDM5B;TLK1</t>
  </si>
  <si>
    <t>http://www.broadinstitute.org/gsea/msigdb/cards/MODULE_72.html</t>
  </si>
  <si>
    <t>MORF_PAPSS1</t>
  </si>
  <si>
    <t>9632;23369;7514;10128;7690;27332;92140;6601</t>
  </si>
  <si>
    <t>SEC24C;PUM2;XPO1;LRPPRC;ZNF131;ZNF638;MTDH;SMARCC2</t>
  </si>
  <si>
    <t>http://www.broadinstitute.org/gsea/msigdb/cards/MORF_PAPSS1.html</t>
  </si>
  <si>
    <t>MORF_RRM1</t>
  </si>
  <si>
    <t>10236;7468;5591;3192;9126;7514;10128;3930</t>
  </si>
  <si>
    <t>HNRNPR;NSD2;PRKDC;HNRNPU;SMC3;XPO1;LRPPRC;LBR</t>
  </si>
  <si>
    <t>http://www.broadinstitute.org/gsea/msigdb/cards/MORF_RRM1.html</t>
  </si>
  <si>
    <t>MODULE_244</t>
  </si>
  <si>
    <t>1656;5981;9931;3192;8899;5422;4140;1859;93;6596;9221</t>
  </si>
  <si>
    <t>DDX6;RFC1;HELZ;HNRNPU;PRPF4B;POLA1;MARK3;DYRK1A;ACVR2B;HLTF;NOLC1</t>
  </si>
  <si>
    <t>http://www.broadinstitute.org/gsea/msigdb/cards/MODULE_244.html</t>
  </si>
  <si>
    <t>MORF_BMI1</t>
  </si>
  <si>
    <t>5981;5591;23019;7690;23527;10594;23200</t>
  </si>
  <si>
    <t>RFC1;PRKDC;CNOT1;ZNF131;ACAP2;PRPF8;ATP11B</t>
  </si>
  <si>
    <t>http://www.broadinstitute.org/gsea/msigdb/cards/MORF_BMI1.html</t>
  </si>
  <si>
    <t>MORF_RPA2</t>
  </si>
  <si>
    <t>5591;6433;23248;9202;23019;7514;10128;7690;10093;10594;6601</t>
  </si>
  <si>
    <t>PRKDC;SFSWAP;RPRD2;ZMYM4;CNOT1;XPO1;LRPPRC;ZNF131;ARPC4;PRPF8;SMARCC2</t>
  </si>
  <si>
    <t>http://www.broadinstitute.org/gsea/msigdb/cards/MORF_RPA2.html</t>
  </si>
  <si>
    <t>MORF_RAB11A</t>
  </si>
  <si>
    <t>51366;7175;6311;8505;25948;26009</t>
  </si>
  <si>
    <t>UBR5;TPR;ATXN2;PARG;KBTBD2;AC118549.1</t>
  </si>
  <si>
    <t>http://www.broadinstitute.org/gsea/msigdb/cards/MORF_RAB11A.html</t>
  </si>
  <si>
    <t>MORF_FDXR</t>
  </si>
  <si>
    <t>7175;546;5903;6433;6873;23253;22976;23067;285527;2932;8621;9662</t>
  </si>
  <si>
    <t>TPR;ATRX;RANBP2;SFSWAP;TAF2;ANKRD12;PAXIP1;SETD1B;FRYL;GSK3B;CDK13;CEP135</t>
  </si>
  <si>
    <t>http://www.broadinstitute.org/gsea/msigdb/cards/MORF_FDXR.html</t>
  </si>
  <si>
    <t>MORF_RAF1</t>
  </si>
  <si>
    <t>7175;6433;8019;23248;10594;25948;26009;4848</t>
  </si>
  <si>
    <t>TPR;SFSWAP;BRD3;RPRD2;PRPF8;KBTBD2;AC118549.1;AC092881.1</t>
  </si>
  <si>
    <t>http://www.broadinstitute.org/gsea/msigdb/cards/MORF_RAF1.html</t>
  </si>
  <si>
    <t>5980;3192;2186;79832;55252;8315;80204;55023;51479;23423;6801;10914;10153;80205;9887;2140;79657;29843;10765</t>
  </si>
  <si>
    <t>REV3L;HNRNPU;BPTF;QSER1;ASXL2;BRAP;FBXO11;PHIP;ANKFY1;TMED3;STRN;PAPOLA;CEBPZ;CHD9;SMG7;EYA3;RPAP3;SENP1;KDM5B</t>
  </si>
  <si>
    <t>9972;4299;3192;1660;9774;1859</t>
  </si>
  <si>
    <t>NUP153;AFF1;HNRNPU;DHX9;BCLAF1;DYRK1A</t>
  </si>
  <si>
    <t>GCM_MAP1B</t>
  </si>
  <si>
    <t>7637;57498;23095;2932;122830;253959</t>
  </si>
  <si>
    <t>ZNF84;KIDINS220;KIF1B;GSK3B;NAA30;RALGAPA1</t>
  </si>
  <si>
    <t>http://www.broadinstitute.org/gsea/msigdb/cards/GCM_MAP1B.html</t>
  </si>
  <si>
    <t>10236;3192;8899;9733;27332;10594</t>
  </si>
  <si>
    <t>HNRNPR;HNRNPU;PRPF4B;SART3;ZNF638;PRPF8</t>
  </si>
  <si>
    <t>5980;79832;55252;8315;80204;55023;51479;23423;6801;10914;10153;80205;9887;2140;79657;29843;10765</t>
  </si>
  <si>
    <t>REV3L;QSER1;ASXL2;BRAP;FBXO11;PHIP;ANKFY1;TMED3;STRN;PAPOLA;CEBPZ;CHD9;SMG7;EYA3;RPAP3;SENP1;KDM5B</t>
  </si>
  <si>
    <t>5781;80311;3930;160760;84248;27161</t>
  </si>
  <si>
    <t>PTPN11;KLHL15;LBR;PPTC7;FYTTD1;AGO2</t>
  </si>
  <si>
    <t>10236;3192;11052;10914;51182;9879;64783;9188</t>
  </si>
  <si>
    <t>HNRNPR;HNRNPU;CPSF6;PAPOLA;HSPA14;DDX46;RBM15;DDX21</t>
  </si>
  <si>
    <t>http://www.broadinstitute.org/gsea/msigdb/cards/GNF2_DAP3.html</t>
  </si>
  <si>
    <t>MORF_RFC4</t>
  </si>
  <si>
    <t>10236;7468;5591;3192;8295;7514;10128;7690;10153</t>
  </si>
  <si>
    <t>HNRNPR;NSD2;PRKDC;HNRNPU;TRRAP;XPO1;LRPPRC;ZNF131;CEBPZ</t>
  </si>
  <si>
    <t>http://www.broadinstitute.org/gsea/msigdb/cards/MORF_RFC4.html</t>
  </si>
  <si>
    <t>GCM_CASP2</t>
  </si>
  <si>
    <t>4297;259282;11176;9967</t>
  </si>
  <si>
    <t>KMT2A;BOD1L1;BAZ2A;THRAP3</t>
  </si>
  <si>
    <t>http://www.broadinstitute.org/gsea/msigdb/cards/GCM_CASP2.html</t>
  </si>
  <si>
    <t>MORF_CSNK1D</t>
  </si>
  <si>
    <t>7175;6433;8019;23248;57680;10093</t>
  </si>
  <si>
    <t>TPR;SFSWAP;BRD3;RPRD2;CHD8;ARPC4</t>
  </si>
  <si>
    <t>http://www.broadinstitute.org/gsea/msigdb/cards/MORF_CSNK1D.html</t>
  </si>
  <si>
    <t>GCM_DEAF1</t>
  </si>
  <si>
    <t>84162;23032;9693;54765</t>
  </si>
  <si>
    <t>KIAA1109;USP33;RAPGEF2;TRIM44</t>
  </si>
  <si>
    <t>http://www.broadinstitute.org/gsea/msigdb/cards/GCM_DEAF1.html</t>
  </si>
  <si>
    <t>GNF2_RPA1</t>
  </si>
  <si>
    <t>9972;23350;55596;10762</t>
  </si>
  <si>
    <t>NUP153;U2SURP;ZCCHC8;NUP50</t>
  </si>
  <si>
    <t>http://www.broadinstitute.org/gsea/msigdb/cards/GNF2_RPA1.html</t>
  </si>
  <si>
    <t>MORF_UBE2A</t>
  </si>
  <si>
    <t>23317;7175;23248;6311;26009</t>
  </si>
  <si>
    <t>DNAJC13;TPR;RPRD2;ATXN2;AC118549.1</t>
  </si>
  <si>
    <t>http://www.broadinstitute.org/gsea/msigdb/cards/MORF_UBE2A.html</t>
  </si>
  <si>
    <t>GNF2_HAT1</t>
  </si>
  <si>
    <t>9972;23512;9126;23350;10762</t>
  </si>
  <si>
    <t>NUP153;SUZ12;SMC3;U2SURP;NUP50</t>
  </si>
  <si>
    <t>http://www.broadinstitute.org/gsea/msigdb/cards/GNF2_HAT1.html</t>
  </si>
  <si>
    <t>MORF_BECN1</t>
  </si>
  <si>
    <t>8888;23317;7175;6433;8019;84162;4848</t>
  </si>
  <si>
    <t>MCM3AP;DNAJC13;TPR;SFSWAP;BRD3;KIAA1109;AC092881.1</t>
  </si>
  <si>
    <t>http://www.broadinstitute.org/gsea/msigdb/cards/MORF_BECN1.html</t>
  </si>
  <si>
    <t>MODULE_331</t>
  </si>
  <si>
    <t>3192;7705;54454;9221;22850;204851</t>
  </si>
  <si>
    <t>HNRNPU;ZNF146;ATAD2B;NOLC1;ADNP2;HIPK1</t>
  </si>
  <si>
    <t>http://www.broadinstitute.org/gsea/msigdb/cards/MODULE_331.html</t>
  </si>
  <si>
    <t>MORF_RAB1A</t>
  </si>
  <si>
    <t>51366;7175;8019;23248;10075;6311;22992;9870;10093;26009</t>
  </si>
  <si>
    <t>UBR5;TPR;BRD3;RPRD2;HUWE1;ATXN2;KDM2A;AREL1;ARPC4;AC118549.1</t>
  </si>
  <si>
    <t>http://www.broadinstitute.org/gsea/msigdb/cards/MORF_RAB1A.html</t>
  </si>
  <si>
    <t>MODULE_229</t>
  </si>
  <si>
    <t>9931;546;1660;8899</t>
  </si>
  <si>
    <t>HELZ;ATRX;DHX9;PRPF4B</t>
  </si>
  <si>
    <t>http://www.broadinstitute.org/gsea/msigdb/cards/MODULE_229.html</t>
  </si>
  <si>
    <t>7155;8019;23369;7514;9698;10594;26065;6601</t>
  </si>
  <si>
    <t>TOP2B;BRD3;PUM2;XPO1;PUM1;PRPF8;LSM14A;SMARCC2</t>
  </si>
  <si>
    <t>http://www.broadinstitute.org/gsea/msigdb/cards/MORF_EIF4A2.html</t>
  </si>
  <si>
    <t>MORF_PTPN11</t>
  </si>
  <si>
    <t>10236;5781;3609;57498;9126;23215;92140</t>
  </si>
  <si>
    <t>HNRNPR;PTPN11;ILF3;KIDINS220;SMC3;PRRC2C;MTDH</t>
  </si>
  <si>
    <t>http://www.broadinstitute.org/gsea/msigdb/cards/MORF_PTPN11.html</t>
  </si>
  <si>
    <t>5927;5062;10914;92140</t>
  </si>
  <si>
    <t>KDM5A;PAK2;PAPOLA;MTDH</t>
  </si>
  <si>
    <t>MODULE_8</t>
  </si>
  <si>
    <t>9972;9632;5591;6659;1660;3609;9793;23512;23244;79572;23423;10128;6670;9221;9188;9874</t>
  </si>
  <si>
    <t>NUP153;SEC24C;PRKDC;SOX4;DHX9;ILF3;CKAP5;SUZ12;PDS5A;ATP13A3;TMED3;LRPPRC;SP3;NOLC1;DDX21;TLK1</t>
  </si>
  <si>
    <t>http://www.broadinstitute.org/gsea/msigdb/cards/MODULE_8.html</t>
  </si>
  <si>
    <t>MORF_PPP2R5E</t>
  </si>
  <si>
    <t>7175;23248;6311;6670;8505;26009</t>
  </si>
  <si>
    <t>TPR;RPRD2;ATXN2;SP3;PARG;AC118549.1</t>
  </si>
  <si>
    <t>http://www.broadinstitute.org/gsea/msigdb/cards/MORF_PPP2R5E.html</t>
  </si>
  <si>
    <t>GCM_BCL2L1</t>
  </si>
  <si>
    <t>84726;259282;11176;51592</t>
  </si>
  <si>
    <t>PRRC2B;BOD1L1;BAZ2A;TRIM33</t>
  </si>
  <si>
    <t>http://www.broadinstitute.org/gsea/msigdb/cards/GCM_BCL2L1.html</t>
  </si>
  <si>
    <t>MORF_BUB3</t>
  </si>
  <si>
    <t>10236;7468;9632;5591;3192;5781;3609;9126;7514;10128;10594;92140</t>
  </si>
  <si>
    <t>HNRNPR;NSD2;SEC24C;PRKDC;HNRNPU;PTPN11;ILF3;SMC3;XPO1;LRPPRC;PRPF8;MTDH</t>
  </si>
  <si>
    <t>http://www.broadinstitute.org/gsea/msigdb/cards/MORF_BUB3.html</t>
  </si>
  <si>
    <t>5290;9736;472;55636;9874</t>
  </si>
  <si>
    <t>PIK3CA;USP34;ATM;CHD7;TLK1</t>
  </si>
  <si>
    <t>MORF_MAGEA9</t>
  </si>
  <si>
    <t>9681;3836;22976;27291;10274;23131;5286;285527;10277;4763;2117;64854;23269;22849;55705;9923</t>
  </si>
  <si>
    <t>DEPDC5;KPNA1;PAXIP1;R3HCC1L;STAG1;GPATCH8;PIK3C2A;FRYL;UBE4B;NF1;ETV3;USP46;MGA;CPEB3;IPO9;ZBTB40</t>
  </si>
  <si>
    <t>http://www.broadinstitute.org/gsea/msigdb/cards/MORF_MAGEA9.html</t>
  </si>
  <si>
    <t>MORF_DMPK</t>
  </si>
  <si>
    <t>27291;10274;5286;10277;64854;22849;55705;54014;9923</t>
  </si>
  <si>
    <t>R3HCC1L;STAG1;PIK3C2A;UBE4B;USP46;CPEB3;IPO9;BRWD1;ZBTB40</t>
  </si>
  <si>
    <t>http://www.broadinstitute.org/gsea/msigdb/cards/MORF_DMPK.html</t>
  </si>
  <si>
    <t>MORF_RAC1</t>
  </si>
  <si>
    <t>26057;51366;9632;9733;6311;10897;6670;92140;8505;26009</t>
  </si>
  <si>
    <t>ANKRD17;UBR5;SEC24C;SART3;ATXN2;YIF1A;SP3;MTDH;PARG;AC118549.1</t>
  </si>
  <si>
    <t>http://www.broadinstitute.org/gsea/msigdb/cards/MORF_RAC1.html</t>
  </si>
  <si>
    <t>GCM_SMO</t>
  </si>
  <si>
    <t>55275;205717;55870;23633;11108</t>
  </si>
  <si>
    <t>VPS53;USF3;ASH1L;KPNA6;PRDM4</t>
  </si>
  <si>
    <t>http://www.broadinstitute.org/gsea/msigdb/cards/GCM_SMO.html</t>
  </si>
  <si>
    <t>MORF_RPA1</t>
  </si>
  <si>
    <t>3192;9733;6670;8505;26009</t>
  </si>
  <si>
    <t>HNRNPU;SART3;SP3;PARG;AC118549.1</t>
  </si>
  <si>
    <t>http://www.broadinstitute.org/gsea/msigdb/cards/MORF_RPA1.html</t>
  </si>
  <si>
    <t>GNF2_MCM5</t>
  </si>
  <si>
    <t>9972;3192;23512;11052;23350</t>
  </si>
  <si>
    <t>NUP153;HNRNPU;SUZ12;CPSF6;U2SURP</t>
  </si>
  <si>
    <t>http://www.broadinstitute.org/gsea/msigdb/cards/GNF2_MCM5.html</t>
  </si>
  <si>
    <t>MODULE_323</t>
  </si>
  <si>
    <t>221037;85476;23527;51742;26009</t>
  </si>
  <si>
    <t>JMJD1C;GFM1;ACAP2;ARID4B;AC118549.1</t>
  </si>
  <si>
    <t>http://www.broadinstitute.org/gsea/msigdb/cards/MODULE_323.html</t>
  </si>
  <si>
    <t>MORF_XPC</t>
  </si>
  <si>
    <t>51366;7175;10075;10093;26009</t>
  </si>
  <si>
    <t>UBR5;TPR;HUWE1;ARPC4;AC118549.1</t>
  </si>
  <si>
    <t>http://www.broadinstitute.org/gsea/msigdb/cards/MORF_XPC.html</t>
  </si>
  <si>
    <t>MODULE_17</t>
  </si>
  <si>
    <t>55660;9972;9632;5591;1660;3609;9793;9790;23423;10299;10128;9221;26065;9188</t>
  </si>
  <si>
    <t>PRPF40A;NUP153;SEC24C;PRKDC;DHX9;ILF3;CKAP5;BMS1;TMED3;MARCH6;LRPPRC;NOLC1;LSM14A;DDX21</t>
  </si>
  <si>
    <t>http://www.broadinstitute.org/gsea/msigdb/cards/MODULE_17.html</t>
  </si>
  <si>
    <t>MORF_BCL2</t>
  </si>
  <si>
    <t>546;22848;22976;23131;23036;285527;4763;2117;8621;9662</t>
  </si>
  <si>
    <t>ATRX;AAK1;PAXIP1;GPATCH8;ZNF292;FRYL;NF1;ETV3;CDK13;CEP135</t>
  </si>
  <si>
    <t>http://www.broadinstitute.org/gsea/msigdb/cards/MORF_BCL2.html</t>
  </si>
  <si>
    <t>MORF_ATF2</t>
  </si>
  <si>
    <t>9681;3836;22976;27291;10274;5286;10277;64854;23269;22849;55705;54014;9923</t>
  </si>
  <si>
    <t>DEPDC5;KPNA1;PAXIP1;R3HCC1L;STAG1;PIK3C2A;UBE4B;USP46;MGA;CPEB3;IPO9;BRWD1;ZBTB40</t>
  </si>
  <si>
    <t>http://www.broadinstitute.org/gsea/msigdb/cards/MORF_ATF2.html</t>
  </si>
  <si>
    <t>MORF_FOSL1</t>
  </si>
  <si>
    <t>9681;546;22976;23049;23131;5286;285527;10277;4763;64854;23269;22849;55705;9786;9923</t>
  </si>
  <si>
    <t>DEPDC5;ATRX;PAXIP1;SMG1;GPATCH8;PIK3C2A;FRYL;UBE4B;NF1;USP46;MGA;CPEB3;IPO9;KIAA0586;ZBTB40</t>
  </si>
  <si>
    <t>http://www.broadinstitute.org/gsea/msigdb/cards/MORF_FOSL1.html</t>
  </si>
  <si>
    <t>MORF_RAB6A</t>
  </si>
  <si>
    <t>9632;9733;6311;6670;92140</t>
  </si>
  <si>
    <t>SEC24C;SART3;ATXN2;SP3;MTDH</t>
  </si>
  <si>
    <t>http://www.broadinstitute.org/gsea/msigdb/cards/MORF_RAB6A.html</t>
  </si>
  <si>
    <t>GCM_USP6</t>
  </si>
  <si>
    <t>55275;259282;57609;23633;11108</t>
  </si>
  <si>
    <t>VPS53;BOD1L1;DIP2B;KPNA6;PRDM4</t>
  </si>
  <si>
    <t>http://www.broadinstitute.org/gsea/msigdb/cards/GCM_USP6.html</t>
  </si>
  <si>
    <t>MODULE_67</t>
  </si>
  <si>
    <t>57492;23049;10142;23358;27332;79707;55187;54455;440193;9439</t>
  </si>
  <si>
    <t>ARID1B;SMG1;AKAP9;USP24;ZNF638;NOL9;VPS13D;FBXO42;CCDC88C;MED23</t>
  </si>
  <si>
    <t>http://www.broadinstitute.org/gsea/msigdb/cards/MODULE_67.html</t>
  </si>
  <si>
    <t>10236;8672;9475;9877;26057;55660;23451;27340;51366;7175;6651;1656;9931;5903;5591;3192;6711;1660;6433;3609;9360;8899;8661;1778;9584;9790;9733;23512;23160;11052;255967;84726;90957;26058;65117;57532;5930;10075;23293;58508;23369;23185;3842;8880;91746;23049;85476;10940;9169;6311;170506;64397;54542;57690;10137;54552;79811;9774;23131;26523;57472;23067;23405;23215;92312;23019;1106;10915;7514;23350;8867;905;11168;51585;7528;10128;56252;10914;8087;9513;10153;2033;8621;6596;9698;22984;3930;2804;27332;9221;5586;79707;27042;25962;55596;10594;79882;9879;92140;84295;389677;54464;26065;27327;22849;92797;10985;155435;84248;5814;55342;79048;64783;23013;11083;80155;83448;55127;192669;26019;57703;55802;9188;53981;6942;11176;27161;23499;22828;23112;9967;9904</t>
  </si>
  <si>
    <t>HNRNPR;EIF4G3;ROCK2;ZC3H11A;ANKRD17;PRPF40A;SF3B1;UTP20;UBR5;TPR;SON;DDX6;HELZ;RANBP2;PRKDC;HNRNPU;SPTBN1;DHX9;SFSWAP;ILF3;PPIG;PRPF4B;EIF3A;DYNC1H1;RBM39;BMS1;SART3;SUZ12;WDR43;CPSF6;PAN3;PRRC2B;DHX57;GIGYF2;RSRC2;NUFIP2;RBBP6;HUWE1;SMG6;KMT2C;PUM2;LARP4B;TNPO1;FUBP1;YTHDC1;SMG1;GFM1;POP1;SCAF11;ATXN2;DHX36;ZNF106;RC3H2;TNRC6C;RBM12;GNL3L;SLTM;BCLAF1;GPATCH8;AGO1;CNOT6;SETD1B;DICER1;PRRC2C;MEX3A;CNOT1;CHD2;TCERG1;XPO1;U2SURP;SYNJ1;CCNT2;PSIP1;PCF11;YY1;LRPPRC;YLPM1;PAPOLA;FXR1;FXR2;CEBPZ;EP300;CDK13;HLTF;PUM1;PDCD11;LBR;GOLGB1;ZNF638;NOLC1;PKN2;NOL9;UTP25;VIRMA;ZCCHC8;PRPF8;ZC3H14;DDX46;MTDH;PHF6;RBM12B;XRN1;LSM14A;TNRC6A;CPEB3;HELB;GCN1;RBM33;FYTTD1;PURB;STRBP;SECISBP2;RBM15;SPEN;DIDO1;NAA15;PUS7L;HEATR1;AGO3;UPF2;CWC22;DCP1A;DDX21;CPSF2;TCF20;BAZ2A;AGO2;MACF1;SCAF8;TNRC6B;THRAP3;RBM19</t>
  </si>
  <si>
    <t>GO_CHROMOSOME_ORGANIZATION</t>
  </si>
  <si>
    <t>23347;8085;200424;9611;9631;7468;6872;5927;5981;5048;546;5903;5591;7155;4297;54799;1660;2186;7156;9793;257218;9733;23512;9869;8019;10771;221037;23244;196528;25836;22976;9736;57551;23064;23126;23332;56946;23063;10075;55193;23293;171023;165918;58508;57492;80312;84181;10274;57459;23522;64324;57634;23049;79677;51773;51322;51230;29072;80218;64426;57680;55870;23067;9126;22992;8295;1106;7514;9113;5422;2005;6249;4361;2033;472;6596;23198;10714;80205;51742;55320;284058;11011;10735;84893;92797;6601;25909;7994;56652;64421;2140;80314;79723;79813;55167;23047;55636;10765;11176;9874;11108;9329;55689;55818;1788;8202</t>
  </si>
  <si>
    <t>SMCHD1;KMT2D;TET3;NCOR1;NUP155;NSD2;TAF1;KDM5A;RFC1;PAFAH1B1;ATRX;RANBP2;PRKDC;TOP2B;KMT2A;MBTD1;DHX9;BPTF;TOP3A;CKAP5;SHPRH;SART3;SUZ12;SETDB1;BRD3;ZMYND11;JMJD1C;PDS5A;ARID2;NIPBL;PAXIP1;USP34;TAOK1;SETX;POGZ;CLASP1;EMSY;WAPL;HUWE1;PBRM1;SMG6;ASXL1;RNF168;KMT2C;ARID1B;TET1;CHD6;STAG1;GATAD2B;KAT6B;NSD1;EP400;SMG1;SMC6;RSF1;WAC;PHF20;SETD2;NAA50;SUDS3;CHD8;ASH1L;SETD1B;SMC3;KDM2A;TRRAP;CHD2;XPO1;LATS1;POLA1;ELK4;CLIP1;MRE11;EP300;ATM;HLTF;PSME4;POLD3;CHD9;ARID4B;MIS18BP1;KANSL1;TLK2;STAG2;FBH1;HELB;SMARCC2;AHCTF1;KAT6A;TWNK;DCLRE1C;EYA3;EPC1;SUV39H2;EHMT1;MSL2;PDS5B;CHD7;KDM5B;BAZ2A;TLK1;PRDM4;GTF3C4;YEATS2;KDM3A;DNMT3A;NCOA3</t>
  </si>
  <si>
    <t>http://www.broadinstitute.org/gsea/msigdb/cards/GO_CHROMOSOME_ORGANIZATION.html</t>
  </si>
  <si>
    <t>10236;8672;9475;9877;26057;55660;23451;27340;7175;6651;1656;9931;5591;3192;6711;1660;3609;9360;8899;8661;1778;9584;9790;9733;23160;11052;255967;84726;90957;26058;65117;57532;5930;10075;58508;23369;23185;3842;8880;91746;23049;85476;10940;9169;6311;170506;64397;54542;10137;54552;79811;9774;23131;26523;23215;92312;23019;1106;10915;23350;11168;51585;10128;56252;8087;9513;10153;8621;6596;9698;22984;3930;2804;27332;9221;5586;27042;25962;55596;10594;79882;9879;92140;84295;389677;54464;26065;27327;22849;92797;10985;155435;84248;5814;55342;79048;64783;23013;11083;80155;55127;192669;55802;9188;6942;27161;23499;23112;9967;9904</t>
  </si>
  <si>
    <t>HNRNPR;EIF4G3;ROCK2;ZC3H11A;ANKRD17;PRPF40A;SF3B1;UTP20;TPR;SON;DDX6;HELZ;PRKDC;HNRNPU;SPTBN1;DHX9;ILF3;PPIG;PRPF4B;EIF3A;DYNC1H1;RBM39;BMS1;SART3;WDR43;CPSF6;PAN3;PRRC2B;DHX57;GIGYF2;RSRC2;NUFIP2;RBBP6;HUWE1;KMT2C;PUM2;LARP4B;TNPO1;FUBP1;YTHDC1;SMG1;GFM1;POP1;SCAF11;ATXN2;DHX36;ZNF106;RC3H2;RBM12;GNL3L;SLTM;BCLAF1;GPATCH8;AGO1;PRRC2C;MEX3A;CNOT1;CHD2;TCERG1;U2SURP;PSIP1;PCF11;LRPPRC;YLPM1;FXR1;FXR2;CEBPZ;CDK13;HLTF;PUM1;PDCD11;LBR;GOLGB1;ZNF638;NOLC1;PKN2;UTP25;VIRMA;ZCCHC8;PRPF8;ZC3H14;DDX46;MTDH;PHF6;RBM12B;XRN1;LSM14A;TNRC6A;CPEB3;HELB;GCN1;RBM33;FYTTD1;PURB;STRBP;SECISBP2;RBM15;SPEN;DIDO1;NAA15;HEATR1;AGO3;DCP1A;DDX21;TCF20;AGO2;MACF1;TNRC6B;THRAP3;RBM19</t>
  </si>
  <si>
    <t>8085;11128;9611;55660;23451;6651;6872;2475;546;4299;4297;9360;7156;9584;23054;9733;23512;11052;23248;6873;22976;9736;23389;57697;23001;58508;84181;57459;23522;57634;91746;79677;51322;51230;55341;64426;59343;57680;9774;51755;7750;23067;8295;6874;7514;905;51585;8518;2117;23468;56252;4361;2957;6670;2033;1859;8621;4863;27332;9221;23198;5469;463;25962;10594;55159;91748;79882;9879;284058;92140;204851;23269;26009;2074;7994;55743;84248;64783;80314;57703;55167;53981;9969;11108;55689;9967</t>
  </si>
  <si>
    <t>KMT2D;POLR3A;NCOR1;PRPF40A;SF3B1;SON;TAF1;MTOR;ATRX;AFF1;KMT2A;PPIG;TOP3A;RBM39;NCOA6;SART3;SUZ12;CPSF6;RPRD2;TAF2;PAXIP1;USP34;MED13L;FANCM;WDFY3;KMT2C;CHD6;GATAD2B;KAT6B;EP400;YTHDC1;SMC6;WAC;PHF20;LSG1;SUDS3;SENP2;CHD8;BCLAF1;CDK12;ZMYM2;SETD1B;TRRAP;TAF4;XPO1;CCNT2;PCF11;ELP1;ETV3;CBX5;YLPM1;MRE11;GTF2A1;SP3;EP300;DYRK1A;CDK13;NPAT;ZNF638;NOLC1;PSME4;MED1;ZFHX3;VIRMA;PRPF8;RFWD3;ELMSAN1;ZC3H14;DDX46;KANSL1;MTDH;HIPK1;MGA;AC118549.1;ERCC6;KAT6A;CHFR;FYTTD1;RBM15;EPC1;CWC22;MSL2;CPSF2;MED13;PRDM4;YEATS2;THRAP3</t>
  </si>
  <si>
    <t>GO_CHROMATIN_MODIFICATION</t>
  </si>
  <si>
    <t>8085;200424;9611;7468;6872;5927;546;4297;54799;2186;23512;9869;8019;10771;221037;196528;22976;9736;56946;10075;55193;171023;165918;58508;57492;80312;84181;57459;23522;64324;57634;51773;51322;51230;29072;80218;64426;57680;55870;23067;22992;8295;1106;2005;2033;472;6596;23198;80205;51742;55320;284058;11011;6601;7994;2140;80314;79723;79813;55167;55636;10765;11176;9874;11108;9329;55689;55818;1788;8202</t>
  </si>
  <si>
    <t>KMT2D;TET3;NCOR1;NSD2;TAF1;KDM5A;ATRX;KMT2A;MBTD1;BPTF;SUZ12;SETDB1;BRD3;ZMYND11;JMJD1C;ARID2;PAXIP1;USP34;EMSY;HUWE1;PBRM1;ASXL1;RNF168;KMT2C;ARID1B;TET1;CHD6;GATAD2B;KAT6B;NSD1;EP400;RSF1;WAC;PHF20;SETD2;NAA50;SUDS3;CHD8;ASH1L;SETD1B;KDM2A;TRRAP;CHD2;ELK4;EP300;ATM;HLTF;PSME4;CHD9;ARID4B;MIS18BP1;KANSL1;TLK2;SMARCC2;KAT6A;EYA3;EPC1;SUV39H2;EHMT1;MSL2;CHD7;KDM5B;BAZ2A;TLK1;PRDM4;GTF3C4;YEATS2;KDM3A;DNMT3A;NCOA3</t>
  </si>
  <si>
    <t>http://www.broadinstitute.org/gsea/msigdb/cards/GO_CHROMATIN_MODIFICATION.html</t>
  </si>
  <si>
    <t>GO_CHROMATIN_ORGANIZATION</t>
  </si>
  <si>
    <t>8085;200424;9611;7468;6872;5927;546;4297;54799;2186;257218;9733;23512;9869;8019;10771;221037;196528;22976;9736;56946;10075;55193;171023;165918;58508;57492;80312;84181;57459;23522;64324;57634;51773;51322;51230;29072;80218;64426;57680;55870;23067;22992;8295;1106;2005;2033;472;6596;23198;80205;51742;55320;284058;11011;6601;7994;2140;80314;79723;79813;55167;55636;10765;11176;9874;11108;9329;55689;55818;1788;8202</t>
  </si>
  <si>
    <t>KMT2D;TET3;NCOR1;NSD2;TAF1;KDM5A;ATRX;KMT2A;MBTD1;BPTF;SHPRH;SART3;SUZ12;SETDB1;BRD3;ZMYND11;JMJD1C;ARID2;PAXIP1;USP34;EMSY;HUWE1;PBRM1;ASXL1;RNF168;KMT2C;ARID1B;TET1;CHD6;GATAD2B;KAT6B;NSD1;EP400;RSF1;WAC;PHF20;SETD2;NAA50;SUDS3;CHD8;ASH1L;SETD1B;KDM2A;TRRAP;CHD2;ELK4;EP300;ATM;HLTF;PSME4;CHD9;ARID4B;MIS18BP1;KANSL1;TLK2;SMARCC2;KAT6A;EYA3;EPC1;SUV39H2;EHMT1;MSL2;CHD7;KDM5B;BAZ2A;TLK1;PRDM4;GTF3C4;YEATS2;KDM3A;DNMT3A;NCOA3</t>
  </si>
  <si>
    <t>http://www.broadinstitute.org/gsea/msigdb/cards/GO_CHROMATIN_ORGANIZATION.html</t>
  </si>
  <si>
    <t>8085;200424;9139;9611;7468;7175;6872;405;5927;7428;546;7182;2969;5591;100381270;4297;6659;2186;23054;4520;23512;8019;10771;9202;56957;25836;6873;22976;23389;55252;23064;171023;165918;158405;80312;84181;10274;55023;57459;23522;64324;170506;64426;59343;57680;55870;51755;7750;11244;26523;54454;23405;23019;6874;1106;10915;571;7514;23036;905;23633;11168;8812;9678;8518;3096;7528;2005;2117;2932;7690;6670;10153;2551;2033;7024;8453;93;8621;6596;5469;463;4899;64864;51742;91748;254065;92140;22849;6601;10985;8239;5814;64783;23013;80314;79723;79813;54014;51132;4848;29843;6942;9969;27161;9439;55689;51592;7707;9967;55818;1788;8202</t>
  </si>
  <si>
    <t>KMT2D;TET3;CBFA2T2;NCOR1;NSD2;TPR;TAF1;ARNT;KDM5A;VHL;ATRX;NR2C2;GTF2I;PRKDC;ZBED6;KMT2A;SOX4;BPTF;NCOA6;MTF1;SUZ12;BRD3;ZMYND11;ZMYM4;OTUD7B;NIPBL;TAF2;PAXIP1;MED13L;ASXL2;SETX;ASXL1;RNF168;KIAA1958;TET1;CHD6;STAG1;PHIP;GATAD2B;KAT6B;NSD1;DHX36;SUDS3;SENP2;CHD8;ASH1L;CDK12;ZMYM2;ZHX1;AGO1;ATAD2B;DICER1;CNOT1;TAF4;CHD2;TCERG1;BACH1;XPO1;ZNF292;CCNT2;KPNA6;PSIP1;CCNK;PHF14;ELP1;HIVEP1;YY1;ELK4;ETV3;GSK3B;ZNF131;SP3;CEBPZ;GABPA;EP300;TFCP2;CUL2;ACVR2B;CDK13;HLTF;MED1;ZFHX3;NRF1;RFX7;ARID4B;ELMSAN1;BRWD3;MTDH;CPEB3;SMARCC2;GCN1;USP9X;PURB;RBM15;SPEN;EPC1;SUV39H2;EHMT1;BRWD1;RLIM;AC092881.1;SENP1;TCF20;MED13;AGO2;MED23;YEATS2;TRIM33;ZNF148;THRAP3;KDM3A;DNMT3A;NCOA3</t>
  </si>
  <si>
    <t>GO_CHROMOSOME</t>
  </si>
  <si>
    <t>23347;26057;9611;7468;7175;5981;5048;546;5591;7155;7156;8899;257218;23512;9869;23160;10771;23244;55183;25836;23064;23126;23332;23063;5930;55193;23293;80204;171023;165918;254225;259282;10274;57459;23522;64324;57634;79677;29072;80351;170506;64426;55870;23067;9126;8295;7514;11168;5422;7528;6249;2117;10128;23468;4361;2551;2033;472;10714;5469;55320;55159;284058;84295;10735;84893;92797;6601;25909;7994;5814;64421;79723;79813;23047;11176;9904;1788;8202</t>
  </si>
  <si>
    <t>SMCHD1;ANKRD17;NCOR1;NSD2;TPR;RFC1;PAFAH1B1;ATRX;PRKDC;TOP2B;TOP3A;PRPF4B;SHPRH;SUZ12;SETDB1;WDR43;ZMYND11;PDS5A;RIF1;NIPBL;SETX;POGZ;CLASP1;WAPL;RBBP6;PBRM1;SMG6;FBXO11;ASXL1;RNF168;RNF169;BOD1L1;STAG1;GATAD2B;KAT6B;NSD1;EP400;SMC6;SETD2;TNKS2;DHX36;SUDS3;ASH1L;SETD1B;SMC3;TRRAP;XPO1;PSIP1;POLA1;YY1;CLIP1;ETV3;LRPPRC;CBX5;MRE11;GABPA;EP300;ATM;POLD3;MED1;MIS18BP1;RFWD3;KANSL1;PHF6;STAG2;FBH1;HELB;SMARCC2;AHCTF1;KAT6A;PURB;DCLRE1C;SUV39H2;EHMT1;PDS5B;BAZ2A;RBM19;DNMT3A;NCOA3</t>
  </si>
  <si>
    <t>http://www.broadinstitute.org/gsea/msigdb/cards/GO_CHROMOSOME.html</t>
  </si>
  <si>
    <t>GO_PROTEIN_MODIFICATION_BY_SMALL_PROTEIN_CONJUGATION_OR_REMOVAL</t>
  </si>
  <si>
    <t>23077;9631;26046;23328;23014;51366;7175;7428;9972;5903;7155;9320;257218;23512;8925;23352;56957;130507;9736;89910;8315;5930;10075;57695;80204;171023;165918;254225;23032;10274;80311;79677;51322;64682;80351;54542;59343;57448;54876;54764;26190;23358;9126;8295;571;9870;10299;10277;867;7174;64854;6670;8453;6596;23198;5469;55432;55159;55632;84196;57534;25948;57531;10735;80012;84669;84893;8239;55743;26054;84132;55167;56995;51132;29843;10762;25831;51592</t>
  </si>
  <si>
    <t>MYCBP2;NUP155;LTN1;SASH1;FBXO21;UBR5;TPR;VHL;NUP153;RANBP2;TOP2B;TRIP12;SHPRH;SUZ12;HERC1;UBR4;OTUD7B;UBR3;USP34;UBE3B;BRAP;RBBP6;HUWE1;USP37;FBXO11;ASXL1;RNF168;RNF169;USP33;STAG1;KLHL15;SMC6;WAC;ANAPC1;TNKS2;RC3H2;SENP2;BIRC6;DCAF16;ZRANB1;FBXW2;USP24;SMC3;TRRAP;BACH1;AREL1;MARCH6;UBE4B;CBL;TPP2;USP46;SP3;CUL2;HLTF;PSME4;MED1;YOD1;RFWD3;G2E3;USP48;MIB1;KBTBD2;HACE1;STAG2;PHC3;USP32;FBH1;USP9X;CHFR;SENP6;USP42;MSL2;TULP4;RLIM;SENP1;NUP50;HECTD1;TRIM33</t>
  </si>
  <si>
    <t>http://www.broadinstitute.org/gsea/msigdb/cards/GO_PROTEIN_MODIFICATION_BY_SMALL_PROTEIN_CONJUGATION_OR_REMOVAL.html</t>
  </si>
  <si>
    <t>8085;9044;10236;9139;9611;51366;7468;7175;5451;5927;7428;546;100381270;3192;2186;6433;3609;9320;23512;10771;23244;56957;25836;26058;23063;23293;171023;165918;254225;57459;23522;7248;64324;55914;51773;80351;64426;57690;57680;54552;9774;11244;26523;57472;23405;9126;23019;10915;571;7514;9678;3096;7559;7528;2005;2117;10128;23468;4361;8087;9513;6670;2551;2033;472;1859;93;4863;9698;5469;463;79882;92140;10735;27327;22849;84893;92797;6601;7994;8239;5814;79048;64783;23013;80314;79723;79813;192669;58487;51132;57786;4848;10765;9969;11176;27161;55689;51592;7707;1788</t>
  </si>
  <si>
    <t>KMT2D;BTAF1;HNRNPR;CBFA2T2;NCOR1;UBR5;NSD2;TPR;POU2F1;KDM5A;VHL;ATRX;ZBED6;HNRNPU;BPTF;SFSWAP;ILF3;TRIP12;SUZ12;ZMYND11;PDS5A;OTUD7B;NIPBL;GIGYF2;WAPL;SMG6;ASXL1;RNF168;RNF169;GATAD2B;KAT6B;TSC1;NSD1;ERBIN;RSF1;TNKS2;SUDS3;TNRC6C;CHD8;GNL3L;BCLAF1;ZHX1;AGO1;CNOT6;DICER1;SMC3;CNOT1;TCERG1;BACH1;XPO1;PHF14;HIVEP1;ZNF12;YY1;ELK4;ETV3;LRPPRC;CBX5;MRE11;FXR1;FXR2;SP3;GABPA;EP300;ATM;DYRK1A;ACVR2B;NPAT;PUM1;MED1;ZFHX3;ZC3H14;MTDH;STAG2;TNRC6A;CPEB3;FBH1;HELB;SMARCC2;KAT6A;USP9X;PURB;SECISBP2;RBM15;SPEN;EPC1;SUV39H2;EHMT1;AGO3;CREBZF;RLIM;RBAK;AC092881.1;KDM5B;MED13;BAZ2A;AGO2;YEATS2;TRIM33;ZNF148;DNMT3A</t>
  </si>
  <si>
    <t>GO_TRANSFERASE_COMPLEX</t>
  </si>
  <si>
    <t>8085;11128;5980;23014;6872;5927;7428;5290;2475;4297;23054;80018;23512;23248;6873;130507;22976;9736;8315;80204;165918;58508;84181;23032;23522;57634;80311;30849;51230;80218;64682;57680;54876;51755;23067;8295;6874;5286;571;10299;905;8812;10277;8518;5422;23468;2957;2033;8453;8621;122830;10714;5469;25962;79612;284058;23269;25948;26009;80012;84893;92797;7994;80155;80314;55167;11108;55689</t>
  </si>
  <si>
    <t>KMT2D;POLR3A;REV3L;FBXO21;TAF1;KDM5A;VHL;PIK3CA;MTOR;KMT2A;NCOA6;NAA25;SUZ12;RPRD2;TAF2;UBR3;PAXIP1;USP34;BRAP;FBXO11;RNF168;KMT2C;CHD6;USP33;KAT6B;EP400;KLHL15;PIK3R4;PHF20;NAA50;ANAPC1;CHD8;DCAF16;CDK12;SETD1B;TRRAP;TAF4;PIK3C2A;BACH1;MARCH6;CCNT2;CCNK;UBE4B;ELP1;POLA1;CBX5;GTF2A1;EP300;CUL2;CDK13;NAA30;POLD3;MED1;VIRMA;NAA16;KANSL1;MGA;KBTBD2;AC118549.1;PHC3;FBH1;HELB;KAT6A;NAA15;EPC1;MSL2;PRDM4;YEATS2</t>
  </si>
  <si>
    <t>http://www.broadinstitute.org/gsea/msigdb/cards/GO_TRANSFERASE_COMPLEX.html</t>
  </si>
  <si>
    <t>GO_CATALYTIC_COMPLEX</t>
  </si>
  <si>
    <t>8085;11128;5980;9611;23014;7175;6872;5927;7428;5290;2475;4297;1778;23054;80018;23512;23248;6873;130507;22976;9736;8315;80204;165918;58508;84181;23032;57459;23522;57634;80311;30849;10940;51230;80218;64682;64426;57680;54876;51755;26523;23067;23405;8295;6874;5286;571;6801;10299;905;8812;10277;8518;5422;7528;23468;2957;2033;8453;8621;122830;10714;5469;25962;79612;91748;284058;23269;25948;26009;80012;84893;92797;7994;80155;80314;192669;55167;11108;27161;55689</t>
  </si>
  <si>
    <t>KMT2D;POLR3A;REV3L;NCOR1;FBXO21;TPR;TAF1;KDM5A;VHL;PIK3CA;MTOR;KMT2A;DYNC1H1;NCOA6;NAA25;SUZ12;RPRD2;TAF2;UBR3;PAXIP1;USP34;BRAP;FBXO11;RNF168;KMT2C;CHD6;USP33;GATAD2B;KAT6B;EP400;KLHL15;PIK3R4;POP1;PHF20;NAA50;ANAPC1;SUDS3;CHD8;DCAF16;CDK12;AGO1;SETD1B;DICER1;TRRAP;TAF4;PIK3C2A;BACH1;STRN;MARCH6;CCNT2;CCNK;UBE4B;ELP1;POLA1;YY1;CBX5;GTF2A1;EP300;CUL2;CDK13;NAA30;POLD3;MED1;VIRMA;NAA16;ELMSAN1;KANSL1;MGA;KBTBD2;AC118549.1;PHC3;FBH1;HELB;KAT6A;NAA15;EPC1;AGO3;MSL2;PRDM4;AGO2;YEATS2</t>
  </si>
  <si>
    <t>http://www.broadinstitute.org/gsea/msigdb/cards/GO_CATALYTIC_COMPLEX.html</t>
  </si>
  <si>
    <t>GO_CELL_CYCLE</t>
  </si>
  <si>
    <t>9826;9475;9611;55660;9631;7175;6651;6872;2475;5048;7182;9972;5903;5591;6711;7155;5781;6659;5062;7156;9793;1778;23160;10771;23244;26005;55183;25836;6873;26058;57551;23126;23332;23063;11064;57695;55193;57697;7840;23032;10274;7248;55914;10142;51322;80218;64682;57448;57472;9126;23637;23019;571;7514;905;8812;5116;9113;5422;6249;2932;4361;5471;2033;9897;472;8453;7159;4863;9221;463;5586;84131;9662;55320;55159;11011;57531;10735;25909;8239;10426;55743;11190;79723;23047;4848;9874;10762;23499;1788</t>
  </si>
  <si>
    <t>ARHGEF11;ROCK2;NCOR1;PRPF40A;NUP155;TPR;SON;TAF1;MTOR;PAFAH1B1;NR2C2;NUP153;RANBP2;PRKDC;SPTBN1;TOP2B;PTPN11;SOX4;PAK2;TOP3A;CKAP5;DYNC1H1;WDR43;ZMYND11;PDS5A;C2CD3;RIF1;NIPBL;TAF2;GIGYF2;TAOK1;POGZ;CLASP1;WAPL;CNTRL;USP37;PBRM1;FANCM;ALMS1;USP33;STAG1;TSC1;ERBIN;AKAP9;WAC;NAA50;ANAPC1;BIRC6;CNOT6;SMC3;RABGAP1;CNOT1;BACH1;XPO1;CCNT2;CCNK;PCNT;LATS1;POLA1;CLIP1;GSK3B;MRE11;PPAT;EP300;WASHC5;ATM;CUL2;TP53BP2;NPAT;NOLC1;ZFHX3;PKN2;CEP78;CEP135;MIS18BP1;RFWD3;TLK2;HACE1;STAG2;AHCTF1;USP9X;TUBGCP3;CHFR;CEP250;SUV39H2;PDS5B;AC092881.1;TLK1;NUP50;MACF1;DNMT3A</t>
  </si>
  <si>
    <t>http://www.broadinstitute.org/gsea/msigdb/cards/GO_CELL_CYCLE.html</t>
  </si>
  <si>
    <t>GO_ZINC_ION_BINDING</t>
  </si>
  <si>
    <t>8085;23077;26046;51366;7468;5927;7182;9972;5903;7637;9632;4297;54799;2186;7156;257218;9869;7705;10771;23352;9202;56957;6873;130507;8315;5930;80204;165918;254225;58508;80312;23032;57459;23522;89884;64324;51773;9169;51230;55628;79691;54542;55870;7750;54764;29994;200576;22992;23660;92312;23140;10299;9678;867;7528;6249;2033;6596;27332;463;55596;55159;55632;57553;57534;84295;26009;254887;80012;7994;54765;55743;11083;79723;79813;55167;51132;57786;10765;6942;26973;11176;11108;51592</t>
  </si>
  <si>
    <t>KMT2D;MYCBP2;LTN1;UBR5;NSD2;KDM5A;NR2C2;NUP153;RANBP2;ZNF84;SEC24C;KMT2A;MBTD1;BPTF;TOP3A;SHPRH;SETDB1;ZNF146;ZMYND11;UBR4;ZMYM4;OTUD7B;TAF2;UBR3;BRAP;RBBP6;FBXO11;RNF168;RNF169;KMT2C;TET1;USP33;GATAD2B;KAT6B;LHX4;NSD1;RSF1;SCAF11;PHF20;ZNF407;QTRT2;RC3H2;ASH1L;ZMYM2;ZRANB1;BAZ2B;PIKFYVE;KDM2A;ZKSCAN5;MEX3A;ZZEF1;MARCH6;PHF14;CBL;YY1;CLIP1;EP300;HLTF;ZNF638;ZFHX3;ZCCHC8;RFWD3;G2E3;MICAL3;MIB1;PHF6;AC118549.1;ZDHHC23;PHC3;KAT6A;TRIM44;CHFR;DIDO1;SUV39H2;EHMT1;MSL2;RLIM;RBAK;KDM5B;TCF20;CHORDC1;BAZ2A;PRDM4;TRIM33</t>
  </si>
  <si>
    <t>http://www.broadinstitute.org/gsea/msigdb/cards/GO_ZINC_ION_BINDING.html</t>
  </si>
  <si>
    <t>GO_PEPTIDYL_LYSINE_MODIFICATION</t>
  </si>
  <si>
    <t>8085;200424;9631;7468;7175;6872;9972;5903;7155;4297;9869;22976;165918;58508;10274;23522;64324;57634;79677;51230;29072;80218;59343;55870;23067;9126;8295;6670;2033;51742;284058;10735;80012;7994;26054;80314;79723;79813;55167;29843;9329;10762;55689;55818;8202</t>
  </si>
  <si>
    <t>KMT2D;TET3;NUP155;NSD2;TPR;TAF1;NUP153;RANBP2;TOP2B;KMT2A;SETDB1;PAXIP1;RNF168;KMT2C;STAG1;KAT6B;NSD1;EP400;SMC6;PHF20;SETD2;NAA50;SENP2;ASH1L;SETD1B;SMC3;TRRAP;SP3;EP300;ARID4B;KANSL1;STAG2;PHC3;KAT6A;SENP6;EPC1;SUV39H2;EHMT1;MSL2;SENP1;GTF3C4;NUP50;YEATS2;KDM3A;NCOA3</t>
  </si>
  <si>
    <t>http://www.broadinstitute.org/gsea/msigdb/cards/GO_PEPTIDYL_LYSINE_MODIFICATION.html</t>
  </si>
  <si>
    <t>55660;23451;6651;2475;546;9360;7156;9584;9733;11052;23001;57459;57634;91746;79677;51322;55341;59343;9774;51755;7750;23067;7514;23468;56252;4361;6670;1859;8621;4863;27332;9221;23198;463;25962;10594;55159;79882;9879;92140;204851;7994;55743;84248;64783;57703;9967</t>
  </si>
  <si>
    <t>PRPF40A;SF3B1;SON;MTOR;ATRX;PPIG;TOP3A;RBM39;SART3;CPSF6;WDFY3;GATAD2B;EP400;YTHDC1;SMC6;WAC;LSG1;SENP2;BCLAF1;CDK12;ZMYM2;SETD1B;XPO1;CBX5;YLPM1;MRE11;SP3;DYRK1A;CDK13;NPAT;ZNF638;NOLC1;PSME4;ZFHX3;VIRMA;PRPF8;RFWD3;ZC3H14;DDX46;MTDH;HIPK1;KAT6A;CHFR;FYTTD1;RBM15;CWC22;THRAP3</t>
  </si>
  <si>
    <t>GO_TRANSITION_METAL_ION_BINDING</t>
  </si>
  <si>
    <t>8085;23077;5495;26046;51366;7468;5927;7182;9972;5903;7637;9632;4297;54799;2186;7156;257218;9869;7705;10771;23352;9202;56957;6873;130507;8315;5930;80204;165918;254225;58508;80312;23032;57459;23522;89884;64324;51773;9169;51230;55628;79691;54542;55870;7750;54764;29994;200576;22992;23660;92312;23140;10299;6341;9678;867;7528;6249;4361;10914;2033;6596;27332;463;55596;55159;55632;57553;57534;84295;26009;254887;80012;7994;54765;55743;11083;79723;79813;55167;51132;57786;10765;6942;26973;11176;11108;51592;55818</t>
  </si>
  <si>
    <t>KMT2D;MYCBP2;PPM1B;LTN1;UBR5;NSD2;KDM5A;NR2C2;NUP153;RANBP2;ZNF84;SEC24C;KMT2A;MBTD1;BPTF;TOP3A;SHPRH;SETDB1;ZNF146;ZMYND11;UBR4;ZMYM4;OTUD7B;TAF2;UBR3;BRAP;RBBP6;FBXO11;RNF168;RNF169;KMT2C;TET1;USP33;GATAD2B;KAT6B;LHX4;NSD1;RSF1;SCAF11;PHF20;ZNF407;QTRT2;RC3H2;ASH1L;ZMYM2;ZRANB1;BAZ2B;PIKFYVE;KDM2A;ZKSCAN5;MEX3A;ZZEF1;MARCH6;SCO1;PHF14;CBL;YY1;CLIP1;MRE11;PAPOLA;EP300;HLTF;ZNF638;ZFHX3;ZCCHC8;RFWD3;G2E3;MICAL3;MIB1;PHF6;AC118549.1;ZDHHC23;PHC3;KAT6A;TRIM44;CHFR;DIDO1;SUV39H2;EHMT1;MSL2;RLIM;RBAK;KDM5B;TCF20;CHORDC1;BAZ2A;PRDM4;TRIM33;KDM3A</t>
  </si>
  <si>
    <t>http://www.broadinstitute.org/gsea/msigdb/cards/GO_TRANSITION_METAL_ION_BINDING.html</t>
  </si>
  <si>
    <t>GO_COVALENT_CHROMATIN_MODIFICATION</t>
  </si>
  <si>
    <t>8085;200424;7468;6872;5927;4297;23512;9869;221037;22976;9736;10075;171023;165918;58508;23522;64324;57634;51322;51230;29072;80218;64426;55870;23067;22992;8295;2005;2033;472;51742;284058;7994;2140;80314;79723;79813;55167;10765;11176;11108;9329;55689;55818;1788;8202</t>
  </si>
  <si>
    <t>KMT2D;TET3;NSD2;TAF1;KDM5A;KMT2A;SUZ12;SETDB1;JMJD1C;PAXIP1;USP34;HUWE1;ASXL1;RNF168;KMT2C;KAT6B;NSD1;EP400;WAC;PHF20;SETD2;NAA50;SUDS3;ASH1L;SETD1B;KDM2A;TRRAP;ELK4;EP300;ATM;ARID4B;KANSL1;KAT6A;EYA3;EPC1;SUV39H2;EHMT1;MSL2;KDM5B;BAZ2A;PRDM4;GTF3C4;YEATS2;KDM3A;DNMT3A;NCOA3</t>
  </si>
  <si>
    <t>http://www.broadinstitute.org/gsea/msigdb/cards/GO_COVALENT_CHROMATIN_MODIFICATION.html</t>
  </si>
  <si>
    <t>GO_PEPTIDYL_AMINO_ACID_MODIFICATION</t>
  </si>
  <si>
    <t>8085;200424;9631;7468;7175;6872;2475;9972;5903;5591;7155;4297;5062;9360;80018;9869;253260;22976;11064;80204;22853;165918;58508;10274;23522;64324;57634;23049;79677;51230;29072;80218;59343;53944;55870;7750;23067;9126;8295;2932;6670;2033;6789;472;1859;122830;5586;51742;79612;284058;11011;10735;80012;7994;80155;26054;80314;79723;79813;55167;29843;11108;9329;10762;55689;55818;8202</t>
  </si>
  <si>
    <t>KMT2D;TET3;NUP155;NSD2;TPR;TAF1;MTOR;NUP153;RANBP2;PRKDC;TOP2B;KMT2A;PAK2;PPIG;NAA25;SETDB1;RICTOR;PAXIP1;CNTRL;FBXO11;LMTK2;RNF168;KMT2C;STAG1;KAT6B;NSD1;EP400;SMG1;SMC6;PHF20;SETD2;NAA50;SENP2;CSNK1G1;ASH1L;ZMYM2;SETD1B;SMC3;TRRAP;GSK3B;SP3;EP300;STK4;ATM;DYRK1A;NAA30;PKN2;ARID4B;NAA16;KANSL1;TLK2;STAG2;PHC3;KAT6A;NAA15;SENP6;EPC1;SUV39H2;EHMT1;MSL2;SENP1;PRDM4;GTF3C4;NUP50;YEATS2;KDM3A;NCOA3</t>
  </si>
  <si>
    <t>http://www.broadinstitute.org/gsea/msigdb/cards/GO_PEPTIDYL_AMINO_ACID_MODIFICATION.html</t>
  </si>
  <si>
    <t>8085;9044;10526;10236;9139;9611;9631;7468;7175;5451;5927;7428;546;9972;5903;100381270;2186;6433;3609;23512;10771;56957;25836;26058;171023;165918;57459;23522;7248;64324;55914;51773;64426;57690;57680;9774;11244;26523;57472;23405;23019;10915;571;7514;9678;3096;7559;7528;2005;2117;23468;8087;9513;6670;2551;2033;1859;93;9698;23181;5469;463;79882;92140;27327;22849;6601;7994;8239;5814;64783;23013;80314;79723;79813;192669;58487;51132;57786;4848;10765;9969;11176;27161;10762;55689;51592;23112;7707;1788</t>
  </si>
  <si>
    <t>KMT2D;BTAF1;IPO8;HNRNPR;CBFA2T2;NCOR1;NUP155;NSD2;TPR;POU2F1;KDM5A;VHL;ATRX;NUP153;RANBP2;ZBED6;BPTF;SFSWAP;ILF3;SUZ12;ZMYND11;OTUD7B;NIPBL;GIGYF2;ASXL1;RNF168;GATAD2B;KAT6B;TSC1;NSD1;ERBIN;RSF1;SUDS3;TNRC6C;CHD8;BCLAF1;ZHX1;AGO1;CNOT6;DICER1;CNOT1;TCERG1;BACH1;XPO1;PHF14;HIVEP1;ZNF12;YY1;ELK4;ETV3;CBX5;FXR1;FXR2;SP3;GABPA;EP300;DYRK1A;ACVR2B;PUM1;DIP2A;MED1;ZFHX3;ZC3H14;MTDH;TNRC6A;CPEB3;SMARCC2;KAT6A;USP9X;PURB;RBM15;SPEN;EPC1;SUV39H2;EHMT1;AGO3;CREBZF;RLIM;RBAK;AC092881.1;KDM5B;MED13;BAZ2A;AGO2;NUP50;YEATS2;TRIM33;TNRC6B;ZNF148;DNMT3A</t>
  </si>
  <si>
    <t>GO_CELL_CYCLE_PROCESS</t>
  </si>
  <si>
    <t>9826;9475;9611;9631;7175;6651;2475;5048;9972;5903;5591;6711;7155;5781;6659;7156;9793;1778;23160;23244;26005;25836;6873;26058;57551;23126;23332;23063;11064;57695;55193;57697;7840;23032;10274;7248;10142;51322;80218;64682;57448;57472;9126;23019;571;7514;8812;5116;9113;5422;6249;2932;4361;5471;2033;9897;472;8453;4863;9221;463;84131;9662;55320;55159;10735;25909;8239;10426;55743;11190;23047;4848;10762;23499</t>
  </si>
  <si>
    <t>ARHGEF11;ROCK2;NCOR1;NUP155;TPR;SON;MTOR;PAFAH1B1;NUP153;RANBP2;PRKDC;SPTBN1;TOP2B;PTPN11;SOX4;TOP3A;CKAP5;DYNC1H1;WDR43;PDS5A;C2CD3;NIPBL;TAF2;GIGYF2;TAOK1;POGZ;CLASP1;WAPL;CNTRL;USP37;PBRM1;FANCM;ALMS1;USP33;STAG1;TSC1;AKAP9;WAC;NAA50;ANAPC1;BIRC6;CNOT6;SMC3;CNOT1;BACH1;XPO1;CCNK;PCNT;LATS1;POLA1;CLIP1;GSK3B;MRE11;PPAT;EP300;WASHC5;ATM;CUL2;NPAT;NOLC1;ZFHX3;CEP78;CEP135;MIS18BP1;RFWD3;STAG2;AHCTF1;USP9X;TUBGCP3;CHFR;CEP250;PDS5B;AC092881.1;NUP50;MACF1</t>
  </si>
  <si>
    <t>http://www.broadinstitute.org/gsea/msigdb/cards/GO_CELL_CYCLE_PROCESS.html</t>
  </si>
  <si>
    <t>11128;4976;9475;9611;51366;7175;673;5927;2475;5048;546;3192;6711;4297;6093;9793;1778;9320;9733;9869;255967;25836;253260;22976;57551;23332;23063;10075;23293;80312;7840;55023;7248;9711;9712;64324;84079;6311;85459;80351;170506;54552;54454;57472;9126;200576;23637;23019;7514;8867;5116;9113;2876;6249;10128;2932;4361;10093;2033;9897;11214;472;7159;8621;22930;54832;11011;26146;10426;84260;11190;26054;4848;26973;9874;55818;253725;4216</t>
  </si>
  <si>
    <t>POLR3A;OPA1;ROCK2;NCOR1;UBR5;TPR;BRAF;KDM5A;MTOR;PAFAH1B1;ATRX;HNRNPU;SPTBN1;KMT2A;ROCK1;CKAP5;DYNC1H1;TRIP12;SART3;SETDB1;PAN3;NIPBL;RICTOR;PAXIP1;TAOK1;CLASP1;WAPL;HUWE1;SMG6;TET1;ALMS1;PHIP;TSC1;RUBCN;USP6NL;NSD1;ANKRD27;ATXN2;CEP295;TNKS2;DHX36;GNL3L;ATAD2B;CNOT6;SMC3;PIKFYVE;RABGAP1;CNOT1;XPO1;SYNJ1;PCNT;LATS1;GPX1;CLIP1;LRPPRC;GSK3B;MRE11;ARPC4;EP300;WASHC5;AKAP13;ATM;TP53BP2;CDK13;RAB3GAP1;VPS13C;TLK2;TRAF3IP1;TUBGCP3;TCHP;CEP250;SENP6;AC092881.1;CHORDC1;TLK1;KDM3A;WASHC2C;MAP3K4</t>
  </si>
  <si>
    <t>23347;9044;9475;673;6872;1656;3799;5981;5290;2475;9931;546;5591;3192;7155;1660;5062;6093;8899;1778;9790;257218;22848;255967;375748;90957;57551;23064;55728;22853;57697;166378;84181;57634;23049;79677;10730;30849;170506;79572;57680;53944;23195;51755;54454;23405;9126;200576;23132;9693;5286;1106;317;23095;10277;9113;4140;2932;10914;51182;6789;472;1859;93;8621;6596;9221;5586;80205;388228;79707;347240;9879;55605;11011;204851;2074;84893;92797;56652;79646;9188;23047;55636;26973;9874;23200;9967;4216</t>
  </si>
  <si>
    <t>SMCHD1;BTAF1;ROCK2;BRAF;TAF1;DDX6;KIF5B;RFC1;PIK3CA;MTOR;HELZ;ATRX;PRKDC;HNRNPU;TOP2B;DHX9;PAK2;ROCK1;PRPF4B;DYNC1H1;BMS1;SHPRH;AAK1;PAN3;ERCC6L2;DHX57;TAOK1;SETX;N4BP2;LMTK2;FANCM;SPATA5;CHD6;EP400;SMG1;SMC6;YME1L1;PIK3R4;DHX36;ATP13A3;CHD8;CSNK1G1;MDN1;CDK12;ATAD2B;DICER1;SMC3;PIKFYVE;RAD54L2;RAPGEF2;PIK3C2A;CHD2;APAF1;KIF1B;UBE4B;LATS1;MARK3;GSK3B;PAPOLA;HSPA14;STK4;ATM;DYRK1A;ACVR2B;CDK13;HLTF;NOLC1;PKN2;CHD9;SBK1;NOL9;KIF24;DDX46;KIF21A;TLK2;HIPK1;ERCC6;FBH1;HELB;TWNK;PANK3;DDX21;PDS5B;CHD7;CHORDC1;TLK1;ATP11B;THRAP3;MAP3K4</t>
  </si>
  <si>
    <t>11128;9681;26057;9611;7468;7175;5451;5927;3799;2475;5048;546;9972;3192;7155;4297;5781;23054;23512;9869;8019;23160;10771;22848;9857;25836;6873;253260;23332;55193;23293;57697;165918;254225;10274;55023;57459;23522;64324;57634;55914;51322;57680;55870;26523;54454;9126;6801;23095;905;11168;51585;8518;5422;2005;6249;10128;23468;2932;10093;6670;2551;2033;472;8453;93;5469;139285;157922;347240;79612;55605;84295;2074;22849;6601;26146;10985;10426;79048;80155;55636;27161;23499;1788</t>
  </si>
  <si>
    <t>POLR3A;DEPDC5;ANKRD17;NCOR1;NSD2;TPR;POU2F1;KDM5A;KIF5B;MTOR;PAFAH1B1;ATRX;NUP153;HNRNPU;TOP2B;KMT2A;PTPN11;NCOA6;SUZ12;SETDB1;BRD3;WDR43;ZMYND11;AAK1;CEP350;NIPBL;TAF2;RICTOR;CLASP1;PBRM1;SMG6;FANCM;RNF168;RNF169;STAG1;PHIP;GATAD2B;KAT6B;NSD1;EP400;ERBIN;WAC;CHD8;ASH1L;AGO1;ATAD2B;SMC3;STRN;KIF1B;CCNT2;PSIP1;PCF11;ELP1;POLA1;ELK4;CLIP1;LRPPRC;CBX5;GSK3B;ARPC4;SP3;GABPA;EP300;ATM;CUL2;ACVR2B;MED1;AMER1;CAMSAP1;KIF24;NAA16;KIF21A;PHF6;ERCC6;CPEB3;SMARCC2;TRAF3IP1;GCN1;TUBGCP3;SECISBP2;NAA15;CHD7;AGO2;MACF1;DNMT3A</t>
  </si>
  <si>
    <t>GO_CELLULAR_RESPONSE_TO_DNA_DAMAGE_STIMULUS</t>
  </si>
  <si>
    <t>5980;51366;7468;6872;5981;2475;546;5591;5781;6659;7156;9320;23054;257218;375748;55183;25836;26058;22976;57551;23064;56946;5930;10075;57697;165918;254225;259282;23049;79677;51322;29072;57472;9126;22992;8295;23019;1106;571;8812;5422;7528;4361;2033;472;6596;23198;10714;55159;11011;204851;2074;84893;92797;64421;2140;9923;4848;51455;9874</t>
  </si>
  <si>
    <t>REV3L;UBR5;NSD2;TAF1;RFC1;MTOR;ATRX;PRKDC;PTPN11;SOX4;TOP3A;TRIP12;NCOA6;SHPRH;ERCC6L2;RIF1;NIPBL;GIGYF2;PAXIP1;TAOK1;SETX;EMSY;RBBP6;HUWE1;FANCM;RNF168;RNF169;BOD1L1;SMG1;SMC6;WAC;SETD2;CNOT6;SMC3;KDM2A;TRRAP;CNOT1;CHD2;BACH1;CCNK;POLA1;YY1;MRE11;EP300;ATM;HLTF;PSME4;POLD3;RFWD3;TLK2;HIPK1;ERCC6;FBH1;HELB;DCLRE1C;EYA3;ZBTB40;AC092881.1;REV1;TLK1</t>
  </si>
  <si>
    <t>http://www.broadinstitute.org/gsea/msigdb/cards/GO_CELLULAR_RESPONSE_TO_DNA_DAMAGE_STIMULUS.html</t>
  </si>
  <si>
    <t>10236;5980;27340;5927;9972;5591;100381270;6711;7155;1660;2802;3609;8661;9790;23512;23160;7705;387680;23064;5930;23293;80204;23185;10940;9169;64397;23195;54552;9774;51755;22992;1106;10915;7514;11168;8518;5422;4763;23468;8087;8453;9816;6596;22984;9221;5469;463;79707;27042;79882;55632;92140;84295;26009;2074;10735;7994;55127;9188;54014;55636;11176;9904;253725</t>
  </si>
  <si>
    <t>HNRNPR;REV3L;UTP20;KDM5A;NUP153;PRKDC;ZBED6;SPTBN1;TOP2B;DHX9;GOLGA3;ILF3;EIF3A;BMS1;SUZ12;WDR43;ZNF146;WASHC2A;SETX;RBBP6;SMG6;FBXO11;LARP4B;POP1;SCAF11;ZNF106;MDN1;GNL3L;BCLAF1;CDK12;KDM2A;CHD2;TCERG1;XPO1;PSIP1;ELP1;POLA1;NF1;CBX5;FXR1;CUL2;URB2;HLTF;PDCD11;NOLC1;MED1;ZFHX3;NOL9;UTP25;ZC3H14;G2E3;MTDH;PHF6;AC118549.1;ERCC6;STAG2;KAT6A;HEATR1;DDX21;BRWD1;CHD7;BAZ2A;RBM19;WASHC2C</t>
  </si>
  <si>
    <t>http://www.broadinstitute.org/gsea/msigdb/cards/GO_NUCLEOLUS.html</t>
  </si>
  <si>
    <t>GO_CELLULAR_RESPONSE_TO_STRESS</t>
  </si>
  <si>
    <t>4976;5980;9681;51366;7468;7175;6872;405;5981;7428;5290;2475;546;7182;5591;5781;6659;7156;9320;23054;257218;375748;55183;25836;26058;22976;57551;23064;56946;5930;10075;57697;165918;254225;259282;84181;23032;23049;79677;30849;51322;29072;9774;57472;9126;22992;8295;23019;1106;317;571;10299;8812;10897;10277;2876;5422;4763;7528;2932;4361;2033;472;8453;6596;23198;10714;55432;23392;22850;55159;11011;204851;2074;84893;92797;10985;7994;64421;2140;79723;9923;4848;440193;51455;9874;1788</t>
  </si>
  <si>
    <t>OPA1;REV3L;DEPDC5;UBR5;NSD2;TPR;TAF1;ARNT;RFC1;VHL;PIK3CA;MTOR;ATRX;NR2C2;PRKDC;PTPN11;SOX4;TOP3A;TRIP12;NCOA6;SHPRH;ERCC6L2;RIF1;NIPBL;GIGYF2;PAXIP1;TAOK1;SETX;EMSY;RBBP6;HUWE1;FANCM;RNF168;RNF169;BOD1L1;CHD6;USP33;SMG1;SMC6;PIK3R4;WAC;SETD2;BCLAF1;CNOT6;SMC3;KDM2A;TRRAP;CNOT1;CHD2;APAF1;BACH1;MARCH6;CCNK;YIF1A;UBE4B;GPX1;POLA1;NF1;YY1;GSK3B;MRE11;EP300;ATM;CUL2;HLTF;PSME4;POLD3;YOD1;ECPAS;ADNP2;RFWD3;TLK2;HIPK1;ERCC6;FBH1;HELB;GCN1;KAT6A;DCLRE1C;EYA3;SUV39H2;ZBTB40;AC092881.1;CCDC88C;REV1;TLK1;DNMT3A</t>
  </si>
  <si>
    <t>http://www.broadinstitute.org/gsea/msigdb/cards/GO_CELLULAR_RESPONSE_TO_STRESS.html</t>
  </si>
  <si>
    <t>GO_MITOTIC_CELL_CYCLE</t>
  </si>
  <si>
    <t>9631;7175;5048;9972;5903;5591;6711;7155;5781;6659;5062;9793;1778;23160;23244;25836;6873;26058;23126;23332;23063;11064;57695;55193;7840;10274;10142;80218;64682;57448;57472;9126;23019;571;8812;5116;9113;5422;6249;4361;5471;2033;472;8453;4863;9221;84131;9662;55320;55159;10735;8239;10426;55743;11190;23047;4848;10762;1788</t>
  </si>
  <si>
    <t>NUP155;TPR;PAFAH1B1;NUP153;RANBP2;PRKDC;SPTBN1;TOP2B;PTPN11;SOX4;PAK2;CKAP5;DYNC1H1;WDR43;PDS5A;NIPBL;TAF2;GIGYF2;POGZ;CLASP1;WAPL;CNTRL;USP37;PBRM1;ALMS1;STAG1;AKAP9;NAA50;ANAPC1;BIRC6;CNOT6;SMC3;CNOT1;BACH1;CCNK;PCNT;LATS1;POLA1;CLIP1;MRE11;PPAT;EP300;ATM;CUL2;NPAT;NOLC1;CEP78;CEP135;MIS18BP1;RFWD3;STAG2;USP9X;TUBGCP3;CHFR;CEP250;PDS5B;AC092881.1;NUP50;DNMT3A</t>
  </si>
  <si>
    <t>http://www.broadinstitute.org/gsea/msigdb/cards/GO_MITOTIC_CELL_CYCLE.html</t>
  </si>
  <si>
    <t>8085;9826;200424;9139;9475;9611;23451;673;6872;405;5927;7428;2475;546;7182;5591;3192;4297;6659;2186;3609;23054;4520;25836;6873;22976;55252;23064;171023;57492;80312;84181;10274;55023;23522;23185;8880;64324;51773;51322;170506;59343;57690;57680;55870;9774;26523;54454;23019;6874;571;23036;905;23633;11168;8812;2932;6670;10153;2551;2033;4863;6596;22930;5469;463;4899;51742;79612;92140;2074;22849;6601;10985;7994;64783;80155;80314;55127;9188;29843;10765;6942;9969;27161;23112;7707;9967;55818;8202</t>
  </si>
  <si>
    <t>KMT2D;ARHGEF11;TET3;CBFA2T2;ROCK2;NCOR1;SF3B1;BRAF;TAF1;ARNT;KDM5A;VHL;MTOR;ATRX;NR2C2;PRKDC;HNRNPU;KMT2A;SOX4;BPTF;ILF3;NCOA6;MTF1;NIPBL;TAF2;PAXIP1;ASXL2;SETX;ASXL1;ARID1B;TET1;CHD6;STAG1;PHIP;KAT6B;LARP4B;FUBP1;NSD1;RSF1;WAC;DHX36;SENP2;TNRC6C;CHD8;ASH1L;BCLAF1;AGO1;ATAD2B;CNOT1;TAF4;BACH1;ZNF292;CCNT2;KPNA6;PSIP1;CCNK;GSK3B;SP3;CEBPZ;GABPA;EP300;NPAT;HLTF;RAB3GAP1;MED1;ZFHX3;NRF1;ARID4B;NAA16;MTDH;ERCC6;CPEB3;SMARCC2;GCN1;KAT6A;RBM15;NAA15;EPC1;HEATR1;DDX21;SENP1;KDM5B;TCF20;MED13;AGO2;TNRC6B;ZNF148;THRAP3;KDM3A;NCOA3</t>
  </si>
  <si>
    <t>GO_CHROMATIN_BINDING</t>
  </si>
  <si>
    <t>11128;26057;9611;7468;7175;5451;5927;546;9972;7155;4297;23054;23512;9869;8019;10771;25836;6873;55193;57697;165918;254225;10274;57459;64324;57634;51322;57680;55870;54454;9126;905;11168;5422;2005;23468;6670;2551;2033;5469;2074;6601;55636;1788</t>
  </si>
  <si>
    <t>POLR3A;ANKRD17;NCOR1;NSD2;TPR;POU2F1;KDM5A;ATRX;NUP153;TOP2B;KMT2A;NCOA6;SUZ12;SETDB1;BRD3;ZMYND11;NIPBL;TAF2;PBRM1;FANCM;RNF168;RNF169;STAG1;GATAD2B;NSD1;EP400;WAC;CHD8;ASH1L;ATAD2B;SMC3;CCNT2;PSIP1;POLA1;ELK4;CBX5;SP3;GABPA;EP300;MED1;ERCC6;SMARCC2;CHD7;DNMT3A</t>
  </si>
  <si>
    <t>http://www.broadinstitute.org/gsea/msigdb/cards/GO_CHROMATIN_BINDING.html</t>
  </si>
  <si>
    <t>GO_DNA_METABOLIC_PROCESS</t>
  </si>
  <si>
    <t>200424;8888;5980;51366;7468;5981;2475;546;3836;5591;7155;4297;7156;9320;23054;257218;375748;55183;22976;57551;23064;56946;5930;10075;23293;57697;165918;259282;80312;57459;23049;79677;29072;23405;9126;22992;8295;571;5422;7528;4361;2033;472;6596;23198;10714;55159;2074;84893;92797;56652;64421;2140;79813;51455;11176;1788</t>
  </si>
  <si>
    <t>TET3;MCM3AP;REV3L;UBR5;NSD2;RFC1;MTOR;ATRX;KPNA1;PRKDC;TOP2B;KMT2A;TOP3A;TRIP12;NCOA6;SHPRH;ERCC6L2;RIF1;PAXIP1;TAOK1;SETX;EMSY;RBBP6;HUWE1;SMG6;FANCM;RNF168;BOD1L1;TET1;GATAD2B;SMG1;SMC6;SETD2;DICER1;SMC3;KDM2A;TRRAP;BACH1;POLA1;YY1;MRE11;EP300;ATM;HLTF;PSME4;POLD3;RFWD3;ERCC6;FBH1;HELB;TWNK;DCLRE1C;EYA3;EHMT1;REV1;BAZ2A;DNMT3A</t>
  </si>
  <si>
    <t>http://www.broadinstitute.org/gsea/msigdb/cards/GO_DNA_METABOLIC_PROCESS.html</t>
  </si>
  <si>
    <t>23347;9044;4976;9475;673;6872;1656;3799;5981;5290;2475;9931;546;5591;3192;7155;1660;5062;6093;8899;1778;9790;257218;22848;255967;375748;90957;57551;23064;55728;22853;57697;166378;84181;57634;23049;85476;79677;10730;30849;55341;170506;79572;57680;53944;23195;54552;51755;54454;23405;9126;200576;23132;9693;5286;1106;317;23095;10277;9113;4140;2932;10914;51182;6789;472;1859;93;8621;6596;9221;5586;80205;388228;79707;347240;9879;55605;11011;204851;2074;84893;92797;56652;79646;9188;23047;55636;26973;9874;23200;9967;4216</t>
  </si>
  <si>
    <t>SMCHD1;BTAF1;OPA1;ROCK2;BRAF;TAF1;DDX6;KIF5B;RFC1;PIK3CA;MTOR;HELZ;ATRX;PRKDC;HNRNPU;TOP2B;DHX9;PAK2;ROCK1;PRPF4B;DYNC1H1;BMS1;SHPRH;AAK1;PAN3;ERCC6L2;DHX57;TAOK1;SETX;N4BP2;LMTK2;FANCM;SPATA5;CHD6;EP400;SMG1;GFM1;SMC6;YME1L1;PIK3R4;LSG1;DHX36;ATP13A3;CHD8;CSNK1G1;MDN1;GNL3L;CDK12;ATAD2B;DICER1;SMC3;PIKFYVE;RAD54L2;RAPGEF2;PIK3C2A;CHD2;APAF1;KIF1B;UBE4B;LATS1;MARK3;GSK3B;PAPOLA;HSPA14;STK4;ATM;DYRK1A;ACVR2B;CDK13;HLTF;NOLC1;PKN2;CHD9;SBK1;NOL9;KIF24;DDX46;KIF21A;TLK2;HIPK1;ERCC6;FBH1;HELB;TWNK;PANK3;DDX21;PDS5B;CHD7;CHORDC1;TLK1;ATP11B;THRAP3;MAP3K4</t>
  </si>
  <si>
    <t>10236;9475;55660;23451;27340;1656;3192;1660;3609;8899;8661;9733;11052;255967;57532;23293;23369;23185;10940;6311;51322;54542;54552;26523;23405;92312;23019;7514;10128;2932;8087;9513;51182;1859;9698;22984;122830;27042;55596;10594;26065;27327;22849;92797;10985;79048;55094;55127;192669;57703;55802;4848;27161;22828;23112</t>
  </si>
  <si>
    <t>HNRNPR;ROCK2;PRPF40A;SF3B1;UTP20;DDX6;HNRNPU;DHX9;ILF3;PRPF4B;EIF3A;SART3;CPSF6;PAN3;NUFIP2;SMG6;PUM2;LARP4B;POP1;ATXN2;WAC;RC3H2;GNL3L;AGO1;DICER1;MEX3A;CNOT1;XPO1;LRPPRC;GSK3B;FXR1;FXR2;HSPA14;DYRK1A;PUM1;PDCD11;NAA30;UTP25;ZCCHC8;PRPF8;LSM14A;TNRC6A;CPEB3;HELB;GCN1;SECISBP2;GPATCH1;HEATR1;AGO3;CWC22;DCP1A;AC092881.1;AGO2;SCAF8;TNRC6B</t>
  </si>
  <si>
    <t>10236;8672;9611;7175;1656;2475;3192;6659;1660;3609;8661;26058;23369;7248;23185;3842;6311;54542;57690;26523;57472;23405;23019;7514;10128;8087;9513;2033;9698;23198;79882;54464;26065;27327;22849;10985;79048;192669;55802;4848;27161;23112;9967</t>
  </si>
  <si>
    <t>HNRNPR;EIF4G3;NCOR1;TPR;DDX6;MTOR;HNRNPU;SOX4;DHX9;ILF3;EIF3A;GIGYF2;PUM2;TSC1;LARP4B;TNPO1;ATXN2;RC3H2;TNRC6C;AGO1;CNOT6;DICER1;CNOT1;XPO1;LRPPRC;FXR1;FXR2;EP300;PUM1;PSME4;ZC3H14;XRN1;LSM14A;TNRC6A;CPEB3;GCN1;SECISBP2;AGO3;DCP1A;AC092881.1;AGO2;TNRC6B;THRAP3</t>
  </si>
  <si>
    <t>http://www.broadinstitute.org/gsea/msigdb/cards/GO_POSTTRANSCRIPTIONAL_REGULATION_OF_GENE_EXPRESSION.html</t>
  </si>
  <si>
    <t>GO_HELICASE_ACTIVITY</t>
  </si>
  <si>
    <t>9044;1656;9931;546;1660;257218;375748;90957;23064;57697;84181;57634;170506;57680;23405;23132;1106;4361;6596;80205;9879;2074;84893;92797;56652;9188;55636</t>
  </si>
  <si>
    <t>BTAF1;DDX6;HELZ;ATRX;DHX9;SHPRH;ERCC6L2;DHX57;SETX;FANCM;CHD6;EP400;DHX36;CHD8;DICER1;RAD54L2;CHD2;MRE11;HLTF;CHD9;DDX46;ERCC6;FBH1;HELB;TWNK;DDX21;CHD7</t>
  </si>
  <si>
    <t>http://www.broadinstitute.org/gsea/msigdb/cards/GO_HELICASE_ACTIVITY.html</t>
  </si>
  <si>
    <t>GO_MICROTUBULE_CYTOSKELETON</t>
  </si>
  <si>
    <t>9475;9611;7175;3799;5048;5903;1660;6093;9793;1778;9584;23160;26005;23352;375748;55183;9857;23332;23063;5930;11064;25914;7840;23032;28981;57679;10142;85459;80351;57448;22852;9126;23637;8867;23095;10897;5116;9113;7559;6249;10128;2932;472;5586;84131;157922;347240;23392;9662;55671;145508;55605;57534;79598;26146;10426;55342;2140;10198;84260;11083;11190;9786;55689;23499</t>
  </si>
  <si>
    <t>ROCK2;NCOR1;TPR;KIF5B;PAFAH1B1;RANBP2;DHX9;ROCK1;CKAP5;DYNC1H1;RBM39;WDR43;C2CD3;UBR4;ERCC6L2;RIF1;CEP350;CLASP1;WAPL;RBBP6;CNTRL;RTTN;ALMS1;USP33;IFT81;ALS2;AKAP9;CEP295;TNKS2;BIRC6;ANKRD26;SMC3;RABGAP1;SYNJ1;KIF1B;YIF1A;PCNT;LATS1;ZNF12;CLIP1;LRPPRC;GSK3B;ATM;PKN2;CEP78;CAMSAP1;KIF24;ECPAS;CEP135;PPP4R3A;CEP128;KIF21A;MIB1;CEP97;TRAF3IP1;TUBGCP3;STRBP;EYA3;MPHOSPH9;TCHP;DIDO1;CEP250;KIAA0586;YEATS2;MACF1</t>
  </si>
  <si>
    <t>http://www.broadinstitute.org/gsea/msigdb/cards/GO_MICROTUBULE_CYTOSKELETON.html</t>
  </si>
  <si>
    <t>GO_MICROTUBULE_ORGANIZING_CENTER</t>
  </si>
  <si>
    <t>9475;3799;5048;1660;6093;9793;1778;9584;23160;26005;23352;375748;9857;23332;5930;11064;25914;7840;23032;28981;57679;10142;85459;80351;57448;22852;23637;10897;5116;9113;7559;6249;2932;5586;84131;347240;23392;9662;55671;145508;57534;79598;26146;10426;2140;10198;84260;11190;9786</t>
  </si>
  <si>
    <t>ROCK2;KIF5B;PAFAH1B1;DHX9;ROCK1;CKAP5;DYNC1H1;RBM39;WDR43;C2CD3;UBR4;ERCC6L2;CEP350;CLASP1;RBBP6;CNTRL;RTTN;ALMS1;USP33;IFT81;ALS2;AKAP9;CEP295;TNKS2;BIRC6;ANKRD26;RABGAP1;YIF1A;PCNT;LATS1;ZNF12;CLIP1;GSK3B;PKN2;CEP78;KIF24;ECPAS;CEP135;PPP4R3A;CEP128;MIB1;CEP97;TRAF3IP1;TUBGCP3;EYA3;MPHOSPH9;TCHP;CEP250;KIAA0586</t>
  </si>
  <si>
    <t>http://www.broadinstitute.org/gsea/msigdb/cards/GO_MICROTUBULE_ORGANIZING_CENTER.html</t>
  </si>
  <si>
    <t>GO_PROTEIN_UBIQUITINATION</t>
  </si>
  <si>
    <t>23077;26046;23328;23014;51366;7428;9320;257218;23512;8925;23352;130507;89910;8315;5930;10075;80204;165918;254225;80311;51322;64682;80351;54542;57448;54876;26190;571;9870;10299;10277;867;7174;8453;6596;23198;5469;55159;55632;57534;25948;57531;84893;55743;55167;56995;51132;25831;51592</t>
  </si>
  <si>
    <t>MYCBP2;LTN1;SASH1;FBXO21;UBR5;VHL;TRIP12;SHPRH;SUZ12;HERC1;UBR4;UBR3;UBE3B;BRAP;RBBP6;HUWE1;FBXO11;RNF168;RNF169;KLHL15;WAC;ANAPC1;TNKS2;RC3H2;BIRC6;DCAF16;FBXW2;BACH1;AREL1;MARCH6;UBE4B;CBL;TPP2;CUL2;HLTF;PSME4;MED1;RFWD3;G2E3;MIB1;KBTBD2;HACE1;FBH1;CHFR;MSL2;TULP4;RLIM;HECTD1;TRIM33</t>
  </si>
  <si>
    <t>http://www.broadinstitute.org/gsea/msigdb/cards/GO_PROTEIN_UBIQUITINATION.html</t>
  </si>
  <si>
    <t>10236;9877;55660;23451;6651;1656;3192;1660;6433;8899;9584;9733;11052;255967;23064;23293;91746;23049;9169;51755;26523;57472;23019;11168;51585;10914;472;8621;22984;25962;55596;10594;9879;54464;92797;9887;64783;23013;55094;192669;26019;57703;55802;4848;53981;27161;22828;9967</t>
  </si>
  <si>
    <t>HNRNPR;ZC3H11A;PRPF40A;SF3B1;SON;DDX6;HNRNPU;DHX9;SFSWAP;PRPF4B;RBM39;SART3;CPSF6;PAN3;SETX;SMG6;YTHDC1;SMG1;SCAF11;CDK12;AGO1;CNOT6;CNOT1;PSIP1;PCF11;PAPOLA;ATM;CDK13;PDCD11;VIRMA;ZCCHC8;PRPF8;DDX46;XRN1;HELB;SMG7;RBM15;SPEN;GPATCH1;AGO3;UPF2;CWC22;DCP1A;AC092881.1;CPSF2;AGO2;SCAF8;THRAP3</t>
  </si>
  <si>
    <t>23014;51366;1656;2475;3836;9320;255967;23352;56957;130507;9736;89910;5930;10075;57695;23293;80204;165918;23032;80311;23049;10730;30849;10940;64682;54764;26523;57472;23358;23405;23019;9870;10299;10277;867;2932;64854;472;8453;23198;139285;55432;23392;84196;57531;54464;84669;84893;9887;8239;55743;192669;84132;26019;55802;51132;4848;25831;9967</t>
  </si>
  <si>
    <t>FBXO21;UBR5;DDX6;MTOR;KPNA1;TRIP12;PAN3;UBR4;OTUD7B;UBR3;USP34;UBE3B;RBBP6;HUWE1;USP37;SMG6;FBXO11;RNF168;USP33;KLHL15;SMG1;YME1L1;PIK3R4;POP1;ANAPC1;ZRANB1;AGO1;CNOT6;USP24;DICER1;CNOT1;AREL1;MARCH6;UBE4B;CBL;GSK3B;USP46;ATM;CUL2;PSME4;AMER1;YOD1;ECPAS;USP48;HACE1;XRN1;USP32;FBH1;SMG7;USP9X;CHFR;AGO3;USP42;UPF2;DCP1A;RLIM;AC092881.1;HECTD1;THRAP3</t>
  </si>
  <si>
    <t>http://www.broadinstitute.org/gsea/msigdb/cards/GO_MACROMOLECULE_CATABOLIC_PROCESS.html</t>
  </si>
  <si>
    <t>GO_DNA_REPAIR</t>
  </si>
  <si>
    <t>5980;51366;7468;5981;2475;546;5591;7156;9320;23054;257218;375748;55183;22976;57551;23064;56946;10075;57697;165918;259282;23049;79677;29072;9126;22992;8295;571;5422;7528;4361;2033;472;6596;23198;10714;55159;2074;84893;64421;2140;51455</t>
  </si>
  <si>
    <t>REV3L;UBR5;NSD2;RFC1;MTOR;ATRX;PRKDC;TOP3A;TRIP12;NCOA6;SHPRH;ERCC6L2;RIF1;PAXIP1;TAOK1;SETX;EMSY;HUWE1;FANCM;RNF168;BOD1L1;SMG1;SMC6;SETD2;SMC3;KDM2A;TRRAP;BACH1;POLA1;YY1;MRE11;EP300;ATM;HLTF;PSME4;POLD3;RFWD3;ERCC6;FBH1;DCLRE1C;EYA3;REV1</t>
  </si>
  <si>
    <t>http://www.broadinstitute.org/gsea/msigdb/cards/GO_DNA_REPAIR.html</t>
  </si>
  <si>
    <t>10526;9475;9611;23328;26043;7175;673;7428;2475;5048;9972;5903;2969;5591;6711;7155;5781;5062;6093;23054;4520;257218;9733;25836;253260;57695;23293;23032;9712;3842;85440;84079;57679;79677;51322;80351;170506;64426;51479;7750;26523;23637;7514;6801;10299;905;8812;51585;10277;8518;9113;5422;867;2117;10128;23468;2932;4301;55014;10093;2033;11214;8453;6596;22930;23527;463;5586;55291;55432;54887;57553;84295;57531;23299;9887;10985;55705;56652;11190;11108;27161;10762;22828</t>
  </si>
  <si>
    <t>IPO8;ROCK2;NCOR1;SASH1;UBXN7;TPR;BRAF;VHL;MTOR;PAFAH1B1;NUP153;RANBP2;GTF2I;PRKDC;SPTBN1;TOP2B;PTPN11;PAK2;ROCK1;NCOA6;MTF1;SHPRH;SART3;NIPBL;RICTOR;USP37;SMG6;USP33;USP6NL;TNPO1;DOCK7;ANKRD27;ALS2;SMC6;WAC;TNKS2;DHX36;SUDS3;ANKFY1;ZMYM2;AGO1;RABGAP1;XPO1;STRN;MARCH6;CCNT2;CCNK;PCF11;UBE4B;ELP1;LATS1;POLA1;CBL;ETV3;LRPPRC;CBX5;GSK3B;AFDN;STX17;ARPC4;EP300;AKAP13;CUL2;HLTF;RAB3GAP1;ACAP2;ZFHX3;PKN2;PPP6R3;YOD1;UHRF1BP1;MICAL3;PHF6;HACE1;BICD2;SMG7;GCN1;IPO9;TWNK;CEP250;PRDM4;AGO2;NUP50;SCAF8</t>
  </si>
  <si>
    <t>55660;23451;6651;9360;9584;9733;57459;57634;91746;79677;51322;9774;51755;23067;56252;1859;8621;27332;23198;25962;10594;79882;9879;204851;84248;64783;57703;9967</t>
  </si>
  <si>
    <t>PRPF40A;SF3B1;SON;PPIG;RBM39;SART3;GATAD2B;EP400;YTHDC1;SMC6;WAC;BCLAF1;CDK12;SETD1B;YLPM1;DYRK1A;CDK13;ZNF638;PSME4;VIRMA;PRPF8;ZC3H14;DDX46;HIPK1;FYTTD1;RBM15;CWC22;THRAP3</t>
  </si>
  <si>
    <t>10236;9877;55660;23451;27340;6651;3192;1660;6433;9360;8899;9584;9790;9733;23160;11052;255967;90957;23064;91746;10940;9169;170506;79691;51755;26523;23405;23350;11168;51585;10914;8621;22984;27332;9221;79707;27042;25962;55596;10594;9879;92797;64783;23013;55094;83448;55127;192669;57703;9188;55636;53981;27161;22828;9967</t>
  </si>
  <si>
    <t>HNRNPR;ZC3H11A;PRPF40A;SF3B1;UTP20;SON;HNRNPU;DHX9;SFSWAP;PPIG;PRPF4B;RBM39;BMS1;SART3;WDR43;CPSF6;PAN3;DHX57;SETX;YTHDC1;POP1;SCAF11;DHX36;QTRT2;CDK12;AGO1;DICER1;U2SURP;PSIP1;PCF11;PAPOLA;CDK13;PDCD11;ZNF638;NOLC1;NOL9;UTP25;VIRMA;ZCCHC8;PRPF8;DDX46;HELB;RBM15;SPEN;GPATCH1;PUS7L;HEATR1;AGO3;CWC22;DDX21;CHD7;CPSF2;AGO2;SCAF8;THRAP3</t>
  </si>
  <si>
    <t>GO_CENTROSOME</t>
  </si>
  <si>
    <t>9475;5048;1660;6093;9793;1778;23160;26005;23352;9857;23332;11064;25914;7840;23032;28981;57679;10142;85459;80351;22852;23637;5116;7559;6249;2932;5586;84131;347240;23392;9662;145508;57534;79598;26146;10426;2140;10198;84260;11190;9786</t>
  </si>
  <si>
    <t>ROCK2;PAFAH1B1;DHX9;ROCK1;CKAP5;DYNC1H1;WDR43;C2CD3;UBR4;CEP350;CLASP1;CNTRL;RTTN;ALMS1;USP33;IFT81;ALS2;AKAP9;CEP295;TNKS2;ANKRD26;RABGAP1;PCNT;ZNF12;CLIP1;GSK3B;PKN2;CEP78;KIF24;ECPAS;CEP135;CEP128;MIB1;CEP97;TRAF3IP1;TUBGCP3;EYA3;MPHOSPH9;TCHP;CEP250;KIAA0586</t>
  </si>
  <si>
    <t>http://www.broadinstitute.org/gsea/msigdb/cards/GO_CENTROSOME.html</t>
  </si>
  <si>
    <t>8085;9826;200424;9139;9611;6872;405;5927;7428;2475;546;7182;5591;4297;6659;2186;3609;23054;4520;25836;6873;22976;55252;23064;171023;57492;80312;84181;10274;55023;23522;23185;64324;51773;51322;80351;170506;59343;57680;55870;9774;26523;54454;6874;571;23036;905;23633;11168;8812;4763;2932;6670;10153;2551;2033;472;4863;6596;22930;5469;463;4899;51742;79612;92140;2074;22849;6601;10985;7994;64783;80155;80314;55127;29843;6942;9969;27161;7707;9967;55818;8202;4216</t>
  </si>
  <si>
    <t>KMT2D;ARHGEF11;TET3;CBFA2T2;NCOR1;TAF1;ARNT;KDM5A;VHL;MTOR;ATRX;NR2C2;PRKDC;KMT2A;SOX4;BPTF;ILF3;NCOA6;MTF1;NIPBL;TAF2;PAXIP1;ASXL2;SETX;ASXL1;ARID1B;TET1;CHD6;STAG1;PHIP;KAT6B;LARP4B;NSD1;RSF1;WAC;TNKS2;DHX36;SENP2;CHD8;ASH1L;BCLAF1;AGO1;ATAD2B;TAF4;BACH1;ZNF292;CCNT2;KPNA6;PSIP1;CCNK;NF1;GSK3B;SP3;CEBPZ;GABPA;EP300;ATM;NPAT;HLTF;RAB3GAP1;MED1;ZFHX3;NRF1;ARID4B;NAA16;MTDH;ERCC6;CPEB3;SMARCC2;GCN1;KAT6A;RBM15;NAA15;EPC1;HEATR1;SENP1;TCF20;MED13;AGO2;ZNF148;THRAP3;KDM3A;NCOA3;MAP3K4</t>
  </si>
  <si>
    <t>GO_UBIQUITIN_LIKE_PROTEIN_TRANSFERASE_ACTIVITY</t>
  </si>
  <si>
    <t>26046;23014;51366;7428;5903;9320;257218;8925;23352;130507;89910;8315;5930;10075;80204;165918;80311;54542;57448;26190;571;9870;10299;10277;867;8453;6596;5469;55159;55632;57534;25948;57531;55743;55167;51132;25831;51592</t>
  </si>
  <si>
    <t>LTN1;FBXO21;UBR5;VHL;RANBP2;TRIP12;SHPRH;HERC1;UBR4;UBR3;UBE3B;BRAP;RBBP6;HUWE1;FBXO11;RNF168;KLHL15;RC3H2;BIRC6;FBXW2;BACH1;AREL1;MARCH6;UBE4B;CBL;CUL2;HLTF;MED1;RFWD3;G2E3;MIB1;KBTBD2;HACE1;CHFR;MSL2;RLIM;HECTD1;TRIM33</t>
  </si>
  <si>
    <t>http://www.broadinstitute.org/gsea/msigdb/cards/GO_UBIQUITIN_LIKE_PROTEIN_TRANSFERASE_ACTIVITY.html</t>
  </si>
  <si>
    <t>GO_NEGATIVE_REGULATION_OF_TRANSCRIPTION_FROM_RNA_POLYMERASE_II_PROMOTER</t>
  </si>
  <si>
    <t>9611;7468;7175;5927;7428;546;2186;23512;10771;56957;25836;171023;165918;57459;64324;64426;57680;11244;23405;23019;10915;571;7514;9678;3096;7528;2005;2117;6670;2551;2033;93;5469;463;92140;22849;6601;8239;5814;23013;80314;79723;79813;51132;4848;9969;55689;51592;7707;1788</t>
  </si>
  <si>
    <t>NCOR1;NSD2;TPR;KDM5A;VHL;ATRX;BPTF;SUZ12;ZMYND11;OTUD7B;NIPBL;ASXL1;RNF168;GATAD2B;NSD1;SUDS3;CHD8;ZHX1;DICER1;CNOT1;TCERG1;BACH1;XPO1;PHF14;HIVEP1;YY1;ELK4;ETV3;SP3;GABPA;EP300;ACVR2B;MED1;ZFHX3;MTDH;CPEB3;SMARCC2;USP9X;PURB;SPEN;EPC1;SUV39H2;EHMT1;RLIM;AC092881.1;MED13;YEATS2;TRIM33;ZNF148;DNMT3A</t>
  </si>
  <si>
    <t>http://www.broadinstitute.org/gsea/msigdb/cards/GO_NEGATIVE_REGULATION_OF_TRANSCRIPTION_FROM_RNA_POLYMERASE_II_PROMOTER.html</t>
  </si>
  <si>
    <t>3840;10526;4976;8888;9877;9631;7175;3799;5048;9972;5903;3836;9632;6711;2802;1778;23160;9321;255967;51248;55275;387680;23332;23293;22853;7840;28981;7248;9712;3842;81609;84079;23049;57679;55914;30849;55341;51479;11276;200576;23637;23423;7514;9919;8867;23095;9147;23633;11168;9527;4763;6249;10128;7109;2932;55014;9897;11214;472;7159;2804;54520;55291;55187;54812;54832;23299;26146;9392;9887;84725;55705;84248;26019;53981;9874;10762;23499;253725</t>
  </si>
  <si>
    <t>KPNA4;IPO8;OPA1;MCM3AP;ZC3H11A;NUP155;TPR;KIF5B;PAFAH1B1;NUP153;RANBP2;KPNA1;SEC24C;SPTBN1;GOLGA3;DYNC1H1;WDR43;TRIP11;PAN3;PDZD11;VPS53;WASHC2A;CLASP1;SMG6;LMTK2;ALMS1;IFT81;TSC1;USP6NL;TNPO1;SNX27;ANKRD27;SMG1;ALS2;ERBIN;PIK3R4;LSG1;ANKFY1;SYNRG;PIKFYVE;RABGAP1;TMED3;XPO1;SEC16A;SYNJ1;KIF1B;NEMF;KPNA6;PSIP1;GOSR1;NF1;CLIP1;LRPPRC;TRAPPC10;GSK3B;STX17;WASHC5;AKAP13;ATM;TP53BP2;GOLGB1;CCDC93;PPP6R3;VPS13D;AFTPH;VPS13C;BICD2;TRAF3IP1;TGFBRAP1;SMG7;PLEKHA8;IPO9;FYTTD1;UPF2;CPSF2;TLK1;NUP50;MACF1;WASHC2C</t>
  </si>
  <si>
    <t>http://www.broadinstitute.org/gsea/msigdb/cards/GO_ESTABLISHMENT_OF_LOCALIZATION_IN_CELL.html</t>
  </si>
  <si>
    <t>10236;8672;9611;7175;1656;2475;6659;3609;8661;26058;23369;7248;23185;6311;57690;26523;57472;23405;23019;10128;8087;9513;2033;9698;26065;27327;22849;10985;142891;79048;192669;4848;27161;23112</t>
  </si>
  <si>
    <t>HNRNPR;EIF4G3;NCOR1;TPR;DDX6;MTOR;SOX4;ILF3;EIF3A;GIGYF2;PUM2;TSC1;LARP4B;ATXN2;TNRC6C;AGO1;CNOT6;DICER1;CNOT1;LRPPRC;FXR1;FXR2;EP300;PUM1;LSM14A;TNRC6A;CPEB3;GCN1;SAMD8;SECISBP2;AGO3;AC092881.1;AGO2;TNRC6B</t>
  </si>
  <si>
    <t>http://www.broadinstitute.org/gsea/msigdb/cards/GO_REGULATION_OF_CELLULAR_AMIDE_METABOLIC_PROCESS.html</t>
  </si>
  <si>
    <t>GO_REGULATION_OF_GENE_EXPRESSION_EPIGENETIC</t>
  </si>
  <si>
    <t>23347;8085;23451;23512;57492;80312;57690;26523;54454;57472;23405;23019;2876;2932;2033;9698;51742;2074;27327;80314;192669;9188;58487;51132;11176;27161;23112;1788</t>
  </si>
  <si>
    <t>SMCHD1;KMT2D;SF3B1;SUZ12;ARID1B;TET1;TNRC6C;AGO1;ATAD2B;CNOT6;DICER1;CNOT1;GPX1;GSK3B;EP300;PUM1;ARID4B;ERCC6;TNRC6A;EPC1;AGO3;DDX21;CREBZF;RLIM;BAZ2A;AGO2;TNRC6B;DNMT3A</t>
  </si>
  <si>
    <t>http://www.broadinstitute.org/gsea/msigdb/cards/GO_REGULATION_OF_GENE_EXPRESSION_EPIGENETIC.html</t>
  </si>
  <si>
    <t>GO_NUCLEIC_ACID_BINDING_TRANSCRIPTION_FACTOR_ACTIVITY</t>
  </si>
  <si>
    <t>9044;9139;27107;5451;7586;7587;7579;405;5927;7182;4299;353274;2969;100381270;4297;6659;4520;7705;9202;6873;100289635;158405;10274;57459;8880;7750;11244;23660;6874;10168;571;23036;3096;7559;7574;867;7528;2005;2117;347344;7690;6670;10153;2551;7581;2033;7024;6596;2804;5469;463;4899;64864;91748;158431;23269;25909;5814;56995;58487;10765;6942;7707;55818</t>
  </si>
  <si>
    <t>BTAF1;CBFA2T2;ZBTB11;POU2F1;ZKSCAN1;ZNF37A;ZSCAN20;ARNT;KDM5A;NR2C2;AFF1;ZNF445;GTF2I;ZBED6;KMT2A;SOX4;MTF1;ZNF146;ZMYM4;TAF2;ZNF605;KIAA1958;STAG1;GATAD2B;FUBP1;ZMYM2;ZHX1;ZKSCAN5;TAF4;ZNF197;BACH1;ZNF292;HIVEP1;ZNF12;ZNF26;CBL;YY1;ELK4;ETV3;ZNF81;ZNF131;SP3;CEBPZ;GABPA;ZNF33A;EP300;TFCP2;HLTF;GOLGB1;MED1;ZFHX3;NRF1;RFX7;ELMSAN1;ZNF782;MGA;AHCTF1;PURB;TULP4;CREBZF;KDM5B;TCF20;ZNF148;KDM3A</t>
  </si>
  <si>
    <t>http://www.broadinstitute.org/gsea/msigdb/cards/GO_NUCLEIC_ACID_BINDING_TRANSCRIPTION_FACTOR_ACTIVITY.html</t>
  </si>
  <si>
    <t>GO_ACETYLTRANSFERASE_COMPLEX</t>
  </si>
  <si>
    <t>80018;6873;9736;23522;57634;51230;80218;8295;6874;8518;2033;122830;79612;284058;26009;7994;80155;80314;55167;55689</t>
  </si>
  <si>
    <t>NAA25;TAF2;USP34;KAT6B;EP400;PHF20;NAA50;TRRAP;TAF4;ELP1;EP300;NAA30;NAA16;KANSL1;AC118549.1;KAT6A;NAA15;EPC1;MSL2;YEATS2</t>
  </si>
  <si>
    <t>http://www.broadinstitute.org/gsea/msigdb/cards/GO_ACETYLTRANSFERASE_COMPLEX.html</t>
  </si>
  <si>
    <t>GO_CHROMATIN</t>
  </si>
  <si>
    <t>26057;9611;546;7155;257218;23512;23244;25836;23126;23063;171023;10274;57459;23522;57634;64426;9126;8295;11168;5422;7528;2117;23468;4361;2551;2033;5469;10735;84893;6601;25909;7994;79723;23047;11176;1788;8202</t>
  </si>
  <si>
    <t>ANKRD17;NCOR1;ATRX;TOP2B;SHPRH;SUZ12;PDS5A;NIPBL;POGZ;WAPL;ASXL1;STAG1;GATAD2B;KAT6B;EP400;SUDS3;SMC3;TRRAP;PSIP1;POLA1;YY1;ETV3;CBX5;MRE11;GABPA;EP300;MED1;STAG2;FBH1;SMARCC2;AHCTF1;KAT6A;SUV39H2;PDS5B;BAZ2A;DNMT3A;NCOA3</t>
  </si>
  <si>
    <t>http://www.broadinstitute.org/gsea/msigdb/cards/GO_CHROMATIN.html</t>
  </si>
  <si>
    <t>GO_CHROMOSOMAL_REGION</t>
  </si>
  <si>
    <t>23347;7175;5048;546;5591;23160;23244;55183;23064;23332;23063;23293;10274;79677;80351;170506;9126;7514;6249;23468;4361;472;55320;284058;84295;10735;25909;64421;79723;23047;1788</t>
  </si>
  <si>
    <t>SMCHD1;TPR;PAFAH1B1;ATRX;PRKDC;WDR43;PDS5A;RIF1;SETX;CLASP1;WAPL;SMG6;STAG1;SMC6;TNKS2;DHX36;SMC3;XPO1;CLIP1;CBX5;MRE11;ATM;MIS18BP1;KANSL1;PHF6;STAG2;AHCTF1;DCLRE1C;SUV39H2;PDS5B;DNMT3A</t>
  </si>
  <si>
    <t>http://www.broadinstitute.org/gsea/msigdb/cards/GO_CHROMOSOMAL_REGION.html</t>
  </si>
  <si>
    <t>GO_TRANSCRIPTION_FROM_RNA_POLYMERASE_II_PROMOTER</t>
  </si>
  <si>
    <t>9877;9611;5451;6872;405;5927;7182;2969;4297;6659;23054;4520;9321;23248;6873;23064;10274;8880;29072;55870;6874;10915;571;23036;905;8812;51585;8518;3096;10914;2957;10153;2551;2033;6596;5469;463;4899;2074;9188;53981;9969;11108;9439;7707;9967</t>
  </si>
  <si>
    <t>ZC3H11A;NCOR1;POU2F1;TAF1;ARNT;KDM5A;NR2C2;GTF2I;KMT2A;SOX4;NCOA6;MTF1;TRIP11;RPRD2;TAF2;SETX;STAG1;FUBP1;SETD2;ASH1L;TAF4;TCERG1;BACH1;ZNF292;CCNT2;CCNK;PCF11;ELP1;HIVEP1;PAPOLA;GTF2A1;CEBPZ;GABPA;EP300;HLTF;MED1;ZFHX3;NRF1;ERCC6;DDX21;CPSF2;MED13;PRDM4;MED23;ZNF148;THRAP3</t>
  </si>
  <si>
    <t>http://www.broadinstitute.org/gsea/msigdb/cards/GO_TRANSCRIPTION_FROM_RNA_POLYMERASE_II_PROMOTER.html</t>
  </si>
  <si>
    <t>8085;200424;9139;6872;405;546;7182;5591;4297;6659;23054;4520;25836;6873;22976;55252;23064;171023;80312;84181;10274;55023;23522;170506;59343;57680;55870;26523;54454;571;23036;905;23633;11168;8812;2932;6670;10153;2551;2033;6596;5469;4899;51742;10985;64783;80314;29843;6942;9969;27161;7707;9967;55818;8202</t>
  </si>
  <si>
    <t>KMT2D;TET3;CBFA2T2;TAF1;ARNT;ATRX;NR2C2;PRKDC;KMT2A;SOX4;NCOA6;MTF1;NIPBL;TAF2;PAXIP1;ASXL2;SETX;ASXL1;TET1;CHD6;STAG1;PHIP;KAT6B;DHX36;SENP2;CHD8;ASH1L;AGO1;ATAD2B;BACH1;ZNF292;CCNT2;KPNA6;PSIP1;CCNK;GSK3B;SP3;CEBPZ;GABPA;EP300;HLTF;MED1;NRF1;ARID4B;GCN1;RBM15;EPC1;SENP1;TCF20;MED13;AGO2;ZNF148;THRAP3;KDM3A;NCOA3</t>
  </si>
  <si>
    <t>GO_CYTOSKELETAL_PART</t>
  </si>
  <si>
    <t>9475;9611;7175;3799;5048;5903;6711;1660;6093;9793;1778;9584;23160;26005;23352;375748;55183;9857;23332;5930;11064;25914;7840;23032;28981;7248;57679;10142;85459;80351;57448;22852;9126;23637;8867;23095;10897;5116;9113;7559;6249;10128;2932;10093;11214;472;5586;84131;157922;347240;23392;9662;55671;145508;55605;11011;57534;79598;26146;10426;2140;10198;84260;11083;11190;9786;55689;23499</t>
  </si>
  <si>
    <t>ROCK2;NCOR1;TPR;KIF5B;PAFAH1B1;RANBP2;SPTBN1;DHX9;ROCK1;CKAP5;DYNC1H1;RBM39;WDR43;C2CD3;UBR4;ERCC6L2;RIF1;CEP350;CLASP1;RBBP6;CNTRL;RTTN;ALMS1;USP33;IFT81;TSC1;ALS2;AKAP9;CEP295;TNKS2;BIRC6;ANKRD26;SMC3;RABGAP1;SYNJ1;KIF1B;YIF1A;PCNT;LATS1;ZNF12;CLIP1;LRPPRC;GSK3B;ARPC4;AKAP13;ATM;PKN2;CEP78;CAMSAP1;KIF24;ECPAS;CEP135;PPP4R3A;CEP128;KIF21A;TLK2;MIB1;CEP97;TRAF3IP1;TUBGCP3;EYA3;MPHOSPH9;TCHP;DIDO1;CEP250;KIAA0586;YEATS2;MACF1</t>
  </si>
  <si>
    <t>http://www.broadinstitute.org/gsea/msigdb/cards/GO_CYTOSKELETAL_PART.html</t>
  </si>
  <si>
    <t>GO_REGULATORY_REGION_NUCLEIC_ACID_BINDING</t>
  </si>
  <si>
    <t>8085;9611;27107;5451;7579;6872;405;2475;100381270;3192;4297;6659;4520;23512;10771;6873;23064;57459;64324;170506;26523;1106;571;3096;7528;2005;2117;6670;10153;2551;2033;6596;5469;463;4899;64864;51742;91748;144348;6601;5814;79723;55636;6942;11176;27161;7707;9967;55818</t>
  </si>
  <si>
    <t>KMT2D;NCOR1;ZBTB11;POU2F1;ZSCAN20;TAF1;ARNT;MTOR;ZBED6;HNRNPU;KMT2A;SOX4;MTF1;SUZ12;ZMYND11;TAF2;SETX;GATAD2B;NSD1;DHX36;AGO1;CHD2;BACH1;HIVEP1;YY1;ELK4;ETV3;SP3;CEBPZ;GABPA;EP300;HLTF;MED1;ZFHX3;NRF1;RFX7;ARID4B;ELMSAN1;ZNF664;SMARCC2;PURB;SUV39H2;CHD7;TCF20;BAZ2A;AGO2;ZNF148;THRAP3;KDM3A</t>
  </si>
  <si>
    <t>http://www.broadinstitute.org/gsea/msigdb/cards/GO_REGULATORY_REGION_NUCLEIC_ACID_BINDING.html</t>
  </si>
  <si>
    <t>GO_TRANSCRIPTION_FACTOR_ACTIVITY_PROTEIN_BINDING</t>
  </si>
  <si>
    <t>55814;9139;9611;6872;405;5927;7182;6659;23054;4520;10771;9321;6873;23389;171023;57492;64324;11244;8295;6874;10915;11168;7528;2005;2957;2551;2033;4863;5469;92140;6601;7994;23013;51132;4848;10765;6942;9969;9439;9967;8202</t>
  </si>
  <si>
    <t>BDP1;CBFA2T2;NCOR1;TAF1;ARNT;KDM5A;NR2C2;SOX4;NCOA6;MTF1;ZMYND11;TRIP11;TAF2;MED13L;ASXL1;ARID1B;NSD1;ZHX1;TRRAP;TAF4;TCERG1;PSIP1;YY1;ELK4;GTF2A1;GABPA;EP300;NPAT;MED1;MTDH;SMARCC2;KAT6A;SPEN;RLIM;AC092881.1;KDM5B;TCF20;MED13;MED23;THRAP3;NCOA3</t>
  </si>
  <si>
    <t>http://www.broadinstitute.org/gsea/msigdb/cards/GO_TRANSCRIPTION_FACTOR_ACTIVITY_PROTEIN_BINDING.html</t>
  </si>
  <si>
    <t>GO_REGULATION_OF_DNA_METABOLIC_PROCESS</t>
  </si>
  <si>
    <t>26057;51366;7468;5290;546;3836;3192;9320;23244;55183;22976;23063;5930;23293;165918;254225;80351;170506;59343;54552;9126;317;2932;4361;472;10735;84893;92797;2140;1788;4216</t>
  </si>
  <si>
    <t>ANKRD17;UBR5;NSD2;PIK3CA;ATRX;KPNA1;HNRNPU;TRIP12;PDS5A;RIF1;PAXIP1;WAPL;RBBP6;SMG6;RNF168;RNF169;TNKS2;DHX36;SENP2;GNL3L;SMC3;APAF1;GSK3B;MRE11;ATM;STAG2;FBH1;HELB;EYA3;DNMT3A;MAP3K4</t>
  </si>
  <si>
    <t>http://www.broadinstitute.org/gsea/msigdb/cards/GO_REGULATION_OF_DNA_METABOLIC_PROCESS.html</t>
  </si>
  <si>
    <t>10236;55660;23451;6651;3192;1660;6433;9360;8899;9584;9733;23064;91746;9169;51755;11168;51585;10914;8621;27332;25962;55596;10594;9879;92797;64783;23013;55094;57703;53981;22828;9967</t>
  </si>
  <si>
    <t>HNRNPR;PRPF40A;SF3B1;SON;HNRNPU;DHX9;SFSWAP;PPIG;PRPF4B;RBM39;SART3;SETX;YTHDC1;SCAF11;CDK12;PSIP1;PCF11;PAPOLA;CDK13;ZNF638;VIRMA;ZCCHC8;PRPF8;DDX46;HELB;RBM15;SPEN;GPATCH1;CWC22;CPSF2;SCAF8;THRAP3</t>
  </si>
  <si>
    <t>GO_TRANSCRIPTION_FACTOR_BINDING</t>
  </si>
  <si>
    <t>9611;26043;6872;405;7428;2475;5591;1660;2186;9320;23054;221037;171023;84181;23522;64324;23019;10915;905;11168;23468;2932;2957;2033;6789;7159;22984;5469;91748;92140;7994;5814;23013;4848;9969;55689;9967;8202</t>
  </si>
  <si>
    <t>NCOR1;UBXN7;TAF1;ARNT;VHL;MTOR;PRKDC;DHX9;BPTF;TRIP12;NCOA6;JMJD1C;ASXL1;CHD6;KAT6B;NSD1;CNOT1;TCERG1;CCNT2;PSIP1;CBX5;GSK3B;GTF2A1;EP300;STK4;TP53BP2;PDCD11;MED1;ELMSAN1;MTDH;KAT6A;PURB;SPEN;AC092881.1;MED13;YEATS2;THRAP3;NCOA3</t>
  </si>
  <si>
    <t>http://www.broadinstitute.org/gsea/msigdb/cards/GO_TRANSCRIPTION_FACTOR_BINDING.html</t>
  </si>
  <si>
    <t>GO_PROTEIN_CATABOLIC_PROCESS</t>
  </si>
  <si>
    <t>23014;51366;2475;9320;23352;56957;130507;9736;89910;5930;10075;57695;80204;165918;23032;80311;10730;64682;54764;23358;9870;10299;10277;867;2932;64854;472;8453;23198;139285;55432;23392;84196;57531;84669;8239;55743;84132;51132;25831</t>
  </si>
  <si>
    <t>FBXO21;UBR5;MTOR;TRIP12;UBR4;OTUD7B;UBR3;USP34;UBE3B;RBBP6;HUWE1;USP37;FBXO11;RNF168;USP33;KLHL15;YME1L1;ANAPC1;ZRANB1;USP24;AREL1;MARCH6;UBE4B;CBL;GSK3B;USP46;ATM;CUL2;PSME4;AMER1;YOD1;ECPAS;USP48;HACE1;USP32;USP9X;CHFR;USP42;RLIM;HECTD1</t>
  </si>
  <si>
    <t>http://www.broadinstitute.org/gsea/msigdb/cards/GO_PROTEIN_CATABOLIC_PROCESS.html</t>
  </si>
  <si>
    <t>GO_HISTONE_METHYLATION</t>
  </si>
  <si>
    <t>8085;200424;7468;4297;23512;9869;22976;58508;64324;29072;55870;23067;51742;79723;79813;11108;55818</t>
  </si>
  <si>
    <t>KMT2D;TET3;NSD2;KMT2A;SUZ12;SETDB1;PAXIP1;KMT2C;NSD1;SETD2;ASH1L;SETD1B;ARID4B;SUV39H2;EHMT1;PRDM4;KDM3A</t>
  </si>
  <si>
    <t>http://www.broadinstitute.org/gsea/msigdb/cards/GO_HISTONE_METHYLATION.html</t>
  </si>
  <si>
    <t>9475;7175;673;6872;5290;2475;7182;5591;6711;6654;3609;5062;6093;8899;22848;255967;253260;57551;23064;8315;11064;22853;23049;30849;10142;53944;57448;51755;7750;9693;905;8812;8518;9113;4763;4140;2932;11214;6789;472;1859;93;8621;23198;5469;5586;388228;11011;204851;2074;9874;4216</t>
  </si>
  <si>
    <t>ROCK2;TPR;BRAF;TAF1;PIK3CA;MTOR;NR2C2;PRKDC;SPTBN1;SOS1;ILF3;PAK2;ROCK1;PRPF4B;AAK1;PAN3;RICTOR;TAOK1;SETX;BRAP;CNTRL;LMTK2;SMG1;PIK3R4;AKAP9;CSNK1G1;BIRC6;CDK12;ZMYM2;RAPGEF2;CCNT2;CCNK;ELP1;LATS1;NF1;MARK3;GSK3B;AKAP13;STK4;ATM;DYRK1A;ACVR2B;CDK13;PSME4;MED1;PKN2;SBK1;TLK2;HIPK1;ERCC6;TLK1;MAP3K4</t>
  </si>
  <si>
    <t>9475;1656;3192;1660;255967;23369;23185;6311;54542;26523;92312;23019;8087;9698;26065;27327;192669;55802;4848;27161;23112</t>
  </si>
  <si>
    <t>ROCK2;DDX6;HNRNPU;DHX9;PAN3;PUM2;LARP4B;ATXN2;RC3H2;AGO1;MEX3A;CNOT1;FXR1;PUM1;LSM14A;TNRC6A;AGO3;DCP1A;AC092881.1;AGO2;TNRC6B</t>
  </si>
  <si>
    <t>http://www.broadinstitute.org/gsea/msigdb/cards/GO_RIBONUCLEOPROTEIN_GRANULE.html</t>
  </si>
  <si>
    <t>10236;9877;55660;23451;6651;3192;1660;6433;8899;9584;9733;11052;255967;23064;91746;9169;51755;11168;51585;10914;8621;22984;25962;55596;10594;9879;92797;64783;23013;55094;57703;53981;22828;9967</t>
  </si>
  <si>
    <t>HNRNPR;ZC3H11A;PRPF40A;SF3B1;SON;HNRNPU;DHX9;SFSWAP;PRPF4B;RBM39;SART3;CPSF6;PAN3;SETX;YTHDC1;SCAF11;CDK12;PSIP1;PCF11;PAPOLA;CDK13;PDCD11;VIRMA;ZCCHC8;PRPF8;DDX46;HELB;RBM15;SPEN;GPATCH1;CWC22;CPSF2;SCAF8;THRAP3</t>
  </si>
  <si>
    <t>GO_REGULATION_OF_CELLULAR_RESPONSE_TO_STRESS</t>
  </si>
  <si>
    <t>11128;4976;9611;9631;23328;51366;7468;7175;673;2475;5048;9972;5903;5591;9320;10771;55183;57551;165918;23001;254225;7248;9711;51322;59343;9774;200576;2876;2932;2033;472;1859;22930;55432;55159;54832;2074;84893;92797;2140;26973;10762;4216</t>
  </si>
  <si>
    <t>POLR3A;OPA1;NCOR1;NUP155;SASH1;UBR5;NSD2;TPR;BRAF;MTOR;PAFAH1B1;NUP153;RANBP2;PRKDC;TRIP12;ZMYND11;RIF1;TAOK1;RNF168;WDFY3;RNF169;TSC1;RUBCN;WAC;SENP2;BCLAF1;PIKFYVE;GPX1;GSK3B;EP300;ATM;DYRK1A;RAB3GAP1;YOD1;RFWD3;VPS13C;ERCC6;FBH1;HELB;EYA3;CHORDC1;NUP50;MAP3K4</t>
  </si>
  <si>
    <t>http://www.broadinstitute.org/gsea/msigdb/cards/GO_REGULATION_OF_CELLULAR_RESPONSE_TO_STRESS.html</t>
  </si>
  <si>
    <t>GO_NUCLEIC_ACID_PHOSPHODIESTER_BOND_HYDROLYSIS</t>
  </si>
  <si>
    <t>5980;27340;5981;3836;255967;23293;55728;57697;10940;26523;57472;23405;23019;51585;5422;4361;10714;79707;54464;84893;64421;192669;55802;4848;53981;27161</t>
  </si>
  <si>
    <t>REV3L;UTP20;RFC1;KPNA1;PAN3;SMG6;N4BP2;FANCM;POP1;AGO1;CNOT6;DICER1;CNOT1;PCF11;POLA1;MRE11;POLD3;NOL9;XRN1;FBH1;DCLRE1C;AGO3;DCP1A;AC092881.1;CPSF2;AGO2</t>
  </si>
  <si>
    <t>http://www.broadinstitute.org/gsea/msigdb/cards/GO_NUCLEIC_ACID_PHOSPHODIESTER_BOND_HYDROLYSIS.html</t>
  </si>
  <si>
    <t>3840;10526;8888;9475;23317;9631;7175;673;5048;546;9972;5903;3836;9632;6711;1660;6093;9135;9321;26005;255967;51248;55275;387680;25836;23063;22853;28981;9712;3842;81609;84079;57679;55914;30849;55341;80351;59343;11276;200576;23637;23423;9693;7514;9919;23633;10897;9527;9113;6249;2932;55014;9897;93;22930;23527;54520;23033;55187;54812;54832;157680;254887;26146;9392;25909;84725;55705;11190;65250;55802;56995;9874;10762;23499;253725</t>
  </si>
  <si>
    <t>KPNA4;IPO8;MCM3AP;ROCK2;DNAJC13;NUP155;TPR;BRAF;PAFAH1B1;ATRX;NUP153;RANBP2;KPNA1;SEC24C;SPTBN1;DHX9;ROCK1;RABEP1;TRIP11;C2CD3;PAN3;PDZD11;VPS53;WASHC2A;NIPBL;WAPL;LMTK2;IFT81;USP6NL;TNPO1;SNX27;ANKRD27;ALS2;ERBIN;PIK3R4;LSG1;TNKS2;SENP2;SYNRG;PIKFYVE;RABGAP1;TMED3;RAPGEF2;XPO1;SEC16A;KPNA6;YIF1A;GOSR1;LATS1;CLIP1;GSK3B;STX17;WASHC5;ACVR2B;RAB3GAP1;ACAP2;CCDC93;DOP1A;VPS13D;AFTPH;VPS13C;VPS13B;ZDHHC23;TRAF3IP1;TGFBRAP1;AHCTF1;PLEKHA8;IPO9;CEP250;CPLANE1;DCP1A;TULP4;TLK1;NUP50;MACF1;WASHC2C</t>
  </si>
  <si>
    <t>GO_SEQUENCE_SPECIFIC_DNA_BINDING</t>
  </si>
  <si>
    <t>27107;7468;5451;7586;7579;6872;405;2475;7182;100381270;4297;6659;2186;4520;23512;10771;6873;23064;23293;57459;89884;64324;23049;26523;1106;571;3096;7528;2005;2117;6670;10153;2551;2033;7024;6596;2804;5469;463;4899;64864;144348;6601;9887;5814;79723;26019;58487;55636;11176;7707;9967;55818;1788</t>
  </si>
  <si>
    <t>ZBTB11;NSD2;POU2F1;ZKSCAN1;ZSCAN20;TAF1;ARNT;MTOR;NR2C2;ZBED6;KMT2A;SOX4;BPTF;MTF1;SUZ12;ZMYND11;TAF2;SETX;SMG6;GATAD2B;LHX4;NSD1;SMG1;AGO1;CHD2;BACH1;HIVEP1;YY1;ELK4;ETV3;SP3;CEBPZ;GABPA;EP300;TFCP2;HLTF;GOLGB1;MED1;ZFHX3;NRF1;RFX7;ZNF664;SMARCC2;SMG7;PURB;SUV39H2;UPF2;CREBZF;CHD7;BAZ2A;ZNF148;THRAP3;KDM3A;DNMT3A</t>
  </si>
  <si>
    <t>http://www.broadinstitute.org/gsea/msigdb/cards/GO_SEQUENCE_SPECIFIC_DNA_BINDING.html</t>
  </si>
  <si>
    <t>GO_REGULATION_OF_CHROMOSOME_ORGANIZATION</t>
  </si>
  <si>
    <t>51366;7175;5927;546;3192;4297;9320;9733;9869;25836;22976;23063;23293;80312;64324;80351;170506;54552;54454;4361;2033;472;11011;26054;9874;55818;4216</t>
  </si>
  <si>
    <t>UBR5;TPR;KDM5A;ATRX;HNRNPU;KMT2A;TRIP12;SART3;SETDB1;NIPBL;PAXIP1;WAPL;SMG6;TET1;NSD1;TNKS2;DHX36;GNL3L;ATAD2B;MRE11;EP300;ATM;TLK2;SENP6;TLK1;KDM3A;MAP3K4</t>
  </si>
  <si>
    <t>http://www.broadinstitute.org/gsea/msigdb/cards/GO_REGULATION_OF_CHROMOSOME_ORGANIZATION.html</t>
  </si>
  <si>
    <t>GO_HYDROLASE_ACTIVITY_ACTING_ON_ACID_ANHYDRIDES</t>
  </si>
  <si>
    <t>9044;4976;1656;3799;5981;9931;546;7155;1660;2186;1778;257218;375748;90957;23064;57697;84181;57634;85476;51773;10730;55341;170506;79572;57680;23195;54552;54454;23405;9126;23132;1106;23095;4361;6596;80205;347240;9879;55605;2074;84893;92797;56652;9188;55636;23499;23200</t>
  </si>
  <si>
    <t>BTAF1;OPA1;DDX6;KIF5B;RFC1;HELZ;ATRX;TOP2B;DHX9;BPTF;DYNC1H1;SHPRH;ERCC6L2;DHX57;SETX;FANCM;CHD6;EP400;GFM1;RSF1;YME1L1;LSG1;DHX36;ATP13A3;CHD8;MDN1;GNL3L;ATAD2B;DICER1;SMC3;RAD54L2;CHD2;KIF1B;MRE11;HLTF;CHD9;KIF24;DDX46;KIF21A;ERCC6;FBH1;HELB;TWNK;DDX21;CHD7;MACF1;ATP11B</t>
  </si>
  <si>
    <t>http://www.broadinstitute.org/gsea/msigdb/cards/GO_HYDROLASE_ACTIVITY_ACTING_ON_ACID_ANHYDRIDES.html</t>
  </si>
  <si>
    <t>GO_PROTEIN_ACYLATION</t>
  </si>
  <si>
    <t>5495;6872;4297;80018;23522;57634;51230;80218;8295;2033;122830;79612;284058;254887;7994;80155;80314;55167;9329;55689;8202</t>
  </si>
  <si>
    <t>PPM1B;TAF1;KMT2A;NAA25;KAT6B;EP400;PHF20;NAA50;TRRAP;EP300;NAA30;NAA16;KANSL1;ZDHHC23;KAT6A;NAA15;EPC1;MSL2;GTF3C4;YEATS2;NCOA3</t>
  </si>
  <si>
    <t>http://www.broadinstitute.org/gsea/msigdb/cards/GO_PROTEIN_ACYLATION.html</t>
  </si>
  <si>
    <t>GO_SISTER_CHROMATID_COHESION</t>
  </si>
  <si>
    <t>5048;5903;9793;23244;25836;57551;23126;23332;23063;10274;80218;9126;7514;6249;4361;10735;25909;23047</t>
  </si>
  <si>
    <t>PAFAH1B1;RANBP2;CKAP5;PDS5A;NIPBL;TAOK1;POGZ;CLASP1;WAPL;STAG1;NAA50;SMC3;XPO1;CLIP1;MRE11;STAG2;AHCTF1;PDS5B</t>
  </si>
  <si>
    <t>http://www.broadinstitute.org/gsea/msigdb/cards/GO_SISTER_CHROMATID_COHESION.html</t>
  </si>
  <si>
    <t>9475;7175;673;6872;5290;2475;7182;5591;6711;5781;6654;3609;5062;6093;8899;22848;255967;253260;57551;23064;8315;11064;55728;22853;23049;30849;10142;53944;57448;51755;7750;200576;8295;9693;5286;905;8812;8518;9113;4763;4140;2932;11214;6789;472;1859;93;8621;23198;5469;5586;388228;79707;11011;204851;2074;79646;9874;4216</t>
  </si>
  <si>
    <t>ROCK2;TPR;BRAF;TAF1;PIK3CA;MTOR;NR2C2;PRKDC;SPTBN1;PTPN11;SOS1;ILF3;PAK2;ROCK1;PRPF4B;AAK1;PAN3;RICTOR;TAOK1;SETX;BRAP;CNTRL;N4BP2;LMTK2;SMG1;PIK3R4;AKAP9;CSNK1G1;BIRC6;CDK12;ZMYM2;PIKFYVE;TRRAP;RAPGEF2;PIK3C2A;CCNT2;CCNK;ELP1;LATS1;NF1;MARK3;GSK3B;AKAP13;STK4;ATM;DYRK1A;ACVR2B;CDK13;PSME4;MED1;PKN2;SBK1;NOL9;TLK2;HIPK1;ERCC6;PANK3;TLK1;MAP3K4</t>
  </si>
  <si>
    <t>GO_PROTEIN_ACETYLATION</t>
  </si>
  <si>
    <t>6872;4297;80018;23522;57634;51230;80218;8295;2033;122830;79612;284058;7994;80155;80314;55167;9329;55689;8202</t>
  </si>
  <si>
    <t>TAF1;KMT2A;NAA25;KAT6B;EP400;PHF20;NAA50;TRRAP;EP300;NAA30;NAA16;KANSL1;KAT6A;NAA15;EPC1;MSL2;GTF3C4;YEATS2;NCOA3</t>
  </si>
  <si>
    <t>http://www.broadinstitute.org/gsea/msigdb/cards/GO_PROTEIN_ACETYLATION.html</t>
  </si>
  <si>
    <t>GO_MACROMOLECULE_METHYLATION</t>
  </si>
  <si>
    <t>8085;200424;7468;546;4297;23512;9869;22976;80204;58508;57459;64324;29072;55870;23067;51742;25962;79723;79813;11176;11108;55818;1788</t>
  </si>
  <si>
    <t>KMT2D;TET3;NSD2;ATRX;KMT2A;SUZ12;SETDB1;PAXIP1;FBXO11;KMT2C;GATAD2B;NSD1;SETD2;ASH1L;SETD1B;ARID4B;VIRMA;SUV39H2;EHMT1;BAZ2A;PRDM4;KDM3A;DNMT3A</t>
  </si>
  <si>
    <t>http://www.broadinstitute.org/gsea/msigdb/cards/GO_MACROMOLECULE_METHYLATION.html</t>
  </si>
  <si>
    <t>23451;27340;1656;6433;8661;1778;9790;9733;23160;23064;23369;7248;91746;9169;6311;55341;23195;54552;26523;23405;7514;11168;22984;9221;79707;27042;10594;26065;55127;192669;9188;55636;27161</t>
  </si>
  <si>
    <t>SF3B1;UTP20;DDX6;SFSWAP;EIF3A;DYNC1H1;BMS1;SART3;WDR43;SETX;PUM2;TSC1;YTHDC1;SCAF11;ATXN2;LSG1;MDN1;GNL3L;AGO1;DICER1;XPO1;PSIP1;PDCD11;NOLC1;NOL9;UTP25;PRPF8;LSM14A;HEATR1;AGO3;DDX21;CHD7;AGO2</t>
  </si>
  <si>
    <t>http://www.broadinstitute.org/gsea/msigdb/cards/GO_RIBONUCLEOPROTEIN_COMPLEX_BIOGENESIS.html</t>
  </si>
  <si>
    <t>GO_CYTOSKELETON</t>
  </si>
  <si>
    <t>9475;9611;7175;3799;5048;5903;6711;1660;6093;9793;1778;9584;23160;9321;26005;23352;375748;55183;9857;23332;23063;5930;11064;25914;7840;23032;28981;7248;57679;10142;85459;80351;57448;23195;22852;9126;23637;10915;8867;23095;10897;5116;9113;7559;6249;10128;2932;10093;11214;472;5586;84131;157922;347240;23392;9662;55671;145508;57553;55605;11011;57534;79598;54464;10735;80012;23299;26146;9887;10426;55342;2140;10198;84260;11083;11190;9786;55689;23499</t>
  </si>
  <si>
    <t>ROCK2;NCOR1;TPR;KIF5B;PAFAH1B1;RANBP2;SPTBN1;DHX9;ROCK1;CKAP5;DYNC1H1;RBM39;WDR43;TRIP11;C2CD3;UBR4;ERCC6L2;RIF1;CEP350;CLASP1;WAPL;RBBP6;CNTRL;RTTN;ALMS1;USP33;IFT81;TSC1;ALS2;AKAP9;CEP295;TNKS2;BIRC6;MDN1;ANKRD26;SMC3;RABGAP1;TCERG1;SYNJ1;KIF1B;YIF1A;PCNT;LATS1;ZNF12;CLIP1;LRPPRC;GSK3B;ARPC4;AKAP13;ATM;PKN2;CEP78;CAMSAP1;KIF24;ECPAS;CEP135;PPP4R3A;CEP128;MICAL3;KIF21A;TLK2;MIB1;CEP97;XRN1;STAG2;PHC3;BICD2;TRAF3IP1;SMG7;TUBGCP3;STRBP;EYA3;MPHOSPH9;TCHP;DIDO1;CEP250;KIAA0586;YEATS2;MACF1</t>
  </si>
  <si>
    <t>http://www.broadinstitute.org/gsea/msigdb/cards/GO_CYTOSKELETON.html</t>
  </si>
  <si>
    <t>GO_NUCLEAR_ENVELOPE</t>
  </si>
  <si>
    <t>3840;10526;8888;9631;7175;5048;9972;5903;3836;8315;23001;23369;3842;55914;30849;51230;80351;59343;7514;23633;5422;10128;23468;3930;92140;25909;55705;64783;80314;29843;10762;23200</t>
  </si>
  <si>
    <t>KPNA4;IPO8;MCM3AP;NUP155;TPR;PAFAH1B1;NUP153;RANBP2;KPNA1;BRAP;WDFY3;PUM2;TNPO1;ERBIN;PIK3R4;PHF20;TNKS2;SENP2;XPO1;KPNA6;POLA1;LRPPRC;CBX5;LBR;MTDH;AHCTF1;IPO9;RBM15;EPC1;SENP1;NUP50;ATP11B</t>
  </si>
  <si>
    <t>http://www.broadinstitute.org/gsea/msigdb/cards/GO_NUCLEAR_ENVELOPE.html</t>
  </si>
  <si>
    <t>GO_TRANSCRIPTION_COACTIVATOR_ACTIVITY</t>
  </si>
  <si>
    <t>6872;405;5927;7182;6659;23054;4520;9321;171023;57492;6874;10915;11168;7528;2957;2551;2033;4863;5469;92140;6601;7994;6942;9969;9439;9967;8202</t>
  </si>
  <si>
    <t>TAF1;ARNT;KDM5A;NR2C2;SOX4;NCOA6;MTF1;TRIP11;ASXL1;ARID1B;TAF4;TCERG1;PSIP1;YY1;GTF2A1;GABPA;EP300;NPAT;MED1;MTDH;SMARCC2;KAT6A;TCF20;MED13;MED23;THRAP3;NCOA3</t>
  </si>
  <si>
    <t>http://www.broadinstitute.org/gsea/msigdb/cards/GO_TRANSCRIPTION_COACTIVATOR_ACTIVITY.html</t>
  </si>
  <si>
    <t>GO_PROTEIN_SERINE_THREONINE_KINASE_ACTIVITY</t>
  </si>
  <si>
    <t>9475;673;6872;5290;2475;5591;5062;6093;8899;22848;57551;22853;23049;30849;53944;51755;905;8812;9113;4140;2932;11214;6789;472;1859;93;8621;5586;388228;11011;204851;9874;4216</t>
  </si>
  <si>
    <t>ROCK2;BRAF;TAF1;PIK3CA;MTOR;PRKDC;PAK2;ROCK1;PRPF4B;AAK1;TAOK1;LMTK2;SMG1;PIK3R4;CSNK1G1;CDK12;CCNT2;CCNK;LATS1;MARK3;GSK3B;AKAP13;STK4;ATM;DYRK1A;ACVR2B;CDK13;PKN2;SBK1;TLK2;HIPK1;TLK1;MAP3K4</t>
  </si>
  <si>
    <t>http://www.broadinstitute.org/gsea/msigdb/cards/GO_PROTEIN_SERINE_THREONINE_KINASE_ACTIVITY.html</t>
  </si>
  <si>
    <t>GO_HISTONE_METHYLTRANSFERASE_COMPLEX</t>
  </si>
  <si>
    <t>8085;6872;4297;23054;23512;22976;58508;51230;57680;23067;6874;23468;284058;23269;11108</t>
  </si>
  <si>
    <t>KMT2D;TAF1;KMT2A;NCOA6;SUZ12;PAXIP1;KMT2C;PHF20;CHD8;SETD1B;TAF4;CBX5;KANSL1;MGA;PRDM4</t>
  </si>
  <si>
    <t>http://www.broadinstitute.org/gsea/msigdb/cards/GO_HISTONE_METHYLTRANSFERASE_COMPLEX.html</t>
  </si>
  <si>
    <t>GO_PROTEIN_ALKYLATION</t>
  </si>
  <si>
    <t>8085;200424;7468;4297;23512;9869;22976;80204;58508;64324;29072;55870;23067;51742;79723;79813;11108;55818</t>
  </si>
  <si>
    <t>KMT2D;TET3;NSD2;KMT2A;SUZ12;SETDB1;PAXIP1;FBXO11;KMT2C;NSD1;SETD2;ASH1L;SETD1B;ARID4B;SUV39H2;EHMT1;PRDM4;KDM3A</t>
  </si>
  <si>
    <t>http://www.broadinstitute.org/gsea/msigdb/cards/GO_PROTEIN_ALKYLATION.html</t>
  </si>
  <si>
    <t>GO_PEPTIDYL_LYSINE_METHYLATION</t>
  </si>
  <si>
    <t>8085;200424;7468;4297;9869;22976;58508;64324;29072;55870;23067;51742;79723;79813;55818</t>
  </si>
  <si>
    <t>KMT2D;TET3;NSD2;KMT2A;SETDB1;PAXIP1;KMT2C;NSD1;SETD2;ASH1L;SETD1B;ARID4B;SUV39H2;EHMT1;KDM3A</t>
  </si>
  <si>
    <t>http://www.broadinstitute.org/gsea/msigdb/cards/GO_PEPTIDYL_LYSINE_METHYLATION.html</t>
  </si>
  <si>
    <t>GO_LIGASE_ACTIVITY</t>
  </si>
  <si>
    <t>23077;26046;51366;5903;9320;257218;8925;23352;130507;89910;8315;5930;10075;165918;254225;54542;57448;9870;10299;10277;867;6596;55159;55632;57534;57531;55743;55167;51132;25831;51592</t>
  </si>
  <si>
    <t>MYCBP2;LTN1;UBR5;RANBP2;TRIP12;SHPRH;HERC1;UBR4;UBR3;UBE3B;BRAP;RBBP6;HUWE1;RNF168;RNF169;RC3H2;BIRC6;AREL1;MARCH6;UBE4B;CBL;HLTF;RFWD3;G2E3;MIB1;HACE1;CHFR;MSL2;RLIM;HECTD1;TRIM33</t>
  </si>
  <si>
    <t>http://www.broadinstitute.org/gsea/msigdb/cards/GO_LIGASE_ACTIVITY.html</t>
  </si>
  <si>
    <t>GO_METHYLTRANSFERASE_COMPLEX</t>
  </si>
  <si>
    <t>8085;6872;4297;23054;23512;22976;58508;51230;57680;23067;6874;23468;25962;284058;23269;11108</t>
  </si>
  <si>
    <t>KMT2D;TAF1;KMT2A;NCOA6;SUZ12;PAXIP1;KMT2C;PHF20;CHD8;SETD1B;TAF4;CBX5;VIRMA;KANSL1;MGA;PRDM4</t>
  </si>
  <si>
    <t>http://www.broadinstitute.org/gsea/msigdb/cards/GO_METHYLTRANSFERASE_COMPLEX.html</t>
  </si>
  <si>
    <t>23014;51366;1656;3836;9320;255967;23352;56957;130507;9736;89910;5930;10075;57695;23293;80204;165918;23032;80311;23049;10730;30849;10940;64682;54764;26523;57472;23358;23405;23019;9870;10299;10277;2876;867;2932;64854;5471;472;8453;23198;139285;55432;23392;84196;57531;54464;84669;84893;9887;8239;55743;192669;84132;26019;55802;51132;4848;25831;9967</t>
  </si>
  <si>
    <t>FBXO21;UBR5;DDX6;KPNA1;TRIP12;PAN3;UBR4;OTUD7B;UBR3;USP34;UBE3B;RBBP6;HUWE1;USP37;SMG6;FBXO11;RNF168;USP33;KLHL15;SMG1;YME1L1;PIK3R4;POP1;ANAPC1;ZRANB1;AGO1;CNOT6;USP24;DICER1;CNOT1;AREL1;MARCH6;UBE4B;GPX1;CBL;GSK3B;USP46;PPAT;ATM;CUL2;PSME4;AMER1;YOD1;ECPAS;USP48;HACE1;XRN1;USP32;FBH1;SMG7;USP9X;CHFR;AGO3;USP42;UPF2;DCP1A;RLIM;AC092881.1;HECTD1;THRAP3</t>
  </si>
  <si>
    <t>http://www.broadinstitute.org/gsea/msigdb/cards/GO_CELLULAR_CATABOLIC_PROCESS.html</t>
  </si>
  <si>
    <t>23451;7175;6872;1656;546;9972;6433;8661;1778;9790;257218;9733;6873;23064;23126;23332;23369;23522;3842;91746;51773;9169;6311;10142;23195;26523;23405;5286;8867;11168;6341;10093;2033;23392;55320;10594;26065;25909;7994;10426;192669;27161</t>
  </si>
  <si>
    <t>SF3B1;TPR;TAF1;DDX6;ATRX;NUP153;SFSWAP;EIF3A;DYNC1H1;BMS1;SHPRH;SART3;TAF2;SETX;POGZ;CLASP1;PUM2;KAT6B;TNPO1;YTHDC1;RSF1;SCAF11;ATXN2;AKAP9;MDN1;AGO1;DICER1;PIK3C2A;SYNJ1;PSIP1;SCO1;ARPC4;EP300;ECPAS;MIS18BP1;PRPF8;LSM14A;AHCTF1;KAT6A;TUBGCP3;AGO3;AGO2</t>
  </si>
  <si>
    <t>http://www.broadinstitute.org/gsea/msigdb/cards/GO_CELLULAR_MACROMOLECULAR_COMPLEX_ASSEMBLY.html</t>
  </si>
  <si>
    <t>8085;9611;23451;7175;673;6872;1656;546;9972;9632;4297;6433;8661;1778;9790;257218;9733;11052;6873;23064;23126;23332;23369;23522;7248;3842;91746;51773;9169;6311;10142;23195;26523;23405;8295;5286;317;9919;8867;11168;6341;8518;7109;2932;10093;5471;2033;9897;55291;139285;23392;55320;10594;26065;25909;7994;10426;56652;192669;440193;27161;7707</t>
  </si>
  <si>
    <t>KMT2D;NCOR1;SF3B1;TPR;BRAF;TAF1;DDX6;ATRX;NUP153;SEC24C;KMT2A;SFSWAP;EIF3A;DYNC1H1;BMS1;SHPRH;SART3;CPSF6;TAF2;SETX;POGZ;CLASP1;PUM2;KAT6B;TSC1;TNPO1;YTHDC1;RSF1;SCAF11;ATXN2;AKAP9;MDN1;AGO1;DICER1;TRRAP;PIK3C2A;APAF1;SEC16A;SYNJ1;PSIP1;SCO1;ELP1;TRAPPC10;GSK3B;ARPC4;PPAT;EP300;WASHC5;PPP6R3;AMER1;ECPAS;MIS18BP1;PRPF8;LSM14A;AHCTF1;KAT6A;TUBGCP3;TWNK;AGO3;CCDC88C;AGO2;ZNF148</t>
  </si>
  <si>
    <t>GO_DOUBLE_STRANDED_DNA_BINDING</t>
  </si>
  <si>
    <t>27107;5451;7579;2475;9972;5591;100381270;4297;6659;4520;23512;10771;23064;57459;64324;26523;1106;571;3096;7528;2117;4361;6670;10153;2551;2033;6596;27332;5469;463;4899;64864;144348;26065;84893;6601;5814;79723;55636;11176;7707;9967;55818</t>
  </si>
  <si>
    <t>ZBTB11;POU2F1;ZSCAN20;MTOR;NUP153;PRKDC;ZBED6;KMT2A;SOX4;MTF1;SUZ12;ZMYND11;SETX;GATAD2B;NSD1;AGO1;CHD2;BACH1;HIVEP1;YY1;ETV3;MRE11;SP3;CEBPZ;GABPA;EP300;HLTF;ZNF638;MED1;ZFHX3;NRF1;RFX7;ZNF664;LSM14A;FBH1;SMARCC2;PURB;SUV39H2;CHD7;BAZ2A;ZNF148;THRAP3;KDM3A</t>
  </si>
  <si>
    <t>http://www.broadinstitute.org/gsea/msigdb/cards/GO_DOUBLE_STRANDED_DNA_BINDING.html</t>
  </si>
  <si>
    <t>GO_RNA_LOCALIZATION</t>
  </si>
  <si>
    <t>8888;9877;9631;7175;9972;5903;9793;23293;7248;23049;6311;59343;7514;10128;472;25909;9887;84248;26019;53981;10762</t>
  </si>
  <si>
    <t>MCM3AP;ZC3H11A;NUP155;TPR;NUP153;RANBP2;CKAP5;SMG6;TSC1;SMG1;ATXN2;SENP2;XPO1;LRPPRC;ATM;AHCTF1;SMG7;FYTTD1;UPF2;CPSF2;NUP50</t>
  </si>
  <si>
    <t>http://www.broadinstitute.org/gsea/msigdb/cards/GO_RNA_LOCALIZATION.html</t>
  </si>
  <si>
    <t>11128;5980;9475;673;6872;5290;2475;5130;5591;5781;5062;6093;8899;22848;255967;57551;11064;55728;22853;23049;30849;53944;51755;7750;200576;8295;5286;905;8812;9113;5422;4140;2932;10914;11214;6789;472;1859;93;8621;10714;5586;388228;79707;11011;204851;79646;51455;9874;4216</t>
  </si>
  <si>
    <t>POLR3A;REV3L;ROCK2;BRAF;TAF1;PIK3CA;MTOR;PCYT1A;PRKDC;PTPN11;PAK2;ROCK1;PRPF4B;AAK1;PAN3;TAOK1;CNTRL;N4BP2;LMTK2;SMG1;PIK3R4;CSNK1G1;CDK12;ZMYM2;PIKFYVE;TRRAP;PIK3C2A;CCNT2;CCNK;LATS1;POLA1;MARK3;GSK3B;PAPOLA;AKAP13;STK4;ATM;DYRK1A;ACVR2B;CDK13;POLD3;PKN2;SBK1;NOL9;TLK2;HIPK1;PANK3;REV1;TLK1;MAP3K4</t>
  </si>
  <si>
    <t>GO_PEPTIDE_N_ACETYLTRANSFERASE_ACTIVITY</t>
  </si>
  <si>
    <t>6872;80018;23522;51230;80218;2033;122830;79612;284058;7994;80155;80314;9329;8202</t>
  </si>
  <si>
    <t>TAF1;NAA25;KAT6B;PHF20;NAA50;EP300;NAA30;NAA16;KANSL1;KAT6A;NAA15;EPC1;GTF3C4;NCOA3</t>
  </si>
  <si>
    <t>http://www.broadinstitute.org/gsea/msigdb/cards/GO_PEPTIDE_N_ACETYLTRANSFERASE_ACTIVITY.html</t>
  </si>
  <si>
    <t>10236;7175;3609;26058;7248;57690;26523;57472;23405;23019;8087;9513;9698;27327;22849;192669;4848;27161</t>
  </si>
  <si>
    <t>HNRNPR;TPR;ILF3;GIGYF2;TSC1;TNRC6C;AGO1;CNOT6;DICER1;CNOT1;FXR1;FXR2;PUM1;TNRC6A;CPEB3;AGO3;AC092881.1;AGO2</t>
  </si>
  <si>
    <t>http://www.broadinstitute.org/gsea/msigdb/cards/GO_NEGATIVE_REGULATION_OF_CELLULAR_AMIDE_METABOLIC_PROCESS.html</t>
  </si>
  <si>
    <t>GO_ATPASE_ACTIVITY</t>
  </si>
  <si>
    <t>1656;3799;5981;546;7155;1660;2186;1778;375748;90957;84181;51773;10730;170506;79572;57680;23195;54454;1106;23095;4361;6596;347240;9879;55605;2074;84893;92797;9188;23499;23200</t>
  </si>
  <si>
    <t>DDX6;KIF5B;RFC1;ATRX;TOP2B;DHX9;BPTF;DYNC1H1;ERCC6L2;DHX57;CHD6;RSF1;YME1L1;DHX36;ATP13A3;CHD8;MDN1;ATAD2B;CHD2;KIF1B;MRE11;HLTF;KIF24;DDX46;KIF21A;ERCC6;FBH1;HELB;DDX21;MACF1;ATP11B</t>
  </si>
  <si>
    <t>http://www.broadinstitute.org/gsea/msigdb/cards/GO_ATPASE_ACTIVITY.html</t>
  </si>
  <si>
    <t>GO_CORE_PROMOTER_BINDING</t>
  </si>
  <si>
    <t>3192;4297;6659;4520;23512;64324;170506;26523;1106;2005;6670;2033;5469;463;4899;11176;27161;9967;55818</t>
  </si>
  <si>
    <t>HNRNPU;KMT2A;SOX4;MTF1;SUZ12;NSD1;DHX36;AGO1;CHD2;ELK4;SP3;EP300;MED1;ZFHX3;NRF1;BAZ2A;AGO2;THRAP3;KDM3A</t>
  </si>
  <si>
    <t>http://www.broadinstitute.org/gsea/msigdb/cards/GO_CORE_PROMOTER_BINDING.html</t>
  </si>
  <si>
    <t>11128;4976;9475;7175;673;2475;546;4297;9733;9869;255967;25836;253260;22976;23332;10075;80312;55023;85459;80351;170506;57472;23019;8867;6249;2932;4361;10093;2033;472;7159;22930;10426;4848;253725;4216</t>
  </si>
  <si>
    <t>POLR3A;OPA1;ROCK2;TPR;BRAF;MTOR;ATRX;KMT2A;SART3;SETDB1;PAN3;NIPBL;RICTOR;PAXIP1;CLASP1;HUWE1;TET1;PHIP;CEP295;TNKS2;DHX36;CNOT6;CNOT1;SYNJ1;CLIP1;GSK3B;MRE11;ARPC4;EP300;ATM;TP53BP2;RAB3GAP1;TUBGCP3;AC092881.1;WASHC2C;MAP3K4</t>
  </si>
  <si>
    <t>11128;9139;4976;9475;7175;673;6872;3799;2475;5048;546;6711;4297;6093;9733;9869;255967;25836;253260;22976;23064;23332;10075;80312;55023;7248;84079;85459;80351;170506;9774;51479;57498;57472;9693;23019;8867;2876;867;6249;2932;4361;10093;2033;472;7159;22930;57534;22849;10426;4848;23499;253725;4216</t>
  </si>
  <si>
    <t>POLR3A;CBFA2T2;OPA1;ROCK2;TPR;BRAF;TAF1;KIF5B;MTOR;PAFAH1B1;ATRX;SPTBN1;KMT2A;ROCK1;SART3;SETDB1;PAN3;NIPBL;RICTOR;PAXIP1;SETX;CLASP1;HUWE1;TET1;PHIP;TSC1;ANKRD27;CEP295;TNKS2;DHX36;BCLAF1;ANKFY1;KIDINS220;CNOT6;RAPGEF2;CNOT1;SYNJ1;GPX1;CBL;CLIP1;GSK3B;MRE11;ARPC4;EP300;ATM;TP53BP2;RAB3GAP1;MIB1;CPEB3;TUBGCP3;AC092881.1;MACF1;WASHC2C;MAP3K4</t>
  </si>
  <si>
    <t>GO_REGULATION_OF_CELL_CYCLE</t>
  </si>
  <si>
    <t>9475;26057;55660;7175;6651;2475;5048;546;5591;7155;5781;6659;26058;23063;55023;7248;30849;64682;55249;59343;57448;51755;57472;9126;23019;7514;905;8812;9113;4361;2033;472;8453;7159;8621;9698;23198;5469;463;5586;55159;10735;55743;26054;4848;51696;26973;23499</t>
  </si>
  <si>
    <t>ROCK2;ANKRD17;PRPF40A;TPR;SON;MTOR;PAFAH1B1;ATRX;PRKDC;TOP2B;PTPN11;SOX4;GIGYF2;WAPL;PHIP;TSC1;PIK3R4;ANAPC1;YY1AP1;SENP2;BIRC6;CDK12;CNOT6;SMC3;CNOT1;XPO1;CCNT2;CCNK;LATS1;MRE11;EP300;ATM;CUL2;TP53BP2;CDK13;PUM1;PSME4;MED1;ZFHX3;PKN2;RFWD3;STAG2;CHFR;SENP6;AC092881.1;HECA;CHORDC1;MACF1</t>
  </si>
  <si>
    <t>http://www.broadinstitute.org/gsea/msigdb/cards/GO_REGULATION_OF_CELL_CYCLE.html</t>
  </si>
  <si>
    <t>GO_CHROMOSOME_CENTROMERIC_REGION</t>
  </si>
  <si>
    <t>7175;5048;546;23160;23244;23332;23063;10274;9126;7514;6249;23468;55320;284058;84295;10735;25909;79723;23047;1788</t>
  </si>
  <si>
    <t>TPR;PAFAH1B1;ATRX;WDR43;PDS5A;CLASP1;WAPL;STAG1;SMC3;XPO1;CLIP1;CBX5;MIS18BP1;KANSL1;PHF6;STAG2;AHCTF1;SUV39H2;PDS5B;DNMT3A</t>
  </si>
  <si>
    <t>http://www.broadinstitute.org/gsea/msigdb/cards/GO_CHROMOSOME_CENTROMERIC_REGION.html</t>
  </si>
  <si>
    <t>GO_CYTOPLASMIC_MRNA_PROCESSING_BODY</t>
  </si>
  <si>
    <t>1656;255967;54542;26523;92312;23019;9698;26065;27327;192669;55802;4848;27161;23112</t>
  </si>
  <si>
    <t>DDX6;PAN3;RC3H2;AGO1;MEX3A;CNOT1;PUM1;LSM14A;TNRC6A;AGO3;DCP1A;AC092881.1;AGO2;TNRC6B</t>
  </si>
  <si>
    <t>http://www.broadinstitute.org/gsea/msigdb/cards/GO_CYTOPLASMIC_MRNA_PROCESSING_BODY.html</t>
  </si>
  <si>
    <t>GO_SISTER_CHROMATID_SEGREGATION</t>
  </si>
  <si>
    <t>5048;5903;7155;9793;23244;25836;57551;23126;23332;23063;10274;80218;9126;7514;9113;6249;4361;10735;25909;23047</t>
  </si>
  <si>
    <t>PAFAH1B1;RANBP2;TOP2B;CKAP5;PDS5A;NIPBL;TAOK1;POGZ;CLASP1;WAPL;STAG1;NAA50;SMC3;XPO1;LATS1;CLIP1;MRE11;STAG2;AHCTF1;PDS5B</t>
  </si>
  <si>
    <t>http://www.broadinstitute.org/gsea/msigdb/cards/GO_SISTER_CHROMATID_SEGREGATION.html</t>
  </si>
  <si>
    <t>GO_NEGATIVE_REGULATION_OF_ORGANELLE_ORGANIZATION</t>
  </si>
  <si>
    <t>4976;9611;51366;7175;5927;546;3192;6711;9793;1778;9320;23332;23063;23293;80312;9711;84079;80351;54552;54454;9126;5116;2876;9897;472;54832;10426;84260;55818</t>
  </si>
  <si>
    <t>OPA1;NCOR1;UBR5;TPR;KDM5A;ATRX;HNRNPU;SPTBN1;CKAP5;DYNC1H1;TRIP12;CLASP1;WAPL;SMG6;TET1;RUBCN;ANKRD27;TNKS2;GNL3L;ATAD2B;SMC3;PCNT;GPX1;WASHC5;ATM;VPS13C;TUBGCP3;TCHP;KDM3A</t>
  </si>
  <si>
    <t>http://www.broadinstitute.org/gsea/msigdb/cards/GO_NEGATIVE_REGULATION_OF_ORGANELLE_ORGANIZATION.html</t>
  </si>
  <si>
    <t>GO_ORGANELLE_FISSION</t>
  </si>
  <si>
    <t>4976;7175;5048;9972;7155;7156;9793;23244;25836;23126;23332;23063;57695;55193;57697;10274;80218;64682;57448;9126;8812;9113;6249;4361;9897;472;9221;55320;10735;8239;10426;55743;23047</t>
  </si>
  <si>
    <t>OPA1;TPR;PAFAH1B1;NUP153;TOP2B;TOP3A;CKAP5;PDS5A;NIPBL;POGZ;CLASP1;WAPL;USP37;PBRM1;FANCM;STAG1;NAA50;ANAPC1;BIRC6;SMC3;CCNK;LATS1;CLIP1;MRE11;WASHC5;ATM;NOLC1;MIS18BP1;STAG2;USP9X;TUBGCP3;CHFR;PDS5B</t>
  </si>
  <si>
    <t>http://www.broadinstitute.org/gsea/msigdb/cards/GO_ORGANELLE_FISSION.html</t>
  </si>
  <si>
    <t>23451;1656;3799;6433;8661;1778;9790;9733;23064;23369;91746;9169;6311;23195;26523;23405;11168;10594;26065;192669;27161</t>
  </si>
  <si>
    <t>SF3B1;DDX6;KIF5B;SFSWAP;EIF3A;DYNC1H1;BMS1;SART3;SETX;PUM2;YTHDC1;SCAF11;ATXN2;MDN1;AGO1;DICER1;PSIP1;PRPF8;LSM14A;AGO3;AGO2</t>
  </si>
  <si>
    <t>10236;55660;23451;3192;1660;6433;8899;9733;23064;91746;9169;11168;51585;10914;8621;55596;10594;9879;92797;64783;23013;55094;57703;53981</t>
  </si>
  <si>
    <t>HNRNPR;PRPF40A;SF3B1;HNRNPU;DHX9;SFSWAP;PRPF4B;SART3;SETX;YTHDC1;SCAF11;PSIP1;PCF11;PAPOLA;CDK13;ZCCHC8;PRPF8;DDX46;HELB;RBM15;SPEN;GPATCH1;CWC22;CPSF2</t>
  </si>
  <si>
    <t>10526;9475;673;9972;5903;6711;6093;23032;9712;3842;85440;84079;57679;51479;23637;7514;4301;11214;22930;23527;57553;57531;23299;55705;10762</t>
  </si>
  <si>
    <t>IPO8;ROCK2;BRAF;NUP153;RANBP2;SPTBN1;ROCK1;USP33;USP6NL;TNPO1;DOCK7;ANKRD27;ALS2;ANKFY1;RABGAP1;XPO1;AFDN;AKAP13;RAB3GAP1;ACAP2;MICAL3;HACE1;BICD2;IPO9;NUP50</t>
  </si>
  <si>
    <t>GO_CHROMOSOME_SEGREGATION</t>
  </si>
  <si>
    <t>5048;5903;7155;9793;23244;25836;57551;23126;23332;23063;57697;10274;80218;9126;7514;9113;6249;4361;472;11011;10735;25909;8239;23047</t>
  </si>
  <si>
    <t>PAFAH1B1;RANBP2;TOP2B;CKAP5;PDS5A;NIPBL;TAOK1;POGZ;CLASP1;WAPL;FANCM;STAG1;NAA50;SMC3;XPO1;LATS1;CLIP1;MRE11;ATM;TLK2;STAG2;AHCTF1;USP9X;PDS5B</t>
  </si>
  <si>
    <t>http://www.broadinstitute.org/gsea/msigdb/cards/GO_CHROMOSOME_SEGREGATION.html</t>
  </si>
  <si>
    <t>GO_NUCLEAR_CHROMOSOME_SEGREGATION</t>
  </si>
  <si>
    <t>5048;5903;7155;9793;23244;25836;57551;23126;23332;23063;57697;10274;80218;9126;7514;9113;6249;4361;472;10735;25909;23047</t>
  </si>
  <si>
    <t>PAFAH1B1;RANBP2;TOP2B;CKAP5;PDS5A;NIPBL;TAOK1;POGZ;CLASP1;WAPL;FANCM;STAG1;NAA50;SMC3;XPO1;LATS1;CLIP1;MRE11;ATM;STAG2;AHCTF1;PDS5B</t>
  </si>
  <si>
    <t>http://www.broadinstitute.org/gsea/msigdb/cards/GO_NUCLEAR_CHROMOSOME_SEGREGATION.html</t>
  </si>
  <si>
    <t>9877;9631;7175;9972;5903;23293;7248;23049;55341;7514;9147;2932;11214;9887;84248;26019;53981;10762</t>
  </si>
  <si>
    <t>ZC3H11A;NUP155;TPR;NUP153;RANBP2;SMG6;TSC1;SMG1;LSG1;XPO1;NEMF;GSK3B;AKAP13;SMG7;FYTTD1;UPF2;CPSF2;NUP50</t>
  </si>
  <si>
    <t>http://www.broadinstitute.org/gsea/msigdb/cards/GO_NUCLEAR_EXPORT.html</t>
  </si>
  <si>
    <t>GO_NUCLEAR_TRANSPORT</t>
  </si>
  <si>
    <t>3840;10526;8888;9877;9631;7175;9972;5903;3836;6711;23293;7248;3842;23049;55341;7514;9147;23633;11168;2932;11214;9887;55705;84248;26019;53981;10762</t>
  </si>
  <si>
    <t>KPNA4;IPO8;MCM3AP;ZC3H11A;NUP155;TPR;NUP153;RANBP2;KPNA1;SPTBN1;SMG6;TSC1;TNPO1;SMG1;LSG1;XPO1;NEMF;KPNA6;PSIP1;GSK3B;AKAP13;SMG7;IPO9;FYTTD1;UPF2;CPSF2;NUP50</t>
  </si>
  <si>
    <t>http://www.broadinstitute.org/gsea/msigdb/cards/GO_NUCLEAR_TRANSPORT.html</t>
  </si>
  <si>
    <t>9475;7175;673;6872;2475;6711;5781;6093;255967;253260;22976;23064;23332;7840;7248;9712;84079;6311;85459;9774;57472;200576;23637;9693;23019;9113;6249;2932;10093;2033;11214;472;22930;26146;10426;142891;84260;26054;4848;23499;253725</t>
  </si>
  <si>
    <t>ROCK2;TPR;BRAF;TAF1;MTOR;SPTBN1;PTPN11;ROCK1;PAN3;RICTOR;PAXIP1;SETX;CLASP1;ALMS1;TSC1;USP6NL;ANKRD27;ATXN2;CEP295;BCLAF1;CNOT6;PIKFYVE;RABGAP1;RAPGEF2;CNOT1;LATS1;CLIP1;GSK3B;ARPC4;EP300;AKAP13;ATM;RAB3GAP1;TRAF3IP1;TUBGCP3;SAMD8;TCHP;SENP6;AC092881.1;MACF1;WASHC2C</t>
  </si>
  <si>
    <t>GO_NUCLEAR_CHROMOSOME</t>
  </si>
  <si>
    <t>23347;9611;546;5591;23512;23064;23126;23063;55193;171023;57459;57634;80351;64426;9126;8295;11168;5422;7528;2117;10128;23468;4361;2551;472;10714;55320;92797;6601;5814;64421;1788;8202</t>
  </si>
  <si>
    <t>SMCHD1;NCOR1;ATRX;PRKDC;SUZ12;SETX;POGZ;WAPL;PBRM1;ASXL1;GATAD2B;EP400;TNKS2;SUDS3;SMC3;TRRAP;PSIP1;POLA1;YY1;ETV3;LRPPRC;CBX5;MRE11;GABPA;ATM;POLD3;MIS18BP1;HELB;SMARCC2;PURB;DCLRE1C;DNMT3A;NCOA3</t>
  </si>
  <si>
    <t>http://www.broadinstitute.org/gsea/msigdb/cards/GO_NUCLEAR_CHROMOSOME.html</t>
  </si>
  <si>
    <t>GO_METHYLATION</t>
  </si>
  <si>
    <t>8085;200424;7468;546;4297;23512;9869;22976;80204;58508;57459;64324;29072;55870;23067;51742;25962;79723;79813;56980;11176;11108;55818;1788</t>
  </si>
  <si>
    <t>KMT2D;TET3;NSD2;ATRX;KMT2A;SUZ12;SETDB1;PAXIP1;FBXO11;KMT2C;GATAD2B;NSD1;SETD2;ASH1L;SETD1B;ARID4B;VIRMA;SUV39H2;EHMT1;PRDM10;BAZ2A;PRDM4;KDM3A;DNMT3A</t>
  </si>
  <si>
    <t>http://www.broadinstitute.org/gsea/msigdb/cards/GO_METHYLATION.html</t>
  </si>
  <si>
    <t>GO_PROTEIN_MODIFICATION_BY_SMALL_PROTEIN_REMOVAL</t>
  </si>
  <si>
    <t>56957;9736;57695;171023;23032;59343;54764;23358;8295;64854;55432;84196;84669;8239;26054;84132;29843</t>
  </si>
  <si>
    <t>OTUD7B;USP34;USP37;ASXL1;USP33;SENP2;ZRANB1;USP24;TRRAP;USP46;YOD1;USP48;USP32;USP9X;SENP6;USP42;SENP1</t>
  </si>
  <si>
    <t>http://www.broadinstitute.org/gsea/msigdb/cards/GO_PROTEIN_MODIFICATION_BY_SMALL_PROTEIN_REMOVAL.html</t>
  </si>
  <si>
    <t>GO_PROTEIN_SUMOYLATION</t>
  </si>
  <si>
    <t>9631;7175;9972;5903;7155;165918;10274;79677;59343;9126;6670;10735;80012;26054;29843;10762</t>
  </si>
  <si>
    <t>NUP155;TPR;NUP153;RANBP2;TOP2B;RNF168;STAG1;SMC6;SENP2;SMC3;SP3;STAG2;PHC3;SENP6;SENP1;NUP50</t>
  </si>
  <si>
    <t>http://www.broadinstitute.org/gsea/msigdb/cards/GO_PROTEIN_SUMOYLATION.html</t>
  </si>
  <si>
    <t>9475;673;6872;5290;2475;5591;5781;5062;6093;8899;22848;255967;57551;11064;55728;22853;23049;30849;53944;51755;7750;200576;8295;5286;905;8812;9113;4140;2932;11214;6789;472;1859;93;8621;5586;388228;79707;11011;204851;79646;9874;4216</t>
  </si>
  <si>
    <t>ROCK2;BRAF;TAF1;PIK3CA;MTOR;PRKDC;PTPN11;PAK2;ROCK1;PRPF4B;AAK1;PAN3;TAOK1;CNTRL;N4BP2;LMTK2;SMG1;PIK3R4;CSNK1G1;CDK12;ZMYM2;PIKFYVE;TRRAP;PIK3C2A;CCNT2;CCNK;LATS1;MARK3;GSK3B;AKAP13;STK4;ATM;DYRK1A;ACVR2B;CDK13;PKN2;SBK1;NOL9;TLK2;HIPK1;PANK3;TLK1;MAP3K4</t>
  </si>
  <si>
    <t>9139;4976;9475;9611;51366;7175;5927;5048;546;3192;6711;6093;9793;1778;9320;23332;23063;23293;80312;9711;84079;6311;80351;54552;54454;9126;9693;5116;2876;2932;9897;472;54832;26146;10426;84260;55818;253725</t>
  </si>
  <si>
    <t>CBFA2T2;OPA1;ROCK2;NCOR1;UBR5;TPR;KDM5A;PAFAH1B1;ATRX;HNRNPU;SPTBN1;ROCK1;CKAP5;DYNC1H1;TRIP12;CLASP1;WAPL;SMG6;TET1;RUBCN;ANKRD27;ATXN2;TNKS2;GNL3L;ATAD2B;SMC3;RAPGEF2;PCNT;GPX1;GSK3B;WASHC5;ATM;VPS13C;TRAF3IP1;TUBGCP3;TCHP;KDM3A;WASHC2C</t>
  </si>
  <si>
    <t>GO_NUCLEOBASE_CONTAINING_COMPOUND_TRANSPORT</t>
  </si>
  <si>
    <t>8888;9877;9631;7175;9972;5903;9793;23293;7248;23049;6311;59343;7514;10128;25909;9887;84248;26019;53981;10762</t>
  </si>
  <si>
    <t>MCM3AP;ZC3H11A;NUP155;TPR;NUP153;RANBP2;CKAP5;SMG6;TSC1;SMG1;ATXN2;SENP2;XPO1;LRPPRC;AHCTF1;SMG7;FYTTD1;UPF2;CPSF2;NUP50</t>
  </si>
  <si>
    <t>http://www.broadinstitute.org/gsea/msigdb/cards/GO_NUCLEOBASE_CONTAINING_COMPOUND_TRANSPORT.html</t>
  </si>
  <si>
    <t>GO_N_ACETYLTRANSFERASE_ACTIVITY</t>
  </si>
  <si>
    <t>http://www.broadinstitute.org/gsea/msigdb/cards/GO_N_ACETYLTRANSFERASE_ACTIVITY.html</t>
  </si>
  <si>
    <t>3840;10526;8888;9475;23317;9631;7175;673;5048;9972;5903;3836;9632;6711;6093;9135;9321;255967;55275;387680;22853;28981;9712;3842;81609;84079;55914;30849;55341;59343;11276;23637;23423;7514;9919;23633;10897;9527;6249;2932;55014;9897;93;22930;54520;23033;55187;54812;54832;157680;26146;9392;25909;84725;55705;9874;10762;23499;253725</t>
  </si>
  <si>
    <t>KPNA4;IPO8;MCM3AP;ROCK2;DNAJC13;NUP155;TPR;BRAF;PAFAH1B1;NUP153;RANBP2;KPNA1;SEC24C;SPTBN1;ROCK1;RABEP1;TRIP11;PAN3;VPS53;WASHC2A;LMTK2;IFT81;USP6NL;TNPO1;SNX27;ANKRD27;ERBIN;PIK3R4;LSG1;SENP2;SYNRG;RABGAP1;TMED3;XPO1;SEC16A;KPNA6;YIF1A;GOSR1;CLIP1;GSK3B;STX17;WASHC5;ACVR2B;RAB3GAP1;CCDC93;DOP1A;VPS13D;AFTPH;VPS13C;VPS13B;TRAF3IP1;TGFBRAP1;AHCTF1;PLEKHA8;IPO9;TLK1;NUP50;MACF1;WASHC2C</t>
  </si>
  <si>
    <t>GO_HISTONE_METHYLTRANSFERASE_ACTIVITY</t>
  </si>
  <si>
    <t>8085;7468;4297;23512;9869;58508;64324;29072;55870;23067;79723;79813</t>
  </si>
  <si>
    <t>KMT2D;NSD2;KMT2A;SUZ12;SETDB1;KMT2C;NSD1;SETD2;ASH1L;SETD1B;SUV39H2;EHMT1</t>
  </si>
  <si>
    <t>http://www.broadinstitute.org/gsea/msigdb/cards/GO_HISTONE_METHYLTRANSFERASE_ACTIVITY.html</t>
  </si>
  <si>
    <t>GO_HISTONE_LYSINE_N_METHYLTRANSFERASE_ACTIVITY</t>
  </si>
  <si>
    <t>8085;7468;4297;9869;58508;64324;29072;55870;23067;79723;79813</t>
  </si>
  <si>
    <t>KMT2D;NSD2;KMT2A;SETDB1;KMT2C;NSD1;SETD2;ASH1L;SETD1B;SUV39H2;EHMT1</t>
  </si>
  <si>
    <t>http://www.broadinstitute.org/gsea/msigdb/cards/GO_HISTONE_LYSINE_N_METHYLTRANSFERASE_ACTIVITY.html</t>
  </si>
  <si>
    <t>GO_CELL_DIVISION</t>
  </si>
  <si>
    <t>9826;9475;55660;7175;6651;5048;6711;9793;23244;23126;23332;23063;11064;57695;10274;85440;64682;57448;9126;905;8812;9113;9897;5586;55320;10735;25909;8239;55743;23047</t>
  </si>
  <si>
    <t>ARHGEF11;ROCK2;PRPF40A;TPR;SON;PAFAH1B1;SPTBN1;CKAP5;PDS5A;POGZ;CLASP1;WAPL;CNTRL;USP37;STAG1;DOCK7;ANAPC1;BIRC6;SMC3;CCNT2;CCNK;LATS1;WASHC5;PKN2;MIS18BP1;STAG2;AHCTF1;USP9X;CHFR;PDS5B</t>
  </si>
  <si>
    <t>http://www.broadinstitute.org/gsea/msigdb/cards/GO_CELL_DIVISION.html</t>
  </si>
  <si>
    <t>9475;673;6872;5290;2475;5591;5062;6093;8899;22848;255967;57551;11064;22853;23049;30849;53944;51755;7750;905;8812;9113;4140;2932;11214;6789;472;1859;93;8621;5586;388228;11011;204851;9874;4216</t>
  </si>
  <si>
    <t>ROCK2;BRAF;TAF1;PIK3CA;MTOR;PRKDC;PAK2;ROCK1;PRPF4B;AAK1;PAN3;TAOK1;CNTRL;LMTK2;SMG1;PIK3R4;CSNK1G1;CDK12;ZMYM2;CCNT2;CCNK;LATS1;MARK3;GSK3B;AKAP13;STK4;ATM;DYRK1A;ACVR2B;CDK13;PKN2;SBK1;TLK2;HIPK1;TLK1;MAP3K4</t>
  </si>
  <si>
    <t>GO_NUCLEAR_MEMBRANE</t>
  </si>
  <si>
    <t>8888;9631;7175;5048;9972;5903;8315;23001;23369;3842;55914;51230;59343;7514;10128;3930;92140;25909;64783;80314;29843;10762;23200</t>
  </si>
  <si>
    <t>MCM3AP;NUP155;TPR;PAFAH1B1;NUP153;RANBP2;BRAP;WDFY3;PUM2;TNPO1;ERBIN;PHF20;SENP2;XPO1;LRPPRC;LBR;MTDH;AHCTF1;RBM15;EPC1;SENP1;NUP50;ATP11B</t>
  </si>
  <si>
    <t>http://www.broadinstitute.org/gsea/msigdb/cards/GO_NUCLEAR_MEMBRANE.html</t>
  </si>
  <si>
    <t>GO_GENE_SILENCING</t>
  </si>
  <si>
    <t>8085;10526;9631;7175;9972;5903;57690;26523;57472;23405;23019;9698;27327;192669;4848;11176;27161;10762;23112;1788</t>
  </si>
  <si>
    <t>KMT2D;IPO8;NUP155;TPR;NUP153;RANBP2;TNRC6C;AGO1;CNOT6;DICER1;CNOT1;PUM1;TNRC6A;AGO3;AC092881.1;BAZ2A;AGO2;NUP50;TNRC6B;DNMT3A</t>
  </si>
  <si>
    <t>http://www.broadinstitute.org/gsea/msigdb/cards/GO_GENE_SILENCING.html</t>
  </si>
  <si>
    <t>GO_MITOTIC_NUCLEAR_DIVISION</t>
  </si>
  <si>
    <t>7175;5048;9972;9793;23244;25836;23126;23332;23063;57695;55193;10274;80218;64682;57448;9126;8812;9113;6249;9221;55320;10735;8239;10426;55743;23047</t>
  </si>
  <si>
    <t>TPR;PAFAH1B1;NUP153;CKAP5;PDS5A;NIPBL;POGZ;CLASP1;WAPL;USP37;PBRM1;STAG1;NAA50;ANAPC1;BIRC6;SMC3;CCNK;LATS1;CLIP1;NOLC1;MIS18BP1;STAG2;USP9X;TUBGCP3;CHFR;PDS5B</t>
  </si>
  <si>
    <t>http://www.broadinstitute.org/gsea/msigdb/cards/GO_MITOTIC_NUCLEAR_DIVISION.html</t>
  </si>
  <si>
    <t>GO_NEGATIVE_REGULATION_OF_DNA_METABOLIC_PROCESS</t>
  </si>
  <si>
    <t>51366;3192;9320;23244;23063;23293;254225;80351;54552;9126;4361;472;10735;84893;92797</t>
  </si>
  <si>
    <t>UBR5;HNRNPU;TRIP12;PDS5A;WAPL;SMG6;RNF169;TNKS2;GNL3L;SMC3;MRE11;ATM;STAG2;FBH1;HELB</t>
  </si>
  <si>
    <t>http://www.broadinstitute.org/gsea/msigdb/cards/GO_NEGATIVE_REGULATION_OF_DNA_METABOLIC_PROCESS.html</t>
  </si>
  <si>
    <t>GO_TRANSFERASE_COMPLEX_TRANSFERRING_PHOSPHORUS_CONTAINING_GROUPS</t>
  </si>
  <si>
    <t>11128;5980;6872;5927;5290;2475;23248;6873;84181;30849;51755;8295;6874;5286;905;8812;5422;2957;8621;10714;92797</t>
  </si>
  <si>
    <t>POLR3A;REV3L;TAF1;KDM5A;PIK3CA;MTOR;RPRD2;TAF2;CHD6;PIK3R4;CDK12;TRRAP;TAF4;PIK3C2A;CCNT2;CCNK;POLA1;GTF2A1;CDK13;POLD3;HELB</t>
  </si>
  <si>
    <t>http://www.broadinstitute.org/gsea/msigdb/cards/GO_TRANSFERASE_COMPLEX_TRANSFERRING_PHOSPHORUS_CONTAINING_GROUPS.html</t>
  </si>
  <si>
    <t>3840;10526;8888;9475;9631;7175;673;546;5903;3836;9632;6711;1660;6093;9321;26005;255967;51248;25836;23063;28981;9712;3842;81609;55914;30849;80351;11276;200576;23637;9693;7514;23633;9113;6249;2932;55014;472;22930;23527;55187;54832;254887;26146;9392;55705;11190;65250;55802;56995;9874;10762;23499</t>
  </si>
  <si>
    <t>KPNA4;IPO8;MCM3AP;ROCK2;NUP155;TPR;BRAF;ATRX;RANBP2;KPNA1;SEC24C;SPTBN1;DHX9;ROCK1;TRIP11;C2CD3;PAN3;PDZD11;NIPBL;WAPL;IFT81;USP6NL;TNPO1;SNX27;ERBIN;PIK3R4;TNKS2;SYNRG;PIKFYVE;RABGAP1;RAPGEF2;XPO1;KPNA6;LATS1;CLIP1;GSK3B;STX17;ATM;RAB3GAP1;ACAP2;VPS13D;VPS13C;ZDHHC23;TRAF3IP1;TGFBRAP1;IPO9;CEP250;CPLANE1;DCP1A;TULP4;TLK1;NUP50;MACF1</t>
  </si>
  <si>
    <t>http://www.broadinstitute.org/gsea/msigdb/cards/GO_CELLULAR_MACROMOLECULE_LOCALIZATION.html</t>
  </si>
  <si>
    <t>GO_REGULATION_OF_CHROMATIN_ORGANIZATION</t>
  </si>
  <si>
    <t>51366;7175;5927;4297;9320;9733;9869;25836;22976;80312;64324;54454;2033;472;11011;9874;55818</t>
  </si>
  <si>
    <t>UBR5;TPR;KDM5A;KMT2A;TRIP12;SART3;SETDB1;NIPBL;PAXIP1;TET1;NSD1;ATAD2B;EP300;ATM;TLK2;TLK1;KDM3A</t>
  </si>
  <si>
    <t>http://www.broadinstitute.org/gsea/msigdb/cards/GO_REGULATION_OF_CHROMATIN_ORGANIZATION.html</t>
  </si>
  <si>
    <t>23014;51366;1656;5290;2475;5048;7182;3836;9320;255967;23352;56957;130507;9736;89910;5930;10075;57695;23293;80204;165918;23032;80311;23049;10730;30849;10940;64682;54764;26523;57472;23358;23405;23019;9870;8867;10299;10277;2876;867;2932;64854;5471;472;8453;23198;139285;55432;23392;55159;84196;57531;54464;84669;84893;9887;8239;55102;55743;192669;84132;26019;55802;51132;4848;25831;9967</t>
  </si>
  <si>
    <t>FBXO21;UBR5;DDX6;PIK3CA;MTOR;PAFAH1B1;NR2C2;KPNA1;TRIP12;PAN3;UBR4;OTUD7B;UBR3;USP34;UBE3B;RBBP6;HUWE1;USP37;SMG6;FBXO11;RNF168;USP33;KLHL15;SMG1;YME1L1;PIK3R4;POP1;ANAPC1;ZRANB1;AGO1;CNOT6;USP24;DICER1;CNOT1;AREL1;SYNJ1;MARCH6;UBE4B;GPX1;CBL;GSK3B;USP46;PPAT;ATM;CUL2;PSME4;AMER1;YOD1;ECPAS;RFWD3;USP48;HACE1;XRN1;USP32;FBH1;SMG7;USP9X;ATG2B;CHFR;AGO3;USP42;UPF2;DCP1A;RLIM;AC092881.1;HECTD1;THRAP3</t>
  </si>
  <si>
    <t>http://www.broadinstitute.org/gsea/msigdb/cards/GO_CATABOLIC_PROCESS.html</t>
  </si>
  <si>
    <t>GO_DNA_DEPENDENT_ATPASE_ACTIVITY</t>
  </si>
  <si>
    <t>5981;546;7155;1660;2186;84181;170506;57680;1106;4361;2074;84893;92797</t>
  </si>
  <si>
    <t>RFC1;ATRX;TOP2B;DHX9;BPTF;CHD6;DHX36;CHD8;CHD2;MRE11;ERCC6;FBH1;HELB</t>
  </si>
  <si>
    <t>http://www.broadinstitute.org/gsea/msigdb/cards/GO_DNA_DEPENDENT_ATPASE_ACTIVITY.html</t>
  </si>
  <si>
    <t>GO_NEGATIVE_REGULATION_OF_CHROMOSOME_ORGANIZATION</t>
  </si>
  <si>
    <t>51366;7175;5927;546;3192;9320;23063;23293;80312;80351;54552;54454;472;55818</t>
  </si>
  <si>
    <t>UBR5;TPR;KDM5A;ATRX;HNRNPU;TRIP12;WAPL;SMG6;TET1;TNKS2;GNL3L;ATAD2B;ATM;KDM3A</t>
  </si>
  <si>
    <t>http://www.broadinstitute.org/gsea/msigdb/cards/GO_NEGATIVE_REGULATION_OF_CHROMOSOME_ORGANIZATION.html</t>
  </si>
  <si>
    <t>11128;4976;26057;9611;5495;9631;23328;51366;7468;7175;673;2475;5048;9972;5903;5591;5781;5062;9320;10771;55183;253260;57551;23332;165918;23001;254225;23369;7248;9711;55914;30849;51322;59343;55870;9774;200576;2876;2932;9513;2033;472;1859;9698;23198;22930;5469;55432;55159;54832;2074;26065;84893;92797;26146;2140;26973;10762;4216</t>
  </si>
  <si>
    <t>POLR3A;OPA1;ANKRD17;NCOR1;PPM1B;NUP155;SASH1;UBR5;NSD2;TPR;BRAF;MTOR;PAFAH1B1;NUP153;RANBP2;PRKDC;PTPN11;PAK2;TRIP12;ZMYND11;RIF1;RICTOR;TAOK1;CLASP1;RNF168;WDFY3;RNF169;PUM2;TSC1;RUBCN;ERBIN;PIK3R4;WAC;SENP2;ASH1L;BCLAF1;PIKFYVE;GPX1;GSK3B;FXR2;EP300;ATM;DYRK1A;PUM1;PSME4;RAB3GAP1;MED1;YOD1;RFWD3;VPS13C;ERCC6;LSM14A;FBH1;HELB;TRAF3IP1;EYA3;CHORDC1;NUP50;MAP3K4</t>
  </si>
  <si>
    <t>GO_PML_BODY</t>
  </si>
  <si>
    <t>2475;546;7156;23001;79677;59343;7750;23468;4361;6670;55159;204851;7994;55743</t>
  </si>
  <si>
    <t>MTOR;ATRX;TOP3A;WDFY3;SMC6;SENP2;ZMYM2;CBX5;MRE11;SP3;RFWD3;HIPK1;KAT6A;CHFR</t>
  </si>
  <si>
    <t>http://www.broadinstitute.org/gsea/msigdb/cards/GO_PML_BODY.html</t>
  </si>
  <si>
    <t>GO_REGULATION_OF_CATABOLIC_PROCESS</t>
  </si>
  <si>
    <t>11128;10236;9611;140710;7175;6872;405;2475;8925;23001;23032;7248;9711;51322;64682;57690;200576;23019;317;7514;2876;10128;2932;2033;472;23198;22930;139285;55432;54832;92140;11011;22849;55743;79048;29843;27161;23112</t>
  </si>
  <si>
    <t>POLR3A;HNRNPR;NCOR1;SOGA1;TPR;TAF1;ARNT;MTOR;HERC1;WDFY3;USP33;TSC1;RUBCN;WAC;ANAPC1;TNRC6C;PIKFYVE;CNOT1;APAF1;XPO1;GPX1;LRPPRC;GSK3B;EP300;ATM;PSME4;RAB3GAP1;AMER1;YOD1;VPS13C;MTDH;TLK2;CPEB3;CHFR;SECISBP2;SENP1;AGO2;TNRC6B</t>
  </si>
  <si>
    <t>http://www.broadinstitute.org/gsea/msigdb/cards/GO_REGULATION_OF_CATABOLIC_PROCESS.html</t>
  </si>
  <si>
    <t>GO_HISTONE_BINDING</t>
  </si>
  <si>
    <t>6872;546;4297;9733;23512;8019;10771;165918;55023;51773;57680;54454;1106;23468;23198;84295;55705;11176</t>
  </si>
  <si>
    <t>TAF1;ATRX;KMT2A;SART3;SUZ12;BRD3;ZMYND11;RNF168;PHIP;RSF1;CHD8;ATAD2B;CHD2;CBX5;PSME4;PHF6;IPO9;BAZ2A</t>
  </si>
  <si>
    <t>http://www.broadinstitute.org/gsea/msigdb/cards/GO_HISTONE_BINDING.html</t>
  </si>
  <si>
    <t>GO_PROTEIN_METHYLTRANSFERASE_ACTIVITY</t>
  </si>
  <si>
    <t>8085;7468;4297;23512;9869;80204;58508;64324;29072;55870;23067;79723;79813</t>
  </si>
  <si>
    <t>KMT2D;NSD2;KMT2A;SUZ12;SETDB1;FBXO11;KMT2C;NSD1;SETD2;ASH1L;SETD1B;SUV39H2;EHMT1</t>
  </si>
  <si>
    <t>http://www.broadinstitute.org/gsea/msigdb/cards/GO_PROTEIN_METHYLTRANSFERASE_ACTIVITY.html</t>
  </si>
  <si>
    <t>GO_UBIQUITIN_LIKE_PROTEIN_SPECIFIC_PROTEASE_ACTIVITY</t>
  </si>
  <si>
    <t>56957;9736;57695;23032;59343;54764;23358;64854;55432;84196;84669;8239;26054;84132;29843</t>
  </si>
  <si>
    <t>OTUD7B;USP34;USP37;USP33;SENP2;ZRANB1;USP24;USP46;YOD1;USP48;USP32;USP9X;SENP6;USP42;SENP1</t>
  </si>
  <si>
    <t>http://www.broadinstitute.org/gsea/msigdb/cards/GO_UBIQUITIN_LIKE_PROTEIN_SPECIFIC_PROTEASE_ACTIVITY.html</t>
  </si>
  <si>
    <t>GO_GENE_SILENCING_BY_RNA</t>
  </si>
  <si>
    <t>10526;9631;7175;9972;5903;57690;26523;57472;23405;23019;27327;192669;4848;27161;10762;23112</t>
  </si>
  <si>
    <t>IPO8;NUP155;TPR;NUP153;RANBP2;TNRC6C;AGO1;CNOT6;DICER1;CNOT1;TNRC6A;AGO3;AC092881.1;AGO2;NUP50;TNRC6B</t>
  </si>
  <si>
    <t>http://www.broadinstitute.org/gsea/msigdb/cards/GO_GENE_SILENCING_BY_RNA.html</t>
  </si>
  <si>
    <t>GO_NEGATIVE_REGULATION_OF_PROTEIN_METABOLIC_PROCESS</t>
  </si>
  <si>
    <t>10236;9475;9611;51366;7175;5927;2475;5048;5591;6659;3609;5062;6093;9320;10771;26058;7248;51322;64682;59343;57690;57448;55870;54552;26523;57472;23405;23019;9113;2876;4763;2932;8087;9513;2033;472;9698;55432;11011;27327;22849;26146;192669;4848;29843;26973;27161;55818</t>
  </si>
  <si>
    <t>HNRNPR;ROCK2;NCOR1;UBR5;TPR;KDM5A;MTOR;PAFAH1B1;PRKDC;SOX4;ILF3;PAK2;ROCK1;TRIP12;ZMYND11;GIGYF2;TSC1;WAC;ANAPC1;SENP2;TNRC6C;BIRC6;ASH1L;GNL3L;AGO1;CNOT6;DICER1;CNOT1;LATS1;GPX1;NF1;GSK3B;FXR1;FXR2;EP300;ATM;PUM1;YOD1;TLK2;TNRC6A;CPEB3;TRAF3IP1;AGO3;AC092881.1;SENP1;CHORDC1;AGO2;KDM3A</t>
  </si>
  <si>
    <t>http://www.broadinstitute.org/gsea/msigdb/cards/GO_NEGATIVE_REGULATION_OF_PROTEIN_METABOLIC_PROCESS.html</t>
  </si>
  <si>
    <t>GO_ACETYLTRANSFERASE_ACTIVITY</t>
  </si>
  <si>
    <t>http://www.broadinstitute.org/gsea/msigdb/cards/GO_ACETYLTRANSFERASE_ACTIVITY.html</t>
  </si>
  <si>
    <t>GO_THYROID_HORMONE_RECEPTOR_BINDING</t>
  </si>
  <si>
    <t>9611;9320;23054;221037;64324;5469;9969;9967;8202</t>
  </si>
  <si>
    <t>NCOR1;TRIP12;NCOA6;JMJD1C;NSD1;MED1;MED13;THRAP3;NCOA3</t>
  </si>
  <si>
    <t>http://www.broadinstitute.org/gsea/msigdb/cards/GO_THYROID_HORMONE_RECEPTOR_BINDING.html</t>
  </si>
  <si>
    <t>GO_N_ACYLTRANSFERASE_ACTIVITY</t>
  </si>
  <si>
    <t>http://www.broadinstitute.org/gsea/msigdb/cards/GO_N_ACYLTRANSFERASE_ACTIVITY.html</t>
  </si>
  <si>
    <t>GO_POSTTRANSCRIPTIONAL_GENE_SILENCING</t>
  </si>
  <si>
    <t>57690;26523;57472;23405;23019;9698;27327;192669;27161;23112</t>
  </si>
  <si>
    <t>TNRC6C;AGO1;CNOT6;DICER1;CNOT1;PUM1;TNRC6A;AGO3;AGO2;TNRC6B</t>
  </si>
  <si>
    <t>http://www.broadinstitute.org/gsea/msigdb/cards/GO_POSTTRANSCRIPTIONAL_GENE_SILENCING.html</t>
  </si>
  <si>
    <t>9475;9611;7175;673;2475;5048;6711;6093;9793;1778;253260;57551;23332;7840;7248;9126;7514;5116;9113;6249;10093;2033;9897;11214;26146;10426;11190;26054;26973;253725</t>
  </si>
  <si>
    <t>ROCK2;NCOR1;TPR;BRAF;MTOR;PAFAH1B1;SPTBN1;ROCK1;CKAP5;DYNC1H1;RICTOR;TAOK1;CLASP1;ALMS1;TSC1;SMC3;XPO1;PCNT;LATS1;CLIP1;ARPC4;EP300;WASHC5;AKAP13;TRAF3IP1;TUBGCP3;CEP250;SENP6;CHORDC1;WASHC2C</t>
  </si>
  <si>
    <t>9475;9611;23328;51366;7175;673;405;5927;5290;2475;5048;5591;4297;5781;6659;5062;6093;9320;9733;10771;25836;253260;22976;57551;80312;55023;7248;64324;85440;57679;10142;64682;59343;55870;54552;51755;57498;9693;905;8812;8518;9113;4763;2932;4361;2033;11214;6789;472;1859;93;23198;22930;55291;139285;2074;84893;26146;10985;55743;440193;26973;55818;4216</t>
  </si>
  <si>
    <t>ROCK2;NCOR1;SASH1;UBR5;TPR;BRAF;ARNT;KDM5A;PIK3CA;MTOR;PAFAH1B1;PRKDC;KMT2A;PTPN11;SOX4;PAK2;ROCK1;TRIP12;SART3;ZMYND11;NIPBL;RICTOR;PAXIP1;TAOK1;TET1;PHIP;TSC1;NSD1;DOCK7;ALS2;AKAP9;ANAPC1;SENP2;ASH1L;GNL3L;CDK12;KIDINS220;RAPGEF2;CCNT2;CCNK;ELP1;LATS1;NF1;GSK3B;MRE11;EP300;AKAP13;STK4;ATM;DYRK1A;ACVR2B;PSME4;RAB3GAP1;PPP6R3;AMER1;ERCC6;FBH1;TRAF3IP1;GCN1;CHFR;CCDC88C;CHORDC1;KDM3A;MAP3K4</t>
  </si>
  <si>
    <t>GO_LYSINE_N_METHYLTRANSFERASE_ACTIVITY</t>
  </si>
  <si>
    <t>http://www.broadinstitute.org/gsea/msigdb/cards/GO_LYSINE_N_METHYLTRANSFERASE_ACTIVITY.html</t>
  </si>
  <si>
    <t>9826;9475;9681;7175;673;5290;2475;546;7182;5591;6711;5781;6659;6654;6093;9869;253260;22976;23064;8315;85440;57679;10142;57690;26523;57472;200576;9693;23019;5286;317;9113;2876;4763;4140;2932;2033;11214;6789;472;8453;7159;23198;5469;5586;11011;204851;57531;2074;26065;27327;10207;192669;56995;4848;440193;9874;27161;23112;4216</t>
  </si>
  <si>
    <t>ARHGEF11;ROCK2;DEPDC5;TPR;BRAF;PIK3CA;MTOR;ATRX;NR2C2;PRKDC;SPTBN1;PTPN11;SOX4;SOS1;ROCK1;SETDB1;RICTOR;PAXIP1;SETX;BRAP;DOCK7;ALS2;AKAP9;TNRC6C;AGO1;CNOT6;PIKFYVE;RAPGEF2;CNOT1;PIK3C2A;APAF1;LATS1;GPX1;NF1;MARK3;GSK3B;EP300;AKAP13;STK4;ATM;CUL2;TP53BP2;PSME4;MED1;PKN2;TLK2;HIPK1;HACE1;ERCC6;LSM14A;TNRC6A;PATJ;AGO3;TULP4;AC092881.1;CCDC88C;TLK1;AGO2;TNRC6B;MAP3K4</t>
  </si>
  <si>
    <t>GO_NUCLEAR_PORE</t>
  </si>
  <si>
    <t>3840;8888;9631;7175;9972;5903;3836;30849;59343;23633;25909;10762</t>
  </si>
  <si>
    <t>KPNA4;MCM3AP;NUP155;TPR;NUP153;RANBP2;KPNA1;PIK3R4;SENP2;KPNA6;AHCTF1;NUP50</t>
  </si>
  <si>
    <t>http://www.broadinstitute.org/gsea/msigdb/cards/GO_NUCLEAR_PORE.html</t>
  </si>
  <si>
    <t>GO_PROTEOLYSIS</t>
  </si>
  <si>
    <t>23014;51366;7428;9320;26005;23352;56957;6873;130507;9736;89910;5930;10075;57695;80204;171023;165918;23032;80311;10730;64682;59343;54764;26190;23358;8295;317;9870;10299;10277;867;7174;2932;64854;8453;23198;139285;84301;55432;23392;84196;57531;84669;8239;55743;26054;84132;51132;29843;25831</t>
  </si>
  <si>
    <t>FBXO21;UBR5;VHL;TRIP12;C2CD3;UBR4;OTUD7B;TAF2;UBR3;USP34;UBE3B;RBBP6;HUWE1;USP37;FBXO11;ASXL1;RNF168;USP33;KLHL15;YME1L1;ANAPC1;SENP2;ZRANB1;FBXW2;USP24;TRRAP;APAF1;AREL1;MARCH6;UBE4B;CBL;TPP2;GSK3B;USP46;CUL2;PSME4;AMER1;DDI2;YOD1;ECPAS;USP48;HACE1;USP32;USP9X;CHFR;SENP6;USP42;RLIM;SENP1;HECTD1</t>
  </si>
  <si>
    <t>http://www.broadinstitute.org/gsea/msigdb/cards/GO_PROTEOLYSIS.html</t>
  </si>
  <si>
    <t>GO_HEART_DEVELOPMENT</t>
  </si>
  <si>
    <t>7468;2475;5591;5781;6659;6654;23054;9321;26005;25836;171023;7248;29072;59343;10277;4763;4361;2033;11214;6789;472;93;5469;57534;26146;64783;65250;55636</t>
  </si>
  <si>
    <t>NSD2;MTOR;PRKDC;PTPN11;SOX4;SOS1;NCOA6;TRIP11;C2CD3;NIPBL;ASXL1;TSC1;SETD2;SENP2;UBE4B;NF1;MRE11;EP300;AKAP13;STK4;ATM;ACVR2B;MED1;MIB1;TRAF3IP1;RBM15;CPLANE1;CHD7</t>
  </si>
  <si>
    <t>http://www.broadinstitute.org/gsea/msigdb/cards/GO_HEART_DEVELOPMENT.html</t>
  </si>
  <si>
    <t>GO_REGULATION_OF_CELL_CYCLE_PROCESS</t>
  </si>
  <si>
    <t>9475;26057;55660;7175;546;5591;6659;26058;23063;55023;30849;64682;59343;57448;57472;9126;23019;7514;8812;4361;2033;472;8621;23198;5469;5586;55159;10735;26054;4848;26973</t>
  </si>
  <si>
    <t>ROCK2;ANKRD17;PRPF40A;TPR;ATRX;PRKDC;SOX4;GIGYF2;WAPL;PHIP;PIK3R4;ANAPC1;SENP2;BIRC6;CNOT6;SMC3;CNOT1;XPO1;CCNK;MRE11;EP300;ATM;CDK13;PSME4;MED1;PKN2;RFWD3;STAG2;SENP6;AC092881.1;CHORDC1</t>
  </si>
  <si>
    <t>http://www.broadinstitute.org/gsea/msigdb/cards/GO_REGULATION_OF_CELL_CYCLE_PROCESS.html</t>
  </si>
  <si>
    <t>10236;23451;7175;11052;23369;54542;51585;8087;9513;9698;22849;84248;5814;79048;55802;27161</t>
  </si>
  <si>
    <t>HNRNPR;SF3B1;TPR;CPSF6;PUM2;RC3H2;PCF11;FXR1;FXR2;PUM1;CPEB3;FYTTD1;PURB;SECISBP2;DCP1A;AGO2</t>
  </si>
  <si>
    <t>GO_DOUBLE_STRANDED_RNA_BINDING</t>
  </si>
  <si>
    <t>3609;170506;26523;23405;8087;92140;26065;55342;192669;9188;27161</t>
  </si>
  <si>
    <t>ILF3;DHX36;AGO1;DICER1;FXR1;MTDH;LSM14A;STRBP;AGO3;DDX21;AGO2</t>
  </si>
  <si>
    <t>http://www.broadinstitute.org/gsea/msigdb/cards/GO_DOUBLE_STRANDED_RNA_BINDING.html</t>
  </si>
  <si>
    <t>3840;10526;4976;8888;9475;9631;7175;673;3799;5048;5903;3836;9632;6711;6093;1778;23160;9321;51248;23332;3842;30849;9693;7514;9919;8867;23095;23633;6249;10128;7109;472;22930;55291;55187;54832;254887;23299;55705;10762;23499</t>
  </si>
  <si>
    <t>KPNA4;IPO8;OPA1;MCM3AP;ROCK2;NUP155;TPR;BRAF;KIF5B;PAFAH1B1;RANBP2;KPNA1;SEC24C;SPTBN1;ROCK1;DYNC1H1;WDR43;TRIP11;PDZD11;CLASP1;TNPO1;PIK3R4;RAPGEF2;XPO1;SEC16A;SYNJ1;KIF1B;KPNA6;CLIP1;LRPPRC;TRAPPC10;ATM;RAB3GAP1;PPP6R3;VPS13D;VPS13C;ZDHHC23;BICD2;IPO9;NUP50;MACF1</t>
  </si>
  <si>
    <t>http://www.broadinstitute.org/gsea/msigdb/cards/GO_SINGLE_ORGANISM_CELLULAR_LOCALIZATION.html</t>
  </si>
  <si>
    <t>9681;7175;3799;5048;5781;23160;22848;9857;25836;23332;165918;254225;55023;57459;23522;55914;51322;26523;9126;6801;23095;51585;8518;6249;10128;2932;10093;2033;472;8453;93;5469;139285;157922;347240;55605;2074;6601;26146;10426;27161;23499</t>
  </si>
  <si>
    <t>DEPDC5;TPR;KIF5B;PAFAH1B1;PTPN11;WDR43;AAK1;CEP350;NIPBL;CLASP1;RNF168;RNF169;PHIP;GATAD2B;KAT6B;ERBIN;WAC;AGO1;SMC3;STRN;KIF1B;PCF11;ELP1;CLIP1;LRPPRC;GSK3B;ARPC4;EP300;ATM;CUL2;ACVR2B;MED1;AMER1;CAMSAP1;KIF24;KIF21A;ERCC6;SMARCC2;TRAF3IP1;TUBGCP3;AGO2;MACF1</t>
  </si>
  <si>
    <t>GO_REGULATION_OF_MRNA_METABOLIC_PROCESS</t>
  </si>
  <si>
    <t>10236;6433;91746;57690;23019;10914;1859;79882;22849;79048;57703;27161;23112;9967</t>
  </si>
  <si>
    <t>HNRNPR;SFSWAP;YTHDC1;TNRC6C;CNOT1;PAPOLA;DYRK1A;ZC3H14;CPEB3;SECISBP2;CWC22;AGO2;TNRC6B;THRAP3</t>
  </si>
  <si>
    <t>http://www.broadinstitute.org/gsea/msigdb/cards/GO_REGULATION_OF_MRNA_METABOLIC_PROCESS.html</t>
  </si>
  <si>
    <t>9877;9631;7175;9972;5903;23293;7248;23049;7514;9887;84248;26019;53981;10762</t>
  </si>
  <si>
    <t>ZC3H11A;NUP155;TPR;NUP153;RANBP2;SMG6;TSC1;SMG1;XPO1;SMG7;FYTTD1;UPF2;CPSF2;NUP50</t>
  </si>
  <si>
    <t>http://www.broadinstitute.org/gsea/msigdb/cards/GO_RIBONUCLEOPROTEIN_COMPLEX_LOCALIZATION.html</t>
  </si>
  <si>
    <t>GO_REGULATION_OF_DNA_REPLICATION</t>
  </si>
  <si>
    <t>26057;546;3192;23244;23063;5930;23293;80351;59343;54552;9126;4361;472;10735;84893;4216</t>
  </si>
  <si>
    <t>ANKRD17;ATRX;HNRNPU;PDS5A;WAPL;RBBP6;SMG6;TNKS2;SENP2;GNL3L;SMC3;MRE11;ATM;STAG2;FBH1;MAP3K4</t>
  </si>
  <si>
    <t>http://www.broadinstitute.org/gsea/msigdb/cards/GO_REGULATION_OF_DNA_REPLICATION.html</t>
  </si>
  <si>
    <t>GO_RNA_PHOSPHODIESTER_BOND_HYDROLYSIS</t>
  </si>
  <si>
    <t>27340;255967;23293;10940;26523;57472;23405;23019;51585;79707;192669;4848;53981;27161</t>
  </si>
  <si>
    <t>UTP20;PAN3;SMG6;POP1;AGO1;CNOT6;DICER1;CNOT1;PCF11;NOL9;AGO3;AC092881.1;CPSF2;AGO2</t>
  </si>
  <si>
    <t>http://www.broadinstitute.org/gsea/msigdb/cards/GO_RNA_PHOSPHODIESTER_BOND_HYDROLYSIS.html</t>
  </si>
  <si>
    <t>GO_DNA_REPLICATION</t>
  </si>
  <si>
    <t>8888;5980;5981;546;7155;7156;23054;5930;57697;259282;5422;4361;472;10714;84893;92797;56652;51455</t>
  </si>
  <si>
    <t>MCM3AP;REV3L;RFC1;ATRX;TOP2B;TOP3A;NCOA6;RBBP6;FANCM;BOD1L1;POLA1;MRE11;ATM;POLD3;FBH1;HELB;TWNK;REV1</t>
  </si>
  <si>
    <t>http://www.broadinstitute.org/gsea/msigdb/cards/GO_DNA_REPLICATION.html</t>
  </si>
  <si>
    <t>GO_HEAD_DEVELOPMENT</t>
  </si>
  <si>
    <t>9611;673;2475;5048;546;7182;5591;7155;5781;6654;2186;23054;8925;26005;25836;166378;7248;85440;29072;64426;57680;9693;317;9919;4763;2932;472;22930;5469;463;6601;79048;65250;55636;7707</t>
  </si>
  <si>
    <t>NCOR1;BRAF;MTOR;PAFAH1B1;ATRX;NR2C2;PRKDC;TOP2B;PTPN11;SOS1;BPTF;NCOA6;HERC1;C2CD3;NIPBL;SPATA5;TSC1;DOCK7;SETD2;SUDS3;CHD8;RAPGEF2;APAF1;SEC16A;NF1;GSK3B;ATM;RAB3GAP1;MED1;ZFHX3;SMARCC2;SECISBP2;CPLANE1;CHD7;ZNF148</t>
  </si>
  <si>
    <t>http://www.broadinstitute.org/gsea/msigdb/cards/GO_HEAD_DEVELOPMENT.html</t>
  </si>
  <si>
    <t>GO_LYSINE_ACETYLATED_HISTONE_BINDING</t>
  </si>
  <si>
    <t>6872;4297;8019;55023;54454;23198;11176</t>
  </si>
  <si>
    <t>TAF1;KMT2A;BRD3;PHIP;ATAD2B;PSME4;BAZ2A</t>
  </si>
  <si>
    <t>http://www.broadinstitute.org/gsea/msigdb/cards/GO_LYSINE_ACETYLATED_HISTONE_BINDING.html</t>
  </si>
  <si>
    <t>GO_DNA_HELICASE_ACTIVITY</t>
  </si>
  <si>
    <t>546;1660;23064;57680;1106;4361;2074;84893;92797;56652</t>
  </si>
  <si>
    <t>ATRX;DHX9;SETX;CHD8;CHD2;MRE11;ERCC6;FBH1;HELB;TWNK</t>
  </si>
  <si>
    <t>http://www.broadinstitute.org/gsea/msigdb/cards/GO_DNA_HELICASE_ACTIVITY.html</t>
  </si>
  <si>
    <t>GO_MICROTUBULE_BASED_PROCESS</t>
  </si>
  <si>
    <t>4976;9475;9611;6651;3799;5048;9793;1778;23160;26005;9857;23332;23032;28981;85440;10142;9126;23095;5116;6249;10128;9897;347240;9662;55605;23299;26146;10426;11190</t>
  </si>
  <si>
    <t>OPA1;ROCK2;NCOR1;SON;KIF5B;PAFAH1B1;CKAP5;DYNC1H1;WDR43;C2CD3;CEP350;CLASP1;USP33;IFT81;DOCK7;AKAP9;SMC3;KIF1B;PCNT;CLIP1;LRPPRC;WASHC5;KIF24;CEP135;KIF21A;BICD2;TRAF3IP1;TUBGCP3;CEP250</t>
  </si>
  <si>
    <t>http://www.broadinstitute.org/gsea/msigdb/cards/GO_MICROTUBULE_BASED_PROCESS.html</t>
  </si>
  <si>
    <t>GO_EMBRYO_DEVELOPMENT_ENDING_IN_BIRTH_OR_EGG_HATCHING</t>
  </si>
  <si>
    <t>405;5591;54799;6659;2186;26005;25836;130507;5930;80312;7248;57679;29072;59343;57680;57448;57498;317;9113;4763;6670;2551;2033;6789;472;5469;57534;26146;4848;55636</t>
  </si>
  <si>
    <t>ARNT;PRKDC;MBTD1;SOX4;BPTF;C2CD3;NIPBL;UBR3;RBBP6;TET1;TSC1;ALS2;SETD2;SENP2;CHD8;BIRC6;KIDINS220;APAF1;LATS1;NF1;SP3;GABPA;EP300;STK4;ATM;MED1;MIB1;TRAF3IP1;AC092881.1;CHD7</t>
  </si>
  <si>
    <t>http://www.broadinstitute.org/gsea/msigdb/cards/GO_EMBRYO_DEVELOPMENT_ENDING_IN_BIRTH_OR_EGG_HATCHING.html</t>
  </si>
  <si>
    <t>GO_DNA_RECOMBINATION</t>
  </si>
  <si>
    <t>5981;546;5591;7155;7156;23054;22976;23064;57697;165918;79677;5422;7528;4361;472;10714;84893;64421</t>
  </si>
  <si>
    <t>RFC1;ATRX;PRKDC;TOP2B;TOP3A;NCOA6;PAXIP1;SETX;FANCM;RNF168;SMC6;POLA1;YY1;MRE11;ATM;POLD3;FBH1;DCLRE1C</t>
  </si>
  <si>
    <t>http://www.broadinstitute.org/gsea/msigdb/cards/GO_DNA_RECOMBINATION.html</t>
  </si>
  <si>
    <t>GO_NEGATIVE_REGULATION_OF_CELL_CYCLE</t>
  </si>
  <si>
    <t>7175;2475;546;5591;7155;6659;26058;23063;7248;57472;9126;23019;8812;9113;4361;2033;472;8453;7159;463;55159;10735;55743;4848;51696;23499</t>
  </si>
  <si>
    <t>TPR;MTOR;ATRX;PRKDC;TOP2B;SOX4;GIGYF2;WAPL;TSC1;CNOT6;SMC3;CNOT1;CCNK;LATS1;MRE11;EP300;ATM;CUL2;TP53BP2;ZFHX3;RFWD3;STAG2;CHFR;AC092881.1;HECA;MACF1</t>
  </si>
  <si>
    <t>http://www.broadinstitute.org/gsea/msigdb/cards/GO_NEGATIVE_REGULATION_OF_CELL_CYCLE.html</t>
  </si>
  <si>
    <t>3840;10526;8888;9631;7175;546;5903;3836;6711;1660;9321;26005;23063;3842;30849;80351;200576;7514;23633;2932;22930;23527;55187;54832;55705;11190;65250;55802;56995;10762</t>
  </si>
  <si>
    <t>KPNA4;IPO8;MCM3AP;NUP155;TPR;ATRX;RANBP2;KPNA1;SPTBN1;DHX9;TRIP11;C2CD3;WAPL;TNPO1;PIK3R4;TNKS2;PIKFYVE;XPO1;KPNA6;GSK3B;RAB3GAP1;ACAP2;VPS13D;VPS13C;IPO9;CEP250;CPLANE1;DCP1A;TULP4;NUP50</t>
  </si>
  <si>
    <t>http://www.broadinstitute.org/gsea/msigdb/cards/GO_PROTEIN_LOCALIZATION_TO_ORGANELLE.html</t>
  </si>
  <si>
    <t>GO_EMBRYO_DEVELOPMENT</t>
  </si>
  <si>
    <t>200424;405;5591;4297;54799;6659;6654;2186;9320;26005;25836;253260;130507;5930;80312;7248;57679;29072;59343;57680;57448;57498;317;9113;4763;6670;2551;2033;6789;472;93;5469;57534;204851;26146;65250;79813;4848;55636;1788</t>
  </si>
  <si>
    <t>TET3;ARNT;PRKDC;KMT2A;MBTD1;SOX4;SOS1;BPTF;TRIP12;C2CD3;NIPBL;RICTOR;UBR3;RBBP6;TET1;TSC1;ALS2;SETD2;SENP2;CHD8;BIRC6;KIDINS220;APAF1;LATS1;NF1;SP3;GABPA;EP300;STK4;ATM;ACVR2B;MED1;MIB1;HIPK1;TRAF3IP1;CPLANE1;EHMT1;AC092881.1;CHD7;DNMT3A</t>
  </si>
  <si>
    <t>http://www.broadinstitute.org/gsea/msigdb/cards/GO_EMBRYO_DEVELOPMENT.html</t>
  </si>
  <si>
    <t>GO_N_METHYLTRANSFERASE_ACTIVITY</t>
  </si>
  <si>
    <t>8085;7468;4297;9869;80204;58508;64324;29072;55870;23067;79723;79813</t>
  </si>
  <si>
    <t>KMT2D;NSD2;KMT2A;SETDB1;FBXO11;KMT2C;NSD1;SETD2;ASH1L;SETD1B;SUV39H2;EHMT1</t>
  </si>
  <si>
    <t>http://www.broadinstitute.org/gsea/msigdb/cards/GO_N_METHYLTRANSFERASE_ACTIVITY.html</t>
  </si>
  <si>
    <t>9475;5495;7175;673;6872;5290;2475;5048;7182;5130;5591;6711;5781;6654;3609;5062;6093;8899;22848;255967;253260;57551;23064;8315;11064;55728;22853;23049;30849;10142;53944;57448;51755;7750;200576;8295;9693;5286;8867;905;8812;8518;9113;2876;4763;4140;2932;5471;11214;6789;472;1859;93;8621;23198;5469;5586;388228;79707;11011;204851;2074;160760;142891;2140;79646;9874;4216</t>
  </si>
  <si>
    <t>ROCK2;PPM1B;TPR;BRAF;TAF1;PIK3CA;MTOR;PAFAH1B1;NR2C2;PCYT1A;PRKDC;SPTBN1;PTPN11;SOS1;ILF3;PAK2;ROCK1;PRPF4B;AAK1;PAN3;RICTOR;TAOK1;SETX;BRAP;CNTRL;N4BP2;LMTK2;SMG1;PIK3R4;AKAP9;CSNK1G1;BIRC6;CDK12;ZMYM2;PIKFYVE;TRRAP;RAPGEF2;PIK3C2A;SYNJ1;CCNT2;CCNK;ELP1;LATS1;GPX1;NF1;MARK3;GSK3B;PPAT;AKAP13;STK4;ATM;DYRK1A;ACVR2B;CDK13;PSME4;MED1;PKN2;SBK1;NOL9;TLK2;HIPK1;ERCC6;PPTC7;SAMD8;EYA3;PANK3;TLK1;MAP3K4</t>
  </si>
  <si>
    <t>GO_REGULATION_OF_ORGANELLE_ASSEMBLY</t>
  </si>
  <si>
    <t>7175;255967;9712;6311;85459;57472;200576;23637;23019;2033;11214;22930;84260;26054;4848</t>
  </si>
  <si>
    <t>TPR;PAN3;USP6NL;ATXN2;CEP295;CNOT6;PIKFYVE;RABGAP1;CNOT1;EP300;AKAP13;RAB3GAP1;TCHP;SENP6;AC092881.1</t>
  </si>
  <si>
    <t>http://www.broadinstitute.org/gsea/msigdb/cards/GO_REGULATION_OF_ORGANELLE_ASSEMBLY.html</t>
  </si>
  <si>
    <t>GO_SWI_SNF_SUPERFAMILY_TYPE_COMPLEX</t>
  </si>
  <si>
    <t>546;2186;196528;55193;57492;57459;57634;51773;8295;7528;6601</t>
  </si>
  <si>
    <t>ATRX;BPTF;ARID2;PBRM1;ARID1B;GATAD2B;EP400;RSF1;TRRAP;YY1;SMARCC2</t>
  </si>
  <si>
    <t>http://www.broadinstitute.org/gsea/msigdb/cards/GO_SWI_SNF_SUPERFAMILY_TYPE_COMPLEX.html</t>
  </si>
  <si>
    <t>GO_REGULATION_OF_MICROTUBULE_BASED_PROCESS</t>
  </si>
  <si>
    <t>9475;9611;7175;5048;9793;1778;23332;9126;7514;5116;6249;2932;9897;26146;10426;11190;26054;26973;23499</t>
  </si>
  <si>
    <t>ROCK2;NCOR1;TPR;PAFAH1B1;CKAP5;DYNC1H1;CLASP1;SMC3;XPO1;PCNT;CLIP1;GSK3B;WASHC5;TRAF3IP1;TUBGCP3;CEP250;SENP6;CHORDC1;MACF1</t>
  </si>
  <si>
    <t>http://www.broadinstitute.org/gsea/msigdb/cards/GO_REGULATION_OF_MICROTUBULE_BASED_PROCESS.html</t>
  </si>
  <si>
    <t>9826;9681;5981;5290;6654;5062;26130;84986;9135;253260;57148;9712;84079;57679;23637;9693;317;4763;6789;23198;22930;23527;253959;2074;119016;55802;9329</t>
  </si>
  <si>
    <t>ARHGEF11;DEPDC5;RFC1;PIK3CA;SOS1;PAK2;GAPVD1;ARHGAP19;RABEP1;RICTOR;RALGAPB;USP6NL;ANKRD27;ALS2;RABGAP1;RAPGEF2;APAF1;NF1;STK4;PSME4;RAB3GAP1;ACAP2;RALGAPA1;ERCC6;AGAP4;DCP1A;GTF3C4</t>
  </si>
  <si>
    <t>GO_THIOL_DEPENDENT_UBIQUITIN_SPECIFIC_PROTEASE_ACTIVITY</t>
  </si>
  <si>
    <t>56957;9736;57695;23032;54764;64854;55432;84196;84669;8239;84132</t>
  </si>
  <si>
    <t>OTUD7B;USP34;USP37;USP33;ZRANB1;USP46;YOD1;USP48;USP32;USP9X;USP42</t>
  </si>
  <si>
    <t>http://www.broadinstitute.org/gsea/msigdb/cards/GO_THIOL_DEPENDENT_UBIQUITIN_SPECIFIC_PROTEASE_ACTIVITY.html</t>
  </si>
  <si>
    <t>9826;9475;9611;55660;6651;5048;6093;9793;1778;23160;26005;9857;9202;253260;23332;23032;55023;85440;55914;10142;7750;54764;9126;285527;5116;4763;6249;10093;9897;157922;347240;9662;254065;57553;23299;10426;11190;54014</t>
  </si>
  <si>
    <t>ARHGEF11;ROCK2;NCOR1;PRPF40A;SON;PAFAH1B1;ROCK1;CKAP5;DYNC1H1;WDR43;C2CD3;CEP350;ZMYM4;RICTOR;CLASP1;USP33;PHIP;DOCK7;ERBIN;AKAP9;ZMYM2;ZRANB1;SMC3;FRYL;PCNT;NF1;CLIP1;ARPC4;WASHC5;CAMSAP1;KIF24;CEP135;BRWD3;MICAL3;BICD2;TUBGCP3;CEP250;BRWD1</t>
  </si>
  <si>
    <t>57532;23185;6311;26523;8087;9513;122830;10985;27161</t>
  </si>
  <si>
    <t>NUFIP2;LARP4B;ATXN2;AGO1;FXR1;FXR2;NAA30;GCN1;AGO2</t>
  </si>
  <si>
    <t>http://www.broadinstitute.org/gsea/msigdb/cards/GO_POLYSOME.html</t>
  </si>
  <si>
    <t>GO_PROTEIN_UBIQUITINATION_INVOLVED_IN_UBIQUITIN_DEPENDENT_PROTEIN_CATABOLIC_PROCESS</t>
  </si>
  <si>
    <t>51366;9320;23352;89910;5930;10075;80311;64682;9870;10277;867;8453;57531;25831</t>
  </si>
  <si>
    <t>UBR5;TRIP12;UBR4;UBE3B;RBBP6;HUWE1;KLHL15;ANAPC1;AREL1;UBE4B;CBL;CUL2;HACE1;HECTD1</t>
  </si>
  <si>
    <t>http://www.broadinstitute.org/gsea/msigdb/cards/GO_PROTEIN_UBIQUITINATION_INVOLVED_IN_UBIQUITIN_DEPENDENT_PROTEIN_CATABOLIC_PROCESS.html</t>
  </si>
  <si>
    <t>GO_CELL_CYCLE_PHASE_TRANSITION</t>
  </si>
  <si>
    <t>5048;9793;1778;6873;23332;11064;57695;7840;10142;571;5116;9113;5422;5471;8453;4863;84131;9662;11190</t>
  </si>
  <si>
    <t>PAFAH1B1;CKAP5;DYNC1H1;TAF2;CLASP1;CNTRL;USP37;ALMS1;AKAP9;BACH1;PCNT;LATS1;POLA1;PPAT;CUL2;NPAT;CEP78;CEP135;CEP250</t>
  </si>
  <si>
    <t>http://www.broadinstitute.org/gsea/msigdb/cards/GO_CELL_CYCLE_PHASE_TRANSITION.html</t>
  </si>
  <si>
    <t>GO_REPRODUCTION</t>
  </si>
  <si>
    <t>8085;405;5927;2475;5048;546;7182;5591;7155;5781;6654;2186;7156;23054;23160;25836;23064;57697;166378;28981;89884;29072;59343;57448;9126;6874;23633;7528;4361;6670;5471;9897;6789;472;9698;23198;5469;51742;10735;8239;10426;55342;64783;84132;55636;10765;7707;55818;1788;4216</t>
  </si>
  <si>
    <t>KMT2D;ARNT;KDM5A;MTOR;PAFAH1B1;ATRX;NR2C2;PRKDC;TOP2B;PTPN11;SOS1;BPTF;TOP3A;NCOA6;WDR43;NIPBL;SETX;FANCM;SPATA5;IFT81;LHX4;SETD2;SENP2;BIRC6;SMC3;TAF4;KPNA6;YY1;MRE11;SP3;PPAT;WASHC5;STK4;ATM;PUM1;PSME4;MED1;ARID4B;STAG2;USP9X;TUBGCP3;STRBP;RBM15;USP42;CHD7;KDM5B;ZNF148;KDM3A;DNMT3A;MAP3K4</t>
  </si>
  <si>
    <t>http://www.broadinstitute.org/gsea/msigdb/cards/GO_REPRODUCTION.html</t>
  </si>
  <si>
    <t>GO_PEPTIDYL_LYSINE_DIMETHYLATION</t>
  </si>
  <si>
    <t>4297;29072;55870;79723;79813;55818</t>
  </si>
  <si>
    <t>KMT2A;SETD2;ASH1L;SUV39H2;EHMT1;KDM3A</t>
  </si>
  <si>
    <t>http://www.broadinstitute.org/gsea/msigdb/cards/GO_PEPTIDYL_LYSINE_DIMETHYLATION.html</t>
  </si>
  <si>
    <t>GO_MITOTIC_SISTER_CHROMATID_COHESION</t>
  </si>
  <si>
    <t>23244;25836;23126;80218;9126;23047</t>
  </si>
  <si>
    <t>PDS5A;NIPBL;POGZ;NAA50;SMC3;PDS5B</t>
  </si>
  <si>
    <t>http://www.broadinstitute.org/gsea/msigdb/cards/GO_MITOTIC_SISTER_CHROMATID_COHESION.html</t>
  </si>
  <si>
    <t>GO_CELL_CYCLE_G2_M_PHASE_TRANSITION</t>
  </si>
  <si>
    <t>5048;9793;1778;6873;23332;11064;7840;10142;571;5116;9113;84131;9662;11190</t>
  </si>
  <si>
    <t>PAFAH1B1;CKAP5;DYNC1H1;TAF2;CLASP1;CNTRL;ALMS1;AKAP9;BACH1;PCNT;LATS1;CEP78;CEP135;CEP250</t>
  </si>
  <si>
    <t>http://www.broadinstitute.org/gsea/msigdb/cards/GO_CELL_CYCLE_G2_M_PHASE_TRANSITION.html</t>
  </si>
  <si>
    <t>GO_ATPASE_ACTIVITY_COUPLED</t>
  </si>
  <si>
    <t>1656;5981;546;7155;1660;2186;375748;90957;84181;10730;170506;79572;57680;1106;4361;9879;2074;84893;92797;9188;23200</t>
  </si>
  <si>
    <t>DDX6;RFC1;ATRX;TOP2B;DHX9;BPTF;ERCC6L2;DHX57;CHD6;YME1L1;DHX36;ATP13A3;CHD8;CHD2;MRE11;DDX46;ERCC6;FBH1;HELB;DDX21;ATP11B</t>
  </si>
  <si>
    <t>http://www.broadinstitute.org/gsea/msigdb/cards/GO_ATPASE_ACTIVITY_COUPLED.html</t>
  </si>
  <si>
    <t>GO_REGULATION_OF_RNA_STABILITY</t>
  </si>
  <si>
    <t>10236;2475;3192;1660;23369;3842;7514;9698;23198;79882;54464;22849;55802;9967</t>
  </si>
  <si>
    <t>HNRNPR;MTOR;HNRNPU;DHX9;PUM2;TNPO1;XPO1;PUM1;PSME4;ZC3H14;XRN1;CPEB3;DCP1A;THRAP3</t>
  </si>
  <si>
    <t>http://www.broadinstitute.org/gsea/msigdb/cards/GO_REGULATION_OF_RNA_STABILITY.html</t>
  </si>
  <si>
    <t>GO_PURINE_NTP_DEPENDENT_HELICASE_ACTIVITY</t>
  </si>
  <si>
    <t>1656;1660;375748;90957;84181;170506;1106;4361;9879;84893;92797;9188</t>
  </si>
  <si>
    <t>DDX6;DHX9;ERCC6L2;DHX57;CHD6;DHX36;CHD2;MRE11;DDX46;FBH1;HELB;DDX21</t>
  </si>
  <si>
    <t>http://www.broadinstitute.org/gsea/msigdb/cards/GO_PURINE_NTP_DEPENDENT_HELICASE_ACTIVITY.html</t>
  </si>
  <si>
    <t>GO_POSITIVE_REGULATION_OF_CELLULAR_COMPONENT_BIOGENESIS</t>
  </si>
  <si>
    <t>7175;673;6872;2475;6093;255967;253260;22976;23064;23332;7248;85459;9774;57472;23019;6249;2932;10093;2033;472;22930;10426;4848;253725</t>
  </si>
  <si>
    <t>TPR;BRAF;TAF1;MTOR;ROCK1;PAN3;RICTOR;PAXIP1;SETX;CLASP1;TSC1;CEP295;BCLAF1;CNOT6;CNOT1;CLIP1;GSK3B;ARPC4;EP300;ATM;RAB3GAP1;TUBGCP3;AC092881.1;WASHC2C</t>
  </si>
  <si>
    <t>http://www.broadinstitute.org/gsea/msigdb/cards/GO_POSITIVE_REGULATION_OF_CELLULAR_COMPONENT_BIOGENESIS.html</t>
  </si>
  <si>
    <t>3840;8672;26057;9631;7175;6872;1656;9972;5903;3836;5062;8661;10771;23352;23063;9712;3842;6874;7514;905;11168;8812;2876;5422;23468;4361;2033;8453;8621;64783;23013;10762</t>
  </si>
  <si>
    <t>KPNA4;EIF4G3;ANKRD17;NUP155;TPR;TAF1;DDX6;NUP153;RANBP2;KPNA1;PAK2;EIF3A;ZMYND11;UBR4;WAPL;USP6NL;TNPO1;TAF4;XPO1;CCNT2;PSIP1;CCNK;GPX1;POLA1;CBX5;MRE11;EP300;CUL2;CDK13;RBM15;SPEN;NUP50</t>
  </si>
  <si>
    <t>GO_MICROTUBULE_CYTOSKELETON_ORGANIZATION</t>
  </si>
  <si>
    <t>9475;9611;6651;5048;9793;1778;23160;26005;9857;23332;23032;85440;10142;9126;5116;6249;9897;347240;9662;23299;10426;11190</t>
  </si>
  <si>
    <t>ROCK2;NCOR1;SON;PAFAH1B1;CKAP5;DYNC1H1;WDR43;C2CD3;CEP350;CLASP1;USP33;DOCK7;AKAP9;SMC3;PCNT;CLIP1;WASHC5;KIF24;CEP135;BICD2;TUBGCP3;CEP250</t>
  </si>
  <si>
    <t>http://www.broadinstitute.org/gsea/msigdb/cards/GO_MICROTUBULE_CYTOSKELETON_ORGANIZATION.html</t>
  </si>
  <si>
    <t>GO_DOUBLE_STRAND_BREAK_REPAIR</t>
  </si>
  <si>
    <t>7468;5591;55183;22976;23064;165918;79677;22992;5422;7528;4361;472;84893;64421;2140</t>
  </si>
  <si>
    <t>NSD2;PRKDC;RIF1;PAXIP1;SETX;RNF168;SMC6;KDM2A;POLA1;YY1;MRE11;ATM;FBH1;DCLRE1C;EYA3</t>
  </si>
  <si>
    <t>http://www.broadinstitute.org/gsea/msigdb/cards/GO_DOUBLE_STRAND_BREAK_REPAIR.html</t>
  </si>
  <si>
    <t>GO_NUCLEAR_PERIPHERY</t>
  </si>
  <si>
    <t>55660;7175;9972;9360;22976;3842;9126;11168;5422;7528;25909;22828;1788</t>
  </si>
  <si>
    <t>PRPF40A;TPR;NUP153;PPIG;PAXIP1;TNPO1;SMC3;PSIP1;POLA1;YY1;AHCTF1;SCAF8;DNMT3A</t>
  </si>
  <si>
    <t>http://www.broadinstitute.org/gsea/msigdb/cards/GO_NUCLEAR_PERIPHERY.html</t>
  </si>
  <si>
    <t>GO_CENTRAL_NERVOUS_SYSTEM_DEVELOPMENT</t>
  </si>
  <si>
    <t>9611;2475;5048;546;7182;5591;7155;5781;6659;6654;2186;23054;8925;26005;25836;26058;166378;7248;89884;85440;29072;64426;57680;9693;317;9919;4763;2932;6789;472;22930;5469;463;6601;79048;65250;55636;7707</t>
  </si>
  <si>
    <t>NCOR1;MTOR;PAFAH1B1;ATRX;NR2C2;PRKDC;TOP2B;PTPN11;SOX4;SOS1;BPTF;NCOA6;HERC1;C2CD3;NIPBL;GIGYF2;SPATA5;TSC1;LHX4;DOCK7;SETD2;SUDS3;CHD8;RAPGEF2;APAF1;SEC16A;NF1;GSK3B;STK4;ATM;RAB3GAP1;MED1;ZFHX3;SMARCC2;SECISBP2;CPLANE1;CHD7;ZNF148</t>
  </si>
  <si>
    <t>http://www.broadinstitute.org/gsea/msigdb/cards/GO_CENTRAL_NERVOUS_SYSTEM_DEVELOPMENT.html</t>
  </si>
  <si>
    <t>GO_CORE_PROMOTER_SEQUENCE_SPECIFIC_DNA_BINDING</t>
  </si>
  <si>
    <t>4297;6659;4520;23512;64324;1106;6670;2033;463;4899;11176;9967</t>
  </si>
  <si>
    <t>KMT2A;SOX4;MTF1;SUZ12;NSD1;CHD2;SP3;EP300;ZFHX3;NRF1;BAZ2A;THRAP3</t>
  </si>
  <si>
    <t>http://www.broadinstitute.org/gsea/msigdb/cards/GO_CORE_PROMOTER_SEQUENCE_SPECIFIC_DNA_BINDING.html</t>
  </si>
  <si>
    <t>8085;9611;7175;673;5048;546;9972;9632;4297;9793;1778;257218;9733;11052;196528;23126;23332;23522;7248;3842;51773;10142;29072;23195;9126;8295;5286;317;9919;8867;6341;285527;8518;5116;4763;7109;2932;10093;5471;2033;9897;23198;55291;139285;347240;23392;55320;57553;6601;25909;7994;10426;56652;440193;7707</t>
  </si>
  <si>
    <t>KMT2D;NCOR1;TPR;BRAF;PAFAH1B1;ATRX;NUP153;SEC24C;KMT2A;CKAP5;DYNC1H1;SHPRH;SART3;CPSF6;ARID2;POGZ;CLASP1;KAT6B;TSC1;TNPO1;RSF1;AKAP9;SETD2;MDN1;SMC3;TRRAP;PIK3C2A;APAF1;SEC16A;SYNJ1;SCO1;FRYL;ELP1;PCNT;NF1;TRAPPC10;GSK3B;ARPC4;PPAT;EP300;WASHC5;PSME4;PPP6R3;AMER1;KIF24;ECPAS;MIS18BP1;MICAL3;SMARCC2;AHCTF1;KAT6A;TUBGCP3;TWNK;CCDC88C;ZNF148</t>
  </si>
  <si>
    <t>http://www.broadinstitute.org/gsea/msigdb/cards/GO_PROTEIN_COMPLEX_SUBUNIT_ORGANIZATION.html</t>
  </si>
  <si>
    <t>GO_HISTONE_H4_ACETYLATION</t>
  </si>
  <si>
    <t>4297;57634;51230;80218;8295;2033;284058;80314;55167</t>
  </si>
  <si>
    <t>KMT2A;EP400;PHF20;NAA50;TRRAP;EP300;KANSL1;EPC1;MSL2</t>
  </si>
  <si>
    <t>http://www.broadinstitute.org/gsea/msigdb/cards/GO_HISTONE_H4_ACETYLATION.html</t>
  </si>
  <si>
    <t>GO_REGULATION_OF_RESPONSE_TO_DNA_DAMAGE_STIMULUS</t>
  </si>
  <si>
    <t>51366;7468;9320;55183;165918;254225;59343;9774;472;1859;55159;84893;92797;2140</t>
  </si>
  <si>
    <t>UBR5;NSD2;TRIP12;RIF1;RNF168;RNF169;SENP2;BCLAF1;ATM;DYRK1A;RFWD3;FBH1;HELB;EYA3</t>
  </si>
  <si>
    <t>http://www.broadinstitute.org/gsea/msigdb/cards/GO_REGULATION_OF_RESPONSE_TO_DNA_DAMAGE_STIMULUS.html</t>
  </si>
  <si>
    <t>GO_MICROTUBULE_ORGANIZING_CENTER_PART</t>
  </si>
  <si>
    <t>6093;9793;26005;23332;7840;85459;80351;5116;347240;9662;145508;10426;10198;11190</t>
  </si>
  <si>
    <t>ROCK1;CKAP5;C2CD3;CLASP1;ALMS1;CEP295;TNKS2;PCNT;KIF24;CEP135;CEP128;TUBGCP3;MPHOSPH9;CEP250</t>
  </si>
  <si>
    <t>http://www.broadinstitute.org/gsea/msigdb/cards/GO_MICROTUBULE_ORGANIZING_CENTER_PART.html</t>
  </si>
  <si>
    <t>GO_HORMONE_RECEPTOR_BINDING</t>
  </si>
  <si>
    <t>9611;5781;9320;23054;221037;171023;64324;23019;6801;2033;5469;9969;9967;55818;8202</t>
  </si>
  <si>
    <t>NCOR1;PTPN11;TRIP12;NCOA6;JMJD1C;ASXL1;NSD1;CNOT1;STRN;EP300;MED1;MED13;THRAP3;KDM3A;NCOA3</t>
  </si>
  <si>
    <t>http://www.broadinstitute.org/gsea/msigdb/cards/GO_HORMONE_RECEPTOR_BINDING.html</t>
  </si>
  <si>
    <t>GO_RNA_POLYMERASE_BINDING</t>
  </si>
  <si>
    <t>51322;26523;905;51585;8518;5586;27161;22828</t>
  </si>
  <si>
    <t>WAC;AGO1;CCNT2;PCF11;ELP1;PKN2;AGO2;SCAF8</t>
  </si>
  <si>
    <t>http://www.broadinstitute.org/gsea/msigdb/cards/GO_RNA_POLYMERASE_BINDING.html</t>
  </si>
  <si>
    <t>GO_PROTEIN_POLYUBIQUITINATION</t>
  </si>
  <si>
    <t>23328;51366;9320;257218;5930;10075;165918;64682;80351;54542;10299;10277;7174;6596;23198;57531;55743;51132</t>
  </si>
  <si>
    <t>SASH1;UBR5;TRIP12;SHPRH;RBBP6;HUWE1;RNF168;ANAPC1;TNKS2;RC3H2;MARCH6;UBE4B;TPP2;HLTF;PSME4;HACE1;CHFR;RLIM</t>
  </si>
  <si>
    <t>http://www.broadinstitute.org/gsea/msigdb/cards/GO_PROTEIN_POLYUBIQUITINATION.html</t>
  </si>
  <si>
    <t>GO_DNA_INTEGRITY_CHECKPOINT</t>
  </si>
  <si>
    <t>5591;7155;5781;6659;26058;57551;51322;57472;23019;4361;2033;472;55159;4848</t>
  </si>
  <si>
    <t>PRKDC;TOP2B;PTPN11;SOX4;GIGYF2;TAOK1;WAC;CNOT6;CNOT1;MRE11;EP300;ATM;RFWD3;AC092881.1</t>
  </si>
  <si>
    <t>http://www.broadinstitute.org/gsea/msigdb/cards/GO_DNA_INTEGRITY_CHECKPOINT.html</t>
  </si>
  <si>
    <t>GO_CELL_CYCLE_CHECKPOINT</t>
  </si>
  <si>
    <t>7175;5591;7155;5781;6659;26058;57551;51322;57472;23019;4361;2033;472;55159;55743;4848</t>
  </si>
  <si>
    <t>TPR;PRKDC;TOP2B;PTPN11;SOX4;GIGYF2;TAOK1;WAC;CNOT6;CNOT1;MRE11;EP300;ATM;RFWD3;CHFR;AC092881.1</t>
  </si>
  <si>
    <t>http://www.broadinstitute.org/gsea/msigdb/cards/GO_CELL_CYCLE_CHECKPOINT.html</t>
  </si>
  <si>
    <t>GO_PEPTIDYL_SERINE_MODIFICATION</t>
  </si>
  <si>
    <t>6872;2475;5591;5062;253260;22853;23049;53944;2932;6789;472;1859;5586;11011</t>
  </si>
  <si>
    <t>TAF1;MTOR;PRKDC;PAK2;RICTOR;LMTK2;SMG1;CSNK1G1;GSK3B;STK4;ATM;DYRK1A;PKN2;TLK2</t>
  </si>
  <si>
    <t>http://www.broadinstitute.org/gsea/msigdb/cards/GO_PEPTIDYL_SERINE_MODIFICATION.html</t>
  </si>
  <si>
    <t>GO_DNA_CONFORMATION_CHANGE</t>
  </si>
  <si>
    <t>546;7155;1660;7156;257218;9733;23064;23522;51773;57680;55870;1106;4361;23198;55320;84893;92797;7994;56652</t>
  </si>
  <si>
    <t>ATRX;TOP2B;DHX9;TOP3A;SHPRH;SART3;SETX;KAT6B;RSF1;CHD8;ASH1L;CHD2;MRE11;PSME4;MIS18BP1;FBH1;HELB;KAT6A;TWNK</t>
  </si>
  <si>
    <t>http://www.broadinstitute.org/gsea/msigdb/cards/GO_DNA_CONFORMATION_CHANGE.html</t>
  </si>
  <si>
    <t>GO_POSITIVE_REGULATION_OF_CHROMOSOME_ORGANIZATION</t>
  </si>
  <si>
    <t>7175;546;4297;9733;9869;25836;22976;80312;80351;170506;4361;2033;472;4216</t>
  </si>
  <si>
    <t>TPR;ATRX;KMT2A;SART3;SETDB1;NIPBL;PAXIP1;TET1;TNKS2;DHX36;MRE11;EP300;ATM;MAP3K4</t>
  </si>
  <si>
    <t>http://www.broadinstitute.org/gsea/msigdb/cards/GO_POSITIVE_REGULATION_OF_CHROMOSOME_ORGANIZATION.html</t>
  </si>
  <si>
    <t>GO_N_TERMINAL_PROTEIN_AMINO_ACID_ACETYLATION</t>
  </si>
  <si>
    <t>80018;80218;2033;122830;79612;80155</t>
  </si>
  <si>
    <t>NAA25;NAA50;EP300;NAA30;NAA16;NAA15</t>
  </si>
  <si>
    <t>http://www.broadinstitute.org/gsea/msigdb/cards/GO_N_TERMINAL_PROTEIN_AMINO_ACID_ACETYLATION.html</t>
  </si>
  <si>
    <t>GO_PEROXISOME_PROLIFERATOR_ACTIVATED_RECEPTOR_BINDING</t>
  </si>
  <si>
    <t>9611;23054;55252;171023;2033;5469</t>
  </si>
  <si>
    <t>NCOR1;NCOA6;ASXL2;ASXL1;EP300;MED1</t>
  </si>
  <si>
    <t>http://www.broadinstitute.org/gsea/msigdb/cards/GO_PEROXISOME_PROLIFERATOR_ACTIVATED_RECEPTOR_BINDING.html</t>
  </si>
  <si>
    <t>GO_CIRCULATORY_SYSTEM_DEVELOPMENT</t>
  </si>
  <si>
    <t>26057;7468;5290;2475;5591;5781;6659;6654;23054;9321;26005;25836;22976;171023;7248;29072;59343;9693;10277;2876;4763;4361;2033;11214;6789;472;93;5469;57534;26146;64783;80155;80314;65250;55636</t>
  </si>
  <si>
    <t>ANKRD17;NSD2;PIK3CA;MTOR;PRKDC;PTPN11;SOX4;SOS1;NCOA6;TRIP11;C2CD3;NIPBL;PAXIP1;ASXL1;TSC1;SETD2;SENP2;RAPGEF2;UBE4B;GPX1;NF1;MRE11;EP300;AKAP13;STK4;ATM;ACVR2B;MED1;MIB1;TRAF3IP1;RBM15;NAA15;EPC1;CPLANE1;CHD7</t>
  </si>
  <si>
    <t>http://www.broadinstitute.org/gsea/msigdb/cards/GO_CIRCULATORY_SYSTEM_DEVELOPMENT.html</t>
  </si>
  <si>
    <t>GO_NUCLEAR_IMPORT</t>
  </si>
  <si>
    <t>3840;10526;8888;9631;7175;9972;5903;3836;6711;3842;23633;55705;10762</t>
  </si>
  <si>
    <t>KPNA4;IPO8;MCM3AP;NUP155;TPR;NUP153;RANBP2;KPNA1;SPTBN1;TNPO1;KPNA6;IPO9;NUP50</t>
  </si>
  <si>
    <t>http://www.broadinstitute.org/gsea/msigdb/cards/GO_NUCLEAR_IMPORT.html</t>
  </si>
  <si>
    <t>GO_NON_RECOMBINATIONAL_REPAIR</t>
  </si>
  <si>
    <t>7468;5591;55183;22976;165918;22992;5422;4361;472;64421</t>
  </si>
  <si>
    <t>NSD2;PRKDC;RIF1;PAXIP1;RNF168;KDM2A;POLA1;MRE11;ATM;DCLRE1C</t>
  </si>
  <si>
    <t>http://www.broadinstitute.org/gsea/msigdb/cards/GO_NON_RECOMBINATIONAL_REPAIR.html</t>
  </si>
  <si>
    <t>GO_REGULATION_OF_MRNA_CATABOLIC_PROCESS</t>
  </si>
  <si>
    <t>10236;57690;23019;22849;79048;27161;23112</t>
  </si>
  <si>
    <t>HNRNPR;TNRC6C;CNOT1;CPEB3;SECISBP2;AGO2;TNRC6B</t>
  </si>
  <si>
    <t>http://www.broadinstitute.org/gsea/msigdb/cards/GO_REGULATION_OF_MRNA_CATABOLIC_PROCESS.html</t>
  </si>
  <si>
    <t>GO_N_TERMINAL_PROTEIN_AMINO_ACID_MODIFICATION</t>
  </si>
  <si>
    <t>5495;80018;80218;2033;122830;79612;80155</t>
  </si>
  <si>
    <t>PPM1B;NAA25;NAA50;EP300;NAA30;NAA16;NAA15</t>
  </si>
  <si>
    <t>http://www.broadinstitute.org/gsea/msigdb/cards/GO_N_TERMINAL_PROTEIN_AMINO_ACID_MODIFICATION.html</t>
  </si>
  <si>
    <t>GO_VACUOLAR_TRANSPORT</t>
  </si>
  <si>
    <t>55275;387680;22853;7840;9712;81609;84079;57679;30849;51479;200576;9527;7109;9897;55187;54832;9392;253725</t>
  </si>
  <si>
    <t>VPS53;WASHC2A;LMTK2;ALMS1;USP6NL;SNX27;ANKRD27;ALS2;PIK3R4;ANKFY1;PIKFYVE;GOSR1;TRAPPC10;WASHC5;VPS13D;VPS13C;TGFBRAP1;WASHC2C</t>
  </si>
  <si>
    <t>http://www.broadinstitute.org/gsea/msigdb/cards/GO_VACUOLAR_TRANSPORT.html</t>
  </si>
  <si>
    <t>GO_IN_UTERO_EMBRYONIC_DEVELOPMENT</t>
  </si>
  <si>
    <t>405;2186;26005;130507;5930;80312;57679;29072;59343;57680;57448;57498;9113;6670;2551;6789;5469;57534;4848;55636</t>
  </si>
  <si>
    <t>ARNT;BPTF;C2CD3;UBR3;RBBP6;TET1;ALS2;SETD2;SENP2;CHD8;BIRC6;KIDINS220;LATS1;SP3;GABPA;STK4;MED1;MIB1;AC092881.1;CHD7</t>
  </si>
  <si>
    <t>http://www.broadinstitute.org/gsea/msigdb/cards/GO_IN_UTERO_EMBRYONIC_DEVELOPMENT.html</t>
  </si>
  <si>
    <t>GO_PROTEIN_LOCALIZATION_TO_NUCLEUS</t>
  </si>
  <si>
    <t>3840;10526;8888;9631;7175;5903;3836;6711;3842;200576;7514;23633;55705;10762</t>
  </si>
  <si>
    <t>KPNA4;IPO8;MCM3AP;NUP155;TPR;RANBP2;KPNA1;SPTBN1;TNPO1;PIKFYVE;XPO1;KPNA6;IPO9;NUP50</t>
  </si>
  <si>
    <t>http://www.broadinstitute.org/gsea/msigdb/cards/GO_PROTEIN_LOCALIZATION_TO_NUCLEUS.html</t>
  </si>
  <si>
    <t>GO_G1_DNA_DAMAGE_CHECKPOINT</t>
  </si>
  <si>
    <t>5591;6659;26058;51322;57472;23019;2033;472;55159;4848</t>
  </si>
  <si>
    <t>PRKDC;SOX4;GIGYF2;WAC;CNOT6;CNOT1;EP300;ATM;RFWD3;AC092881.1</t>
  </si>
  <si>
    <t>http://www.broadinstitute.org/gsea/msigdb/cards/GO_G1_DNA_DAMAGE_CHECKPOINT.html</t>
  </si>
  <si>
    <t>GO_REGULATION_OF_MRNA_3_END_PROCESSING</t>
  </si>
  <si>
    <t>57690;23019;10914;79882;22849;27161;23112</t>
  </si>
  <si>
    <t>TNRC6C;CNOT1;PAPOLA;ZC3H14;CPEB3;AGO2;TNRC6B</t>
  </si>
  <si>
    <t>http://www.broadinstitute.org/gsea/msigdb/cards/GO_REGULATION_OF_MRNA_3_END_PROCESSING.html</t>
  </si>
  <si>
    <t>GO_MLL1_2_COMPLEX</t>
  </si>
  <si>
    <t>6872;4297;51230;57680;6874;284058;23269</t>
  </si>
  <si>
    <t>TAF1;KMT2A;PHF20;CHD8;TAF4;KANSL1;MGA</t>
  </si>
  <si>
    <t>http://www.broadinstitute.org/gsea/msigdb/cards/GO_MLL1_2_COMPLEX.html</t>
  </si>
  <si>
    <t>GO_UBIQUITIN_LIGASE_COMPLEX</t>
  </si>
  <si>
    <t>23014;7428;130507;8315;80204;165918;23032;80311;64682;54876;571;10299;10277;8453;5469;25948;80012;84893</t>
  </si>
  <si>
    <t>FBXO21;VHL;UBR3;BRAP;FBXO11;RNF168;USP33;KLHL15;ANAPC1;DCAF16;BACH1;MARCH6;UBE4B;CUL2;MED1;KBTBD2;PHC3;FBH1</t>
  </si>
  <si>
    <t>http://www.broadinstitute.org/gsea/msigdb/cards/GO_UBIQUITIN_LIGASE_COMPLEX.html</t>
  </si>
  <si>
    <t>GO_NUCLEASE_ACTIVITY</t>
  </si>
  <si>
    <t>5980;255967;23293;55728;57697;10940;26523;57472;23405;23019;5422;4361;54464;64421;4848;27161</t>
  </si>
  <si>
    <t>REV3L;PAN3;SMG6;N4BP2;FANCM;POP1;AGO1;CNOT6;DICER1;CNOT1;POLA1;MRE11;XRN1;DCLRE1C;AC092881.1;AGO2</t>
  </si>
  <si>
    <t>http://www.broadinstitute.org/gsea/msigdb/cards/GO_NUCLEASE_ACTIVITY.html</t>
  </si>
  <si>
    <t>GO_DEVELOPMENTAL_PROCESS_INVOLVED_IN_REPRODUCTION</t>
  </si>
  <si>
    <t>8085;405;5927;2475;5048;546;5591;5781;2186;23054;25836;89884;29072;59343;57448;6874;6670;9897;6789;472;23198;5469;51742;55342;64783;55636;10765;55818;4216</t>
  </si>
  <si>
    <t>KMT2D;ARNT;KDM5A;MTOR;PAFAH1B1;ATRX;PRKDC;PTPN11;BPTF;NCOA6;NIPBL;LHX4;SETD2;SENP2;BIRC6;TAF4;SP3;WASHC5;STK4;ATM;PSME4;MED1;ARID4B;STRBP;RBM15;CHD7;KDM5B;KDM3A;MAP3K4</t>
  </si>
  <si>
    <t>http://www.broadinstitute.org/gsea/msigdb/cards/GO_DEVELOPMENTAL_PROCESS_INVOLVED_IN_REPRODUCTION.html</t>
  </si>
  <si>
    <t>GO_CYSTEINE_TYPE_PEPTIDASE_ACTIVITY</t>
  </si>
  <si>
    <t>http://www.broadinstitute.org/gsea/msigdb/cards/GO_CYSTEINE_TYPE_PEPTIDASE_ACTIVITY.html</t>
  </si>
  <si>
    <t>GO_REGULATION_OF_CELLULAR_RESPONSE_TO_HEAT</t>
  </si>
  <si>
    <t>9631;7175;2475;9972;5903;2932;2033;472;26973;10762</t>
  </si>
  <si>
    <t>NUP155;TPR;MTOR;NUP153;RANBP2;GSK3B;EP300;ATM;CHORDC1;NUP50</t>
  </si>
  <si>
    <t>http://www.broadinstitute.org/gsea/msigdb/cards/GO_REGULATION_OF_CELLULAR_RESPONSE_TO_HEAT.html</t>
  </si>
  <si>
    <t>GO_PROTEIN_C_TERMINUS_BINDING</t>
  </si>
  <si>
    <t>23328;7155;51248;25836;6311;23215;4361;4301;2033;7024;4863;9662;2074;11190;27161</t>
  </si>
  <si>
    <t>SASH1;TOP2B;PDZD11;NIPBL;ATXN2;PRRC2C;MRE11;AFDN;EP300;TFCP2;NPAT;CEP135;ERCC6;CEP250;AGO2</t>
  </si>
  <si>
    <t>http://www.broadinstitute.org/gsea/msigdb/cards/GO_PROTEIN_C_TERMINUS_BINDING.html</t>
  </si>
  <si>
    <t>GO_REGULATION_OF_SIGNAL_TRANSDUCTION_BY_P53_CLASS_MEDIATOR</t>
  </si>
  <si>
    <t>6872;7156;6873;51230;59343;6874;4361;2033;472;7159;1859;204851;7994;79813</t>
  </si>
  <si>
    <t>TAF1;TOP3A;TAF2;PHF20;SENP2;TAF4;MRE11;EP300;ATM;TP53BP2;DYRK1A;HIPK1;KAT6A;EHMT1</t>
  </si>
  <si>
    <t>http://www.broadinstitute.org/gsea/msigdb/cards/GO_REGULATION_OF_SIGNAL_TRANSDUCTION_BY_P53_CLASS_MEDIATOR.html</t>
  </si>
  <si>
    <t>GO_MITOTIC_CELL_CYCLE_CHECKPOINT</t>
  </si>
  <si>
    <t>7175;5591;7155;6659;26058;57472;23019;4361;2033;472;55159;55743;4848</t>
  </si>
  <si>
    <t>TPR;PRKDC;TOP2B;SOX4;GIGYF2;CNOT6;CNOT1;MRE11;EP300;ATM;RFWD3;CHFR;AC092881.1</t>
  </si>
  <si>
    <t>http://www.broadinstitute.org/gsea/msigdb/cards/GO_MITOTIC_CELL_CYCLE_CHECKPOINT.html</t>
  </si>
  <si>
    <t>GO_S_ADENOSYLMETHIONINE_DEPENDENT_METHYLTRANSFERASE_ACTIVITY</t>
  </si>
  <si>
    <t>8085;7468;4297;9869;80204;58508;64324;29072;55870;23067;79723;79813;1788</t>
  </si>
  <si>
    <t>KMT2D;NSD2;KMT2A;SETDB1;FBXO11;KMT2C;NSD1;SETD2;ASH1L;SETD1B;SUV39H2;EHMT1;DNMT3A</t>
  </si>
  <si>
    <t>http://www.broadinstitute.org/gsea/msigdb/cards/GO_S_ADENOSYLMETHIONINE_DEPENDENT_METHYLTRANSFERASE_ACTIVITY.html</t>
  </si>
  <si>
    <t>GO_PERINUCLEAR_REGION_OF_CYTOPLASM</t>
  </si>
  <si>
    <t>9681;9611;3799;5048;9632;2186;5062;55275;22853;23369;23032;7248;6311;80351;200576;9693;905;10128;2932;4361;8087;11214;7159;5586;92140;11011;10207;11190;26019;4216</t>
  </si>
  <si>
    <t>DEPDC5;NCOR1;KIF5B;PAFAH1B1;SEC24C;BPTF;PAK2;VPS53;LMTK2;PUM2;USP33;TSC1;ATXN2;TNKS2;PIKFYVE;RAPGEF2;CCNT2;LRPPRC;GSK3B;MRE11;FXR1;AKAP13;TP53BP2;PKN2;MTDH;TLK2;PATJ;CEP250;UPF2;MAP3K4</t>
  </si>
  <si>
    <t>http://www.broadinstitute.org/gsea/msigdb/cards/GO_PERINUCLEAR_REGION_OF_CYTOPLASM.html</t>
  </si>
  <si>
    <t>GO_NEGATIVE_REGULATION_OF_CELL_CYCLE_PROCESS</t>
  </si>
  <si>
    <t>7175;546;5591;6659;26058;23063;57472;9126;23019;8812;4361;2033;472;55159;10735;4848</t>
  </si>
  <si>
    <t>TPR;ATRX;PRKDC;SOX4;GIGYF2;WAPL;CNOT6;SMC3;CNOT1;CCNK;MRE11;EP300;ATM;RFWD3;STAG2;AC092881.1</t>
  </si>
  <si>
    <t>http://www.broadinstitute.org/gsea/msigdb/cards/GO_NEGATIVE_REGULATION_OF_CELL_CYCLE_PROCESS.html</t>
  </si>
  <si>
    <t>673;5591;5781;6659;23215;1106;9841;6670;2033;5469;23335</t>
  </si>
  <si>
    <t>BRAF;PRKDC;PTPN11;SOX4;PRRC2C;CHD2;ZBTB24;SP3;EP300;MED1;WDR7</t>
  </si>
  <si>
    <t>GO_DNA_DEPENDENT_DNA_REPLICATION</t>
  </si>
  <si>
    <t>5980;5981;546;7155;57697;259282;5422;10714;84893;92797;56652</t>
  </si>
  <si>
    <t>REV3L;RFC1;ATRX;TOP2B;FANCM;BOD1L1;POLA1;POLD3;FBH1;HELB;TWNK</t>
  </si>
  <si>
    <t>http://www.broadinstitute.org/gsea/msigdb/cards/GO_DNA_DEPENDENT_DNA_REPLICATION.html</t>
  </si>
  <si>
    <t>GO_RAN_GTPASE_BINDING</t>
  </si>
  <si>
    <t>10526;9972;5903;3842;7514;55705;10762</t>
  </si>
  <si>
    <t>IPO8;NUP153;RANBP2;TNPO1;XPO1;IPO9;NUP50</t>
  </si>
  <si>
    <t>http://www.broadinstitute.org/gsea/msigdb/cards/GO_RAN_GTPASE_BINDING.html</t>
  </si>
  <si>
    <t>8085;26057;23328;51366;673;405;3799;2475;5048;5781;6659;6654;5062;23054;22848;253260;9736;55252;57551;171023;23001;23369;55023;57679;51322;80351;54542;9774;54764;57498;9693;317;8867;2876;4763;867;2932;11214;6789;472;7159;93;9698;23198;22930;5469;139285;92140;2074;26065;84893;23499;4216</t>
  </si>
  <si>
    <t>KMT2D;ANKRD17;SASH1;UBR5;BRAF;ARNT;KIF5B;MTOR;PAFAH1B1;PTPN11;SOX4;SOS1;PAK2;NCOA6;AAK1;RICTOR;USP34;ASXL2;TAOK1;ASXL1;WDFY3;PUM2;PHIP;ALS2;WAC;TNKS2;RC3H2;BCLAF1;ZRANB1;KIDINS220;RAPGEF2;APAF1;SYNJ1;GPX1;NF1;CBL;GSK3B;AKAP13;STK4;ATM;TP53BP2;ACVR2B;PUM1;PSME4;RAB3GAP1;MED1;AMER1;MTDH;ERCC6;LSM14A;FBH1;MACF1;MAP3K4</t>
  </si>
  <si>
    <t>GO_MITOTIC_DNA_INTEGRITY_CHECKPOINT</t>
  </si>
  <si>
    <t>5591;7155;6659;26058;57472;23019;4361;2033;472;55159;4848</t>
  </si>
  <si>
    <t>PRKDC;TOP2B;SOX4;GIGYF2;CNOT6;CNOT1;MRE11;EP300;ATM;RFWD3;AC092881.1</t>
  </si>
  <si>
    <t>http://www.broadinstitute.org/gsea/msigdb/cards/GO_MITOTIC_DNA_INTEGRITY_CHECKPOINT.html</t>
  </si>
  <si>
    <t>GO_TUBULIN_BINDING</t>
  </si>
  <si>
    <t>7175;3799;5048;23160;9857;23332;28981;23637;23095;6249;10128;157922;347240;55605;84295;26146;10426;23499</t>
  </si>
  <si>
    <t>TPR;KIF5B;PAFAH1B1;WDR43;CEP350;CLASP1;IFT81;RABGAP1;KIF1B;CLIP1;LRPPRC;CAMSAP1;KIF24;KIF21A;PHF6;TRAF3IP1;TUBGCP3;MACF1</t>
  </si>
  <si>
    <t>http://www.broadinstitute.org/gsea/msigdb/cards/GO_TUBULIN_BINDING.html</t>
  </si>
  <si>
    <t>GO_DNA_GEOMETRIC_CHANGE</t>
  </si>
  <si>
    <t>546;7155;1660;23064;57680;1106;4361;84893;92797;56652</t>
  </si>
  <si>
    <t>ATRX;TOP2B;DHX9;SETX;CHD8;CHD2;MRE11;FBH1;HELB;TWNK</t>
  </si>
  <si>
    <t>http://www.broadinstitute.org/gsea/msigdb/cards/GO_DNA_GEOMETRIC_CHANGE.html</t>
  </si>
  <si>
    <t>GO_HISTONE_H3_K4_METHYLATION</t>
  </si>
  <si>
    <t>8085;200424;4297;22976;58508;55870;23067</t>
  </si>
  <si>
    <t>KMT2D;TET3;KMT2A;PAXIP1;KMT2C;ASH1L;SETD1B</t>
  </si>
  <si>
    <t>http://www.broadinstitute.org/gsea/msigdb/cards/GO_HISTONE_H3_K4_METHYLATION.html</t>
  </si>
  <si>
    <t>GO_CENTRIOLE</t>
  </si>
  <si>
    <t>6093;26005;7840;85459;5116;347240;9662;145508;10426;10198;11190</t>
  </si>
  <si>
    <t>ROCK1;C2CD3;ALMS1;CEP295;PCNT;KIF24;CEP135;CEP128;TUBGCP3;MPHOSPH9;CEP250</t>
  </si>
  <si>
    <t>http://www.broadinstitute.org/gsea/msigdb/cards/GO_CENTRIOLE.html</t>
  </si>
  <si>
    <t>5290;2475;5781;253260;57690;26523;5286;4763;27327;192669;27161;23112</t>
  </si>
  <si>
    <t>PIK3CA;MTOR;PTPN11;RICTOR;TNRC6C;AGO1;PIK3C2A;NF1;TNRC6A;AGO3;AGO2;TNRC6B</t>
  </si>
  <si>
    <t>8085;26057;23328;51366;7468;673;405;5290;2475;5048;7182;4297;5781;6659;6654;5062;23054;22848;55183;253260;22976;9736;55252;57551;171023;165918;23001;23369;55023;57679;30849;51322;80351;54542;9774;54764;57498;9693;317;2876;4763;867;2932;10093;2033;11214;6789;472;7159;93;9698;23198;22930;5469;139285;92140;2074;26065;84893;2140;23499;4216</t>
  </si>
  <si>
    <t>KMT2D;ANKRD17;SASH1;UBR5;NSD2;BRAF;ARNT;PIK3CA;MTOR;PAFAH1B1;NR2C2;KMT2A;PTPN11;SOX4;SOS1;PAK2;NCOA6;AAK1;RIF1;RICTOR;PAXIP1;USP34;ASXL2;TAOK1;ASXL1;RNF168;WDFY3;PUM2;PHIP;ALS2;PIK3R4;WAC;TNKS2;RC3H2;BCLAF1;ZRANB1;KIDINS220;RAPGEF2;APAF1;GPX1;NF1;CBL;GSK3B;ARPC4;EP300;AKAP13;STK4;ATM;TP53BP2;ACVR2B;PUM1;PSME4;RAB3GAP1;MED1;AMER1;MTDH;ERCC6;LSM14A;FBH1;EYA3;MACF1;MAP3K4</t>
  </si>
  <si>
    <t>GO_TRANSFERASE_ACTIVITY_TRANSFERRING_ONE_CARBON_GROUPS</t>
  </si>
  <si>
    <t>8085;7468;4297;23512;9869;80204;58508;64324;29072;55870;23067;79723;79813;56980;11108;1788</t>
  </si>
  <si>
    <t>KMT2D;NSD2;KMT2A;SUZ12;SETDB1;FBXO11;KMT2C;NSD1;SETD2;ASH1L;SETD1B;SUV39H2;EHMT1;PRDM10;PRDM4;DNMT3A</t>
  </si>
  <si>
    <t>http://www.broadinstitute.org/gsea/msigdb/cards/GO_TRANSFERASE_ACTIVITY_TRANSFERRING_ONE_CARBON_GROUPS.html</t>
  </si>
  <si>
    <t>GO_NEGATIVE_REGULATION_OF_MITOTIC_CELL_CYCLE</t>
  </si>
  <si>
    <t>7175;546;5591;7155;6659;26058;57472;23019;4361;2033;472;55159;55743;4848;51696</t>
  </si>
  <si>
    <t>TPR;ATRX;PRKDC;TOP2B;SOX4;GIGYF2;CNOT6;CNOT1;MRE11;EP300;ATM;RFWD3;CHFR;AC092881.1;HECA</t>
  </si>
  <si>
    <t>http://www.broadinstitute.org/gsea/msigdb/cards/GO_NEGATIVE_REGULATION_OF_MITOTIC_CELL_CYCLE.html</t>
  </si>
  <si>
    <t>GO_UBIQUITIN_LIKE_PROTEIN_LIGASE_ACTIVITY</t>
  </si>
  <si>
    <t>26046;51366;7428;130507;8315;5930;10299;10277;867;8453;6596;5469;55743;55167;51132</t>
  </si>
  <si>
    <t>LTN1;UBR5;VHL;UBR3;BRAP;RBBP6;MARCH6;UBE4B;CBL;CUL2;HLTF;MED1;CHFR;MSL2;RLIM</t>
  </si>
  <si>
    <t>http://www.broadinstitute.org/gsea/msigdb/cards/GO_UBIQUITIN_LIKE_PROTEIN_LIGASE_ACTIVITY.html</t>
  </si>
  <si>
    <t>GO_MICROTUBULE_ORGANIZING_CENTER_ORGANIZATION</t>
  </si>
  <si>
    <t>9475;5048;9793;23160;26005;23332;23032;9662;10426;11190</t>
  </si>
  <si>
    <t>ROCK2;PAFAH1B1;CKAP5;WDR43;C2CD3;CLASP1;USP33;CEP135;TUBGCP3;CEP250</t>
  </si>
  <si>
    <t>http://www.broadinstitute.org/gsea/msigdb/cards/GO_MICROTUBULE_ORGANIZING_CENTER_ORGANIZATION.html</t>
  </si>
  <si>
    <t>GO_REGULATION_OF_NUCLEAR_TRANSCRIBED_MRNA_POLY_A_TAIL_SHORTENING</t>
  </si>
  <si>
    <t>57690;23019;22849;27161;23112</t>
  </si>
  <si>
    <t>TNRC6C;CNOT1;CPEB3;AGO2;TNRC6B</t>
  </si>
  <si>
    <t>http://www.broadinstitute.org/gsea/msigdb/cards/GO_REGULATION_OF_NUCLEAR_TRANSCRIBED_MRNA_POLY_A_TAIL_SHORTENING.html</t>
  </si>
  <si>
    <t>GO_N_TERMINAL_PROTEIN_ACETYLTRANSFERASE_COMPLEX</t>
  </si>
  <si>
    <t>80018;80218;122830;79612;80155</t>
  </si>
  <si>
    <t>NAA25;NAA50;NAA30;NAA16;NAA15</t>
  </si>
  <si>
    <t>http://www.broadinstitute.org/gsea/msigdb/cards/GO_N_TERMINAL_PROTEIN_ACETYLTRANSFERASE_COMPLEX.html</t>
  </si>
  <si>
    <t>GO_RNAI_EFFECTOR_COMPLEX</t>
  </si>
  <si>
    <t>1656;26523;23405;192669;27161</t>
  </si>
  <si>
    <t>DDX6;AGO1;DICER1;AGO3;AGO2</t>
  </si>
  <si>
    <t>http://www.broadinstitute.org/gsea/msigdb/cards/GO_RNAI_EFFECTOR_COMPLEX.html</t>
  </si>
  <si>
    <t>GO_NUCLEAR_LOCALIZATION_SEQUENCE_BINDING</t>
  </si>
  <si>
    <t>3840;9972;3836;8315;3842;23633</t>
  </si>
  <si>
    <t>KPNA4;NUP153;KPNA1;BRAP;TNPO1;KPNA6</t>
  </si>
  <si>
    <t>http://www.broadinstitute.org/gsea/msigdb/cards/GO_NUCLEAR_LOCALIZATION_SEQUENCE_BINDING.html</t>
  </si>
  <si>
    <t>1656;255967;23293;23049;10940;26523;57472;23019;472;54464;9887;192669;26019;55802;4848;9967</t>
  </si>
  <si>
    <t>DDX6;PAN3;SMG6;SMG1;POP1;AGO1;CNOT6;CNOT1;ATM;XRN1;SMG7;AGO3;UPF2;DCP1A;AC092881.1;THRAP3</t>
  </si>
  <si>
    <t>http://www.broadinstitute.org/gsea/msigdb/cards/GO_RNA_CATABOLIC_PROCESS.html</t>
  </si>
  <si>
    <t>GO_REGULATION_OF_MITOTIC_CELL_CYCLE</t>
  </si>
  <si>
    <t>26057;7175;5048;546;5591;7155;5781;6659;26058;55023;64682;59343;57472;23019;4361;2033;472;8621;23198;5586;55159;55743;4848;51696</t>
  </si>
  <si>
    <t>ANKRD17;TPR;PAFAH1B1;ATRX;PRKDC;TOP2B;PTPN11;SOX4;GIGYF2;PHIP;ANAPC1;SENP2;CNOT6;CNOT1;MRE11;EP300;ATM;CDK13;PSME4;PKN2;RFWD3;CHFR;AC092881.1;HECA</t>
  </si>
  <si>
    <t>http://www.broadinstitute.org/gsea/msigdb/cards/GO_REGULATION_OF_MITOTIC_CELL_CYCLE.html</t>
  </si>
  <si>
    <t>GO_REGULATION_OF_TELOMERE_MAINTENANCE</t>
  </si>
  <si>
    <t>546;3192;23293;80351;170506;54552;4361;472;4216</t>
  </si>
  <si>
    <t>ATRX;HNRNPU;SMG6;TNKS2;DHX36;GNL3L;MRE11;ATM;MAP3K4</t>
  </si>
  <si>
    <t>http://www.broadinstitute.org/gsea/msigdb/cards/GO_REGULATION_OF_TELOMERE_MAINTENANCE.html</t>
  </si>
  <si>
    <t>GO_WASH_COMPLEX</t>
  </si>
  <si>
    <t>23317;387680;81609;9897;253725</t>
  </si>
  <si>
    <t>DNAJC13;WASHC2A;SNX27;WASHC5;WASHC2C</t>
  </si>
  <si>
    <t>http://www.broadinstitute.org/gsea/msigdb/cards/GO_WASH_COMPLEX.html</t>
  </si>
  <si>
    <t>8085;9611;7175;673;546;9972;9632;4297;257218;9733;11052;23126;23332;23522;7248;3842;51773;10142;23195;8295;5286;317;9919;8867;6341;8518;7109;2932;10093;5471;2033;9897;55291;139285;23392;55320;25909;7994;10426;56652;440193;7707</t>
  </si>
  <si>
    <t>KMT2D;NCOR1;TPR;BRAF;ATRX;NUP153;SEC24C;KMT2A;SHPRH;SART3;CPSF6;POGZ;CLASP1;KAT6B;TSC1;TNPO1;RSF1;AKAP9;MDN1;TRRAP;PIK3C2A;APAF1;SEC16A;SYNJ1;SCO1;ELP1;TRAPPC10;GSK3B;ARPC4;PPAT;EP300;WASHC5;PPP6R3;AMER1;ECPAS;MIS18BP1;AHCTF1;KAT6A;TUBGCP3;TWNK;CCDC88C;ZNF148</t>
  </si>
  <si>
    <t>GO_CELL_PROJECTION_ORGANIZATION</t>
  </si>
  <si>
    <t>3799;2475;5048;6711;7155;5781;6654;5062;6093;8925;26005;25914;23032;28981;7248;89884;85440;84079;57679;57498;23405;9693;6801;285527;10277;5116;2932;157922;347240;79598;26146;8239;84260;11190;9786;65250</t>
  </si>
  <si>
    <t>KIF5B;MTOR;PAFAH1B1;SPTBN1;TOP2B;PTPN11;SOS1;PAK2;ROCK1;HERC1;C2CD3;RTTN;USP33;IFT81;TSC1;LHX4;DOCK7;ANKRD27;ALS2;KIDINS220;DICER1;RAPGEF2;STRN;FRYL;UBE4B;PCNT;GSK3B;CAMSAP1;KIF24;CEP97;TRAF3IP1;USP9X;TCHP;CEP250;KIAA0586;CPLANE1</t>
  </si>
  <si>
    <t>http://www.broadinstitute.org/gsea/msigdb/cards/GO_CELL_PROJECTION_ORGANIZATION.html</t>
  </si>
  <si>
    <t>GO_NUCLEAR_CHROMATIN</t>
  </si>
  <si>
    <t>9611;546;23512;23126;171023;57459;57634;64426;8295;11168;7528;2117;23468;4361;2551;6601;1788;8202</t>
  </si>
  <si>
    <t>NCOR1;ATRX;SUZ12;POGZ;ASXL1;GATAD2B;EP400;SUDS3;TRRAP;PSIP1;YY1;ETV3;CBX5;MRE11;GABPA;SMARCC2;DNMT3A;NCOA3</t>
  </si>
  <si>
    <t>http://www.broadinstitute.org/gsea/msigdb/cards/GO_NUCLEAR_CHROMATIN.html</t>
  </si>
  <si>
    <t>GO_RNA_POLYMERASE_CORE_ENZYME_BINDING</t>
  </si>
  <si>
    <t>51322;26523;51585;8518;27161;22828</t>
  </si>
  <si>
    <t>WAC;AGO1;PCF11;ELP1;AGO2;SCAF8</t>
  </si>
  <si>
    <t>http://www.broadinstitute.org/gsea/msigdb/cards/GO_RNA_POLYMERASE_CORE_ENZYME_BINDING.html</t>
  </si>
  <si>
    <t>GO_TRANSFERASE_ACTIVITY_TRANSFERRING_ACYL_GROUPS_OTHER_THAN_AMINO_ACYL_GROUPS</t>
  </si>
  <si>
    <t>6872;80018;23522;51230;80218;2033;122830;79612;284058;254887;7994;80155;80314;9329;8202</t>
  </si>
  <si>
    <t>TAF1;NAA25;KAT6B;PHF20;NAA50;EP300;NAA30;NAA16;KANSL1;ZDHHC23;KAT6A;NAA15;EPC1;GTF3C4;NCOA3</t>
  </si>
  <si>
    <t>http://www.broadinstitute.org/gsea/msigdb/cards/GO_TRANSFERASE_ACTIVITY_TRANSFERRING_ACYL_GROUPS_OTHER_THAN_AMINO_ACYL_GROUPS.html</t>
  </si>
  <si>
    <t>GO_REGULATION_OF_DOUBLE_STRAND_BREAK_REPAIR</t>
  </si>
  <si>
    <t>51366;7468;9320;55183;254225;84893;92797</t>
  </si>
  <si>
    <t>UBR5;NSD2;TRIP12;RIF1;RNF169;FBH1;HELB</t>
  </si>
  <si>
    <t>http://www.broadinstitute.org/gsea/msigdb/cards/GO_REGULATION_OF_DOUBLE_STRAND_BREAK_REPAIR.html</t>
  </si>
  <si>
    <t>GO_RHYTHMIC_PROCESS</t>
  </si>
  <si>
    <t>10236;9475;9611;5927;5591;3192;4297;1660;23054;23064;6874;2932;2033;1859;463;79723;10765;9967</t>
  </si>
  <si>
    <t>HNRNPR;ROCK2;NCOR1;KDM5A;PRKDC;HNRNPU;KMT2A;DHX9;NCOA6;SETX;TAF4;GSK3B;EP300;DYRK1A;ZFHX3;SUV39H2;KDM5B;THRAP3</t>
  </si>
  <si>
    <t>http://www.broadinstitute.org/gsea/msigdb/cards/GO_RHYTHMIC_PROCESS.html</t>
  </si>
  <si>
    <t>GO_TRANSCRIPTION_FACTOR_COMPLEX</t>
  </si>
  <si>
    <t>55814;6872;405;5591;6659;23054;6873;8295;6874;2957;2033;463;79612;91748;2140;80155;9329;9439</t>
  </si>
  <si>
    <t>BDP1;TAF1;ARNT;PRKDC;SOX4;NCOA6;TAF2;TRRAP;TAF4;GTF2A1;EP300;ZFHX3;NAA16;ELMSAN1;EYA3;NAA15;GTF3C4;MED23</t>
  </si>
  <si>
    <t>http://www.broadinstitute.org/gsea/msigdb/cards/GO_TRANSCRIPTION_FACTOR_COMPLEX.html</t>
  </si>
  <si>
    <t>GO_CHROMOSOME_TELOMERIC_REGION</t>
  </si>
  <si>
    <t>23347;546;5591;55183;23064;23293;79677;80351;170506;23468;4361;472;64421</t>
  </si>
  <si>
    <t>SMCHD1;ATRX;PRKDC;RIF1;SETX;SMG6;SMC6;TNKS2;DHX36;CBX5;MRE11;ATM;DCLRE1C</t>
  </si>
  <si>
    <t>http://www.broadinstitute.org/gsea/msigdb/cards/GO_CHROMOSOME_TELOMERIC_REGION.html</t>
  </si>
  <si>
    <t>GO_NEGATIVE_REGULATION_OF_DNA_REPLICATION</t>
  </si>
  <si>
    <t>3192;23244;23063;54552;9126;4361;10735;84893</t>
  </si>
  <si>
    <t>HNRNPU;PDS5A;WAPL;GNL3L;SMC3;MRE11;STAG2;FBH1</t>
  </si>
  <si>
    <t>http://www.broadinstitute.org/gsea/msigdb/cards/GO_NEGATIVE_REGULATION_OF_DNA_REPLICATION.html</t>
  </si>
  <si>
    <t>GO_RIBONUCLEOPROTEIN_COMPLEX_BINDING</t>
  </si>
  <si>
    <t>2475;3192;253260;23293;79612;84295;22849;10985;79048;80155</t>
  </si>
  <si>
    <t>MTOR;HNRNPU;RICTOR;SMG6;NAA16;PHF6;CPEB3;GCN1;SECISBP2;NAA15</t>
  </si>
  <si>
    <t>http://www.broadinstitute.org/gsea/msigdb/cards/GO_RIBONUCLEOPROTEIN_COMPLEX_BINDING.html</t>
  </si>
  <si>
    <t>GO_NEGATIVE_REGULATION_OF_DNA_REPAIR</t>
  </si>
  <si>
    <t>51366;9320;254225;84893;92797</t>
  </si>
  <si>
    <t>UBR5;TRIP12;RNF169;FBH1;HELB</t>
  </si>
  <si>
    <t>http://www.broadinstitute.org/gsea/msigdb/cards/GO_NEGATIVE_REGULATION_OF_DNA_REPAIR.html</t>
  </si>
  <si>
    <t>9611;1656;5048;1778;9790;26005;23126;23332;23369;28981;6311;23195;5116;55014;9897;347240;9662;26065;26146;55102;10426;11190;9786;65250</t>
  </si>
  <si>
    <t>NCOR1;DDX6;PAFAH1B1;DYNC1H1;BMS1;C2CD3;POGZ;CLASP1;PUM2;IFT81;ATXN2;MDN1;PCNT;STX17;WASHC5;KIF24;CEP135;LSM14A;TRAF3IP1;ATG2B;TUBGCP3;CEP250;KIAA0586;CPLANE1</t>
  </si>
  <si>
    <t>http://www.broadinstitute.org/gsea/msigdb/cards/GO_ORGANELLE_ASSEMBLY.html</t>
  </si>
  <si>
    <t>9826;4976;9681;26057;9611;5495;23328;673;6872;5290;2475;5048;5781;6654;7156;84986;10771;56957;6873;253260;57551;57148;23369;7248;57679;55914;51230;54542;59343;55870;9774;51755;57498;9693;6874;2876;4763;867;2932;4361;2033;11214;472;7159;1859;9698;253959;92140;204851;2074;84893;7994;79813;4216</t>
  </si>
  <si>
    <t>ARHGEF11;OPA1;DEPDC5;ANKRD17;NCOR1;PPM1B;SASH1;BRAF;TAF1;PIK3CA;MTOR;PAFAH1B1;PTPN11;SOS1;TOP3A;ARHGAP19;ZMYND11;OTUD7B;TAF2;RICTOR;TAOK1;RALGAPB;PUM2;TSC1;ALS2;ERBIN;PHF20;RC3H2;SENP2;ASH1L;BCLAF1;CDK12;KIDINS220;RAPGEF2;TAF4;GPX1;NF1;CBL;GSK3B;MRE11;EP300;AKAP13;ATM;TP53BP2;DYRK1A;PUM1;RALGAPA1;MTDH;HIPK1;ERCC6;FBH1;KAT6A;EHMT1;MAP3K4</t>
  </si>
  <si>
    <t>GO_REGULATION_OF_DNA_REPAIR</t>
  </si>
  <si>
    <t>51366;7468;9320;55183;165918;254225;84893;92797;2140</t>
  </si>
  <si>
    <t>UBR5;NSD2;TRIP12;RIF1;RNF168;RNF169;FBH1;HELB;EYA3</t>
  </si>
  <si>
    <t>http://www.broadinstitute.org/gsea/msigdb/cards/GO_REGULATION_OF_DNA_REPAIR.html</t>
  </si>
  <si>
    <t>3840;10526;8888;9631;7175;5903;3836;9632;6711;9321;255967;28981;9712;3842;81609;55914;30849;11276;23637;7514;23633;6249;2932;55014;55187;54832;26146;9392;55705;9874;10762;23499</t>
  </si>
  <si>
    <t>KPNA4;IPO8;MCM3AP;NUP155;TPR;RANBP2;KPNA1;SEC24C;SPTBN1;TRIP11;PAN3;IFT81;USP6NL;TNPO1;SNX27;ERBIN;PIK3R4;SYNRG;RABGAP1;XPO1;KPNA6;CLIP1;GSK3B;STX17;VPS13D;VPS13C;TRAF3IP1;TGFBRAP1;IPO9;TLK1;NUP50;MACF1</t>
  </si>
  <si>
    <t>http://www.broadinstitute.org/gsea/msigdb/cards/GO_INTRACELLULAR_PROTEIN_TRANSPORT.html</t>
  </si>
  <si>
    <t>GO_MULTICELLULAR_ORGANISM_GROWTH</t>
  </si>
  <si>
    <t>2475;546;5781;6654;26058;5930;80351;54542;2074</t>
  </si>
  <si>
    <t>MTOR;ATRX;PTPN11;SOS1;GIGYF2;RBBP6;TNKS2;RC3H2;ERCC6</t>
  </si>
  <si>
    <t>http://www.broadinstitute.org/gsea/msigdb/cards/GO_MULTICELLULAR_ORGANISM_GROWTH.html</t>
  </si>
  <si>
    <t>9826;9681;23328;673;5981;5290;3192;6711;4297;5781;6654;5062;26130;84986;9135;8925;253260;57148;23032;7248;9712;85440;84079;57679;30849;10142;64682;54552;57498;57472;23637;9693;317;905;8812;4763;2932;4361;4301;2033;11214;6789;93;23198;22930;23527;5469;253959;92140;2074;10985;119016;55802;29843;9329;8202;4216</t>
  </si>
  <si>
    <t>ARHGEF11;DEPDC5;SASH1;BRAF;RFC1;PIK3CA;HNRNPU;SPTBN1;KMT2A;PTPN11;SOS1;PAK2;GAPVD1;ARHGAP19;RABEP1;HERC1;RICTOR;RALGAPB;USP33;TSC1;USP6NL;DOCK7;ANKRD27;ALS2;PIK3R4;AKAP9;ANAPC1;GNL3L;KIDINS220;CNOT6;RABGAP1;RAPGEF2;APAF1;CCNT2;CCNK;NF1;GSK3B;MRE11;AFDN;EP300;AKAP13;STK4;ACVR2B;PSME4;RAB3GAP1;ACAP2;MED1;RALGAPA1;MTDH;ERCC6;GCN1;AGAP4;DCP1A;SENP1;GTF3C4;NCOA3;MAP3K4</t>
  </si>
  <si>
    <t>GO_REGULATION_OF_AUTOPHAGY</t>
  </si>
  <si>
    <t>11128;140710;2475;8925;23001;23032;7248;9711;51322;200576;2033;472;22930;54832;92140;11011</t>
  </si>
  <si>
    <t>POLR3A;SOGA1;MTOR;HERC1;WDFY3;USP33;TSC1;RUBCN;WAC;PIKFYVE;EP300;ATM;RAB3GAP1;VPS13C;MTDH;TLK2</t>
  </si>
  <si>
    <t>http://www.broadinstitute.org/gsea/msigdb/cards/GO_REGULATION_OF_AUTOPHAGY.html</t>
  </si>
  <si>
    <t>GO_REGULATION_OF_PROTEIN_STABILITY</t>
  </si>
  <si>
    <t>7175;7428;5591;6659;22848;23032;7248;59343;54552;2033;6789;79612;55743;80155;440193</t>
  </si>
  <si>
    <t>TPR;VHL;PRKDC;SOX4;AAK1;USP33;TSC1;SENP2;GNL3L;EP300;STK4;NAA16;CHFR;NAA15;CCDC88C</t>
  </si>
  <si>
    <t>http://www.broadinstitute.org/gsea/msigdb/cards/GO_REGULATION_OF_PROTEIN_STABILITY.html</t>
  </si>
  <si>
    <t>GO_TRANSFERASE_ACTIVITY_TRANSFERRING_ACYL_GROUPS</t>
  </si>
  <si>
    <t>8888;6872;80018;23522;51230;80218;2033;122830;79612;284058;254887;7994;80155;80314;9329;8202</t>
  </si>
  <si>
    <t>MCM3AP;TAF1;NAA25;KAT6B;PHF20;NAA50;EP300;NAA30;NAA16;KANSL1;ZDHHC23;KAT6A;NAA15;EPC1;GTF3C4;NCOA3</t>
  </si>
  <si>
    <t>http://www.broadinstitute.org/gsea/msigdb/cards/GO_TRANSFERASE_ACTIVITY_TRANSFERRING_ACYL_GROUPS.html</t>
  </si>
  <si>
    <t>GO_KINETOCHORE</t>
  </si>
  <si>
    <t>7175;5048;23160;23332;7514;6249;23468;55320;284058;84295;25909</t>
  </si>
  <si>
    <t>TPR;PAFAH1B1;WDR43;CLASP1;XPO1;CLIP1;CBX5;MIS18BP1;KANSL1;PHF6;AHCTF1</t>
  </si>
  <si>
    <t>http://www.broadinstitute.org/gsea/msigdb/cards/GO_KINETOCHORE.html</t>
  </si>
  <si>
    <t>GO_REGULATION_OF_NUCLEAR_TRANSCRIBED_MRNA_CATABOLIC_PROCESS_DEADENYLATION_DEPENDENT_DECAY</t>
  </si>
  <si>
    <t>http://www.broadinstitute.org/gsea/msigdb/cards/GO_REGULATION_OF_NUCLEAR_TRANSCRIBED_MRNA_CATABOLIC_PROCESS_DEADENYLATION_DEPENDENT_DECAY.html</t>
  </si>
  <si>
    <t>GO_RESPONSE_TO_IONIZING_RADIATION</t>
  </si>
  <si>
    <t>5591;25836;22976;165918;2876;472;55159;11011;2074;64421;2140;1788</t>
  </si>
  <si>
    <t>PRKDC;NIPBL;PAXIP1;RNF168;GPX1;ATM;RFWD3;TLK2;ERCC6;DCLRE1C;EYA3;DNMT3A</t>
  </si>
  <si>
    <t>http://www.broadinstitute.org/gsea/msigdb/cards/GO_RESPONSE_TO_IONIZING_RADIATION.html</t>
  </si>
  <si>
    <t>GO_DNA_METHYLATION_OR_DEMETHYLATION</t>
  </si>
  <si>
    <t>200424;546;4297;80312;57459;79813;11176;1788</t>
  </si>
  <si>
    <t>TET3;ATRX;KMT2A;TET1;GATAD2B;EHMT1;BAZ2A;DNMT3A</t>
  </si>
  <si>
    <t>http://www.broadinstitute.org/gsea/msigdb/cards/GO_DNA_METHYLATION_OR_DEMETHYLATION.html</t>
  </si>
  <si>
    <t>GO_NITROGEN_COMPOUND_TRANSPORT</t>
  </si>
  <si>
    <t>8888;9877;9631;7175;9972;5903;9793;23293;7248;23049;6311;59343;7514;4763;10128;93;25909;9887;84725;84248;26019;53981;10762;23200</t>
  </si>
  <si>
    <t>MCM3AP;ZC3H11A;NUP155;TPR;NUP153;RANBP2;CKAP5;SMG6;TSC1;SMG1;ATXN2;SENP2;XPO1;NF1;LRPPRC;ACVR2B;AHCTF1;SMG7;PLEKHA8;FYTTD1;UPF2;CPSF2;NUP50;ATP11B</t>
  </si>
  <si>
    <t>http://www.broadinstitute.org/gsea/msigdb/cards/GO_NITROGEN_COMPOUND_TRANSPORT.html</t>
  </si>
  <si>
    <t>GO_REPRODUCTIVE_SYSTEM_DEVELOPMENT</t>
  </si>
  <si>
    <t>405;5927;546;5781;2186;23054;25836;89884;29072;59343;57448;6874;6670;6789;5469;51742;64783;55636;10765;55818;4216</t>
  </si>
  <si>
    <t>ARNT;KDM5A;ATRX;PTPN11;BPTF;NCOA6;NIPBL;LHX4;SETD2;SENP2;BIRC6;TAF4;SP3;STK4;MED1;ARID4B;RBM15;CHD7;KDM5B;KDM3A;MAP3K4</t>
  </si>
  <si>
    <t>http://www.broadinstitute.org/gsea/msigdb/cards/GO_REPRODUCTIVE_SYSTEM_DEVELOPMENT.html</t>
  </si>
  <si>
    <t>GO_EXONUCLEASE_ACTIVITY</t>
  </si>
  <si>
    <t>5980;255967;57472;23019;5422;4361;54464;64421;4848</t>
  </si>
  <si>
    <t>REV3L;PAN3;CNOT6;CNOT1;POLA1;MRE11;XRN1;DCLRE1C;AC092881.1</t>
  </si>
  <si>
    <t>http://www.broadinstitute.org/gsea/msigdb/cards/GO_EXONUCLEASE_ACTIVITY.html</t>
  </si>
  <si>
    <t>GO_MICROTUBULE_BINDING</t>
  </si>
  <si>
    <t>3799;5048;23160;9857;23332;23095;6249;10128;157922;347240;55605;26146;10426;23499</t>
  </si>
  <si>
    <t>KIF5B;PAFAH1B1;WDR43;CEP350;CLASP1;KIF1B;CLIP1;LRPPRC;CAMSAP1;KIF24;KIF21A;TRAF3IP1;TUBGCP3;MACF1</t>
  </si>
  <si>
    <t>http://www.broadinstitute.org/gsea/msigdb/cards/GO_MICROTUBULE_BINDING.html</t>
  </si>
  <si>
    <t>673;5048;5591;4297;5781;6659;23054;9733;165918;7248;54542;23215;1106;9841;6670;2033;6789;472;8621;5469;204851;7994;64421;64783;55636;23335</t>
  </si>
  <si>
    <t>BRAF;PAFAH1B1;PRKDC;KMT2A;PTPN11;SOX4;NCOA6;SART3;RNF168;TSC1;RC3H2;PRRC2C;CHD2;ZBTB24;SP3;EP300;STK4;ATM;CDK13;MED1;HIPK1;KAT6A;DCLRE1C;RBM15;CHD7;WDR7</t>
  </si>
  <si>
    <t>GO_PROTEIN_DNA_COMPLEX_SUBUNIT_ORGANIZATION</t>
  </si>
  <si>
    <t>6872;546;257218;9733;196528;6873;23126;23522;51773;29072;2033;23198;55320;6601;7994</t>
  </si>
  <si>
    <t>TAF1;ATRX;SHPRH;SART3;ARID2;TAF2;POGZ;KAT6B;RSF1;SETD2;EP300;PSME4;MIS18BP1;SMARCC2;KAT6A</t>
  </si>
  <si>
    <t>http://www.broadinstitute.org/gsea/msigdb/cards/GO_PROTEIN_DNA_COMPLEX_SUBUNIT_ORGANIZATION.html</t>
  </si>
  <si>
    <t>GO_RESPONSE_TO_RADIATION</t>
  </si>
  <si>
    <t>673;2475;5591;4297;25836;22976;165918;10277;2876;4763;7528;2033;472;55159;11011;2074;64421;2140;51455;1788;4216</t>
  </si>
  <si>
    <t>BRAF;MTOR;PRKDC;KMT2A;NIPBL;PAXIP1;RNF168;UBE4B;GPX1;NF1;YY1;EP300;ATM;RFWD3;TLK2;ERCC6;DCLRE1C;EYA3;REV1;DNMT3A;MAP3K4</t>
  </si>
  <si>
    <t>http://www.broadinstitute.org/gsea/msigdb/cards/GO_RESPONSE_TO_RADIATION.html</t>
  </si>
  <si>
    <t>GO_STEROID_HORMONE_RECEPTOR_BINDING</t>
  </si>
  <si>
    <t>9611;23054;64324;23019;6801;2033;5469;55818;8202</t>
  </si>
  <si>
    <t>NCOR1;NCOA6;NSD1;CNOT1;STRN;EP300;MED1;KDM3A;NCOA3</t>
  </si>
  <si>
    <t>http://www.broadinstitute.org/gsea/msigdb/cards/GO_STEROID_HORMONE_RECEPTOR_BINDING.html</t>
  </si>
  <si>
    <t>GO_RNA_SECONDARY_STRUCTURE_UNWINDING</t>
  </si>
  <si>
    <t>1656;170506;26523;9879;192669;9188;27161</t>
  </si>
  <si>
    <t>DDX6;DHX36;AGO1;DDX46;AGO3;DDX21;AGO2</t>
  </si>
  <si>
    <t>http://www.broadinstitute.org/gsea/msigdb/cards/GO_RNA_SECONDARY_STRUCTURE_UNWINDING.html</t>
  </si>
  <si>
    <t>GO_CHROMATIN_REMODELING</t>
  </si>
  <si>
    <t>546;2186;55193;57492;57459;51773;57680;23198;55320;6601;79723;11176</t>
  </si>
  <si>
    <t>ATRX;BPTF;PBRM1;ARID1B;GATAD2B;RSF1;CHD8;PSME4;MIS18BP1;SMARCC2;SUV39H2;BAZ2A</t>
  </si>
  <si>
    <t>http://www.broadinstitute.org/gsea/msigdb/cards/GO_CHROMATIN_REMODELING.html</t>
  </si>
  <si>
    <t>GO_WNT_SIGNALING_PATHWAY</t>
  </si>
  <si>
    <t>6659;9736;80351;59343;57690;57680;53944;54764;26523;6801;2932;23198;139285;27327;192669;440193;27161;23499;23112</t>
  </si>
  <si>
    <t>SOX4;USP34;TNKS2;SENP2;TNRC6C;CHD8;CSNK1G1;ZRANB1;AGO1;STRN;GSK3B;PSME4;AMER1;TNRC6A;AGO3;CCDC88C;AGO2;MACF1;TNRC6B</t>
  </si>
  <si>
    <t>http://www.broadinstitute.org/gsea/msigdb/cards/GO_WNT_SIGNALING_PATHWAY.html</t>
  </si>
  <si>
    <t>2475;9632;2802;6093;80018;9321;8925;55275;205717;23332;22853;23032;9711;9712;6311;10142;80351;57448;55870;11276;200576;23423;8295;5286;9919;10897;9527;7109;987;6670;8621;2804;22930;55291;23392;54812;57531;54464;27327;84669;23299;7994;84725;10198;57703;23499;7707;23200</t>
  </si>
  <si>
    <t>MTOR;SEC24C;GOLGA3;ROCK1;NAA25;TRIP11;HERC1;VPS53;USF3;CLASP1;LMTK2;USP33;RUBCN;USP6NL;ATXN2;AKAP9;TNKS2;BIRC6;ASH1L;SYNRG;PIKFYVE;TMED3;TRRAP;PIK3C2A;SEC16A;YIF1A;GOSR1;TRAPPC10;LRBA;SP3;CDK13;GOLGB1;RAB3GAP1;PPP6R3;ECPAS;AFTPH;HACE1;XRN1;TNRC6A;USP32;BICD2;KAT6A;PLEKHA8;MPHOSPH9;CWC22;MACF1;ZNF148;ATP11B</t>
  </si>
  <si>
    <t>GO_TELOMERE_ORGANIZATION</t>
  </si>
  <si>
    <t>5981;5591;23293;23049;79677;5422;4361;472;10714;64421</t>
  </si>
  <si>
    <t>RFC1;PRKDC;SMG6;SMG1;SMC6;POLA1;MRE11;ATM;POLD3;DCLRE1C</t>
  </si>
  <si>
    <t>http://www.broadinstitute.org/gsea/msigdb/cards/GO_TELOMERE_ORGANIZATION.html</t>
  </si>
  <si>
    <t>GO_POSITIVE_REGULATION_OF_MRNA_METABOLIC_PROCESS</t>
  </si>
  <si>
    <t>10236;57690;23019;22849;27161;23112;9967</t>
  </si>
  <si>
    <t>HNRNPR;TNRC6C;CNOT1;CPEB3;AGO2;TNRC6B;THRAP3</t>
  </si>
  <si>
    <t>http://www.broadinstitute.org/gsea/msigdb/cards/GO_POSITIVE_REGULATION_OF_MRNA_METABOLIC_PROCESS.html</t>
  </si>
  <si>
    <t>GO_DNA_ALKYLATION</t>
  </si>
  <si>
    <t>200424;546;4297;57459;79813;11176;1788</t>
  </si>
  <si>
    <t>TET3;ATRX;KMT2A;GATAD2B;EHMT1;BAZ2A;DNMT3A</t>
  </si>
  <si>
    <t>http://www.broadinstitute.org/gsea/msigdb/cards/GO_DNA_ALKYLATION.html</t>
  </si>
  <si>
    <t>GO_POSITIVE_REGULATION_OF_MRNA_3_END_PROCESSING</t>
  </si>
  <si>
    <t>http://www.broadinstitute.org/gsea/msigdb/cards/GO_POSITIVE_REGULATION_OF_MRNA_3_END_PROCESSING.html</t>
  </si>
  <si>
    <t>GO_PROTEIN_IMPORT</t>
  </si>
  <si>
    <t>3840;10526;8888;9631;7175;5903;3836;6711;3842;23633;55705;10762</t>
  </si>
  <si>
    <t>KPNA4;IPO8;MCM3AP;NUP155;TPR;RANBP2;KPNA1;SPTBN1;TNPO1;KPNA6;IPO9;NUP50</t>
  </si>
  <si>
    <t>http://www.broadinstitute.org/gsea/msigdb/cards/GO_PROTEIN_IMPORT.html</t>
  </si>
  <si>
    <t>GO_POSITIVE_REGULATION_OF_CHROMATIN_MODIFICATION</t>
  </si>
  <si>
    <t>7175;4297;9733;9869;25836;22976;80312;2033;472</t>
  </si>
  <si>
    <t>TPR;KMT2A;SART3;SETDB1;NIPBL;PAXIP1;TET1;EP300;ATM</t>
  </si>
  <si>
    <t>http://www.broadinstitute.org/gsea/msigdb/cards/GO_POSITIVE_REGULATION_OF_CHROMATIN_MODIFICATION.html</t>
  </si>
  <si>
    <t>GO_NEGATIVE_REGULATION_OF_CELLULAR_CATABOLIC_PROCESS</t>
  </si>
  <si>
    <t>7175;2475;8925;7248;9711;51322;10128;472;54832;11011;79048;29843</t>
  </si>
  <si>
    <t>TPR;MTOR;HERC1;TSC1;RUBCN;WAC;LRPPRC;ATM;VPS13C;TLK2;SECISBP2;SENP1</t>
  </si>
  <si>
    <t>http://www.broadinstitute.org/gsea/msigdb/cards/GO_NEGATIVE_REGULATION_OF_CELLULAR_CATABOLIC_PROCESS.html</t>
  </si>
  <si>
    <t>GO_SITE_OF_DOUBLE_STRAND_BREAK</t>
  </si>
  <si>
    <t>165918;254225;79677;4361;55159;92797</t>
  </si>
  <si>
    <t>RNF168;RNF169;SMC6;MRE11;RFWD3;HELB</t>
  </si>
  <si>
    <t>http://www.broadinstitute.org/gsea/msigdb/cards/GO_SITE_OF_DOUBLE_STRAND_BREAK.html</t>
  </si>
  <si>
    <t>GO_POSITIVE_REGULATION_OF_ORGANELLE_ASSEMBLY</t>
  </si>
  <si>
    <t>255967;85459;57472;23019;2033;22930;4848</t>
  </si>
  <si>
    <t>PAN3;CEP295;CNOT6;CNOT1;EP300;RAB3GAP1;AC092881.1</t>
  </si>
  <si>
    <t>http://www.broadinstitute.org/gsea/msigdb/cards/GO_POSITIVE_REGULATION_OF_ORGANELLE_ASSEMBLY.html</t>
  </si>
  <si>
    <t>GO_HISTONE_METHYLTRANSFERASE_ACTIVITY_H3_K4_SPECIFIC_</t>
  </si>
  <si>
    <t>8085;4297;58508;55870;23067</t>
  </si>
  <si>
    <t>KMT2D;KMT2A;KMT2C;ASH1L;SETD1B</t>
  </si>
  <si>
    <t>http://www.broadinstitute.org/gsea/msigdb/cards/GO_HISTONE_METHYLTRANSFERASE_ACTIVITY_H3_K4_SPECIFIC_.html</t>
  </si>
  <si>
    <t>9475;23328;673;405;5290;2475;4297;5781;6659;5062;9733;25836;253260;22976;57551;80312;85440;57679;10142;64682;59343;57498;9693;905;8812;9113;2932;4361;2033;6789;472;1859;93;23198;22930;139285;2074;84893;55743;4216</t>
  </si>
  <si>
    <t>ROCK2;SASH1;BRAF;ARNT;PIK3CA;MTOR;KMT2A;PTPN11;SOX4;PAK2;SART3;NIPBL;RICTOR;PAXIP1;TAOK1;TET1;DOCK7;ALS2;AKAP9;ANAPC1;SENP2;KIDINS220;RAPGEF2;CCNT2;CCNK;LATS1;GSK3B;MRE11;EP300;STK4;ATM;DYRK1A;ACVR2B;PSME4;RAB3GAP1;AMER1;ERCC6;FBH1;CHFR;MAP3K4</t>
  </si>
  <si>
    <t>9826;9681;2475;5048;6711;6654;26130;84986;9135;8925;253260;57148;7248;9712;85440;84079;57679;10142;23637;9693;4763;2932;4301;11214;22930;23527;253959;119016</t>
  </si>
  <si>
    <t>ARHGEF11;DEPDC5;MTOR;PAFAH1B1;SPTBN1;SOS1;GAPVD1;ARHGAP19;RABEP1;HERC1;RICTOR;RALGAPB;TSC1;USP6NL;DOCK7;ANKRD27;ALS2;AKAP9;RABGAP1;RAPGEF2;NF1;GSK3B;AFDN;AKAP13;RAB3GAP1;ACAP2;RALGAPA1;AGAP4</t>
  </si>
  <si>
    <t>GO_POSITIVE_REGULATION_OF_MRNA_PROCESSING</t>
  </si>
  <si>
    <t>57690;23019;22849;27161;23112;9967</t>
  </si>
  <si>
    <t>TNRC6C;CNOT1;CPEB3;AGO2;TNRC6B;THRAP3</t>
  </si>
  <si>
    <t>http://www.broadinstitute.org/gsea/msigdb/cards/GO_POSITIVE_REGULATION_OF_MRNA_PROCESSING.html</t>
  </si>
  <si>
    <t>GO_CYTOPLASMIC_STRESS_GRANULE</t>
  </si>
  <si>
    <t>1656;23369;23185;6311;9698;26065</t>
  </si>
  <si>
    <t>DDX6;PUM2;LARP4B;ATXN2;PUM1;LSM14A</t>
  </si>
  <si>
    <t>http://www.broadinstitute.org/gsea/msigdb/cards/GO_CYTOPLASMIC_STRESS_GRANULE.html</t>
  </si>
  <si>
    <t>27340;5451;9790;23160;23248;10940;79691;26523;23405;905;8812;2957;22984;9221;79707;27042;54464;83448;55127;192669;9188;55636;9329;27161</t>
  </si>
  <si>
    <t>UTP20;POU2F1;BMS1;WDR43;RPRD2;POP1;QTRT2;AGO1;DICER1;CCNT2;CCNK;GTF2A1;PDCD11;NOLC1;NOL9;UTP25;XRN1;PUS7L;HEATR1;AGO3;DDX21;CHD7;GTF3C4;AGO2</t>
  </si>
  <si>
    <t>http://www.broadinstitute.org/gsea/msigdb/cards/GO_NCRNA_METABOLIC_PROCESS.html</t>
  </si>
  <si>
    <t>GO_REGULATION_OF_DNA_TEMPLATED_TRANSCRIPTION_IN_RESPONSE_TO_STRESS</t>
  </si>
  <si>
    <t>405;7428;84181;9774;571;2033;8453;10985</t>
  </si>
  <si>
    <t>ARNT;VHL;CHD6;BCLAF1;BACH1;EP300;CUL2;GCN1</t>
  </si>
  <si>
    <t>http://www.broadinstitute.org/gsea/msigdb/cards/GO_REGULATION_OF_DNA_TEMPLATED_TRANSCRIPTION_IN_RESPONSE_TO_STRESS.html</t>
  </si>
  <si>
    <t>GO_ENDOMEMBRANE_SYSTEM_ORGANIZATION</t>
  </si>
  <si>
    <t>9475;23317;9631;7175;5048;9972;5903;6711;6093;51248;23332;9712;57679;9693;9919;6249;55014;2804;254887;57531;10762;23499</t>
  </si>
  <si>
    <t>ROCK2;DNAJC13;NUP155;TPR;PAFAH1B1;NUP153;RANBP2;SPTBN1;ROCK1;PDZD11;CLASP1;USP6NL;ALS2;RAPGEF2;SEC16A;CLIP1;STX17;GOLGB1;ZDHHC23;HACE1;NUP50;MACF1</t>
  </si>
  <si>
    <t>http://www.broadinstitute.org/gsea/msigdb/cards/GO_ENDOMEMBRANE_SYSTEM_ORGANIZATION.html</t>
  </si>
  <si>
    <t>9826;9681;23328;673;5981;5290;3192;6711;5781;6654;5062;26130;84986;9135;8925;253260;57148;7248;9712;85440;84079;57679;30849;10142;64682;57498;23637;9693;317;905;8812;4763;2932;4361;4301;11214;6789;93;23198;22930;23527;253959;2074;10985;119016;55802;29843;9329;4216</t>
  </si>
  <si>
    <t>ARHGEF11;DEPDC5;SASH1;BRAF;RFC1;PIK3CA;HNRNPU;SPTBN1;PTPN11;SOS1;PAK2;GAPVD1;ARHGAP19;RABEP1;HERC1;RICTOR;RALGAPB;TSC1;USP6NL;DOCK7;ANKRD27;ALS2;PIK3R4;AKAP9;ANAPC1;KIDINS220;RABGAP1;RAPGEF2;APAF1;CCNT2;CCNK;NF1;GSK3B;MRE11;AFDN;AKAP13;STK4;ACVR2B;PSME4;RAB3GAP1;ACAP2;RALGAPA1;ERCC6;GCN1;AGAP4;DCP1A;SENP1;GTF3C4;MAP3K4</t>
  </si>
  <si>
    <t>GO_PHOSPHATIDYLINOSITOL_3_PHOSPHATE_BIOSYNTHETIC_PROCESS</t>
  </si>
  <si>
    <t>5290;5781;30849;200576;5286;8867;472</t>
  </si>
  <si>
    <t>PIK3CA;PTPN11;PIK3R4;PIKFYVE;PIK3C2A;SYNJ1;ATM</t>
  </si>
  <si>
    <t>http://www.broadinstitute.org/gsea/msigdb/cards/GO_PHOSPHATIDYLINOSITOL_3_PHOSPHATE_BIOSYNTHETIC_PROCESS.html</t>
  </si>
  <si>
    <t>GO_RNA_POLYMERASE_II_CORE_BINDING</t>
  </si>
  <si>
    <t>51322;26523;51585;8518;27161</t>
  </si>
  <si>
    <t>WAC;AGO1;PCF11;ELP1;AGO2</t>
  </si>
  <si>
    <t>http://www.broadinstitute.org/gsea/msigdb/cards/GO_RNA_POLYMERASE_II_CORE_BINDING.html</t>
  </si>
  <si>
    <t>GO_K63_LINKED_POLYUBIQUITIN_BINDING</t>
  </si>
  <si>
    <t>56957;165918;254225;54764;10594</t>
  </si>
  <si>
    <t>OTUD7B;RNF168;RNF169;ZRANB1;PRPF8</t>
  </si>
  <si>
    <t>http://www.broadinstitute.org/gsea/msigdb/cards/GO_K63_LINKED_POLYUBIQUITIN_BINDING.html</t>
  </si>
  <si>
    <t>3840;9631;7175;9972;5903;3836;7514;10762</t>
  </si>
  <si>
    <t>KPNA4;NUP155;TPR;NUP153;RANBP2;KPNA1;XPO1;NUP50</t>
  </si>
  <si>
    <t>http://www.broadinstitute.org/gsea/msigdb/cards/GO_MULTI_ORGANISM_LOCALIZATION.html</t>
  </si>
  <si>
    <t>GO_REGULATION_OF_PROTEIN_COMPLEX_DISASSEMBLY</t>
  </si>
  <si>
    <t>9611;7175;6711;9793;1778;23064;23332;9126;8867;5116;9897;10426;26054;253725</t>
  </si>
  <si>
    <t>NCOR1;TPR;SPTBN1;CKAP5;DYNC1H1;SETX;CLASP1;SMC3;SYNJ1;PCNT;WASHC5;TUBGCP3;SENP6;WASHC2C</t>
  </si>
  <si>
    <t>http://www.broadinstitute.org/gsea/msigdb/cards/GO_REGULATION_OF_PROTEIN_COMPLEX_DISASSEMBLY.html</t>
  </si>
  <si>
    <t>GO_3_5_EXONUCLEASE_ACTIVITY</t>
  </si>
  <si>
    <t>5980;255967;57472;23019;5422;4361;4848</t>
  </si>
  <si>
    <t>REV3L;PAN3;CNOT6;CNOT1;POLA1;MRE11;AC092881.1</t>
  </si>
  <si>
    <t>http://www.broadinstitute.org/gsea/msigdb/cards/GO_3_5_EXONUCLEASE_ACTIVITY.html</t>
  </si>
  <si>
    <t>GO_CIRCADIAN_RHYTHM</t>
  </si>
  <si>
    <t>10236;9611;5927;3192;4297;23064;2932;2033;1859;463;9967</t>
  </si>
  <si>
    <t>HNRNPR;NCOR1;KDM5A;HNRNPU;KMT2A;SETX;GSK3B;EP300;DYRK1A;ZFHX3;THRAP3</t>
  </si>
  <si>
    <t>http://www.broadinstitute.org/gsea/msigdb/cards/GO_CIRCADIAN_RHYTHM.html</t>
  </si>
  <si>
    <t>GO_SINGLE_STRANDED_RNA_BINDING</t>
  </si>
  <si>
    <t>3192;26523;8087;79882;26065;55342;192669;27161</t>
  </si>
  <si>
    <t>HNRNPU;AGO1;FXR1;ZC3H14;LSM14A;STRBP;AGO3;AGO2</t>
  </si>
  <si>
    <t>http://www.broadinstitute.org/gsea/msigdb/cards/GO_SINGLE_STRANDED_RNA_BINDING.html</t>
  </si>
  <si>
    <t>GO_PLACENTA_DEVELOPMENT</t>
  </si>
  <si>
    <t>405;2186;89884;29072;59343;57448;6670;6789;5469;64783;4216</t>
  </si>
  <si>
    <t>ARNT;BPTF;LHX4;SETD2;SENP2;BIRC6;SP3;STK4;MED1;RBM15;MAP3K4</t>
  </si>
  <si>
    <t>http://www.broadinstitute.org/gsea/msigdb/cards/GO_PLACENTA_DEVELOPMENT.html</t>
  </si>
  <si>
    <t>9475;9611;23328;673;405;5290;2475;5048;5903;5591;5781;5062;6093;10771;253260;57551;23293;55023;7248;9711;64324;85440;57679;30849;10142;59343;55870;51755;57498;9693;905;8812;8518;9113;4763;2932;4361;2033;11214;6789;472;93;55291;2074;84893;26146;9887;10985;440193;26973;4216</t>
  </si>
  <si>
    <t>ROCK2;NCOR1;SASH1;BRAF;ARNT;PIK3CA;MTOR;PAFAH1B1;RANBP2;PRKDC;PTPN11;PAK2;ROCK1;ZMYND11;RICTOR;TAOK1;SMG6;PHIP;TSC1;RUBCN;NSD1;DOCK7;ALS2;PIK3R4;AKAP9;SENP2;ASH1L;CDK12;KIDINS220;RAPGEF2;CCNT2;CCNK;ELP1;LATS1;NF1;GSK3B;MRE11;EP300;AKAP13;STK4;ATM;ACVR2B;PPP6R3;ERCC6;FBH1;TRAF3IP1;SMG7;GCN1;CCDC88C;CHORDC1;MAP3K4</t>
  </si>
  <si>
    <t>GO_PROTEIN_K48_LINKED_DEUBIQUITINATION</t>
  </si>
  <si>
    <t>56957;9736;57695;23032;55432</t>
  </si>
  <si>
    <t>OTUD7B;USP34;USP37;USP33;YOD1</t>
  </si>
  <si>
    <t>http://www.broadinstitute.org/gsea/msigdb/cards/GO_PROTEIN_K48_LINKED_DEUBIQUITINATION.html</t>
  </si>
  <si>
    <t>5495;51366;7175;2475;9972;3836;5781;6659;29072;7514;4763;2932;2033;5469</t>
  </si>
  <si>
    <t>PPM1B;UBR5;TPR;MTOR;NUP153;KPNA1;PTPN11;SOX4;SETD2;XPO1;NF1;GSK3B;EP300;MED1</t>
  </si>
  <si>
    <t>9826;9681;5981;5290;6654;5062;26130;84986;9135;253260;57148;22853;7248;9712;84079;57679;57448;57498;23637;9693;317;905;8812;8518;4763;6789;23198;22930;23527;253959;2074;10985;119016;55802;9329</t>
  </si>
  <si>
    <t>ARHGEF11;DEPDC5;RFC1;PIK3CA;SOS1;PAK2;GAPVD1;ARHGAP19;RABEP1;RICTOR;RALGAPB;LMTK2;TSC1;USP6NL;ANKRD27;ALS2;BIRC6;KIDINS220;RABGAP1;RAPGEF2;APAF1;CCNT2;CCNK;ELP1;NF1;STK4;PSME4;RAB3GAP1;ACAP2;RALGAPA1;ERCC6;GCN1;AGAP4;DCP1A;GTF3C4</t>
  </si>
  <si>
    <t>7175;6872;2475;6711;5781;253260;22976;23064;23332;84079;9774;9113;6249;2932;10093;26146;10426;26054;253725</t>
  </si>
  <si>
    <t>TPR;TAF1;MTOR;SPTBN1;PTPN11;RICTOR;PAXIP1;SETX;CLASP1;ANKRD27;BCLAF1;LATS1;CLIP1;GSK3B;ARPC4;TRAF3IP1;TUBGCP3;SENP6;WASHC2C</t>
  </si>
  <si>
    <t>4976;3836;5591;4297;5062;6093;9135;57551;57679;64426;57448;79811;9774;23405;317;9870;23095;10277;2876;4763;2932;8087;2033;6789;472;8453;7159;5586;55632;204851;2074;84893;84260;11083;29843;1788</t>
  </si>
  <si>
    <t>OPA1;KPNA1;PRKDC;KMT2A;PAK2;ROCK1;RABEP1;TAOK1;ALS2;SUDS3;BIRC6;SLTM;BCLAF1;DICER1;APAF1;AREL1;KIF1B;UBE4B;GPX1;NF1;GSK3B;FXR1;EP300;STK4;ATM;CUL2;TP53BP2;PKN2;G2E3;HIPK1;ERCC6;FBH1;TCHP;DIDO1;SENP1;DNMT3A</t>
  </si>
  <si>
    <t>GO_MULTICELLULAR_ORGANISM_REPRODUCTION</t>
  </si>
  <si>
    <t>8085;5927;2475;5048;546;7182;5591;5781;6654;23054;23064;166378;28981;6874;23633;7528;6670;5471;9897;472;9698;23198;5469;51742;8239;55342;84132;7707;55818;1788</t>
  </si>
  <si>
    <t>KMT2D;KDM5A;MTOR;PAFAH1B1;ATRX;NR2C2;PRKDC;PTPN11;SOS1;NCOA6;SETX;SPATA5;IFT81;TAF4;KPNA6;YY1;SP3;PPAT;WASHC5;ATM;PUM1;PSME4;MED1;ARID4B;USP9X;STRBP;USP42;ZNF148;KDM3A;DNMT3A</t>
  </si>
  <si>
    <t>http://www.broadinstitute.org/gsea/msigdb/cards/GO_MULTICELLULAR_ORGANISM_REPRODUCTION.html</t>
  </si>
  <si>
    <t>GO_NEGATIVE_REGULATION_OF_RESPONSE_TO_DNA_DAMAGE_STIMULUS</t>
  </si>
  <si>
    <t>51366;9320;254225;59343;1859;84893;92797</t>
  </si>
  <si>
    <t>UBR5;TRIP12;RNF169;SENP2;DYRK1A;FBH1;HELB</t>
  </si>
  <si>
    <t>http://www.broadinstitute.org/gsea/msigdb/cards/GO_NEGATIVE_REGULATION_OF_RESPONSE_TO_DNA_DAMAGE_STIMULUS.html</t>
  </si>
  <si>
    <t>GO_REGULATION_OF_GENE_SILENCING</t>
  </si>
  <si>
    <t>9611;9869;80312;23369;54454;8087;9698</t>
  </si>
  <si>
    <t>NCOR1;SETDB1;TET1;PUM2;ATAD2B;FXR1;PUM1</t>
  </si>
  <si>
    <t>http://www.broadinstitute.org/gsea/msigdb/cards/GO_REGULATION_OF_GENE_SILENCING.html</t>
  </si>
  <si>
    <t>9826;5048;9793;23160;51248;253260;23332;81609;85440;55914;2932</t>
  </si>
  <si>
    <t>ARHGEF11;PAFAH1B1;CKAP5;WDR43;PDZD11;RICTOR;CLASP1;SNX27;DOCK7;ERBIN;GSK3B</t>
  </si>
  <si>
    <t>GO_MRNA_CLEAVAGE</t>
  </si>
  <si>
    <t>26523;51585;192669;53981;27161</t>
  </si>
  <si>
    <t>AGO1;PCF11;AGO3;CPSF2;AGO2</t>
  </si>
  <si>
    <t>http://www.broadinstitute.org/gsea/msigdb/cards/GO_MRNA_CLEAVAGE.html</t>
  </si>
  <si>
    <t>GO_ENDORIBONUCLEASE_COMPLEX</t>
  </si>
  <si>
    <t>10940;26523;23405;192669;27161</t>
  </si>
  <si>
    <t>POP1;AGO1;DICER1;AGO3;AGO2</t>
  </si>
  <si>
    <t>http://www.broadinstitute.org/gsea/msigdb/cards/GO_ENDORIBONUCLEASE_COMPLEX.html</t>
  </si>
  <si>
    <t>GO_CELLULAR_RESPONSE_TO_ENDOGENOUS_STIMULUS</t>
  </si>
  <si>
    <t>9475;140710;51366;5290;7182;5591;3192;5781;6654;2186;23054;23064;55023;10142;57498;9693;5286;317;9113;867;2932;5471;2033;93;23527;5469;22849;84893;9392;8239;10765;9969;9967;55818;1788;8202</t>
  </si>
  <si>
    <t>ROCK2;SOGA1;UBR5;PIK3CA;NR2C2;PRKDC;HNRNPU;PTPN11;SOS1;BPTF;NCOA6;SETX;PHIP;AKAP9;KIDINS220;RAPGEF2;PIK3C2A;APAF1;LATS1;CBL;GSK3B;PPAT;EP300;ACVR2B;ACAP2;MED1;CPEB3;FBH1;TGFBRAP1;USP9X;KDM5B;MED13;THRAP3;KDM3A;DNMT3A;NCOA3</t>
  </si>
  <si>
    <t>http://www.broadinstitute.org/gsea/msigdb/cards/GO_CELLULAR_RESPONSE_TO_ENDOGENOUS_STIMULUS.html</t>
  </si>
  <si>
    <t>23451;6433;9733;23064;91746;9169;11168</t>
  </si>
  <si>
    <t>SF3B1;SFSWAP;SART3;SETX;YTHDC1;SCAF11;PSIP1</t>
  </si>
  <si>
    <t>3840;10526;4976;8888;9631;7175;2475;5048;9972;5903;3836;8315;23001;23369;3842;55914;10730;30849;51230;80351;79691;59343;7514;23633;6341;5422;10128;23468;3930;54832;92140;25909;55705;64783;80314;29843;10762;23200</t>
  </si>
  <si>
    <t>KPNA4;IPO8;OPA1;MCM3AP;NUP155;TPR;MTOR;PAFAH1B1;NUP153;RANBP2;KPNA1;BRAP;WDFY3;PUM2;TNPO1;ERBIN;YME1L1;PIK3R4;PHF20;TNKS2;QTRT2;SENP2;XPO1;KPNA6;SCO1;POLA1;LRPPRC;CBX5;LBR;VPS13C;MTDH;AHCTF1;IPO9;RBM15;EPC1;SENP1;NUP50;ATP11B</t>
  </si>
  <si>
    <t>http://www.broadinstitute.org/gsea/msigdb/cards/GO_ENVELOPE.html</t>
  </si>
  <si>
    <t>GO_STRUCTURE_SPECIFIC_DNA_BINDING</t>
  </si>
  <si>
    <t>5927;23512;80312;57459;170506;11168;7528;2033;5469;6601</t>
  </si>
  <si>
    <t>KDM5A;SUZ12;TET1;GATAD2B;DHX36;PSIP1;YY1;EP300;MED1;SMARCC2</t>
  </si>
  <si>
    <t>http://www.broadinstitute.org/gsea/msigdb/cards/GO_STRUCTURE_SPECIFIC_DNA_BINDING.html</t>
  </si>
  <si>
    <t>405;2969;6659;4520;9202;6873;158405;10274;7750;571;23036;3096;7528;2005;2117;7690;6670;10153;2551;2033;6596;5469;463;4899;5814;7707</t>
  </si>
  <si>
    <t>ARNT;GTF2I;SOX4;MTF1;ZMYM4;TAF2;KIAA1958;STAG1;ZMYM2;BACH1;ZNF292;HIVEP1;YY1;ELK4;ETV3;ZNF131;SP3;CEBPZ;GABPA;EP300;HLTF;MED1;ZFHX3;NRF1;PURB;ZNF148</t>
  </si>
  <si>
    <t>GO_DEMETHYLATION</t>
  </si>
  <si>
    <t>200424;5927;221037;80312;22992;10765;55818</t>
  </si>
  <si>
    <t>TET3;KDM5A;JMJD1C;TET1;KDM2A;KDM5B;KDM3A</t>
  </si>
  <si>
    <t>http://www.broadinstitute.org/gsea/msigdb/cards/GO_DEMETHYLATION.html</t>
  </si>
  <si>
    <t>GO_DNA_SYNTHESIS_INVOLVED_IN_DNA_REPAIR</t>
  </si>
  <si>
    <t>5980;5981;7156;5422;4361;472;10714;51455</t>
  </si>
  <si>
    <t>REV3L;RFC1;TOP3A;POLA1;MRE11;ATM;POLD3;REV1</t>
  </si>
  <si>
    <t>http://www.broadinstitute.org/gsea/msigdb/cards/GO_DNA_SYNTHESIS_INVOLVED_IN_DNA_REPAIR.html</t>
  </si>
  <si>
    <t>GO_TRANSCRIPTIONAL_REPRESSOR_COMPLEX</t>
  </si>
  <si>
    <t>9611;57459;2117;23468;6670;6601;23013;51132</t>
  </si>
  <si>
    <t>NCOR1;GATAD2B;ETV3;CBX5;SP3;SMARCC2;SPEN;RLIM</t>
  </si>
  <si>
    <t>http://www.broadinstitute.org/gsea/msigdb/cards/GO_TRANSCRIPTIONAL_REPRESSOR_COMPLEX.html</t>
  </si>
  <si>
    <t>GO_SIGNAL_TRANSDUCTION_IN_RESPONSE_TO_DNA_DAMAGE</t>
  </si>
  <si>
    <t>546;5591;6659;22976;57472;23019;2033;472;4848</t>
  </si>
  <si>
    <t>ATRX;PRKDC;SOX4;PAXIP1;CNOT6;CNOT1;EP300;ATM;AC092881.1</t>
  </si>
  <si>
    <t>http://www.broadinstitute.org/gsea/msigdb/cards/GO_SIGNAL_TRANSDUCTION_IN_RESPONSE_TO_DNA_DAMAGE.html</t>
  </si>
  <si>
    <t>GO_NLS_BEARING_PROTEIN_IMPORT_INTO_NUCLEUS</t>
  </si>
  <si>
    <t>3840;5903;3836;3842;23633</t>
  </si>
  <si>
    <t>KPNA4;RANBP2;KPNA1;TNPO1;KPNA6</t>
  </si>
  <si>
    <t>http://www.broadinstitute.org/gsea/msigdb/cards/GO_NLS_BEARING_PROTEIN_IMPORT_INTO_NUCLEUS.html</t>
  </si>
  <si>
    <t>GO_RAB_GTPASE_BINDING</t>
  </si>
  <si>
    <t>9712;84079;57679;51479;23637;22930;23527;57553;57531;23299</t>
  </si>
  <si>
    <t>USP6NL;ANKRD27;ALS2;ANKFY1;RABGAP1;RAB3GAP1;ACAP2;MICAL3;HACE1;BICD2</t>
  </si>
  <si>
    <t>http://www.broadinstitute.org/gsea/msigdb/cards/GO_RAB_GTPASE_BINDING.html</t>
  </si>
  <si>
    <t>10236;55660;23451;3192;8899;51322;55596;10594;92797;55094;57703;22828</t>
  </si>
  <si>
    <t>HNRNPR;PRPF40A;SF3B1;HNRNPU;PRPF4B;WAC;ZCCHC8;PRPF8;HELB;GPATCH1;CWC22;SCAF8</t>
  </si>
  <si>
    <t>GO_SPINDLE</t>
  </si>
  <si>
    <t>9611;7175;5048;9793;55183;9857;23332;7840;57448;9126;9113;472;145508;10426;11083;55689</t>
  </si>
  <si>
    <t>NCOR1;TPR;PAFAH1B1;CKAP5;RIF1;CEP350;CLASP1;ALMS1;BIRC6;SMC3;LATS1;ATM;CEP128;TUBGCP3;DIDO1;YEATS2</t>
  </si>
  <si>
    <t>http://www.broadinstitute.org/gsea/msigdb/cards/GO_SPINDLE.html</t>
  </si>
  <si>
    <t>GO_DNA_TEMPLATED_TRANSCRIPTION_ELONGATION</t>
  </si>
  <si>
    <t>6872;6873;29072;6874;905;8812;8518;2957;2074</t>
  </si>
  <si>
    <t>TAF1;TAF2;SETD2;TAF4;CCNT2;CCNK;ELP1;GTF2A1;ERCC6</t>
  </si>
  <si>
    <t>http://www.broadinstitute.org/gsea/msigdb/cards/GO_DNA_TEMPLATED_TRANSCRIPTION_ELONGATION.html</t>
  </si>
  <si>
    <t>GO_ESTABLISHMENT_OF_LOCALIZATION_BY_MOVEMENT_ALONG_MICROTUBULE</t>
  </si>
  <si>
    <t>4976;3799;5048;23160;28981;23095;10128;23299;26146</t>
  </si>
  <si>
    <t>OPA1;KIF5B;PAFAH1B1;WDR43;IFT81;KIF1B;LRPPRC;BICD2;TRAF3IP1</t>
  </si>
  <si>
    <t>http://www.broadinstitute.org/gsea/msigdb/cards/GO_ESTABLISHMENT_OF_LOCALIZATION_BY_MOVEMENT_ALONG_MICROTUBULE.html</t>
  </si>
  <si>
    <t>GO_NEGATIVE_REGULATION_OF_CELL_CYCLE_PHASE_TRANSITION</t>
  </si>
  <si>
    <t>7175;5591;6659;26058;57472;23019;4361;2033;472;55159;4848</t>
  </si>
  <si>
    <t>TPR;PRKDC;SOX4;GIGYF2;CNOT6;CNOT1;MRE11;EP300;ATM;RFWD3;AC092881.1</t>
  </si>
  <si>
    <t>http://www.broadinstitute.org/gsea/msigdb/cards/GO_NEGATIVE_REGULATION_OF_CELL_CYCLE_PHASE_TRANSITION.html</t>
  </si>
  <si>
    <t>GO_REGULATION_OF_CELL_CYCLE_G1_S_PHASE_TRANSITION</t>
  </si>
  <si>
    <t>26057;5591;6659;26058;59343;57472;23019;2033;472;55159;4848</t>
  </si>
  <si>
    <t>ANKRD17;PRKDC;SOX4;GIGYF2;SENP2;CNOT6;CNOT1;EP300;ATM;RFWD3;AC092881.1</t>
  </si>
  <si>
    <t>http://www.broadinstitute.org/gsea/msigdb/cards/GO_REGULATION_OF_CELL_CYCLE_G1_S_PHASE_TRANSITION.html</t>
  </si>
  <si>
    <t>GO_DNA_TEMPLATED_TRANSCRIPTION_INITIATION</t>
  </si>
  <si>
    <t>6872;7182;2969;23054;6873;51773;6874;2957;5469;9969;9329;9439;9967</t>
  </si>
  <si>
    <t>TAF1;NR2C2;GTF2I;NCOA6;TAF2;RSF1;TAF4;GTF2A1;MED1;MED13;GTF3C4;MED23;THRAP3</t>
  </si>
  <si>
    <t>http://www.broadinstitute.org/gsea/msigdb/cards/GO_DNA_TEMPLATED_TRANSCRIPTION_INITIATION.html</t>
  </si>
  <si>
    <t>GO_NEGATIVE_REGULATION_OF_CELL_CYCLE_G1_S_PHASE_TRANSITION</t>
  </si>
  <si>
    <t>5591;6659;26058;57472;23019;2033;472;55159;4848</t>
  </si>
  <si>
    <t>PRKDC;SOX4;GIGYF2;CNOT6;CNOT1;EP300;ATM;RFWD3;AC092881.1</t>
  </si>
  <si>
    <t>http://www.broadinstitute.org/gsea/msigdb/cards/GO_NEGATIVE_REGULATION_OF_CELL_CYCLE_G1_S_PHASE_TRANSITION.html</t>
  </si>
  <si>
    <t>GO_NUCLEAR_MATRIX</t>
  </si>
  <si>
    <t>55660;9360;22976;9126;5422;7528;25909;22828;1788</t>
  </si>
  <si>
    <t>PRPF40A;PPIG;PAXIP1;SMC3;POLA1;YY1;AHCTF1;SCAF8;DNMT3A</t>
  </si>
  <si>
    <t>http://www.broadinstitute.org/gsea/msigdb/cards/GO_NUCLEAR_MATRIX.html</t>
  </si>
  <si>
    <t>GO_RNA_POLYMERASE_COMPLEX</t>
  </si>
  <si>
    <t>11128;6872;23248;6873;84181;8295;6874;5422;2957;92797</t>
  </si>
  <si>
    <t>POLR3A;TAF1;RPRD2;TAF2;CHD6;TRRAP;TAF4;POLA1;GTF2A1;HELB</t>
  </si>
  <si>
    <t>http://www.broadinstitute.org/gsea/msigdb/cards/GO_RNA_POLYMERASE_COMPLEX.html</t>
  </si>
  <si>
    <t>GO_NEGATIVE_REGULATION_OF_CATABOLIC_PROCESS</t>
  </si>
  <si>
    <t>7175;2475;8925;7248;9711;51322;10128;472;55432;54832;11011;79048;29843</t>
  </si>
  <si>
    <t>TPR;MTOR;HERC1;TSC1;RUBCN;WAC;LRPPRC;ATM;YOD1;VPS13C;TLK2;SECISBP2;SENP1</t>
  </si>
  <si>
    <t>http://www.broadinstitute.org/gsea/msigdb/cards/GO_NEGATIVE_REGULATION_OF_CATABOLIC_PROCESS.html</t>
  </si>
  <si>
    <t>GO_LIGAND_DEPENDENT_NUCLEAR_RECEPTOR_BINDING</t>
  </si>
  <si>
    <t>9611;23054;5469;11176;8202</t>
  </si>
  <si>
    <t>NCOR1;NCOA6;MED1;BAZ2A;NCOA3</t>
  </si>
  <si>
    <t>http://www.broadinstitute.org/gsea/msigdb/cards/GO_LIGAND_DEPENDENT_NUCLEAR_RECEPTOR_BINDING.html</t>
  </si>
  <si>
    <t>4976;9681;9611;5495;51366;2475;5048;5591;9320;10771;56957;23332;8315;171023;254225;55023;7248;9711;55914;59343;57680;57448;55870;2844;23019;9678;9113;2876;4763;867;2932;6789;472;1859;23198;139285;55432;54832;84893;92797;26146;4848;9969;51592</t>
  </si>
  <si>
    <t>OPA1;DEPDC5;NCOR1;PPM1B;UBR5;MTOR;PAFAH1B1;PRKDC;TRIP12;ZMYND11;OTUD7B;CLASP1;BRAP;ASXL1;RNF169;PHIP;TSC1;RUBCN;ERBIN;SENP2;CHD8;BIRC6;ASH1L;RABGAP1;CNOT1;PHF14;LATS1;GPX1;NF1;CBL;GSK3B;STK4;ATM;DYRK1A;PSME4;AMER1;YOD1;VPS13C;FBH1;HELB;TRAF3IP1;AC092881.1;MED13;TRIM33</t>
  </si>
  <si>
    <t>1656;3836;255967;23293;23049;10940;26523;57472;23405;23019;2876;472;54464;84893;9887;192669;26019;55802;4848;9967</t>
  </si>
  <si>
    <t>DDX6;KPNA1;PAN3;SMG6;SMG1;POP1;AGO1;CNOT6;DICER1;CNOT1;GPX1;ATM;XRN1;FBH1;SMG7;AGO3;UPF2;DCP1A;AC092881.1;THRAP3</t>
  </si>
  <si>
    <t>http://www.broadinstitute.org/gsea/msigdb/cards/GO_ORGANIC_CYCLIC_COMPOUND_CATABOLIC_PROCESS.html</t>
  </si>
  <si>
    <t>GO_RIBONUCLEASE_ACTIVITY</t>
  </si>
  <si>
    <t>255967;23293;10940;26523;57472;23405;23019;4848;27161</t>
  </si>
  <si>
    <t>PAN3;SMG6;POP1;AGO1;CNOT6;DICER1;CNOT1;AC092881.1;AGO2</t>
  </si>
  <si>
    <t>http://www.broadinstitute.org/gsea/msigdb/cards/GO_RIBONUCLEASE_ACTIVITY.html</t>
  </si>
  <si>
    <t>GO_WNT_SIGNALING_PATHWAY_CALCIUM_MODULATING_PATHWAY</t>
  </si>
  <si>
    <t>57690;26523;27327;192669;27161;23112</t>
  </si>
  <si>
    <t>TNRC6C;AGO1;TNRC6A;AGO3;AGO2;TNRC6B</t>
  </si>
  <si>
    <t>http://www.broadinstitute.org/gsea/msigdb/cards/GO_WNT_SIGNALING_PATHWAY_CALCIUM_MODULATING_PATHWAY.html</t>
  </si>
  <si>
    <t>9139;4976;9475;26057;673;1656;405;7428;2475;5048;7182;6654;6093;23512;84162;55252;23064;23332;171023;85440;84079;57498;23405;9693;23019;905;4763;2932;2551;2033;11214;6789;93;5469;463;57534;22849;5814;64783;23013;4848;29843;55636;23499;55818;253725;8202</t>
  </si>
  <si>
    <t>CBFA2T2;OPA1;ROCK2;ANKRD17;BRAF;DDX6;ARNT;VHL;MTOR;PAFAH1B1;NR2C2;SOS1;ROCK1;SUZ12;KIAA1109;ASXL2;SETX;CLASP1;ASXL1;DOCK7;ANKRD27;KIDINS220;DICER1;RAPGEF2;CNOT1;CCNT2;NF1;GSK3B;GABPA;EP300;AKAP13;STK4;ACVR2B;MED1;ZFHX3;MIB1;CPEB3;PURB;RBM15;SPEN;AC092881.1;SENP1;CHD7;MACF1;KDM3A;WASHC2C;NCOA3</t>
  </si>
  <si>
    <t>GO_SIGNAL_SEQUENCE_BINDING</t>
  </si>
  <si>
    <t>http://www.broadinstitute.org/gsea/msigdb/cards/GO_SIGNAL_SEQUENCE_BINDING.html</t>
  </si>
  <si>
    <t>5290;9632;6711;2802;1778;26130;9135;9321;22848;51248;55275;387680;23332;22853;23032;9711;9712;81609;84079;53944;51479;11276;200576;23423;5286;9919;8867;10897;9527;7109;55014;10093;2804;54520;55291;54832;57553;57534;9392;23499;253725</t>
  </si>
  <si>
    <t>PIK3CA;SEC24C;SPTBN1;GOLGA3;DYNC1H1;GAPVD1;RABEP1;TRIP11;AAK1;PDZD11;VPS53;WASHC2A;CLASP1;LMTK2;USP33;RUBCN;USP6NL;SNX27;ANKRD27;CSNK1G1;ANKFY1;SYNRG;PIKFYVE;TMED3;PIK3C2A;SEC16A;SYNJ1;YIF1A;GOSR1;TRAPPC10;STX17;ARPC4;GOLGB1;CCDC93;PPP6R3;VPS13C;MICAL3;MIB1;TGFBRAP1;MACF1;WASHC2C</t>
  </si>
  <si>
    <t>9826;9681;6654;26130;84986;9135;57148;7248;9712;84079;23637;9693;4763;22930;23527;253959;119016</t>
  </si>
  <si>
    <t>ARHGEF11;DEPDC5;SOS1;GAPVD1;ARHGAP19;RABEP1;RALGAPB;TSC1;USP6NL;ANKRD27;RABGAP1;RAPGEF2;NF1;RAB3GAP1;ACAP2;RALGAPA1;AGAP4</t>
  </si>
  <si>
    <t>GO_ANATOMICAL_STRUCTURE_FORMATION_INVOLVED_IN_MORPHOGENESIS</t>
  </si>
  <si>
    <t>5290;5048;5591;5781;6659;8925;26005;80312;28981;7248;29072;23405;200576;317;5116;9113;2876;2932;6670;2033;6789;472;93;5469;347240;57534;204851;26146;64783;11190;9786;80155;65250;4848</t>
  </si>
  <si>
    <t>PIK3CA;PAFAH1B1;PRKDC;PTPN11;SOX4;HERC1;C2CD3;TET1;IFT81;TSC1;SETD2;DICER1;PIKFYVE;APAF1;PCNT;LATS1;GPX1;GSK3B;SP3;EP300;STK4;ATM;ACVR2B;MED1;KIF24;MIB1;HIPK1;TRAF3IP1;RBM15;CEP250;KIAA0586;NAA15;CPLANE1;AC092881.1</t>
  </si>
  <si>
    <t>http://www.broadinstitute.org/gsea/msigdb/cards/GO_ANATOMICAL_STRUCTURE_FORMATION_INVOLVED_IN_MORPHOGENESIS.html</t>
  </si>
  <si>
    <t>GO_DNA_MODIFICATION</t>
  </si>
  <si>
    <t>http://www.broadinstitute.org/gsea/msigdb/cards/GO_DNA_MODIFICATION.html</t>
  </si>
  <si>
    <t>GO_ESTROGEN_RECEPTOR_BINDING</t>
  </si>
  <si>
    <t>9611;23054;64324;23019;6801;5469</t>
  </si>
  <si>
    <t>NCOR1;NCOA6;NSD1;CNOT1;STRN;MED1</t>
  </si>
  <si>
    <t>http://www.broadinstitute.org/gsea/msigdb/cards/GO_ESTROGEN_RECEPTOR_BINDING.html</t>
  </si>
  <si>
    <t>GO_PEPTIDYL_METHIONINE_MODIFICATION</t>
  </si>
  <si>
    <t>80018;122830;79612;80155</t>
  </si>
  <si>
    <t>NAA25;NAA30;NAA16;NAA15</t>
  </si>
  <si>
    <t>http://www.broadinstitute.org/gsea/msigdb/cards/GO_PEPTIDYL_METHIONINE_MODIFICATION.html</t>
  </si>
  <si>
    <t>GO_RNA_INTERFERENCE</t>
  </si>
  <si>
    <t>http://www.broadinstitute.org/gsea/msigdb/cards/GO_RNA_INTERFERENCE.html</t>
  </si>
  <si>
    <t>GO_POLY_A_SPECIFIC_RIBONUCLEASE_ACTIVITY</t>
  </si>
  <si>
    <t>255967;57472;23019;4848</t>
  </si>
  <si>
    <t>PAN3;CNOT6;CNOT1;AC092881.1</t>
  </si>
  <si>
    <t>http://www.broadinstitute.org/gsea/msigdb/cards/GO_POLY_A_SPECIFIC_RIBONUCLEASE_ACTIVITY.html</t>
  </si>
  <si>
    <t>GO_POSITIVE_REGULATION_OF_CELL_CYCLE</t>
  </si>
  <si>
    <t>9475;26057;7175;5048;546;5781;6659;55023;57472;23019;905;8812;2033;472;5469;5586;4848</t>
  </si>
  <si>
    <t>ROCK2;ANKRD17;TPR;PAFAH1B1;ATRX;PTPN11;SOX4;PHIP;CNOT6;CNOT1;CCNT2;CCNK;EP300;ATM;MED1;PKN2;AC092881.1</t>
  </si>
  <si>
    <t>http://www.broadinstitute.org/gsea/msigdb/cards/GO_POSITIVE_REGULATION_OF_CELL_CYCLE.html</t>
  </si>
  <si>
    <t>GO_TRANSCRIPTION_INITIATION_FROM_RNA_POLYMERASE_II_PROMOTER</t>
  </si>
  <si>
    <t>6872;7182;2969;23054;6873;6874;2957;5469;9969;9439;9967</t>
  </si>
  <si>
    <t>TAF1;NR2C2;GTF2I;NCOA6;TAF2;TAF4;GTF2A1;MED1;MED13;MED23;THRAP3</t>
  </si>
  <si>
    <t>http://www.broadinstitute.org/gsea/msigdb/cards/GO_TRANSCRIPTION_INITIATION_FROM_RNA_POLYMERASE_II_PROMOTER.html</t>
  </si>
  <si>
    <t>GO_SIGNAL_TRANSDUCTION_BY_P53_CLASS_MEDIATOR</t>
  </si>
  <si>
    <t>546;6659;22976;57472;23019;2033;472;7159;204851;4848</t>
  </si>
  <si>
    <t>ATRX;SOX4;PAXIP1;CNOT6;CNOT1;EP300;ATM;TP53BP2;HIPK1;AC092881.1</t>
  </si>
  <si>
    <t>http://www.broadinstitute.org/gsea/msigdb/cards/GO_SIGNAL_TRANSDUCTION_BY_P53_CLASS_MEDIATOR.html</t>
  </si>
  <si>
    <t>23317;9135;387680;22853;9711;81609;84079;57679;51479;200576;9897;54520;23392;9392;23200;253725</t>
  </si>
  <si>
    <t>DNAJC13;RABEP1;WASHC2A;LMTK2;RUBCN;SNX27;ANKRD27;ALS2;ANKFY1;PIKFYVE;WASHC5;CCDC93;ECPAS;TGFBRAP1;ATP11B;WASHC2C</t>
  </si>
  <si>
    <t>GO_PEPTIDYL_LYSINE_TRIMETHYLATION</t>
  </si>
  <si>
    <t>200424;4297;29072;51742;79723</t>
  </si>
  <si>
    <t>TET3;KMT2A;SETD2;ARID4B;SUV39H2</t>
  </si>
  <si>
    <t>http://www.broadinstitute.org/gsea/msigdb/cards/GO_PEPTIDYL_LYSINE_TRIMETHYLATION.html</t>
  </si>
  <si>
    <t>GO_REGULATION_OF_DNA_DEPENDENT_DNA_REPLICATION</t>
  </si>
  <si>
    <t>546;59343;9126;4361;10735;84893</t>
  </si>
  <si>
    <t>ATRX;SENP2;SMC3;MRE11;STAG2;FBH1</t>
  </si>
  <si>
    <t>http://www.broadinstitute.org/gsea/msigdb/cards/GO_REGULATION_OF_DNA_DEPENDENT_DNA_REPLICATION.html</t>
  </si>
  <si>
    <t>GO_ORGANELLE_TRANSPORT_ALONG_MICROTUBULE</t>
  </si>
  <si>
    <t>4976;3799;5048;23160;23095;10128;23299</t>
  </si>
  <si>
    <t>OPA1;KIF5B;PAFAH1B1;WDR43;KIF1B;LRPPRC;BICD2</t>
  </si>
  <si>
    <t>http://www.broadinstitute.org/gsea/msigdb/cards/GO_ORGANELLE_TRANSPORT_ALONG_MICROTUBULE.html</t>
  </si>
  <si>
    <t>7175;673;7182;6711;6654;5062;57551;23064;8315;10142;9693;4763;4140;6789;93;23198;5469;2074;4216</t>
  </si>
  <si>
    <t>TPR;BRAF;NR2C2;SPTBN1;SOS1;PAK2;TAOK1;SETX;BRAP;AKAP9;RAPGEF2;NF1;MARK3;STK4;ACVR2B;PSME4;MED1;ERCC6;MAP3K4</t>
  </si>
  <si>
    <t>GO_HISTONE_DEACETYLASE_BINDING</t>
  </si>
  <si>
    <t>9611;7155;25836;170506;64426;23468;5586;54887;84295</t>
  </si>
  <si>
    <t>NCOR1;TOP2B;NIPBL;DHX36;SUDS3;CBX5;PKN2;UHRF1BP1;PHF6</t>
  </si>
  <si>
    <t>http://www.broadinstitute.org/gsea/msigdb/cards/GO_HISTONE_DEACETYLASE_BINDING.html</t>
  </si>
  <si>
    <t>GO_TRANSCRIPTION_ELONGATION_FROM_RNA_POLYMERASE_II_PROMOTER</t>
  </si>
  <si>
    <t>6872;6873;29072;6874;905;8812;8518;2957</t>
  </si>
  <si>
    <t>TAF1;TAF2;SETD2;TAF4;CCNT2;CCNK;ELP1;GTF2A1</t>
  </si>
  <si>
    <t>http://www.broadinstitute.org/gsea/msigdb/cards/GO_TRANSCRIPTION_ELONGATION_FROM_RNA_POLYMERASE_II_PROMOTER.html</t>
  </si>
  <si>
    <t>GO_POSITIVE_REGULATION_OF_DNA_METABOLIC_PROCESS</t>
  </si>
  <si>
    <t>7468;546;55183;22976;165918;80351;170506;2932;4361;472;2140;4216</t>
  </si>
  <si>
    <t>NSD2;ATRX;RIF1;PAXIP1;RNF168;TNKS2;DHX36;GSK3B;MRE11;ATM;EYA3;MAP3K4</t>
  </si>
  <si>
    <t>http://www.broadinstitute.org/gsea/msigdb/cards/GO_POSITIVE_REGULATION_OF_DNA_METABOLIC_PROCESS.html</t>
  </si>
  <si>
    <t>GO_CYTOPLASMIC_MRNA_PROCESSING_BODY_ASSEMBLY</t>
  </si>
  <si>
    <t>1656;1778;6311;26065</t>
  </si>
  <si>
    <t>DDX6;DYNC1H1;ATXN2;LSM14A</t>
  </si>
  <si>
    <t>http://www.broadinstitute.org/gsea/msigdb/cards/GO_CYTOPLASMIC_MRNA_PROCESSING_BODY_ASSEMBLY.html</t>
  </si>
  <si>
    <t>GO_PRE_MIRNA_PROCESSING</t>
  </si>
  <si>
    <t>http://www.broadinstitute.org/gsea/msigdb/cards/GO_PRE_MIRNA_PROCESSING.html</t>
  </si>
  <si>
    <t>GO_CYTOPLASMIC_UBIQUITIN_LIGASE_COMPLEX</t>
  </si>
  <si>
    <t>7428;23032;10299;8453</t>
  </si>
  <si>
    <t>VHL;USP33;MARCH6;CUL2</t>
  </si>
  <si>
    <t>http://www.broadinstitute.org/gsea/msigdb/cards/GO_CYTOPLASMIC_UBIQUITIN_LIGASE_COMPLEX.html</t>
  </si>
  <si>
    <t>GO_NEGATIVE_REGULATION_OF_TELOMERE_MAINTENANCE</t>
  </si>
  <si>
    <t>3192;23293;80351;54552;472</t>
  </si>
  <si>
    <t>HNRNPU;SMG6;TNKS2;GNL3L;ATM</t>
  </si>
  <si>
    <t>http://www.broadinstitute.org/gsea/msigdb/cards/GO_NEGATIVE_REGULATION_OF_TELOMERE_MAINTENANCE.html</t>
  </si>
  <si>
    <t>GO_HISTONE_DEMETHYLASE_ACTIVITY</t>
  </si>
  <si>
    <t>5927;221037;22992;10765;55818</t>
  </si>
  <si>
    <t>KDM5A;JMJD1C;KDM2A;KDM5B;KDM3A</t>
  </si>
  <si>
    <t>http://www.broadinstitute.org/gsea/msigdb/cards/GO_HISTONE_DEMETHYLASE_ACTIVITY.html</t>
  </si>
  <si>
    <t>GO_EMBRYONIC_PLACENTA_DEVELOPMENT</t>
  </si>
  <si>
    <t>405;2186;29072;59343;57448;6670;6789;5469</t>
  </si>
  <si>
    <t>ARNT;BPTF;SETD2;SENP2;BIRC6;SP3;STK4;MED1</t>
  </si>
  <si>
    <t>http://www.broadinstitute.org/gsea/msigdb/cards/GO_EMBRYONIC_PLACENTA_DEVELOPMENT.html</t>
  </si>
  <si>
    <t>9611;6651;1656;2475;546;5781;6654;23054;25836;59343;57680;57498;23405;9693;23019;7514;6801;2876;867;7159;3930;5469;11190;79813;440193</t>
  </si>
  <si>
    <t>NCOR1;SON;DDX6;MTOR;ATRX;PTPN11;SOS1;NCOA6;NIPBL;SENP2;CHD8;KIDINS220;DICER1;RAPGEF2;CNOT1;XPO1;STRN;GPX1;CBL;TP53BP2;LBR;MED1;CEP250;EHMT1;CCDC88C</t>
  </si>
  <si>
    <t>GO_TUBE_DEVELOPMENT</t>
  </si>
  <si>
    <t>546;6659;26005;25836;171023;7248;29072;54542;57680;317;9678;4763;6670;2033;6789;93;5469;57534;26146;64783;55636;51696;10765</t>
  </si>
  <si>
    <t>ATRX;SOX4;C2CD3;NIPBL;ASXL1;TSC1;SETD2;RC3H2;CHD8;APAF1;PHF14;NF1;SP3;EP300;STK4;ACVR2B;MED1;MIB1;TRAF3IP1;RBM15;CHD7;HECA;KDM5B</t>
  </si>
  <si>
    <t>http://www.broadinstitute.org/gsea/msigdb/cards/GO_TUBE_DEVELOPMENT.html</t>
  </si>
  <si>
    <t>GO_TRANSCRIPTION_FACTOR_ACTIVITY_RNA_POLYMERASE_II_TRANSCRIPTION_FACTOR_BINDING</t>
  </si>
  <si>
    <t>6659;6873;23389;10915;11168;5469;23013;4848;9969;9967</t>
  </si>
  <si>
    <t>SOX4;TAF2;MED13L;TCERG1;PSIP1;MED1;SPEN;AC092881.1;MED13;THRAP3</t>
  </si>
  <si>
    <t>http://www.broadinstitute.org/gsea/msigdb/cards/GO_TRANSCRIPTION_FACTOR_ACTIVITY_RNA_POLYMERASE_II_TRANSCRIPTION_FACTOR_BINDING.html</t>
  </si>
  <si>
    <t>11128;23317;5495;51366;7175;673;2475;9972;3836;5781;6659;10075;29072;7514;8867;4763;2932;2033;22930;5469;55432</t>
  </si>
  <si>
    <t>POLR3A;DNAJC13;PPM1B;UBR5;TPR;BRAF;MTOR;NUP153;KPNA1;PTPN11;SOX4;HUWE1;SETD2;XPO1;SYNJ1;NF1;GSK3B;EP300;RAB3GAP1;MED1;YOD1</t>
  </si>
  <si>
    <t>GO_CELLULAR_COMPONENT_MORPHOGENESIS</t>
  </si>
  <si>
    <t>3799;7428;5048;6711;7155;5781;6654;6093;9733;26005;23032;28981;89884;85440;84079;57679;57498;23405;200576;285527;5116;9113;2932;2033;6789;5469;347240;26146;8239;11190;9786;65250</t>
  </si>
  <si>
    <t>KIF5B;VHL;PAFAH1B1;SPTBN1;TOP2B;PTPN11;SOS1;ROCK1;SART3;C2CD3;USP33;IFT81;LHX4;DOCK7;ANKRD27;ALS2;KIDINS220;DICER1;PIKFYVE;FRYL;PCNT;LATS1;GSK3B;EP300;STK4;MED1;KIF24;TRAF3IP1;USP9X;CEP250;KIAA0586;CPLANE1</t>
  </si>
  <si>
    <t>http://www.broadinstitute.org/gsea/msigdb/cards/GO_CELLULAR_COMPONENT_MORPHOGENESIS.html</t>
  </si>
  <si>
    <t>GO_BASAL_TRANSCRIPTION_MACHINERY_BINDING</t>
  </si>
  <si>
    <t>http://www.broadinstitute.org/gsea/msigdb/cards/GO_BASAL_TRANSCRIPTION_MACHINERY_BINDING.html</t>
  </si>
  <si>
    <t>GO_REGULATION_OF_CHROMOSOME_SEGREGATION</t>
  </si>
  <si>
    <t>7175;546;23063;23369;79677;472;9698;26054</t>
  </si>
  <si>
    <t>TPR;ATRX;WAPL;PUM2;SMC6;ATM;PUM1;SENP6</t>
  </si>
  <si>
    <t>http://www.broadinstitute.org/gsea/msigdb/cards/GO_REGULATION_OF_CHROMOSOME_SEGREGATION.html</t>
  </si>
  <si>
    <t>GO_REGULATION_OF_PROTEIN_MODIFICATION_BY_SMALL_PROTEIN_CONJUGATION_OR_REMOVAL</t>
  </si>
  <si>
    <t>23328;51366;7175;405;2475;6659;9320;9733;22976;64682;59343;54552;23198;139285;55743</t>
  </si>
  <si>
    <t>SASH1;UBR5;TPR;ARNT;MTOR;SOX4;TRIP12;SART3;PAXIP1;ANAPC1;SENP2;GNL3L;PSME4;AMER1;CHFR</t>
  </si>
  <si>
    <t>http://www.broadinstitute.org/gsea/msigdb/cards/GO_REGULATION_OF_PROTEIN_MODIFICATION_BY_SMALL_PROTEIN_CONJUGATION_OR_REMOVAL.html</t>
  </si>
  <si>
    <t>GO_NEUROGENESIS</t>
  </si>
  <si>
    <t>9139;4976;673;1656;3799;2475;5048;6711;7155;5781;6659;6654;5062;8925;26058;23064;23032;89884;85440;84079;57679;57498;23405;9693;6801;285527;10277;4763;2932;2033;5469;463;157922;22850;57534;204851;22849;6601;8239;79048;23013;55636;23499;1788</t>
  </si>
  <si>
    <t>CBFA2T2;OPA1;BRAF;DDX6;KIF5B;MTOR;PAFAH1B1;SPTBN1;TOP2B;PTPN11;SOX4;SOS1;PAK2;HERC1;GIGYF2;SETX;USP33;LHX4;DOCK7;ANKRD27;ALS2;KIDINS220;DICER1;RAPGEF2;STRN;FRYL;UBE4B;NF1;GSK3B;EP300;MED1;ZFHX3;CAMSAP1;ADNP2;MIB1;HIPK1;CPEB3;SMARCC2;USP9X;SECISBP2;SPEN;CHD7;MACF1;DNMT3A</t>
  </si>
  <si>
    <t>http://www.broadinstitute.org/gsea/msigdb/cards/GO_NEUROGENESIS.html</t>
  </si>
  <si>
    <t>GO_HISTONE_H3_K9_MODIFICATION</t>
  </si>
  <si>
    <t>51742;79723;79813;55818</t>
  </si>
  <si>
    <t>ARID4B;SUV39H2;EHMT1;KDM3A</t>
  </si>
  <si>
    <t>http://www.broadinstitute.org/gsea/msigdb/cards/GO_HISTONE_H3_K9_MODIFICATION.html</t>
  </si>
  <si>
    <t>9475;9611;23328;673;6872;405;5290;2475;4297;5781;6659;5062;9733;25836;253260;22976;57551;80312;23185;85440;57679;10142;64682;59343;57498;9693;317;905;8812;9113;2932;4361;2033;6789;472;1859;93;23198;22930;139285;2074;22849;84893;55743;29843;4216</t>
  </si>
  <si>
    <t>ROCK2;NCOR1;SASH1;BRAF;TAF1;ARNT;PIK3CA;MTOR;KMT2A;PTPN11;SOX4;PAK2;SART3;NIPBL;RICTOR;PAXIP1;TAOK1;TET1;LARP4B;DOCK7;ALS2;AKAP9;ANAPC1;SENP2;KIDINS220;RAPGEF2;APAF1;CCNT2;CCNK;LATS1;GSK3B;MRE11;EP300;STK4;ATM;DYRK1A;ACVR2B;PSME4;RAB3GAP1;AMER1;ERCC6;CPEB3;FBH1;CHFR;SENP1;MAP3K4</t>
  </si>
  <si>
    <t>GO_NUCLEUS_ORGANIZATION</t>
  </si>
  <si>
    <t>9631;7175;5048;9972;5903;9221;23198;25909;10762;55818</t>
  </si>
  <si>
    <t>NUP155;TPR;PAFAH1B1;NUP153;RANBP2;NOLC1;PSME4;AHCTF1;NUP50;KDM3A</t>
  </si>
  <si>
    <t>http://www.broadinstitute.org/gsea/msigdb/cards/GO_NUCLEUS_ORGANIZATION.html</t>
  </si>
  <si>
    <t>GO_CENTROSOME_CYCLE</t>
  </si>
  <si>
    <t>9475;26005;23032;9662;10426;11190</t>
  </si>
  <si>
    <t>ROCK2;C2CD3;USP33;CEP135;TUBGCP3;CEP250</t>
  </si>
  <si>
    <t>http://www.broadinstitute.org/gsea/msigdb/cards/GO_CENTROSOME_CYCLE.html</t>
  </si>
  <si>
    <t>9139;4976;9475;23328;7468;673;1656;405;2475;5048;7182;2969;6654;6093;84162;25836;22976;23064;23332;85440;84079;57498;23405;9693;9678;2876;4763;2932;2551;2033;6789;93;23198;5469;463;92140;57534;204851;22849;26146;5814;64783;23013;29843;55727;55636;10765;23499;9904;8202</t>
  </si>
  <si>
    <t>CBFA2T2;OPA1;ROCK2;SASH1;NSD2;BRAF;DDX6;ARNT;MTOR;PAFAH1B1;NR2C2;GTF2I;SOS1;ROCK1;KIAA1109;NIPBL;PAXIP1;SETX;CLASP1;DOCK7;ANKRD27;KIDINS220;DICER1;RAPGEF2;PHF14;GPX1;NF1;GSK3B;GABPA;EP300;STK4;ACVR2B;PSME4;MED1;ZFHX3;MTDH;MIB1;HIPK1;CPEB3;TRAF3IP1;PURB;RBM15;SPEN;SENP1;BTBD7;CHD7;KDM5B;MACF1;RBM19;NCOA3</t>
  </si>
  <si>
    <t>GO_NEGATIVE_REGULATION_OF_CHROMATIN_MODIFICATION</t>
  </si>
  <si>
    <t>51366;5927;9320;80312;54454;55818</t>
  </si>
  <si>
    <t>UBR5;KDM5A;TRIP12;TET1;ATAD2B;KDM3A</t>
  </si>
  <si>
    <t>http://www.broadinstitute.org/gsea/msigdb/cards/GO_NEGATIVE_REGULATION_OF_CHROMATIN_MODIFICATION.html</t>
  </si>
  <si>
    <t>6872;2475;5062;22848;22853;23049;53944;51755;2932;6789;472;1859</t>
  </si>
  <si>
    <t>TAF1;MTOR;PAK2;AAK1;LMTK2;SMG1;CSNK1G1;CDK12;GSK3B;STK4;ATM;DYRK1A</t>
  </si>
  <si>
    <t>GO_RETINOIC_ACID_RECEPTOR_BINDING</t>
  </si>
  <si>
    <t>9611;23054;171023;64324;23019;5469</t>
  </si>
  <si>
    <t>NCOR1;NCOA6;ASXL1;NSD1;CNOT1;MED1</t>
  </si>
  <si>
    <t>http://www.broadinstitute.org/gsea/msigdb/cards/GO_RETINOIC_ACID_RECEPTOR_BINDING.html</t>
  </si>
  <si>
    <t>GO_ESTABLISHMENT_OF_CELL_POLARITY</t>
  </si>
  <si>
    <t>9826;5048;23160;253260;23332;81609;85440;2932</t>
  </si>
  <si>
    <t>ARHGEF11;PAFAH1B1;WDR43;RICTOR;CLASP1;SNX27;DOCK7;GSK3B</t>
  </si>
  <si>
    <t>http://www.broadinstitute.org/gsea/msigdb/cards/GO_ESTABLISHMENT_OF_CELL_POLARITY.html</t>
  </si>
  <si>
    <t>GO_GOLGI_VESICLE_TRANSPORT</t>
  </si>
  <si>
    <t>9632;6711;2802;1778;9321;51479;23423;9919;9527;7109;55014;2804;54520;55291;54832;23499</t>
  </si>
  <si>
    <t>SEC24C;SPTBN1;GOLGA3;DYNC1H1;TRIP11;ANKFY1;TMED3;SEC16A;GOSR1;TRAPPC10;STX17;GOLGB1;CCDC93;PPP6R3;VPS13C;MACF1</t>
  </si>
  <si>
    <t>http://www.broadinstitute.org/gsea/msigdb/cards/GO_GOLGI_VESICLE_TRANSPORT.html</t>
  </si>
  <si>
    <t>9139;4976;9475;673;1656;2475;5048;6093;23064;23332;85440;84079;57498;23405;9693;23019;4763;2932;2033;11214;5469;463;57534;22849;23013;4848;55636;23499;55818;253725</t>
  </si>
  <si>
    <t>CBFA2T2;OPA1;ROCK2;BRAF;DDX6;MTOR;PAFAH1B1;ROCK1;SETX;CLASP1;DOCK7;ANKRD27;KIDINS220;DICER1;RAPGEF2;CNOT1;NF1;GSK3B;EP300;AKAP13;MED1;ZFHX3;MIB1;CPEB3;SPEN;AC092881.1;CHD7;MACF1;KDM3A;WASHC2C</t>
  </si>
  <si>
    <t>GO_PROTEIN_DEALKYLATION</t>
  </si>
  <si>
    <t>http://www.broadinstitute.org/gsea/msigdb/cards/GO_PROTEIN_DEALKYLATION.html</t>
  </si>
  <si>
    <t>GO_NUCLEAR_CYCLIN_DEPENDENT_PROTEIN_KINASE_HOLOENZYME_COMPLEX</t>
  </si>
  <si>
    <t>5927;51755;905;8621</t>
  </si>
  <si>
    <t>KDM5A;CDK12;CCNT2;CDK13</t>
  </si>
  <si>
    <t>http://www.broadinstitute.org/gsea/msigdb/cards/GO_NUCLEAR_CYCLIN_DEPENDENT_PROTEIN_KINASE_HOLOENZYME_COMPLEX.html</t>
  </si>
  <si>
    <t>GO_CCR4_NOT_COMPLEX</t>
  </si>
  <si>
    <t>57472;23019;22849;4848</t>
  </si>
  <si>
    <t>CNOT6;CNOT1;CPEB3;AC092881.1</t>
  </si>
  <si>
    <t>http://www.broadinstitute.org/gsea/msigdb/cards/GO_CCR4_NOT_COMPLEX.html</t>
  </si>
  <si>
    <t>GO_POST_EMBRYONIC_DEVELOPMENT</t>
  </si>
  <si>
    <t>2475;546;4297;26058;54542;93;10765;27161</t>
  </si>
  <si>
    <t>MTOR;ATRX;KMT2A;GIGYF2;RC3H2;ACVR2B;KDM5B;AGO2</t>
  </si>
  <si>
    <t>http://www.broadinstitute.org/gsea/msigdb/cards/GO_POST_EMBRYONIC_DEVELOPMENT.html</t>
  </si>
  <si>
    <t>GO_CATALYTIC_STEP_2_SPLICEOSOME</t>
  </si>
  <si>
    <t>10236;23451;3192;8899;55596;10594;55094;57703</t>
  </si>
  <si>
    <t>HNRNPR;SF3B1;HNRNPU;PRPF4B;ZCCHC8;PRPF8;GPATCH1;CWC22</t>
  </si>
  <si>
    <t>http://www.broadinstitute.org/gsea/msigdb/cards/GO_CATALYTIC_STEP_2_SPLICEOSOME.html</t>
  </si>
  <si>
    <t>GO_HETEROCHROMATIN</t>
  </si>
  <si>
    <t>546;7155;23512;11168;23468;11176;1788</t>
  </si>
  <si>
    <t>ATRX;TOP2B;SUZ12;PSIP1;CBX5;BAZ2A;DNMT3A</t>
  </si>
  <si>
    <t>http://www.broadinstitute.org/gsea/msigdb/cards/GO_HETEROCHROMATIN.html</t>
  </si>
  <si>
    <t>GO_RNA_HELICASE_ACTIVITY</t>
  </si>
  <si>
    <t>1656;1660;90957;170506;9879;92797;9188</t>
  </si>
  <si>
    <t>DDX6;DHX9;DHX57;DHX36;DDX46;HELB;DDX21</t>
  </si>
  <si>
    <t>http://www.broadinstitute.org/gsea/msigdb/cards/GO_RNA_HELICASE_ACTIVITY.html</t>
  </si>
  <si>
    <t>GO_P53_BINDING</t>
  </si>
  <si>
    <t>6872;57680;2932;2033;7159;55159;79813</t>
  </si>
  <si>
    <t>TAF1;CHD8;GSK3B;EP300;TP53BP2;RFWD3;EHMT1</t>
  </si>
  <si>
    <t>http://www.broadinstitute.org/gsea/msigdb/cards/GO_P53_BINDING.html</t>
  </si>
  <si>
    <t>GO_MEMBRANE_DISASSEMBLY</t>
  </si>
  <si>
    <t>9631;7175;5048;9972;5903;10762</t>
  </si>
  <si>
    <t>NUP155;TPR;PAFAH1B1;NUP153;RANBP2;NUP50</t>
  </si>
  <si>
    <t>http://www.broadinstitute.org/gsea/msigdb/cards/GO_MEMBRANE_DISASSEMBLY.html</t>
  </si>
  <si>
    <t>GO_POSITIVE_REGULATION_OF_TELOMERE_MAINTENANCE</t>
  </si>
  <si>
    <t>546;80351;170506;4361;472;4216</t>
  </si>
  <si>
    <t>ATRX;TNKS2;DHX36;MRE11;ATM;MAP3K4</t>
  </si>
  <si>
    <t>http://www.broadinstitute.org/gsea/msigdb/cards/GO_POSITIVE_REGULATION_OF_TELOMERE_MAINTENANCE.html</t>
  </si>
  <si>
    <t>GO_RIBOSOME_BINDING</t>
  </si>
  <si>
    <t>2475;253260;79612;22849;10985;80155</t>
  </si>
  <si>
    <t>MTOR;RICTOR;NAA16;CPEB3;GCN1;NAA15</t>
  </si>
  <si>
    <t>http://www.broadinstitute.org/gsea/msigdb/cards/GO_RIBOSOME_BINDING.html</t>
  </si>
  <si>
    <t>6872;2475;253260;22976;23064;23332;9774;6249;2932;10093;10426;253725</t>
  </si>
  <si>
    <t>TAF1;MTOR;RICTOR;PAXIP1;SETX;CLASP1;BCLAF1;CLIP1;GSK3B;ARPC4;TUBGCP3;WASHC2C</t>
  </si>
  <si>
    <t>GO_RNA_POLYMERASE_II_TRANSCRIPTION_COFACTOR_ACTIVITY</t>
  </si>
  <si>
    <t>6659;23389;10915;11168;5469;4848;9969;9967</t>
  </si>
  <si>
    <t>SOX4;MED13L;TCERG1;PSIP1;MED1;AC092881.1;MED13;THRAP3</t>
  </si>
  <si>
    <t>http://www.broadinstitute.org/gsea/msigdb/cards/GO_RNA_POLYMERASE_II_TRANSCRIPTION_COFACTOR_ACTIVITY.html</t>
  </si>
  <si>
    <t>GO_CYTOSKELETON_DEPENDENT_INTRACELLULAR_TRANSPORT</t>
  </si>
  <si>
    <t>http://www.broadinstitute.org/gsea/msigdb/cards/GO_CYTOSKELETON_DEPENDENT_INTRACELLULAR_TRANSPORT.html</t>
  </si>
  <si>
    <t>GO_MRNA_3_UTR_BINDING</t>
  </si>
  <si>
    <t>10236;23369;8087;9698;22849;79048</t>
  </si>
  <si>
    <t>HNRNPR;PUM2;FXR1;PUM1;CPEB3;SECISBP2</t>
  </si>
  <si>
    <t>http://www.broadinstitute.org/gsea/msigdb/cards/GO_MRNA_3_UTR_BINDING.html</t>
  </si>
  <si>
    <t>9826;9475;6654;6093;9869;8315;57679;9693;4763;57531</t>
  </si>
  <si>
    <t>ARHGEF11;ROCK2;SOS1;ROCK1;SETDB1;BRAP;ALS2;RAPGEF2;NF1;HACE1</t>
  </si>
  <si>
    <t>GO_NEGATIVE_REGULATION_OF_DNA_DEPENDENT_DNA_REPLICATION</t>
  </si>
  <si>
    <t>9126;4361;10735;84893</t>
  </si>
  <si>
    <t>SMC3;MRE11;STAG2;FBH1</t>
  </si>
  <si>
    <t>http://www.broadinstitute.org/gsea/msigdb/cards/GO_NEGATIVE_REGULATION_OF_DNA_DEPENDENT_DNA_REPLICATION.html</t>
  </si>
  <si>
    <t>3840;10526;8888;9631;7175;5903;3836;6711;9321;3842;30849;23633;22930;55187;54832;55705;10762</t>
  </si>
  <si>
    <t>KPNA4;IPO8;MCM3AP;NUP155;TPR;RANBP2;KPNA1;SPTBN1;TRIP11;TNPO1;PIK3R4;KPNA6;RAB3GAP1;VPS13D;VPS13C;IPO9;NUP50</t>
  </si>
  <si>
    <t>http://www.broadinstitute.org/gsea/msigdb/cards/GO_ESTABLISHMENT_OF_PROTEIN_LOCALIZATION_TO_ORGANELLE.html</t>
  </si>
  <si>
    <t>GO_NEGATIVE_REGULATION_OF_CYTOPLASMIC_TRANSPORT</t>
  </si>
  <si>
    <t>5495;7175;673;2475;9972;6659;4763;2932;55432</t>
  </si>
  <si>
    <t>PPM1B;TPR;BRAF;MTOR;NUP153;SOX4;NF1;GSK3B;YOD1</t>
  </si>
  <si>
    <t>http://www.broadinstitute.org/gsea/msigdb/cards/GO_NEGATIVE_REGULATION_OF_CYTOPLASMIC_TRANSPORT.html</t>
  </si>
  <si>
    <t>GO_POSITIVE_REGULATION_OF_NEURON_PROJECTION_DEVELOPMENT</t>
  </si>
  <si>
    <t>9139;4976;673;2475;5048;23064;84079;57498;9693;2932;2033;22849;23499</t>
  </si>
  <si>
    <t>CBFA2T2;OPA1;BRAF;MTOR;PAFAH1B1;SETX;ANKRD27;KIDINS220;RAPGEF2;GSK3B;EP300;CPEB3;MACF1</t>
  </si>
  <si>
    <t>http://www.broadinstitute.org/gsea/msigdb/cards/GO_POSITIVE_REGULATION_OF_NEURON_PROJECTION_DEVELOPMENT.html</t>
  </si>
  <si>
    <t>GO_CYCLIN_DEPENDENT_PROTEIN_KINASE_HOLOENZYME_COMPLEX</t>
  </si>
  <si>
    <t>5927;51755;905;8812;8621</t>
  </si>
  <si>
    <t>KDM5A;CDK12;CCNT2;CCNK;CDK13</t>
  </si>
  <si>
    <t>http://www.broadinstitute.org/gsea/msigdb/cards/GO_CYCLIN_DEPENDENT_PROTEIN_KINASE_HOLOENZYME_COMPLEX.html</t>
  </si>
  <si>
    <t>GO_REGULATION_OF_PEPTIDYL_SERINE_PHOSPHORYLATION</t>
  </si>
  <si>
    <t>673;5290;253260;64324;85440;10142;9113;2932;6789</t>
  </si>
  <si>
    <t>BRAF;PIK3CA;RICTOR;NSD1;DOCK7;AKAP9;LATS1;GSK3B;STK4</t>
  </si>
  <si>
    <t>http://www.broadinstitute.org/gsea/msigdb/cards/GO_REGULATION_OF_PEPTIDYL_SERINE_PHOSPHORYLATION.html</t>
  </si>
  <si>
    <t>GO_MICROTUBULE_ASSOCIATED_COMPLEX</t>
  </si>
  <si>
    <t>7175;3799;5048;5903;1778;23160;23637;23095;347240;55605</t>
  </si>
  <si>
    <t>TPR;KIF5B;PAFAH1B1;RANBP2;DYNC1H1;WDR43;RABGAP1;KIF1B;KIF24;KIF21A</t>
  </si>
  <si>
    <t>http://www.broadinstitute.org/gsea/msigdb/cards/GO_MICROTUBULE_ASSOCIATED_COMPLEX.html</t>
  </si>
  <si>
    <t>23328;673;5290;2475;5903;5781;5062;7248;9711;57679;30849;51755;57498;9693;905;8812;8518;9113;4763;2932;4361;11214;6789;93;2074;10985;26973;4216</t>
  </si>
  <si>
    <t>SASH1;BRAF;PIK3CA;MTOR;RANBP2;PTPN11;PAK2;TSC1;RUBCN;ALS2;PIK3R4;CDK12;KIDINS220;RAPGEF2;CCNT2;CCNK;ELP1;LATS1;NF1;GSK3B;MRE11;AKAP13;STK4;ACVR2B;ERCC6;GCN1;CHORDC1;MAP3K4</t>
  </si>
  <si>
    <t>GO_NEURON_PROJECTION_DEVELOPMENT</t>
  </si>
  <si>
    <t>3799;5048;6711;7155;5781;6654;5062;8925;23032;89884;85440;84079;57679;57498;23405;9693;6801;285527;10277;2932;157922;8239</t>
  </si>
  <si>
    <t>KIF5B;PAFAH1B1;SPTBN1;TOP2B;PTPN11;SOS1;PAK2;HERC1;USP33;LHX4;DOCK7;ANKRD27;ALS2;KIDINS220;DICER1;RAPGEF2;STRN;FRYL;UBE4B;GSK3B;CAMSAP1;USP9X</t>
  </si>
  <si>
    <t>http://www.broadinstitute.org/gsea/msigdb/cards/GO_NEURON_PROJECTION_DEVELOPMENT.html</t>
  </si>
  <si>
    <t>GO_INTRACELLULAR_STEROID_HORMONE_RECEPTOR_SIGNALING_PATHWAY</t>
  </si>
  <si>
    <t>51366;23054;5469;9969;9967;55818;8202</t>
  </si>
  <si>
    <t>UBR5;NCOA6;MED1;MED13;THRAP3;KDM3A;NCOA3</t>
  </si>
  <si>
    <t>http://www.broadinstitute.org/gsea/msigdb/cards/GO_INTRACELLULAR_STEROID_HORMONE_RECEPTOR_SIGNALING_PATHWAY.html</t>
  </si>
  <si>
    <t>GO_NEGATIVE_REGULATION_OF_NUCLEOCYTOPLASMIC_TRANSPORT</t>
  </si>
  <si>
    <t>5495;7175;2475;9972;6659;4763;2932</t>
  </si>
  <si>
    <t>PPM1B;TPR;MTOR;NUP153;SOX4;NF1;GSK3B</t>
  </si>
  <si>
    <t>http://www.broadinstitute.org/gsea/msigdb/cards/GO_NEGATIVE_REGULATION_OF_NUCLEOCYTOPLASMIC_TRANSPORT.html</t>
  </si>
  <si>
    <t>GO_REGULATION_OF_TELOMERE_MAINTENANCE_VIA_TELOMERE_LENGTHENING</t>
  </si>
  <si>
    <t>3192;23293;80351;54552;472;4216</t>
  </si>
  <si>
    <t>HNRNPU;SMG6;TNKS2;GNL3L;ATM;MAP3K4</t>
  </si>
  <si>
    <t>http://www.broadinstitute.org/gsea/msigdb/cards/GO_REGULATION_OF_TELOMERE_MAINTENANCE_VIA_TELOMERE_LENGTHENING.html</t>
  </si>
  <si>
    <t>11128;23317;5495;51366;7175;673;2475;9972;3836;5781;6659;10075;29072;7514;8867;9527;5116;4763;2932;2033;7159;22930;5469;55432</t>
  </si>
  <si>
    <t>POLR3A;DNAJC13;PPM1B;UBR5;TPR;BRAF;MTOR;NUP153;KPNA1;PTPN11;SOX4;HUWE1;SETD2;XPO1;SYNJ1;GOSR1;PCNT;NF1;GSK3B;EP300;TP53BP2;RAB3GAP1;MED1;YOD1</t>
  </si>
  <si>
    <t>GO_REGULATION_OF_CHROMATIN_BINDING</t>
  </si>
  <si>
    <t>9044;23063;59343;84893</t>
  </si>
  <si>
    <t>BTAF1;WAPL;SENP2;FBH1</t>
  </si>
  <si>
    <t>http://www.broadinstitute.org/gsea/msigdb/cards/GO_REGULATION_OF_CHROMATIN_BINDING.html</t>
  </si>
  <si>
    <t>9475;140710;51366;7175;5290;7182;5591;3192;5781;6659;6654;2186;5062;23054;23064;55023;55914;10142;26523;7776;57498;23405;9693;5286;317;10897;9113;867;2117;2932;5471;2033;93;23198;23527;5469;55432;22850;10594;92140;22849;9392;8239;56652;192669;10765;9969;11108;27161;9967;55818;1788;8202</t>
  </si>
  <si>
    <t>ROCK2;SOGA1;UBR5;TPR;PIK3CA;NR2C2;PRKDC;HNRNPU;PTPN11;SOX4;SOS1;BPTF;PAK2;NCOA6;SETX;PHIP;ERBIN;AKAP9;AGO1;ZNF236;KIDINS220;DICER1;RAPGEF2;PIK3C2A;APAF1;YIF1A;LATS1;CBL;ETV3;GSK3B;PPAT;EP300;ACVR2B;PSME4;ACAP2;MED1;YOD1;ADNP2;PRPF8;MTDH;CPEB3;TGFBRAP1;USP9X;TWNK;AGO3;KDM5B;MED13;PRDM4;AGO2;THRAP3;KDM3A;DNMT3A;NCOA3</t>
  </si>
  <si>
    <t>GO_REGULATION_OF_TRANSCRIPTION_FROM_RNA_POLYMERASE_II_PROMOTER_IN_RESPONSE_TO_HYPOXIA</t>
  </si>
  <si>
    <t>405;7428;571;2033;8453</t>
  </si>
  <si>
    <t>ARNT;VHL;BACH1;EP300;CUL2</t>
  </si>
  <si>
    <t>http://www.broadinstitute.org/gsea/msigdb/cards/GO_REGULATION_OF_TRANSCRIPTION_FROM_RNA_POLYMERASE_II_PROMOTER_IN_RESPONSE_TO_HYPOXIA.html</t>
  </si>
  <si>
    <t>4976;9475;9631;7175;673;5048;9972;5903;9632;6711;6093;9135;51248;51479;9693;5286;9919;9527;6249;7109;2932;55014;7159;22930;55291;254887;57531;9392;10762;23499;23200</t>
  </si>
  <si>
    <t>OPA1;ROCK2;NUP155;TPR;BRAF;PAFAH1B1;NUP153;RANBP2;SEC24C;SPTBN1;ROCK1;RABEP1;PDZD11;ANKFY1;RAPGEF2;PIK3C2A;SEC16A;GOSR1;CLIP1;TRAPPC10;GSK3B;STX17;TP53BP2;RAB3GAP1;PPP6R3;ZDHHC23;HACE1;TGFBRAP1;NUP50;MACF1;ATP11B</t>
  </si>
  <si>
    <t>GO_CENTROSOME_DUPLICATION</t>
  </si>
  <si>
    <t>9475;26005;23032;9662;10426</t>
  </si>
  <si>
    <t>ROCK2;C2CD3;USP33;CEP135;TUBGCP3</t>
  </si>
  <si>
    <t>http://www.broadinstitute.org/gsea/msigdb/cards/GO_CENTROSOME_DUPLICATION.html</t>
  </si>
  <si>
    <t>GO_DEVELOPMENTAL_GROWTH</t>
  </si>
  <si>
    <t>8085;2475;546;5781;6654;25836;26058;5930;80351;54542;2876;93;5469;2074;8239;10765</t>
  </si>
  <si>
    <t>KMT2D;MTOR;ATRX;PTPN11;SOS1;NIPBL;GIGYF2;RBBP6;TNKS2;RC3H2;GPX1;ACVR2B;MED1;ERCC6;USP9X;KDM5B</t>
  </si>
  <si>
    <t>http://www.broadinstitute.org/gsea/msigdb/cards/GO_DEVELOPMENTAL_GROWTH.html</t>
  </si>
  <si>
    <t>GO_PROTEIN_DNA_COMPLEX</t>
  </si>
  <si>
    <t>5927;257218;23512;23522;5422;2033;10714;5469;92797;7994;5814</t>
  </si>
  <si>
    <t>KDM5A;SHPRH;SUZ12;KAT6B;POLA1;EP300;POLD3;MED1;HELB;KAT6A;PURB</t>
  </si>
  <si>
    <t>http://www.broadinstitute.org/gsea/msigdb/cards/GO_PROTEIN_DNA_COMPLEX.html</t>
  </si>
  <si>
    <t>GO_NUCLEAR_HETEROCHROMATIN</t>
  </si>
  <si>
    <t>546;23512;11168;23468;1788</t>
  </si>
  <si>
    <t>ATRX;SUZ12;PSIP1;CBX5;DNMT3A</t>
  </si>
  <si>
    <t>http://www.broadinstitute.org/gsea/msigdb/cards/GO_NUCLEAR_HETEROCHROMATIN.html</t>
  </si>
  <si>
    <t>GO_MICROTUBULE_BASED_MOVEMENT</t>
  </si>
  <si>
    <t>4976;3799;5048;1778;23160;28981;23095;10128;347240;55605;23299;26146</t>
  </si>
  <si>
    <t>OPA1;KIF5B;PAFAH1B1;DYNC1H1;WDR43;IFT81;KIF1B;LRPPRC;KIF24;KIF21A;BICD2;TRAF3IP1</t>
  </si>
  <si>
    <t>http://www.broadinstitute.org/gsea/msigdb/cards/GO_MICROTUBULE_BASED_MOVEMENT.html</t>
  </si>
  <si>
    <t>8085;9475;140710;51366;7175;673;5290;2475;7182;5591;3192;5781;6654;2186;23054;23064;55023;7248;55914;10142;57498;9693;5286;317;9113;867;2932;5471;2033;93;23527;5469;463;4899;22849;84893;9392;8239;10765;9969;9967;55818;1788;8202</t>
  </si>
  <si>
    <t>KMT2D;ROCK2;SOGA1;UBR5;TPR;BRAF;PIK3CA;MTOR;NR2C2;PRKDC;HNRNPU;PTPN11;SOS1;BPTF;NCOA6;SETX;PHIP;TSC1;ERBIN;AKAP9;KIDINS220;RAPGEF2;PIK3C2A;APAF1;LATS1;CBL;GSK3B;PPAT;EP300;ACVR2B;ACAP2;MED1;ZFHX3;NRF1;CPEB3;FBH1;TGFBRAP1;USP9X;KDM5B;MED13;THRAP3;KDM3A;DNMT3A;NCOA3</t>
  </si>
  <si>
    <t>4976;9681;9611;5495;673;2475;5048;5781;10771;56957;8315;171023;55023;7248;9711;55914;59343;57680;57448;55870;2844;23019;9678;9113;2876;4763;867;2932;6789;472;1859;23198;139285;54832;26146;4848;9969;51592</t>
  </si>
  <si>
    <t>OPA1;DEPDC5;NCOR1;PPM1B;BRAF;MTOR;PAFAH1B1;PTPN11;ZMYND11;OTUD7B;BRAP;ASXL1;PHIP;TSC1;RUBCN;ERBIN;SENP2;CHD8;BIRC6;ASH1L;RABGAP1;CNOT1;PHF14;LATS1;GPX1;NF1;CBL;GSK3B;STK4;ATM;DYRK1A;PSME4;AMER1;VPS13C;TRAF3IP1;AC092881.1;MED13;TRIM33</t>
  </si>
  <si>
    <t>7175;673;405;7428;2475;5591;4297;25836;22976;165918;7248;317;571;11168;10277;2876;4763;7528;2932;2033;472;8453;4899;55159;11011;2074;64421;55342;2140;79723;51455;55818;1788;4216</t>
  </si>
  <si>
    <t>TPR;BRAF;ARNT;VHL;MTOR;PRKDC;KMT2A;NIPBL;PAXIP1;RNF168;TSC1;APAF1;BACH1;PSIP1;UBE4B;GPX1;NF1;YY1;GSK3B;EP300;ATM;CUL2;NRF1;RFWD3;TLK2;ERCC6;DCLRE1C;STRBP;EYA3;SUV39H2;REV1;KDM3A;DNMT3A;MAP3K4</t>
  </si>
  <si>
    <t>GO_UBIQUITIN_LIKE_PROTEIN_BINDING</t>
  </si>
  <si>
    <t>26043;51366;56957;8315;165918;254225;23032;54764;10594</t>
  </si>
  <si>
    <t>UBXN7;UBR5;OTUD7B;BRAP;RNF168;RNF169;USP33;ZRANB1;PRPF8</t>
  </si>
  <si>
    <t>http://www.broadinstitute.org/gsea/msigdb/cards/GO_UBIQUITIN_LIKE_PROTEIN_BINDING.html</t>
  </si>
  <si>
    <t>23328;7175;673;5290;2475;5903;5781;5062;7248;9711;57679;30849;64682;51755;57498;9693;905;8812;8518;9113;4763;2932;4361;11214;6789;472;93;23198;2074;10985;26973;4216</t>
  </si>
  <si>
    <t>SASH1;TPR;BRAF;PIK3CA;MTOR;RANBP2;PTPN11;PAK2;TSC1;RUBCN;ALS2;PIK3R4;ANAPC1;CDK12;KIDINS220;RAPGEF2;CCNT2;CCNK;ELP1;LATS1;NF1;GSK3B;MRE11;AKAP13;STK4;ATM;ACVR2B;PSME4;ERCC6;GCN1;CHORDC1;MAP3K4</t>
  </si>
  <si>
    <t>GO_SITE_OF_POLARIZED_GROWTH</t>
  </si>
  <si>
    <t>10236;5048;23064;7248;85440;57679;23405;285527;2932;8239</t>
  </si>
  <si>
    <t>HNRNPR;PAFAH1B1;SETX;TSC1;DOCK7;ALS2;DICER1;FRYL;GSK3B;USP9X</t>
  </si>
  <si>
    <t>http://www.broadinstitute.org/gsea/msigdb/cards/GO_SITE_OF_POLARIZED_GROWTH.html</t>
  </si>
  <si>
    <t>9826;9475;9681;5927;2475;5048;3192;6711;6654;5062;6093;26130;84986;23160;9135;8925;253260;57148;7248;9712;85440;84079;57679;10142;57448;23637;9693;317;2876;4763;2932;4301;2033;11214;23198;22930;23527;55291;253959;119016;29843</t>
  </si>
  <si>
    <t>ARHGEF11;ROCK2;DEPDC5;KDM5A;MTOR;PAFAH1B1;HNRNPU;SPTBN1;SOS1;PAK2;ROCK1;GAPVD1;ARHGAP19;WDR43;RABEP1;HERC1;RICTOR;RALGAPB;TSC1;USP6NL;DOCK7;ANKRD27;ALS2;AKAP9;BIRC6;RABGAP1;RAPGEF2;APAF1;GPX1;NF1;GSK3B;AFDN;EP300;AKAP13;PSME4;RAB3GAP1;ACAP2;PPP6R3;RALGAPA1;AGAP4;SENP1</t>
  </si>
  <si>
    <t>3840;10526;8888;9631;7175;5903;3836;6711;9321;255967;3842;55914;30849;23633;55187;54832;55705;10762</t>
  </si>
  <si>
    <t>KPNA4;IPO8;MCM3AP;NUP155;TPR;RANBP2;KPNA1;SPTBN1;TRIP11;PAN3;TNPO1;ERBIN;PIK3R4;KPNA6;VPS13D;VPS13C;IPO9;NUP50</t>
  </si>
  <si>
    <t>http://www.broadinstitute.org/gsea/msigdb/cards/GO_PROTEIN_TARGETING.html</t>
  </si>
  <si>
    <t>11128;5495;51366;7175;3799;2475;3836;6711;5781;6659;56957;23063;10075;54552;7514;5116;4763;2932;2033;7159;5469;55432</t>
  </si>
  <si>
    <t>POLR3A;PPM1B;UBR5;TPR;KIF5B;MTOR;KPNA1;SPTBN1;PTPN11;SOX4;OTUD7B;WAPL;HUWE1;GNL3L;XPO1;PCNT;NF1;GSK3B;EP300;TP53BP2;MED1;YOD1</t>
  </si>
  <si>
    <t>GO_REGULATION_OF_PROTEIN_EXPORT_FROM_NUCLEUS</t>
  </si>
  <si>
    <t>7175;5781;6659;7514;2932</t>
  </si>
  <si>
    <t>TPR;PTPN11;SOX4;XPO1;GSK3B</t>
  </si>
  <si>
    <t>http://www.broadinstitute.org/gsea/msigdb/cards/GO_REGULATION_OF_PROTEIN_EXPORT_FROM_NUCLEUS.html</t>
  </si>
  <si>
    <t>GO_REGULATION_OF_MICROTUBULE_POLYMERIZATION_OR_DEPOLYMERIZATION</t>
  </si>
  <si>
    <t>9611;7175;9793;1778;23332;9126;5116;6249;9897;10426;26054</t>
  </si>
  <si>
    <t>NCOR1;TPR;CKAP5;DYNC1H1;CLASP1;SMC3;PCNT;CLIP1;WASHC5;TUBGCP3;SENP6</t>
  </si>
  <si>
    <t>http://www.broadinstitute.org/gsea/msigdb/cards/GO_REGULATION_OF_MICROTUBULE_POLYMERIZATION_OR_DEPOLYMERIZATION.html</t>
  </si>
  <si>
    <t>GO_CELLULAR_COMPONENT_DISASSEMBLY</t>
  </si>
  <si>
    <t>9631;7175;3799;5290;5048;7182;9972;5903;3836;6093;196528;23405;8867;2932;139285;347240;55159;57553;6601;55102;10762</t>
  </si>
  <si>
    <t>NUP155;TPR;KIF5B;PIK3CA;PAFAH1B1;NR2C2;NUP153;RANBP2;KPNA1;ROCK1;ARID2;DICER1;SYNJ1;GSK3B;AMER1;KIF24;RFWD3;MICAL3;SMARCC2;ATG2B;NUP50</t>
  </si>
  <si>
    <t>http://www.broadinstitute.org/gsea/msigdb/cards/GO_CELLULAR_COMPONENT_DISASSEMBLY.html</t>
  </si>
  <si>
    <t>6651;6433;23064;91746;51755;1859;57703;9967</t>
  </si>
  <si>
    <t>SON;SFSWAP;SETX;YTHDC1;CDK12;DYRK1A;CWC22;THRAP3</t>
  </si>
  <si>
    <t>GO_CAJAL_BODY</t>
  </si>
  <si>
    <t>9733;55341;7514;4863;9221;9879</t>
  </si>
  <si>
    <t>SART3;LSG1;XPO1;NPAT;NOLC1;DDX46</t>
  </si>
  <si>
    <t>http://www.broadinstitute.org/gsea/msigdb/cards/GO_CAJAL_BODY.html</t>
  </si>
  <si>
    <t>GO_RETROGRADE_TRANSPORT_ENDOSOME_TO_GOLGI</t>
  </si>
  <si>
    <t>55275;387680;51479;200576;9527;7109;253725</t>
  </si>
  <si>
    <t>VPS53;WASHC2A;ANKFY1;PIKFYVE;GOSR1;TRAPPC10;WASHC2C</t>
  </si>
  <si>
    <t>http://www.broadinstitute.org/gsea/msigdb/cards/GO_RETROGRADE_TRANSPORT_ENDOSOME_TO_GOLGI.html</t>
  </si>
  <si>
    <t>GO_NEGATIVE_REGULATION_OF_AUTOPHAGY</t>
  </si>
  <si>
    <t>2475;8925;7248;9711;54832;11011</t>
  </si>
  <si>
    <t>MTOR;HERC1;TSC1;RUBCN;VPS13C;TLK2</t>
  </si>
  <si>
    <t>http://www.broadinstitute.org/gsea/msigdb/cards/GO_NEGATIVE_REGULATION_OF_AUTOPHAGY.html</t>
  </si>
  <si>
    <t>GO_TRNA_TRANSPORT</t>
  </si>
  <si>
    <t>http://www.broadinstitute.org/gsea/msigdb/cards/GO_TRNA_TRANSPORT.html</t>
  </si>
  <si>
    <t>GO_INTRINSIC_APOPTOTIC_SIGNALING_PATHWAY</t>
  </si>
  <si>
    <t>5591;317;2876;2932;2033;472;8453;7159;204851;2074</t>
  </si>
  <si>
    <t>PRKDC;APAF1;GPX1;GSK3B;EP300;ATM;CUL2;TP53BP2;HIPK1;ERCC6</t>
  </si>
  <si>
    <t>http://www.broadinstitute.org/gsea/msigdb/cards/GO_INTRINSIC_APOPTOTIC_SIGNALING_PATHWAY.html</t>
  </si>
  <si>
    <t>GO_ATP_DEPENDENT_DNA_HELICASE_ACTIVITY</t>
  </si>
  <si>
    <t>1660;1106;4361;84893;92797</t>
  </si>
  <si>
    <t>DHX9;CHD2;MRE11;FBH1;HELB</t>
  </si>
  <si>
    <t>http://www.broadinstitute.org/gsea/msigdb/cards/GO_ATP_DEPENDENT_DNA_HELICASE_ACTIVITY.html</t>
  </si>
  <si>
    <t>GO_DEMETHYLASE_ACTIVITY</t>
  </si>
  <si>
    <t>http://www.broadinstitute.org/gsea/msigdb/cards/GO_DEMETHYLASE_ACTIVITY.html</t>
  </si>
  <si>
    <t>27340;9790;23160;7248;55341;23195;54552;7514;22984;9221;79707;27042;55127;9188;55636</t>
  </si>
  <si>
    <t>UTP20;BMS1;WDR43;TSC1;LSG1;MDN1;GNL3L;XPO1;PDCD11;NOLC1;NOL9;UTP25;HEATR1;DDX21;CHD7</t>
  </si>
  <si>
    <t>http://www.broadinstitute.org/gsea/msigdb/cards/GO_RIBOSOME_BIOGENESIS.html</t>
  </si>
  <si>
    <t>GO_HEART_MORPHOGENESIS</t>
  </si>
  <si>
    <t>7468;2475;6659;6654;26005;25836;171023;10277;5469;57534;64783;55636</t>
  </si>
  <si>
    <t>NSD2;MTOR;SOX4;SOS1;C2CD3;NIPBL;ASXL1;UBE4B;MED1;MIB1;RBM15;CHD7</t>
  </si>
  <si>
    <t>http://www.broadinstitute.org/gsea/msigdb/cards/GO_HEART_MORPHOGENESIS.html</t>
  </si>
  <si>
    <t>9826;4976;673;6651;7428;5290;2475;5591;6659;6654;5062;6093;10771;23064;55023;7248;89884;64426;57680;57448;9774;9693;317;9870;9113;2876;4763;867;2932;4361;2033;11214;6789;472;7159;23181;5469;22850;79612;92140;84893;80155;29843;1788</t>
  </si>
  <si>
    <t>ARHGEF11;OPA1;BRAF;SON;VHL;PIK3CA;MTOR;PRKDC;SOX4;SOS1;PAK2;ROCK1;ZMYND11;SETX;PHIP;TSC1;LHX4;SUDS3;CHD8;BIRC6;BCLAF1;RAPGEF2;APAF1;AREL1;LATS1;GPX1;NF1;CBL;GSK3B;MRE11;EP300;AKAP13;STK4;ATM;TP53BP2;DIP2A;MED1;ADNP2;NAA16;MTDH;FBH1;NAA15;SENP1;DNMT3A</t>
  </si>
  <si>
    <t>GO_ORGANELLE_LOCALIZATION</t>
  </si>
  <si>
    <t>4976;3799;5048;9632;1778;23160;23332;85440;51479;7514;9919;8867;23095;10128;7109;472;55291;23299</t>
  </si>
  <si>
    <t>OPA1;KIF5B;PAFAH1B1;SEC24C;DYNC1H1;WDR43;CLASP1;DOCK7;ANKFY1;XPO1;SEC16A;SYNJ1;KIF1B;LRPPRC;TRAPPC10;ATM;PPP6R3;BICD2</t>
  </si>
  <si>
    <t>http://www.broadinstitute.org/gsea/msigdb/cards/GO_ORGANELLE_LOCALIZATION.html</t>
  </si>
  <si>
    <t>GO_HISTONE_H4_K16_ACETYLATION</t>
  </si>
  <si>
    <t>4297;51230;284058;55167</t>
  </si>
  <si>
    <t>KMT2A;PHF20;KANSL1;MSL2</t>
  </si>
  <si>
    <t>http://www.broadinstitute.org/gsea/msigdb/cards/GO_HISTONE_H4_K16_ACETYLATION.html</t>
  </si>
  <si>
    <t>GO_NUCLEAR_TRANSCRIPTION_FACTOR_COMPLEX</t>
  </si>
  <si>
    <t>55814;6872;405;6659;6873;8295;6874;2957;9329</t>
  </si>
  <si>
    <t>BDP1;TAF1;ARNT;SOX4;TAF2;TRRAP;TAF4;GTF2A1;GTF3C4</t>
  </si>
  <si>
    <t>http://www.broadinstitute.org/gsea/msigdb/cards/GO_NUCLEAR_TRANSCRIPTION_FACTOR_COMPLEX.html</t>
  </si>
  <si>
    <t>GO_REGULATION_OF_ACTIN_FILAMENT_BUNDLE_ASSEMBLY</t>
  </si>
  <si>
    <t>9475;673;2475;6093;23332;7840;7248</t>
  </si>
  <si>
    <t>ROCK2;BRAF;MTOR;ROCK1;CLASP1;ALMS1;TSC1</t>
  </si>
  <si>
    <t>http://www.broadinstitute.org/gsea/msigdb/cards/GO_REGULATION_OF_ACTIN_FILAMENT_BUNDLE_ASSEMBLY.html</t>
  </si>
  <si>
    <t>GO_EPIDERMAL_GROWTH_FACTOR_RECEPTOR_SIGNALING_PATHWAY</t>
  </si>
  <si>
    <t>5290;5781;6654;55914;5286;867</t>
  </si>
  <si>
    <t>PIK3CA;PTPN11;SOS1;ERBIN;PIK3C2A;CBL</t>
  </si>
  <si>
    <t>http://www.broadinstitute.org/gsea/msigdb/cards/GO_EPIDERMAL_GROWTH_FACTOR_RECEPTOR_SIGNALING_PATHWAY.html</t>
  </si>
  <si>
    <t>GO_POSITIVE_REGULATION_OF_CELL_CYCLE_PROCESS</t>
  </si>
  <si>
    <t>9475;26057;7175;546;6659;55023;57472;23019;2033;472;5469;5586;4848</t>
  </si>
  <si>
    <t>ROCK2;ANKRD17;TPR;ATRX;SOX4;PHIP;CNOT6;CNOT1;EP300;ATM;MED1;PKN2;AC092881.1</t>
  </si>
  <si>
    <t>http://www.broadinstitute.org/gsea/msigdb/cards/GO_POSITIVE_REGULATION_OF_CELL_CYCLE_PROCESS.html</t>
  </si>
  <si>
    <t>GO_POSITIVE_REGULATION_OF_GENE_EXPRESSION_EPIGENETIC</t>
  </si>
  <si>
    <t>23451;57492;80312;54454;2033;2074;9188</t>
  </si>
  <si>
    <t>SF3B1;ARID1B;TET1;ATAD2B;EP300;ERCC6;DDX21</t>
  </si>
  <si>
    <t>http://www.broadinstitute.org/gsea/msigdb/cards/GO_POSITIVE_REGULATION_OF_GENE_EXPRESSION_EPIGENETIC.html</t>
  </si>
  <si>
    <t>GO_SINGLE_ORGANISM_BEHAVIOR</t>
  </si>
  <si>
    <t>673;2475;5048;4297;26058;130507;7248;57679;2844;8867;4763;64854;2033;9698;22849;55342;55636</t>
  </si>
  <si>
    <t>BRAF;MTOR;PAFAH1B1;KMT2A;GIGYF2;UBR3;TSC1;ALS2;RABGAP1;SYNJ1;NF1;USP46;EP300;PUM1;CPEB3;STRBP;CHD7</t>
  </si>
  <si>
    <t>http://www.broadinstitute.org/gsea/msigdb/cards/GO_SINGLE_ORGANISM_BEHAVIOR.html</t>
  </si>
  <si>
    <t>9826;9681;5981;5290;6711;6654;5062;26130;84986;9135;8925;253260;57148;22853;7248;9712;85440;84079;57679;10142;57448;57498;23637;9693;317;905;8812;8518;4763;11214;6789;23198;22930;23527;5469;253959;2074;10985;119016;55802;9329</t>
  </si>
  <si>
    <t>ARHGEF11;DEPDC5;RFC1;PIK3CA;SPTBN1;SOS1;PAK2;GAPVD1;ARHGAP19;RABEP1;HERC1;RICTOR;RALGAPB;LMTK2;TSC1;USP6NL;DOCK7;ANKRD27;ALS2;AKAP9;BIRC6;KIDINS220;RABGAP1;RAPGEF2;APAF1;CCNT2;CCNK;ELP1;NF1;AKAP13;STK4;PSME4;RAB3GAP1;ACAP2;MED1;RALGAPA1;ERCC6;GCN1;AGAP4;DCP1A;GTF3C4</t>
  </si>
  <si>
    <t>GO_HORMONE_MEDIATED_SIGNALING_PATHWAY</t>
  </si>
  <si>
    <t>51366;7182;5781;23054;9113;5469;9969;9967;55818;8202</t>
  </si>
  <si>
    <t>UBR5;NR2C2;PTPN11;NCOA6;LATS1;MED1;MED13;THRAP3;KDM3A;NCOA3</t>
  </si>
  <si>
    <t>http://www.broadinstitute.org/gsea/msigdb/cards/GO_HORMONE_MEDIATED_SIGNALING_PATHWAY.html</t>
  </si>
  <si>
    <t>GO_MEGAKARYOCYTE_DIFFERENTIATION</t>
  </si>
  <si>
    <t>5781;6670;2033;5469</t>
  </si>
  <si>
    <t>PTPN11;SP3;EP300;MED1</t>
  </si>
  <si>
    <t>http://www.broadinstitute.org/gsea/msigdb/cards/GO_MEGAKARYOCYTE_DIFFERENTIATION.html</t>
  </si>
  <si>
    <t>5290;2475;30849;5286</t>
  </si>
  <si>
    <t>PIK3CA;MTOR;PIK3R4;PIK3C2A</t>
  </si>
  <si>
    <t>27340;9790;23160;10940;79691;26523;23405;22984;9221;79707;27042;83448;55127;192669;9188;55636;27161</t>
  </si>
  <si>
    <t>UTP20;BMS1;WDR43;POP1;QTRT2;AGO1;DICER1;PDCD11;NOLC1;NOL9;UTP25;PUS7L;HEATR1;AGO3;DDX21;CHD7;AGO2</t>
  </si>
  <si>
    <t>http://www.broadinstitute.org/gsea/msigdb/cards/GO_NCRNA_PROCESSING.html</t>
  </si>
  <si>
    <t>9139;4976;23328;7468;673;405;7428;2475;5048;7182;5591;25836;22976;55252;23064;23332;84079;57498;23405;2844;9693;2932;2033;6789;93;5469;463;92140;204851;22849;23013;55636;10765;23499;9904;8202</t>
  </si>
  <si>
    <t>CBFA2T2;OPA1;SASH1;NSD2;BRAF;ARNT;VHL;MTOR;PAFAH1B1;NR2C2;PRKDC;NIPBL;PAXIP1;ASXL2;SETX;CLASP1;ANKRD27;KIDINS220;DICER1;RABGAP1;RAPGEF2;GSK3B;EP300;STK4;ACVR2B;MED1;ZFHX3;MTDH;HIPK1;CPEB3;SPEN;CHD7;KDM5B;MACF1;RBM19;NCOA3</t>
  </si>
  <si>
    <t>GO_PROTEIN_STABILIZATION</t>
  </si>
  <si>
    <t>7428;6659;22848;23032;7248;2033;6789;79612;80155</t>
  </si>
  <si>
    <t>VHL;SOX4;AAK1;USP33;TSC1;EP300;STK4;NAA16;NAA15</t>
  </si>
  <si>
    <t>http://www.broadinstitute.org/gsea/msigdb/cards/GO_PROTEIN_STABILIZATION.html</t>
  </si>
  <si>
    <t>GO_NEGATIVE_REGULATION_OF_BINDING</t>
  </si>
  <si>
    <t>9044;6093;23063;23032;51773;59343;54552;2932;84893</t>
  </si>
  <si>
    <t>BTAF1;ROCK1;WAPL;USP33;RSF1;SENP2;GNL3L;GSK3B;FBH1</t>
  </si>
  <si>
    <t>http://www.broadinstitute.org/gsea/msigdb/cards/GO_NEGATIVE_REGULATION_OF_BINDING.html</t>
  </si>
  <si>
    <t>GO_RESPONSE_TO_NERVE_GROWTH_FACTOR</t>
  </si>
  <si>
    <t>2186;57498;9693;2033;23527</t>
  </si>
  <si>
    <t>BPTF;KIDINS220;RAPGEF2;EP300;ACAP2</t>
  </si>
  <si>
    <t>http://www.broadinstitute.org/gsea/msigdb/cards/GO_RESPONSE_TO_NERVE_GROWTH_FACTOR.html</t>
  </si>
  <si>
    <t>GO_NUCLEAR_TRANSCRIBED_MRNA_CATABOLIC_PROCESS_DEADENYLATION_DEPENDENT_DECAY</t>
  </si>
  <si>
    <t>1656;255967;57472;23019;55802;4848</t>
  </si>
  <si>
    <t>DDX6;PAN3;CNOT6;CNOT1;DCP1A;AC092881.1</t>
  </si>
  <si>
    <t>http://www.broadinstitute.org/gsea/msigdb/cards/GO_NUCLEAR_TRANSCRIBED_MRNA_CATABOLIC_PROCESS_DEADENYLATION_DEPENDENT_DECAY.html</t>
  </si>
  <si>
    <t>GO_ANATOMICAL_STRUCTURE_HOMEOSTASIS</t>
  </si>
  <si>
    <t>5981;5591;4297;5781;26058;23293;23049;79677;5422;4361;472;10714;2074;64421</t>
  </si>
  <si>
    <t>RFC1;PRKDC;KMT2A;PTPN11;GIGYF2;SMG6;SMG1;SMC6;POLA1;MRE11;ATM;POLD3;ERCC6;DCLRE1C</t>
  </si>
  <si>
    <t>http://www.broadinstitute.org/gsea/msigdb/cards/GO_ANATOMICAL_STRUCTURE_HOMEOSTASIS.html</t>
  </si>
  <si>
    <t>4976;9475;55660;23328;673;5048;2969;6093;9202;23332;55023;9712;84079;53944;7750;54764;23637;9693;4763;2932;2033;11214;23198;5469;157922;254065;92140;204851;84260;54014;55727;23499;253725</t>
  </si>
  <si>
    <t>OPA1;ROCK2;PRPF40A;SASH1;BRAF;PAFAH1B1;GTF2I;ROCK1;ZMYM4;CLASP1;PHIP;USP6NL;ANKRD27;CSNK1G1;ZMYM2;ZRANB1;RABGAP1;RAPGEF2;NF1;GSK3B;EP300;AKAP13;PSME4;MED1;CAMSAP1;BRWD3;MTDH;HIPK1;TCHP;BRWD1;BTBD7;MACF1;WASHC2C</t>
  </si>
  <si>
    <t>GO_REGULATION_OF_CELL_CYCLE_PHASE_TRANSITION</t>
  </si>
  <si>
    <t>26057;7175;5591;6659;26058;64682;59343;57472;23019;4361;2033;472;23198;55159;4848</t>
  </si>
  <si>
    <t>ANKRD17;TPR;PRKDC;SOX4;GIGYF2;ANAPC1;SENP2;CNOT6;CNOT1;MRE11;EP300;ATM;PSME4;RFWD3;AC092881.1</t>
  </si>
  <si>
    <t>http://www.broadinstitute.org/gsea/msigdb/cards/GO_REGULATION_OF_CELL_CYCLE_PHASE_TRANSITION.html</t>
  </si>
  <si>
    <t>7468;3836;22976;4361;84893;92797</t>
  </si>
  <si>
    <t>NSD2;KPNA1;PAXIP1;MRE11;FBH1;HELB</t>
  </si>
  <si>
    <t>GO_REGULATION_OF_POSTTRANSCRIPTIONAL_GENE_SILENCING</t>
  </si>
  <si>
    <t>9611;23369;8087;9698</t>
  </si>
  <si>
    <t>NCOR1;PUM2;FXR1;PUM1</t>
  </si>
  <si>
    <t>http://www.broadinstitute.org/gsea/msigdb/cards/GO_REGULATION_OF_POSTTRANSCRIPTIONAL_GENE_SILENCING.html</t>
  </si>
  <si>
    <t>9475;51366;7182;3192;5062;23054;10142;26523;23405;9693;2932;2033;5469;192669;9969;27161;9967;55818;8202</t>
  </si>
  <si>
    <t>ROCK2;UBR5;NR2C2;HNRNPU;PAK2;NCOA6;AKAP9;AGO1;DICER1;RAPGEF2;GSK3B;EP300;MED1;AGO3;MED13;AGO2;THRAP3;KDM3A;NCOA3</t>
  </si>
  <si>
    <t>GO_REGULATION_OF_DEVELOPMENTAL_GROWTH</t>
  </si>
  <si>
    <t>5290;2475;5048;5591;5781;25836;80351;2844;9113;2932;2033;6789;55636;23499</t>
  </si>
  <si>
    <t>PIK3CA;MTOR;PAFAH1B1;PRKDC;PTPN11;NIPBL;TNKS2;RABGAP1;LATS1;GSK3B;EP300;STK4;CHD7;MACF1</t>
  </si>
  <si>
    <t>http://www.broadinstitute.org/gsea/msigdb/cards/GO_REGULATION_OF_DEVELOPMENTAL_GROWTH.html</t>
  </si>
  <si>
    <t>5591;317;10277;2876;4763;2932;2033;472;8453;7159;204851;2074;11083;29843</t>
  </si>
  <si>
    <t>PRKDC;APAF1;UBE4B;GPX1;NF1;GSK3B;EP300;ATM;CUL2;TP53BP2;HIPK1;ERCC6;DIDO1;SENP1</t>
  </si>
  <si>
    <t>GO_POSITIVE_REGULATION_OF_CATABOLIC_PROCESS</t>
  </si>
  <si>
    <t>10236;6872;405;23001;51322;64682;57690;23019;2932;23198;22930;139285;92140;22849;55743;27161;23112</t>
  </si>
  <si>
    <t>HNRNPR;TAF1;ARNT;WDFY3;WAC;ANAPC1;TNRC6C;CNOT1;GSK3B;PSME4;RAB3GAP1;AMER1;MTDH;CPEB3;CHFR;AGO2;TNRC6B</t>
  </si>
  <si>
    <t>http://www.broadinstitute.org/gsea/msigdb/cards/GO_POSITIVE_REGULATION_OF_CATABOLIC_PROCESS.html</t>
  </si>
  <si>
    <t>GO_BONE_CELL_DEVELOPMENT</t>
  </si>
  <si>
    <t>5048;5781;2033;5469</t>
  </si>
  <si>
    <t>PAFAH1B1;PTPN11;EP300;MED1</t>
  </si>
  <si>
    <t>http://www.broadinstitute.org/gsea/msigdb/cards/GO_BONE_CELL_DEVELOPMENT.html</t>
  </si>
  <si>
    <t>GO_NEGATIVE_REGULATION_OF_MACROAUTOPHAGY</t>
  </si>
  <si>
    <t>2475;7248;9711;54832</t>
  </si>
  <si>
    <t>MTOR;TSC1;RUBCN;VPS13C</t>
  </si>
  <si>
    <t>http://www.broadinstitute.org/gsea/msigdb/cards/GO_NEGATIVE_REGULATION_OF_MACROAUTOPHAGY.html</t>
  </si>
  <si>
    <t>GO_DSRNA_FRAGMENTATION</t>
  </si>
  <si>
    <t>http://www.broadinstitute.org/gsea/msigdb/cards/GO_DSRNA_FRAGMENTATION.html</t>
  </si>
  <si>
    <t>GO_REGULATION_OF_TELOMERE_CAPPING</t>
  </si>
  <si>
    <t>23293;80351;472;4216</t>
  </si>
  <si>
    <t>SMG6;TNKS2;ATM;MAP3K4</t>
  </si>
  <si>
    <t>http://www.broadinstitute.org/gsea/msigdb/cards/GO_REGULATION_OF_TELOMERE_CAPPING.html</t>
  </si>
  <si>
    <t>GO_PHOSPHOPROTEIN_BINDING</t>
  </si>
  <si>
    <t>2475;5048;53944;867;84295;9967</t>
  </si>
  <si>
    <t>MTOR;PAFAH1B1;CSNK1G1;CBL;PHF6;THRAP3</t>
  </si>
  <si>
    <t>http://www.broadinstitute.org/gsea/msigdb/cards/GO_PHOSPHOPROTEIN_BINDING.html</t>
  </si>
  <si>
    <t>GO_CELL_DEVELOPMENT</t>
  </si>
  <si>
    <t>8085;3799;2475;5048;546;5591;6711;7155;5781;6659;6654;5062;6093;8925;23032;89884;85440;84079;57679;29072;57498;23405;9693;6801;285527;10277;9113;2876;4763;2932;4301;2033;9897;472;23198;5469;51742;157922;8239;55342;79048;55818</t>
  </si>
  <si>
    <t>KMT2D;KIF5B;MTOR;PAFAH1B1;ATRX;PRKDC;SPTBN1;TOP2B;PTPN11;SOX4;SOS1;PAK2;ROCK1;HERC1;USP33;LHX4;DOCK7;ANKRD27;ALS2;SETD2;KIDINS220;DICER1;RAPGEF2;STRN;FRYL;UBE4B;LATS1;GPX1;NF1;GSK3B;AFDN;EP300;WASHC5;ATM;PSME4;MED1;ARID4B;CAMSAP1;USP9X;STRBP;SECISBP2;KDM3A</t>
  </si>
  <si>
    <t>http://www.broadinstitute.org/gsea/msigdb/cards/GO_CELL_DEVELOPMENT.html</t>
  </si>
  <si>
    <t>GO_ER_TO_GOLGI_VESICLE_MEDIATED_TRANSPORT</t>
  </si>
  <si>
    <t>9632;6711;1778;23423;9919;9527;7109;55014;2804;55291</t>
  </si>
  <si>
    <t>SEC24C;SPTBN1;DYNC1H1;TMED3;SEC16A;GOSR1;TRAPPC10;STX17;GOLGB1;PPP6R3</t>
  </si>
  <si>
    <t>http://www.broadinstitute.org/gsea/msigdb/cards/GO_ER_TO_GOLGI_VESICLE_MEDIATED_TRANSPORT.html</t>
  </si>
  <si>
    <t>GO_RESPONSE_TO_GROWTH_FACTOR</t>
  </si>
  <si>
    <t>7175;5781;6654;2186;23064;57498;9693;317;867;2932;2033;93;23527;5469;463;9392;8239;10765;11108</t>
  </si>
  <si>
    <t>TPR;PTPN11;SOS1;BPTF;SETX;KIDINS220;RAPGEF2;APAF1;CBL;GSK3B;EP300;ACVR2B;ACAP2;MED1;ZFHX3;TGFBRAP1;USP9X;KDM5B;PRDM4</t>
  </si>
  <si>
    <t>http://www.broadinstitute.org/gsea/msigdb/cards/GO_RESPONSE_TO_GROWTH_FACTOR.html</t>
  </si>
  <si>
    <t>11128;5495;5591;1660;170506;4361;2033;26146</t>
  </si>
  <si>
    <t>POLR3A;PPM1B;PRKDC;DHX9;DHX36;MRE11;EP300;TRAF3IP1</t>
  </si>
  <si>
    <t>55660;673;5048;9202;23332;55023;9712;84079;53944;7750;54764;23637;9693;2932;2033;157922;254065;84260;54014;23499;253725</t>
  </si>
  <si>
    <t>PRPF40A;BRAF;PAFAH1B1;ZMYM4;CLASP1;PHIP;USP6NL;ANKRD27;CSNK1G1;ZMYM2;ZRANB1;RABGAP1;RAPGEF2;GSK3B;EP300;CAMSAP1;BRWD3;TCHP;BRWD1;MACF1;WASHC2C</t>
  </si>
  <si>
    <t>GO_NEURON_DIFFERENTIATION</t>
  </si>
  <si>
    <t>3799;5048;6711;7155;5781;6659;6654;5062;8925;26058;23032;89884;85440;84079;57679;57498;23405;9693;6801;285527;10277;2932;157922;22850;204851;6601;8239;79048;1788</t>
  </si>
  <si>
    <t>KIF5B;PAFAH1B1;SPTBN1;TOP2B;PTPN11;SOX4;SOS1;PAK2;HERC1;GIGYF2;USP33;LHX4;DOCK7;ANKRD27;ALS2;KIDINS220;DICER1;RAPGEF2;STRN;FRYL;UBE4B;GSK3B;CAMSAP1;ADNP2;HIPK1;SMARCC2;USP9X;SECISBP2;DNMT3A</t>
  </si>
  <si>
    <t>http://www.broadinstitute.org/gsea/msigdb/cards/GO_NEURON_DIFFERENTIATION.html</t>
  </si>
  <si>
    <t>GO_NEUROTROPHIN_SIGNALING_PATHWAY</t>
  </si>
  <si>
    <t>5781;6654;57498;9693</t>
  </si>
  <si>
    <t>PTPN11;SOS1;KIDINS220;RAPGEF2</t>
  </si>
  <si>
    <t>http://www.broadinstitute.org/gsea/msigdb/cards/GO_NEUROTROPHIN_SIGNALING_PATHWAY.html</t>
  </si>
  <si>
    <t>GO_EXON_EXON_JUNCTION_COMPLEX</t>
  </si>
  <si>
    <t>27291;23293;26019;9967</t>
  </si>
  <si>
    <t>R3HCC1L;SMG6;UPF2;THRAP3</t>
  </si>
  <si>
    <t>http://www.broadinstitute.org/gsea/msigdb/cards/GO_EXON_EXON_JUNCTION_COMPLEX.html</t>
  </si>
  <si>
    <t>GO_BAF_TYPE_COMPLEX</t>
  </si>
  <si>
    <t>196528;55193;57492;6601</t>
  </si>
  <si>
    <t>ARID2;PBRM1;ARID1B;SMARCC2</t>
  </si>
  <si>
    <t>http://www.broadinstitute.org/gsea/msigdb/cards/GO_BAF_TYPE_COMPLEX.html</t>
  </si>
  <si>
    <t>GO_RNA_PHOSPHODIESTER_BOND_HYDROLYSIS_ENDONUCLEOLYTIC</t>
  </si>
  <si>
    <t>27340;23293;10940;23405;79707;27161</t>
  </si>
  <si>
    <t>UTP20;SMG6;POP1;DICER1;NOL9;AGO2</t>
  </si>
  <si>
    <t>http://www.broadinstitute.org/gsea/msigdb/cards/GO_RNA_PHOSPHODIESTER_BOND_HYDROLYSIS_ENDONUCLEOLYTIC.html</t>
  </si>
  <si>
    <t>GO_MITOTIC_RECOMBINATION</t>
  </si>
  <si>
    <t>5981;7155;79677;5422;10714</t>
  </si>
  <si>
    <t>RFC1;TOP2B;SMC6;POLA1;POLD3</t>
  </si>
  <si>
    <t>http://www.broadinstitute.org/gsea/msigdb/cards/GO_MITOTIC_RECOMBINATION.html</t>
  </si>
  <si>
    <t>GO_ANDROGEN_RECEPTOR_SIGNALING_PATHWAY</t>
  </si>
  <si>
    <t>5469;9969;9967;55818;8202</t>
  </si>
  <si>
    <t>MED1;MED13;THRAP3;KDM3A;NCOA3</t>
  </si>
  <si>
    <t>http://www.broadinstitute.org/gsea/msigdb/cards/GO_ANDROGEN_RECEPTOR_SIGNALING_PATHWAY.html</t>
  </si>
  <si>
    <t>GO_CELL_PART_MORPHOGENESIS</t>
  </si>
  <si>
    <t>3799;5048;6711;7155;5781;6654;26005;23032;28981;89884;85440;84079;57679;57498;23405;5116;2932;347240;26146;8239;11190;9786;65250</t>
  </si>
  <si>
    <t>KIF5B;PAFAH1B1;SPTBN1;TOP2B;PTPN11;SOS1;C2CD3;USP33;IFT81;LHX4;DOCK7;ANKRD27;ALS2;KIDINS220;DICER1;PCNT;GSK3B;KIF24;TRAF3IP1;USP9X;CEP250;KIAA0586;CPLANE1</t>
  </si>
  <si>
    <t>http://www.broadinstitute.org/gsea/msigdb/cards/GO_CELL_PART_MORPHOGENESIS.html</t>
  </si>
  <si>
    <t>GO_MICROTUBULE</t>
  </si>
  <si>
    <t>9611;3799;5048;9793;1778;23160;23332;8867;23095;5116;6249;10128;157922;347240;55605;10426;23499</t>
  </si>
  <si>
    <t>NCOR1;KIF5B;PAFAH1B1;CKAP5;DYNC1H1;WDR43;CLASP1;SYNJ1;KIF1B;PCNT;CLIP1;LRPPRC;CAMSAP1;KIF24;KIF21A;TUBGCP3;MACF1</t>
  </si>
  <si>
    <t>http://www.broadinstitute.org/gsea/msigdb/cards/GO_MICROTUBULE.html</t>
  </si>
  <si>
    <t>GO_GAMETE_GENERATION</t>
  </si>
  <si>
    <t>8085;5927;2475;5048;546;7182;6654;23064;166378;28981;7528;9897;472;9698;23198;51742;8239;55342;84132;7707;55818;1788</t>
  </si>
  <si>
    <t>KMT2D;KDM5A;MTOR;PAFAH1B1;ATRX;NR2C2;SOS1;SETX;SPATA5;IFT81;YY1;WASHC5;ATM;PUM1;PSME4;ARID4B;USP9X;STRBP;USP42;ZNF148;KDM3A;DNMT3A</t>
  </si>
  <si>
    <t>http://www.broadinstitute.org/gsea/msigdb/cards/GO_GAMETE_GENERATION.html</t>
  </si>
  <si>
    <t>GO_REGULATION_OF_RESPONSE_TO_EXTRACELLULAR_STIMULUS</t>
  </si>
  <si>
    <t>11128;2475;23001;7248;9711;51322;200576;22930;5469;54832</t>
  </si>
  <si>
    <t>POLR3A;MTOR;WDFY3;TSC1;RUBCN;WAC;PIKFYVE;RAB3GAP1;MED1;VPS13C</t>
  </si>
  <si>
    <t>http://www.broadinstitute.org/gsea/msigdb/cards/GO_REGULATION_OF_RESPONSE_TO_EXTRACELLULAR_STIMULUS.html</t>
  </si>
  <si>
    <t>GO_POLYUBIQUITIN_BINDING</t>
  </si>
  <si>
    <t>http://www.broadinstitute.org/gsea/msigdb/cards/GO_POLYUBIQUITIN_BINDING.html</t>
  </si>
  <si>
    <t>GO_DNA_DEPENDENT_DNA_REPLICATION_MAINTENANCE_OF_FIDELITY</t>
  </si>
  <si>
    <t>546;57697;259282;84893</t>
  </si>
  <si>
    <t>ATRX;FANCM;BOD1L1;FBH1</t>
  </si>
  <si>
    <t>http://www.broadinstitute.org/gsea/msigdb/cards/GO_DNA_DEPENDENT_DNA_REPLICATION_MAINTENANCE_OF_FIDELITY.html</t>
  </si>
  <si>
    <t>GO_POSITIVE_REGULATION_OF_DNA_TEMPLATED_TRANSCRIPTION_INITIATION</t>
  </si>
  <si>
    <t>6872;22976;23064;9774</t>
  </si>
  <si>
    <t>TAF1;PAXIP1;SETX;BCLAF1</t>
  </si>
  <si>
    <t>http://www.broadinstitute.org/gsea/msigdb/cards/GO_POSITIVE_REGULATION_OF_DNA_TEMPLATED_TRANSCRIPTION_INITIATION.html</t>
  </si>
  <si>
    <t>GO_PROTEIN_K63_LINKED_DEUBIQUITINATION</t>
  </si>
  <si>
    <t>56957;23032;54764;55432</t>
  </si>
  <si>
    <t>OTUD7B;USP33;ZRANB1;YOD1</t>
  </si>
  <si>
    <t>http://www.broadinstitute.org/gsea/msigdb/cards/GO_PROTEIN_K63_LINKED_DEUBIQUITINATION.html</t>
  </si>
  <si>
    <t>GO_POSITIVE_REGULATION_OF_PEPTIDYL_SERINE_PHOSPHORYLATION</t>
  </si>
  <si>
    <t>673;5290;85440;10142;9113;2932;6789</t>
  </si>
  <si>
    <t>BRAF;PIK3CA;DOCK7;AKAP9;LATS1;GSK3B;STK4</t>
  </si>
  <si>
    <t>http://www.broadinstitute.org/gsea/msigdb/cards/GO_POSITIVE_REGULATION_OF_PEPTIDYL_SERINE_PHOSPHORYLATION.html</t>
  </si>
  <si>
    <t>GO_DIOXYGENASE_ACTIVITY</t>
  </si>
  <si>
    <t>http://www.broadinstitute.org/gsea/msigdb/cards/GO_DIOXYGENASE_ACTIVITY.html</t>
  </si>
  <si>
    <t>GO_POSITIVE_REGULATION_OF_RESPONSE_TO_DNA_DAMAGE_STIMULUS</t>
  </si>
  <si>
    <t>55183;165918;9774;472;84893;2140</t>
  </si>
  <si>
    <t>RIF1;RNF168;BCLAF1;ATM;FBH1;EYA3</t>
  </si>
  <si>
    <t>http://www.broadinstitute.org/gsea/msigdb/cards/GO_POSITIVE_REGULATION_OF_RESPONSE_TO_DNA_DAMAGE_STIMULUS.html</t>
  </si>
  <si>
    <t>GO_GROWTH</t>
  </si>
  <si>
    <t>8085;2475;546;5781;6654;25836;26058;5930;55914;80351;54542;2876;93;5469;2074;8239;10765</t>
  </si>
  <si>
    <t>KMT2D;MTOR;ATRX;PTPN11;SOS1;NIPBL;GIGYF2;RBBP6;ERBIN;TNKS2;RC3H2;GPX1;ACVR2B;MED1;ERCC6;USP9X;KDM5B</t>
  </si>
  <si>
    <t>http://www.broadinstitute.org/gsea/msigdb/cards/GO_GROWTH.html</t>
  </si>
  <si>
    <t>GO_CELLULAR_RESPONSE_TO_OXYGEN_LEVELS</t>
  </si>
  <si>
    <t>405;7428;2475;7248;571;2033;8453;79723;1788</t>
  </si>
  <si>
    <t>ARNT;VHL;MTOR;TSC1;BACH1;EP300;CUL2;SUV39H2;DNMT3A</t>
  </si>
  <si>
    <t>http://www.broadinstitute.org/gsea/msigdb/cards/GO_CELLULAR_RESPONSE_TO_OXYGEN_LEVELS.html</t>
  </si>
  <si>
    <t>GO_NEGATIVE_REGULATION_OF_INTRACELLULAR_TRANSPORT</t>
  </si>
  <si>
    <t>http://www.broadinstitute.org/gsea/msigdb/cards/GO_NEGATIVE_REGULATION_OF_INTRACELLULAR_TRANSPORT.html</t>
  </si>
  <si>
    <t>GO_POSITIVE_REGULATION_OF_PROTEIN_POLYMERIZATION</t>
  </si>
  <si>
    <t>2475;253260;23332;6249;10093;10426;253725</t>
  </si>
  <si>
    <t>MTOR;RICTOR;CLASP1;CLIP1;ARPC4;TUBGCP3;WASHC2C</t>
  </si>
  <si>
    <t>http://www.broadinstitute.org/gsea/msigdb/cards/GO_POSITIVE_REGULATION_OF_PROTEIN_POLYMERIZATION.html</t>
  </si>
  <si>
    <t>9475;673;2475;253260;23332;6249;10093;2033;10426;253725</t>
  </si>
  <si>
    <t>ROCK2;BRAF;MTOR;RICTOR;CLASP1;CLIP1;ARPC4;EP300;TUBGCP3;WASHC2C</t>
  </si>
  <si>
    <t>GO_REGULATION_OF_CELL_MATRIX_ADHESION</t>
  </si>
  <si>
    <t>9475;6093;23332;7248;4763;2932;23499</t>
  </si>
  <si>
    <t>ROCK2;ROCK1;CLASP1;TSC1;NF1;GSK3B;MACF1</t>
  </si>
  <si>
    <t>http://www.broadinstitute.org/gsea/msigdb/cards/GO_REGULATION_OF_CELL_MATRIX_ADHESION.html</t>
  </si>
  <si>
    <t>GO_NUCLEAR_TRANSCRIBED_MRNA_POLY_A_TAIL_SHORTENING</t>
  </si>
  <si>
    <t>http://www.broadinstitute.org/gsea/msigdb/cards/GO_NUCLEAR_TRANSCRIBED_MRNA_POLY_A_TAIL_SHORTENING.html</t>
  </si>
  <si>
    <t>GO_REGULATION_OF_MULTICELLULAR_ORGANISM_GROWTH</t>
  </si>
  <si>
    <t>5290;5781;25836;80351;2844;55636</t>
  </si>
  <si>
    <t>PIK3CA;PTPN11;NIPBL;TNKS2;RABGAP1;CHD7</t>
  </si>
  <si>
    <t>http://www.broadinstitute.org/gsea/msigdb/cards/GO_REGULATION_OF_MULTICELLULAR_ORGANISM_GROWTH.html</t>
  </si>
  <si>
    <t>GO_OXIDOREDUCTASE_ACTIVITY_ACTING_ON_PAIRED_DONORS_WITH_INCORPORATION_OR_REDUCTION_OF_MOLECULAR_OXYGEN_2_OXOGLUTARATE_AS_ONE_DONOR_AND_INCORPORATION_OF_ONE_ATOM_EACH_OF_OXYGEN_INTO_BOTH_DONORS</t>
  </si>
  <si>
    <t>200424;5927;80312;22992;10765</t>
  </si>
  <si>
    <t>TET3;KDM5A;TET1;KDM2A;KDM5B</t>
  </si>
  <si>
    <t>http://www.broadinstitute.org/gsea/msigdb/cards/GO_OXIDOREDUCTASE_ACTIVITY_ACTING_ON_PAIRED_DONORS_WITH_INCORPORATION_OR_REDUCTION_OF_MOLECULAR_OXYGEN_2_OXOGLUTARATE_AS_ONE_DONOR_AND_INCORPORATION_OF_ONE_ATOM_EACH_OF_OXYGEN_INTO_BOTH_DONORS.html</t>
  </si>
  <si>
    <t>GO_CHROMATIN_ASSEMBLY_OR_DISASSEMBLY</t>
  </si>
  <si>
    <t>546;257218;9733;196528;23522;51773;55320;6601;7994;79723</t>
  </si>
  <si>
    <t>ATRX;SHPRH;SART3;ARID2;KAT6B;RSF1;MIS18BP1;SMARCC2;KAT6A;SUV39H2</t>
  </si>
  <si>
    <t>http://www.broadinstitute.org/gsea/msigdb/cards/GO_CHROMATIN_ASSEMBLY_OR_DISASSEMBLY.html</t>
  </si>
  <si>
    <t>11128;5495;51366;7175;2475;3836;5781;6659;10075;7514;5116;4763;2932;2033;5469;55432</t>
  </si>
  <si>
    <t>POLR3A;PPM1B;UBR5;TPR;MTOR;KPNA1;PTPN11;SOX4;HUWE1;XPO1;PCNT;NF1;GSK3B;EP300;MED1;YOD1</t>
  </si>
  <si>
    <t>GO_NUCLEAR_PORE_COMPLEX_ASSEMBLY</t>
  </si>
  <si>
    <t>7175;9972;25909</t>
  </si>
  <si>
    <t>TPR;NUP153;AHCTF1</t>
  </si>
  <si>
    <t>http://www.broadinstitute.org/gsea/msigdb/cards/GO_NUCLEAR_PORE_COMPLEX_ASSEMBLY.html</t>
  </si>
  <si>
    <t>GO_RESPONSE_TO_OXYGEN_LEVELS</t>
  </si>
  <si>
    <t>405;7428;2475;7248;317;571;4763;2033;472;8453;4899;79723;55818;1788</t>
  </si>
  <si>
    <t>ARNT;VHL;MTOR;TSC1;APAF1;BACH1;NF1;EP300;ATM;CUL2;NRF1;SUV39H2;KDM3A;DNMT3A</t>
  </si>
  <si>
    <t>http://www.broadinstitute.org/gsea/msigdb/cards/GO_RESPONSE_TO_OXYGEN_LEVELS.html</t>
  </si>
  <si>
    <t>6433;23064;91746;11168</t>
  </si>
  <si>
    <t>SFSWAP;SETX;YTHDC1;PSIP1</t>
  </si>
  <si>
    <t>GO_DYNEIN_BINDING</t>
  </si>
  <si>
    <t>5048;1778;23160;9126</t>
  </si>
  <si>
    <t>PAFAH1B1;DYNC1H1;WDR43;SMC3</t>
  </si>
  <si>
    <t>http://www.broadinstitute.org/gsea/msigdb/cards/GO_DYNEIN_BINDING.html</t>
  </si>
  <si>
    <t>9475;673;2475;6711;6093;253260;23332;7840;7248;9113;10093;2033;11214;253725</t>
  </si>
  <si>
    <t>ROCK2;BRAF;MTOR;SPTBN1;ROCK1;RICTOR;CLASP1;ALMS1;TSC1;LATS1;ARPC4;EP300;AKAP13;WASHC2C</t>
  </si>
  <si>
    <t>GO_NEURAL_TUBE_DEVELOPMENT</t>
  </si>
  <si>
    <t>6659;26005;7248;29072;317;4763;6789;57534;26146</t>
  </si>
  <si>
    <t>SOX4;C2CD3;TSC1;SETD2;APAF1;NF1;STK4;MIB1;TRAF3IP1</t>
  </si>
  <si>
    <t>http://www.broadinstitute.org/gsea/msigdb/cards/GO_NEURAL_TUBE_DEVELOPMENT.html</t>
  </si>
  <si>
    <t>GO_ENHANCER_BINDING</t>
  </si>
  <si>
    <t>405;3192;57459;571;3096;7528;6601</t>
  </si>
  <si>
    <t>ARNT;HNRNPU;GATAD2B;BACH1;HIVEP1;YY1;SMARCC2</t>
  </si>
  <si>
    <t>http://www.broadinstitute.org/gsea/msigdb/cards/GO_ENHANCER_BINDING.html</t>
  </si>
  <si>
    <t>GO_REGULATION_OF_CELL_JUNCTION_ASSEMBLY</t>
  </si>
  <si>
    <t>9475;6093;23332;7248;9693;23499</t>
  </si>
  <si>
    <t>ROCK2;ROCK1;CLASP1;TSC1;RAPGEF2;MACF1</t>
  </si>
  <si>
    <t>http://www.broadinstitute.org/gsea/msigdb/cards/GO_REGULATION_OF_CELL_JUNCTION_ASSEMBLY.html</t>
  </si>
  <si>
    <t>GO_NEGATIVE_REGULATION_OF_PROTEIN_MODIFICATION_PROCESS</t>
  </si>
  <si>
    <t>9475;9611;51366;5927;2475;5048;5591;6659;5062;6093;9320;10771;64682;59343;55870;54552;9113;4763;2932;26146;26973;55818</t>
  </si>
  <si>
    <t>ROCK2;NCOR1;UBR5;KDM5A;MTOR;PAFAH1B1;PRKDC;SOX4;PAK2;ROCK1;TRIP12;ZMYND11;ANAPC1;SENP2;ASH1L;GNL3L;LATS1;NF1;GSK3B;TRAF3IP1;CHORDC1;KDM3A</t>
  </si>
  <si>
    <t>http://www.broadinstitute.org/gsea/msigdb/cards/GO_NEGATIVE_REGULATION_OF_PROTEIN_MODIFICATION_PROCESS.html</t>
  </si>
  <si>
    <t>GO_PEPTIDYL_THREONINE_MODIFICATION</t>
  </si>
  <si>
    <t>6872;2475;22853;2932;1859</t>
  </si>
  <si>
    <t>TAF1;MTOR;LMTK2;GSK3B;DYRK1A</t>
  </si>
  <si>
    <t>http://www.broadinstitute.org/gsea/msigdb/cards/GO_PEPTIDYL_THREONINE_MODIFICATION.html</t>
  </si>
  <si>
    <t>GO_DNA_BIOSYNTHETIC_PROCESS</t>
  </si>
  <si>
    <t>http://www.broadinstitute.org/gsea/msigdb/cards/GO_DNA_BIOSYNTHETIC_PROCESS.html</t>
  </si>
  <si>
    <t>GO_EXONUCLEASE_ACTIVITY_ACTIVE_WITH_EITHER_RIBO_OR_DEOXYRIBONUCLEIC_ACIDS_AND_PRODUCING_5_PHOSPHOMONOESTERS</t>
  </si>
  <si>
    <t>255967;57472;23019;64421;4848</t>
  </si>
  <si>
    <t>PAN3;CNOT6;CNOT1;DCLRE1C;AC092881.1</t>
  </si>
  <si>
    <t>http://www.broadinstitute.org/gsea/msigdb/cards/GO_EXONUCLEASE_ACTIVITY_ACTIVE_WITH_EITHER_RIBO_OR_DEOXYRIBONUCLEIC_ACIDS_AND_PRODUCING_5_PHOSPHOMONOESTERS.html</t>
  </si>
  <si>
    <t>9826;9681;3192;6711;6654;26130;84986;9135;8925;57148;7248;9712;85440;84079;57679;10142;23637;9693;317;4763;2932;4301;11214;23198;22930;23527;253959;119016;29843</t>
  </si>
  <si>
    <t>ARHGEF11;DEPDC5;HNRNPU;SPTBN1;SOS1;GAPVD1;ARHGAP19;RABEP1;HERC1;RALGAPB;TSC1;USP6NL;DOCK7;ANKRD27;ALS2;AKAP9;RABGAP1;RAPGEF2;APAF1;NF1;GSK3B;AFDN;AKAP13;PSME4;RAB3GAP1;ACAP2;RALGAPA1;AGAP4;SENP1</t>
  </si>
  <si>
    <t>GO_REGULATION_OF_DNA_BIOSYNTHETIC_PROCESS</t>
  </si>
  <si>
    <t>3192;23293;80351;54552;2932;472;4216</t>
  </si>
  <si>
    <t>HNRNPU;SMG6;TNKS2;GNL3L;GSK3B;ATM;MAP3K4</t>
  </si>
  <si>
    <t>http://www.broadinstitute.org/gsea/msigdb/cards/GO_REGULATION_OF_DNA_BIOSYNTHETIC_PROCESS.html</t>
  </si>
  <si>
    <t>GO_REGULATION_OF_KERATINOCYTE_DIFFERENTIATION</t>
  </si>
  <si>
    <t>9475;6093;5469;8202</t>
  </si>
  <si>
    <t>ROCK2;ROCK1;MED1;NCOA3</t>
  </si>
  <si>
    <t>http://www.broadinstitute.org/gsea/msigdb/cards/GO_REGULATION_OF_KERATINOCYTE_DIFFERENTIATION.html</t>
  </si>
  <si>
    <t>GO_SEX_CHROMOSOME</t>
  </si>
  <si>
    <t>23347;23512;79677;1788</t>
  </si>
  <si>
    <t>SMCHD1;SUZ12;SMC6;DNMT3A</t>
  </si>
  <si>
    <t>http://www.broadinstitute.org/gsea/msigdb/cards/GO_SEX_CHROMOSOME.html</t>
  </si>
  <si>
    <t>GO_REGULATION_OF_NUCLEOBASE_CONTAINING_COMPOUND_TRANSPORT</t>
  </si>
  <si>
    <t>7175;9972;29072</t>
  </si>
  <si>
    <t>TPR;NUP153;SETD2</t>
  </si>
  <si>
    <t>http://www.broadinstitute.org/gsea/msigdb/cards/GO_REGULATION_OF_NUCLEOBASE_CONTAINING_COMPOUND_TRANSPORT.html</t>
  </si>
  <si>
    <t>GO_NUCLEAR_INCLUSION_BODY</t>
  </si>
  <si>
    <t>7175;9972;5903</t>
  </si>
  <si>
    <t>TPR;NUP153;RANBP2</t>
  </si>
  <si>
    <t>http://www.broadinstitute.org/gsea/msigdb/cards/GO_NUCLEAR_INCLUSION_BODY.html</t>
  </si>
  <si>
    <t>GO_CYTOSOLIC_TRANSPORT</t>
  </si>
  <si>
    <t>55275;387680;22853;84079;51479;200576;8867;9527;7109;54832;253725</t>
  </si>
  <si>
    <t>VPS53;WASHC2A;LMTK2;ANKRD27;ANKFY1;PIKFYVE;SYNJ1;GOSR1;TRAPPC10;VPS13C;WASHC2C</t>
  </si>
  <si>
    <t>http://www.broadinstitute.org/gsea/msigdb/cards/GO_CYTOSOLIC_TRANSPORT.html</t>
  </si>
  <si>
    <t>11128;5591;1660;170506;4361;2033</t>
  </si>
  <si>
    <t>POLR3A;PRKDC;DHX9;DHX36;MRE11;EP300</t>
  </si>
  <si>
    <t>GO_INCLUSION_BODY</t>
  </si>
  <si>
    <t>7175;9972;5903;23001;2876;9816</t>
  </si>
  <si>
    <t>TPR;NUP153;RANBP2;WDFY3;GPX1;URB2</t>
  </si>
  <si>
    <t>http://www.broadinstitute.org/gsea/msigdb/cards/GO_INCLUSION_BODY.html</t>
  </si>
  <si>
    <t>9044;6093;23063;23032;64324;51773;59343;54552;9693;2932;2033;6789;84893</t>
  </si>
  <si>
    <t>BTAF1;ROCK1;WAPL;USP33;NSD1;RSF1;SENP2;GNL3L;RAPGEF2;GSK3B;EP300;STK4;FBH1</t>
  </si>
  <si>
    <t>GO_NEGATIVE_REGULATION_OF_CHROMOSOME_SEGREGATION</t>
  </si>
  <si>
    <t>7175;546;23063;472</t>
  </si>
  <si>
    <t>TPR;ATRX;WAPL;ATM</t>
  </si>
  <si>
    <t>http://www.broadinstitute.org/gsea/msigdb/cards/GO_NEGATIVE_REGULATION_OF_CHROMOSOME_SEGREGATION.html</t>
  </si>
  <si>
    <t>GO_REGULATION_OF_INTRACELLULAR_ESTROGEN_RECEPTOR_SIGNALING_PATHWAY</t>
  </si>
  <si>
    <t>8085;23019;5469;4848</t>
  </si>
  <si>
    <t>KMT2D;CNOT1;MED1;AC092881.1</t>
  </si>
  <si>
    <t>http://www.broadinstitute.org/gsea/msigdb/cards/GO_REGULATION_OF_INTRACELLULAR_ESTROGEN_RECEPTOR_SIGNALING_PATHWAY.html</t>
  </si>
  <si>
    <t>GO_DNA_DIRECTED_RNA_POLYMERASE_II_HOLOENZYME</t>
  </si>
  <si>
    <t>6872;23248;6873;84181;8295;6874;2957</t>
  </si>
  <si>
    <t>TAF1;RPRD2;TAF2;CHD6;TRRAP;TAF4;GTF2A1</t>
  </si>
  <si>
    <t>http://www.broadinstitute.org/gsea/msigdb/cards/GO_DNA_DIRECTED_RNA_POLYMERASE_II_HOLOENZYME.html</t>
  </si>
  <si>
    <t>26057;5290;6659;6654;22976;29072;9693;2876;4763;6789;93;5469;57534;64783;80155;80314;65250;55636</t>
  </si>
  <si>
    <t>ANKRD17;PIK3CA;SOX4;SOS1;PAXIP1;SETD2;RAPGEF2;GPX1;NF1;STK4;ACVR2B;MED1;MIB1;RBM15;NAA15;EPC1;CPLANE1;CHD7</t>
  </si>
  <si>
    <t>GO_STEROID_HORMONE_MEDIATED_SIGNALING_PATHWAY</t>
  </si>
  <si>
    <t>51366;7182;23054;5469;9969;9967;55818;8202</t>
  </si>
  <si>
    <t>UBR5;NR2C2;NCOA6;MED1;MED13;THRAP3;KDM3A;NCOA3</t>
  </si>
  <si>
    <t>http://www.broadinstitute.org/gsea/msigdb/cards/GO_STEROID_HORMONE_MEDIATED_SIGNALING_PATHWAY.html</t>
  </si>
  <si>
    <t>GO_CELLULAR_RESPONSE_TO_STEROID_HORMONE_STIMULUS</t>
  </si>
  <si>
    <t>9475;51366;7182;3192;23054;2033;5469;9969;9967;55818;8202</t>
  </si>
  <si>
    <t>ROCK2;UBR5;NR2C2;HNRNPU;NCOA6;EP300;MED1;MED13;THRAP3;KDM3A;NCOA3</t>
  </si>
  <si>
    <t>http://www.broadinstitute.org/gsea/msigdb/cards/GO_CELLULAR_RESPONSE_TO_STEROID_HORMONE_STIMULUS.html</t>
  </si>
  <si>
    <t>GO_MEIOTIC_CELL_CYCLE</t>
  </si>
  <si>
    <t>7182;7155;7156;57697;9126;4361;9897;472;10735;10426</t>
  </si>
  <si>
    <t>NR2C2;TOP2B;TOP3A;FANCM;SMC3;MRE11;WASHC5;ATM;STAG2;TUBGCP3</t>
  </si>
  <si>
    <t>http://www.broadinstitute.org/gsea/msigdb/cards/GO_MEIOTIC_CELL_CYCLE.html</t>
  </si>
  <si>
    <t>GO_KINASE_REGULATOR_ACTIVITY</t>
  </si>
  <si>
    <t>5290;5062;57679;57498;905;8812;8518;6789;2074;10985</t>
  </si>
  <si>
    <t>PIK3CA;PAK2;ALS2;KIDINS220;CCNT2;CCNK;ELP1;STK4;ERCC6;GCN1</t>
  </si>
  <si>
    <t>http://www.broadinstitute.org/gsea/msigdb/cards/GO_KINASE_REGULATOR_ACTIVITY.html</t>
  </si>
  <si>
    <t>4976;7175;5290;2475;2802;22848;23001;30849;5286;55187;54832;55102</t>
  </si>
  <si>
    <t>OPA1;TPR;PIK3CA;MTOR;GOLGA3;AAK1;WDFY3;PIK3R4;PIK3C2A;VPS13D;VPS13C;ATG2B</t>
  </si>
  <si>
    <t>GO_RESPONSE_TO_DSRNA</t>
  </si>
  <si>
    <t>170506;26523;23405;192669;9188;27161</t>
  </si>
  <si>
    <t>DHX36;AGO1;DICER1;AGO3;DDX21;AGO2</t>
  </si>
  <si>
    <t>http://www.broadinstitute.org/gsea/msigdb/cards/GO_RESPONSE_TO_DSRNA.html</t>
  </si>
  <si>
    <t>GO_SMAD_BINDING</t>
  </si>
  <si>
    <t>7528;2033;9392;8239;5814;51592</t>
  </si>
  <si>
    <t>YY1;EP300;TGFBRAP1;USP9X;PURB;TRIM33</t>
  </si>
  <si>
    <t>http://www.broadinstitute.org/gsea/msigdb/cards/GO_SMAD_BINDING.html</t>
  </si>
  <si>
    <t>GO_BONE_DEVELOPMENT</t>
  </si>
  <si>
    <t>7468;5048;5781;171023;2033;11214;5469;139285;56987</t>
  </si>
  <si>
    <t>NSD2;PAFAH1B1;PTPN11;ASXL1;EP300;AKAP13;MED1;AMER1;BBX</t>
  </si>
  <si>
    <t>http://www.broadinstitute.org/gsea/msigdb/cards/GO_BONE_DEVELOPMENT.html</t>
  </si>
  <si>
    <t>GO_POSITIVE_REGULATION_OF_DEVELOPMENTAL_GROWTH</t>
  </si>
  <si>
    <t>2475;5048;5591;25836;2844;2932;2033;55636;23499</t>
  </si>
  <si>
    <t>MTOR;PAFAH1B1;PRKDC;NIPBL;RABGAP1;GSK3B;EP300;CHD7;MACF1</t>
  </si>
  <si>
    <t>http://www.broadinstitute.org/gsea/msigdb/cards/GO_POSITIVE_REGULATION_OF_DEVELOPMENTAL_GROWTH.html</t>
  </si>
  <si>
    <t>GO_POSITIVE_REGULATION_OF_PROTEIN_IMPORT_INTO_NUCLEUS_TRANSLOCATION</t>
  </si>
  <si>
    <t>51366;2033;5469</t>
  </si>
  <si>
    <t>UBR5;EP300;MED1</t>
  </si>
  <si>
    <t>http://www.broadinstitute.org/gsea/msigdb/cards/GO_POSITIVE_REGULATION_OF_PROTEIN_IMPORT_INTO_NUCLEUS_TRANSLOCATION.html</t>
  </si>
  <si>
    <t>GO_RNA_POLYADENYLATION</t>
  </si>
  <si>
    <t>11052;51585;10914;53981</t>
  </si>
  <si>
    <t>CPSF6;PCF11;PAPOLA;CPSF2</t>
  </si>
  <si>
    <t>http://www.broadinstitute.org/gsea/msigdb/cards/GO_RNA_POLYADENYLATION.html</t>
  </si>
  <si>
    <t>GO_REGULATION_OF_PROTEIN_POLYUBIQUITINATION</t>
  </si>
  <si>
    <t>23328;51366;9320</t>
  </si>
  <si>
    <t>SASH1;UBR5;TRIP12</t>
  </si>
  <si>
    <t>http://www.broadinstitute.org/gsea/msigdb/cards/GO_REGULATION_OF_PROTEIN_POLYUBIQUITINATION.html</t>
  </si>
  <si>
    <t>GO_REPLISOME</t>
  </si>
  <si>
    <t>5422;10714;92797;5814</t>
  </si>
  <si>
    <t>POLA1;POLD3;HELB;PURB</t>
  </si>
  <si>
    <t>http://www.broadinstitute.org/gsea/msigdb/cards/GO_REPLISOME.html</t>
  </si>
  <si>
    <t>GO_ARMADILLO_REPEAT_DOMAIN_BINDING</t>
  </si>
  <si>
    <t>57680;23019;6801</t>
  </si>
  <si>
    <t>CHD8;CNOT1;STRN</t>
  </si>
  <si>
    <t>http://www.broadinstitute.org/gsea/msigdb/cards/GO_ARMADILLO_REPEAT_DOMAIN_BINDING.html</t>
  </si>
  <si>
    <t>GO_POSITIVE_REGULATION_OF_PROTEIN_BINDING</t>
  </si>
  <si>
    <t>23032;54552;9693;2932;2033;6789</t>
  </si>
  <si>
    <t>USP33;GNL3L;RAPGEF2;GSK3B;EP300;STK4</t>
  </si>
  <si>
    <t>http://www.broadinstitute.org/gsea/msigdb/cards/GO_POSITIVE_REGULATION_OF_PROTEIN_BINDING.html</t>
  </si>
  <si>
    <t>GO_CELLULAR_RESPONSE_TO_HORMONE_STIMULUS</t>
  </si>
  <si>
    <t>9475;140710;51366;5290;7182;5591;3192;5781;6654;23054;55023;5286;9113;5471;2033;5469;9969;9967;55818;8202</t>
  </si>
  <si>
    <t>ROCK2;SOGA1;UBR5;PIK3CA;NR2C2;PRKDC;HNRNPU;PTPN11;SOS1;NCOA6;PHIP;PIK3C2A;LATS1;PPAT;EP300;MED1;MED13;THRAP3;KDM3A;NCOA3</t>
  </si>
  <si>
    <t>http://www.broadinstitute.org/gsea/msigdb/cards/GO_CELLULAR_RESPONSE_TO_HORMONE_STIMULUS.html</t>
  </si>
  <si>
    <t>GO_PROTEIN_TRANSPORTER_ACTIVITY</t>
  </si>
  <si>
    <t>3840;10526;3836;3842;7514;23633;55705</t>
  </si>
  <si>
    <t>KPNA4;IPO8;KPNA1;TNPO1;XPO1;KPNA6;IPO9</t>
  </si>
  <si>
    <t>http://www.broadinstitute.org/gsea/msigdb/cards/GO_PROTEIN_TRANSPORTER_ACTIVITY.html</t>
  </si>
  <si>
    <t>GO_TRANSCRIPTION_COREPRESSOR_ACTIVITY</t>
  </si>
  <si>
    <t>9139;9611;10771;171023;64324;11244;10915;7528;4863;51132;10765</t>
  </si>
  <si>
    <t>CBFA2T2;NCOR1;ZMYND11;ASXL1;NSD1;ZHX1;TCERG1;YY1;NPAT;RLIM;KDM5B</t>
  </si>
  <si>
    <t>http://www.broadinstitute.org/gsea/msigdb/cards/GO_TRANSCRIPTION_COREPRESSOR_ACTIVITY.html</t>
  </si>
  <si>
    <t>GO_HEPATICOBILIARY_SYSTEM_DEVELOPMENT</t>
  </si>
  <si>
    <t>5451;5290;25836;4763;6670;2033;5469;26019</t>
  </si>
  <si>
    <t>POU2F1;PIK3CA;NIPBL;NF1;SP3;EP300;MED1;UPF2</t>
  </si>
  <si>
    <t>http://www.broadinstitute.org/gsea/msigdb/cards/GO_HEPATICOBILIARY_SYSTEM_DEVELOPMENT.html</t>
  </si>
  <si>
    <t>GO_REGULATION_OF_ADHERENS_JUNCTION_ORGANIZATION</t>
  </si>
  <si>
    <t>9475;6093;23332;7248;23499</t>
  </si>
  <si>
    <t>ROCK2;ROCK1;CLASP1;TSC1;MACF1</t>
  </si>
  <si>
    <t>http://www.broadinstitute.org/gsea/msigdb/cards/GO_REGULATION_OF_ADHERENS_JUNCTION_ORGANIZATION.html</t>
  </si>
  <si>
    <t>GO_FACE_DEVELOPMENT</t>
  </si>
  <si>
    <t>673;5781;25836;22930;55636</t>
  </si>
  <si>
    <t>BRAF;PTPN11;NIPBL;RAB3GAP1;CHD7</t>
  </si>
  <si>
    <t>http://www.broadinstitute.org/gsea/msigdb/cards/GO_FACE_DEVELOPMENT.html</t>
  </si>
  <si>
    <t>GO_RESPONSE_TO_GAMMA_RADIATION</t>
  </si>
  <si>
    <t>5591;2876;472;11011;2074</t>
  </si>
  <si>
    <t>PRKDC;GPX1;ATM;TLK2;ERCC6</t>
  </si>
  <si>
    <t>http://www.broadinstitute.org/gsea/msigdb/cards/GO_RESPONSE_TO_GAMMA_RADIATION.html</t>
  </si>
  <si>
    <t>GO_ATP_DEPENDENT_CHROMATIN_REMODELING</t>
  </si>
  <si>
    <t>57459;51773;57680;23198;55320;6601</t>
  </si>
  <si>
    <t>GATAD2B;RSF1;CHD8;PSME4;MIS18BP1;SMARCC2</t>
  </si>
  <si>
    <t>http://www.broadinstitute.org/gsea/msigdb/cards/GO_ATP_DEPENDENT_CHROMATIN_REMODELING.html</t>
  </si>
  <si>
    <t>GO_BLASTOCYST_FORMATION</t>
  </si>
  <si>
    <t>80312;9113;6670;4848</t>
  </si>
  <si>
    <t>TET1;LATS1;SP3;AC092881.1</t>
  </si>
  <si>
    <t>http://www.broadinstitute.org/gsea/msigdb/cards/GO_BLASTOCYST_FORMATION.html</t>
  </si>
  <si>
    <t>GO_TELOMERIC_DNA_BINDING</t>
  </si>
  <si>
    <t>23293;23049;9887;26019</t>
  </si>
  <si>
    <t>SMG6;SMG1;SMG7;UPF2</t>
  </si>
  <si>
    <t>http://www.broadinstitute.org/gsea/msigdb/cards/GO_TELOMERIC_DNA_BINDING.html</t>
  </si>
  <si>
    <t>GO_NF_KAPPAB_BINDING</t>
  </si>
  <si>
    <t>2932;2033;7159;92140</t>
  </si>
  <si>
    <t>GSK3B;EP300;TP53BP2;MTDH</t>
  </si>
  <si>
    <t>http://www.broadinstitute.org/gsea/msigdb/cards/GO_NF_KAPPAB_BINDING.html</t>
  </si>
  <si>
    <t>GO_ACTIVATION_OF_GTPASE_ACTIVITY</t>
  </si>
  <si>
    <t>57148;7248;9712;85440;23637;253959</t>
  </si>
  <si>
    <t>RALGAPB;TSC1;USP6NL;DOCK7;RABGAP1;RALGAPA1</t>
  </si>
  <si>
    <t>http://www.broadinstitute.org/gsea/msigdb/cards/GO_ACTIVATION_OF_GTPASE_ACTIVITY.html</t>
  </si>
  <si>
    <t>GO_CELLULAR_GLUCOSE_HOMEOSTASIS</t>
  </si>
  <si>
    <t>5290;5903;6659;7776;2033;56652</t>
  </si>
  <si>
    <t>PIK3CA;RANBP2;SOX4;ZNF236;EP300;TWNK</t>
  </si>
  <si>
    <t>http://www.broadinstitute.org/gsea/msigdb/cards/GO_CELLULAR_GLUCOSE_HOMEOSTASIS.html</t>
  </si>
  <si>
    <t>GO_PHOSPHATIDYLINOSITOL_KINASE_ACTIVITY</t>
  </si>
  <si>
    <t>5290;5781;30849;5286;472</t>
  </si>
  <si>
    <t>PIK3CA;PTPN11;PIK3R4;PIK3C2A;ATM</t>
  </si>
  <si>
    <t>http://www.broadinstitute.org/gsea/msigdb/cards/GO_PHOSPHATIDYLINOSITOL_KINASE_ACTIVITY.html</t>
  </si>
  <si>
    <t>GO_ENDONUCLEASE_ACTIVITY</t>
  </si>
  <si>
    <t>23293;55728;10940;26523;23405;4361;64421;27161</t>
  </si>
  <si>
    <t>SMG6;N4BP2;POP1;AGO1;DICER1;MRE11;DCLRE1C;AGO2</t>
  </si>
  <si>
    <t>http://www.broadinstitute.org/gsea/msigdb/cards/GO_ENDONUCLEASE_ACTIVITY.html</t>
  </si>
  <si>
    <t>GO_MULTI_ORGANISM_REPRODUCTIVE_PROCESS</t>
  </si>
  <si>
    <t>8085;5927;2475;5048;546;7182;6654;23064;166378;28981;23633;7528;6670;5471;9897;472;9698;23198;5469;51742;8239;10426;55342;84132;10765;7707;55818;1788</t>
  </si>
  <si>
    <t>KMT2D;KDM5A;MTOR;PAFAH1B1;ATRX;NR2C2;SOS1;SETX;SPATA5;IFT81;KPNA6;YY1;SP3;PPAT;WASHC5;ATM;PUM1;PSME4;MED1;ARID4B;USP9X;TUBGCP3;STRBP;USP42;KDM5B;ZNF148;KDM3A;DNMT3A</t>
  </si>
  <si>
    <t>http://www.broadinstitute.org/gsea/msigdb/cards/GO_MULTI_ORGANISM_REPRODUCTIVE_PROCESS.html</t>
  </si>
  <si>
    <t>GO_RETROGRADE_TRANSPORT_ENDOSOME_TO_PLASMA_MEMBRANE</t>
  </si>
  <si>
    <t>81609;84079;253725</t>
  </si>
  <si>
    <t>SNX27;ANKRD27;WASHC2C</t>
  </si>
  <si>
    <t>http://www.broadinstitute.org/gsea/msigdb/cards/GO_RETROGRADE_TRANSPORT_ENDOSOME_TO_PLASMA_MEMBRANE.html</t>
  </si>
  <si>
    <t>GO_TRANSCRIPTION_FACTOR_TFTC_COMPLEX</t>
  </si>
  <si>
    <t>6873;8295;6874</t>
  </si>
  <si>
    <t>TAF2;TRRAP;TAF4</t>
  </si>
  <si>
    <t>http://www.broadinstitute.org/gsea/msigdb/cards/GO_TRANSCRIPTION_FACTOR_TFTC_COMPLEX.html</t>
  </si>
  <si>
    <t>GO_EMBRYONIC_ORGAN_DEVELOPMENT</t>
  </si>
  <si>
    <t>405;4297;2186;26005;25836;5930;29072;59343;57448;6670;6789;5469;57534;204851;26146;55636</t>
  </si>
  <si>
    <t>ARNT;KMT2A;BPTF;C2CD3;NIPBL;RBBP6;SETD2;SENP2;BIRC6;SP3;STK4;MED1;MIB1;HIPK1;TRAF3IP1;CHD7</t>
  </si>
  <si>
    <t>http://www.broadinstitute.org/gsea/msigdb/cards/GO_EMBRYONIC_ORGAN_DEVELOPMENT.html</t>
  </si>
  <si>
    <t>GO_RNA_STABILIZATION</t>
  </si>
  <si>
    <t>2475;3192;1660;9967</t>
  </si>
  <si>
    <t>MTOR;HNRNPU;DHX9;THRAP3</t>
  </si>
  <si>
    <t>http://www.broadinstitute.org/gsea/msigdb/cards/GO_RNA_STABILIZATION.html</t>
  </si>
  <si>
    <t>GO_REGULATION_OF_DNA_TEMPLATED_TRANSCRIPTION_INITIATION</t>
  </si>
  <si>
    <t>http://www.broadinstitute.org/gsea/msigdb/cards/GO_REGULATION_OF_DNA_TEMPLATED_TRANSCRIPTION_INITIATION.html</t>
  </si>
  <si>
    <t>GO_METHYLATED_HISTONE_BINDING</t>
  </si>
  <si>
    <t>546;23512;10771;57680;23468</t>
  </si>
  <si>
    <t>ATRX;SUZ12;ZMYND11;CHD8;CBX5</t>
  </si>
  <si>
    <t>http://www.broadinstitute.org/gsea/msigdb/cards/GO_METHYLATED_HISTONE_BINDING.html</t>
  </si>
  <si>
    <t>GO_TISSUE_DEVELOPMENT</t>
  </si>
  <si>
    <t>9139;9611;5290;2475;5048;546;5591;6659;6654;2186;6093;26005;22976;5930;7248;29072;59343;57448;9693;317;10277;9113;2876;4763;2932;4301;2033;11214;6789;472;93;5469;51742;139285;57534;204851;26146;64783;65250;9923;55636;10765</t>
  </si>
  <si>
    <t>CBFA2T2;NCOR1;PIK3CA;MTOR;PAFAH1B1;ATRX;PRKDC;SOX4;SOS1;BPTF;ROCK1;C2CD3;PAXIP1;RBBP6;TSC1;SETD2;SENP2;BIRC6;RAPGEF2;APAF1;UBE4B;LATS1;GPX1;NF1;GSK3B;AFDN;EP300;AKAP13;STK4;ATM;ACVR2B;MED1;ARID4B;AMER1;MIB1;HIPK1;TRAF3IP1;RBM15;CPLANE1;ZBTB40;CHD7;KDM5B</t>
  </si>
  <si>
    <t>http://www.broadinstitute.org/gsea/msigdb/cards/GO_TISSUE_DEVELOPMENT.html</t>
  </si>
  <si>
    <t>GO_NUCLEAR_CHROMOSOME_TELOMERIC_REGION</t>
  </si>
  <si>
    <t>23347;546;5591;80351;23468;4361;472;64421</t>
  </si>
  <si>
    <t>SMCHD1;ATRX;PRKDC;TNKS2;CBX5;MRE11;ATM;DCLRE1C</t>
  </si>
  <si>
    <t>http://www.broadinstitute.org/gsea/msigdb/cards/GO_NUCLEAR_CHROMOSOME_TELOMERIC_REGION.html</t>
  </si>
  <si>
    <t>GO_CONDENSED_CHROMOSOME</t>
  </si>
  <si>
    <t>23332;23063;79677;9126;10128;4361;55320;284058;84295;25909</t>
  </si>
  <si>
    <t>CLASP1;WAPL;SMC6;SMC3;LRPPRC;MRE11;MIS18BP1;KANSL1;PHF6;AHCTF1</t>
  </si>
  <si>
    <t>http://www.broadinstitute.org/gsea/msigdb/cards/GO_CONDENSED_CHROMOSOME.html</t>
  </si>
  <si>
    <t>GO_CORE_PROMOTER_PROXIMAL_REGION_DNA_BINDING</t>
  </si>
  <si>
    <t>4520;57459;26523;6670;10153;2551;2033;6596;5469;4899;64864;144348;6601;55636;7707</t>
  </si>
  <si>
    <t>MTF1;GATAD2B;AGO1;SP3;CEBPZ;GABPA;EP300;HLTF;MED1;NRF1;RFX7;ZNF664;SMARCC2;CHD7;ZNF148</t>
  </si>
  <si>
    <t>http://www.broadinstitute.org/gsea/msigdb/cards/GO_CORE_PROMOTER_PROXIMAL_REGION_DNA_BINDING.html</t>
  </si>
  <si>
    <t>9826;2475;5591;6659;6654;5062;64426;9774;9693;317;9113;4763;2932;2033;11214;6789;472;7159;84893;29843;1788</t>
  </si>
  <si>
    <t>ARHGEF11;MTOR;PRKDC;SOX4;SOS1;PAK2;SUDS3;BCLAF1;RAPGEF2;APAF1;LATS1;NF1;GSK3B;EP300;AKAP13;STK4;ATM;TP53BP2;FBH1;SENP1;DNMT3A</t>
  </si>
  <si>
    <t>GO_NEURON_DEVELOPMENT</t>
  </si>
  <si>
    <t>3799;5048;6711;7155;5781;6654;5062;8925;23032;89884;85440;84079;57679;57498;23405;9693;6801;285527;10277;2932;157922;8239;79048</t>
  </si>
  <si>
    <t>KIF5B;PAFAH1B1;SPTBN1;TOP2B;PTPN11;SOS1;PAK2;HERC1;USP33;LHX4;DOCK7;ANKRD27;ALS2;KIDINS220;DICER1;RAPGEF2;STRN;FRYL;UBE4B;GSK3B;CAMSAP1;USP9X;SECISBP2</t>
  </si>
  <si>
    <t>http://www.broadinstitute.org/gsea/msigdb/cards/GO_NEURON_DEVELOPMENT.html</t>
  </si>
  <si>
    <t>GO_MICROTUBULE_MOTOR_ACTIVITY</t>
  </si>
  <si>
    <t>3799;1778;9126;23095;347240;55605</t>
  </si>
  <si>
    <t>KIF5B;DYNC1H1;SMC3;KIF1B;KIF24;KIF21A</t>
  </si>
  <si>
    <t>http://www.broadinstitute.org/gsea/msigdb/cards/GO_MICROTUBULE_MOTOR_ACTIVITY.html</t>
  </si>
  <si>
    <t>GO_RNA_POLYMERASE_II_TRANSCRIPTION_FACTOR_BINDING</t>
  </si>
  <si>
    <t>9611;1660;10915;2932;2033;92140;23013</t>
  </si>
  <si>
    <t>NCOR1;DHX9;TCERG1;GSK3B;EP300;MTDH;SPEN</t>
  </si>
  <si>
    <t>http://www.broadinstitute.org/gsea/msigdb/cards/GO_RNA_POLYMERASE_II_TRANSCRIPTION_FACTOR_BINDING.html</t>
  </si>
  <si>
    <t>23328;7175;673;2475;2969;7155;5781;5062;253260;57695;905;8812;9113;5422;867;2932;55014;2033;11214;10985;11190</t>
  </si>
  <si>
    <t>SASH1;TPR;BRAF;MTOR;GTF2I;TOP2B;PTPN11;PAK2;RICTOR;USP37;CCNT2;CCNK;LATS1;POLA1;CBL;GSK3B;STX17;EP300;AKAP13;GCN1;CEP250</t>
  </si>
  <si>
    <t>GO_SEXUAL_REPRODUCTION</t>
  </si>
  <si>
    <t>8085;5927;2475;5048;546;7182;6654;23064;166378;28981;7528;9897;472;9698;23198;51742;8239;10426;55342;84132;10765;7707;55818;1788</t>
  </si>
  <si>
    <t>KMT2D;KDM5A;MTOR;PAFAH1B1;ATRX;NR2C2;SOS1;SETX;SPATA5;IFT81;YY1;WASHC5;ATM;PUM1;PSME4;ARID4B;USP9X;TUBGCP3;STRBP;USP42;KDM5B;ZNF148;KDM3A;DNMT3A</t>
  </si>
  <si>
    <t>http://www.broadinstitute.org/gsea/msigdb/cards/GO_SEXUAL_REPRODUCTION.html</t>
  </si>
  <si>
    <t>GO_RNA_POLYMERASE_II_CORE_PROMOTER_SEQUENCE_SPECIFIC_DNA_BINDING</t>
  </si>
  <si>
    <t>4520;23512;64324;6670;2033</t>
  </si>
  <si>
    <t>MTF1;SUZ12;NSD1;SP3;EP300</t>
  </si>
  <si>
    <t>http://www.broadinstitute.org/gsea/msigdb/cards/GO_RNA_POLYMERASE_II_CORE_PROMOTER_SEQUENCE_SPECIFIC_DNA_BINDING.html</t>
  </si>
  <si>
    <t>GO_LIGAND_DEPENDENT_NUCLEAR_RECEPTOR_TRANSCRIPTION_COACTIVATOR_ACTIVITY</t>
  </si>
  <si>
    <t>23054;5469;9969;9967;8202</t>
  </si>
  <si>
    <t>NCOA6;MED1;MED13;THRAP3;NCOA3</t>
  </si>
  <si>
    <t>http://www.broadinstitute.org/gsea/msigdb/cards/GO_LIGAND_DEPENDENT_NUCLEAR_RECEPTOR_TRANSCRIPTION_COACTIVATOR_ACTIVITY.html</t>
  </si>
  <si>
    <t>GO_TELOMERE_MAINTENANCE_VIA_RECOMBINATION</t>
  </si>
  <si>
    <t>5981;79677;5422;10714</t>
  </si>
  <si>
    <t>RFC1;SMC6;POLA1;POLD3</t>
  </si>
  <si>
    <t>http://www.broadinstitute.org/gsea/msigdb/cards/GO_TELOMERE_MAINTENANCE_VIA_RECOMBINATION.html</t>
  </si>
  <si>
    <t>GO_EPITHELIUM_DEVELOPMENT</t>
  </si>
  <si>
    <t>9139;5048;546;5591;6659;6654;6093;26005;5930;7248;29072;9693;317;9113;2876;4763;4301;2033;6789;472;93;5469;51742;57534;26146;64783;65250;55636;10765</t>
  </si>
  <si>
    <t>CBFA2T2;PAFAH1B1;ATRX;PRKDC;SOX4;SOS1;ROCK1;C2CD3;RBBP6;TSC1;SETD2;RAPGEF2;APAF1;LATS1;GPX1;NF1;AFDN;EP300;STK4;ATM;ACVR2B;MED1;ARID4B;MIB1;TRAF3IP1;RBM15;CPLANE1;CHD7;KDM5B</t>
  </si>
  <si>
    <t>http://www.broadinstitute.org/gsea/msigdb/cards/GO_EPITHELIUM_DEVELOPMENT.html</t>
  </si>
  <si>
    <t>GO_NUCLEAR_PORE_ORGANIZATION</t>
  </si>
  <si>
    <t>http://www.broadinstitute.org/gsea/msigdb/cards/GO_NUCLEAR_PORE_ORGANIZATION.html</t>
  </si>
  <si>
    <t>GO_HISTONE_H2A_ACETYLATION</t>
  </si>
  <si>
    <t>57634;8295;80314</t>
  </si>
  <si>
    <t>EP400;TRRAP;EPC1</t>
  </si>
  <si>
    <t>http://www.broadinstitute.org/gsea/msigdb/cards/GO_HISTONE_H2A_ACETYLATION.html</t>
  </si>
  <si>
    <t>GO_REGULATION_OF_VIRAL_INDUCED_CYTOPLASMIC_PATTERN_RECOGNITION_RECEPTOR_SIGNALING_PATHWAY</t>
  </si>
  <si>
    <t>26057;23369;9698</t>
  </si>
  <si>
    <t>ANKRD17;PUM2;PUM1</t>
  </si>
  <si>
    <t>http://www.broadinstitute.org/gsea/msigdb/cards/GO_REGULATION_OF_VIRAL_INDUCED_CYTOPLASMIC_PATTERN_RECOGNITION_RECEPTOR_SIGNALING_PATHWAY.html</t>
  </si>
  <si>
    <t>GO_POSTREPLICATION_REPAIR</t>
  </si>
  <si>
    <t>5980;5981;6596;10714;51455</t>
  </si>
  <si>
    <t>REV3L;RFC1;HLTF;POLD3;REV1</t>
  </si>
  <si>
    <t>http://www.broadinstitute.org/gsea/msigdb/cards/GO_POSTREPLICATION_REPAIR.html</t>
  </si>
  <si>
    <t>GO_VENTRICULAR_SEPTUM_DEVELOPMENT</t>
  </si>
  <si>
    <t>7468;6659;9321;64783;65250</t>
  </si>
  <si>
    <t>NSD2;SOX4;TRIP11;RBM15;CPLANE1</t>
  </si>
  <si>
    <t>http://www.broadinstitute.org/gsea/msigdb/cards/GO_VENTRICULAR_SEPTUM_DEVELOPMENT.html</t>
  </si>
  <si>
    <t>GO_ENDORIBONUCLEASE_ACTIVITY</t>
  </si>
  <si>
    <t>23293;10940;26523;23405;27161</t>
  </si>
  <si>
    <t>SMG6;POP1;AGO1;DICER1;AGO2</t>
  </si>
  <si>
    <t>http://www.broadinstitute.org/gsea/msigdb/cards/GO_ENDORIBONUCLEASE_ACTIVITY.html</t>
  </si>
  <si>
    <t>GO_CARDIAC_VENTRICLE_DEVELOPMENT</t>
  </si>
  <si>
    <t>7468;6659;9321;10277;5469;64783;65250</t>
  </si>
  <si>
    <t>NSD2;SOX4;TRIP11;UBE4B;MED1;RBM15;CPLANE1</t>
  </si>
  <si>
    <t>http://www.broadinstitute.org/gsea/msigdb/cards/GO_CARDIAC_VENTRICLE_DEVELOPMENT.html</t>
  </si>
  <si>
    <t>9475;23328;673;405;5290;2475;5781;5062;253260;57551;85440;57679;30849;10142;59343;57498;9693;905;8812;9113;4763;2932;4361;2033;6789;472;93;2074;84893;10985;4216</t>
  </si>
  <si>
    <t>ROCK2;SASH1;BRAF;ARNT;PIK3CA;MTOR;PTPN11;PAK2;RICTOR;TAOK1;DOCK7;ALS2;PIK3R4;AKAP9;SENP2;KIDINS220;RAPGEF2;CCNT2;CCNK;LATS1;NF1;GSK3B;MRE11;EP300;STK4;ATM;ACVR2B;ERCC6;FBH1;GCN1;MAP3K4</t>
  </si>
  <si>
    <t>GO_ERBB_SIGNALING_PATHWAY</t>
  </si>
  <si>
    <t>http://www.broadinstitute.org/gsea/msigdb/cards/GO_ERBB_SIGNALING_PATHWAY.html</t>
  </si>
  <si>
    <t>11128;9139;4976;9475;23328;7468;673;405;2475;5048;7182;5591;6711;1660;25836;22976;23064;23332;84079;170506;57498;23405;2844;9693;2932;4361;2033;93;5469;92140;204851;26065;22849;23013;55636;10765;23499;9904;8202</t>
  </si>
  <si>
    <t>POLR3A;CBFA2T2;OPA1;ROCK2;SASH1;NSD2;BRAF;ARNT;MTOR;PAFAH1B1;NR2C2;PRKDC;SPTBN1;DHX9;NIPBL;PAXIP1;SETX;CLASP1;ANKRD27;DHX36;KIDINS220;DICER1;RABGAP1;RAPGEF2;GSK3B;MRE11;EP300;ACVR2B;MED1;MTDH;HIPK1;LSM14A;CPEB3;SPEN;CHD7;KDM5B;MACF1;RBM19;NCOA3</t>
  </si>
  <si>
    <t>GO_POSITIVE_REGULATION_OF_CELL_PROJECTION_ORGANIZATION</t>
  </si>
  <si>
    <t>http://www.broadinstitute.org/gsea/msigdb/cards/GO_POSITIVE_REGULATION_OF_CELL_PROJECTION_ORGANIZATION.html</t>
  </si>
  <si>
    <t>GO_SOMATIC_CELL_DNA_RECOMBINATION</t>
  </si>
  <si>
    <t>5591;165918;472;64421</t>
  </si>
  <si>
    <t>PRKDC;RNF168;ATM;DCLRE1C</t>
  </si>
  <si>
    <t>http://www.broadinstitute.org/gsea/msigdb/cards/GO_SOMATIC_CELL_DNA_RECOMBINATION.html</t>
  </si>
  <si>
    <t>GO_POSITIVE_REGULATION_OF_EMBRYONIC_DEVELOPMENT</t>
  </si>
  <si>
    <t>5048;7182;23332;9904</t>
  </si>
  <si>
    <t>PAFAH1B1;NR2C2;CLASP1;RBM19</t>
  </si>
  <si>
    <t>http://www.broadinstitute.org/gsea/msigdb/cards/GO_POSITIVE_REGULATION_OF_EMBRYONIC_DEVELOPMENT.html</t>
  </si>
  <si>
    <t>GO_SMALL_SUBUNIT_PROCESSOME</t>
  </si>
  <si>
    <t>27340;22984;27042;55127</t>
  </si>
  <si>
    <t>UTP20;PDCD11;UTP25;HEATR1</t>
  </si>
  <si>
    <t>http://www.broadinstitute.org/gsea/msigdb/cards/GO_SMALL_SUBUNIT_PROCESSOME.html</t>
  </si>
  <si>
    <t>GO_INTRACELLULAR_RECEPTOR_SIGNALING_PATHWAY</t>
  </si>
  <si>
    <t>51366;405;23054;5469;26065;9969;9967;55818;8202</t>
  </si>
  <si>
    <t>UBR5;ARNT;NCOA6;MED1;LSM14A;MED13;THRAP3;KDM3A;NCOA3</t>
  </si>
  <si>
    <t>http://www.broadinstitute.org/gsea/msigdb/cards/GO_INTRACELLULAR_RECEPTOR_SIGNALING_PATHWAY.html</t>
  </si>
  <si>
    <t>GO_KINESIN_COMPLEX</t>
  </si>
  <si>
    <t>3799;5048;23095;347240;55605</t>
  </si>
  <si>
    <t>KIF5B;PAFAH1B1;KIF1B;KIF24;KIF21A</t>
  </si>
  <si>
    <t>http://www.broadinstitute.org/gsea/msigdb/cards/GO_KINESIN_COMPLEX.html</t>
  </si>
  <si>
    <t>GO_CHROMATIN_DNA_BINDING</t>
  </si>
  <si>
    <t>5927;23512;57459;2033;5469;6601</t>
  </si>
  <si>
    <t>KDM5A;SUZ12;GATAD2B;EP300;MED1;SMARCC2</t>
  </si>
  <si>
    <t>http://www.broadinstitute.org/gsea/msigdb/cards/GO_CHROMATIN_DNA_BINDING.html</t>
  </si>
  <si>
    <t>GO_REGULATION_OF_CELL_CYCLE_ARREST</t>
  </si>
  <si>
    <t>6659;57472;23019;8812;2033;472;4848</t>
  </si>
  <si>
    <t>SOX4;CNOT6;CNOT1;CCNK;EP300;ATM;AC092881.1</t>
  </si>
  <si>
    <t>http://www.broadinstitute.org/gsea/msigdb/cards/GO_REGULATION_OF_CELL_CYCLE_ARREST.html</t>
  </si>
  <si>
    <t>GO_POSITIVE_REGULATION_OF_NEURON_DIFFERENTIATION</t>
  </si>
  <si>
    <t>http://www.broadinstitute.org/gsea/msigdb/cards/GO_POSITIVE_REGULATION_OF_NEURON_DIFFERENTIATION.html</t>
  </si>
  <si>
    <t>GO_APPENDAGE_DEVELOPMENT</t>
  </si>
  <si>
    <t>546;6659;26005;25836;54542;5469;26146;65250;55636</t>
  </si>
  <si>
    <t>ATRX;SOX4;C2CD3;NIPBL;RC3H2;MED1;TRAF3IP1;CPLANE1;CHD7</t>
  </si>
  <si>
    <t>http://www.broadinstitute.org/gsea/msigdb/cards/GO_APPENDAGE_DEVELOPMENT.html</t>
  </si>
  <si>
    <t>GO_REGULATION_OF_HISTONE_METHYLATION</t>
  </si>
  <si>
    <t>4297;22976;80312;64324;55818</t>
  </si>
  <si>
    <t>KMT2A;PAXIP1;TET1;NSD1;KDM3A</t>
  </si>
  <si>
    <t>http://www.broadinstitute.org/gsea/msigdb/cards/GO_REGULATION_OF_HISTONE_METHYLATION.html</t>
  </si>
  <si>
    <t>GO_REGULATION_OF_MAMMARY_GLAND_EPITHELIAL_CELL_PROLIFERATION</t>
  </si>
  <si>
    <t>2876;5469;10765</t>
  </si>
  <si>
    <t>GPX1;MED1;KDM5B</t>
  </si>
  <si>
    <t>http://www.broadinstitute.org/gsea/msigdb/cards/GO_REGULATION_OF_MAMMARY_GLAND_EPITHELIAL_CELL_PROLIFERATION.html</t>
  </si>
  <si>
    <t>GO_REGULATION_OF_PROTEIN_DEACETYLATION</t>
  </si>
  <si>
    <t>5927;25836;2033;1859</t>
  </si>
  <si>
    <t>KDM5A;NIPBL;EP300;DYRK1A</t>
  </si>
  <si>
    <t>http://www.broadinstitute.org/gsea/msigdb/cards/GO_REGULATION_OF_PROTEIN_DEACETYLATION.html</t>
  </si>
  <si>
    <t>GO_PROTEIN_DESTABILIZATION</t>
  </si>
  <si>
    <t>5591;59343;55743;440193</t>
  </si>
  <si>
    <t>PRKDC;SENP2;CHFR;CCDC88C</t>
  </si>
  <si>
    <t>http://www.broadinstitute.org/gsea/msigdb/cards/GO_PROTEIN_DESTABILIZATION.html</t>
  </si>
  <si>
    <t>GO_REGULATION_OF_GENE_EXPRESSION_BY_GENETIC_IMPRINTING</t>
  </si>
  <si>
    <t>2932;51742;1788</t>
  </si>
  <si>
    <t>GSK3B;ARID4B;DNMT3A</t>
  </si>
  <si>
    <t>http://www.broadinstitute.org/gsea/msigdb/cards/GO_REGULATION_OF_GENE_EXPRESSION_BY_GENETIC_IMPRINTING.html</t>
  </si>
  <si>
    <t>GO_PORE_COMPLEX_ASSEMBLY</t>
  </si>
  <si>
    <t>http://www.broadinstitute.org/gsea/msigdb/cards/GO_PORE_COMPLEX_ASSEMBLY.html</t>
  </si>
  <si>
    <t>GO_RNA_DESTABILIZATION</t>
  </si>
  <si>
    <t>10236;9698;22849</t>
  </si>
  <si>
    <t>HNRNPR;PUM1;CPEB3</t>
  </si>
  <si>
    <t>http://www.broadinstitute.org/gsea/msigdb/cards/GO_RNA_DESTABILIZATION.html</t>
  </si>
  <si>
    <t>GO_MEGAKARYOCYTE_DEVELOPMENT</t>
  </si>
  <si>
    <t>5781;2033;5469</t>
  </si>
  <si>
    <t>PTPN11;EP300;MED1</t>
  </si>
  <si>
    <t>http://www.broadinstitute.org/gsea/msigdb/cards/GO_MEGAKARYOCYTE_DEVELOPMENT.html</t>
  </si>
  <si>
    <t>4976;673;6651;7428;5290;2475;5591;6659;5062;6093;10771;23064;55023;89884;57680;57448;9870;2876;867;2932;4361;2033;5469;22850;79612;92140;80155</t>
  </si>
  <si>
    <t>OPA1;BRAF;SON;VHL;PIK3CA;MTOR;PRKDC;SOX4;PAK2;ROCK1;ZMYND11;SETX;PHIP;LHX4;CHD8;BIRC6;AREL1;GPX1;CBL;GSK3B;MRE11;EP300;MED1;ADNP2;NAA16;MTDH;NAA15</t>
  </si>
  <si>
    <t>GO_HISTONE_UBIQUITINATION</t>
  </si>
  <si>
    <t>23512;10075;165918;51322</t>
  </si>
  <si>
    <t>SUZ12;HUWE1;RNF168;WAC</t>
  </si>
  <si>
    <t>http://www.broadinstitute.org/gsea/msigdb/cards/GO_HISTONE_UBIQUITINATION.html</t>
  </si>
  <si>
    <t>GO_NEGATIVE_REGULATION_OF_PROTEIN_COMPLEX_DISASSEMBLY</t>
  </si>
  <si>
    <t>9611;6711;9793;1778;23332;9126;5116;9897;10426</t>
  </si>
  <si>
    <t>NCOR1;SPTBN1;CKAP5;DYNC1H1;CLASP1;SMC3;PCNT;WASHC5;TUBGCP3</t>
  </si>
  <si>
    <t>http://www.broadinstitute.org/gsea/msigdb/cards/GO_NEGATIVE_REGULATION_OF_PROTEIN_COMPLEX_DISASSEMBLY.html</t>
  </si>
  <si>
    <t>GO_CARBOHYDRATE_HOMEOSTASIS</t>
  </si>
  <si>
    <t>5290;5903;5781;6659;7776;2844;2033;54832;56652</t>
  </si>
  <si>
    <t>PIK3CA;RANBP2;PTPN11;SOX4;ZNF236;RABGAP1;EP300;VPS13C;TWNK</t>
  </si>
  <si>
    <t>http://www.broadinstitute.org/gsea/msigdb/cards/GO_CARBOHYDRATE_HOMEOSTASIS.html</t>
  </si>
  <si>
    <t>GO_NUCLEAR_ENVELOPE_ORGANIZATION</t>
  </si>
  <si>
    <t>http://www.broadinstitute.org/gsea/msigdb/cards/GO_NUCLEAR_ENVELOPE_ORGANIZATION.html</t>
  </si>
  <si>
    <t>GO_V_D_J_RECOMBINATION</t>
  </si>
  <si>
    <t>5591;472;64421</t>
  </si>
  <si>
    <t>PRKDC;ATM;DCLRE1C</t>
  </si>
  <si>
    <t>http://www.broadinstitute.org/gsea/msigdb/cards/GO_V_D_J_RECOMBINATION.html</t>
  </si>
  <si>
    <t>GO_SAGA_TYPE_COMPLEX</t>
  </si>
  <si>
    <t>6873;9736;8295;6874</t>
  </si>
  <si>
    <t>TAF2;USP34;TRRAP;TAF4</t>
  </si>
  <si>
    <t>http://www.broadinstitute.org/gsea/msigdb/cards/GO_SAGA_TYPE_COMPLEX.html</t>
  </si>
  <si>
    <t>GO_MEDIATOR_COMPLEX</t>
  </si>
  <si>
    <t>23389;5469;9969;9967</t>
  </si>
  <si>
    <t>MED13L;MED1;MED13;THRAP3</t>
  </si>
  <si>
    <t>http://www.broadinstitute.org/gsea/msigdb/cards/GO_MEDIATOR_COMPLEX.html</t>
  </si>
  <si>
    <t>GO_MIRNA_BINDING</t>
  </si>
  <si>
    <t>26523;192669;27161</t>
  </si>
  <si>
    <t>AGO1;AGO3;AGO2</t>
  </si>
  <si>
    <t>http://www.broadinstitute.org/gsea/msigdb/cards/GO_MIRNA_BINDING.html</t>
  </si>
  <si>
    <t>GO_H4_HISTONE_ACETYLTRANSFERASE_ACTIVITY</t>
  </si>
  <si>
    <t>51230;80218;284058</t>
  </si>
  <si>
    <t>PHF20;NAA50;KANSL1</t>
  </si>
  <si>
    <t>http://www.broadinstitute.org/gsea/msigdb/cards/GO_H4_HISTONE_ACETYLTRANSFERASE_ACTIVITY.html</t>
  </si>
  <si>
    <t>GO_PHOSPHATIDYLINOSITOL_PHOSPHATE_KINASE_ACTIVITY</t>
  </si>
  <si>
    <t>5290;200576;5286</t>
  </si>
  <si>
    <t>PIK3CA;PIKFYVE;PIK3C2A</t>
  </si>
  <si>
    <t>http://www.broadinstitute.org/gsea/msigdb/cards/GO_PHOSPHATIDYLINOSITOL_PHOSPHATE_KINASE_ACTIVITY.html</t>
  </si>
  <si>
    <t>GO_SNRNA_BINDING</t>
  </si>
  <si>
    <t>9733;905;10594;9188</t>
  </si>
  <si>
    <t>SART3;CCNT2;PRPF8;DDX21</t>
  </si>
  <si>
    <t>http://www.broadinstitute.org/gsea/msigdb/cards/GO_SNRNA_BINDING.html</t>
  </si>
  <si>
    <t>GO_RNA_POLYMERASE_II_CARBOXY_TERMINAL_DOMAIN_KINASE_ACTIVITY</t>
  </si>
  <si>
    <t>51755;8812;8621</t>
  </si>
  <si>
    <t>CDK12;CCNK;CDK13</t>
  </si>
  <si>
    <t>http://www.broadinstitute.org/gsea/msigdb/cards/GO_RNA_POLYMERASE_II_CARBOXY_TERMINAL_DOMAIN_KINASE_ACTIVITY.html</t>
  </si>
  <si>
    <t>GO_REGULATION_OF_WNT_SIGNALING_PATHWAY</t>
  </si>
  <si>
    <t>51366;6659;9736;80351;59343;57680;54764;9113;2932;6789;23198;139285;23499</t>
  </si>
  <si>
    <t>UBR5;SOX4;USP34;TNKS2;SENP2;CHD8;ZRANB1;LATS1;GSK3B;STK4;PSME4;AMER1;MACF1</t>
  </si>
  <si>
    <t>http://www.broadinstitute.org/gsea/msigdb/cards/GO_REGULATION_OF_WNT_SIGNALING_PATHWAY.html</t>
  </si>
  <si>
    <t>GO_REGULATION_OF_CELLULAR_PROTEIN_CATABOLIC_PROCESS</t>
  </si>
  <si>
    <t>7175;6872;51322;64682;2876;2932;472;23198;139285;11011;55743;29843</t>
  </si>
  <si>
    <t>TPR;TAF1;WAC;ANAPC1;GPX1;GSK3B;ATM;PSME4;AMER1;TLK2;CHFR;SENP1</t>
  </si>
  <si>
    <t>http://www.broadinstitute.org/gsea/msigdb/cards/GO_REGULATION_OF_CELLULAR_PROTEIN_CATABOLIC_PROCESS.html</t>
  </si>
  <si>
    <t>GO_RESPONSE_TO_INSULIN</t>
  </si>
  <si>
    <t>140710;5290;2475;5591;6654;55023;7248;5286;2932;5471</t>
  </si>
  <si>
    <t>SOGA1;PIK3CA;MTOR;PRKDC;SOS1;PHIP;TSC1;PIK3C2A;GSK3B;PPAT</t>
  </si>
  <si>
    <t>http://www.broadinstitute.org/gsea/msigdb/cards/GO_RESPONSE_TO_INSULIN.html</t>
  </si>
  <si>
    <t>2802;55275;9712;6311;10142;57448;23423;9527;2804;22930;23392;57531;84725</t>
  </si>
  <si>
    <t>GOLGA3;VPS53;USP6NL;ATXN2;AKAP9;BIRC6;TMED3;GOSR1;GOLGB1;RAB3GAP1;ECPAS;HACE1;PLEKHA8</t>
  </si>
  <si>
    <t>GO_CELL_CYCLE_G1_S_PHASE_TRANSITION</t>
  </si>
  <si>
    <t>57695;571;9113;5422;5471;8453;4863</t>
  </si>
  <si>
    <t>USP37;BACH1;LATS1;POLA1;PPAT;CUL2;NPAT</t>
  </si>
  <si>
    <t>http://www.broadinstitute.org/gsea/msigdb/cards/GO_CELL_CYCLE_G1_S_PHASE_TRANSITION.html</t>
  </si>
  <si>
    <t>GO_NEGATIVE_REGULATION_OF_MRNA_METABOLIC_PROCESS</t>
  </si>
  <si>
    <t>6433;1859;79882;79048</t>
  </si>
  <si>
    <t>SFSWAP;DYRK1A;ZC3H14;SECISBP2</t>
  </si>
  <si>
    <t>http://www.broadinstitute.org/gsea/msigdb/cards/GO_NEGATIVE_REGULATION_OF_MRNA_METABOLIC_PROCESS.html</t>
  </si>
  <si>
    <t>GO_RNA_PHOSPHODIESTER_BOND_HYDROLYSIS_EXONUCLEOLYTIC</t>
  </si>
  <si>
    <t>http://www.broadinstitute.org/gsea/msigdb/cards/GO_RNA_PHOSPHODIESTER_BOND_HYDROLYSIS_EXONUCLEOLYTIC.html</t>
  </si>
  <si>
    <t>2475;6711;253260;23332;9113;6249;10093;10426;253725</t>
  </si>
  <si>
    <t>MTOR;SPTBN1;RICTOR;CLASP1;LATS1;CLIP1;ARPC4;TUBGCP3;WASHC2C</t>
  </si>
  <si>
    <t>9475;673;6093;23332;7248;4763;2932;23499;253725</t>
  </si>
  <si>
    <t>ROCK2;BRAF;ROCK1;CLASP1;TSC1;NF1;GSK3B;MACF1;WASHC2C</t>
  </si>
  <si>
    <t>23317;26130;9135;55275;387680;22853;9711;81609;84079;57679;30849;57448;51479;57498;200576;9693;6249;7109;9897;23527;54520;23392;9392;23200;253725</t>
  </si>
  <si>
    <t>DNAJC13;GAPVD1;RABEP1;VPS53;WASHC2A;LMTK2;RUBCN;SNX27;ANKRD27;ALS2;PIK3R4;BIRC6;ANKFY1;KIDINS220;PIKFYVE;RAPGEF2;CLIP1;TRAPPC10;WASHC5;ACAP2;CCDC93;ECPAS;TGFBRAP1;ATP11B;WASHC2C</t>
  </si>
  <si>
    <t>GO_MICROTUBULE_ANCHORING</t>
  </si>
  <si>
    <t>9857;23332;23299</t>
  </si>
  <si>
    <t>CEP350;CLASP1;BICD2</t>
  </si>
  <si>
    <t>http://www.broadinstitute.org/gsea/msigdb/cards/GO_MICROTUBULE_ANCHORING.html</t>
  </si>
  <si>
    <t>GO_NEGATIVE_REGULATION_OF_TELOMERE_MAINTENANCE_VIA_TELOMERE_LENGTHENING</t>
  </si>
  <si>
    <t>3192;80351;54552</t>
  </si>
  <si>
    <t>HNRNPU;TNKS2;GNL3L</t>
  </si>
  <si>
    <t>http://www.broadinstitute.org/gsea/msigdb/cards/GO_NEGATIVE_REGULATION_OF_TELOMERE_MAINTENANCE_VIA_TELOMERE_LENGTHENING.html</t>
  </si>
  <si>
    <t>GO_REGULATION_OF_DNA_METHYLATION</t>
  </si>
  <si>
    <t>5290;2932;1788</t>
  </si>
  <si>
    <t>PIK3CA;GSK3B;DNMT3A</t>
  </si>
  <si>
    <t>http://www.broadinstitute.org/gsea/msigdb/cards/GO_REGULATION_OF_DNA_METHYLATION.html</t>
  </si>
  <si>
    <t>140710;5290;546;5591;6654;55023;10142;26523;23405;9693;5286;2932;5471;2033;22849;192669;27161;1788</t>
  </si>
  <si>
    <t>SOGA1;PIK3CA;ATRX;PRKDC;SOS1;PHIP;AKAP9;AGO1;DICER1;RAPGEF2;PIK3C2A;GSK3B;PPAT;EP300;CPEB3;AGO3;AGO2;DNMT3A</t>
  </si>
  <si>
    <t>GO_TELOMERE_MAINTENANCE_VIA_TELOMERASE</t>
  </si>
  <si>
    <t>5981;4361;472</t>
  </si>
  <si>
    <t>RFC1;MRE11;ATM</t>
  </si>
  <si>
    <t>http://www.broadinstitute.org/gsea/msigdb/cards/GO_TELOMERE_MAINTENANCE_VIA_TELOMERASE.html</t>
  </si>
  <si>
    <t>GO_REGULATION_OF_STEM_CELL_POPULATION_MAINTENANCE</t>
  </si>
  <si>
    <t>23019;4848;55818</t>
  </si>
  <si>
    <t>CNOT1;AC092881.1;KDM3A</t>
  </si>
  <si>
    <t>http://www.broadinstitute.org/gsea/msigdb/cards/GO_REGULATION_OF_STEM_CELL_POPULATION_MAINTENANCE.html</t>
  </si>
  <si>
    <t>GO_ESTABLISHMENT_OF_MITOCHONDRION_LOCALIZATION</t>
  </si>
  <si>
    <t>4976;23095;10128</t>
  </si>
  <si>
    <t>OPA1;KIF1B;LRPPRC</t>
  </si>
  <si>
    <t>http://www.broadinstitute.org/gsea/msigdb/cards/GO_ESTABLISHMENT_OF_MITOCHONDRION_LOCALIZATION.html</t>
  </si>
  <si>
    <t>GO_DEFINITIVE_HEMOPOIESIS</t>
  </si>
  <si>
    <t>4297;6670;204851</t>
  </si>
  <si>
    <t>KMT2A;SP3;HIPK1</t>
  </si>
  <si>
    <t>http://www.broadinstitute.org/gsea/msigdb/cards/GO_DEFINITIVE_HEMOPOIESIS.html</t>
  </si>
  <si>
    <t>GO_MRNA_CLEAVAGE_FACTOR_COMPLEX</t>
  </si>
  <si>
    <t>11052;51585;53981</t>
  </si>
  <si>
    <t>CPSF6;PCF11;CPSF2</t>
  </si>
  <si>
    <t>http://www.broadinstitute.org/gsea/msigdb/cards/GO_MRNA_CLEAVAGE_FACTOR_COMPLEX.html</t>
  </si>
  <si>
    <t>GO_MICROTUBULE_PLUS_END</t>
  </si>
  <si>
    <t>9793;23332;6249</t>
  </si>
  <si>
    <t>CKAP5;CLASP1;CLIP1</t>
  </si>
  <si>
    <t>http://www.broadinstitute.org/gsea/msigdb/cards/GO_MICROTUBULE_PLUS_END.html</t>
  </si>
  <si>
    <t>GO_VITAMIN_D_RECEPTOR_BINDING</t>
  </si>
  <si>
    <t>5469;9969;9967</t>
  </si>
  <si>
    <t>MED1;MED13;THRAP3</t>
  </si>
  <si>
    <t>http://www.broadinstitute.org/gsea/msigdb/cards/GO_VITAMIN_D_RECEPTOR_BINDING.html</t>
  </si>
  <si>
    <t>GO_RETINOID_X_RECEPTOR_BINDING</t>
  </si>
  <si>
    <t>9611;23054;64324</t>
  </si>
  <si>
    <t>NCOR1;NCOA6;NSD1</t>
  </si>
  <si>
    <t>http://www.broadinstitute.org/gsea/msigdb/cards/GO_RETINOID_X_RECEPTOR_BINDING.html</t>
  </si>
  <si>
    <t>GO_CYTOKINESIS</t>
  </si>
  <si>
    <t>9826;9475;6651;6711;9897;25909</t>
  </si>
  <si>
    <t>ARHGEF11;ROCK2;SON;SPTBN1;WASHC5;AHCTF1</t>
  </si>
  <si>
    <t>http://www.broadinstitute.org/gsea/msigdb/cards/GO_CYTOKINESIS.html</t>
  </si>
  <si>
    <t>GO_NEGATIVE_REGULATION_OF_HISTONE_MODIFICATION</t>
  </si>
  <si>
    <t>51366;5927;9320;55818</t>
  </si>
  <si>
    <t>UBR5;KDM5A;TRIP12;KDM3A</t>
  </si>
  <si>
    <t>http://www.broadinstitute.org/gsea/msigdb/cards/GO_NEGATIVE_REGULATION_OF_HISTONE_MODIFICATION.html</t>
  </si>
  <si>
    <t>GO_NEGATIVE_REGULATION_OF_RESPONSE_TO_EXTRACELLULAR_STIMULUS</t>
  </si>
  <si>
    <t>http://www.broadinstitute.org/gsea/msigdb/cards/GO_NEGATIVE_REGULATION_OF_RESPONSE_TO_EXTRACELLULAR_STIMULUS.html</t>
  </si>
  <si>
    <t>GO_POSITIVE_REGULATION_OF_AXON_EXTENSION</t>
  </si>
  <si>
    <t>5048;2932;2033;23499</t>
  </si>
  <si>
    <t>PAFAH1B1;GSK3B;EP300;MACF1</t>
  </si>
  <si>
    <t>http://www.broadinstitute.org/gsea/msigdb/cards/GO_POSITIVE_REGULATION_OF_AXON_EXTENSION.html</t>
  </si>
  <si>
    <t>GO_HEAD_MORPHOGENESIS</t>
  </si>
  <si>
    <t>673;5781;25836;22930</t>
  </si>
  <si>
    <t>BRAF;PTPN11;NIPBL;RAB3GAP1</t>
  </si>
  <si>
    <t>http://www.broadinstitute.org/gsea/msigdb/cards/GO_HEAD_MORPHOGENESIS.html</t>
  </si>
  <si>
    <t>673;5591;6659;7248;54542;6670;2033;472;64421;55636</t>
  </si>
  <si>
    <t>BRAF;PRKDC;SOX4;TSC1;RC3H2;SP3;EP300;ATM;DCLRE1C;CHD7</t>
  </si>
  <si>
    <t>GO_REGULATION_OF_INTRACELLULAR_STEROID_HORMONE_RECEPTOR_SIGNALING_PATHWAY</t>
  </si>
  <si>
    <t>8085;23019;2033;5469;4848</t>
  </si>
  <si>
    <t>KMT2D;CNOT1;EP300;MED1;AC092881.1</t>
  </si>
  <si>
    <t>http://www.broadinstitute.org/gsea/msigdb/cards/GO_REGULATION_OF_INTRACELLULAR_STEROID_HORMONE_RECEPTOR_SIGNALING_PATHWAY.html</t>
  </si>
  <si>
    <t>GO_POSITIVE_REGULATION_OF_CELL_CYCLE_ARREST</t>
  </si>
  <si>
    <t>6659;57472;23019;2033;472;4848</t>
  </si>
  <si>
    <t>SOX4;CNOT6;CNOT1;EP300;ATM;AC092881.1</t>
  </si>
  <si>
    <t>http://www.broadinstitute.org/gsea/msigdb/cards/GO_POSITIVE_REGULATION_OF_CELL_CYCLE_ARREST.html</t>
  </si>
  <si>
    <t>GO_CARDIAC_CHAMBER_DEVELOPMENT</t>
  </si>
  <si>
    <t>7468;6659;6654;9321;10277;5469;64783;65250</t>
  </si>
  <si>
    <t>NSD2;SOX4;SOS1;TRIP11;UBE4B;MED1;RBM15;CPLANE1</t>
  </si>
  <si>
    <t>http://www.broadinstitute.org/gsea/msigdb/cards/GO_CARDIAC_CHAMBER_DEVELOPMENT.html</t>
  </si>
  <si>
    <t>GO_REGULATION_OF_EMBRYONIC_DEVELOPMENT</t>
  </si>
  <si>
    <t>5048;7182;25836;23332;6789;26146;9904</t>
  </si>
  <si>
    <t>PAFAH1B1;NR2C2;NIPBL;CLASP1;STK4;TRAF3IP1;RBM19</t>
  </si>
  <si>
    <t>http://www.broadinstitute.org/gsea/msigdb/cards/GO_REGULATION_OF_EMBRYONIC_DEVELOPMENT.html</t>
  </si>
  <si>
    <t>GO_REGULATION_OF_GROWTH</t>
  </si>
  <si>
    <t>9826;5290;2475;5048;5591;5781;5062;84162;25836;80351;2844;9113;2932;2033;6789;22850;84260;80314;55636;11108;23499</t>
  </si>
  <si>
    <t>ARHGEF11;PIK3CA;MTOR;PAFAH1B1;PRKDC;PTPN11;PAK2;KIAA1109;NIPBL;TNKS2;RABGAP1;LATS1;GSK3B;EP300;STK4;ADNP2;TCHP;EPC1;CHD7;PRDM4;MACF1</t>
  </si>
  <si>
    <t>http://www.broadinstitute.org/gsea/msigdb/cards/GO_REGULATION_OF_GROWTH.html</t>
  </si>
  <si>
    <t>GO_CYSTEINE_TYPE_ENDOPEPTIDASE_ACTIVITY</t>
  </si>
  <si>
    <t>9736;57695;23032;59343;8239;29843</t>
  </si>
  <si>
    <t>USP34;USP37;USP33;SENP2;USP9X;SENP1</t>
  </si>
  <si>
    <t>http://www.broadinstitute.org/gsea/msigdb/cards/GO_CYSTEINE_TYPE_ENDOPEPTIDASE_ACTIVITY.html</t>
  </si>
  <si>
    <t>GO_CELLULAR_COMPONENT_ASSEMBLY_INVOLVED_IN_MORPHOGENESIS</t>
  </si>
  <si>
    <t>5048;26005;28981;23405;200576;5116;347240;26146;11190;9786;65250</t>
  </si>
  <si>
    <t>PAFAH1B1;C2CD3;IFT81;DICER1;PIKFYVE;PCNT;KIF24;TRAF3IP1;CEP250;KIAA0586;CPLANE1</t>
  </si>
  <si>
    <t>http://www.broadinstitute.org/gsea/msigdb/cards/GO_CELLULAR_COMPONENT_ASSEMBLY_INVOLVED_IN_MORPHOGENESIS.html</t>
  </si>
  <si>
    <t>GO_REGULATION_OF_CELL_MATURATION</t>
  </si>
  <si>
    <t>4976;2475;2932</t>
  </si>
  <si>
    <t>OPA1;MTOR;GSK3B</t>
  </si>
  <si>
    <t>http://www.broadinstitute.org/gsea/msigdb/cards/GO_REGULATION_OF_CELL_MATURATION.html</t>
  </si>
  <si>
    <t>GO_MICROTUBULE_NUCLEATION</t>
  </si>
  <si>
    <t>23332;10142;10426</t>
  </si>
  <si>
    <t>CLASP1;AKAP9;TUBGCP3</t>
  </si>
  <si>
    <t>http://www.broadinstitute.org/gsea/msigdb/cards/GO_MICROTUBULE_NUCLEATION.html</t>
  </si>
  <si>
    <t>GO_POSITIVE_REGULATION_OF_MICROTUBULE_POLYMERIZATION</t>
  </si>
  <si>
    <t>23332;6249;10426</t>
  </si>
  <si>
    <t>CLASP1;CLIP1;TUBGCP3</t>
  </si>
  <si>
    <t>http://www.broadinstitute.org/gsea/msigdb/cards/GO_POSITIVE_REGULATION_OF_MICROTUBULE_POLYMERIZATION.html</t>
  </si>
  <si>
    <t>GO_FOREBRAIN_DEVELOPMENT</t>
  </si>
  <si>
    <t>5048;546;7155;7248;85440;29072;9693;317;4763;2932;22930;6601;79048;55636</t>
  </si>
  <si>
    <t>PAFAH1B1;ATRX;TOP2B;TSC1;DOCK7;SETD2;RAPGEF2;APAF1;NF1;GSK3B;RAB3GAP1;SMARCC2;SECISBP2;CHD7</t>
  </si>
  <si>
    <t>http://www.broadinstitute.org/gsea/msigdb/cards/GO_FOREBRAIN_DEVELOPMENT.html</t>
  </si>
  <si>
    <t>8085;9475;140710;51366;673;5290;2475;7182;5591;3192;5781;6654;23054;55023;7248;5286;9113;2932;5471;2033;5469;4899;9969;9967;55818;1788;8202</t>
  </si>
  <si>
    <t>KMT2D;ROCK2;SOGA1;UBR5;BRAF;PIK3CA;MTOR;NR2C2;PRKDC;HNRNPU;PTPN11;SOS1;NCOA6;PHIP;TSC1;PIK3C2A;LATS1;GSK3B;PPAT;EP300;MED1;NRF1;MED13;THRAP3;KDM3A;DNMT3A;NCOA3</t>
  </si>
  <si>
    <t>GO_HISTONE_DEACETYLASE_COMPLEX</t>
  </si>
  <si>
    <t>9611;57459;64426;23468;91748</t>
  </si>
  <si>
    <t>NCOR1;GATAD2B;SUDS3;CBX5;ELMSAN1</t>
  </si>
  <si>
    <t>http://www.broadinstitute.org/gsea/msigdb/cards/GO_HISTONE_DEACETYLASE_COMPLEX.html</t>
  </si>
  <si>
    <t>GO_BEHAVIOR</t>
  </si>
  <si>
    <t>673;2475;5048;4297;26058;130507;7248;57679;2844;8867;6801;4763;64854;2033;9698;22849;55342;55636</t>
  </si>
  <si>
    <t>BRAF;MTOR;PAFAH1B1;KMT2A;GIGYF2;UBR3;TSC1;ALS2;RABGAP1;SYNJ1;STRN;NF1;USP46;EP300;PUM1;CPEB3;STRBP;CHD7</t>
  </si>
  <si>
    <t>http://www.broadinstitute.org/gsea/msigdb/cards/GO_BEHAVIOR.html</t>
  </si>
  <si>
    <t>4976;9681;9611;5495;5048;10771;56957;7248;55914;59343;55870;2876;4763;2932;472;1859</t>
  </si>
  <si>
    <t>OPA1;DEPDC5;NCOR1;PPM1B;PAFAH1B1;ZMYND11;OTUD7B;TSC1;ERBIN;SENP2;ASH1L;GPX1;NF1;GSK3B;ATM;DYRK1A</t>
  </si>
  <si>
    <t>GO_NCRNA_TRANSCRIPTION</t>
  </si>
  <si>
    <t>5451;23248;905;8812;2957;9329</t>
  </si>
  <si>
    <t>POU2F1;RPRD2;CCNT2;CCNK;GTF2A1;GTF3C4</t>
  </si>
  <si>
    <t>http://www.broadinstitute.org/gsea/msigdb/cards/GO_NCRNA_TRANSCRIPTION.html</t>
  </si>
  <si>
    <t>GO_REGULATION_OF_PROTEASOMAL_UBIQUITIN_DEPENDENT_PROTEIN_CATABOLIC_PROCESS</t>
  </si>
  <si>
    <t>7175;6872;51322;2932;472;11011;55743;29843</t>
  </si>
  <si>
    <t>TPR;TAF1;WAC;GSK3B;ATM;TLK2;CHFR;SENP1</t>
  </si>
  <si>
    <t>http://www.broadinstitute.org/gsea/msigdb/cards/GO_REGULATION_OF_PROTEASOMAL_UBIQUITIN_DEPENDENT_PROTEIN_CATABOLIC_PROCESS.html</t>
  </si>
  <si>
    <t>GO_SPINDLE_LOCALIZATION</t>
  </si>
  <si>
    <t>5048;1778;23160;23332</t>
  </si>
  <si>
    <t>PAFAH1B1;DYNC1H1;WDR43;CLASP1</t>
  </si>
  <si>
    <t>http://www.broadinstitute.org/gsea/msigdb/cards/GO_SPINDLE_LOCALIZATION.html</t>
  </si>
  <si>
    <t>GO_CELLULAR_RESPONSE_TO_DSRNA</t>
  </si>
  <si>
    <t>http://www.broadinstitute.org/gsea/msigdb/cards/GO_CELLULAR_RESPONSE_TO_DSRNA.html</t>
  </si>
  <si>
    <t>GO_REGULATION_OF_PROTEASOMAL_PROTEIN_CATABOLIC_PROCESS</t>
  </si>
  <si>
    <t>7175;6872;51322;2876;2932;472;11011;55743;29843</t>
  </si>
  <si>
    <t>TPR;TAF1;WAC;GPX1;GSK3B;ATM;TLK2;CHFR;SENP1</t>
  </si>
  <si>
    <t>http://www.broadinstitute.org/gsea/msigdb/cards/GO_REGULATION_OF_PROTEASOMAL_PROTEIN_CATABOLIC_PROCESS.html</t>
  </si>
  <si>
    <t>GO_TUBE_MORPHOGENESIS</t>
  </si>
  <si>
    <t>6659;26005;25836;7248;29072;317;6789;93;5469;57534;64783;55636;10765</t>
  </si>
  <si>
    <t>SOX4;C2CD3;NIPBL;TSC1;SETD2;APAF1;STK4;ACVR2B;MED1;MIB1;RBM15;CHD7;KDM5B</t>
  </si>
  <si>
    <t>http://www.broadinstitute.org/gsea/msigdb/cards/GO_TUBE_MORPHOGENESIS.html</t>
  </si>
  <si>
    <t>GO_TERMINATION_OF_RNA_POLYMERASE_II_TRANSCRIPTION</t>
  </si>
  <si>
    <t>9877;23064;51585;10914;53981</t>
  </si>
  <si>
    <t>ZC3H11A;SETX;PCF11;PAPOLA;CPSF2</t>
  </si>
  <si>
    <t>http://www.broadinstitute.org/gsea/msigdb/cards/GO_TERMINATION_OF_RNA_POLYMERASE_II_TRANSCRIPTION.html</t>
  </si>
  <si>
    <t>6433;91746;1859;57703;9967</t>
  </si>
  <si>
    <t>SFSWAP;YTHDC1;DYRK1A;CWC22;THRAP3</t>
  </si>
  <si>
    <t>GO_REPLICATION_FORK</t>
  </si>
  <si>
    <t>5981;5422;10714;92797;5814</t>
  </si>
  <si>
    <t>RFC1;POLA1;POLD3;HELB;PURB</t>
  </si>
  <si>
    <t>http://www.broadinstitute.org/gsea/msigdb/cards/GO_REPLICATION_FORK.html</t>
  </si>
  <si>
    <t>GO_KINASE_ACTIVATOR_ACTIVITY</t>
  </si>
  <si>
    <t>5290;5062;57679;6789;2074</t>
  </si>
  <si>
    <t>PIK3CA;PAK2;ALS2;STK4;ERCC6</t>
  </si>
  <si>
    <t>http://www.broadinstitute.org/gsea/msigdb/cards/GO_KINASE_ACTIVATOR_ACTIVITY.html</t>
  </si>
  <si>
    <t>TBK1.DF_DN</t>
  </si>
  <si>
    <t>9475;7586;2186;9360;84726;55183;23389;23049;51773;9169;10142;54876;51479;23405;571;23633;4763;23468;2957;64854;23527;64864;55320;55159;26009;26065;55102;10198;80155;79657;79646;54014;23112;8202</t>
  </si>
  <si>
    <t>ROCK2;ZKSCAN1;BPTF;PPIG;PRRC2B;RIF1;MED13L;SMG1;RSF1;SCAF11;AKAP9;DCAF16;ANKFY1;DICER1;BACH1;KPNA6;NF1;CBX5;GTF2A1;USP46;ACAP2;RFX7;MIS18BP1;RFWD3;AC118549.1;LSM14A;ATG2B;MPHOSPH9;NAA15;RPAP3;PANK3;BRWD1;TNRC6B;NCOA3</t>
  </si>
  <si>
    <t>http://www.broadinstitute.org/gsea/msigdb/cards/TBK1.DF_DN.html</t>
  </si>
  <si>
    <t>EIF4E_DN</t>
  </si>
  <si>
    <t>3840;5903;23054;9321;23001;55023;57634;57609;23215;987;8087;9897;7159;51742;54832;55342;26019;57703</t>
  </si>
  <si>
    <t>KPNA4;RANBP2;NCOA6;TRIP11;WDFY3;PHIP;EP400;DIP2B;PRRC2C;LRBA;FXR1;WASHC5;TP53BP2;ARID4B;VPS13C;STRBP;UPF2;CWC22</t>
  </si>
  <si>
    <t>http://www.broadinstitute.org/gsea/msigdb/cards/EIF4E_DN.html</t>
  </si>
  <si>
    <t>PIGF_UP.V1_UP</t>
  </si>
  <si>
    <t>4976;5980;9631;3799;9360;9321;55183;9857;9169;10142;79572;9774;29994;9126;571;10914;6670;10153;5471;131544;79882;26009;26019</t>
  </si>
  <si>
    <t>OPA1;REV3L;NUP155;KIF5B;PPIG;TRIP11;RIF1;CEP350;SCAF11;AKAP9;ATP13A3;BCLAF1;BAZ2B;SMC3;BACH1;PAPOLA;SP3;CEBPZ;PPAT;CRYBG3;ZC3H14;AC118549.1;UPF2</t>
  </si>
  <si>
    <t>http://www.broadinstitute.org/gsea/msigdb/cards/PIGF_UP.V1_UP.html</t>
  </si>
  <si>
    <t>GCNP_SHH_UP_LATE.V1_UP</t>
  </si>
  <si>
    <t>7586;5290;7155;8661;80204;57697;166378;84146;23195;79811;54454;7514;5116;3930;122830;27332;23198;55320;11083;80155;51132</t>
  </si>
  <si>
    <t>ZKSCAN1;PIK3CA;TOP2B;EIF3A;FBXO11;FANCM;SPATA5;ZNF644;MDN1;SLTM;ATAD2B;XPO1;PCNT;LBR;NAA30;ZNF638;PSME4;MIS18BP1;DIDO1;NAA15;RLIM</t>
  </si>
  <si>
    <t>http://www.broadinstitute.org/gsea/msigdb/cards/GCNP_SHH_UP_LATE.V1_UP.html</t>
  </si>
  <si>
    <t>GCNP_SHH_UP_EARLY.V1_UP</t>
  </si>
  <si>
    <t>7428;7155;54799;9584;54619;5930;23369;3842;54542;7514;23095;9113;4361;3930;8505;26009;10735;23047;51132;4848</t>
  </si>
  <si>
    <t>VHL;TOP2B;MBTD1;RBM39;CCNJ;RBBP6;PUM2;TNPO1;RC3H2;XPO1;KIF1B;LATS1;MRE11;LBR;PARG;AC118549.1;STAG2;PDS5B;RLIM;AC092881.1</t>
  </si>
  <si>
    <t>http://www.broadinstitute.org/gsea/msigdb/cards/GCNP_SHH_UP_EARLY.V1_UP.html</t>
  </si>
  <si>
    <t>VEGF_A_UP.V1_DN</t>
  </si>
  <si>
    <t>23317;55660;9631;9360;55183;10940;9169;79572;23195;9774;867;10914;10153;9188;10762;8202</t>
  </si>
  <si>
    <t>DNAJC13;PRPF40A;NUP155;PPIG;RIF1;POP1;SCAF11;ATP13A3;MDN1;BCLAF1;CBL;PAPOLA;CEBPZ;DDX21;NUP50;NCOA3</t>
  </si>
  <si>
    <t>http://www.broadinstitute.org/gsea/msigdb/cards/VEGF_A_UP.V1_DN.html</t>
  </si>
  <si>
    <t>673;405;3609;9360;9733;8925;23369;9169;56252;4361;9513;7024;8505;8239</t>
  </si>
  <si>
    <t>BRAF;ARNT;ILF3;PPIG;SART3;HERC1;PUM2;SCAF11;YLPM1;MRE11;FXR2;TFCP2;PARG;USP9X</t>
  </si>
  <si>
    <t>ESC_V6.5_UP_EARLY.V1_UP</t>
  </si>
  <si>
    <t>23328;23248;23001;57459;53944;8812;55605;23269;56987;5814;79723;55636;23112</t>
  </si>
  <si>
    <t>SASH1;RPRD2;WDFY3;GATAD2B;CSNK1G1;CCNK;KIF21A;MGA;BBX;PURB;SUV39H2;CHD7;TNRC6B</t>
  </si>
  <si>
    <t>http://www.broadinstitute.org/gsea/msigdb/cards/ESC_V6.5_UP_EARLY.V1_UP.html</t>
  </si>
  <si>
    <t>BCAT_BILD_ET_AL_DN</t>
  </si>
  <si>
    <t>5591;55183;55870;7776;285527;9698;79048</t>
  </si>
  <si>
    <t>PRKDC;RIF1;ASH1L;ZNF236;FRYL;PUM1;SECISBP2</t>
  </si>
  <si>
    <t>http://www.broadinstitute.org/gsea/msigdb/cards/BCAT_BILD_ET_AL_DN.html</t>
  </si>
  <si>
    <t>ERB2_UP.V1_DN</t>
  </si>
  <si>
    <t>26046;27107;7637;23160;55183;6873;23253;9126;10153;253959;80155;79657;54014</t>
  </si>
  <si>
    <t>LTN1;ZBTB11;ZNF84;WDR43;RIF1;TAF2;ANKRD12;SMC3;CEBPZ;RALGAPA1;NAA15;RPAP3;BRWD1</t>
  </si>
  <si>
    <t>http://www.broadinstitute.org/gsea/msigdb/cards/ERB2_UP.V1_DN.html</t>
  </si>
  <si>
    <t>140710;85459;54876;4361;9662;55320;26054;54014;643314;23112</t>
  </si>
  <si>
    <t>SOGA1;CEP295;DCAF16;MRE11;CEP135;MIS18BP1;SENP6;BRWD1;MACF1;TNRC6B</t>
  </si>
  <si>
    <t>GSE27241_WT_VS_RORGT_KO_TH17_POLARIZED_CD4_TCELL_TREATED_WITH_DIGOXIN_UP</t>
  </si>
  <si>
    <t>55206;9681;9611;7468;6654;2186;9793;8925;84614;55183;9857;57551;57695;171023;58508;23049;29072;64397;79572;57448;54454;23358;22992;285527;10277;4763;2033;472;64864;253959;10594;54832;8239;55102;56980;56995;9923;55636;9969;11176;55689;23499;51592</t>
  </si>
  <si>
    <t>SBNO1;DEPDC5;NCOR1;NSD2;SOS1;BPTF;CKAP5;HERC1;ZBTB37;RIF1;CEP350;TAOK1;USP37;ASXL1;KMT2C;SMG1;SETD2;ZNF106;ATP13A3;BIRC6;ATAD2B;USP24;KDM2A;FRYL;UBE4B;NF1;EP300;ATM;RFX7;RALGAPA1;PRPF8;VPS13C;USP9X;ATG2B;PRDM10;TULP4;ZBTB40;CHD7;MED13;BAZ2A;YEATS2;MACF1;TRIM33</t>
  </si>
  <si>
    <t>http://www.broadinstitute.org/gsea/msigdb/cards/GSE27241_WT_VS_RORGT_KO_TH17_POLARIZED_CD4_TCELL_TREATED_WITH_DIGOXIN_UP.html</t>
  </si>
  <si>
    <t>8888;55660;5048;3836;8661;9320;8925;22848;23352;6873;8880;80351;51755;51479;29994;23067;23358;375248;51105;9870;23140;8867;10299;7174;2033;2804;23198;23033;79612;7994;10198;58487;9439;643314;9967;4216</t>
  </si>
  <si>
    <t>MCM3AP;PRPF40A;PAFAH1B1;KPNA1;EIF3A;TRIP12;HERC1;AAK1;UBR4;TAF2;FUBP1;TNKS2;CDK12;ANKFY1;BAZ2B;SETD1B;USP24;ANKRD36;PHF20L1;AREL1;ZZEF1;SYNJ1;MARCH6;TPP2;EP300;GOLGB1;PSME4;DOP1A;NAA16;KAT6A;MPHOSPH9;CREBZF;MED23;MACF1;THRAP3;MAP3K4</t>
  </si>
  <si>
    <t>8888;23077;4297;6659;8899;9584;221037;8925;84162;22848;26098;23352;54906;9736;8880;91746;79677;59343;57609;23358;8295;6670;27332;11011;8505;10735;23299;55705;54014;51455;10765</t>
  </si>
  <si>
    <t>MCM3AP;MYCBP2;KMT2A;SOX4;PRPF4B;RBM39;JMJD1C;HERC1;KIAA1109;AAK1;EDRF1;UBR4;TASOR2;USP34;FUBP1;YTHDC1;SMC6;SENP2;DIP2B;USP24;TRRAP;SP3;ZNF638;TLK2;PARG;STAG2;BICD2;IPO9;BRWD1;REV1;KDM5B</t>
  </si>
  <si>
    <t>8085;9877;23077;7586;9632;7155;8899;23054;26130;7705;10771;84162;84726;196528;10075;58508;259282;7750;51105;5116;9221;55291;79707;10594;389072;9879;84196;56987;55127;56995</t>
  </si>
  <si>
    <t>KMT2D;ZC3H11A;MYCBP2;ZKSCAN1;SEC24C;TOP2B;PRPF4B;NCOA6;GAPVD1;ZNF146;ZMYND11;KIAA1109;PRRC2B;ARID2;HUWE1;KMT2C;BOD1L1;ZMYM2;PHF20L1;PCNT;NOLC1;PPP6R3;NOL9;PRPF8;PLEKHM3;DDX46;USP48;BBX;HEATR1;TULP4</t>
  </si>
  <si>
    <t>9681;9611;6651;26005;84614;22976;55252;11064;259282;57690;905;2005;80205;51742;9662;254065;57553;27327;80012;23299;10426;56980;11176;27161;23499;55818;4216</t>
  </si>
  <si>
    <t>DEPDC5;NCOR1;SON;C2CD3;ZBTB37;PAXIP1;ASXL2;CNTRL;BOD1L1;TNRC6C;CCNT2;ELK4;CHD9;ARID4B;CEP135;BRWD3;MICAL3;TNRC6A;PHC3;BICD2;TUBGCP3;PRDM10;BAZ2A;AGO2;MACF1;KDM3A;MAP3K4</t>
  </si>
  <si>
    <t>51366;7175;673;9972;9632;100381270;6093;8661;23054;23512;166378;374354;3842;85459;7514;23350;9113;7174;2117;7690;5586;4899;54887;79612;10594;91748;55102;26054;25831</t>
  </si>
  <si>
    <t>UBR5;TPR;BRAF;NUP153;SEC24C;ZBED6;ROCK1;EIF3A;NCOA6;SUZ12;SPATA5;NHLRC2;TNPO1;CEP295;XPO1;U2SURP;LATS1;TPP2;ETV3;ZNF131;PKN2;NRF1;UHRF1BP1;NAA16;PRPF8;ELMSAN1;ATG2B;SENP6;HECTD1</t>
  </si>
  <si>
    <t>GSE21360_PRIMARY_VS_QUATERNARY_MEMORY_CD8_TCELL_DN</t>
  </si>
  <si>
    <t>8888;9877;9611;6651;5927;5290;7155;26005;9857;9711;55914;10142;29072;54542;7776;23405;571;51585;80205;54520;55291;157680;204851;10735;56987;26054;6942;11176;23499</t>
  </si>
  <si>
    <t>MCM3AP;ZC3H11A;NCOR1;SON;KDM5A;PIK3CA;TOP2B;C2CD3;CEP350;RUBCN;ERBIN;AKAP9;SETD2;RC3H2;ZNF236;DICER1;BACH1;PCF11;CHD9;CCDC93;PPP6R3;VPS13B;HIPK1;STAG2;BBX;SENP6;TCF20;BAZ2A;MACF1</t>
  </si>
  <si>
    <t>http://www.broadinstitute.org/gsea/msigdb/cards/GSE21360_PRIMARY_VS_QUATERNARY_MEMORY_CD8_TCELL_DN.html</t>
  </si>
  <si>
    <t>GSE40493_BCL6_KO_VS_WT_TREG_UP</t>
  </si>
  <si>
    <t>4976;9475;9877;5781;2802;8661;1778;23054;9869;55728;80204;259282;23049;85476;10730;80351;8295;9816;5586;55187;57534;57531;25909;8239;79657;56995;51132</t>
  </si>
  <si>
    <t>OPA1;ROCK2;ZC3H11A;PTPN11;GOLGA3;EIF3A;DYNC1H1;NCOA6;SETDB1;N4BP2;FBXO11;BOD1L1;SMG1;GFM1;YME1L1;TNKS2;TRRAP;URB2;PKN2;VPS13D;MIB1;HACE1;AHCTF1;USP9X;RPAP3;TULP4;RLIM</t>
  </si>
  <si>
    <t>http://www.broadinstitute.org/gsea/msigdb/cards/GSE40493_BCL6_KO_VS_WT_TREG_UP.html</t>
  </si>
  <si>
    <t>9139;9877;23077;5451;6651;5290;5048;4297;8019;22848;9857;9736;55252;65117;23332;374354;7840;29072;80351;11168;11214;6596;5586;55167;6942;23499</t>
  </si>
  <si>
    <t>CBFA2T2;ZC3H11A;MYCBP2;POU2F1;SON;PIK3CA;PAFAH1B1;KMT2A;BRD3;AAK1;CEP350;USP34;ASXL2;RSRC2;CLASP1;NHLRC2;ALMS1;SETD2;TNKS2;PSIP1;AKAP13;HLTF;PKN2;MSL2;TCF20;MACF1</t>
  </si>
  <si>
    <t>GSE21063_CTRL_VS_ANTI_IGM_STIM_BCELL_NFATC1_KO_8H_UP</t>
  </si>
  <si>
    <t>23014;27107;1656;5290;8925;205717;25836;29072;170506;51755;54764;23131;9693;2117;7159;23198;54520;84301;91748;27327;7994;23013;80314;55167;55636;9329</t>
  </si>
  <si>
    <t>FBXO21;ZBTB11;DDX6;PIK3CA;HERC1;USF3;NIPBL;SETD2;DHX36;CDK12;ZRANB1;GPATCH8;RAPGEF2;ETV3;TP53BP2;PSME4;CCDC93;DDI2;ELMSAN1;TNRC6A;KAT6A;SPEN;EPC1;MSL2;CHD7;GTF3C4</t>
  </si>
  <si>
    <t>http://www.broadinstitute.org/gsea/msigdb/cards/GSE21063_CTRL_VS_ANTI_IGM_STIM_BCELL_NFATC1_KO_8H_UP.html</t>
  </si>
  <si>
    <t>8085;8672;9611;84162;84726;57551;57532;58508;259282;79691;57690;79811;9693;23215;6874;9919;23036;6249;2551;6789;9221;55187;84196;9392;55127;7707</t>
  </si>
  <si>
    <t>KMT2D;EIF4G3;NCOR1;KIAA1109;PRRC2B;TAOK1;NUFIP2;KMT2C;BOD1L1;QTRT2;TNRC6C;SLTM;RAPGEF2;PRRC2C;TAF4;SEC16A;ZNF292;CLIP1;GABPA;STK4;NOLC1;VPS13D;USP48;TGFBRAP1;HEATR1;ZNF148</t>
  </si>
  <si>
    <t>8672;54799;9135;22848;55275;9202;6873;23032;91746;85476;10142;170506;64397;7750;9693;4763;6249;56252;51742;57553;23269;92797;55636;4216</t>
  </si>
  <si>
    <t>EIF4G3;MBTD1;RABEP1;AAK1;VPS53;ZMYM4;TAF2;USP33;YTHDC1;GFM1;AKAP9;DHX36;ZNF106;ZMYM2;RAPGEF2;NF1;CLIP1;YLPM1;ARID4B;MICAL3;MGA;HELB;CHD7;MAP3K4</t>
  </si>
  <si>
    <t>GSE17974_0.5H_VS_72H_IL4_AND_ANTI_IL12_ACT_CD4_TCELL_UP</t>
  </si>
  <si>
    <t>6659;221037;54619;25836;253260;9712;64324;29072;51755;11244;9693;1106;23140;3096;7174;2117;7109;22850;26065;140775;25909;9188;55636;51696;11108</t>
  </si>
  <si>
    <t>SOX4;JMJD1C;CCNJ;NIPBL;RICTOR;USP6NL;NSD1;SETD2;CDK12;ZHX1;RAPGEF2;CHD2;ZZEF1;HIVEP1;TPP2;ETV3;TRAPPC10;ADNP2;LSM14A;SMCR8;AHCTF1;DDX21;CHD7;HECA;PRDM4</t>
  </si>
  <si>
    <t>http://www.broadinstitute.org/gsea/msigdb/cards/GSE17974_0.5H_VS_72H_IL4_AND_ANTI_IL12_ACT_CD4_TCELL_UP.html</t>
  </si>
  <si>
    <t>GSE9960_HEALTHY_VS_GRAM_NEG_AND_POS_SEPSIS_PBMC_DN</t>
  </si>
  <si>
    <t>55206;55814;9631;23014;27107;546;54799;11064;64324;80311;55914;10730;54454;22992;23660;987;64854;131544;253959;79612;91748;157680;204851;142891;11083</t>
  </si>
  <si>
    <t>SBNO1;BDP1;NUP155;FBXO21;ZBTB11;ATRX;MBTD1;CNTRL;NSD1;KLHL15;ERBIN;YME1L1;ATAD2B;KDM2A;ZKSCAN5;LRBA;USP46;CRYBG3;RALGAPA1;NAA16;ELMSAN1;VPS13B;HIPK1;SAMD8;DIDO1</t>
  </si>
  <si>
    <t>http://www.broadinstitute.org/gsea/msigdb/cards/GSE9960_HEALTHY_VS_GRAM_NEG_AND_POS_SEPSIS_PBMC_DN.html</t>
  </si>
  <si>
    <t>9044;10236;4299;5062;8925;23244;9857;23253;23064;23332;254225;23369;64426;57498;6874;23140;8621;23181;5586;55596;157680;204851;64421;55727;26973</t>
  </si>
  <si>
    <t>BTAF1;HNRNPR;AFF1;PAK2;HERC1;PDS5A;CEP350;ANKRD12;SETX;CLASP1;RNF169;PUM2;SUDS3;KIDINS220;TAF4;ZZEF1;CDK13;DIP2A;PKN2;ZCCHC8;VPS13B;HIPK1;DCLRE1C;BTBD7;CHORDC1</t>
  </si>
  <si>
    <t>55814;8085;673;5927;4299;5591;26005;23248;196528;55252;23522;23505;79811;23405;8867;8621;9816;54812;9879;27327;55727;10765</t>
  </si>
  <si>
    <t>BDP1;KMT2D;BRAF;KDM5A;AFF1;PRKDC;C2CD3;RPRD2;ARID2;ASXL2;KAT6B;TMEM131;SLTM;DICER1;SYNJ1;CDK13;URB2;AFTPH;DDX46;TNRC6A;BTBD7;KDM5B</t>
  </si>
  <si>
    <t>GSE7348_LPS_VS_TOLERIZED_AND_LPS_STIM_MACROPHAGE_UP</t>
  </si>
  <si>
    <t>55206;9475;5290;8661;9135;255967;57492;23522;8880;79572;79691;57609;7750;23358;10915;9698;463;2074;55127;79646;9188;54014;51132</t>
  </si>
  <si>
    <t>SBNO1;ROCK2;PIK3CA;EIF3A;RABEP1;PAN3;ARID1B;KAT6B;FUBP1;ATP13A3;QTRT2;DIP2B;ZMYM2;USP24;TCERG1;PUM1;ZFHX3;ERCC6;HEATR1;PANK3;DDX21;BRWD1;RLIM</t>
  </si>
  <si>
    <t>http://www.broadinstitute.org/gsea/msigdb/cards/GSE7348_LPS_VS_TOLERIZED_AND_LPS_STIM_MACROPHAGE_UP.html</t>
  </si>
  <si>
    <t>55814;9044;5048;3836;9632;9790;257218;130507;57532;57472;11276;9693;905;7559;7109;6596;4899;80012;155435;80314;55802;54014;57786;23200</t>
  </si>
  <si>
    <t>BDP1;BTAF1;PAFAH1B1;KPNA1;SEC24C;BMS1;SHPRH;UBR3;NUFIP2;CNOT6;SYNRG;RAPGEF2;CCNT2;ZNF12;TRAPPC10;HLTF;NRF1;PHC3;RBM33;EPC1;DCP1A;BRWD1;RBAK;ATP11B</t>
  </si>
  <si>
    <t>5591;6654;10771;55252;254225;57492;55023;57459;23505;7248;55914;10142;55870;79811;26523;57498;9698;27332;22847;10198;55167;56995;22828;51592</t>
  </si>
  <si>
    <t>PRKDC;SOS1;ZMYND11;ASXL2;RNF169;ARID1B;PHIP;GATAD2B;TMEM131;TSC1;ERBIN;AKAP9;ASH1L;SLTM;AGO1;KIDINS220;PUM1;ZNF638;ZNF507;MPHOSPH9;MSL2;TULP4;SCAF8;TRIM33</t>
  </si>
  <si>
    <t>9139;51366;27107;9202;130507;55252;22853;23369;10142;5286;9147;905;867;7109;2932;55014;1859;5469;64864;80205;55187;84196;25948;80012</t>
  </si>
  <si>
    <t>CBFA2T2;UBR5;ZBTB11;ZMYM4;UBR3;ASXL2;LMTK2;PUM2;AKAP9;PIK3C2A;NEMF;CCNT2;CBL;TRAPPC10;GSK3B;STX17;DYRK1A;MED1;RFX7;CHD9;VPS13D;USP48;KBTBD2;PHC3</t>
  </si>
  <si>
    <t>GSE31082_DN_VS_DP_THYMOCYTE_DN</t>
  </si>
  <si>
    <t>23451;673;3799;4299;9321;55728;51773;57690;54454;571;6801;285527;9113;4140;2033;23181;3930;388228;254065;84669;160760;64421;26054;23112</t>
  </si>
  <si>
    <t>SF3B1;BRAF;KIF5B;AFF1;TRIP11;N4BP2;RSF1;TNRC6C;ATAD2B;BACH1;STRN;FRYL;LATS1;MARK3;EP300;DIP2A;LBR;SBK1;BRWD3;USP32;PPTC7;DCLRE1C;SENP6;TNRC6B</t>
  </si>
  <si>
    <t>http://www.broadinstitute.org/gsea/msigdb/cards/GSE31082_DN_VS_DP_THYMOCYTE_DN.html</t>
  </si>
  <si>
    <t>23077;54799;255967;9857;23253;23389;80204;259282;55914;57690;29994;54454;23637;571;2117;11214;6789;472;389072;254887;55727;51696;9969;7707</t>
  </si>
  <si>
    <t>MYCBP2;MBTD1;PAN3;CEP350;ANKRD12;MED13L;FBXO11;BOD1L1;ERBIN;TNRC6C;BAZ2B;ATAD2B;RABGAP1;BACH1;ETV3;AKAP13;STK4;ATM;PLEKHM3;ZDHHC23;BTBD7;HECA;MED13;ZNF148</t>
  </si>
  <si>
    <t>55814;10236;23077;7175;8899;9584;25836;11064;259282;23032;55914;170506;55870;9774;23405;5286;905;10153;51742;55671;79882;27327</t>
  </si>
  <si>
    <t>BDP1;HNRNPR;MYCBP2;TPR;PRPF4B;RBM39;NIPBL;CNTRL;BOD1L1;USP33;ERBIN;DHX36;ASH1L;BCLAF1;DICER1;PIK3C2A;CCNT2;CEBPZ;ARID4B;PPP4R3A;ZC3H14;TNRC6A</t>
  </si>
  <si>
    <t>8085;23451;9584;23244;54619;9202;11064;55023;3842;8880;57690;23195;79811;29994;54454;23036;8621;64864;283578;155435;84248;55167;55636;51696</t>
  </si>
  <si>
    <t>KMT2D;SF3B1;RBM39;PDS5A;CCNJ;ZMYM4;CNTRL;PHIP;TNPO1;FUBP1;TNRC6C;MDN1;SLTM;BAZ2B;ATAD2B;ZNF292;CDK13;RFX7;TMED8;RBM33;FYTTD1;MSL2;CHD7;HECA</t>
  </si>
  <si>
    <t>23054;255967;55275;6873;10274;7248;23185;81609;51773;57680;8867;285527;10277;7174;2551;54455;54832;92140;204851;84295;9392;55705;26019</t>
  </si>
  <si>
    <t>NCOA6;PAN3;VPS53;TAF2;STAG1;TSC1;LARP4B;SNX27;RSF1;CHD8;SYNJ1;FRYL;UBE4B;TPP2;GABPA;FBXO42;VPS13C;MTDH;HIPK1;PHF6;TGFBRAP1;IPO9;UPF2</t>
  </si>
  <si>
    <t>GSE11924_TFH_VS_TH17_CD4_TCELL_UP</t>
  </si>
  <si>
    <t>8085;9681;23317;7175;4299;100381270;5781;3609;8925;11064;55193;23293;158405;57680;57609;23637;11168;4140;54520;8505;84260;80314;54014</t>
  </si>
  <si>
    <t>KMT2D;DEPDC5;DNAJC13;TPR;AFF1;ZBED6;PTPN11;ILF3;HERC1;CNTRL;PBRM1;SMG6;KIAA1958;CHD8;DIP2B;RABGAP1;PSIP1;MARK3;CCDC93;PARG;TCHP;EPC1;BRWD1</t>
  </si>
  <si>
    <t>http://www.broadinstitute.org/gsea/msigdb/cards/GSE11924_TFH_VS_TH17_CD4_TCELL_UP.html</t>
  </si>
  <si>
    <t>5980;23451;26046;7155;54799;5062;26130;11052;23369;23522;26190;26523;57498;8518;6596;3930;80205;10594;79882;58487;51696;10762;55818</t>
  </si>
  <si>
    <t>REV3L;SF3B1;LTN1;TOP2B;MBTD1;PAK2;GAPVD1;CPSF6;PUM2;KAT6B;FBXW2;AGO1;KIDINS220;ELP1;HLTF;LBR;CHD9;PRPF8;ZC3H14;CREBZF;HECA;NUP50;KDM3A</t>
  </si>
  <si>
    <t>8672;9320;8925;54906;157769;90957;10075;23505;91746;10142;59343;23405;23350;867;4140;7174;54520;27042;23269;8239;58487;51455;55818</t>
  </si>
  <si>
    <t>EIF4G3;TRIP12;HERC1;TASOR2;FAM91A1;DHX57;HUWE1;TMEM131;YTHDC1;AKAP9;SENP2;DICER1;U2SURP;CBL;MARK3;TPP2;CCDC93;UTP25;MGA;USP9X;CREBZF;REV1;KDM3A</t>
  </si>
  <si>
    <t>GSE8835_CD4_VS_CD8_TCELL_UP</t>
  </si>
  <si>
    <t>9611;6872;5591;9790;10771;23244;55252;10075;23293;7840;23505;64682;59343;23019;9147;10277;8518;5116;9698;23527;10594;145508;9967</t>
  </si>
  <si>
    <t>NCOR1;TAF1;PRKDC;BMS1;ZMYND11;PDS5A;ASXL2;HUWE1;SMG6;ALMS1;TMEM131;ANAPC1;SENP2;CNOT1;NEMF;UBE4B;ELP1;PCNT;PUM1;ACAP2;PRPF8;CEP128;THRAP3</t>
  </si>
  <si>
    <t>http://www.broadinstitute.org/gsea/msigdb/cards/GSE8835_CD4_VS_CD8_TCELL_UP.html</t>
  </si>
  <si>
    <t>5495;7182;257218;8925;23253;57532;55023;23049;80351;57690;8867;905;2005;6249;8621;3930;27332;23033;157680;283337;11083;55167;23112</t>
  </si>
  <si>
    <t>PPM1B;NR2C2;SHPRH;HERC1;ANKRD12;NUFIP2;PHIP;SMG1;TNKS2;TNRC6C;SYNJ1;CCNT2;ELK4;CLIP1;CDK13;LBR;ZNF638;DOP1A;VPS13B;ZNF740;DIDO1;MSL2;TNRC6B</t>
  </si>
  <si>
    <t>GSE21379_TFH_VS_NON_TFH_CD4_TCELL_UP</t>
  </si>
  <si>
    <t>5980;7586;221037;23244;23253;58508;51773;54542;57680;7776;285527;7159;64864;157922;92140;84132;26019;57703;55167;56995;57786;440193;11176</t>
  </si>
  <si>
    <t>REV3L;ZKSCAN1;JMJD1C;PDS5A;ANKRD12;KMT2C;RSF1;RC3H2;CHD8;ZNF236;FRYL;TP53BP2;RFX7;CAMSAP1;MTDH;USP42;UPF2;CWC22;MSL2;TULP4;RBAK;CCDC88C;BAZ2A</t>
  </si>
  <si>
    <t>http://www.broadinstitute.org/gsea/msigdb/cards/GSE21379_TFH_VS_NON_TFH_CD4_TCELL_UP.html</t>
  </si>
  <si>
    <t>9877;9611;23077;6651;6872;5290;5048;546;84162;9857;23332;55914;29072;571;285527;7109;54812;204851;10735;56987;9923;11176;23499</t>
  </si>
  <si>
    <t>ZC3H11A;NCOR1;MYCBP2;SON;TAF1;PIK3CA;PAFAH1B1;ATRX;KIAA1109;CEP350;CLASP1;ERBIN;SETD2;BACH1;FRYL;TRAPPC10;AFTPH;HIPK1;STAG2;BBX;ZBTB40;BAZ2A;MACF1</t>
  </si>
  <si>
    <t>9139;79832;255967;196528;23063;22853;84181;23505;79572;57472;571;51585;867;7174;27042;54812;11011;160760;64421;84132;55727</t>
  </si>
  <si>
    <t>CBFA2T2;QSER1;PAN3;ARID2;WAPL;LMTK2;CHD6;TMEM131;ATP13A3;CNOT6;BACH1;PCF11;CBL;TPP2;UTP25;AFTPH;TLK2;PPTC7;DCLRE1C;USP42;BTBD7</t>
  </si>
  <si>
    <t>27107;5290;7182;8925;205717;84181;23032;30849;29072;54764;29994;11244;7109;7581;23198;84301;55187;253959;7994;56995;9923;55636;9969</t>
  </si>
  <si>
    <t>ZBTB11;PIK3CA;NR2C2;HERC1;USF3;CHD6;USP33;PIK3R4;SETD2;ZRANB1;BAZ2B;ZHX1;TRAPPC10;ZNF33A;PSME4;DDI2;VPS13D;RALGAPA1;KAT6A;TULP4;ZBTB40;CHD7;MED13</t>
  </si>
  <si>
    <t>9139;1656;6711;79832;84162;58508;23369;7248;23195;9527;2005;7690;7701;122830;51742;27042;11011;283337;11083;26019;51132;10765;23112</t>
  </si>
  <si>
    <t>CBFA2T2;DDX6;SPTBN1;QSER1;KIAA1109;KMT2C;PUM2;TSC1;MDN1;GOSR1;ELK4;ZNF131;ZNF142;NAA30;ARID4B;UTP25;TLK2;ZNF740;DIDO1;UPF2;RLIM;KDM5B;TNRC6B</t>
  </si>
  <si>
    <t>http://www.broadinstitute.org/gsea/msigdb/cards/GSE21063_WT_VS_NFATC1_KO_8H_ANTI_IGM_STIM_BCELL_DN.html</t>
  </si>
  <si>
    <t>9877;5927;7155;54799;10771;8315;23293;64324;80311;79677;11276;200576;1106;6789;1859;84295;9392;155435;51132;10765;25831;7707;8202</t>
  </si>
  <si>
    <t>ZC3H11A;KDM5A;TOP2B;MBTD1;ZMYND11;BRAP;SMG6;NSD1;KLHL15;SMC6;SYNRG;PIKFYVE;CHD2;STK4;DYRK1A;PHF6;TGFBRAP1;RBM33;RLIM;KDM5B;HECTD1;ZNF148;NCOA3</t>
  </si>
  <si>
    <t>55206;9044;23451;23077;51366;55183;10274;170506;1106;9919;55014;472;6596;23198;55187;11011;79598;142891;11083;79813;23499</t>
  </si>
  <si>
    <t>SBNO1;BTAF1;SF3B1;MYCBP2;UBR5;RIF1;STAG1;DHX36;CHD2;SEC16A;STX17;ATM;HLTF;PSME4;VPS13D;TLK2;CEP97;SAMD8;DIDO1;EHMT1;MACF1</t>
  </si>
  <si>
    <t>200424;23077;6711;4297;2186;8925;23352;55183;205717;9736;57551;55023;57634;23049;55870;23195;8295;3096;472;7994;27161;23499</t>
  </si>
  <si>
    <t>TET3;MYCBP2;SPTBN1;KMT2A;BPTF;HERC1;UBR4;RIF1;USF3;USP34;TAOK1;PHIP;EP400;SMG1;ASH1L;MDN1;TRRAP;HIVEP1;ATM;KAT6A;AGO2;MACF1</t>
  </si>
  <si>
    <t>673;9972;5903;3609;9584;221037;54906;253260;26058;91746;9774;7776;23067;23215;1106;10299;25948;160760;84132;55802;26973;55818</t>
  </si>
  <si>
    <t>BRAF;NUP153;RANBP2;ILF3;RBM39;JMJD1C;TASOR2;RICTOR;GIGYF2;YTHDC1;BCLAF1;ZNF236;SETD1B;PRRC2C;CHD2;MARCH6;KBTBD2;PPTC7;USP42;DCP1A;CHORDC1;KDM3A</t>
  </si>
  <si>
    <t>9877;26043;5781;221037;375748;55183;54906;23063;64397;55870;10915;11168;9678;9113;2551;51742;26065;80012;25909;8239;64783;57786</t>
  </si>
  <si>
    <t>ZC3H11A;UBXN7;PTPN11;JMJD1C;ERCC6L2;RIF1;TASOR2;WAPL;ZNF106;ASH1L;TCERG1;PSIP1;PHF14;LATS1;GABPA;ARID4B;LSM14A;PHC3;AHCTF1;USP9X;RBM15;RBAK</t>
  </si>
  <si>
    <t>4976;5062;9321;255967;253143;23389;171023;254225;80312;23505;6311;57448;22852;10277;5469;54520;131544;54887;27327;55743;84132;9329</t>
  </si>
  <si>
    <t>OPA1;PAK2;TRIP11;PAN3;PRR14L;MED13L;ASXL1;RNF169;TET1;TMEM131;ATXN2;BIRC6;ANKRD26;UBE4B;MED1;CCDC93;CRYBG3;UHRF1BP1;TNRC6A;CHFR;USP42;GTF3C4</t>
  </si>
  <si>
    <t>GSE19888_ADENOSINE_A3R_INH_PRETREAT_AND_ACT_BY_A3R_VS_A3R_INH_AND_TCELL_MEMBRANES_ACT_MAST_CELL_UP</t>
  </si>
  <si>
    <t>26043;5290;546;3836;54799;6659;254048;23389;259282;64324;55914;80218;64397;84146;57609;7750;29994;23637;571;472;56995;9969</t>
  </si>
  <si>
    <t>UBXN7;PIK3CA;ATRX;KPNA1;MBTD1;SOX4;UBN2;MED13L;BOD1L1;NSD1;ERBIN;NAA50;ZNF106;ZNF644;DIP2B;ZMYM2;BAZ2B;RABGAP1;BACH1;ATM;TULP4;MED13</t>
  </si>
  <si>
    <t>http://www.broadinstitute.org/gsea/msigdb/cards/GSE19888_ADENOSINE_A3R_INH_PRETREAT_AND_ACT_BY_A3R_VS_A3R_INH_AND_TCELL_MEMBRANES_ACT_MAST_CELL_UP.html</t>
  </si>
  <si>
    <t>55660;5927;8661;23054;23064;55193;9711;3842;79677;51322;11276;22992;23637;7559;51182;8621;5469;92140;80155;55802;23200;8202</t>
  </si>
  <si>
    <t>PRPF40A;KDM5A;EIF3A;NCOA6;SETX;PBRM1;RUBCN;TNPO1;SMC6;WAC;SYNRG;KDM2A;RABGAP1;ZNF12;HSPA14;CDK13;MED1;MTDH;NAA15;DCP1A;ATP11B;NCOA3</t>
  </si>
  <si>
    <t>55660;5495;26046;5927;171023;7840;10274;55914;22992;905;9527;3096;7559;4140;4863;22930;51742;79612;157680;55636;9439;8202</t>
  </si>
  <si>
    <t>PRPF40A;PPM1B;LTN1;KDM5A;ASXL1;ALMS1;STAG1;ERBIN;KDM2A;CCNT2;GOSR1;HIVEP1;ZNF12;MARK3;NPAT;RAB3GAP1;ARID4B;NAA16;VPS13B;CHD7;MED23;NCOA3</t>
  </si>
  <si>
    <t>GSE29164_CD8_TCELL_VS_CD8_TCELL_AND_IL12_TREATED_MELANOMA_DAY3_UP</t>
  </si>
  <si>
    <t>2475;5062;254225;80311;23423;9693;8087;55014;64854;51182;9816;4863;23181;463;84131;55432;157680;9392;155435;80155;4848;9969</t>
  </si>
  <si>
    <t>MTOR;PAK2;RNF169;KLHL15;TMED3;RAPGEF2;FXR1;STX17;USP46;HSPA14;URB2;NPAT;DIP2A;ZFHX3;CEP78;YOD1;VPS13B;TGFBRAP1;RBM33;NAA15;AC092881.1;MED13</t>
  </si>
  <si>
    <t>http://www.broadinstitute.org/gsea/msigdb/cards/GSE29164_CD8_TCELL_VS_CD8_TCELL_AND_IL12_TREATED_MELANOMA_DAY3_UP.html</t>
  </si>
  <si>
    <t>GSE36009_WT_VS_NLRP10_KO_DC_LPS_STIM_DN</t>
  </si>
  <si>
    <t>9475;27107;7586;3836;387680;80351;23660;9147;905;7109;2932;7690;10153;23198;84301;55187;9662;25962;25948;10735;55342;26054</t>
  </si>
  <si>
    <t>ROCK2;ZBTB11;ZKSCAN1;KPNA1;WASHC2A;TNKS2;ZKSCAN5;NEMF;CCNT2;TRAPPC10;GSK3B;ZNF131;CEBPZ;PSME4;DDI2;VPS13D;CEP135;VIRMA;KBTBD2;STAG2;STRBP;SENP6</t>
  </si>
  <si>
    <t>http://www.broadinstitute.org/gsea/msigdb/cards/GSE36009_WT_VS_NLRP10_KO_DC_LPS_STIM_DN.html</t>
  </si>
  <si>
    <t>3840;9826;7155;221037;9202;58508;57459;55914;7750;54764;9693;9880;9678;2005;6249;139285;84669;10207;22847;56652;26054;6942</t>
  </si>
  <si>
    <t>KPNA4;ARHGEF11;TOP2B;JMJD1C;ZMYM4;KMT2C;GATAD2B;ERBIN;ZMYM2;ZRANB1;RAPGEF2;ZBTB39;PHF14;ELK4;CLIP1;AMER1;USP32;PATJ;ZNF507;TWNK;SENP6;TCF20</t>
  </si>
  <si>
    <t>http://www.broadinstitute.org/gsea/msigdb/cards/GSE40068_BCL6_POS_VS_NEG_CXCR5_POS_TFH_DN.html</t>
  </si>
  <si>
    <t>546;4297;2186;9733;26005;9711;23049;79677;9169;51755;54454;5471;8621;4863;9698;5469;56987;9887;26019;8202</t>
  </si>
  <si>
    <t>ATRX;KMT2A;BPTF;SART3;C2CD3;RUBCN;SMG1;SMC6;SCAF11;CDK12;ATAD2B;PPAT;CDK13;NPAT;PUM1;MED1;BBX;SMG7;UPF2;NCOA3</t>
  </si>
  <si>
    <t>55814;7155;2186;8899;255967;54906;25836;55728;80312;9774;7750;29994;1106;27042;23269;10207;79813;54014;10765;6942</t>
  </si>
  <si>
    <t>BDP1;TOP2B;BPTF;PRPF4B;PAN3;TASOR2;NIPBL;N4BP2;TET1;BCLAF1;ZMYM2;BAZ2B;CHD2;UTP25;MGA;PATJ;EHMT1;BRWD1;KDM5B;TCF20</t>
  </si>
  <si>
    <t>673;257218;205717;80204;23369;81609;23049;79677;54454;23637;11168;9698;27042;283578;54832;254887;54765;55167;55636;9874;23499</t>
  </si>
  <si>
    <t>BRAF;SHPRH;USF3;FBXO11;PUM2;SNX27;SMG1;SMC6;ATAD2B;RABGAP1;PSIP1;PUM1;UTP25;TMED8;VPS13C;ZDHHC23;TRIM44;MSL2;CHD7;TLK1;MACF1</t>
  </si>
  <si>
    <t>8672;23077;9972;221037;25836;253260;23293;64324;51773;10142;51322;55870;23195;11214;64864;80205;10207;56995;10765</t>
  </si>
  <si>
    <t>EIF4G3;MYCBP2;NUP153;JMJD1C;NIPBL;RICTOR;SMG6;NSD1;RSF1;AKAP9;WAC;ASH1L;MDN1;AKAP13;RFX7;CHD9;PATJ;TULP4;KDM5B</t>
  </si>
  <si>
    <t>GSE26928_CENTR_MEMORY_VS_CXCR5_POS_CD4_TCELL_DN</t>
  </si>
  <si>
    <t>9044;9826;9869;79832;26005;255967;158427;205717;22976;81609;55914;59343;7750;22992;571;7024;54520;157922;155435;9874;4216</t>
  </si>
  <si>
    <t>BTAF1;ARHGEF11;SETDB1;QSER1;C2CD3;PAN3;TSTD2;USF3;PAXIP1;SNX27;ERBIN;SENP2;ZMYM2;KDM2A;BACH1;TFCP2;CCDC93;CAMSAP1;RBM33;TLK1;MAP3K4</t>
  </si>
  <si>
    <t>http://www.broadinstitute.org/gsea/msigdb/cards/GSE26928_CENTR_MEMORY_VS_CXCR5_POS_CD4_TCELL_DN.html</t>
  </si>
  <si>
    <t>10526;5495;100381270;6093;221037;22848;255967;9736;89910;57532;80312;7248;51773;23067;9693;10277;3096;55671;26065;9392;51696</t>
  </si>
  <si>
    <t>IPO8;PPM1B;ZBED6;ROCK1;JMJD1C;AAK1;PAN3;USP34;UBE3B;NUFIP2;TET1;TSC1;RSF1;SETD1B;RAPGEF2;UBE4B;HIVEP1;PPP4R3A;LSM14A;TGFBRAP1;HECA</t>
  </si>
  <si>
    <t>GSE39820_TGFBETA1_VS_TGFBETA3_IN_IL6_TREATED_CD4_TCELL_UP</t>
  </si>
  <si>
    <t>9044;9972;23054;157769;196528;166378;55914;10940;11244;9870;10277;8518;6249;22850;79612;92140;26065;23299;26973;9874;4216</t>
  </si>
  <si>
    <t>BTAF1;NUP153;NCOA6;FAM91A1;ARID2;SPATA5;ERBIN;POP1;ZHX1;AREL1;UBE4B;ELP1;CLIP1;ADNP2;NAA16;MTDH;LSM14A;BICD2;CHORDC1;TLK1;MAP3K4</t>
  </si>
  <si>
    <t>http://www.broadinstitute.org/gsea/msigdb/cards/GSE39820_TGFBETA1_VS_TGFBETA3_IN_IL6_TREATED_CD4_TCELL_UP.html</t>
  </si>
  <si>
    <t>9611;5927;4297;23054;8019;9857;253260;254048;259282;23369;55023;64397;57680;23067;867;25962;54455;91748;283337;51696;6942</t>
  </si>
  <si>
    <t>NCOR1;KDM5A;KMT2A;NCOA6;BRD3;CEP350;RICTOR;UBN2;BOD1L1;PUM2;PHIP;ZNF106;CHD8;SETD1B;CBL;VIRMA;FBXO42;ELMSAN1;ZNF740;HECA;TCF20</t>
  </si>
  <si>
    <t>GSE21380_NON_TFH_VS_GERMINAL_CENTER_TFH_CD4_TCELL_DN</t>
  </si>
  <si>
    <t>55206;23347;221037;55183;54906;9736;57551;170506;79572;9126;317;7514;23350;9527;11214;6789;10714;64864;25962;8505;142891</t>
  </si>
  <si>
    <t>SBNO1;SMCHD1;JMJD1C;RIF1;TASOR2;USP34;TAOK1;DHX36;ATP13A3;SMC3;APAF1;XPO1;U2SURP;GOSR1;AKAP13;STK4;POLD3;RFX7;VIRMA;PARG;SAMD8</t>
  </si>
  <si>
    <t>http://www.broadinstitute.org/gsea/msigdb/cards/GSE21380_NON_TFH_VS_GERMINAL_CENTER_TFH_CD4_TCELL_DN.html</t>
  </si>
  <si>
    <t>GSE33162_HDAC3_KO_VS_HDAC3_KO_4H_LPS_STIM_MACROPHAGE_UP</t>
  </si>
  <si>
    <t>26057;23077;387680;65117;23369;57448;23405;6801;23036;905;285527;2005;2932;25948;7994;64783;9188;51132;4848;10765;9329</t>
  </si>
  <si>
    <t>ANKRD17;MYCBP2;WASHC2A;RSRC2;PUM2;BIRC6;DICER1;STRN;ZNF292;CCNT2;FRYL;ELK4;GSK3B;KBTBD2;KAT6A;RBM15;DDX21;RLIM;AC092881.1;KDM5B;GTF3C4</t>
  </si>
  <si>
    <t>http://www.broadinstitute.org/gsea/msigdb/cards/GSE33162_HDAC3_KO_VS_HDAC3_KO_4H_LPS_STIM_MACROPHAGE_UP.html</t>
  </si>
  <si>
    <t>23077;673;221037;25836;23064;58508;57492;80312;7248;55914;10142;23637;9880;10153;51742;139285;11011;26054;55127;9923;6942</t>
  </si>
  <si>
    <t>MYCBP2;BRAF;JMJD1C;NIPBL;SETX;KMT2C;ARID1B;TET1;TSC1;ERBIN;AKAP9;RABGAP1;ZBTB39;CEBPZ;ARID4B;AMER1;TLK2;SENP6;HEATR1;ZBTB40;TCF20</t>
  </si>
  <si>
    <t>23451;5290;5903;100381270;9135;26098;387680;57532;23032;57690;7750;54764;29994;7776;23358;571;285527;2117;54014;51696;55818</t>
  </si>
  <si>
    <t>SF3B1;PIK3CA;RANBP2;ZBED6;RABEP1;EDRF1;WASHC2A;NUFIP2;USP33;TNRC6C;ZMYM2;ZRANB1;BAZ2B;ZNF236;USP24;BACH1;FRYL;ETV3;BRWD1;HECA;KDM3A</t>
  </si>
  <si>
    <t>GSE7568_CTRL_VS_3H_TGFB_TREATED_MACROPHAGES_WITH_IL4_AND_DEXAMETHASONE_DN</t>
  </si>
  <si>
    <t>9475;2802;8019;23248;253260;79572;57680;51105;1859;23198;64864;157922;79612;204851;2074;27327;55102;155435;23499</t>
  </si>
  <si>
    <t>ROCK2;GOLGA3;BRD3;RPRD2;RICTOR;ATP13A3;CHD8;PHF20L1;DYRK1A;PSME4;RFX7;CAMSAP1;NAA16;HIPK1;ERCC6;TNRC6A;ATG2B;RBM33;MACF1</t>
  </si>
  <si>
    <t>http://www.broadinstitute.org/gsea/msigdb/cards/GSE7568_CTRL_VS_3H_TGFB_TREATED_MACROPHAGES_WITH_IL4_AND_DEXAMETHASONE_DN.html</t>
  </si>
  <si>
    <t>23060;55660;6651;4297;2186;3609;9360;9733;26005;23064;23049;9169;23131;4763;5469;55159;9887;80155;8202</t>
  </si>
  <si>
    <t>ZNF609;PRPF40A;SON;KMT2A;BPTF;ILF3;PPIG;SART3;C2CD3;SETX;SMG1;SCAF11;GPATCH8;NF1;MED1;RFWD3;SMG7;NAA15;NCOA3</t>
  </si>
  <si>
    <t>27340;7175;6872;9632;3192;9793;84986;10771;57695;9774;5286;10914;55320;9879;55632;64783;10198;79646;9329</t>
  </si>
  <si>
    <t>UTP20;TPR;TAF1;SEC24C;HNRNPU;CKAP5;ARHGAP19;ZMYND11;USP37;BCLAF1;PIK3C2A;PAPOLA;MIS18BP1;DDX46;G2E3;RBM15;MPHOSPH9;PANK3;GTF3C4</t>
  </si>
  <si>
    <t>9681;7175;100381270;9360;84162;253143;55193;54542;7750;29994;23637;51105;9513;22930;10198;84260;80314;26019;9923;22828</t>
  </si>
  <si>
    <t>DEPDC5;TPR;ZBED6;PPIG;KIAA1109;PRR14L;PBRM1;RC3H2;ZMYM2;BAZ2B;RABGAP1;PHF20L1;FXR2;RAB3GAP1;MPHOSPH9;TCHP;EPC1;UPF2;ZBTB40;SCAF8</t>
  </si>
  <si>
    <t>8085;10526;51366;7586;1656;5591;6659;11064;80204;23032;91746;23049;29072;57498;7024;11214;84301;10985;80314;23143</t>
  </si>
  <si>
    <t>KMT2D;IPO8;UBR5;ZKSCAN1;DDX6;PRKDC;SOX4;CNTRL;FBXO11;USP33;YTHDC1;SMG1;SETD2;KIDINS220;TFCP2;AKAP13;DDI2;GCN1;EPC1;LRCH1</t>
  </si>
  <si>
    <t>GSE32423_MEMORY_VS_NAIVE_CD8_TCELL_IL7_IL4_DN</t>
  </si>
  <si>
    <t>9044;9681;54906;205717;56946;9774;29994;54454;22852;7528;2551;8453;122830;55159;79882;55632;56987;84248;55342;22828</t>
  </si>
  <si>
    <t>BTAF1;DEPDC5;TASOR2;USF3;EMSY;BCLAF1;BAZ2B;ATAD2B;ANKRD26;YY1;GABPA;CUL2;NAA30;RFWD3;ZC3H14;G2E3;BBX;FYTTD1;STRBP;SCAF8</t>
  </si>
  <si>
    <t>http://www.broadinstitute.org/gsea/msigdb/cards/GSE32423_MEMORY_VS_NAIVE_CD8_TCELL_IL7_IL4_DN.html</t>
  </si>
  <si>
    <t>6651;8019;221037;8925;84162;9857;57148;23522;7248;10142;29072;905;51585;64854;26065;54765;10198;56995;23499;51592</t>
  </si>
  <si>
    <t>SON;BRD3;JMJD1C;HERC1;KIAA1109;CEP350;RALGAPB;KAT6B;TSC1;AKAP9;SETD2;CCNT2;PCF11;USP46;LSM14A;TRIM44;MPHOSPH9;TULP4;MACF1;TRIM33</t>
  </si>
  <si>
    <t>26057;6651;7156;26005;84181;55023;91746;59343;29994;57498;6789;253959;84295;25948;54464;26065;9786;26054;55167;55802</t>
  </si>
  <si>
    <t>ANKRD17;SON;TOP3A;C2CD3;CHD6;PHIP;YTHDC1;SENP2;BAZ2B;KIDINS220;STK4;RALGAPA1;PHF6;KBTBD2;XRN1;LSM14A;KIAA0586;SENP6;MSL2;DCP1A</t>
  </si>
  <si>
    <t>9611;7155;8899;8661;221037;253260;23253;57532;11064;23049;30849;867;4140;2033;3930;23033;55671;283337;440193;51696</t>
  </si>
  <si>
    <t>NCOR1;TOP2B;PRPF4B;EIF3A;JMJD1C;RICTOR;ANKRD12;NUFIP2;CNTRL;SMG1;PIK3R4;CBL;MARK3;EP300;LBR;DOP1A;PPP4R3A;ZNF740;CCDC88C;HECA</t>
  </si>
  <si>
    <t>23060;5927;100381270;4297;11064;7840;375248;6789;93;55320;55159;283578;92797;25909;55102;155435;56652;51696;51592;23112</t>
  </si>
  <si>
    <t>ZNF609;KDM5A;ZBED6;KMT2A;CNTRL;ALMS1;ANKRD36;STK4;ACVR2B;MIS18BP1;RFWD3;TMED8;HELB;AHCTF1;ATG2B;RBM33;TWNK;HECA;TRIM33;TNRC6B</t>
  </si>
  <si>
    <t>55814;8672;80018;23160;54906;166378;23405;200576;9113;4140;10153;9816;22984;79707;27042;26009;22847;25909;56652;79646</t>
  </si>
  <si>
    <t>BDP1;EIF4G3;NAA25;WDR43;TASOR2;SPATA5;DICER1;PIKFYVE;LATS1;MARK3;CEBPZ;URB2;PDCD11;NOL9;UTP25;AC118549.1;ZNF507;AHCTF1;TWNK;PANK3</t>
  </si>
  <si>
    <t>55814;8672;7175;9972;5903;9632;23512;23160;10075;166378;8880;200576;9919;9113;7174;10594;25909;55705;26054;79646</t>
  </si>
  <si>
    <t>BDP1;EIF4G3;TPR;NUP153;RANBP2;SEC24C;SUZ12;WDR43;HUWE1;SPATA5;FUBP1;PIKFYVE;SEC16A;LATS1;TPP2;PRPF8;AHCTF1;IPO9;SENP6;PANK3</t>
  </si>
  <si>
    <t>5591;54799;2802;3609;26130;57148;23369;7248;85476;10142;57448;9774;10915;79707;157680;84725;56995;57786;55727;23499</t>
  </si>
  <si>
    <t>PRKDC;MBTD1;GOLGA3;ILF3;GAPVD1;RALGAPB;PUM2;TSC1;GFM1;AKAP9;BIRC6;BCLAF1;TCERG1;NOL9;VPS13B;PLEKHA8;TULP4;RBAK;BTBD7;MACF1</t>
  </si>
  <si>
    <t>http://www.broadinstitute.org/gsea/msigdb/cards/GSE16385_IL4_VS_ROSIGLITAZONE_STIM_MACROPHAGE_UP.html</t>
  </si>
  <si>
    <t>55660;5495;9857;5286;9841;905;9527;4140;2932;987;8453;8621;4863;22930;5469;51742;157680;10735;9439;9904</t>
  </si>
  <si>
    <t>PRPF40A;PPM1B;CEP350;PIK3C2A;ZBTB24;CCNT2;GOSR1;MARK3;GSK3B;LRBA;CUL2;CDK13;NPAT;RAB3GAP1;MED1;ARID4B;VPS13B;STAG2;MED23;RBM19</t>
  </si>
  <si>
    <t>GSE29164_UNTREATED_VS_CD8_TCELL_AND_IL12_TREATED_MELANOMA_DAY7_UP</t>
  </si>
  <si>
    <t>23077;55275;253260;254048;56946;165918;9169;79572;57609;9126;9693;11214;157680;26009;9392;4848;9874;11108;10762;23112</t>
  </si>
  <si>
    <t>MYCBP2;VPS53;RICTOR;UBN2;EMSY;RNF168;SCAF11;ATP13A3;DIP2B;SMC3;RAPGEF2;AKAP13;VPS13B;AC118549.1;TGFBRAP1;AC092881.1;TLK1;PRDM4;NUP50;TNRC6B</t>
  </si>
  <si>
    <t>http://www.broadinstitute.org/gsea/msigdb/cards/GSE29164_UNTREATED_VS_CD8_TCELL_AND_IL12_TREATED_MELANOMA_DAY7_UP.html</t>
  </si>
  <si>
    <t>23317;673;5130;26005;55870;54497;9841;23527;5586;131544;25962;79612;55596;254065;389072;25948;55094;440193;51592;23112</t>
  </si>
  <si>
    <t>DNAJC13;BRAF;PCYT1A;C2CD3;ASH1L;HEATR5B;ZBTB24;ACAP2;PKN2;CRYBG3;VIRMA;NAA16;ZCCHC8;BRWD3;PLEKHM3;KBTBD2;GPATCH1;CCDC88C;TRIM33;TNRC6B</t>
  </si>
  <si>
    <t>9877;7182;3609;257218;22848;157769;9736;65117;58508;57690;7750;23019;8867;23036;2005;55187;79598;254887;27327;51696</t>
  </si>
  <si>
    <t>ZC3H11A;NR2C2;ILF3;SHPRH;AAK1;FAM91A1;USP34;RSRC2;KMT2C;TNRC6C;ZMYM2;CNOT1;SYNJ1;ZNF292;ELK4;VPS13D;CEP97;ZDHHC23;TNRC6A;HECA</t>
  </si>
  <si>
    <t>5980;6093;11052;255967;55183;9857;65117;259282;23522;55914;54764;51585;11214;55671;10198;80155;25831</t>
  </si>
  <si>
    <t>REV3L;ROCK1;CPSF6;PAN3;RIF1;CEP350;RSRC2;BOD1L1;KAT6B;ERBIN;ZRANB1;PCF11;AKAP13;PPP4R3A;MPHOSPH9;NAA15;HECTD1</t>
  </si>
  <si>
    <t>10526;7182;6711;23054;22848;57695;25914;57492;23049;64682;9870;6801;3930;25962;23269;84725;26054;440193;11108;10762</t>
  </si>
  <si>
    <t>IPO8;NR2C2;SPTBN1;NCOA6;AAK1;USP37;RTTN;ARID1B;SMG1;ANAPC1;AREL1;STRN;LBR;VIRMA;MGA;PLEKHA8;SENP6;CCDC88C;PRDM4;NUP50</t>
  </si>
  <si>
    <t>9877;9611;1656;5927;6711;7155;23054;23248;23293;55728;84181;64324;79677;867;84295;9392;55743;51132;55636;23112</t>
  </si>
  <si>
    <t>ZC3H11A;NCOR1;DDX6;KDM5A;SPTBN1;TOP2B;NCOA6;RPRD2;SMG6;N4BP2;CHD6;NSD1;SMC6;CBL;PHF6;TGFBRAP1;CHFR;RLIM;CHD7;TNRC6B</t>
  </si>
  <si>
    <t>GSE10147_IL3_VS_IL3_AND_HIVP17_STIM_PDC_UP</t>
  </si>
  <si>
    <t>51366;2802;10771;23248;23126;23032;28981;64397;53944;26523;23067;8867;9662;54832;27327;84669;10207;11083</t>
  </si>
  <si>
    <t>UBR5;GOLGA3;ZMYND11;RPRD2;POGZ;USP33;IFT81;ZNF106;CSNK1G1;AGO1;SETD1B;SYNJ1;CEP135;VPS13C;TNRC6A;USP32;PATJ;DIDO1</t>
  </si>
  <si>
    <t>http://www.broadinstitute.org/gsea/msigdb/cards/GSE10147_IL3_VS_IL3_AND_HIVP17_STIM_PDC_UP.html</t>
  </si>
  <si>
    <t>55814;10236;4520;8019;79832;54619;205717;57532;254225;57492;80312;23369;2117;10714;5469;64864;57531;64421;9969</t>
  </si>
  <si>
    <t>BDP1;HNRNPR;MTF1;BRD3;QSER1;CCNJ;USF3;NUFIP2;RNF169;ARID1B;TET1;PUM2;ETV3;POLD3;MED1;RFX7;HACE1;DCLRE1C;MED13</t>
  </si>
  <si>
    <t>55206;8672;23014;7175;3799;3836;2969;3609;23389;65117;22992;7556;2033;11214;9698;79612;23013;23112;1788</t>
  </si>
  <si>
    <t>SBNO1;EIF4G3;FBXO21;TPR;KIF5B;KPNA1;GTF2I;ILF3;MED13L;RSRC2;KDM2A;ZNF10;EP300;AKAP13;PUM1;NAA16;SPEN;TNRC6B;DNMT3A</t>
  </si>
  <si>
    <t>55206;1656;6433;11064;9712;91746;8295;9870;23140;10153;6596;157680;84295;26009;10735;22847;84260;58487;8202</t>
  </si>
  <si>
    <t>SBNO1;DDX6;SFSWAP;CNTRL;USP6NL;YTHDC1;TRRAP;AREL1;ZZEF1;CEBPZ;HLTF;VPS13B;PHF6;AC118549.1;STAG2;ZNF507;TCHP;CREBZF;NCOA3</t>
  </si>
  <si>
    <t>5981;22848;9857;64426;55051;7514;23350;23095;11168;285527;6249;254065;54812;54464;27327;23013;57703;10765;1788</t>
  </si>
  <si>
    <t>RFC1;AAK1;CEP350;SUDS3;NRDE2;XPO1;U2SURP;KIF1B;PSIP1;FRYL;CLIP1;BRWD3;AFTPH;XRN1;TNRC6A;SPEN;CWC22;KDM5B;DNMT3A</t>
  </si>
  <si>
    <t>GSE27786_BCELL_VS_MONO_MAC_UP</t>
  </si>
  <si>
    <t>23077;5927;546;9736;80312;23049;10940;51230;29072;57680;9774;23131;54454;23140;9678;8087;55432;9879;57703</t>
  </si>
  <si>
    <t>MYCBP2;KDM5A;ATRX;USP34;TET1;SMG1;POP1;PHF20;SETD2;CHD8;BCLAF1;GPATCH8;ATAD2B;ZZEF1;PHF14;FXR1;YOD1;DDX46;CWC22</t>
  </si>
  <si>
    <t>http://www.broadinstitute.org/gsea/msigdb/cards/GSE27786_BCELL_VS_MONO_MAC_UP.html</t>
  </si>
  <si>
    <t>GSE27786_ERYTHROBLAST_VS_NEUTROPHIL_DN</t>
  </si>
  <si>
    <t>55206;3840;8085;10526;51366;4297;23054;9869;80204;55914;170506;53944;23423;8621;27332;55187;55596;8505;5814</t>
  </si>
  <si>
    <t>SBNO1;KPNA4;KMT2D;IPO8;UBR5;KMT2A;NCOA6;SETDB1;FBXO11;ERBIN;DHX36;CSNK1G1;TMED3;CDK13;ZNF638;VPS13D;ZCCHC8;PARG;PURB</t>
  </si>
  <si>
    <t>http://www.broadinstitute.org/gsea/msigdb/cards/GSE27786_ERYTHROBLAST_VS_NEUTROPHIL_DN.html</t>
  </si>
  <si>
    <t>23328;5048;23054;221037;8925;84162;9857;10075;57148;171023;23522;10142;7690;23033;26065;55743;55167;23499;51592</t>
  </si>
  <si>
    <t>SASH1;PAFAH1B1;NCOA6;JMJD1C;HERC1;KIAA1109;CEP350;HUWE1;RALGAPB;ASXL1;KAT6B;AKAP9;ZNF131;DOP1A;LSM14A;CHFR;MSL2;MACF1;TRIM33</t>
  </si>
  <si>
    <t>GSE2770_UNTREATED_VS_TGFB_AND_IL12_TREATED_ACT_CD4_TCELL_48H_DN</t>
  </si>
  <si>
    <t>546;3836;9135;10771;253260;254048;23389;10075;8880;7750;29994;11244;7776;1106;23350;10897;389072;64421;84132</t>
  </si>
  <si>
    <t>ATRX;KPNA1;RABEP1;ZMYND11;RICTOR;UBN2;MED13L;HUWE1;FUBP1;ZMYM2;BAZ2B;ZHX1;ZNF236;CHD2;U2SURP;YIF1A;PLEKHM3;DCLRE1C;USP42</t>
  </si>
  <si>
    <t>http://www.broadinstitute.org/gsea/msigdb/cards/GSE2770_UNTREATED_VS_TGFB_AND_IL12_TREATED_ACT_CD4_TCELL_48H_DN.html</t>
  </si>
  <si>
    <t>GSE6681_DELETED_FOXP3_VS_WT_TREG_DN</t>
  </si>
  <si>
    <t>10526;9475;6651;5290;8661;23244;23369;10274;57690;23405;23637;8867;9147;10277;131544;26054;55127;6942;1788</t>
  </si>
  <si>
    <t>IPO8;ROCK2;SON;PIK3CA;EIF3A;PDS5A;PUM2;STAG1;TNRC6C;DICER1;RABGAP1;SYNJ1;NEMF;UBE4B;CRYBG3;SENP6;HEATR1;TCF20;DNMT3A</t>
  </si>
  <si>
    <t>http://www.broadinstitute.org/gsea/msigdb/cards/GSE6681_DELETED_FOXP3_VS_WT_TREG_DN.html</t>
  </si>
  <si>
    <t>GSE7548_NAIVE_VS_DAY28_PCC_IMMUNIZATION_CD4_TCELL_UP</t>
  </si>
  <si>
    <t>26057;6872;5290;5591;3192;2186;3609;9360;23054;9857;81609;23132;5286;23036;10897;23468;5469;10985;9969</t>
  </si>
  <si>
    <t>ANKRD17;TAF1;PIK3CA;PRKDC;HNRNPU;BPTF;ILF3;PPIG;NCOA6;CEP350;SNX27;RAD54L2;PIK3C2A;ZNF292;YIF1A;CBX5;MED1;GCN1;MED13</t>
  </si>
  <si>
    <t>http://www.broadinstitute.org/gsea/msigdb/cards/GSE7548_NAIVE_VS_DAY28_PCC_IMMUNIZATION_CD4_TCELL_UP.html</t>
  </si>
  <si>
    <t>5130;9320;23244;9857;10142;170506;57498;23095;9678;23198;5586;55671;22850;79612;9879;54464;51592</t>
  </si>
  <si>
    <t>PCYT1A;TRIP12;PDS5A;CEP350;AKAP9;DHX36;KIDINS220;KIF1B;PHF14;PSME4;PKN2;PPP4R3A;ADNP2;NAA16;DDX46;XRN1;TRIM33</t>
  </si>
  <si>
    <t>GSE12001_MIR223_KO_VS_WT_NEUTROPHIL_DN</t>
  </si>
  <si>
    <t>8888;5980;9135;84162;26098;55183;23332;91746;9774;54454;7109;80314;55127;79657;55802;4848;9329;51592;55818</t>
  </si>
  <si>
    <t>MCM3AP;REV3L;RABEP1;KIAA1109;EDRF1;RIF1;CLASP1;YTHDC1;BCLAF1;ATAD2B;TRAPPC10;EPC1;HEATR1;RPAP3;DCP1A;AC092881.1;GTF3C4;TRIM33;KDM3A</t>
  </si>
  <si>
    <t>http://www.broadinstitute.org/gsea/msigdb/cards/GSE12001_MIR223_KO_VS_WT_NEUTROPHIL_DN.html</t>
  </si>
  <si>
    <t>GSE19888_ADENOSINE_A3R_ACT_VS_TCELL_MEMBRANES_ACT_IN_MAST_CELL_DN</t>
  </si>
  <si>
    <t>8085;26057;23451;27340;7175;8661;55183;57459;9169;170506;79691;7750;23036;7559;2957;25909;56652;22828;1788</t>
  </si>
  <si>
    <t>KMT2D;ANKRD17;SF3B1;UTP20;TPR;EIF3A;RIF1;GATAD2B;SCAF11;DHX36;QTRT2;ZMYM2;ZNF292;ZNF12;GTF2A1;AHCTF1;TWNK;SCAF8;DNMT3A</t>
  </si>
  <si>
    <t>http://www.broadinstitute.org/gsea/msigdb/cards/GSE19888_ADENOSINE_A3R_ACT_VS_TCELL_MEMBRANES_ACT_IN_MAST_CELL_DN.html</t>
  </si>
  <si>
    <t>23512;8019;80204;51322;23195;29994;8295;11168;79612;54455;57553;79598;10735;283337;10207;140775;142891;10765;27161</t>
  </si>
  <si>
    <t>SUZ12;BRD3;FBXO11;WAC;MDN1;BAZ2B;TRRAP;PSIP1;NAA16;FBXO42;MICAL3;CEP97;STAG2;ZNF740;PATJ;SMCR8;SAMD8;KDM5B;AGO2</t>
  </si>
  <si>
    <t>23347;5981;546;7155;6659;8899;255967;57492;3842;79677;54454;571;7514;23036;80205;25962;283578;79598;54014</t>
  </si>
  <si>
    <t>SMCHD1;RFC1;ATRX;TOP2B;SOX4;PRPF4B;PAN3;ARID1B;TNPO1;SMC6;ATAD2B;BACH1;XPO1;ZNF292;CHD9;VIRMA;TMED8;CEP97;BRWD1</t>
  </si>
  <si>
    <t>23317;2186;10771;51248;84181;23522;23505;55914;51322;55628;54542;79811;9126;23527;9662;284058;80314;56980;9969</t>
  </si>
  <si>
    <t>DNAJC13;BPTF;ZMYND11;PDZD11;CHD6;KAT6B;TMEM131;ERBIN;WAC;ZNF407;RC3H2;SLTM;SMC3;ACAP2;CEP135;KANSL1;EPC1;PRDM10;MED13</t>
  </si>
  <si>
    <t>GSE29164_UNTREATED_VS_CD8_TCELL_AND_IL12_TREATED_MELANOMA_DAY3_DN</t>
  </si>
  <si>
    <t>23347;6873;89910;64397;79572;54454;9126;23215;317;6801;5422;9897;388228;55596;9879;157680;79646;51592;23112</t>
  </si>
  <si>
    <t>SMCHD1;TAF2;UBE3B;ZNF106;ATP13A3;ATAD2B;SMC3;PRRC2C;APAF1;STRN;POLA1;WASHC5;SBK1;ZCCHC8;DDX46;VPS13B;PANK3;TRIM33;TNRC6B</t>
  </si>
  <si>
    <t>http://www.broadinstitute.org/gsea/msigdb/cards/GSE29164_UNTREATED_VS_CD8_TCELL_AND_IL12_TREATED_MELANOMA_DAY3_DN.html</t>
  </si>
  <si>
    <t>GSE34006_A2AR_KO_VS_A2AR_AGONIST_TREATED_TREG_DN</t>
  </si>
  <si>
    <t>22848;91746;51479;23131;57472;11276;9126;51105;23036;7174;2932;8505;25948;8239;79048;4848;29843;9439;55818</t>
  </si>
  <si>
    <t>AAK1;YTHDC1;ANKFY1;GPATCH8;CNOT6;SYNRG;SMC3;PHF20L1;ZNF292;TPP2;GSK3B;PARG;KBTBD2;USP9X;SECISBP2;AC092881.1;SENP1;MED23;KDM3A</t>
  </si>
  <si>
    <t>http://www.broadinstitute.org/gsea/msigdb/cards/GSE34006_A2AR_KO_VS_A2AR_AGONIST_TREATED_TREG_DN.html</t>
  </si>
  <si>
    <t>5495;7155;26130;22848;80312;57459;79677;26523;9113;7159;139285;10207;23299;56987;142891;9923;55636;6942;23200</t>
  </si>
  <si>
    <t>PPM1B;TOP2B;GAPVD1;AAK1;TET1;GATAD2B;SMC6;AGO1;LATS1;TP53BP2;AMER1;PATJ;BICD2;BBX;SAMD8;ZBTB40;CHD7;TCF20;ATP11B</t>
  </si>
  <si>
    <t>23451;5048;4299;54799;23054;254048;84181;9712;64324;79677;54552;200576;867;55014;11214;10735;54765;7707;8202</t>
  </si>
  <si>
    <t>SF3B1;PAFAH1B1;AFF1;MBTD1;NCOA6;UBN2;CHD6;USP6NL;NSD1;SMC6;GNL3L;PIKFYVE;CBL;STX17;AKAP13;STAG2;TRIM44;ZNF148;NCOA3</t>
  </si>
  <si>
    <t>GSE41867_DAY6_EFFECTOR_VS_DAY30_EXHAUSTED_CD8_TCELL_LCMV_CLONE13_DN</t>
  </si>
  <si>
    <t>673;23054;10075;3842;79572;11244;11276;10915;7690;2551;27042;131544;157680;23269;5814;79657;79646;9188;4848</t>
  </si>
  <si>
    <t>BRAF;NCOA6;HUWE1;TNPO1;ATP13A3;ZHX1;SYNRG;TCERG1;ZNF131;GABPA;UTP25;CRYBG3;VPS13B;MGA;PURB;RPAP3;PANK3;DDX21;AC092881.1</t>
  </si>
  <si>
    <t>http://www.broadinstitute.org/gsea/msigdb/cards/GSE41867_DAY6_EFFECTOR_VS_DAY30_EXHAUSTED_CD8_TCELL_LCMV_CLONE13_DN.html</t>
  </si>
  <si>
    <t>221037;8925;65117;23064;8315;80311;23049;29072;54454;51105;9698;80205;54812;204851;140775;9392;84260;9969;9967</t>
  </si>
  <si>
    <t>JMJD1C;HERC1;RSRC2;SETX;BRAP;KLHL15;SMG1;SETD2;ATAD2B;PHF20L1;PUM1;CHD9;AFTPH;HIPK1;SMCR8;TGFBRAP1;TCHP;MED13;THRAP3</t>
  </si>
  <si>
    <t>55814;257218;55183;196528;6873;55193;80204;54497;10915;987;2551;4863;5586;51742;253959;9786;79646;56995;9439</t>
  </si>
  <si>
    <t>BDP1;SHPRH;RIF1;ARID2;TAF2;PBRM1;FBXO11;HEATR5B;TCERG1;LRBA;GABPA;NPAT;PKN2;ARID4B;RALGAPA1;KIAA0586;PANK3;TULP4;MED23</t>
  </si>
  <si>
    <t>9826;5981;6711;8899;22848;84726;89910;57492;79677;7750;57472;11276;9678;4140;6596;80205;204851;84893;23335</t>
  </si>
  <si>
    <t>ARHGEF11;RFC1;SPTBN1;PRPF4B;AAK1;PRRC2B;UBE3B;ARID1B;SMC6;ZMYM2;CNOT6;SYNRG;PHF14;MARK3;HLTF;CHD9;HIPK1;FBH1;WDR7</t>
  </si>
  <si>
    <t>GSE45365_HEALTHY_VS_MCMV_INFECTION_BCELL_IFNAR_KO_UP</t>
  </si>
  <si>
    <t>8672;9611;9320;55183;23332;55051;29994;57472;200576;9870;4140;7701;23198;22930;55320;55727;9874;25831;55818</t>
  </si>
  <si>
    <t>EIF4G3;NCOR1;TRIP12;RIF1;CLASP1;NRDE2;BAZ2B;CNOT6;PIKFYVE;AREL1;MARK3;ZNF142;PSME4;RAB3GAP1;MIS18BP1;BTBD7;TLK1;HECTD1;KDM3A</t>
  </si>
  <si>
    <t>http://www.broadinstitute.org/gsea/msigdb/cards/GSE45365_HEALTHY_VS_MCMV_INFECTION_BCELL_IFNAR_KO_UP.html</t>
  </si>
  <si>
    <t>GSE37534_GW1929_VS_ROSIGLITAZONE_TREATED_CD4_TCELL_PPARG1_FOXP3_TRANSDUCED_DN</t>
  </si>
  <si>
    <t>10526;8888;26057;5591;23244;253260;57697;254225;80312;10142;79572;57472;51585;23013;80155;54014;27161</t>
  </si>
  <si>
    <t>IPO8;MCM3AP;ANKRD17;PRKDC;PDS5A;RICTOR;FANCM;RNF169;TET1;AKAP9;ATP13A3;CNOT6;PCF11;SPEN;NAA15;BRWD1;AGO2</t>
  </si>
  <si>
    <t>http://www.broadinstitute.org/gsea/msigdb/cards/GSE37534_GW1929_VS_ROSIGLITAZONE_TREATED_CD4_TCELL_PPARG1_FOXP3_TRANSDUCED_DN.html</t>
  </si>
  <si>
    <t>GSE45365_HEALTHY_VS_MCMV_INFECTION_CD11B_DC_UP</t>
  </si>
  <si>
    <t>5591;1660;8925;5930;7840;57634;9169;54497;23131;23067;1106;10914;472;1859;23181;6601;22828;9967</t>
  </si>
  <si>
    <t>PRKDC;DHX9;HERC1;RBBP6;ALMS1;EP400;SCAF11;HEATR5B;GPATCH8;SETD1B;CHD2;PAPOLA;ATM;DYRK1A;DIP2A;SMARCC2;SCAF8;THRAP3</t>
  </si>
  <si>
    <t>http://www.broadinstitute.org/gsea/msigdb/cards/GSE45365_HEALTHY_VS_MCMV_INFECTION_CD11B_DC_UP.html</t>
  </si>
  <si>
    <t>5903;25836;165918;85440;7750;22852;56252;4863;3930;27332;157922;55320;79882;158431;79598;84669;55102;53981</t>
  </si>
  <si>
    <t>RANBP2;NIPBL;RNF168;DOCK7;ZMYM2;ANKRD26;YLPM1;NPAT;LBR;ZNF638;CAMSAP1;MIS18BP1;ZC3H14;ZNF782;CEP97;USP32;ATG2B;CPSF2</t>
  </si>
  <si>
    <t>GSE2770_IL12_AND_TGFB_VS_IL4_TREATED_ACT_CD4_TCELL_2H_DN</t>
  </si>
  <si>
    <t>9631;2186;205717;23131;26523;57498;23067;5286;23140;2932;57534;140775;55102;55705;23013;56995;55636;23112</t>
  </si>
  <si>
    <t>NUP155;BPTF;USF3;GPATCH8;AGO1;KIDINS220;SETD1B;PIK3C2A;ZZEF1;GSK3B;MIB1;SMCR8;ATG2B;IPO9;SPEN;TULP4;CHD7;TNRC6B</t>
  </si>
  <si>
    <t>http://www.broadinstitute.org/gsea/msigdb/cards/GSE2770_IL12_AND_TGFB_VS_IL4_TREATED_ACT_CD4_TCELL_2H_DN.html</t>
  </si>
  <si>
    <t>GSE3400_UNTREATED_VS_IFNB_TREATED_MEF_UP</t>
  </si>
  <si>
    <t>9631;257218;10771;79572;79811;26190;23140;10299;2932;389072;55102;10426;55705;23013;56980;56995;51696;27161</t>
  </si>
  <si>
    <t>NUP155;SHPRH;ZMYND11;ATP13A3;SLTM;FBXW2;ZZEF1;MARCH6;GSK3B;PLEKHM3;ATG2B;TUBGCP3;IPO9;SPEN;PRDM10;TULP4;HECA;AGO2</t>
  </si>
  <si>
    <t>http://www.broadinstitute.org/gsea/msigdb/cards/GSE3400_UNTREATED_VS_IFNB_TREATED_MEF_UP.html</t>
  </si>
  <si>
    <t>9931;7182;8925;84726;23248;254048;23389;58508;55914;9169;11168;472;22850;79612;10735;7994;54765;23112</t>
  </si>
  <si>
    <t>HELZ;NR2C2;HERC1;PRRC2B;RPRD2;UBN2;MED13L;KMT2C;ERBIN;SCAF11;PSIP1;ATM;ADNP2;NAA16;STAG2;KAT6A;TRIM44;TNRC6B</t>
  </si>
  <si>
    <t>8085;23451;7175;4299;5062;57551;374354;58508;6311;51322;64426;51755;23067;200576;317;11214;23013;55167</t>
  </si>
  <si>
    <t>KMT2D;SF3B1;TPR;AFF1;PAK2;TAOK1;NHLRC2;KMT2C;ATXN2;WAC;SUDS3;CDK12;SETD1B;PIKFYVE;APAF1;AKAP13;SPEN;MSL2</t>
  </si>
  <si>
    <t>5495;5927;9931;9632;9320;9733;26005;25836;26058;23064;23332;374354;3842;51773;285527;23198;56980;643314</t>
  </si>
  <si>
    <t>PPM1B;KDM5A;HELZ;SEC24C;TRIP12;SART3;C2CD3;NIPBL;GIGYF2;SETX;CLASP1;NHLRC2;TNPO1;RSF1;FRYL;PSME4;PRDM10;MACF1</t>
  </si>
  <si>
    <t>10526;9877;23077;5290;6433;65117;158405;259282;51479;905;27332;5469;27327;192669;58487;54014;55636;22828</t>
  </si>
  <si>
    <t>IPO8;ZC3H11A;MYCBP2;PIK3CA;SFSWAP;RSRC2;KIAA1958;BOD1L1;ANKFY1;CCNT2;ZNF638;MED1;TNRC6A;AGO3;CREBZF;BRWD1;CHD7;SCAF8</t>
  </si>
  <si>
    <t>http://www.broadinstitute.org/gsea/msigdb/cards/GSE28237_FOLLICULAR_VS_EARLY_GC_BCELL_UP.html</t>
  </si>
  <si>
    <t>GSE32423_MEMORY_VS_NAIVE_CD8_TCELL_DN</t>
  </si>
  <si>
    <t>9826;1656;9972;5781;6659;84181;7248;29994;11244;571;23633;55596;55159;254065;6601;54014;22828;23112</t>
  </si>
  <si>
    <t>ARHGEF11;DDX6;NUP153;PTPN11;SOX4;CHD6;TSC1;BAZ2B;ZHX1;BACH1;KPNA6;ZCCHC8;RFWD3;BRWD3;SMARCC2;BRWD1;SCAF8;TNRC6B</t>
  </si>
  <si>
    <t>http://www.broadinstitute.org/gsea/msigdb/cards/GSE32423_MEMORY_VS_NAIVE_CD8_TCELL_DN.html</t>
  </si>
  <si>
    <t>GSE9006_TYPE_1_VS_TYPE_2_DIABETES_PBMC_AT_DX_DN</t>
  </si>
  <si>
    <t>9475;6651;2186;4520;56946;5930;80204;54542;55870;54552;23019;51105;6801;80205;54812;8239;54765;9786</t>
  </si>
  <si>
    <t>ROCK2;SON;BPTF;MTF1;EMSY;RBBP6;FBXO11;RC3H2;ASH1L;GNL3L;CNOT1;PHF20L1;STRN;CHD9;AFTPH;USP9X;TRIM44;KIAA0586</t>
  </si>
  <si>
    <t>http://www.broadinstitute.org/gsea/msigdb/cards/GSE9006_TYPE_1_VS_TYPE_2_DIABETES_PBMC_AT_DX_DN.html</t>
  </si>
  <si>
    <t>55206;200424;5980;2969;4297;84162;84614;23389;23064;57148;84181;55014;8453;23269;25909;80314;22828;8202</t>
  </si>
  <si>
    <t>SBNO1;TET3;REV3L;GTF2I;KMT2A;KIAA1109;ZBTB37;MED13L;SETX;RALGAPB;CHD6;STX17;CUL2;MGA;AHCTF1;EPC1;SCAF8;NCOA3</t>
  </si>
  <si>
    <t>GSE2770_UNTREATED_VS_TGFB_AND_IL12_TREATED_ACT_CD4_TCELL_6H_UP</t>
  </si>
  <si>
    <t>9135;387680;157769;90957;91746;55870;7750;29994;23358;905;10897;8453;122830;283578;84248;64421;51455;55818</t>
  </si>
  <si>
    <t>RABEP1;WASHC2A;FAM91A1;DHX57;YTHDC1;ASH1L;ZMYM2;BAZ2B;USP24;CCNT2;YIF1A;CUL2;NAA30;TMED8;FYTTD1;DCLRE1C;REV1;KDM3A</t>
  </si>
  <si>
    <t>http://www.broadinstitute.org/gsea/msigdb/cards/GSE2770_UNTREATED_VS_TGFB_AND_IL12_TREATED_ACT_CD4_TCELL_6H_UP.html</t>
  </si>
  <si>
    <t>7182;54799;221037;25836;57532;58508;259282;23369;1106;867;11214;6789;3930;84669;160760;55743;9969;23112</t>
  </si>
  <si>
    <t>NR2C2;MBTD1;JMJD1C;NIPBL;NUFIP2;KMT2C;BOD1L1;PUM2;CHD2;CBL;AKAP13;STK4;LBR;USP32;PPTC7;CHFR;MED13;TNRC6B</t>
  </si>
  <si>
    <t>GSE5589_WT_VS_IL6_KO_LPS_STIM_MACROPHAGE_45MIN_UP</t>
  </si>
  <si>
    <t>10526;5980;7175;673;6651;5290;546;9793;23512;23126;85440;9126;92312;2876;10735;25909;51696;9874</t>
  </si>
  <si>
    <t>IPO8;REV3L;TPR;BRAF;SON;PIK3CA;ATRX;CKAP5;SUZ12;POGZ;DOCK7;SMC3;MEX3A;GPX1;STAG2;AHCTF1;HECA;TLK1</t>
  </si>
  <si>
    <t>http://www.broadinstitute.org/gsea/msigdb/cards/GSE5589_WT_VS_IL6_KO_LPS_STIM_MACROPHAGE_45MIN_UP.html</t>
  </si>
  <si>
    <t>4976;9736;23389;171023;6311;57448;26523;10277;11214;5469;54520;54887;91748;27327;55743;84132;26019;23047</t>
  </si>
  <si>
    <t>OPA1;USP34;MED13L;ASXL1;ATXN2;BIRC6;AGO1;UBE4B;AKAP13;MED1;CCDC93;UHRF1BP1;ELMSAN1;TNRC6A;CHFR;USP42;UPF2;PDS5B</t>
  </si>
  <si>
    <t>GSE9960_GRAM_NEG_VS_GRAM_NEG_AND_POS_SEPSIS_PBMC_DN</t>
  </si>
  <si>
    <t>10526;80204;58508;57634;80311;85476;51479;54764;23405;5286;8518;2876;987;4899;131544;157680;9439;23112</t>
  </si>
  <si>
    <t>IPO8;FBXO11;KMT2C;EP400;KLHL15;GFM1;ANKFY1;ZRANB1;DICER1;PIK3C2A;ELP1;GPX1;LRBA;NRF1;CRYBG3;VPS13B;MED23;TNRC6B</t>
  </si>
  <si>
    <t>http://www.broadinstitute.org/gsea/msigdb/cards/GSE9960_GRAM_NEG_VS_GRAM_NEG_AND_POS_SEPSIS_PBMC_DN.html</t>
  </si>
  <si>
    <t>26043;9135;9857;254048;23389;259282;64324;55914;80218;64397;7750;29994;23067;571;4763;27332;51696;9969</t>
  </si>
  <si>
    <t>UBXN7;RABEP1;CEP350;UBN2;MED13L;BOD1L1;NSD1;ERBIN;NAA50;ZNF106;ZMYM2;BAZ2B;SETD1B;BACH1;NF1;ZNF638;HECA;MED13</t>
  </si>
  <si>
    <t>GSE21670_UNTREATED_VS_TGFB_IL6_TREATED_CD4_TCELL_UP</t>
  </si>
  <si>
    <t>9475;51366;7468;4297;8019;54906;9736;10274;51322;7750;11168;10277;54520;157922;9662;64421;10198;22828</t>
  </si>
  <si>
    <t>ROCK2;UBR5;NSD2;KMT2A;BRD3;TASOR2;USP34;STAG1;WAC;ZMYM2;PSIP1;UBE4B;CCDC93;CAMSAP1;CEP135;DCLRE1C;MPHOSPH9;SCAF8</t>
  </si>
  <si>
    <t>http://www.broadinstitute.org/gsea/msigdb/cards/GSE21670_UNTREATED_VS_TGFB_IL6_TREATED_CD4_TCELL_UP.html</t>
  </si>
  <si>
    <t>9139;5495;6651;6872;5290;5048;546;22848;23332;9169;23067;23405;375248;285527;11214;55167;11176;23499</t>
  </si>
  <si>
    <t>CBFA2T2;PPM1B;SON;TAF1;PIK3CA;PAFAH1B1;ATRX;AAK1;CLASP1;SCAF11;SETD1B;DICER1;ANKRD36;FRYL;AKAP13;MSL2;BAZ2A;MACF1</t>
  </si>
  <si>
    <t>GSE21033_1H_VS_12H_POLYIC_STIM_DC_DN</t>
  </si>
  <si>
    <t>5927;5290;57551;5930;10075;29072;7750;5469;64864;79598;27327;83448;55727;11176;23112</t>
  </si>
  <si>
    <t>KDM5A;PIK3CA;TAOK1;RBBP6;HUWE1;SETD2;ZMYM2;MED1;RFX7;CEP97;TNRC6A;PUS7L;BTBD7;BAZ2A;TNRC6B</t>
  </si>
  <si>
    <t>http://www.broadinstitute.org/gsea/msigdb/cards/GSE21033_1H_VS_12H_POLYIC_STIM_DC_DN.html</t>
  </si>
  <si>
    <t>GSE22589_HEALTHY_VS_HIV_AND_SIV_INFECTED_DC_DN</t>
  </si>
  <si>
    <t>26046;56957;158405;80351;55051;23067;6341;10277;5422;4763;2005;25962;55671;204851;140775;54765;5814;11083</t>
  </si>
  <si>
    <t>LTN1;OTUD7B;KIAA1958;TNKS2;NRDE2;SETD1B;SCO1;UBE4B;POLA1;NF1;ELK4;VIRMA;PPP4R3A;HIPK1;SMCR8;TRIM44;PURB;DIDO1</t>
  </si>
  <si>
    <t>http://www.broadinstitute.org/gsea/msigdb/cards/GSE22589_HEALTHY_VS_HIV_AND_SIV_INFECTED_DC_DN.html</t>
  </si>
  <si>
    <t>GSE17301_CTRL_VS_48H_IFNA2_STIM_CD8_TCELL_UP</t>
  </si>
  <si>
    <t>5495;23014;221037;84726;89910;23063;23369;10274;23505;23036;905;2005;10914;22930;23033;54812;26065;25909</t>
  </si>
  <si>
    <t>PPM1B;FBXO21;JMJD1C;PRRC2B;UBE3B;WAPL;PUM2;STAG1;TMEM131;ZNF292;CCNT2;ELK4;PAPOLA;RAB3GAP1;DOP1A;AFTPH;LSM14A;AHCTF1</t>
  </si>
  <si>
    <t>http://www.broadinstitute.org/gsea/msigdb/cards/GSE17301_CTRL_VS_48H_IFNA2_STIM_CD8_TCELL_UP.html</t>
  </si>
  <si>
    <t>23014;6711;23244;23032;9169;10142;23358;10897;8518;4140;7159;131544;204851;23299;7994;10762;23499;9904</t>
  </si>
  <si>
    <t>FBXO21;SPTBN1;PDS5A;USP33;SCAF11;AKAP9;USP24;YIF1A;ELP1;MARK3;TP53BP2;CRYBG3;HIPK1;BICD2;KAT6A;NUP50;MACF1;RBM19</t>
  </si>
  <si>
    <t>GSE33162_UNTREATED_VS_4H_LPS_STIM_HDAC3_HET_MACROPHAGE_UP</t>
  </si>
  <si>
    <t>9139;4299;3836;6433;10771;84162;23195;57609;5286;8518;27042;25948;26009;10207;160760;55127;55818;8202</t>
  </si>
  <si>
    <t>CBFA2T2;AFF1;KPNA1;SFSWAP;ZMYND11;KIAA1109;MDN1;DIP2B;PIK3C2A;ELP1;UTP25;KBTBD2;AC118549.1;PATJ;PPTC7;HEATR1;KDM3A;NCOA3</t>
  </si>
  <si>
    <t>http://www.broadinstitute.org/gsea/msigdb/cards/GSE33162_UNTREATED_VS_4H_LPS_STIM_HDAC3_HET_MACROPHAGE_UP.html</t>
  </si>
  <si>
    <t>5495;673;8019;22848;84614;57459;54764;23019;10153;51742;139285;84669;10207;142891;26054;54014;55636;23112</t>
  </si>
  <si>
    <t>PPM1B;BRAF;BRD3;AAK1;ZBTB37;GATAD2B;ZRANB1;CNOT1;CEBPZ;ARID4B;AMER1;USP32;PATJ;SAMD8;SENP6;BRWD1;CHD7;TNRC6B</t>
  </si>
  <si>
    <t>http://www.broadinstitute.org/gsea/msigdb/cards/GSE40068_CXCR5POS_BCL6POS_TFH_VS_CXCR5NEG_BCL6NEG_CD4_TCELL_UP.html</t>
  </si>
  <si>
    <t>1656;4297;6654;4520;26130;23126;81609;55628;55249;53944;23405;7690;4301;11214;2804;92140;55705;11108</t>
  </si>
  <si>
    <t>DDX6;KMT2A;SOS1;MTF1;GAPVD1;POGZ;SNX27;ZNF407;YY1AP1;CSNK1G1;DICER1;ZNF131;AFDN;AKAP13;GOLGB1;MTDH;IPO9;PRDM4</t>
  </si>
  <si>
    <t>23347;5980;6872;3836;9632;26058;23064;11064;58508;9169;23140;4140;79707;254065;55632;55705;55167;440193</t>
  </si>
  <si>
    <t>SMCHD1;REV3L;TAF1;KPNA1;SEC24C;GIGYF2;SETX;CNTRL;KMT2C;SCAF11;ZZEF1;MARK3;NOL9;BRWD3;G2E3;IPO9;MSL2;CCDC88C</t>
  </si>
  <si>
    <t>GSE41176_UNSTIM_VS_ANTI_IGM_STIM_BCELL_24H_DN</t>
  </si>
  <si>
    <t>4299;3836;6654;1778;65117;80311;8295;92312;571;7159;1859;388228;84196;84295;55175;9969;11176;27161</t>
  </si>
  <si>
    <t>AFF1;KPNA1;SOS1;DYNC1H1;RSRC2;KLHL15;TRRAP;MEX3A;BACH1;TP53BP2;DYRK1A;SBK1;USP48;PHF6;KLHL11;MED13;BAZ2A;AGO2</t>
  </si>
  <si>
    <t>http://www.broadinstitute.org/gsea/msigdb/cards/GSE41176_UNSTIM_VS_ANTI_IGM_STIM_BCELL_24H_DN.html</t>
  </si>
  <si>
    <t>GSE37301_CD4_TCELL_VS_RAG2_KO_NK_CELL_DN</t>
  </si>
  <si>
    <t>9611;673;2475;79832;254225;58508;57492;79572;57690;11276;9919;2876;23181;57534;2074;7994;79813</t>
  </si>
  <si>
    <t>NCOR1;BRAF;MTOR;QSER1;RNF169;KMT2C;ARID1B;ATP13A3;TNRC6C;SYNRG;SEC16A;GPX1;DIP2A;MIB1;ERCC6;KAT6A;EHMT1</t>
  </si>
  <si>
    <t>http://www.broadinstitute.org/gsea/msigdb/cards/GSE37301_CD4_TCELL_VS_RAG2_KO_NK_CELL_DN.html</t>
  </si>
  <si>
    <t>5980;257218;55183;23064;317;23095;55014;472;6596;55291;54832;8505;79598;10207;7994;80314</t>
  </si>
  <si>
    <t>REV3L;SHPRH;RIF1;SETX;APAF1;KIF1B;STX17;ATM;HLTF;PPP6R3;VPS13C;PARG;CEP97;PATJ;KAT6A;EPC1</t>
  </si>
  <si>
    <t>23451;6651;5927;54799;54906;57532;166378;91746;1106;51585;285527;11214;22930;142891;64783;192669</t>
  </si>
  <si>
    <t>SF3B1;SON;KDM5A;MBTD1;TASOR2;NUFIP2;SPATA5;YTHDC1;CHD2;PCF11;FRYL;AKAP13;RAB3GAP1;SAMD8;RBM15;AGO3</t>
  </si>
  <si>
    <t>5927;2969;7155;23160;221037;55728;80312;23505;53944;23195;5286;10277;2117;11214;10207;1788</t>
  </si>
  <si>
    <t>KDM5A;GTF2I;TOP2B;WDR43;JMJD1C;N4BP2;TET1;TMEM131;CSNK1G1;MDN1;PIK3C2A;UBE4B;ETV3;AKAP13;PATJ;DNMT3A</t>
  </si>
  <si>
    <t>GSE33292_DN3_THYMOCYTE_VS_TCELL_LYMPHOMA_FROM_TCF1_KO_UP</t>
  </si>
  <si>
    <t>23077;23160;84614;54906;91746;54542;51585;9113;5422;10128;23198;22930;79707;254887;84669;6942</t>
  </si>
  <si>
    <t>MYCBP2;WDR43;ZBTB37;TASOR2;YTHDC1;RC3H2;PCF11;LATS1;POLA1;LRPPRC;PSME4;RAB3GAP1;NOL9;ZDHHC23;USP32;TCF20</t>
  </si>
  <si>
    <t>http://www.broadinstitute.org/gsea/msigdb/cards/GSE33292_DN3_THYMOCYTE_VS_TCELL_LYMPHOMA_FROM_TCF1_KO_UP.html</t>
  </si>
  <si>
    <t>1656;7155;255967;57551;55023;55914;51773;59343;54454;55291;9879;57531;58487;55636;9969;25831</t>
  </si>
  <si>
    <t>DDX6;TOP2B;PAN3;TAOK1;PHIP;ERBIN;RSF1;SENP2;ATAD2B;PPP6R3;DDX46;HACE1;CREBZF;CHD7;MED13;HECTD1</t>
  </si>
  <si>
    <t>2186;9712;51230;54454;905;7159;8621;51742;55187;11011;26065;56652;64421;55727;6942;51592;55818</t>
  </si>
  <si>
    <t>BPTF;USP6NL;PHF20;ATAD2B;CCNT2;TP53BP2;CDK13;ARID4B;VPS13D;TLK2;LSM14A;TWNK;DCLRE1C;BTBD7;TCF20;TRIM33;KDM3A</t>
  </si>
  <si>
    <t>6711;11052;26005;9857;89910;55914;64397;26523;23140;4361;987;8621;9662;6601;55743;23013;6942</t>
  </si>
  <si>
    <t>SPTBN1;CPSF6;C2CD3;CEP350;UBE3B;ERBIN;ZNF106;AGO1;ZZEF1;MRE11;LRBA;CDK13;CEP135;SMARCC2;CHFR;SPEN;TCF20</t>
  </si>
  <si>
    <t>GSE14000_TRANSLATED_RNA_VS_MRNA_4H_LPS_DC_UP</t>
  </si>
  <si>
    <t>5781;9360;54906;79677;79691;22992;10915;6341;23527;54520;55596;9879;84196;79657;4848;53981;25831</t>
  </si>
  <si>
    <t>PTPN11;PPIG;TASOR2;SMC6;QTRT2;KDM2A;TCERG1;SCO1;ACAP2;CCDC93;ZCCHC8;DDX46;USP48;RPAP3;AC092881.1;CPSF2;HECTD1</t>
  </si>
  <si>
    <t>http://www.broadinstitute.org/gsea/msigdb/cards/GSE14000_TRANSLATED_RNA_VS_MRNA_4H_LPS_DC_UP.html</t>
  </si>
  <si>
    <t>9139;405;4299;7155;9360;6093;57690;29994;2932;7024;284058;157680;84669;9392;84260;65250;10765</t>
  </si>
  <si>
    <t>CBFA2T2;ARNT;AFF1;TOP2B;PPIG;ROCK1;TNRC6C;BAZ2B;GSK3B;TFCP2;KANSL1;VPS13B;USP32;TGFBRAP1;TCHP;CPLANE1;KDM5B</t>
  </si>
  <si>
    <t>55206;3840;23451;4299;6654;6433;54619;254048;51322;64426;51105;254065;2140;84132;55167;51132;25831</t>
  </si>
  <si>
    <t>SBNO1;KPNA4;SF3B1;AFF1;SOS1;SFSWAP;CCNJ;UBN2;WAC;SUDS3;PHF20L1;BRWD3;EYA3;USP42;MSL2;RLIM;HECTD1</t>
  </si>
  <si>
    <t>4299;4297;23054;23505;80351;55051;54542;57448;23198;51742;55596;11011;54464;84893;10426;11108;23200</t>
  </si>
  <si>
    <t>AFF1;KMT2A;NCOA6;TMEM131;TNKS2;NRDE2;RC3H2;BIRC6;PSME4;ARID4B;ZCCHC8;TLK2;XRN1;FBH1;TUBGCP3;PRDM4;ATP11B</t>
  </si>
  <si>
    <t>GSE20366_EX_VIVO_VS_HOMEOSTATIC_CONVERSION_TREG_UP</t>
  </si>
  <si>
    <t>8888;8925;9857;23389;55252;65117;23293;158405;57679;79811;10915;9147;157922;84295;283337;155435;26019</t>
  </si>
  <si>
    <t>MCM3AP;HERC1;CEP350;MED13L;ASXL2;RSRC2;SMG6;KIAA1958;ALS2;SLTM;TCERG1;NEMF;CAMSAP1;PHF6;ZNF740;RBM33;UPF2</t>
  </si>
  <si>
    <t>http://www.broadinstitute.org/gsea/msigdb/cards/GSE20366_EX_VIVO_VS_HOMEOSTATIC_CONVERSION_TREG_UP.html</t>
  </si>
  <si>
    <t>8672;9139;9681;4297;22848;25836;23001;7248;51773;9169;23405;9880;867;23198;9392;56995;54014</t>
  </si>
  <si>
    <t>EIF4G3;CBFA2T2;DEPDC5;KMT2A;AAK1;NIPBL;WDFY3;TSC1;RSF1;SCAF11;DICER1;ZBTB39;CBL;PSME4;TGFBRAP1;TULP4;BRWD1</t>
  </si>
  <si>
    <t>7175;9360;6093;387680;56957;253260;55252;23064;57148;57498;51105;23036;9147;6596;55187;27327;55636</t>
  </si>
  <si>
    <t>TPR;PPIG;ROCK1;WASHC2A;OTUD7B;RICTOR;ASXL2;SETX;RALGAPB;KIDINS220;PHF20L1;ZNF292;NEMF;HLTF;VPS13D;TNRC6A;CHD7</t>
  </si>
  <si>
    <t>GSE29617_CTRL_VS_TIV_FLU_VACCINE_PBMC_2008_UP</t>
  </si>
  <si>
    <t>26043;673;221037;54906;253260;80311;91746;9774;7776;10299;2117;25948;160760;142891;84132;55802;26973</t>
  </si>
  <si>
    <t>UBXN7;BRAF;JMJD1C;TASOR2;RICTOR;KLHL15;YTHDC1;BCLAF1;ZNF236;MARCH6;ETV3;KBTBD2;PPTC7;SAMD8;USP42;DCP1A;CHORDC1</t>
  </si>
  <si>
    <t>http://www.broadinstitute.org/gsea/msigdb/cards/GSE29617_CTRL_VS_TIV_FLU_VACCINE_PBMC_2008_UP.html</t>
  </si>
  <si>
    <t>GSE39820_CTRL_VS_TGFBETA3_IL6_IL23A_CD4_TCELL_UP</t>
  </si>
  <si>
    <t>23451;5495;5781;1660;257218;84986;23369;84146;10915;27332;51742;144348;26065;27327;51696;51455;51592</t>
  </si>
  <si>
    <t>SF3B1;PPM1B;PTPN11;DHX9;SHPRH;ARHGAP19;PUM2;ZNF644;TCERG1;ZNF638;ARID4B;ZNF664;LSM14A;TNRC6A;HECA;REV1;TRIM33</t>
  </si>
  <si>
    <t>http://www.broadinstitute.org/gsea/msigdb/cards/GSE39820_CTRL_VS_TGFBETA3_IL6_IL23A_CD4_TCELL_UP.html</t>
  </si>
  <si>
    <t>6651;2475;5048;4520;23253;26058;56946;23001;23369;30849;55870;9841;55187;27042;54812;8239;11108</t>
  </si>
  <si>
    <t>SON;MTOR;PAFAH1B1;MTF1;ANKRD12;GIGYF2;EMSY;WDFY3;PUM2;PIK3R4;ASH1L;ZBTB24;VPS13D;UTP25;AFTPH;USP9X;PRDM4</t>
  </si>
  <si>
    <t>546;6711;221037;253143;25836;253260;254225;23032;57690;57472;22930;79598;25948;10735;64421;57703;25831</t>
  </si>
  <si>
    <t>ATRX;SPTBN1;JMJD1C;PRR14L;NIPBL;RICTOR;RNF169;USP33;TNRC6C;CNOT6;RAB3GAP1;CEP97;KBTBD2;STAG2;DCLRE1C;CWC22;HECTD1</t>
  </si>
  <si>
    <t>GSE411_WT_VS_SOCS3_KO_MACROPHAGE_DN</t>
  </si>
  <si>
    <t>9681;23077;6711;7155;9135;84162;84181;79677;6249;27332;131544;284058;254887;80012;155435;10198;11190</t>
  </si>
  <si>
    <t>DEPDC5;MYCBP2;SPTBN1;TOP2B;RABEP1;KIAA1109;CHD6;SMC6;CLIP1;ZNF638;CRYBG3;KANSL1;ZDHHC23;PHC3;RBM33;MPHOSPH9;CEP250</t>
  </si>
  <si>
    <t>http://www.broadinstitute.org/gsea/msigdb/cards/GSE411_WT_VS_SOCS3_KO_MACROPHAGE_DN.html</t>
  </si>
  <si>
    <t>GSE2770_IL12_ACT_VS_ACT_CD4_TCELL_48H_DN</t>
  </si>
  <si>
    <t>3840;23077;7428;7155;9135;79832;23064;10274;80218;6874;1859;9816;64864;22850;23269;22847;11190</t>
  </si>
  <si>
    <t>KPNA4;MYCBP2;VHL;TOP2B;RABEP1;QSER1;SETX;STAG1;NAA50;TAF4;DYRK1A;URB2;RFX7;ADNP2;MGA;ZNF507;CEP250</t>
  </si>
  <si>
    <t>http://www.broadinstitute.org/gsea/msigdb/cards/GSE2770_IL12_ACT_VS_ACT_CD4_TCELL_48H_DN.html</t>
  </si>
  <si>
    <t>GSE2770_UNTREATED_VS_ACT_CD4_TCELL_48H_UP</t>
  </si>
  <si>
    <t>4976;3609;9321;11052;10940;55051;9774;347344;2957;55291;9662;9392;80155;53981;10762;9967;9904</t>
  </si>
  <si>
    <t>OPA1;ILF3;TRIP11;CPSF6;POP1;NRDE2;BCLAF1;ZNF81;GTF2A1;PPP6R3;CEP135;TGFBRAP1;NAA15;CPSF2;NUP50;THRAP3;RBM19</t>
  </si>
  <si>
    <t>http://www.broadinstitute.org/gsea/msigdb/cards/GSE2770_UNTREATED_VS_ACT_CD4_TCELL_48H_UP.html</t>
  </si>
  <si>
    <t>GSE1740_MCSF_VS_MCSF_AND_IFNG_DAY2_DERIVED_MACROPHAGE_DN</t>
  </si>
  <si>
    <t>9611;51366;10771;80311;57498;23067;23140;158431;55632;8239;55102;192669;55167;56995;55636;23112;7707</t>
  </si>
  <si>
    <t>NCOR1;UBR5;ZMYND11;KLHL15;KIDINS220;SETD1B;ZZEF1;ZNF782;G2E3;USP9X;ATG2B;AGO3;MSL2;TULP4;CHD7;TNRC6B;ZNF148</t>
  </si>
  <si>
    <t>http://www.broadinstitute.org/gsea/msigdb/cards/GSE1740_MCSF_VS_MCSF_AND_IFNG_DAY2_DERIVED_MACROPHAGE_DN.html</t>
  </si>
  <si>
    <t>1656;9736;89910;25914;374354;259282;23067;9870;23140;9147;9678;5422;8087;55596;54812;65250;26019</t>
  </si>
  <si>
    <t>DDX6;USP34;UBE3B;RTTN;NHLRC2;BOD1L1;SETD1B;AREL1;ZZEF1;NEMF;PHF14;POLA1;FXR1;ZCCHC8;AFTPH;CPLANE1;UPF2</t>
  </si>
  <si>
    <t>GSE5503_LIVER_DC_VS_PLN_DC_ACTIVATED_ALLOGENIC_TCELL_DN</t>
  </si>
  <si>
    <t>4976;84986;23512;157769;130507;23063;171023;8880;10730;79691;57448;8518;54520;84301;54887;8239;55102</t>
  </si>
  <si>
    <t>OPA1;ARHGAP19;SUZ12;FAM91A1;UBR3;WAPL;ASXL1;FUBP1;YME1L1;QTRT2;BIRC6;ELP1;CCDC93;DDI2;UHRF1BP1;USP9X;ATG2B</t>
  </si>
  <si>
    <t>http://www.broadinstitute.org/gsea/msigdb/cards/GSE5503_LIVER_DC_VS_PLN_DC_ACTIVATED_ALLOGENIC_TCELL_DN.html</t>
  </si>
  <si>
    <t>5451;6651;79832;255967;54906;23126;80312;57690;23195;7750;29994;23358;5286;23269;10207;84248</t>
  </si>
  <si>
    <t>POU2F1;SON;QSER1;PAN3;TASOR2;POGZ;TET1;TNRC6C;MDN1;ZMYM2;BAZ2B;USP24;PIK3C2A;MGA;PATJ;FYTTD1</t>
  </si>
  <si>
    <t>GSE14908_RESTING_VS_HDM_STIM_CD4_TCELL_NONATOPIC_PATIENT_UP</t>
  </si>
  <si>
    <t>8672;9139;23014;157769;253260;9736;8315;51322;9919;55014;10735;10426;55743;79048;55636;10765;25831</t>
  </si>
  <si>
    <t>EIF4G3;CBFA2T2;FBXO21;FAM91A1;RICTOR;USP34;BRAP;WAC;SEC16A;STX17;STAG2;TUBGCP3;CHFR;SECISBP2;CHD7;KDM5B;HECTD1</t>
  </si>
  <si>
    <t>http://www.broadinstitute.org/gsea/msigdb/cards/GSE14908_RESTING_VS_HDM_STIM_CD4_TCELL_NONATOPIC_PATIENT_UP.html</t>
  </si>
  <si>
    <t>GSE18893_CTRL_VS_TNF_TREATED_TCONV_24H_UP</t>
  </si>
  <si>
    <t>9632;5781;1660;55275;11064;166378;3842;26523;23405;10153;55632;26009;26146;55094;57786;53981;9967</t>
  </si>
  <si>
    <t>SEC24C;PTPN11;DHX9;VPS53;CNTRL;SPATA5;TNPO1;AGO1;DICER1;CEBPZ;G2E3;AC118549.1;TRAF3IP1;GPATCH1;RBAK;CPSF2;THRAP3</t>
  </si>
  <si>
    <t>http://www.broadinstitute.org/gsea/msigdb/cards/GSE18893_CTRL_VS_TNF_TREATED_TCONV_24H_UP.html</t>
  </si>
  <si>
    <t>GSE16450_CTRL_VS_IFNA_12H_STIM_IMMATURE_NEURON_CELL_LINE_UP</t>
  </si>
  <si>
    <t>11128;23389;171023;85476;55628;23195;5116;5422;4763;2932;987;9816;55187;22850;157680;27327;9923</t>
  </si>
  <si>
    <t>POLR3A;MED13L;ASXL1;GFM1;ZNF407;MDN1;PCNT;POLA1;NF1;GSK3B;LRBA;URB2;VPS13D;ADNP2;VPS13B;TNRC6A;ZBTB40</t>
  </si>
  <si>
    <t>http://www.broadinstitute.org/gsea/msigdb/cards/GSE16450_CTRL_VS_IFNA_12H_STIM_IMMATURE_NEURON_CELL_LINE_UP.html</t>
  </si>
  <si>
    <t>GSE21033_CTRL_VS_POLYIC_STIM_DC_3H_DN</t>
  </si>
  <si>
    <t>9632;23054;9857;23248;7248;29072;55249;23633;23468;5471;23269;26065;58487;23047;10762;23112;4216</t>
  </si>
  <si>
    <t>SEC24C;NCOA6;CEP350;RPRD2;TSC1;SETD2;YY1AP1;KPNA6;CBX5;PPAT;MGA;LSM14A;CREBZF;PDS5B;NUP50;TNRC6B;MAP3K4</t>
  </si>
  <si>
    <t>http://www.broadinstitute.org/gsea/msigdb/cards/GSE21033_CTRL_VS_POLYIC_STIM_DC_3H_DN.html</t>
  </si>
  <si>
    <t>6872;405;5130;5591;2802;257218;26130;84726;10075;7248;85476;10142;80218;7174;10128;10198;55727</t>
  </si>
  <si>
    <t>TAF1;ARNT;PCYT1A;PRKDC;GOLGA3;SHPRH;GAPVD1;PRRC2B;HUWE1;TSC1;GFM1;AKAP9;NAA50;TPP2;LRPPRC;MPHOSPH9;BTBD7</t>
  </si>
  <si>
    <t>http://www.broadinstitute.org/gsea/msigdb/cards/GSE25088_CTRL_VS_IL4_AND_ROSIGLITAZONE_STIM_STAT6_KO_MACROPHAGE_UP.html</t>
  </si>
  <si>
    <t>GSE38304_MYC_NEG_VS_POS_GC_BCELL_UP</t>
  </si>
  <si>
    <t>8085;7155;54799;84614;23064;55728;80312;7840;79677;29994;5286;9678;9113;10735;54014;9969;23200</t>
  </si>
  <si>
    <t>KMT2D;TOP2B;MBTD1;ZBTB37;SETX;N4BP2;TET1;ALMS1;SMC6;BAZ2B;PIK3C2A;PHF14;LATS1;STAG2;BRWD1;MED13;ATP11B</t>
  </si>
  <si>
    <t>http://www.broadinstitute.org/gsea/msigdb/cards/GSE38304_MYC_NEG_VS_POS_GC_BCELL_UP.html</t>
  </si>
  <si>
    <t>GSE28737_WT_VS_BCL6_KO_MARGINAL_ZONE_BCELL_DN</t>
  </si>
  <si>
    <t>23317;7468;5903;6093;257218;84162;23126;3842;57472;51105;4140;8087;253959;26009;56987;11083;9874</t>
  </si>
  <si>
    <t>DNAJC13;NSD2;RANBP2;ROCK1;SHPRH;KIAA1109;POGZ;TNPO1;CNOT6;PHF20L1;MARK3;FXR1;RALGAPA1;AC118549.1;BBX;DIDO1;TLK1</t>
  </si>
  <si>
    <t>http://www.broadinstitute.org/gsea/msigdb/cards/GSE28737_WT_VS_BCL6_KO_MARGINAL_ZONE_BCELL_DN.html</t>
  </si>
  <si>
    <t>8085;27107;6659;1778;23293;84181;64324;55870;54454;23036;55014;11214;8621;91748;9392;54765;4848</t>
  </si>
  <si>
    <t>KMT2D;ZBTB11;SOX4;DYNC1H1;SMG6;CHD6;NSD1;ASH1L;ATAD2B;ZNF292;STX17;AKAP13;CDK13;ELMSAN1;TGFBRAP1;TRIM44;AC092881.1</t>
  </si>
  <si>
    <t>GSE45365_CD8A_DC_VS_CD11B_DC_UP</t>
  </si>
  <si>
    <t>9611;9320;22848;55183;23332;55193;259282;55051;29994;57472;4140;10914;7701;23198;55671;55320;84132</t>
  </si>
  <si>
    <t>NCOR1;TRIP12;AAK1;RIF1;CLASP1;PBRM1;BOD1L1;NRDE2;BAZ2B;CNOT6;MARK3;PAPOLA;ZNF142;PSME4;PPP4R3A;MIS18BP1;USP42</t>
  </si>
  <si>
    <t>http://www.broadinstitute.org/gsea/msigdb/cards/GSE45365_CD8A_DC_VS_CD11B_DC_UP.html</t>
  </si>
  <si>
    <t>GSE37605_C57BL6_VS_NOD_FOXP3_FUSION_GFP_TCONV_DN</t>
  </si>
  <si>
    <t>5290;5591;3609;7248;10142;79691;59343;23405;200576;9678;23181;80205;9879;157680;55705;84248</t>
  </si>
  <si>
    <t>PIK3CA;PRKDC;ILF3;TSC1;AKAP9;QTRT2;SENP2;DICER1;PIKFYVE;PHF14;DIP2A;CHD9;DDX46;VPS13B;IPO9;FYTTD1</t>
  </si>
  <si>
    <t>http://www.broadinstitute.org/gsea/msigdb/cards/GSE37605_C57BL6_VS_NOD_FOXP3_FUSION_GFP_TCONV_DN.html</t>
  </si>
  <si>
    <t>257218;8019;9135;23244;255967;57148;254225;23522;8880;64324;79572;26523;142891;84248;4848</t>
  </si>
  <si>
    <t>SHPRH;BRD3;RABEP1;PDS5A;PAN3;RALGAPB;RNF169;KAT6B;FUBP1;NSD1;ATP13A3;AGO1;SAMD8;FYTTD1;AC092881.1</t>
  </si>
  <si>
    <t>9681;5981;546;26130;23064;51230;29072;80351;9919;10277;6670;23198;463;157680;9392;8202</t>
  </si>
  <si>
    <t>DEPDC5;RFC1;ATRX;GAPVD1;SETX;PHF20;SETD2;TNKS2;SEC16A;UBE4B;SP3;PSME4;ZFHX3;VPS13B;TGFBRAP1;NCOA3</t>
  </si>
  <si>
    <t>9631;3192;23054;54906;10142;53944;23195;867;4361;11214;10207;5814;23047;51132;23200</t>
  </si>
  <si>
    <t>NUP155;HNRNPU;NCOA6;TASOR2;AKAP9;CSNK1G1;MDN1;CBL;MRE11;AKAP13;PATJ;PURB;PDS5B;RLIM;ATP11B</t>
  </si>
  <si>
    <t>23077;7155;23160;79832;54906;26058;55728;80312;23195;2005;472;27042;79598;84669;10207</t>
  </si>
  <si>
    <t>MYCBP2;TOP2B;WDR43;QSER1;TASOR2;GIGYF2;N4BP2;TET1;MDN1;ELK4;ATM;UTP25;CEP97;USP32;PATJ</t>
  </si>
  <si>
    <t>55814;7155;6093;253143;205717;9736;23369;23185;29072;7528;2117;9816;10714;51742;10735;10762</t>
  </si>
  <si>
    <t>BDP1;TOP2B;ROCK1;PRR14L;USF3;USP34;PUM2;LARP4B;SETD2;YY1;ETV3;URB2;POLD3;ARID4B;STAG2;NUP50</t>
  </si>
  <si>
    <t>GSE14308_TH17_VS_INDUCED_TREG_UP</t>
  </si>
  <si>
    <t>9611;23077;5927;546;5591;9320;205717;253260;10274;10730;6670;55432;84295;92797;84248;10765</t>
  </si>
  <si>
    <t>NCOR1;MYCBP2;KDM5A;ATRX;PRKDC;TRIP12;USF3;RICTOR;STAG1;YME1L1;SP3;YOD1;PHF6;HELB;FYTTD1;KDM5B</t>
  </si>
  <si>
    <t>http://www.broadinstitute.org/gsea/msigdb/cards/GSE14308_TH17_VS_INDUCED_TREG_UP.html</t>
  </si>
  <si>
    <t>GSE15215_CD2_POS_VS_NEG_PDC_DN</t>
  </si>
  <si>
    <t>23451;5290;4520;84986;10142;80351;200576;5116;2117;7109;2551;347240;9662;54812;55802;54014</t>
  </si>
  <si>
    <t>SF3B1;PIK3CA;MTF1;ARHGAP19;AKAP9;TNKS2;PIKFYVE;PCNT;ETV3;TRAPPC10;GABPA;KIF24;CEP135;AFTPH;DCP1A;BRWD1</t>
  </si>
  <si>
    <t>http://www.broadinstitute.org/gsea/msigdb/cards/GSE15215_CD2_POS_VS_NEG_PDC_DN.html</t>
  </si>
  <si>
    <t>3840;51366;9632;2969;23160;9321;23064;8315;23195;23132;11168;6249;5471;79612;9879;4848</t>
  </si>
  <si>
    <t>KPNA4;UBR5;SEC24C;GTF2I;WDR43;TRIP11;SETX;BRAP;MDN1;RAD54L2;PSIP1;CLIP1;PPAT;NAA16;DDX46;AC092881.1</t>
  </si>
  <si>
    <t>GSE17721_CTRL_VS_PAM3CSK4_2H_BMDC_UP</t>
  </si>
  <si>
    <t>7428;23054;23248;89910;166378;30849;79691;57472;571;7024;55320;55159;11083;79657;11176;23112</t>
  </si>
  <si>
    <t>VHL;NCOA6;RPRD2;UBE3B;SPATA5;PIK3R4;QTRT2;CNOT6;BACH1;TFCP2;MIS18BP1;RFWD3;DIDO1;RPAP3;BAZ2A;TNRC6B</t>
  </si>
  <si>
    <t>http://www.broadinstitute.org/gsea/msigdb/cards/GSE17721_CTRL_VS_PAM3CSK4_2H_BMDC_UP.html</t>
  </si>
  <si>
    <t>9139;6659;7156;90957;130507;3842;8880;55870;6670;122830;54464;23013;10765;9329;7707;1788</t>
  </si>
  <si>
    <t>CBFA2T2;SOX4;TOP3A;DHX57;UBR3;TNPO1;FUBP1;ASH1L;SP3;NAA30;XRN1;SPEN;KDM5B;GTF3C4;ZNF148;DNMT3A</t>
  </si>
  <si>
    <t>GSE17721_LPS_VS_GARDIQUIMOD_2H_BMDC_DN</t>
  </si>
  <si>
    <t>11128;9139;7156;23244;90957;130507;8315;9126;23423;9919;23095;10299;6249;122830;5469;9904</t>
  </si>
  <si>
    <t>POLR3A;CBFA2T2;TOP3A;PDS5A;DHX57;UBR3;BRAP;SMC3;TMED3;SEC16A;KIF1B;MARCH6;CLIP1;NAA30;MED1;RBM19</t>
  </si>
  <si>
    <t>http://www.broadinstitute.org/gsea/msigdb/cards/GSE17721_LPS_VS_GARDIQUIMOD_2H_BMDC_DN.html</t>
  </si>
  <si>
    <t>GSE18791_UNSTIM_VS_NEWCATSLE_VIRUS_DC_6H_UP</t>
  </si>
  <si>
    <t>23060;27107;1656;5981;56946;54876;23660;51105;317;9841;23036;9816;23033;55432;22850;79723</t>
  </si>
  <si>
    <t>ZNF609;ZBTB11;DDX6;RFC1;EMSY;DCAF16;ZKSCAN5;PHF20L1;APAF1;ZBTB24;ZNF292;URB2;DOP1A;YOD1;ADNP2;SUV39H2</t>
  </si>
  <si>
    <t>http://www.broadinstitute.org/gsea/msigdb/cards/GSE18791_UNSTIM_VS_NEWCATSLE_VIRUS_DC_6H_UP.html</t>
  </si>
  <si>
    <t>GSE24026_PD1_LIGATION_VS_CTRL_IN_ACT_TCELL_LINE_DN</t>
  </si>
  <si>
    <t>5981;8925;65117;79677;7776;57498;5422;4899;26009;10426;10198;192669;56980;10762;55818;4216</t>
  </si>
  <si>
    <t>RFC1;HERC1;RSRC2;SMC6;ZNF236;KIDINS220;POLA1;NRF1;AC118549.1;TUBGCP3;MPHOSPH9;AGO3;PRDM10;NUP50;KDM3A;MAP3K4</t>
  </si>
  <si>
    <t>http://www.broadinstitute.org/gsea/msigdb/cards/GSE24026_PD1_LIGATION_VS_CTRL_IN_ACT_TCELL_LINE_DN.html</t>
  </si>
  <si>
    <t>8661;254048;10075;64682;57680;9774;23131;9147;7528;8621;25962;23269;10207;55094;84260;26973</t>
  </si>
  <si>
    <t>EIF3A;UBN2;HUWE1;ANAPC1;CHD8;BCLAF1;GPATCH8;NEMF;YY1;CDK13;VIRMA;MGA;PATJ;GPATCH1;TCHP;CHORDC1</t>
  </si>
  <si>
    <t>26046;7175;5048;546;3836;2186;8661;5930;11064;9169;317;55159;79882;9887;54765;26054</t>
  </si>
  <si>
    <t>LTN1;TPR;PAFAH1B1;ATRX;KPNA1;BPTF;EIF3A;RBBP6;CNTRL;SCAF11;APAF1;RFWD3;ZC3H14;SMG7;TRIM44;SENP6</t>
  </si>
  <si>
    <t>8888;4299;6093;1778;8019;171023;23637;8295;2551;9897;23198;26009;55705;26019;27161;22828</t>
  </si>
  <si>
    <t>MCM3AP;AFF1;ROCK1;DYNC1H1;BRD3;ASXL1;RABGAP1;TRRAP;GABPA;WASHC5;PSME4;AC118549.1;IPO9;UPF2;AGO2;SCAF8</t>
  </si>
  <si>
    <t>GSE7852_LN_VS_FAT_TREG_UP</t>
  </si>
  <si>
    <t>3840;7155;6654;257218;253143;90957;171023;55023;29994;6801;7559;79598;10207;56987;55802;4848</t>
  </si>
  <si>
    <t>KPNA4;TOP2B;SOS1;SHPRH;PRR14L;DHX57;ASXL1;PHIP;BAZ2B;STRN;ZNF12;CEP97;PATJ;BBX;DCP1A;AC092881.1</t>
  </si>
  <si>
    <t>http://www.broadinstitute.org/gsea/msigdb/cards/GSE7852_LN_VS_FAT_TREG_UP.html</t>
  </si>
  <si>
    <t>23317;23054;253260;23369;6311;57680;11276;23067;9126;867;7528;284058;51696;6942;10762;55818</t>
  </si>
  <si>
    <t>DNAJC13;NCOA6;RICTOR;PUM2;ATXN2;CHD8;SYNRG;SETD1B;SMC3;CBL;YY1;KANSL1;HECA;TCF20;NUP50;KDM3A</t>
  </si>
  <si>
    <t>9877;23077;4299;22848;55252;11064;54542;57609;29994;317;23140;11214;3930;23198;55187;55596</t>
  </si>
  <si>
    <t>ZC3H11A;MYCBP2;AFF1;AAK1;ASXL2;CNTRL;RC3H2;DIP2B;BAZ2B;APAF1;ZZEF1;AKAP13;LBR;PSME4;VPS13D;ZCCHC8</t>
  </si>
  <si>
    <t>GSE2770_TGFB_AND_IL4_VS_IL4_TREATED_ACT_CD4_TCELL_6H_DN</t>
  </si>
  <si>
    <t>5903;79832;9857;54906;56946;51230;317;23095;6341;51182;51742;54812;25909;8239;79657;57786</t>
  </si>
  <si>
    <t>RANBP2;QSER1;CEP350;TASOR2;EMSY;PHF20;APAF1;KIF1B;SCO1;HSPA14;ARID4B;AFTPH;AHCTF1;USP9X;RPAP3;RBAK</t>
  </si>
  <si>
    <t>http://www.broadinstitute.org/gsea/msigdb/cards/GSE2770_TGFB_AND_IL4_VS_IL4_TREATED_ACT_CD4_TCELL_6H_DN.html</t>
  </si>
  <si>
    <t>9632;2802;6093;11052;9202;196528;55728;317;9147;23633;6596;5586;10735;55342;23200;8202</t>
  </si>
  <si>
    <t>SEC24C;GOLGA3;ROCK1;CPSF6;ZMYM4;ARID2;N4BP2;APAF1;NEMF;KPNA6;HLTF;PKN2;STAG2;STRBP;ATP11B;NCOA3</t>
  </si>
  <si>
    <t>26057;26043;5927;5903;100381270;5062;55275;9857;166378;51230;23405;84131;55605;55668;23112;7707</t>
  </si>
  <si>
    <t>ANKRD17;UBXN7;KDM5A;RANBP2;ZBED6;PAK2;VPS53;CEP350;SPATA5;PHF20;DICER1;CEP78;KIF21A;GPATCH2L;TNRC6B;ZNF148</t>
  </si>
  <si>
    <t>353274;8661;23054;130507;9736;10142;51322;11244;7174;2551;80205;23269;55342;58487;27161;23200</t>
  </si>
  <si>
    <t>ZNF445;EIF3A;NCOA6;UBR3;USP34;AKAP9;WAC;ZHX1;TPP2;GABPA;CHD9;MGA;STRBP;CREBZF;AGO2;ATP11B</t>
  </si>
  <si>
    <t>http://www.broadinstitute.org/gsea/msigdb/cards/GSE5099_UNSTIM_VS_MCSF_TREATED_MONOCYTE_DAY7_UP.html</t>
  </si>
  <si>
    <t>7468;4299;8925;9693;11168;6789;93;4863;9221;283578;55632;25909;56652;26019;51696;23112</t>
  </si>
  <si>
    <t>NSD2;AFF1;HERC1;RAPGEF2;PSIP1;STK4;ACVR2B;NPAT;NOLC1;TMED8;G2E3;AHCTF1;TWNK;UPF2;HECA;TNRC6B</t>
  </si>
  <si>
    <t>11128;27107;84986;55183;57551;25914;23095;8518;9816;84301;54887;22850;55320;145508;55743;10198</t>
  </si>
  <si>
    <t>POLR3A;ZBTB11;ARHGAP19;RIF1;TAOK1;RTTN;KIF1B;ELP1;URB2;DDI2;UHRF1BP1;ADNP2;MIS18BP1;CEP128;CHFR;MPHOSPH9</t>
  </si>
  <si>
    <t>GSE5503_MLN_DC_VS_SPLEEN_DC_ACTIVATED_ALLOGENIC_TCELL_DN</t>
  </si>
  <si>
    <t>5451;8899;84986;55183;55728;23195;317;285527;8087;9816;388228;55187;55432;10985;55342;10198</t>
  </si>
  <si>
    <t>POU2F1;PRPF4B;ARHGAP19;RIF1;N4BP2;MDN1;APAF1;FRYL;FXR1;URB2;SBK1;VPS13D;YOD1;GCN1;STRBP;MPHOSPH9</t>
  </si>
  <si>
    <t>http://www.broadinstitute.org/gsea/msigdb/cards/GSE5503_MLN_DC_VS_SPLEEN_DC_ACTIVATED_ALLOGENIC_TCELL_DN.html</t>
  </si>
  <si>
    <t>GSE15139_GMCSF_TREATED_VS_UNTREATED_NEUTROPHILS_DN</t>
  </si>
  <si>
    <t>8672;1656;5927;23248;9202;157769;23185;23049;10940;6341;5116;9113;4899;253959;55159;26019</t>
  </si>
  <si>
    <t>EIF4G3;DDX6;KDM5A;RPRD2;ZMYM4;FAM91A1;LARP4B;SMG1;POP1;SCO1;PCNT;LATS1;NRF1;RALGAPA1;RFWD3;UPF2</t>
  </si>
  <si>
    <t>http://www.broadinstitute.org/gsea/msigdb/cards/GSE15139_GMCSF_TREATED_VS_UNTREATED_NEUTROPHILS_DN.html</t>
  </si>
  <si>
    <t>1656;8925;255967;84726;23389;23126;7248;23067;4763;11214;472;2804;54832;284058;9923;23112</t>
  </si>
  <si>
    <t>DDX6;HERC1;PAN3;PRRC2B;MED13L;POGZ;TSC1;SETD1B;NF1;AKAP13;ATM;GOLGB1;VPS13C;KANSL1;ZBTB40;TNRC6B</t>
  </si>
  <si>
    <t>GSE21360_NAIVE_VS_QUATERNARY_MEMORY_CD8_TCELL_DN</t>
  </si>
  <si>
    <t>23077;5451;25836;65117;53944;51479;9527;2117;23033;55320;26009;56652;55802;55689;7707;8202</t>
  </si>
  <si>
    <t>MYCBP2;POU2F1;NIPBL;RSRC2;CSNK1G1;ANKFY1;GOSR1;ETV3;DOP1A;MIS18BP1;AC118549.1;TWNK;DCP1A;YEATS2;ZNF148;NCOA3</t>
  </si>
  <si>
    <t>http://www.broadinstitute.org/gsea/msigdb/cards/GSE21360_NAIVE_VS_QUATERNARY_MEMORY_CD8_TCELL_DN.html</t>
  </si>
  <si>
    <t>26130;23248;22976;84079;29072;64682;55249;11276;23423;9693;10277;23468;55291;79707;57553;23299</t>
  </si>
  <si>
    <t>GAPVD1;RPRD2;PAXIP1;ANKRD27;SETD2;ANAPC1;YY1AP1;SYNRG;TMED3;RAPGEF2;UBE4B;CBX5;PPP6R3;NOL9;MICAL3;BICD2</t>
  </si>
  <si>
    <t>GSE22103_UNSTIM_VS_GMCSF_AND_IFNG_STIM_NEUTROPHIL_UP</t>
  </si>
  <si>
    <t>8672;56957;23195;23637;8295;867;64854;5471;388228;25962;54832;26065;140775;54765;80155;23047</t>
  </si>
  <si>
    <t>EIF4G3;OTUD7B;MDN1;RABGAP1;TRRAP;CBL;USP46;PPAT;SBK1;VIRMA;VPS13C;LSM14A;SMCR8;TRIM44;NAA15;PDS5B</t>
  </si>
  <si>
    <t>http://www.broadinstitute.org/gsea/msigdb/cards/GSE22103_UNSTIM_VS_GMCSF_AND_IFNG_STIM_NEUTROPHIL_UP.html</t>
  </si>
  <si>
    <t>5980;23451;673;7155;6093;9857;23389;57532;9712;30849;57498;51105;139285;80012;56987;55818</t>
  </si>
  <si>
    <t>REV3L;SF3B1;BRAF;TOP2B;ROCK1;CEP350;MED13L;NUFIP2;USP6NL;PIK3R4;KIDINS220;PHF20L1;AMER1;PHC3;BBX;KDM3A</t>
  </si>
  <si>
    <t>5903;54799;55193;23032;8880;23049;84146;10915;7528;8621;122830;388228;54812;26009;57531;1788</t>
  </si>
  <si>
    <t>RANBP2;MBTD1;PBRM1;USP33;FUBP1;SMG1;ZNF644;TCERG1;YY1;CDK13;NAA30;SBK1;AFTPH;AC118549.1;HACE1;DNMT3A</t>
  </si>
  <si>
    <t>55206;5903;54799;2802;26130;58508;57634;10142;9919;7174;10914;9816;157680;56995;27161;9439</t>
  </si>
  <si>
    <t>SBNO1;RANBP2;MBTD1;GOLGA3;GAPVD1;KMT2C;EP400;AKAP9;SEC16A;TPP2;PAPOLA;URB2;VPS13B;TULP4;AGO2;MED23</t>
  </si>
  <si>
    <t>http://www.broadinstitute.org/gsea/msigdb/cards/GSE25088_WT_VS_STAT6_KO_MACROPHAGE_ROSIGLITAZONE_STIM_UP.html</t>
  </si>
  <si>
    <t>GSE21063_3H_VS_16H_ANTI_IGM_STIM_BCELL_DN</t>
  </si>
  <si>
    <t>10526;23317;4299;2802;10771;9202;166378;23032;10274;23505;7248;57679;9678;80205;84669;9923</t>
  </si>
  <si>
    <t>IPO8;DNAJC13;AFF1;GOLGA3;ZMYND11;ZMYM4;SPATA5;USP33;STAG1;TMEM131;TSC1;ALS2;PHF14;CHD9;USP32;ZBTB40</t>
  </si>
  <si>
    <t>http://www.broadinstitute.org/gsea/msigdb/cards/GSE21063_3H_VS_16H_ANTI_IGM_STIM_BCELL_DN.html</t>
  </si>
  <si>
    <t>8888;7637;3836;6873;23389;10914;472;6596;5586;51742;55187;9879;10426;2140;23047;9904</t>
  </si>
  <si>
    <t>MCM3AP;ZNF84;KPNA1;TAF2;MED13L;PAPOLA;ATM;HLTF;PKN2;ARID4B;VPS13D;DDX46;TUBGCP3;EYA3;PDS5B;RBM19</t>
  </si>
  <si>
    <t>255967;55252;57551;57697;80312;54497;23140;5116;4763;23468;2957;7581;1859;3930;54464;23112</t>
  </si>
  <si>
    <t>PAN3;ASXL2;TAOK1;FANCM;TET1;HEATR5B;ZZEF1;PCNT;NF1;CBX5;GTF2A1;ZNF33A;DYRK1A;LBR;XRN1;TNRC6B</t>
  </si>
  <si>
    <t>7175;5781;23160;23244;55183;55023;9169;23350;11168;472;9221;25909;55127;79657;58487;9329</t>
  </si>
  <si>
    <t>TPR;PTPN11;WDR43;PDS5A;RIF1;PHIP;SCAF11;U2SURP;PSIP1;ATM;NOLC1;AHCTF1;HEATR1;RPAP3;CREBZF;GTF3C4</t>
  </si>
  <si>
    <t>http://www.broadinstitute.org/gsea/msigdb/cards/GSE27859_DC_VS_CD11C_INT_F480_HI_MACROPHAGE_UP.html</t>
  </si>
  <si>
    <t>5495;9631;100381270;6659;3609;9869;54619;55728;9774;29994;9126;10915;7690;79813;9874;1788</t>
  </si>
  <si>
    <t>PPM1B;NUP155;ZBED6;SOX4;ILF3;SETDB1;CCNJ;N4BP2;BCLAF1;BAZ2B;SMC3;TCERG1;ZNF131;EHMT1;TLK1;DNMT3A</t>
  </si>
  <si>
    <t>GSE41867_DAY6_VS_DAY8_LCMV_CLONE13_EFFECTOR_CD8_TCELL_DN</t>
  </si>
  <si>
    <t>5927;10075;58508;10142;23195;11244;9841;9113;867;2551;1859;79612;23269;5814;4848;27161</t>
  </si>
  <si>
    <t>KDM5A;HUWE1;KMT2C;AKAP9;MDN1;ZHX1;ZBTB24;LATS1;CBL;GABPA;DYRK1A;NAA16;MGA;PURB;AC092881.1;AGO2</t>
  </si>
  <si>
    <t>http://www.broadinstitute.org/gsea/msigdb/cards/GSE41867_DAY6_VS_DAY8_LCMV_CLONE13_EFFECTOR_CD8_TCELL_DN.html</t>
  </si>
  <si>
    <t>9877;5290;3836;2802;26098;23248;23064;80311;64397;26190;9870;2117;51742;54812;23269;64421</t>
  </si>
  <si>
    <t>ZC3H11A;PIK3CA;KPNA1;GOLGA3;EDRF1;RPRD2;SETX;KLHL15;ZNF106;FBXW2;AREL1;ETV3;ARID4B;AFTPH;MGA;DCLRE1C</t>
  </si>
  <si>
    <t>3840;10236;9139;5781;1778;9584;9857;25836;84146;79572;54454;7514;23468;2957;10198;56995</t>
  </si>
  <si>
    <t>KPNA4;HNRNPR;CBFA2T2;PTPN11;DYNC1H1;RBM39;CEP350;NIPBL;ZNF644;ATP13A3;ATAD2B;XPO1;CBX5;GTF2A1;MPHOSPH9;TULP4</t>
  </si>
  <si>
    <t>7586;6659;84986;221037;196528;3842;59343;57609;10299;7559;55014;93;463;9879;64421;9786</t>
  </si>
  <si>
    <t>ZKSCAN1;SOX4;ARHGAP19;JMJD1C;ARID2;TNPO1;SENP2;DIP2B;MARCH6;ZNF12;STX17;ACVR2B;ZFHX3;DDX46;DCLRE1C;KIAA0586</t>
  </si>
  <si>
    <t>GSE45739_NRAS_KO_VS_WT_ACD3_ACD28_STIM_CD4_TCELL_DN</t>
  </si>
  <si>
    <t>2969;6711;8019;91746;29994;317;10299;8087;64864;55320;54832;204851;2074;8239;9923;10765</t>
  </si>
  <si>
    <t>GTF2I;SPTBN1;BRD3;YTHDC1;BAZ2B;APAF1;MARCH6;FXR1;RFX7;MIS18BP1;VPS13C;HIPK1;ERCC6;USP9X;ZBTB40;KDM5B</t>
  </si>
  <si>
    <t>http://www.broadinstitute.org/gsea/msigdb/cards/GSE45739_NRAS_KO_VS_WT_ACD3_ACD28_STIM_CD4_TCELL_DN.html</t>
  </si>
  <si>
    <t>7155;9793;9790;9202;57551;165918;28981;1106;11214;92797;11083;80155;23047</t>
  </si>
  <si>
    <t>TOP2B;CKAP5;BMS1;ZMYM4;TAOK1;RNF168;IFT81;CHD2;AKAP13;HELB;DIDO1;NAA15;PDS5B</t>
  </si>
  <si>
    <t>10771;84726;374354;9711;79677;11276;9841;8621;4863;22984;27332;11083;54014;9923;8202</t>
  </si>
  <si>
    <t>ZMYND11;PRRC2B;NHLRC2;RUBCN;SMC6;SYNRG;ZBTB24;CDK13;NPAT;PDCD11;ZNF638;DIDO1;BRWD1;ZBTB40;NCOA3</t>
  </si>
  <si>
    <t>GSE7348_UNSTIM_VS_TOLERIZED_AND_LPS_STIM_MACROPHAGE_UP</t>
  </si>
  <si>
    <t>7468;7579;23244;255967;55183;64324;57690;7109;25909;56652;64783;79813;9874;22828</t>
  </si>
  <si>
    <t>NSD2;ZSCAN20;PDS5A;PAN3;RIF1;NSD1;TNRC6C;TRAPPC10;AHCTF1;TWNK;RBM15;EHMT1;TLK1;SCAF8</t>
  </si>
  <si>
    <t>http://www.broadinstitute.org/gsea/msigdb/cards/GSE7348_UNSTIM_VS_TOLERIZED_AND_LPS_STIM_MACROPHAGE_UP.html</t>
  </si>
  <si>
    <t>GSE19941_IL10_KO_VS_IL10_KO_AND_NFKBP50_KO_LPS_AND_IL10_STIM_MACROPHAGE_DN</t>
  </si>
  <si>
    <t>7468;5781;5930;11064;55193;165918;54764;51105;23095;23468;10914;55159;55705;10198</t>
  </si>
  <si>
    <t>NSD2;PTPN11;RBBP6;CNTRL;PBRM1;RNF168;ZRANB1;PHF20L1;KIF1B;CBX5;PAPOLA;RFWD3;IPO9;MPHOSPH9</t>
  </si>
  <si>
    <t>http://www.broadinstitute.org/gsea/msigdb/cards/GSE19941_IL10_KO_VS_IL10_KO_AND_NFKBP50_KO_LPS_AND_IL10_STIM_MACROPHAGE_DN.html</t>
  </si>
  <si>
    <t>GSE4590_SMALL_VS_VPREB_POS_LARGE_PRE_BCELL_UP</t>
  </si>
  <si>
    <t>2969;54799;257218;79832;255967;253260;80312;10142;29994;8518;4763;56252;54014;10765</t>
  </si>
  <si>
    <t>GTF2I;MBTD1;SHPRH;QSER1;PAN3;RICTOR;TET1;AKAP9;BAZ2B;ELP1;NF1;YLPM1;BRWD1;KDM5B</t>
  </si>
  <si>
    <t>http://www.broadinstitute.org/gsea/msigdb/cards/GSE4590_SMALL_VS_VPREB_POS_LARGE_PRE_BCELL_UP.html</t>
  </si>
  <si>
    <t>26043;5927;9931;5781;2186;55023;23049;57680;11276;80205;254065;79598;57531;10765</t>
  </si>
  <si>
    <t>UBXN7;KDM5A;HELZ;PTPN11;BPTF;PHIP;SMG1;CHD8;SYNRG;CHD9;BRWD3;CEP97;HACE1;KDM5B</t>
  </si>
  <si>
    <t>7182;5062;23064;254225;57492;6801;2005;2117;10914;2551;6789;9698;22828;23143</t>
  </si>
  <si>
    <t>NR2C2;PAK2;SETX;RNF169;ARID1B;STRN;ELK4;ETV3;PAPOLA;GABPA;STK4;PUM1;SCAF8;LRCH1</t>
  </si>
  <si>
    <t>GSE22342_CD11C_HIGH_VS_LOW_DECIDUAL_MACROPHAGES_UP</t>
  </si>
  <si>
    <t>8672;9611;55023;55628;9126;317;9527;7109;80205;55291;27327;84669;56987;55802;55689</t>
  </si>
  <si>
    <t>EIF4G3;NCOR1;PHIP;ZNF407;SMC3;APAF1;GOSR1;TRAPPC10;CHD9;PPP6R3;TNRC6A;USP32;BBX;DCP1A;YEATS2</t>
  </si>
  <si>
    <t>http://www.broadinstitute.org/gsea/msigdb/cards/GSE22342_CD11C_HIGH_VS_LOW_DECIDUAL_MACROPHAGES_UP.html</t>
  </si>
  <si>
    <t>7155;8899;79832;23064;55728;80312;23358;200576;6249;79598;10207;155435;54014;10765</t>
  </si>
  <si>
    <t>TOP2B;PRPF4B;QSER1;SETX;N4BP2;TET1;USP24;PIKFYVE;CLIP1;CEP97;PATJ;RBM33;BRWD1;KDM5B</t>
  </si>
  <si>
    <t>2802;26130;170506;59343;23131;23140;23468;23198;4899;80205;54856;56987;55102;56995;7707</t>
  </si>
  <si>
    <t>GOLGA3;GAPVD1;DHX36;SENP2;GPATCH8;ZZEF1;CBX5;PSME4;NRF1;CHD9;GON4L;BBX;ATG2B;TULP4;ZNF148</t>
  </si>
  <si>
    <t>GSE10239_NAIVE_VS_MEMORY_CD8_TCELL_UP</t>
  </si>
  <si>
    <t>4976;5980;10771;157769;6873;23126;23505;10137;7690;2551;4863;23527;64864;388228;55632</t>
  </si>
  <si>
    <t>OPA1;REV3L;ZMYND11;FAM91A1;TAF2;POGZ;TMEM131;RBM12;ZNF131;GABPA;NPAT;ACAP2;RFX7;SBK1;G2E3</t>
  </si>
  <si>
    <t>http://www.broadinstitute.org/gsea/msigdb/cards/GSE10239_NAIVE_VS_MEMORY_CD8_TCELL_UP.html</t>
  </si>
  <si>
    <t>GSE10239_MEMORY_VS_KLRG1HIGH_EFF_CD8_TCELL_DN</t>
  </si>
  <si>
    <t>26130;157769;23126;171023;3842;9693;571;4863;79882;8505;22847;11083;56995;23047;26973</t>
  </si>
  <si>
    <t>GAPVD1;FAM91A1;POGZ;ASXL1;TNPO1;RAPGEF2;BACH1;NPAT;ZC3H14;PARG;ZNF507;DIDO1;TULP4;PDS5B;CHORDC1</t>
  </si>
  <si>
    <t>http://www.broadinstitute.org/gsea/msigdb/cards/GSE10239_MEMORY_VS_KLRG1HIGH_EFF_CD8_TCELL_DN.html</t>
  </si>
  <si>
    <t>GSE12845_IGD_NEG_BLOOD_VS_DARKZONE_GC_TONSIL_BCELL_DN</t>
  </si>
  <si>
    <t>5591;2186;26098;65117;171023;8880;29994;23350;5116;5471;6596;22984;79707;79612;55689</t>
  </si>
  <si>
    <t>PRKDC;BPTF;EDRF1;RSRC2;ASXL1;FUBP1;BAZ2B;U2SURP;PCNT;PPAT;HLTF;PDCD11;NOL9;NAA16;YEATS2</t>
  </si>
  <si>
    <t>http://www.broadinstitute.org/gsea/msigdb/cards/GSE12845_IGD_NEG_BLOOD_VS_DARKZONE_GC_TONSIL_BCELL_DN.html</t>
  </si>
  <si>
    <t>23328;3799;9931;5048;205717;130507;56946;27291;57472;10299;2005;55291;55187;84669;9969</t>
  </si>
  <si>
    <t>SASH1;KIF5B;HELZ;PAFAH1B1;USF3;UBR3;EMSY;R3HCC1L;CNOT6;MARCH6;ELK4;PPP6R3;VPS13D;USP32;MED13</t>
  </si>
  <si>
    <t>140710;253260;58508;7248;9712;57498;6874;51585;2005;54520;80012;10207;79048;51455;23112</t>
  </si>
  <si>
    <t>SOGA1;RICTOR;KMT2C;TSC1;USP6NL;KIDINS220;TAF4;PCF11;ELK4;CCDC93;PHC3;PATJ;SECISBP2;REV1;TNRC6B</t>
  </si>
  <si>
    <t>GSE14000_UNSTIM_VS_4H_LPS_DC_TRANSLATED_RNA_UP</t>
  </si>
  <si>
    <t>23014;51366;6872;8019;7248;9774;54497;26190;11168;10277;8518;5471;6596;91748;25831</t>
  </si>
  <si>
    <t>FBXO21;UBR5;TAF1;BRD3;TSC1;BCLAF1;HEATR5B;FBXW2;PSIP1;UBE4B;ELP1;PPAT;HLTF;ELMSAN1;HECTD1</t>
  </si>
  <si>
    <t>http://www.broadinstitute.org/gsea/msigdb/cards/GSE14000_UNSTIM_VS_4H_LPS_DC_TRANSLATED_RNA_UP.html</t>
  </si>
  <si>
    <t>9475;23077;546;23253;10274;23049;57498;9147;6670;3930;55432;9662;84295;26054;23112</t>
  </si>
  <si>
    <t>ROCK2;MYCBP2;ATRX;ANKRD12;STAG1;SMG1;KIDINS220;NEMF;SP3;LBR;YOD1;CEP135;PHF6;SENP6;TNRC6B</t>
  </si>
  <si>
    <t>http://www.broadinstitute.org/gsea/msigdb/cards/GSE14308_TH1_VS_INDUCED_TREG_UP.html</t>
  </si>
  <si>
    <t>GSE1460_DP_THYMOCYTE_VS_NAIVE_CD4_TCELL_CORD_BLOOD_UP</t>
  </si>
  <si>
    <t>9631;7468;5981;6659;2802;26098;28981;23633;11168;23468;27332;80205;9879;79048;10198</t>
  </si>
  <si>
    <t>NUP155;NSD2;RFC1;SOX4;GOLGA3;EDRF1;IFT81;KPNA6;PSIP1;CBX5;ZNF638;CHD9;DDX46;SECISBP2;MPHOSPH9</t>
  </si>
  <si>
    <t>http://www.broadinstitute.org/gsea/msigdb/cards/GSE1460_DP_THYMOCYTE_VS_NAIVE_CD4_TCELL_CORD_BLOOD_UP.html</t>
  </si>
  <si>
    <t>3840;8925;166378;374354;58508;51322;54542;7776;200576;2957;11214;23013;6942;26973;9967</t>
  </si>
  <si>
    <t>KPNA4;HERC1;SPATA5;NHLRC2;KMT2C;WAC;RC3H2;ZNF236;PIKFYVE;GTF2A1;AKAP13;SPEN;TCF20;CHORDC1;THRAP3</t>
  </si>
  <si>
    <t>5927;4297;8899;80204;8880;55051;23095;9147;27327;84893;55342;11190;51455;6942;9967</t>
  </si>
  <si>
    <t>KDM5A;KMT2A;PRPF4B;FBXO11;FUBP1;NRDE2;KIF1B;NEMF;TNRC6A;FBH1;STRBP;CEP250;REV1;TCF20;THRAP3</t>
  </si>
  <si>
    <t>GSE17721_LPS_VS_GARDIQUIMOD_0.5H_BMDC_DN</t>
  </si>
  <si>
    <t>23451;23077;3609;23512;158427;56957;25914;23185;54454;9126;8518;8087;79657;55636;8202</t>
  </si>
  <si>
    <t>SF3B1;MYCBP2;ILF3;SUZ12;TSTD2;OTUD7B;RTTN;LARP4B;ATAD2B;SMC3;ELP1;FXR1;RPAP3;CHD7;NCOA3</t>
  </si>
  <si>
    <t>http://www.broadinstitute.org/gsea/msigdb/cards/GSE17721_LPS_VS_GARDIQUIMOD_0.5H_BMDC_DN.html</t>
  </si>
  <si>
    <t>GSE17721_LPS_VS_GARDIQUIMOD_1H_BMDC_DN</t>
  </si>
  <si>
    <t>23451;5981;5290;6659;22848;54619;6801;2957;6596;55671;55320;283337;79646;26973;9329</t>
  </si>
  <si>
    <t>SF3B1;RFC1;PIK3CA;SOX4;AAK1;CCNJ;STRN;GTF2A1;HLTF;PPP4R3A;MIS18BP1;ZNF740;PANK3;CHORDC1;GTF3C4</t>
  </si>
  <si>
    <t>http://www.broadinstitute.org/gsea/msigdb/cards/GSE17721_LPS_VS_GARDIQUIMOD_1H_BMDC_DN.html</t>
  </si>
  <si>
    <t>9877;23077;4297;9360;56957;9736;57551;56946;51479;9919;10299;27327;23013;51132;440193</t>
  </si>
  <si>
    <t>ZC3H11A;MYCBP2;KMT2A;PPIG;OTUD7B;USP34;TAOK1;EMSY;ANKFY1;SEC16A;MARCH6;TNRC6A;SPEN;RLIM;CCDC88C</t>
  </si>
  <si>
    <t>5495;9632;9320;9733;26005;57551;23064;55023;3842;51773;29994;23198;204851;80012;56980</t>
  </si>
  <si>
    <t>PPM1B;SEC24C;TRIP12;SART3;C2CD3;TAOK1;SETX;PHIP;TNPO1;RSF1;BAZ2B;PSME4;HIPK1;PHC3;PRDM10</t>
  </si>
  <si>
    <t>9632;9320;9733;26005;3842;51773;51755;29994;9870;7559;6596;23198;10714;4899;64864</t>
  </si>
  <si>
    <t>SEC24C;TRIP12;SART3;C2CD3;TNPO1;RSF1;CDK12;BAZ2B;AREL1;ZNF12;HLTF;PSME4;POLD3;NRF1;RFX7</t>
  </si>
  <si>
    <t>55206;84986;9733;25836;374354;23195;285527;4361;987;6789;27042;54455;8505;22849;7994</t>
  </si>
  <si>
    <t>SBNO1;ARHGAP19;SART3;NIPBL;NHLRC2;MDN1;FRYL;MRE11;LRBA;STK4;UTP25;FBXO42;PARG;CPEB3;KAT6A</t>
  </si>
  <si>
    <t>200424;9877;9931;4297;84162;23064;11064;51585;5586;55320;79048;23013;4848;10762;23112</t>
  </si>
  <si>
    <t>TET3;ZC3H11A;HELZ;KMT2A;KIAA1109;SETX;CNTRL;PCF11;PKN2;MIS18BP1;SECISBP2;SPEN;AC092881.1;NUP50;TNRC6B</t>
  </si>
  <si>
    <t>140710;2802;23389;54876;4140;472;7159;9392;56987;23013;11083;55167;9923;6942;11108</t>
  </si>
  <si>
    <t>SOGA1;GOLGA3;MED13L;DCAF16;MARK3;ATM;TP53BP2;TGFBRAP1;BBX;SPEN;DIDO1;MSL2;ZBTB40;TCF20;PRDM4</t>
  </si>
  <si>
    <t>GSE26928_EFF_MEMORY_VS_CXCR5_POS_CD4_TCELL_DN</t>
  </si>
  <si>
    <t>23077;9733;79832;255967;55183;130507;55728;7750;22992;5286;9919;7556;9662;9874;4216</t>
  </si>
  <si>
    <t>MYCBP2;SART3;QSER1;PAN3;RIF1;UBR3;N4BP2;ZMYM2;KDM2A;PIK3C2A;SEC16A;ZNF10;CEP135;TLK1;MAP3K4</t>
  </si>
  <si>
    <t>http://www.broadinstitute.org/gsea/msigdb/cards/GSE26928_EFF_MEMORY_VS_CXCR5_POS_CD4_TCELL_DN.html</t>
  </si>
  <si>
    <t>55206;8085;4297;23054;255967;387680;90957;80204;84181;55023;29072;29994;23269;283337;440193</t>
  </si>
  <si>
    <t>SBNO1;KMT2D;KMT2A;NCOA6;PAN3;WASHC2A;DHX57;FBXO11;CHD6;PHIP;SETD2;BAZ2B;MGA;ZNF740;CCDC88C</t>
  </si>
  <si>
    <t>GSE27786_BCELL_VS_NKTCELL_UP</t>
  </si>
  <si>
    <t>23451;6651;3192;205717;91746;23198;92140;8505;23269;55743;54014;4848;53981;9969;23143</t>
  </si>
  <si>
    <t>SF3B1;SON;HNRNPU;USF3;YTHDC1;PSME4;MTDH;PARG;MGA;CHFR;BRWD1;AC092881.1;CPSF2;MED13;LRCH1</t>
  </si>
  <si>
    <t>http://www.broadinstitute.org/gsea/msigdb/cards/GSE27786_BCELL_VS_NKTCELL_UP.html</t>
  </si>
  <si>
    <t>8661;9135;9736;57679;10940;51230;29072;10137;26146;64783;58487;51132;57786;53981;9967</t>
  </si>
  <si>
    <t>EIF3A;RABEP1;USP34;ALS2;POP1;PHF20;SETD2;RBM12;TRAF3IP1;RBM15;CREBZF;RLIM;RBAK;CPSF2;THRAP3</t>
  </si>
  <si>
    <t>3840;8085;51366;9360;9202;51773;80351;55051;9774;23405;8621;8505;84295;54014;55636</t>
  </si>
  <si>
    <t>KPNA4;KMT2D;UBR5;PPIG;ZMYM4;RSF1;TNKS2;NRDE2;BCLAF1;DICER1;CDK13;PARG;PHF6;BRWD1;CHD7</t>
  </si>
  <si>
    <t>5980;9320;9736;57492;57679;10940;10142;51230;11168;84295;84248;54014;51132;9967;55818</t>
  </si>
  <si>
    <t>REV3L;TRIP12;USP34;ARID1B;ALS2;POP1;AKAP9;PHF20;PSIP1;PHF6;FYTTD1;BRWD1;RLIM;THRAP3;KDM3A</t>
  </si>
  <si>
    <t>8661;23064;84181;23049;51230;26523;23036;2932;8621;5469;79882;25948;84260;65250;54014</t>
  </si>
  <si>
    <t>EIF3A;SETX;CHD6;SMG1;PHF20;AGO1;ZNF292;GSK3B;CDK13;MED1;ZC3H14;KBTBD2;TCHP;CPLANE1;BRWD1</t>
  </si>
  <si>
    <t>9611;169841;9736;10075;84181;51230;29072;9147;9678;6789;8621;5469;79882;54765;84260</t>
  </si>
  <si>
    <t>NCOR1;ZNF169;USP34;HUWE1;CHD6;PHF20;SETD2;NEMF;PHF14;STK4;CDK13;MED1;ZC3H14;TRIM44;TCHP</t>
  </si>
  <si>
    <t>GSE27786_ERYTHROBLAST_VS_MONO_MAC_DN</t>
  </si>
  <si>
    <t>8085;23077;6651;546;8661;9869;8019;23160;157769;51230;23195;54497;9841;64421;23200</t>
  </si>
  <si>
    <t>KMT2D;MYCBP2;SON;ATRX;EIF3A;SETDB1;BRD3;WDR43;FAM91A1;PHF20;MDN1;HEATR5B;ZBTB24;DCLRE1C;ATP11B</t>
  </si>
  <si>
    <t>http://www.broadinstitute.org/gsea/msigdb/cards/GSE27786_ERYTHROBLAST_VS_MONO_MAC_DN.html</t>
  </si>
  <si>
    <t>3842;57634;55051;54454;22992;9693;571;905;55014;6670;22850;55727;51696;51592;23200</t>
  </si>
  <si>
    <t>TNPO1;EP400;NRDE2;ATAD2B;KDM2A;RAPGEF2;BACH1;CCNT2;STX17;SP3;ADNP2;BTBD7;HECA;TRIM33;ATP11B</t>
  </si>
  <si>
    <t>GSE31082_DP_VS_CD8_SP_THYMOCYTE_UP</t>
  </si>
  <si>
    <t>10236;7428;100381270;28981;51773;5422;1859;23181;25962;55596;144348;283337;10426;54765;9967</t>
  </si>
  <si>
    <t>HNRNPR;VHL;ZBED6;IFT81;RSF1;POLA1;DYRK1A;DIP2A;VIRMA;ZCCHC8;ZNF664;ZNF740;TUBGCP3;TRIM44;THRAP3</t>
  </si>
  <si>
    <t>http://www.broadinstitute.org/gsea/msigdb/cards/GSE31082_DP_VS_CD8_SP_THYMOCYTE_UP.html</t>
  </si>
  <si>
    <t>10771;6873;65117;56946;23032;23637;9113;7690;2551;5586;22850;160760;11083;58487;22828</t>
  </si>
  <si>
    <t>ZMYND11;TAF2;RSRC2;EMSY;USP33;RABGAP1;LATS1;ZNF131;GABPA;PKN2;ADNP2;PPTC7;DIDO1;CREBZF;SCAF8</t>
  </si>
  <si>
    <t>9611;8661;130507;23001;254225;7248;54552;317;4763;472;23527;84196;84669;23299;10426</t>
  </si>
  <si>
    <t>NCOR1;EIF3A;UBR3;WDFY3;RNF169;TSC1;GNL3L;APAF1;NF1;ATM;ACAP2;USP48;USP32;BICD2;TUBGCP3</t>
  </si>
  <si>
    <t>9631;9793;9869;26005;23049;23131;23660;9919;56252;10714;79882;23269;57209;55167;23047</t>
  </si>
  <si>
    <t>NUP155;CKAP5;SETDB1;C2CD3;SMG1;GPATCH8;ZKSCAN5;SEC16A;YLPM1;POLD3;ZC3H14;MGA;ZNF248;MSL2;PDS5B</t>
  </si>
  <si>
    <t>GSE7852_LN_VS_FAT_TCONV_UP</t>
  </si>
  <si>
    <t>5980;5495;353274;253143;57532;55728;10274;23049;55914;79572;200576;139285;10762;23200;1788</t>
  </si>
  <si>
    <t>REV3L;PPM1B;ZNF445;PRR14L;NUFIP2;N4BP2;STAG1;SMG1;ERBIN;ATP13A3;PIKFYVE;AMER1;NUP50;ATP11B;DNMT3A</t>
  </si>
  <si>
    <t>http://www.broadinstitute.org/gsea/msigdb/cards/GSE7852_LN_VS_FAT_TCONV_UP.html</t>
  </si>
  <si>
    <t>26057;9611;5495;4297;9360;84726;23185;55914;26523;1106;11168;8087;9513;1859;54812</t>
  </si>
  <si>
    <t>ANKRD17;NCOR1;PPM1B;KMT2A;PPIG;PRRC2B;LARP4B;ERBIN;AGO1;CHD2;PSIP1;FXR1;FXR2;DYRK1A;AFTPH</t>
  </si>
  <si>
    <t>GSE557_WT_VS_I_AB_KO_DC_DN</t>
  </si>
  <si>
    <t>9733;55183;158405;23369;80218;9126;6874;11168;3930;144348;26065;84248;79657;4848;9329</t>
  </si>
  <si>
    <t>SART3;RIF1;KIAA1958;PUM2;NAA50;SMC3;TAF4;PSIP1;LBR;ZNF664;LSM14A;FYTTD1;RPAP3;AC092881.1;GTF3C4</t>
  </si>
  <si>
    <t>http://www.broadinstitute.org/gsea/msigdb/cards/GSE557_WT_VS_I_AB_KO_DC_DN.html</t>
  </si>
  <si>
    <t>9611;7428;9135;84162;23064;57148;79677;10128;55014;80205;388228;22850;284058;157680;25909</t>
  </si>
  <si>
    <t>NCOR1;VHL;RABEP1;KIAA1109;SETX;RALGAPB;SMC6;LRPPRC;STX17;CHD9;SBK1;ADNP2;KANSL1;VPS13B;AHCTF1</t>
  </si>
  <si>
    <t>2186;257218;23160;285346;55728;10274;23505;57498;9841;1859;51742;84131;8505;80012;84669</t>
  </si>
  <si>
    <t>BPTF;SHPRH;WDR43;ZNF852;N4BP2;STAG1;TMEM131;KIDINS220;ZBTB24;DYRK1A;ARID4B;CEP78;PARG;PHC3;USP32</t>
  </si>
  <si>
    <t>1656;8661;9584;79832;54906;55249;51755;23358;6249;51182;27161;10762;25831;23143;1788</t>
  </si>
  <si>
    <t>DDX6;EIF3A;RBM39;QSER1;TASOR2;YY1AP1;CDK12;USP24;CLIP1;HSPA14;AGO2;NUP50;HECTD1;LRCH1;DNMT3A</t>
  </si>
  <si>
    <t>27340;7182;84614;89910;10075;54454;57472;23358;51585;6249;55291;204851;55127;23047</t>
  </si>
  <si>
    <t>UTP20;NR2C2;ZBTB37;UBE3B;HUWE1;ATAD2B;CNOT6;USP24;PCF11;CLIP1;PPP6R3;HIPK1;HEATR1;PDS5B</t>
  </si>
  <si>
    <t>http://www.broadinstitute.org/gsea/msigdb/cards/GSE1925_CTRL_VS_IFNG_PRIMED_MACROPHAGE_3H_IFNG_STIM_UP.html</t>
  </si>
  <si>
    <t>23451;6711;8925;11052;253260;23389;53944;1106;905;6596;10207;26019;55727;55636;10765</t>
  </si>
  <si>
    <t>SF3B1;SPTBN1;HERC1;CPSF6;RICTOR;MED13L;CSNK1G1;CHD2;CCNT2;HLTF;PATJ;UPF2;BTBD7;CHD7;KDM5B</t>
  </si>
  <si>
    <t>55206;6651;353274;23054;26130;8019;8925;158427;56946;26523;6801;54455;23269;26065;55342</t>
  </si>
  <si>
    <t>SBNO1;SON;ZNF445;NCOA6;GAPVD1;BRD3;HERC1;TSTD2;EMSY;AGO1;STRN;FBXO42;MGA;LSM14A;STRBP</t>
  </si>
  <si>
    <t>7182;4520;9869;55183;56946;57695;80351;53944;10137;23358;7701;23527;4899;55432;25948</t>
  </si>
  <si>
    <t>NR2C2;MTF1;SETDB1;RIF1;EMSY;USP37;TNKS2;CSNK1G1;RBM12;USP24;ZNF142;ACAP2;NRF1;YOD1;KBTBD2</t>
  </si>
  <si>
    <t>23328;1656;387680;84181;7248;3842;57679;30849;79691;23095;7528;4140;122830;388228;22828</t>
  </si>
  <si>
    <t>SASH1;DDX6;WASHC2A;CHD6;TSC1;TNPO1;ALS2;PIK3R4;QTRT2;KIF1B;YY1;MARK3;NAA30;SBK1;SCAF8</t>
  </si>
  <si>
    <t>3192;9321;23389;57551;80312;6311;57448;23131;10277;5469;131544;145508;55743;56995;23047</t>
  </si>
  <si>
    <t>HNRNPU;TRIP11;MED13L;TAOK1;TET1;ATXN2;BIRC6;GPATCH8;UBE4B;MED1;CRYBG3;CEP128;CHFR;TULP4;PDS5B</t>
  </si>
  <si>
    <t>GSE10240_IL22_VS_IL17_STIM_PRIMARY_BRONCHIAL_EPITHELIAL_CELLS_UP</t>
  </si>
  <si>
    <t>8085;11128;27107;23512;259282;23032;9712;54542;10897;9113;867;54520;84301;84196;55102</t>
  </si>
  <si>
    <t>KMT2D;POLR3A;ZBTB11;SUZ12;BOD1L1;USP33;USP6NL;RC3H2;YIF1A;LATS1;CBL;CCDC93;DDI2;USP48;ATG2B</t>
  </si>
  <si>
    <t>http://www.broadinstitute.org/gsea/msigdb/cards/GSE10240_IL22_VS_IL17_STIM_PRIMARY_BRONCHIAL_EPITHELIAL_CELLS_UP.html</t>
  </si>
  <si>
    <t>9877;10771;23389;23140;8867;2957;23527;79598;57531;56987;80314;54014;10765;23335</t>
  </si>
  <si>
    <t>ZC3H11A;ZMYND11;MED13L;ZZEF1;SYNJ1;GTF2A1;ACAP2;CEP97;HACE1;BBX;EPC1;BRWD1;KDM5B;WDR7</t>
  </si>
  <si>
    <t>GSE12963_ENV_NEF_VS_ENV_NEF_AND_VPR_DEFICIENT_HIV1_INF_CD4_TCELL_UP</t>
  </si>
  <si>
    <t>8888;9931;8315;9712;30849;51230;51479;571;9841;54520;79813;11176</t>
  </si>
  <si>
    <t>MCM3AP;HELZ;BRAP;USP6NL;PIK3R4;PHF20;ANKFY1;BACH1;ZBTB24;CCDC93;EHMT1;BAZ2A</t>
  </si>
  <si>
    <t>http://www.broadinstitute.org/gsea/msigdb/cards/GSE12963_ENV_NEF_VS_ENV_NEF_AND_VPR_DEFICIENT_HIV1_INF_CD4_TCELL_UP.html</t>
  </si>
  <si>
    <t>9611;5591;6659;157769;253260;56946;23293;57459;23505;6670;6596;122830;27327;55636;6942</t>
  </si>
  <si>
    <t>NCOR1;PRKDC;SOX4;FAM91A1;RICTOR;EMSY;SMG6;GATAD2B;TMEM131;SP3;HLTF;NAA30;TNRC6A;CHD7;TCF20</t>
  </si>
  <si>
    <t>9475;51230;79691;54764;23131;57498;11168;7528;84301;9879;204851;26009;2074;80314;4848</t>
  </si>
  <si>
    <t>ROCK2;PHF20;QTRT2;ZRANB1;GPATCH8;KIDINS220;PSIP1;YY1;DDI2;DDX46;HIPK1;AC118549.1;ERCC6;EPC1;AC092881.1</t>
  </si>
  <si>
    <t>GSE20198_UNTREATED_VS_IL12_TREATED_ACT_CD4_TCELL_UP</t>
  </si>
  <si>
    <t>8672;9475;1660;22848;85476;84146;79691;7109;8453;9662;8505;23269;51696;9969;8202</t>
  </si>
  <si>
    <t>EIF4G3;ROCK2;DHX9;AAK1;GFM1;ZNF644;QTRT2;TRAPPC10;CUL2;CEP135;PARG;MGA;HECA;MED13;NCOA3</t>
  </si>
  <si>
    <t>http://www.broadinstitute.org/gsea/msigdb/cards/GSE20198_UNTREATED_VS_IL12_TREATED_ACT_CD4_TCELL_UP.html</t>
  </si>
  <si>
    <t>9826;27107;9584;22848;25836;57551;79677;22992;51105;23036;10093;55187;142891;26054;23112</t>
  </si>
  <si>
    <t>ARHGEF11;ZBTB11;RBM39;AAK1;NIPBL;TAOK1;SMC6;KDM2A;PHF20L1;ZNF292;ARPC4;VPS13D;SAMD8;SENP6;TNRC6B</t>
  </si>
  <si>
    <t>51366;257218;55252;23064;23369;84181;57679;8295;10299;23468;10714;4899;157680;84669;9439</t>
  </si>
  <si>
    <t>UBR5;SHPRH;ASXL2;SETX;PUM2;CHD6;ALS2;TRRAP;MARCH6;CBX5;POLD3;NRF1;VPS13B;USP32;MED23</t>
  </si>
  <si>
    <t>GSE22103_LPS_VS_GMCSF_AND_IFNG_STIM_NEUTROPHIL_DN</t>
  </si>
  <si>
    <t>3840;9475;253143;196528;81609;55628;80351;79572;54542;7776;1859;8621;9816;54832;54765</t>
  </si>
  <si>
    <t>KPNA4;ROCK2;PRR14L;ARID2;SNX27;ZNF407;TNKS2;ATP13A3;RC3H2;ZNF236;DYRK1A;CDK13;URB2;VPS13C;TRIM44</t>
  </si>
  <si>
    <t>http://www.broadinstitute.org/gsea/msigdb/cards/GSE22103_LPS_VS_GMCSF_AND_IFNG_STIM_NEUTROPHIL_DN.html</t>
  </si>
  <si>
    <t>6093;221037;9857;205717;90957;23389;55728;51773;57690;23067;51105;1106;285527;2033;80012</t>
  </si>
  <si>
    <t>ROCK1;JMJD1C;CEP350;USF3;DHX57;MED13L;N4BP2;RSF1;TNRC6C;SETD1B;PHF20L1;CHD2;FRYL;EP300;PHC3</t>
  </si>
  <si>
    <t>8672;23077;5591;23160;90957;23253;9736;23126;10075;23505;4763;84893;9392;84248;4848</t>
  </si>
  <si>
    <t>EIF4G3;MYCBP2;PRKDC;WDR43;DHX57;ANKRD12;USP34;POGZ;HUWE1;TMEM131;NF1;FBH1;TGFBRAP1;FYTTD1;AC092881.1</t>
  </si>
  <si>
    <t>23014;9321;221037;8925;84726;23063;80204;23215;905;3096;22930;54812;25909;51696;4216</t>
  </si>
  <si>
    <t>FBXO21;TRIP11;JMJD1C;HERC1;PRRC2B;WAPL;FBXO11;PRRC2C;CCNT2;HIVEP1;RAB3GAP1;AFTPH;AHCTF1;HECA;MAP3K4</t>
  </si>
  <si>
    <t>GSE17301_IFNA2_VS_IFNA2_AND_ACD3_ACD28_STIM_CD8_TCELL_UP</t>
  </si>
  <si>
    <t>26130;9711;79691;5286;8867;3096;6249;987;8453;4863;22930;23033;253959;440193;6942</t>
  </si>
  <si>
    <t>GAPVD1;RUBCN;QTRT2;PIK3C2A;SYNJ1;HIVEP1;CLIP1;LRBA;CUL2;NPAT;RAB3GAP1;DOP1A;RALGAPA1;CCDC88C;TCF20</t>
  </si>
  <si>
    <t>http://www.broadinstitute.org/gsea/msigdb/cards/GSE17301_IFNA2_VS_IFNA2_AND_ACD3_ACD28_STIM_CD8_TCELL_UP.html</t>
  </si>
  <si>
    <t>GSE27670_BLIMP1_VS_LMP1_TRANSDUCED_GC_BCELL_DN</t>
  </si>
  <si>
    <t>23317;23054;23369;64324;64397;57609;51479;9126;23633;2551;8453;54520;79882;10426;10198</t>
  </si>
  <si>
    <t>DNAJC13;NCOA6;PUM2;NSD1;ZNF106;DIP2B;ANKFY1;SMC3;KPNA6;GABPA;CUL2;CCDC93;ZC3H14;TUBGCP3;MPHOSPH9</t>
  </si>
  <si>
    <t>http://www.broadinstitute.org/gsea/msigdb/cards/GSE27670_BLIMP1_VS_LMP1_TRANSDUCED_GC_BCELL_DN.html</t>
  </si>
  <si>
    <t>51366;546;2186;8019;9202;26058;23522;10142;23215;571;8518;2876;7159;10426;10762</t>
  </si>
  <si>
    <t>UBR5;ATRX;BPTF;BRD3;ZMYM4;GIGYF2;KAT6B;AKAP9;PRRC2C;BACH1;ELP1;GPX1;TP53BP2;TUBGCP3;NUP50</t>
  </si>
  <si>
    <t>23077;546;2969;6711;8899;255967;253143;23064;254225;80351;10299;2932;6596;55159;23112</t>
  </si>
  <si>
    <t>MYCBP2;ATRX;GTF2I;SPTBN1;PRPF4B;PAN3;PRR14L;SETX;RNF169;TNKS2;MARCH6;GSK3B;HLTF;RFWD3;TNRC6B</t>
  </si>
  <si>
    <t>7182;6433;80018;375748;10075;80204;22853;9712;57609;23067;285527;55291;84893;79048;9923</t>
  </si>
  <si>
    <t>NR2C2;SFSWAP;NAA25;ERCC6L2;HUWE1;FBXO11;LMTK2;USP6NL;DIP2B;SETD1B;FRYL;PPP6R3;FBH1;SECISBP2;ZBTB40</t>
  </si>
  <si>
    <t>9631;9360;10771;55183;7840;10730;80351;29994;10299;2932;7159;2074;84248;79657;440193</t>
  </si>
  <si>
    <t>NUP155;PPIG;ZMYND11;RIF1;ALMS1;YME1L1;TNKS2;BAZ2B;MARCH6;GSK3B;TP53BP2;ERCC6;FYTTD1;RPAP3;CCDC88C</t>
  </si>
  <si>
    <t>5980;23328;5981;5781;196528;254048;10730;9774;8867;9147;905;5116;23392;9879;204851</t>
  </si>
  <si>
    <t>REV3L;SASH1;RFC1;PTPN11;ARID2;UBN2;YME1L1;BCLAF1;SYNJ1;NEMF;CCNT2;PCNT;ECPAS;DDX46;HIPK1</t>
  </si>
  <si>
    <t>6711;6654;23054;221037;374354;9711;30849;51230;200576;23140;4140;56252;8087;8621;11190</t>
  </si>
  <si>
    <t>SPTBN1;SOS1;NCOA6;JMJD1C;NHLRC2;RUBCN;PIK3R4;PHF20;PIKFYVE;ZZEF1;MARK3;YLPM1;FXR1;CDK13;CEP250</t>
  </si>
  <si>
    <t>GSE37532_TREG_VS_TCONV_PPARG_KO_CD4_TCELL_FROM_LN_UP</t>
  </si>
  <si>
    <t>23389;171023;9169;51479;9113;8453;3930;23392;25962;55320;9879;55632;55743;54014;53981</t>
  </si>
  <si>
    <t>MED13L;ASXL1;SCAF11;ANKFY1;LATS1;CUL2;LBR;ECPAS;VIRMA;MIS18BP1;DDX46;G2E3;CHFR;BRWD1;CPSF2</t>
  </si>
  <si>
    <t>http://www.broadinstitute.org/gsea/msigdb/cards/GSE37532_TREG_VS_TCONV_PPARG_KO_CD4_TCELL_FROM_LN_UP.html</t>
  </si>
  <si>
    <t>9139;26057;23014;6711;6659;9584;8925;9857;10075;79811;57609;23405;2005;157922;23269</t>
  </si>
  <si>
    <t>CBFA2T2;ANKRD17;FBXO21;SPTBN1;SOX4;RBM39;HERC1;CEP350;HUWE1;SLTM;DIP2B;DICER1;ELK4;CAMSAP1;MGA</t>
  </si>
  <si>
    <t>5980;23077;9931;221037;8925;9857;23505;23049;8295;84301;283578;389072;57703;55636;23112</t>
  </si>
  <si>
    <t>REV3L;MYCBP2;HELZ;JMJD1C;HERC1;CEP350;TMEM131;SMG1;TRRAP;DDI2;TMED8;PLEKHM3;CWC22;CHD7;TNRC6B</t>
  </si>
  <si>
    <t>23347;8085;200424;6659;2802;84162;9736;100289635;80312;23185;79677;142891;5814;27161;1788</t>
  </si>
  <si>
    <t>SMCHD1;KMT2D;TET3;SOX4;GOLGA3;KIAA1109;USP34;ZNF605;TET1;LARP4B;SMC6;SAMD8;PURB;AGO2;DNMT3A</t>
  </si>
  <si>
    <t>GSE41867_NAIVE_VS_DAY15_LCMV_CONE13_EFFECTOR_CD8_TCELL_DN</t>
  </si>
  <si>
    <t>55814;23160;374354;85440;7750;57472;23019;8518;10153;23198;23033;157922;57534;155435;53981</t>
  </si>
  <si>
    <t>BDP1;WDR43;NHLRC2;DOCK7;ZMYM2;CNOT6;CNOT1;ELP1;CEBPZ;PSME4;DOP1A;CAMSAP1;MIB1;RBM33;CPSF2</t>
  </si>
  <si>
    <t>http://www.broadinstitute.org/gsea/msigdb/cards/GSE41867_NAIVE_VS_DAY15_LCMV_CONE13_EFFECTOR_CD8_TCELL_DN.html</t>
  </si>
  <si>
    <t>26043;4297;22848;23332;5930;10915;4301;80205;131544;23299;9887;7994;55705;55689;643314</t>
  </si>
  <si>
    <t>UBXN7;KMT2A;AAK1;CLASP1;RBBP6;TCERG1;AFDN;CHD9;CRYBG3;BICD2;SMG7;KAT6A;IPO9;YEATS2;MACF1</t>
  </si>
  <si>
    <t>GSE5589_WT_VS_IL6_KO_LPS_AND_IL10_STIM_MACROPHAGE_180MIN_DN</t>
  </si>
  <si>
    <t>9681;1656;5927;8661;79832;55728;55341;26190;9693;51585;160760;51132</t>
  </si>
  <si>
    <t>DEPDC5;DDX6;KDM5A;EIF3A;QSER1;N4BP2;LSG1;FBXW2;RAPGEF2;PCF11;PPTC7;RLIM</t>
  </si>
  <si>
    <t>http://www.broadinstitute.org/gsea/msigdb/cards/GSE5589_WT_VS_IL6_KO_LPS_AND_IL10_STIM_MACROPHAGE_180MIN_DN.html</t>
  </si>
  <si>
    <t>GSE45365_WT_VS_IFNAR_KO_BCELL_MCMV_INFECTION_UP</t>
  </si>
  <si>
    <t>26046;7175;405;1660;9736;7840;55023;57680;9774;54497;23350;8621;23181;2804</t>
  </si>
  <si>
    <t>LTN1;TPR;ARNT;DHX9;USP34;ALMS1;PHIP;CHD8;BCLAF1;HEATR5B;U2SURP;CDK13;DIP2A;GOLGB1</t>
  </si>
  <si>
    <t>http://www.broadinstitute.org/gsea/msigdb/cards/GSE45365_WT_VS_IFNAR_KO_BCELL_MCMV_INFECTION_UP.html</t>
  </si>
  <si>
    <t>8672;673;7428;9869;9135;54497;2005;11214;54520;9662;91748;54832;56987;55636</t>
  </si>
  <si>
    <t>EIF4G3;BRAF;VHL;SETDB1;RABEP1;HEATR5B;ELK4;AKAP13;CCDC93;CEP135;ELMSAN1;VPS13C;BBX;CHD7</t>
  </si>
  <si>
    <t>23077;4520;23389;57551;23001;3842;81609;7559;11214;55187;55320;54832;84669;56987</t>
  </si>
  <si>
    <t>MYCBP2;MTF1;MED13L;TAOK1;WDFY3;TNPO1;SNX27;ZNF12;AKAP13;VPS13D;MIS18BP1;VPS13C;USP32;BBX</t>
  </si>
  <si>
    <t>5062;9202;23064;11064;54454;23358;200576;2932;7159;54856;23269;64421;23499;51592</t>
  </si>
  <si>
    <t>PAK2;ZMYM4;SETX;CNTRL;ATAD2B;USP24;PIKFYVE;GSK3B;TP53BP2;GON4L;MGA;DCLRE1C;MACF1;TRIM33</t>
  </si>
  <si>
    <t>GSE1432_CTRL_VS_IFNG_6H_MICROGLIA_UP</t>
  </si>
  <si>
    <t>23014;26005;55252;23001;30849;11276;10277;5116;64854;93;6596;54520;79612;10594</t>
  </si>
  <si>
    <t>FBXO21;C2CD3;ASXL2;WDFY3;PIK3R4;SYNRG;UBE4B;PCNT;USP46;ACVR2B;HLTF;CCDC93;NAA16;PRPF8</t>
  </si>
  <si>
    <t>http://www.broadinstitute.org/gsea/msigdb/cards/GSE1432_CTRL_VS_IFNG_6H_MICROGLIA_UP.html</t>
  </si>
  <si>
    <t>GSE15659_CD45RA_NEG_CD4_TCELL_VS_RESTING_TREG_DN</t>
  </si>
  <si>
    <t>23451;7156;9321;130507;9736;23063;23369;84146;23067;23637;7528;7690;8239;10426</t>
  </si>
  <si>
    <t>SF3B1;TOP3A;TRIP11;UBR3;USP34;WAPL;PUM2;ZNF644;SETD1B;RABGAP1;YY1;ZNF131;USP9X;TUBGCP3</t>
  </si>
  <si>
    <t>http://www.broadinstitute.org/gsea/msigdb/cards/GSE15659_CD45RA_NEG_CD4_TCELL_VS_RESTING_TREG_DN.html</t>
  </si>
  <si>
    <t>7175;100381270;7155;6093;7156;9320;9733;10771;9736;23369;23067;10277;7528;7690</t>
  </si>
  <si>
    <t>TPR;ZBED6;TOP2B;ROCK1;TOP3A;TRIP12;SART3;ZMYND11;USP34;PUM2;SETD1B;UBE4B;YY1;ZNF131</t>
  </si>
  <si>
    <t>7586;9736;8315;11064;7248;54542;54454;11276;23036;254065;57703;55167;22828;8202</t>
  </si>
  <si>
    <t>ZKSCAN1;USP34;BRAP;CNTRL;TSC1;RC3H2;ATAD2B;SYNRG;ZNF292;BRWD3;CWC22;MSL2;SCAF8;NCOA3</t>
  </si>
  <si>
    <t>9972;6711;2802;196528;85440;80351;2117;25948;55102;55127;55636;10762;23200;9967</t>
  </si>
  <si>
    <t>NUP153;SPTBN1;GOLGA3;ARID2;DOCK7;TNKS2;ETV3;KBTBD2;ATG2B;HEATR1;CHD7;NUP50;ATP11B;THRAP3</t>
  </si>
  <si>
    <t>6433;23244;57551;56946;79677;10142;55870;23195;51755;23095;23299;55102;54765;54014</t>
  </si>
  <si>
    <t>SFSWAP;PDS5A;TAOK1;EMSY;SMC6;AKAP9;ASH1L;MDN1;CDK12;KIF1B;BICD2;ATG2B;TRIM44;BRWD1</t>
  </si>
  <si>
    <t>GSE17721_CPG_VS_GARDIQUIMOD_0.5H_BMDC_DN</t>
  </si>
  <si>
    <t>9611;23451;8315;171023;23505;11276;571;8812;285527;987;8453;54887;2140;79657</t>
  </si>
  <si>
    <t>NCOR1;SF3B1;BRAP;ASXL1;TMEM131;SYNRG;BACH1;CCNK;FRYL;LRBA;CUL2;UHRF1BP1;EYA3;RPAP3</t>
  </si>
  <si>
    <t>http://www.broadinstitute.org/gsea/msigdb/cards/GSE17721_CPG_VS_GARDIQUIMOD_0.5H_BMDC_DN.html</t>
  </si>
  <si>
    <t>GSE17721_CPG_VS_GARDIQUIMOD_8H_BMDC_DN</t>
  </si>
  <si>
    <t>10526;9139;27340;51366;4297;9733;23358;23405;9126;284058;25948;10426;55127;11108</t>
  </si>
  <si>
    <t>IPO8;CBFA2T2;UTP20;UBR5;KMT2A;SART3;USP24;DICER1;SMC3;KANSL1;KBTBD2;TUBGCP3;HEATR1;PRDM4</t>
  </si>
  <si>
    <t>http://www.broadinstitute.org/gsea/msigdb/cards/GSE17721_CPG_VS_GARDIQUIMOD_8H_BMDC_DN.html</t>
  </si>
  <si>
    <t>GSE17721_CPG_VS_GARDIQUIMOD_24H_BMDC_UP</t>
  </si>
  <si>
    <t>9611;9321;387680;100289635;80204;23405;6874;7690;122830;54856;92140;23269;11190;53981</t>
  </si>
  <si>
    <t>NCOR1;TRIP11;WASHC2A;ZNF605;FBXO11;DICER1;TAF4;ZNF131;NAA30;GON4L;MTDH;MGA;CEP250;CPSF2</t>
  </si>
  <si>
    <t>http://www.broadinstitute.org/gsea/msigdb/cards/GSE17721_CPG_VS_GARDIQUIMOD_24H_BMDC_UP.html</t>
  </si>
  <si>
    <t>4299;7156;9320;23054;23160;22848;9202;55023;285527;472;254065;283337;11190;55175</t>
  </si>
  <si>
    <t>AFF1;TOP3A;TRIP12;NCOA6;WDR43;AAK1;ZMYM4;PHIP;FRYL;ATM;BRWD3;ZNF740;CEP250;KLHL11</t>
  </si>
  <si>
    <t>6654;9793;64397;54454;22852;905;9527;9513;51742;25948;56995;4848;53981;11176</t>
  </si>
  <si>
    <t>SOS1;CKAP5;ZNF106;ATAD2B;ANKRD26;CCNT2;GOSR1;FXR2;ARID4B;KBTBD2;TULP4;AC092881.1;CPSF2;BAZ2A</t>
  </si>
  <si>
    <t>22853;7248;79691;54876;11244;571;7556;7174;23198;79707;22850;25948;9188;9904</t>
  </si>
  <si>
    <t>LMTK2;TSC1;QTRT2;DCAF16;ZHX1;BACH1;ZNF10;TPP2;PSME4;NOL9;ADNP2;KBTBD2;DDX21;RBM19</t>
  </si>
  <si>
    <t>157769;58508;79691;11244;51105;571;3096;51742;22850;25948;140775;84248;79048;9188</t>
  </si>
  <si>
    <t>FAM91A1;KMT2C;QTRT2;ZHX1;PHF20L1;BACH1;HIVEP1;ARID4B;ADNP2;KBTBD2;SMCR8;FYTTD1;SECISBP2;DDX21</t>
  </si>
  <si>
    <t>GSE18791_CTRL_VS_NEWCASTLE_VIRUS_DC_10H_UP</t>
  </si>
  <si>
    <t>23014;30849;10940;8518;56252;64854;2551;9816;27042;55632;79598;55094;79723;9329</t>
  </si>
  <si>
    <t>FBXO21;PIK3R4;POP1;ELP1;YLPM1;USP46;GABPA;URB2;UTP25;G2E3;CEP97;GPATCH1;SUV39H2;GTF3C4</t>
  </si>
  <si>
    <t>http://www.broadinstitute.org/gsea/msigdb/cards/GSE18791_CTRL_VS_NEWCASTLE_VIRUS_DC_10H_UP.html</t>
  </si>
  <si>
    <t>GSE20151_CTRL_VS_FUSOBACT_NUCLEATUM_NEUTROPHIL_DN</t>
  </si>
  <si>
    <t>9826;2186;221037;10274;29994;8867;23198;5586;22850;55596;9879;22849;26054;27161</t>
  </si>
  <si>
    <t>ARHGEF11;BPTF;JMJD1C;STAG1;BAZ2B;SYNJ1;PSME4;PKN2;ADNP2;ZCCHC8;DDX46;CPEB3;SENP6;AGO2</t>
  </si>
  <si>
    <t>http://www.broadinstitute.org/gsea/msigdb/cards/GSE20151_CTRL_VS_FUSOBACT_NUCLEATUM_NEUTROPHIL_DN.html</t>
  </si>
  <si>
    <t>GSE22886_NAIVE_VS_MEMORY_TCELL_UP</t>
  </si>
  <si>
    <t>55206;7840;10142;64682;51105;23036;472;389677;64421;10198;11190;83448;55802;7707</t>
  </si>
  <si>
    <t>SBNO1;ALMS1;AKAP9;ANAPC1;PHF20L1;ZNF292;ATM;RBM12B;DCLRE1C;MPHOSPH9;CEP250;PUS7L;DCP1A;ZNF148</t>
  </si>
  <si>
    <t>http://www.broadinstitute.org/gsea/msigdb/cards/GSE22886_NAIVE_VS_MEMORY_TCELL_UP.html</t>
  </si>
  <si>
    <t>23014;8899;26190;23358;10897;5116;10128;22850;9879;54765;10198;80155;23499;4216</t>
  </si>
  <si>
    <t>FBXO21;PRPF4B;FBXW2;USP24;YIF1A;PCNT;LRPPRC;ADNP2;DDX46;TRIM44;MPHOSPH9;NAA15;MACF1;MAP3K4</t>
  </si>
  <si>
    <t>23060;23451;9736;23064;23032;7248;55914;23067;23527;54832;54765;9923;6942;7707</t>
  </si>
  <si>
    <t>ZNF609;SF3B1;USP34;SETX;USP33;TSC1;ERBIN;SETD1B;ACAP2;VPS13C;TRIM44;ZBTB40;TCF20;ZNF148</t>
  </si>
  <si>
    <t>11064;254225;29072;85459;23036;9678;10714;84301;84196;8505;57209;84260;55689;7707</t>
  </si>
  <si>
    <t>CNTRL;RNF169;SETD2;CEP295;ZNF292;PHF14;POLD3;DDI2;USP48;PARG;ZNF248;TCHP;YEATS2;ZNF148</t>
  </si>
  <si>
    <t>GSE27786_LIN_NEG_VS_MONO_MAC_UP</t>
  </si>
  <si>
    <t>27340;3192;57492;9774;8295;987;8087;80205;9879;10985;55342;9969;9329;9439</t>
  </si>
  <si>
    <t>UTP20;HNRNPU;ARID1B;BCLAF1;TRRAP;LRBA;FXR1;CHD9;DDX46;GCN1;STRBP;MED13;GTF3C4;MED23</t>
  </si>
  <si>
    <t>http://www.broadinstitute.org/gsea/msigdb/cards/GSE27786_LIN_NEG_VS_MONO_MAC_UP.html</t>
  </si>
  <si>
    <t>9611;23451;6651;3799;23244;56957;91746;10142;5286;9678;23527;84301;6601;440193</t>
  </si>
  <si>
    <t>NCOR1;SF3B1;SON;KIF5B;PDS5A;OTUD7B;YTHDC1;AKAP9;PIK3C2A;PHF14;ACAP2;DDI2;SMARCC2;CCDC88C</t>
  </si>
  <si>
    <t>4976;8899;9320;23248;25836;80204;55051;9774;23140;8621;253959;84295;4848;10765</t>
  </si>
  <si>
    <t>OPA1;PRPF4B;TRIP12;RPRD2;NIPBL;FBXO11;NRDE2;BCLAF1;ZZEF1;CDK13;RALGAPA1;PHF6;AC092881.1;KDM5B</t>
  </si>
  <si>
    <t>GSE29618_PRE_VS_DAY7_FLU_VACCINE_MONOCYTE_DN</t>
  </si>
  <si>
    <t>8672;7637;84986;7705;23352;171023;85476;11276;23019;317;7514;10985;55094;51455</t>
  </si>
  <si>
    <t>EIF4G3;ZNF84;ARHGAP19;ZNF146;UBR4;ASXL1;GFM1;SYNRG;CNOT1;APAF1;XPO1;GCN1;GPATCH1;REV1</t>
  </si>
  <si>
    <t>http://www.broadinstitute.org/gsea/msigdb/cards/GSE29618_PRE_VS_DAY7_FLU_VACCINE_MONOCYTE_DN.html</t>
  </si>
  <si>
    <t>26057;5062;26005;84726;23389;10274;3842;64324;7528;8087;8453;4863;9698;55159</t>
  </si>
  <si>
    <t>ANKRD17;PAK2;C2CD3;PRRC2B;MED13L;STAG1;TNPO1;NSD1;YY1;FXR1;CUL2;NPAT;PUM1;RFWD3</t>
  </si>
  <si>
    <t>546;5062;23253;23369;53944;51755;23405;317;571;4140;2932;10093;4899;55167</t>
  </si>
  <si>
    <t>ATRX;PAK2;ANKRD12;PUM2;CSNK1G1;CDK12;DICER1;APAF1;BACH1;MARK3;GSK3B;ARPC4;NRF1;MSL2</t>
  </si>
  <si>
    <t>5927;23126;10142;64397;9774;29994;56252;2932;472;10735;26065;23013;55727;11108</t>
  </si>
  <si>
    <t>KDM5A;POGZ;AKAP9;ZNF106;BCLAF1;BAZ2B;YLPM1;GSK3B;ATM;STAG2;LSM14A;SPEN;BTBD7;PRDM4</t>
  </si>
  <si>
    <t>221037;8925;23522;10142;23140;7701;9698;55187;25948;11083;55167;56995;54014;23499</t>
  </si>
  <si>
    <t>JMJD1C;HERC1;KAT6B;AKAP9;ZZEF1;ZNF142;PUM1;VPS13D;KBTBD2;DIDO1;MSL2;TULP4;BRWD1;MACF1</t>
  </si>
  <si>
    <t>27340;3192;5781;26005;374354;10940;8518;10128;55159;92140;11083;83448;55167;9874</t>
  </si>
  <si>
    <t>UTP20;HNRNPU;PTPN11;C2CD3;NHLRC2;POP1;ELP1;LRPPRC;RFWD3;MTDH;DIDO1;PUS7L;MSL2;TLK1</t>
  </si>
  <si>
    <t>7586;5048;9972;26130;130507;79677;7750;23131;4863;51742;388228;23299;25909;4216</t>
  </si>
  <si>
    <t>ZKSCAN1;PAFAH1B1;NUP153;GAPVD1;UBR3;SMC6;ZMYM2;GPATCH8;NPAT;ARID4B;SBK1;BICD2;AHCTF1;MAP3K4</t>
  </si>
  <si>
    <t>546;3192;9360;25836;9736;54542;9774;9126;5422;2551;92140;80314;79657;56995</t>
  </si>
  <si>
    <t>ATRX;HNRNPU;PPIG;NIPBL;USP34;RC3H2;BCLAF1;SMC3;POLA1;GABPA;MTDH;EPC1;RPAP3;TULP4</t>
  </si>
  <si>
    <t>http://www.broadinstitute.org/gsea/msigdb/cards/GSE5463_CTRL_VS_DEXAMETHASONE_TREATED_THYMOCYTE_DN.html</t>
  </si>
  <si>
    <t>23014;5591;9790;10771;253260;91746;54876;9774;10915;10128;9221;54832;64783;51455</t>
  </si>
  <si>
    <t>FBXO21;PRKDC;BMS1;ZMYND11;RICTOR;YTHDC1;DCAF16;BCLAF1;TCERG1;LRPPRC;NOLC1;VPS13C;RBM15;REV1</t>
  </si>
  <si>
    <t>http://www.broadinstitute.org/gsea/msigdb/cards/GSE7400_CTRL_VS_CSF3_IN_VIVO_TREATED_PBMC_UP.html</t>
  </si>
  <si>
    <t>3840;5130;4297;6654;255967;165918;80311;79691;23067;10915;6596;84301;84669;8202</t>
  </si>
  <si>
    <t>KPNA4;PCYT1A;KMT2A;SOS1;PAN3;RNF168;KLHL15;QTRT2;SETD1B;TCERG1;HLTF;DDI2;USP32;NCOA3</t>
  </si>
  <si>
    <t>9681;5451;8019;90957;56946;23067;10277;91748;27327;283337;84260;51696;6942;8202</t>
  </si>
  <si>
    <t>DEPDC5;POU2F1;BRD3;DHX57;EMSY;SETD1B;UBE4B;ELMSAN1;TNRC6A;ZNF740;TCHP;HECA;TCF20;NCOA3</t>
  </si>
  <si>
    <t>23317;23014;23054;57680;11276;23067;867;7528;284058;283337;84248;51696;6942;10762</t>
  </si>
  <si>
    <t>DNAJC13;FBXO21;NCOA6;CHD8;SYNRG;SETD1B;CBL;YY1;KANSL1;ZNF740;FYTTD1;HECA;TCF20;NUP50</t>
  </si>
  <si>
    <t>55814;23347;7175;5981;5062;57551;23369;7750;200576;1106;4763;11108;27161;23143</t>
  </si>
  <si>
    <t>BDP1;SMCHD1;TPR;RFC1;PAK2;TAOK1;PUM2;ZMYM2;PIKFYVE;CHD2;NF1;PRDM4;AGO2;LRCH1</t>
  </si>
  <si>
    <t>6711;8899;205717;89910;30849;9774;57609;29994;2876;6249;2033;139285;10207;11176</t>
  </si>
  <si>
    <t>SPTBN1;PRPF4B;USF3;UBE3B;PIK3R4;BCLAF1;DIP2B;BAZ2B;GPX1;CLIP1;EP300;AMER1;PATJ;BAZ2A</t>
  </si>
  <si>
    <t>GSE2770_IL12_AND_TGFB_ACT_VS_ACT_CD4_TCELL_48H_DN</t>
  </si>
  <si>
    <t>3840;55660;2969;9584;7705;11052;157769;165918;84146;79691;7528;64854;55432;79723</t>
  </si>
  <si>
    <t>KPNA4;PRPF40A;GTF2I;RBM39;ZNF146;CPSF6;FAM91A1;RNF168;ZNF644;QTRT2;YY1;USP46;YOD1;SUV39H2</t>
  </si>
  <si>
    <t>http://www.broadinstitute.org/gsea/msigdb/cards/GSE2770_IL12_AND_TGFB_ACT_VS_ACT_CD4_TCELL_48H_DN.html</t>
  </si>
  <si>
    <t>5048;1778;23253;23132;9870;23095;2957;22930;54856;8239;55705;2140;55727;9969</t>
  </si>
  <si>
    <t>PAFAH1B1;DYNC1H1;ANKRD12;RAD54L2;AREL1;KIF1B;GTF2A1;RAB3GAP1;GON4L;USP9X;IPO9;EYA3;BTBD7;MED13</t>
  </si>
  <si>
    <t>4297;6093;8925;23352;55914;57448;9774;23215;51105;23036;5469;4899;26019;23112</t>
  </si>
  <si>
    <t>KMT2A;ROCK1;HERC1;UBR4;ERBIN;BIRC6;BCLAF1;PRRC2C;PHF20L1;ZNF292;MED1;NRF1;UPF2;TNRC6B</t>
  </si>
  <si>
    <t>11128;9931;90957;55051;23140;7701;54856;54520;9879;84295;55102;84260;57786;440193</t>
  </si>
  <si>
    <t>POLR3A;HELZ;DHX57;NRDE2;ZZEF1;ZNF142;GON4L;CCDC93;DDX46;PHF6;ATG2B;TCHP;RBAK;CCDC88C</t>
  </si>
  <si>
    <t>2475;353274;84986;64324;200576;11168;5422;6249;2033;6596;54520;27042;10207;1788</t>
  </si>
  <si>
    <t>MTOR;ZNF445;ARHGAP19;NSD1;PIKFYVE;PSIP1;POLA1;CLIP1;EP300;HLTF;CCDC93;UTP25;PATJ;DNMT3A</t>
  </si>
  <si>
    <t>4976;2475;23160;79832;23293;23358;5422;8453;27042;57534;84248;9329;27161;1788</t>
  </si>
  <si>
    <t>OPA1;MTOR;WDR43;QSER1;SMG6;USP24;POLA1;CUL2;UTP25;MIB1;FYTTD1;GTF3C4;AGO2;DNMT3A</t>
  </si>
  <si>
    <t>http://www.broadinstitute.org/gsea/msigdb/cards/GSE3039_NKT_CELL_VS_B1_BCELL_DN.html</t>
  </si>
  <si>
    <t>55206;55660;5927;5130;79677;51773;10897;5422;4301;388228;23392;54812;5814;57703</t>
  </si>
  <si>
    <t>SBNO1;PRPF40A;KDM5A;PCYT1A;SMC6;RSF1;YIF1A;POLA1;AFDN;SBK1;ECPAS;AFTPH;PURB;CWC22</t>
  </si>
  <si>
    <t>http://www.broadinstitute.org/gsea/msigdb/cards/GSE5589_UNSTIM_VS_45MIN_LPS_STIM_MACROPHAGE_UP.html</t>
  </si>
  <si>
    <t>3840;9320;8019;165918;28981;2932;987;10714;55159;9887;80155;56995;26973;4216</t>
  </si>
  <si>
    <t>KPNA4;TRIP12;BRD3;RNF168;IFT81;GSK3B;LRBA;POLD3;RFWD3;SMG7;NAA15;TULP4;CHORDC1;MAP3K4</t>
  </si>
  <si>
    <t>GSE9878_CTRL_VS_EBF_TRANSDUCED_PAX5_KO_PRO_BCELL_DN</t>
  </si>
  <si>
    <t>3840;27107;7468;5451;84986;23512;26005;10730;9816;55187;10985;84132;53981;4216</t>
  </si>
  <si>
    <t>KPNA4;ZBTB11;NSD2;POU2F1;ARHGAP19;SUZ12;C2CD3;YME1L1;URB2;VPS13D;GCN1;USP42;CPSF2;MAP3K4</t>
  </si>
  <si>
    <t>http://www.broadinstitute.org/gsea/msigdb/cards/GSE9878_CTRL_VS_EBF_TRANSDUCED_PAX5_KO_PRO_BCELL_DN.html</t>
  </si>
  <si>
    <t>23328;5981;3192;54799;8019;57492;80312;85440;92312;23468;165055;79813;26019;9329</t>
  </si>
  <si>
    <t>SASH1;RFC1;HNRNPU;MBTD1;BRD3;ARID1B;TET1;DOCK7;MEX3A;CBX5;CCDC138;EHMT1;UPF2;GTF3C4</t>
  </si>
  <si>
    <t>6651;7155;79832;54906;55728;80312;29994;56252;6596;27042;79598;10207;56995</t>
  </si>
  <si>
    <t>SON;TOP2B;QSER1;TASOR2;N4BP2;TET1;BAZ2B;YLPM1;HLTF;UTP25;CEP97;PATJ;TULP4</t>
  </si>
  <si>
    <t>5495;2186;9321;23253;85440;51773;10142;29994;11168;80205;51742;80012</t>
  </si>
  <si>
    <t>PPM1B;BPTF;TRIP11;ANKRD12;DOCK7;RSF1;AKAP9;BAZ2B;PSIP1;CHD9;ARID4B;PHC3</t>
  </si>
  <si>
    <t>GSE15330_WT_VS_IKAROS_KO_LYMPHOID_MULTIPOTENT_PROGENITOR_DN</t>
  </si>
  <si>
    <t>9139;23014;8661;8880;6311;10137;10128;2551;122830;5469;284058;5814;79657;22828</t>
  </si>
  <si>
    <t>CBFA2T2;FBXO21;EIF3A;FUBP1;ATXN2;RBM12;LRPPRC;GABPA;NAA30;MED1;KANSL1;PURB;RPAP3;SCAF8</t>
  </si>
  <si>
    <t>http://www.broadinstitute.org/gsea/msigdb/cards/GSE15330_WT_VS_IKAROS_KO_LYMPHOID_MULTIPOTENT_PROGENITOR_DN.html</t>
  </si>
  <si>
    <t>GSE18893_CTRL_VS_TNF_TREATED_TREG_2H_UP</t>
  </si>
  <si>
    <t>51366;6872;22848;6311;26523;2005;84301;25962;84196;144348;80012;56987;84248;5814</t>
  </si>
  <si>
    <t>UBR5;TAF1;AAK1;ATXN2;AGO1;ELK4;DDI2;VIRMA;USP48;ZNF664;PHC3;BBX;FYTTD1;PURB</t>
  </si>
  <si>
    <t>http://www.broadinstitute.org/gsea/msigdb/cards/GSE18893_CTRL_VS_TNF_TREATED_TREG_2H_UP.html</t>
  </si>
  <si>
    <t>6711;6093;84162;22848;10075;11064;51773;10730;8295;867;3930;10735;55743;9969</t>
  </si>
  <si>
    <t>SPTBN1;ROCK1;KIAA1109;AAK1;HUWE1;CNTRL;RSF1;YME1L1;TRRAP;CBL;LBR;STAG2;CHFR;MED13</t>
  </si>
  <si>
    <t>GSE21774_CD62L_POS_CD56_BRIGHT_VS_CD62L_NEG_CD56_DIM_NK_CELL_DN</t>
  </si>
  <si>
    <t>9139;57532;23001;84181;7248;10142;26523;7559;4301;55014;57531;26065;283337;155435</t>
  </si>
  <si>
    <t>CBFA2T2;NUFIP2;WDFY3;CHD6;TSC1;AKAP9;AGO1;ZNF12;AFDN;STX17;HACE1;LSM14A;ZNF740;RBM33</t>
  </si>
  <si>
    <t>http://www.broadinstitute.org/gsea/msigdb/cards/GSE21774_CD62L_POS_CD56_BRIGHT_VS_CD62L_NEG_CD56_DIM_NK_CELL_DN.html</t>
  </si>
  <si>
    <t>GSE21379_TFH_VS_NON_TFH_SAP_KO_CD4_TCELL_UP</t>
  </si>
  <si>
    <t>9044;5130;6654;1660;26130;55183;205717;23001;79572;200576;9870;7109;55432;55342</t>
  </si>
  <si>
    <t>BTAF1;PCYT1A;SOS1;DHX9;GAPVD1;RIF1;USF3;WDFY3;ATP13A3;PIKFYVE;AREL1;TRAPPC10;YOD1;STRBP</t>
  </si>
  <si>
    <t>http://www.broadinstitute.org/gsea/msigdb/cards/GSE21379_TFH_VS_NON_TFH_SAP_KO_CD4_TCELL_UP.html</t>
  </si>
  <si>
    <t>2802;84986;9736;23389;55193;22853;11276;10277;2932;8087;80205;9879;64783;56980</t>
  </si>
  <si>
    <t>GOLGA3;ARHGAP19;USP34;MED13L;PBRM1;LMTK2;SYNRG;UBE4B;GSK3B;FXR1;CHD9;DDX46;RBM15;PRDM10</t>
  </si>
  <si>
    <t>http://www.broadinstitute.org/gsea/msigdb/cards/GSE21927_SPLEEN_C57BL6_VS_4T1_TUMOR_BALBC_MONOCYTES_UP.html</t>
  </si>
  <si>
    <t>GSE19401_UNSTIM_VS_PAM2CSK4_STIM_FOLLICULAR_DC_UP</t>
  </si>
  <si>
    <t>9877;5451;7586;7182;6654;9790;9733;9736;5116;4763;93;55705;9786;23200</t>
  </si>
  <si>
    <t>ZC3H11A;POU2F1;ZKSCAN1;NR2C2;SOS1;BMS1;SART3;USP34;PCNT;NF1;ACVR2B;IPO9;KIAA0586;ATP11B</t>
  </si>
  <si>
    <t>http://www.broadinstitute.org/gsea/msigdb/cards/GSE19401_UNSTIM_VS_PAM2CSK4_STIM_FOLLICULAR_DC_UP.html</t>
  </si>
  <si>
    <t>GSE23695_CD57_POS_VS_NEG_NK_CELL_DN</t>
  </si>
  <si>
    <t>6651;7156;56946;158405;57690;11244;5286;1106;8812;10277;2551;54520;10735;55636</t>
  </si>
  <si>
    <t>SON;TOP3A;EMSY;KIAA1958;TNRC6C;ZHX1;PIK3C2A;CHD2;CCNK;UBE4B;GABPA;CCDC93;STAG2;CHD7</t>
  </si>
  <si>
    <t>http://www.broadinstitute.org/gsea/msigdb/cards/GSE23695_CD57_POS_VS_NEG_NK_CELL_DN.html</t>
  </si>
  <si>
    <t>GSE22919_RESTING_VS_IL2_IL12_IL15_STIM_NK_CELL_UP</t>
  </si>
  <si>
    <t>9044;2475;9972;3192;23512;166378;8880;64397;10153;83448;79723;79646;51455;9904</t>
  </si>
  <si>
    <t>BTAF1;MTOR;NUP153;HNRNPU;SUZ12;SPATA5;FUBP1;ZNF106;CEBPZ;PUS7L;SUV39H2;PANK3;REV1;RBM19</t>
  </si>
  <si>
    <t>http://www.broadinstitute.org/gsea/msigdb/cards/GSE22919_RESTING_VS_IL2_IL12_IL15_STIM_NK_CELL_UP.html</t>
  </si>
  <si>
    <t>55814;10236;5980;4299;57551;6311;571;23633;10153;157922;25909;80314;56995;54014</t>
  </si>
  <si>
    <t>BDP1;HNRNPR;REV3L;AFF1;TAOK1;ATXN2;BACH1;KPNA6;CEBPZ;CAMSAP1;AHCTF1;EPC1;TULP4;BRWD1</t>
  </si>
  <si>
    <t>GSE16385_MONOCYTE_VS_12H_ROSIGLITAZONE_IL4_TREATED_MACROPHAGE_DN</t>
  </si>
  <si>
    <t>5048;3192;169841;7705;51248;2005;10093;8621;55671;79882;204851;56652;9188;55668</t>
  </si>
  <si>
    <t>PAFAH1B1;HNRNPU;ZNF169;ZNF146;PDZD11;ELK4;ARPC4;CDK13;PPP4R3A;ZC3H14;HIPK1;TWNK;DDX21;GPATCH2L</t>
  </si>
  <si>
    <t>http://www.broadinstitute.org/gsea/msigdb/cards/GSE16385_MONOCYTE_VS_12H_ROSIGLITAZONE_IL4_TREATED_MACROPHAGE_DN.html</t>
  </si>
  <si>
    <t>GSE25123_CTRL_VS_ROSIGLITAZONE_STIM_MACROPHAGE_UP</t>
  </si>
  <si>
    <t>5048;56957;26058;30849;64426;57609;22992;4140;2005;7690;25948;2140;11190;55167</t>
  </si>
  <si>
    <t>PAFAH1B1;OTUD7B;GIGYF2;PIK3R4;SUDS3;DIP2B;KDM2A;MARK3;ELK4;ZNF131;KBTBD2;EYA3;CEP250;MSL2</t>
  </si>
  <si>
    <t>http://www.broadinstitute.org/gsea/msigdb/cards/GSE25123_CTRL_VS_ROSIGLITAZONE_STIM_MACROPHAGE_UP.html</t>
  </si>
  <si>
    <t>23077;6651;54799;4520;26130;255967;375748;25836;254048;57472;23036;79612;23269;57703</t>
  </si>
  <si>
    <t>MYCBP2;SON;MBTD1;MTF1;GAPVD1;PAN3;ERCC6L2;NIPBL;UBN2;CNOT6;ZNF292;NAA16;MGA;CWC22</t>
  </si>
  <si>
    <t>http://www.broadinstitute.org/gsea/msigdb/cards/GSE25123_CTRL_VS_IL4_AND_ROSIGLITAZONE_STIM_MACROPHAGE_DN.html</t>
  </si>
  <si>
    <t>6651;405;100381270;8899;22848;254048;165918;91746;54764;23067;905;4899;23033;57703</t>
  </si>
  <si>
    <t>SON;ARNT;ZBED6;PRPF4B;AAK1;UBN2;RNF168;YTHDC1;ZRANB1;SETD1B;CCNT2;NRF1;DOP1A;CWC22</t>
  </si>
  <si>
    <t>8085;23328;546;25836;23253;259282;22852;5116;11214;463;79598;25948;26009;23112</t>
  </si>
  <si>
    <t>KMT2D;SASH1;ATRX;NIPBL;ANKRD12;BOD1L1;ANKRD26;PCNT;AKAP13;ZFHX3;CEP97;KBTBD2;AC118549.1;TNRC6B</t>
  </si>
  <si>
    <t>23347;5981;7182;8899;9584;11052;253260;57492;23036;905;64864;54014;23047;9874</t>
  </si>
  <si>
    <t>SMCHD1;RFC1;NR2C2;PRPF4B;RBM39;CPSF6;RICTOR;ARID1B;ZNF292;CCNT2;RFX7;BRWD1;PDS5B;TLK1</t>
  </si>
  <si>
    <t>GSE22443_NAIVE_VS_ACT_AND_IL12_TREATED_CD8_TCELL_DN</t>
  </si>
  <si>
    <t>55814;11128;3799;5048;23332;57695;57679;80218;23350;23033;145508;23299;79657;192669</t>
  </si>
  <si>
    <t>BDP1;POLR3A;KIF5B;PAFAH1B1;CLASP1;USP37;ALS2;NAA50;U2SURP;DOP1A;CEP128;BICD2;RPAP3;AGO3</t>
  </si>
  <si>
    <t>http://www.broadinstitute.org/gsea/msigdb/cards/GSE22443_NAIVE_VS_ACT_AND_IL12_TREATED_CD8_TCELL_DN.html</t>
  </si>
  <si>
    <t>GSE22025_PROGESTERONE_VS_TGFB1_AND_PROGESTERONE_TREATED_CD4_TCELL_UP</t>
  </si>
  <si>
    <t>546;5903;7637;4299;9736;23389;57634;23036;7528;6596;9698;27042;23499;9904</t>
  </si>
  <si>
    <t>ATRX;RANBP2;ZNF84;AFF1;USP34;MED13L;EP400;ZNF292;YY1;HLTF;PUM1;UTP25;MACF1;RBM19</t>
  </si>
  <si>
    <t>http://www.broadinstitute.org/gsea/msigdb/cards/GSE22025_PROGESTERONE_VS_TGFB1_AND_PROGESTERONE_TREATED_CD4_TCELL_UP.html</t>
  </si>
  <si>
    <t>5495;6659;8661;84726;10075;57148;57680;22852;10897;10128;8087;6596;58487;4216</t>
  </si>
  <si>
    <t>PPM1B;SOX4;EIF3A;PRRC2B;HUWE1;RALGAPB;CHD8;ANKRD26;YIF1A;LRPPRC;FXR1;HLTF;CREBZF;MAP3K4</t>
  </si>
  <si>
    <t>55252;25914;58508;9711;23049;57680;2844;23019;23095;23633;57553;10198;11083;8202</t>
  </si>
  <si>
    <t>ASXL2;RTTN;KMT2C;RUBCN;SMG1;CHD8;RABGAP1;CNOT1;KIF1B;KPNA6;MICAL3;MPHOSPH9;DIDO1;NCOA3</t>
  </si>
  <si>
    <t>GSE40277_GATA1_AND_SATB1_TRANSDUCED_VS_CTRL_CD4_TCELL_DN</t>
  </si>
  <si>
    <t>2969;6659;54619;9202;23126;6311;29994;8295;92312;26009;55705;9786;26054;79813</t>
  </si>
  <si>
    <t>GTF2I;SOX4;CCNJ;ZMYM4;POGZ;ATXN2;BAZ2B;TRRAP;MEX3A;AC118549.1;IPO9;KIAA0586;SENP6;EHMT1</t>
  </si>
  <si>
    <t>http://www.broadinstitute.org/gsea/msigdb/cards/GSE40277_GATA1_AND_SATB1_TRANSDUCED_VS_CTRL_CD4_TCELL_DN.html</t>
  </si>
  <si>
    <t>23347;5290;7156;84986;9869;11064;57148;171023;7750;7556;4140;25962;267004;4848</t>
  </si>
  <si>
    <t>SMCHD1;PIK3CA;TOP3A;ARHGAP19;SETDB1;CNTRL;RALGAPB;ASXL1;ZMYM2;ZNF10;MARK3;VIRMA;ERCC6;AC092881.1</t>
  </si>
  <si>
    <t>http://www.broadinstitute.org/gsea/msigdb/cards/GSE40666_STAT1_KO_VS_STAT4_KO_CD8_TCELL_WITH_IFNA_STIM_90MIN_UP.html</t>
  </si>
  <si>
    <t>5495;4299;54799;6659;9320;80312;23185;79677;7024;139285;142891;9969;27161;8202</t>
  </si>
  <si>
    <t>PPM1B;AFF1;MBTD1;SOX4;TRIP12;TET1;LARP4B;SMC6;TFCP2;AMER1;SAMD8;MED13;AGO2;NCOA3</t>
  </si>
  <si>
    <t>9360;9790;26058;23126;57695;51230;53944;26523;9126;23019;26146;80314;440193;9874</t>
  </si>
  <si>
    <t>PPIG;BMS1;GIGYF2;POGZ;USP37;PHF20;CSNK1G1;AGO1;SMC3;CNOT1;TRAF3IP1;EPC1;CCDC88C;TLK1</t>
  </si>
  <si>
    <t>23077;158405;28981;9169;55870;29994;1106;7690;6789;1859;80205;91748;4848;9904</t>
  </si>
  <si>
    <t>MYCBP2;KIAA1958;IFT81;SCAF11;ASH1L;BAZ2B;CHD2;ZNF131;STK4;DYRK1A;CHD9;ELMSAN1;AC092881.1;RBM19</t>
  </si>
  <si>
    <t>9139;23451;5927;23054;10771;23248;8315;374354;84181;7248;11276;23405;200576;26054</t>
  </si>
  <si>
    <t>CBFA2T2;SF3B1;KDM5A;NCOA6;ZMYND11;RPRD2;BRAP;NHLRC2;CHD6;TSC1;SYNRG;DICER1;PIKFYVE;SENP6</t>
  </si>
  <si>
    <t>9877;23451;673;5927;22848;23064;55728;259282;23423;1106;9870;2932;23181;23198</t>
  </si>
  <si>
    <t>ZC3H11A;SF3B1;BRAF;KDM5A;AAK1;SETX;N4BP2;BOD1L1;TMED3;CHD2;AREL1;GSK3B;DIP2A;PSME4</t>
  </si>
  <si>
    <t>GSE44649_NAIVE_VS_ACTIVATED_CD8_TCELL_MIR155_KO_UP</t>
  </si>
  <si>
    <t>26057;3836;3609;8661;8880;51322;10915;10299;8087;5469;26009;9188;26973;10762</t>
  </si>
  <si>
    <t>ANKRD17;KPNA1;ILF3;EIF3A;FUBP1;WAC;TCERG1;MARCH6;FXR1;MED1;AC118549.1;DDX21;CHORDC1;NUP50</t>
  </si>
  <si>
    <t>http://www.broadinstitute.org/gsea/msigdb/cards/GSE44649_NAIVE_VS_ACTIVATED_CD8_TCELL_MIR155_KO_UP.html</t>
  </si>
  <si>
    <t>5048;1660;9360;80204;10730;54764;23358;6341;91748;9887;64783;10198;51132;23143</t>
  </si>
  <si>
    <t>PAFAH1B1;DHX9;PPIG;FBXO11;YME1L1;ZRANB1;USP24;SCO1;ELMSAN1;SMG7;RBM15;MPHOSPH9;RLIM;LRCH1</t>
  </si>
  <si>
    <t>9826;6711;23352;171023;8880;8867;11168;22930;79707;131544;11083;58487;9874;10762</t>
  </si>
  <si>
    <t>ARHGEF11;SPTBN1;UBR4;ASXL1;FUBP1;SYNJ1;PSIP1;RAB3GAP1;NOL9;CRYBG3;DIDO1;CREBZF;TLK1;NUP50</t>
  </si>
  <si>
    <t>1656;546;56957;10274;55914;51773;9169;4361;55159;79882;84295;51132;9969</t>
  </si>
  <si>
    <t>DDX6;ATRX;OTUD7B;STAG1;ERBIN;RSF1;SCAF11;MRE11;RFWD3;ZC3H14;PHF6;RLIM;MED13</t>
  </si>
  <si>
    <t>3840;405;23248;80204;7248;11244;11276;23067;1859;27042;80314;1788</t>
  </si>
  <si>
    <t>KPNA4;ARNT;RPRD2;FBXO11;TSC1;ZHX1;SYNRG;SETD1B;DYRK1A;UTP25;EPC1;DNMT3A</t>
  </si>
  <si>
    <t>7155;55728;80312;23505;23195;5286;10277;2117;5471;10207;9188;6942;1788</t>
  </si>
  <si>
    <t>TOP2B;N4BP2;TET1;TMEM131;MDN1;PIK3C2A;UBE4B;ETV3;PPAT;PATJ;DDX21;TCF20;DNMT3A</t>
  </si>
  <si>
    <t>GSE37301_HEMATOPOIETIC_STEM_CELL_VS_LYMPHOID_PRIMED_MPP_UP</t>
  </si>
  <si>
    <t>10526;9931;5903;3609;8925;81609;9678;5422;23527;142891;64783;11083;55727</t>
  </si>
  <si>
    <t>IPO8;HELZ;RANBP2;ILF3;HERC1;SNX27;PHF14;POLA1;ACAP2;SAMD8;RBM15;DIDO1;BTBD7</t>
  </si>
  <si>
    <t>http://www.broadinstitute.org/gsea/msigdb/cards/GSE37301_HEMATOPOIETIC_STEM_CELL_VS_LYMPHOID_PRIMED_MPP_UP.html</t>
  </si>
  <si>
    <t>8672;27340;3836;26523;9513;139285;27042;23269;23013;55127;10765;27161</t>
  </si>
  <si>
    <t>EIF4G3;UTP20;KPNA1;AGO1;FXR2;AMER1;UTP25;MGA;SPEN;HEATR1;KDM5B;AGO2</t>
  </si>
  <si>
    <t>GSE7218_UNSTIM_VS_ANTIGEN_STIM_THROUGH_IGM_BCELL_DN</t>
  </si>
  <si>
    <t>10236;8899;54619;55183;91746;79677;26009;26146;79646;9967</t>
  </si>
  <si>
    <t>HNRNPR;PRPF4B;CCNJ;RIF1;YTHDC1;SMC6;AC118549.1;TRAF3IP1;PANK3;THRAP3</t>
  </si>
  <si>
    <t>http://www.broadinstitute.org/gsea/msigdb/cards/GSE7218_UNSTIM_VS_ANTIGEN_STIM_THROUGH_IGM_BCELL_DN.html</t>
  </si>
  <si>
    <t>GSE10147_IL3_VS_IL3_AND_CPG_STIM_PDC_DN</t>
  </si>
  <si>
    <t>10526;51366;7586;3799;55341;54764;11244;9693;9919;9513;92797;8239</t>
  </si>
  <si>
    <t>IPO8;UBR5;ZKSCAN1;KIF5B;LSG1;ZRANB1;ZHX1;RAPGEF2;SEC16A;FXR2;HELB;USP9X</t>
  </si>
  <si>
    <t>http://www.broadinstitute.org/gsea/msigdb/cards/GSE10147_IL3_VS_IL3_AND_CPG_STIM_PDC_DN.html</t>
  </si>
  <si>
    <t>26057;54799;221037;255967;54906;1106;8812;3096;2117;11214;80314;54014</t>
  </si>
  <si>
    <t>ANKRD17;MBTD1;JMJD1C;PAN3;TASOR2;CHD2;CCNK;HIVEP1;ETV3;AKAP13;EPC1;BRWD1</t>
  </si>
  <si>
    <t>23077;9135;79677;51230;317;11168;9678;10128;463;54520;91748;283578;55636</t>
  </si>
  <si>
    <t>MYCBP2;RABEP1;SMC6;PHF20;APAF1;PSIP1;PHF14;LRPPRC;ZFHX3;CCDC93;ELMSAN1;TMED8;CHD7</t>
  </si>
  <si>
    <t>GSE10239_MEMORY_VS_DAY4.5_EFF_CD8_TCELL_DN</t>
  </si>
  <si>
    <t>4976;5062;26130;158427;23126;171023;7776;9693;6801;987;122830;11083;84132</t>
  </si>
  <si>
    <t>OPA1;PAK2;GAPVD1;TSTD2;POGZ;ASXL1;ZNF236;RAPGEF2;STRN;LRBA;NAA30;DIDO1;USP42</t>
  </si>
  <si>
    <t>http://www.broadinstitute.org/gsea/msigdb/cards/GSE10239_MEMORY_VS_DAY4.5_EFF_CD8_TCELL_DN.html</t>
  </si>
  <si>
    <t>8085;8888;7175;673;405;9584;56946;54542;57680;8295;23527;79598;22828</t>
  </si>
  <si>
    <t>KMT2D;MCM3AP;TPR;BRAF;ARNT;RBM39;EMSY;RC3H2;CHD8;TRRAP;ACAP2;CEP97;SCAF8</t>
  </si>
  <si>
    <t>GSE11924_TH2_VS_TH17_CD4_TCELL_DN</t>
  </si>
  <si>
    <t>2969;157769;25836;79677;10137;29994;7776;23405;8453;25962;9879;6601;23112</t>
  </si>
  <si>
    <t>GTF2I;FAM91A1;NIPBL;SMC6;RBM12;BAZ2B;ZNF236;DICER1;CUL2;VIRMA;DDX46;SMARCC2;TNRC6B</t>
  </si>
  <si>
    <t>http://www.broadinstitute.org/gsea/msigdb/cards/GSE11924_TH2_VS_TH17_CD4_TCELL_DN.html</t>
  </si>
  <si>
    <t>23317;9202;84079;55914;51322;9774;29994;23405;6874;8239;79048;26054;10762</t>
  </si>
  <si>
    <t>DNAJC13;ZMYM4;ANKRD27;ERBIN;WAC;BCLAF1;BAZ2B;DICER1;TAF4;USP9X;SECISBP2;SENP6;NUP50</t>
  </si>
  <si>
    <t>6433;9202;23389;89910;10142;9870;84295;26146;65250;4848;26973;9967;8202</t>
  </si>
  <si>
    <t>SFSWAP;ZMYM4;MED13L;UBE3B;AKAP9;AREL1;PHF6;TRAF3IP1;CPLANE1;AC092881.1;CHORDC1;THRAP3;NCOA3</t>
  </si>
  <si>
    <t>5903;54906;55628;54454;317;3096;80205;254065;92140;7994;84132;53981;23143</t>
  </si>
  <si>
    <t>RANBP2;TASOR2;ZNF407;ATAD2B;APAF1;HIVEP1;CHD9;BRWD3;MTDH;KAT6A;USP42;CPSF2;LRCH1</t>
  </si>
  <si>
    <t>23451;7175;6093;7156;9320;130507;9736;23067;23637;7528;7690;389072;10426</t>
  </si>
  <si>
    <t>SF3B1;TPR;ROCK1;TOP3A;TRIP12;UBR3;USP34;SETD1B;RABGAP1;YY1;ZNF131;PLEKHM3;TUBGCP3</t>
  </si>
  <si>
    <t>GSE17721_CTRL_VS_LPS_1H_BMDC_UP</t>
  </si>
  <si>
    <t>6659;9790;4520;22976;79811;54454;57472;23637;122830;55671;79882;10198;58487</t>
  </si>
  <si>
    <t>SOX4;BMS1;MTF1;PAXIP1;SLTM;ATAD2B;CNOT6;RABGAP1;NAA30;PPP4R3A;ZC3H14;MPHOSPH9;CREBZF</t>
  </si>
  <si>
    <t>http://www.broadinstitute.org/gsea/msigdb/cards/GSE17721_CTRL_VS_LPS_1H_BMDC_UP.html</t>
  </si>
  <si>
    <t>9611;23054;55183;80204;28981;55914;59343;54454;5286;2005;25948;25909;55636</t>
  </si>
  <si>
    <t>NCOR1;NCOA6;RIF1;FBXO11;IFT81;ERBIN;SENP2;ATAD2B;PIK3C2A;ELK4;KBTBD2;AHCTF1;CHD7</t>
  </si>
  <si>
    <t>http://www.broadinstitute.org/gsea/msigdb/cards/GSE17721_POLYIC_VS_PAM3CSK4_0.5H_BMDC_DN.html</t>
  </si>
  <si>
    <t>6711;6654;9733;84162;23352;9857;64426;2005;10735;84893;80314;57703;1788</t>
  </si>
  <si>
    <t>SPTBN1;SOS1;SART3;KIAA1109;UBR4;CEP350;SUDS3;ELK4;STAG2;FBH1;EPC1;CWC22;DNMT3A</t>
  </si>
  <si>
    <t>6093;9320;23054;221037;28981;55914;170506;9774;54454;2005;2117;55291;254065</t>
  </si>
  <si>
    <t>ROCK1;TRIP12;NCOA6;JMJD1C;IFT81;ERBIN;DHX36;BCLAF1;ATAD2B;ELK4;ETV3;PPP6R3;BRWD3</t>
  </si>
  <si>
    <t>5781;3609;84614;9857;80204;28981;200576;905;472;92140;58487;53981;8202</t>
  </si>
  <si>
    <t>PTPN11;ILF3;ZBTB37;CEP350;FBXO11;IFT81;PIKFYVE;CCNT2;ATM;MTDH;CREBZF;CPSF2;NCOA3</t>
  </si>
  <si>
    <t>23014;5290;25836;79691;571;23140;7690;54856;23033;79707;84248;26054;9188</t>
  </si>
  <si>
    <t>FBXO21;PIK3CA;NIPBL;QTRT2;BACH1;ZZEF1;ZNF131;GON4L;DOP1A;NOL9;FYTTD1;SENP6;DDX21</t>
  </si>
  <si>
    <t>5290;25836;23389;57148;51755;23067;9527;3096;10153;9816;79707;140775;84248</t>
  </si>
  <si>
    <t>PIK3CA;NIPBL;MED13L;RALGAPB;CDK12;SETD1B;GOSR1;HIVEP1;CEBPZ;URB2;NOL9;SMCR8;FYTTD1</t>
  </si>
  <si>
    <t>10526;9475;23014;51248;374354;57498;9678;56252;9816;55632;55094;84260;25831</t>
  </si>
  <si>
    <t>IPO8;ROCK2;FBXO21;PDZD11;NHLRC2;KIDINS220;PHF14;YLPM1;URB2;G2E3;GPATCH1;TCHP;HECTD1</t>
  </si>
  <si>
    <t>GSE19825_NAIVE_VS_IL2RALOW_DAY3_EFF_CD8_TCELL_DN</t>
  </si>
  <si>
    <t>9044;26057;2475;5591;54619;55183;57148;55023;8867;9816;10594;80155;55689</t>
  </si>
  <si>
    <t>BTAF1;ANKRD17;MTOR;PRKDC;CCNJ;RIF1;RALGAPB;PHIP;SYNJ1;URB2;PRPF8;NAA15;YEATS2</t>
  </si>
  <si>
    <t>http://www.broadinstitute.org/gsea/msigdb/cards/GSE19825_NAIVE_VS_IL2RALOW_DAY3_EFF_CD8_TCELL_DN.html</t>
  </si>
  <si>
    <t>23347;5980;4299;3836;9584;23160;22992;9880;91748;84196;2074;25909;23143</t>
  </si>
  <si>
    <t>SMCHD1;REV3L;AFF1;KPNA1;RBM39;WDR43;KDM2A;ZBTB39;ELMSAN1;USP48;ERCC6;AHCTF1;LRCH1</t>
  </si>
  <si>
    <t>9877;4520;23352;9736;11214;4899;54856;55291;9662;25948;55802;9969;4216</t>
  </si>
  <si>
    <t>ZC3H11A;MTF1;UBR4;USP34;AKAP13;NRF1;GON4L;PPP6R3;CEP135;KBTBD2;DCP1A;MED13;MAP3K4</t>
  </si>
  <si>
    <t>23077;8925;84162;9857;23064;51322;23036;1859;55187;54832;26065;54765;56995</t>
  </si>
  <si>
    <t>MYCBP2;HERC1;KIAA1109;CEP350;SETX;WAC;ZNF292;DYRK1A;VPS13D;VPS13C;LSM14A;TRIM44;TULP4</t>
  </si>
  <si>
    <t>23077;4299;84162;91746;23637;23095;5116;11214;472;64864;11176;11108;55818</t>
  </si>
  <si>
    <t>MYCBP2;AFF1;KIAA1109;YTHDC1;RABGAP1;KIF1B;PCNT;AKAP13;ATM;RFX7;BAZ2A;PRDM4;KDM3A</t>
  </si>
  <si>
    <t>5495;5048;4297;387680;56957;23389;23126;10075;57148;51773;57498;9147;55636</t>
  </si>
  <si>
    <t>PPM1B;PAFAH1B1;KMT2A;WASHC2A;OTUD7B;MED13L;POGZ;HUWE1;RALGAPB;RSF1;KIDINS220;NEMF;CHD7</t>
  </si>
  <si>
    <t>GSE27786_BCELL_VS_CD4_TCELL_UP</t>
  </si>
  <si>
    <t>9475;7428;205717;8518;2876;2033;55432;253959;26065;54014;4848;9969;9439</t>
  </si>
  <si>
    <t>ROCK2;VHL;USF3;ELP1;GPX1;EP300;YOD1;RALGAPA1;LSM14A;BRWD1;AC092881.1;MED13;MED23</t>
  </si>
  <si>
    <t>http://www.broadinstitute.org/gsea/msigdb/cards/GSE27786_BCELL_VS_CD4_TCELL_UP.html</t>
  </si>
  <si>
    <t>6651;8661;1778;55252;170506;9774;26523;9147;4899;23269;84295;56987;54765</t>
  </si>
  <si>
    <t>SON;EIF3A;DYNC1H1;ASXL2;DHX36;BCLAF1;AGO1;NEMF;NRF1;MGA;PHF6;BBX;TRIM44</t>
  </si>
  <si>
    <t>84986;7705;23352;171023;23032;64397;317;4301;9221;6601;79048;55094;55175</t>
  </si>
  <si>
    <t>ARHGAP19;ZNF146;UBR4;ASXL1;USP33;ZNF106;APAF1;AFDN;NOLC1;SMARCC2;SECISBP2;GPATCH1;KLHL11</t>
  </si>
  <si>
    <t>23077;7468;546;3836;5062;8661;23332;9169;317;54856;9887;2140;26054</t>
  </si>
  <si>
    <t>MYCBP2;NSD2;ATRX;KPNA1;PAK2;EIF3A;CLASP1;SCAF11;APAF1;GON4L;SMG7;EYA3;SENP6</t>
  </si>
  <si>
    <t>9972;26130;9712;23195;29994;10168;23095;10299;7701;4301;4863;22850;2074</t>
  </si>
  <si>
    <t>NUP153;GAPVD1;USP6NL;MDN1;BAZ2B;ZNF197;KIF1B;MARCH6;ZNF142;AFDN;NPAT;ADNP2;ERCC6</t>
  </si>
  <si>
    <t>GSE360_L_MAJOR_VS_B_MALAYI_LOW_DOSE_DC_DN</t>
  </si>
  <si>
    <t>7587;23054;23160;29072;29994;23019;11168;5422;10128;7024;9221;55187;10207</t>
  </si>
  <si>
    <t>ZNF37A;NCOA6;WDR43;SETD2;BAZ2B;CNOT1;PSIP1;POLA1;LRPPRC;TFCP2;NOLC1;VPS13D;PATJ</t>
  </si>
  <si>
    <t>http://www.broadinstitute.org/gsea/msigdb/cards/GSE360_L_MAJOR_VS_B_MALAYI_LOW_DOSE_DC_DN.html</t>
  </si>
  <si>
    <t>7156;84986;8925;157769;57472;10277;8518;2932;6789;5586;23299;55102;84260</t>
  </si>
  <si>
    <t>TOP3A;ARHGAP19;HERC1;FAM91A1;CNOT6;UBE4B;ELP1;GSK3B;STK4;PKN2;BICD2;ATG2B;TCHP</t>
  </si>
  <si>
    <t>GSE37416_CTRL_VS_24H_F_TULARENSIS_LVS_NEUTROPHIL_DN</t>
  </si>
  <si>
    <t>9139;673;3192;7750;23036;8812;51585;2957;54520;54455;10765;55689;55818</t>
  </si>
  <si>
    <t>CBFA2T2;BRAF;HNRNPU;ZMYM2;ZNF292;CCNK;PCF11;GTF2A1;CCDC93;FBXO42;KDM5B;YEATS2;KDM3A</t>
  </si>
  <si>
    <t>http://www.broadinstitute.org/gsea/msigdb/cards/GSE37416_CTRL_VS_24H_F_TULARENSIS_LVS_NEUTROPHIL_DN.html</t>
  </si>
  <si>
    <t>GSE3982_CTRL_VS_LPS_1H_NEUTROPHIL_UP</t>
  </si>
  <si>
    <t>8019;55252;80218;64397;23019;285527;26065;10426;23047;440193;9874;11108;9439</t>
  </si>
  <si>
    <t>BRD3;ASXL2;NAA50;ZNF106;CNOT1;FRYL;LSM14A;TUBGCP3;PDS5B;CCDC88C;TLK1;PRDM4;MED23</t>
  </si>
  <si>
    <t>http://www.broadinstitute.org/gsea/msigdb/cards/GSE3982_CTRL_VS_LPS_1H_NEUTROPHIL_UP.html</t>
  </si>
  <si>
    <t>5451;5927;5062;221037;51755;29994;317;23140;8867;4140;2804;23198;5586</t>
  </si>
  <si>
    <t>POU2F1;KDM5A;PAK2;JMJD1C;CDK12;BAZ2B;APAF1;ZZEF1;SYNJ1;MARK3;GOLGB1;PSME4;PKN2</t>
  </si>
  <si>
    <t>9631;7468;23505;57634;5116;7174;8453;64864;79882;23269;26009;9967;4216</t>
  </si>
  <si>
    <t>NUP155;NSD2;TMEM131;EP400;PCNT;TPP2;CUL2;RFX7;ZC3H14;MGA;AC118549.1;THRAP3;MAP3K4</t>
  </si>
  <si>
    <t>http://www.broadinstitute.org/gsea/msigdb/cards/GSE3982_NEUTROPHIL_VS_TH2_DN.html</t>
  </si>
  <si>
    <t>GSE3982_EFF_MEMORY_CD4_TCELL_VS_TH2_UP</t>
  </si>
  <si>
    <t>6651;8925;79832;84726;26058;10142;23131;6874;23198;25948;79048;6942;23499</t>
  </si>
  <si>
    <t>SON;HERC1;QSER1;PRRC2B;GIGYF2;AKAP9;GPATCH8;TAF4;PSME4;KBTBD2;SECISBP2;TCF20;MACF1</t>
  </si>
  <si>
    <t>http://www.broadinstitute.org/gsea/msigdb/cards/GSE3982_EFF_MEMORY_CD4_TCELL_VS_TH2_UP.html</t>
  </si>
  <si>
    <t>3840;353274;26005;84614;158405;84146;54542;57609;388228;389072;254887;283337;84669</t>
  </si>
  <si>
    <t>KPNA4;ZNF445;C2CD3;ZBTB37;KIAA1958;ZNF644;RC3H2;DIP2B;SBK1;PLEKHM3;ZDHHC23;ZNF740;USP32</t>
  </si>
  <si>
    <t>9790;205717;26058;23063;57148;81609;9880;6670;9698;55432;79612;157680;51696</t>
  </si>
  <si>
    <t>BMS1;USF3;GIGYF2;WAPL;RALGAPB;SNX27;ZBTB39;SP3;PUM1;YOD1;NAA16;VPS13B;HECA</t>
  </si>
  <si>
    <t>GSE9037_WT_VS_IRAK4_KO_BMDM_UP</t>
  </si>
  <si>
    <t>221037;55183;23248;23032;9712;54542;51755;9147;7024;23527;253959;26065;83448</t>
  </si>
  <si>
    <t>JMJD1C;RIF1;RPRD2;USP33;USP6NL;RC3H2;CDK12;NEMF;TFCP2;ACAP2;RALGAPA1;LSM14A;PUS7L</t>
  </si>
  <si>
    <t>http://www.broadinstitute.org/gsea/msigdb/cards/GSE9037_WT_VS_IRAK4_KO_BMDM_UP.html</t>
  </si>
  <si>
    <t>23014;4297;8899;23054;26130;57680;23067;22992;867;7528;25962;51696;7707</t>
  </si>
  <si>
    <t>FBXO21;KMT2A;PRPF4B;NCOA6;GAPVD1;CHD8;SETD1B;KDM2A;CBL;YY1;VIRMA;HECA;ZNF148</t>
  </si>
  <si>
    <t>7155;55183;57695;9169;9126;23019;7528;254065;84295;26065;2140;79723;11108</t>
  </si>
  <si>
    <t>TOP2B;RIF1;USP37;SCAF11;SMC3;CNOT1;YY1;BRWD3;PHF6;LSM14A;EYA3;SUV39H2;PRDM4</t>
  </si>
  <si>
    <t>4976;2969;22848;84181;55023;55870;23195;7776;8295;80205;388228;10735;155435</t>
  </si>
  <si>
    <t>OPA1;GTF2I;AAK1;CHD6;PHIP;ASH1L;MDN1;ZNF236;TRRAP;CHD9;SBK1;STAG2;RBM33</t>
  </si>
  <si>
    <t>8672;9611;65117;55023;29072;9774;9841;23036;7528;8087;8621;22850;9786</t>
  </si>
  <si>
    <t>EIF4G3;NCOR1;RSRC2;PHIP;SETD2;BCLAF1;ZBTB24;ZNF292;YY1;FXR1;CDK13;ADNP2;KIAA0586</t>
  </si>
  <si>
    <t>9044;5451;5903;26058;56946;9919;8867;84301;8239;5814;56652;55342;9439</t>
  </si>
  <si>
    <t>BTAF1;POU2F1;RANBP2;GIGYF2;EMSY;SEC16A;SYNJ1;DDI2;USP9X;PURB;TWNK;STRBP;MED23</t>
  </si>
  <si>
    <t>http://www.broadinstitute.org/gsea/msigdb/cards/GSE2770_TGFB_AND_IL4_ACT_VS_ACT_CD4_TCELL_6H_DN.html</t>
  </si>
  <si>
    <t>9320;10771;259282;79572;26190;1106;23140;7690;3930;389072;55102;51696;27161</t>
  </si>
  <si>
    <t>TRIP12;ZMYND11;BOD1L1;ATP13A3;FBXW2;CHD2;ZZEF1;ZNF131;LBR;PLEKHM3;ATG2B;HECA;AGO2</t>
  </si>
  <si>
    <t>387680;23253;23049;84146;57609;5286;4140;22930;139285;253959;26009;84669;51592</t>
  </si>
  <si>
    <t>WASHC2A;ANKRD12;SMG1;ZNF644;DIP2B;PIK3C2A;MARK3;RAB3GAP1;AMER1;RALGAPA1;AC118549.1;USP32;TRIM33</t>
  </si>
  <si>
    <t>8672;221037;255967;253260;130507;65117;7750;23637;1106;23036;23181;22930;26019</t>
  </si>
  <si>
    <t>EIF4G3;JMJD1C;PAN3;RICTOR;UBR3;RSRC2;ZMYM2;RABGAP1;CHD2;ZNF292;DIP2A;RAB3GAP1;UPF2</t>
  </si>
  <si>
    <t>9475;27340;4299;9790;4520;9857;51322;8453;122830;463;54887;10765;6942</t>
  </si>
  <si>
    <t>ROCK2;UTP20;AFF1;BMS1;MTF1;CEP350;WAC;CUL2;NAA30;ZFHX3;UHRF1BP1;KDM5B;TCF20</t>
  </si>
  <si>
    <t>GSE5099_MONOCYTE_VS_ALTERNATIVE_M2_MACROPHAGE_DN</t>
  </si>
  <si>
    <t>3840;200424;5062;81609;10730;8295;23019;8867;27332;2140;56995;27161;23143</t>
  </si>
  <si>
    <t>KPNA4;TET3;PAK2;SNX27;YME1L1;TRRAP;CNOT1;SYNJ1;ZNF638;EYA3;TULP4;AGO2;LRCH1</t>
  </si>
  <si>
    <t>http://www.broadinstitute.org/gsea/msigdb/cards/GSE5099_MONOCYTE_VS_ALTERNATIVE_M2_MACROPHAGE_DN.html</t>
  </si>
  <si>
    <t>GSE5589_LPS_VS_LPS_AND_IL10_STIM_IL10_KO_MACROPHAGE_45MIN_UP</t>
  </si>
  <si>
    <t>4976;546;90957;23001;30849;57498;8087;23181;463;80205;8239;54765;55727</t>
  </si>
  <si>
    <t>OPA1;ATRX;DHX57;WDFY3;PIK3R4;KIDINS220;FXR1;DIP2A;ZFHX3;CHD9;USP9X;TRIM44;BTBD7</t>
  </si>
  <si>
    <t>http://www.broadinstitute.org/gsea/msigdb/cards/GSE5589_LPS_VS_LPS_AND_IL10_STIM_IL10_KO_MACROPHAGE_45MIN_UP.html</t>
  </si>
  <si>
    <t>GSE5589_LPS_VS_LPS_AND_IL6_STIM_IL10_KO_MACROPHAGE_45MIN_DN</t>
  </si>
  <si>
    <t>9972;171023;8812;10128;9816;22984;79707;131544;9392;54765;83448;79657;58487</t>
  </si>
  <si>
    <t>NUP153;ASXL1;CCNK;LRPPRC;URB2;PDCD11;NOL9;CRYBG3;TGFBRAP1;TRIM44;PUS7L;RPAP3;CREBZF</t>
  </si>
  <si>
    <t>http://www.broadinstitute.org/gsea/msigdb/cards/GSE5589_LPS_VS_LPS_AND_IL6_STIM_IL10_KO_MACROPHAGE_45MIN_DN.html</t>
  </si>
  <si>
    <t>10236;51366;673;9320;23369;23185;57609;7528;2117;122830;23198;92140;2074</t>
  </si>
  <si>
    <t>HNRNPR;UBR5;BRAF;TRIP12;PUM2;LARP4B;DIP2B;YY1;ETV3;NAA30;PSME4;MTDH;ERCC6</t>
  </si>
  <si>
    <t>5927;2969;23293;55728;9712;5116;23468;2551;25962;92140;25948;10735;23047</t>
  </si>
  <si>
    <t>KDM5A;GTF2I;SMG6;N4BP2;USP6NL;PCNT;CBX5;GABPA;VIRMA;MTDH;KBTBD2;STAG2;PDS5B</t>
  </si>
  <si>
    <t>23317;2802;84726;56946;25914;57148;26523;4763;3930;388228;54014;55818;8202</t>
  </si>
  <si>
    <t>DNAJC13;GOLGA3;PRRC2B;EMSY;RTTN;RALGAPB;AGO1;NF1;LBR;SBK1;BRWD1;KDM3A;NCOA3</t>
  </si>
  <si>
    <t>2802;84986;55252;57492;10274;23131;9816;9221;388228;55320;145508;55342;53981</t>
  </si>
  <si>
    <t>GOLGA3;ARHGAP19;ASXL2;ARID1B;STAG1;GPATCH8;URB2;NOLC1;SBK1;MIS18BP1;CEP128;STRBP;CPSF2</t>
  </si>
  <si>
    <t>GSE8621_UNSTIM_VS_LPS_PRIMED_UNSTIM_MACROPHAGE_DN</t>
  </si>
  <si>
    <t>55660;1656;5591;23126;25914;10274;8867;9527;2932;5469;84301;9879;10426</t>
  </si>
  <si>
    <t>PRPF40A;DDX6;PRKDC;POGZ;RTTN;STAG1;SYNJ1;GOSR1;GSK3B;MED1;DDI2;DDX46;TUBGCP3</t>
  </si>
  <si>
    <t>http://www.broadinstitute.org/gsea/msigdb/cards/GSE8621_UNSTIM_VS_LPS_PRIMED_UNSTIM_MACROPHAGE_DN.html</t>
  </si>
  <si>
    <t>23054;80351;57690;53944;9774;23131;10897;9527;7701;7159;22930;84301;9874</t>
  </si>
  <si>
    <t>NCOA6;TNKS2;TNRC6C;CSNK1G1;BCLAF1;GPATCH8;YIF1A;GOSR1;ZNF142;TP53BP2;RAB3GAP1;DDI2;TLK1</t>
  </si>
  <si>
    <t>4976;255967;253143;9857;23389;80312;7024;5469;54520;54887;55605;10765;11176</t>
  </si>
  <si>
    <t>OPA1;PAN3;PRR14L;CEP350;MED13L;TET1;TFCP2;MED1;CCDC93;UHRF1BP1;KIF21A;KDM5B;BAZ2A</t>
  </si>
  <si>
    <t>2475;8019;80312;28981;30849;6311;10277;5469;55605;79598;6601;165055;23047</t>
  </si>
  <si>
    <t>MTOR;BRD3;TET1;IFT81;PIK3R4;ATXN2;UBE4B;MED1;KIF21A;CEP97;SMARCC2;CCDC138;PDS5B</t>
  </si>
  <si>
    <t>1778;26058;23064;55914;80351;57690;57498;23358;9147;55187;55432;55636;10765</t>
  </si>
  <si>
    <t>DYNC1H1;GIGYF2;SETX;ERBIN;TNKS2;TNRC6C;KIDINS220;USP24;NEMF;VPS13D;YOD1;CHD7;KDM5B</t>
  </si>
  <si>
    <t>GSE8685_IL2_STARVED_VS_IL21_ACT_IL2_STARVED_CD4_TCELL_UP</t>
  </si>
  <si>
    <t>9611;9869;3842;23095;10128;4361;7690;9221;23198;23527;5586;27042;145508</t>
  </si>
  <si>
    <t>NCOR1;SETDB1;TNPO1;KIF1B;LRPPRC;MRE11;ZNF131;NOLC1;PSME4;ACAP2;PKN2;UTP25;CEP128</t>
  </si>
  <si>
    <t>http://www.broadinstitute.org/gsea/msigdb/cards/GSE8685_IL2_STARVED_VS_IL21_ACT_IL2_STARVED_CD4_TCELL_UP.html</t>
  </si>
  <si>
    <t>6654;7705;253260;65117;254225;11168;8812;2005;347344;79882;7994;26019;51696</t>
  </si>
  <si>
    <t>SOS1;ZNF146;RICTOR;RSRC2;RNF169;PSIP1;CCNK;ELK4;ZNF81;ZC3H14;KAT6A;UPF2;HECA</t>
  </si>
  <si>
    <t>55206;23347;79832;80312;23505;57690;5286;27042;54832;79598;10207;54014</t>
  </si>
  <si>
    <t>SBNO1;SMCHD1;QSER1;TET1;TMEM131;TNRC6C;PIK3C2A;UTP25;VPS13C;CEP97;PATJ;BRWD1</t>
  </si>
  <si>
    <t>9790;25836;166378;6311;23132;7701;10594;9879;92140;11011;58487;9439;4216</t>
  </si>
  <si>
    <t>BMS1;NIPBL;SPATA5;ATXN2;RAD54L2;ZNF142;PRPF8;DDX46;MTDH;TLK2;CREBZF;MED23;MAP3K4</t>
  </si>
  <si>
    <t>GSE12198_NK_VS_NK_ACT_EXPANSION_SYSTEM_DERIVED_NK_CELL_UP</t>
  </si>
  <si>
    <t>8899;84162;130507;91746;30849;10299;10914;122830;51742;23392;283578;51455;23112</t>
  </si>
  <si>
    <t>PRPF4B;KIAA1109;UBR3;YTHDC1;PIK3R4;MARCH6;PAPOLA;NAA30;ARID4B;ECPAS;TMED8;REV1;TNRC6B</t>
  </si>
  <si>
    <t>http://www.broadinstitute.org/gsea/msigdb/cards/GSE12198_NK_VS_NK_ACT_EXPANSION_SYSTEM_DERIVED_NK_CELL_UP.html</t>
  </si>
  <si>
    <t>5495;80312;57459;23505;51322;10137;3096;4899;54832;284058;54464;25909;79048</t>
  </si>
  <si>
    <t>PPM1B;TET1;GATAD2B;TMEM131;WAC;RBM12;HIVEP1;NRF1;VPS13C;KANSL1;XRN1;AHCTF1;SECISBP2</t>
  </si>
  <si>
    <t>GSE18281_PERIMEDULLARY_CORTICAL_REGION_VS_WHOLE_CORTEX_THYMUS_UP</t>
  </si>
  <si>
    <t>23060;2186;27291;23369;64324;54542;57680;23468;7701;10093;463;5586;55743</t>
  </si>
  <si>
    <t>ZNF609;BPTF;R3HCC1L;PUM2;NSD1;RC3H2;CHD8;CBX5;ZNF142;ARPC4;ZFHX3;PKN2;CHFR</t>
  </si>
  <si>
    <t>http://www.broadinstitute.org/gsea/msigdb/cards/GSE18281_PERIMEDULLARY_CORTICAL_REGION_VS_WHOLE_CORTEX_THYMUS_UP.html</t>
  </si>
  <si>
    <t>23185;3842;79572;23131;23358;11168;7109;11214;4899;9879;26065;10207;51455</t>
  </si>
  <si>
    <t>LARP4B;TNPO1;ATP13A3;GPATCH8;USP24;PSIP1;TRAPPC10;AKAP13;NRF1;DDX46;LSM14A;PATJ;REV1</t>
  </si>
  <si>
    <t>GSE19401_PAM2CSK4_VS_RETINOIC_ACID_STIM_FOLLICULAR_DC_DN</t>
  </si>
  <si>
    <t>9631;7586;546;9790;169841;7840;30849;10142;4763;2804;57553;10985;22828</t>
  </si>
  <si>
    <t>NUP155;ZKSCAN1;ATRX;BMS1;ZNF169;ALMS1;PIK3R4;AKAP9;NF1;GOLGB1;MICAL3;GCN1;SCAF8</t>
  </si>
  <si>
    <t>http://www.broadinstitute.org/gsea/msigdb/cards/GSE19401_PAM2CSK4_VS_RETINOIC_ACID_STIM_FOLLICULAR_DC_DN.html</t>
  </si>
  <si>
    <t>5980;5903;205717;23126;171023;55914;6801;3096;64854;157680;25948;65250;51455</t>
  </si>
  <si>
    <t>REV3L;RANBP2;USF3;POGZ;ASXL1;ERBIN;STRN;HIVEP1;USP46;VPS13B;KBTBD2;CPLANE1;REV1</t>
  </si>
  <si>
    <t>673;5903;6433;3609;26130;23244;23248;23185;79691;6341;91748;54765;80314</t>
  </si>
  <si>
    <t>BRAF;RANBP2;SFSWAP;ILF3;GAPVD1;PDS5A;RPRD2;LARP4B;QTRT2;SCO1;ELMSAN1;TRIM44;EPC1</t>
  </si>
  <si>
    <t>169841;7705;51248;23067;4763;10093;8621;55671;79882;284058;204851;55668;1788</t>
  </si>
  <si>
    <t>ZNF169;ZNF146;PDZD11;SETD1B;NF1;ARPC4;CDK13;PPP4R3A;ZC3H14;KANSL1;HIPK1;GPATCH2L;DNMT3A</t>
  </si>
  <si>
    <t>GSE16385_MONOCYTE_VS_12H_ROSIGLITAZONE_IFNG_TNF_TREATED_MACROPHAGE_DN</t>
  </si>
  <si>
    <t>23014;7579;51248;2005;5471;6789;9221;79882;56652;9188;55668;53981;1788</t>
  </si>
  <si>
    <t>FBXO21;ZSCAN20;PDZD11;ELK4;PPAT;STK4;NOLC1;ZC3H14;TWNK;DDX21;GPATCH2L;CPSF2;DNMT3A</t>
  </si>
  <si>
    <t>http://www.broadinstitute.org/gsea/msigdb/cards/GSE16385_MONOCYTE_VS_12H_ROSIGLITAZONE_IFNG_TNF_TREATED_MACROPHAGE_DN.html</t>
  </si>
  <si>
    <t>GSE16385_IFNG_TNF_VS_ROSIGLITAZONE_STIM_MACROPHAGE_UP</t>
  </si>
  <si>
    <t>5048;2969;8315;57697;64324;57634;30849;53944;1106;10914;64783;84260;55167</t>
  </si>
  <si>
    <t>PAFAH1B1;GTF2I;BRAP;FANCM;NSD1;EP400;PIK3R4;CSNK1G1;CHD2;PAPOLA;RBM15;TCHP;MSL2</t>
  </si>
  <si>
    <t>http://www.broadinstitute.org/gsea/msigdb/cards/GSE16385_IFNG_TNF_VS_ROSIGLITAZONE_STIM_MACROPHAGE_UP.html</t>
  </si>
  <si>
    <t>55206;9475;8661;4520;25836;57459;79677;54520;55596;10594;26054;79723;9439</t>
  </si>
  <si>
    <t>SBNO1;ROCK2;EIF3A;MTF1;NIPBL;GATAD2B;SMC6;CCDC93;ZCCHC8;PRPF8;SENP6;SUV39H2;MED23</t>
  </si>
  <si>
    <t>8672;7637;11052;9736;8518;5422;3096;8087;6596;10714;55187;9904;4216</t>
  </si>
  <si>
    <t>EIF4G3;ZNF84;CPSF6;USP34;ELP1;POLA1;HIVEP1;FXR1;HLTF;POLD3;VPS13D;RBM19;MAP3K4</t>
  </si>
  <si>
    <t>27340;6093;221037;23244;9736;23126;23063;22992;80205;204851;79646;58487;10762</t>
  </si>
  <si>
    <t>UTP20;ROCK1;JMJD1C;PDS5A;USP34;POGZ;WAPL;KDM2A;CHD9;HIPK1;PANK3;CREBZF;NUP50</t>
  </si>
  <si>
    <t>GSE26351_WNT_VS_BMP_PATHWAY_STIM_HEMATOPOIETIC_PROGENITORS_DN</t>
  </si>
  <si>
    <t>54799;4520;79832;65117;56946;23369;55023;30849;51230;23095;11214;140775;4216</t>
  </si>
  <si>
    <t>MBTD1;MTF1;QSER1;RSRC2;EMSY;PUM2;PHIP;PIK3R4;PHF20;KIF1B;AKAP13;SMCR8;MAP3K4</t>
  </si>
  <si>
    <t>http://www.broadinstitute.org/gsea/msigdb/cards/GSE26351_WNT_VS_BMP_PATHWAY_STIM_HEMATOPOIETIC_PROGENITORS_DN.html</t>
  </si>
  <si>
    <t>6651;11052;375748;130507;166378;7840;54876;57609;1106;2005;27332;4899;80012</t>
  </si>
  <si>
    <t>SON;CPSF6;ERCC6L2;UBR3;SPATA5;ALMS1;DCAF16;DIP2B;CHD2;ELK4;ZNF638;NRF1;PHC3</t>
  </si>
  <si>
    <t>9972;5903;9790;8880;10137;7514;3096;8453;9816;22847;55342;80155;55127</t>
  </si>
  <si>
    <t>NUP153;RANBP2;BMS1;FUBP1;RBM12;XPO1;HIVEP1;CUL2;URB2;ZNF507;STRBP;NAA15;HEATR1</t>
  </si>
  <si>
    <t>23317;4299;2969;4520;23160;23358;23423;8867;23095;9816;84196;80012;25909</t>
  </si>
  <si>
    <t>DNAJC13;AFF1;GTF2I;MTF1;WDR43;USP24;TMED3;SYNJ1;KIF1B;URB2;USP48;PHC3;AHCTF1</t>
  </si>
  <si>
    <t>26043;27107;5290;3836;6873;51773;6311;59343;7750;7109;1859;2140;51592</t>
  </si>
  <si>
    <t>UBXN7;ZBTB11;PIK3CA;KPNA1;TAF2;RSF1;ATXN2;SENP2;ZMYM2;TRAPPC10;DYRK1A;EYA3;TRIM33</t>
  </si>
  <si>
    <t>9972;6433;22848;23389;9712;4763;55014;204851;160760;55689;23200;55818</t>
  </si>
  <si>
    <t>NUP153;SFSWAP;AAK1;MED13L;USP6NL;NF1;STX17;HIPK1;PPTC7;YEATS2;ATP11B;KDM3A</t>
  </si>
  <si>
    <t>5980;26057;7468;5062;26058;22976;571;23350;10277;22850;55102;51455;10762</t>
  </si>
  <si>
    <t>REV3L;ANKRD17;NSD2;PAK2;GIGYF2;PAXIP1;BACH1;U2SURP;UBE4B;ADNP2;ATG2B;REV1;NUP50</t>
  </si>
  <si>
    <t>5130;6659;55252;23126;55728;79677;5286;987;6789;347240;79598;84295;23299</t>
  </si>
  <si>
    <t>PCYT1A;SOX4;ASXL2;POGZ;N4BP2;SMC6;PIK3C2A;LRBA;STK4;KIF24;CEP97;PHF6;BICD2</t>
  </si>
  <si>
    <t>GSE40666_STAT1_KO_VS_STAT4_KO_CD8_TCELL_UP</t>
  </si>
  <si>
    <t>5981;7182;9869;26058;9870;10299;285527;4140;2551;64864;84301;284058;51592</t>
  </si>
  <si>
    <t>RFC1;NR2C2;SETDB1;GIGYF2;AREL1;MARCH6;FRYL;MARK3;GABPA;RFX7;DDI2;KANSL1;TRIM33</t>
  </si>
  <si>
    <t>http://www.broadinstitute.org/gsea/msigdb/cards/GSE40666_STAT1_KO_VS_STAT4_KO_CD8_TCELL_UP.html</t>
  </si>
  <si>
    <t>5980;3609;8019;26058;9736;26523;23468;3930;55187;23299;56995;55668;4216</t>
  </si>
  <si>
    <t>REV3L;ILF3;BRD3;GIGYF2;USP34;AGO1;CBX5;LBR;VPS13D;BICD2;TULP4;GPATCH2L;MAP3K4</t>
  </si>
  <si>
    <t>9869;253260;23369;55023;55341;54764;200576;3096;2117;5471;56987;26054;440193</t>
  </si>
  <si>
    <t>SETDB1;RICTOR;PUM2;PHIP;LSG1;ZRANB1;PIKFYVE;HIVEP1;ETV3;PPAT;BBX;SENP6;CCDC88C</t>
  </si>
  <si>
    <t>23451;9135;26058;7750;29994;7776;23358;23660;6670;55432;54014;22828;51592</t>
  </si>
  <si>
    <t>SF3B1;RABEP1;GIGYF2;ZMYM2;BAZ2B;ZNF236;USP24;ZKSCAN5;SP3;YOD1;BRWD1;SCAF8;TRIM33</t>
  </si>
  <si>
    <t>GSE46606_UNSTIM_VS_CD40L_IL2_IL5_1DAY_STIMULATED_IRF4_KO_BCELL_DN</t>
  </si>
  <si>
    <t>5451;3836;84726;9857;56957;5930;165918;1106;8087;55605;80012;84893;9969</t>
  </si>
  <si>
    <t>POU2F1;KPNA1;PRRC2B;CEP350;OTUD7B;RBBP6;RNF168;CHD2;FXR1;KIF21A;PHC3;FBH1;MED13</t>
  </si>
  <si>
    <t>http://www.broadinstitute.org/gsea/msigdb/cards/GSE46606_UNSTIM_VS_CD40L_IL2_IL5_1DAY_STIMULATED_IRF4_KO_BCELL_DN.html</t>
  </si>
  <si>
    <t>5495;673;8925;130507;165918;79677;7750;23637;9147;8453;55432;55636;9967</t>
  </si>
  <si>
    <t>PPM1B;BRAF;HERC1;UBR3;RNF168;SMC6;ZMYM2;RABGAP1;NEMF;CUL2;YOD1;CHD7;THRAP3</t>
  </si>
  <si>
    <t>23160;55728;80312;23505;23195;2876;2117;10207;9188;6942;1788;8202</t>
  </si>
  <si>
    <t>WDR43;N4BP2;TET1;TMEM131;MDN1;GPX1;ETV3;PATJ;DDX21;TCF20;DNMT3A;NCOA3</t>
  </si>
  <si>
    <t>9931;5130;23054;255967;196528;254225;867;9816;27042;64421;23013;84132</t>
  </si>
  <si>
    <t>HELZ;PCYT1A;NCOA6;PAN3;ARID2;RNF169;CBL;URB2;UTP25;DCLRE1C;SPEN;USP42</t>
  </si>
  <si>
    <t>GSE37533_PPARG1_FOXP3_VS_PPARG2_FOXP3_TRANSDUCED_CD4_TCELL_UP</t>
  </si>
  <si>
    <t>55660;259282;23405;285527;79612;9879;142891;64421;23013;11083;27161;23200</t>
  </si>
  <si>
    <t>PRPF40A;BOD1L1;DICER1;FRYL;NAA16;DDX46;SAMD8;DCLRE1C;SPEN;DIDO1;AGO2;ATP11B</t>
  </si>
  <si>
    <t>http://www.broadinstitute.org/gsea/msigdb/cards/GSE37533_PPARG1_FOXP3_VS_PPARG2_FOXP3_TRANSDUCED_CD4_TCELL_UP.html</t>
  </si>
  <si>
    <t>GSE11818_WT_VS_DICER_KO_TREG_DN</t>
  </si>
  <si>
    <t>1656;5781;55252;55341;64682;8518;80205;27042;92140;204851;54464</t>
  </si>
  <si>
    <t>DDX6;PTPN11;ASXL2;LSG1;ANAPC1;ELP1;CHD9;UTP25;MTDH;HIPK1;XRN1</t>
  </si>
  <si>
    <t>http://www.broadinstitute.org/gsea/msigdb/cards/GSE11818_WT_VS_DICER_KO_TREG_DN.html</t>
  </si>
  <si>
    <t>GSE12507_PDC_CELL_LINE_VS_IMMATUE_T_CELL_LINE_UP</t>
  </si>
  <si>
    <t>9793;374354;11168;4763;23468;4361;5471;8453;55320;10426;64783</t>
  </si>
  <si>
    <t>CKAP5;NHLRC2;PSIP1;NF1;CBX5;MRE11;PPAT;CUL2;MIS18BP1;TUBGCP3;RBM15</t>
  </si>
  <si>
    <t>http://www.broadinstitute.org/gsea/msigdb/cards/GSE12507_PDC_CELL_LINE_VS_IMMATUE_T_CELL_LINE_UP.html</t>
  </si>
  <si>
    <t>GSE3920_UNTREATED_VS_IFNG_TREATED_ENDOTHELIAL_CELL_DN</t>
  </si>
  <si>
    <t>9632;5781;55193;30849;64682;64397;26523;23633;10277;7109;10594;9439</t>
  </si>
  <si>
    <t>SEC24C;PTPN11;PBRM1;PIK3R4;ANAPC1;ZNF106;AGO1;KPNA6;UBE4B;TRAPPC10;PRPF8;MED23</t>
  </si>
  <si>
    <t>http://www.broadinstitute.org/gsea/msigdb/cards/GSE3920_UNTREATED_VS_IFNG_TREATED_ENDOTHELIAL_CELL_DN.html</t>
  </si>
  <si>
    <t>9931;23054;255967;254225;26523;27042;54812;10207;11083;11176;23112</t>
  </si>
  <si>
    <t>HELZ;NCOA6;PAN3;RNF169;AGO1;UTP25;AFTPH;PATJ;DIDO1;BAZ2A;TNRC6B</t>
  </si>
  <si>
    <t>2186;9360;23054;9733;26005;23253;9711;23131;55159;92140;9887</t>
  </si>
  <si>
    <t>BPTF;PPIG;NCOA6;SART3;C2CD3;ANKRD12;RUBCN;GPATCH8;RFWD3;MTDH;SMG7</t>
  </si>
  <si>
    <t>673;2802;54619;8453;23198;254065;54812;11011;56987;9887;64421</t>
  </si>
  <si>
    <t>BRAF;GOLGA3;CCNJ;CUL2;PSME4;BRWD3;AFTPH;TLK2;BBX;SMG7;DCLRE1C</t>
  </si>
  <si>
    <t>2969;6654;84986;5930;23358;9126;5471;472;79882;26065;10207</t>
  </si>
  <si>
    <t>GTF2I;SOS1;ARHGAP19;RBBP6;USP24;SMC3;PPAT;ATM;ZC3H14;LSM14A;PATJ</t>
  </si>
  <si>
    <t>2969;79832;55728;80312;57690;23195;23358;27042;79598;10207;6942</t>
  </si>
  <si>
    <t>GTF2I;QSER1;N4BP2;TET1;TNRC6C;MDN1;USP24;UTP25;CEP97;PATJ;TCF20</t>
  </si>
  <si>
    <t>23054;84162;51248;29994;23019;23095;4763;11214;23392;145508;57553;57534</t>
  </si>
  <si>
    <t>NCOA6;KIAA1109;PDZD11;BAZ2B;CNOT1;KIF1B;NF1;AKAP13;ECPAS;CEP128;MICAL3;MIB1</t>
  </si>
  <si>
    <t>673;54799;84726;375748;253260;57609;10299;27332;92797;10207;80314;1788</t>
  </si>
  <si>
    <t>BRAF;MBTD1;PRRC2B;ERCC6L2;RICTOR;DIP2B;MARCH6;ZNF638;HELB;PATJ;EPC1;DNMT3A</t>
  </si>
  <si>
    <t>GSE21927_UNTREATED_VS_GMCSF_GCSF_TREATED_BONE_MARROW_UP</t>
  </si>
  <si>
    <t>6659;22976;55728;171023;85440;85476;79572;7528;10128;6670;5471;253959</t>
  </si>
  <si>
    <t>SOX4;PAXIP1;N4BP2;ASXL1;DOCK7;GFM1;ATP13A3;YY1;LRPPRC;SP3;PPAT;RALGAPA1</t>
  </si>
  <si>
    <t>http://www.broadinstitute.org/gsea/msigdb/cards/GSE21927_UNTREATED_VS_GMCSF_GCSF_TREATED_BONE_MARROW_UP.html</t>
  </si>
  <si>
    <t>23077;23014;5451;4297;10771;28981;10142;6249;157922;10207;160760;55802</t>
  </si>
  <si>
    <t>MYCBP2;FBXO21;POU2F1;KMT2A;ZMYND11;IFT81;AKAP9;CLIP1;CAMSAP1;PATJ;PPTC7;DCP1A</t>
  </si>
  <si>
    <t>6711;4297;54799;9736;10142;51479;54454;23405;23036;10914;10207;10198</t>
  </si>
  <si>
    <t>SPTBN1;KMT2A;MBTD1;USP34;AKAP9;ANKFY1;ATAD2B;DICER1;ZNF292;PAPOLA;PATJ;MPHOSPH9</t>
  </si>
  <si>
    <t>5980;23451;27340;2969;5591;8019;23160;23352;9202;23195;11176;55818</t>
  </si>
  <si>
    <t>REV3L;SF3B1;UTP20;GTF2I;PRKDC;BRD3;WDR43;UBR4;ZMYM4;MDN1;BAZ2A;KDM3A</t>
  </si>
  <si>
    <t>5451;6711;4297;8925;80351;57472;317;10299;23468;283578;157680;23335</t>
  </si>
  <si>
    <t>POU2F1;SPTBN1;KMT2A;HERC1;TNKS2;CNOT6;APAF1;MARCH6;CBX5;TMED8;VPS13B;WDR7</t>
  </si>
  <si>
    <t>55814;10236;405;29072;23195;6874;285527;3930;51742;10735;64421;9188</t>
  </si>
  <si>
    <t>BDP1;HNRNPR;ARNT;SETD2;MDN1;TAF4;FRYL;LBR;ARID4B;STAG2;DCLRE1C;DDX21</t>
  </si>
  <si>
    <t>GSE13306_RA_VS_UNTREATED_TCONV_UP</t>
  </si>
  <si>
    <t>5903;23332;7840;84181;55341;23660;6670;79707;91748;79048;55094;79723</t>
  </si>
  <si>
    <t>RANBP2;CLASP1;ALMS1;CHD6;LSG1;ZKSCAN5;SP3;NOL9;ELMSAN1;SECISBP2;GPATCH1;SUV39H2</t>
  </si>
  <si>
    <t>http://www.broadinstitute.org/gsea/msigdb/cards/GSE13306_RA_VS_UNTREATED_TCONV_UP.html</t>
  </si>
  <si>
    <t>9611;2186;5062;221037;11064;79677;23195;200576;80205;55727;10765;51592</t>
  </si>
  <si>
    <t>NCOR1;BPTF;PAK2;JMJD1C;CNTRL;SMC6;MDN1;PIKFYVE;CHD9;BTBD7;KDM5B;TRIM33</t>
  </si>
  <si>
    <t>9044;9632;10771;23244;55275;10142;22852;8087;51182;8621;55291;79048</t>
  </si>
  <si>
    <t>BTAF1;SEC24C;ZMYND11;PDS5A;VPS53;AKAP9;ANKRD26;FXR1;HSPA14;CDK13;PPP6R3;SECISBP2</t>
  </si>
  <si>
    <t>5290;57498;57472;92312;23019;10299;10277;7159;23181;55187;57786;9969</t>
  </si>
  <si>
    <t>PIK3CA;KIDINS220;CNOT6;MEX3A;CNOT1;MARCH6;UBE4B;TP53BP2;DIP2A;VPS13D;RBAK;MED13</t>
  </si>
  <si>
    <t>GSE14000_UNSTIM_VS_4H_LPS_DC_UP</t>
  </si>
  <si>
    <t>54799;8019;23522;54876;57472;10277;5471;79707;79882;283578;84260;10765</t>
  </si>
  <si>
    <t>MBTD1;BRD3;KAT6B;DCAF16;CNOT6;UBE4B;PPAT;NOL9;ZC3H14;TMED8;TCHP;KDM5B</t>
  </si>
  <si>
    <t>http://www.broadinstitute.org/gsea/msigdb/cards/GSE14000_UNSTIM_VS_4H_LPS_DC_UP.html</t>
  </si>
  <si>
    <t>5980;5781;26130;22848;23001;79572;57609;867;472;64421;79646;51132</t>
  </si>
  <si>
    <t>REV3L;PTPN11;GAPVD1;AAK1;WDFY3;ATP13A3;DIP2B;CBL;ATM;DCLRE1C;PANK3;RLIM</t>
  </si>
  <si>
    <t>GSE14000_4H_VS_16H_LPS_DC_DN</t>
  </si>
  <si>
    <t>9475;23054;26005;23522;26190;22992;6341;7701;7024;84196;79657;23047</t>
  </si>
  <si>
    <t>ROCK2;NCOA6;C2CD3;KAT6B;FBXW2;KDM2A;SCO1;ZNF142;TFCP2;USP48;RPAP3;PDS5B</t>
  </si>
  <si>
    <t>http://www.broadinstitute.org/gsea/msigdb/cards/GSE14000_4H_VS_16H_LPS_DC_DN.html</t>
  </si>
  <si>
    <t>GSE14308_TH2_VS_TH1_UP</t>
  </si>
  <si>
    <t>6093;56946;10075;23505;9712;57679;8867;2957;9897;8621;27332;9874</t>
  </si>
  <si>
    <t>ROCK1;EMSY;HUWE1;TMEM131;USP6NL;ALS2;SYNJ1;GTF2A1;WASHC5;CDK13;ZNF638;TLK1</t>
  </si>
  <si>
    <t>http://www.broadinstitute.org/gsea/msigdb/cards/GSE14308_TH2_VS_TH1_UP.html</t>
  </si>
  <si>
    <t>9139;4976;23077;7155;255967;387680;158405;259282;79691;57690;10137;84669</t>
  </si>
  <si>
    <t>CBFA2T2;OPA1;MYCBP2;TOP2B;PAN3;WASHC2A;KIAA1958;BOD1L1;QTRT2;TNRC6C;RBM12;USP32</t>
  </si>
  <si>
    <t>GSE1460_INTRATHYMIC_T_PROGENITOR_VS_NAIVE_CD4_TCELL_CORD_BLOOD_UP</t>
  </si>
  <si>
    <t>10236;5981;29994;10915;11168;10277;2551;7159;80205;22850;10594;26019</t>
  </si>
  <si>
    <t>HNRNPR;RFC1;BAZ2B;TCERG1;PSIP1;UBE4B;GABPA;TP53BP2;CHD9;ADNP2;PRPF8;UPF2</t>
  </si>
  <si>
    <t>http://www.broadinstitute.org/gsea/msigdb/cards/GSE1460_INTRATHYMIC_T_PROGENITOR_VS_NAIVE_CD4_TCELL_CORD_BLOOD_UP.html</t>
  </si>
  <si>
    <t>GSE15324_NAIVE_VS_ACTIVATED_CD8_TCELL_DN</t>
  </si>
  <si>
    <t>100381270;11052;84614;85440;57679;10940;170506;23132;92312;54455;84725;53981</t>
  </si>
  <si>
    <t>ZBED6;CPSF6;ZBTB37;DOCK7;ALS2;POP1;DHX36;RAD54L2;MEX3A;FBXO42;PLEKHA8;CPSF2</t>
  </si>
  <si>
    <t>http://www.broadinstitute.org/gsea/msigdb/cards/GSE15324_NAIVE_VS_ACTIVATED_CD8_TCELL_DN.html</t>
  </si>
  <si>
    <t>5980;9631;51366;9931;9360;23244;54764;91748;79882;84295;10426;55818</t>
  </si>
  <si>
    <t>REV3L;NUP155;UBR5;HELZ;PPIG;PDS5A;ZRANB1;ELMSAN1;ZC3H14;PHF6;TUBGCP3;KDM3A</t>
  </si>
  <si>
    <t>6659;9790;26098;90957;57551;9169;2005;54464;23013;58487;29843;55636</t>
  </si>
  <si>
    <t>SOX4;BMS1;EDRF1;DHX57;TAOK1;SCAF11;ELK4;XRN1;SPEN;CREBZF;SENP1;CHD7</t>
  </si>
  <si>
    <t>GSE17721_PAM3CSK4_VS_CPG_4H_BMDC_UP</t>
  </si>
  <si>
    <t>7586;5981;80312;85440;10299;8518;7528;27332;54832;79048;58487;55818</t>
  </si>
  <si>
    <t>ZKSCAN1;RFC1;TET1;DOCK7;MARCH6;ELP1;YY1;ZNF638;VPS13C;SECISBP2;CREBZF;KDM3A</t>
  </si>
  <si>
    <t>http://www.broadinstitute.org/gsea/msigdb/cards/GSE17721_PAM3CSK4_VS_CPG_4H_BMDC_UP.html</t>
  </si>
  <si>
    <t>11128;23317;26057;54906;6789;11011;54464;10735;84893;84248;26019;23200</t>
  </si>
  <si>
    <t>POLR3A;DNAJC13;ANKRD17;TASOR2;STK4;TLK2;XRN1;STAG2;FBH1;FYTTD1;UPF2;ATP11B</t>
  </si>
  <si>
    <t>GSE17721_PAM3CSK4_VS_CPG_16H_BMDC_UP</t>
  </si>
  <si>
    <t>8085;6711;7155;257218;9736;11244;54454;8295;23095;10277;8505;142891</t>
  </si>
  <si>
    <t>KMT2D;SPTBN1;TOP2B;SHPRH;USP34;ZHX1;ATAD2B;TRRAP;KIF1B;UBE4B;PARG;SAMD8</t>
  </si>
  <si>
    <t>http://www.broadinstitute.org/gsea/msigdb/cards/GSE17721_PAM3CSK4_VS_CPG_16H_BMDC_UP.html</t>
  </si>
  <si>
    <t>GSE17721_LPS_VS_PAM3CSK4_4H_BMDC_DN</t>
  </si>
  <si>
    <t>26046;54799;64397;23637;9919;10277;10153;79882;55743;55705;79646;9329</t>
  </si>
  <si>
    <t>LTN1;MBTD1;ZNF106;RABGAP1;SEC16A;UBE4B;CEBPZ;ZC3H14;CHFR;IPO9;PANK3;GTF3C4</t>
  </si>
  <si>
    <t>http://www.broadinstitute.org/gsea/msigdb/cards/GSE17721_LPS_VS_PAM3CSK4_4H_BMDC_DN.html</t>
  </si>
  <si>
    <t>GSE17721_POLYIC_VS_CPG_1H_BMDC_UP</t>
  </si>
  <si>
    <t>8888;6433;9790;23160;26098;57459;64426;23633;10914;27327;29843;22828</t>
  </si>
  <si>
    <t>MCM3AP;SFSWAP;BMS1;WDR43;EDRF1;GATAD2B;SUDS3;KPNA6;PAPOLA;TNRC6A;SENP1;SCAF8</t>
  </si>
  <si>
    <t>http://www.broadinstitute.org/gsea/msigdb/cards/GSE17721_POLYIC_VS_CPG_1H_BMDC_UP.html</t>
  </si>
  <si>
    <t>GSE17721_POLYIC_VS_CPG_2H_BMDC_UP</t>
  </si>
  <si>
    <t>5927;5130;6659;54619;90957;23032;79677;54454;55014;23392;54014;55818</t>
  </si>
  <si>
    <t>KDM5A;PCYT1A;SOX4;CCNJ;DHX57;USP33;SMC6;ATAD2B;STX17;ECPAS;BRWD1;KDM3A</t>
  </si>
  <si>
    <t>http://www.broadinstitute.org/gsea/msigdb/cards/GSE17721_POLYIC_VS_CPG_2H_BMDC_UP.html</t>
  </si>
  <si>
    <t>90957;79677;9126;317;23095;9147;11168;285527;2117;6596;54887;92797</t>
  </si>
  <si>
    <t>DHX57;SMC6;SMC3;APAF1;KIF1B;NEMF;PSIP1;FRYL;ETV3;HLTF;UHRF1BP1;HELB</t>
  </si>
  <si>
    <t>11128;6654;9857;64682;55051;571;905;10093;55320;10426;9439;23112</t>
  </si>
  <si>
    <t>POLR3A;SOS1;CEP350;ANAPC1;NRDE2;BACH1;CCNT2;ARPC4;MIS18BP1;TUBGCP3;MED23;TNRC6B</t>
  </si>
  <si>
    <t>6659;205717;22853;54764;5116;7556;2117;7109;80205;55432;7994;84248</t>
  </si>
  <si>
    <t>SOX4;USF3;LMTK2;ZRANB1;PCNT;ZNF10;ETV3;TRAPPC10;CHD9;YOD1;KAT6A;FYTTD1</t>
  </si>
  <si>
    <t>2475;205717;23064;22853;23522;64324;51755;9693;9113;7556;7109;84248</t>
  </si>
  <si>
    <t>MTOR;USF3;SETX;LMTK2;KAT6B;NSD1;CDK12;RAPGEF2;LATS1;ZNF10;TRAPPC10;FYTTD1</t>
  </si>
  <si>
    <t>257218;7248;56252;64854;5471;6596;79707;27042;55094;84260;80155;79723</t>
  </si>
  <si>
    <t>SHPRH;TSC1;YLPM1;USP46;PPAT;HLTF;NOL9;UTP25;GPATCH1;TCHP;NAA15;SUV39H2</t>
  </si>
  <si>
    <t>GSE18791_UNSTIM_VS_NEWCATSLE_VIRUS_DC_18H_UP</t>
  </si>
  <si>
    <t>9475;9611;9631;5591;5062;9790;10277;10594;55632;57209;9786;25831</t>
  </si>
  <si>
    <t>ROCK2;NCOR1;NUP155;PRKDC;PAK2;BMS1;UBE4B;PRPF8;G2E3;ZNF248;KIAA0586;HECTD1</t>
  </si>
  <si>
    <t>http://www.broadinstitute.org/gsea/msigdb/cards/GSE18791_UNSTIM_VS_NEWCATSLE_VIRUS_DC_18H_UP.html</t>
  </si>
  <si>
    <t>11128;23317;23077;9631;6433;375748;51479;6874;1106;9113;10426;57786</t>
  </si>
  <si>
    <t>POLR3A;DNAJC13;MYCBP2;NUP155;SFSWAP;ERCC6L2;ANKFY1;TAF4;CHD2;LATS1;TUBGCP3;RBAK</t>
  </si>
  <si>
    <t>GSE22886_UNSTIM_VS_STIM_MEMORY_TCELL_DN</t>
  </si>
  <si>
    <t>10236;5781;1660;9320;6873;80218;79572;10137;10915;5422;51182;9221</t>
  </si>
  <si>
    <t>HNRNPR;PTPN11;DHX9;TRIP12;TAF2;NAA50;ATP13A3;RBM12;TCERG1;POLA1;HSPA14;NOLC1</t>
  </si>
  <si>
    <t>http://www.broadinstitute.org/gsea/msigdb/cards/GSE22886_UNSTIM_VS_STIM_MEMORY_TCELL_DN.html</t>
  </si>
  <si>
    <t>23347;5062;23126;10075;23369;200576;7514;10093;10714;9662;7994;79646</t>
  </si>
  <si>
    <t>SMCHD1;PAK2;POGZ;HUWE1;PUM2;PIKFYVE;XPO1;ARPC4;POLD3;CEP135;KAT6A;PANK3</t>
  </si>
  <si>
    <t>23451;23077;23014;9736;23522;55914;10142;23637;905;7109;55187;7994</t>
  </si>
  <si>
    <t>SF3B1;MYCBP2;FBXO21;USP34;KAT6B;ERBIN;AKAP9;RABGAP1;CCNT2;TRAPPC10;VPS13D;KAT6A</t>
  </si>
  <si>
    <t>9139;7586;9869;26098;374354;85459;55051;27042;119016;64421;57786;55689</t>
  </si>
  <si>
    <t>CBFA2T2;ZKSCAN1;SETDB1;EDRF1;NHLRC2;CEP295;NRDE2;UTP25;AGAP4;DCLRE1C;RBAK;YEATS2</t>
  </si>
  <si>
    <t>9139;26057;4297;57695;64324;55341;55159;119016;84260;192669;57786;7707</t>
  </si>
  <si>
    <t>CBFA2T2;ANKRD17;KMT2A;USP37;NSD1;LSG1;RFWD3;AGAP4;TCHP;AGO3;RBAK;ZNF148</t>
  </si>
  <si>
    <t>387680;9736;55252;57148;80351;57680;23358;4140;6596;26065;27161;23143</t>
  </si>
  <si>
    <t>WASHC2A;USP34;ASXL2;RALGAPB;TNKS2;CHD8;USP24;MARK3;HLTF;LSM14A;AGO2;LRCH1</t>
  </si>
  <si>
    <t>8085;4297;23054;387680;57148;80351;27332;25948;9392;84248;79048;4848</t>
  </si>
  <si>
    <t>KMT2D;KMT2A;NCOA6;WASHC2A;RALGAPB;TNKS2;ZNF638;KBTBD2;TGFBRAP1;FYTTD1;SECISBP2;AC092881.1</t>
  </si>
  <si>
    <t>23077;5591;84726;23064;23063;8867;23036;9527;10207;65250;9188;51696</t>
  </si>
  <si>
    <t>MYCBP2;PRKDC;PRRC2B;SETX;WAPL;SYNJ1;ZNF292;GOSR1;PATJ;CPLANE1;DDX21;HECA</t>
  </si>
  <si>
    <t>GSE27786_BCELL_VS_NKCELL_UP</t>
  </si>
  <si>
    <t>5980;27107;7579;9202;9736;84181;29072;1106;905;23269;84295;55802</t>
  </si>
  <si>
    <t>REV3L;ZBTB11;ZSCAN20;ZMYM4;USP34;CHD6;SETD2;CHD2;CCNT2;MGA;PHF6;DCP1A</t>
  </si>
  <si>
    <t>http://www.broadinstitute.org/gsea/msigdb/cards/GSE27786_BCELL_VS_NKCELL_UP.html</t>
  </si>
  <si>
    <t>GSE27786_NKTCELL_VS_NEUTROPHIL_UP</t>
  </si>
  <si>
    <t>5980;9631;9202;55252;23195;11168;5116;4361;84295;10207;51132;26973</t>
  </si>
  <si>
    <t>REV3L;NUP155;ZMYM4;ASXL2;MDN1;PSIP1;PCNT;MRE11;PHF6;PATJ;RLIM;CHORDC1</t>
  </si>
  <si>
    <t>http://www.broadinstitute.org/gsea/msigdb/cards/GSE27786_NKTCELL_VS_NEUTROPHIL_UP.html</t>
  </si>
  <si>
    <t>GSE28237_FOLLICULAR_VS_LATE_GC_BCELL_UP</t>
  </si>
  <si>
    <t>26043;5927;100381270;8925;29994;92312;27332;80205;23269;254887;27327;54014</t>
  </si>
  <si>
    <t>UBXN7;KDM5A;ZBED6;HERC1;BAZ2B;MEX3A;ZNF638;CHD9;MGA;ZDHHC23;TNRC6A;BRWD1</t>
  </si>
  <si>
    <t>http://www.broadinstitute.org/gsea/msigdb/cards/GSE28237_FOLLICULAR_VS_LATE_GC_BCELL_UP.html</t>
  </si>
  <si>
    <t>1656;6711;9135;5930;9126;375248;472;51742;7994;55636;11108;8202</t>
  </si>
  <si>
    <t>DDX6;SPTBN1;RABEP1;RBBP6;SMC3;ANKRD36;ATM;ARID4B;KAT6A;CHD7;PRDM4;NCOA3</t>
  </si>
  <si>
    <t>23347;1656;6711;5930;79677;200576;375248;51585;54856;51742;7994;55636</t>
  </si>
  <si>
    <t>SMCHD1;DDX6;SPTBN1;RBBP6;SMC6;PIKFYVE;ANKRD36;PCF11;GON4L;ARID4B;KAT6A;CHD7</t>
  </si>
  <si>
    <t>3799;2969;23253;9711;79677;23195;23358;23423;375248;5116;23468;6596</t>
  </si>
  <si>
    <t>KIF5B;GTF2I;ANKRD12;RUBCN;SMC6;MDN1;USP24;TMED3;ANKRD36;PCNT;CBX5;HLTF</t>
  </si>
  <si>
    <t>GSE29618_PRE_VS_DAY7_POST_LAIV_FLU_VACCINE_PDC_DN</t>
  </si>
  <si>
    <t>9044;23317;26046;5048;3836;9857;22976;11064;64324;317;79882;26054</t>
  </si>
  <si>
    <t>BTAF1;DNAJC13;LTN1;PAFAH1B1;KPNA1;CEP350;PAXIP1;CNTRL;NSD1;APAF1;ZC3H14;SENP6</t>
  </si>
  <si>
    <t>http://www.broadinstitute.org/gsea/msigdb/cards/GSE29618_PRE_VS_DAY7_POST_LAIV_FLU_VACCINE_PDC_DN.html</t>
  </si>
  <si>
    <t>9044;5048;3192;1660;79572;79811;23131;54454;51585;5116;55596;26054</t>
  </si>
  <si>
    <t>BTAF1;PAFAH1B1;HNRNPU;DHX9;ATP13A3;SLTM;GPATCH8;ATAD2B;PCF11;PCNT;ZCCHC8;SENP6</t>
  </si>
  <si>
    <t>9793;8661;11052;23332;165918;158405;9126;5471;145508;25909;9329;9904</t>
  </si>
  <si>
    <t>CKAP5;EIF3A;CPSF6;CLASP1;RNF168;KIAA1958;SMC3;PPAT;CEP128;AHCTF1;GTF3C4;RBM19</t>
  </si>
  <si>
    <t>http://www.broadinstitute.org/gsea/msigdb/cards/GSE31082_DN_VS_CD4_SP_THYMOCYTE_UP.html</t>
  </si>
  <si>
    <t>5062;10771;55914;64426;54876;26523;10277;867;7528;5586;9923;11176</t>
  </si>
  <si>
    <t>PAK2;ZMYND11;ERBIN;SUDS3;DCAF16;AGO1;UBE4B;CBL;YY1;PKN2;ZBTB40;BAZ2A</t>
  </si>
  <si>
    <t>8899;9135;23352;23185;57498;9126;9870;6670;6789;9879;23112;23200</t>
  </si>
  <si>
    <t>PRPF4B;RABEP1;UBR4;LARP4B;KIDINS220;SMC3;AREL1;SP3;STK4;DDX46;TNRC6B;ATP11B</t>
  </si>
  <si>
    <t>9877;26046;9972;9320;91746;57680;23036;2957;3930;27332;51592;7707</t>
  </si>
  <si>
    <t>ZC3H11A;LTN1;NUP153;TRIP12;YTHDC1;CHD8;ZNF292;GTF2A1;LBR;ZNF638;TRIM33;ZNF148</t>
  </si>
  <si>
    <t>2802;9793;26130;84726;57148;23195;23067;8295;7701;23198;7994;54765</t>
  </si>
  <si>
    <t>GOLGA3;CKAP5;GAPVD1;PRRC2B;RALGAPB;MDN1;SETD1B;TRRAP;ZNF142;PSME4;KAT6A;TRIM44</t>
  </si>
  <si>
    <t>http://www.broadinstitute.org/gsea/msigdb/cards/GSE360_L_MAJOR_VS_B_MALAYI_HIGH_DOSE_MAC_DN.html</t>
  </si>
  <si>
    <t>GSE360_L_MAJOR_VS_B_MALAYI_LOW_DOSE_MAC_DN</t>
  </si>
  <si>
    <t>10236;26057;23054;23195;23067;8295;9147;4140;23198;7994;54765;23335</t>
  </si>
  <si>
    <t>HNRNPR;ANKRD17;NCOA6;MDN1;SETD1B;TRRAP;NEMF;MARK3;PSME4;KAT6A;TRIM44;WDR7</t>
  </si>
  <si>
    <t>http://www.broadinstitute.org/gsea/msigdb/cards/GSE360_L_MAJOR_VS_B_MALAYI_LOW_DOSE_MAC_DN.html</t>
  </si>
  <si>
    <t>23317;26043;673;9790;4520;8019;10137;54454;23350;6670;11214;54014</t>
  </si>
  <si>
    <t>DNAJC13;UBXN7;BRAF;BMS1;MTF1;BRD3;RBM12;ATAD2B;U2SURP;SP3;AKAP13;BRWD1</t>
  </si>
  <si>
    <t>55660;9733;84079;6311;26523;8867;10299;54812;57209;10207;55802;51592</t>
  </si>
  <si>
    <t>PRPF40A;SART3;ANKRD27;ATXN2;AGO1;SYNJ1;MARCH6;AFTPH;ZNF248;PATJ;DCP1A;TRIM33</t>
  </si>
  <si>
    <t>9044;9320;23001;81609;23637;8812;2804;54520;54455;55094;192669;23200</t>
  </si>
  <si>
    <t>BTAF1;TRIP12;WDFY3;SNX27;RABGAP1;CCNK;GOLGB1;CCDC93;FBXO42;GPATCH1;AGO3;ATP11B</t>
  </si>
  <si>
    <t>http://www.broadinstitute.org/gsea/msigdb/cards/GSE37416_CTRL_VS_48H_F_TULARENSIS_LVS_NEUTROPHIL_DN.html</t>
  </si>
  <si>
    <t>673;170506;79572;10137;9693;23036;2117;23468;253959;54812;55668;4848</t>
  </si>
  <si>
    <t>BRAF;DHX36;ATP13A3;RBM12;RAPGEF2;ZNF292;ETV3;CBX5;RALGAPA1;AFTPH;GPATCH2L;AC092881.1</t>
  </si>
  <si>
    <t>673;7155;51230;79572;1106;23036;2117;23468;54812;55668;27161;55818</t>
  </si>
  <si>
    <t>BRAF;TOP2B;PHF20;ATP13A3;CHD2;ZNF292;ETV3;CBX5;AFTPH;GPATCH2L;AGO2;KDM3A</t>
  </si>
  <si>
    <t>23014;4299;3836;23244;23126;9693;10915;23095;11214;22984;9188;55668</t>
  </si>
  <si>
    <t>FBXO21;AFF1;KPNA1;PDS5A;POGZ;RAPGEF2;TCERG1;KIF1B;AKAP13;PDCD11;DDX21;GPATCH2L</t>
  </si>
  <si>
    <t>http://www.broadinstitute.org/gsea/msigdb/cards/GSE3982_CTRL_VS_IGE_STIM_MAST_CELL_DN.html</t>
  </si>
  <si>
    <t>23451;1656;4520;84162;57551;11064;23036;905;54455;2074;10735;10762</t>
  </si>
  <si>
    <t>SF3B1;DDX6;MTF1;KIAA1109;TAOK1;CNTRL;ZNF292;CCNT2;FBXO42;ERCC6;STAG2;NUP50</t>
  </si>
  <si>
    <t>27340;5591;8925;80204;23369;55023;905;5422;7556;2005;6670;10735</t>
  </si>
  <si>
    <t>UTP20;PRKDC;HERC1;FBXO11;PUM2;PHIP;CCNT2;POLA1;ZNF10;ELK4;SP3;STAG2</t>
  </si>
  <si>
    <t>26057;23014;8925;11064;7514;905;8453;64864;23269;54765;23335;4216</t>
  </si>
  <si>
    <t>ANKRD17;FBXO21;HERC1;CNTRL;XPO1;CCNT2;CUL2;RFX7;MGA;TRIM44;WDR7;MAP3K4</t>
  </si>
  <si>
    <t>http://www.broadinstitute.org/gsea/msigdb/cards/GSE3982_NEUTROPHIL_VS_BASOPHIL_DN.html</t>
  </si>
  <si>
    <t>9631;7468;6872;7428;7514;905;5116;64864;55187;79882;26009;1788</t>
  </si>
  <si>
    <t>NUP155;NSD2;TAF1;VHL;XPO1;CCNT2;PCNT;RFX7;VPS13D;ZC3H14;AC118549.1;DNMT3A</t>
  </si>
  <si>
    <t>http://www.broadinstitute.org/gsea/msigdb/cards/GSE3982_NEUTROPHIL_VS_EFF_MEMORY_CD4_TCELL_DN.html</t>
  </si>
  <si>
    <t>23014;8925;54619;23019;7514;905;7174;9698;64864;26009;26065;54014</t>
  </si>
  <si>
    <t>FBXO21;HERC1;CCNJ;CNOT1;XPO1;CCNT2;TPP2;PUM1;RFX7;AC118549.1;LSM14A;BRWD1</t>
  </si>
  <si>
    <t>http://www.broadinstitute.org/gsea/msigdb/cards/GSE3982_NEUTROPHIL_VS_CENT_MEMORY_CD4_TCELL_DN.html</t>
  </si>
  <si>
    <t>5927;5048;23126;7248;10142;29994;5286;23140;10735;26065;22849;23499</t>
  </si>
  <si>
    <t>KDM5A;PAFAH1B1;POGZ;TSC1;AKAP9;BAZ2B;PIK3C2A;ZZEF1;STAG2;LSM14A;CPEB3;MACF1</t>
  </si>
  <si>
    <t>5781;84614;9202;6873;10730;23423;8087;7690;84131;25909;84132;26973</t>
  </si>
  <si>
    <t>PTPN11;ZBTB37;ZMYM4;TAF2;YME1L1;TMED3;FXR1;ZNF131;CEP78;AHCTF1;USP42;CHORDC1</t>
  </si>
  <si>
    <t>5591;4297;255967;23248;56946;51322;571;7559;10914;1859;144348;56980</t>
  </si>
  <si>
    <t>PRKDC;KMT2A;PAN3;RPRD2;EMSY;WAC;BACH1;ZNF12;PAPOLA;DYRK1A;ZNF664;PRDM10</t>
  </si>
  <si>
    <t>80311;30849;29994;23423;23527;51742;283578;58487;51696;9969;11176;23112</t>
  </si>
  <si>
    <t>KLHL15;PIK3R4;BAZ2B;TMED3;ACAP2;ARID4B;TMED8;CREBZF;HECA;MED13;BAZ2A;TNRC6B</t>
  </si>
  <si>
    <t>7587;5048;9733;23293;9870;23095;7174;54856;55705;2140;9329;8202</t>
  </si>
  <si>
    <t>ZNF37A;PAFAH1B1;SART3;SMG6;AREL1;KIF1B;TPP2;GON4L;IPO9;EYA3;GTF3C4;NCOA3</t>
  </si>
  <si>
    <t>GSE1112_OT1_CD8AB_VS_HY_CD8AA_THYMOCYTE_RTOC_CULTURE_DN</t>
  </si>
  <si>
    <t>23347;51366;5290;9320;259282;8880;6596;55671;79598;23269;165055;9329</t>
  </si>
  <si>
    <t>SMCHD1;UBR5;PIK3CA;TRIP12;BOD1L1;FUBP1;HLTF;PPP4R3A;CEP97;MGA;CCDC138;GTF3C4</t>
  </si>
  <si>
    <t>http://www.broadinstitute.org/gsea/msigdb/cards/GSE1112_OT1_CD8AB_VS_HY_CD8AA_THYMOCYTE_RTOC_CULTURE_DN.html</t>
  </si>
  <si>
    <t>GSE1740_MCSF_VS_MCSF_AND_IFNG_DAY2_DERIVED_MACROPHAGE_WITH_IFNA_STIM_UP</t>
  </si>
  <si>
    <t>9631;5591;257218;1106;23140;8867;2876;7690;55320;54455;79882;144348</t>
  </si>
  <si>
    <t>NUP155;PRKDC;SHPRH;CHD2;ZZEF1;SYNJ1;GPX1;ZNF131;MIS18BP1;FBXO42;ZC3H14;ZNF664</t>
  </si>
  <si>
    <t>http://www.broadinstitute.org/gsea/msigdb/cards/GSE1740_MCSF_VS_MCSF_AND_IFNG_DAY2_DERIVED_MACROPHAGE_WITH_IFNA_STIM_UP.html</t>
  </si>
  <si>
    <t>GSE2405_0H_VS_6H_A_PHAGOCYTOPHILUM_STIM_NEUTROPHIL_UP</t>
  </si>
  <si>
    <t>55183;64397;59343;54764;9880;9816;23198;22930;54464;144348;84132;7707</t>
  </si>
  <si>
    <t>RIF1;ZNF106;SENP2;ZRANB1;ZBTB39;URB2;PSME4;RAB3GAP1;XRN1;ZNF664;USP42;ZNF148</t>
  </si>
  <si>
    <t>http://www.broadinstitute.org/gsea/msigdb/cards/GSE2405_0H_VS_6H_A_PHAGOCYTOPHILUM_STIM_NEUTROPHIL_UP.html</t>
  </si>
  <si>
    <t>3609;10771;64324;10142;23019;7528;4140;9221;254065;92140;57703;10765</t>
  </si>
  <si>
    <t>ILF3;ZMYND11;NSD1;AKAP9;CNOT1;YY1;MARK3;NOLC1;BRWD3;MTDH;CWC22;KDM5B</t>
  </si>
  <si>
    <t>5927;7155;221037;55728;80312;23505;5286;10277;2117;6942;1788</t>
  </si>
  <si>
    <t>KDM5A;TOP2B;JMJD1C;N4BP2;TET1;TMEM131;PIK3C2A;UBE4B;ETV3;TCF20;DNMT3A</t>
  </si>
  <si>
    <t>546;23253;23505;51230;23405;8087;11214;139285;9662;160760;65250;23112</t>
  </si>
  <si>
    <t>ATRX;ANKRD12;TMEM131;PHF20;DICER1;FXR1;AKAP13;AMER1;CEP135;PPTC7;CPLANE1;TNRC6B</t>
  </si>
  <si>
    <t>1778;169841;23064;55193;1106;23095;2932;139285;10426;58487;55636;9969</t>
  </si>
  <si>
    <t>DYNC1H1;ZNF169;SETX;PBRM1;CHD2;KIF1B;GSK3B;AMER1;TUBGCP3;CREBZF;CHD7;MED13</t>
  </si>
  <si>
    <t>157769;27291;11276;84301;79612;55632;55102;65250;26019;56980;55727;440193</t>
  </si>
  <si>
    <t>FAM91A1;R3HCC1L;SYNRG;DDI2;NAA16;G2E3;ATG2B;CPLANE1;UPF2;PRDM10;BTBD7;CCDC88C</t>
  </si>
  <si>
    <t>9826;673;7155;23064;23001;7248;26523;1106;10153;55727;10765;9967</t>
  </si>
  <si>
    <t>ARHGEF11;BRAF;TOP2B;SETX;WDFY3;TSC1;AGO1;CHD2;CEBPZ;BTBD7;KDM5B;THRAP3</t>
  </si>
  <si>
    <t>8019;10771;254225;7248;9169;26523;23358;200576;6789;472;84260;9923</t>
  </si>
  <si>
    <t>BRD3;ZMYND11;RNF169;TSC1;SCAF11;AGO1;USP24;PIKFYVE;STK4;ATM;TCHP;ZBTB40</t>
  </si>
  <si>
    <t>GSE5589_UNSTIM_VS_45MIN_LPS_AND_IL6_STIM_MACROPHAGE_DN</t>
  </si>
  <si>
    <t>3799;55275;23185;8880;85476;10730;80218;10915;10299;9188;26973;10762</t>
  </si>
  <si>
    <t>KIF5B;VPS53;LARP4B;FUBP1;GFM1;YME1L1;NAA50;TCERG1;MARCH6;DDX21;CHORDC1;NUP50</t>
  </si>
  <si>
    <t>http://www.broadinstitute.org/gsea/msigdb/cards/GSE5589_UNSTIM_VS_45MIN_LPS_AND_IL6_STIM_MACROPHAGE_DN.html</t>
  </si>
  <si>
    <t>GSE5589_LPS_AND_IL10_VS_LPS_AND_IL6_STIM_MACROPHAGE_45MIN_UP</t>
  </si>
  <si>
    <t>55252;23064;55914;57609;54497;200576;23633;4763;7109;25948;56652;192669</t>
  </si>
  <si>
    <t>ASXL2;SETX;ERBIN;DIP2B;HEATR5B;PIKFYVE;KPNA6;NF1;TRAPPC10;KBTBD2;TWNK;AGO3</t>
  </si>
  <si>
    <t>http://www.broadinstitute.org/gsea/msigdb/cards/GSE5589_LPS_AND_IL10_VS_LPS_AND_IL6_STIM_MACROPHAGE_45MIN_UP.html</t>
  </si>
  <si>
    <t>84986;55252;23293;57148;30849;200576;23660;22930;80205;131544;8239;192669</t>
  </si>
  <si>
    <t>ARHGAP19;ASXL2;SMG6;RALGAPB;PIK3R4;PIKFYVE;ZKSCAN5;RAB3GAP1;CHD9;CRYBG3;USP9X;AGO3</t>
  </si>
  <si>
    <t>6872;4299;5591;9793;55728;55023;55051;200576;23019;1106;2033;254065</t>
  </si>
  <si>
    <t>TAF1;AFF1;PRKDC;CKAP5;N4BP2;PHIP;NRDE2;PIKFYVE;CNOT1;CHD2;EP300;BRWD3</t>
  </si>
  <si>
    <t>8672;23328;84162;55183;5930;9711;23067;6801;11011;25948;23499;643314</t>
  </si>
  <si>
    <t>EIF4G3;SASH1;KIAA1109;RIF1;RBBP6;RUBCN;SETD1B;STRN;TLK2;KBTBD2;MACF1;MACF1</t>
  </si>
  <si>
    <t>79832;22976;254225;7840;7750;9126;4361;54832;9392;165055;56652</t>
  </si>
  <si>
    <t>QSER1;PAXIP1;RNF169;ALMS1;ZMYM2;SMC3;MRE11;VPS13C;TGFBRAP1;CCDC138;TWNK</t>
  </si>
  <si>
    <t>22848;9736;23126;80351;53944;905;7174;6789;55743;10198;80314;56995</t>
  </si>
  <si>
    <t>AAK1;USP34;POGZ;TNKS2;CSNK1G1;CCNT2;TPP2;STK4;CHFR;MPHOSPH9;EPC1;TULP4</t>
  </si>
  <si>
    <t>5062;22848;84614;9857;9736;23095;8812;22984;25962;54464;80012;55636</t>
  </si>
  <si>
    <t>PAK2;AAK1;ZBTB37;CEP350;USP34;KIF1B;CCNK;PDCD11;VIRMA;XRN1;PHC3;CHD7</t>
  </si>
  <si>
    <t>8672;5781;26005;84181;64682;64397;55051;59343;317;4140;2005;55014</t>
  </si>
  <si>
    <t>EIF4G3;PTPN11;C2CD3;CHD6;ANAPC1;ZNF106;NRDE2;SENP2;APAF1;MARK3;ELK4;STX17</t>
  </si>
  <si>
    <t>GSE15330_WT_VS_IKAROS_KO_MEGAKARYOCYTE_ERYTHROID_PROGENITOR_UP</t>
  </si>
  <si>
    <t>11128;55660;2802;8661;55183;8880;84079;6311;23633;23013;26054;51455</t>
  </si>
  <si>
    <t>POLR3A;PRPF40A;GOLGA3;EIF3A;RIF1;FUBP1;ANKRD27;ATXN2;KPNA6;SPEN;SENP6;REV1</t>
  </si>
  <si>
    <t>http://www.broadinstitute.org/gsea/msigdb/cards/GSE15330_WT_VS_IKAROS_KO_MEGAKARYOCYTE_ERYTHROID_PROGENITOR_UP.html</t>
  </si>
  <si>
    <t>9611;55023;57459;53944;54454;23660;9919;5469;142891;26019;55636;7707</t>
  </si>
  <si>
    <t>NCOR1;PHIP;GATAD2B;CSNK1G1;ATAD2B;ZKSCAN5;SEC16A;MED1;SAMD8;UPF2;CHD7;ZNF148</t>
  </si>
  <si>
    <t>9611;3799;3609;26005;89910;55023;10142;54454;57472;23637;7109;5469</t>
  </si>
  <si>
    <t>NCOR1;KIF5B;ILF3;C2CD3;UBE3B;PHIP;AKAP9;ATAD2B;CNOT6;RABGAP1;TRAPPC10;MED1</t>
  </si>
  <si>
    <t>11128;5048;257218;57459;55341;80351;23358;9147;2551;5469;25831;22828</t>
  </si>
  <si>
    <t>POLR3A;PAFAH1B1;SHPRH;GATAD2B;LSG1;TNKS2;USP24;NEMF;GABPA;MED1;HECTD1;SCAF8</t>
  </si>
  <si>
    <t>GSE14908_RESTING_VS_HDM_STIM_CD4_TCELL_NONATOPIC_PATIENT_DN</t>
  </si>
  <si>
    <t>1778;89910;23032;80351;3096;10735;27327;25909;8239;10765;25831;23200</t>
  </si>
  <si>
    <t>DYNC1H1;UBE3B;USP33;TNKS2;HIVEP1;STAG2;TNRC6A;AHCTF1;USP9X;KDM5B;HECTD1;ATP11B</t>
  </si>
  <si>
    <t>http://www.broadinstitute.org/gsea/msigdb/cards/GSE14908_RESTING_VS_HDM_STIM_CD4_TCELL_NONATOPIC_PATIENT_DN.html</t>
  </si>
  <si>
    <t>3840;55183;65117;9527;3096;2117;160760;7994;80155;9188;54014;55818</t>
  </si>
  <si>
    <t>KPNA4;RIF1;RSRC2;GOSR1;HIVEP1;ETV3;PPTC7;KAT6A;NAA15;DDX21;BRWD1;KDM3A</t>
  </si>
  <si>
    <t>3609;9793;84726;64397;57680;23019;1106;905;4899;11176;9967;4216</t>
  </si>
  <si>
    <t>ILF3;CKAP5;PRRC2B;ZNF106;CHD8;CNOT1;CHD2;CCNT2;NRF1;BAZ2A;THRAP3;MAP3K4</t>
  </si>
  <si>
    <t>GSE19888_CTRL_VS_T_CELL_MEMBRANES_ACT_MAST_CELL_UP</t>
  </si>
  <si>
    <t>9475;2475;9202;158405;57679;64426;27332;347240;84301;9879;64421;64783</t>
  </si>
  <si>
    <t>ROCK2;MTOR;ZMYM4;KIAA1958;ALS2;SUDS3;ZNF638;KIF24;DDI2;DDX46;DCLRE1C;RBM15</t>
  </si>
  <si>
    <t>http://www.broadinstitute.org/gsea/msigdb/cards/GSE19888_CTRL_VS_T_CELL_MEMBRANES_ACT_MAST_CELL_UP.html</t>
  </si>
  <si>
    <t>4299;51755;7776;9693;6341;2117;23527;23033;57534;9392;64421;9923</t>
  </si>
  <si>
    <t>AFF1;CDK12;ZNF236;RAPGEF2;SCO1;ETV3;ACAP2;DOP1A;MIB1;TGFBRAP1;DCLRE1C;ZBTB40</t>
  </si>
  <si>
    <t>23077;10771;84162;80312;79677;29994;1106;23036;6789;25948;84669;6942</t>
  </si>
  <si>
    <t>MYCBP2;ZMYND11;KIAA1109;TET1;SMC6;BAZ2B;CHD2;ZNF292;STK4;KBTBD2;USP32;TCF20</t>
  </si>
  <si>
    <t>GSE21670_TGFB_VS_IL6_TREATED_STAT3_KO_CD4_TCELL_UP</t>
  </si>
  <si>
    <t>27340;6654;157769;7248;51230;2117;9698;80205;139285;84301;10765;27161</t>
  </si>
  <si>
    <t>UTP20;SOS1;FAM91A1;TSC1;PHF20;ETV3;PUM1;CHD9;AMER1;DDI2;KDM5B;AGO2</t>
  </si>
  <si>
    <t>http://www.broadinstitute.org/gsea/msigdb/cards/GSE21670_TGFB_VS_IL6_TREATED_STAT3_KO_CD4_TCELL_UP.html</t>
  </si>
  <si>
    <t>GSE21927_SPLEEN_VS_C26GM_TUMOR_MONOCYTE_BALBC_DN</t>
  </si>
  <si>
    <t>5781;6659;6654;22848;157769;5930;171023;85440;285527;9816;253959;9188</t>
  </si>
  <si>
    <t>PTPN11;SOX4;SOS1;AAK1;FAM91A1;RBBP6;ASXL1;DOCK7;FRYL;URB2;RALGAPA1;DDX21</t>
  </si>
  <si>
    <t>http://www.broadinstitute.org/gsea/msigdb/cards/GSE21927_SPLEEN_VS_C26GM_TUMOR_MONOCYTE_BALBC_DN.html</t>
  </si>
  <si>
    <t>23328;7586;1656;8661;10771;65117;3842;4140;7690;7159;4863;643314</t>
  </si>
  <si>
    <t>SASH1;ZKSCAN1;DDX6;EIF3A;ZMYND11;RSRC2;TNPO1;MARK3;ZNF131;TP53BP2;NPAT;MACF1</t>
  </si>
  <si>
    <t>200424;11064;22853;9711;53944;9678;5116;7159;9662;54812;8239;55802</t>
  </si>
  <si>
    <t>TET3;CNTRL;LMTK2;RUBCN;CSNK1G1;PHF14;PCNT;TP53BP2;CEP135;AFTPH;USP9X;DCP1A</t>
  </si>
  <si>
    <t>GSE22527_ANTI_CD3_INVIVO_VS_UNTREATED_MOUSE_TREG_DN</t>
  </si>
  <si>
    <t>5980;26130;89910;54454;9126;7556;56252;9221;10714;23269;26009;55705</t>
  </si>
  <si>
    <t>REV3L;GAPVD1;UBE3B;ATAD2B;SMC3;ZNF10;YLPM1;NOLC1;POLD3;MGA;AC118549.1;IPO9</t>
  </si>
  <si>
    <t>http://www.broadinstitute.org/gsea/msigdb/cards/GSE22527_ANTI_CD3_INVIVO_VS_UNTREATED_MOUSE_TREG_DN.html</t>
  </si>
  <si>
    <t>1778;8925;54619;158427;54906;85440;55914;317;6249;6789;54455;8505</t>
  </si>
  <si>
    <t>DYNC1H1;HERC1;CCNJ;TSTD2;TASOR2;DOCK7;ERBIN;APAF1;CLIP1;STK4;FBXO42;PARG</t>
  </si>
  <si>
    <t>55814;9880;3096;8621;4899;79612;140775;79048;84132;55802;54014;55668</t>
  </si>
  <si>
    <t>BDP1;ZBTB39;HIVEP1;CDK13;NRF1;NAA16;SMCR8;SECISBP2;USP42;DCP1A;BRWD1;GPATCH2L</t>
  </si>
  <si>
    <t>GSE22589_HIV_VS_HIV_AND_SIV_INFECTED_DC_DN</t>
  </si>
  <si>
    <t>9631;26005;171023;84079;23181;80205;10985;11190;9188;54014;27161;10762</t>
  </si>
  <si>
    <t>NUP155;C2CD3;ASXL1;ANKRD27;DIP2A;CHD9;GCN1;CEP250;DDX21;BRWD1;AGO2;NUP50</t>
  </si>
  <si>
    <t>http://www.broadinstitute.org/gsea/msigdb/cards/GSE22589_HIV_VS_HIV_AND_SIV_INFECTED_DC_DN.html</t>
  </si>
  <si>
    <t>5048;7155;55252;54454;5422;2957;84301;55432;283578;11011;22849;5814</t>
  </si>
  <si>
    <t>PAFAH1B1;TOP2B;ASXL2;ATAD2B;POLA1;GTF2A1;DDI2;YOD1;TMED8;TLK2;CPEB3;PURB</t>
  </si>
  <si>
    <t>9139;26130;9711;3096;6249;987;4863;22930;253959;440193;55636;11108</t>
  </si>
  <si>
    <t>CBFA2T2;GAPVD1;RUBCN;HIVEP1;CLIP1;LRBA;NPAT;RAB3GAP1;RALGAPA1;CCDC88C;CHD7;PRDM4</t>
  </si>
  <si>
    <t>2475;10771;57695;84181;10274;55628;54454;11276;200576;9678;8518;10735</t>
  </si>
  <si>
    <t>MTOR;ZMYND11;USP37;CHD6;STAG1;ZNF407;ATAD2B;SYNRG;PIKFYVE;PHF14;ELP1;STAG2</t>
  </si>
  <si>
    <t>23160;23244;10940;9841;4361;5471;7024;6789;9816;27042;26054;27161</t>
  </si>
  <si>
    <t>WDR43;PDS5A;POP1;ZBTB24;MRE11;PPAT;TFCP2;STK4;URB2;UTP25;SENP6;AGO2</t>
  </si>
  <si>
    <t>3840;200424;27340;673;3836;55183;56957;9880;10128;10153;9816;160760</t>
  </si>
  <si>
    <t>KPNA4;TET3;UTP20;BRAF;KPNA1;RIF1;OTUD7B;ZBTB39;LRPPRC;CEBPZ;URB2;PPTC7</t>
  </si>
  <si>
    <t>23347;27107;405;5290;9931;7155;2186;58508;55023;84146;7750;4763</t>
  </si>
  <si>
    <t>SMCHD1;ZBTB11;ARNT;PIK3CA;HELZ;TOP2B;BPTF;KMT2C;PHIP;ZNF644;ZMYM2;NF1</t>
  </si>
  <si>
    <t>GSE26351_UNSTIM_VS_WNT_PATHWAY_STIM_HEMATOPOIETIC_PROGENITORS_DN</t>
  </si>
  <si>
    <t>6711;54799;254225;30849;51230;64397;155435;84248;10198;9969;9329;8202</t>
  </si>
  <si>
    <t>SPTBN1;MBTD1;RNF169;PIK3R4;PHF20;ZNF106;RBM33;FYTTD1;MPHOSPH9;MED13;GTF3C4;NCOA3</t>
  </si>
  <si>
    <t>http://www.broadinstitute.org/gsea/msigdb/cards/GSE26351_UNSTIM_VS_WNT_PATHWAY_STIM_HEMATOPOIETIC_PROGENITORS_DN.html</t>
  </si>
  <si>
    <t>8888;5495;5981;9320;25914;8880;51479;5422;55743;10198;10765;10762</t>
  </si>
  <si>
    <t>MCM3AP;PPM1B;RFC1;TRIP12;RTTN;FUBP1;ANKFY1;POLA1;CHFR;MPHOSPH9;KDM5B;NUP50</t>
  </si>
  <si>
    <t>9877;23317;54799;23253;55023;85459;6341;91748;92140;25948;55636;53981</t>
  </si>
  <si>
    <t>ZC3H11A;DNAJC13;MBTD1;ANKRD12;PHIP;CEP295;SCO1;ELMSAN1;MTDH;KBTBD2;CHD7;CPSF2</t>
  </si>
  <si>
    <t>GSE32986_UNSTIM_VS_CURDLAN_HIGHDOSE_STIM_DC_UP</t>
  </si>
  <si>
    <t>9793;84986;55183;166378;85459;23468;51182;6596;10714;55159;10426;10198</t>
  </si>
  <si>
    <t>CKAP5;ARHGAP19;RIF1;SPATA5;CEP295;CBX5;HSPA14;HLTF;POLD3;RFWD3;TUBGCP3;MPHOSPH9</t>
  </si>
  <si>
    <t>http://www.broadinstitute.org/gsea/msigdb/cards/GSE32986_UNSTIM_VS_CURDLAN_HIGHDOSE_STIM_DC_UP.html</t>
  </si>
  <si>
    <t>3840;27107;2475;55275;157769;253260;27291;79677;3096;84131;55320;440193</t>
  </si>
  <si>
    <t>KPNA4;ZBTB11;MTOR;VPS53;FAM91A1;RICTOR;R3HCC1L;SMC6;HIVEP1;CEP78;MIS18BP1;CCDC88C</t>
  </si>
  <si>
    <t>3836;6659;3609;29072;6874;2117;7109;54455;79048;2140;51696;9439</t>
  </si>
  <si>
    <t>KPNA1;SOX4;ILF3;SETD2;TAF4;ETV3;TRAPPC10;FBXO42;SECISBP2;EYA3;HECA;MED23</t>
  </si>
  <si>
    <t>23077;54799;23160;25836;166378;91746;51479;7690;26009;26065;55743;79657</t>
  </si>
  <si>
    <t>MYCBP2;MBTD1;WDR43;NIPBL;SPATA5;YTHDC1;ANKFY1;ZNF131;AC118549.1;LSM14A;CHFR;RPAP3</t>
  </si>
  <si>
    <t>89910;57634;80351;29994;23358;8087;8453;7159;22930;23527;55743;27161</t>
  </si>
  <si>
    <t>UBE3B;EP400;TNKS2;BAZ2B;USP24;FXR1;CUL2;TP53BP2;RAB3GAP1;ACAP2;CHFR;AGO2</t>
  </si>
  <si>
    <t>GSE37532_WT_VS_PPARG_KO_VISCERAL_ADIPOSE_TISSUE_TCONV_DN</t>
  </si>
  <si>
    <t>5062;90957;22976;51230;23350;10277;10128;9221;27042;8505;23299;55127</t>
  </si>
  <si>
    <t>PAK2;DHX57;PAXIP1;PHF20;U2SURP;UBE4B;LRPPRC;NOLC1;UTP25;PARG;BICD2;HEATR1</t>
  </si>
  <si>
    <t>http://www.broadinstitute.org/gsea/msigdb/cards/GSE37532_WT_VS_PPARG_KO_VISCERAL_ADIPOSE_TISSUE_TCONV_DN.html</t>
  </si>
  <si>
    <t>GSE37534_UNTREATED_VS_PIOGLITAZONE_TREATED_CD4_TCELL_PPARG1_AND_FOXP3_TRASDUCED_UP</t>
  </si>
  <si>
    <t>405;26098;30849;29994;7109;64854;463;22850;79612;26065;56995;643314</t>
  </si>
  <si>
    <t>ARNT;EDRF1;PIK3R4;BAZ2B;TRAPPC10;USP46;ZFHX3;ADNP2;NAA16;LSM14A;TULP4;MACF1</t>
  </si>
  <si>
    <t>http://www.broadinstitute.org/gsea/msigdb/cards/GSE37534_UNTREATED_VS_PIOGLITAZONE_TREATED_CD4_TCELL_PPARG1_AND_FOXP3_TRASDUCED_UP.html</t>
  </si>
  <si>
    <t>7155;58508;57492;9712;23049;23195;9774;7750;57498;9221;27042;55127</t>
  </si>
  <si>
    <t>TOP2B;KMT2C;ARID1B;USP6NL;SMG1;MDN1;BCLAF1;ZMYM2;KIDINS220;NOLC1;UTP25;HEATR1</t>
  </si>
  <si>
    <t>9202;58508;51479;23215;1106;23527;54520;23269;254887;80314;23143;8202</t>
  </si>
  <si>
    <t>ZMYM4;KMT2C;ANKFY1;PRRC2C;CHD2;ACAP2;CCDC93;MGA;ZDHHC23;EPC1;LRCH1;NCOA3</t>
  </si>
  <si>
    <t>9202;6873;23126;80312;6311;26523;9816;84131;83448;55127;79813;9439</t>
  </si>
  <si>
    <t>ZMYM4;TAF2;POGZ;TET1;ATXN2;AGO1;URB2;CEP78;PUS7L;HEATR1;EHMT1;MED23</t>
  </si>
  <si>
    <t>54799;6659;8019;55728;80312;28981;29994;7514;4301;283337;56995;10765</t>
  </si>
  <si>
    <t>MBTD1;SOX4;BRD3;N4BP2;TET1;IFT81;BAZ2B;XPO1;AFDN;ZNF740;TULP4;KDM5B</t>
  </si>
  <si>
    <t>54799;23293;9712;80311;23049;23195;54552;29994;9698;91748;80314;7707</t>
  </si>
  <si>
    <t>MBTD1;SMG6;USP6NL;KLHL15;SMG1;MDN1;GNL3L;BAZ2B;PUM1;ELMSAN1;EPC1;ZNF148</t>
  </si>
  <si>
    <t>GSE41867_DAY15_EFFECTOR_VS_DAY30_EXHAUSTED_CD8_TCELL_LCMV_CLONE13_DN</t>
  </si>
  <si>
    <t>7155;23160;8925;55341;79572;6874;10915;9113;2551;9879;26054;8202</t>
  </si>
  <si>
    <t>TOP2B;WDR43;HERC1;LSG1;ATP13A3;TAF4;TCERG1;LATS1;GABPA;DDX46;SENP6;NCOA3</t>
  </si>
  <si>
    <t>http://www.broadinstitute.org/gsea/msigdb/cards/GSE41867_DAY15_EFFECTOR_VS_DAY30_EXHAUSTED_CD8_TCELL_LCMV_CLONE13_DN.html</t>
  </si>
  <si>
    <t>GSE41867_DAY6_VS_DAY15_LCMV_ARMSTRONG_EFFECTOR_CD8_TCELL_DN</t>
  </si>
  <si>
    <t>5495;9360;9733;22848;23369;10274;7109;5469;4899;55291;26065;22828</t>
  </si>
  <si>
    <t>PPM1B;PPIG;SART3;AAK1;PUM2;STAG1;TRAPPC10;MED1;NRF1;PPP6R3;LSM14A;SCAF8</t>
  </si>
  <si>
    <t>http://www.broadinstitute.org/gsea/msigdb/cards/GSE41867_DAY6_VS_DAY15_LCMV_ARMSTRONG_EFFECTOR_CD8_TCELL_DN.html</t>
  </si>
  <si>
    <t>9139;7428;1778;9869;23369;7248;64682;54454;11276;2957;23392;26009</t>
  </si>
  <si>
    <t>CBFA2T2;VHL;DYNC1H1;SETDB1;PUM2;TSC1;ANAPC1;ATAD2B;SYNRG;GTF2A1;ECPAS;AC118549.1</t>
  </si>
  <si>
    <t>23014;7705;9857;80351;571;3930;122830;254065;92140;8505;26009;10426</t>
  </si>
  <si>
    <t>FBXO21;ZNF146;CEP350;TNKS2;BACH1;LBR;NAA30;BRWD3;MTDH;PARG;AC118549.1;TUBGCP3</t>
  </si>
  <si>
    <t>GSE43955_1H_VS_60H_ACT_CD4_TCELL_DN</t>
  </si>
  <si>
    <t>8888;5591;4520;8315;171023;3842;170506;571;23095;2876;23468;8453</t>
  </si>
  <si>
    <t>MCM3AP;PRKDC;MTF1;BRAP;ASXL1;TNPO1;DHX36;BACH1;KIF1B;GPX1;CBX5;CUL2</t>
  </si>
  <si>
    <t>http://www.broadinstitute.org/gsea/msigdb/cards/GSE43955_1H_VS_60H_ACT_CD4_TCELL_DN.html</t>
  </si>
  <si>
    <t>GSE43863_NAIVE_VS_TH1_EFF_CD4_TCELL_D6_LCMV_UP</t>
  </si>
  <si>
    <t>54799;165918;57690;7750;22992;23633;10277;867;55159;54014;53981;23112</t>
  </si>
  <si>
    <t>MBTD1;RNF168;TNRC6C;ZMYM2;KDM2A;KPNA6;UBE4B;CBL;RFWD3;BRWD1;CPSF2;TNRC6B</t>
  </si>
  <si>
    <t>http://www.broadinstitute.org/gsea/msigdb/cards/GSE43863_NAIVE_VS_TH1_EFF_CD4_TCELL_D6_LCMV_UP.html</t>
  </si>
  <si>
    <t>2475;80018;55023;10940;80218;6249;5471;8453;9816;26009;54765;83448</t>
  </si>
  <si>
    <t>MTOR;NAA25;PHIP;POP1;NAA50;CLIP1;PPAT;CUL2;URB2;AC118549.1;TRIM44;PUS7L</t>
  </si>
  <si>
    <t>GSE44649_NAIVE_VS_ACTIVATED_CD8_TCELL_DN</t>
  </si>
  <si>
    <t>257218;165918;9712;80218;8518;5422;6249;4863;57534;80012;55167;51696</t>
  </si>
  <si>
    <t>SHPRH;RNF168;USP6NL;NAA50;ELP1;POLA1;CLIP1;NPAT;MIB1;PHC3;MSL2;HECA</t>
  </si>
  <si>
    <t>http://www.broadinstitute.org/gsea/msigdb/cards/GSE44649_NAIVE_VS_ACTIVATED_CD8_TCELL_DN.html</t>
  </si>
  <si>
    <t>2802;80018;54906;55023;54454;9693;317;4140;79612;9887;7994;53981</t>
  </si>
  <si>
    <t>GOLGA3;NAA25;TASOR2;PHIP;ATAD2B;RAPGEF2;APAF1;MARK3;NAA16;SMG7;KAT6A;CPSF2</t>
  </si>
  <si>
    <t>5451;3609;7156;157769;6873;253260;57448;23405;905;55014;158431;79657</t>
  </si>
  <si>
    <t>POU2F1;ILF3;TOP3A;FAM91A1;TAF2;RICTOR;BIRC6;DICER1;CCNT2;STX17;ZNF782;RPAP3</t>
  </si>
  <si>
    <t>23077;23014;7586;2969;374354;58508;388228;54520;84301;2074;55342;9786</t>
  </si>
  <si>
    <t>MYCBP2;FBXO21;ZKSCAN1;GTF2I;NHLRC2;KMT2C;SBK1;CCDC93;DDI2;ERCC6;STRBP;KIAA0586</t>
  </si>
  <si>
    <t>6711;54799;8019;317;10299;11168;1859;54812;157680;84295;10735;10765</t>
  </si>
  <si>
    <t>SPTBN1;MBTD1;BRD3;APAF1;MARCH6;PSIP1;DYRK1A;AFTPH;VPS13B;PHF6;STAG2;KDM5B</t>
  </si>
  <si>
    <t>GSE45837_WT_VS_GFI1_KO_PDC_UP</t>
  </si>
  <si>
    <t>55660;23328;673;23132;23633;9113;7174;2033;55167;9188;27161;9967</t>
  </si>
  <si>
    <t>PRPF40A;SASH1;BRAF;RAD54L2;KPNA6;LATS1;TPP2;EP300;MSL2;DDX21;AGO2;THRAP3</t>
  </si>
  <si>
    <t>http://www.broadinstitute.org/gsea/msigdb/cards/GSE45837_WT_VS_GFI1_KO_PDC_UP.html</t>
  </si>
  <si>
    <t>23347;9826;1778;5930;23001;9712;80218;79572;23067;4140;55668;27161</t>
  </si>
  <si>
    <t>SMCHD1;ARHGEF11;DYNC1H1;RBBP6;WDFY3;USP6NL;NAA50;ATP13A3;SETD1B;MARK3;GPATCH2L;AGO2</t>
  </si>
  <si>
    <t>GSE45365_NK_CELL_VS_BCELL_UP</t>
  </si>
  <si>
    <t>55814;27340;5062;54906;10137;23195;29994;7776;571;867;11083;51132</t>
  </si>
  <si>
    <t>BDP1;UTP20;PAK2;TASOR2;RBM12;MDN1;BAZ2B;ZNF236;BACH1;CBL;DIDO1;RLIM</t>
  </si>
  <si>
    <t>http://www.broadinstitute.org/gsea/msigdb/cards/GSE45365_NK_CELL_VS_BCELL_UP.html</t>
  </si>
  <si>
    <t>9044;10075;53944;23633;4301;472;22984;56980;58487;9923;55727</t>
  </si>
  <si>
    <t>BTAF1;HUWE1;CSNK1G1;KPNA6;AFDN;ATM;PDCD11;PRDM10;CREBZF;ZBTB40;BTBD7</t>
  </si>
  <si>
    <t>http://www.broadinstitute.org/gsea/msigdb/cards/GSE6269_HEALTHY_VS_FLU_INF_PBMC_UP.html</t>
  </si>
  <si>
    <t>GSE34156_UNTREATED_VS_6H_TLR1_TLR2_LIGAND_TREATED_MONOCYTE_DN</t>
  </si>
  <si>
    <t>8661;8019;22848;23522;10940;867;23181;54520;142891;54014;27161</t>
  </si>
  <si>
    <t>EIF3A;BRD3;AAK1;KAT6B;POP1;CBL;DIP2A;CCDC93;SAMD8;BRWD1;AGO2</t>
  </si>
  <si>
    <t>http://www.broadinstitute.org/gsea/msigdb/cards/GSE34156_UNTREATED_VS_6H_TLR1_TLR2_LIGAND_TREATED_MONOCYTE_DN.html</t>
  </si>
  <si>
    <t>1656;5781;56957;130507;57148;23132;317;285527;987;57531;54464</t>
  </si>
  <si>
    <t>DDX6;PTPN11;OTUD7B;UBR3;RALGAPB;RAD54L2;APAF1;FRYL;LRBA;HACE1;XRN1</t>
  </si>
  <si>
    <t>80312;23522;57690;55870;23358;23095;10207;56995;10765;6942</t>
  </si>
  <si>
    <t>TET1;KAT6B;TNRC6C;ASH1L;USP24;KIF1B;PATJ;TULP4;KDM5B;TCF20</t>
  </si>
  <si>
    <t>9681;23451;23389;170506;9693;10299;10914;57703;23200;1788</t>
  </si>
  <si>
    <t>DEPDC5;SF3B1;MED13L;DHX36;RAPGEF2;MARCH6;PAPOLA;CWC22;ATP11B;DNMT3A</t>
  </si>
  <si>
    <t>GSE4984_GALECTIN1_VS_LPS_STIM_DC_UP</t>
  </si>
  <si>
    <t>7579;7182;8315;11064;57680;23140;8867;51742;157680;84893</t>
  </si>
  <si>
    <t>ZSCAN20;NR2C2;BRAP;CNTRL;CHD8;ZZEF1;SYNJ1;ARID4B;VPS13B;FBH1</t>
  </si>
  <si>
    <t>http://www.broadinstitute.org/gsea/msigdb/cards/GSE4984_GALECTIN1_VS_LPS_STIM_DC_UP.html</t>
  </si>
  <si>
    <t>GSE7348_UNSTIM_VS_TOLERIZED_AND_LPS_STIM_MACROPHAGE_DN</t>
  </si>
  <si>
    <t>2802;54619;57634;23198;92140;11011;22849;56987;9887;23143</t>
  </si>
  <si>
    <t>GOLGA3;CCNJ;EP400;PSME4;MTDH;TLK2;CPEB3;BBX;SMG7;LRCH1</t>
  </si>
  <si>
    <t>http://www.broadinstitute.org/gsea/msigdb/cards/GSE7348_UNSTIM_VS_TOLERIZED_AND_LPS_STIM_MACROPHAGE_DN.html</t>
  </si>
  <si>
    <t>5903;3609;10771;10274;57609;9693;9919;9816;283578;23200</t>
  </si>
  <si>
    <t>RANBP2;ILF3;ZMYND11;STAG1;DIP2B;RAPGEF2;SEC16A;URB2;TMED8;ATP11B</t>
  </si>
  <si>
    <t>5451;55728;80312;23195;7750;23358;27042;10207;80314;10765</t>
  </si>
  <si>
    <t>POU2F1;N4BP2;TET1;MDN1;ZMYM2;USP24;UTP25;PATJ;EPC1;KDM5B</t>
  </si>
  <si>
    <t>26057;54906;57634;64426;571;6341;6789;1859;142891;9969</t>
  </si>
  <si>
    <t>ANKRD17;TASOR2;EP400;SUDS3;BACH1;SCO1;STK4;DYRK1A;SAMD8;MED13</t>
  </si>
  <si>
    <t>GSE5589_WT_VS_IL6_KO_LPS_STIM_MACROPHAGE_180MIN_DN</t>
  </si>
  <si>
    <t>9681;1106;9841;9678;51585;2117;57553;11011;27161</t>
  </si>
  <si>
    <t>DEPDC5;CHD2;ZBTB24;PHF14;PCF11;ETV3;MICAL3;TLK2;AGO2</t>
  </si>
  <si>
    <t>http://www.broadinstitute.org/gsea/msigdb/cards/GSE5589_WT_VS_IL6_KO_LPS_STIM_MACROPHAGE_180MIN_DN.html</t>
  </si>
  <si>
    <t>23077;9584;54906;254048;23389;23215;23140;6789;440193;10765;55689</t>
  </si>
  <si>
    <t>MYCBP2;RBM39;TASOR2;UBN2;MED13L;PRRC2C;ZZEF1;STK4;CCDC88C;KDM5B;YEATS2</t>
  </si>
  <si>
    <t>GSE10239_MEMORY_VS_KLRG1INT_EFF_CD8_TCELL_DN</t>
  </si>
  <si>
    <t>7182;26130;84986;80204;171023;57697;165918;10940;2551;55159;22847</t>
  </si>
  <si>
    <t>NR2C2;GAPVD1;ARHGAP19;FBXO11;ASXL1;FANCM;RNF168;POP1;GABPA;RFWD3;ZNF507</t>
  </si>
  <si>
    <t>http://www.broadinstitute.org/gsea/msigdb/cards/GSE10239_MEMORY_VS_KLRG1INT_EFF_CD8_TCELL_DN.html</t>
  </si>
  <si>
    <t>9877;7182;55914;7750;22992;9880;2932;26009;267004;4848;10762</t>
  </si>
  <si>
    <t>ZC3H11A;NR2C2;ERBIN;ZMYM2;KDM2A;ZBTB39;GSK3B;AC118549.1;ERCC6;AC092881.1;NUP50</t>
  </si>
  <si>
    <t>GSE11864_UNTREATED_VS_CSF1_IFNG_IN_MAC_DN</t>
  </si>
  <si>
    <t>9611;9793;7705;51248;3842;84079;6341;9527;140775;55705;53981</t>
  </si>
  <si>
    <t>NCOR1;CKAP5;ZNF146;PDZD11;TNPO1;ANKRD27;SCO1;GOSR1;SMCR8;IPO9;CPSF2</t>
  </si>
  <si>
    <t>http://www.broadinstitute.org/gsea/msigdb/cards/GSE11864_UNTREATED_VS_CSF1_IFNG_IN_MAC_DN.html</t>
  </si>
  <si>
    <t>23077;140710;6711;221037;255967;7514;867;23033;57531;10765;55818</t>
  </si>
  <si>
    <t>MYCBP2;SOGA1;SPTBN1;JMJD1C;PAN3;XPO1;CBL;DOP1A;HACE1;KDM5B;KDM3A</t>
  </si>
  <si>
    <t>GSE12845_IGD_POS_BLOOD_VS_PRE_GC_TONSIL_BCELL_DN</t>
  </si>
  <si>
    <t>51366;6093;26098;9169;23215;10299;23468;64864;55159;55705;9188</t>
  </si>
  <si>
    <t>UBR5;ROCK1;EDRF1;SCAF11;PRRC2C;MARCH6;CBX5;RFX7;RFWD3;IPO9;DDX21</t>
  </si>
  <si>
    <t>http://www.broadinstitute.org/gsea/msigdb/cards/GSE12845_IGD_POS_BLOOD_VS_PRE_GC_TONSIL_BCELL_DN.html</t>
  </si>
  <si>
    <t>GSE12845_IGD_POS_BLOOD_VS_DARKZONE_GC_TONSIL_BCELL_DN</t>
  </si>
  <si>
    <t>51366;9736;65117;171023;8880;51773;29994;23637;79707;79612;23013</t>
  </si>
  <si>
    <t>UBR5;USP34;RSRC2;ASXL1;FUBP1;RSF1;BAZ2B;RABGAP1;NOL9;NAA16;SPEN</t>
  </si>
  <si>
    <t>http://www.broadinstitute.org/gsea/msigdb/cards/GSE12845_IGD_POS_BLOOD_VS_DARKZONE_GC_TONSIL_BCELL_DN.html</t>
  </si>
  <si>
    <t>27340;6659;9135;253143;22992;7556;5469;55671;23499;7707;1788</t>
  </si>
  <si>
    <t>UTP20;SOX4;RABEP1;PRR14L;KDM2A;ZNF10;MED1;PPP4R3A;MACF1;ZNF148;DNMT3A</t>
  </si>
  <si>
    <t>GSE13229_IMM_VS_MATURE_NKCELL_UP</t>
  </si>
  <si>
    <t>4976;405;22848;9202;25836;55728;254225;89884;11244;6596;9662</t>
  </si>
  <si>
    <t>OPA1;ARNT;AAK1;ZMYM4;NIPBL;N4BP2;RNF169;LHX4;ZHX1;HLTF;CEP135</t>
  </si>
  <si>
    <t>http://www.broadinstitute.org/gsea/msigdb/cards/GSE13229_IMM_VS_MATURE_NKCELL_UP.html</t>
  </si>
  <si>
    <t>5980;5495;3799;4299;23253;171023;64324;55914;11244;27327;440193</t>
  </si>
  <si>
    <t>REV3L;PPM1B;KIF5B;AFF1;ANKRD12;ASXL1;NSD1;ERBIN;ZHX1;TNRC6A;CCDC88C</t>
  </si>
  <si>
    <t>GSE13306_RA_VS_UNTREATED_TREG_UP</t>
  </si>
  <si>
    <t>5980;5495;27340;673;405;255967;84726;10075;9816;84301;27327</t>
  </si>
  <si>
    <t>REV3L;PPM1B;UTP20;BRAF;ARNT;PAN3;PRRC2B;HUWE1;URB2;DDI2;TNRC6A</t>
  </si>
  <si>
    <t>http://www.broadinstitute.org/gsea/msigdb/cards/GSE13306_RA_VS_UNTREATED_TREG_UP.html</t>
  </si>
  <si>
    <t>9611;23195;10914;7701;5471;3930;55596;26065;23299;55743;6942</t>
  </si>
  <si>
    <t>NCOR1;MDN1;PAPOLA;ZNF142;PPAT;LBR;ZCCHC8;LSM14A;BICD2;CHFR;TCF20</t>
  </si>
  <si>
    <t>51366;27107;6711;10897;51182;23198;79882;157680;26065;79646;643314</t>
  </si>
  <si>
    <t>UBR5;ZBTB11;SPTBN1;YIF1A;HSPA14;PSME4;ZC3H14;VPS13B;LSM14A;PANK3;MACF1</t>
  </si>
  <si>
    <t>9044;3836;6711;55183;56957;10137;3096;22930;54520;54812;25909</t>
  </si>
  <si>
    <t>BTAF1;KPNA1;SPTBN1;RIF1;OTUD7B;RBM12;HIVEP1;RAB3GAP1;CCDC93;AFTPH;AHCTF1</t>
  </si>
  <si>
    <t>GSE13485_CTRL_VS_DAY21_YF17D_VACCINE_PBMC_UP</t>
  </si>
  <si>
    <t>8315;165918;23358;9880;54887;155435;5814;64421;84132;55668;10765</t>
  </si>
  <si>
    <t>BRAP;RNF168;USP24;ZBTB39;UHRF1BP1;RBM33;PURB;DCLRE1C;USP42;GPATCH2L;KDM5B</t>
  </si>
  <si>
    <t>http://www.broadinstitute.org/gsea/msigdb/cards/GSE13485_CTRL_VS_DAY21_YF17D_VACCINE_PBMC_UP.html</t>
  </si>
  <si>
    <t>5130;22848;10075;7248;64397;79572;472;254065;8239;27161;23200</t>
  </si>
  <si>
    <t>PCYT1A;AAK1;HUWE1;TSC1;ZNF106;ATP13A3;ATM;BRWD3;USP9X;AGO2;ATP11B</t>
  </si>
  <si>
    <t>5495;4299;1778;255967;26058;23140;6249;7024;22847;4848;55636</t>
  </si>
  <si>
    <t>PPM1B;AFF1;DYNC1H1;PAN3;GIGYF2;ZZEF1;CLIP1;TFCP2;ZNF507;AC092881.1;CHD7</t>
  </si>
  <si>
    <t>27107;387680;26058;23389;22852;9147;8087;25948;283337;10765;26973</t>
  </si>
  <si>
    <t>ZBTB11;WASHC2A;GIGYF2;MED13L;ANKRD26;NEMF;FXR1;KBTBD2;ZNF740;KDM5B;CHORDC1</t>
  </si>
  <si>
    <t>8888;6654;9135;8925;171023;79572;11244;1859;10198;22828;55818</t>
  </si>
  <si>
    <t>MCM3AP;SOS1;RABEP1;HERC1;ASXL1;ATP13A3;ZHX1;DYRK1A;MPHOSPH9;SCAF8;KDM3A</t>
  </si>
  <si>
    <t>23077;5451;5981;9869;23358;8621;10735;57209;64421;79048;11108</t>
  </si>
  <si>
    <t>MYCBP2;POU2F1;RFC1;SETDB1;USP24;CDK13;STAG2;ZNF248;DCLRE1C;SECISBP2;PRDM4</t>
  </si>
  <si>
    <t>23317;23328;1778;10771;374354;28981;79572;10897;5586;26009;23499</t>
  </si>
  <si>
    <t>DNAJC13;SASH1;DYNC1H1;ZMYND11;NHLRC2;IFT81;ATP13A3;YIF1A;PKN2;AC118549.1;MACF1</t>
  </si>
  <si>
    <t>http://www.broadinstitute.org/gsea/msigdb/cards/GSE1460_DP_THYMOCYTE_VS_THYMIC_STROMAL_CELL_DN.html</t>
  </si>
  <si>
    <t>GSE1460_CD4_THYMOCYTE_VS_NAIVE_CD4_TCELL_CORD_BLOOD_UP</t>
  </si>
  <si>
    <t>23451;5981;80204;30849;10137;57472;7559;2551;7159;80205;7707</t>
  </si>
  <si>
    <t>SF3B1;RFC1;FBXO11;PIK3R4;RBM12;CNOT6;ZNF12;GABPA;TP53BP2;CHD9;ZNF148</t>
  </si>
  <si>
    <t>http://www.broadinstitute.org/gsea/msigdb/cards/GSE1460_CD4_THYMOCYTE_VS_NAIVE_CD4_TCELL_CORD_BLOOD_UP.html</t>
  </si>
  <si>
    <t>5981;9632;22848;57551;10299;2033;8239;64421;55167;10762;55818</t>
  </si>
  <si>
    <t>RFC1;SEC24C;AAK1;TAOK1;MARCH6;EP300;USP9X;DCLRE1C;MSL2;NUP50;KDM3A</t>
  </si>
  <si>
    <t>9972;6654;22853;10274;6801;347344;23033;253959;80155;55167;55802</t>
  </si>
  <si>
    <t>NUP153;SOS1;LMTK2;STAG1;STRN;ZNF81;DOP1A;RALGAPA1;NAA15;MSL2;DCP1A</t>
  </si>
  <si>
    <t>GSE15324_NAIVE_VS_ACTIVATED_ELF4_KO_CD8_TCELL_DN</t>
  </si>
  <si>
    <t>9681;23160;23063;81609;85440;10915;131544;79612;57531;9188;53981</t>
  </si>
  <si>
    <t>DEPDC5;WDR43;WAPL;SNX27;DOCK7;TCERG1;CRYBG3;NAA16;HACE1;DDX21;CPSF2</t>
  </si>
  <si>
    <t>http://www.broadinstitute.org/gsea/msigdb/cards/GSE15324_NAIVE_VS_ACTIVATED_ELF4_KO_CD8_TCELL_DN.html</t>
  </si>
  <si>
    <t>3840;3836;57532;57492;84181;23505;905;6249;347344;6789;8453</t>
  </si>
  <si>
    <t>KPNA4;KPNA1;NUFIP2;ARID1B;CHD6;TMEM131;CCNT2;CLIP1;ZNF81;STK4;CUL2</t>
  </si>
  <si>
    <t>GSE15930_STIM_VS_STIM_AND_TRICHOSTATINA_24H_CD8_T_CELL_DN</t>
  </si>
  <si>
    <t>11128;9475;6651;166378;11276;23633;10128;6670;27332;23392;10594</t>
  </si>
  <si>
    <t>POLR3A;ROCK2;SON;SPATA5;SYNRG;KPNA6;LRPPRC;SP3;ZNF638;ECPAS;PRPF8</t>
  </si>
  <si>
    <t>http://www.broadinstitute.org/gsea/msigdb/cards/GSE15930_STIM_VS_STIM_AND_TRICHOSTATINA_24H_CD8_T_CELL_DN.html</t>
  </si>
  <si>
    <t>GSE17721_CTRL_VS_LPS_4H_BMDC_UP</t>
  </si>
  <si>
    <t>5980;5981;9931;9869;387680;57609;9919;79882;55342;10198;11083</t>
  </si>
  <si>
    <t>REV3L;RFC1;HELZ;SETDB1;WASHC2A;DIP2B;SEC16A;ZC3H14;STRBP;MPHOSPH9;DIDO1</t>
  </si>
  <si>
    <t>http://www.broadinstitute.org/gsea/msigdb/cards/GSE17721_CTRL_VS_LPS_4H_BMDC_UP.html</t>
  </si>
  <si>
    <t>GSE17721_CTRL_VS_PAM3CSK4_6H_BMDC_DN</t>
  </si>
  <si>
    <t>9877;55660;5903;5781;387680;23001;23185;9221;27161;22828;9904</t>
  </si>
  <si>
    <t>ZC3H11A;PRPF40A;RANBP2;PTPN11;WASHC2A;WDFY3;LARP4B;NOLC1;AGO2;SCAF8;RBM19</t>
  </si>
  <si>
    <t>http://www.broadinstitute.org/gsea/msigdb/cards/GSE17721_CTRL_VS_PAM3CSK4_6H_BMDC_DN.html</t>
  </si>
  <si>
    <t>GSE17721_CTRL_VS_GARDIQUIMOD_0.5H_BMDC_UP</t>
  </si>
  <si>
    <t>4976;9475;23077;9857;54454;5286;10128;122830;23269;4848;51455</t>
  </si>
  <si>
    <t>OPA1;ROCK2;MYCBP2;CEP350;ATAD2B;PIK3C2A;LRPPRC;NAA30;MGA;AC092881.1;REV1</t>
  </si>
  <si>
    <t>http://www.broadinstitute.org/gsea/msigdb/cards/GSE17721_CTRL_VS_GARDIQUIMOD_0.5H_BMDC_UP.html</t>
  </si>
  <si>
    <t>GSE17721_CTRL_VS_GARDIQUIMOD_1H_BMDC_UP</t>
  </si>
  <si>
    <t>9877;6651;79811;57609;6249;10093;1859;27327;11190;55167;55818</t>
  </si>
  <si>
    <t>ZC3H11A;SON;SLTM;DIP2B;CLIP1;ARPC4;DYRK1A;TNRC6A;CEP250;MSL2;KDM3A</t>
  </si>
  <si>
    <t>http://www.broadinstitute.org/gsea/msigdb/cards/GSE17721_CTRL_VS_GARDIQUIMOD_1H_BMDC_UP.html</t>
  </si>
  <si>
    <t>55206;26046;673;5048;8661;7174;27332;157922;55167;58487;9329</t>
  </si>
  <si>
    <t>SBNO1;LTN1;BRAF;PAFAH1B1;EIF3A;TPP2;ZNF638;CAMSAP1;MSL2;CREBZF;GTF3C4</t>
  </si>
  <si>
    <t>6433;23352;54619;905;57531;79048;55094;54014;11176;23200;9967</t>
  </si>
  <si>
    <t>SFSWAP;UBR4;CCNJ;CCNT2;HACE1;SECISBP2;GPATCH1;BRWD1;BAZ2A;ATP11B;THRAP3</t>
  </si>
  <si>
    <t>GSE17721_PAM3CSK4_VS_CPG_0.5H_BMDC_UP</t>
  </si>
  <si>
    <t>9611;4299;23505;6311;54542;8812;987;157922;54887;2140;57703</t>
  </si>
  <si>
    <t>NCOR1;AFF1;TMEM131;ATXN2;RC3H2;CCNK;LRBA;CAMSAP1;UHRF1BP1;EYA3;CWC22</t>
  </si>
  <si>
    <t>http://www.broadinstitute.org/gsea/msigdb/cards/GSE17721_PAM3CSK4_VS_CPG_0.5H_BMDC_UP.html</t>
  </si>
  <si>
    <t>55660;2802;10771;54619;387680;196528;472;5469;54812;53981;10762</t>
  </si>
  <si>
    <t>PRPF40A;GOLGA3;ZMYND11;CCNJ;WASHC2A;ARID2;ATM;MED1;AFTPH;CPSF2;NUP50</t>
  </si>
  <si>
    <t>GSE17721_PAM3CSK4_VS_GADIQUIMOD_6H_BMDC_UP</t>
  </si>
  <si>
    <t>2475;1660;257218;57551;10299;7528;2005;7109;10153;9221;157922</t>
  </si>
  <si>
    <t>MTOR;DHX9;SHPRH;TAOK1;MARCH6;YY1;ELK4;TRAPPC10;CEBPZ;NOLC1;CAMSAP1</t>
  </si>
  <si>
    <t>http://www.broadinstitute.org/gsea/msigdb/cards/GSE17721_PAM3CSK4_VS_GADIQUIMOD_6H_BMDC_UP.html</t>
  </si>
  <si>
    <t>6651;23352;51322;905;11168;285527;27327;7994;80314;10765;23200</t>
  </si>
  <si>
    <t>SON;UBR4;WAC;CCNT2;PSIP1;FRYL;TNRC6A;KAT6A;EPC1;KDM5B;ATP11B</t>
  </si>
  <si>
    <t>9320;9869;9321;79832;2117;122830;27327;79048;23013;11176;9967</t>
  </si>
  <si>
    <t>TRIP12;SETDB1;TRIP11;QSER1;ETV3;NAA30;TNRC6A;SECISBP2;SPEN;BAZ2A;THRAP3</t>
  </si>
  <si>
    <t>8888;6651;6433;90957;6311;23637;905;25962;92797;142891;9329</t>
  </si>
  <si>
    <t>MCM3AP;SON;SFSWAP;DHX57;ATXN2;RABGAP1;CCNT2;VIRMA;HELB;SAMD8;GTF3C4</t>
  </si>
  <si>
    <t>GSE18791_CTRL_VS_NEWCASTLE_VIRUS_DC_1H_DN</t>
  </si>
  <si>
    <t>158405;59343;54764;51585;7159;22850;254887;267004;155435;55167;11176</t>
  </si>
  <si>
    <t>KIAA1958;SENP2;ZRANB1;PCF11;TP53BP2;ADNP2;ZDHHC23;ERCC6;RBM33;MSL2;BAZ2A</t>
  </si>
  <si>
    <t>http://www.broadinstitute.org/gsea/msigdb/cards/GSE18791_CTRL_VS_NEWCASTLE_VIRUS_DC_1H_DN.html</t>
  </si>
  <si>
    <t>5781;257218;55341;64854;9816;9879;55632;55094;9786;55127;25831</t>
  </si>
  <si>
    <t>PTPN11;SHPRH;LSG1;USP46;URB2;DDX46;G2E3;GPATCH1;KIAA0586;HEATR1;HECTD1</t>
  </si>
  <si>
    <t>GSE18791_UNSTIM_VS_NEWCATSLE_VIRUS_DC_10H_UP</t>
  </si>
  <si>
    <t>23014;2475;79811;6874;56252;93;9816;55432;27042;79723;79813</t>
  </si>
  <si>
    <t>FBXO21;MTOR;SLTM;TAF4;YLPM1;ACVR2B;URB2;YOD1;UTP25;SUV39H2;EHMT1</t>
  </si>
  <si>
    <t>http://www.broadinstitute.org/gsea/msigdb/cards/GSE18791_UNSTIM_VS_NEWCATSLE_VIRUS_DC_10H_UP.html</t>
  </si>
  <si>
    <t>GSE19825_CD24LOW_VS_IL2RA_HIGH_DAY3_EFF_CD8_TCELL_DN</t>
  </si>
  <si>
    <t>9631;23512;80218;23195;51755;987;7159;23181;22984;55705;79048</t>
  </si>
  <si>
    <t>NUP155;SUZ12;NAA50;MDN1;CDK12;LRBA;TP53BP2;DIP2A;PDCD11;IPO9;SECISBP2</t>
  </si>
  <si>
    <t>http://www.broadinstitute.org/gsea/msigdb/cards/GSE19825_CD24LOW_VS_IL2RA_HIGH_DAY3_EFF_CD8_TCELL_DN.html</t>
  </si>
  <si>
    <t>2969;23389;57690;57680;23195;2117;7109;6789;80205;84196;160760</t>
  </si>
  <si>
    <t>GTF2I;MED13L;TNRC6C;CHD8;MDN1;ETV3;TRAPPC10;STK4;CHD9;USP48;PPTC7</t>
  </si>
  <si>
    <t>GSE20715_WT_VS_TLR4_KO_6H_OZONE_LUNG_DN</t>
  </si>
  <si>
    <t>9139;27340;9632;9360;55193;170506;55051;10128;51742;54812;92140</t>
  </si>
  <si>
    <t>CBFA2T2;UTP20;SEC24C;PPIG;PBRM1;DHX36;NRDE2;LRPPRC;ARID4B;AFTPH;MTDH</t>
  </si>
  <si>
    <t>http://www.broadinstitute.org/gsea/msigdb/cards/GSE20715_WT_VS_TLR4_KO_6H_OZONE_LUNG_DN.html</t>
  </si>
  <si>
    <t>9044;26057;5048;5130;7156;23160;23352;54619;283578;11011;84132</t>
  </si>
  <si>
    <t>BTAF1;ANKRD17;PAFAH1B1;PCYT1A;TOP3A;WDR43;UBR4;CCNJ;TMED8;TLK2;USP42</t>
  </si>
  <si>
    <t>23347;23077;23014;4297;171023;23036;987;4899;22850;26065;11083</t>
  </si>
  <si>
    <t>SMCHD1;MYCBP2;FBXO21;KMT2A;ASXL1;ZNF292;LRBA;NRF1;ADNP2;LSM14A;DIDO1</t>
  </si>
  <si>
    <t>4299;23248;23064;57148;55023;26190;9841;7690;11214;23527;8202</t>
  </si>
  <si>
    <t>AFF1;RPRD2;SETX;RALGAPB;PHIP;FBXW2;ZBTB24;ZNF131;AKAP13;ACAP2;NCOA3</t>
  </si>
  <si>
    <t>9632;84986;6873;79677;5422;4361;5471;10714;9879;55743;10762</t>
  </si>
  <si>
    <t>SEC24C;ARHGAP19;TAF2;SMC6;POLA1;MRE11;PPAT;POLD3;DDX46;CHFR;NUP50</t>
  </si>
  <si>
    <t>9631;5591;4297;10075;84181;26523;9678;80205;9879;10985;54765</t>
  </si>
  <si>
    <t>NUP155;PRKDC;KMT2A;HUWE1;CHD6;AGO1;PHF14;CHD9;DDX46;GCN1;TRIM44</t>
  </si>
  <si>
    <t>http://www.broadinstitute.org/gsea/msigdb/cards/GSE27786_LSK_VS_MONO_MAC_UP.html</t>
  </si>
  <si>
    <t>9139;27340;9631;221037;80312;23049;10940;57498;2551;80205;9329</t>
  </si>
  <si>
    <t>CBFA2T2;UTP20;NUP155;JMJD1C;TET1;SMG1;POP1;KIDINS220;GABPA;CHD9;GTF3C4</t>
  </si>
  <si>
    <t>GSE27786_BCELL_VS_CD8_TCELL_UP</t>
  </si>
  <si>
    <t>7579;6651;7428;9202;9712;51479;29994;2876;145508;23299;9969</t>
  </si>
  <si>
    <t>ZSCAN20;SON;VHL;ZMYM4;USP6NL;ANKFY1;BAZ2B;GPX1;CEP128;BICD2;MED13</t>
  </si>
  <si>
    <t>http://www.broadinstitute.org/gsea/msigdb/cards/GSE27786_BCELL_VS_CD8_TCELL_UP.html</t>
  </si>
  <si>
    <t>55206;8085;4976;9611;26046;157769;90957;10897;9879;56652;9969</t>
  </si>
  <si>
    <t>SBNO1;KMT2D;OPA1;NCOR1;LTN1;FAM91A1;DHX57;YIF1A;DDX46;TWNK;MED13</t>
  </si>
  <si>
    <t>9611;4297;255967;9736;10142;57690;9774;23036;6789;26009;55167</t>
  </si>
  <si>
    <t>NCOR1;KMT2A;PAN3;USP34;AKAP9;TNRC6C;BCLAF1;ZNF292;STK4;AC118549.1;MSL2</t>
  </si>
  <si>
    <t>23347;2802;23064;57459;81609;91746;29072;55870;285527;7690;9662</t>
  </si>
  <si>
    <t>SMCHD1;GOLGA3;SETX;GATAD2B;SNX27;YTHDC1;SETD2;ASH1L;FRYL;ZNF131;CEP135</t>
  </si>
  <si>
    <t>http://www.broadinstitute.org/gsea/msigdb/cards/GSE27786_CD8_TCELL_VS_NKTCELL_UP.html</t>
  </si>
  <si>
    <t>GSE27786_ERYTHROBLAST_VS_NEUTROPHIL_UP</t>
  </si>
  <si>
    <t>9631;26005;25914;9774;23468;10714;55342;84260;9874;10762;23335</t>
  </si>
  <si>
    <t>NUP155;C2CD3;RTTN;BCLAF1;CBX5;POLD3;STRBP;TCHP;TLK1;NUP50;WDR7</t>
  </si>
  <si>
    <t>http://www.broadinstitute.org/gsea/msigdb/cards/GSE27786_ERYTHROBLAST_VS_NEUTROPHIL_UP.html</t>
  </si>
  <si>
    <t>8672;8925;55252;7248;26523;23358;2932;55014;54455;6942;23499</t>
  </si>
  <si>
    <t>EIF4G3;HERC1;ASXL2;TSC1;AGO1;USP24;GSK3B;STX17;FBXO42;TCF20;MACF1</t>
  </si>
  <si>
    <t>GSE31082_DN_VS_CD8_SP_THYMOCYTE_UP</t>
  </si>
  <si>
    <t>9631;9733;11052;375748;10137;22852;5422;25909;54765;9188;9439</t>
  </si>
  <si>
    <t>NUP155;SART3;CPSF6;ERCC6L2;RBM12;ANKRD26;POLA1;AHCTF1;TRIM44;DDX21;MED23</t>
  </si>
  <si>
    <t>http://www.broadinstitute.org/gsea/msigdb/cards/GSE31082_DN_VS_CD8_SP_THYMOCYTE_UP.html</t>
  </si>
  <si>
    <t>54799;11052;26005;85440;23049;317;93;54887;23269;92797;55689</t>
  </si>
  <si>
    <t>MBTD1;CPSF6;C2CD3;DOCK7;SMG1;APAF1;ACVR2B;UHRF1BP1;MGA;HELB;YEATS2</t>
  </si>
  <si>
    <t>http://www.broadinstitute.org/gsea/msigdb/cards/GSE33513_TCF7_KO_VS_HET_EARLY_THYMIC_PROGENITOR_DN.html</t>
  </si>
  <si>
    <t>GSE360_CTRL_VS_L_DONOVANI_MAC_DN</t>
  </si>
  <si>
    <t>23369;55023;7750;23131;7159;9816;80205;57553;10735;23499;51592</t>
  </si>
  <si>
    <t>PUM2;PHIP;ZMYM2;GPATCH8;TP53BP2;URB2;CHD9;MICAL3;STAG2;MACF1;TRIM33</t>
  </si>
  <si>
    <t>http://www.broadinstitute.org/gsea/msigdb/cards/GSE360_CTRL_VS_L_DONOVANI_MAC_DN.html</t>
  </si>
  <si>
    <t>9877;140710;23001;8880;91746;8453;9816;23269;26146;51592;55818</t>
  </si>
  <si>
    <t>ZC3H11A;SOGA1;WDFY3;FUBP1;YTHDC1;CUL2;URB2;MGA;TRAF3IP1;TRIM33;KDM3A</t>
  </si>
  <si>
    <t>GSE360_L_DONOVANI_VS_L_MAJOR_DC_UP</t>
  </si>
  <si>
    <t>200424;8888;55660;546;4297;23001;51230;23405;9147;5422;9188</t>
  </si>
  <si>
    <t>TET3;MCM3AP;PRPF40A;ATRX;KMT2A;WDFY3;PHF20;DICER1;NEMF;POLA1;DDX21</t>
  </si>
  <si>
    <t>http://www.broadinstitute.org/gsea/msigdb/cards/GSE360_L_DONOVANI_VS_L_MAJOR_DC_UP.html</t>
  </si>
  <si>
    <t>GSE360_L_DONOVANI_VS_L_MAJOR_MAC_UP</t>
  </si>
  <si>
    <t>23054;26130;7705;84726;23036;11168;4361;987;4899;25909;7994</t>
  </si>
  <si>
    <t>NCOA6;GAPVD1;ZNF146;PRRC2B;ZNF292;PSIP1;MRE11;LRBA;NRF1;AHCTF1;KAT6A</t>
  </si>
  <si>
    <t>http://www.broadinstitute.org/gsea/msigdb/cards/GSE360_L_DONOVANI_VS_L_MAJOR_MAC_UP.html</t>
  </si>
  <si>
    <t>23014;5290;9736;23522;29072;200576;1859;253959;55175;4848;51696</t>
  </si>
  <si>
    <t>FBXO21;PIK3CA;USP34;KAT6B;SETD2;PIKFYVE;DYRK1A;RALGAPA1;KLHL11;AC092881.1;HECA</t>
  </si>
  <si>
    <t>5290;9736;23522;29072;51585;7109;7690;1859;253959;4848;51696</t>
  </si>
  <si>
    <t>PIK3CA;USP34;KAT6B;SETD2;PCF11;TRAPPC10;ZNF131;DYRK1A;RALGAPA1;AC092881.1;HECA</t>
  </si>
  <si>
    <t>23014;9736;23522;29072;1859;253959;55671;10207;11083;4848;51696</t>
  </si>
  <si>
    <t>FBXO21;USP34;KAT6B;SETD2;DYRK1A;RALGAPA1;PPP4R3A;PATJ;DIDO1;AC092881.1;HECA</t>
  </si>
  <si>
    <t>54799;8925;23389;10277;6789;5586;157922;23299;55102;26019;10762</t>
  </si>
  <si>
    <t>MBTD1;HERC1;MED13L;UBE4B;STK4;PKN2;CAMSAP1;BICD2;ATG2B;UPF2;NUP50</t>
  </si>
  <si>
    <t>8899;26058;89910;7248;317;7514;4899;9879;6601;79657;26019</t>
  </si>
  <si>
    <t>PRPF4B;GIGYF2;UBE3B;TSC1;APAF1;XPO1;NRF1;DDX46;SMARCC2;RPAP3;UPF2</t>
  </si>
  <si>
    <t>9475;9793;23160;10771;9711;8880;10128;8453;7159;27332;79723</t>
  </si>
  <si>
    <t>ROCK2;CKAP5;WDR43;ZMYND11;RUBCN;FUBP1;LRPPRC;CUL2;TP53BP2;ZNF638;SUV39H2</t>
  </si>
  <si>
    <t>http://www.broadinstitute.org/gsea/msigdb/cards/GSE3982_MAC_VS_NEUTROPHIL_LPS_STIM_UP.html</t>
  </si>
  <si>
    <t>26057;23014;6711;9711;84079;11276;8295;347344;7701;79707;11083</t>
  </si>
  <si>
    <t>ANKRD17;FBXO21;SPTBN1;RUBCN;ANKRD27;SYNRG;TRRAP;ZNF81;ZNF142;NOL9;DIDO1</t>
  </si>
  <si>
    <t>7175;5927;23389;8315;2932;7701;23198;25948;6601;10198;11083</t>
  </si>
  <si>
    <t>TPR;KDM5A;MED13L;BRAP;GSK3B;ZNF142;PSME4;KBTBD2;SMARCC2;MPHOSPH9;DIDO1</t>
  </si>
  <si>
    <t>6711;22976;10274;84079;8295;56252;7701;55187;6601;10198;11083</t>
  </si>
  <si>
    <t>SPTBN1;PAXIP1;STAG1;ANKRD27;TRRAP;YLPM1;ZNF142;VPS13D;SMARCC2;MPHOSPH9;DIDO1</t>
  </si>
  <si>
    <t>6659;2802;11052;23505;9711;23637;5116;9221;79882;23269;4216</t>
  </si>
  <si>
    <t>SOX4;GOLGA3;CPSF6;TMEM131;RUBCN;RABGAP1;PCNT;NOLC1;ZC3H14;MGA;MAP3K4</t>
  </si>
  <si>
    <t>9475;9681;6711;23389;79677;200576;56252;5586;157680;26019;55727</t>
  </si>
  <si>
    <t>ROCK2;DEPDC5;SPTBN1;MED13L;SMC6;PIKFYVE;YLPM1;PKN2;VPS13B;UPF2;BTBD7</t>
  </si>
  <si>
    <t>6433;23244;9712;2005;5469;139285;160760;23013;440193;6942;23200</t>
  </si>
  <si>
    <t>SFSWAP;PDS5A;USP6NL;ELK4;MED1;AMER1;PPTC7;SPEN;CCDC88C;TCF20;ATP11B</t>
  </si>
  <si>
    <t>5927;4299;6433;9712;9919;5469;284058;155435;440193;6942;23143</t>
  </si>
  <si>
    <t>KDM5A;AFF1;SFSWAP;USP6NL;SEC16A;MED1;KANSL1;RBM33;CCDC88C;TCF20;LRCH1</t>
  </si>
  <si>
    <t>9877;6433;84726;254048;80312;23140;23095;155435;440193;23200;9967</t>
  </si>
  <si>
    <t>ZC3H11A;SFSWAP;PRRC2B;UBN2;TET1;ZZEF1;KIF1B;RBM33;CCDC88C;ATP11B;THRAP3</t>
  </si>
  <si>
    <t>5130;253260;23389;80312;23032;23095;55014;23527;56995;57786;11176</t>
  </si>
  <si>
    <t>PCYT1A;RICTOR;MED13L;TET1;USP33;KIF1B;STX17;ACAP2;TULP4;RBAK;BAZ2A</t>
  </si>
  <si>
    <t>221037;25836;10075;55023;23505;2033;6789;204851;7994;55743;8202</t>
  </si>
  <si>
    <t>JMJD1C;NIPBL;HUWE1;PHIP;TMEM131;EP300;STK4;HIPK1;KAT6A;CHFR;NCOA3</t>
  </si>
  <si>
    <t>GSE9006_HEALTHY_VS_TYPE_1_DIABETES_PBMC_1MONTH_POST_DX_UP</t>
  </si>
  <si>
    <t>10236;8672;5591;3192;6659;5062;9584;11052;10093;22850;26065</t>
  </si>
  <si>
    <t>HNRNPR;EIF4G3;PRKDC;HNRNPU;SOX4;PAK2;RBM39;CPSF6;ARPC4;ADNP2;LSM14A</t>
  </si>
  <si>
    <t>http://www.broadinstitute.org/gsea/msigdb/cards/GSE9006_HEALTHY_VS_TYPE_1_DIABETES_PBMC_1MONTH_POST_DX_UP.html</t>
  </si>
  <si>
    <t>11128;23077;5451;4297;54799;9736;10142;23195;27332;9221;157922</t>
  </si>
  <si>
    <t>POLR3A;MYCBP2;POU2F1;KMT2A;MBTD1;USP34;AKAP9;MDN1;ZNF638;NOLC1;CAMSAP1</t>
  </si>
  <si>
    <t>11128;1656;6711;4297;54799;9736;10142;23036;54520;10198;55802</t>
  </si>
  <si>
    <t>POLR3A;DDX6;SPTBN1;KMT2A;MBTD1;USP34;AKAP9;ZNF292;CCDC93;MPHOSPH9;DCP1A</t>
  </si>
  <si>
    <t>5451;8019;56946;81609;23067;27327;283337;64421;84260;51696;6942</t>
  </si>
  <si>
    <t>POU2F1;BRD3;EMSY;SNX27;SETD1B;TNRC6A;ZNF740;DCLRE1C;TCHP;HECA;TCF20</t>
  </si>
  <si>
    <t>GSE369_SOCS3_KO_VS_WT_LIVER_DN</t>
  </si>
  <si>
    <t>6711;221037;84162;84726;23064;10142;54454;57472;55014;22930;55632</t>
  </si>
  <si>
    <t>SPTBN1;JMJD1C;KIAA1109;PRRC2B;SETX;AKAP9;ATAD2B;CNOT6;STX17;RAB3GAP1;G2E3</t>
  </si>
  <si>
    <t>http://www.broadinstitute.org/gsea/msigdb/cards/GSE369_SOCS3_KO_VS_WT_LIVER_DN.html</t>
  </si>
  <si>
    <t>259282;9774;57609;7750;23405;23423;1106;2117;79598;80012;22847</t>
  </si>
  <si>
    <t>BOD1L1;BCLAF1;DIP2B;ZMYM2;DICER1;TMED3;CHD2;ETV3;CEP97;PHC3;ZNF507</t>
  </si>
  <si>
    <t>7182;9857;57697;23067;3096;23181;3930;54520;139285;284058;8202</t>
  </si>
  <si>
    <t>NR2C2;CEP350;FANCM;SETD1B;HIVEP1;DIP2A;LBR;CCDC93;AMER1;KANSL1;NCOA3</t>
  </si>
  <si>
    <t>5980;7155;26130;9135;55023;29072;11214;79882;10735;25909;8202</t>
  </si>
  <si>
    <t>REV3L;TOP2B;GAPVD1;RABEP1;PHIP;SETD2;AKAP13;ZC3H14;STAG2;AHCTF1;NCOA3</t>
  </si>
  <si>
    <t>11128;5130;9321;57532;10075;80311;57690;2117;23527;55187;10207</t>
  </si>
  <si>
    <t>POLR3A;PCYT1A;TRIP11;NUFIP2;HUWE1;KLHL15;TNRC6C;ETV3;ACAP2;VPS13D;PATJ</t>
  </si>
  <si>
    <t>3192;9135;11052;84162;10075;7690;254887;25909;54765;55636;23200</t>
  </si>
  <si>
    <t>HNRNPU;RABEP1;CPSF6;KIAA1109;HUWE1;ZNF131;ZDHHC23;AHCTF1;TRIM44;CHD7;ATP11B</t>
  </si>
  <si>
    <t>8085;23317;2475;257218;10274;7248;51585;10594;26009;140775;9874</t>
  </si>
  <si>
    <t>KMT2D;DNAJC13;MTOR;SHPRH;STAG1;TSC1;PCF11;PRPF8;AC118549.1;SMCR8;TLK1</t>
  </si>
  <si>
    <t>1778;9733;9321;23352;23253;27291;54542;54856;2140;83448;9969</t>
  </si>
  <si>
    <t>DYNC1H1;SART3;TRIP11;UBR4;ANKRD12;R3HCC1L;RC3H2;GON4L;EYA3;PUS7L;MED13</t>
  </si>
  <si>
    <t>9611;9631;85476;26523;23140;11168;54455;57534;144348;56995;23112</t>
  </si>
  <si>
    <t>NCOR1;NUP155;GFM1;AGO1;ZZEF1;PSIP1;FBXO42;MIB1;ZNF664;TULP4;TNRC6B</t>
  </si>
  <si>
    <t>6651;55252;51105;5286;9919;10153;160760;55743;155435;26019;11176</t>
  </si>
  <si>
    <t>SON;ASXL2;PHF20L1;PIK3C2A;SEC16A;CEBPZ;PPTC7;CHFR;RBM33;UPF2;BAZ2A</t>
  </si>
  <si>
    <t>23160;253143;65117;91746;571;9919;9147;27042;155435;26019;11176</t>
  </si>
  <si>
    <t>WDR43;PRR14L;RSRC2;YTHDC1;BACH1;SEC16A;NEMF;UTP25;RBM33;UPF2;BAZ2A</t>
  </si>
  <si>
    <t>GSE3720_VD1_VS_VD2_GAMMADELTA_TCELL_WITH_PMA_STIM_UP</t>
  </si>
  <si>
    <t>9360;23505;23195;23423;23095;8087;6789;8621;79612;65250;26973</t>
  </si>
  <si>
    <t>PPIG;TMEM131;MDN1;TMED3;KIF1B;FXR1;STK4;CDK13;NAA16;CPLANE1;CHORDC1</t>
  </si>
  <si>
    <t>http://www.broadinstitute.org/gsea/msigdb/cards/GSE3720_VD1_VS_VD2_GAMMADELTA_TCELL_WITH_PMA_STIM_UP.html</t>
  </si>
  <si>
    <t>23451;26130;205717;23253;57609;7776;1106;91748;79598;10207;65250</t>
  </si>
  <si>
    <t>SF3B1;GAPVD1;USF3;ANKRD12;DIP2B;ZNF236;CHD2;ELMSAN1;CEP97;PATJ;CPLANE1</t>
  </si>
  <si>
    <t>2969;7155;6659;6654;387680;23389;23505;29994;84301;54812;26019</t>
  </si>
  <si>
    <t>GTF2I;TOP2B;SOX4;SOS1;WASHC2A;MED13L;TMEM131;BAZ2B;DDI2;AFTPH;UPF2</t>
  </si>
  <si>
    <t>6659;9584;254048;55914;57498;57472;11276;388228;84301;79612;440193</t>
  </si>
  <si>
    <t>SOX4;RBM39;UBN2;ERBIN;KIDINS220;CNOT6;SYNRG;SBK1;DDI2;NAA16;CCDC88C</t>
  </si>
  <si>
    <t>4976;353274;23064;165918;84181;200576;2876;867;6789;54520;54765</t>
  </si>
  <si>
    <t>OPA1;ZNF445;SETX;RNF168;CHD6;PIKFYVE;GPX1;CBL;STK4;CCDC93;TRIM44</t>
  </si>
  <si>
    <t>GSE4748_CTRL_VS_LPS_STIM_DC_3H_UP</t>
  </si>
  <si>
    <t>26057;5781;171023;30849;9169;57609;23019;23036;987;5469;25831</t>
  </si>
  <si>
    <t>ANKRD17;PTPN11;ASXL1;PIK3R4;SCAF11;DIP2B;CNOT1;ZNF292;LRBA;MED1;HECTD1</t>
  </si>
  <si>
    <t>http://www.broadinstitute.org/gsea/msigdb/cards/GSE4748_CTRL_VS_LPS_STIM_DC_3H_UP.html</t>
  </si>
  <si>
    <t>353274;89910;8315;23067;200576;23140;9678;2033;2804;55596;8202</t>
  </si>
  <si>
    <t>ZNF445;UBE3B;BRAP;SETD1B;PIKFYVE;ZZEF1;PHF14;EP300;GOLGB1;ZCCHC8;NCOA3</t>
  </si>
  <si>
    <t>GSE5589_WT_VS_IL6_KO_LPS_AND_IL6_STIM_MACROPHAGE_45MIN_DN</t>
  </si>
  <si>
    <t>5980;6651;8661;85440;57498;905;10128;9879;27327;9392;79646</t>
  </si>
  <si>
    <t>REV3L;SON;EIF3A;DOCK7;KIDINS220;CCNT2;LRPPRC;DDX46;TNRC6A;TGFBRAP1;PANK3</t>
  </si>
  <si>
    <t>http://www.broadinstitute.org/gsea/msigdb/cards/GSE5589_WT_VS_IL6_KO_LPS_AND_IL6_STIM_MACROPHAGE_45MIN_DN.html</t>
  </si>
  <si>
    <t>10526;23328;55183;23001;259282;317;8812;22930;284058;84725;79657</t>
  </si>
  <si>
    <t>IPO8;SASH1;RIF1;WDFY3;BOD1L1;APAF1;CCNK;RAB3GAP1;KANSL1;PLEKHA8;RPAP3</t>
  </si>
  <si>
    <t>23328;9931;5062;26130;84986;57472;317;23140;27327;55102;65250</t>
  </si>
  <si>
    <t>SASH1;HELZ;PAK2;GAPVD1;ARHGAP19;CNOT6;APAF1;ZZEF1;TNRC6A;ATG2B;CPLANE1</t>
  </si>
  <si>
    <t>GSE3920_UNTREATED_VS_IFNA_TREATED_FIBROBLAST_DN</t>
  </si>
  <si>
    <t>55275;26058;166378;6311;10137;54497;92312;347344;7701;54856;79612</t>
  </si>
  <si>
    <t>VPS53;GIGYF2;SPATA5;ATXN2;RBM12;HEATR5B;MEX3A;ZNF81;ZNF142;GON4L;NAA16</t>
  </si>
  <si>
    <t>http://www.broadinstitute.org/gsea/msigdb/cards/GSE3920_UNTREATED_VS_IFNA_TREATED_FIBROBLAST_DN.html</t>
  </si>
  <si>
    <t>51366;5048;10771;79572;54454;23405;200576;472;9879;25948;9874</t>
  </si>
  <si>
    <t>UBR5;PAFAH1B1;ZMYND11;ATP13A3;ATAD2B;DICER1;PIKFYVE;ATM;DDX46;KBTBD2;TLK1</t>
  </si>
  <si>
    <t>5980;23014;2969;7840;4863;10714;55320;9392;56652;8202</t>
  </si>
  <si>
    <t>REV3L;FBXO21;GTF2I;ALMS1;NPAT;POLD3;MIS18BP1;TGFBRAP1;TWNK;NCOA3</t>
  </si>
  <si>
    <t>23347;5903;3836;9321;57695;80312;6341;23527;165055;23143</t>
  </si>
  <si>
    <t>SMCHD1;RANBP2;KPNA1;TRIP11;USP37;TET1;SCO1;ACAP2;CCDC138;LRCH1</t>
  </si>
  <si>
    <t>55814;27107;23160;166378;10153;9221;79707;27042;22847;56652;79646</t>
  </si>
  <si>
    <t>BDP1;ZBTB11;WDR43;SPATA5;CEBPZ;NOLC1;NOL9;UTP25;ZNF507;TWNK;PANK3</t>
  </si>
  <si>
    <t>3840;23317;7579;8925;158427;23064;259282;51322;53944;905;23335</t>
  </si>
  <si>
    <t>KPNA4;DNAJC13;ZSCAN20;HERC1;TSTD2;SETX;BOD1L1;WAC;CSNK1G1;CCNT2;WDR7</t>
  </si>
  <si>
    <t>GSE10273_HIGH_VS_LOW_IL7_TREATED_IRF4_8_NULL_PRE_BCELL_UP</t>
  </si>
  <si>
    <t>11128;157769;23063;55023;8518;23198;23527;54520;54765;79048;10765</t>
  </si>
  <si>
    <t>POLR3A;FAM91A1;WAPL;PHIP;ELP1;PSME4;ACAP2;CCDC93;TRIM44;SECISBP2;KDM5B</t>
  </si>
  <si>
    <t>http://www.broadinstitute.org/gsea/msigdb/cards/GSE10273_HIGH_VS_LOW_IL7_TREATED_IRF4_8_NULL_PRE_BCELL_UP.html</t>
  </si>
  <si>
    <t>GSE14415_TCONV_VS_FOXP3_KO_INDUCED_TREG_UP</t>
  </si>
  <si>
    <t>27340;11052;55728;10915;10128;7109;5471;27042;9879;9188</t>
  </si>
  <si>
    <t>UTP20;CPSF6;N4BP2;TCERG1;LRPPRC;TRAPPC10;PPAT;UTP25;DDX46;DDX21</t>
  </si>
  <si>
    <t>http://www.broadinstitute.org/gsea/msigdb/cards/GSE14415_TCONV_VS_FOXP3_KO_INDUCED_TREG_UP.html</t>
  </si>
  <si>
    <t>GSE15330_LYMPHOID_MULTIPOTENT_VS_MEGAKARYOCYTE_ERYTHROID_PROGENITOR_UP</t>
  </si>
  <si>
    <t>55660;4297;23352;55275;259282;64682;9126;317;10594;54464;55127</t>
  </si>
  <si>
    <t>PRPF40A;KMT2A;UBR4;VPS53;BOD1L1;ANAPC1;SMC3;APAF1;PRPF8;XRN1;HEATR1</t>
  </si>
  <si>
    <t>http://www.broadinstitute.org/gsea/msigdb/cards/GSE15330_LYMPHOID_MULTIPOTENT_VS_MEGAKARYOCYTE_ERYTHROID_PROGENITOR_UP.html</t>
  </si>
  <si>
    <t>7175;6659;23248;57697;55051;54454;7528;472;122830;10426;26019</t>
  </si>
  <si>
    <t>TPR;SOX4;RPRD2;FANCM;NRDE2;ATAD2B;YY1;ATM;NAA30;TUBGCP3;UPF2</t>
  </si>
  <si>
    <t>GSE15330_LYMPHOID_MULTIPOTENT_VS_GRANULOCYTE_MONOCYTE_PROGENITOR_IKAROS_KO_UP</t>
  </si>
  <si>
    <t>3609;257218;80204;55023;64682;9126;472;10594;54464;10735;79657</t>
  </si>
  <si>
    <t>ILF3;SHPRH;FBXO11;PHIP;ANAPC1;SMC3;ATM;PRPF8;XRN1;STAG2;RPAP3</t>
  </si>
  <si>
    <t>http://www.broadinstitute.org/gsea/msigdb/cards/GSE15330_LYMPHOID_MULTIPOTENT_VS_GRANULOCYTE_MONOCYTE_PROGENITOR_IKAROS_KO_UP.html</t>
  </si>
  <si>
    <t>GSE15330_HSC_VS_GRANULOCYTE_MONOCYTE_PROGENITOR_UP</t>
  </si>
  <si>
    <t>9611;6433;25836;8880;91746;57690;10594;284058;11011;23269;27161</t>
  </si>
  <si>
    <t>NCOR1;SFSWAP;NIPBL;FUBP1;YTHDC1;TNRC6C;PRPF8;KANSL1;TLK2;MGA;AGO2</t>
  </si>
  <si>
    <t>http://www.broadinstitute.org/gsea/msigdb/cards/GSE15330_HSC_VS_GRANULOCYTE_MONOCYTE_PROGENITOR_UP.html</t>
  </si>
  <si>
    <t>GSE12392_WT_VS_IFNB_KO_CD8A_NEG_SPLEEN_DC_UP</t>
  </si>
  <si>
    <t>7428;79832;374354;254225;7840;85440;57679;85476;11276;9897;4216</t>
  </si>
  <si>
    <t>VHL;QSER1;NHLRC2;RNF169;ALMS1;DOCK7;ALS2;GFM1;SYNRG;WASHC5;MAP3K4</t>
  </si>
  <si>
    <t>http://www.broadinstitute.org/gsea/msigdb/cards/GSE12392_WT_VS_IFNB_KO_CD8A_NEG_SPLEEN_DC_UP.html</t>
  </si>
  <si>
    <t>9139;165918;54497;51105;6341;6249;6789;26054;55167;55636;25831</t>
  </si>
  <si>
    <t>CBFA2T2;RNF168;HEATR5B;PHF20L1;SCO1;CLIP1;STK4;SENP6;MSL2;CHD7;HECTD1</t>
  </si>
  <si>
    <t>6711;7155;5062;79832;57472;3096;3930;27042;10735;27327;23200</t>
  </si>
  <si>
    <t>SPTBN1;TOP2B;PAK2;QSER1;CNOT6;HIVEP1;LBR;UTP25;STAG2;TNRC6A;ATP11B</t>
  </si>
  <si>
    <t>9931;4299;5062;221037;157769;57679;29072;57609;23637;145508;9967</t>
  </si>
  <si>
    <t>HELZ;AFF1;PAK2;JMJD1C;FAM91A1;ALS2;SETD2;DIP2B;RABGAP1;CEP128;THRAP3</t>
  </si>
  <si>
    <t>200424;5495;51230;59343;9870;93;23033;2074;22847;27161;23143</t>
  </si>
  <si>
    <t>TET3;PPM1B;PHF20;SENP2;AREL1;ACVR2B;DOP1A;ERCC6;ZNF507;AGO2;LRCH1</t>
  </si>
  <si>
    <t>GSE19772_CTRL_VS_HCMV_INF_MONOCYTES_AND_PI3K_INHIBITION_UP</t>
  </si>
  <si>
    <t>11128;55660;27107;9790;54619;158427;55628;55341;23140;84301;55802</t>
  </si>
  <si>
    <t>POLR3A;PRPF40A;ZBTB11;BMS1;CCNJ;TSTD2;ZNF407;LSG1;ZZEF1;DDI2;DCP1A</t>
  </si>
  <si>
    <t>http://www.broadinstitute.org/gsea/msigdb/cards/GSE19772_CTRL_VS_HCMV_INF_MONOCYTES_AND_PI3K_INHIBITION_UP.html</t>
  </si>
  <si>
    <t>546;353274;9360;84162;165918;58508;29994;9870;8867;2005;51696</t>
  </si>
  <si>
    <t>ATRX;ZNF445;PPIG;KIAA1109;RNF168;KMT2C;BAZ2B;AREL1;SYNJ1;ELK4;HECA</t>
  </si>
  <si>
    <t>2475;9869;89910;57680;51105;23036;84301;84295;56987;55705;54014</t>
  </si>
  <si>
    <t>MTOR;SETDB1;UBE3B;CHD8;PHF20L1;ZNF292;DDI2;PHF6;BBX;IPO9;BRWD1</t>
  </si>
  <si>
    <t>9139;9611;51366;9320;55183;9712;91746;55051;253959;389072;51592</t>
  </si>
  <si>
    <t>CBFA2T2;NCOR1;UBR5;TRIP12;RIF1;USP6NL;YTHDC1;NRDE2;RALGAPA1;PLEKHM3;TRIM33</t>
  </si>
  <si>
    <t>GSE20198_IL12_IL18_VS_IFNA_TREATED_ACT_CD4_TCELL_DN</t>
  </si>
  <si>
    <t>6651;9869;27291;51230;10137;54552;23269;65250;55636;51696;51455</t>
  </si>
  <si>
    <t>SON;SETDB1;R3HCC1L;PHF20;RBM12;GNL3L;MGA;CPLANE1;CHD7;HECA;REV1</t>
  </si>
  <si>
    <t>http://www.broadinstitute.org/gsea/msigdb/cards/GSE20198_IL12_IL18_VS_IFNA_TREATED_ACT_CD4_TCELL_DN.html</t>
  </si>
  <si>
    <t>55814;5980;27340;84162;375748;23248;9527;2804;5814;26973;22828</t>
  </si>
  <si>
    <t>BDP1;REV3L;UTP20;KIAA1109;ERCC6L2;RPRD2;GOSR1;GOLGB1;PURB;CHORDC1;SCAF8</t>
  </si>
  <si>
    <t>3192;23160;7705;54906;23067;10093;55671;91748;10207;25909;23112</t>
  </si>
  <si>
    <t>HNRNPU;WDR43;ZNF146;TASOR2;SETD1B;ARPC4;PPP4R3A;ELMSAN1;PATJ;AHCTF1;TNRC6B</t>
  </si>
  <si>
    <t>GSE21670_TGFB_VS_IL6_TREATED_CD4_TCELL_DN</t>
  </si>
  <si>
    <t>3799;7156;9712;10730;6341;10093;8453;55671;54464;11190;29843</t>
  </si>
  <si>
    <t>KIF5B;TOP3A;USP6NL;YME1L1;SCO1;ARPC4;CUL2;PPP4R3A;XRN1;CEP250;SENP1</t>
  </si>
  <si>
    <t>http://www.broadinstitute.org/gsea/msigdb/cards/GSE21670_TGFB_VS_IL6_TREATED_CD4_TCELL_DN.html</t>
  </si>
  <si>
    <t>27340;23160;51105;23633;9816;9221;204851;80155;55127;9188;8202</t>
  </si>
  <si>
    <t>UTP20;WDR43;PHF20L1;KPNA6;URB2;NOLC1;HIPK1;NAA15;HEATR1;DDX21;NCOA3</t>
  </si>
  <si>
    <t>GSE21670_UNTREATED_VS_IL6_TREATED_STAT3_KO_CD4_TCELL_DN</t>
  </si>
  <si>
    <t>10236;26057;27340;80018;23160;23195;9816;9221;80155;55127;9188</t>
  </si>
  <si>
    <t>HNRNPR;ANKRD17;UTP20;NAA25;WDR43;MDN1;URB2;NOLC1;NAA15;HEATR1;DDX21</t>
  </si>
  <si>
    <t>http://www.broadinstitute.org/gsea/msigdb/cards/GSE21670_UNTREATED_VS_IL6_TREATED_STAT3_KO_CD4_TCELL_DN.html</t>
  </si>
  <si>
    <t>GSE22229_UNTREATED_VS_IMMUNOSUPP_THERAPY_RENAL_TRANSPLANT_PATIENT_PBMC_UP</t>
  </si>
  <si>
    <t>9139;7586;158405;58508;7248;23131;26523;139285;157922;91748;10765</t>
  </si>
  <si>
    <t>CBFA2T2;ZKSCAN1;KIAA1958;KMT2C;TSC1;GPATCH8;AGO1;AMER1;CAMSAP1;ELMSAN1;KDM5B</t>
  </si>
  <si>
    <t>http://www.broadinstitute.org/gsea/msigdb/cards/GSE22229_UNTREATED_VS_IMMUNOSUPP_THERAPY_RENAL_TRANSPLANT_PATIENT_PBMC_UP.html</t>
  </si>
  <si>
    <t>23001;158405;57492;84181;26523;1106;571;55014;91748;6601;80314</t>
  </si>
  <si>
    <t>WDFY3;KIAA1958;ARID1B;CHD6;AGO1;CHD2;BACH1;STX17;ELMSAN1;SMARCC2;EPC1</t>
  </si>
  <si>
    <t>4297;158405;254225;10274;23505;54856;388228;7994;55342;23143;8202</t>
  </si>
  <si>
    <t>KMT2A;KIAA1958;RNF169;STAG1;TMEM131;GON4L;SBK1;KAT6A;STRBP;LRCH1;NCOA3</t>
  </si>
  <si>
    <t>GSE21546_WT_VS_SAP1A_KO_ANTI_CD3_STIM_DP_THYMOCYTES_DN</t>
  </si>
  <si>
    <t>23054;257218;23253;9736;55051;55870;7109;27332;10594;57534;84669</t>
  </si>
  <si>
    <t>NCOA6;SHPRH;ANKRD12;USP34;NRDE2;ASH1L;TRAPPC10;ZNF638;PRPF8;MIB1;USP32</t>
  </si>
  <si>
    <t>http://www.broadinstitute.org/gsea/msigdb/cards/GSE21546_WT_VS_SAP1A_KO_ANTI_CD3_STIM_DP_THYMOCYTES_DN.html</t>
  </si>
  <si>
    <t>GSE21927_SPLEEN_VS_TUMOR_MONOCYTE_BALBC_DN</t>
  </si>
  <si>
    <t>26043;140710;1660;22848;22853;57492;81609;29994;64854;9816;440193</t>
  </si>
  <si>
    <t>UBXN7;SOGA1;DHX9;AAK1;LMTK2;ARID1B;SNX27;BAZ2B;USP46;URB2;CCDC88C</t>
  </si>
  <si>
    <t>http://www.broadinstitute.org/gsea/msigdb/cards/GSE21927_SPLEEN_VS_TUMOR_MONOCYTE_BALBC_DN.html</t>
  </si>
  <si>
    <t>GSE21927_SPLEEN_VS_TUMOR_MONOCYTE_C57BL6_DN</t>
  </si>
  <si>
    <t>200424;26043;54906;22976;58508;29994;64854;55291;26065;64421;55668</t>
  </si>
  <si>
    <t>TET3;UBXN7;TASOR2;PAXIP1;KMT2C;BAZ2B;USP46;PPP6R3;LSM14A;DCLRE1C;GPATCH2L</t>
  </si>
  <si>
    <t>http://www.broadinstitute.org/gsea/msigdb/cards/GSE21927_SPLEEN_VS_TUMOR_MONOCYTE_C57BL6_DN.html</t>
  </si>
  <si>
    <t>GSE21360_NAIVE_VS_QUATERNARY_MEMORY_CD8_TCELL_UP</t>
  </si>
  <si>
    <t>10526;6433;55183;8867;2117;23033;23269;26009;56652;55802;8202</t>
  </si>
  <si>
    <t>IPO8;SFSWAP;RIF1;SYNJ1;ETV3;DOP1A;MGA;AC118549.1;TWNK;DCP1A;NCOA3</t>
  </si>
  <si>
    <t>http://www.broadinstitute.org/gsea/msigdb/cards/GSE21360_NAIVE_VS_QUATERNARY_MEMORY_CD8_TCELL_UP.html</t>
  </si>
  <si>
    <t>GSE20152_SPHK1_KO_VS_HTNFA_OVEREXPRESS_ANKLE_UP</t>
  </si>
  <si>
    <t>9475;26046;140710;57148;9712;23405;55432;57553;10207;9887;79646</t>
  </si>
  <si>
    <t>ROCK2;LTN1;SOGA1;RALGAPB;USP6NL;DICER1;YOD1;MICAL3;PATJ;SMG7;PANK3</t>
  </si>
  <si>
    <t>http://www.broadinstitute.org/gsea/msigdb/cards/GSE20152_SPHK1_KO_VS_HTNFA_OVEREXPRESS_ANKLE_UP.html</t>
  </si>
  <si>
    <t>GSE20500_RETINOIC_ACID_VS_RARA_ANTAGONIST_TREATED_CD4_TCELL_DN</t>
  </si>
  <si>
    <t>6711;11064;9712;54542;55870;6874;2005;7159;22850;55802;27161</t>
  </si>
  <si>
    <t>SPTBN1;CNTRL;USP6NL;RC3H2;ASH1L;TAF4;ELK4;TP53BP2;ADNP2;DCP1A;AGO2</t>
  </si>
  <si>
    <t>http://www.broadinstitute.org/gsea/msigdb/cards/GSE20500_RETINOIC_ACID_VS_RARA_ANTAGONIST_TREATED_CD4_TCELL_DN.html</t>
  </si>
  <si>
    <t>4520;9736;867;2005;8621;22930;54812;64783;192669;55802;55668</t>
  </si>
  <si>
    <t>MTF1;USP34;CBL;ELK4;CDK13;RAB3GAP1;AFTPH;RBM15;AGO3;DCP1A;GPATCH2L</t>
  </si>
  <si>
    <t>55870;23215;571;8867;2551;9662;22850;84669;55802;9188;55727</t>
  </si>
  <si>
    <t>ASH1L;PRRC2C;BACH1;SYNJ1;GABPA;CEP135;ADNP2;USP32;DCP1A;DDX21;BTBD7</t>
  </si>
  <si>
    <t>2969;9790;257218;221037;157769;8315;259282;23660;27327;55743;51592</t>
  </si>
  <si>
    <t>GTF2I;BMS1;SHPRH;JMJD1C;FAM91A1;BRAP;BOD1L1;ZKSCAN5;TNRC6A;CHFR;TRIM33</t>
  </si>
  <si>
    <t>http://www.broadinstitute.org/gsea/msigdb/cards/GSE22935_WT_VS_MYD88_KO_MACROPHAGE_24H_MBOVIS_BCG_STIM_UP.html</t>
  </si>
  <si>
    <t>90957;9736;171023;9126;10897;7528;51182;54856;55743;58487;9329</t>
  </si>
  <si>
    <t>DHX57;USP34;ASXL1;SMC3;YIF1A;YY1;HSPA14;GON4L;CHFR;CREBZF;GTF3C4</t>
  </si>
  <si>
    <t>GSE22935_UNSTIM_VS_48H_MBOVIS_BCG_STIM_MYD88_KO_MACROPHAGE_UP</t>
  </si>
  <si>
    <t>100381270;23244;22848;57690;11276;22852;51105;7024;472;84248;10765</t>
  </si>
  <si>
    <t>ZBED6;PDS5A;AAK1;TNRC6C;SYNRG;ANKRD26;PHF20L1;TFCP2;ATM;FYTTD1;KDM5B</t>
  </si>
  <si>
    <t>http://www.broadinstitute.org/gsea/msigdb/cards/GSE22935_UNSTIM_VS_48H_MBOVIS_BCG_STIM_MYD88_KO_MACROPHAGE_UP.html</t>
  </si>
  <si>
    <t>GSE22935_UNSTIM_VS_24H_MBOVIS_BCG_STIM_MYD88_KO_MACROPHAGE_UP</t>
  </si>
  <si>
    <t>55814;3840;9044;9475;5048;79832;5286;2551;11011;11108;27161</t>
  </si>
  <si>
    <t>BDP1;KPNA4;BTAF1;ROCK2;PAFAH1B1;QSER1;PIK3C2A;GABPA;TLK2;PRDM4;AGO2</t>
  </si>
  <si>
    <t>http://www.broadinstitute.org/gsea/msigdb/cards/GSE22935_UNSTIM_VS_24H_MBOVIS_BCG_STIM_MYD88_KO_MACROPHAGE_UP.html</t>
  </si>
  <si>
    <t>GSE22432_MULTIPOTENT_PROGENITOR_VS_PDC_DN</t>
  </si>
  <si>
    <t>9360;157769;79572;54552;22852;10153;55632;144348;10426;79723;55689</t>
  </si>
  <si>
    <t>PPIG;FAM91A1;ATP13A3;GNL3L;ANKRD26;CEBPZ;G2E3;ZNF664;TUBGCP3;SUV39H2;YEATS2</t>
  </si>
  <si>
    <t>http://www.broadinstitute.org/gsea/msigdb/cards/GSE22432_MULTIPOTENT_PROGENITOR_VS_PDC_DN.html</t>
  </si>
  <si>
    <t>5980;5290;221037;79677;7776;57498;3930;91748;145508;80012;51592</t>
  </si>
  <si>
    <t>REV3L;PIK3CA;JMJD1C;SMC6;ZNF236;KIDINS220;LBR;ELMSAN1;CEP128;PHC3;TRIM33</t>
  </si>
  <si>
    <t>GSE23925_LIGHT_ZONE_VS_NAIVE_BCELL_DN</t>
  </si>
  <si>
    <t>7428;51248;54906;10274;54454;571;11168;23468;122830;26009;26019</t>
  </si>
  <si>
    <t>VHL;PDZD11;TASOR2;STAG1;ATAD2B;BACH1;PSIP1;CBX5;NAA30;AC118549.1;UPF2</t>
  </si>
  <si>
    <t>http://www.broadinstitute.org/gsea/msigdb/cards/GSE23925_LIGHT_ZONE_VS_NAIVE_BCELL_DN.html</t>
  </si>
  <si>
    <t>7579;6651;26130;8019;23389;374354;10137;57472;7109;6789;55432</t>
  </si>
  <si>
    <t>ZSCAN20;SON;GAPVD1;BRD3;MED13L;NHLRC2;RBM12;CNOT6;TRAPPC10;STK4;YOD1</t>
  </si>
  <si>
    <t>http://www.broadinstitute.org/gsea/msigdb/cards/GSE16385_MONOCYTE_VS_12H_ROSIGLITAZONE_IL4_TREATED_MACROPHAGE_UP.html</t>
  </si>
  <si>
    <t>23077;6651;26130;255967;25836;254048;55023;23036;22930;160760;57703</t>
  </si>
  <si>
    <t>MYCBP2;SON;GAPVD1;PAN3;NIPBL;UBN2;PHIP;ZNF292;RAB3GAP1;PPTC7;CWC22</t>
  </si>
  <si>
    <t>5495;26130;255967;54906;57472;23036;6249;347240;92140;55127;57703</t>
  </si>
  <si>
    <t>PPM1B;GAPVD1;PAN3;TASOR2;CNOT6;ZNF292;CLIP1;KIF24;MTDH;HEATR1;CWC22</t>
  </si>
  <si>
    <t>http://www.broadinstitute.org/gsea/msigdb/cards/GSE16385_MONOCYTE_VS_12H_ROSIGLITAZONE_TREATED_MACROPHAGE_UP.html</t>
  </si>
  <si>
    <t>GSE25123_CTRL_VS_ROSIGLITAZONE_STIM_MACROPHAGE_DN</t>
  </si>
  <si>
    <t>22848;55183;387680;25836;374354;7174;27332;23198;347240;10735;57703</t>
  </si>
  <si>
    <t>AAK1;RIF1;WASHC2A;NIPBL;NHLRC2;TPP2;ZNF638;PSME4;KIF24;STAG2;CWC22</t>
  </si>
  <si>
    <t>http://www.broadinstitute.org/gsea/msigdb/cards/GSE25123_CTRL_VS_ROSIGLITAZONE_STIM_MACROPHAGE_DN.html</t>
  </si>
  <si>
    <t>6659;26058;64426;59343;10277;4763;7690;55596;25948;11190;55167</t>
  </si>
  <si>
    <t>SOX4;GIGYF2;SUDS3;SENP2;UBE4B;NF1;ZNF131;ZCCHC8;KBTBD2;CEP250;MSL2</t>
  </si>
  <si>
    <t>GSE16385_UNTREATED_VS_12H_ROSIGLITAZONE_IL4_TREATED_MACROPHAGE_DN</t>
  </si>
  <si>
    <t>23077;22848;25836;84181;10142;27332;22930;92140;10735;56995;9969</t>
  </si>
  <si>
    <t>MYCBP2;AAK1;NIPBL;CHD6;AKAP9;ZNF638;RAB3GAP1;MTDH;STAG2;TULP4;MED13</t>
  </si>
  <si>
    <t>http://www.broadinstitute.org/gsea/msigdb/cards/GSE16385_UNTREATED_VS_12H_ROSIGLITAZONE_IL4_TREATED_MACROPHAGE_DN.html</t>
  </si>
  <si>
    <t>8085;84986;23389;259282;54764;29994;10277;204851;23299;10762;23112</t>
  </si>
  <si>
    <t>KMT2D;ARHGAP19;MED13L;BOD1L1;ZRANB1;BAZ2B;UBE4B;HIPK1;BICD2;NUP50;TNRC6B</t>
  </si>
  <si>
    <t>GSE25088_ROSIGLITAZONE_VS_IL4_AND_ROSIGLITAZONE_STIM_MACROPHAGE_DAY10_UP</t>
  </si>
  <si>
    <t>140710;5591;6093;55914;1106;7109;55291;283578;54765;55743;55705</t>
  </si>
  <si>
    <t>SOGA1;PRKDC;ROCK1;ERBIN;CHD2;TRAPPC10;PPP6R3;TMED8;TRIM44;CHFR;IPO9</t>
  </si>
  <si>
    <t>http://www.broadinstitute.org/gsea/msigdb/cards/GSE25088_ROSIGLITAZONE_VS_IL4_AND_ROSIGLITAZONE_STIM_MACROPHAGE_DAY10_UP.html</t>
  </si>
  <si>
    <t>23328;6651;4520;23160;23248;23253;23185;9693;79048;80314;23335</t>
  </si>
  <si>
    <t>SASH1;SON;MTF1;WDR43;RPRD2;ANKRD12;LARP4B;RAPGEF2;SECISBP2;EPC1;WDR7</t>
  </si>
  <si>
    <t>2802;26130;84986;221037;23389;23001;8867;253959;22849;57703;1788</t>
  </si>
  <si>
    <t>GOLGA3;GAPVD1;ARHGAP19;JMJD1C;MED13L;WDFY3;SYNJ1;RALGAPA1;CPEB3;CWC22;DNMT3A</t>
  </si>
  <si>
    <t>GSE22611_UNSTIM_VS_6H_MDP_STIM_NOD2_TRANSDUCED_HEK293T_CELL_UP</t>
  </si>
  <si>
    <t>55206;4976;7428;7705;89910;91746;23132;2005;10914;157680;56980</t>
  </si>
  <si>
    <t>SBNO1;OPA1;VHL;ZNF146;UBE3B;YTHDC1;RAD54L2;ELK4;PAPOLA;VPS13B;PRDM10</t>
  </si>
  <si>
    <t>http://www.broadinstitute.org/gsea/msigdb/cards/GSE22611_UNSTIM_VS_6H_MDP_STIM_NOD2_TRANSDUCED_HEK293T_CELL_UP.html</t>
  </si>
  <si>
    <t>673;7637;26130;57532;100289635;91746;57498;5422;6596;11083;56980</t>
  </si>
  <si>
    <t>BRAF;ZNF84;GAPVD1;NUFIP2;ZNF605;YTHDC1;KIDINS220;POLA1;HLTF;DIDO1;PRDM10</t>
  </si>
  <si>
    <t>5903;6659;8661;9584;9736;23067;6670;157680;26065;54014;6942</t>
  </si>
  <si>
    <t>RANBP2;SOX4;EIF3A;RBM39;USP34;SETD1B;SP3;VPS13B;LSM14A;BRWD1;TCF20</t>
  </si>
  <si>
    <t>7637;3836;23054;9736;29994;472;6596;55187;27042;23047;9904</t>
  </si>
  <si>
    <t>ZNF84;KPNA1;NCOA6;USP34;BAZ2B;ATM;HLTF;VPS13D;UTP25;PDS5B;RBM19</t>
  </si>
  <si>
    <t>546;8019;26058;23522;23185;8295;2957;4899;25948;23013;10762</t>
  </si>
  <si>
    <t>ATRX;BRD3;GIGYF2;KAT6B;LARP4B;TRRAP;GTF2A1;NRF1;KBTBD2;SPEN;NUP50</t>
  </si>
  <si>
    <t>3799;5781;6093;9320;4520;23293;23505;57679;9169;987;160760</t>
  </si>
  <si>
    <t>KIF5B;PTPN11;ROCK1;TRIP12;MTF1;SMG6;TMEM131;ALS2;SCAF11;LRBA;PPTC7</t>
  </si>
  <si>
    <t>9139;5927;54497;23637;2932;7581;5586;64864;80205;9786;51696</t>
  </si>
  <si>
    <t>CBFA2T2;KDM5A;HEATR5B;RABGAP1;GSK3B;ZNF33A;PKN2;RFX7;CHD9;KIAA0586;HECA</t>
  </si>
  <si>
    <t>GSE46468_LUNG_INNATE_LYMPHOID_CELL_VS_SPLEEN_CD4_TCELL_DN</t>
  </si>
  <si>
    <t>200424;3836;3609;79691;5471;9816;22984;9221;5814;80155;55127</t>
  </si>
  <si>
    <t>TET3;KPNA1;ILF3;QTRT2;PPAT;URB2;PDCD11;NOLC1;PURB;NAA15;HEATR1</t>
  </si>
  <si>
    <t>http://www.broadinstitute.org/gsea/msigdb/cards/GSE46468_LUNG_INNATE_LYMPHOID_CELL_VS_SPLEEN_CD4_TCELL_DN.html</t>
  </si>
  <si>
    <t>6093;8899;166378;3842;80351;79811;9126;23350;23468;26065;11083</t>
  </si>
  <si>
    <t>ROCK1;PRPF4B;SPATA5;TNPO1;TNKS2;SLTM;SMC3;U2SURP;CBX5;LSM14A;DIDO1</t>
  </si>
  <si>
    <t>8672;9681;5981;84986;57148;81609;79677;51479;200576;9678;8202</t>
  </si>
  <si>
    <t>EIF4G3;DEPDC5;RFC1;ARHGAP19;RALGAPB;SNX27;SMC6;ANKFY1;PIKFYVE;PHF14;NCOA3</t>
  </si>
  <si>
    <t>8672;546;9972;6711;23064;23369;80351;6874;64864;91748;23112</t>
  </si>
  <si>
    <t>EIF4G3;ATRX;NUP153;SPTBN1;SETX;PUM2;TNKS2;TAF4;RFX7;ELMSAN1;TNRC6B</t>
  </si>
  <si>
    <t>23328;6654;4520;200576;571;2117;7159;253959;27161;9967;4216</t>
  </si>
  <si>
    <t>SASH1;SOS1;MTF1;PIKFYVE;BACH1;ETV3;TP53BP2;RALGAPA1;AGO2;THRAP3;MAP3K4</t>
  </si>
  <si>
    <t>23328;5130;158427;54497;9870;2117;23033;9887;23013;84132;57703</t>
  </si>
  <si>
    <t>SASH1;PCYT1A;TSTD2;HEATR5B;AREL1;ETV3;DOP1A;SMG7;SPEN;USP42;CWC22</t>
  </si>
  <si>
    <t>GSE37301_LYMPHOID_PRIMED_MPP_VS_GRAN_MONO_PROGENITOR_UP</t>
  </si>
  <si>
    <t>4976;5980;3609;54906;10137;51755;10299;3096;10153;5471;25909</t>
  </si>
  <si>
    <t>OPA1;REV3L;ILF3;TASOR2;RBM12;CDK12;MARCH6;HIVEP1;CEBPZ;PPAT;AHCTF1</t>
  </si>
  <si>
    <t>http://www.broadinstitute.org/gsea/msigdb/cards/GSE37301_LYMPHOID_PRIMED_MPP_VS_GRAN_MONO_PROGENITOR_UP.html</t>
  </si>
  <si>
    <t>GSE37301_LYMPHOID_PRIMED_MPP_VS_GRAN_MONO_PROGENITOR_DN</t>
  </si>
  <si>
    <t>5927;6654;6093;10274;9711;51230;23637;8453;10198;10762;23112</t>
  </si>
  <si>
    <t>KDM5A;SOS1;ROCK1;STAG1;RUBCN;PHF20;RABGAP1;CUL2;MPHOSPH9;NUP50;TNRC6B</t>
  </si>
  <si>
    <t>http://www.broadinstitute.org/gsea/msigdb/cards/GSE37301_LYMPHOID_PRIMED_MPP_VS_GRAN_MONO_PROGENITOR_DN.html</t>
  </si>
  <si>
    <t>200424;8672;26057;23160;10940;64682;23633;10897;10093;56652;9188</t>
  </si>
  <si>
    <t>TET3;EIF4G3;ANKRD17;WDR43;POP1;ANAPC1;KPNA6;YIF1A;ARPC4;TWNK;DDX21</t>
  </si>
  <si>
    <t>GSE37534_UNTREATED_VS_ROSIGLITAZONE_TREATED_CD4_TCELL_PPARG1_AND_FOXP3_TRASDUCED_UP</t>
  </si>
  <si>
    <t>9826;2802;29994;23140;93;10714;463;23033;79612;56995;643314</t>
  </si>
  <si>
    <t>ARHGEF11;GOLGA3;BAZ2B;ZZEF1;ACVR2B;POLD3;ZFHX3;DOP1A;NAA16;TULP4;MACF1</t>
  </si>
  <si>
    <t>http://www.broadinstitute.org/gsea/msigdb/cards/GSE37534_UNTREATED_VS_ROSIGLITAZONE_TREATED_CD4_TCELL_PPARG1_AND_FOXP3_TRASDUCED_UP.html</t>
  </si>
  <si>
    <t>3609;9202;196528;90957;55728;80312;10940;29994;4301;84131;283337</t>
  </si>
  <si>
    <t>ILF3;ZMYM4;ARID2;DHX57;N4BP2;TET1;POP1;BAZ2B;AFDN;CEP78;ZNF740</t>
  </si>
  <si>
    <t>8672;673;6872;205717;57690;285527;9698;4899;54832;80012;140775</t>
  </si>
  <si>
    <t>EIF4G3;BRAF;TAF1;USF3;TNRC6C;FRYL;PUM1;NRF1;VPS13C;PHC3;SMCR8</t>
  </si>
  <si>
    <t>23317;51366;23032;7248;9870;54812;10207;160760;54765;55094;11176</t>
  </si>
  <si>
    <t>DNAJC13;UBR5;USP33;TSC1;AREL1;AFTPH;PATJ;PPTC7;TRIM44;GPATCH1;BAZ2A</t>
  </si>
  <si>
    <t>9139;23512;57695;10142;29994;9693;285527;2033;9662;57534;84893</t>
  </si>
  <si>
    <t>CBFA2T2;SUZ12;USP37;AKAP9;BAZ2B;RAPGEF2;FRYL;EP300;CEP135;MIB1;FBH1</t>
  </si>
  <si>
    <t>GSE11961_MARGINAL_ZONE_BCELL_VS_MEMORY_BCELL_DAY7_UP</t>
  </si>
  <si>
    <t>6093;79572;23358;10128;1859;144348;55102;142891;25831;22828;23112</t>
  </si>
  <si>
    <t>ROCK1;ATP13A3;USP24;LRPPRC;DYRK1A;ZNF664;ATG2B;SAMD8;HECTD1;SCAF8;TNRC6B</t>
  </si>
  <si>
    <t>http://www.broadinstitute.org/gsea/msigdb/cards/GSE11961_MARGINAL_ZONE_BCELL_VS_MEMORY_BCELL_DAY7_UP.html</t>
  </si>
  <si>
    <t>6093;80018;23352;23253;57695;57697;57679;9693;8867;1859;9887</t>
  </si>
  <si>
    <t>ROCK1;NAA25;UBR4;ANKRD12;USP37;FANCM;ALS2;RAPGEF2;SYNJ1;DYRK1A;SMG7</t>
  </si>
  <si>
    <t>7579;9135;85476;10940;79572;9126;84131;55320;92797;26146;56652</t>
  </si>
  <si>
    <t>ZSCAN20;RABEP1;GFM1;POP1;ATP13A3;SMC3;CEP78;MIS18BP1;HELB;TRAF3IP1;TWNK</t>
  </si>
  <si>
    <t>26057;23064;51755;29994;54454;23637;9870;23633;26054;11176;9904</t>
  </si>
  <si>
    <t>ANKRD17;SETX;CDK12;BAZ2B;ATAD2B;RABGAP1;AREL1;KPNA6;SENP6;BAZ2A;RBM19</t>
  </si>
  <si>
    <t>GSE24671_BAKIMULC_VS_SENDAI_VIRUS_INFECTED_MOUSE_SPLENOCYTES_DN</t>
  </si>
  <si>
    <t>9044;9790;9869;23132;23198;10714;27042;54455;55632;56652;29843</t>
  </si>
  <si>
    <t>BTAF1;BMS1;SETDB1;RAD54L2;PSME4;POLD3;UTP25;FBXO42;G2E3;TWNK;SENP1</t>
  </si>
  <si>
    <t>http://www.broadinstitute.org/gsea/msigdb/cards/GSE24671_BAKIMULC_VS_SENDAI_VIRUS_INFECTED_MOUSE_SPLENOCYTES_DN.html</t>
  </si>
  <si>
    <t>GSE41867_NAIVE_VS_DAY15_LCMV_EFFECTOR_CD8_TCELL_UP</t>
  </si>
  <si>
    <t>5981;9790;23633;10128;9897;4863;23198;10714;27042;25962;56652</t>
  </si>
  <si>
    <t>RFC1;BMS1;KPNA6;LRPPRC;WASHC5;NPAT;PSME4;POLD3;UTP25;VIRMA;TWNK</t>
  </si>
  <si>
    <t>http://www.broadinstitute.org/gsea/msigdb/cards/GSE41867_NAIVE_VS_DAY15_LCMV_EFFECTOR_CD8_TCELL_UP.html</t>
  </si>
  <si>
    <t>GSE41867_LCMV_ARMSTRONG_VS_CLONE13_DAY8_EFFECTOR_CD8_TCELL_DN</t>
  </si>
  <si>
    <t>51366;5451;673;3836;196528;7750;22852;23181;79598;10985;10198</t>
  </si>
  <si>
    <t>UBR5;POU2F1;BRAF;KPNA1;ARID2;ZMYM2;ANKRD26;DIP2A;CEP97;GCN1;MPHOSPH9</t>
  </si>
  <si>
    <t>http://www.broadinstitute.org/gsea/msigdb/cards/GSE41867_LCMV_ARMSTRONG_VS_CLONE13_DAY8_EFFECTOR_CD8_TCELL_DN.html</t>
  </si>
  <si>
    <t>26005;26190;9698;64864;91748;23269;57531;160760;5814;4848;8202</t>
  </si>
  <si>
    <t>C2CD3;FBXW2;PUM1;RFX7;ELMSAN1;MGA;HACE1;PPTC7;PURB;AC092881.1;NCOA3</t>
  </si>
  <si>
    <t>9712;29994;26190;867;2551;8621;64864;91748;23269;4848;51696</t>
  </si>
  <si>
    <t>USP6NL;BAZ2B;FBXW2;CBL;GABPA;CDK13;RFX7;ELMSAN1;MGA;AC092881.1;HECA</t>
  </si>
  <si>
    <t>GSE41867_DAY15_EFFECTOR_VS_DAY30_MEMORY_CD8_TCELL_LCMV_ARMSTRONG_UP</t>
  </si>
  <si>
    <t>5130;221037;23253;57492;9712;79572;23637;571;7690;140775;142891</t>
  </si>
  <si>
    <t>PCYT1A;JMJD1C;ANKRD12;ARID1B;USP6NL;ATP13A3;RABGAP1;BACH1;ZNF131;SMCR8;SAMD8</t>
  </si>
  <si>
    <t>http://www.broadinstitute.org/gsea/msigdb/cards/GSE41867_DAY15_EFFECTOR_VS_DAY30_MEMORY_CD8_TCELL_LCMV_ARMSTRONG_UP.html</t>
  </si>
  <si>
    <t>10236;4520;23067;571;10897;54812;7994;23013;11083;9188;55668</t>
  </si>
  <si>
    <t>HNRNPR;MTF1;SETD1B;BACH1;YIF1A;AFTPH;KAT6A;SPEN;DIDO1;DDX21;GPATCH2L</t>
  </si>
  <si>
    <t>GSE41978_ID2_KO_VS_BIM_KO_KLRG1_LOW_EFFECTOR_CD8_TCELL_DN</t>
  </si>
  <si>
    <t>55206;3192;2802;8661;9584;6311;51755;8087;93;23299;25831</t>
  </si>
  <si>
    <t>SBNO1;HNRNPU;GOLGA3;EIF3A;RBM39;ATXN2;CDK12;FXR1;ACVR2B;BICD2;HECTD1</t>
  </si>
  <si>
    <t>http://www.broadinstitute.org/gsea/msigdb/cards/GSE41978_ID2_KO_VS_BIM_KO_KLRG1_LOW_EFFECTOR_CD8_TCELL_DN.html</t>
  </si>
  <si>
    <t>GSE42021_TREG_PLN_VS_TREG_PRECURSORS_THYMUS_UP</t>
  </si>
  <si>
    <t>23451;7705;26058;22976;51230;55341;905;157922;55127;27161;643314</t>
  </si>
  <si>
    <t>SF3B1;ZNF146;GIGYF2;PAXIP1;PHF20;LSG1;CCNT2;CAMSAP1;HEATR1;AGO2;MACF1</t>
  </si>
  <si>
    <t>http://www.broadinstitute.org/gsea/msigdb/cards/GSE42021_TREG_PLN_VS_TREG_PRECURSORS_THYMUS_UP.html</t>
  </si>
  <si>
    <t>10236;5290;7155;9869;11064;6311;170506;4763;283337;55818;1788</t>
  </si>
  <si>
    <t>HNRNPR;PIK3CA;TOP2B;SETDB1;CNTRL;ATXN2;DHX36;NF1;ZNF740;KDM3A;DNMT3A</t>
  </si>
  <si>
    <t>GSE43863_NAIVE_VS_LY6C_INT_CXCR5POS_CD4_EFF_TCELL_D6_LCMV_UP</t>
  </si>
  <si>
    <t>54799;79832;6873;100289635;165918;7556;9897;55432;57786;27161;23112</t>
  </si>
  <si>
    <t>MBTD1;QSER1;TAF2;ZNF605;RNF168;ZNF10;WASHC5;YOD1;RBAK;AGO2;TNRC6B</t>
  </si>
  <si>
    <t>http://www.broadinstitute.org/gsea/msigdb/cards/GSE43863_NAIVE_VS_LY6C_INT_CXCR5POS_CD4_EFF_TCELL_D6_LCMV_UP.html</t>
  </si>
  <si>
    <t>3799;253260;55023;54764;200576;3096;283578;10735;56987;155435;51696</t>
  </si>
  <si>
    <t>KIF5B;RICTOR;PHIP;ZRANB1;PIKFYVE;HIVEP1;TMED8;STAG2;BBX;RBM33;HECA</t>
  </si>
  <si>
    <t>55023;7248;57690;29994;200576;22992;23140;23468;2932;283578;51696</t>
  </si>
  <si>
    <t>PHIP;TSC1;TNRC6C;BAZ2B;PIKFYVE;KDM2A;ZZEF1;CBX5;GSK3B;TMED8;HECA</t>
  </si>
  <si>
    <t>9139;27107;8661;387680;157769;56946;57459;9126;9678;9513;284058</t>
  </si>
  <si>
    <t>CBFA2T2;ZBTB11;EIF3A;WASHC2A;FAM91A1;EMSY;GATAD2B;SMC3;PHF14;FXR2;KANSL1</t>
  </si>
  <si>
    <t>http://www.broadinstitute.org/gsea/msigdb/cards/GSE42724_B1_BCELL_VS_PLASMABLAST_DN.html</t>
  </si>
  <si>
    <t>10236;5981;7248;80218;7528;54520;79707;84301;9879;26009;22847</t>
  </si>
  <si>
    <t>HNRNPR;RFC1;TSC1;NAA50;YY1;CCDC93;NOL9;DDI2;DDX46;AC118549.1;ZNF507</t>
  </si>
  <si>
    <t>5981;7155;22976;89910;80311;26523;23527;57786;51455;9874;23335</t>
  </si>
  <si>
    <t>RFC1;TOP2B;PAXIP1;UBE3B;KLHL15;AGO1;ACAP2;RBAK;REV1;TLK1;WDR7</t>
  </si>
  <si>
    <t>GSE46606_UNSTIM_VS_CD40L_IL2_IL5_DAY1_STIMULATED_BCELL_UP</t>
  </si>
  <si>
    <t>4299;6711;7155;54799;8019;55275;11276;23468;79813;10765;22828</t>
  </si>
  <si>
    <t>AFF1;SPTBN1;TOP2B;MBTD1;BRD3;VPS53;SYNRG;CBX5;EHMT1;KDM5B;SCAF8</t>
  </si>
  <si>
    <t>http://www.broadinstitute.org/gsea/msigdb/cards/GSE46606_UNSTIM_VS_CD40L_IL2_IL5_DAY1_STIMULATED_BCELL_UP.html</t>
  </si>
  <si>
    <t>GSE45365_CD8A_DC_VS_CD11B_DC_IFNAR_KO_DN</t>
  </si>
  <si>
    <t>55660;157769;6873;51105;7701;6670;9897;122830;283578;157680;55636</t>
  </si>
  <si>
    <t>PRPF40A;FAM91A1;TAF2;PHF20L1;ZNF142;SP3;WASHC5;NAA30;TMED8;VPS13B;CHD7</t>
  </si>
  <si>
    <t>http://www.broadinstitute.org/gsea/msigdb/cards/GSE45365_CD8A_DC_VS_CD11B_DC_IFNAR_KO_DN.html</t>
  </si>
  <si>
    <t>GSE18804_SPLEEN_MACROPHAGE_VS_TUMORAL_MACROPHAGE_UP</t>
  </si>
  <si>
    <t>9320;55183;10137;51755;23358;200576;6874;10914;10153;84132;55727</t>
  </si>
  <si>
    <t>TRIP12;RIF1;RBM12;CDK12;USP24;PIKFYVE;TAF4;PAPOLA;CEBPZ;USP42;BTBD7</t>
  </si>
  <si>
    <t>http://www.broadinstitute.org/gsea/msigdb/cards/GSE18804_SPLEEN_MACROPHAGE_VS_TUMORAL_MACROPHAGE_UP.html</t>
  </si>
  <si>
    <t>55814;55660;80018;54906;23185;4899;92140;11011;140775;51132</t>
  </si>
  <si>
    <t>BDP1;PRPF40A;NAA25;TASOR2;LARP4B;NRF1;MTDH;TLK2;SMCR8;RLIM</t>
  </si>
  <si>
    <t>23347;9475;2969;1106;2551;6596;23181;54812;57531;51592</t>
  </si>
  <si>
    <t>SMCHD1;ROCK2;GTF2I;CHD2;GABPA;HLTF;DIP2A;AFTPH;HACE1;TRIM33</t>
  </si>
  <si>
    <t>GSE9601_UNTREATED_VS_PI3K_INHIBITOR_TREATED_HCMV_INF_MONOCYTE_DN</t>
  </si>
  <si>
    <t>673;23032;53944;9919;5586;165055;5814;53981;8202</t>
  </si>
  <si>
    <t>BRAF;USP33;CSNK1G1;SEC16A;PKN2;CCDC138;PURB;CPSF2;NCOA3</t>
  </si>
  <si>
    <t>http://www.broadinstitute.org/gsea/msigdb/cards/GSE9601_UNTREATED_VS_PI3K_INHIBITOR_TREATED_HCMV_INF_MONOCYTE_DN.html</t>
  </si>
  <si>
    <t>GSE10500_ARTHRITIC_SYNOVIAL_FLUID_VS_HEALTHY_MACROPHAGE_DN</t>
  </si>
  <si>
    <t>1778;253260;57148;80351;23358;8867;254887;155435;84725</t>
  </si>
  <si>
    <t>DYNC1H1;RICTOR;RALGAPB;TNKS2;USP24;SYNJ1;ZDHHC23;RBM33;PLEKHA8</t>
  </si>
  <si>
    <t>http://www.broadinstitute.org/gsea/msigdb/cards/GSE10500_ARTHRITIC_SYNOVIAL_FLUID_VS_HEALTHY_MACROPHAGE_DN.html</t>
  </si>
  <si>
    <t>9632;9711;6311;51230;6874;51585;7109;4899;57553;9923</t>
  </si>
  <si>
    <t>SEC24C;RUBCN;ATXN2;PHF20;TAF4;PCF11;TRAPPC10;NRF1;MICAL3;ZBTB40</t>
  </si>
  <si>
    <t>8672;23077;10771;254048;57690;55870;57609;8867;54014</t>
  </si>
  <si>
    <t>EIF4G3;MYCBP2;ZMYND11;UBN2;TNRC6C;ASH1L;DIP2B;SYNJ1;BRWD1</t>
  </si>
  <si>
    <t>255967;196528;23522;9712;7750;23095;2117;22930;54832;84669</t>
  </si>
  <si>
    <t>PAN3;ARID2;KAT6B;USP6NL;ZMYM2;KIF1B;ETV3;RAB3GAP1;VPS13C;USP32</t>
  </si>
  <si>
    <t>GSE3920_IFNB_VS_IFNG_TREATED_ENDOTHELIAL_CELL_DN</t>
  </si>
  <si>
    <t>4976;9631;11276;5471;23527;80205;54464;55743;55705;79813</t>
  </si>
  <si>
    <t>OPA1;NUP155;SYNRG;PPAT;ACAP2;CHD9;XRN1;CHFR;IPO9;EHMT1</t>
  </si>
  <si>
    <t>http://www.broadinstitute.org/gsea/msigdb/cards/GSE3920_IFNB_VS_IFNG_TREATED_ENDOTHELIAL_CELL_DN.html</t>
  </si>
  <si>
    <t>9475;5981;2186;255967;253260;57459;8867;2957;54014;9969</t>
  </si>
  <si>
    <t>ROCK2;RFC1;BPTF;PAN3;RICTOR;GATAD2B;SYNJ1;GTF2A1;BRWD1;MED13</t>
  </si>
  <si>
    <t>3840;54497;7750;11276;9841;9816;122830;204851;160760</t>
  </si>
  <si>
    <t>KPNA4;HEATR5B;ZMYM2;SYNRG;ZBTB24;URB2;NAA30;HIPK1;PPTC7</t>
  </si>
  <si>
    <t>GSE37532_VISCERAL_ADIPOSE_TISSUE_VS_LN_DERIVED_TREG_CD4_TCELL_DN</t>
  </si>
  <si>
    <t>9931;4299;57492;80312;57459;64864;55802;56980;9923</t>
  </si>
  <si>
    <t>HELZ;AFF1;ARID1B;TET1;GATAD2B;RFX7;DCP1A;PRDM10;ZBTB40</t>
  </si>
  <si>
    <t>http://www.broadinstitute.org/gsea/msigdb/cards/GSE37532_VISCERAL_ADIPOSE_TISSUE_VS_LN_DERIVED_TREG_CD4_TCELL_DN.html</t>
  </si>
  <si>
    <t>GSE7218_IGM_VS_IGG_SIGNAL_THGOUGH_ANTIGEN_BCELL_UP</t>
  </si>
  <si>
    <t>10526;5980;6873;23064;25914;85476;4899;254065;23299;55705</t>
  </si>
  <si>
    <t>IPO8;REV3L;TAF2;SETX;RTTN;GFM1;NRF1;BRWD3;BICD2;IPO9</t>
  </si>
  <si>
    <t>http://www.broadinstitute.org/gsea/msigdb/cards/GSE7218_IGM_VS_IGG_SIGNAL_THGOUGH_ANTIGEN_BCELL_UP.html</t>
  </si>
  <si>
    <t>5981;23512;23253;79677;51773;54764;79598;84893;1788</t>
  </si>
  <si>
    <t>RFC1;SUZ12;ANKRD12;SMC6;RSF1;ZRANB1;CEP97;FBH1;DNMT3A</t>
  </si>
  <si>
    <t>54799;8315;55193;57498;9919;55342;10198;23200;8202</t>
  </si>
  <si>
    <t>MBTD1;BRAP;PBRM1;KIDINS220;SEC16A;STRBP;MPHOSPH9;ATP11B;NCOA3</t>
  </si>
  <si>
    <t>200424;79832;80312;23522;23358;23095;10207;10765;6942</t>
  </si>
  <si>
    <t>TET3;QSER1;TET1;KAT6B;USP24;KIF1B;PATJ;KDM5B;TCF20</t>
  </si>
  <si>
    <t>51366;91746;10730;54542;1106;7514;4361;80205;79612</t>
  </si>
  <si>
    <t>UBR5;YTHDC1;YME1L1;RC3H2;CHD2;XPO1;MRE11;CHD9;NAA16</t>
  </si>
  <si>
    <t>GSE22601_DOUBLE_POSITIVE_VS_CD4_SINGLE_POSITIVE_THYMOCYTE_UP</t>
  </si>
  <si>
    <t>25914;64397;23132;6670;9816;23198;10594;54464;144348;84132</t>
  </si>
  <si>
    <t>RTTN;ZNF106;RAD54L2;SP3;URB2;PSME4;PRPF8;XRN1;ZNF664;USP42</t>
  </si>
  <si>
    <t>http://www.broadinstitute.org/gsea/msigdb/cards/GSE22601_DOUBLE_POSITIVE_VS_CD4_SINGLE_POSITIVE_THYMOCYTE_UP.html</t>
  </si>
  <si>
    <t>5495;5591;9857;55252;29994;2932;2033;80205;56987</t>
  </si>
  <si>
    <t>PPM1B;PRKDC;CEP350;ASXL2;BAZ2B;GSK3B;EP300;CHD9;BBX</t>
  </si>
  <si>
    <t>GSE27241_WT_VS_RORGT_KO_TH17_POLARIZED_CD4_TCELL_UP</t>
  </si>
  <si>
    <t>7468;9360;9793;84986;8880;10940;10915;55320;55159</t>
  </si>
  <si>
    <t>NSD2;PPIG;CKAP5;ARHGAP19;FUBP1;POP1;TCERG1;MIS18BP1;RFWD3</t>
  </si>
  <si>
    <t>http://www.broadinstitute.org/gsea/msigdb/cards/GSE27241_WT_VS_RORGT_KO_TH17_POLARIZED_CD4_TCELL_UP.html</t>
  </si>
  <si>
    <t>9139;30849;64682;10299;4763;2551;79813;57786</t>
  </si>
  <si>
    <t>CBFA2T2;PIK3R4;ANAPC1;MARCH6;NF1;GABPA;EHMT1;RBAK</t>
  </si>
  <si>
    <t>254048;23389;29994;23140;7559;6789;4899;92140;10765;27161</t>
  </si>
  <si>
    <t>UBN2;MED13L;BAZ2B;ZZEF1;ZNF12;STK4;NRF1;MTDH;KDM5B;AGO2</t>
  </si>
  <si>
    <t>4297;23253;171023;55870;23195;10207;9786;55802;51696;6942</t>
  </si>
  <si>
    <t>KMT2A;ANKRD12;ASXL1;ASH1L;MDN1;PATJ;KIAA0586;DCP1A;HECA;TCF20</t>
  </si>
  <si>
    <t>9793;26058;23126;23369;55628;9527;122830;8505;57209;55705</t>
  </si>
  <si>
    <t>CKAP5;GIGYF2;POGZ;PUM2;ZNF407;GOSR1;NAA30;PARG;ZNF248;IPO9</t>
  </si>
  <si>
    <t>673;7428;4299;165918;29072;79811;9774;8621;23033;91748</t>
  </si>
  <si>
    <t>BRAF;VHL;AFF1;RNF168;SETD2;SLTM;BCLAF1;CDK13;DOP1A;ELMSAN1</t>
  </si>
  <si>
    <t>GSE11864_CSF1_VS_CSF1_IFNG_PAM3CYS_IN_MAC_UP</t>
  </si>
  <si>
    <t>10526;546;221037;26005;10142;7514;10914;57209;56987;79657</t>
  </si>
  <si>
    <t>IPO8;ATRX;JMJD1C;C2CD3;AKAP9;XPO1;PAPOLA;ZNF248;BBX;RPAP3</t>
  </si>
  <si>
    <t>http://www.broadinstitute.org/gsea/msigdb/cards/GSE11864_CSF1_VS_CSF1_IFNG_PAM3CYS_IN_MAC_UP.html</t>
  </si>
  <si>
    <t>GSE11924_TH1_VS_TH2_CD4_TCELL_UP</t>
  </si>
  <si>
    <t>5451;205717;81609;8812;27042;25962;57534;9887;55705;57786</t>
  </si>
  <si>
    <t>POU2F1;USF3;SNX27;CCNK;UTP25;VIRMA;MIB1;SMG7;IPO9;RBAK</t>
  </si>
  <si>
    <t>http://www.broadinstitute.org/gsea/msigdb/cards/GSE11924_TH1_VS_TH2_CD4_TCELL_UP.html</t>
  </si>
  <si>
    <t>GSE12366_GC_VS_NAIVE_BCELL_UP</t>
  </si>
  <si>
    <t>9475;51366;7468;5591;9793;26098;23637;11168;64864;10198</t>
  </si>
  <si>
    <t>ROCK2;UBR5;NSD2;PRKDC;CKAP5;EDRF1;RABGAP1;PSIP1;RFX7;MPHOSPH9</t>
  </si>
  <si>
    <t>http://www.broadinstitute.org/gsea/msigdb/cards/GSE12366_GC_VS_NAIVE_BCELL_UP.html</t>
  </si>
  <si>
    <t>GSE13306_TREG_VS_TCONV_UP</t>
  </si>
  <si>
    <t>140710;9790;27291;171023;85440;57680;23132;9880;254887;9392</t>
  </si>
  <si>
    <t>SOGA1;BMS1;R3HCC1L;ASXL1;DOCK7;CHD8;RAD54L2;ZBTB39;ZDHHC23;TGFBRAP1</t>
  </si>
  <si>
    <t>http://www.broadinstitute.org/gsea/msigdb/cards/GSE13306_TREG_VS_TCONV_UP.html</t>
  </si>
  <si>
    <t>GSE13485_CTRL_VS_DAY1_YF17D_VACCINE_PBMC_UP</t>
  </si>
  <si>
    <t>3836;57697;165918;84146;59343;51105;7556;122830;64783;9439</t>
  </si>
  <si>
    <t>KPNA1;FANCM;RNF168;ZNF644;SENP2;PHF20L1;ZNF10;NAA30;RBM15;MED23</t>
  </si>
  <si>
    <t>http://www.broadinstitute.org/gsea/msigdb/cards/GSE13485_CTRL_VS_DAY1_YF17D_VACCINE_PBMC_UP.html</t>
  </si>
  <si>
    <t>GSE14308_TH2_VS_INDUCED_TREG_UP</t>
  </si>
  <si>
    <t>1656;10274;10730;8867;9527;55291;55432;9662;11190;55636</t>
  </si>
  <si>
    <t>DDX6;STAG1;YME1L1;SYNJ1;GOSR1;PPP6R3;YOD1;CEP135;CEP250;CHD7</t>
  </si>
  <si>
    <t>http://www.broadinstitute.org/gsea/msigdb/cards/GSE14308_TH2_VS_INDUCED_TREG_UP.html</t>
  </si>
  <si>
    <t>51366;26098;8315;58508;23195;26523;9693;9919;389072;54014</t>
  </si>
  <si>
    <t>UBR5;EDRF1;BRAP;KMT2C;MDN1;AGO1;RAPGEF2;SEC16A;PLEKHM3;BRWD1</t>
  </si>
  <si>
    <t>23077;1778;9869;7701;55291;10594;26054;55802;58487;22828</t>
  </si>
  <si>
    <t>MYCBP2;DYNC1H1;SETDB1;ZNF142;PPP6R3;PRPF8;SENP6;DCP1A;CREBZF;SCAF8</t>
  </si>
  <si>
    <t>4520;259282;57679;57609;23633;2117;2551;3930;25831;23200</t>
  </si>
  <si>
    <t>MTF1;BOD1L1;ALS2;DIP2B;KPNA6;ETV3;GABPA;LBR;HECTD1;ATP11B</t>
  </si>
  <si>
    <t>7175;9360;23160;9857;23350;285527;6249;92140;57531;53981</t>
  </si>
  <si>
    <t>TPR;PPIG;WDR43;CEP350;U2SURP;FRYL;CLIP1;MTDH;HACE1;CPSF2</t>
  </si>
  <si>
    <t>5981;6659;9869;54497;9126;5286;51742;79882;25948;25909</t>
  </si>
  <si>
    <t>RFC1;SOX4;SETDB1;HEATR5B;SMC3;PIK3C2A;ARID4B;ZC3H14;KBTBD2;AHCTF1</t>
  </si>
  <si>
    <t>http://www.broadinstitute.org/gsea/msigdb/cards/GSE17721_CTRL_VS_POLYIC_24H_BMDC_UP.html</t>
  </si>
  <si>
    <t>11128;7182;4297;9857;166378;64682;5469;23269;23013;9439</t>
  </si>
  <si>
    <t>POLR3A;NR2C2;KMT2A;CEP350;SPATA5;ANAPC1;MED1;MGA;SPEN;MED23</t>
  </si>
  <si>
    <t>23328;5130;9972;84162;54619;64426;29994;11168;2005;6249</t>
  </si>
  <si>
    <t>SASH1;PCYT1A;NUP153;KIAA1109;CCNJ;SUDS3;BAZ2B;PSIP1;ELK4;CLIP1</t>
  </si>
  <si>
    <t>54799;9320;23352;51322;55051;317;4140;6789;25962;10735</t>
  </si>
  <si>
    <t>MBTD1;TRIP12;UBR4;WAC;NRDE2;APAF1;MARK3;STK4;VIRMA;STAG2</t>
  </si>
  <si>
    <t>GSE17721_PAM3CSK4_VS_CPG_6H_BMDC_UP</t>
  </si>
  <si>
    <t>27340;2969;9736;79677;7528;23392;26009;80155;58487;9329</t>
  </si>
  <si>
    <t>UTP20;GTF2I;USP34;SMC6;YY1;ECPAS;AC118549.1;NAA15;CREBZF;GTF3C4</t>
  </si>
  <si>
    <t>http://www.broadinstitute.org/gsea/msigdb/cards/GSE17721_PAM3CSK4_VS_CPG_6H_BMDC_UP.html</t>
  </si>
  <si>
    <t>GSE17721_CPG_VS_GARDIQUIMOD_1H_BMDC_DN</t>
  </si>
  <si>
    <t>10526;10236;8888;5591;1660;23244;10426;55705;5814;9967</t>
  </si>
  <si>
    <t>IPO8;HNRNPR;MCM3AP;PRKDC;DHX9;PDS5A;TUBGCP3;IPO9;PURB;THRAP3</t>
  </si>
  <si>
    <t>http://www.broadinstitute.org/gsea/msigdb/cards/GSE17721_CPG_VS_GARDIQUIMOD_1H_BMDC_DN.html</t>
  </si>
  <si>
    <t>GSE17721_CPG_VS_GARDIQUIMOD_2H_BMDC_DN</t>
  </si>
  <si>
    <t>11128;9931;2969;51230;23423;7514;23095;55596;57531;9904</t>
  </si>
  <si>
    <t>POLR3A;HELZ;GTF2I;PHF20;TMED3;XPO1;KIF1B;ZCCHC8;HACE1;RBM19</t>
  </si>
  <si>
    <t>http://www.broadinstitute.org/gsea/msigdb/cards/GSE17721_CPG_VS_GARDIQUIMOD_2H_BMDC_DN.html</t>
  </si>
  <si>
    <t>673;5781;9793;23160;64397;79572;4899;160760;8239;5814</t>
  </si>
  <si>
    <t>BRAF;PTPN11;CKAP5;WDR43;ZNF106;ATP13A3;NRF1;PPTC7;USP9X;PURB</t>
  </si>
  <si>
    <t>GSE17721_POLYIC_VS_CPG_8H_BMDC_DN</t>
  </si>
  <si>
    <t>27340;3836;51248;10274;84146;7174;10093;2551;55127;10762</t>
  </si>
  <si>
    <t>UTP20;KPNA1;PDZD11;STAG1;ZNF644;TPP2;ARPC4;GABPA;HEATR1;NUP50</t>
  </si>
  <si>
    <t>http://www.broadinstitute.org/gsea/msigdb/cards/GSE17721_POLYIC_VS_CPG_8H_BMDC_DN.html</t>
  </si>
  <si>
    <t>GSE17721_LPS_VS_CPG_0.5H_BMDC_UP</t>
  </si>
  <si>
    <t>9611;23332;23505;7248;79677;6311;987;463;54887;22850</t>
  </si>
  <si>
    <t>NCOR1;CLASP1;TMEM131;TSC1;SMC6;ATXN2;LRBA;ZFHX3;UHRF1BP1;ADNP2</t>
  </si>
  <si>
    <t>http://www.broadinstitute.org/gsea/msigdb/cards/GSE17721_LPS_VS_CPG_0.5H_BMDC_UP.html</t>
  </si>
  <si>
    <t>5495;4299;51322;84146;317;11168;23198;11011;22849;53981</t>
  </si>
  <si>
    <t>PPM1B;AFF1;WAC;ZNF644;APAF1;PSIP1;PSME4;TLK2;CPEB3;CPSF2</t>
  </si>
  <si>
    <t>23317;5495;673;4297;28981;57634;55051;23405;9126;1788</t>
  </si>
  <si>
    <t>DNAJC13;PPM1B;BRAF;KMT2A;IFT81;EP400;NRDE2;DICER1;SMC3;DNMT3A</t>
  </si>
  <si>
    <t>5130;221037;9857;259282;29994;2005;283337;56987;55743;8202</t>
  </si>
  <si>
    <t>PCYT1A;JMJD1C;CEP350;BOD1L1;BAZ2B;ELK4;ZNF740;BBX;CHFR;NCOA3</t>
  </si>
  <si>
    <t>10526;23328;6659;7705;171023;10142;10735;10426;55705;9188</t>
  </si>
  <si>
    <t>IPO8;SASH1;SOX4;ZNF146;ASXL1;AKAP9;STAG2;TUBGCP3;IPO9;DDX21</t>
  </si>
  <si>
    <t>673;405;5048;3609;23160;84614;157769;472;204851;26054</t>
  </si>
  <si>
    <t>BRAF;ARNT;PAFAH1B1;ILF3;WDR43;ZBTB37;FAM91A1;ATM;HIPK1;SENP6</t>
  </si>
  <si>
    <t>8672;5451;23293;80312;317;7528;7174;9698;157922;26009</t>
  </si>
  <si>
    <t>EIF4G3;POU2F1;SMG6;TET1;APAF1;YY1;TPP2;PUM1;CAMSAP1;AC118549.1</t>
  </si>
  <si>
    <t>26046;257218;23352;80351;317;9113;7528;4899;58487;25831</t>
  </si>
  <si>
    <t>LTN1;SHPRH;UBR4;TNKS2;APAF1;LATS1;YY1;NRF1;CREBZF;HECTD1</t>
  </si>
  <si>
    <t>23347;6654;9711;51479;55014;388228;54887;11011;84132;55802</t>
  </si>
  <si>
    <t>SMCHD1;SOS1;RUBCN;ANKFY1;STX17;SBK1;UHRF1BP1;TLK2;USP42;DCP1A</t>
  </si>
  <si>
    <t>23014;257218;10940;10915;8518;64854;51182;9816;55127;79723</t>
  </si>
  <si>
    <t>FBXO21;SHPRH;POP1;TCERG1;ELP1;USP46;HSPA14;URB2;HEATR1;SUV39H2</t>
  </si>
  <si>
    <t>GSE20715_0H_VS_6H_OZONE_LUNG_DN</t>
  </si>
  <si>
    <t>23328;253260;57459;85476;10915;10299;905;64783;23013;56995</t>
  </si>
  <si>
    <t>SASH1;RICTOR;GATAD2B;GFM1;TCERG1;MARCH6;CCNT2;RBM15;SPEN;TULP4</t>
  </si>
  <si>
    <t>http://www.broadinstitute.org/gsea/msigdb/cards/GSE20715_0H_VS_6H_OZONE_LUNG_DN.html</t>
  </si>
  <si>
    <t>8672;6433;26005;64682;472;80205;64421;10198;11190;83448</t>
  </si>
  <si>
    <t>EIF4G3;SFSWAP;C2CD3;ANAPC1;ATM;CHD9;DCLRE1C;MPHOSPH9;CEP250;PUS7L</t>
  </si>
  <si>
    <t>10771;171023;23522;23195;11276;987;22850;10985;10198;55818</t>
  </si>
  <si>
    <t>ZMYND11;ASXL1;KAT6B;MDN1;SYNRG;LRBA;ADNP2;GCN1;MPHOSPH9;KDM3A</t>
  </si>
  <si>
    <t>3836;55252;23505;23198;22930;4899;23299;55802;55727;440193</t>
  </si>
  <si>
    <t>KPNA1;ASXL2;TMEM131;PSME4;RAB3GAP1;NRF1;BICD2;DCP1A;BTBD7;CCDC88C</t>
  </si>
  <si>
    <t>7155;9869;8019;57697;9147;2932;55432;145508;26065;283337</t>
  </si>
  <si>
    <t>TOP2B;SETDB1;BRD3;FANCM;NEMF;GSK3B;YOD1;CEP128;LSM14A;ZNF740</t>
  </si>
  <si>
    <t>23328;6659;157769;91746;85440;9169;10142;463;56987;58487</t>
  </si>
  <si>
    <t>SASH1;SOX4;FAM91A1;YTHDC1;DOCK7;SCAF11;AKAP9;ZFHX3;BBX;CREBZF</t>
  </si>
  <si>
    <t>9139;221037;23253;23522;29072;54876;25948;55167;9923;51696</t>
  </si>
  <si>
    <t>CBFA2T2;JMJD1C;ANKRD12;KAT6B;SETD2;DCAF16;KBTBD2;MSL2;ZBTB40;HECA</t>
  </si>
  <si>
    <t>6873;23253;55914;29072;8295;9870;23392;54455;55127;55727</t>
  </si>
  <si>
    <t>TAF2;ANKRD12;ERBIN;SETD2;TRRAP;AREL1;ECPAS;FBXO42;HEATR1;BTBD7</t>
  </si>
  <si>
    <t>GSE26928_EFF_MEM_VS_CENTR_MEM_CD4_TCELL_DN</t>
  </si>
  <si>
    <t>9135;55628;7750;6801;7581;27332;5814;79657;9874;23200</t>
  </si>
  <si>
    <t>RABEP1;ZNF407;ZMYM2;STRN;ZNF33A;ZNF638;PURB;RPAP3;TLK1;ATP11B</t>
  </si>
  <si>
    <t>http://www.broadinstitute.org/gsea/msigdb/cards/GSE26928_EFF_MEM_VS_CENTR_MEM_CD4_TCELL_DN.html</t>
  </si>
  <si>
    <t>55206;7428;387680;23253;9736;57148;55023;57680;8505;9969</t>
  </si>
  <si>
    <t>SBNO1;VHL;WASHC2A;ANKRD12;USP34;RALGAPB;PHIP;CHD8;PARG;MED13</t>
  </si>
  <si>
    <t>5495;6093;387680;23253;9736;57148;57498;23358;9147;142891</t>
  </si>
  <si>
    <t>PPM1B;ROCK1;WASHC2A;ANKRD12;USP34;RALGAPB;KIDINS220;USP24;NEMF;SAMD8</t>
  </si>
  <si>
    <t>GSE27786_LSK_VS_ERYTHROBLAST_UP</t>
  </si>
  <si>
    <t>23077;7428;8019;80351;9841;6341;9678;23269;26146;4848</t>
  </si>
  <si>
    <t>MYCBP2;VHL;BRD3;TNKS2;ZBTB24;SCO1;PHF14;MGA;TRAF3IP1;AC092881.1</t>
  </si>
  <si>
    <t>http://www.broadinstitute.org/gsea/msigdb/cards/GSE27786_LSK_VS_ERYTHROBLAST_UP.html</t>
  </si>
  <si>
    <t>5130;23054;84986;158427;23389;57148;7776;9870;9841;51696</t>
  </si>
  <si>
    <t>PCYT1A;NCOA6;ARHGAP19;TSTD2;MED13L;RALGAPB;ZNF236;AREL1;ZBTB24;HECA</t>
  </si>
  <si>
    <t>GSE27786_CD8_TCELL_VS_NEUTROPHIL_UP</t>
  </si>
  <si>
    <t>80312;23049;51230;29072;57690;10153;84295;92797;54765;51132</t>
  </si>
  <si>
    <t>TET1;SMG1;PHF20;SETD2;TNRC6C;CEBPZ;PHF6;HELB;TRIM44;RLIM</t>
  </si>
  <si>
    <t>http://www.broadinstitute.org/gsea/msigdb/cards/GSE27786_CD8_TCELL_VS_NEUTROPHIL_UP.html</t>
  </si>
  <si>
    <t>GSE27786_NKCELL_VS_NKTCELL_DN</t>
  </si>
  <si>
    <t>10526;5495;23160;23049;57690;5116;79707;25962;55632;51455</t>
  </si>
  <si>
    <t>IPO8;PPM1B;WDR43;SMG1;TNRC6C;PCNT;NOL9;VIRMA;G2E3;REV1</t>
  </si>
  <si>
    <t>http://www.broadinstitute.org/gsea/msigdb/cards/GSE27786_NKCELL_VS_NKTCELL_DN.html</t>
  </si>
  <si>
    <t>55206;4976;22848;9202;90957;23064;80351;23269;51132;4848</t>
  </si>
  <si>
    <t>SBNO1;OPA1;AAK1;ZMYM4;DHX57;SETX;TNKS2;MGA;RLIM;AC092881.1</t>
  </si>
  <si>
    <t>8085;4976;3192;1660;9202;9841;8621;23269;84295;10765</t>
  </si>
  <si>
    <t>KMT2D;OPA1;HNRNPU;DHX9;ZMYM4;ZBTB24;CDK13;MGA;PHF6;KDM5B</t>
  </si>
  <si>
    <t>5130;23054;84986;158427;7776;6789;55187;157680;440193;23200</t>
  </si>
  <si>
    <t>PCYT1A;NCOA6;ARHGAP19;TSTD2;ZNF236;STK4;VPS13D;VPS13B;CCDC88C;ATP11B</t>
  </si>
  <si>
    <t>GSE29615_CTRL_VS_DAY3_LAIV_IFLU_VACCINE_PBMC_UP</t>
  </si>
  <si>
    <t>55660;673;1660;84146;9774;54764;11011;25948;84248;55802</t>
  </si>
  <si>
    <t>PRPF40A;BRAF;DHX9;ZNF644;BCLAF1;ZRANB1;TLK2;KBTBD2;FYTTD1;DCP1A</t>
  </si>
  <si>
    <t>http://www.broadinstitute.org/gsea/msigdb/cards/GSE29615_CTRL_VS_DAY3_LAIV_IFLU_VACCINE_PBMC_UP.html</t>
  </si>
  <si>
    <t>9044;51366;171023;84181;54856;10198;58487;9923;9329;25831</t>
  </si>
  <si>
    <t>BTAF1;UBR5;ASXL1;CHD6;GON4L;MPHOSPH9;CREBZF;ZBTB40;GTF3C4;HECTD1</t>
  </si>
  <si>
    <t>1656;6711;9360;9135;23253;9712;200576;375248;472;55636</t>
  </si>
  <si>
    <t>DDX6;SPTBN1;PPIG;RABEP1;ANKRD12;USP6NL;PIKFYVE;ANKRD36;ATM;CHD7</t>
  </si>
  <si>
    <t>9044;3799;2969;6659;79677;23195;23358;375248;987;6596</t>
  </si>
  <si>
    <t>BTAF1;KIF5B;GTF2I;SOX4;SMC6;MDN1;USP24;ANKRD36;LRBA;HLTF</t>
  </si>
  <si>
    <t>GSE29618_PRE_VS_DAY7_POST_TIV_FLU_VACCINE_MONOCYTE_DN</t>
  </si>
  <si>
    <t>673;7637;9790;23160;23352;171023;85476;11276;10985;55743</t>
  </si>
  <si>
    <t>BRAF;ZNF84;BMS1;WDR43;UBR4;ASXL1;GFM1;SYNRG;GCN1;CHFR</t>
  </si>
  <si>
    <t>http://www.broadinstitute.org/gsea/msigdb/cards/GSE29618_PRE_VS_DAY7_POST_TIV_FLU_VACCINE_MONOCYTE_DN.html</t>
  </si>
  <si>
    <t>GSE32423_MEMORY_VS_NAIVE_CD8_TCELL_IL7_DN</t>
  </si>
  <si>
    <t>23160;254225;29994;23637;10128;10914;9513;55127;55175;11108</t>
  </si>
  <si>
    <t>WDR43;RNF169;BAZ2B;RABGAP1;LRPPRC;PAPOLA;FXR2;HEATR1;KLHL11;PRDM4</t>
  </si>
  <si>
    <t>http://www.broadinstitute.org/gsea/msigdb/cards/GSE32423_MEMORY_VS_NAIVE_CD8_TCELL_IL7_DN.html</t>
  </si>
  <si>
    <t>3836;9202;55193;23369;57448;54764;23019;10915;23036;10762</t>
  </si>
  <si>
    <t>KPNA1;ZMYM4;PBRM1;PUM2;BIRC6;ZRANB1;CNOT1;TCERG1;ZNF292;NUP50</t>
  </si>
  <si>
    <t>10236;5981;6654;9869;157769;57680;7174;10128;23198;26009</t>
  </si>
  <si>
    <t>HNRNPR;RFC1;SOS1;SETDB1;FAM91A1;CHD8;TPP2;LRPPRC;PSME4;AC118549.1</t>
  </si>
  <si>
    <t>169841;10771;26523;7528;388228;55605;160760;56987;56995;8202</t>
  </si>
  <si>
    <t>ZNF169;ZMYND11;AGO1;YY1;SBK1;KIF21A;PPTC7;BBX;TULP4;NCOA3</t>
  </si>
  <si>
    <t>23317;5062;23332;5930;51230;23633;2932;22984;11011;54014</t>
  </si>
  <si>
    <t>DNAJC13;PAK2;CLASP1;RBBP6;PHF20;KPNA6;GSK3B;PDCD11;TLK2;BRWD1</t>
  </si>
  <si>
    <t>9793;10075;57498;54454;200576;10915;9527;10093;79646;23335</t>
  </si>
  <si>
    <t>CKAP5;HUWE1;KIDINS220;ATAD2B;PIKFYVE;TCERG1;GOSR1;ARPC4;PANK3;WDR7</t>
  </si>
  <si>
    <t>200424;55660;23077;5451;9931;23001;23505;9126;26009;26146</t>
  </si>
  <si>
    <t>TET3;PRPF40A;MYCBP2;POU2F1;HELZ;WDFY3;TMEM131;SMC3;AC118549.1;TRAF3IP1</t>
  </si>
  <si>
    <t>5451;23160;23126;29072;29994;4140;6249;10128;2551;2074</t>
  </si>
  <si>
    <t>POU2F1;WDR43;POGZ;SETD2;BAZ2B;MARK3;CLIP1;LRPPRC;GABPA;ERCC6</t>
  </si>
  <si>
    <t>55660;22853;23358;8453;9816;4899;57553;23269;10426;7707</t>
  </si>
  <si>
    <t>PRPF40A;LMTK2;USP24;CUL2;URB2;NRF1;MICAL3;MGA;TUBGCP3;ZNF148</t>
  </si>
  <si>
    <t>GSE36392_TYPE_2_MYELOID_VS_MAC_IL25_TREATED_LUNG_DN</t>
  </si>
  <si>
    <t>8672;9736;64426;23660;11168;4301;22984;10714;25962;51455</t>
  </si>
  <si>
    <t>EIF4G3;USP34;SUDS3;ZKSCAN5;PSIP1;AFDN;PDCD11;POLD3;VIRMA;REV1</t>
  </si>
  <si>
    <t>http://www.broadinstitute.org/gsea/msigdb/cards/GSE36392_TYPE_2_MYELOID_VS_MAC_IL25_TREATED_LUNG_DN.html</t>
  </si>
  <si>
    <t>26057;10075;54542;53944;23660;23036;51585;5422;987;9879</t>
  </si>
  <si>
    <t>ANKRD17;HUWE1;RC3H2;CSNK1G1;ZKSCAN5;ZNF292;PCF11;POLA1;LRBA;DDX46</t>
  </si>
  <si>
    <t>http://www.broadinstitute.org/gsea/msigdb/cards/GSE3982_CTRL_VS_IGE_STIM_MAST_CELL_UP.html</t>
  </si>
  <si>
    <t>9631;23014;7428;11064;23505;5116;79882;54765;9188;10762</t>
  </si>
  <si>
    <t>NUP155;FBXO21;VHL;CNTRL;TMEM131;PCNT;ZC3H14;TRIM44;DDX21;NUP50</t>
  </si>
  <si>
    <t>http://www.broadinstitute.org/gsea/msigdb/cards/GSE3982_EOSINOPHIL_VS_NEUTROPHIL_UP.html</t>
  </si>
  <si>
    <t>9611;6711;79811;57498;200576;51585;10277;4763;253959;157680</t>
  </si>
  <si>
    <t>NCOR1;SPTBN1;SLTM;KIDINS220;PIKFYVE;PCF11;UBE4B;NF1;RALGAPA1;VPS13B</t>
  </si>
  <si>
    <t>200424;5495;374354;55914;51230;29994;22930;204851;55727;51696</t>
  </si>
  <si>
    <t>TET3;PPM1B;NHLRC2;ERBIN;PHF20;BAZ2B;RAB3GAP1;HIPK1;BTBD7;HECA</t>
  </si>
  <si>
    <t>9631;8899;8925;55341;7174;9221;64864;79882;23269;23335</t>
  </si>
  <si>
    <t>NUP155;PRPF4B;HERC1;LSG1;TPP2;NOLC1;RFX7;ZC3H14;MGA;WDR7</t>
  </si>
  <si>
    <t>http://www.broadinstitute.org/gsea/msigdb/cards/GSE3982_MAST_CELL_VS_NEUTROPHIL_UP.html</t>
  </si>
  <si>
    <t>5927;6711;64397;79811;23036;4763;10914;25948;11083;23499</t>
  </si>
  <si>
    <t>KDM5A;SPTBN1;ZNF106;SLTM;ZNF292;NF1;PAPOLA;KBTBD2;DIDO1;MACF1</t>
  </si>
  <si>
    <t>23014;7175;5451;79832;22976;10915;23095;285527;131544;9967</t>
  </si>
  <si>
    <t>FBXO21;TPR;POU2F1;QSER1;PAXIP1;TCERG1;KIF1B;FRYL;CRYBG3;THRAP3</t>
  </si>
  <si>
    <t>23014;23352;7776;11276;23660;9880;51585;9221;131544;64421</t>
  </si>
  <si>
    <t>FBXO21;UBR4;ZNF236;SYNRG;ZKSCAN5;ZBTB39;PCF11;NOLC1;CRYBG3;DCLRE1C</t>
  </si>
  <si>
    <t>9631;6659;10897;5116;8453;79882;92140;54765;23335;4216</t>
  </si>
  <si>
    <t>NUP155;SOX4;YIF1A;PCNT;CUL2;ZC3H14;MTDH;TRIM44;WDR7;MAP3K4</t>
  </si>
  <si>
    <t>http://www.broadinstitute.org/gsea/msigdb/cards/GSE3982_DC_VS_NEUTROPHIL_UP.html</t>
  </si>
  <si>
    <t>7175;6711;26005;22976;7690;79707;55187;11011;7994;11083</t>
  </si>
  <si>
    <t>TPR;SPTBN1;C2CD3;PAXIP1;ZNF131;NOL9;VPS13D;TLK2;KAT6A;DIDO1</t>
  </si>
  <si>
    <t>5591;23352;23332;23505;23131;23140;2957;1859;4899;10207</t>
  </si>
  <si>
    <t>PRKDC;UBR4;CLASP1;TMEM131;GPATCH8;ZZEF1;GTF2A1;DYRK1A;NRF1;PATJ</t>
  </si>
  <si>
    <t>23014;9632;1660;79832;10142;55249;8087;472;11190;6942</t>
  </si>
  <si>
    <t>FBXO21;SEC24C;DHX9;QSER1;AKAP9;YY1AP1;FXR1;ATM;CEP250;TCF20</t>
  </si>
  <si>
    <t>9631;23014;7428;2802;84726;54619;64864;54765;23335;4216</t>
  </si>
  <si>
    <t>NUP155;FBXO21;VHL;GOLGA3;PRRC2B;CCNJ;RFX7;TRIM44;WDR7;MAP3K4</t>
  </si>
  <si>
    <t>http://www.broadinstitute.org/gsea/msigdb/cards/GSE3982_NEUTROPHIL_VS_NKCELL_DN.html</t>
  </si>
  <si>
    <t>55206;23328;4297;23095;7559;2117;10714;22850;11011;10207</t>
  </si>
  <si>
    <t>SBNO1;SASH1;KMT2A;KIF1B;ZNF12;ETV3;POLD3;ADNP2;TLK2;PATJ</t>
  </si>
  <si>
    <t>10526;5062;26130;80204;11214;25948;26065;23299;55727;22828</t>
  </si>
  <si>
    <t>IPO8;PAK2;GAPVD1;FBXO11;AKAP13;KBTBD2;LSM14A;BICD2;BTBD7;SCAF8</t>
  </si>
  <si>
    <t>GSE39820_TGFBETA1_VS_TGFBETA3_IN_IL6_IL23A_TREATED_CD4_TCELL_UP</t>
  </si>
  <si>
    <t>10526;27340;27107;5981;157769;8880;5471;9897;9816;84295</t>
  </si>
  <si>
    <t>IPO8;UTP20;ZBTB11;RFC1;FAM91A1;FUBP1;PPAT;WASHC5;URB2;PHF6</t>
  </si>
  <si>
    <t>http://www.broadinstitute.org/gsea/msigdb/cards/GSE39820_TGFBETA1_VS_TGFBETA3_IN_IL6_IL23A_TREATED_CD4_TCELL_UP.html</t>
  </si>
  <si>
    <t>8888;3842;10730;9169;64682;11244;5422;3930;9221;55320</t>
  </si>
  <si>
    <t>MCM3AP;TNPO1;YME1L1;SCAF11;ANAPC1;ZHX1;POLA1;LBR;NOLC1;MIS18BP1</t>
  </si>
  <si>
    <t>http://www.broadinstitute.org/gsea/msigdb/cards/GSE5960_TH1_VS_ANERGIC_TH1_UP.html</t>
  </si>
  <si>
    <t>9360;55728;55023;80311;55914;23423;9527;55432;11083;26973</t>
  </si>
  <si>
    <t>PPIG;N4BP2;PHIP;KLHL15;ERBIN;TMED3;GOSR1;YOD1;DIDO1;CHORDC1</t>
  </si>
  <si>
    <t>5048;9869;11052;23063;10730;23132;10915;10897;79646;51455</t>
  </si>
  <si>
    <t>PAFAH1B1;SETDB1;CPSF6;WAPL;YME1L1;RAD54L2;TCERG1;YIF1A;PANK3;REV1</t>
  </si>
  <si>
    <t>51366;5048;8661;55183;6873;23063;6341;2140;79723;26973</t>
  </si>
  <si>
    <t>UBR5;PAFAH1B1;EIF3A;RIF1;TAF2;WAPL;SCO1;EYA3;SUV39H2;CHORDC1</t>
  </si>
  <si>
    <t>GSE7460_FOXP3_MUT_VS_HET_ACT_TCONV_DN</t>
  </si>
  <si>
    <t>5781;9869;8019;100289635;57459;64397;10714;254887;54765;51455</t>
  </si>
  <si>
    <t>PTPN11;SETDB1;BRD3;ZNF605;GATAD2B;ZNF106;POLD3;ZDHHC23;TRIM44;REV1</t>
  </si>
  <si>
    <t>http://www.broadinstitute.org/gsea/msigdb/cards/GSE7460_FOXP3_MUT_VS_HET_ACT_TCONV_DN.html</t>
  </si>
  <si>
    <t>9733;55183;7840;85440;22852;54887;54455;389072;26973;9904</t>
  </si>
  <si>
    <t>SART3;RIF1;ALMS1;DOCK7;ANKRD26;UHRF1BP1;FBXO42;PLEKHM3;CHORDC1;RBM19</t>
  </si>
  <si>
    <t>GSE9006_TYPE_1_DIABETES_AT_DX_VS_1MONTH_POST_DX_PBMC_UP</t>
  </si>
  <si>
    <t>10236;5591;3192;5062;64324;10093;55671;26146;55743;55167</t>
  </si>
  <si>
    <t>HNRNPR;PRKDC;HNRNPU;PAK2;NSD1;ARPC4;PPP4R3A;TRAF3IP1;CHFR;MSL2</t>
  </si>
  <si>
    <t>http://www.broadinstitute.org/gsea/msigdb/cards/GSE9006_TYPE_1_DIABETES_AT_DX_VS_1MONTH_POST_DX_PBMC_UP.html</t>
  </si>
  <si>
    <t>GSE9037_WT_VS_IRAK4_KO_LPS_1H_STIM_BMDM_UP</t>
  </si>
  <si>
    <t>26043;79691;7750;7776;51105;23036;5116;7690;6601;55127</t>
  </si>
  <si>
    <t>UBXN7;QTRT2;ZMYM2;ZNF236;PHF20L1;ZNF292;PCNT;ZNF131;SMARCC2;HEATR1</t>
  </si>
  <si>
    <t>http://www.broadinstitute.org/gsea/msigdb/cards/GSE9037_WT_VS_IRAK4_KO_LPS_1H_STIM_BMDM_UP.html</t>
  </si>
  <si>
    <t>27340;26043;7175;84162;54764;1106;6601;26054;51592;23143</t>
  </si>
  <si>
    <t>UTP20;UBXN7;TPR;KIAA1109;ZRANB1;CHD2;SMARCC2;SENP6;TRIM33;LRCH1</t>
  </si>
  <si>
    <t>9681;5451;55051;23067;6874;2876;27327;84260;51696;6942</t>
  </si>
  <si>
    <t>DEPDC5;POU2F1;NRDE2;SETD1B;TAF4;GPX1;TNRC6A;TCHP;HECA;TCF20</t>
  </si>
  <si>
    <t>GSE411_UNSTIM_VS_400MIN_IL6_STIM_MACROPHAGE_DN</t>
  </si>
  <si>
    <t>5980;375748;80218;9126;4863;144348;26065;80155;23047;51592</t>
  </si>
  <si>
    <t>REV3L;ERCC6L2;NAA50;SMC3;NPAT;ZNF664;LSM14A;NAA15;PDS5B;TRIM33</t>
  </si>
  <si>
    <t>http://www.broadinstitute.org/gsea/msigdb/cards/GSE411_UNSTIM_VS_400MIN_IL6_STIM_MACROPHAGE_DN.html</t>
  </si>
  <si>
    <t>GSE411_100MIN_VS_400MIN_IL6_STIM_MACROPHAGE_DN</t>
  </si>
  <si>
    <t>3836;3609;9360;23160;80204;10940;80218;23195;157922;80155</t>
  </si>
  <si>
    <t>KPNA1;ILF3;PPIG;WDR43;FBXO11;POP1;NAA50;MDN1;CAMSAP1;NAA15</t>
  </si>
  <si>
    <t>http://www.broadinstitute.org/gsea/msigdb/cards/GSE411_100MIN_VS_400MIN_IL6_STIM_MACROPHAGE_DN.html</t>
  </si>
  <si>
    <t>6711;9321;54619;54906;55051;2117;51742;139285;55432;10207</t>
  </si>
  <si>
    <t>SPTBN1;TRIP11;CCNJ;TASOR2;NRDE2;ETV3;ARID4B;AMER1;YOD1;PATJ</t>
  </si>
  <si>
    <t>7155;5062;22848;90957;79572;10277;79612;10594;55102;55342</t>
  </si>
  <si>
    <t>TOP2B;PAK2;AAK1;DHX57;ATP13A3;UBE4B;NAA16;PRPF8;ATG2B;STRBP</t>
  </si>
  <si>
    <t>http://www.broadinstitute.org/gsea/msigdb/cards/GSE2770_TGFB_AND_IL4_ACT_VS_ACT_CD4_TCELL_2H_UP.html</t>
  </si>
  <si>
    <t>23347;9877;9320;375748;80311;54542;55291;8239;192669;9969</t>
  </si>
  <si>
    <t>SMCHD1;ZC3H11A;TRIP12;ERCC6L2;KLHL15;RC3H2;PPP6R3;USP9X;AGO3;MED13</t>
  </si>
  <si>
    <t>GSE2405_HEAT_KILLED_LYSATE_VS_LIVE_A_PHAGOCYTOPHILUM_STIM_NEUTROPHIL_24H_DN</t>
  </si>
  <si>
    <t>11128;57697;166378;51755;23095;10714;54887;145508;55094;56980</t>
  </si>
  <si>
    <t>POLR3A;FANCM;SPATA5;CDK12;KIF1B;POLD3;UHRF1BP1;CEP128;GPATCH1;PRDM10</t>
  </si>
  <si>
    <t>http://www.broadinstitute.org/gsea/msigdb/cards/GSE2405_HEAT_KILLED_LYSATE_VS_LIVE_A_PHAGOCYTOPHILUM_STIM_NEUTROPHIL_24H_DN.html</t>
  </si>
  <si>
    <t>GSE1566_WT_VS_EZH2_KO_LN_TCELL_DN</t>
  </si>
  <si>
    <t>6659;55183;57532;25914;23132;23198;10594;54464;84132;7707</t>
  </si>
  <si>
    <t>SOX4;RIF1;NUFIP2;RTTN;RAD54L2;PSME4;PRPF8;XRN1;USP42;ZNF148</t>
  </si>
  <si>
    <t>http://www.broadinstitute.org/gsea/msigdb/cards/GSE1566_WT_VS_EZH2_KO_LN_TCELL_DN.html</t>
  </si>
  <si>
    <t>GSE2585_CTEC_VS_THYMIC_MACROPHAGE_DN</t>
  </si>
  <si>
    <t>8085;9611;9736;23001;374354;57448;23067;9887;64783;10198</t>
  </si>
  <si>
    <t>KMT2D;NCOR1;USP34;WDFY3;NHLRC2;BIRC6;SETD1B;SMG7;RBM15;MPHOSPH9</t>
  </si>
  <si>
    <t>http://www.broadinstitute.org/gsea/msigdb/cards/GSE2585_CTEC_VS_THYMIC_MACROPHAGE_DN.html</t>
  </si>
  <si>
    <t>GSE1925_3H_VS_24H_IFNG_STIM_IFNG_PRIMED_MACROPHAGE_DN</t>
  </si>
  <si>
    <t>55206;23014;5130;4299;3192;5422;23468;987;27327;10762</t>
  </si>
  <si>
    <t>SBNO1;FBXO21;PCYT1A;AFF1;HNRNPU;POLA1;CBX5;LRBA;TNRC6A;NUP50</t>
  </si>
  <si>
    <t>http://www.broadinstitute.org/gsea/msigdb/cards/GSE1925_3H_VS_24H_IFNG_STIM_IFNG_PRIMED_MACROPHAGE_DN.html</t>
  </si>
  <si>
    <t>23451;9631;8925;80204;4763;23198;54520;54464</t>
  </si>
  <si>
    <t>SF3B1;NUP155;HERC1;FBXO11;NF1;PSME4;CCDC93;XRN1</t>
  </si>
  <si>
    <t>5048;9632;9202;89910;8295;9147;157680;79657;55636;27161</t>
  </si>
  <si>
    <t>PAFAH1B1;SEC24C;ZMYM4;UBE3B;TRRAP;NEMF;VPS13B;RPAP3;CHD7;AGO2</t>
  </si>
  <si>
    <t>26523;51105;5422;463;22850;25948;22849;8239;51696;11108</t>
  </si>
  <si>
    <t>AGO1;PHF20L1;POLA1;ZFHX3;ADNP2;KBTBD2;CPEB3;USP9X;HECA;PRDM4</t>
  </si>
  <si>
    <t>7182;257218;26098;253260;11064;200576;10299;7528;26054;51696</t>
  </si>
  <si>
    <t>NR2C2;SHPRH;EDRF1;RICTOR;CNTRL;PIKFYVE;MARCH6;YY1;SENP6;HECA</t>
  </si>
  <si>
    <t>GSE4984_GALECTIN1_VS_VEHICLE_CTRL_TREATED_DC_DN</t>
  </si>
  <si>
    <t>10526;2802;7156;80018;23512;55341;6596;10714;79646;10762</t>
  </si>
  <si>
    <t>IPO8;GOLGA3;TOP3A;NAA25;SUZ12;LSG1;HLTF;POLD3;PANK3;NUP50</t>
  </si>
  <si>
    <t>http://www.broadinstitute.org/gsea/msigdb/cards/GSE4984_GALECTIN1_VS_VEHICLE_CTRL_TREATED_DC_DN.html</t>
  </si>
  <si>
    <t>GSE5542_IFNG_VS_IFNA_TREATED_EPITHELIAL_CELLS_6H_UP</t>
  </si>
  <si>
    <t>7182;84986;9869;57695;9147;4361;3930;84295;26065;9188</t>
  </si>
  <si>
    <t>NR2C2;ARHGAP19;SETDB1;USP37;NEMF;MRE11;LBR;PHF6;LSM14A;DDX21</t>
  </si>
  <si>
    <t>http://www.broadinstitute.org/gsea/msigdb/cards/GSE5542_IFNG_VS_IFNA_TREATED_EPITHELIAL_CELLS_6H_UP.html</t>
  </si>
  <si>
    <t>10526;7175;57492;85459;64682;26190;23033;54832;92140;57703</t>
  </si>
  <si>
    <t>IPO8;TPR;ARID1B;CEP295;ANAPC1;FBXW2;DOP1A;VPS13C;MTDH;CWC22</t>
  </si>
  <si>
    <t>4297;6659;169841;79832;54619;28981;23468;5586;80205;79598</t>
  </si>
  <si>
    <t>KMT2A;SOX4;ZNF169;QSER1;CCNJ;IFT81;CBX5;PKN2;CHD9;CEP97</t>
  </si>
  <si>
    <t>GSE5589_UNSTIM_VS_180MIN_LPS_STIM_MACROPHAGE_UP</t>
  </si>
  <si>
    <t>26043;5290;55275;7248;54497;4763;23181;84248;57703;54014</t>
  </si>
  <si>
    <t>UBXN7;PIK3CA;VPS53;TSC1;HEATR5B;NF1;DIP2A;FYTTD1;CWC22;BRWD1</t>
  </si>
  <si>
    <t>http://www.broadinstitute.org/gsea/msigdb/cards/GSE5589_UNSTIM_VS_180MIN_LPS_STIM_MACROPHAGE_UP.html</t>
  </si>
  <si>
    <t>GSE5589_LPS_VS_LPS_AND_IL6_STIM_MACROPHAGE_45MIN_DN</t>
  </si>
  <si>
    <t>3799;5130;23248;23185;8880;85476;10730;29994;10915;2117</t>
  </si>
  <si>
    <t>KIF5B;PCYT1A;RPRD2;LARP4B;FUBP1;GFM1;YME1L1;BAZ2B;TCERG1;ETV3</t>
  </si>
  <si>
    <t>http://www.broadinstitute.org/gsea/msigdb/cards/GSE5589_LPS_VS_LPS_AND_IL6_STIM_MACROPHAGE_45MIN_DN.html</t>
  </si>
  <si>
    <t>GSE5589_WT_VS_IL6_KO_LPS_AND_IL10_STIM_MACROPHAGE_45MIN_UP</t>
  </si>
  <si>
    <t>23451;26130;9733;23660;5116;7109;6789;22930;55632;26019</t>
  </si>
  <si>
    <t>SF3B1;GAPVD1;SART3;ZKSCAN5;PCNT;TRAPPC10;STK4;RAB3GAP1;G2E3;UPF2</t>
  </si>
  <si>
    <t>http://www.broadinstitute.org/gsea/msigdb/cards/GSE5589_WT_VS_IL6_KO_LPS_AND_IL10_STIM_MACROPHAGE_45MIN_UP.html</t>
  </si>
  <si>
    <t>GSE6092_UNSTIM_VS_IFNG_STIM_AND_B_BURGDORFERI_INF_ENDOTHELIAL_CELL_UP</t>
  </si>
  <si>
    <t>10526;4976;387680;57551;23332;80218;4863;23198;25948;83448</t>
  </si>
  <si>
    <t>IPO8;OPA1;WASHC2A;TAOK1;CLASP1;NAA50;NPAT;PSME4;KBTBD2;PUS7L</t>
  </si>
  <si>
    <t>http://www.broadinstitute.org/gsea/msigdb/cards/GSE6092_UNSTIM_VS_IFNG_STIM_AND_B_BURGDORFERI_INF_ENDOTHELIAL_CELL_UP.html</t>
  </si>
  <si>
    <t>7468;169841;57148;259282;2876;9221;79707;91748;84248;2140</t>
  </si>
  <si>
    <t>NSD2;ZNF169;RALGAPB;BOD1L1;GPX1;NOLC1;NOL9;ELMSAN1;FYTTD1;EYA3</t>
  </si>
  <si>
    <t>GSE3203_INFLUENZA_INF_VS_IFNB_TREATED_LN_BCELL_DN</t>
  </si>
  <si>
    <t>9360;375748;10274;7559;84301;23269;84669;54765;26054;83448</t>
  </si>
  <si>
    <t>PPIG;ERCC6L2;STAG1;ZNF12;DDI2;MGA;USP32;TRIM44;SENP6;PUS7L</t>
  </si>
  <si>
    <t>http://www.broadinstitute.org/gsea/msigdb/cards/GSE3203_INFLUENZA_INF_VS_IFNB_TREATED_LN_BCELL_DN.html</t>
  </si>
  <si>
    <t>8888;4520;6873;23063;80204;200576;9113;254887;80012;64421</t>
  </si>
  <si>
    <t>MCM3AP;MTF1;TAF2;WAPL;FBXO11;PIKFYVE;LATS1;ZDHHC23;PHC3;DCLRE1C</t>
  </si>
  <si>
    <t>23451;7586;6711;7155;4297;2551;79657;9439;22828;4216</t>
  </si>
  <si>
    <t>SF3B1;ZKSCAN1;SPTBN1;TOP2B;KMT2A;GABPA;RPAP3;MED23;SCAF8;MAP3K4</t>
  </si>
  <si>
    <t>253143;387680;57695;80204;57498;23358;9527;2932;55187;10985</t>
  </si>
  <si>
    <t>PRR14L;WASHC2A;USP37;FBXO11;KIDINS220;USP24;GOSR1;GSK3B;VPS13D;GCN1</t>
  </si>
  <si>
    <t>GSE8685_IL2_STARVED_VS_IL21_ACT_IL2_STARVED_CD4_TCELL_DN</t>
  </si>
  <si>
    <t>9877;9135;3096;25962;254065;54812;9887;56980;55727;55636</t>
  </si>
  <si>
    <t>ZC3H11A;RABEP1;HIVEP1;VIRMA;BRWD3;AFTPH;SMG7;PRDM10;BTBD7;CHD7</t>
  </si>
  <si>
    <t>http://www.broadinstitute.org/gsea/msigdb/cards/GSE8685_IL2_STARVED_VS_IL21_ACT_IL2_STARVED_CD4_TCELL_DN.html</t>
  </si>
  <si>
    <t>6659;9584;196528;25836;8295;23140;131544;79598;84295;27161</t>
  </si>
  <si>
    <t>SOX4;RBM39;ARID2;NIPBL;TRRAP;ZZEF1;CRYBG3;CEP97;PHF6;AGO2</t>
  </si>
  <si>
    <t>GSE14908_ATOPIC_VS_NONATOPIC_PATIENT_RESTING_CD4_TCELL_DN</t>
  </si>
  <si>
    <t>8661;9790;23332;64682;23633;8518;2957;27042;80155;9904</t>
  </si>
  <si>
    <t>EIF3A;BMS1;CLASP1;ANAPC1;KPNA6;ELP1;GTF2A1;UTP25;NAA15;RBM19</t>
  </si>
  <si>
    <t>http://www.broadinstitute.org/gsea/msigdb/cards/GSE14908_ATOPIC_VS_NONATOPIC_PATIENT_RESTING_CD4_TCELL_DN.html</t>
  </si>
  <si>
    <t>23077;5591;157769;6311;55870;9126;11168;4361;22828;1788</t>
  </si>
  <si>
    <t>MYCBP2;PRKDC;FAM91A1;ATXN2;ASH1L;SMC3;PSIP1;MRE11;SCAF8;DNMT3A</t>
  </si>
  <si>
    <t>http://www.broadinstitute.org/gsea/msigdb/cards/GSE9960_GRAM_POS_VS_GRAM_NEG_AND_POS_SEPSIS_PBMC_UP.html</t>
  </si>
  <si>
    <t>55206;23077;221037;11064;84181;571;347344;11214;6789;80205</t>
  </si>
  <si>
    <t>SBNO1;MYCBP2;JMJD1C;CNTRL;CHD6;BACH1;ZNF81;AKAP13;STK4;CHD9</t>
  </si>
  <si>
    <t>7637;23522;23185;51230;23405;10299;4140;64864;23392;25909</t>
  </si>
  <si>
    <t>ZNF84;KAT6B;LARP4B;PHF20;DICER1;MARCH6;MARK3;RFX7;ECPAS;AHCTF1</t>
  </si>
  <si>
    <t>GSE18281_SUBCAPSULAR_CORTICAL_REGION_VS_WHOLE_MEDULLA_THYMUS_UP</t>
  </si>
  <si>
    <t>22848;64324;57680;8295;9870;23633;10093;2033;5586;6942</t>
  </si>
  <si>
    <t>AAK1;NSD1;CHD8;TRRAP;AREL1;KPNA6;ARPC4;EP300;PKN2;TCF20</t>
  </si>
  <si>
    <t>http://www.broadinstitute.org/gsea/msigdb/cards/GSE18281_SUBCAPSULAR_CORTICAL_REGION_VS_WHOLE_MEDULLA_THYMUS_UP.html</t>
  </si>
  <si>
    <t>GSE18281_PERIMEDULLARY_CORTICAL_REGION_VS_WHOLE_MEDULLA_THYMUS_UP</t>
  </si>
  <si>
    <t>23060;2186;22848;23369;64324;57680;23633;51585;463;6942</t>
  </si>
  <si>
    <t>ZNF609;BPTF;AAK1;PUM2;NSD1;CHD8;KPNA6;PCF11;ZFHX3;TCF20</t>
  </si>
  <si>
    <t>http://www.broadinstitute.org/gsea/msigdb/cards/GSE18281_PERIMEDULLARY_CORTICAL_REGION_VS_WHOLE_MEDULLA_THYMUS_UP.html</t>
  </si>
  <si>
    <t>GSE19374_UNINF_VS_LISTERIA_INFECTED_MACROPHAGE_DN</t>
  </si>
  <si>
    <t>3840;5495;5981;23054;23293;51230;8295;23033;27161;23143</t>
  </si>
  <si>
    <t>KPNA4;PPM1B;RFC1;NCOA6;SMG6;PHF20;TRRAP;DOP1A;AGO2;LRCH1</t>
  </si>
  <si>
    <t>http://www.broadinstitute.org/gsea/msigdb/cards/GSE19374_UNINF_VS_LISTERIA_INFECTED_MACROPHAGE_DN.html</t>
  </si>
  <si>
    <t>9475;9877;3836;56957;57609;79882;92140;84248;27161;8202</t>
  </si>
  <si>
    <t>ROCK2;ZC3H11A;KPNA1;OTUD7B;DIP2B;ZC3H14;MTDH;FYTTD1;AGO2;NCOA3</t>
  </si>
  <si>
    <t>26057;10274;11244;5286;7514;9113;4140;254065;79657;55636</t>
  </si>
  <si>
    <t>ANKRD17;STAG1;ZHX1;PIK3C2A;XPO1;LATS1;MARK3;BRWD3;RPAP3;CHD7</t>
  </si>
  <si>
    <t>GSE19888_CTRL_VS_T_CELL_MEMBRANES_ACT_MAST_CELL_DN</t>
  </si>
  <si>
    <t>26098;9736;9147;4863;253959;5814;55727;10765;6942;23143</t>
  </si>
  <si>
    <t>EDRF1;USP34;NEMF;NPAT;RALGAPA1;PURB;BTBD7;KDM5B;TCF20;LRCH1</t>
  </si>
  <si>
    <t>http://www.broadinstitute.org/gsea/msigdb/cards/GSE19888_CTRL_VS_T_CELL_MEMBRANES_ACT_MAST_CELL_DN.html</t>
  </si>
  <si>
    <t>7705;22853;23522;23269;56652;9786;9188;440193;9329;23335</t>
  </si>
  <si>
    <t>ZNF146;LMTK2;KAT6B;MGA;TWNK;KIAA0586;DDX21;CCDC88C;GTF3C4;WDR7</t>
  </si>
  <si>
    <t>http://www.broadinstitute.org/gsea/msigdb/cards/GSE17322_CD103_POS_VS_CD11B_HIGH_LUNG_DC_DN.html</t>
  </si>
  <si>
    <t>8085;54799;23049;57690;54764;29994;7776;9693;10207;160760</t>
  </si>
  <si>
    <t>KMT2D;MBTD1;SMG1;TNRC6C;ZRANB1;BAZ2B;ZNF236;RAPGEF2;PATJ;PPTC7</t>
  </si>
  <si>
    <t>51366;3192;55341;23067;7174;10093;11214;55671;10207;23112</t>
  </si>
  <si>
    <t>UBR5;HNRNPU;LSG1;SETD1B;TPP2;ARPC4;AKAP13;PPP4R3A;PATJ;TNRC6B</t>
  </si>
  <si>
    <t>8672;6651;6711;9857;57492;54542;8295;84725;23013;10765</t>
  </si>
  <si>
    <t>EIF4G3;SON;SPTBN1;CEP350;ARID1B;RC3H2;TRRAP;PLEKHA8;SPEN;KDM5B</t>
  </si>
  <si>
    <t>GSE21546_SAP1A_KO_VS_SAP1A_KO_AND_ELK1_KO_ANTI_CD3_STIM_DP_THYMOCYTES_UP</t>
  </si>
  <si>
    <t>55183;23001;259282;7248;79572;3096;55014;79707;54887;26065</t>
  </si>
  <si>
    <t>RIF1;WDFY3;BOD1L1;TSC1;ATP13A3;HIVEP1;STX17;NOL9;UHRF1BP1;LSM14A</t>
  </si>
  <si>
    <t>http://www.broadinstitute.org/gsea/msigdb/cards/GSE21546_SAP1A_KO_VS_SAP1A_KO_AND_ELK1_KO_ANTI_CD3_STIM_DP_THYMOCYTES_UP.html</t>
  </si>
  <si>
    <t>GSE21546_ELK1_KO_VS_SAP1A_KO_AND_ELK1_KO_ANTI_CD3_STIM_DP_THYMOCYTES_DN</t>
  </si>
  <si>
    <t>55814;1656;91746;53944;10137;5586;27042;284058;26973;9969</t>
  </si>
  <si>
    <t>BDP1;DDX6;YTHDC1;CSNK1G1;RBM12;PKN2;UTP25;KANSL1;CHORDC1;MED13</t>
  </si>
  <si>
    <t>http://www.broadinstitute.org/gsea/msigdb/cards/GSE21546_ELK1_KO_VS_SAP1A_KO_AND_ELK1_KO_ANTI_CD3_STIM_DP_THYMOCYTES_DN.html</t>
  </si>
  <si>
    <t>GSE21927_HEALTHY_VS_TUMOROUS_BALBC_MOUSE_MONOCYTE_UP</t>
  </si>
  <si>
    <t>9611;6651;9584;23054;23001;10274;84079;10940;79691;8295</t>
  </si>
  <si>
    <t>NCOR1;SON;RBM39;NCOA6;WDFY3;STAG1;ANKRD27;POP1;QTRT2;TRRAP</t>
  </si>
  <si>
    <t>http://www.broadinstitute.org/gsea/msigdb/cards/GSE21927_HEALTHY_VS_TUMOROUS_BALBC_MOUSE_MONOCYTE_UP.html</t>
  </si>
  <si>
    <t>2969;6654;26098;571;9841;905;463;144348;160760;23335</t>
  </si>
  <si>
    <t>GTF2I;SOS1;EDRF1;BACH1;ZBTB24;CCNT2;ZFHX3;ZNF664;PPTC7;WDR7</t>
  </si>
  <si>
    <t>GSE19401_PLN_VS_PEYERS_PATCH_FOLLICULAR_DC_UP</t>
  </si>
  <si>
    <t>200424;7468;6872;546;6659;9736;171023;5286;10277;5116</t>
  </si>
  <si>
    <t>TET3;NSD2;TAF1;ATRX;SOX4;USP34;ASXL1;PIK3C2A;UBE4B;PCNT</t>
  </si>
  <si>
    <t>http://www.broadinstitute.org/gsea/msigdb/cards/GSE19401_PLN_VS_PEYERS_PATCH_FOLLICULAR_DC_UP.html</t>
  </si>
  <si>
    <t>GSE19401_PAM2CSK4_VS_RETINOIC_ACID_STIM_FOLLICULAR_DC_UP</t>
  </si>
  <si>
    <t>23369;54552;23660;10914;472;3930;57209;79048;10198;79646</t>
  </si>
  <si>
    <t>PUM2;GNL3L;ZKSCAN5;PAPOLA;ATM;LBR;ZNF248;SECISBP2;MPHOSPH9;PANK3</t>
  </si>
  <si>
    <t>http://www.broadinstitute.org/gsea/msigdb/cards/GSE19401_PAM2CSK4_VS_RETINOIC_ACID_STIM_FOLLICULAR_DC_UP.html</t>
  </si>
  <si>
    <t>GSE20152_SPHK1_KO_VS_HTNFA_OVEREXPRESS_ANKLE_DN</t>
  </si>
  <si>
    <t>2969;6654;9857;51230;57680;7514;23468;5471;6942;23112</t>
  </si>
  <si>
    <t>GTF2I;SOS1;CEP350;PHF20;CHD8;XPO1;CBX5;PPAT;TCF20;TNRC6B</t>
  </si>
  <si>
    <t>http://www.broadinstitute.org/gsea/msigdb/cards/GSE20152_SPHK1_KO_VS_HTNFA_OVEREXPRESS_ANKLE_DN.html</t>
  </si>
  <si>
    <t>GSE20152_SPHK1_KO_VS_WT_HTNFA_OVERXPRESS_ANKLE_UP</t>
  </si>
  <si>
    <t>5903;54906;80204;23185;55870;6874;9678;2551;55802;9188</t>
  </si>
  <si>
    <t>RANBP2;TASOR2;FBXO11;LARP4B;ASH1L;TAF4;PHF14;GABPA;DCP1A;DDX21</t>
  </si>
  <si>
    <t>http://www.broadinstitute.org/gsea/msigdb/cards/GSE20152_SPHK1_KO_VS_WT_HTNFA_OVERXPRESS_ANKLE_UP.html</t>
  </si>
  <si>
    <t>GSE22033_WT_VS_PPARG_KO_MEF_UP</t>
  </si>
  <si>
    <t>3840;23293;54542;26523;23637;9880;23036;23013;55175;22828</t>
  </si>
  <si>
    <t>KPNA4;SMG6;RC3H2;AGO1;RABGAP1;ZBTB39;ZNF292;SPEN;KLHL11;SCAF8</t>
  </si>
  <si>
    <t>http://www.broadinstitute.org/gsea/msigdb/cards/GSE22033_WT_VS_PPARG_KO_MEF_UP.html</t>
  </si>
  <si>
    <t>GSE20500_CTRL_VS_RETINOIC_ACID_TREATED_CD4_TCELL_DN</t>
  </si>
  <si>
    <t>7586;6711;9711;91746;54542;53944;9919;2932;22930;55802</t>
  </si>
  <si>
    <t>ZKSCAN1;SPTBN1;RUBCN;YTHDC1;RC3H2;CSNK1G1;SEC16A;GSK3B;RAB3GAP1;DCP1A</t>
  </si>
  <si>
    <t>http://www.broadinstitute.org/gsea/msigdb/cards/GSE20500_CTRL_VS_RETINOIC_ACID_TREATED_CD4_TCELL_DN.html</t>
  </si>
  <si>
    <t>GSE20500_CTRL_VS_RARA_ANTAGONIST_TREATED_CD4_TCELL_UP</t>
  </si>
  <si>
    <t>8888;4299;5062;22976;84079;2005;57553;25909;55705;79646</t>
  </si>
  <si>
    <t>MCM3AP;AFF1;PAK2;PAXIP1;ANKRD27;ELK4;MICAL3;AHCTF1;IPO9;PANK3</t>
  </si>
  <si>
    <t>http://www.broadinstitute.org/gsea/msigdb/cards/GSE20500_CTRL_VS_RARA_ANTAGONIST_TREATED_CD4_TCELL_UP.html</t>
  </si>
  <si>
    <t>GSE21033_CTRL_VS_POLYIC_STIM_DC_1H_DN</t>
  </si>
  <si>
    <t>6433;9321;55870;6874;8867;22930;23033;84669;55802;51696</t>
  </si>
  <si>
    <t>SFSWAP;TRIP11;ASH1L;TAF4;SYNJ1;RAB3GAP1;DOP1A;USP32;DCP1A;HECA</t>
  </si>
  <si>
    <t>http://www.broadinstitute.org/gsea/msigdb/cards/GSE21033_CTRL_VS_POLYIC_STIM_DC_1H_DN.html</t>
  </si>
  <si>
    <t>GSE21033_CTRL_VS_POLYIC_STIM_DC_12H_DN</t>
  </si>
  <si>
    <t>3836;6654;23160;91746;23423;6670;9662;10426;56652;55127</t>
  </si>
  <si>
    <t>KPNA1;SOS1;WDR43;YTHDC1;TMED3;SP3;CEP135;TUBGCP3;TWNK;HEATR1</t>
  </si>
  <si>
    <t>http://www.broadinstitute.org/gsea/msigdb/cards/GSE21033_CTRL_VS_POLYIC_STIM_DC_12H_DN.html</t>
  </si>
  <si>
    <t>2969;54497;26523;7109;64854;472;64864;55705;23335;4216</t>
  </si>
  <si>
    <t>GTF2I;HEATR5B;AGO1;TRAPPC10;USP46;ATM;RFX7;IPO9;WDR7;MAP3K4</t>
  </si>
  <si>
    <t>8672;23077;5903;9202;55193;64324;84079;51230;11276;55668</t>
  </si>
  <si>
    <t>EIF4G3;MYCBP2;RANBP2;ZMYM4;PBRM1;NSD1;ANKRD27;PHF20;SYNRG;GPATCH2L</t>
  </si>
  <si>
    <t>GSE22432_MULTIPOTENT_VS_COMMON_DC_PROGENITOR_UNTREATED_DN</t>
  </si>
  <si>
    <t>10940;64397;571;5471;157922;27042;26009;140775;51455;9904</t>
  </si>
  <si>
    <t>POP1;ZNF106;BACH1;PPAT;CAMSAP1;UTP25;AC118549.1;SMCR8;REV1;RBM19</t>
  </si>
  <si>
    <t>http://www.broadinstitute.org/gsea/msigdb/cards/GSE22432_MULTIPOTENT_VS_COMMON_DC_PROGENITOR_UNTREATED_DN.html</t>
  </si>
  <si>
    <t>3840;7705;51248;23248;374354;7528;122830;26065;53981;9329</t>
  </si>
  <si>
    <t>KPNA4;ZNF146;PDZD11;RPRD2;NHLRC2;YY1;NAA30;LSM14A;CPSF2;GTF3C4</t>
  </si>
  <si>
    <t>http://www.broadinstitute.org/gsea/msigdb/cards/GSE16385_MONOCYTE_VS_12H_ROSIGLITAZONE_TREATED_MACROPHAGE_DN.html</t>
  </si>
  <si>
    <t>5290;9632;6659;11052;80311;29072;8295;22930;84248;25831</t>
  </si>
  <si>
    <t>PIK3CA;SEC24C;SOX4;CPSF6;KLHL15;SETD2;TRRAP;RAB3GAP1;FYTTD1;HECTD1</t>
  </si>
  <si>
    <t>54799;84986;23389;29994;7581;6789;3930;23299;10762;23112</t>
  </si>
  <si>
    <t>MBTD1;ARHGAP19;MED13L;BAZ2B;ZNF33A;STK4;LBR;BICD2;NUP50;TNRC6B</t>
  </si>
  <si>
    <t>9877;1778;25836;57679;55914;7109;388228;84301;54765;26054</t>
  </si>
  <si>
    <t>ZC3H11A;DYNC1H1;NIPBL;ALS2;ERBIN;TRAPPC10;SBK1;DDI2;TRIM44;SENP6</t>
  </si>
  <si>
    <t>5927;6659;2186;196528;23389;23032;9169;6670;254065;10765</t>
  </si>
  <si>
    <t>KDM5A;SOX4;BPTF;ARID2;MED13L;USP33;SCAF11;SP3;BRWD3;KDM5B</t>
  </si>
  <si>
    <t>23077;4297;10771;23032;7248;55914;2117;2033;204851;57703</t>
  </si>
  <si>
    <t>MYCBP2;KMT2A;ZMYND11;USP33;TSC1;ERBIN;ETV3;EP300;HIPK1;CWC22</t>
  </si>
  <si>
    <t>546;29994;571;9678;8087;9698;463;80205;80012;57786</t>
  </si>
  <si>
    <t>ATRX;BAZ2B;BACH1;PHF14;FXR1;PUM1;ZFHX3;CHD9;PHC3;RBAK</t>
  </si>
  <si>
    <t>GSE25085_FETAL_LIVER_VS_ADULT_BM_SP4_THYMIC_IMPLANT_DN</t>
  </si>
  <si>
    <t>9631;64397;5116;5422;23468;8087;55159;145508;55632;10198</t>
  </si>
  <si>
    <t>NUP155;ZNF106;PCNT;POLA1;CBX5;FXR1;RFWD3;CEP128;G2E3;MPHOSPH9</t>
  </si>
  <si>
    <t>http://www.broadinstitute.org/gsea/msigdb/cards/GSE25085_FETAL_LIVER_VS_ADULT_BM_SP4_THYMIC_IMPLANT_DN.html</t>
  </si>
  <si>
    <t>7155;51773;51322;84146;7750;23036;7559;8087;4848;51696</t>
  </si>
  <si>
    <t>TOP2B;RSF1;WAC;ZNF644;ZMYM2;ZNF292;ZNF12;FXR1;AC092881.1;HECA</t>
  </si>
  <si>
    <t>GSE22611_UNSTIM_VS_2H_MDP_STIM_NOD2_TRANSDUCED_HEK293T_CELL_UP</t>
  </si>
  <si>
    <t>27340;9320;9169;54876;23132;10915;2005;2932;64864;11176</t>
  </si>
  <si>
    <t>UTP20;TRIP12;SCAF11;DCAF16;RAD54L2;TCERG1;ELK4;GSK3B;RFX7;BAZ2A</t>
  </si>
  <si>
    <t>http://www.broadinstitute.org/gsea/msigdb/cards/GSE22611_UNSTIM_VS_2H_MDP_STIM_NOD2_TRANSDUCED_HEK293T_CELL_UP.html</t>
  </si>
  <si>
    <t>23347;84986;84162;9712;85459;55628;3930;22849;7994;23112</t>
  </si>
  <si>
    <t>SMCHD1;ARHGAP19;KIAA1109;USP6NL;CEP295;ZNF407;LBR;CPEB3;KAT6A;TNRC6B</t>
  </si>
  <si>
    <t>GSE21063_WT_VS_NFATC1_KO_BCELL_DN</t>
  </si>
  <si>
    <t>405;2802;8661;85476;51230;23423;10915;10277;10594;26054</t>
  </si>
  <si>
    <t>ARNT;GOLGA3;EIF3A;GFM1;PHF20;TMED3;TCERG1;UBE4B;PRPF8;SENP6</t>
  </si>
  <si>
    <t>http://www.broadinstitute.org/gsea/msigdb/cards/GSE21063_WT_VS_NFATC1_KO_BCELL_DN.html</t>
  </si>
  <si>
    <t>5903;23160;23126;6311;2876;6670;2551;9816;9221;643314</t>
  </si>
  <si>
    <t>RANBP2;WDR43;POGZ;ATXN2;GPX1;SP3;GABPA;URB2;NOLC1;MACF1</t>
  </si>
  <si>
    <t>23512;23001;9712;23358;8087;7159;23013;9969;51592;23143</t>
  </si>
  <si>
    <t>SUZ12;WDFY3;USP6NL;USP24;FXR1;TP53BP2;SPEN;MED13;TRIM33;LRCH1</t>
  </si>
  <si>
    <t>4299;27291;23195;9774;23215;51585;23299;10426;23047;10762</t>
  </si>
  <si>
    <t>AFF1;R3HCC1L;MDN1;BCLAF1;PRRC2C;PCF11;BICD2;TUBGCP3;PDS5B;NUP50</t>
  </si>
  <si>
    <t>3840;27340;23014;7175;54799;23505;9221;10207;53981;22828</t>
  </si>
  <si>
    <t>KPNA4;UTP20;FBXO21;TPR;MBTD1;TMEM131;NOLC1;PATJ;CPSF2;SCAF8</t>
  </si>
  <si>
    <t>2186;8315;10274;84079;9693;463;55802;29843;9969</t>
  </si>
  <si>
    <t>BPTF;BRAP;STAG1;ANKRD27;RAPGEF2;ZFHX3;DCP1A;SENP1;MED13</t>
  </si>
  <si>
    <t>GSE32128_INOS_DEPENDENT_VS_INOS_INDEPENDENT_ACTIVATED_TCELL_DN</t>
  </si>
  <si>
    <t>23014;5048;4520;54906;57680;10299;54856;55671;92797;5814</t>
  </si>
  <si>
    <t>FBXO21;PAFAH1B1;MTF1;TASOR2;CHD8;MARCH6;GON4L;PPP4R3A;HELB;PURB</t>
  </si>
  <si>
    <t>http://www.broadinstitute.org/gsea/msigdb/cards/GSE32128_INOS_DEPENDENT_VS_INOS_INDEPENDENT_ACTIVATED_TCELL_DN.html</t>
  </si>
  <si>
    <t>23077;9972;5062;9790;23160;9135;253143;79691;10137;80155</t>
  </si>
  <si>
    <t>MYCBP2;NUP153;PAK2;BMS1;WDR43;RABEP1;PRR14L;QTRT2;RBM12;NAA15</t>
  </si>
  <si>
    <t>6711;8925;55252;64324;2932;55596;389072;10198;79813;192669</t>
  </si>
  <si>
    <t>SPTBN1;HERC1;ASXL2;NSD1;GSK3B;ZCCHC8;PLEKHM3;MPHOSPH9;EHMT1;AGO3</t>
  </si>
  <si>
    <t>6433;10075;80204;57609;23067;51585;55291;79612;79048;9923</t>
  </si>
  <si>
    <t>SFSWAP;HUWE1;FBXO11;DIP2B;SETD1B;PCF11;PPP6R3;NAA16;SECISBP2;ZBTB40</t>
  </si>
  <si>
    <t>405;23054;57148;23195;1106;8453;10594;91748;2140;79657</t>
  </si>
  <si>
    <t>ARNT;NCOA6;RALGAPB;MDN1;CHD2;CUL2;PRPF8;ELMSAN1;EYA3;RPAP3</t>
  </si>
  <si>
    <t>23328;6654;23389;254225;571;2117;7159;253959;79646;27161</t>
  </si>
  <si>
    <t>SASH1;SOS1;MED13L;RNF169;BACH1;ETV3;TP53BP2;RALGAPA1;PANK3;AGO2</t>
  </si>
  <si>
    <t>23328;6654;84986;26005;10142;2117;4301;9662;84669;4216</t>
  </si>
  <si>
    <t>SASH1;SOS1;ARHGAP19;C2CD3;AKAP9;ETV3;AFDN;CEP135;USP32;MAP3K4</t>
  </si>
  <si>
    <t>27107;84162;55275;23389;54552;571;3096;6670;1859;440193</t>
  </si>
  <si>
    <t>ZBTB11;KIAA1109;VPS53;MED13L;GNL3L;BACH1;HIVEP1;SP3;DYRK1A;CCDC88C</t>
  </si>
  <si>
    <t>23328;6433;10771;81609;23049;85459;905;2033;389072;2140</t>
  </si>
  <si>
    <t>SASH1;SFSWAP;ZMYND11;SNX27;SMG1;CEP295;CCNT2;EP300;PLEKHM3;EYA3</t>
  </si>
  <si>
    <t>GSE37301_HEMATOPOIETIC_STEM_CELL_VS_MULTIPOTENT_PROGENITOR_UP</t>
  </si>
  <si>
    <t>22848;9736;80312;23405;23633;2876;5422;987;8087;9879</t>
  </si>
  <si>
    <t>AAK1;USP34;TET1;DICER1;KPNA6;GPX1;POLA1;LRBA;FXR1;DDX46</t>
  </si>
  <si>
    <t>http://www.broadinstitute.org/gsea/msigdb/cards/GSE37301_HEMATOPOIETIC_STEM_CELL_VS_MULTIPOTENT_PROGENITOR_UP.html</t>
  </si>
  <si>
    <t>GSE37301_MULTIPOTENT_PROGENITOR_VS_PRO_BCELL_UP</t>
  </si>
  <si>
    <t>9632;3192;3609;55275;56957;80312;3930;27332;9221;8239</t>
  </si>
  <si>
    <t>SEC24C;HNRNPU;ILF3;VPS53;OTUD7B;TET1;LBR;ZNF638;NOLC1;USP9X</t>
  </si>
  <si>
    <t>http://www.broadinstitute.org/gsea/msigdb/cards/GSE37301_MULTIPOTENT_PROGENITOR_VS_PRO_BCELL_UP.html</t>
  </si>
  <si>
    <t>GSE37532_WT_VS_PPARG_KO_VISCERAL_ADIPOSE_TISSUE_TREG_UP</t>
  </si>
  <si>
    <t>7468;84986;221037;11052;23248;25914;375248;11168;23468;56980</t>
  </si>
  <si>
    <t>NSD2;ARHGAP19;JMJD1C;CPSF6;RPRD2;RTTN;ANKRD36;PSIP1;CBX5;PRDM10</t>
  </si>
  <si>
    <t>http://www.broadinstitute.org/gsea/msigdb/cards/GSE37532_WT_VS_PPARG_KO_VISCERAL_ADIPOSE_TISSUE_TREG_UP.html</t>
  </si>
  <si>
    <t>GSE37534_UNTREATED_VS_GW1929_TREATED_CD4_TCELL_PPARG1_AND_FOXP3_TRASDUCED_DN</t>
  </si>
  <si>
    <t>9931;9632;9793;11052;22976;905;11168;10277;64854;79657</t>
  </si>
  <si>
    <t>HELZ;SEC24C;CKAP5;CPSF6;PAXIP1;CCNT2;PSIP1;UBE4B;USP46;RPAP3</t>
  </si>
  <si>
    <t>http://www.broadinstitute.org/gsea/msigdb/cards/GSE37534_UNTREATED_VS_GW1929_TREATED_CD4_TCELL_PPARG1_AND_FOXP3_TRASDUCED_DN.html</t>
  </si>
  <si>
    <t>405;9972;6711;23160;10075;317;11168;8087;10714;10735</t>
  </si>
  <si>
    <t>ARNT;NUP153;SPTBN1;WDR43;HUWE1;APAF1;PSIP1;FXR1;POLD3;STAG2</t>
  </si>
  <si>
    <t>2802;23160;54906;51479;23405;23095;25948;10207;79048;23200</t>
  </si>
  <si>
    <t>GOLGA3;WDR43;TASOR2;ANKFY1;DICER1;KIF1B;KBTBD2;PATJ;SECISBP2;ATP11B</t>
  </si>
  <si>
    <t>GSE32034_LY6C_HIGH_VS_LOW_MONOCYTE_DN</t>
  </si>
  <si>
    <t>6433;23160;158427;90957;23405;23095;55596;10207;55127;9329</t>
  </si>
  <si>
    <t>SFSWAP;WDR43;TSTD2;DHX57;DICER1;KIF1B;ZCCHC8;PATJ;HEATR1;GTF3C4</t>
  </si>
  <si>
    <t>http://www.broadinstitute.org/gsea/msigdb/cards/GSE32034_LY6C_HIGH_VS_LOW_MONOCYTE_DN.html</t>
  </si>
  <si>
    <t>GSE35685_CD34POS_CD10NEG_CD62LPOS_VS_CD34POS_CD10POS_BONE_MARROW_UP</t>
  </si>
  <si>
    <t>23077;23014;5130;23505;23405;285527;987;84196;27327;55342</t>
  </si>
  <si>
    <t>MYCBP2;FBXO21;PCYT1A;TMEM131;DICER1;FRYL;LRBA;USP48;TNRC6A;STRBP</t>
  </si>
  <si>
    <t>http://www.broadinstitute.org/gsea/msigdb/cards/GSE35685_CD34POS_CD10NEG_CD62LPOS_VS_CD34POS_CD10POS_BONE_MARROW_UP.html</t>
  </si>
  <si>
    <t>5980;255967;23505;57690;51479;8621;91748;80314;7707;23143</t>
  </si>
  <si>
    <t>REV3L;PAN3;TMEM131;TNRC6C;ANKFY1;CDK13;ELMSAN1;EPC1;ZNF148;LRCH1</t>
  </si>
  <si>
    <t>5495;4299;55728;158405;9712;79677;3096;80012;23299;65250</t>
  </si>
  <si>
    <t>PPM1B;AFF1;N4BP2;KIAA1958;USP6NL;SMC6;HIVEP1;PHC3;BICD2;CPLANE1</t>
  </si>
  <si>
    <t>5981;26058;6311;29994;92312;11011;283337;92797;1788;8202</t>
  </si>
  <si>
    <t>RFC1;GIGYF2;ATXN2;BAZ2B;MEX3A;TLK2;ZNF740;HELB;DNMT3A;NCOA3</t>
  </si>
  <si>
    <t>6659;80312;55870;54764;29994;2005;80205;91748;23200;1788</t>
  </si>
  <si>
    <t>SOX4;TET1;ASH1L;ZRANB1;BAZ2B;ELK4;CHD9;ELMSAN1;ATP11B;DNMT3A</t>
  </si>
  <si>
    <t>GSE11961_MEMORY_BCELL_DAY40_VS_GERMINAL_CENTER_BCELL_DAY40_DN</t>
  </si>
  <si>
    <t>7579;7428;253143;157769;23064;23001;57492;55014;10594;9329</t>
  </si>
  <si>
    <t>ZSCAN20;VHL;PRR14L;FAM91A1;SETX;WDFY3;ARID1B;STX17;PRPF8;GTF3C4</t>
  </si>
  <si>
    <t>http://www.broadinstitute.org/gsea/msigdb/cards/GSE11961_MEMORY_BCELL_DAY40_VS_GERMINAL_CENTER_BCELL_DAY40_DN.html</t>
  </si>
  <si>
    <t>26057;4299;6093;23389;23001;7750;29994;9693;26054;54014</t>
  </si>
  <si>
    <t>ANKRD17;AFF1;ROCK1;MED13L;WDFY3;ZMYM2;BAZ2B;RAPGEF2;SENP6;BRWD1</t>
  </si>
  <si>
    <t>GSE41867_NAIVE_VS_EFFECTOR_CD8_TCELL_DN</t>
  </si>
  <si>
    <t>3840;4976;3836;80018;22852;23633;10128;9816;22984;26009</t>
  </si>
  <si>
    <t>KPNA4;OPA1;KPNA1;NAA25;ANKRD26;KPNA6;LRPPRC;URB2;PDCD11;AC118549.1</t>
  </si>
  <si>
    <t>http://www.broadinstitute.org/gsea/msigdb/cards/GSE41867_NAIVE_VS_EFFECTOR_CD8_TCELL_DN.html</t>
  </si>
  <si>
    <t>GSE41867_NAIVE_VS_DAY8_LCMV_CLONE13_EFFECTOR_CD8_TCELL_DN</t>
  </si>
  <si>
    <t>23347;11128;9826;23332;8315;22992;8087;7159;27042;84725</t>
  </si>
  <si>
    <t>SMCHD1;POLR3A;ARHGEF11;CLASP1;BRAP;KDM2A;FXR1;TP53BP2;UTP25;PLEKHA8</t>
  </si>
  <si>
    <t>http://www.broadinstitute.org/gsea/msigdb/cards/GSE41867_NAIVE_VS_DAY8_LCMV_CLONE13_EFFECTOR_CD8_TCELL_DN.html</t>
  </si>
  <si>
    <t>10236;5980;4520;8880;571;10897;7701;3930;23013;6942</t>
  </si>
  <si>
    <t>HNRNPR;REV3L;MTF1;FUBP1;BACH1;YIF1A;ZNF142;LBR;SPEN;TCF20</t>
  </si>
  <si>
    <t>59343;22852;8812;4763;2932;4301;6596;23033;11083;9786</t>
  </si>
  <si>
    <t>SENP2;ANKRD26;CCNK;NF1;GSK3B;AFDN;HLTF;DOP1A;DIDO1;KIAA0586</t>
  </si>
  <si>
    <t>3192;1778;9733;9857;64324;91746;55870;23405;7109;283337</t>
  </si>
  <si>
    <t>HNRNPU;DYNC1H1;SART3;CEP350;NSD1;YTHDC1;ASH1L;DICER1;TRAPPC10;ZNF740</t>
  </si>
  <si>
    <t>11128;546;7705;23505;6311;80351;10914;254065;55167;51132</t>
  </si>
  <si>
    <t>POLR3A;ATRX;ZNF146;TMEM131;ATXN2;TNKS2;PAPOLA;BRWD3;MSL2;RLIM</t>
  </si>
  <si>
    <t>GSE43955_TH0_VS_TGFB_IL6_TH17_ACT_CD4_TCELL_60H_UP</t>
  </si>
  <si>
    <t>5981;2475;166378;64682;2876;204851;84132;23047;53981;1788</t>
  </si>
  <si>
    <t>RFC1;MTOR;SPATA5;ANAPC1;GPX1;HIPK1;USP42;PDS5B;CPSF2;DNMT3A</t>
  </si>
  <si>
    <t>http://www.broadinstitute.org/gsea/msigdb/cards/GSE43955_TH0_VS_TGFB_IL6_TH17_ACT_CD4_TCELL_60H_UP.html</t>
  </si>
  <si>
    <t>3840;5495;23328;23014;6651;4299;9857;80351;54454;2957</t>
  </si>
  <si>
    <t>KPNA4;PPM1B;SASH1;FBXO21;SON;AFF1;CEP350;TNKS2;ATAD2B;GTF2A1</t>
  </si>
  <si>
    <t>3840;23014;405;23505;5586;157922;254065;8505;55167;9188</t>
  </si>
  <si>
    <t>KPNA4;FBXO21;ARNT;TMEM131;PKN2;CAMSAP1;BRWD3;PARG;MSL2;DDX21</t>
  </si>
  <si>
    <t>23014;7705;171023;23095;3930;254065;26009;80155;80314;51132</t>
  </si>
  <si>
    <t>FBXO21;ZNF146;ASXL1;KIF1B;LBR;BRWD3;AC118549.1;NAA15;EPC1;RLIM</t>
  </si>
  <si>
    <t>GSE43863_NAIVE_VS_TFH_CD4_EFF_TCELL_D6_LCMV_UP</t>
  </si>
  <si>
    <t>7175;54799;11064;10940;92312;8518;27042;25962;55159;53981</t>
  </si>
  <si>
    <t>TPR;MBTD1;CNTRL;POP1;MEX3A;ELP1;UTP25;VIRMA;RFWD3;CPSF2</t>
  </si>
  <si>
    <t>http://www.broadinstitute.org/gsea/msigdb/cards/GSE43863_NAIVE_VS_TFH_CD4_EFF_TCELL_D6_LCMV_UP.html</t>
  </si>
  <si>
    <t>GSE43863_NAIVE_VS_MEMORY_LY6C_INT_CXCR5POS_CD4_TCELL_D150_LCMV_DN</t>
  </si>
  <si>
    <t>2475;23160;10940;23633;6249;5471;51182;26009;54765;83448</t>
  </si>
  <si>
    <t>MTOR;WDR43;POP1;KPNA6;CLIP1;PPAT;HSPA14;AC118549.1;TRIM44;PUS7L</t>
  </si>
  <si>
    <t>http://www.broadinstitute.org/gsea/msigdb/cards/GSE43863_NAIVE_VS_MEMORY_LY6C_INT_CXCR5POS_CD4_TCELL_D150_LCMV_DN.html</t>
  </si>
  <si>
    <t>8672;9972;5903;4299;2802;23160;84162;56987;7994;23143</t>
  </si>
  <si>
    <t>EIF4G3;NUP153;RANBP2;AFF1;GOLGA3;WDR43;KIAA1109;BBX;KAT6A;LRCH1</t>
  </si>
  <si>
    <t>55183;55252;7248;11276;10277;7528;6670;54520;6942;23335</t>
  </si>
  <si>
    <t>RIF1;ASXL2;TSC1;SYNRG;UBE4B;YY1;SP3;CCDC93;TCF20;WDR7</t>
  </si>
  <si>
    <t>23077;2475;23512;196528;158405;8867;8453;7159;25962;65250</t>
  </si>
  <si>
    <t>MYCBP2;MTOR;SUZ12;ARID2;KIAA1958;SYNJ1;CUL2;TP53BP2;VIRMA;CPLANE1</t>
  </si>
  <si>
    <t>23160;7248;59343;57680;3096;4140;80155;79646;51132;55818</t>
  </si>
  <si>
    <t>WDR43;TSC1;SENP2;CHD8;HIVEP1;MARK3;NAA15;PANK3;RLIM;KDM3A</t>
  </si>
  <si>
    <t>4299;23389;65117;57697;91746;51322;10915;2117;92140;23143</t>
  </si>
  <si>
    <t>AFF1;MED13L;RSRC2;FANCM;YTHDC1;WAC;TCERG1;ETV3;MTDH;LRCH1</t>
  </si>
  <si>
    <t>23317;4299;51479;6596;23033;55320;84196;55094;9786;23499</t>
  </si>
  <si>
    <t>DNAJC13;AFF1;ANKFY1;HLTF;DOP1A;MIS18BP1;USP48;GPATCH1;KIAA0586;MACF1</t>
  </si>
  <si>
    <t>8672;9793;8518;5422;3930;131544;9879;157680;84196;10426</t>
  </si>
  <si>
    <t>EIF4G3;CKAP5;ELP1;POLA1;LBR;CRYBG3;DDX46;VPS13B;USP48;TUBGCP3</t>
  </si>
  <si>
    <t>7182;26005;23369;55628;23423;9678;6249;9392;55094;9923</t>
  </si>
  <si>
    <t>NR2C2;C2CD3;PUM2;ZNF407;TMED3;PHF14;CLIP1;TGFBRAP1;GPATCH1;ZBTB40</t>
  </si>
  <si>
    <t>GSE41176_WT_VS_TAK1_KO_ANTI_IGM_STIM_BCELL_1H_UP</t>
  </si>
  <si>
    <t>8672;169841;84614;90957;22852;6874;4140;22930;23299;9923</t>
  </si>
  <si>
    <t>EIF4G3;ZNF169;ZBTB37;DHX57;ANKRD26;TAF4;MARK3;RAB3GAP1;BICD2;ZBTB40</t>
  </si>
  <si>
    <t>http://www.broadinstitute.org/gsea/msigdb/cards/GSE41176_WT_VS_TAK1_KO_ANTI_IGM_STIM_BCELL_1H_UP.html</t>
  </si>
  <si>
    <t>GSE45365_CD8A_DC_VS_CD11B_DC_IFNAR_KO_MCMV_INFECTION_UP</t>
  </si>
  <si>
    <t>1656;3192;9790;57148;51479;4140;9897;9786;6942;55818</t>
  </si>
  <si>
    <t>DDX6;HNRNPU;BMS1;RALGAPB;ANKFY1;MARK3;WASHC5;KIAA0586;TCF20;KDM3A</t>
  </si>
  <si>
    <t>http://www.broadinstitute.org/gsea/msigdb/cards/GSE45365_CD8A_DC_VS_CD11B_DC_IFNAR_KO_MCMV_INFECTION_UP.html</t>
  </si>
  <si>
    <t>55660;23451;5903;9320;64324;51105;25962;157680;9786;27161</t>
  </si>
  <si>
    <t>PRPF40A;SF3B1;RANBP2;TRIP12;NSD1;PHF20L1;VIRMA;VPS13B;KIAA0586;AGO2</t>
  </si>
  <si>
    <t>http://www.broadinstitute.org/gsea/msigdb/cards/GSE45365_CTRL_VS_MCMV_INFECTION_NK_CELL_DN.html</t>
  </si>
  <si>
    <t>23347;5903;54619;9693;23527;54464;140775;56987;64421</t>
  </si>
  <si>
    <t>SMCHD1;RANBP2;CCNJ;RAPGEF2;ACAP2;XRN1;SMCR8;BBX;DCLRE1C</t>
  </si>
  <si>
    <t>1656;54619;80351;51105;2005;55014;6789;160760;6942</t>
  </si>
  <si>
    <t>DDX6;CCNJ;TNKS2;PHF20L1;ELK4;STX17;STK4;PPTC7;TCF20</t>
  </si>
  <si>
    <t>7155;55728;80312;23369;80218;57690;79598;23269;10207</t>
  </si>
  <si>
    <t>TOP2B;N4BP2;TET1;PUM2;NAA50;TNRC6C;CEP97;MGA;PATJ</t>
  </si>
  <si>
    <t>7579;5981;5130;221037;57695;84079;9678;6249;55636</t>
  </si>
  <si>
    <t>ZSCAN20;RFC1;PCYT1A;JMJD1C;USP37;ANKRD27;PHF14;CLIP1;CHD7</t>
  </si>
  <si>
    <t>10771;11064;29994;9662;57553;155435;79048;11190</t>
  </si>
  <si>
    <t>ZMYND11;CNTRL;BAZ2B;CEP135;MICAL3;RBM33;SECISBP2;CEP250</t>
  </si>
  <si>
    <t>200424;5930;79691;23195;254887;10207;55342;9904</t>
  </si>
  <si>
    <t>TET3;RBBP6;QTRT2;MDN1;ZDHHC23;PATJ;STRBP;RBM19</t>
  </si>
  <si>
    <t>8925;22848;9202;23032;9693;56995;55636;1788;4216</t>
  </si>
  <si>
    <t>HERC1;AAK1;ZMYM4;USP33;RAPGEF2;TULP4;CHD7;DNMT3A;MAP3K4</t>
  </si>
  <si>
    <t>9712;30849;54497;26190;9392;10985;79657;84132</t>
  </si>
  <si>
    <t>USP6NL;PIK3R4;HEATR5B;FBXW2;TGFBRAP1;GCN1;RPAP3;USP42</t>
  </si>
  <si>
    <t>5495;9321;51773;10142;54764;29994;80205;80314</t>
  </si>
  <si>
    <t>PPM1B;TRIP11;RSF1;AKAP9;ZRANB1;BAZ2B;CHD9;EPC1</t>
  </si>
  <si>
    <t>GSE32034_UNTREATED_VS_ROSIGLIZATONE_TREATED_LY6C_LOW_MONOCYTE_UP</t>
  </si>
  <si>
    <t>5451;23352;57609;157922;204851;27327;22849;56995;8202</t>
  </si>
  <si>
    <t>POU2F1;UBR4;DIP2B;CAMSAP1;HIPK1;TNRC6A;CPEB3;TULP4;NCOA3</t>
  </si>
  <si>
    <t>http://www.broadinstitute.org/gsea/msigdb/cards/GSE32034_UNTREATED_VS_ROSIGLIZATONE_TREATED_LY6C_LOW_MONOCYTE_UP.html</t>
  </si>
  <si>
    <t>9611;9857;51322;54542;5286;8867;5422;55636</t>
  </si>
  <si>
    <t>NCOR1;CEP350;WAC;RC3H2;PIK3C2A;SYNJ1;POLA1;CHD7</t>
  </si>
  <si>
    <t>GSE7218_UNSTIM_VS_ANTIGEN_STIM_THROUGH_IGG_BCELL_UP</t>
  </si>
  <si>
    <t>10526;9681;27340;6873;26523;23468;10426;55705;55342</t>
  </si>
  <si>
    <t>IPO8;DEPDC5;UTP20;TAF2;AGO1;CBX5;TUBGCP3;IPO9;STRBP</t>
  </si>
  <si>
    <t>http://www.broadinstitute.org/gsea/msigdb/cards/GSE7218_UNSTIM_VS_ANTIGEN_STIM_THROUGH_IGG_BCELL_UP.html</t>
  </si>
  <si>
    <t>GSE4590_PRE_BCELL_VS_LARGE_PRE_BCELL_DN</t>
  </si>
  <si>
    <t>55252;254225;23522;26190;22992;867;57534;79598</t>
  </si>
  <si>
    <t>ASXL2;RNF169;KAT6B;FBXW2;KDM2A;CBL;MIB1;CEP97</t>
  </si>
  <si>
    <t>http://www.broadinstitute.org/gsea/msigdb/cards/GSE4590_PRE_BCELL_VS_LARGE_PRE_BCELL_DN.html</t>
  </si>
  <si>
    <t>55206;7428;5781;9712;8880;79677;56252;4863</t>
  </si>
  <si>
    <t>SBNO1;VHL;PTPN11;USP6NL;FUBP1;SMC6;YLPM1;NPAT</t>
  </si>
  <si>
    <t>11128;6711;54799;10142;7528;10914;10207;10198;9188</t>
  </si>
  <si>
    <t>POLR3A;SPTBN1;MBTD1;AKAP9;YY1;PAPOLA;PATJ;MPHOSPH9;DDX21</t>
  </si>
  <si>
    <t>11128;2969;8019;23160;25914;10142;55870;79811;11011</t>
  </si>
  <si>
    <t>POLR3A;GTF2I;BRD3;WDR43;RTTN;AKAP9;ASH1L;SLTM;TLK2</t>
  </si>
  <si>
    <t>6711;23512;79677;23195;987;9221;64783;55636;8202</t>
  </si>
  <si>
    <t>SPTBN1;SUZ12;SMC6;MDN1;LRBA;NOLC1;RBM15;CHD7;NCOA3</t>
  </si>
  <si>
    <t>GSE11057_NAIVE_VS_EFF_MEMORY_CD4_TCELL_UP</t>
  </si>
  <si>
    <t>200424;6711;54876;23067;3096;472;22930;23269;1788</t>
  </si>
  <si>
    <t>TET3;SPTBN1;DCAF16;SETD1B;HIVEP1;ATM;RAB3GAP1;MGA;DNMT3A</t>
  </si>
  <si>
    <t>http://www.broadinstitute.org/gsea/msigdb/cards/GSE11057_NAIVE_VS_EFF_MEMORY_CD4_TCELL_UP.html</t>
  </si>
  <si>
    <t>171023;55628;54764;375248;472;4863;54856;11083;9923</t>
  </si>
  <si>
    <t>ASXL1;ZNF407;ZRANB1;ANKRD36;ATM;NPAT;GON4L;DIDO1;ZBTB40</t>
  </si>
  <si>
    <t>23077;4520;79677;22992;55187;84669;11083;10765;6942</t>
  </si>
  <si>
    <t>MYCBP2;MTF1;SMC6;KDM2A;VPS13D;USP32;DIDO1;KDM5B;TCF20</t>
  </si>
  <si>
    <t>GSE12845_NAIVE_VS_PRE_GC_TONSIL_BCELL_UP</t>
  </si>
  <si>
    <t>8925;10137;9880;11214;9698;55802;55636;9874;11108</t>
  </si>
  <si>
    <t>HERC1;RBM12;ZBTB39;AKAP13;PUM1;DCP1A;CHD7;TLK1;PRDM4</t>
  </si>
  <si>
    <t>http://www.broadinstitute.org/gsea/msigdb/cards/GSE12845_NAIVE_VS_PRE_GC_TONSIL_BCELL_UP.html</t>
  </si>
  <si>
    <t>140710;6433;4520;8019;3842;9527;2876;5469;643314</t>
  </si>
  <si>
    <t>SOGA1;SFSWAP;MTF1;BRD3;TNPO1;GOSR1;GPX1;MED1;MACF1</t>
  </si>
  <si>
    <t>GSE12845_PRE_GC_VS_DARKZONE_GC_TONSIL_BCELL_DN</t>
  </si>
  <si>
    <t>9044;51366;5981;9584;23063;11168;4763;6596;79707</t>
  </si>
  <si>
    <t>BTAF1;UBR5;RFC1;RBM39;WAPL;PSIP1;NF1;HLTF;NOL9</t>
  </si>
  <si>
    <t>http://www.broadinstitute.org/gsea/msigdb/cards/GSE12845_PRE_GC_VS_DARKZONE_GC_TONSIL_BCELL_DN.html</t>
  </si>
  <si>
    <t>23293;29994;26523;23067;8295;9870;9786;83448;1788</t>
  </si>
  <si>
    <t>SMG6;BAZ2B;AGO1;SETD1B;TRRAP;AREL1;KIAA0586;PUS7L;DNMT3A</t>
  </si>
  <si>
    <t>2186;11064;26523;54454;23358;200576;23637;80205;25948</t>
  </si>
  <si>
    <t>BPTF;CNTRL;AGO1;ATAD2B;USP24;PIKFYVE;RABGAP1;CHD9;KBTBD2</t>
  </si>
  <si>
    <t>9139;7468;546;6654;11064;55914;23095;157680;55743</t>
  </si>
  <si>
    <t>CBFA2T2;NSD2;ATRX;SOS1;CNTRL;ERBIN;KIF1B;VPS13B;CHFR</t>
  </si>
  <si>
    <t>GSE13485_PRE_VS_POST_YF17D_VACCINATION_PBMC_UP</t>
  </si>
  <si>
    <t>5290;5062;9790;10277;8087;6789;25962;9392;10765</t>
  </si>
  <si>
    <t>PIK3CA;PAK2;BMS1;UBE4B;FXR1;STK4;VIRMA;TGFBRAP1;KDM5B</t>
  </si>
  <si>
    <t>http://www.broadinstitute.org/gsea/msigdb/cards/GSE13485_PRE_VS_POST_YF17D_VACCINATION_PBMC_UP.html</t>
  </si>
  <si>
    <t>5062;79677;9147;6249;9221;64783;55094;55127;9188</t>
  </si>
  <si>
    <t>PAK2;SMC6;NEMF;CLIP1;NOLC1;RBM15;GPATCH1;HEATR1;DDX21</t>
  </si>
  <si>
    <t>8085;9139;23077;57695;26523;23140;9841;27332;80205</t>
  </si>
  <si>
    <t>KMT2D;CBFA2T2;MYCBP2;USP37;AGO1;ZZEF1;ZBTB24;ZNF638;CHD9</t>
  </si>
  <si>
    <t>GSE14308_NAIVE_CD4_TCELL_VS_INDUCED_TREG_DN</t>
  </si>
  <si>
    <t>5130;5781;9712;7109;92797;55342;79723;9188;9439</t>
  </si>
  <si>
    <t>PCYT1A;PTPN11;USP6NL;TRAPPC10;HELB;STRBP;SUV39H2;DDX21;MED23</t>
  </si>
  <si>
    <t>http://www.broadinstitute.org/gsea/msigdb/cards/GSE14308_NAIVE_CD4_TCELL_VS_INDUCED_TREG_DN.html</t>
  </si>
  <si>
    <t>55660;25836;84079;9693;55014;80205;23392;192669;8202</t>
  </si>
  <si>
    <t>PRPF40A;NIPBL;ANKRD27;RAPGEF2;STX17;CHD9;ECPAS;AGO3;NCOA3</t>
  </si>
  <si>
    <t>GSE1448_CTRL_VS_ANTI_VALPHA2_DP_THYMOCYTE_UP</t>
  </si>
  <si>
    <t>546;9360;9202;7248;85476;23350;10735;8239;4216</t>
  </si>
  <si>
    <t>ATRX;PPIG;ZMYM4;TSC1;GFM1;U2SURP;STAG2;USP9X;MAP3K4</t>
  </si>
  <si>
    <t>http://www.broadinstitute.org/gsea/msigdb/cards/GSE1448_CTRL_VS_ANTI_VALPHA2_DP_THYMOCYTE_UP.html</t>
  </si>
  <si>
    <t>8888;5451;405;5981;57551;80204;171023;7840;7707</t>
  </si>
  <si>
    <t>MCM3AP;POU2F1;ARNT;RFC1;TAOK1;FBXO11;ASXL1;ALMS1;ZNF148</t>
  </si>
  <si>
    <t>GSE1460_CORD_VS_ADULT_BLOOD_NAIVE_CD4_TCELL_UP</t>
  </si>
  <si>
    <t>26057;140710;4299;84726;571;9880;55432;54832;22849</t>
  </si>
  <si>
    <t>ANKRD17;SOGA1;AFF1;PRRC2B;BACH1;ZBTB39;YOD1;VPS13C;CPEB3</t>
  </si>
  <si>
    <t>http://www.broadinstitute.org/gsea/msigdb/cards/GSE1460_CORD_VS_ADULT_BLOOD_NAIVE_CD4_TCELL_UP.html</t>
  </si>
  <si>
    <t>23451;5981;10299;11168;10277;7559;2551;55671;8239</t>
  </si>
  <si>
    <t>SF3B1;RFC1;MARCH6;PSIP1;UBE4B;ZNF12;GABPA;PPP4R3A;USP9X</t>
  </si>
  <si>
    <t>8315;11064;11276;23036;254065;57703;55167;6942;8202</t>
  </si>
  <si>
    <t>BRAP;CNTRL;SYNRG;ZNF292;BRWD3;CWC22;MSL2;TCF20;NCOA3</t>
  </si>
  <si>
    <t>54799;6659;8315;54764;23036;254065;57703;55167;22828</t>
  </si>
  <si>
    <t>MBTD1;SOX4;BRAP;ZRANB1;ZNF292;BRWD3;CWC22;MSL2;SCAF8</t>
  </si>
  <si>
    <t>GSE15930_NAIVE_VS_48H_IN_VITRO_STIM_IFNAB_CD8_TCELL_UP</t>
  </si>
  <si>
    <t>6659;8315;11276;23036;463;54520;283578;57703;55167</t>
  </si>
  <si>
    <t>SOX4;BRAP;SYNRG;ZNF292;ZFHX3;CCDC93;TMED8;CWC22;MSL2</t>
  </si>
  <si>
    <t>http://www.broadinstitute.org/gsea/msigdb/cards/GSE15930_NAIVE_VS_48H_IN_VITRO_STIM_IFNAB_CD8_TCELL_UP.html</t>
  </si>
  <si>
    <t>7586;6659;23160;55291;254065;57703;55167;6942;8202</t>
  </si>
  <si>
    <t>ZKSCAN1;SOX4;WDR43;PPP6R3;BRWD3;CWC22;MSL2;TCF20;NCOA3</t>
  </si>
  <si>
    <t>23160;80204;64682;59343;6874;5286;23198;25909;8239</t>
  </si>
  <si>
    <t>WDR43;FBXO11;ANAPC1;SENP2;TAF4;PIK3C2A;PSME4;AHCTF1;USP9X</t>
  </si>
  <si>
    <t>GSE17721_CTRL_VS_PAM3CSK4_8H_BMDC_DN</t>
  </si>
  <si>
    <t>8085;673;5781;79811;6249;9513;254065;11190;51455</t>
  </si>
  <si>
    <t>KMT2D;BRAF;PTPN11;SLTM;CLIP1;FXR2;BRWD3;CEP250;REV1</t>
  </si>
  <si>
    <t>http://www.broadinstitute.org/gsea/msigdb/cards/GSE17721_CTRL_VS_PAM3CSK4_8H_BMDC_DN.html</t>
  </si>
  <si>
    <t>23451;5451;56946;28981;6249;2117;54014;4848;26973</t>
  </si>
  <si>
    <t>SF3B1;POU2F1;EMSY;IFT81;CLIP1;ETV3;BRWD1;AC092881.1;CHORDC1</t>
  </si>
  <si>
    <t>5980;3192;6711;23248;170506;64397;7024;55342;10198</t>
  </si>
  <si>
    <t>REV3L;HNRNPU;SPTBN1;RPRD2;DHX36;ZNF106;TFCP2;STRBP;MPHOSPH9</t>
  </si>
  <si>
    <t>5903;8019;23160;9857;57459;131544;254065;11083;54014</t>
  </si>
  <si>
    <t>RANBP2;BRD3;WDR43;CEP350;GATAD2B;CRYBG3;BRWD3;DIDO1;BRWD1</t>
  </si>
  <si>
    <t>5781;23160;7705;79832;54906;23001;122830;10762;9904</t>
  </si>
  <si>
    <t>PTPN11;WDR43;ZNF146;QSER1;TASOR2;WDFY3;NAA30;NUP50;RBM19</t>
  </si>
  <si>
    <t>5781;65117;259282;6311;59343;2551;6789;157922;5814</t>
  </si>
  <si>
    <t>PTPN11;RSRC2;BOD1L1;ATXN2;SENP2;GABPA;STK4;CAMSAP1;PURB</t>
  </si>
  <si>
    <t>26046;3836;51248;8880;79572;6789;157922;9188;10762</t>
  </si>
  <si>
    <t>LTN1;KPNA1;PDZD11;FUBP1;ATP13A3;STK4;CAMSAP1;DDX21;NUP50</t>
  </si>
  <si>
    <t>27340;5048;9736;23358;122830;27042;160760;23013;10762</t>
  </si>
  <si>
    <t>UTP20;PAFAH1B1;USP34;USP24;NAA30;UTP25;PPTC7;SPEN;NUP50</t>
  </si>
  <si>
    <t>5981;8880;79677;170506;64426;9126;2876;6596;29843</t>
  </si>
  <si>
    <t>RFC1;FUBP1;SMC6;DHX36;SUDS3;SMC3;GPX1;HLTF;SENP1</t>
  </si>
  <si>
    <t>http://www.broadinstitute.org/gsea/msigdb/cards/GSE17721_POLYIC_VS_PAM3CSK4_1H_BMDC_UP.html</t>
  </si>
  <si>
    <t>26057;8899;166378;55023;64397;23660;22849;84893;23200</t>
  </si>
  <si>
    <t>ANKRD17;PRPF4B;SPATA5;PHIP;ZNF106;ZKSCAN5;CPEB3;FBH1;ATP11B</t>
  </si>
  <si>
    <t>4520;23512;65117;11064;55023;51105;3096;6789;80314</t>
  </si>
  <si>
    <t>MTF1;SUZ12;RSRC2;CNTRL;PHIP;PHF20L1;HIVEP1;STK4;EPC1</t>
  </si>
  <si>
    <t>23014;5130;54906;55051;6249;10735;283337;23200;8202</t>
  </si>
  <si>
    <t>FBXO21;PCYT1A;TASOR2;NRDE2;CLIP1;STAG2;ZNF740;ATP11B;NCOA3</t>
  </si>
  <si>
    <t>8888;5927;11168;8087;10093;23392;9879;8239;7707</t>
  </si>
  <si>
    <t>MCM3AP;KDM5A;PSIP1;FXR1;ARPC4;ECPAS;DDX46;USP9X;ZNF148</t>
  </si>
  <si>
    <t>8888;387680;23253;6801;54520;160760;142891;27161;1788</t>
  </si>
  <si>
    <t>MCM3AP;WASHC2A;ANKRD12;STRN;CCDC93;PPTC7;SAMD8;AGO2;DNMT3A</t>
  </si>
  <si>
    <t>3799;5048;51248;6801;2957;23198;54812;10735;7994</t>
  </si>
  <si>
    <t>KIF5B;PAFAH1B1;PDZD11;STRN;GTF2A1;PSME4;AFTPH;STAG2;KAT6A</t>
  </si>
  <si>
    <t>84162;57551;55914;23131;8295;11168;285527;84196;8202</t>
  </si>
  <si>
    <t>KIAA1109;TAOK1;ERBIN;GPATCH8;TRRAP;PSIP1;FRYL;USP48;NCOA3</t>
  </si>
  <si>
    <t>23077;5130;9972;5591;54619;10142;57448;22849;53981</t>
  </si>
  <si>
    <t>MYCBP2;PCYT1A;NUP153;PRKDC;CCNJ;AKAP9;BIRC6;CPEB3;CPSF2</t>
  </si>
  <si>
    <t>GSE17721_POLYIC_VS_GARDIQUIMOD_6H_BMDC_DN</t>
  </si>
  <si>
    <t>10236;387680;9736;59343;7528;7109;9221;157922;142891</t>
  </si>
  <si>
    <t>HNRNPR;WASHC2A;USP34;SENP2;YY1;TRAPPC10;NOLC1;CAMSAP1;SAMD8</t>
  </si>
  <si>
    <t>http://www.broadinstitute.org/gsea/msigdb/cards/GSE17721_POLYIC_VS_GARDIQUIMOD_6H_BMDC_DN.html</t>
  </si>
  <si>
    <t>GSE17721_LPS_VS_GARDIQUIMOD_4H_BMDC_DN</t>
  </si>
  <si>
    <t>7705;7248;8880;10897;8518;55596;55102;55705;9329</t>
  </si>
  <si>
    <t>ZNF146;TSC1;FUBP1;YIF1A;ELP1;ZCCHC8;ATG2B;IPO9;GTF3C4</t>
  </si>
  <si>
    <t>http://www.broadinstitute.org/gsea/msigdb/cards/GSE17721_LPS_VS_GARDIQUIMOD_4H_BMDC_DN.html</t>
  </si>
  <si>
    <t>26046;6659;23001;79572;9126;10299;388228;131544;79646</t>
  </si>
  <si>
    <t>LTN1;SOX4;WDFY3;ATP13A3;SMC3;MARCH6;SBK1;CRYBG3;PANK3</t>
  </si>
  <si>
    <t>26046;673;91746;10730;7528;142891;80155;54014;26973</t>
  </si>
  <si>
    <t>LTN1;BRAF;YTHDC1;YME1L1;YY1;SAMD8;NAA15;BRWD1;CHORDC1</t>
  </si>
  <si>
    <t>GSE17721_0.5H_VS_8H_PAM3CSK4_BMDC_DN</t>
  </si>
  <si>
    <t>7175;3836;9135;23352;23132;7528;11011;26054;25831</t>
  </si>
  <si>
    <t>TPR;KPNA1;RABEP1;UBR4;RAD54L2;YY1;TLK2;SENP6;HECTD1</t>
  </si>
  <si>
    <t>http://www.broadinstitute.org/gsea/msigdb/cards/GSE17721_0.5H_VS_8H_PAM3CSK4_BMDC_DN.html</t>
  </si>
  <si>
    <t>GSE17721_0.5H_VS_24H_PAM3CSK4_BMDC_DN</t>
  </si>
  <si>
    <t>9877;23328;64682;6249;987;11011;26054;58487;25831</t>
  </si>
  <si>
    <t>ZC3H11A;SASH1;ANAPC1;CLIP1;LRBA;TLK2;SENP6;CREBZF;HECTD1</t>
  </si>
  <si>
    <t>http://www.broadinstitute.org/gsea/msigdb/cards/GSE17721_0.5H_VS_24H_PAM3CSK4_BMDC_DN.html</t>
  </si>
  <si>
    <t>27340;79677;54454;22852;10897;25948;79723;27161;1788</t>
  </si>
  <si>
    <t>UTP20;SMC6;ATAD2B;ANKRD26;YIF1A;KBTBD2;SUV39H2;AGO2;DNMT3A</t>
  </si>
  <si>
    <t>3840;23328;3609;51248;6249;157922;54887;11011;2140</t>
  </si>
  <si>
    <t>KPNA4;SASH1;ILF3;PDZD11;CLIP1;CAMSAP1;UHRF1BP1;TLK2;EYA3</t>
  </si>
  <si>
    <t>23328;6651;1656;5981;23001;10274;4361;22850;55818</t>
  </si>
  <si>
    <t>SASH1;SON;DDX6;RFC1;WDFY3;STAG1;MRE11;ADNP2;KDM3A</t>
  </si>
  <si>
    <t>GSE17721_0.5H_VS_8H_GARDIQUIMOD_BMDC_DN</t>
  </si>
  <si>
    <t>4976;4297;8899;23244;317;7174;2551;54455;25831</t>
  </si>
  <si>
    <t>OPA1;KMT2A;PRPF4B;PDS5A;APAF1;TPP2;GABPA;FBXO42;HECTD1</t>
  </si>
  <si>
    <t>http://www.broadinstitute.org/gsea/msigdb/cards/GSE17721_0.5H_VS_8H_GARDIQUIMOD_BMDC_DN.html</t>
  </si>
  <si>
    <t>27340;5981;8661;57459;7248;3842;8518;54832;55094</t>
  </si>
  <si>
    <t>UTP20;RFC1;EIF3A;GATAD2B;TSC1;TNPO1;ELP1;VPS13C;GPATCH1</t>
  </si>
  <si>
    <t>200424;7637;6659;9202;51105;23633;157922;204851;8202</t>
  </si>
  <si>
    <t>TET3;ZNF84;SOX4;ZMYM4;PHF20L1;KPNA6;CAMSAP1;HIPK1;NCOA3</t>
  </si>
  <si>
    <t>2475;23160;25836;57148;57634;51755;10153;54520;22850</t>
  </si>
  <si>
    <t>MTOR;WDR43;NIPBL;RALGAPB;EP400;CDK12;CEBPZ;CCDC93;ADNP2</t>
  </si>
  <si>
    <t>51366;54799;5781;9774;8295;10299;2005;283337;55818</t>
  </si>
  <si>
    <t>UBR5;MBTD1;PTPN11;BCLAF1;TRRAP;MARCH6;ELK4;ZNF740;KDM3A</t>
  </si>
  <si>
    <t>9139;27340;3609;85440;53944;10897;9113;7174;4848</t>
  </si>
  <si>
    <t>CBFA2T2;UTP20;ILF3;DOCK7;CSNK1G1;YIF1A;LATS1;TPP2;AC092881.1</t>
  </si>
  <si>
    <t>GSE20715_0H_VS_6H_OZONE_TLR4_KO_LUNG_DN</t>
  </si>
  <si>
    <t>23077;9972;4299;257218;170506;23358;7690;1859;51742</t>
  </si>
  <si>
    <t>MYCBP2;NUP153;AFF1;SHPRH;DHX36;USP24;ZNF131;DYRK1A;ARID4B</t>
  </si>
  <si>
    <t>http://www.broadinstitute.org/gsea/msigdb/cards/GSE20715_0H_VS_6H_OZONE_TLR4_KO_LUNG_DN.html</t>
  </si>
  <si>
    <t>GSE2197_IMMUNOSUPPRESSIVE_DNA_VS_UNTREATEDIN_DC_DN</t>
  </si>
  <si>
    <t>55206;51366;5451;253143;23468;91748;26009;9392;58487</t>
  </si>
  <si>
    <t>SBNO1;UBR5;POU2F1;PRR14L;CBX5;ELMSAN1;AC118549.1;TGFBRAP1;CREBZF</t>
  </si>
  <si>
    <t>http://www.broadinstitute.org/gsea/msigdb/cards/GSE2197_IMMUNOSUPPRESSIVE_DNA_VS_UNTREATEDIN_DC_DN.html</t>
  </si>
  <si>
    <t>8019;26005;10075;200576;867;472;27042;7994;11108</t>
  </si>
  <si>
    <t>BRD3;C2CD3;HUWE1;PIKFYVE;CBL;ATM;UTP25;KAT6A;PRDM4</t>
  </si>
  <si>
    <t>23014;7248;9711;23195;10128;54455;10198;9923;4216</t>
  </si>
  <si>
    <t>FBXO21;TSC1;RUBCN;MDN1;LRPPRC;FBXO42;MPHOSPH9;ZBTB40;MAP3K4</t>
  </si>
  <si>
    <t>6711;7248;23358;6596;22850;9879;10198;23499;4216</t>
  </si>
  <si>
    <t>SPTBN1;TSC1;USP24;HLTF;ADNP2;DDX46;MPHOSPH9;MACF1;MAP3K4</t>
  </si>
  <si>
    <t>51366;80312;55914;9527;6249;7690;5469;10207;5814</t>
  </si>
  <si>
    <t>UBR5;TET1;ERBIN;GOSR1;CLIP1;ZNF131;MED1;PATJ;PURB</t>
  </si>
  <si>
    <t>84986;3842;2876;4361;5471;7024;10714;56652;27161</t>
  </si>
  <si>
    <t>ARHGAP19;TNPO1;GPX1;MRE11;PPAT;TFCP2;POLD3;TWNK;AGO2</t>
  </si>
  <si>
    <t>23064;23063;55728;23032;54542;7528;79612;144348;80314</t>
  </si>
  <si>
    <t>SETX;WAPL;N4BP2;USP33;RC3H2;YY1;NAA16;ZNF664;EPC1</t>
  </si>
  <si>
    <t>GSE26669_CD4_VS_CD8_TCELL_IN_MLR_COSTIM_BLOCK_UP</t>
  </si>
  <si>
    <t>6659;253143;91746;55914;93;347240;79612;54812;51455</t>
  </si>
  <si>
    <t>SOX4;PRR14L;YTHDC1;ERBIN;ACVR2B;KIF24;NAA16;AFTPH;REV1</t>
  </si>
  <si>
    <t>http://www.broadinstitute.org/gsea/msigdb/cards/GSE26669_CD4_VS_CD8_TCELL_IN_MLR_COSTIM_BLOCK_UP.html</t>
  </si>
  <si>
    <t>GSE26928_NAIVE_VS_CENT_MEMORY_CD4_TCELL_UP</t>
  </si>
  <si>
    <t>7182;9869;84726;166378;7248;81609;79612;54832;56980</t>
  </si>
  <si>
    <t>NR2C2;SETDB1;PRRC2B;SPATA5;TSC1;SNX27;NAA16;VPS13C;PRDM10</t>
  </si>
  <si>
    <t>http://www.broadinstitute.org/gsea/msigdb/cards/GSE26928_NAIVE_VS_CENT_MEMORY_CD4_TCELL_UP.html</t>
  </si>
  <si>
    <t>55206;6651;255967;57498;4140;84301;389072;26065;51696</t>
  </si>
  <si>
    <t>SBNO1;SON;PAN3;KIDINS220;MARK3;DDI2;PLEKHM3;LSM14A;HECA</t>
  </si>
  <si>
    <t>9611;9320;89910;23063;10075;285527;65250;25831;23112</t>
  </si>
  <si>
    <t>NCOR1;TRIP12;UBE3B;WAPL;HUWE1;FRYL;CPLANE1;HECTD1;TNRC6B</t>
  </si>
  <si>
    <t>7175;7586;169841;23049;57690;9774;6789;26009;55127</t>
  </si>
  <si>
    <t>TPR;ZKSCAN1;ZNF169;SMG1;TNRC6C;BCLAF1;STK4;AC118549.1;HEATR1</t>
  </si>
  <si>
    <t>5980;5290;57148;23505;57472;6801;10594;9392;55705</t>
  </si>
  <si>
    <t>REV3L;PIK3CA;RALGAPB;TMEM131;CNOT6;STRN;PRPF8;TGFBRAP1;IPO9</t>
  </si>
  <si>
    <t>GSE28237_EARLY_VS_LATE_GC_BCELL_UP</t>
  </si>
  <si>
    <t>169841;157769;28981;80351;29994;317;9113;80205;26009</t>
  </si>
  <si>
    <t>ZNF169;FAM91A1;IFT81;TNKS2;BAZ2B;APAF1;LATS1;CHD9;AC118549.1</t>
  </si>
  <si>
    <t>http://www.broadinstitute.org/gsea/msigdb/cards/GSE28237_EARLY_VS_LATE_GC_BCELL_UP.html</t>
  </si>
  <si>
    <t>11128;26057;9857;10142;84146;23358;2957;10735;53981</t>
  </si>
  <si>
    <t>POLR3A;ANKRD17;CEP350;AKAP9;ZNF644;USP24;GTF2A1;STAG2;CPSF2</t>
  </si>
  <si>
    <t>GSE29615_CTRL_VS_DAY3_LAIV_IFLU_VACCINE_PBMC_DN</t>
  </si>
  <si>
    <t>23317;7586;10771;9857;11276;7514;55705;79646;23499</t>
  </si>
  <si>
    <t>DNAJC13;ZKSCAN1;ZMYND11;CEP350;SYNRG;XPO1;IPO9;PANK3;MACF1</t>
  </si>
  <si>
    <t>http://www.broadinstitute.org/gsea/msigdb/cards/GSE29615_CTRL_VS_DAY3_LAIV_IFLU_VACCINE_PBMC_DN.html</t>
  </si>
  <si>
    <t>80311;51322;84146;571;2117;25948;64783;55802;26973</t>
  </si>
  <si>
    <t>KLHL15;WAC;ZNF644;BACH1;ETV3;KBTBD2;RBM15;DCP1A;CHORDC1</t>
  </si>
  <si>
    <t>6659;9711;79677;23358;375248;5116;6596;11083;56995</t>
  </si>
  <si>
    <t>SOX4;RUBCN;SMC6;USP24;ANKRD36;PCNT;HLTF;DIDO1;TULP4</t>
  </si>
  <si>
    <t>GSE29618_PRE_VS_DAY7_FLU_VACCINE_BCELL_DN</t>
  </si>
  <si>
    <t>7156;84726;90957;89910;5930;28981;2074;10762;9967</t>
  </si>
  <si>
    <t>TOP3A;PRRC2B;DHX57;UBE3B;RBBP6;IFT81;ERCC6;NUP50;THRAP3</t>
  </si>
  <si>
    <t>http://www.broadinstitute.org/gsea/msigdb/cards/GSE29618_PRE_VS_DAY7_FLU_VACCINE_BCELL_DN.html</t>
  </si>
  <si>
    <t>2186;3842;23358;23095;8812;55014;6601;64421;9923</t>
  </si>
  <si>
    <t>BPTF;TNPO1;USP24;KIF1B;CCNK;STX17;SMARCC2;DCLRE1C;ZBTB40</t>
  </si>
  <si>
    <t>1778;84726;253143;23405;8621;389072;22849;155435;79646</t>
  </si>
  <si>
    <t>DYNC1H1;PRRC2B;PRR14L;DICER1;CDK13;PLEKHM3;CPEB3;RBM33;PANK3</t>
  </si>
  <si>
    <t>23451;9321;57148;57609;8867;2117;388228;440193;8202</t>
  </si>
  <si>
    <t>SF3B1;TRIP11;RALGAPB;DIP2B;SYNJ1;ETV3;SBK1;CCDC88C;NCOA3</t>
  </si>
  <si>
    <t>8085;9826;9611;6651;6711;23095;388228;440193;55636</t>
  </si>
  <si>
    <t>KMT2D;ARHGEF11;NCOR1;SON;SPTBN1;KIF1B;SBK1;CCDC88C;CHD7</t>
  </si>
  <si>
    <t>5451;100381270;55183;25836;5422;987;9698;79612;92140</t>
  </si>
  <si>
    <t>POU2F1;ZBED6;RIF1;NIPBL;POLA1;LRBA;PUM1;NAA16;MTDH</t>
  </si>
  <si>
    <t>9611;7175;57459;85459;11168;9698;131544;57703;10765</t>
  </si>
  <si>
    <t>NCOR1;TPR;GATAD2B;CEP295;PSIP1;PUM1;CRYBG3;CWC22;KDM5B</t>
  </si>
  <si>
    <t>23347;5451;23160;23185;10915;7174;463;9887;27161</t>
  </si>
  <si>
    <t>SMCHD1;POU2F1;WDR43;LARP4B;TCERG1;TPP2;ZFHX3;SMG7;AGO2</t>
  </si>
  <si>
    <t>23347;23451;27340;8899;9793;221037;29994;23468;4361</t>
  </si>
  <si>
    <t>SMCHD1;SF3B1;UTP20;PRPF4B;CKAP5;JMJD1C;BAZ2B;CBX5;MRE11</t>
  </si>
  <si>
    <t>8888;7155;23160;171023;6311;7750;6670;23200;23335</t>
  </si>
  <si>
    <t>MCM3AP;TOP2B;WDR43;ASXL1;ATXN2;ZMYM2;SP3;ATP11B;WDR7</t>
  </si>
  <si>
    <t>2475;9793;8019;84726;23248;10277;10128;6601;23047</t>
  </si>
  <si>
    <t>MTOR;CKAP5;BRD3;PRRC2B;RPRD2;UBE4B;LRPPRC;SMARCC2;PDS5B</t>
  </si>
  <si>
    <t>GSE360_CTRL_VS_B_MALAYI_LOW_DOSE_MAC_DN</t>
  </si>
  <si>
    <t>6093;23332;23522;23131;10915;3096;1859;23392;10426</t>
  </si>
  <si>
    <t>ROCK1;CLASP1;KAT6B;GPATCH8;TCERG1;HIVEP1;DYRK1A;ECPAS;TUBGCP3</t>
  </si>
  <si>
    <t>http://www.broadinstitute.org/gsea/msigdb/cards/GSE360_CTRL_VS_B_MALAYI_LOW_DOSE_MAC_DN.html</t>
  </si>
  <si>
    <t>4976;23317;8019;6311;10153;8453;9816;10594;7707</t>
  </si>
  <si>
    <t>OPA1;DNAJC13;BRD3;ATXN2;CEBPZ;CUL2;URB2;PRPF8;ZNF148</t>
  </si>
  <si>
    <t>546;4520;6873;79572;285527;3096;5586;10735;22828</t>
  </si>
  <si>
    <t>ATRX;MTF1;TAF2;ATP13A3;FRYL;HIVEP1;PKN2;STAG2;SCAF8</t>
  </si>
  <si>
    <t>9044;9733;23160;84726;9736;23369;3096;9221;79646</t>
  </si>
  <si>
    <t>BTAF1;SART3;WDR43;PRRC2B;USP34;PUM2;HIVEP1;NOLC1;PANK3</t>
  </si>
  <si>
    <t>5495;9931;9733;23369;6311;8295;9698;23200;23335</t>
  </si>
  <si>
    <t>PPM1B;HELZ;SART3;PUM2;ATXN2;TRRAP;PUM1;ATP11B;WDR7</t>
  </si>
  <si>
    <t>23317;9972;8661;10075;23131;23405;6670;8453;7159</t>
  </si>
  <si>
    <t>DNAJC13;NUP153;EIF3A;HUWE1;GPATCH8;DICER1;SP3;CUL2;TP53BP2</t>
  </si>
  <si>
    <t>4976;4520;79572;3096;9897;9221;5586;79646;9923</t>
  </si>
  <si>
    <t>OPA1;MTF1;ATP13A3;HIVEP1;WASHC5;NOLC1;PKN2;PANK3;ZBTB40</t>
  </si>
  <si>
    <t>5981;1778;9869;8925;25836;9712;8087;388228;26019</t>
  </si>
  <si>
    <t>RFC1;DYNC1H1;SETDB1;HERC1;NIPBL;USP6NL;FXR1;SBK1;UPF2</t>
  </si>
  <si>
    <t>9139;23077;6711;79832;29072;51585;4763;253959;51696</t>
  </si>
  <si>
    <t>CBFA2T2;MYCBP2;SPTBN1;QSER1;SETD2;PCF11;NF1;RALGAPA1;HECA</t>
  </si>
  <si>
    <t>84162;374354;85459;55628;11168;285527;7109;64854;347240</t>
  </si>
  <si>
    <t>KIAA1109;NHLRC2;CEP295;ZNF407;PSIP1;FRYL;TRAPPC10;USP46;KIF24</t>
  </si>
  <si>
    <t>9320;84162;55249;3096;54856;23033;2140;9439;23200</t>
  </si>
  <si>
    <t>TRIP12;KIAA1109;YY1AP1;HIVEP1;GON4L;DOP1A;EYA3;MED23;ATP11B</t>
  </si>
  <si>
    <t>GSE37416_0H_VS_24H_F_TULARENSIS_LVS_NEUTROPHIL_DN</t>
  </si>
  <si>
    <t>9139;673;23036;7559;80205;54520;253959;4848;10765</t>
  </si>
  <si>
    <t>CBFA2T2;BRAF;ZNF292;ZNF12;CHD9;CCDC93;RALGAPA1;AC092881.1;KDM5B</t>
  </si>
  <si>
    <t>http://www.broadinstitute.org/gsea/msigdb/cards/GSE37416_0H_VS_24H_F_TULARENSIS_LVS_NEUTROPHIL_DN.html</t>
  </si>
  <si>
    <t>5591;84986;8925;51105;3930;5586;51742;54832;9439</t>
  </si>
  <si>
    <t>PRKDC;ARHGAP19;HERC1;PHF20L1;LBR;PKN2;ARID4B;VPS13C;MED23</t>
  </si>
  <si>
    <t>26057;5927;9869;84079;51230;51585;55432;2074;64421</t>
  </si>
  <si>
    <t>ANKRD17;KDM5A;SETDB1;ANKRD27;PHF20;PCF11;YOD1;ERCC6;DCLRE1C</t>
  </si>
  <si>
    <t>51366;5451;5903;23126;80204;9711;55249;8621;26054</t>
  </si>
  <si>
    <t>UBR5;POU2F1;RANBP2;POGZ;FBXO11;RUBCN;YY1AP1;CDK13;SENP6</t>
  </si>
  <si>
    <t>9360;221037;9169;55628;317;4140;54455;26065;23112</t>
  </si>
  <si>
    <t>PPIG;JMJD1C;SCAF11;ZNF407;APAF1;MARK3;FBXO42;LSM14A;TNRC6B</t>
  </si>
  <si>
    <t>79832;54552;23095;4763;2932;4361;22984;10714;9904</t>
  </si>
  <si>
    <t>QSER1;GNL3L;KIF1B;NF1;GSK3B;MRE11;PDCD11;POLD3;RBM19</t>
  </si>
  <si>
    <t>26057;6711;8295;9870;5116;56252;9887;11083;55636</t>
  </si>
  <si>
    <t>ANKRD17;SPTBN1;TRRAP;AREL1;PCNT;YLPM1;SMG7;DIDO1;CHD7</t>
  </si>
  <si>
    <t>GSE3982_MAC_VS_NEUTROPHIL_UP</t>
  </si>
  <si>
    <t>9631;23014;6659;9147;5116;7174;8453;79882;54765</t>
  </si>
  <si>
    <t>NUP155;FBXO21;SOX4;NEMF;PCNT;TPP2;CUL2;ZC3H14;TRIM44</t>
  </si>
  <si>
    <t>http://www.broadinstitute.org/gsea/msigdb/cards/GSE3982_MAC_VS_NEUTROPHIL_UP.html</t>
  </si>
  <si>
    <t>1660;8925;9857;23126;10142;23131;55187;7994;23499</t>
  </si>
  <si>
    <t>DHX9;HERC1;CEP350;POGZ;AKAP9;GPATCH8;VPS13D;KAT6A;MACF1</t>
  </si>
  <si>
    <t>5495;7248;3842;23140;9513;472;2804;253959;55743</t>
  </si>
  <si>
    <t>PPM1B;TSC1;TNPO1;ZZEF1;FXR2;ATM;GOLGB1;RALGAPA1;CHFR</t>
  </si>
  <si>
    <t>5927;9169;29072;29994;317;4140;23527;55727;6942</t>
  </si>
  <si>
    <t>KDM5A;SCAF11;SETD2;BAZ2B;APAF1;MARK3;ACAP2;BTBD7;TCF20</t>
  </si>
  <si>
    <t>23451;84079;64397;29994;571;2932;25948;55636;10765</t>
  </si>
  <si>
    <t>SF3B1;ANKRD27;ZNF106;BAZ2B;BACH1;GSK3B;KBTBD2;CHD7;KDM5B</t>
  </si>
  <si>
    <t>GSE3982_EFF_MEMORY_CD4_TCELL_VS_TH1_UP</t>
  </si>
  <si>
    <t>23014;79832;29072;23033;25948;54765;10198;51696;6942</t>
  </si>
  <si>
    <t>FBXO21;QSER1;SETD2;DOP1A;KBTBD2;TRIM44;MPHOSPH9;HECA;TCF20</t>
  </si>
  <si>
    <t>http://www.broadinstitute.org/gsea/msigdb/cards/GSE3982_EFF_MEMORY_CD4_TCELL_VS_TH1_UP.html</t>
  </si>
  <si>
    <t>221037;23126;56946;374354;905;51585;25948;54765;11083</t>
  </si>
  <si>
    <t>JMJD1C;POGZ;EMSY;NHLRC2;CCNT2;PCF11;KBTBD2;TRIM44;DIDO1</t>
  </si>
  <si>
    <t>5495;10137;57472;9126;10735;80012;83448;51696;9874</t>
  </si>
  <si>
    <t>PPM1B;RBM12;CNOT6;SMC3;STAG2;PHC3;PUS7L;HECA;TLK1</t>
  </si>
  <si>
    <t>79832;79677;80218;57472;9678;55159;92140;6942;9874</t>
  </si>
  <si>
    <t>QSER1;SMC6;NAA50;CNOT6;PHF14;RFWD3;MTDH;TCF20;TLK1</t>
  </si>
  <si>
    <t>GSE7460_CD8_TCELL_VS_TREG_ACT_DN</t>
  </si>
  <si>
    <t>9139;28981;9126;51182;23181;54765;55705;11083;23047</t>
  </si>
  <si>
    <t>CBFA2T2;IFT81;SMC3;HSPA14;DIP2A;TRIM44;IPO9;DIDO1;PDS5B</t>
  </si>
  <si>
    <t>http://www.broadinstitute.org/gsea/msigdb/cards/GSE7460_CD8_TCELL_VS_TREG_ACT_DN.html</t>
  </si>
  <si>
    <t>9826;9712;84079;80351;54764;7776;10277;25909;6942</t>
  </si>
  <si>
    <t>ARHGEF11;USP6NL;ANKRD27;TNKS2;ZRANB1;ZNF236;UBE4B;AHCTF1;TCF20</t>
  </si>
  <si>
    <t>84726;254048;57492;23505;80205;79598;155435;440193;9967</t>
  </si>
  <si>
    <t>PRRC2B;UBN2;ARID1B;TMEM131;CHD9;CEP97;RBM33;CCDC88C;THRAP3</t>
  </si>
  <si>
    <t>5980;6711;6654;22848;80312;23140;6249;22847;55636</t>
  </si>
  <si>
    <t>REV3L;SPTBN1;SOS1;AAK1;TET1;ZZEF1;CLIP1;ZNF507;CHD7</t>
  </si>
  <si>
    <t>2969;5781;22848;6249;3930;55291;204851;25948;55636</t>
  </si>
  <si>
    <t>GTF2I;PTPN11;AAK1;CLIP1;LBR;PPP6R3;HIPK1;KBTBD2;CHD7</t>
  </si>
  <si>
    <t>4299;7705;8880;57680;55870;23633;10277;204851;55636</t>
  </si>
  <si>
    <t>AFF1;ZNF146;FUBP1;CHD8;ASH1L;KPNA6;UBE4B;HIPK1;CHD7</t>
  </si>
  <si>
    <t>200424;23185;8295;5471;7159;27042;80012;22828;4216</t>
  </si>
  <si>
    <t>TET3;LARP4B;TRRAP;PPAT;TP53BP2;UTP25;PHC3;SCAF8;MAP3K4</t>
  </si>
  <si>
    <t>7579;253143;65117;54542;10915;11168;5586;84132;23047</t>
  </si>
  <si>
    <t>ZSCAN20;PRR14L;RSRC2;RC3H2;TCERG1;PSIP1;PKN2;USP42;PDS5B</t>
  </si>
  <si>
    <t>2802;51248;11168;51182;8453;254065;26009;9874;1788</t>
  </si>
  <si>
    <t>GOLGA3;PDZD11;PSIP1;HSPA14;CUL2;BRWD3;AC118549.1;TLK1;DNMT3A</t>
  </si>
  <si>
    <t>9139;5591;10274;23505;23049;23392;389072;10735;23112</t>
  </si>
  <si>
    <t>CBFA2T2;PRKDC;STAG1;TMEM131;SMG1;ECPAS;PLEKHM3;STAG2;TNRC6B</t>
  </si>
  <si>
    <t>GSE2770_UNTREATED_VS_IL12_TREATED_ACT_CD4_TCELL_48H_DN</t>
  </si>
  <si>
    <t>55206;9931;55275;84146;57472;6801;5814;9969;22828</t>
  </si>
  <si>
    <t>SBNO1;HELZ;VPS53;ZNF644;CNOT6;STRN;PURB;MED13;SCAF8</t>
  </si>
  <si>
    <t>http://www.broadinstitute.org/gsea/msigdb/cards/GSE2770_UNTREATED_VS_IL12_TREATED_ACT_CD4_TCELL_48H_DN.html</t>
  </si>
  <si>
    <t>GSE2770_TGFB_AND_IL4_VS_TGFB_AND_IL12_TREATED_ACT_CD4_TCELL_48H_UP</t>
  </si>
  <si>
    <t>8888;23317;257218;100289635;259282;23660;23269;140775;56995</t>
  </si>
  <si>
    <t>MCM3AP;DNAJC13;SHPRH;ZNF605;BOD1L1;ZKSCAN5;MGA;SMCR8;TULP4</t>
  </si>
  <si>
    <t>http://www.broadinstitute.org/gsea/msigdb/cards/GSE2770_TGFB_AND_IL4_VS_TGFB_AND_IL12_TREATED_ACT_CD4_TCELL_48H_UP.html</t>
  </si>
  <si>
    <t>23160;26058;10730;170506;57448;6249;22984;58487;10765</t>
  </si>
  <si>
    <t>WDR43;GIGYF2;YME1L1;DHX36;BIRC6;CLIP1;PDCD11;CREBZF;KDM5B</t>
  </si>
  <si>
    <t>GSE2405_0H_VS_9H_A_PHAGOCYTOPHILUM_STIM_NEUTROPHIL_UP</t>
  </si>
  <si>
    <t>55183;25914;64397;54764;23132;6670;23198;22930;10594</t>
  </si>
  <si>
    <t>RIF1;RTTN;ZNF106;ZRANB1;RAD54L2;SP3;PSME4;RAB3GAP1;PRPF8</t>
  </si>
  <si>
    <t>http://www.broadinstitute.org/gsea/msigdb/cards/GSE2405_0H_VS_9H_A_PHAGOCYTOPHILUM_STIM_NEUTROPHIL_UP.html</t>
  </si>
  <si>
    <t>GSE22601_DOUBLE_NEGATIVE_VS_IMMATURE_CD4_SP_THYMOCYTE_UP</t>
  </si>
  <si>
    <t>55183;25914;64397;54764;23132;6670;22930;54464;7707</t>
  </si>
  <si>
    <t>RIF1;RTTN;ZNF106;ZRANB1;RAD54L2;SP3;RAB3GAP1;XRN1;ZNF148</t>
  </si>
  <si>
    <t>http://www.broadinstitute.org/gsea/msigdb/cards/GSE22601_DOUBLE_NEGATIVE_VS_IMMATURE_CD4_SP_THYMOCYTE_UP.html</t>
  </si>
  <si>
    <t>GSE22601_DOUBLE_POSITIVE_VS_CD8_SINGLE_POSITIVE_THYMOCYTE_DN</t>
  </si>
  <si>
    <t>10236;3609;7156;221037;22848;10915;10897;55159;10198</t>
  </si>
  <si>
    <t>HNRNPR;ILF3;TOP3A;JMJD1C;AAK1;TCERG1;YIF1A;RFWD3;MPHOSPH9</t>
  </si>
  <si>
    <t>http://www.broadinstitute.org/gsea/msigdb/cards/GSE22601_DOUBLE_POSITIVE_VS_CD8_SINGLE_POSITIVE_THYMOCYTE_DN.html</t>
  </si>
  <si>
    <t>GSE22601_DOUBLE_POSITIVE_VS_CD4_SINGLE_POSITIVE_THYMOCYTE_DN</t>
  </si>
  <si>
    <t>51248;22976;165918;11168;23468;55159;55705;10198;23047</t>
  </si>
  <si>
    <t>PDZD11;PAXIP1;RNF168;PSIP1;CBX5;RFWD3;IPO9;MPHOSPH9;PDS5B</t>
  </si>
  <si>
    <t>http://www.broadinstitute.org/gsea/msigdb/cards/GSE22601_DOUBLE_POSITIVE_VS_CD4_SINGLE_POSITIVE_THYMOCYTE_DN.html</t>
  </si>
  <si>
    <t>9611;23054;10771;79832;9202;130507;11244;7024;80205</t>
  </si>
  <si>
    <t>NCOR1;NCOA6;ZMYND11;QSER1;ZMYM4;UBR3;ZHX1;TFCP2;CHD9</t>
  </si>
  <si>
    <t>8672;1656;3192;84162;253143;23185;85476;55014;6789</t>
  </si>
  <si>
    <t>EIF4G3;DDX6;HNRNPU;KIAA1109;PRR14L;LARP4B;GFM1;STX17;STK4</t>
  </si>
  <si>
    <t>5981;2475;5591;6659;9919;10914;27161;7707;1788</t>
  </si>
  <si>
    <t>RFC1;MTOR;PRKDC;SOX4;SEC16A;PAPOLA;AGO2;ZNF148;DNMT3A</t>
  </si>
  <si>
    <t>4299;6659;79832;23505;29994;9678;64854;388228;91748</t>
  </si>
  <si>
    <t>AFF1;SOX4;QSER1;TMEM131;BAZ2B;PHF14;USP46;SBK1;ELMSAN1</t>
  </si>
  <si>
    <t>9139;84726;57148;7750;9693;51105;9841;8239;155435</t>
  </si>
  <si>
    <t>CBFA2T2;PRRC2B;RALGAPB;ZMYM2;RAPGEF2;PHF20L1;ZBTB24;USP9X;RBM33</t>
  </si>
  <si>
    <t>221037;23063;23049;57679;5286;11214;7159;139285;23112</t>
  </si>
  <si>
    <t>JMJD1C;WAPL;SMG1;ALS2;PIK3C2A;AKAP13;TP53BP2;AMER1;TNRC6B</t>
  </si>
  <si>
    <t>23347;9044;8661;1106;23350;80012;10207;26146;8239</t>
  </si>
  <si>
    <t>SMCHD1;BTAF1;EIF3A;CHD2;U2SURP;PHC3;PATJ;TRAF3IP1;USP9X</t>
  </si>
  <si>
    <t>673;8899;253260;64324;23132;7514;10914;6670;57534</t>
  </si>
  <si>
    <t>BRAF;PRPF4B;RICTOR;NSD1;RAD54L2;XPO1;PAPOLA;SP3;MIB1</t>
  </si>
  <si>
    <t>9611;84162;25914;79572;23195;51105;11168;6670;144348</t>
  </si>
  <si>
    <t>NCOR1;KIAA1109;RTTN;ATP13A3;MDN1;PHF20L1;PSIP1;SP3;ZNF664</t>
  </si>
  <si>
    <t>9736;23032;23067;10299;2033;1859;25948;79723;440193</t>
  </si>
  <si>
    <t>USP34;USP33;SETD1B;MARCH6;EP300;DYRK1A;KBTBD2;SUV39H2;CCDC88C</t>
  </si>
  <si>
    <t>169841;23160;80311;23095;55291;204851;11083;83448;55636</t>
  </si>
  <si>
    <t>ZNF169;WDR43;KLHL15;KIF1B;PPP6R3;HIPK1;DIDO1;PUS7L;CHD7</t>
  </si>
  <si>
    <t>8672;546;6093;571;7174;57531;58487;22828;23112</t>
  </si>
  <si>
    <t>EIF4G3;ATRX;ROCK1;BACH1;TPP2;HACE1;CREBZF;SCAF8;TNRC6B</t>
  </si>
  <si>
    <t>5495;11052;23064;23126;23358;2117;388228;84196;51455</t>
  </si>
  <si>
    <t>PPM1B;CPSF6;SETX;POGZ;USP24;ETV3;SBK1;USP48;REV1</t>
  </si>
  <si>
    <t>GSE4535_BM_DERIVED_DC_VS_FOLLICULAR_DC_DN</t>
  </si>
  <si>
    <t>23451;23064;80312;57634;9113;2804;142891;79646;51455</t>
  </si>
  <si>
    <t>SF3B1;SETX;TET1;EP400;LATS1;GOLGB1;SAMD8;PANK3;REV1</t>
  </si>
  <si>
    <t>http://www.broadinstitute.org/gsea/msigdb/cards/GSE4535_BM_DERIVED_DC_VS_FOLLICULAR_DC_DN.html</t>
  </si>
  <si>
    <t>7175;54799;10075;23095;2117;6789;80314;55167;9874</t>
  </si>
  <si>
    <t>TPR;MBTD1;HUWE1;KIF1B;ETV3;STK4;EPC1;MSL2;TLK1</t>
  </si>
  <si>
    <t>6651;57492;57459;8880;57690;23468;6670;5586;84295</t>
  </si>
  <si>
    <t>SON;ARID1B;GATAD2B;FUBP1;TNRC6C;CBX5;SP3;PKN2;PHF6</t>
  </si>
  <si>
    <t>23244;255967;9169;571;23036;10093;10198;9874;8202</t>
  </si>
  <si>
    <t>PDS5A;PAN3;SCAF11;BACH1;ZNF292;ARPC4;MPHOSPH9;TLK1;NCOA3</t>
  </si>
  <si>
    <t>GSE5589_UNSTIM_VS_180MIN_LPS_AND_IL10_STIM_MACROPHAGE_UP</t>
  </si>
  <si>
    <t>5290;4299;23185;64426;29994;23660;2117;131544;84248</t>
  </si>
  <si>
    <t>PIK3CA;AFF1;LARP4B;SUDS3;BAZ2B;ZKSCAN5;ETV3;CRYBG3;FYTTD1</t>
  </si>
  <si>
    <t>http://www.broadinstitute.org/gsea/msigdb/cards/GSE5589_UNSTIM_VS_180MIN_LPS_AND_IL10_STIM_MACROPHAGE_UP.html</t>
  </si>
  <si>
    <t>353274;4297;255967;55193;23067;9693;9678;55596;23013</t>
  </si>
  <si>
    <t>ZNF445;KMT2A;PAN3;PBRM1;SETD1B;RAPGEF2;PHF14;ZCCHC8;SPEN</t>
  </si>
  <si>
    <t>22848;55193;26523;5286;571;9678;8087;55596;23013</t>
  </si>
  <si>
    <t>AAK1;PBRM1;AGO1;PIK3C2A;BACH1;PHF14;FXR1;ZCCHC8;SPEN</t>
  </si>
  <si>
    <t>GSE5589_WT_VS_IL10_KO_LPS_STIM_MACROPHAGE_45MIN_DN</t>
  </si>
  <si>
    <t>9320;57148;23185;85440;7690;2551;122830;92140;26054</t>
  </si>
  <si>
    <t>TRIP12;RALGAPB;LARP4B;DOCK7;ZNF131;GABPA;NAA30;MTDH;SENP6</t>
  </si>
  <si>
    <t>http://www.broadinstitute.org/gsea/msigdb/cards/GSE5589_WT_VS_IL10_KO_LPS_STIM_MACROPHAGE_45MIN_DN.html</t>
  </si>
  <si>
    <t>9475;25836;57459;81609;11244;284058;10735;27327;25831</t>
  </si>
  <si>
    <t>ROCK2;NIPBL;GATAD2B;SNX27;ZHX1;KANSL1;STAG2;TNRC6A;HECTD1</t>
  </si>
  <si>
    <t>57492;10274;5116;11214;55671;157680;84196;6942;23112</t>
  </si>
  <si>
    <t>ARID1B;STAG1;PCNT;AKAP13;PPP4R3A;VPS13B;USP48;TCF20;TNRC6B</t>
  </si>
  <si>
    <t>GSE6259_DEC205_POS_DC_VS_CD4_TCELL_DN</t>
  </si>
  <si>
    <t>5980;9631;9360;23389;11276;8621;10207;6601;23112</t>
  </si>
  <si>
    <t>REV3L;NUP155;PPIG;MED13L;SYNRG;CDK13;PATJ;SMARCC2;TNRC6B</t>
  </si>
  <si>
    <t>http://www.broadinstitute.org/gsea/msigdb/cards/GSE6259_DEC205_POS_DC_VS_CD4_TCELL_DN.html</t>
  </si>
  <si>
    <t>GSE6875_TCONV_VS_TREG_UP</t>
  </si>
  <si>
    <t>546;158427;23032;6801;283578;254065;254887;57531;79657</t>
  </si>
  <si>
    <t>ATRX;TSTD2;USP33;STRN;TMED8;BRWD3;ZDHHC23;HACE1;RPAP3</t>
  </si>
  <si>
    <t>http://www.broadinstitute.org/gsea/msigdb/cards/GSE6875_TCONV_VS_TREG_UP.html</t>
  </si>
  <si>
    <t>GSE6090_UNSTIM_VS_DC_SIGN_STIM_DC_UP</t>
  </si>
  <si>
    <t>3799;3836;5781;9790;23512;64397;23468;2551</t>
  </si>
  <si>
    <t>KIF5B;KPNA1;PTPN11;BMS1;SUZ12;ZNF106;CBX5;GABPA</t>
  </si>
  <si>
    <t>http://www.broadinstitute.org/gsea/msigdb/cards/GSE6090_UNSTIM_VS_DC_SIGN_STIM_DC_UP.html</t>
  </si>
  <si>
    <t>GSE7509_DC_VS_MONOCYTE_WITH_FCGRIIB_STIM_UP</t>
  </si>
  <si>
    <t>26043;7586;23248;10277;10128;23468;54520;6601;23112</t>
  </si>
  <si>
    <t>UBXN7;ZKSCAN1;RPRD2;UBE4B;LRPPRC;CBX5;CCDC93;SMARCC2;TNRC6B</t>
  </si>
  <si>
    <t>http://www.broadinstitute.org/gsea/msigdb/cards/GSE7509_DC_VS_MONOCYTE_WITH_FCGRIIB_STIM_UP.html</t>
  </si>
  <si>
    <t>23328;9972;84162;55183;23064;9711;3842;9693;11011</t>
  </si>
  <si>
    <t>SASH1;NUP153;KIAA1109;RIF1;SETX;RUBCN;TNPO1;RAPGEF2;TLK2</t>
  </si>
  <si>
    <t>GSE9509_LPS_VS_LPS_AND_IL10_STIM_IL10_KO_MACROPHAGE_10MIN_DN</t>
  </si>
  <si>
    <t>51248;158427;57609;10277;7528;4361;54856;283337;58487</t>
  </si>
  <si>
    <t>PDZD11;TSTD2;DIP2B;UBE4B;YY1;MRE11;GON4L;ZNF740;CREBZF</t>
  </si>
  <si>
    <t>http://www.broadinstitute.org/gsea/msigdb/cards/GSE9509_LPS_VS_LPS_AND_IL10_STIM_IL10_KO_MACROPHAGE_10MIN_DN.html</t>
  </si>
  <si>
    <t>GSE6674_ANTI_IGM_VS_ANTI_IGM_AND_CPG_STIM_BCELL_DN</t>
  </si>
  <si>
    <t>9790;166378;8518;4361;9221;79707;27042;22847;79646</t>
  </si>
  <si>
    <t>BMS1;SPATA5;ELP1;MRE11;NOLC1;NOL9;UTP25;ZNF507;PANK3</t>
  </si>
  <si>
    <t>http://www.broadinstitute.org/gsea/msigdb/cards/GSE6674_ANTI_IGM_VS_ANTI_IGM_AND_CPG_STIM_BCELL_DN.html</t>
  </si>
  <si>
    <t>23063;166378;7750;23036;2117;79612;26054;58487;10762</t>
  </si>
  <si>
    <t>WAPL;SPATA5;ZMYM2;ZNF292;ETV3;NAA16;SENP6;CREBZF;NUP50</t>
  </si>
  <si>
    <t>9869;253143;9693;9919;10299;25948;11190;80314;9967</t>
  </si>
  <si>
    <t>SETDB1;PRR14L;RAPGEF2;SEC16A;MARCH6;KBTBD2;CEP250;EPC1;THRAP3</t>
  </si>
  <si>
    <t>9631;23248;57697;29072;79691;8087;25962;23299;84248</t>
  </si>
  <si>
    <t>NUP155;RPRD2;FANCM;SETD2;QTRT2;FXR1;VIRMA;BICD2;FYTTD1</t>
  </si>
  <si>
    <t>6433;22848;11214;51742;157680;27327;80012;155435;55727</t>
  </si>
  <si>
    <t>SFSWAP;AAK1;AKAP13;ARID4B;VPS13B;TNRC6A;PHC3;RBM33;BTBD7</t>
  </si>
  <si>
    <t>7175;1656;3836;4297;317;9698;29843;55636;27161</t>
  </si>
  <si>
    <t>TPR;DDX6;KPNA1;KMT2A;APAF1;PUM1;SENP1;CHD7;AGO2</t>
  </si>
  <si>
    <t>4297;9733;90957;53944;23036;9221;27042;55671;26054</t>
  </si>
  <si>
    <t>KMT2A;SART3;DHX57;CSNK1G1;ZNF292;NOLC1;UTP25;PPP4R3A;SENP6</t>
  </si>
  <si>
    <t>GSE14908_ATOPIC_VS_NONATOPIC_PATIENT_HDM_STIM_CD4_TCELL_DN</t>
  </si>
  <si>
    <t>55206;374354;80312;55341;10914;347344;27332;55705;79723</t>
  </si>
  <si>
    <t>SBNO1;NHLRC2;TET1;LSG1;PAPOLA;ZNF81;ZNF638;IPO9;SUV39H2</t>
  </si>
  <si>
    <t>http://www.broadinstitute.org/gsea/msigdb/cards/GSE14908_ATOPIC_VS_NONATOPIC_PATIENT_HDM_STIM_CD4_TCELL_DN.html</t>
  </si>
  <si>
    <t>23077;79832;57532;10168;7109;472;463;84725;23112</t>
  </si>
  <si>
    <t>MYCBP2;QSER1;NUFIP2;ZNF197;TRAPPC10;ATM;ZFHX3;PLEKHA8;TNRC6B</t>
  </si>
  <si>
    <t>2969;84726;23248;23064;7024;3930;92797;51696;23335</t>
  </si>
  <si>
    <t>GTF2I;PRRC2B;RPRD2;SETX;TFCP2;LBR;HELB;HECA;WDR7</t>
  </si>
  <si>
    <t>7156;23352;23248;100289635;58508;57690;9919;27042;57534</t>
  </si>
  <si>
    <t>TOP3A;UBR4;RPRD2;ZNF605;KMT2C;TNRC6C;SEC16A;UTP25;MIB1</t>
  </si>
  <si>
    <t>165918;81609;29072;57609;5286;23198;55167;51696;9967</t>
  </si>
  <si>
    <t>RNF168;SNX27;SETD2;DIP2B;PIK3C2A;PSME4;MSL2;HECA;THRAP3</t>
  </si>
  <si>
    <t>GSE18281_CORTEX_VS_MEDULLA_THYMUS_UP</t>
  </si>
  <si>
    <t>10526;100381270;10274;23185;84079;3930;55671;57534;26009</t>
  </si>
  <si>
    <t>IPO8;ZBED6;STAG1;LARP4B;ANKRD27;LBR;PPP4R3A;MIB1;AC118549.1</t>
  </si>
  <si>
    <t>http://www.broadinstitute.org/gsea/msigdb/cards/GSE18281_CORTEX_VS_MEDULLA_THYMUS_UP.html</t>
  </si>
  <si>
    <t>GSE18281_SUBCAPSULAR_VS_CENTRAL_CORTICAL_REGION_OF_THYMUS_UP</t>
  </si>
  <si>
    <t>27340;6659;79832;55183;7750;9698;11011;26009;55127</t>
  </si>
  <si>
    <t>UTP20;SOX4;QSER1;RIF1;ZMYM2;PUM1;TLK2;AC118549.1;HEATR1</t>
  </si>
  <si>
    <t>http://www.broadinstitute.org/gsea/msigdb/cards/GSE18281_SUBCAPSULAR_VS_CENTRAL_CORTICAL_REGION_OF_THYMUS_UP.html</t>
  </si>
  <si>
    <t>26046;5981;6654;79677;26523;9147;51182;79723;56980</t>
  </si>
  <si>
    <t>LTN1;RFC1;SOS1;SMC6;AGO1;NEMF;HSPA14;SUV39H2;PRDM10</t>
  </si>
  <si>
    <t>GSE18893_CTRL_VS_TNF_TREATED_TCONV_2H_DN</t>
  </si>
  <si>
    <t>4976;1660;56946;57697;9870;8087;79882;56652;26973</t>
  </si>
  <si>
    <t>OPA1;DHX9;EMSY;FANCM;AREL1;FXR1;ZC3H14;TWNK;CHORDC1</t>
  </si>
  <si>
    <t>http://www.broadinstitute.org/gsea/msigdb/cards/GSE18893_CTRL_VS_TNF_TREATED_TCONV_2H_DN.html</t>
  </si>
  <si>
    <t>7182;4297;84726;10075;57492;57680;26523;7159;4216</t>
  </si>
  <si>
    <t>NR2C2;KMT2A;PRRC2B;HUWE1;ARID1B;CHD8;AGO1;TP53BP2;MAP3K4</t>
  </si>
  <si>
    <t>GSE20198_IL12_VS_IFNA_TREATED_ACT_CD4_TCELL_DN</t>
  </si>
  <si>
    <t>2475;546;22848;55183;7776;6596;11011;7994;10765</t>
  </si>
  <si>
    <t>MTOR;ATRX;AAK1;RIF1;ZNF236;HLTF;TLK2;KAT6A;KDM5B</t>
  </si>
  <si>
    <t>http://www.broadinstitute.org/gsea/msigdb/cards/GSE20198_IL12_VS_IFNA_TREATED_ACT_CD4_TCELL_DN.html</t>
  </si>
  <si>
    <t>26043;11064;79572;26523;23019;5422;2957;6670;55596</t>
  </si>
  <si>
    <t>UBXN7;CNTRL;ATP13A3;AGO1;CNOT1;POLA1;GTF2A1;SP3;ZCCHC8</t>
  </si>
  <si>
    <t>GSE21774_CD56_BRIGHT_VS_DIM_CD62L_POSITIVE_NK_CELL_UP</t>
  </si>
  <si>
    <t>9139;27107;23001;905;285527;7559;57531;84669;1788</t>
  </si>
  <si>
    <t>CBFA2T2;ZBTB11;WDFY3;CCNT2;FRYL;ZNF12;HACE1;USP32;DNMT3A</t>
  </si>
  <si>
    <t>http://www.broadinstitute.org/gsea/msigdb/cards/GSE21774_CD56_BRIGHT_VS_DIM_CD62L_POSITIVE_NK_CELL_UP.html</t>
  </si>
  <si>
    <t>4297;84181;7248;51773;51755;5286;571;285527;55291</t>
  </si>
  <si>
    <t>KMT2A;CHD6;TSC1;RSF1;CDK12;PIK3C2A;BACH1;FRYL;PPP6R3</t>
  </si>
  <si>
    <t>79832;55728;285527;2005;55320;23047;55636;26973;11176</t>
  </si>
  <si>
    <t>QSER1;N4BP2;FRYL;ELK4;MIS18BP1;PDS5B;CHD7;CHORDC1;BAZ2A</t>
  </si>
  <si>
    <t>2475;4297;55728;51479;285527;4899;79813;23047;23143</t>
  </si>
  <si>
    <t>MTOR;KMT2A;N4BP2;ANKFY1;FRYL;NRF1;EHMT1;PDS5B;LRCH1</t>
  </si>
  <si>
    <t>GSE21546_UNSTIM_VS_ANTI_CD3_STIM_DP_THYMOCYTES_DN</t>
  </si>
  <si>
    <t>9360;84986;9733;64682;9816;84131;9879;84260;9786</t>
  </si>
  <si>
    <t>PPIG;ARHGAP19;SART3;ANAPC1;URB2;CEP78;DDX46;TCHP;KIAA0586</t>
  </si>
  <si>
    <t>http://www.broadinstitute.org/gsea/msigdb/cards/GSE21546_UNSTIM_VS_ANTI_CD3_STIM_DP_THYMOCYTES_DN.html</t>
  </si>
  <si>
    <t>GSE21927_SPLEEN_VS_TUMOR_MONOCYTE_BALBC_UP</t>
  </si>
  <si>
    <t>5062;26098;26523;9841;9527;4863;84196;80012;10985</t>
  </si>
  <si>
    <t>PAK2;EDRF1;AGO1;ZBTB24;GOSR1;NPAT;USP48;PHC3;GCN1</t>
  </si>
  <si>
    <t>http://www.broadinstitute.org/gsea/msigdb/cards/GSE21927_SPLEEN_VS_TUMOR_MONOCYTE_BALBC_UP.html</t>
  </si>
  <si>
    <t>GSE21927_EL4_VS_MCA203_TUMOR_MONOCYTES_DN</t>
  </si>
  <si>
    <t>10526;257218;9712;317;8518;9527;389072;84196;80012</t>
  </si>
  <si>
    <t>IPO8;SHPRH;USP6NL;APAF1;ELP1;GOSR1;PLEKHM3;USP48;PHC3</t>
  </si>
  <si>
    <t>http://www.broadinstitute.org/gsea/msigdb/cards/GSE21927_EL4_VS_MCA203_TUMOR_MONOCYTES_DN.html</t>
  </si>
  <si>
    <t>GSE21927_SPLENIC_VS_TUMOR_MONOCYTES_FROM_C26GM_TUMOROUS_MICE_BALBC_UP</t>
  </si>
  <si>
    <t>23347;1656;166378;375248;51585;84196;6942;11176;9967</t>
  </si>
  <si>
    <t>SMCHD1;DDX6;SPATA5;ANKRD36;PCF11;USP48;TCF20;BAZ2A;THRAP3</t>
  </si>
  <si>
    <t>http://www.broadinstitute.org/gsea/msigdb/cards/GSE21927_SPLENIC_VS_TUMOR_MONOCYTES_FROM_C26GM_TUMOROUS_MICE_BALBC_UP.html</t>
  </si>
  <si>
    <t>23317;9972;23054;84162;23064;27291;8087;22984;4216</t>
  </si>
  <si>
    <t>DNAJC13;NUP153;NCOA6;KIAA1109;SETX;R3HCC1L;FXR1;PDCD11;MAP3K4</t>
  </si>
  <si>
    <t>GSE22033_WT_VS_PPARG_KO_MEF_DN</t>
  </si>
  <si>
    <t>5495;23369;84079;10914;2957;3930;57209;79048;10198</t>
  </si>
  <si>
    <t>PPM1B;PUM2;ANKRD27;PAPOLA;GTF2A1;LBR;ZNF248;SECISBP2;MPHOSPH9</t>
  </si>
  <si>
    <t>http://www.broadinstitute.org/gsea/msigdb/cards/GSE22033_WT_VS_PPARG_KO_MEF_DN.html</t>
  </si>
  <si>
    <t>26057;5451;5591;26058;10940;56252;79612;9879;55743</t>
  </si>
  <si>
    <t>ANKRD17;POU2F1;PRKDC;GIGYF2;POP1;YLPM1;NAA16;DDX46;CHFR</t>
  </si>
  <si>
    <t>http://www.broadinstitute.org/gsea/msigdb/cards/GSE20500_CTRL_VS_RETINOIC_ACID_TREATED_CD4_TCELL_UP.html</t>
  </si>
  <si>
    <t>GSE22432_MULTIPOTENT_VS_COMMON_DC_PROGENITOR_UP</t>
  </si>
  <si>
    <t>55183;387680;85476;10153;3930;388228;84248;55342;55127</t>
  </si>
  <si>
    <t>RIF1;WASHC2A;GFM1;CEBPZ;LBR;SBK1;FYTTD1;STRBP;HEATR1</t>
  </si>
  <si>
    <t>http://www.broadinstitute.org/gsea/msigdb/cards/GSE22432_MULTIPOTENT_VS_COMMON_DC_PROGENITOR_UP.html</t>
  </si>
  <si>
    <t>221037;57492;23049;57498;54454;11276;9693;9841;145508</t>
  </si>
  <si>
    <t>JMJD1C;ARID1B;SMG1;KIDINS220;ATAD2B;SYNRG;RAPGEF2;ZBTB24;CEP128</t>
  </si>
  <si>
    <t>27107;5903;3609;23244;253143;55193;51742;84132;1788</t>
  </si>
  <si>
    <t>ZBTB11;RANBP2;ILF3;PDS5A;PRR14L;PBRM1;ARID4B;USP42;DNMT3A</t>
  </si>
  <si>
    <t>GSE23505_UNTREATED_VS_4DAY_IL6_IL1_TGFB_TREATED_CD4_TCELL_DN</t>
  </si>
  <si>
    <t>10526;4976;23077;6659;9712;55870;6789;57534;84725</t>
  </si>
  <si>
    <t>IPO8;OPA1;MYCBP2;SOX4;USP6NL;ASH1L;STK4;MIB1;PLEKHA8</t>
  </si>
  <si>
    <t>http://www.broadinstitute.org/gsea/msigdb/cards/GSE23505_UNTREATED_VS_4DAY_IL6_IL1_TGFB_TREATED_CD4_TCELL_DN.html</t>
  </si>
  <si>
    <t>26043;9972;6654;255967;57532;84181;57472;54832;9969</t>
  </si>
  <si>
    <t>UBXN7;NUP153;SOS1;PAN3;NUFIP2;CHD6;CNOT6;VPS13C;MED13</t>
  </si>
  <si>
    <t>84986;28981;51773;64682;9678;1859;55342;64783;8202</t>
  </si>
  <si>
    <t>ARHGAP19;IFT81;RSF1;ANAPC1;PHF14;DYRK1A;STRBP;RBM15;NCOA3</t>
  </si>
  <si>
    <t>5130;11064;59343;7559;4361;8087;1859;4863;64864</t>
  </si>
  <si>
    <t>PCYT1A;CNTRL;SENP2;ZNF12;MRE11;FXR1;DYRK1A;NPAT;RFX7</t>
  </si>
  <si>
    <t>84986;255967;51248;254225;284058;92140;204851;283337;23112</t>
  </si>
  <si>
    <t>ARHGAP19;PAN3;PDZD11;RNF169;KANSL1;MTDH;HIPK1;ZNF740;TNRC6B</t>
  </si>
  <si>
    <t>9793;84986;11052;196528;56946;2551;7024;6601;54765</t>
  </si>
  <si>
    <t>CKAP5;ARHGAP19;CPSF6;ARID2;EMSY;GABPA;TFCP2;SMARCC2;TRIM44</t>
  </si>
  <si>
    <t>55206;4976;23132;2005;10914;253959;157680;8505;83448</t>
  </si>
  <si>
    <t>SBNO1;OPA1;RAD54L2;ELK4;PAPOLA;RALGAPA1;VPS13B;PARG;PUS7L</t>
  </si>
  <si>
    <t>GSE26488_WT_VS_HDAC7_KO_DOUBLE_POSITIVE_THYMOCYTE_UP</t>
  </si>
  <si>
    <t>57695;165918;85459;55249;9774;7750;11244;26019;51696</t>
  </si>
  <si>
    <t>USP37;RNF168;CEP295;YY1AP1;BCLAF1;ZMYM2;ZHX1;UPF2;HECA</t>
  </si>
  <si>
    <t>http://www.broadinstitute.org/gsea/msigdb/cards/GSE26488_WT_VS_HDAC7_KO_DOUBLE_POSITIVE_THYMOCYTE_UP.html</t>
  </si>
  <si>
    <t>23248;196528;85476;51773;6249;55596;10735;142891;26054</t>
  </si>
  <si>
    <t>RPRD2;ARID2;GFM1;RSF1;CLIP1;ZCCHC8;STAG2;SAMD8;SENP6</t>
  </si>
  <si>
    <t>http://www.broadinstitute.org/gsea/msigdb/cards/GSE21063_3H_VS_16H_ANTI_IGM_STIM_NFATC1_KOBCELL_DN.html</t>
  </si>
  <si>
    <t>2475;6654;55728;374354;51230;57472;23405;23299;2140</t>
  </si>
  <si>
    <t>MTOR;SOS1;N4BP2;NHLRC2;PHF20;CNOT6;DICER1;BICD2;EYA3</t>
  </si>
  <si>
    <t>200424;23077;57459;200576;7701;160760;55802;9188;27161</t>
  </si>
  <si>
    <t>TET3;MYCBP2;GATAD2B;PIKFYVE;ZNF142;PPTC7;DCP1A;DDX21;AGO2</t>
  </si>
  <si>
    <t>8672;27340;5903;23244;9841;9816;8505;23269;27161</t>
  </si>
  <si>
    <t>EIF4G3;UTP20;RANBP2;PDS5A;ZBTB24;URB2;PARG;MGA;AGO2</t>
  </si>
  <si>
    <t>5903;4299;8661;9584;9774;22992;26065;9874;55818</t>
  </si>
  <si>
    <t>RANBP2;AFF1;EIF3A;RBM39;BCLAF1;KDM2A;LSM14A;TLK1;KDM3A</t>
  </si>
  <si>
    <t>405;5981;23001;29994;867;8087;7159;9969;51592</t>
  </si>
  <si>
    <t>ARNT;RFC1;WDFY3;BAZ2B;CBL;FXR1;TP53BP2;MED13;TRIM33</t>
  </si>
  <si>
    <t>GSE28783_ANTI_MIR33_VS_CTRL_ATHEROSCLEROSIS_MACROPHAGE_DN</t>
  </si>
  <si>
    <t>9972;22976;29994;23660;8867;867;8087;22828;51592</t>
  </si>
  <si>
    <t>NUP153;PAXIP1;BAZ2B;ZKSCAN5;SYNJ1;CBL;FXR1;SCAF8;TRIM33</t>
  </si>
  <si>
    <t>http://www.broadinstitute.org/gsea/msigdb/cards/GSE28783_ANTI_MIR33_VS_CTRL_ATHEROSCLEROSIS_MACROPHAGE_DN.html</t>
  </si>
  <si>
    <t>23347;23054;8019;221037;23332;987;11083;10762;22828</t>
  </si>
  <si>
    <t>SMCHD1;NCOA6;BRD3;JMJD1C;CLASP1;LRBA;DIDO1;NUP50;SCAF8</t>
  </si>
  <si>
    <t>23253;23389;10142;23358;23036;8453;26146;54014;9969</t>
  </si>
  <si>
    <t>ANKRD12;MED13L;AKAP9;USP24;ZNF292;CUL2;TRAF3IP1;BRWD1;MED13</t>
  </si>
  <si>
    <t>GSE23321_CD8_STEM_CELL_MEMORY_VS_NAIVE_CD8_TCELL_UP</t>
  </si>
  <si>
    <t>5591;80018;57695;10897;22984;22850;84295;10985;10765</t>
  </si>
  <si>
    <t>PRKDC;NAA25;USP37;YIF1A;PDCD11;ADNP2;PHF6;GCN1;KDM5B</t>
  </si>
  <si>
    <t>http://www.broadinstitute.org/gsea/msigdb/cards/GSE23321_CD8_STEM_CELL_MEMORY_VS_NAIVE_CD8_TCELL_UP.html</t>
  </si>
  <si>
    <t>GSE32533_WT_VS_MIR17_KO_ACT_CD4_TCELL_UP</t>
  </si>
  <si>
    <t>140710;7156;55275;56946;54764;8621;10594;22847;10762</t>
  </si>
  <si>
    <t>SOGA1;TOP3A;VPS53;EMSY;ZRANB1;CDK13;PRPF8;ZNF507;NUP50</t>
  </si>
  <si>
    <t>http://www.broadinstitute.org/gsea/msigdb/cards/GSE32533_WT_VS_MIR17_KO_ACT_CD4_TCELL_UP.html</t>
  </si>
  <si>
    <t>26130;253143;85459;7174;9698;9221;27042;254065;56995</t>
  </si>
  <si>
    <t>GAPVD1;PRR14L;CEP295;TPP2;PUM1;NOLC1;UTP25;BRWD3;TULP4</t>
  </si>
  <si>
    <t>23077;23328;221037;571;4301;11214;6789;80205;283578</t>
  </si>
  <si>
    <t>MYCBP2;SASH1;JMJD1C;BACH1;AFDN;AKAP13;STK4;CHD9;TMED8</t>
  </si>
  <si>
    <t>GSE29164_DAY3_VS_DAY7_UNTREATED_MELANOMA_DN</t>
  </si>
  <si>
    <t>6711;157769;196528;23001;85440;55914;23405;55014;254887</t>
  </si>
  <si>
    <t>SPTBN1;FAM91A1;ARID2;WDFY3;DOCK7;ERBIN;DICER1;STX17;ZDHHC23</t>
  </si>
  <si>
    <t>http://www.broadinstitute.org/gsea/msigdb/cards/GSE29164_DAY3_VS_DAY7_UNTREATED_MELANOMA_DN.html</t>
  </si>
  <si>
    <t>5980;6651;54799;9321;55914;5286;2804;54014;55636</t>
  </si>
  <si>
    <t>REV3L;SON;MBTD1;TRIP11;ERBIN;PIK3C2A;GOLGB1;BRWD1;CHD7</t>
  </si>
  <si>
    <t>http://www.broadinstitute.org/gsea/msigdb/cards/GSE29164_UNTREATED_VS_CD8_TCELL_TREATED_MELANOMA_DAY3_UP.html</t>
  </si>
  <si>
    <t>GSE27859_DC_VS_CD11C_INT_F480_INT_DC_DN</t>
  </si>
  <si>
    <t>3192;23160;54497;11168;867;9221;27042;25909;55127</t>
  </si>
  <si>
    <t>HNRNPU;WDR43;HEATR5B;PSIP1;CBL;NOLC1;UTP25;AHCTF1;HEATR1</t>
  </si>
  <si>
    <t>http://www.broadinstitute.org/gsea/msigdb/cards/GSE27859_DC_VS_CD11C_INT_F480_INT_DC_DN.html</t>
  </si>
  <si>
    <t>673;2186;23248;55252;11214;140775;55102;80314;9923</t>
  </si>
  <si>
    <t>BRAF;BPTF;RPRD2;ASXL2;AKAP13;SMCR8;ATG2B;EPC1;ZBTB40</t>
  </si>
  <si>
    <t>80312;29994;8867;23181;10714;55159;389072;10735;9439</t>
  </si>
  <si>
    <t>TET1;BAZ2B;SYNJ1;DIP2A;POLD3;RFWD3;PLEKHM3;STAG2;MED23</t>
  </si>
  <si>
    <t>57695;91746;57690;22992;6670;79612;84893;55342;6942</t>
  </si>
  <si>
    <t>USP37;YTHDC1;TNRC6C;KDM2A;SP3;NAA16;FBH1;STRBP;TCF20</t>
  </si>
  <si>
    <t>GSE37301_LYMPHOID_PRIMED_MPP_VS_PRO_BCELL_DN</t>
  </si>
  <si>
    <t>23160;56946;30849;23095;11168;54856;79048;65250;9967</t>
  </si>
  <si>
    <t>WDR43;EMSY;PIK3R4;KIF1B;PSIP1;GON4L;SECISBP2;CPLANE1;THRAP3</t>
  </si>
  <si>
    <t>http://www.broadinstitute.org/gsea/msigdb/cards/GSE37301_LYMPHOID_PRIMED_MPP_VS_PRO_BCELL_DN.html</t>
  </si>
  <si>
    <t>6654;9711;51230;51585;6249;56252;2033;472;26146</t>
  </si>
  <si>
    <t>SOS1;RUBCN;PHF20;PCF11;CLIP1;YLPM1;EP300;ATM;TRAF3IP1</t>
  </si>
  <si>
    <t>GSE37301_COMMON_LYMPHOID_PROGENITOR_VS_PRO_BCELL_DN</t>
  </si>
  <si>
    <t>7468;374354;51230;57498;4361;8621;9662;55743;23200</t>
  </si>
  <si>
    <t>NSD2;NHLRC2;PHF20;KIDINS220;MRE11;CDK13;CEP135;CHFR;ATP11B</t>
  </si>
  <si>
    <t>http://www.broadinstitute.org/gsea/msigdb/cards/GSE37301_COMMON_LYMPHOID_PROGENITOR_VS_PRO_BCELL_DN.html</t>
  </si>
  <si>
    <t>5981;3836;64397;54552;9126;23468;4361;22850</t>
  </si>
  <si>
    <t>RFC1;KPNA1;ZNF106;GNL3L;SMC3;CBX5;MRE11;ADNP2</t>
  </si>
  <si>
    <t>9475;6659;10730;51755;7514;2932;92797;5814;4848</t>
  </si>
  <si>
    <t>ROCK2;SOX4;YME1L1;CDK12;XPO1;GSK3B;HELB;PURB;AC092881.1</t>
  </si>
  <si>
    <t>http://www.broadinstitute.org/gsea/msigdb/cards/GSE34006_UNTREATED_VS_A2AR_AGONIST_TREATED_TREG_UP.html</t>
  </si>
  <si>
    <t>7586;7428;387680;56957;10142;4763;6249;64783;10762</t>
  </si>
  <si>
    <t>ZKSCAN1;VHL;WASHC2A;OTUD7B;AKAP9;NF1;CLIP1;RBM15;NUP50</t>
  </si>
  <si>
    <t>29072;57690;51479;23637;1106;23269;254887;80314;4848</t>
  </si>
  <si>
    <t>SETD2;TNRC6C;ANKFY1;RABGAP1;CHD2;MGA;ZDHHC23;EPC1;AC092881.1</t>
  </si>
  <si>
    <t>23077;353274;10771;23660;1106;571;388228;10207;10765</t>
  </si>
  <si>
    <t>MYCBP2;ZNF445;ZMYND11;ZKSCAN5;CHD2;BACH1;SBK1;PATJ;KDM5B</t>
  </si>
  <si>
    <t>5286;1106;6249;11214;80205;283578;80012;51696;8202</t>
  </si>
  <si>
    <t>PIK3C2A;CHD2;CLIP1;AKAP13;CHD9;TMED8;PHC3;HECA;NCOA3</t>
  </si>
  <si>
    <t>9826;23064;79677;51479;1106;283578;10207;155435;55636</t>
  </si>
  <si>
    <t>ARHGEF11;SETX;SMC6;ANKFY1;CHD2;TMED8;PATJ;RBM33;CHD7</t>
  </si>
  <si>
    <t>2969;6659;6311;29994;26523;92312;9513;10207;1788</t>
  </si>
  <si>
    <t>GTF2I;SOX4;ATXN2;BAZ2B;AGO1;MEX3A;FXR2;PATJ;DNMT3A</t>
  </si>
  <si>
    <t>GSE40274_FOXP3_VS_FOXP3_AND_GATA1_TRANSDUCED_ACTIVATED_CD4_TCELL_UP</t>
  </si>
  <si>
    <t>5495;9631;3609;9320;79832;9774;10915;7690;84132</t>
  </si>
  <si>
    <t>PPM1B;NUP155;ILF3;TRIP12;QSER1;BCLAF1;TCERG1;ZNF131;USP42</t>
  </si>
  <si>
    <t>http://www.broadinstitute.org/gsea/msigdb/cards/GSE40274_FOXP3_VS_FOXP3_AND_GATA1_TRANSDUCED_ACTIVATED_CD4_TCELL_UP.html</t>
  </si>
  <si>
    <t>7579;79677;23358;23527;283578;204851;56987;79646;23112</t>
  </si>
  <si>
    <t>ZSCAN20;SMC6;USP24;ACAP2;TMED8;HIPK1;BBX;PANK3;TNRC6B</t>
  </si>
  <si>
    <t>9826;2475;80204;54812;10207;160760;11083;65250;10765</t>
  </si>
  <si>
    <t>ARHGEF11;MTOR;FBXO11;AFTPH;PATJ;PPTC7;DIDO1;CPLANE1;KDM5B</t>
  </si>
  <si>
    <t>http://www.broadinstitute.org/gsea/msigdb/cards/GSE36078_WT_VS_IL1R_KO_LUNG_DC_AFTER_AD5_T425A_HEXON_INF_DN.html</t>
  </si>
  <si>
    <t>GSE36078_UNTREATED_VS_AD5_INF_IL1R_KO_MOUSE_LUNG_DC_DN</t>
  </si>
  <si>
    <t>5130;9632;100381270;8812;9897;80012;192669;55636;9439</t>
  </si>
  <si>
    <t>PCYT1A;SEC24C;ZBED6;CCNK;WASHC5;PHC3;AGO3;CHD7;MED23</t>
  </si>
  <si>
    <t>http://www.broadinstitute.org/gsea/msigdb/cards/GSE36078_UNTREATED_VS_AD5_INF_IL1R_KO_MOUSE_LUNG_DC_DN.html</t>
  </si>
  <si>
    <t>GSE36078_UNTREATED_VS_AD5_INF_IL1R_KO_MOUSE_LUNG_DC_UP</t>
  </si>
  <si>
    <t>23077;9202;57459;64397;26523;9870;54832;55102;10765</t>
  </si>
  <si>
    <t>MYCBP2;ZMYM4;GATAD2B;ZNF106;AGO1;AREL1;VPS13C;ATG2B;KDM5B</t>
  </si>
  <si>
    <t>http://www.broadinstitute.org/gsea/msigdb/cards/GSE36078_UNTREATED_VS_AD5_INF_IL1R_KO_MOUSE_LUNG_DC_UP.html</t>
  </si>
  <si>
    <t>8925;55183;6873;23185;64426;54454;10915;5471;440193</t>
  </si>
  <si>
    <t>HERC1;RIF1;TAF2;LARP4B;SUDS3;ATAD2B;TCERG1;PPAT;CCDC88C</t>
  </si>
  <si>
    <t>GSE11961_FOLLICULAR_BCELL_VS_MEMORY_BCELL_DAY7_DN</t>
  </si>
  <si>
    <t>4976;673;85440;23036;10299;9678;80205;9879;26054</t>
  </si>
  <si>
    <t>OPA1;BRAF;DOCK7;ZNF292;MARCH6;PHF14;CHD9;DDX46;SENP6</t>
  </si>
  <si>
    <t>http://www.broadinstitute.org/gsea/msigdb/cards/GSE11961_FOLLICULAR_BCELL_VS_MEMORY_BCELL_DAY7_DN.html</t>
  </si>
  <si>
    <t>23077;7428;353274;23064;85459;92797;10207;64421;23013</t>
  </si>
  <si>
    <t>MYCBP2;VHL;ZNF445;SETX;CEP295;HELB;PATJ;DCLRE1C;SPEN</t>
  </si>
  <si>
    <t>23347;23077;80018;23160;51479;7514;9816;57703;9904</t>
  </si>
  <si>
    <t>SMCHD1;MYCBP2;NAA25;WDR43;ANKFY1;XPO1;URB2;CWC22;RBM19</t>
  </si>
  <si>
    <t>23077;23328;57695;81609;10940;10142;64421;64783;26973</t>
  </si>
  <si>
    <t>MYCBP2;SASH1;USP37;SNX27;POP1;AKAP9;DCLRE1C;RBM15;CHORDC1</t>
  </si>
  <si>
    <t>GSE34179_THPOK_KO_VS_WT_VA14I_NKTCELL_UP</t>
  </si>
  <si>
    <t>8888;23451;10771;64324;9774;29994;7159;23269;2074</t>
  </si>
  <si>
    <t>MCM3AP;SF3B1;ZMYND11;NSD1;BCLAF1;BAZ2B;TP53BP2;MGA;ERCC6</t>
  </si>
  <si>
    <t>http://www.broadinstitute.org/gsea/msigdb/cards/GSE34179_THPOK_KO_VS_WT_VA14I_NKTCELL_UP.html</t>
  </si>
  <si>
    <t>5495;55023;57609;23067;8867;55596;54812;26146;84132</t>
  </si>
  <si>
    <t>PPM1B;PHIP;DIP2B;SETD1B;SYNJ1;ZCCHC8;AFTPH;TRAF3IP1;USP42</t>
  </si>
  <si>
    <t>GSE28408_LY6G_POS_VS_NEG_DC_UP</t>
  </si>
  <si>
    <t>57148;9693;2876;22930;7994;54765;26054;9923;10765</t>
  </si>
  <si>
    <t>RALGAPB;RAPGEF2;GPX1;RAB3GAP1;KAT6A;TRIM44;SENP6;ZBTB40;KDM5B</t>
  </si>
  <si>
    <t>http://www.broadinstitute.org/gsea/msigdb/cards/GSE28408_LY6G_POS_VS_NEG_DC_UP.html</t>
  </si>
  <si>
    <t>GSE42021_TCONV_PLN_VS_CD24LO_TCONV_THYMUS_UP</t>
  </si>
  <si>
    <t>23317;546;54799;64426;23405;54520;10426;5814;8202</t>
  </si>
  <si>
    <t>DNAJC13;ATRX;MBTD1;SUDS3;DICER1;CCDC93;TUBGCP3;PURB;NCOA3</t>
  </si>
  <si>
    <t>http://www.broadinstitute.org/gsea/msigdb/cards/GSE42021_TCONV_PLN_VS_CD24LO_TCONV_THYMUS_UP.html</t>
  </si>
  <si>
    <t>10236;5290;3609;23054;91746;84146;79572;92140;80314</t>
  </si>
  <si>
    <t>HNRNPR;PIK3CA;ILF3;NCOA6;YTHDC1;ZNF644;ATP13A3;MTDH;EPC1</t>
  </si>
  <si>
    <t>5781;6654;9857;571;6801;2957;157922;54832;84248</t>
  </si>
  <si>
    <t>PTPN11;SOS1;CEP350;BACH1;STRN;GTF2A1;CAMSAP1;VPS13C;FYTTD1</t>
  </si>
  <si>
    <t>GSE43955_TH0_VS_TGFB_IL6_TH17_ACT_CD4_TCELL_1H_DN</t>
  </si>
  <si>
    <t>27340;5062;25914;57697;85476;10128;283337;64783;4848</t>
  </si>
  <si>
    <t>UTP20;PAK2;RTTN;FANCM;GFM1;LRPPRC;ZNF740;RBM15;AC092881.1</t>
  </si>
  <si>
    <t>http://www.broadinstitute.org/gsea/msigdb/cards/GSE43955_TH0_VS_TGFB_IL6_TH17_ACT_CD4_TCELL_1H_DN.html</t>
  </si>
  <si>
    <t>23317;1656;7705;23405;10299;10153;54887;26009;53981</t>
  </si>
  <si>
    <t>DNAJC13;DDX6;ZNF146;DICER1;MARCH6;CEBPZ;UHRF1BP1;AC118549.1;CPSF2</t>
  </si>
  <si>
    <t>23328;4297;5062;25914;85440;51479;26190;8087;57703</t>
  </si>
  <si>
    <t>SASH1;KMT2A;PAK2;RTTN;DOCK7;ANKFY1;FBXW2;FXR1;CWC22</t>
  </si>
  <si>
    <t>GSE43955_10H_VS_30H_ACT_CD4_TCELL_DN</t>
  </si>
  <si>
    <t>5451;7182;9869;3842;57609;11168;7528;54520;10594</t>
  </si>
  <si>
    <t>POU2F1;NR2C2;SETDB1;TNPO1;DIP2B;PSIP1;YY1;CCDC93;PRPF8</t>
  </si>
  <si>
    <t>http://www.broadinstitute.org/gsea/msigdb/cards/GSE43955_10H_VS_30H_ACT_CD4_TCELL_DN.html</t>
  </si>
  <si>
    <t>546;9857;8880;9169;11244;11011;204851;26065;4848</t>
  </si>
  <si>
    <t>ATRX;CEP350;FUBP1;SCAF11;ZHX1;TLK2;HIPK1;LSM14A;AC092881.1</t>
  </si>
  <si>
    <t>GSE42724_MEMORY_BCELL_VS_PLASMABLAST_DN</t>
  </si>
  <si>
    <t>8672;9584;55183;51230;9126;8518;4763;6596;9879</t>
  </si>
  <si>
    <t>EIF4G3;RBM39;RIF1;PHF20;SMC3;ELP1;NF1;HLTF;DDX46</t>
  </si>
  <si>
    <t>http://www.broadinstitute.org/gsea/msigdb/cards/GSE42724_MEMORY_BCELL_VS_PLASMABLAST_DN.html</t>
  </si>
  <si>
    <t>8085;23063;91746;571;2117;7690;5814;10198;51132</t>
  </si>
  <si>
    <t>KMT2D;WAPL;YTHDC1;BACH1;ETV3;ZNF131;PURB;MPHOSPH9;RLIM</t>
  </si>
  <si>
    <t>546;257218;55728;254225;57492;59343;22852;8295;93</t>
  </si>
  <si>
    <t>ATRX;SHPRH;N4BP2;RNF169;ARID1B;SENP2;ANKRD26;TRRAP;ACVR2B</t>
  </si>
  <si>
    <t>http://www.broadinstitute.org/gsea/msigdb/cards/GSE46606_IRF4HIGH_VS_WT_CD40L_IL2_IL5_DAY1_STIMULATED_BCELL_UP.html</t>
  </si>
  <si>
    <t>5495;5781;10915;7528;55596;204851;84295;79723;23047</t>
  </si>
  <si>
    <t>PPM1B;PTPN11;TCERG1;YY1;ZCCHC8;HIPK1;PHF6;SUV39H2;PDS5B</t>
  </si>
  <si>
    <t>23347;23451;23522;51230;51182;3930;23033;23112;8202</t>
  </si>
  <si>
    <t>SMCHD1;SF3B1;KAT6B;PHF20;HSPA14;LBR;DOP1A;TNRC6B;NCOA3</t>
  </si>
  <si>
    <t>GSE41176_WT_VS_TAK1_KO_ANTI_IGM_STIM_BCELL_24H_UP</t>
  </si>
  <si>
    <t>140710;5130;221037;9919;6801;6249;157922;9874;27161</t>
  </si>
  <si>
    <t>SOGA1;PCYT1A;JMJD1C;SEC16A;STRN;CLIP1;CAMSAP1;TLK1;AGO2</t>
  </si>
  <si>
    <t>http://www.broadinstitute.org/gsea/msigdb/cards/GSE41176_WT_VS_TAK1_KO_ANTI_IGM_STIM_BCELL_24H_UP.html</t>
  </si>
  <si>
    <t>9320;8315;23063;53944;9693;4140;7159;11011;25948</t>
  </si>
  <si>
    <t>TRIP12;BRAP;WAPL;CSNK1G1;RAPGEF2;MARK3;TP53BP2;TLK2;KBTBD2</t>
  </si>
  <si>
    <t>55814;23352;6873;23126;374354;6311;4863;54520;11176</t>
  </si>
  <si>
    <t>BDP1;UBR4;TAF2;POGZ;NHLRC2;ATXN2;NPAT;CCDC93;BAZ2A</t>
  </si>
  <si>
    <t>9733;166378;80218;9147;8453;388228;27042;11108</t>
  </si>
  <si>
    <t>SART3;SPATA5;NAA50;NEMF;CUL2;SBK1;UTP25;PRDM4</t>
  </si>
  <si>
    <t>9877;54799;2186;57551;57492;7248;440193;9967</t>
  </si>
  <si>
    <t>ZC3H11A;MBTD1;BPTF;TAOK1;ARID1B;TSC1;CCDC88C;THRAP3</t>
  </si>
  <si>
    <t>GSE10422_WT_VS_BAFF_TRANSGENIC_LN_BCELL_UP</t>
  </si>
  <si>
    <t>9681;51366;23248;80312;54764;8867;2117;92797</t>
  </si>
  <si>
    <t>DEPDC5;UBR5;RPRD2;TET1;ZRANB1;SYNJ1;ETV3;HELB</t>
  </si>
  <si>
    <t>http://www.broadinstitute.org/gsea/msigdb/cards/GSE10422_WT_VS_BAFF_TRANSGENIC_LN_BCELL_UP.html</t>
  </si>
  <si>
    <t>23077;6654;2802;1778;8925;51105;472;22849</t>
  </si>
  <si>
    <t>MYCBP2;SOS1;GOLGA3;DYNC1H1;HERC1;PHF20L1;ATM;CPEB3</t>
  </si>
  <si>
    <t>23032;23195;23095;285527;10207;9923;6942;23200</t>
  </si>
  <si>
    <t>USP33;MDN1;KIF1B;FRYL;PATJ;ZBTB40;TCF20;ATP11B</t>
  </si>
  <si>
    <t>GSE2770_IL12_VS_IL4_TREATED_ACT_CD4_TCELL_2H_UP</t>
  </si>
  <si>
    <t>405;80204;8621;157922;55320;55102;11083</t>
  </si>
  <si>
    <t>ARNT;FBXO11;CDK13;CAMSAP1;MIS18BP1;ATG2B;DIDO1</t>
  </si>
  <si>
    <t>http://www.broadinstitute.org/gsea/msigdb/cards/GSE2770_IL12_VS_IL4_TREATED_ACT_CD4_TCELL_2H_UP.html</t>
  </si>
  <si>
    <t>27340;9972;80312;57448;51105;27042;23499</t>
  </si>
  <si>
    <t>UTP20;NUP153;TET1;BIRC6;PHF20L1;UTP25;MACF1</t>
  </si>
  <si>
    <t>5451;9931;22853;57492;80312;8812;54887;9392</t>
  </si>
  <si>
    <t>POU2F1;HELZ;LMTK2;ARID1B;TET1;CCNK;UHRF1BP1;TGFBRAP1</t>
  </si>
  <si>
    <t>GSE12001_MIR223_KO_VS_WT_NEUTROPHIL_UP</t>
  </si>
  <si>
    <t>9790;6341;27042;84295;26009;64783;55127;9329</t>
  </si>
  <si>
    <t>BMS1;SCO1;UTP25;PHF6;AC118549.1;RBM15;HEATR1;GTF3C4</t>
  </si>
  <si>
    <t>http://www.broadinstitute.org/gsea/msigdb/cards/GSE12001_MIR223_KO_VS_WT_NEUTROPHIL_UP.html</t>
  </si>
  <si>
    <t>GSE37534_PIOGLITAZONE_VS_ROSIGLITAZONE_TREATED_CD4_TCELL_PPARG1_FOXP3_TRANSDUCED_UP</t>
  </si>
  <si>
    <t>10526;84986;23332;51230;64397;57472;55320;55743</t>
  </si>
  <si>
    <t>IPO8;ARHGAP19;CLASP1;PHF20;ZNF106;CNOT6;MIS18BP1;CHFR</t>
  </si>
  <si>
    <t>http://www.broadinstitute.org/gsea/msigdb/cards/GSE37534_PIOGLITAZONE_VS_ROSIGLITAZONE_TREATED_CD4_TCELL_PPARG1_FOXP3_TRANSDUCED_UP.html</t>
  </si>
  <si>
    <t>GSE40274_CTRL_VS_HELIOS_TRANSDUCED_ACTIVATED_CD4_TCELL_DN</t>
  </si>
  <si>
    <t>22976;171023;64426;79691;8518;55605;25909;26054</t>
  </si>
  <si>
    <t>PAXIP1;ASXL1;SUDS3;QTRT2;ELP1;KIF21A;AHCTF1;SENP6</t>
  </si>
  <si>
    <t>http://www.broadinstitute.org/gsea/msigdb/cards/GSE40274_CTRL_VS_HELIOS_TRANSDUCED_ACTIVATED_CD4_TCELL_DN.html</t>
  </si>
  <si>
    <t>79733;10212;10733;1111;6790;332;6839;701;3161;10535;7398;9133;24137;9232;7083;983;203068;3015;4605;7153;5111;7374;10797;1503;4001;7283;898;4172;1786;3148;993;6241;4173;4174;4176;5982;7913;672;5983;7112;4436;5902;4288;5558;4171;675;3838;5347;1434;1163;1062;5426;6749;991;4085;23649;4175;9700;9833;9837;9918;9787;9319;2146;1033;27338;55143;55635;29028;253714;146909;147841;9125;23165;10635;9212;10615;83461;11004;580;84296;64785;79075;29127;64858;57405;29089;3070;79019;81624;10051;55723;55646;29980;29893;8914;6941;23594;10460</t>
  </si>
  <si>
    <t>E2F8;DDX39A;PLK4;CHEK1;AURKA;BIRC5;SUV39H1;BUB1B;HMMR;RNASEH2A;USP1;CCNB2;KIF4A;PTTG1;TK1;CDK1;TUBB;H2AFZ;MYBL2;TOP2A;PCNA;UNG;MTHFD2;CTPS1;LMNB1;TUBG1;CCNE1;MCM3;DNMT1;HMGB2;CDC25A;RRM2;MCM4;MCM5;MCM7;RFC2;DEK;BRCA1;RFC3;TMPO;MSH2;RANBP1;MKI67;PRIM2;MCM2;BRCA2;KPNA2;PLK1;CSE1L;CKS1B;CENPE;POLE;SSRP1;CDC20;MAD2L1;POLA2;MCM6;ESPL1;MELK;GINS1;NCAPD2;DLGAP5;TRIP13;EZH2;CDKN3;UBE2S;CDCA8;DEPDC1;ATAD2;MMS22L;KIF18B;SPC24;CNOT9;NUP205;RAD51AP1;AURKB;SPAG5;CDCA3;KIF2C;BARD1;GINS4;GINS3;DSCC1;RACGAP1;DCLRE1B;SPC25;UBE2T;HELLS;CENPM;DIAPH3;SMC4;ASF1B;LYAR;DONSON;PSMC3IP;TIMELESS;TCF19;ORC6;TACC3</t>
  </si>
  <si>
    <t>10212;8317;10733;1871;11065;1111;10403;6790;332;6839;9055;699;3161;10721;8318;9133;24137;10592;9232;983;3015;4605;7153;4691;890;4001;1841;4172;5933;993;7272;4174;899;7112;4288;1058;1063;5558;4171;675;4751;3838;3832;5347;1163;1869;1062;9493;5426;10024;991;10036;4085;23649;1870;4175;9700;3837;6491;2146;1033;27338;57082;8438;9212;55872;9585;11004;580;990;10293;51203;29127;81539;3619;56992;10051;10926;26271;22974;9156;51659;23594;10460</t>
  </si>
  <si>
    <t>DDX39A;CDC7;PLK4;E2F3;UBE2C;CHEK1;NDC80;AURKA;BIRC5;SUV39H1;PRC1;BUB1;HMMR;POLQ;CDC45;CCNB2;KIF4A;SMC2;PTTG1;CDK1;H2AFZ;MYBL2;TOP2A;NCL;CCNA2;LMNB1;DTYMK;MCM3;RBL1;CDC25A;TTK;MCM5;CCNF;TMPO;MKI67;CENPA;CENPF;PRIM2;MCM2;BRCA2;NEK2;KPNA2;KIF11;PLK1;CKS1B;E2F1;CENPE;AC027237.1;POLE;TROAP;CDC20;CHAF1A;MAD2L1;POLA2;E2F2;MCM6;ESPL1;KPNB1;STIL;EZH2;CDKN3;UBE2S;KNL1;RAD54L;AURKB;PBK;KIF20B;KIF2C;BARD1;CDC6;TRAIP;NUSAP1;RACGAP1;SLC38A1;INCENP;KIF15;SMC4;DBF4;FBXO5;TPX2;EXO1;GINS2;ORC6;TACC3</t>
  </si>
  <si>
    <t>10403;3797;6790;332;9055;699;9133;24137;983;7153;4001;7272;1063;9735;675;4751;3832;5347;1062;9493;9700;9787;163786;9585;11004;51203;29127;80119;1894;3619;54443;56992;10051;26271;22974</t>
  </si>
  <si>
    <t>NDC80;KIF3C;AURKA;BIRC5;PRC1;BUB1;CCNB2;KIF4A;CDK1;TOP2A;LMNB1;TTK;CENPF;KNTC1;BRCA2;NEK2;KIF11;PLK1;CENPE;AC027237.1;ESPL1;DLGAP5;SASS6;KIF20B;KIF2C;NUSAP1;RACGAP1;PIF1;ECT2;INCENP;ANLN;KIF15;SMC4;FBXO5;TPX2</t>
  </si>
  <si>
    <t>5496;5709;8318;7398;7298;3015;5111;1503;890;6240;1017;10971;790;4173;4174;4176;5984;7913;5902;4171;3068;3838;991;4085;4175;3837;3066</t>
  </si>
  <si>
    <t>PPM1G;PSMD3;CDC45;USP1;TYMS;H2AFZ;PCNA;CTPS1;CCNA2;RRM1;CDK2;YWHAQ;CAD;MCM4;MCM5;MCM7;RFC4;DEK;RANBP1;MCM2;HDGF;KPNA2;CDC20;MAD2L1;MCM6;KPNB1;HDAC2</t>
  </si>
  <si>
    <t>http://www.broadinstitute.org/gsea/msigdb/cards/HALLMARK_MYC_TARGETS_V1.html</t>
  </si>
  <si>
    <t>HALLMARK_DNA_REPAIR</t>
  </si>
  <si>
    <t>11130;7298;5111;5984;5982;2237;5985;5983;5557;6878;5888;6749;1479;2967;23649</t>
  </si>
  <si>
    <t>ZWINT;TYMS;PCNA;RFC4;RFC2;FEN1;RFC5;RFC3;PRIM1;TAF6;RAD51;SSRP1;CSTF3;GTF2H3;POLA2</t>
  </si>
  <si>
    <t>http://www.broadinstitute.org/gsea/msigdb/cards/HALLMARK_DNA_REPAIR.html</t>
  </si>
  <si>
    <t>HALLMARK_SPERMATOGENESIS</t>
  </si>
  <si>
    <t>6790;699;9133;983;7272;5984;4751;23397;2146;1033;11073;11004;10926</t>
  </si>
  <si>
    <t>AURKA;BUB1;CCNB2;CDK1;TTK;RFC4;NEK2;NCAPH;EZH2;CDKN3;TOPBP1;KIF2C;DBF4</t>
  </si>
  <si>
    <t>http://www.broadinstitute.org/gsea/msigdb/cards/HALLMARK_SPERMATOGENESIS.html</t>
  </si>
  <si>
    <t>HALLMARK_MTORC1_SIGNALING</t>
  </si>
  <si>
    <t>10212;6790;699;7374;10797;7283;993;6241;4173;899;4171;8833;5347;23165</t>
  </si>
  <si>
    <t>DDX39A;AURKA;BUB1;UNG;MTHFD2;TUBG1;CDC25A;RRM2;MCM4;CCNF;MCM2;GMPS;PLK1;NUP205</t>
  </si>
  <si>
    <t>http://www.broadinstitute.org/gsea/msigdb/cards/HALLMARK_MTORC1_SIGNALING.html</t>
  </si>
  <si>
    <t>HALLMARK_ESTROGEN_RESPONSE_LATE</t>
  </si>
  <si>
    <t>10733;10535;10112;7153;10105;991;6491;990;51659</t>
  </si>
  <si>
    <t>PLK4;RNASEH2A;KIF20A;TOP2A;PPIF;CDC20;STIL;CDC6;GINS2</t>
  </si>
  <si>
    <t>http://www.broadinstitute.org/gsea/msigdb/cards/HALLMARK_ESTROGEN_RESPONSE_LATE.html</t>
  </si>
  <si>
    <t>HALLMARK_MYC_TARGETS_V2</t>
  </si>
  <si>
    <t>10733;7374;4173;4174;5347</t>
  </si>
  <si>
    <t>PLK4;UNG;MCM4;MCM5;PLK1</t>
  </si>
  <si>
    <t>http://www.broadinstitute.org/gsea/msigdb/cards/HALLMARK_MYC_TARGETS_V2.html</t>
  </si>
  <si>
    <t>HALLMARK_UV_RESPONSE_UP</t>
  </si>
  <si>
    <t>1515;898;1017;10105;5984;2237;6415</t>
  </si>
  <si>
    <t>CTSV;CCNE1;CDK2;PPIF;RFC4;FEN1;SELENOW</t>
  </si>
  <si>
    <t>http://www.broadinstitute.org/gsea/msigdb/cards/HALLMARK_UV_RESPONSE_UP.html</t>
  </si>
  <si>
    <t>5.91860999779063e-319</t>
  </si>
  <si>
    <t>79733;440519;10212;8317;10733;11065;23306;1111;10403;8520;6790;2189;2175;332;284403;6839;11339;7516;9055;699;701;3161;10721;8318;11169;10535;9401;7398;22995;9133;11130;10112;24137;10592;9232;86;7083;983;203068;3015;4605;7153;5111;7374;891;890;4001;7283;1841;6240;898;1017;4172;1786;3148;5725;790;5933;993;995;6241;7272;4173;4174;4176;5984;5982;7913;4521;672;2237;5985;5983;899;7112;23310;4436;5902;4288;1058;1063;5557;5558;4171;9735;1763;675;3068;4751;3838;2956;3832;5347;641;1434;5427;1163;1869;1062;9493;5888;10657;5426;2305;6749;10024;991;10036;4085;6502;4998;23649;1870;4175;9700;9833;9837;3837;23397;9768;9918;23518;9928;9787;6491;9319;2146;1033;27338;348654;54821;55165;55143;151246;157570;387103;151648;343099;55635;286826;157313;9824;84722;63979;29028;84798;374393;163786;253714;80178;55388;195828;219988;128239;54892;146909;221150;150468;162681;285753;259266;91687;78995;151188;2187;25886;147841;55355;284992;79801;80174;57082;201299;81930;55247;57650;83903;55789;26586;23234;11073;9125;23165;8438;8570;144455;146956;10635;220134;27085;113130;9212;84930;55839;80179;4796;55771;55872;375444;132320;9585;79915;10615;29128;83461;9088;11004;580;990;64151;84790;84296;64785;64105;54478;79172;79075;3833;79902;10293;84057;83990;55038;51203;2177;83540;29127;81620;81539;64946;81610;80119;64858;1894;55055;79968;63967;57405;29089;3619;54443;3070;56992;55732;79019;81624;10051;55215;55723;54069;51512;51514;29893;1789;10926;26271;22974;8914;9156;6941;51659;11198;23594;25788;10460</t>
  </si>
  <si>
    <t>E2F8;ZNF724;DDX39A;CDC7;PLK4;UBE2C;NEMP1;CHEK1;NDC80;HAT1;AURKA;FANCG;FANCA;BIRC5;WDR62;SUV39H1;OIP5;XRCC2;PRC1;BUB1;BUB1B;HMMR;POLQ;CDC45;WDHD1;RNASEH2A;RECQL4;USP1;CEP152;CCNB2;ZWINT;KIF20A;KIF4A;SMC2;PTTG1;ACTL6A;TK1;CDK1;TUBB;H2AFZ;MYBL2;TOP2A;PCNA;UNG;CCNB1;CCNA2;LMNB1;TUBG1;DTYMK;RRM1;CCNE1;CDK2;MCM3;DNMT1;HMGB2;PTBP1;CAD;RBL1;CDC25A;CDC25C;RRM2;TTK;MCM4;MCM5;MCM7;RFC4;RFC2;DEK;NUDT1;BRCA1;FEN1;RFC5;RFC3;CCNF;TMPO;NCAPD3;MSH2;RANBP1;MKI67;CENPA;CENPF;PRIM1;PRIM2;MCM2;KNTC1;DNA2;BRCA2;HDGF;NEK2;KPNA2;MSH6;KIF11;PLK1;BLM;CSE1L;POLE2;CKS1B;E2F1;CENPE;AC027237.1;RAD51;KHDRBS1;POLE;FOXM1;SSRP1;TROAP;CDC20;CHAF1A;MAD2L1;SKP2;ORC1;POLA2;E2F2;MCM6;ESPL1;MELK;GINS1;KPNB1;NCAPH;PCLAF;NCAPD2;R3HDM1;KIF14;DLGAP5;STIL;TRIP13;EZH2;CDKN3;UBE2S;GEN1;ERCC6L;CEP55;CDCA8;SGO2;ESCO2;CENPW;SGO1;CCDC18;DEPDC1;LIN9;CDCA2;ARHGAP11A;PSRC1;FIGNL1;ATAD2;C19orf48;FAM111B;SASS6;MMS22L;TEDC2;MCM10;ZNF367;PATL1;IQGAP3;NCAPG2;KIF18B;SKA3;CKAP2L;C18orf54;CEP57L1;ASPM;CENPL;C17orf53;ARL6IP6;FANCB;POC1A;SPC24;HJURP;CCDC150;SHCBP1;DBF4B;KNL1;RDM1;KIF18A;NEIL3;CIP2A;HASPIN;DEPDC1B;CKAP2;DNAJC9;TOPBP1;CNOT9;NUP205;RAD54L;KHSRP;E2F7;EME1;RAD51AP1;SKA1;MTBP;CDCA5;AURKB;MASTL;CENPN;MYO19;TONSL;PRR11;PBK;C5orf34;SCLT1;KIF20B;ATAD5;SPAG5;UHRF1;CDCA3;PKMYT1;KIF2C;BARD1;CDC6;NCAPG;TUBA1C;GINS4;GINS3;CENPK;PIMREG;CENPO;DSCC1;KIFC1;NUP85;TRAIP;MND1;BRIP1;CDCA4;NUSAP1;FANCD2;NUF2;RACGAP1;CDT1;SLC38A1;CENPH;FAM83D;PIF1;DCLRE1B;ECT2;ZWILCH;WDR76;CLSPN;SPC25;UBE2T;INCENP;ANLN;HELLS;KIF15;C1orf112;CENPM;DIAPH3;SMC4;FANCI;ASF1B;MIS18A;GTSE1;DTL;PSMC3IP;DNMT3B;DBF4;FBXO5;TPX2;TIMELESS;EXO1;TCF19;GINS2;SUPT16H;ORC6;RAD54B;TACC3</t>
  </si>
  <si>
    <t>2.8184420809479e-315</t>
  </si>
  <si>
    <t>8317;10733;11065;23306;1111;10403;8520;6790;2175;332;284403;6839;11339;7516;9055;699;701;3161;8318;11169;9401;7398;22995;9133;10112;24137;10592;9232;9134;7083;7298;983;3015;4605;7153;7374;891;4691;890;4001;6240;898;1017;4172;1786;3148;5933;995;10105;6241;7272;4173;4174;4176;5984;5982;2237;5985;5983;899;4288;1058;1063;5557;5558;4171;9735;1763;675;4751;3838;2956;3832;5347;641;5427;1163;1869;1062;9493;84823;5888;5426;2305;10024;991;8208;4085;6502;4998;23649;1870;4175;9700;9833;23076;9837;23397;9768;9918;9787;6491;9319;2146;1033;54821;55165;55143;151246;157570;387103;151648;23590;343099;55635;286826;729533;157313;113115;9824;84722;79866;63979;29028;163786;253714;79682;80178;55388;195828;90381;128239;54892;146909;221150;220042;150468;259266;91687;78995;84904;147841;55355;79801;201299;81930;57650;83903;55789;26586;23234;2491;8438;144455;146956;10635;220134;93594;113130;9212;55839;4796;55771;55872;9585;79915;10615;29128;83461;9088;11004;990;64151;64105;54478;55706;79075;79902;10293;55038;51203;2177;83540;29127;81620;64946;81610;80119;79000;1894;55055;79968;63967;57405;29089;3619;3070;55732;79019;10051;55215;55723;55010;55646;54069;51512;51514;29893;10926;26271;22974;8914;9156;6941;51659;90417;10460</t>
  </si>
  <si>
    <t>CDC7;PLK4;UBE2C;NEMP1;CHEK1;NDC80;HAT1;AURKA;FANCA;BIRC5;WDR62;SUV39H1;OIP5;XRCC2;PRC1;BUB1;BUB1B;HMMR;CDC45;WDHD1;RECQL4;USP1;CEP152;CCNB2;KIF20A;KIF4A;SMC2;PTTG1;CCNE2;TK1;TYMS;CDK1;H2AFZ;MYBL2;TOP2A;UNG;CCNB1;NCL;CCNA2;LMNB1;RRM1;CCNE1;CDK2;MCM3;DNMT1;HMGB2;RBL1;CDC25C;PPIF;RRM2;TTK;MCM4;MCM5;MCM7;RFC4;RFC2;FEN1;RFC5;RFC3;CCNF;MKI67;CENPA;CENPF;PRIM1;PRIM2;MCM2;KNTC1;DNA2;BRCA2;NEK2;KPNA2;MSH6;KIF11;PLK1;BLM;POLE2;CKS1B;E2F1;CENPE;AC027237.1;LMNB2;RAD51;POLE;FOXM1;TROAP;CDC20;CHAF1B;MAD2L1;SKP2;ORC1;POLA2;E2F2;MCM6;ESPL1;MELK;RRP1B;GINS1;NCAPH;PCLAF;NCAPD2;DLGAP5;STIL;TRIP13;EZH2;CDKN3;ERCC6L;CEP55;CDCA8;SGO2;ESCO2;CENPW;SGO1;PDSS1;CCDC18;DEPDC1;LIN9;FAM72A;CDCA2;MTFR2;ARHGAP11A;PSRC1;BORA;FIGNL1;ATAD2;SASS6;MMS22L;CENPU;TEDC2;MCM10;ZNF367;TICRR;IQGAP3;NCAPG2;KIF18B;SKA3;DDIAS;CKAP2L;ASPM;CENPL;C17orf53;ARHGEF39;SPC24;HJURP;SHCBP1;RDM1;KIF18A;CIP2A;HASPIN;DEPDC1B;CKAP2;DNAJC9;CENPI;RAD54L;E2F7;EME1;RAD51AP1;SKA1;TBC1D31;CDCA5;AURKB;CENPN;TONSL;PRR11;PBK;KIF20B;ATAD5;SPAG5;UHRF1;CDCA3;PKMYT1;KIF2C;CDC6;NCAPG;CENPK;PIMREG;NDC1;DSCC1;NUP85;TRAIP;CDCA4;NUSAP1;FANCD2;NUF2;RACGAP1;CDT1;CENPH;FAM83D;PIF1;AUNIP;ECT2;ZWILCH;WDR76;CLSPN;SPC25;UBE2T;INCENP;HELLS;C1orf112;CENPM;SMC4;FANCI;ASF1B;PARPBP;LYAR;MIS18A;GTSE1;DTL;PSMC3IP;DBF4;FBXO5;TPX2;TIMELESS;EXO1;TCF19;GINS2;KNSTRN;TACC3</t>
  </si>
  <si>
    <t>DUTERTRE_ESTRADIOL_RESPONSE_24HR_UP</t>
  </si>
  <si>
    <t>79733;10733;11065;23306;1111;6790;2189;2175;332;284403;6839;7516;9055;699;701;10721;8318;11169;10535;9401;9133;11130;24137;10592;9232;9134;7083;7298;983;4605;7153;5111;7374;890;4001;6240;1017;4172;1786;5933;10105;6241;7272;4173;4174;4176;5984;5982;672;2237;5985;5983;7112;23310;4288;5557;4171;9735;1763;675;3832;5347;641;5427;1869;9493;5888;5426;2305;10024;10036;8208;6502;23649;1870;4175;9700;9833;9837;23397;9768;9918;9787;6491;9319;55165;157570;23590;157313;113115;9824;63979;29028;374393;253714;79682;55388;195828;90381;128239;54892;221150;220042;259266;91687;147841;79801;57082;57650;55789;2491;8438;144455;113130;9212;84930;55839;80179;4796;55771;55872;79915;10615;29128;9088;11004;580;990;64151;64785;79172;79075;3833;79902;10293;83990;55038;51203;2177;29127;81620;81610;64858;55055;79968;63967;29089;3619;54443;3070;79019;55215;55723;54069;51512;51514;29893;26271;22974;8914;9156;6941;51659;90417;25788;10460</t>
  </si>
  <si>
    <t>E2F8;PLK4;UBE2C;NEMP1;CHEK1;AURKA;FANCG;FANCA;BIRC5;WDR62;SUV39H1;XRCC2;PRC1;BUB1;BUB1B;POLQ;CDC45;WDHD1;RNASEH2A;RECQL4;CCNB2;ZWINT;KIF4A;SMC2;PTTG1;CCNE2;TK1;TYMS;CDK1;MYBL2;TOP2A;PCNA;UNG;CCNA2;LMNB1;RRM1;CDK2;MCM3;DNMT1;RBL1;PPIF;RRM2;TTK;MCM4;MCM5;MCM7;RFC4;RFC2;BRCA1;FEN1;RFC5;RFC3;TMPO;NCAPD3;MKI67;PRIM1;MCM2;KNTC1;DNA2;BRCA2;KIF11;PLK1;BLM;POLE2;E2F1;AC027237.1;RAD51;POLE;FOXM1;TROAP;CHAF1A;CHAF1B;SKP2;POLA2;E2F2;MCM6;ESPL1;MELK;GINS1;NCAPH;PCLAF;NCAPD2;DLGAP5;STIL;TRIP13;CEP55;ESCO2;PDSS1;CDCA2;MTFR2;ARHGAP11A;FIGNL1;ATAD2;FAM111B;MMS22L;CENPU;MCM10;ZNF367;TICRR;IQGAP3;NCAPG2;SKA3;DDIAS;ASPM;CENPL;SPC24;SHCBP1;KNL1;CIP2A;DEPDC1B;CENPI;RAD54L;E2F7;CDCA5;AURKB;MASTL;CENPN;MYO19;TONSL;PRR11;PBK;ATAD5;SPAG5;UHRF1;PKMYT1;KIF2C;BARD1;CDC6;NCAPG;GINS3;CENPO;DSCC1;KIFC1;NUP85;TRAIP;BRIP1;CDCA4;NUSAP1;FANCD2;RACGAP1;CDT1;FAM83D;DCLRE1B;ZWILCH;WDR76;CLSPN;UBE2T;INCENP;ANLN;HELLS;CENPM;FANCI;ASF1B;MIS18A;GTSE1;DTL;PSMC3IP;FBXO5;TPX2;TIMELESS;EXO1;TCF19;GINS2;KNSTRN;RAD54B;TACC3</t>
  </si>
  <si>
    <t>http://www.broadinstitute.org/gsea/msigdb/cards/DUTERTRE_ESTRADIOL_RESPONSE_24HR_UP.html</t>
  </si>
  <si>
    <t>79733;10212;5717;8317;10733;23306;1111;10403;6790;2189;2175;332;6839;11339;9055;699;701;3161;10721;8318;11169;10535;7398;22995;9133;11130;24137;10592;9232;9134;7083;7298;983;4605;7153;5111;10797;891;1503;4001;7283;1841;6240;1017;4172;1786;3148;5725;993;995;10105;6241;7272;4173;4174;4176;5984;5982;7913;672;2237;5985;5983;899;7112;4436;5902;4288;1058;1063;5557;5558;4171;9735;1763;675;4751;3838;2956;3832;5347;641;5427;6733;1869;9493;5888;2305;6749;10024;991;1479;10036;8208;4085;6502;4998;23649;1870;4175;9700;9833;23076;9837;3837;23397;9768;9918;9928;9787;9319;1033;27338;348654;54821;55165;55143;151246;64434;55635;286826;157313;63979;29028;84798;80178;55388;195828;90381;219988;128239;54892;146909;221150;220042;150468;162681;259266;91687;151188;25886;55355;57082;81930;55247;55789;26586;23234;9125;23165;8438;144455;146956;10635;220134;113130;9212;84930;55839;80179;55771;9585;79915;29128;83461;9088;11004;580;990;64151;84296;64785;54478;55706;79172;79902;84057;83990;55038;51203;2177;83540;29127;81620;64946;81610;79000;64858;1894;55055;79968;57405;29089;54443;3070;56992;55732;79019;10051;55215;55723;55010;29980;51512;51514;29893;10926;26271;22974;8914;9156;6941;51659;90417;23594;25788;10460</t>
  </si>
  <si>
    <t>E2F8;DDX39A;PSMD11;CDC7;PLK4;NEMP1;CHEK1;NDC80;AURKA;FANCG;FANCA;BIRC5;SUV39H1;OIP5;PRC1;BUB1;BUB1B;HMMR;POLQ;CDC45;WDHD1;RNASEH2A;USP1;CEP152;CCNB2;ZWINT;KIF4A;SMC2;PTTG1;CCNE2;TK1;TYMS;CDK1;MYBL2;TOP2A;PCNA;MTHFD2;CCNB1;CTPS1;LMNB1;TUBG1;DTYMK;RRM1;CDK2;MCM3;DNMT1;HMGB2;PTBP1;CDC25A;CDC25C;PPIF;RRM2;TTK;MCM4;MCM5;MCM7;RFC4;RFC2;DEK;BRCA1;FEN1;RFC5;RFC3;CCNF;TMPO;MSH2;RANBP1;MKI67;CENPA;CENPF;PRIM1;PRIM2;MCM2;KNTC1;DNA2;BRCA2;NEK2;KPNA2;MSH6;KIF11;PLK1;BLM;POLE2;SRPK2;E2F1;AC027237.1;RAD51;FOXM1;SSRP1;TROAP;CDC20;CSTF3;CHAF1A;CHAF1B;MAD2L1;SKP2;ORC1;POLA2;E2F2;MCM6;ESPL1;MELK;RRP1B;GINS1;KPNB1;NCAPH;PCLAF;NCAPD2;KIF14;DLGAP5;TRIP13;CDKN3;UBE2S;GEN1;ERCC6L;CEP55;CDCA8;SGO2;NOM1;DEPDC1;LIN9;CDCA2;FIGNL1;ATAD2;C19orf48;TEDC2;MCM10;ZNF367;TICRR;PATL1;IQGAP3;NCAPG2;KIF18B;SKA3;DDIAS;CKAP2L;C18orf54;ASPM;CENPL;ARL6IP6;POC1A;HJURP;KNL1;KIF18A;NEIL3;DEPDC1B;CKAP2;DNAJC9;CNOT9;NUP205;RAD54L;E2F7;EME1;RAD51AP1;SKA1;CDCA5;AURKB;MASTL;CENPN;MYO19;PRR11;KIF20B;ATAD5;UHRF1;CDCA3;PKMYT1;KIF2C;BARD1;CDC6;NCAPG;GINS4;GINS3;PIMREG;NDC1;CENPO;NUP85;MND1;BRIP1;CDCA4;NUSAP1;FANCD2;NUF2;RACGAP1;CDT1;CENPH;FAM83D;AUNIP;DCLRE1B;ECT2;ZWILCH;WDR76;SPC25;UBE2T;ANLN;HELLS;KIF15;C1orf112;CENPM;SMC4;FANCI;ASF1B;PARPBP;DONSON;GTSE1;DTL;PSMC3IP;DBF4;FBXO5;TPX2;TIMELESS;EXO1;TCF19;GINS2;KNSTRN;ORC6;RAD54B;TACC3</t>
  </si>
  <si>
    <t>10212;8317;10733;1871;11065;23306;1111;10403;6790;2189;332;11339;8562;9055;699;701;3161;10721;8318;11169;10535;22995;9133;11130;10112;24137;10592;9232;9134;7083;7298;983;203068;3015;7153;5111;7374;10797;891;6929;1503;4691;890;4001;1841;6240;4172;3148;10971;790;5933;993;995;10105;6241;7272;4173;4176;5984;7913;4521;672;2237;5985;5983;899;7112;23310;4436;5902;4288;1058;1063;5557;5558;4171;8833;9735;1763;675;4751;4670;3838;2956;3832;1434;5427;1163;1869;1062;9493;84823;5888;2305;1479;10036;8208;4085;6502;6996;4175;9833;23076;9837;3837;23397;9768;23518;9928;9787;1994;2146;1033;54821;55165;151246;157570;64434;151648;23590;343099;55635;286826;157313;113115;9824;84722;63979;29028;84798;163786;79682;55656;55388;195828;90381;219988;128239;54892;7444;146909;55345;221150;162681;259266;91687;151188;55355;284992;57082;57696;81930;55247;57650;55789;26586;23234;11073;9125;23165;2491;8438;3066;8570;146956;10635;113130;84930;55839;80179;55771;55872;375444;9585;10615;29128;11004;990;64151;64785;64105;54478;55706;79172;144097;79075;79902;84057;83990;51203;83540;29127;64946;1894;55055;29089;54443;3070;56992;81624;10051;55215;55010;55646;29980;54069;51514;29893;10926;26271;22974;8914;9156;51659;90417;23594;25788</t>
  </si>
  <si>
    <t>DDX39A;CDC7;PLK4;E2F3;UBE2C;NEMP1;CHEK1;NDC80;AURKA;FANCG;BIRC5;OIP5;DENR;PRC1;BUB1;BUB1B;HMMR;POLQ;CDC45;WDHD1;RNASEH2A;CEP152;CCNB2;ZWINT;KIF20A;KIF4A;SMC2;PTTG1;CCNE2;TK1;TYMS;CDK1;TUBB;H2AFZ;TOP2A;PCNA;UNG;MTHFD2;CCNB1;TCF3;CTPS1;NCL;CCNA2;LMNB1;DTYMK;RRM1;MCM3;HMGB2;YWHAQ;CAD;RBL1;CDC25A;CDC25C;PPIF;RRM2;TTK;MCM4;MCM7;RFC4;DEK;NUDT1;BRCA1;FEN1;RFC5;RFC3;CCNF;TMPO;NCAPD3;MSH2;RANBP1;MKI67;CENPA;CENPF;PRIM1;PRIM2;MCM2;GMPS;KNTC1;DNA2;BRCA2;NEK2;HNRNPM;KPNA2;MSH6;KIF11;CSE1L;POLE2;CKS1B;E2F1;CENPE;AC027237.1;LMNB2;RAD51;FOXM1;CSTF3;CHAF1A;CHAF1B;MAD2L1;SKP2;TDG;MCM6;MELK;RRP1B;GINS1;KPNB1;NCAPH;PCLAF;R3HDM1;KIF14;DLGAP5;ELAVL1;EZH2;CDKN3;ERCC6L;CEP55;SGO2;ESCO2;NOM1;SGO1;PDSS1;CCDC18;DEPDC1;LIN9;CDCA2;MTFR2;ARHGAP11A;PSRC1;FIGNL1;ATAD2;C19orf48;SASS6;CENPU;INTS8;MCM10;ZNF367;TICRR;PATL1;IQGAP3;NCAPG2;VRK2;KIF18B;ZGRF1;SKA3;C18orf54;ASPM;CENPL;ARL6IP6;HJURP;CCDC150;KNL1;DDX55;KIF18A;NEIL3;CIP2A;DEPDC1B;CKAP2;DNAJC9;TOPBP1;CNOT9;NUP205;CENPI;RAD54L;HDAC2;KHSRP;EME1;RAD51AP1;CDCA5;MASTL;CENPN;MYO19;PRR11;PBK;C5orf34;KIF20B;SPAG5;UHRF1;KIF2C;CDC6;NCAPG;GINS3;CENPK;PIMREG;NDC1;CENPO;SPINDOC;DSCC1;NUP85;MND1;BRIP1;NUSAP1;NUF2;RACGAP1;CENPH;ECT2;ZWILCH;UBE2T;ANLN;HELLS;KIF15;DIAPH3;SMC4;FANCI;PARPBP;LYAR;DONSON;MIS18A;DTL;PSMC3IP;DBF4;FBXO5;TPX2;TIMELESS;EXO1;GINS2;KNSTRN;ORC6;RAD54B</t>
  </si>
  <si>
    <t>8317;10733;11065;23306;1111;10403;6790;2189;2175;332;7516;9055;699;701;3161;10721;8318;9401;7398;9133;10112;24137;10592;983;203068;3015;4605;7153;7374;6929;890;6240;4172;1786;5933;993;995;6241;7272;4173;4174;4176;5984;2237;899;23310;4436;5902;1058;5557;5558;675;4751;3838;2956;3832;5347;641;5427;1163;1869;1062;9493;5888;991;1479;4085;6502;4998;4175;9700;9833;3837;23397;9768;9918;9787;6491;2146;27338;348654;54821;55165;55143;151246;157570;151648;55635;729533;157313;113115;9824;79866;63979;163786;79682;80178;55388;195828;146909;221150;150468;162681;259266;91687;78995;115004;25886;147841;55355;284992;79801;57082;201299;55247;57650;83903;55789;23234;11073;9125;2491;8438;146956;10635;220134;27085;113130;9212;84930;55839;4796;55771;55872;10615;29128;83461;11004;580;990;64785;64105;54478;55706;79075;79902;10293;84057;83990;51203;83540;29127;81620;64946;80119;64858;1894;55055;79968;63967;57405;3619;54443;3070;56992;55732;79019;81624;10051;55215;55723;55010;54069;51512;51514;29893;26271;22974;27339;9156;6941;90417;23594;10460</t>
  </si>
  <si>
    <t>CDC7;PLK4;UBE2C;NEMP1;CHEK1;NDC80;AURKA;FANCG;FANCA;BIRC5;XRCC2;PRC1;BUB1;BUB1B;HMMR;POLQ;CDC45;RECQL4;USP1;CCNB2;KIF20A;KIF4A;SMC2;CDK1;TUBB;H2AFZ;MYBL2;TOP2A;UNG;TCF3;CCNA2;RRM1;MCM3;DNMT1;RBL1;CDC25A;CDC25C;RRM2;TTK;MCM4;MCM5;MCM7;RFC4;FEN1;CCNF;NCAPD3;MSH2;RANBP1;CENPA;PRIM1;PRIM2;BRCA2;NEK2;KPNA2;MSH6;KIF11;PLK1;BLM;POLE2;CKS1B;E2F1;CENPE;AC027237.1;RAD51;CDC20;CSTF3;MAD2L1;SKP2;ORC1;MCM6;ESPL1;MELK;KPNB1;NCAPH;PCLAF;NCAPD2;DLGAP5;STIL;EZH2;UBE2S;GEN1;ERCC6L;CEP55;CDCA8;SGO2;ESCO2;SGO1;DEPDC1;FAM72A;CDCA2;MTFR2;ARHGAP11A;BORA;FIGNL1;SASS6;CENPU;TEDC2;MCM10;ZNF367;KIF18B;SKA3;CKAP2L;C18orf54;ASPM;CENPL;C17orf53;CGAS;POC1A;SPC24;HJURP;CCDC150;SHCBP1;KNL1;RDM1;NEIL3;CIP2A;HASPIN;DEPDC1B;DNAJC9;TOPBP1;CNOT9;CENPI;RAD54L;EME1;RAD51AP1;SKA1;MTBP;CDCA5;AURKB;MASTL;CENPN;TONSL;PRR11;PBK;SPAG5;UHRF1;CDCA3;KIF2C;BARD1;CDC6;GINS3;CENPK;PIMREG;NDC1;DSCC1;NUP85;TRAIP;MND1;BRIP1;NUSAP1;NUF2;RACGAP1;CDT1;CENPH;PIF1;DCLRE1B;ECT2;ZWILCH;WDR76;CLSPN;SPC25;INCENP;ANLN;HELLS;KIF15;C1orf112;CENPM;DIAPH3;SMC4;FANCI;ASF1B;PARPBP;MIS18A;GTSE1;DTL;PSMC3IP;FBXO5;TPX2;PRPF19;EXO1;TCF19;KNSTRN;ORC6;TACC3</t>
  </si>
  <si>
    <t>KOBAYASHI_EGFR_SIGNALING_24HR_DN</t>
  </si>
  <si>
    <t>79733;10212;10733;11065;23306;10403;8520;6790;332;9055;699;701;3161;8318;10535;7398;11130;24137;10592;9134;7083;7298;983;203068;3015;4605;7153;5111;7374;891;1503;890;4001;7283;6240;1017;4172;3148;993;10105;6241;7272;4173;4174;4176;5984;5982;672;2237;5985;5983;899;7112;23310;4436;5902;4288;1058;5557;4171;4751;3838;2956;3832;5347;641;1434;5427;1163;10376;1869;9493;84823;5888;991;10036;4085;4998;23649;4175;9700;9833;9837;23397;9928;9787;6491;9319;2146;1033;27338;54821;55165;55143;55635;84722;29028;79682;55388;54892;146909;259266;55355;79801;23234;10635;9212;55839;55872;10615;83461;9088;11004;580;990;64151;64785;54478;79075;55038;51203;29127;81620;1894;55055;57405;3070;56992;79019;10051;55215;55723;29980;51512;51514;29893;10926;22974;8914;9156;51659;23594;25788</t>
  </si>
  <si>
    <t>E2F8;DDX39A;PLK4;UBE2C;NEMP1;NDC80;HAT1;AURKA;BIRC5;PRC1;BUB1;BUB1B;HMMR;CDC45;RNASEH2A;USP1;ZWINT;KIF4A;SMC2;CCNE2;TK1;TYMS;CDK1;TUBB;H2AFZ;MYBL2;TOP2A;PCNA;UNG;CCNB1;CTPS1;CCNA2;LMNB1;TUBG1;RRM1;CDK2;MCM3;HMGB2;CDC25A;PPIF;RRM2;TTK;MCM4;MCM5;MCM7;RFC4;RFC2;BRCA1;FEN1;RFC5;RFC3;CCNF;TMPO;NCAPD3;MSH2;RANBP1;MKI67;CENPA;PRIM1;MCM2;NEK2;KPNA2;MSH6;KIF11;PLK1;BLM;CSE1L;POLE2;CKS1B;TUBA1B;E2F1;AC027237.1;LMNB2;RAD51;CDC20;CHAF1A;MAD2L1;ORC1;POLA2;MCM6;ESPL1;MELK;GINS1;NCAPH;KIF14;DLGAP5;STIL;TRIP13;EZH2;CDKN3;UBE2S;ERCC6L;CEP55;CDCA8;DEPDC1;PSRC1;ATAD2;CENPU;MCM10;NCAPG2;KIF18B;ASPM;HJURP;SHCBP1;DNAJC9;RAD51AP1;AURKB;CENPN;PBK;SPAG5;CDCA3;PKMYT1;KIF2C;BARD1;CDC6;NCAPG;GINS3;PIMREG;DSCC1;CDCA4;NUSAP1;RACGAP1;CDT1;ECT2;ZWILCH;SPC25;HELLS;KIF15;CENPM;SMC4;FANCI;ASF1B;DONSON;GTSE1;DTL;PSMC3IP;DBF4;TPX2;TIMELESS;EXO1;GINS2;ORC6;RAD54B</t>
  </si>
  <si>
    <t>http://www.broadinstitute.org/gsea/msigdb/cards/KOBAYASHI_EGFR_SIGNALING_24HR_DN.html</t>
  </si>
  <si>
    <t>79733;8317;10733;11065;23306;1111;10403;8520;6790;5496;2175;332;284403;11339;9055;699;701;1515;3161;8318;11169;9401;9133;11130;10112;24137;10592;9232;9134;7083;7298;983;3015;4605;7153;5111;10797;891;890;4001;7283;1841;898;3148;790;5933;993;995;10105;6241;7272;4173;4174;5984;5982;9775;5983;23310;4288;1058;1063;5557;5558;9735;1763;675;4751;3838;2956;3832;1434;5427;1062;9493;2305;10024;991;4085;4998;4175;9833;9837;23397;9768;9918;23518;9928;9787;9319;2146;1033;27338;54821;55165;55143;55635;84722;29028;79682;55388;54892;7444;146909;259266;55355;79801;81930;55247;26586;23234;9125;2491;8438;3066;10635;220134;93594;9212;55839;55872;10615;83461;11004;990;64151;84296;64785;54478;83990;51203;29127;81620;81539;55055;79968;57405;3070;56992;79019;55215;55010;51512;51514;10926;26271;22974;9156;51659;10460</t>
  </si>
  <si>
    <t>E2F8;CDC7;PLK4;UBE2C;NEMP1;CHEK1;NDC80;HAT1;AURKA;PPM1G;FANCA;BIRC5;WDR62;OIP5;PRC1;BUB1;BUB1B;CTSV;HMMR;CDC45;WDHD1;RECQL4;CCNB2;ZWINT;KIF20A;KIF4A;SMC2;PTTG1;CCNE2;TK1;TYMS;CDK1;H2AFZ;MYBL2;TOP2A;PCNA;MTHFD2;CCNB1;CCNA2;LMNB1;TUBG1;DTYMK;CCNE1;HMGB2;CAD;RBL1;CDC25A;CDC25C;PPIF;RRM2;TTK;MCM4;MCM5;RFC4;RFC2;EIF4A3;RFC3;NCAPD3;MKI67;CENPA;CENPF;PRIM1;PRIM2;KNTC1;DNA2;BRCA2;NEK2;KPNA2;MSH6;KIF11;CSE1L;POLE2;CENPE;AC027237.1;FOXM1;TROAP;CDC20;MAD2L1;ORC1;MCM6;MELK;GINS1;NCAPH;PCLAF;NCAPD2;R3HDM1;KIF14;DLGAP5;TRIP13;EZH2;CDKN3;UBE2S;ERCC6L;CEP55;CDCA8;DEPDC1;PSRC1;ATAD2;CENPU;MCM10;NCAPG2;VRK2;KIF18B;ASPM;HJURP;SHCBP1;KIF18A;NEIL3;CKAP2;DNAJC9;CNOT9;CENPI;RAD54L;HDAC2;RAD51AP1;SKA1;TBC1D31;AURKB;CENPN;PBK;SPAG5;CDCA3;KIF2C;CDC6;NCAPG;GINS4;GINS3;PIMREG;BRIP1;NUSAP1;RACGAP1;CDT1;SLC38A1;ZWILCH;WDR76;SPC25;HELLS;KIF15;CENPM;FANCI;PARPBP;GTSE1;DTL;DBF4;FBXO5;TPX2;EXO1;GINS2;TACC3</t>
  </si>
  <si>
    <t>79733;10212;8317;11065;10403;6790;2189;2175;332;11339;9055;699;1515;3161;8318;11169;10535;9401;9133;11130;10112;24137;9232;9134;7298;983;7153;891;890;4001;1841;898;3148;5725;10971;790;993;995;6241;7272;4173;4176;5984;4521;672;5985;7112;23310;1058;1063;5557;4171;9735;1763;675;4751;4670;5347;641;1434;1163;1062;9493;5888;2305;6749;10024;991;1479;10036;1870;23076;23397;9768;9918;9928;9787;6491;2146;1033;27338;348654;54821;55165;55143;157570;387103;55635;286826;113115;84722;79866;29028;163786;253714;79682;80178;55388;90381;128239;146909;55345;221150;220042;150468;259266;91687;78995;84904;151188;25886;147841;55355;79801;57082;201299;55247;83903;55789;11073;9125;2491;8438;3066;10635;93594;27085;113130;9212;55839;80179;4796;55771;55872;375444;9585;10615;29128;83461;11004;84296;54478;55706;79075;3833;10293;84057;2177;83540;29127;81620;64946;81610;1894;55055;79968;63967;57405;29089;56992;55732;79019;10051;55215;55010;54069;51512;51514;22974;8914;9156;6941;51659;65003;9633;25788;10460</t>
  </si>
  <si>
    <t>E2F8;DDX39A;CDC7;UBE2C;NDC80;AURKA;FANCG;FANCA;BIRC5;OIP5;PRC1;BUB1;CTSV;HMMR;CDC45;WDHD1;RNASEH2A;RECQL4;CCNB2;ZWINT;KIF20A;KIF4A;PTTG1;CCNE2;TYMS;CDK1;TOP2A;CCNB1;CCNA2;LMNB1;DTYMK;CCNE1;HMGB2;PTBP1;YWHAQ;CAD;CDC25A;CDC25C;RRM2;TTK;MCM4;MCM7;RFC4;NUDT1;BRCA1;RFC5;TMPO;NCAPD3;CENPA;CENPF;PRIM1;MCM2;KNTC1;DNA2;BRCA2;NEK2;HNRNPM;PLK1;BLM;CSE1L;CKS1B;CENPE;AC027237.1;RAD51;FOXM1;SSRP1;TROAP;CDC20;CSTF3;CHAF1A;E2F2;RRP1B;NCAPH;PCLAF;NCAPD2;KIF14;DLGAP5;STIL;EZH2;CDKN3;UBE2S;GEN1;ERCC6L;CEP55;CDCA8;ESCO2;CENPW;DEPDC1;LIN9;MTFR2;PSRC1;BORA;ATAD2;SASS6;MMS22L;CENPU;TEDC2;MCM10;TICRR;IQGAP3;KIF18B;ZGRF1;SKA3;DDIAS;CKAP2L;ASPM;CENPL;C17orf53;ARHGEF39;ARL6IP6;POC1A;SPC24;HJURP;SHCBP1;KNL1;RDM1;NEIL3;HASPIN;DEPDC1B;TOPBP1;CNOT9;CENPI;RAD54L;HDAC2;RAD51AP1;TBC1D31;MTBP;CDCA5;AURKB;CENPN;MYO19;TONSL;PRR11;PBK;C5orf34;KIF20B;SPAG5;UHRF1;CDCA3;KIF2C;GINS4;PIMREG;NDC1;DSCC1;KIFC1;TRAIP;MND1;FANCD2;NUF2;RACGAP1;CDT1;CENPH;FAM83D;ECT2;ZWILCH;WDR76;CLSPN;SPC25;UBE2T;KIF15;C1orf112;CENPM;SMC4;FANCI;PARPBP;MIS18A;GTSE1;DTL;TPX2;TIMELESS;EXO1;TCF19;GINS2;MRPL11;TESMIN;RAD54B;TACC3</t>
  </si>
  <si>
    <t>FLORIO_NEOCORTEX_BASAL_RADIAL_GLIA_DN</t>
  </si>
  <si>
    <t>79733;10733;11065;23306;10403;6790;332;7516;9055;699;701;3161;10721;8318;22995;9133;11130;10112;24137;9232;7083;983;4605;7153;891;4001;3148;6241;7272;672;4288;1058;1063;9735;675;4751;3838;3832;5347;641;1163;1062;9493;2305;10024;991;4085;9700;9833;9837;23397;9918;9928;9787;1033;55143;151246;157570;151648;55635;157313;728833;9824;84722;79682;128239;653820;54892;146909;221150;150468;259266;91687;25886;55355;79801;81930;57650;55789;26586;10635;220134;113130;9212;55771;55872;10615;83461;11004;64105;54478;3833;10293;84057;83990;51203;2177;83540;29127;57405;29089;54443;56992;79019;10051;55215;55010;51512;51514;26271;22974;8914;9156;90417;10460</t>
  </si>
  <si>
    <t>E2F8;PLK4;UBE2C;NEMP1;NDC80;AURKA;BIRC5;XRCC2;PRC1;BUB1;BUB1B;HMMR;POLQ;CDC45;CEP152;CCNB2;ZWINT;KIF20A;KIF4A;PTTG1;TK1;CDK1;MYBL2;TOP2A;CCNB1;LMNB1;HMGB2;RRM2;TTK;BRCA1;MKI67;CENPA;CENPF;KNTC1;BRCA2;NEK2;KPNA2;KIF11;PLK1;BLM;CKS1B;CENPE;AC027237.1;FOXM1;TROAP;CDC20;MAD2L1;ESPL1;MELK;GINS1;NCAPH;NCAPD2;KIF14;DLGAP5;CDKN3;CDCA8;SGO2;ESCO2;SGO1;DEPDC1;CDCA2;FAM72D;ARHGAP11A;PSRC1;CENPU;IQGAP3;FAM72B;NCAPG2;KIF18B;SKA3;CKAP2L;ASPM;CENPL;POC1A;HJURP;SHCBP1;KIF18A;CIP2A;DEPDC1B;CKAP2;RAD51AP1;SKA1;CDCA5;AURKB;PRR11;PBK;SPAG5;CDCA3;KIF2C;CENPK;PIMREG;KIFC1;TRAIP;MND1;BRIP1;NUSAP1;FANCD2;NUF2;RACGAP1;SPC25;UBE2T;ANLN;KIF15;CENPM;SMC4;FANCI;PARPBP;GTSE1;DTL;FBXO5;TPX2;TIMELESS;EXO1;KNSTRN;TACC3</t>
  </si>
  <si>
    <t>http://www.broadinstitute.org/gsea/msigdb/cards/FLORIO_NEOCORTEX_BASAL_RADIAL_GLIA_DN.html</t>
  </si>
  <si>
    <t>ROSTY_CERVICAL_CANCER_PROLIFERATION_CLUSTER</t>
  </si>
  <si>
    <t>79733;11065;1111;10403;6790;332;11339;9055;699;701;3161;10721;9133;11130;10112;24137;10592;9232;9134;7083;7298;983;3015;4605;7153;5111;891;890;4001;1841;3148;6241;7272;4173;672;2237;899;7112;4288;1058;1063;4171;1763;4751;3838;3832;5347;1869;1062;9493;2305;991;8208;4085;23649;9700;9833;9837;23397;9768;9928;9787;6491;9319;2146;27338;54821;55165;55143;29028;79682;55388;146909;259266;55355;79801;10635;9212;55872;9585;10615;83461;11004;990;64151;84296;3833;51203;29127;81539;1894;3070;56992;79019;10051;55215;55723;51512;51514;1789;10926;26271;22974;10460</t>
  </si>
  <si>
    <t>E2F8;UBE2C;CHEK1;NDC80;AURKA;BIRC5;OIP5;PRC1;BUB1;BUB1B;HMMR;POLQ;CCNB2;ZWINT;KIF20A;KIF4A;SMC2;PTTG1;CCNE2;TK1;TYMS;CDK1;H2AFZ;MYBL2;TOP2A;PCNA;CCNB1;CCNA2;LMNB1;DTYMK;HMGB2;RRM2;TTK;MCM4;BRCA1;FEN1;CCNF;TMPO;MKI67;CENPA;CENPF;MCM2;DNA2;NEK2;KPNA2;KIF11;PLK1;E2F1;CENPE;AC027237.1;FOXM1;CDC20;CHAF1B;MAD2L1;POLA2;ESPL1;MELK;GINS1;NCAPH;PCLAF;KIF14;DLGAP5;STIL;TRIP13;EZH2;UBE2S;ERCC6L;CEP55;CDCA8;ATAD2;CENPU;MCM10;KIF18B;ASPM;HJURP;SHCBP1;RAD51AP1;AURKB;PBK;KIF20B;SPAG5;CDCA3;KIF2C;CDC6;NCAPG;GINS4;KIFC1;NUSAP1;RACGAP1;SLC38A1;ECT2;HELLS;KIF15;CENPM;SMC4;FANCI;ASF1B;GTSE1;DTL;DNMT3B;DBF4;FBXO5;TPX2;TACC3</t>
  </si>
  <si>
    <t>http://www.broadinstitute.org/gsea/msigdb/cards/ROSTY_CERVICAL_CANCER_PROLIFERATION_CLUSTER.html</t>
  </si>
  <si>
    <t>SOTIRIOU_BREAST_CANCER_GRADE_1_VS_3_UP</t>
  </si>
  <si>
    <t>79733;10212;11065;1111;10403;6790;332;11339;9055;699;701;3161;10721;8318;10535;9133;11130;10112;24137;9232;9134;983;3015;4605;7153;891;890;4001;1017;4172;993;6241;7272;4173;5984;4521;2237;7112;4288;1058;1063;4171;8833;4751;3838;3832;5347;641;10376;1869;1062;5888;2305;10024;991;4085;4175;9700;9833;9837;23397;9928;9787;6491;9319;2146;1033;27338;55165;55143;23590;79682;55388;54892;146909;259266;55355;23234;2491;9212;55839;10615;83461;9088;11004;64151;84790;54478;79075;3833;51203;29127;1894;56992;55010;29980;54069;51512;26271;22974;8914;9156;25788;10460</t>
  </si>
  <si>
    <t>E2F8;DDX39A;UBE2C;CHEK1;NDC80;AURKA;BIRC5;OIP5;PRC1;BUB1;BUB1B;HMMR;POLQ;CDC45;RNASEH2A;CCNB2;ZWINT;KIF20A;KIF4A;PTTG1;CCNE2;CDK1;H2AFZ;MYBL2;TOP2A;CCNB1;CCNA2;LMNB1;CDK2;MCM3;CDC25A;RRM2;TTK;MCM4;RFC4;NUDT1;FEN1;TMPO;MKI67;CENPA;CENPF;MCM2;GMPS;NEK2;KPNA2;KIF11;PLK1;BLM;TUBA1B;E2F1;CENPE;RAD51;FOXM1;TROAP;CDC20;MAD2L1;MCM6;ESPL1;MELK;GINS1;NCAPH;KIF14;DLGAP5;STIL;TRIP13;EZH2;CDKN3;UBE2S;CEP55;CDCA8;PDSS1;CENPU;MCM10;NCAPG2;KIF18B;ASPM;HJURP;DNAJC9;CENPI;AURKB;CENPN;SPAG5;CDCA3;PKMYT1;KIF2C;NCAPG;TUBA1C;PIMREG;DSCC1;KIFC1;NUSAP1;RACGAP1;ECT2;KIF15;PARPBP;DONSON;MIS18A;GTSE1;FBXO5;TPX2;TIMELESS;EXO1;RAD54B;TACC3</t>
  </si>
  <si>
    <t>http://www.broadinstitute.org/gsea/msigdb/cards/SOTIRIOU_BREAST_CANCER_GRADE_1_VS_3_UP.html</t>
  </si>
  <si>
    <t>79733;5717;8317;11065;10403;6790;2189;2175;332;284403;9055;699;701;3161;10721;8318;6581;9401;7398;9133;11130;9232;9134;7298;7153;5111;7374;891;890;4001;6240;898;3148;993;995;6241;7272;4173;4174;5984;5982;672;2237;899;7112;23310;4436;4288;1058;1063;5557;5558;4171;1763;4751;3838;3832;5347;1163;1869;1062;9493;5888;2305;10024;991;10036;8208;4085;4998;4175;9700;9833;3837;23397;9768;9918;9928;9787;6491;9319;1033;27338;55165;55143;9824;79866;29028;79682;91687;84904;25886;55355;79801;55247;57650;55789;26586;11073;8438;10635;9212;84930;55771;55872;9585;10615;29128;83461;9088;11004;580;990;64785;54478;79075;3833;10293;84057;51203;2177;83540;81610;80119;1894;63967;29089;54443;3070;79019;10051;55215;55723;55646;29980;51512;51514;22974;9156;51659;90417;10460</t>
  </si>
  <si>
    <t>E2F8;PSMD11;CDC7;UBE2C;NDC80;AURKA;FANCG;FANCA;BIRC5;WDR62;PRC1;BUB1;BUB1B;HMMR;POLQ;CDC45;SLC22A3;RECQL4;USP1;CCNB2;ZWINT;PTTG1;CCNE2;TYMS;TOP2A;PCNA;UNG;CCNB1;CCNA2;LMNB1;RRM1;CCNE1;HMGB2;CDC25A;CDC25C;RRM2;TTK;MCM4;MCM5;RFC4;RFC2;BRCA1;FEN1;CCNF;TMPO;NCAPD3;MSH2;MKI67;CENPA;CENPF;PRIM1;PRIM2;MCM2;DNA2;NEK2;KPNA2;KIF11;PLK1;CKS1B;E2F1;CENPE;AC027237.1;RAD51;FOXM1;TROAP;CDC20;CHAF1A;CHAF1B;MAD2L1;ORC1;MCM6;ESPL1;MELK;KPNB1;NCAPH;PCLAF;NCAPD2;KIF14;DLGAP5;STIL;TRIP13;CDKN3;UBE2S;CEP55;CDCA8;ARHGAP11A;BORA;ATAD2;CENPU;CENPL;ARHGEF39;POC1A;HJURP;SHCBP1;NEIL3;CIP2A;DEPDC1B;CKAP2;TOPBP1;RAD54L;RAD51AP1;AURKB;MASTL;PRR11;PBK;KIF20B;SPAG5;UHRF1;CDCA3;PKMYT1;KIF2C;BARD1;CDC6;GINS3;PIMREG;DSCC1;KIFC1;TRAIP;MND1;NUSAP1;FANCD2;NUF2;FAM83D;PIF1;ECT2;CLSPN;UBE2T;ANLN;HELLS;CENPM;SMC4;FANCI;ASF1B;LYAR;DONSON;GTSE1;DTL;TPX2;EXO1;GINS2;KNSTRN;TACC3</t>
  </si>
  <si>
    <t>79733;10733;1111;8520;2175;332;699;701;3161;8318;11169;7398;9133;10592;7083;7298;4605;7153;7374;890;4001;6240;898;4172;1786;3148;5933;993;6241;7272;4173;4174;4176;5984;7913;672;2237;5985;5983;7112;4288;1063;5557;5558;4171;1763;2956;3832;5347;641;5427;84823;5888;5426;8208;6502;4998;23649;4175;9833;9837;9918;9319;2146;54821;55165;151648;113115;63979;163786;253714;55388;54892;55355;79801;57650;83903;11073;8438;146956;10635;220134;113130;9212;84930;55839;55872;10615;29128;11004;990;64151;64105;54478;55706;79902;83540;29127;81620;64946;1894;55055;3619;54443;79019;10051;55215;55723;55646;51514;10926;8914;9156;6941;10460</t>
  </si>
  <si>
    <t>E2F8;PLK4;CHEK1;HAT1;FANCA;BIRC5;BUB1;BUB1B;HMMR;CDC45;WDHD1;USP1;CCNB2;SMC2;TK1;TYMS;MYBL2;TOP2A;UNG;CCNA2;LMNB1;RRM1;CCNE1;MCM3;DNMT1;HMGB2;RBL1;CDC25A;RRM2;TTK;MCM4;MCM5;MCM7;RFC4;DEK;BRCA1;FEN1;RFC5;RFC3;TMPO;MKI67;CENPF;PRIM1;PRIM2;MCM2;DNA2;MSH6;KIF11;PLK1;BLM;POLE2;LMNB2;RAD51;POLE;CHAF1B;SKP2;ORC1;POLA2;MCM6;MELK;GINS1;NCAPD2;TRIP13;EZH2;ERCC6L;CEP55;SGO1;MTFR2;FIGNL1;SASS6;MMS22L;MCM10;NCAPG2;HJURP;SHCBP1;CIP2A;HASPIN;TOPBP1;RAD54L;EME1;RAD51AP1;SKA1;CDCA5;AURKB;MASTL;CENPN;PBK;SPAG5;UHRF1;KIF2C;CDC6;NCAPG;CENPK;PIMREG;NDC1;NUP85;NUF2;RACGAP1;CDT1;CENPH;ECT2;ZWILCH;INCENP;ANLN;CENPM;SMC4;FANCI;ASF1B;LYAR;DTL;DBF4;TIMELESS;EXO1;TCF19;TACC3</t>
  </si>
  <si>
    <t>10212;8317;10733;11065;23306;1111;10403;8520;6790;5709;11339;699;701;3161;8318;11169;10535;9401;7398;9133;11130;10592;9232;86;9134;7298;983;3015;4605;7153;5111;7374;10797;891;6929;1503;4691;890;4001;1841;6240;4172;1786;3148;790;6241;7272;4173;4174;4176;5984;7913;4521;672;9775;2237;5985;5983;899;7112;4436;5902;4288;1058;1063;4171;8833;9735;1763;675;3068;4670;3838;2956;3832;5347;641;1434;5427;1163;10376;1062;84823;10657;5426;2305;6749;10024;991;10036;8683;4085;6502;6996;4175;9700;9833;23076;9837;9768;9918;9928;9787;6491;9319;2146;27338;9824;23234;11073;9125;23165;2491;8438;3066;8570;10635;93594;9212;9585;10615;11004;580;990;3833;81620;57405;11321;10051;55215;51512;29893;10926;22974;27339;8914;9156</t>
  </si>
  <si>
    <t>DDX39A;CDC7;PLK4;UBE2C;NEMP1;CHEK1;NDC80;HAT1;AURKA;PSMD3;OIP5;BUB1;BUB1B;HMMR;CDC45;WDHD1;RNASEH2A;RECQL4;USP1;CCNB2;ZWINT;SMC2;PTTG1;ACTL6A;CCNE2;TYMS;CDK1;H2AFZ;MYBL2;TOP2A;PCNA;UNG;MTHFD2;CCNB1;TCF3;CTPS1;NCL;CCNA2;LMNB1;DTYMK;RRM1;MCM3;DNMT1;HMGB2;CAD;RRM2;TTK;MCM4;MCM5;MCM7;RFC4;DEK;NUDT1;BRCA1;EIF4A3;FEN1;RFC5;RFC3;CCNF;TMPO;MSH2;RANBP1;MKI67;CENPA;CENPF;MCM2;GMPS;KNTC1;DNA2;BRCA2;HDGF;HNRNPM;KPNA2;MSH6;KIF11;PLK1;BLM;CSE1L;POLE2;CKS1B;TUBA1B;CENPE;LMNB2;KHDRBS1;POLE;FOXM1;SSRP1;TROAP;CDC20;CHAF1A;SRSF9;MAD2L1;SKP2;TDG;MCM6;ESPL1;MELK;RRP1B;GINS1;PCLAF;NCAPD2;KIF14;DLGAP5;STIL;TRIP13;EZH2;UBE2S;ARHGAP11A;DNAJC9;TOPBP1;CNOT9;NUP205;CENPI;RAD54L;HDAC2;KHSRP;RAD51AP1;TBC1D31;AURKB;KIF20B;SPAG5;KIF2C;BARD1;CDC6;KIFC1;CDT1;SPC25;GPN1;SMC4;FANCI;GTSE1;PSMC3IP;DBF4;TPX2;PRPF19;TIMELESS;EXO1</t>
  </si>
  <si>
    <t>CHANG_CYCLING_GENES</t>
  </si>
  <si>
    <t>11065;6790;2189;332;699;701;3161;9401;7398;9133;9232;983;203068;7153;5111;890;4001;6240;993;995;6241;4173;4174;5984;5982;2237;899;1058;1063;5557;5558;5347;1869;9493;2305;4085;4175;9833;23397;9768;9918;9787;9319;2146;1033;27338;55143;157570;55635;84722;29028;374393;79682;653820;221150;220042;150468;25886;55355;55789;26586;10635;113130;55771;55872;9585;10615;29128;580;990;64785;54478;3833;84057;51203;83540;81610;79968;29089;54443;3070;79019;81624;10051;55723;55646;29980;51512;22974;9156;51659;10460</t>
  </si>
  <si>
    <t>UBE2C;AURKA;FANCG;BIRC5;BUB1;BUB1B;HMMR;RECQL4;USP1;CCNB2;PTTG1;CDK1;TUBB;TOP2A;PCNA;CCNA2;LMNB1;RRM1;CDC25A;CDC25C;RRM2;MCM4;MCM5;RFC4;RFC2;FEN1;CCNF;CENPA;CENPF;PRIM1;PRIM2;PLK1;E2F1;AC027237.1;FOXM1;MAD2L1;MCM6;MELK;NCAPH;PCLAF;NCAPD2;DLGAP5;TRIP13;EZH2;CDKN3;UBE2S;CDCA8;ESCO2;DEPDC1;PSRC1;ATAD2;FAM111B;CENPU;FAM72B;SKA3;DDIAS;CKAP2L;POC1A;HJURP;DEPDC1B;CKAP2;RAD51AP1;CDCA5;PRR11;PBK;KIF20B;SPAG5;UHRF1;BARD1;CDC6;GINS3;PIMREG;KIFC1;MND1;NUSAP1;NUF2;FAM83D;WDR76;UBE2T;ANLN;HELLS;CENPM;DIAPH3;SMC4;ASF1B;LYAR;DONSON;GTSE1;TPX2;EXO1;GINS2;TACC3</t>
  </si>
  <si>
    <t>http://www.broadinstitute.org/gsea/msigdb/cards/CHANG_CYCLING_GENES.html</t>
  </si>
  <si>
    <t>BLUM_RESPONSE_TO_SALIRASIB_DN</t>
  </si>
  <si>
    <t>10212;8317;10733;11065;1111;10403;6790;2175;6839;9055;699;701;3161;8318;10535;9401;7398;9133;11130;10112;24137;10592;9232;9134;7083;7298;983;203068;3015;4605;7153;5111;890;7283;1841;6240;1017;4172;1786;10971;993;995;6241;7272;4174;5984;5982;7913;672;2237;5985;5983;899;7112;4436;5902;4288;1058;1063;5557;4171;4751;4670;3838;2956;3832;5347;1434;5427;1869;9493;5888;5426;10024;991;10036;8208;4085;6502;4998;23649;4175;9700;3837;6491;9319;2146;1033;11073;10635;9212;55872;9585;10615;11004;580;990;64151;51203;3619;56992;10051;29893;26271;22974;8914;9156;51659;23594;10460</t>
  </si>
  <si>
    <t>DDX39A;CDC7;PLK4;UBE2C;CHEK1;NDC80;AURKA;FANCA;SUV39H1;PRC1;BUB1;BUB1B;HMMR;CDC45;RNASEH2A;RECQL4;USP1;CCNB2;ZWINT;KIF20A;KIF4A;SMC2;PTTG1;CCNE2;TK1;TYMS;CDK1;TUBB;H2AFZ;MYBL2;TOP2A;PCNA;CCNA2;TUBG1;DTYMK;RRM1;CDK2;MCM3;DNMT1;YWHAQ;CDC25A;CDC25C;RRM2;TTK;MCM5;RFC4;RFC2;DEK;BRCA1;FEN1;RFC5;RFC3;CCNF;TMPO;MSH2;RANBP1;MKI67;CENPA;CENPF;PRIM1;MCM2;NEK2;HNRNPM;KPNA2;MSH6;KIF11;PLK1;CSE1L;POLE2;E2F1;AC027237.1;RAD51;POLE;TROAP;CDC20;CHAF1A;CHAF1B;MAD2L1;SKP2;ORC1;POLA2;MCM6;ESPL1;KPNB1;STIL;TRIP13;EZH2;CDKN3;TOPBP1;RAD51AP1;AURKB;PBK;KIF20B;SPAG5;KIF2C;BARD1;CDC6;NCAPG;NUSAP1;INCENP;KIF15;SMC4;PSMC3IP;FBXO5;TPX2;TIMELESS;EXO1;GINS2;ORC6;TACC3</t>
  </si>
  <si>
    <t>http://www.broadinstitute.org/gsea/msigdb/cards/BLUM_RESPONSE_TO_SALIRASIB_DN.html</t>
  </si>
  <si>
    <t>10212;8317;10733;1871;11065;23306;1111;10403;8520;6790;5496;5709;11339;7516;699;701;3161;8318;11169;10535;9401;7398;9133;11130;10592;9232;86;9134;7083;7298;983;3015;4605;7153;5111;7374;10797;891;6929;1503;4691;890;4001;1841;6240;898;1017;4172;1786;3148;5725;790;5933;993;995;6241;7272;4173;4174;4176;5984;5982;7913;4521;672;9775;2237;5985;5983;899;7112;4436;5902;4288;1058;1063;5557;4171;6878;8833;9735;1763;675;3068;4751;4670;3838;2956;3832;5347;641;1434;5427;1163;10376;1869;1062;9493;84823;5888;10657;5426;2305;6749;10024;991;1479;10036;8208;8683;4085;6502;4998;6996;2967;23649;4175;9700;9833;23076;9837;3837;23397;9768;9918;23518;9928;9787;6469;6491;9319;1994;2146;1033;27338;9824;23234;11073;9125;23165;2491;8438;3066;8570;10635;93594;9212;9585;10615;9088;11004;580;990;3833;81620;57405;11321;10051;55215;51512;29893;10926;22974;27339;8914;9156</t>
  </si>
  <si>
    <t>DDX39A;CDC7;PLK4;E2F3;UBE2C;NEMP1;CHEK1;NDC80;HAT1;AURKA;PPM1G;PSMD3;OIP5;XRCC2;BUB1;BUB1B;HMMR;CDC45;WDHD1;RNASEH2A;RECQL4;USP1;CCNB2;ZWINT;SMC2;PTTG1;ACTL6A;CCNE2;TK1;TYMS;CDK1;H2AFZ;MYBL2;TOP2A;PCNA;UNG;MTHFD2;CCNB1;TCF3;CTPS1;NCL;CCNA2;LMNB1;DTYMK;RRM1;CCNE1;CDK2;MCM3;DNMT1;HMGB2;PTBP1;CAD;RBL1;CDC25A;CDC25C;RRM2;TTK;MCM4;MCM5;MCM7;RFC4;RFC2;DEK;NUDT1;BRCA1;EIF4A3;FEN1;RFC5;RFC3;CCNF;TMPO;MSH2;RANBP1;MKI67;CENPA;CENPF;PRIM1;MCM2;TAF6;GMPS;KNTC1;DNA2;BRCA2;HDGF;NEK2;HNRNPM;KPNA2;MSH6;KIF11;PLK1;BLM;CSE1L;POLE2;CKS1B;TUBA1B;E2F1;CENPE;AC027237.1;LMNB2;RAD51;KHDRBS1;POLE;FOXM1;SSRP1;TROAP;CDC20;CSTF3;CHAF1A;CHAF1B;SRSF9;MAD2L1;SKP2;ORC1;TDG;GTF2H3;POLA2;MCM6;ESPL1;MELK;RRP1B;GINS1;KPNB1;NCAPH;PCLAF;NCAPD2;R3HDM1;KIF14;DLGAP5;SHH;STIL;TRIP13;ELAVL1;EZH2;CDKN3;UBE2S;ARHGAP11A;DNAJC9;TOPBP1;CNOT9;NUP205;CENPI;RAD54L;HDAC2;KHSRP;RAD51AP1;TBC1D31;AURKB;KIF20B;SPAG5;PKMYT1;KIF2C;BARD1;CDC6;KIFC1;CDT1;SPC25;GPN1;SMC4;FANCI;GTSE1;PSMC3IP;DBF4;TPX2;PRPF19;TIMELESS;EXO1</t>
  </si>
  <si>
    <t>10212;8317;10733;11065;23306;1111;10403;6790;2189;2175;699;701;3161;8318;11169;10535;7398;9133;11130;10592;9232;9134;7298;983;4605;7153;5111;7374;891;6929;1503;890;4001;1841;6240;4172;1786;3148;790;995;6241;7272;4173;4174;4176;5984;7913;672;2237;5985;5983;899;7112;4436;4288;1058;1063;5557;4171;8833;9735;1763;675;3832;641;5427;1869;1062;9493;5426;2305;6749;10024;991;10036;4085;6502;4175;9700;9833;9837;23397;9768;9918;9928;9787;6491;2146;1033;27338;23234;11073;9125;23165;8438;10635;93594;9212;9585;10615;11004;580;990;3833;81620;57405;10051;55215;51512;10926;22974;8914</t>
  </si>
  <si>
    <t>DDX39A;CDC7;PLK4;UBE2C;NEMP1;CHEK1;NDC80;AURKA;FANCG;FANCA;BUB1;BUB1B;HMMR;CDC45;WDHD1;RNASEH2A;USP1;CCNB2;ZWINT;SMC2;PTTG1;CCNE2;TYMS;CDK1;MYBL2;TOP2A;PCNA;UNG;CCNB1;TCF3;CTPS1;CCNA2;LMNB1;DTYMK;RRM1;MCM3;DNMT1;HMGB2;CAD;CDC25C;RRM2;TTK;MCM4;MCM5;MCM7;RFC4;DEK;BRCA1;FEN1;RFC5;RFC3;CCNF;TMPO;MSH2;MKI67;CENPA;CENPF;PRIM1;MCM2;GMPS;KNTC1;DNA2;BRCA2;KIF11;BLM;POLE2;E2F1;CENPE;AC027237.1;POLE;FOXM1;SSRP1;TROAP;CDC20;CHAF1A;MAD2L1;SKP2;MCM6;ESPL1;MELK;GINS1;NCAPH;PCLAF;NCAPD2;KIF14;DLGAP5;STIL;EZH2;CDKN3;UBE2S;DNAJC9;TOPBP1;CNOT9;NUP205;RAD54L;RAD51AP1;TBC1D31;AURKB;KIF20B;SPAG5;KIF2C;BARD1;CDC6;KIFC1;CDT1;SPC25;SMC4;FANCI;GTSE1;DBF4;TPX2;TIMELESS</t>
  </si>
  <si>
    <t>BERENJENO_TRANSFORMED_BY_RHOA_UP</t>
  </si>
  <si>
    <t>79733;5717;8317;10733;1111;8520;6790;332;9055;699;8318;11169;10535;7398;10112;24137;10592;9232;86;7083;983;3015;4605;7153;5111;10797;891;1503;890;7283;1841;6240;4172;1786;3148;5933;995;7272;4173;4174;4176;5984;7913;672;2237;5985;5983;899;7112;4436;5902;4288;1058;5557;5558;4171;1763;4751;3838;3832;1434;5427;1163;1869;9493;5888;2305;6749;991;8208;4085;4998;23649;3837;23397;9768;9787;9319;2146;55143;286826;63979;55388;128239;259266;57650;83903;26586;23234;11073;10635;113130;9212;29128;11004;990;54478;79902;55038;51203;29127;81620;1894;11321;29089;3619;54443;3070;81624;10051;55723;51512;51514;8914;9156;6941;23594;10460</t>
  </si>
  <si>
    <t>E2F8;PSMD11;CDC7;PLK4;CHEK1;HAT1;AURKA;BIRC5;PRC1;BUB1;CDC45;WDHD1;RNASEH2A;USP1;KIF20A;KIF4A;SMC2;PTTG1;ACTL6A;TK1;CDK1;H2AFZ;MYBL2;TOP2A;PCNA;MTHFD2;CCNB1;CTPS1;CCNA2;TUBG1;DTYMK;RRM1;MCM3;DNMT1;HMGB2;RBL1;CDC25C;TTK;MCM4;MCM5;MCM7;RFC4;DEK;BRCA1;FEN1;RFC5;RFC3;CCNF;TMPO;MSH2;RANBP1;MKI67;CENPA;PRIM1;PRIM2;MCM2;DNA2;NEK2;KPNA2;KIF11;CSE1L;POLE2;CKS1B;E2F1;AC027237.1;RAD51;FOXM1;SSRP1;CDC20;CHAF1B;MAD2L1;ORC1;POLA2;KPNB1;NCAPH;PCLAF;DLGAP5;TRIP13;EZH2;CDCA8;LIN9;FIGNL1;MCM10;IQGAP3;ASPM;CIP2A;HASPIN;CKAP2;DNAJC9;TOPBP1;RAD51AP1;CDCA5;AURKB;UHRF1;KIF2C;CDC6;PIMREG;NUP85;CDCA4;NUSAP1;RACGAP1;CDT1;ECT2;GPN1;UBE2T;INCENP;ANLN;HELLS;DIAPH3;SMC4;ASF1B;GTSE1;DTL;TIMELESS;EXO1;TCF19;ORC6;TACC3</t>
  </si>
  <si>
    <t>http://www.broadinstitute.org/gsea/msigdb/cards/BERENJENO_TRANSFORMED_BY_RHOA_UP.html</t>
  </si>
  <si>
    <t>BASAKI_YBX1_TARGETS_UP</t>
  </si>
  <si>
    <t>10212;11065;1111;10403;8520;6790;332;11339;9055;699;701;11169;9133;11130;10112;24137;10592;9232;7083;7298;983;7374;891;1503;890;1841;1017;4172;3148;790;4173;4174;4176;5982;2237;5985;5983;4288;1058;4171;4751;3838;5347;9493;84823;5888;991;1479;10036;4085;23649;9700;9833;9837;9918;9319;1033;55165;55143;387103;55635;79866;79682;55388;195828;259266;147841;55355;79801;55789;23234;9125;2491;144455;9212;55839;80179;55872;29128;83461;11004;990;79172;83540;81610;55055;54443;79019;81624;55215;55723;54069;51512;51514;29893;22974;51659;90417;23594</t>
  </si>
  <si>
    <t>DDX39A;UBE2C;CHEK1;NDC80;HAT1;AURKA;BIRC5;OIP5;PRC1;BUB1;BUB1B;WDHD1;CCNB2;ZWINT;KIF20A;KIF4A;SMC2;PTTG1;TK1;TYMS;CDK1;UNG;CCNB1;CTPS1;CCNA2;DTYMK;CDK2;MCM3;HMGB2;CAD;MCM4;MCM5;MCM7;RFC2;FEN1;RFC5;RFC3;MKI67;CENPA;MCM2;NEK2;KPNA2;PLK1;AC027237.1;LMNB2;RAD51;CDC20;CSTF3;CHAF1A;MAD2L1;POLA2;ESPL1;MELK;GINS1;NCAPD2;TRIP13;CDKN3;CEP55;CDCA8;CENPW;DEPDC1;BORA;CENPU;MCM10;ZNF367;ASPM;SPC24;HJURP;SHCBP1;DEPDC1B;DNAJC9;CNOT9;CENPI;E2F7;AURKB;CENPN;MYO19;PBK;UHRF1;CDCA3;KIF2C;CDC6;CENPO;NUF2;FAM83D;ZWILCH;ANLN;CENPM;DIAPH3;FANCI;ASF1B;MIS18A;GTSE1;DTL;PSMC3IP;TPX2;GINS2;KNSTRN;ORC6</t>
  </si>
  <si>
    <t>http://www.broadinstitute.org/gsea/msigdb/cards/BASAKI_YBX1_TARGETS_UP.html</t>
  </si>
  <si>
    <t>10212;11065;1111;10403;6790;2175;332;11339;9055;699;701;1515;3161;10535;9133;10112;24137;10592;983;7153;891;4691;890;7283;1841;6240;898;4172;1786;3148;790;993;995;6241;7272;4173;4176;5984;5982;9775;899;7112;4436;5902;4288;1058;1063;4171;9735;675;4751;3838;2956;3832;5347;1434;9493;6749;991;10036;8683;4085;6502;4175;9837;3837;9918;23518;9928;9787;9319;2146;1033;27338;55143;23590;79866;55388;54892;146909;259266;55355;81930;23234;23165;2491;3066;10635;93594;9212;55839;55872;10615;11004;990;64151;84296;55706;79902;55038;51203;81620;1894;55055;11321;56992;10051;55215;54069;51512;51514;10926;26271;22974;8914;51659;11198</t>
  </si>
  <si>
    <t>DDX39A;UBE2C;CHEK1;NDC80;AURKA;FANCA;BIRC5;OIP5;PRC1;BUB1;BUB1B;CTSV;HMMR;RNASEH2A;CCNB2;KIF20A;KIF4A;SMC2;CDK1;TOP2A;CCNB1;NCL;CCNA2;TUBG1;DTYMK;RRM1;CCNE1;MCM3;DNMT1;HMGB2;CAD;CDC25A;CDC25C;RRM2;TTK;MCM4;MCM7;RFC4;RFC2;EIF4A3;CCNF;TMPO;MSH2;RANBP1;MKI67;CENPA;CENPF;MCM2;KNTC1;BRCA2;NEK2;KPNA2;MSH6;KIF11;PLK1;CSE1L;AC027237.1;SSRP1;CDC20;CHAF1A;SRSF9;MAD2L1;SKP2;MCM6;GINS1;KPNB1;NCAPD2;R3HDM1;KIF14;DLGAP5;TRIP13;EZH2;CDKN3;UBE2S;CDCA8;PDSS1;BORA;MCM10;NCAPG2;KIF18B;ASPM;HJURP;KIF18A;DNAJC9;NUP205;CENPI;HDAC2;RAD51AP1;TBC1D31;AURKB;CENPN;PBK;SPAG5;KIF2C;CDC6;NCAPG;GINS4;NDC1;NUP85;CDCA4;NUSAP1;CDT1;ECT2;ZWILCH;GPN1;KIF15;SMC4;FANCI;MIS18A;GTSE1;DTL;DBF4;FBXO5;TPX2;TIMELESS;GINS2;SUPT16H</t>
  </si>
  <si>
    <t>8317;1111;8520;332;9055;699;701;7398;9133;10112;9134;7298;983;203068;3015;7153;5111;7374;1503;4691;890;1841;6240;4172;1786;3148;995;6241;7272;4173;4174;4176;5984;5982;7913;672;2237;5983;7112;4436;4288;5557;5558;4171;8833;9735;675;3068;3838;2956;5427;1869;1062;9493;5888;5426;2305;6749;991;8208;6502;4175;9833;23076;9837;9768;9918;9319;2146;1033;387103;79866;63979;7444;55345;220042;91687;79801;81930;57650;83903;26586;2491;8438;3066;10635;220134;27085;9212;375444;132320;10615;990;79172;79075;3833;10293;55038;83540;29127;81620;64946;1894;3619;3070;81624;55723;29893;26271;8914;9156;6941;90417;23594</t>
  </si>
  <si>
    <t>CDC7;CHEK1;HAT1;BIRC5;PRC1;BUB1;BUB1B;USP1;CCNB2;KIF20A;CCNE2;TYMS;CDK1;TUBB;H2AFZ;TOP2A;PCNA;UNG;CTPS1;NCL;CCNA2;DTYMK;RRM1;MCM3;DNMT1;HMGB2;CDC25C;RRM2;TTK;MCM4;MCM5;MCM7;RFC4;RFC2;DEK;BRCA1;FEN1;RFC3;TMPO;MSH2;MKI67;PRIM1;PRIM2;MCM2;GMPS;KNTC1;BRCA2;HDGF;KPNA2;MSH6;POLE2;E2F1;CENPE;AC027237.1;RAD51;POLE;FOXM1;SSRP1;CDC20;CHAF1B;SKP2;MCM6;MELK;RRP1B;GINS1;PCLAF;NCAPD2;TRIP13;EZH2;CDKN3;CENPW;BORA;FIGNL1;VRK2;ZGRF1;DDIAS;CENPL;SHCBP1;KIF18A;CIP2A;HASPIN;CKAP2;CENPI;RAD54L;HDAC2;RAD51AP1;SKA1;MTBP;AURKB;C5orf34;SCLT1;SPAG5;CDC6;CENPO;DSCC1;KIFC1;TRAIP;CDCA4;NUF2;RACGAP1;CDT1;CENPH;ECT2;INCENP;HELLS;DIAPH3;ASF1B;PSMC3IP;FBXO5;TIMELESS;EXO1;TCF19;KNSTRN;ORC6</t>
  </si>
  <si>
    <t>GRAHAM_CML_DIVIDING_VS_NORMAL_QUIESCENT_UP</t>
  </si>
  <si>
    <t>79733;8317;11065;1111;10403;8520;6790;332;11339;9055;699;701;3161;8318;10535;9133;11130;10112;24137;10592;9134;7083;7298;983;7153;891;890;6240;898;10105;6241;7272;4173;4174;5984;4521;672;2237;5983;5902;1058;1063;4171;4751;3838;3832;1434;5427;1163;5888;991;4085;9700;9833;9837;9768;9787;9319;2146;1033;27338;55165;23590;79682;55388;146909;259266;10635;9212;55872;10615;11004;990;64151;79075;79902;51203;29127;1894;57405;56992;79019;55215;26271;22974;51659</t>
  </si>
  <si>
    <t>E2F8;CDC7;UBE2C;CHEK1;NDC80;HAT1;AURKA;BIRC5;OIP5;PRC1;BUB1;BUB1B;HMMR;CDC45;RNASEH2A;CCNB2;ZWINT;KIF20A;KIF4A;SMC2;CCNE2;TK1;TYMS;CDK1;TOP2A;CCNB1;CCNA2;RRM1;CCNE1;PPIF;RRM2;TTK;MCM4;MCM5;RFC4;NUDT1;BRCA1;FEN1;RFC3;RANBP1;CENPA;CENPF;MCM2;NEK2;KPNA2;KIF11;CSE1L;POLE2;CKS1B;RAD51;CDC20;MAD2L1;ESPL1;MELK;GINS1;PCLAF;DLGAP5;TRIP13;EZH2;CDKN3;UBE2S;CEP55;PDSS1;CENPU;MCM10;KIF18B;ASPM;RAD51AP1;AURKB;PBK;SPAG5;KIF2C;CDC6;NCAPG;DSCC1;NUP85;NUSAP1;RACGAP1;ECT2;SPC25;KIF15;CENPM;FANCI;FBXO5;TPX2;GINS2</t>
  </si>
  <si>
    <t>http://www.broadinstitute.org/gsea/msigdb/cards/GRAHAM_CML_DIVIDING_VS_NORMAL_QUIESCENT_UP.html</t>
  </si>
  <si>
    <t>VECCHI_GASTRIC_CANCER_EARLY_UP</t>
  </si>
  <si>
    <t>79733;11065;1111;10403;6790;332;9055;699;701;1515;3161;9133;11130;10112;24137;9232;7083;983;4605;7153;891;890;898;6241;7272;4173;4174;4176;672;2237;5983;5902;4288;1058;1063;4171;4751;1434;1163;2305;991;1479;4085;6502;9833;9837;9768;9928;9787;9319;2146;1033;55165;151246;157570;387103;23590;55635;157313;113115;63979;29028;79682;55388;195828;54892;146909;221150;259266;57082;55789;26586;144455;10635;113130;55839;55771;55872;29128;580;990;64151;84296;64105;79075;83990;51203;2177;83540;29127;64946;1894;29089;54443;56992;79019;10051;55215;55010;55646;51512;51514;22974;51659;25788</t>
  </si>
  <si>
    <t>E2F8;UBE2C;CHEK1;NDC80;AURKA;BIRC5;PRC1;BUB1;BUB1B;CTSV;HMMR;CCNB2;ZWINT;KIF20A;KIF4A;PTTG1;TK1;CDK1;MYBL2;TOP2A;CCNB1;CCNA2;CCNE1;RRM2;TTK;MCM4;MCM5;MCM7;BRCA1;FEN1;RFC3;RANBP1;MKI67;CENPA;CENPF;MCM2;NEK2;CSE1L;CKS1B;FOXM1;CDC20;CSTF3;MAD2L1;SKP2;MELK;GINS1;PCLAF;KIF14;DLGAP5;TRIP13;EZH2;CDKN3;CEP55;SGO2;ESCO2;CENPW;PDSS1;DEPDC1;CDCA2;MTFR2;FIGNL1;ATAD2;CENPU;MCM10;ZNF367;NCAPG2;KIF18B;SKA3;ASPM;KNL1;DEPDC1B;CKAP2;E2F7;RAD51AP1;CDCA5;CENPN;PRR11;PBK;UHRF1;BARD1;CDC6;NCAPG;GINS4;CENPK;DSCC1;BRIP1;NUSAP1;FANCD2;NUF2;RACGAP1;CENPH;ECT2;UBE2T;ANLN;KIF15;CENPM;SMC4;FANCI;PARPBP;LYAR;GTSE1;DTL;TPX2;GINS2;RAD54B</t>
  </si>
  <si>
    <t>http://www.broadinstitute.org/gsea/msigdb/cards/VECCHI_GASTRIC_CANCER_EARLY_UP.html</t>
  </si>
  <si>
    <t>5717;8317;10733;1871;11065;1111;10403;6790;332;5709;11339;699;701;8318;9133;11130;10112;9232;9134;7298;983;203068;3015;4605;5111;891;890;4001;7283;898;1017;4172;5933;993;995;6241;4173;4174;4176;5984;5982;672;2237;5985;5983;1058;5557;5558;4171;9735;1763;4751;5347;5427;1163;1869;9493;5426;991;4085;6502;4998;23649;1870;4175;9837;54821;55143;151246;151648;286826;79682;55388;91687;147841;55355;57082;81930;2491;220134;9212;55839;9088;11004;990;84296;64105;79172;79902;83540;81620;64946;55055;57405;3619;79019;54069;10926;26271;51659;23594</t>
  </si>
  <si>
    <t>PSMD11;CDC7;PLK4;E2F3;UBE2C;CHEK1;NDC80;AURKA;BIRC5;PSMD3;OIP5;BUB1;BUB1B;CDC45;CCNB2;ZWINT;KIF20A;PTTG1;CCNE2;TYMS;CDK1;TUBB;H2AFZ;MYBL2;PCNA;CCNB1;CCNA2;LMNB1;TUBG1;CCNE1;CDK2;MCM3;RBL1;CDC25A;CDC25C;RRM2;MCM4;MCM5;MCM7;RFC4;RFC2;BRCA1;FEN1;RFC5;RFC3;CENPA;PRIM1;PRIM2;MCM2;KNTC1;DNA2;NEK2;PLK1;POLE2;CKS1B;E2F1;AC027237.1;POLE;CDC20;MAD2L1;SKP2;ORC1;POLA2;E2F2;MCM6;GINS1;ERCC6L;CDCA8;SGO2;SGO1;LIN9;CENPU;MCM10;CENPL;SPC24;HJURP;KNL1;KIF18A;CENPI;SKA1;AURKB;CENPN;PKMYT1;KIF2C;CDC6;GINS4;CENPK;CENPO;NUP85;NUF2;CDT1;CENPH;ZWILCH;SPC25;INCENP;CENPM;MIS18A;DBF4;FBXO5;GINS2;ORC6</t>
  </si>
  <si>
    <t>5717;8317;10733;1871;11065;10403;6790;332;5709;699;701;8318;9133;11130;10112;9232;9134;7298;983;203068;4605;5111;891;890;7283;898;1017;4172;5933;993;995;6241;4173;4174;4176;5984;5982;2237;5985;5983;1058;5557;5558;4171;9735;1763;4751;5347;5427;1163;1869;9493;5426;991;4085;6502;4998;23649;1870;4175;9837;54821;55143;151246;151648;286826;79682;55388;91687;147841;57082;81930;2491;220134;9212;55839;9088;11004;990;84296;64105;79172;79902;83540;81620;64946;55055;57405;3619;79019;10926;26271;51659;23594</t>
  </si>
  <si>
    <t>PSMD11;CDC7;PLK4;E2F3;UBE2C;NDC80;AURKA;BIRC5;PSMD3;BUB1;BUB1B;CDC45;CCNB2;ZWINT;KIF20A;PTTG1;CCNE2;TYMS;CDK1;TUBB;MYBL2;PCNA;CCNB1;CCNA2;TUBG1;CCNE1;CDK2;MCM3;RBL1;CDC25A;CDC25C;RRM2;MCM4;MCM5;MCM7;RFC4;RFC2;FEN1;RFC5;RFC3;CENPA;PRIM1;PRIM2;MCM2;KNTC1;DNA2;NEK2;PLK1;POLE2;CKS1B;E2F1;AC027237.1;POLE;CDC20;MAD2L1;SKP2;ORC1;POLA2;E2F2;MCM6;GINS1;ERCC6L;CDCA8;SGO2;SGO1;LIN9;CENPU;MCM10;CENPL;SPC24;KNL1;KIF18A;CENPI;SKA1;AURKB;CENPN;PKMYT1;KIF2C;CDC6;GINS4;CENPK;CENPO;NUP85;NUF2;CDT1;CENPH;ZWILCH;SPC25;INCENP;CENPM;DBF4;FBXO5;GINS2;ORC6</t>
  </si>
  <si>
    <t>FISCHER_G2_M_CELL_CYCLE</t>
  </si>
  <si>
    <t>5717;10733;11065;10403;6790;332;11339;9055;699;701;3161;10721;9133;10112;9232;983;203068;7153;891;890;3148;995;7272;899;7112;4288;1058;1063;4751;3838;3832;5347;1163;1062;9493;2305;10024;991;4085;9700;9833;23397;9928;6491;9319;27338;55165;55143;151246;151648;55635;157313;9824;84722;128239;146909;150468;259266;91687;55355;79801;80174;81930;55247;55789;26586;9212;55872;9585;10615;83461;11004;54478;3833;51203;83540;29127;81610;80119;1894;54443;56992;51512;10926;22974;10460</t>
  </si>
  <si>
    <t>PSMD11;PLK4;UBE2C;NDC80;AURKA;BIRC5;OIP5;PRC1;BUB1;BUB1B;HMMR;POLQ;CCNB2;KIF20A;PTTG1;CDK1;TUBB;TOP2A;CCNB1;CCNA2;HMGB2;CDC25C;TTK;CCNF;TMPO;MKI67;CENPA;CENPF;NEK2;KPNA2;KIF11;PLK1;CKS1B;CENPE;AC027237.1;FOXM1;TROAP;CDC20;MAD2L1;ESPL1;MELK;NCAPH;KIF14;STIL;TRIP13;UBE2S;CEP55;CDCA8;SGO2;SGO1;DEPDC1;CDCA2;ARHGAP11A;PSRC1;IQGAP3;KIF18B;CKAP2L;ASPM;CENPL;HJURP;SHCBP1;DBF4B;KIF18A;NEIL3;DEPDC1B;CKAP2;AURKB;PBK;KIF20B;SPAG5;CDCA3;KIF2C;PIMREG;KIFC1;NUSAP1;NUF2;RACGAP1;FAM83D;PIF1;ECT2;ANLN;KIF15;GTSE1;DBF4;TPX2;TACC3</t>
  </si>
  <si>
    <t>http://www.broadinstitute.org/gsea/msigdb/cards/FISCHER_G2_M_CELL_CYCLE.html</t>
  </si>
  <si>
    <t>10212;11065;23306;1111;8520;6790;9055;701;11169;10535;7398;11130;10592;9134;7298;983;3015;5111;10797;891;1503;890;4001;7283;1841;6240;898;1786;3148;5933;7272;4173;4176;5984;5982;672;2237;7112;4288;1063;4171;8833;9735;3838;2956;1434;1163;6733;84823;4085;4175;9837;9928;9787;6491;27338;151246;387103;286826;113115;84722;63979;29028;163786;79682;195828;128239;79801;57082;150465;81930;57650;26586;23234;11073;10635;84930;55839;92092;55771;55872;375444;9585;11004;990;64151;55706;51203;2177;29127;1894;55055;79968;54443;3070;81624;10051;55215;55010;55646;29980;54069;51512;51514;29893;10926;26271;51659;11198;23594</t>
  </si>
  <si>
    <t>DDX39A;UBE2C;NEMP1;CHEK1;HAT1;AURKA;PRC1;BUB1B;WDHD1;RNASEH2A;USP1;ZWINT;SMC2;CCNE2;TYMS;CDK1;H2AFZ;PCNA;MTHFD2;CCNB1;CTPS1;CCNA2;LMNB1;TUBG1;DTYMK;RRM1;CCNE1;DNMT1;HMGB2;RBL1;TTK;MCM4;MCM7;RFC4;RFC2;BRCA1;FEN1;TMPO;MKI67;CENPF;MCM2;GMPS;KNTC1;KPNA2;MSH6;CSE1L;CKS1B;SRPK2;LMNB2;MAD2L1;MCM6;GINS1;KIF14;DLGAP5;STIL;UBE2S;SGO2;CENPW;LIN9;MTFR2;PSRC1;FIGNL1;ATAD2;SASS6;CENPU;ZNF367;IQGAP3;SHCBP1;KNL1;TTL;KIF18A;CIP2A;CKAP2;DNAJC9;TOPBP1;RAD51AP1;MASTL;CENPN;ZC3HAV1L;PRR11;PBK;C5orf34;KIF20B;KIF2C;CDC6;NCAPG;NDC1;NUSAP1;FANCD2;RACGAP1;ECT2;ZWILCH;WDR76;ANLN;HELLS;DIAPH3;SMC4;FANCI;PARPBP;LYAR;DONSON;MIS18A;GTSE1;DTL;PSMC3IP;DBF4;FBXO5;GINS2;SUPT16H;ORC6</t>
  </si>
  <si>
    <t>ZHOU_CELL_CYCLE_GENES_IN_IR_RESPONSE_24HR</t>
  </si>
  <si>
    <t>79733;11065;332;9055;699;3161;7398;9133;10112;10592;9232;983;4605;7153;5111;891;890;4001;1841;1017;4172;3148;7272;4176;5984;5985;5902;1058;1063;4171;9735;4751;3838;3832;1434;1869;9493;991;4085;9833;9787;9319;2146;1033;55165;55143;55635;113115;79866;259266;25886;55247;26586;23234;11073;8438;55839;10615;29128;64785;64105;54478;3833;51203;83540;29127;57405;29089;54443;55010;26271;8914;9156;90417</t>
  </si>
  <si>
    <t>E2F8;UBE2C;BIRC5;PRC1;BUB1;HMMR;USP1;CCNB2;KIF20A;SMC2;PTTG1;CDK1;MYBL2;TOP2A;PCNA;CCNB1;CCNA2;LMNB1;DTYMK;CDK2;MCM3;HMGB2;TTK;MCM7;RFC4;RFC5;RANBP1;CENPA;CENPF;MCM2;KNTC1;NEK2;KPNA2;KIF11;CSE1L;E2F1;AC027237.1;CDC20;MAD2L1;MELK;DLGAP5;TRIP13;EZH2;CDKN3;CEP55;CDCA8;DEPDC1;MTFR2;BORA;ASPM;POC1A;NEIL3;CKAP2;DNAJC9;TOPBP1;RAD54L;CENPN;SPAG5;UHRF1;GINS3;CENPK;PIMREG;KIFC1;NUSAP1;NUF2;RACGAP1;SPC25;UBE2T;ANLN;PARPBP;FBXO5;TIMELESS;EXO1;KNSTRN</t>
  </si>
  <si>
    <t>http://www.broadinstitute.org/gsea/msigdb/cards/ZHOU_CELL_CYCLE_GENES_IN_IR_RESPONSE_24HR.html</t>
  </si>
  <si>
    <t>11065;10403;6790;332;11339;9055;699;701;3161;9133;10112;24137;9232;7083;7298;983;4605;7153;7374;891;890;4001;6240;3148;6241;7272;4176;5985;7112;4288;1058;4751;3832;5347;1163;9493;84823;2305;10024;991;4085;9700;9833;3837;9768;9918;9928;9787;9319;1033;27338;55165;55143;151246;387103;55635;157313;84722;146909;221150;150468;259266;151188;147841;55355;57082;26586;10635;9212;55839;55771;55872;10615;29128;83461;11004;64151;54478;51203;2177;83540;29127;81610;57405;54443;3070;79019;55723;51512;22974</t>
  </si>
  <si>
    <t>UBE2C;NDC80;AURKA;BIRC5;OIP5;PRC1;BUB1;BUB1B;HMMR;CCNB2;KIF20A;KIF4A;PTTG1;TK1;TYMS;CDK1;MYBL2;TOP2A;UNG;CCNB1;CCNA2;LMNB1;RRM1;HMGB2;RRM2;TTK;MCM7;RFC5;TMPO;MKI67;CENPA;NEK2;KIF11;PLK1;CKS1B;AC027237.1;LMNB2;FOXM1;TROAP;CDC20;MAD2L1;ESPL1;MELK;KPNB1;PCLAF;NCAPD2;KIF14;DLGAP5;TRIP13;CDKN3;UBE2S;CEP55;CDCA8;SGO2;CENPW;DEPDC1;CDCA2;PSRC1;KIF18B;SKA3;CKAP2L;ASPM;ARL6IP6;SPC24;HJURP;KNL1;CKAP2;RAD51AP1;AURKB;CENPN;PRR11;PBK;SPAG5;UHRF1;CDCA3;KIF2C;NCAPG;PIMREG;NUSAP1;FANCD2;NUF2;RACGAP1;FAM83D;SPC25;ANLN;HELLS;CENPM;ASF1B;GTSE1;TPX2</t>
  </si>
  <si>
    <t>http://www.broadinstitute.org/gsea/msigdb/cards/HORIUCHI_WTAP_TARGETS_DN.html</t>
  </si>
  <si>
    <t>79733;10733;6839;7516;699;701;8318;11130;10592;9232;86;9134;7083;7298;3015;4605;7374;1503;890;898;1017;4172;993;6241;4173;4174;4176;5982;672;2237;5983;23310;4436;5902;4171;2956;641;5427;1163;9493;5888;10036;8208;4085;1870;4175;9833;9837;9319;157570;29028;79682;55388;195828;90381;220042;147841;79801;57082;57650;8438;144455;10635;27085;84930;55872;29128;9088;990;64151;84296;64785;64105;79075;83990;55038;83540;64946;63967;57405;29089;3070;79019;81624;55723;55646;51514;29893;9156;6941;51659;90417;23594</t>
  </si>
  <si>
    <t>E2F8;PLK4;SUV39H1;XRCC2;BUB1;BUB1B;CDC45;ZWINT;SMC2;PTTG1;ACTL6A;CCNE2;TK1;TYMS;H2AFZ;MYBL2;UNG;CTPS1;CCNA2;CCNE1;CDK2;MCM3;CDC25A;RRM2;MCM4;MCM5;MCM7;RFC2;BRCA1;FEN1;RFC3;NCAPD3;MSH2;RANBP1;MCM2;MSH6;BLM;POLE2;CKS1B;AC027237.1;RAD51;CHAF1A;CHAF1B;MAD2L1;E2F2;MCM6;MELK;GINS1;TRIP13;ESCO2;ATAD2;CENPU;MCM10;ZNF367;TICRR;DDIAS;SPC24;SHCBP1;KNL1;CIP2A;RAD54L;E2F7;RAD51AP1;MTBP;MASTL;PBK;UHRF1;PKMYT1;CDC6;NCAPG;GINS4;GINS3;CENPK;DSCC1;BRIP1;CDCA4;NUF2;CENPH;CLSPN;SPC25;UBE2T;HELLS;CENPM;DIAPH3;ASF1B;LYAR;DTL;PSMC3IP;EXO1;TCF19;GINS2;KNSTRN;ORC6</t>
  </si>
  <si>
    <t>CROONQUIST_IL6_DEPRIVATION_DN</t>
  </si>
  <si>
    <t>10733;11065;1111;6790;11339;699;701;3161;8318;9133;11130;10592;9232;9134;7083;7298;983;4605;7153;5111;891;890;4001;1841;4172;3148;993;6241;7272;4173;4176;5984;672;5983;899;4288;1058;4171;8833;9735;3838;3832;5347;5427;1163;1062;2305;991;10036;4085;6502;9837;23397;9768;9928;6491;9319;1033;9212;10615;11004;990;3833;10293;57405;10051;55215;22974</t>
  </si>
  <si>
    <t>PLK4;UBE2C;CHEK1;AURKA;OIP5;BUB1;BUB1B;HMMR;CDC45;CCNB2;ZWINT;SMC2;PTTG1;CCNE2;TK1;TYMS;CDK1;MYBL2;TOP2A;PCNA;CCNB1;CCNA2;LMNB1;DTYMK;MCM3;HMGB2;CDC25A;RRM2;TTK;MCM4;MCM7;RFC4;BRCA1;RFC3;CCNF;MKI67;CENPA;MCM2;GMPS;KNTC1;KPNA2;KIF11;PLK1;POLE2;CKS1B;CENPE;FOXM1;CDC20;CHAF1A;MAD2L1;SKP2;GINS1;NCAPH;PCLAF;KIF14;STIL;TRIP13;CDKN3;AURKB;SPAG5;KIF2C;CDC6;KIFC1;TRAIP;SPC25;SMC4;FANCI;TPX2</t>
  </si>
  <si>
    <t>http://www.broadinstitute.org/gsea/msigdb/cards/CROONQUIST_IL6_DEPRIVATION_DN.html</t>
  </si>
  <si>
    <t>FUJII_YBX1_TARGETS_DN</t>
  </si>
  <si>
    <t>10733;1111;11339;701;10535;11130;24137;7083;4605;7153;7374;4001;1841;6240;1017;4172;993;995;6241;4173;4174;4176;5984;672;2237;5985;5983;899;5557;4171;3832;5427;1163;9493;5888;2305;6749;10036;4085;6502;23649;4175;9833;23397;9319;1033;55635;63979;29028;79682;55388;195828;54892;259266;79801;55247;55789;144455;84930;55839;29128;990;64105;83990;51203;2177;81620;57405;3070;55215;55723;55010;51514;26271;8914;9156;6941;51659;25788</t>
  </si>
  <si>
    <t>PLK4;CHEK1;OIP5;BUB1B;RNASEH2A;ZWINT;KIF4A;TK1;MYBL2;TOP2A;UNG;LMNB1;DTYMK;RRM1;CDK2;MCM3;CDC25A;CDC25C;RRM2;MCM4;MCM5;MCM7;RFC4;BRCA1;FEN1;RFC5;RFC3;CCNF;PRIM1;MCM2;KIF11;POLE2;CKS1B;AC027237.1;RAD51;FOXM1;SSRP1;CHAF1A;MAD2L1;SKP2;POLA2;MCM6;MELK;NCAPH;TRIP13;CDKN3;DEPDC1;FIGNL1;ATAD2;CENPU;MCM10;ZNF367;NCAPG2;ASPM;SHCBP1;NEIL3;DEPDC1B;E2F7;MASTL;CENPN;UHRF1;CDC6;CENPK;BRIP1;NUSAP1;FANCD2;CDT1;SPC25;HELLS;FANCI;ASF1B;PARPBP;DTL;FBXO5;TIMELESS;EXO1;TCF19;GINS2;RAD54B</t>
  </si>
  <si>
    <t>http://www.broadinstitute.org/gsea/msigdb/cards/FUJII_YBX1_TARGETS_DN.html</t>
  </si>
  <si>
    <t>LINDGREN_BLADDER_CANCER_CLUSTER_3_UP</t>
  </si>
  <si>
    <t>79733;5717;8317;10733;11065;23306;6790;332;9055;699;8318;11169;10535;9133;11130;24137;9232;7083;7298;983;3015;4605;7153;5111;10797;891;1503;898;1017;3148;10971;5933;993;6241;4173;4174;5984;7913;672;5983;7112;4436;1058;1063;4751;3838;3832;5347;1163;1869;1062;9493;5888;1479;10036;8208;4085;4998;4175;9833;9928;9787;9319;2146;55165;55143;55635;63979;29028;79682;348793;54892;25886;26586;8438;55839;11004;990;3833;10293;29127;81620;81610;54069;10926;9156;6941;51659;10460</t>
  </si>
  <si>
    <t>E2F8;PSMD11;CDC7;PLK4;UBE2C;NEMP1;AURKA;BIRC5;PRC1;BUB1;CDC45;WDHD1;RNASEH2A;CCNB2;ZWINT;KIF4A;PTTG1;TK1;TYMS;CDK1;H2AFZ;MYBL2;TOP2A;PCNA;MTHFD2;CCNB1;CTPS1;CCNE1;CDK2;HMGB2;YWHAQ;RBL1;CDC25A;RRM2;MCM4;MCM5;RFC4;DEK;BRCA1;RFC3;TMPO;MSH2;CENPA;CENPF;NEK2;KPNA2;KIF11;PLK1;CKS1B;E2F1;CENPE;AC027237.1;RAD51;CSTF3;CHAF1A;CHAF1B;MAD2L1;ORC1;MCM6;MELK;KIF14;DLGAP5;TRIP13;EZH2;CEP55;CDCA8;DEPDC1;FIGNL1;ATAD2;CENPU;WDR53;NCAPG2;POC1A;CKAP2;RAD54L;CENPN;KIF2C;CDC6;KIFC1;TRAIP;RACGAP1;CDT1;FAM83D;MIS18A;DBF4;EXO1;TCF19;GINS2;TACC3</t>
  </si>
  <si>
    <t>http://www.broadinstitute.org/gsea/msigdb/cards/LINDGREN_BLADDER_CANCER_CLUSTER_3_UP.html</t>
  </si>
  <si>
    <t>79733;10733;10403;332;11339;8562;9055;699;11169;10535;7398;11130;10592;9232;86;9134;7083;7298;983;7153;5111;7374;10797;1503;890;1841;6240;5933;6241;7272;4173;5984;5982;7913;5985;7112;4436;1058;1063;8833;4751;4670;2956;3832;1434;5427;1163;1062;9493;991;4085;6502;6996;4175;9833;9837;23397;9787;1994;2146;55143;151246;157570;387103;9824;63979;29028;163786;195828;128239;54892;7444;221150;162681;259266;147841;79801;81930;57650;55789;26586;9125;146956;10635;27085;84930;55839;92092;84991;55872;9585;10615;29128;11004;580;990;64151;64785;83990;51203;2177;83540;29127;55055;79968;57405;3070;56992;79019;81624;10051;55215;54069;51514;10926;26271;6941;51659;90417</t>
  </si>
  <si>
    <t>E2F8;PLK4;NDC80;BIRC5;OIP5;DENR;PRC1;BUB1;WDHD1;RNASEH2A;USP1;ZWINT;SMC2;PTTG1;ACTL6A;CCNE2;TK1;TYMS;CDK1;TOP2A;PCNA;UNG;MTHFD2;CTPS1;CCNA2;DTYMK;RRM1;RBL1;RRM2;TTK;MCM4;RFC4;RFC2;DEK;RFC5;TMPO;MSH2;CENPA;CENPF;GMPS;NEK2;HNRNPM;MSH6;KIF11;CSE1L;POLE2;CKS1B;CENPE;AC027237.1;CDC20;MAD2L1;SKP2;TDG;MCM6;MELK;GINS1;NCAPH;DLGAP5;ELAVL1;EZH2;CDCA8;SGO2;ESCO2;CENPW;ARHGAP11A;FIGNL1;ATAD2;SASS6;ZNF367;IQGAP3;NCAPG2;VRK2;SKA3;C18orf54;ASPM;SPC24;SHCBP1;KIF18A;CIP2A;DEPDC1B;CKAP2;CNOT9;EME1;RAD51AP1;MTBP;MASTL;CENPN;ZC3HAV1L;RBM17;PBK;KIF20B;SPAG5;UHRF1;KIF2C;BARD1;CDC6;NCAPG;GINS3;BRIP1;NUSAP1;FANCD2;NUF2;RACGAP1;ZWILCH;WDR76;SPC25;HELLS;KIF15;CENPM;DIAPH3;SMC4;FANCI;MIS18A;DTL;DBF4;FBXO5;TCF19;GINS2;KNSTRN</t>
  </si>
  <si>
    <t>79733;8520;6790;332;9055;699;8318;9133;10112;24137;10592;7083;7298;983;203068;3015;5111;891;890;1841;1017;4172;3148;5933;995;6241;4173;4174;4176;5984;7913;672;5985;899;7112;5902;4288;1058;5557;675;4751;3838;3832;5347;1434;1163;1869;9493;5888;8208;4085;9768;9787;9319;1033;27338;63979;163786;128239;57650;26586;23234;11073;3066;10635;113130;83461;11004;990;64105;54478;51203;29127;81620;1894;29089;54443;55723;51514;27339;23594</t>
  </si>
  <si>
    <t>E2F8;HAT1;AURKA;BIRC5;PRC1;BUB1;CDC45;CCNB2;KIF20A;KIF4A;SMC2;TK1;TYMS;CDK1;TUBB;H2AFZ;PCNA;CCNB1;CCNA2;DTYMK;CDK2;MCM3;HMGB2;RBL1;CDC25C;RRM2;MCM4;MCM5;MCM7;RFC4;DEK;BRCA1;RFC5;CCNF;TMPO;RANBP1;MKI67;CENPA;PRIM1;BRCA2;NEK2;KPNA2;KIF11;PLK1;CSE1L;CKS1B;E2F1;AC027237.1;RAD51;CHAF1B;MAD2L1;PCLAF;DLGAP5;TRIP13;CDKN3;UBE2S;FIGNL1;SASS6;IQGAP3;CIP2A;CKAP2;DNAJC9;TOPBP1;HDAC2;RAD51AP1;CDCA5;CDCA3;KIF2C;CDC6;CENPK;PIMREG;NUSAP1;RACGAP1;CDT1;ECT2;UBE2T;ANLN;ASF1B;DTL;PRPF19;ORC6</t>
  </si>
  <si>
    <t>KONG_E2F3_TARGETS</t>
  </si>
  <si>
    <t>8317;1871;11065;6790;9055;699;701;3161;7398;10112;10592;7083;7298;200933;7153;891;890;4001;898;4172;3148;5933;672;2237;899;4288;1063;5557;1763;3832;5347;5888;991;8208;6502;9833;23397;9768;9918;9787;2146;54821;55635;63979;128239;54892;79801;8438;10635;113130;55872;83461;11004;990;64151;64105;51203;83540;29127;64946;57405;29089;3619;55723;22974;10460</t>
  </si>
  <si>
    <t>CDC7;E2F3;UBE2C;AURKA;PRC1;BUB1;BUB1B;HMMR;USP1;KIF20A;SMC2;TK1;TYMS;FBXO45;TOP2A;CCNB1;CCNA2;LMNB1;CCNE1;MCM3;HMGB2;RBL1;BRCA1;FEN1;CCNF;MKI67;CENPF;PRIM1;DNA2;KIF11;PLK1;RAD51;CDC20;CHAF1B;SKP2;MELK;NCAPH;PCLAF;NCAPD2;DLGAP5;EZH2;ERCC6L;DEPDC1;FIGNL1;IQGAP3;NCAPG2;SHCBP1;RAD54L;RAD51AP1;CDCA5;PBK;CDCA3;KIF2C;CDC6;NCAPG;CENPK;NUSAP1;NUF2;RACGAP1;CENPH;SPC25;UBE2T;INCENP;ASF1B;TPX2;TACC3</t>
  </si>
  <si>
    <t>http://www.broadinstitute.org/gsea/msigdb/cards/KONG_E2F3_TARGETS.html</t>
  </si>
  <si>
    <t>WHITEFORD_PEDIATRIC_CANCER_MARKERS</t>
  </si>
  <si>
    <t>10733;11065;6790;332;9055;699;10721;8318;10535;9401;9133;11130;9232;7083;7298;983;4605;7153;5111;891;890;1841;1786;993;6241;7272;4173;4174;4176;5984;4521;5983;7112;4288;1058;1063;4751;3838;3832;5427;1163;1869;1062;84823;4085;9700;9833;23397;9928;9787;55143;157313;29028;79682;195828;26586;113130;55839;55872;29128;84057;51203;83540;10051;55723;10926;22974;51659</t>
  </si>
  <si>
    <t>PLK4;UBE2C;AURKA;BIRC5;PRC1;BUB1;POLQ;CDC45;RNASEH2A;RECQL4;CCNB2;ZWINT;PTTG1;TK1;TYMS;CDK1;MYBL2;TOP2A;PCNA;CCNB1;CCNA2;DTYMK;DNMT1;CDC25A;RRM2;TTK;MCM4;MCM5;MCM7;RFC4;NUDT1;RFC3;TMPO;MKI67;CENPA;CENPF;NEK2;KPNA2;KIF11;POLE2;CKS1B;E2F1;CENPE;LMNB2;MAD2L1;ESPL1;MELK;NCAPH;KIF14;DLGAP5;CDCA8;CDCA2;ATAD2;CENPU;ZNF367;CKAP2;CDCA5;CENPN;PBK;UHRF1;MND1;NUSAP1;NUF2;SMC4;ASF1B;DBF4;TPX2;GINS2</t>
  </si>
  <si>
    <t>http://www.broadinstitute.org/gsea/msigdb/cards/WHITEFORD_PEDIATRIC_CANCER_MARKERS.html</t>
  </si>
  <si>
    <t>CHIANG_LIVER_CANCER_SUBCLASS_PROLIFERATION_UP</t>
  </si>
  <si>
    <t>79733;8317;11065;10403;6790;332;11339;9055;701;9133;11130;10112;24137;9232;983;7153;891;890;4001;898;3148;7272;5984;2237;4288;1063;4171;4751;3832;1062;9493;2305;991;4085;9928;9787;9319;2146;1033;55165;151246;55635;163786;146909;150468;259266;55355;79801;55789;3066;10635;220134;113130;9212;55771;55872;11004;580;990;64151;79075;51203;83540;29127;81539;1894;54443;3070;10051;55215;51514;26271;22974;23594</t>
  </si>
  <si>
    <t>E2F8;CDC7;UBE2C;NDC80;AURKA;BIRC5;OIP5;PRC1;BUB1B;CCNB2;ZWINT;KIF20A;KIF4A;PTTG1;CDK1;TOP2A;CCNB1;CCNA2;LMNB1;CCNE1;HMGB2;TTK;RFC4;FEN1;MKI67;CENPF;MCM2;NEK2;KIF11;CENPE;AC027237.1;FOXM1;CDC20;MAD2L1;KIF14;DLGAP5;TRIP13;EZH2;CDKN3;CEP55;SGO2;DEPDC1;SASS6;KIF18B;CKAP2L;ASPM;HJURP;SHCBP1;DEPDC1B;HDAC2;RAD51AP1;SKA1;CDCA5;AURKB;PRR11;PBK;KIF2C;BARD1;CDC6;NCAPG;DSCC1;NUSAP1;NUF2;RACGAP1;SLC38A1;ECT2;ANLN;HELLS;SMC4;FANCI;DTL;FBXO5;TPX2;ORC6</t>
  </si>
  <si>
    <t>http://www.broadinstitute.org/gsea/msigdb/cards/CHIANG_LIVER_CANCER_SUBCLASS_PROLIFERATION_UP.html</t>
  </si>
  <si>
    <t>HOFFMANN_LARGE_TO_SMALL_PRE_BII_LYMPHOCYTE_UP</t>
  </si>
  <si>
    <t>79733;10733;11065;6790;9055;699;3161;8318;11169;9133;10112;24137;10592;7083;983;203068;7153;10797;891;890;6240;898;1786;3148;5933;995;6241;7272;4174;2237;5985;5983;7112;4288;1058;1763;675;4751;3838;1163;10376;1062;9493;5888;991;8208;4175;9833;23397;9768;9787;9319;1033;27338;151648;55388;91687;57650;8438;113130;9212;83461;11004;51203;29127;1894;29089;3619;54443;3070;10051;10926</t>
  </si>
  <si>
    <t>E2F8;PLK4;UBE2C;AURKA;PRC1;BUB1;HMMR;CDC45;WDHD1;CCNB2;KIF20A;KIF4A;SMC2;TK1;CDK1;TUBB;TOP2A;MTHFD2;CCNB1;CCNA2;RRM1;CCNE1;DNMT1;HMGB2;RBL1;CDC25C;RRM2;TTK;MCM5;FEN1;RFC5;RFC3;TMPO;MKI67;CENPA;DNA2;BRCA2;NEK2;KPNA2;CKS1B;TUBA1B;CENPE;AC027237.1;RAD51;CDC20;CHAF1B;MCM6;MELK;NCAPH;PCLAF;DLGAP5;TRIP13;CDKN3;UBE2S;SGO1;MCM10;CENPL;CIP2A;RAD54L;CDCA5;AURKB;CDCA3;KIF2C;NUSAP1;RACGAP1;ECT2;UBE2T;INCENP;ANLN;HELLS;SMC4;DBF4</t>
  </si>
  <si>
    <t>http://www.broadinstitute.org/gsea/msigdb/cards/HOFFMANN_LARGE_TO_SMALL_PRE_BII_LYMPHOCYTE_UP.html</t>
  </si>
  <si>
    <t>SARRIO_EPITHELIAL_MESENCHYMAL_TRANSITION_UP</t>
  </si>
  <si>
    <t>8317;10733;10403;9055;699;3161;8318;9401;11130;7298;983;203068;7153;5111;891;890;7283;1017;4172;5933;6241;4173;4174;4176;5984;5982;672;5985;5983;7112;4436;4288;1058;5557;4171;9735;3832;5347;641;1163;1869;1062;9493;5888;4085;4175;9700;6491;27338;55165;387103;79682;195828;89958;221150;259266;113130;29128;9088;580;990;79075;1894;29089;54443;3070;81624;55723;51514;26271;9156;23594;10460</t>
  </si>
  <si>
    <t>CDC7;PLK4;NDC80;PRC1;BUB1;HMMR;CDC45;RECQL4;ZWINT;TYMS;CDK1;TUBB;TOP2A;PCNA;CCNB1;CCNA2;TUBG1;CDK2;MCM3;RBL1;RRM2;MCM4;MCM5;MCM7;RFC4;RFC2;BRCA1;RFC5;RFC3;TMPO;MSH2;MKI67;CENPA;PRIM1;MCM2;KNTC1;KIF11;PLK1;BLM;CKS1B;E2F1;CENPE;AC027237.1;RAD51;MAD2L1;MCM6;ESPL1;STIL;UBE2S;CEP55;CENPW;CENPU;ZNF367;SAPCD2;SKA3;ASPM;CDCA5;UHRF1;PKMYT1;BARD1;CDC6;DSCC1;ECT2;UBE2T;ANLN;HELLS;DIAPH3;ASF1B;DTL;FBXO5;EXO1;ORC6;TACC3</t>
  </si>
  <si>
    <t>http://www.broadinstitute.org/gsea/msigdb/cards/SARRIO_EPITHELIAL_MESENCHYMAL_TRANSITION_UP.html</t>
  </si>
  <si>
    <t>WINNEPENNINCKX_MELANOMA_METASTASIS_UP</t>
  </si>
  <si>
    <t>1111;10403;6790;332;9055;699;8318;9133;11130;10592;9232;7083;7298;983;7153;5111;891;1841;6241;4173;5984;5985;5902;1058;1063;5558;8833;9735;4751;3838;2956;3832;1163;4175;9833;23397;9768;9787;1033;55165;55143;151246;29028;195828;54892;146909;259266;79801;55247;8438;113130;55839;10615;29128;11004;990;64151;79075;83540;29127;1894;57405;29089;54443;55010;29980;29893;8914;9156;51659;90417</t>
  </si>
  <si>
    <t>CHEK1;NDC80;AURKA;BIRC5;PRC1;BUB1;CDC45;CCNB2;ZWINT;SMC2;PTTG1;TK1;TYMS;CDK1;TOP2A;PCNA;CCNB1;DTYMK;RRM2;MCM4;RFC4;RFC5;RANBP1;CENPA;CENPF;PRIM2;GMPS;KNTC1;NEK2;KPNA2;MSH6;KIF11;CKS1B;MCM6;MELK;NCAPH;PCLAF;DLGAP5;CDKN3;CEP55;CDCA8;SGO2;ATAD2;ZNF367;NCAPG2;KIF18B;ASPM;SHCBP1;NEIL3;RAD54L;CDCA5;CENPN;SPAG5;UHRF1;KIF2C;CDC6;NCAPG;DSCC1;NUF2;RACGAP1;ECT2;SPC25;UBE2T;ANLN;PARPBP;DONSON;PSMC3IP;TIMELESS;EXO1;GINS2;KNSTRN</t>
  </si>
  <si>
    <t>http://www.broadinstitute.org/gsea/msigdb/cards/WINNEPENNINCKX_MELANOMA_METASTASIS_UP.html</t>
  </si>
  <si>
    <t>BURTON_ADIPOGENESIS_3</t>
  </si>
  <si>
    <t>8317;6790;332;9055;699;8318;7398;9133;10112;24137;10592;9134;7083;7298;983;7153;5111;891;1841;6240;4172;1786;3148;6241;7272;4173;4174;4176;672;2237;5985;899;4288;5557;4171;3838;3832;5347;1163;5888;991;4085;23397;9768;9787;9319;2146;55143;63979;55388;11073;10635;11004;990;64105;51203;29127;3619;3070;55723;51514;6941;10460</t>
  </si>
  <si>
    <t>CDC7;AURKA;BIRC5;PRC1;BUB1;CDC45;USP1;CCNB2;KIF20A;KIF4A;SMC2;CCNE2;TK1;TYMS;CDK1;TOP2A;PCNA;CCNB1;DTYMK;RRM1;MCM3;DNMT1;HMGB2;RRM2;TTK;MCM4;MCM5;MCM7;BRCA1;FEN1;RFC5;CCNF;MKI67;PRIM1;MCM2;KPNA2;KIF11;PLK1;CKS1B;RAD51;CDC20;MAD2L1;NCAPH;PCLAF;DLGAP5;TRIP13;EZH2;CDCA8;FIGNL1;MCM10;TOPBP1;RAD51AP1;KIF2C;CDC6;CENPK;NUSAP1;RACGAP1;INCENP;HELLS;ASF1B;DTL;TCF19;TACC3</t>
  </si>
  <si>
    <t>http://www.broadinstitute.org/gsea/msigdb/cards/BURTON_ADIPOGENESIS_3.html</t>
  </si>
  <si>
    <t>GRAHAM_NORMAL_QUIESCENT_VS_NORMAL_DIVIDING_DN</t>
  </si>
  <si>
    <t>1111;10403;8520;332;11339;9055;699;701;8318;10535;9133;11130;10592;9134;7083;7298;983;7153;5111;890;6240;898;993;10105;6241;4173;4174;5984;2237;5983;4436;4171;3832;1434;5427;1163;991;4085;4175;9833;9837;9768;9787;9319;1033;55165;79682;55388;146909;10635;11004;990;64151;79075;79902;51203;29127;56992;79019;51514;51659</t>
  </si>
  <si>
    <t>CHEK1;NDC80;HAT1;BIRC5;OIP5;PRC1;BUB1;BUB1B;CDC45;RNASEH2A;CCNB2;ZWINT;SMC2;CCNE2;TK1;TYMS;CDK1;TOP2A;PCNA;CCNA2;RRM1;CCNE1;CDC25A;PPIF;RRM2;MCM4;MCM5;RFC4;FEN1;RFC3;MSH2;MCM2;KIF11;CSE1L;POLE2;CKS1B;CDC20;MAD2L1;MCM6;MELK;GINS1;PCLAF;DLGAP5;TRIP13;CDKN3;CEP55;CENPU;MCM10;KIF18B;RAD51AP1;KIF2C;CDC6;NCAPG;DSCC1;NUP85;NUSAP1;RACGAP1;KIF15;CENPM;DTL;GINS2</t>
  </si>
  <si>
    <t>http://www.broadinstitute.org/gsea/msigdb/cards/GRAHAM_NORMAL_QUIESCENT_VS_NORMAL_DIVIDING_DN.html</t>
  </si>
  <si>
    <t>5717;8317;1871;10403;332;5709;699;701;8318;11130;10112;5111;890;1017;4172;4173;4174;4176;5984;5982;2237;5985;5983;1058;5557;5558;4171;9735;1763;5347;5427;1869;9493;5426;991;4085;4998;23649;1870;4175;9837;54821;55143;151246;151648;79682;55388;91687;147841;57082;81930;2491;220134;9212;55839;11004;990;84296;64105;79172;79902;83540;81620;64946;55055;57405;3619;79019;10926;26271;51659;23594</t>
  </si>
  <si>
    <t>PSMD11;CDC7;E2F3;NDC80;BIRC5;PSMD3;BUB1;BUB1B;CDC45;ZWINT;KIF20A;PCNA;CCNA2;CDK2;MCM3;MCM4;MCM5;MCM7;RFC4;RFC2;FEN1;RFC5;RFC3;CENPA;PRIM1;PRIM2;MCM2;KNTC1;DNA2;PLK1;POLE2;E2F1;AC027237.1;POLE;CDC20;MAD2L1;ORC1;POLA2;E2F2;MCM6;GINS1;ERCC6L;CDCA8;SGO2;SGO1;CENPU;MCM10;CENPL;SPC24;KNL1;KIF18A;CENPI;SKA1;AURKB;CENPN;KIF2C;CDC6;GINS4;CENPK;CENPO;NUP85;NUF2;CDT1;CENPH;ZWILCH;SPC25;INCENP;CENPM;DBF4;FBXO5;GINS2;ORC6</t>
  </si>
  <si>
    <t>79733;10733;1111;8520;6790;332;9055;699;8318;9133;10112;24137;1471;7083;983;3015;7153;5111;10797;891;890;4001;6240;4172;3148;995;6241;7272;4173;4174;672;2237;5985;899;7112;4288;1058;5557;5558;1763;4751;3838;3832;5347;1163;5888;991;10036;4085;23397;9768;9787;9319;2146;1033;55143;63979;55388;128239;259266;57650;83903;26586;11073;10635;113130;9212;83461;11004;990;51203;29127;1894;29089;3619;54443;55723;51512;51514;29893;6941;10460</t>
  </si>
  <si>
    <t>E2F8;PLK4;CHEK1;HAT1;AURKA;BIRC5;PRC1;BUB1;CDC45;CCNB2;KIF20A;KIF4A;CST3;TK1;CDK1;H2AFZ;TOP2A;PCNA;MTHFD2;CCNB1;CCNA2;LMNB1;RRM1;MCM3;HMGB2;CDC25C;RRM2;TTK;MCM4;MCM5;BRCA1;FEN1;RFC5;CCNF;TMPO;MKI67;CENPA;PRIM1;PRIM2;DNA2;NEK2;KPNA2;KIF11;PLK1;CKS1B;RAD51;CDC20;CHAF1A;MAD2L1;NCAPH;PCLAF;DLGAP5;TRIP13;EZH2;CDKN3;CDCA8;FIGNL1;MCM10;IQGAP3;ASPM;CIP2A;HASPIN;CKAP2;TOPBP1;RAD51AP1;CDCA5;AURKB;CDCA3;KIF2C;CDC6;NUSAP1;RACGAP1;ECT2;UBE2T;INCENP;ANLN;ASF1B;GTSE1;DTL;PSMC3IP;TCF19;TACC3</t>
  </si>
  <si>
    <t>10733;1111;8520;2175;9055;699;3161;8318;11169;7398;10592;7298;7153;890;5933;7272;4173;7913;672;7112;4288;1063;5557;1763;3832;641;1062;9493;5426;8208;9837;9319;2146;54821;55165;151648;55635;63979;163786;253714;55388;54892;79801;81930;57650;8438;10635;220134;27085;84930;55839;10615;64151;64105;79902;51203;64946;55055;57405;3619;54443;10051;55215;55646;51514;22974;8914;9156;6941</t>
  </si>
  <si>
    <t>PLK4;CHEK1;HAT1;FANCA;PRC1;BUB1;HMMR;CDC45;WDHD1;USP1;SMC2;TYMS;TOP2A;CCNA2;RBL1;TTK;MCM4;DEK;BRCA1;TMPO;MKI67;CENPF;PRIM1;DNA2;KIF11;BLM;CENPE;AC027237.1;POLE;CHAF1B;GINS1;TRIP13;EZH2;ERCC6L;CEP55;SGO1;DEPDC1;FIGNL1;SASS6;MMS22L;MCM10;NCAPG2;SHCBP1;KIF18A;CIP2A;RAD54L;RAD51AP1;SKA1;MTBP;MASTL;CENPN;SPAG5;NCAPG;CENPK;NUP85;NUSAP1;CENPH;ZWILCH;SPC25;INCENP;ANLN;SMC4;FANCI;LYAR;DTL;TPX2;TIMELESS;EXO1;TCF19</t>
  </si>
  <si>
    <t>LEE_EARLY_T_LYMPHOCYTE_UP</t>
  </si>
  <si>
    <t>79733;11065;10403;6790;332;11339;9055;699;701;3161;9133;10112;9232;7298;983;203068;7153;891;993;6241;7272;4173;4288;1058;4171;4751;3832;1870;9833;9837;9768;9928;9787;1033;55165;151246;387103;157313;29028;79682;55388;146909;259266;57082;55247;144455;10635;55771;55872;29128;83461;11004;64151;79075;51203;83540;29089;56992;81624;55215;51514</t>
  </si>
  <si>
    <t>E2F8;UBE2C;NDC80;AURKA;BIRC5;OIP5;PRC1;BUB1;BUB1B;HMMR;CCNB2;KIF20A;PTTG1;TYMS;CDK1;TUBB;TOP2A;CCNB1;CDC25A;RRM2;TTK;MCM4;MKI67;CENPA;MCM2;NEK2;KIF11;E2F2;MELK;GINS1;PCLAF;KIF14;DLGAP5;CDKN3;CEP55;SGO2;CENPW;CDCA2;ATAD2;CENPU;MCM10;KIF18B;ASPM;KNL1;NEIL3;E2F7;RAD51AP1;PRR11;PBK;UHRF1;CDCA3;KIF2C;NCAPG;DSCC1;NUSAP1;NUF2;UBE2T;KIF15;DIAPH3;FANCI;DTL</t>
  </si>
  <si>
    <t>http://www.broadinstitute.org/gsea/msigdb/cards/LEE_EARLY_T_LYMPHOCYTE_UP.html</t>
  </si>
  <si>
    <t>ZHOU_CELL_CYCLE_GENES_IN_IR_RESPONSE_6HR</t>
  </si>
  <si>
    <t>79733;11169;7398;10112;10592;4605;890;4001;1841;1017;4172;3148;7272;4174;4176;5984;7913;672;5985;5902;1058;4171;9735;4751;3832;1869;5888;8208;4085;4175;9768;9787;9319;2146;55165;55143;113115;25886;23234;11073;8438;113130;29128;64785;64105;54478;3833;51203;29127;81620;29089;55010;51514;29893;26271;8914;9156;51659</t>
  </si>
  <si>
    <t>E2F8;WDHD1;USP1;KIF20A;SMC2;MYBL2;CCNA2;LMNB1;DTYMK;CDK2;MCM3;HMGB2;TTK;MCM5;MCM7;RFC4;DEK;BRCA1;RFC5;RANBP1;CENPA;MCM2;KNTC1;NEK2;KIF11;E2F1;RAD51;CHAF1B;MAD2L1;MCM6;PCLAF;DLGAP5;TRIP13;EZH2;CEP55;CDCA8;MTFR2;POC1A;DNAJC9;TOPBP1;RAD54L;CDCA5;UHRF1;GINS3;CENPK;PIMREG;KIFC1;NUSAP1;RACGAP1;CDT1;UBE2T;PARPBP;DTL;PSMC3IP;FBXO5;TIMELESS;EXO1;GINS2</t>
  </si>
  <si>
    <t>http://www.broadinstitute.org/gsea/msigdb/cards/ZHOU_CELL_CYCLE_GENES_IN_IR_RESPONSE_6HR.html</t>
  </si>
  <si>
    <t>BENPORATH_PROLIFERATION</t>
  </si>
  <si>
    <t>10403;6790;2175;332;9055;699;1515;9133;9232;7298;983;3015;4605;7153;5111;1503;1841;4172;6241;7272;5984;7913;4436;5902;1058;1063;5558;4171;4751;3838;1434;1163;1062;5888;8208;4085;2146;1033;23590;113115;29028;79682;259266;8438;3066;10635;113130;55839;55872;10615;9088;64151;64785;84057;83540;29127;81620;29089;54443;55732;79019;51514;10926;9156;90417</t>
  </si>
  <si>
    <t>NDC80;AURKA;FANCA;BIRC5;PRC1;BUB1;CTSV;CCNB2;PTTG1;TYMS;CDK1;H2AFZ;MYBL2;TOP2A;PCNA;CTPS1;DTYMK;MCM3;RRM2;TTK;RFC4;DEK;MSH2;RANBP1;CENPA;CENPF;PRIM2;MCM2;NEK2;KPNA2;CSE1L;CKS1B;CENPE;RAD51;CHAF1B;MAD2L1;EZH2;CDKN3;PDSS1;MTFR2;ATAD2;CENPU;ASPM;RAD54L;HDAC2;RAD51AP1;CDCA5;CENPN;PBK;SPAG5;PKMYT1;NCAPG;GINS3;MND1;NUF2;RACGAP1;CDT1;UBE2T;ANLN;C1orf112;CENPM;DTL;DBF4;EXO1;KNSTRN</t>
  </si>
  <si>
    <t>http://www.broadinstitute.org/gsea/msigdb/cards/BENPORATH_PROLIFERATION.html</t>
  </si>
  <si>
    <t>10733;1111;8520;2175;699;3161;8318;11169;7398;10592;7298;7153;890;5933;7272;4173;7913;672;7112;4288;1063;5557;1763;3832;641;5426;8208;9837;9319;2146;54821;55165;151648;63979;163786;253714;55388;54892;79801;8438;10635;220134;84930;55839;10615;64151;64105;79902;55055;3619;54443;10051;55215;55646;51514;8914;9156;6941</t>
  </si>
  <si>
    <t>PLK4;CHEK1;HAT1;FANCA;BUB1;HMMR;CDC45;WDHD1;USP1;SMC2;TYMS;TOP2A;CCNA2;RBL1;TTK;MCM4;DEK;BRCA1;TMPO;MKI67;CENPF;PRIM1;DNA2;KIF11;BLM;POLE;CHAF1B;GINS1;TRIP13;EZH2;ERCC6L;CEP55;SGO1;FIGNL1;SASS6;MMS22L;MCM10;NCAPG2;SHCBP1;RAD54L;RAD51AP1;SKA1;MASTL;CENPN;SPAG5;NCAPG;CENPK;NUP85;ZWILCH;INCENP;ANLN;SMC4;FANCI;LYAR;DTL;TIMELESS;EXO1;TCF19</t>
  </si>
  <si>
    <t>8317;6790;2189;332;699;701;10721;11130;24137;10592;9232;7298;203068;4605;7153;891;1503;890;6240;898;790;6241;4173;4174;5984;7913;4436;4288;1058;1063;4171;8833;3068;4751;2956;641;1434;2305;10036;6502;9833;9837;23397;9768;9918;9928;9787;9319;1994;54821;55143;54892;146909;259266;55355;79801;26586;11073;23165;64151;55706;51203;29127;81620;81539;1894;79968;3070;55215;26271;22974;11198;10460</t>
  </si>
  <si>
    <t>CDC7;AURKA;FANCG;BIRC5;BUB1;BUB1B;POLQ;ZWINT;KIF4A;SMC2;PTTG1;TYMS;TUBB;MYBL2;TOP2A;CCNB1;CTPS1;CCNA2;RRM1;CCNE1;CAD;RRM2;MCM4;MCM5;RFC4;DEK;MSH2;MKI67;CENPA;CENPF;MCM2;GMPS;HDGF;NEK2;MSH6;BLM;CSE1L;FOXM1;CHAF1A;SKP2;MELK;GINS1;NCAPH;PCLAF;NCAPD2;KIF14;DLGAP5;TRIP13;ELAVL1;ERCC6L;CDCA8;NCAPG2;KIF18B;ASPM;HJURP;SHCBP1;CKAP2;TOPBP1;NUP205;NCAPG;NDC1;NUSAP1;RACGAP1;CDT1;SLC38A1;ECT2;WDR76;HELLS;FANCI;FBXO5;TPX2;SUPT16H;TACC3</t>
  </si>
  <si>
    <t>CASORELLI_ACUTE_PROMYELOCYTIC_LEUKEMIA_DN</t>
  </si>
  <si>
    <t>1111;10403;6790;5496;332;9055;701;3161;10721;8318;11169;9401;9133;11130;10112;24137;7083;7298;983;203068;7153;891;1503;890;4172;5933;993;995;6241;4173;4174;4176;5984;4521;672;2237;5983;4288;1058;1063;4171;8833;4751;4670;3838;3832;5347;1434;1163;6733;1062;84823;2305;6749;991;10036;8683;4998;2967;23649;9700;9833;9837;3837;23397;9787;6491;9319;1033;55165;80178;259266;23234;8438;93594;9212;55771;10615;11004;990;64151;84296;79075;3833;51203;81539;3070;56992;79019;10051;55215;51512;29893;8914;51659;25788</t>
  </si>
  <si>
    <t>CHEK1;NDC80;AURKA;PPM1G;BIRC5;PRC1;BUB1B;HMMR;POLQ;CDC45;WDHD1;RECQL4;CCNB2;ZWINT;KIF20A;KIF4A;TK1;TYMS;CDK1;TUBB;TOP2A;CCNB1;CTPS1;CCNA2;MCM3;RBL1;CDC25A;CDC25C;RRM2;MCM4;MCM5;MCM7;RFC4;NUDT1;BRCA1;FEN1;RFC3;MKI67;CENPA;CENPF;MCM2;GMPS;NEK2;HNRNPM;KPNA2;KIF11;PLK1;CSE1L;CKS1B;SRPK2;CENPE;LMNB2;FOXM1;SSRP1;CDC20;CHAF1A;SRSF9;ORC1;GTF2H3;POLA2;ESPL1;MELK;GINS1;KPNB1;NCAPH;DLGAP5;STIL;TRIP13;CDKN3;CEP55;TEDC2;ASPM;DNAJC9;RAD54L;TBC1D31;AURKB;PRR11;SPAG5;KIF2C;CDC6;NCAPG;GINS4;DSCC1;KIFC1;NUSAP1;SLC38A1;HELLS;KIF15;CENPM;SMC4;FANCI;GTSE1;PSMC3IP;TIMELESS;GINS2;RAD54B</t>
  </si>
  <si>
    <t>http://www.broadinstitute.org/gsea/msigdb/cards/CASORELLI_ACUTE_PROMYELOCYTIC_LEUKEMIA_DN.html</t>
  </si>
  <si>
    <t>5717;8317;2189;11339;9055;7398;11130;9134;983;1503;890;7283;6240;898;4172;790;10105;6241;4173;4174;5982;672;2237;5985;5983;899;23310;5902;4171;1763;1434;5427;9493;84823;5888;10036;4085;6502;23649;4175;9833;23076;9837;9768;6491;9319;27338;54821;23590;55388;55355;79801;23234;23165;10635;55839;55872;9088;580;990;64785;79902;51203;55055;55732;55215;55723;55010;29893;10926;26271;22974;9156;51659;23594</t>
  </si>
  <si>
    <t>PSMD11;CDC7;FANCG;OIP5;PRC1;USP1;ZWINT;CCNE2;CDK1;CTPS1;CCNA2;TUBG1;RRM1;CCNE1;MCM3;CAD;PPIF;RRM2;MCM4;MCM5;RFC2;BRCA1;FEN1;RFC5;RFC3;CCNF;NCAPD3;RANBP1;MCM2;DNA2;CSE1L;POLE2;AC027237.1;LMNB2;RAD51;CHAF1A;MAD2L1;SKP2;POLA2;MCM6;MELK;RRP1B;GINS1;PCLAF;STIL;TRIP13;UBE2S;ERCC6L;PDSS1;MCM10;HJURP;SHCBP1;DNAJC9;NUP205;RAD51AP1;CENPN;PBK;PKMYT1;BARD1;CDC6;GINS3;NUP85;NUSAP1;ZWILCH;C1orf112;FANCI;ASF1B;PARPBP;PSMC3IP;DBF4;FBXO5;TPX2;EXO1;GINS2;ORC6</t>
  </si>
  <si>
    <t>8317;1871;23306;1111;10403;9055;701;11169;11130;9134;7298;983;7153;5111;7374;890;6240;3148;6241;7272;4173;5983;899;7112;1063;1763;3832;5427;1062;9493;4085;6996;9833;9837;9768;9787;2146;55165;151246;157570;63979;29028;79682;195828;219988;7444;146909;55345;151188;57082;55789;23234;10635;84930;55771;55872;29128;64151;64105;55706;79075;83990;51203;83540;29127;1894;54443;3070;56992;81624;10051;55215;55010;51514;10926</t>
  </si>
  <si>
    <t>CDC7;E2F3;NEMP1;CHEK1;NDC80;PRC1;BUB1B;WDHD1;ZWINT;CCNE2;TYMS;CDK1;TOP2A;PCNA;UNG;CCNA2;RRM1;HMGB2;RRM2;TTK;MCM4;RFC3;CCNF;TMPO;CENPF;DNA2;KIF11;POLE2;CENPE;AC027237.1;MAD2L1;TDG;MELK;GINS1;PCLAF;DLGAP5;EZH2;CEP55;SGO2;ESCO2;FIGNL1;ATAD2;CENPU;ZNF367;PATL1;VRK2;KIF18B;ZGRF1;ARL6IP6;KNL1;DEPDC1B;DNAJC9;RAD51AP1;MASTL;PRR11;PBK;UHRF1;NCAPG;CENPK;NDC1;DSCC1;BRIP1;NUSAP1;NUF2;RACGAP1;ECT2;ANLN;HELLS;KIF15;DIAPH3;SMC4;FANCI;PARPBP;DTL;DBF4</t>
  </si>
  <si>
    <t>10212;8317;10733;11065;23306;10403;6790;3161;7398;11130;10592;983;4605;7153;5111;7374;6929;890;4001;6240;1786;3148;790;4173;4174;5984;7913;672;5983;899;7112;4436;4288;1058;4171;9735;1763;675;641;5426;2305;991;10036;4085;6502;4175;9700;9837;9768;9918;2146;27338;23234;11073;9125;8438;10635;9212;9585;3833;57405;10051;55215;51512;8914</t>
  </si>
  <si>
    <t>DDX39A;CDC7;PLK4;UBE2C;NEMP1;NDC80;AURKA;HMMR;USP1;ZWINT;SMC2;CDK1;MYBL2;TOP2A;PCNA;UNG;TCF3;CCNA2;LMNB1;RRM1;DNMT1;HMGB2;CAD;MCM4;MCM5;RFC4;DEK;BRCA1;RFC3;CCNF;TMPO;MSH2;MKI67;CENPA;MCM2;KNTC1;DNA2;BRCA2;BLM;POLE;FOXM1;CDC20;CHAF1A;MAD2L1;SKP2;MCM6;ESPL1;GINS1;PCLAF;NCAPD2;EZH2;UBE2S;DNAJC9;TOPBP1;CNOT9;RAD54L;RAD51AP1;AURKB;KIF20B;KIFC1;SPC25;SMC4;FANCI;GTSE1;TIMELESS</t>
  </si>
  <si>
    <t>5717;8317;10733;11065;6790;332;9055;699;8318;11169;10535;9133;11130;24137;9232;7083;983;3015;4605;7153;10797;891;1503;898;3148;5933;993;6241;4174;5984;4521;672;5983;7112;1058;1063;3068;4751;3838;3832;5347;1163;1869;1062;9493;5888;5426;8208;4998;4175;9833;9928;9787;9319;2146;55143;151246;55635;157313;84722;29028;79682;219988;54892;25886;8438;55839;11004;990;3833;10293;55038;29127;81620;81610;51512;9156;6941;51659;10460</t>
  </si>
  <si>
    <t>PSMD11;CDC7;PLK4;UBE2C;AURKA;BIRC5;PRC1;BUB1;CDC45;WDHD1;RNASEH2A;CCNB2;ZWINT;KIF4A;PTTG1;TK1;CDK1;H2AFZ;MYBL2;TOP2A;MTHFD2;CCNB1;CTPS1;CCNE1;HMGB2;RBL1;CDC25A;RRM2;MCM5;RFC4;NUDT1;BRCA1;RFC3;TMPO;CENPA;CENPF;HDGF;NEK2;KPNA2;KIF11;PLK1;CKS1B;E2F1;CENPE;AC027237.1;RAD51;POLE;CHAF1B;ORC1;MCM6;MELK;KIF14;DLGAP5;TRIP13;EZH2;CDCA8;SGO2;DEPDC1;CDCA2;PSRC1;ATAD2;CENPU;PATL1;NCAPG2;POC1A;RAD54L;CENPN;KIF2C;CDC6;KIFC1;TRAIP;CDCA4;RACGAP1;CDT1;FAM83D;GTSE1;EXO1;TCF19;GINS2;TACC3</t>
  </si>
  <si>
    <t>8317;10733;1871;1111;10403;8520;6790;5496;332;699;701;11169;9133;10112;24137;10592;983;4605;7153;5111;10797;4691;890;4001;1841;6240;4172;1786;3148;6241;7272;4173;4174;4176;7913;5983;899;4436;5557;5558;4171;4751;3838;3832;5347;641;1434;5427;1163;9493;991;10036;4085;4998;23397;9918;9787;9319;1033;54821;55143;26586;113130;9212;10615;83461;990;51203;29127;3070;10051;51512;51514;10926;9156;6941;65003</t>
  </si>
  <si>
    <t>CDC7;PLK4;E2F3;CHEK1;NDC80;HAT1;AURKA;PPM1G;BIRC5;BUB1;BUB1B;WDHD1;CCNB2;KIF20A;KIF4A;SMC2;CDK1;MYBL2;TOP2A;PCNA;MTHFD2;NCL;CCNA2;LMNB1;DTYMK;RRM1;MCM3;DNMT1;HMGB2;RRM2;TTK;MCM4;MCM5;MCM7;DEK;RFC3;CCNF;MSH2;PRIM1;PRIM2;MCM2;NEK2;KPNA2;KIF11;PLK1;BLM;CSE1L;POLE2;CKS1B;AC027237.1;CDC20;CHAF1A;MAD2L1;ORC1;NCAPH;NCAPD2;DLGAP5;TRIP13;CDKN3;ERCC6L;CDCA8;CKAP2;CDCA5;AURKB;SPAG5;CDCA3;CDC6;NUSAP1;RACGAP1;HELLS;SMC4;GTSE1;DTL;DBF4;EXO1;TCF19;MRPL11</t>
  </si>
  <si>
    <t>http://www.broadinstitute.org/gsea/msigdb/cards/WONG_EMBRYONIC_STEM_CELL_CORE.html</t>
  </si>
  <si>
    <t>79733;10733;1871;11065;23306;1111;2189;699;3161;8318;9401;7398;11130;9232;7083;7298;983;203068;200933;4605;7153;5111;890;7283;6240;4172;993;6241;4173;4174;5984;7913;4521;2237;7112;1063;5557;5558;6878;9735;4751;3838;3832;5347;1163;1869;9493;84823;10024;991;10036;4085;6502;1870;4175;9700;3837;9918;9787;9319;2146;1033;27338;55165;55143;157570;387103;29028;79682;55656;653820;54892;84904;55355;55789;23165;113130;55872;9585;9088;990;10293;51203;83540;55055;29089;3070;79019;10051;55723;29980;54069;51514;22974;90417;11198;10460</t>
  </si>
  <si>
    <t>E2F8;PLK4;E2F3;UBE2C;NEMP1;CHEK1;FANCG;BUB1;HMMR;CDC45;RECQL4;USP1;ZWINT;PTTG1;TK1;TYMS;CDK1;TUBB;FBXO45;MYBL2;TOP2A;PCNA;CCNA2;TUBG1;RRM1;MCM3;CDC25A;RRM2;MCM4;MCM5;RFC4;DEK;NUDT1;FEN1;TMPO;CENPF;PRIM1;PRIM2;TAF6;KNTC1;NEK2;KPNA2;KIF11;PLK1;CKS1B;E2F1;AC027237.1;LMNB2;TROAP;CDC20;CHAF1A;MAD2L1;SKP2;E2F2;MCM6;ESPL1;KPNB1;NCAPD2;DLGAP5;TRIP13;EZH2;CDKN3;UBE2S;CEP55;CDCA8;ESCO2;CENPW;ATAD2;CENPU;INTS8;FAM72B;NCAPG2;ARHGEF39;HJURP;DEPDC1B;NUP205;CDCA5;PBK;KIF20B;PKMYT1;CDC6;TRAIP;NUSAP1;NUF2;ZWILCH;UBE2T;HELLS;CENPM;SMC4;ASF1B;DONSON;MIS18A;DTL;TPX2;KNSTRN;SUPT16H;TACC3</t>
  </si>
  <si>
    <t>79733;10212;10733;1871;23306;1111;8520;6790;2175;6839;699;8318;11169;7398;11130;86;9134;7374;10797;1503;6240;898;4172;1786;790;993;10105;6241;7272;4173;4174;4176;672;2237;23310;5902;4171;8833;1763;3838;2956;641;1434;5427;1163;84823;5888;1479;8208;4085;6502;6996;4175;9833;23076;9837;3837;9768;9319;2146;387103;151648;23590;79866;63979;29028;253714;80178;55388;221150;162681;151188;2187;57650;11073;23165;2491;3066;144455;10635;79915;29128;990;55706;79902;10293;81620;64858;55055;79968;63967;3070;55732;55723;55646;29980;54069;51514;29893;10926;9156;23594</t>
  </si>
  <si>
    <t>E2F8;DDX39A;PLK4;E2F3;NEMP1;CHEK1;HAT1;AURKA;FANCA;SUV39H1;BUB1;CDC45;WDHD1;USP1;ZWINT;ACTL6A;CCNE2;UNG;MTHFD2;CTPS1;RRM1;CCNE1;MCM3;DNMT1;CAD;CDC25A;PPIF;RRM2;TTK;MCM4;MCM5;MCM7;BRCA1;FEN1;NCAPD3;RANBP1;MCM2;GMPS;DNA2;KPNA2;MSH6;BLM;CSE1L;POLE2;CKS1B;LMNB2;RAD51;CSTF3;CHAF1B;MAD2L1;SKP2;TDG;MCM6;MELK;RRP1B;GINS1;KPNB1;PCLAF;TRIP13;EZH2;CENPW;SGO1;PDSS1;BORA;FIGNL1;ATAD2;MMS22L;TEDC2;MCM10;SKA3;C18orf54;ARL6IP6;FANCB;CIP2A;TOPBP1;NUP205;CENPI;HDAC2;E2F7;RAD51AP1;ATAD5;UHRF1;CDC6;NDC1;NUP85;TRAIP;CDT1;DCLRE1B;ZWILCH;WDR76;CLSPN;HELLS;C1orf112;ASF1B;LYAR;DONSON;MIS18A;DTL;PSMC3IP;DBF4;EXO1;ORC6</t>
  </si>
  <si>
    <t>1111;10403;10721;11169;11130;10592;3015;7153;891;1503;890;4001;3148;672;2237;7112;1063;9735;3838;641;5427;1062;9493;10036;9700;9833;23397;9768;9918;9787;1033;55165;151246;9824;29028;79682;54892;55355;57082;81930;26586;93594;84991;79915;11004;990;64151;64105;55706;79075;84057;83990;51203;2177;80119;57405;29089;54443;56992;55010;10926;22974;90417</t>
  </si>
  <si>
    <t>CHEK1;NDC80;POLQ;WDHD1;ZWINT;SMC2;H2AFZ;TOP2A;CCNB1;CTPS1;CCNA2;LMNB1;HMGB2;BRCA1;FEN1;TMPO;CENPF;KNTC1;KPNA2;BLM;POLE2;CENPE;AC027237.1;CHAF1A;ESPL1;MELK;NCAPH;PCLAF;NCAPD2;DLGAP5;CDKN3;CEP55;SGO2;ARHGAP11A;ATAD2;CENPU;NCAPG2;HJURP;KNL1;KIF18A;CKAP2;TBC1D31;RBM17;ATAD5;KIF2C;CDC6;NCAPG;CENPK;NDC1;DSCC1;MND1;BRIP1;NUSAP1;FANCD2;PIF1;SPC25;UBE2T;ANLN;KIF15;PARPBP;DBF4;TPX2;KNSTRN</t>
  </si>
  <si>
    <t>ODONNELL_TFRC_TARGETS_DN</t>
  </si>
  <si>
    <t>10733;10403;6790;332;9055;699;701;3161;10112;24137;983;4605;7153;891;890;6241;7272;5902;4288;1058;1063;1763;675;3832;5347;5427;1163;1062;2305;991;10036;23397;9928;9787;1033;54821;55165;151246;55635;9824;150468;259266;79801;55789;9212;990;64785;84057;2177;81610;1894;57405;54443;3070;81624;51512;10926;26271;25788;10460</t>
  </si>
  <si>
    <t>PLK4;NDC80;AURKA;BIRC5;PRC1;BUB1;BUB1B;HMMR;KIF20A;KIF4A;CDK1;MYBL2;TOP2A;CCNB1;CCNA2;RRM2;TTK;RANBP1;MKI67;CENPA;CENPF;DNA2;BRCA2;KIF11;PLK1;POLE2;CKS1B;CENPE;FOXM1;CDC20;CHAF1A;NCAPH;KIF14;DLGAP5;CDKN3;ERCC6L;CEP55;SGO2;DEPDC1;ARHGAP11A;CKAP2L;ASPM;SHCBP1;DEPDC1B;AURKB;CDC6;GINS3;MND1;FANCD2;FAM83D;ECT2;SPC25;ANLN;HELLS;DIAPH3;GTSE1;DBF4;FBXO5;RAD54B;TACC3</t>
  </si>
  <si>
    <t>http://www.broadinstitute.org/gsea/msigdb/cards/ODONNELL_TFRC_TARGETS_DN.html</t>
  </si>
  <si>
    <t>10733;6790;6839;7516;8562;701;22995;24137;9134;203068;4605;7374;891;890;4001;4172;993;6241;5982;2237;5983;899;4288;1058;1063;1763;4751;3832;5347;1062;5888;5426;2305;6502;9833;3837;9928;6491;9319;27338;348654;157313;728833;9824;84722;79866;63979;253714;90381;150468;162681;147841;79801;80174;83903;8438;220134;9212;84991;9585;79915;9088;11004;580;64785;55706;79172;3833;83990;51203;2177;63967;3070;56992;55723;55010;54069;51512;51514;29893;27339;6941</t>
  </si>
  <si>
    <t>PLK4;AURKA;SUV39H1;XRCC2;DENR;BUB1B;CEP152;KIF4A;CCNE2;TUBB;MYBL2;UNG;CCNB1;CCNA2;LMNB1;MCM3;CDC25A;RRM2;RFC2;FEN1;RFC3;CCNF;MKI67;CENPA;CENPF;DNA2;NEK2;KIF11;PLK1;CENPE;RAD51;POLE;FOXM1;SKP2;MELK;KPNB1;KIF14;STIL;TRIP13;UBE2S;GEN1;CDCA2;FAM72D;ARHGAP11A;PSRC1;BORA;FIGNL1;MMS22L;TICRR;CKAP2L;C18orf54;SPC24;SHCBP1;DBF4B;HASPIN;RAD54L;SKA1;AURKB;RBM17;KIF20B;ATAD5;PKMYT1;KIF2C;BARD1;GINS3;NDC1;CENPO;KIFC1;BRIP1;NUSAP1;FANCD2;CLSPN;HELLS;KIF15;ASF1B;PARPBP;MIS18A;GTSE1;DTL;PSMC3IP;PRPF19;TCF19</t>
  </si>
  <si>
    <t>79733;8317;10733;23306;701;3161;10721;7398;10112;10592;7374;4001;898;4172;993;7272;5984;7913;672;2237;7112;4288;1058;1063;5557;675;2956;641;1062;9493;84823;5888;10024;991;4085;4998;6996;23649;4175;23397;9928;9787;6491;9319;1033;348654;54821;55165;151246;157570;343099;55635;286826;9824;84722;79866;29028;374393;163786;55388;90381;150468;162681;259266;55355;80174;57082;201299;81930;55247;83903;11073;2491;146956;220134;93594;375444;9585;79915;580;64105;3833;10293;83990;55038;83540;29127;81610;80119;1894;79968;63967;54443;56992;55732;10051;55215;51514;29893;26271;25788</t>
  </si>
  <si>
    <t>E2F8;CDC7;PLK4;NEMP1;BUB1B;HMMR;POLQ;USP1;KIF20A;SMC2;UNG;LMNB1;CCNE1;MCM3;CDC25A;TTK;RFC4;DEK;BRCA1;FEN1;TMPO;MKI67;CENPA;CENPF;PRIM1;BRCA2;MSH6;BLM;CENPE;AC027237.1;LMNB2;RAD51;TROAP;CDC20;MAD2L1;ORC1;TDG;POLA2;MCM6;NCAPH;KIF14;DLGAP5;STIL;TRIP13;CDKN3;GEN1;ERCC6L;CEP55;SGO2;ESCO2;CCDC18;DEPDC1;LIN9;ARHGAP11A;PSRC1;BORA;ATAD2;FAM111B;SASS6;MCM10;TICRR;CKAP2L;C18orf54;ASPM;HJURP;DBF4B;KNL1;RDM1;KIF18A;NEIL3;HASPIN;TOPBP1;CENPI;EME1;SKA1;TBC1D31;C5orf34;KIF20B;ATAD5;BARD1;CENPK;KIFC1;TRAIP;BRIP1;CDCA4;NUF2;RACGAP1;FAM83D;PIF1;ECT2;WDR76;CLSPN;ANLN;KIF15;C1orf112;SMC4;FANCI;DTL;PSMC3IP;FBXO5;RAD54B</t>
  </si>
  <si>
    <t>RUIZ_TNC_TARGETS_DN</t>
  </si>
  <si>
    <t>79733;11065;332;11339;8318;7398;11130;9134;7298;983;1503;890;898;4172;993;6241;4173;4174;4176;5984;2237;7112;5557;4171;641;1869;2305;4085;4998;4175;9833;9837;9319;23590;29028;79682;55388;54892;55355;79801;23234;8438;10635;9212;55872;11004;580;990;64785;79075;81539;79000;55055;57405;55215;55723;51514;9156;51659;25788</t>
  </si>
  <si>
    <t>E2F8;UBE2C;BIRC5;OIP5;CDC45;USP1;ZWINT;CCNE2;TYMS;CDK1;CTPS1;CCNA2;CCNE1;MCM3;CDC25A;RRM2;MCM4;MCM5;MCM7;RFC4;FEN1;TMPO;PRIM1;MCM2;BLM;E2F1;FOXM1;MAD2L1;ORC1;MCM6;MELK;GINS1;TRIP13;PDSS1;ATAD2;CENPU;MCM10;NCAPG2;HJURP;SHCBP1;DNAJC9;RAD54L;RAD51AP1;AURKB;PBK;KIF2C;BARD1;CDC6;GINS3;DSCC1;SLC38A1;AUNIP;ZWILCH;SPC25;FANCI;ASF1B;DTL;EXO1;GINS2;RAD54B</t>
  </si>
  <si>
    <t>http://www.broadinstitute.org/gsea/msigdb/cards/RUIZ_TNC_TARGETS_DN.html</t>
  </si>
  <si>
    <t>KANG_DOXORUBICIN_RESISTANCE_UP</t>
  </si>
  <si>
    <t>10733;23306;6790;332;11339;9055;699;701;3161;10721;11130;24137;7083;7298;983;7153;4001;1841;6240;3148;6241;4173;5984;4288;1058;5347;2305;991;4085;23649;9837;9768;1033;55143;29028;54892;259266;55355;10635;55872;580;990;64151;79075;51203;79019;55215;55723;22974</t>
  </si>
  <si>
    <t>PLK4;NEMP1;AURKA;BIRC5;OIP5;PRC1;BUB1;BUB1B;HMMR;POLQ;ZWINT;KIF4A;TK1;TYMS;CDK1;TOP2A;LMNB1;DTYMK;RRM1;HMGB2;RRM2;MCM4;RFC4;MKI67;CENPA;PLK1;FOXM1;CDC20;MAD2L1;POLA2;GINS1;PCLAF;CDKN3;CDCA8;ATAD2;NCAPG2;ASPM;HJURP;RAD51AP1;PBK;BARD1;CDC6;NCAPG;DSCC1;NUSAP1;CENPM;FANCI;ASF1B;TPX2</t>
  </si>
  <si>
    <t>http://www.broadinstitute.org/gsea/msigdb/cards/KANG_DOXORUBICIN_RESISTANCE_UP.html</t>
  </si>
  <si>
    <t>CROONQUIST_NRAS_SIGNALING_DN</t>
  </si>
  <si>
    <t>10733;11065;1111;10403;6790;11339;701;9133;11130;10592;9232;7083;983;4605;7153;5111;891;890;4001;4172;3148;995;4173;4176;5984;5983;4288;1058;4171;3832;5347;1434;1163;2305;991;10036;9837;23397;9768;6491;9319;1033;9212;10615;11004;990;10293;57405;10051;22974;9156</t>
  </si>
  <si>
    <t>PLK4;UBE2C;CHEK1;NDC80;AURKA;OIP5;BUB1B;CCNB2;ZWINT;SMC2;PTTG1;TK1;CDK1;MYBL2;TOP2A;PCNA;CCNB1;CCNA2;LMNB1;MCM3;HMGB2;CDC25C;MCM4;MCM7;RFC4;RFC3;MKI67;CENPA;MCM2;KIF11;PLK1;CSE1L;CKS1B;FOXM1;CDC20;CHAF1A;GINS1;NCAPH;PCLAF;STIL;TRIP13;CDKN3;AURKB;SPAG5;KIF2C;CDC6;TRAIP;SPC25;SMC4;TPX2;EXO1</t>
  </si>
  <si>
    <t>http://www.broadinstitute.org/gsea/msigdb/cards/CROONQUIST_NRAS_SIGNALING_DN.html</t>
  </si>
  <si>
    <t>5717;8317;1871;10403;332;5709;699;701;8318;11130;10112;1017;4172;4173;4174;4176;1058;5557;5558;4171;9735;5347;5427;1869;9493;5426;991;4085;4998;23649;1870;4175;54821;55143;151246;151648;79682;55388;91687;147841;57082;81930;2491;220134;9212;55839;11004;990;64105;79172;79902;83540;81620;64946;55055;57405;3619;79019;10926;26271;23594</t>
  </si>
  <si>
    <t>PSMD11;CDC7;E2F3;NDC80;BIRC5;PSMD3;BUB1;BUB1B;CDC45;ZWINT;KIF20A;CDK2;MCM3;MCM4;MCM5;MCM7;CENPA;PRIM1;PRIM2;MCM2;KNTC1;PLK1;POLE2;E2F1;AC027237.1;POLE;CDC20;MAD2L1;ORC1;POLA2;E2F2;MCM6;ERCC6L;CDCA8;SGO2;SGO1;CENPU;MCM10;CENPL;SPC24;KNL1;KIF18A;CENPI;SKA1;AURKB;CENPN;KIF2C;CDC6;CENPK;CENPO;NUP85;NUF2;CDT1;CENPH;ZWILCH;SPC25;INCENP;CENPM;DBF4;FBXO5;ORC6</t>
  </si>
  <si>
    <t>ZHENG_GLIOBLASTOMA_PLASTICITY_UP</t>
  </si>
  <si>
    <t>10212;10733;10403;6790;332;9055;699;8318;7398;9133;24137;10592;7083;7153;10797;891;1503;4001;6240;4172;5933;6241;4173;4174;5984;2237;899;4171;5347;1163;9493;5888;5426;991;4085;4175;9833;9768;55143;151246;63979;195828;259266;79801;81930;8438;144455;10635;9212;55839;10615;29128;83461;51203;83540;29127;81620;1894;63967;57405;29089;3619;54443;3070;10926;22974;9156</t>
  </si>
  <si>
    <t>DDX39A;PLK4;NDC80;AURKA;BIRC5;PRC1;BUB1;CDC45;USP1;CCNB2;KIF4A;SMC2;TK1;TOP2A;MTHFD2;CCNB1;CTPS1;LMNB1;RRM1;MCM3;RBL1;RRM2;MCM4;MCM5;RFC4;FEN1;CCNF;MCM2;PLK1;CKS1B;AC027237.1;RAD51;POLE;CDC20;MAD2L1;MCM6;MELK;PCLAF;CDCA8;SGO2;FIGNL1;ZNF367;ASPM;SHCBP1;KIF18A;RAD54L;E2F7;RAD51AP1;AURKB;CENPN;SPAG5;UHRF1;CDCA3;NUSAP1;NUF2;RACGAP1;CDT1;ECT2;CLSPN;SPC25;UBE2T;INCENP;ANLN;HELLS;DBF4;TPX2;EXO1</t>
  </si>
  <si>
    <t>http://www.broadinstitute.org/gsea/msigdb/cards/ZHENG_GLIOBLASTOMA_PLASTICITY_UP.html</t>
  </si>
  <si>
    <t>FOURNIER_ACINAR_DEVELOPMENT_LATE_2</t>
  </si>
  <si>
    <t>8317;10403;8520;6790;332;9055;10721;8318;10535;7398;11130;24137;9232;983;3015;7283;1017;4172;790;993;6241;7272;4173;4176;2237;5983;899;7112;5902;1058;4171;2956;5347;641;1434;1163;2305;10036;6502;4175;9833;9837;9319;1033;55635;54892;259266;55355;23234;23165;55839;83461;11004;580;990;55706;79902;51203;29127;10051;55215;51514;10926;8914;51659;11198</t>
  </si>
  <si>
    <t>CDC7;NDC80;HAT1;AURKA;BIRC5;PRC1;POLQ;CDC45;RNASEH2A;USP1;ZWINT;KIF4A;PTTG1;CDK1;H2AFZ;TUBG1;CDK2;MCM3;CAD;CDC25A;RRM2;TTK;MCM4;MCM7;FEN1;RFC3;CCNF;TMPO;RANBP1;CENPA;MCM2;MSH6;PLK1;BLM;CSE1L;CKS1B;FOXM1;CHAF1A;SKP2;MCM6;MELK;GINS1;TRIP13;CDKN3;DEPDC1;NCAPG2;ASPM;HJURP;DNAJC9;NUP205;CENPN;CDCA3;KIF2C;BARD1;CDC6;NDC1;NUP85;NUSAP1;RACGAP1;SMC4;FANCI;DTL;DBF4;TIMELESS;GINS2;SUPT16H</t>
  </si>
  <si>
    <t>http://www.broadinstitute.org/gsea/msigdb/cards/FOURNIER_ACINAR_DEVELOPMENT_LATE_2.html</t>
  </si>
  <si>
    <t>MISSIAGLIA_REGULATED_BY_METHYLATION_DN</t>
  </si>
  <si>
    <t>11065;1111;8520;6790;9055;701;8318;10535;11130;10592;7083;7298;983;3015;890;4001;1841;6240;1786;3148;790;995;4174;5984;7913;5985;7112;23310;5902;4288;1063;5557;8833;9735;4751;2956;1434;1062;9493;2305;9700;23397;9768;9928;9787;2146;1033;990;3833;51203;81620;79019;10051</t>
  </si>
  <si>
    <t>UBE2C;CHEK1;HAT1;AURKA;PRC1;BUB1B;CDC45;RNASEH2A;ZWINT;SMC2;TK1;TYMS;CDK1;H2AFZ;CCNA2;LMNB1;DTYMK;RRM1;DNMT1;HMGB2;CAD;CDC25C;MCM5;RFC4;DEK;RFC5;TMPO;NCAPD3;RANBP1;MKI67;CENPF;PRIM1;GMPS;KNTC1;NEK2;MSH6;CSE1L;CENPE;AC027237.1;FOXM1;ESPL1;NCAPH;PCLAF;KIF14;DLGAP5;EZH2;CDKN3;CDC6;KIFC1;NUSAP1;CDT1;CENPM;SMC4</t>
  </si>
  <si>
    <t>http://www.broadinstitute.org/gsea/msigdb/cards/MISSIAGLIA_REGULATED_BY_METHYLATION_DN.html</t>
  </si>
  <si>
    <t>CHEMNITZ_RESPONSE_TO_PROSTAGLANDIN_E2_UP</t>
  </si>
  <si>
    <t>11065;3797;6790;332;9055;699;701;8318;10535;9133;10112;9232;7083;7153;10797;891;4001;6241;7272;4173;4288;1063;8833;1062;10036;23397;9768;9787;1033;27338;151246;29028;84798;79682;128239;55345;221150;220042;259266;55355;57082;55771;10615;29128;580;990;64151;54478;83990;51203;79968;10051;55723;51512;22974</t>
  </si>
  <si>
    <t>UBE2C;KIF3C;AURKA;BIRC5;PRC1;BUB1;BUB1B;CDC45;RNASEH2A;CCNB2;KIF20A;PTTG1;TK1;TOP2A;MTHFD2;CCNB1;LMNB1;RRM2;TTK;MCM4;MKI67;CENPF;GMPS;CENPE;CHAF1A;NCAPH;PCLAF;DLGAP5;CDKN3;UBE2S;SGO2;ATAD2;C19orf48;CENPU;IQGAP3;ZGRF1;SKA3;DDIAS;ASPM;HJURP;KNL1;PRR11;SPAG5;UHRF1;BARD1;CDC6;NCAPG;PIMREG;BRIP1;NUSAP1;WDR76;SMC4;ASF1B;GTSE1;TPX2</t>
  </si>
  <si>
    <t>http://www.broadinstitute.org/gsea/msigdb/cards/CHEMNITZ_RESPONSE_TO_PROSTAGLANDIN_E2_UP.html</t>
  </si>
  <si>
    <t>10733;6790;701;10535;9133;9232;983;3015;7153;5111;7374;10797;4001;6240;1017;995;7272;672;2237;5985;4436;4288;1063;5557;5558;4171;3838;2956;3832;641;1163;9493;6749;991;10036;4085;4175;9700;9833;9768;9928;9787;9319;2146;1033;23234;11073;23165;9212;10615;11004;3833;10051;55215;22974;8914</t>
  </si>
  <si>
    <t>PLK4;AURKA;BUB1B;RNASEH2A;CCNB2;PTTG1;CDK1;H2AFZ;TOP2A;PCNA;UNG;MTHFD2;LMNB1;RRM1;CDK2;CDC25C;TTK;BRCA1;FEN1;RFC5;MSH2;MKI67;CENPF;PRIM1;PRIM2;MCM2;KPNA2;MSH6;KIF11;BLM;CKS1B;AC027237.1;SSRP1;CDC20;CHAF1A;MAD2L1;MCM6;ESPL1;MELK;PCLAF;KIF14;DLGAP5;TRIP13;EZH2;CDKN3;DNAJC9;TOPBP1;NUP205;AURKB;SPAG5;KIF2C;KIFC1;SMC4;FANCI;TPX2;TIMELESS</t>
  </si>
  <si>
    <t>LE_EGR2_TARGETS_UP</t>
  </si>
  <si>
    <t>8317;10733;6790;332;9055;699;7398;9133;10112;10592;983;3015;7153;891;890;4001;6240;3148;5933;6241;4173;4174;4176;5985;4288;3838;3832;5347;1163;9493;5888;991;4085;23397;9768;2146;55143;286826;63979;128239;57650;23234;3066;29128;11004;51203;1894;29089;3619;6941</t>
  </si>
  <si>
    <t>CDC7;PLK4;AURKA;BIRC5;PRC1;BUB1;USP1;CCNB2;KIF20A;SMC2;CDK1;H2AFZ;TOP2A;CCNB1;CCNA2;LMNB1;RRM1;HMGB2;RBL1;RRM2;MCM4;MCM5;MCM7;RFC5;MKI67;KPNA2;KIF11;PLK1;CKS1B;AC027237.1;RAD51;CDC20;MAD2L1;NCAPH;PCLAF;EZH2;CDCA8;LIN9;FIGNL1;IQGAP3;CIP2A;DNAJC9;HDAC2;UHRF1;KIF2C;NUSAP1;ECT2;UBE2T;INCENP;TCF19</t>
  </si>
  <si>
    <t>http://www.broadinstitute.org/gsea/msigdb/cards/LE_EGR2_TARGETS_UP.html</t>
  </si>
  <si>
    <t>MORI_IMMATURE_B_LYMPHOCYTE_DN</t>
  </si>
  <si>
    <t>79733;11065;1111;9055;3161;8318;9133;10592;983;203068;7153;5111;10797;891;890;4001;6240;4172;1786;3148;6241;7272;4176;7112;4288;1058;5557;4171;4751;3838;1163;5888;991;4175;9833;23397;9787;2146;1033;55388;128239;91687;8438;113130;83461;51203;10051;51514</t>
  </si>
  <si>
    <t>E2F8;UBE2C;CHEK1;PRC1;HMMR;CDC45;CCNB2;SMC2;CDK1;TUBB;TOP2A;PCNA;MTHFD2;CCNB1;CCNA2;LMNB1;RRM1;MCM3;DNMT1;HMGB2;RRM2;TTK;MCM7;TMPO;MKI67;CENPA;PRIM1;MCM2;NEK2;KPNA2;CKS1B;RAD51;CDC20;MCM6;MELK;NCAPH;DLGAP5;EZH2;CDKN3;MCM10;IQGAP3;CENPL;RAD54L;CDCA5;CDCA3;NUSAP1;SMC4;DTL</t>
  </si>
  <si>
    <t>http://www.broadinstitute.org/gsea/msigdb/cards/MORI_IMMATURE_B_LYMPHOCYTE_DN.html</t>
  </si>
  <si>
    <t>10212;10733;11065;23306;1111;10403;6790;8562;701;3161;11169;7398;10592;86;983;200933;7153;10797;891;1786;7272;4173;4176;2237;7112;1058;1063;5558;4171;675;4751;3838;2956;3832;1434;1062;2305;991;4085;9833;9928;6491;27338;55165;151246;55635;286826;113115;9824;79866;63979;29028;79682;195828;348793;221150;162681;259266;57082;81930;57650;26586;11073;144455;10635;9212;55771;375444;9585;55706;51203;83540;29127;81539;1894;55055;54443;81624;10051;55646;54069;10926;22974;11198;23594</t>
  </si>
  <si>
    <t>DDX39A;PLK4;UBE2C;NEMP1;CHEK1;NDC80;AURKA;DENR;BUB1B;HMMR;WDHD1;USP1;SMC2;ACTL6A;CDK1;FBXO45;TOP2A;MTHFD2;CCNB1;DNMT1;TTK;MCM4;MCM7;FEN1;TMPO;CENPA;CENPF;PRIM2;MCM2;BRCA2;NEK2;KPNA2;MSH6;KIF11;CSE1L;CENPE;FOXM1;CDC20;MAD2L1;MELK;KIF14;STIL;UBE2S;CEP55;SGO2;DEPDC1;LIN9;MTFR2;ARHGAP11A;BORA;FIGNL1;ATAD2;CENPU;ZNF367;WDR53;SKA3;C18orf54;ASPM;KNL1;KIF18A;CIP2A;CKAP2;TOPBP1;E2F7;RAD51AP1;AURKB;PRR11;C5orf34;KIF20B;NDC1;NUSAP1;NUF2;RACGAP1;SLC38A1;ECT2;ZWILCH;ANLN;DIAPH3;SMC4;LYAR;MIS18A;DBF4;TPX2;SUPT16H;ORC6</t>
  </si>
  <si>
    <t>23306;10403;6790;8562;9055;699;701;3161;11130;10112;9232;7083;7298;5111;7374;891;890;7283;6240;4172;1786;10971;993;10105;6241;4173;4174;4176;5982;4521;9775;2237;5983;7112;1058;1063;4171;4670;2956;3832;5347;5427;9493;84823;2305;1479;4085;6502;4175;9700;9837;23397;9928;9787;9319;1033;55355;79801;23234;11073;23165;2491;10635;55839;10615;64785;79902;51203;29127;57405;10051;51512;1789;10926;26271;51659;11198</t>
  </si>
  <si>
    <t>NEMP1;NDC80;AURKA;DENR;PRC1;BUB1;BUB1B;HMMR;ZWINT;KIF20A;PTTG1;TK1;TYMS;PCNA;UNG;CCNB1;CCNA2;TUBG1;RRM1;MCM3;DNMT1;YWHAQ;CDC25A;PPIF;RRM2;MCM4;MCM5;MCM7;RFC2;NUDT1;EIF4A3;FEN1;RFC3;TMPO;CENPA;CENPF;MCM2;HNRNPM;MSH6;KIF11;PLK1;POLE2;AC027237.1;LMNB2;FOXM1;CSTF3;MAD2L1;SKP2;MCM6;ESPL1;GINS1;NCAPH;KIF14;DLGAP5;TRIP13;CDKN3;HJURP;SHCBP1;DNAJC9;TOPBP1;NUP205;CENPI;RAD51AP1;CENPN;SPAG5;GINS3;NUP85;NUSAP1;RACGAP1;SPC25;SMC4;GTSE1;DNMT3B;DBF4;FBXO5;GINS2;SUPT16H</t>
  </si>
  <si>
    <t>10212;8317;11065;23306;10403;6790;3161;10592;983;4605;7153;5111;7374;6929;890;4001;6240;1786;3148;790;4173;4174;5984;7913;672;5983;7112;4436;4171;1763;675;641;5426;991;10036;4085;6502;4175;9700;9837;9918;2146;11073;9125;8438;10635;3833;10051;55215;8914</t>
  </si>
  <si>
    <t>DDX39A;CDC7;UBE2C;NEMP1;NDC80;AURKA;HMMR;SMC2;CDK1;MYBL2;TOP2A;PCNA;UNG;TCF3;CCNA2;LMNB1;RRM1;DNMT1;HMGB2;CAD;MCM4;MCM5;RFC4;DEK;BRCA1;RFC3;TMPO;MSH2;MCM2;DNA2;BRCA2;BLM;POLE;CDC20;CHAF1A;MAD2L1;SKP2;MCM6;ESPL1;GINS1;NCAPD2;EZH2;TOPBP1;CNOT9;RAD54L;RAD51AP1;KIFC1;SMC4;FANCI;TIMELESS</t>
  </si>
  <si>
    <t>CHICAS_RB1_TARGETS_GROWING</t>
  </si>
  <si>
    <t>8317;699;701;3161;10535;7398;9133;10112;24137;10592;9134;7153;891;890;4172;7272;4173;4176;5984;7913;7112;4436;1058;1063;5557;4171;8833;4751;2956;5427;2305;6749;991;4175;9837;9768;9928;2146;1033;55143;151246;55635;63979;128239;54892;259266;57082;23234;10635;29128;64105;51203;64946;3070;10051;51512;22974;8914;51659;11198</t>
  </si>
  <si>
    <t>CDC7;BUB1;BUB1B;HMMR;RNASEH2A;USP1;CCNB2;KIF20A;KIF4A;SMC2;CCNE2;TOP2A;CCNB1;CCNA2;MCM3;TTK;MCM4;MCM7;RFC4;DEK;TMPO;MSH2;CENPA;CENPF;PRIM1;MCM2;GMPS;NEK2;MSH6;POLE2;FOXM1;SSRP1;CDC20;MCM6;GINS1;PCLAF;KIF14;EZH2;CDKN3;CDCA8;SGO2;DEPDC1;FIGNL1;IQGAP3;NCAPG2;ASPM;KNL1;DNAJC9;RAD51AP1;UHRF1;CENPK;NUSAP1;CENPH;HELLS;SMC4;GTSE1;TPX2;TIMELESS;GINS2;SUPT16H</t>
  </si>
  <si>
    <t>http://www.broadinstitute.org/gsea/msigdb/cards/CHICAS_RB1_TARGETS_GROWING.html</t>
  </si>
  <si>
    <t>FISCHER_G1_S_CELL_CYCLE</t>
  </si>
  <si>
    <t>79733;8317;1111;2189;11169;9401;7398;9134;5111;7374;898;4172;993;6241;4174;5984;5982;672;2237;4436;5557;4171;2956;641;5427;1869;5888;5426;10036;8208;23649;1870;4175;2146;29028;374393;55388;195828;151188;11073;144455;84930;580;990;79075;83990;81620;64858;79968;63967;3070;51514;9156;6941;51659</t>
  </si>
  <si>
    <t>E2F8;CDC7;CHEK1;FANCG;WDHD1;RECQL4;USP1;CCNE2;PCNA;UNG;CCNE1;MCM3;CDC25A;RRM2;MCM5;RFC4;RFC2;BRCA1;FEN1;MSH2;PRIM1;MCM2;MSH6;BLM;POLE2;E2F1;RAD51;POLE;CHAF1A;CHAF1B;POLA2;E2F2;MCM6;EZH2;ATAD2;FAM111B;MCM10;ZNF367;ARL6IP6;TOPBP1;E2F7;MASTL;BARD1;CDC6;DSCC1;BRIP1;CDT1;DCLRE1B;WDR76;CLSPN;HELLS;DTL;EXO1;TCF19;GINS2</t>
  </si>
  <si>
    <t>http://www.broadinstitute.org/gsea/msigdb/cards/FISCHER_G1_S_CELL_CYCLE.html</t>
  </si>
  <si>
    <t>1111;332;11339;699;701;3161;11169;24137;9232;983;7374;10797;891;890;4172;993;6241;4173;4174;4176;5984;7913;4521;2237;5983;7112;4436;5557;5558;4171;1763;3838;2956;1434;5427;991;10036;4998;4175;23397;9787;54821;55388;54892;55345;220042;10635;113130;9212;80179;11004;990;84296;54478;55706;79075;81620;81539;1894;57405;3070;55010;54069;1789;51659;25788</t>
  </si>
  <si>
    <t>CHEK1;BIRC5;OIP5;BUB1;BUB1B;HMMR;WDHD1;KIF4A;PTTG1;CDK1;UNG;MTHFD2;CCNB1;CCNA2;MCM3;CDC25A;RRM2;MCM4;MCM5;MCM7;RFC4;DEK;NUDT1;FEN1;RFC3;TMPO;MSH2;PRIM1;PRIM2;MCM2;DNA2;KPNA2;MSH6;CSE1L;POLE2;CDC20;CHAF1A;ORC1;MCM6;NCAPH;DLGAP5;ERCC6L;MCM10;NCAPG2;ZGRF1;DDIAS;RAD51AP1;CDCA5;AURKB;MYO19;KIF2C;CDC6;GINS4;PIMREG;NDC1;DSCC1;CDT1;SLC38A1;ECT2;SPC25;HELLS;PARPBP;MIS18A;DNMT3B;GINS2;RAD54B</t>
  </si>
  <si>
    <t>8317;10733;23306;10403;699;11130;10112;24137;9232;7153;4001;6240;993;7272;4288;9735;1763;641;1062;9493;10024;991;6996;4175;9833;23076;9837;23397;9768;9787;6491;2146;55165;55143;151246;55388;150468;81930;55789;8438;9585;83461;11004;580;64151;79172;64858;1894;54443;56992;79019;55215;22974</t>
  </si>
  <si>
    <t>CDC7;PLK4;NEMP1;NDC80;BUB1;ZWINT;KIF20A;KIF4A;PTTG1;TOP2A;LMNB1;RRM1;CDC25A;TTK;MKI67;KNTC1;DNA2;BLM;CENPE;AC027237.1;TROAP;CDC20;TDG;MCM6;MELK;RRP1B;GINS1;NCAPH;PCLAF;DLGAP5;STIL;EZH2;CEP55;CDCA8;SGO2;MCM10;CKAP2L;KIF18A;DEPDC1B;RAD54L;KIF20B;CDCA3;KIF2C;BARD1;NCAPG;CENPO;DCLRE1B;ECT2;ANLN;KIF15;CENPM;FANCI;TPX2</t>
  </si>
  <si>
    <t>ISHIDA_E2F_TARGETS</t>
  </si>
  <si>
    <t>79733;10403;9055;699;9133;10592;9232;7083;7298;983;7153;5111;891;890;6240;898;1017;4172;3148;6241;4176;2237;5983;4288;5557;1763;3838;5888;991;23397;9319;2146;151648;9212;51203;81620;29089;54443;55723;10926</t>
  </si>
  <si>
    <t>E2F8;NDC80;PRC1;BUB1;CCNB2;SMC2;PTTG1;TK1;TYMS;CDK1;TOP2A;PCNA;CCNB1;CCNA2;RRM1;CCNE1;CDK2;MCM3;HMGB2;RRM2;MCM7;FEN1;RFC3;MKI67;PRIM1;DNA2;KPNA2;RAD51;CDC20;NCAPH;TRIP13;EZH2;SGO1;AURKB;NUSAP1;CDT1;UBE2T;ANLN;ASF1B;DBF4</t>
  </si>
  <si>
    <t>http://www.broadinstitute.org/gsea/msigdb/cards/ISHIDA_E2F_TARGETS.html</t>
  </si>
  <si>
    <t>6790;332;699;701;3161;9133;10112;7083;7298;983;891;890;6241;1063;4751;5347;1163;1062;5888;991;9768;55165;55143;63979;253714;55388;54892;259266;147841;8438;113130;9212;55872;10615;83461;11004;64151;64105;51203;83540;63967;57405;22974;51659</t>
  </si>
  <si>
    <t>AURKA;BIRC5;BUB1;BUB1B;HMMR;CCNB2;KIF20A;TK1;TYMS;CDK1;CCNB1;CCNA2;RRM2;CENPF;NEK2;PLK1;CKS1B;CENPE;RAD51;CDC20;PCLAF;CEP55;CDCA8;FIGNL1;MMS22L;MCM10;NCAPG2;ASPM;SPC24;RAD54L;CDCA5;AURKB;PBK;SPAG5;CDCA3;KIF2C;NCAPG;CENPK;NUSAP1;NUF2;CLSPN;SPC25;TPX2;GINS2</t>
  </si>
  <si>
    <t>ZHAN_MULTIPLE_MYELOMA_PR_UP</t>
  </si>
  <si>
    <t>79733;11065;6790;332;9055;701;9133;7298;983;7153;891;6241;7272;5984;4751;3838;2305;9768;9928;9787;9319;2146;55388;259266;91687;147841;55789;220134;55771;79075;51203;83540;29127;55055;57405;29089;55215;22974</t>
  </si>
  <si>
    <t>E2F8;UBE2C;AURKA;BIRC5;PRC1;BUB1B;CCNB2;TYMS;CDK1;TOP2A;CCNB1;RRM2;TTK;RFC4;NEK2;KPNA2;FOXM1;PCLAF;KIF14;DLGAP5;TRIP13;EZH2;MCM10;ASPM;CENPL;SPC24;DEPDC1B;SKA1;PRR11;DSCC1;NUSAP1;NUF2;RACGAP1;ZWILCH;SPC25;UBE2T;FANCI;TPX2</t>
  </si>
  <si>
    <t>http://www.broadinstitute.org/gsea/msigdb/cards/ZHAN_MULTIPLE_MYELOMA_PR_UP.html</t>
  </si>
  <si>
    <t>10212;10733;11065;3161;7298;983;7153;5111;10797;891;1503;890;4001;7283;1841;6240;898;4172;3148;10105;6241;7272;5984;5983;899;7112;4288;1058;5557;4751;3838;3832;1434;1163;1062;9493;2305;10024;991;10036;4085;4998;6996;9700;23076;9837;9768;9928;9787;6491;9319;2146;1033;27338;11073;11004;990;3833;29893</t>
  </si>
  <si>
    <t>DDX39A;PLK4;UBE2C;HMMR;TYMS;CDK1;TOP2A;PCNA;MTHFD2;CCNB1;CTPS1;CCNA2;LMNB1;TUBG1;DTYMK;RRM1;CCNE1;MCM3;HMGB2;PPIF;RRM2;TTK;RFC4;RFC3;CCNF;TMPO;MKI67;CENPA;PRIM1;NEK2;KPNA2;KIF11;CSE1L;CKS1B;CENPE;AC027237.1;FOXM1;TROAP;CDC20;CHAF1A;MAD2L1;ORC1;TDG;ESPL1;RRP1B;GINS1;PCLAF;KIF14;DLGAP5;STIL;TRIP13;EZH2;CDKN3;UBE2S;TOPBP1;KIF2C;CDC6;KIFC1;PSMC3IP</t>
  </si>
  <si>
    <t>KAUFFMANN_MELANOMA_RELAPSE_UP</t>
  </si>
  <si>
    <t>1111;2189;2175;7516;10721;8318;10592;9232;7153;5111;4172;6241;4173;4176;5984;5982;7913;672;5985;4436;1063;2956;641;5888;10036;4085;2967;4175;55247;8438;146956;10635;990;83990;2177;10051;9156;51659;23594</t>
  </si>
  <si>
    <t>CHEK1;FANCG;FANCA;XRCC2;POLQ;CDC45;SMC2;PTTG1;TOP2A;PCNA;MCM3;RRM2;MCM4;MCM7;RFC4;RFC2;DEK;BRCA1;RFC5;MSH2;CENPF;MSH6;BLM;RAD51;CHAF1A;MAD2L1;GTF2H3;MCM6;NEIL3;RAD54L;EME1;RAD51AP1;CDC6;BRIP1;FANCD2;SMC4;EXO1;GINS2;ORC6</t>
  </si>
  <si>
    <t>http://www.broadinstitute.org/gsea/msigdb/cards/KAUFFMANN_MELANOMA_RELAPSE_UP.html</t>
  </si>
  <si>
    <t>5717;8317;1111;6790;332;701;3161;10721;8318;9401;9133;7083;983;4605;5111;7374;891;4691;890;898;4172;995;4173;4174;5984;5982;4521;2237;5985;5983;7112;4436;4171;8833;3838;2956;641;1163;1062;5888;10036;4998;4175;3837;9319;55388;8438;3066;9212;10615;79075;10293;81620;1789;22974;9156;23594</t>
  </si>
  <si>
    <t>PSMD11;CDC7;CHEK1;AURKA;BIRC5;BUB1B;HMMR;POLQ;CDC45;RECQL4;CCNB2;TK1;CDK1;MYBL2;PCNA;UNG;CCNB1;NCL;CCNA2;CCNE1;MCM3;CDC25C;MCM4;MCM5;RFC4;RFC2;NUDT1;FEN1;RFC5;RFC3;TMPO;MSH2;MCM2;GMPS;KPNA2;MSH6;BLM;CKS1B;CENPE;RAD51;CHAF1A;ORC1;MCM6;KPNB1;TRIP13;MCM10;RAD54L;HDAC2;AURKB;SPAG5;DSCC1;TRAIP;CDT1;DNMT3B;TPX2;EXO1;ORC6</t>
  </si>
  <si>
    <t>REN_BOUND_BY_E2F</t>
  </si>
  <si>
    <t>1871;1111;10403;10592;9232;7083;983;3015;7153;5111;7374;890;6240;1017;4172;5933;993;7272;4174;5984;5982;2237;5983;4436;1058;5558;1062;5888;4085;4998;23649;1870;4175;8438;580;990;10051;10926</t>
  </si>
  <si>
    <t>E2F3;CHEK1;NDC80;SMC2;PTTG1;TK1;CDK1;H2AFZ;TOP2A;PCNA;UNG;CCNA2;RRM1;CDK2;MCM3;RBL1;CDC25A;TTK;MCM5;RFC4;RFC2;FEN1;RFC3;MSH2;CENPA;PRIM2;CENPE;RAD51;MAD2L1;ORC1;POLA2;E2F2;MCM6;RAD54L;BARD1;CDC6;SMC4;DBF4</t>
  </si>
  <si>
    <t>http://www.broadinstitute.org/gsea/msigdb/cards/REN_BOUND_BY_E2F.html</t>
  </si>
  <si>
    <t>5717;11065;10403;284403;10721;983;203068;7153;890;4001;3148;995;899;7112;23310;3838;3832;9493;4085;9700;9833;23397;6491;55143;157313;84722;79866;128239;653820;221150;150468;91687;84904;55355;55247;57650;26586;9212;9585;83461;3833;10293;84057;51203;2177;81610;80119;54443;10051</t>
  </si>
  <si>
    <t>PSMD11;UBE2C;NDC80;WDR62;POLQ;CDK1;TUBB;TOP2A;CCNA2;LMNB1;HMGB2;CDC25C;CCNF;TMPO;NCAPD3;KPNA2;KIF11;AC027237.1;MAD2L1;ESPL1;MELK;NCAPH;STIL;CDCA8;CDCA2;PSRC1;BORA;IQGAP3;FAM72B;SKA3;CKAP2L;CENPL;ARHGEF39;HJURP;NEIL3;CIP2A;CKAP2;AURKB;KIF20B;CDCA3;KIFC1;TRAIP;MND1;NUSAP1;FANCD2;FAM83D;PIF1;ANLN;SMC4</t>
  </si>
  <si>
    <t>MORI_LARGE_PRE_BII_LYMPHOCYTE_UP</t>
  </si>
  <si>
    <t>79733;6790;9055;3161;9133;10592;983;203068;4605;7153;891;890;4001;6240;4172;6241;7272;4174;4176;7112;4288;1058;4171;3838;1163;1062;9493;991;4175;9833;23397;1033;27338;91687;113130;83461;29127;10051;55723;51514</t>
  </si>
  <si>
    <t>E2F8;AURKA;PRC1;HMMR;CCNB2;SMC2;CDK1;TUBB;MYBL2;TOP2A;CCNB1;CCNA2;LMNB1;RRM1;MCM3;RRM2;TTK;MCM5;MCM7;TMPO;MKI67;CENPA;MCM2;KPNA2;CKS1B;CENPE;AC027237.1;CDC20;MCM6;MELK;NCAPH;CDKN3;UBE2S;CENPL;CDCA5;CDCA3;RACGAP1;SMC4;ASF1B;DTL</t>
  </si>
  <si>
    <t>http://www.broadinstitute.org/gsea/msigdb/cards/MORI_LARGE_PRE_BII_LYMPHOCYTE_UP.html</t>
  </si>
  <si>
    <t>10212;5717;3797;6790;9055;699;701;11130;10112;9232;983;3015;7153;10797;891;898;1786;3148;790;993;995;6241;4521;5985;7112;1063;4171;4751;10376;2305;10036;6502;6996;9700;9833;9768;9928;2146;27338;146909;259266;55872;83461;11004;580;84790;29127;55055;79019;10051;55215;55010;51514;22974;23594</t>
  </si>
  <si>
    <t>DDX39A;PSMD11;KIF3C;AURKA;PRC1;BUB1;BUB1B;ZWINT;KIF20A;PTTG1;CDK1;H2AFZ;TOP2A;MTHFD2;CCNB1;CCNE1;DNMT1;HMGB2;CAD;CDC25A;CDC25C;RRM2;NUDT1;RFC5;TMPO;CENPF;MCM2;NEK2;TUBA1B;FOXM1;CHAF1A;SKP2;TDG;ESPL1;MELK;PCLAF;KIF14;EZH2;UBE2S;KIF18B;ASPM;PBK;CDCA3;KIF2C;BARD1;TUBA1C;RACGAP1;ZWILCH;CENPM;SMC4;FANCI;PARPBP;DTL;TPX2;ORC6</t>
  </si>
  <si>
    <t>10733;11065;23306;1111;6790;332;699;11169;9133;24137;7298;983;3015;891;890;4001;6240;6241;5984;9775;2237;5985;1058;1063;3832;1434;10657;6749;8683;4085;23397;9787;1994;54821;55635;55388;219988;57082;55839;55872;990;51203;29127;1894;10051;55215;55723;10926;22974;90417</t>
  </si>
  <si>
    <t>PLK4;UBE2C;NEMP1;CHEK1;AURKA;BIRC5;BUB1;WDHD1;CCNB2;KIF4A;TYMS;CDK1;H2AFZ;CCNB1;CCNA2;LMNB1;RRM1;RRM2;RFC4;EIF4A3;FEN1;RFC5;CENPA;CENPF;KIF11;CSE1L;KHDRBS1;SSRP1;SRSF9;MAD2L1;NCAPH;DLGAP5;ELAVL1;ERCC6L;DEPDC1;MCM10;PATL1;KNL1;CENPN;PBK;CDC6;NUSAP1;RACGAP1;ECT2;SMC4;FANCI;ASF1B;DBF4;TPX2;KNSTRN</t>
  </si>
  <si>
    <t>AFFAR_YY1_TARGETS_DN</t>
  </si>
  <si>
    <t>6790;332;9055;699;701;3161;9133;10112;10592;7083;7153;7374;10797;890;3148;995;7272;4173;4174;4176;5984;2237;4436;4288;1058;5347;1062;9493;10657;2305;4085;4175;9319;259266;79801;83903;10635;9212;29128;83461;11004;990;64151;29127;81620;64946;3619;3070;81624;9156;10460</t>
  </si>
  <si>
    <t>AURKA;BIRC5;PRC1;BUB1;BUB1B;HMMR;CCNB2;KIF20A;SMC2;TK1;TOP2A;UNG;MTHFD2;CCNA2;HMGB2;CDC25C;TTK;MCM4;MCM5;MCM7;RFC4;FEN1;MSH2;MKI67;CENPA;PLK1;CENPE;AC027237.1;KHDRBS1;FOXM1;MAD2L1;MCM6;TRIP13;ASPM;SHCBP1;HASPIN;RAD51AP1;AURKB;UHRF1;CDCA3;KIF2C;CDC6;NCAPG;RACGAP1;CDT1;CENPH;INCENP;HELLS;DIAPH3;EXO1;TACC3</t>
  </si>
  <si>
    <t>http://www.broadinstitute.org/gsea/msigdb/cards/AFFAR_YY1_TARGETS_DN.html</t>
  </si>
  <si>
    <t>WHITFIELD_CELL_CYCLE_LITERATURE</t>
  </si>
  <si>
    <t>6790;332;699;701;8318;9133;10112;9134;7298;983;7153;5111;891;890;6240;898;993;995;6241;672;899;4436;1058;1063;4171;675;5347;1869;991;4175;1033;84722;990;29127</t>
  </si>
  <si>
    <t>AURKA;BIRC5;BUB1;BUB1B;CDC45;CCNB2;KIF20A;CCNE2;TYMS;CDK1;TOP2A;PCNA;CCNB1;CCNA2;RRM1;CCNE1;CDC25A;CDC25C;RRM2;BRCA1;CCNF;MSH2;CENPA;CENPF;MCM2;BRCA2;PLK1;E2F1;CDC20;MCM6;CDKN3;PSRC1;CDC6;RACGAP1</t>
  </si>
  <si>
    <t>http://www.broadinstitute.org/gsea/msigdb/cards/WHITFIELD_CELL_CYCLE_LITERATURE.html</t>
  </si>
  <si>
    <t>WU_APOPTOSIS_BY_CDKN1A_VIA_TP53</t>
  </si>
  <si>
    <t>11065;1111;6790;9055;699;11169;10592;7298;983;7153;891;6240;4172;3148;7272;4173;4176;23310;4288;4171;9735;4175;9787;55165;29028;259266;9212;55872;64151;29127;29089;54443;55215;22974;9156</t>
  </si>
  <si>
    <t>UBE2C;CHEK1;AURKA;PRC1;BUB1;WDHD1;SMC2;TYMS;CDK1;TOP2A;CCNB1;RRM1;MCM3;HMGB2;TTK;MCM4;MCM7;NCAPD3;MKI67;MCM2;KNTC1;MCM6;DLGAP5;CEP55;ATAD2;ASPM;AURKB;PBK;NCAPG;RACGAP1;UBE2T;ANLN;FANCI;TPX2;EXO1</t>
  </si>
  <si>
    <t>http://www.broadinstitute.org/gsea/msigdb/cards/WU_APOPTOSIS_BY_CDKN1A_VIA_TP53.html</t>
  </si>
  <si>
    <t>FURUKAWA_DUSP6_TARGETS_PCI35_DN</t>
  </si>
  <si>
    <t>6790;9055;10721;9133;9134;891;890;6240;4173;4174;5984;1058;1063;5557;3832;641;9918;9787;6491;55165;23590;113115;9824;55355;79801;26586;9212;55872;9585;11004;64151;51203;29127;51514;22974;90417;23594</t>
  </si>
  <si>
    <t>AURKA;PRC1;POLQ;CCNB2;CCNE2;CCNB1;CCNA2;RRM1;MCM4;MCM5;RFC4;CENPA;CENPF;PRIM1;KIF11;BLM;NCAPD2;DLGAP5;STIL;CEP55;PDSS1;MTFR2;ARHGAP11A;HJURP;SHCBP1;CKAP2;AURKB;PBK;KIF20B;KIF2C;NCAPG;NUSAP1;RACGAP1;DTL;TPX2;KNSTRN;ORC6</t>
  </si>
  <si>
    <t>http://www.broadinstitute.org/gsea/msigdb/cards/FURUKAWA_DUSP6_TARGETS_PCI35_DN.html</t>
  </si>
  <si>
    <t>TANG_SENESCENCE_TP53_TARGETS_DN</t>
  </si>
  <si>
    <t>10733;11065;332;9055;699;9133;10112;24137;9232;7083;983;7153;890;4001;993;7272;1058;4751;3832;1062;9493;991;2146;9212;55872;9585;10615;580;64151;51203;29127;10051;10926;26271;22974</t>
  </si>
  <si>
    <t>PLK4;UBE2C;BIRC5;PRC1;BUB1;CCNB2;KIF20A;KIF4A;PTTG1;TK1;CDK1;TOP2A;CCNA2;LMNB1;CDC25A;TTK;CENPA;NEK2;KIF11;CENPE;AC027237.1;CDC20;EZH2;AURKB;PBK;KIF20B;SPAG5;BARD1;NCAPG;NUSAP1;RACGAP1;SMC4;DBF4;FBXO5;TPX2</t>
  </si>
  <si>
    <t>http://www.broadinstitute.org/gsea/msigdb/cards/TANG_SENESCENCE_TP53_TARGETS_DN.html</t>
  </si>
  <si>
    <t>MOLENAAR_TARGETS_OF_CCND1_AND_CDK4_DN</t>
  </si>
  <si>
    <t>6790;8318;10112;24137;4176;5985;1063;3832;9833;23397;9768;9319;1994;55165;55143;157313;113115;195828;220042;55355;57082;57650;144455;55839;9585;11004;990;64105;64946;81610;57405;29980;51514;29893;22974</t>
  </si>
  <si>
    <t>AURKA;CDC45;KIF20A;KIF4A;MCM7;RFC5;CENPF;KIF11;MELK;NCAPH;PCLAF;TRIP13;ELAVL1;CEP55;CDCA8;CDCA2;MTFR2;ZNF367;DDIAS;HJURP;KNL1;CIP2A;E2F7;CENPN;KIF20B;KIF2C;CDC6;CENPK;CENPH;FAM83D;SPC25;DONSON;DTL;PSMC3IP;TPX2</t>
  </si>
  <si>
    <t>http://www.broadinstitute.org/gsea/msigdb/cards/MOLENAAR_TARGETS_OF_CCND1_AND_CDK4_DN.html</t>
  </si>
  <si>
    <t>1111;2189;2175;7516;10721;9401;10592;9232;7153;5111;7374;6240;3148;6241;5984;5982;4521;672;2237;5985;5983;4436;675;2956;641;5427;5888;5426;6749;10036;8208;4085;6996;2967;23649;2187;201299;55247;11073;8438;146956;10635;83990;2177;64858;10051;9156;11198;25788</t>
  </si>
  <si>
    <t>CHEK1;FANCG;FANCA;XRCC2;POLQ;RECQL4;SMC2;PTTG1;TOP2A;PCNA;UNG;RRM1;HMGB2;RRM2;RFC4;RFC2;NUDT1;BRCA1;FEN1;RFC5;RFC3;MSH2;BRCA2;MSH6;BLM;POLE2;RAD51;POLE;SSRP1;CHAF1A;CHAF1B;MAD2L1;TDG;GTF2H3;POLA2;FANCB;RDM1;NEIL3;TOPBP1;RAD54L;EME1;RAD51AP1;BRIP1;FANCD2;DCLRE1B;SMC4;EXO1;SUPT16H;RAD54B</t>
  </si>
  <si>
    <t>10733;332;11339;9055;701;9133;7083;983;891;7272;7913;7112;4288;5558;3832;9493;84823;10657;2305;991;9833;9928;9787;55165;157313;79866;259266;79801;57082;55247;26586;3066;9212;84930;55771;83461;11004;29127;80119;1894;54443;55010;51512;26271;22974;10460</t>
  </si>
  <si>
    <t>PLK4;BIRC5;OIP5;PRC1;BUB1B;CCNB2;TK1;CDK1;CCNB1;TTK;DEK;TMPO;MKI67;PRIM2;KIF11;AC027237.1;LMNB2;KHDRBS1;FOXM1;CDC20;MELK;KIF14;DLGAP5;CEP55;CDCA2;BORA;ASPM;SHCBP1;KNL1;NEIL3;CKAP2;HDAC2;AURKB;MASTL;PRR11;CDCA3;KIF2C;RACGAP1;PIF1;ECT2;ANLN;PARPBP;GTSE1;FBXO5;TPX2;TACC3</t>
  </si>
  <si>
    <t>SONG_TARGETS_OF_IE86_CMV_PROTEIN</t>
  </si>
  <si>
    <t>11130;9232;7083;7298;983;4605;5111;7374;6240;898;4172;3148;4174;4176;5984;5982;2237;5983;7112;4436;4171;3832;641;1869;2305;4085;4175;9768;2146;23234;11073;580;81620;29893;22974</t>
  </si>
  <si>
    <t>ZWINT;PTTG1;TK1;TYMS;CDK1;MYBL2;PCNA;UNG;RRM1;CCNE1;MCM3;HMGB2;MCM5;MCM7;RFC4;RFC2;FEN1;RFC3;TMPO;MSH2;MCM2;KIF11;BLM;E2F1;FOXM1;MAD2L1;MCM6;PCLAF;EZH2;DNAJC9;TOPBP1;BARD1;CDT1;PSMC3IP;TPX2</t>
  </si>
  <si>
    <t>http://www.broadinstitute.org/gsea/msigdb/cards/SONG_TARGETS_OF_IE86_CMV_PROTEIN.html</t>
  </si>
  <si>
    <t>RHODES_UNDIFFERENTIATED_CANCER</t>
  </si>
  <si>
    <t>11065;332;983;203068;3015;4605;7153;5111;10797;891;890;4172;3148;5984;4521;1058;4171;3838;1163;9493;2305;991;4085;4175;9833;23397;9768;9918;9928;9787;9319;2146;1033;27338;11004;990</t>
  </si>
  <si>
    <t>UBE2C;BIRC5;CDK1;TUBB;H2AFZ;MYBL2;TOP2A;PCNA;MTHFD2;CCNB1;CCNA2;MCM3;HMGB2;RFC4;NUDT1;CENPA;MCM2;KPNA2;CKS1B;AC027237.1;FOXM1;CDC20;MAD2L1;MCM6;MELK;NCAPH;PCLAF;NCAPD2;KIF14;DLGAP5;TRIP13;EZH2;CDKN3;UBE2S;KIF2C;CDC6</t>
  </si>
  <si>
    <t>http://www.broadinstitute.org/gsea/msigdb/cards/RHODES_UNDIFFERENTIATED_CANCER.html</t>
  </si>
  <si>
    <t>REACTOME_MITOTIC_G1_G1_S_PHASES</t>
  </si>
  <si>
    <t>5717;8317;1871;5709;8318;9134;7298;983;4605;5111;891;890;898;1017;4172;5933;993;6241;4173;4174;4176;5557;5558;4171;5427;1163;1869;5426;6502;4998;23649;1870;4175;286826;55388;9088;990;81620;10926;26271;23594</t>
  </si>
  <si>
    <t>PSMD11;CDC7;E2F3;PSMD3;CDC45;CCNE2;TYMS;CDK1;MYBL2;PCNA;CCNB1;CCNA2;CCNE1;CDK2;MCM3;RBL1;CDC25A;RRM2;MCM4;MCM5;MCM7;PRIM1;PRIM2;MCM2;POLE2;CKS1B;E2F1;POLE;SKP2;ORC1;POLA2;E2F2;MCM6;LIN9;MCM10;PKMYT1;CDC6;CDT1;DBF4;FBXO5;ORC6</t>
  </si>
  <si>
    <t>http://www.broadinstitute.org/gsea/msigdb/cards/REACTOME_MITOTIC_G1_G1_S_PHASES.html</t>
  </si>
  <si>
    <t>PUJANA_BREAST_CANCER_WITH_BRCA1_MUTATED_UP</t>
  </si>
  <si>
    <t>10212;8317;10403;6790;3161;7398;983;4605;1786;790;4173;4174;5984;7913;5983;4436;1058;4171;1763;641;2305;991;6502;4175;9918;2146;27338;11073;9125;8438;10635;9212;10051</t>
  </si>
  <si>
    <t>DDX39A;CDC7;NDC80;AURKA;HMMR;USP1;CDK1;MYBL2;DNMT1;CAD;MCM4;MCM5;RFC4;DEK;RFC3;MSH2;CENPA;MCM2;DNA2;BLM;FOXM1;CDC20;SKP2;MCM6;NCAPD2;EZH2;UBE2S;TOPBP1;CNOT9;RAD54L;RAD51AP1;AURKB;SMC4</t>
  </si>
  <si>
    <t>http://www.broadinstitute.org/gsea/msigdb/cards/PUJANA_BREAST_CANCER_WITH_BRCA1_MUTATED_UP.html</t>
  </si>
  <si>
    <t>RHEIN_ALL_GLUCOCORTICOID_THERAPY_DN</t>
  </si>
  <si>
    <t>79733;1111;332;9055;701;3161;9133;11130;10592;9232;7298;983;203068;7153;5111;7374;6240;993;6241;7272;4173;4174;5984;4521;5557;4171;8833;3832;5427;1163;10376;5888;6749;4085;4175;9833;9768;1994;55165;79682;55656;79801;10635;55839;580;64151;84790;51203;29127;1894;56992;54069;51514;51659</t>
  </si>
  <si>
    <t>E2F8;CHEK1;BIRC5;PRC1;BUB1B;HMMR;CCNB2;ZWINT;SMC2;PTTG1;TYMS;CDK1;TUBB;TOP2A;PCNA;UNG;RRM1;CDC25A;RRM2;TTK;MCM4;MCM5;RFC4;NUDT1;PRIM1;MCM2;GMPS;KIF11;POLE2;CKS1B;TUBA1B;RAD51;SSRP1;MAD2L1;MCM6;MELK;PCLAF;ELAVL1;CEP55;CENPU;INTS8;SHCBP1;RAD51AP1;CENPN;BARD1;NCAPG;TUBA1C;NUSAP1;RACGAP1;ECT2;KIF15;MIS18A;DTL;GINS2</t>
  </si>
  <si>
    <t>http://www.broadinstitute.org/gsea/msigdb/cards/RHEIN_ALL_GLUCOCORTICOID_THERAPY_DN.html</t>
  </si>
  <si>
    <t>10212;8317;10733;11065;23306;10403;8520;6790;5709;11339;7516;3161;7398;11130;10592;983;3015;4605;7153;5111;7374;10797;6929;4691;890;4001;6240;898;1786;3148;790;4173;4174;5984;7913;4521;672;9775;5983;899;7112;4436;5902;4288;1058;4171;9735;1763;4670;2956;641;10657;5426;2305;991;10036;8208;8683;4085;6502;6996;2967;4175;9700;23076;9837;9768;9918;6469;1994;2146;27338;9824;23234;11073;9125;2491;8438;10635;9212;9585;3833;57405;11321;10051;55215;51512;29893;27339;8914</t>
  </si>
  <si>
    <t>DDX39A;CDC7;PLK4;UBE2C;NEMP1;NDC80;HAT1;AURKA;PSMD3;OIP5;XRCC2;HMMR;USP1;ZWINT;SMC2;CDK1;H2AFZ;MYBL2;TOP2A;PCNA;UNG;MTHFD2;TCF3;NCL;CCNA2;LMNB1;RRM1;CCNE1;DNMT1;HMGB2;CAD;MCM4;MCM5;RFC4;DEK;NUDT1;BRCA1;EIF4A3;RFC3;CCNF;TMPO;MSH2;RANBP1;MKI67;CENPA;MCM2;KNTC1;DNA2;HNRNPM;MSH6;BLM;KHDRBS1;POLE;FOXM1;CDC20;CHAF1A;CHAF1B;SRSF9;MAD2L1;SKP2;TDG;GTF2H3;MCM6;ESPL1;RRP1B;GINS1;PCLAF;NCAPD2;SHH;ELAVL1;EZH2;UBE2S;ARHGAP11A;DNAJC9;TOPBP1;CNOT9;CENPI;RAD54L;RAD51AP1;AURKB;KIF20B;KIFC1;SPC25;GPN1;SMC4;FANCI;GTSE1;PSMC3IP;PRPF19;TIMELESS</t>
  </si>
  <si>
    <t>NAKAYAMA_SOFT_TISSUE_TUMORS_PCA2_UP</t>
  </si>
  <si>
    <t>11065;332;699;3161;9133;10112;983;7153;891;890;6241;4173;4288;1058;1063;4751;3832;1062;991;9700;9833;23397;9768;9787;1033;27338;55165;55143;259266;55355;55839;55872;11004;51203;51512;22974</t>
  </si>
  <si>
    <t>UBE2C;BIRC5;BUB1;HMMR;CCNB2;KIF20A;CDK1;TOP2A;CCNB1;CCNA2;RRM2;MCM4;MKI67;CENPA;CENPF;NEK2;KIF11;CENPE;CDC20;ESPL1;MELK;NCAPH;PCLAF;DLGAP5;CDKN3;UBE2S;CEP55;CDCA8;ASPM;HJURP;CENPN;PBK;KIF2C;NUSAP1;GTSE1;TPX2</t>
  </si>
  <si>
    <t>http://www.broadinstitute.org/gsea/msigdb/cards/NAKAYAMA_SOFT_TISSUE_TUMORS_PCA2_UP.html</t>
  </si>
  <si>
    <t>VERNELL_RETINOBLASTOMA_PATHWAY_UP</t>
  </si>
  <si>
    <t>2175;9401;5111;6240;898;3148;993;6241;4173;4176;5984;7913;2237;5983;7112;641;10036;6502;1870;9833;2146;157570;29028;195828;10635;113130;580;64105;55038;63967;55723;29980;26271;6941</t>
  </si>
  <si>
    <t>FANCA;RECQL4;PCNA;RRM1;CCNE1;HMGB2;CDC25A;RRM2;MCM4;MCM7;RFC4;DEK;FEN1;RFC3;TMPO;BLM;CHAF1A;SKP2;E2F2;MELK;EZH2;ESCO2;ATAD2;ZNF367;RAD51AP1;CDCA5;BARD1;CENPK;CDCA4;CLSPN;ASF1B;DONSON;FBXO5;TCF19</t>
  </si>
  <si>
    <t>http://www.broadinstitute.org/gsea/msigdb/cards/VERNELL_RETINOBLASTOMA_PATHWAY_UP.html</t>
  </si>
  <si>
    <t>1111;8520;6790;699;701;7398;10592;86;3015;7153;7374;890;3148;5933;993;6241;672;7112;23310;1063;5557;4171;5888;6502;9833;9918;9319;2146;55165;55143;151246;157570;151648;55635;63979;29028;195828;151188;79801;23234;11073;144455;92092;55872;29128;11004;990;64151;79902;81539;1894;54443;3070;55732;10051;10926</t>
  </si>
  <si>
    <t>CHEK1;HAT1;AURKA;BUB1;BUB1B;USP1;SMC2;ACTL6A;H2AFZ;TOP2A;UNG;CCNA2;HMGB2;RBL1;CDC25A;RRM2;BRCA1;TMPO;NCAPD3;CENPF;PRIM1;MCM2;RAD51;SKP2;MELK;NCAPD2;TRIP13;EZH2;CEP55;CDCA8;SGO2;ESCO2;SGO1;DEPDC1;FIGNL1;ATAD2;ZNF367;ARL6IP6;SHCBP1;DNAJC9;TOPBP1;E2F7;ZC3HAV1L;PBK;UHRF1;KIF2C;CDC6;NCAPG;NUP85;SLC38A1;ECT2;ANLN;HELLS;C1orf112;SMC4;DBF4</t>
  </si>
  <si>
    <t>8317;1871;1111;699;701;8318;9133;9232;9134;983;5111;891;890;898;1017;4172;10971;5933;993;995;7272;4173;4174;4176;4171;5347;1869;991;4085;6502;4998;1870;4175;9700;3066;9088;990;10926;23594</t>
  </si>
  <si>
    <t>CDC7;E2F3;CHEK1;BUB1;BUB1B;CDC45;CCNB2;PTTG1;CCNE2;CDK1;PCNA;CCNB1;CCNA2;CCNE1;CDK2;MCM3;YWHAQ;RBL1;CDC25A;CDC25C;TTK;MCM4;MCM5;MCM7;MCM2;PLK1;E2F1;CDC20;MAD2L1;SKP2;ORC1;E2F2;MCM6;ESPL1;HDAC2;PKMYT1;CDC6;DBF4;ORC6</t>
  </si>
  <si>
    <t>6790;332;699;3161;9133;890;7272;4173;4288;1058;1063;4751;5347;1163;1062;2305;991;9918;9928;9787;9319;55165;151246;55635;89958;25886;79801;55789;26586;55771;55872;9585;10615;83461;11004;54478;51203;83540;1894;54443;81624;51512;22974;90417;10460</t>
  </si>
  <si>
    <t>AURKA;BIRC5;BUB1;HMMR;CCNB2;CCNA2;TTK;MCM4;MKI67;CENPA;CENPF;NEK2;PLK1;CKS1B;CENPE;FOXM1;CDC20;NCAPD2;KIF14;DLGAP5;TRIP13;CEP55;SGO2;DEPDC1;SAPCD2;POC1A;SHCBP1;DEPDC1B;CKAP2;PRR11;PBK;KIF20B;SPAG5;CDCA3;KIF2C;PIMREG;NUSAP1;NUF2;ECT2;ANLN;DIAPH3;GTSE1;TPX2;KNSTRN;TACC3</t>
  </si>
  <si>
    <t>SHEPARD_BMYB_MORPHOLINO_DN</t>
  </si>
  <si>
    <t>332;9055;7083;983;891;1017;4172;1786;7272;4173;4174;4436;4288;5557;4171;3832;9493;2305;991;8683;9833;9837;9928;9787;157313;128239;259266;26586;9212;84930;55771;29128;83461;990;79968;54443;3070;79019;55010;51512;26271;22974;51659;10460</t>
  </si>
  <si>
    <t>BIRC5;PRC1;TK1;CDK1;CCNB1;CDK2;MCM3;DNMT1;TTK;MCM4;MCM5;MSH2;MKI67;PRIM1;MCM2;KIF11;AC027237.1;FOXM1;CDC20;SRSF9;MELK;GINS1;KIF14;DLGAP5;CDCA2;IQGAP3;ASPM;CKAP2;AURKB;MASTL;PRR11;UHRF1;CDCA3;CDC6;WDR76;ANLN;HELLS;CENPM;PARPBP;GTSE1;FBXO5;TPX2;GINS2;TACC3</t>
  </si>
  <si>
    <t>http://www.broadinstitute.org/gsea/msigdb/cards/SHEPARD_BMYB_MORPHOLINO_DN.html</t>
  </si>
  <si>
    <t>8317;8520;2189;11169;10535;7398;9134;7298;200933;5111;4001;7283;6240;898;1017;4172;993;6241;4173;4174;4176;5984;5982;7913;2237;7112;4436;5902;5557;4171;8833;2956;1479;6502;4175;9833;9837;3837;9768;2146;29028;79682;195828;54892;7444;151188;55771;29128;990;64105;79902;51203;81620;79968;29089;3070;55215;29980;51514;29893;51659</t>
  </si>
  <si>
    <t>CDC7;HAT1;FANCG;WDHD1;RNASEH2A;USP1;CCNE2;TYMS;FBXO45;PCNA;LMNB1;TUBG1;RRM1;CCNE1;CDK2;MCM3;CDC25A;RRM2;MCM4;MCM5;MCM7;RFC4;RFC2;DEK;FEN1;TMPO;MSH2;RANBP1;PRIM1;MCM2;GMPS;MSH6;CSTF3;SKP2;MCM6;MELK;GINS1;KPNB1;PCLAF;EZH2;ATAD2;CENPU;ZNF367;NCAPG2;VRK2;ARL6IP6;PRR11;UHRF1;CDC6;CENPK;NUP85;NUSAP1;CDT1;WDR76;UBE2T;HELLS;FANCI;DONSON;DTL;PSMC3IP;GINS2</t>
  </si>
  <si>
    <t>11065;6839;3161;8318;9133;9232;7083;983;890;4001;1841;4172;790;995;4174;4176;5983;5902;1058;5557;9735;641;1163;6415;5888;8208;6502;9700;23076;23397;55143;128239;221150;259266;147841;55355;150465;23234;113130;83461;64105;54478;79075;83540;81620;81539;29089;3619;3070;55732;51514;22974;8914;90417;10460</t>
  </si>
  <si>
    <t>UBE2C;SUV39H1;HMMR;CDC45;CCNB2;PTTG1;TK1;CDK1;CCNA2;LMNB1;DTYMK;MCM3;CAD;CDC25C;MCM5;MCM7;RFC3;RANBP1;CENPA;PRIM1;KNTC1;BLM;CKS1B;SELENOW;RAD51;CHAF1B;SKP2;ESPL1;RRP1B;NCAPH;CDCA8;IQGAP3;SKA3;ASPM;SPC24;HJURP;TTL;DNAJC9;CDCA5;CDCA3;CENPK;PIMREG;DSCC1;NUF2;CDT1;SLC38A1;UBE2T;INCENP;HELLS;C1orf112;DTL;TPX2;TIMELESS;KNSTRN;TACC3</t>
  </si>
  <si>
    <t>http://www.broadinstitute.org/gsea/msigdb/cards/CUI_TCF21_TARGETS_2_UP.html</t>
  </si>
  <si>
    <t>REACTOME_G1_S_TRANSITION</t>
  </si>
  <si>
    <t>5717;8317;5709;8318;9134;7298;983;5111;891;890;898;1017;4172;993;6241;4173;4174;4176;5557;5558;4171;5427;1163;1869;5426;6502;4998;23649;4175;55388;9088;990;81620;10926;26271;23594</t>
  </si>
  <si>
    <t>PSMD11;CDC7;PSMD3;CDC45;CCNE2;TYMS;CDK1;PCNA;CCNB1;CCNA2;CCNE1;CDK2;MCM3;CDC25A;RRM2;MCM4;MCM5;MCM7;PRIM1;PRIM2;MCM2;POLE2;CKS1B;E2F1;POLE;SKP2;ORC1;POLA2;MCM6;MCM10;PKMYT1;CDC6;CDT1;DBF4;FBXO5;ORC6</t>
  </si>
  <si>
    <t>http://www.broadinstitute.org/gsea/msigdb/cards/REACTOME_G1_S_TRANSITION.html</t>
  </si>
  <si>
    <t>KAUFFMANN_DNA_REPLICATION_GENES</t>
  </si>
  <si>
    <t>8317;6839;10721;8318;10592;9232;5111;6240;1017;4172;6241;4173;4174;4176;5984;5982;7913;672;2237;5985;5983;4436;1063;5558;4171;641;5427;1062;10036;8208;4998;23649;4175;11073;990;10051;51659;23594</t>
  </si>
  <si>
    <t>CDC7;SUV39H1;POLQ;CDC45;SMC2;PTTG1;PCNA;RRM1;CDK2;MCM3;RRM2;MCM4;MCM5;MCM7;RFC4;RFC2;DEK;BRCA1;FEN1;RFC5;RFC3;MSH2;CENPF;PRIM2;MCM2;BLM;POLE2;CENPE;CHAF1A;CHAF1B;ORC1;POLA2;MCM6;TOPBP1;CDC6;SMC4;GINS2;ORC6</t>
  </si>
  <si>
    <t>http://www.broadinstitute.org/gsea/msigdb/cards/KAUFFMANN_DNA_REPLICATION_GENES.html</t>
  </si>
  <si>
    <t>79733;8317;2175;8318;6581;7398;11130;7298;7153;6240;6241;5982;672;2237;5557;5558;1763;641;5888;2146;157570;29028;79682;220042;284992;8438;10635;113130;84930;9088;79075;83990;29089;3070;79019;55215;55723;29980;9156</t>
  </si>
  <si>
    <t>E2F8;CDC7;FANCA;CDC45;SLC22A3;USP1;ZWINT;TYMS;TOP2A;RRM1;RRM2;RFC2;BRCA1;FEN1;PRIM1;PRIM2;DNA2;BLM;RAD51;EZH2;ESCO2;ATAD2;CENPU;DDIAS;CCDC150;RAD54L;RAD51AP1;CDCA5;MASTL;PKMYT1;DSCC1;BRIP1;UBE2T;HELLS;CENPM;FANCI;ASF1B;DONSON;EXO1</t>
  </si>
  <si>
    <t>79733;8317;11169;22995;9134;983;4001;4172;5933;5985;7112;1063;9735;4751;9837;2146;348654;343099;29028;79682;195828;55345;162681;284992;57082;11073;2491;144455;10635;29128;580;64105;83990;83540;79968;3070;56992;10051;29980;54069;51514</t>
  </si>
  <si>
    <t>E2F8;CDC7;WDHD1;CEP152;CCNE2;CDK1;LMNB1;MCM3;RBL1;RFC5;TMPO;CENPF;KNTC1;NEK2;GINS1;EZH2;GEN1;CCDC18;ATAD2;CENPU;ZNF367;ZGRF1;C18orf54;CCDC150;KNL1;TOPBP1;CENPI;E2F7;RAD51AP1;UHRF1;BARD1;CENPK;BRIP1;NUF2;WDR76;HELLS;KIF15;SMC4;DONSON;MIS18A;DTL</t>
  </si>
  <si>
    <t>VANTVEER_BREAST_CANCER_METASTASIS_DN</t>
  </si>
  <si>
    <t>10403;6790;332;9055;699;1515;9133;9134;7083;1503;5984;1058;1063;8833;4085;4175;9833;9928;9787;9319;2146;55635;29028;221150;259266;55355;55839;54478;51203;1894;57405;81624;10051;51514;26271;23594</t>
  </si>
  <si>
    <t>NDC80;AURKA;BIRC5;PRC1;BUB1;CTSV;CCNB2;CCNE2;TK1;CTPS1;RFC4;CENPA;CENPF;GMPS;MAD2L1;MCM6;MELK;KIF14;DLGAP5;TRIP13;EZH2;DEPDC1;ATAD2;SKA3;ASPM;HJURP;CENPN;PIMREG;NUSAP1;ECT2;SPC25;DIAPH3;SMC4;DTL;FBXO5;ORC6</t>
  </si>
  <si>
    <t>http://www.broadinstitute.org/gsea/msigdb/cards/VANTVEER_BREAST_CANCER_METASTASIS_DN.html</t>
  </si>
  <si>
    <t>REACTOME_S_PHASE</t>
  </si>
  <si>
    <t>5717;5709;8318;9134;5111;890;898;1017;4172;993;4173;4174;4176;5984;5982;2237;5985;5983;5557;5558;4171;1763;5427;1163;5426;6502;4998;23649;4175;9837;990;84296;81620;51659;23594</t>
  </si>
  <si>
    <t>PSMD11;PSMD3;CDC45;CCNE2;PCNA;CCNA2;CCNE1;CDK2;MCM3;CDC25A;MCM4;MCM5;MCM7;RFC4;RFC2;FEN1;RFC5;RFC3;PRIM1;PRIM2;MCM2;DNA2;POLE2;CKS1B;POLE;SKP2;ORC1;POLA2;MCM6;GINS1;CDC6;GINS4;CDT1;GINS2;ORC6</t>
  </si>
  <si>
    <t>http://www.broadinstitute.org/gsea/msigdb/cards/REACTOME_S_PHASE.html</t>
  </si>
  <si>
    <t>10403;332;699;701;11130;1058;9735;5347;991;4085;54821;55143;151246;151648;79682;91687;147841;57082;81930;2491;220134;9212;55839;11004;64105;79172;79902;83540;64946;55055;57405;3619;79019</t>
  </si>
  <si>
    <t>NDC80;BIRC5;BUB1;BUB1B;ZWINT;CENPA;KNTC1;PLK1;CDC20;MAD2L1;ERCC6L;CDCA8;SGO2;SGO1;CENPU;CENPL;SPC24;KNL1;KIF18A;CENPI;SKA1;AURKB;CENPN;KIF2C;CENPK;CENPO;NUP85;NUF2;CENPH;ZWILCH;SPC25;INCENP;CENPM</t>
  </si>
  <si>
    <t>10403;6790;332;11339;9055;701;9133;10112;9232;9134;7083;7298;983;7153;890;6241;4173;1058;1063;4751;3832;641;991;4085;9833;9837;9768;9787;9319;1033;55165;79682;259266;10635;93594;55872;11004;64151;79075;51203;57405;56992;55215;51514;22974;51659</t>
  </si>
  <si>
    <t>NDC80;AURKA;BIRC5;OIP5;PRC1;BUB1B;CCNB2;KIF20A;PTTG1;CCNE2;TK1;TYMS;CDK1;TOP2A;CCNA2;RRM2;MCM4;CENPA;CENPF;NEK2;KIF11;BLM;CDC20;MAD2L1;MELK;GINS1;PCLAF;DLGAP5;TRIP13;CDKN3;CEP55;CENPU;ASPM;RAD51AP1;TBC1D31;PBK;KIF2C;NCAPG;DSCC1;NUSAP1;SPC25;KIF15;FANCI;DTL;TPX2;GINS2</t>
  </si>
  <si>
    <t>FRASOR_RESPONSE_TO_SERM_OR_FULVESTRANT_DN</t>
  </si>
  <si>
    <t>11065;6790;10535;7083;983;890;6240;4172;4174;4176;5982;4521;5985;1063;5557;4171;3832;641;1163;1869;5426;2305;991;10036;23649;4175;11004;580;8914</t>
  </si>
  <si>
    <t>UBE2C;AURKA;RNASEH2A;TK1;CDK1;CCNA2;RRM1;MCM3;MCM5;MCM7;RFC2;NUDT1;RFC5;CENPF;PRIM1;MCM2;KIF11;BLM;CKS1B;E2F1;POLE;FOXM1;CDC20;CHAF1A;POLA2;MCM6;KIF2C;BARD1;TIMELESS</t>
  </si>
  <si>
    <t>http://www.broadinstitute.org/gsea/msigdb/cards/FRASOR_RESPONSE_TO_SERM_OR_FULVESTRANT_DN.html</t>
  </si>
  <si>
    <t>11065;1111;332;284403;3161;9133;24137;9232;7083;7298;891;890;7283;1841;995;6241;4173;899;5902;4288;4171;5427;1163;9493;5426;2305;991;10036;4085;23397;9787;1033;55388;79801;11004;990;3833;79019;22974;9156</t>
  </si>
  <si>
    <t>UBE2C;CHEK1;BIRC5;WDR62;HMMR;CCNB2;KIF4A;PTTG1;TK1;TYMS;CCNB1;CCNA2;TUBG1;DTYMK;CDC25C;RRM2;MCM4;CCNF;RANBP1;MKI67;MCM2;POLE2;CKS1B;AC027237.1;POLE;FOXM1;CDC20;CHAF1A;MAD2L1;NCAPH;DLGAP5;CDKN3;MCM10;SHCBP1;KIF2C;CDC6;KIFC1;CENPM;TPX2;EXO1</t>
  </si>
  <si>
    <t>ODONNELL_TARGETS_OF_MYC_AND_TFRC_DN</t>
  </si>
  <si>
    <t>10733;6790;332;701;983;4605;7153;891;890;5902;1063;1763;675;5427;1163;2305;991;10036;54821;55635;9824;55789;9212;990;84057;57405;3070;10926</t>
  </si>
  <si>
    <t>PLK4;AURKA;BIRC5;BUB1B;CDK1;MYBL2;TOP2A;CCNB1;CCNA2;RANBP1;CENPF;DNA2;BRCA2;POLE2;CKS1B;FOXM1;CDC20;CHAF1A;ERCC6L;DEPDC1;ARHGAP11A;DEPDC1B;AURKB;CDC6;MND1;SPC25;HELLS;DBF4</t>
  </si>
  <si>
    <t>http://www.broadinstitute.org/gsea/msigdb/cards/ODONNELL_TARGETS_OF_MYC_AND_TFRC_DN.html</t>
  </si>
  <si>
    <t>SMID_BREAST_CANCER_BASAL_UP</t>
  </si>
  <si>
    <t>1871;1111;10403;2175;332;699;1515;8318;9133;9232;7298;983;4605;890;898;993;7272;4173;4174;4176;4521;4288;1058;1063;4171;4751;2956;1062;2305;6749;991;10036;8208;6502;4998;9833;23397;9787;9319;27338;55165;55143;29028;55388;146909;259266;79801;26586;8438;10635;55839;55872;83461;3833;51203;81620;3070;51512;22974;9156</t>
  </si>
  <si>
    <t>E2F3;CHEK1;NDC80;FANCA;BIRC5;BUB1;CTSV;CDC45;CCNB2;PTTG1;TYMS;CDK1;MYBL2;CCNA2;CCNE1;CDC25A;TTK;MCM4;MCM5;MCM7;NUDT1;MKI67;CENPA;CENPF;MCM2;NEK2;MSH6;CENPE;FOXM1;SSRP1;CDC20;CHAF1A;CHAF1B;SKP2;ORC1;MELK;NCAPH;DLGAP5;TRIP13;UBE2S;CEP55;CDCA8;ATAD2;MCM10;KIF18B;ASPM;SHCBP1;CKAP2;RAD54L;RAD51AP1;CENPN;PBK;CDCA3;KIFC1;NUSAP1;CDT1;HELLS;GTSE1;TPX2;EXO1</t>
  </si>
  <si>
    <t>http://www.broadinstitute.org/gsea/msigdb/cards/SMID_BREAST_CANCER_BASAL_UP.html</t>
  </si>
  <si>
    <t>KAMMINGA_EZH2_TARGETS</t>
  </si>
  <si>
    <t>8520;6790;9055;9133;10592;3015;7153;5111;6240;4172;5933;4173;4288;5557;4171;4751;3838;5427;4085;11073;113130;9212;51203;1894;10051;10926;10460</t>
  </si>
  <si>
    <t>HAT1;AURKA;PRC1;CCNB2;SMC2;H2AFZ;TOP2A;PCNA;RRM1;MCM3;RBL1;MCM4;MKI67;PRIM1;MCM2;NEK2;KPNA2;POLE2;MAD2L1;TOPBP1;CDCA5;AURKB;NUSAP1;ECT2;SMC4;DBF4;TACC3</t>
  </si>
  <si>
    <t>http://www.broadinstitute.org/gsea/msigdb/cards/KAMMINGA_EZH2_TARGETS.html</t>
  </si>
  <si>
    <t>8317;1871;1111;8520;5496;332;699;701;3161;10592;9134;983;203068;200933;1503;898;1786;993;10105;6241;4173;5983;4436;1058;5558;4670;641;1434;5427;4085;6502;23076;3837;9319;348654;151246;55635;113115;29028;55388;221150;220042;57647;150465;55789;144455;113130;9212;84930;29128;990;64105;55706;79075;84057;81610;55055;54443;3070;55732;55646;54069;23594;25788</t>
  </si>
  <si>
    <t>CDC7;E2F3;CHEK1;HAT1;PPM1G;BIRC5;BUB1;BUB1B;HMMR;SMC2;CCNE2;CDK1;TUBB;FBXO45;CTPS1;CCNE1;DNMT1;CDC25A;PPIF;RRM2;MCM4;RFC3;MSH2;CENPA;PRIM2;HNRNPM;BLM;CSE1L;POLE2;MAD2L1;SKP2;RRP1B;KPNB1;TRIP13;GEN1;SGO2;DEPDC1;MTFR2;ATAD2;MCM10;SKA3;DDIAS;DHX37;TTL;DEPDC1B;E2F7;CDCA5;AURKB;MASTL;UHRF1;CDC6;CENPK;NDC1;DSCC1;MND1;FAM83D;ZWILCH;ANLN;HELLS;C1orf112;LYAR;MIS18A;ORC6;RAD54B</t>
  </si>
  <si>
    <t>79733;332;699;701;3161;8318;9133;11130;10112;10592;7298;983;7153;891;890;4001;995;6241;2237;1058;5347;1869;5888;991;4998;23649;1870;9700;9833;9768;1033;55143;146909;79801;990;64151;3833;51203;79019;55723;51512;51659</t>
  </si>
  <si>
    <t>E2F8;BIRC5;BUB1;BUB1B;HMMR;CDC45;CCNB2;ZWINT;KIF20A;SMC2;TYMS;CDK1;TOP2A;CCNB1;CCNA2;LMNB1;CDC25C;RRM2;FEN1;CENPA;PLK1;E2F1;RAD51;CDC20;ORC1;POLA2;E2F2;ESPL1;MELK;PCLAF;CDKN3;CDCA8;KIF18B;SHCBP1;CDC6;NCAPG;KIFC1;NUSAP1;CENPM;ASF1B;GTSE1;GINS2</t>
  </si>
  <si>
    <t>DUTERTRE_ESTRADIOL_RESPONSE_6HR_UP</t>
  </si>
  <si>
    <t>23306;1111;7516;8318;11169;9134;5111;7374;1503;4172;5933;10105;4173;4174;4176;672;2237;5983;5557;4171;5427;1869;10036;23649;4175;253714;79682;55388;195828;90381;29128;990;64785;79075;83990;79968;3070;55646;51514;9156;51659</t>
  </si>
  <si>
    <t>NEMP1;CHEK1;XRCC2;CDC45;WDHD1;CCNE2;PCNA;UNG;CTPS1;MCM3;RBL1;PPIF;MCM4;MCM5;MCM7;BRCA1;FEN1;RFC3;PRIM1;MCM2;POLE2;E2F1;CHAF1A;POLA2;MCM6;MMS22L;CENPU;MCM10;ZNF367;TICRR;UHRF1;CDC6;GINS3;DSCC1;BRIP1;WDR76;HELLS;LYAR;DTL;EXO1;GINS2</t>
  </si>
  <si>
    <t>http://www.broadinstitute.org/gsea/msigdb/cards/DUTERTRE_ESTRADIOL_RESPONSE_6HR_UP.html</t>
  </si>
  <si>
    <t>10212;8317;10733;1111;8520;9055;701;11169;7398;10112;1471;200933;4001;1841;1786;3148;790;5933;993;4173;9775;7112;23310;4436;5557;5558;1763;4670;2956;1434;5427;1163;6733;5888;10657;5426;8208;4085;6502;6996;1870;4175;9833;23076;9837;3837;23397;9768;9319;2146;54821;55165;9824;63979;84798;128239;7444;221150;150468;285753;115004;79801;9125;23165;8438;144455;10635;55872;29128;9088;11004;64785;55706;79075;55038;51203;83540;29127;81539;64946;80119;1894;55055;79968;11321;54443;54069;51514;29893;10926;27339;8914;6941;65003</t>
  </si>
  <si>
    <t>DDX39A;CDC7;PLK4;CHEK1;HAT1;PRC1;BUB1B;WDHD1;USP1;KIF20A;CST3;FBXO45;LMNB1;DTYMK;DNMT1;HMGB2;CAD;RBL1;CDC25A;MCM4;EIF4A3;TMPO;NCAPD3;MSH2;PRIM1;PRIM2;DNA2;HNRNPM;MSH6;CSE1L;POLE2;CKS1B;SRPK2;RAD51;KHDRBS1;POLE;CHAF1B;MAD2L1;SKP2;TDG;E2F2;MCM6;MELK;RRP1B;GINS1;KPNB1;NCAPH;PCLAF;TRIP13;EZH2;ERCC6L;CEP55;ARHGAP11A;FIGNL1;C19orf48;IQGAP3;VRK2;SKA3;CKAP2L;CEP57L1;CGAS;SHCBP1;CNOT9;NUP205;RAD54L;E2F7;RAD51AP1;PBK;UHRF1;PKMYT1;KIF2C;GINS3;NDC1;DSCC1;CDCA4;NUSAP1;NUF2;RACGAP1;SLC38A1;CENPH;PIF1;ECT2;ZWILCH;WDR76;GPN1;ANLN;MIS18A;DTL;PSMC3IP;DBF4;PRPF19;TIMELESS;TCF19;MRPL11</t>
  </si>
  <si>
    <t>AMUNDSON_GAMMA_RADIATION_RESPONSE</t>
  </si>
  <si>
    <t>11065;6790;9055;699;701;9133;9232;983;891;890;995;7272;899;1058;1063;4751;5347;1062;9493;4085;9700;9212;11004;3833;1789;10460</t>
  </si>
  <si>
    <t>UBE2C;AURKA;PRC1;BUB1;BUB1B;CCNB2;PTTG1;CDK1;CCNB1;CCNA2;CDC25C;TTK;CCNF;CENPA;CENPF;NEK2;PLK1;CENPE;AC027237.1;MAD2L1;ESPL1;AURKB;KIF2C;KIFC1;DNMT3B;TACC3</t>
  </si>
  <si>
    <t>http://www.broadinstitute.org/gsea/msigdb/cards/AMUNDSON_GAMMA_RADIATION_RESPONSE.html</t>
  </si>
  <si>
    <t>8317;10403;6790;11339;699;701;10112;983;7153;890;3148;7272;5982;899;7112;1058;1063;5558;4751;3832;1062;9493;991;4085;6502;9700;9928;9787;6469;55165;55143;84722;259266;55355;79801;81930;26586;2491;10635;93594;9212;83461;11004;580;64151;54478;55706;51203;29127;51512;10926</t>
  </si>
  <si>
    <t>CDC7;NDC80;AURKA;OIP5;BUB1;BUB1B;KIF20A;CDK1;TOP2A;CCNA2;HMGB2;TTK;RFC2;CCNF;TMPO;CENPA;CENPF;PRIM2;NEK2;KIF11;CENPE;AC027237.1;CDC20;MAD2L1;SKP2;ESPL1;KIF14;DLGAP5;SHH;CEP55;CDCA8;PSRC1;ASPM;HJURP;SHCBP1;KIF18A;CKAP2;CENPI;RAD51AP1;TBC1D31;AURKB;CDCA3;KIF2C;BARD1;NCAPG;PIMREG;NDC1;NUSAP1;RACGAP1;GTSE1;DBF4</t>
  </si>
  <si>
    <t>MORI_PRE_BI_LYMPHOCYTE_UP</t>
  </si>
  <si>
    <t>79733;11065;6790;9055;3161;9133;24137;983;203068;7153;10797;4001;6240;6241;7272;4176;4288;4171;3838;1163;5888;991;4175;9833;23397;113130;83461;29127;10051;51514</t>
  </si>
  <si>
    <t>E2F8;UBE2C;AURKA;PRC1;HMMR;CCNB2;KIF4A;CDK1;TUBB;TOP2A;MTHFD2;LMNB1;RRM1;RRM2;TTK;MCM7;MKI67;MCM2;KPNA2;CKS1B;RAD51;CDC20;MCM6;MELK;NCAPH;CDCA5;CDCA3;RACGAP1;SMC4;DTL</t>
  </si>
  <si>
    <t>http://www.broadinstitute.org/gsea/msigdb/cards/MORI_PRE_BI_LYMPHOCYTE_UP.html</t>
  </si>
  <si>
    <t>EGUCHI_CELL_CYCLE_RB1_TARGETS</t>
  </si>
  <si>
    <t>10403;699;10112;10592;9134;890;4172;3148;995;4173;4174;4176;2237;4171;4751;3832;1062;4175;55143;81930;64151;1894;10051</t>
  </si>
  <si>
    <t>NDC80;BUB1;KIF20A;SMC2;CCNE2;CCNA2;MCM3;HMGB2;CDC25C;MCM4;MCM5;MCM7;FEN1;MCM2;NEK2;KIF11;CENPE;MCM6;CDCA8;KIF18A;NCAPG;ECT2;SMC4</t>
  </si>
  <si>
    <t>http://www.broadinstitute.org/gsea/msigdb/cards/EGUCHI_CELL_CYCLE_RB1_TARGETS.html</t>
  </si>
  <si>
    <t>YANG_BCL3_TARGETS_UP</t>
  </si>
  <si>
    <t>10733;11065;6790;9055;699;9133;10112;9232;9134;983;7153;891;890;3148;6241;4288;9735;1869;2305;991;9700;9787;55635;157313;9824;89958;147841;26586;2491;10635;9212;55872;132320;9585;83461;11004;54478;10293;51203;29127;81610;1894;29089;81624;90417;10460</t>
  </si>
  <si>
    <t>PLK4;UBE2C;AURKA;PRC1;BUB1;CCNB2;KIF20A;PTTG1;CCNE2;CDK1;TOP2A;CCNB1;CCNA2;HMGB2;RRM2;MKI67;KNTC1;E2F1;FOXM1;CDC20;ESPL1;DLGAP5;DEPDC1;CDCA2;ARHGAP11A;SAPCD2;SPC24;CKAP2;CENPI;RAD51AP1;AURKB;PBK;SCLT1;KIF20B;CDCA3;KIF2C;PIMREG;TRAIP;NUSAP1;RACGAP1;FAM83D;ECT2;UBE2T;DIAPH3;KNSTRN;TACC3</t>
  </si>
  <si>
    <t>http://www.broadinstitute.org/gsea/msigdb/cards/YANG_BCL3_TARGETS_UP.html</t>
  </si>
  <si>
    <t>CROONQUIST_NRAS_VS_STROMAL_STIMULATION_DN</t>
  </si>
  <si>
    <t>11065;6790;8318;9401;9133;9232;7083;983;891;890;4172;4176;899;4288;1058;4171;1163;1062;2305;10024;991;9787;2146;1033;9824;10635;9212;11004;990;10293;22974</t>
  </si>
  <si>
    <t>UBE2C;AURKA;CDC45;RECQL4;CCNB2;PTTG1;TK1;CDK1;CCNB1;CCNA2;MCM3;MCM7;CCNF;MKI67;CENPA;MCM2;CKS1B;CENPE;FOXM1;TROAP;CDC20;DLGAP5;EZH2;CDKN3;ARHGAP11A;RAD51AP1;AURKB;KIF2C;CDC6;TRAIP;TPX2</t>
  </si>
  <si>
    <t>http://www.broadinstitute.org/gsea/msigdb/cards/CROONQUIST_NRAS_VS_STROMAL_STIMULATION_DN.html</t>
  </si>
  <si>
    <t>FARMER_BREAST_CANCER_CLUSTER_2</t>
  </si>
  <si>
    <t>10403;9055;699;701;9133;10112;24137;9232;890;4173;1058;4751;3832;1062;4085;9833;55165;29028;259266;64151;51203;56992;22974;25788</t>
  </si>
  <si>
    <t>NDC80;PRC1;BUB1;BUB1B;CCNB2;KIF20A;KIF4A;PTTG1;CCNA2;MCM4;CENPA;NEK2;KIF11;CENPE;MAD2L1;MELK;CEP55;ATAD2;ASPM;NCAPG;NUSAP1;KIF15;TPX2;RAD54B</t>
  </si>
  <si>
    <t>http://www.broadinstitute.org/gsea/msigdb/cards/FARMER_BREAST_CANCER_CLUSTER_2.html</t>
  </si>
  <si>
    <t>REACTOME_SYNTHESIS_OF_DNA</t>
  </si>
  <si>
    <t>5717;5709;8318;5111;890;1017;4172;4173;4174;4176;5984;5982;2237;5985;5983;5557;5558;4171;1763;5427;5426;4998;23649;4175;9837;990;84296;81620;51659;23594</t>
  </si>
  <si>
    <t>PSMD11;PSMD3;CDC45;PCNA;CCNA2;CDK2;MCM3;MCM4;MCM5;MCM7;RFC4;RFC2;FEN1;RFC5;RFC3;PRIM1;PRIM2;MCM2;DNA2;POLE2;POLE;ORC1;POLA2;MCM6;GINS1;CDC6;GINS4;CDT1;GINS2;ORC6</t>
  </si>
  <si>
    <t>http://www.broadinstitute.org/gsea/msigdb/cards/REACTOME_SYNTHESIS_OF_DNA.html</t>
  </si>
  <si>
    <t>YU_MYC_TARGETS_UP</t>
  </si>
  <si>
    <t>79733;6790;332;699;9133;10112;983;7153;5111;891;6240;3148;4288;675;3838;5347;1163;9768;1033;27338;259266;29127;1894;54443;51514</t>
  </si>
  <si>
    <t>E2F8;AURKA;BIRC5;BUB1;CCNB2;KIF20A;CDK1;TOP2A;PCNA;CCNB1;RRM1;HMGB2;MKI67;BRCA2;KPNA2;PLK1;CKS1B;PCLAF;CDKN3;UBE2S;ASPM;RACGAP1;ECT2;ANLN;DTL</t>
  </si>
  <si>
    <t>http://www.broadinstitute.org/gsea/msigdb/cards/YU_MYC_TARGETS_UP.html</t>
  </si>
  <si>
    <t>2189;9401;9134;5111;7374;898;993;4173;4174;4436;4171;1869;10036;8208;6502;4998;1870;4175;29028;374393;55656;195828;11073;29128;580;990;64785;79075;79968;63967;3070;29980;51514;51659</t>
  </si>
  <si>
    <t>FANCG;RECQL4;CCNE2;PCNA;UNG;CCNE1;CDC25A;MCM4;MCM5;MSH2;MCM2;E2F1;CHAF1A;CHAF1B;SKP2;ORC1;E2F2;MCM6;ATAD2;FAM111B;INTS8;ZNF367;TOPBP1;UHRF1;BARD1;CDC6;GINS3;DSCC1;WDR76;CLSPN;HELLS;DONSON;DTL;GINS2</t>
  </si>
  <si>
    <t>REACTOME_CELL_CYCLE_CHECKPOINTS</t>
  </si>
  <si>
    <t>5717;8317;11065;1111;5709;701;8318;9133;9134;983;891;898;1017;4172;993;995;4173;4174;4176;5984;5982;5985;5983;4171;991;4085;4998;4175;55388;990;10926;23594</t>
  </si>
  <si>
    <t>PSMD11;CDC7;UBE2C;CHEK1;PSMD3;BUB1B;CDC45;CCNB2;CCNE2;CDK1;CCNB1;CCNE1;CDK2;MCM3;CDC25A;CDC25C;MCM4;MCM5;MCM7;RFC4;RFC2;RFC5;RFC3;MCM2;CDC20;MAD2L1;ORC1;MCM6;MCM10;CDC6;DBF4;ORC6</t>
  </si>
  <si>
    <t>http://www.broadinstitute.org/gsea/msigdb/cards/REACTOME_CELL_CYCLE_CHECKPOINTS.html</t>
  </si>
  <si>
    <t>BUYTAERT_PHOTODYNAMIC_THERAPY_STRESS_DN</t>
  </si>
  <si>
    <t>8317;6790;2175;332;699;10112;983;203068;7153;1503;890;4001;1841;898;4172;6241;4521;5983;899;4288;5557;1763;4751;5427;1869;84823;6502;4998;23649;1033;23590;84722;55388;146909;55355;55247;2491;9212;83461;580;84296;54478;3833;83990;55038;79968;57405;3070;56992;55732;10926;26271;9156;51659;25788</t>
  </si>
  <si>
    <t>CDC7;AURKA;FANCA;BIRC5;BUB1;KIF20A;CDK1;TUBB;TOP2A;CTPS1;CCNA2;LMNB1;DTYMK;CCNE1;MCM3;RRM2;NUDT1;RFC3;CCNF;MKI67;PRIM1;DNA2;NEK2;POLE2;E2F1;LMNB2;SKP2;ORC1;POLA2;CDKN3;PDSS1;PSRC1;MCM10;KIF18B;HJURP;NEIL3;CENPI;AURKB;CDCA3;BARD1;GINS4;PIMREG;KIFC1;BRIP1;CDCA4;WDR76;SPC25;HELLS;KIF15;C1orf112;DBF4;FBXO5;EXO1;GINS2;RAD54B</t>
  </si>
  <si>
    <t>http://www.broadinstitute.org/gsea/msigdb/cards/BUYTAERT_PHOTODYNAMIC_THERAPY_STRESS_DN.html</t>
  </si>
  <si>
    <t>LY_AGING_OLD_DN</t>
  </si>
  <si>
    <t>10212;5717;11065;7298;3015;4605;5111;891;890;3148;899;5902;1058;1063;4171;3832;5347;1434;1163;9493;2305;991;9928;9088;11004;580</t>
  </si>
  <si>
    <t>DDX39A;PSMD11;UBE2C;TYMS;H2AFZ;MYBL2;PCNA;CCNB1;CCNA2;HMGB2;CCNF;RANBP1;CENPA;CENPF;MCM2;KIF11;PLK1;CSE1L;CKS1B;AC027237.1;FOXM1;CDC20;KIF14;PKMYT1;KIF2C;BARD1</t>
  </si>
  <si>
    <t>http://www.broadinstitute.org/gsea/msigdb/cards/LY_AGING_OLD_DN.html</t>
  </si>
  <si>
    <t>7398;10592;86;5111;10797;891;890;3148;10971;7272;4176;7913;9775;1063;4171;9735;2956;10376;10657;4175;9768;9787;55143;55635;29028;79682;11073;3066;84991;55706;1894;55055;57405;54443;55646</t>
  </si>
  <si>
    <t>USP1;SMC2;ACTL6A;PCNA;MTHFD2;CCNB1;CCNA2;HMGB2;YWHAQ;TTK;MCM7;DEK;EIF4A3;CENPF;MCM2;KNTC1;MSH6;TUBA1B;KHDRBS1;MCM6;PCLAF;DLGAP5;CDCA8;DEPDC1;ATAD2;CENPU;TOPBP1;HDAC2;RBM17;NDC1;ECT2;ZWILCH;SPC25;ANLN;LYAR</t>
  </si>
  <si>
    <t>http://www.broadinstitute.org/gsea/msigdb/cards/LEE_LIVER_CANCER_SURVIVAL_DN.html</t>
  </si>
  <si>
    <t>SHEPARD_BMYB_TARGETS</t>
  </si>
  <si>
    <t>332;9055;7083;983;891;7272;4288;3832;9493;2305;991;9833;9928;9787;157313;259266;26586;9212;84930;55771;83461;54443;55010;51512;26271;22974;10460</t>
  </si>
  <si>
    <t>BIRC5;PRC1;TK1;CDK1;CCNB1;TTK;MKI67;KIF11;AC027237.1;FOXM1;CDC20;MELK;KIF14;DLGAP5;CDCA2;ASPM;CKAP2;AURKB;MASTL;PRR11;CDCA3;ANLN;PARPBP;GTSE1;FBXO5;TPX2;TACC3</t>
  </si>
  <si>
    <t>http://www.broadinstitute.org/gsea/msigdb/cards/SHEPARD_BMYB_TARGETS.html</t>
  </si>
  <si>
    <t>REACTOME_G2_M_CHECKPOINTS</t>
  </si>
  <si>
    <t>8317;1111;8318;9133;983;891;1017;4172;993;995;4173;4174;4176;5984;5982;5985;5983;4171;4998;4175;55388;990;10926;23594</t>
  </si>
  <si>
    <t>CDC7;CHEK1;CDC45;CCNB2;CDK1;CCNB1;CDK2;MCM3;CDC25A;CDC25C;MCM4;MCM5;MCM7;RFC4;RFC2;RFC5;RFC3;MCM2;ORC1;MCM6;MCM10;CDC6;DBF4;ORC6</t>
  </si>
  <si>
    <t>http://www.broadinstitute.org/gsea/msigdb/cards/REACTOME_G2_M_CHECKPOINTS.html</t>
  </si>
  <si>
    <t>OXFORD_RALA_OR_RALB_TARGETS_UP</t>
  </si>
  <si>
    <t>1871;11065;332;5709;11130;9134;7298;983;898;993;10105;6241;4173;4174;4176;2237;4171;79682;23234;9212;990;79019;51514;10460</t>
  </si>
  <si>
    <t>E2F3;UBE2C;BIRC5;PSMD3;ZWINT;CCNE2;TYMS;CDK1;CCNE1;CDC25A;PPIF;RRM2;MCM4;MCM5;MCM7;FEN1;MCM2;CENPU;DNAJC9;AURKB;CDC6;CENPM;DTL;TACC3</t>
  </si>
  <si>
    <t>http://www.broadinstitute.org/gsea/msigdb/cards/OXFORD_RALA_OR_RALB_TARGETS_UP.html</t>
  </si>
  <si>
    <t>PAL_PRMT5_TARGETS_UP</t>
  </si>
  <si>
    <t>8520;9133;10112;6240;3148;5933;995;7272;4173;5985;7112;4288;5557;5558;4171;3838;3832;5427;1163;9493;991;1479;9768;9319;63979;55656;11073;9212;29128;79902;29127;1894;3619;3070;10460</t>
  </si>
  <si>
    <t>HAT1;CCNB2;KIF20A;RRM1;HMGB2;RBL1;CDC25C;TTK;MCM4;RFC5;TMPO;MKI67;PRIM1;PRIM2;MCM2;KPNA2;KIF11;POLE2;CKS1B;AC027237.1;CDC20;CSTF3;PCLAF;TRIP13;FIGNL1;INTS8;TOPBP1;AURKB;UHRF1;NUP85;RACGAP1;ECT2;INCENP;HELLS;TACC3</t>
  </si>
  <si>
    <t>http://www.broadinstitute.org/gsea/msigdb/cards/PAL_PRMT5_TARGETS_UP.html</t>
  </si>
  <si>
    <t>STEIN_ESRRA_TARGETS_RESPONSIVE_TO_ESTROGEN_DN</t>
  </si>
  <si>
    <t>23306;11169;9134;5111;6240;993;4174;2237;7112;4171;5427;6502;4175;29028;79682;55388;54892;990;64785;55055;10051;51514;51659</t>
  </si>
  <si>
    <t>NEMP1;WDHD1;CCNE2;PCNA;RRM1;CDC25A;MCM5;FEN1;TMPO;MCM2;POLE2;SKP2;MCM6;ATAD2;CENPU;MCM10;NCAPG2;CDC6;GINS3;ZWILCH;SMC4;DTL;GINS2</t>
  </si>
  <si>
    <t>http://www.broadinstitute.org/gsea/msigdb/cards/STEIN_ESRRA_TARGETS_RESPONSIVE_TO_ESTROGEN_DN.html</t>
  </si>
  <si>
    <t>BURTON_ADIPOGENESIS_PEAK_AT_24HR</t>
  </si>
  <si>
    <t>11065;9055;699;3161;10112;9232;7083;983;7153;891;890;6240;790;995;3838;991;9833;1994;91687;9212;51203;29127;54443</t>
  </si>
  <si>
    <t>UBE2C;PRC1;BUB1;HMMR;KIF20A;PTTG1;TK1;CDK1;TOP2A;CCNB1;CCNA2;RRM1;CAD;CDC25C;KPNA2;CDC20;MELK;ELAVL1;CENPL;AURKB;NUSAP1;RACGAP1;ANLN</t>
  </si>
  <si>
    <t>http://www.broadinstitute.org/gsea/msigdb/cards/BURTON_ADIPOGENESIS_PEAK_AT_24HR.html</t>
  </si>
  <si>
    <t>REICHERT_MITOSIS_LIN9_TARGETS</t>
  </si>
  <si>
    <t>6790;3161;10112;7153;891;3148;899;4288;1058;1063;5347;1062;9493;9918;55165;157313;259266;57082;11004;51203;26271</t>
  </si>
  <si>
    <t>AURKA;HMMR;KIF20A;TOP2A;CCNB1;HMGB2;CCNF;MKI67;CENPA;CENPF;PLK1;CENPE;AC027237.1;NCAPD2;CEP55;CDCA2;ASPM;KNL1;KIF2C;NUSAP1;FBXO5</t>
  </si>
  <si>
    <t>http://www.broadinstitute.org/gsea/msigdb/cards/REICHERT_MITOSIS_LIN9_TARGETS.html</t>
  </si>
  <si>
    <t>1111;6790;2189;2175;701;983;891;890;7283;898;1017;4172;993;995;5984;5982;4436;675;3838;2956;5347;641;1869;5888;3066;580;2177;63967</t>
  </si>
  <si>
    <t>CHEK1;AURKA;FANCG;FANCA;BUB1B;CDK1;CCNB1;CCNA2;TUBG1;CCNE1;CDK2;MCM3;CDC25A;CDC25C;RFC4;RFC2;MSH2;BRCA2;KPNA2;MSH6;PLK1;BLM;E2F1;RAD51;HDAC2;BARD1;FANCD2;CLSPN</t>
  </si>
  <si>
    <t>PID_PLK1_PATHWAY</t>
  </si>
  <si>
    <t>10403;6790;9055;699;701;10112;983;891;7283;995;5347;1062;991;54821;151648;79866;79682;147841;1894;63967;3619;26271;22974</t>
  </si>
  <si>
    <t>NDC80;AURKA;PRC1;BUB1;BUB1B;KIF20A;CDK1;CCNB1;TUBG1;CDC25C;PLK1;CENPE;CDC20;ERCC6L;SGO1;BORA;CENPU;SPC24;ECT2;CLSPN;INCENP;FBXO5;TPX2</t>
  </si>
  <si>
    <t>http://www.broadinstitute.org/gsea/msigdb/cards/PID_PLK1_PATHWAY.html</t>
  </si>
  <si>
    <t>BOYAULT_LIVER_CANCER_SUBCLASS_G23_UP</t>
  </si>
  <si>
    <t>11339;701;7398;24137;10592;9134;7298;3015;7283;6240;4172;2237;4288;1058;4171;4751;4175;9787;27338;79682;81539;1894;10926</t>
  </si>
  <si>
    <t>OIP5;BUB1B;USP1;KIF4A;SMC2;CCNE2;TYMS;H2AFZ;TUBG1;RRM1;MCM3;FEN1;MKI67;CENPA;MCM2;NEK2;MCM6;DLGAP5;UBE2S;CENPU;SLC38A1;ECT2;DBF4</t>
  </si>
  <si>
    <t>http://www.broadinstitute.org/gsea/msigdb/cards/BOYAULT_LIVER_CANCER_SUBCLASS_G23_UP.html</t>
  </si>
  <si>
    <t>PETROVA_ENDOTHELIUM_LYMPHATIC_VS_BLOOD_UP</t>
  </si>
  <si>
    <t>11065;10403;699;701;9133;9232;9134;7083;983;4605;7153;891;890;4001;3148;7272;1063;3832;5347;1163;2305;4175;9837;9768;1033;9212;10615;11004;10051</t>
  </si>
  <si>
    <t>UBE2C;NDC80;BUB1;BUB1B;CCNB2;PTTG1;CCNE2;TK1;CDK1;MYBL2;TOP2A;CCNB1;CCNA2;LMNB1;HMGB2;TTK;CENPF;KIF11;PLK1;CKS1B;FOXM1;MCM6;GINS1;PCLAF;CDKN3;AURKB;SPAG5;KIF2C;SMC4</t>
  </si>
  <si>
    <t>http://www.broadinstitute.org/gsea/msigdb/cards/PETROVA_ENDOTHELIUM_LYMPHATIC_VS_BLOOD_UP.html</t>
  </si>
  <si>
    <t>WILCOX_RESPONSE_TO_PROGESTERONE_UP</t>
  </si>
  <si>
    <t>10403;9055;3161;11169;9133;10112;24137;10592;7083;7298;983;7153;891;3148;6241;1063;991;9768;9787;55165;79682;259266;55355;79801;55839;55872;990;64151;51203;55215</t>
  </si>
  <si>
    <t>NDC80;PRC1;HMMR;WDHD1;CCNB2;KIF20A;KIF4A;SMC2;TK1;TYMS;CDK1;TOP2A;CCNB1;HMGB2;RRM2;CENPF;CDC20;PCLAF;DLGAP5;CEP55;CENPU;ASPM;HJURP;SHCBP1;CENPN;PBK;CDC6;NCAPG;NUSAP1;FANCI</t>
  </si>
  <si>
    <t>http://www.broadinstitute.org/gsea/msigdb/cards/WILCOX_RESPONSE_TO_PROGESTERONE_UP.html</t>
  </si>
  <si>
    <t>REACTOME_ACTIVATION_OF_ATR_IN_RESPONSE_TO_REPLICATION_STRESS</t>
  </si>
  <si>
    <t>8317;1111;8318;1017;4172;993;995;4173;4174;4176;5984;5982;5985;5983;4171;4998;4175;55388;990;10926;23594</t>
  </si>
  <si>
    <t>CDC7;CHEK1;CDC45;CDK2;MCM3;CDC25A;CDC25C;MCM4;MCM5;MCM7;RFC4;RFC2;RFC5;RFC3;MCM2;ORC1;MCM6;MCM10;CDC6;DBF4;ORC6</t>
  </si>
  <si>
    <t>http://www.broadinstitute.org/gsea/msigdb/cards/REACTOME_ACTIVATION_OF_ATR_IN_RESPONSE_TO_REPLICATION_STRESS.html</t>
  </si>
  <si>
    <t>REACTOME_DNA_STRAND_ELONGATION</t>
  </si>
  <si>
    <t>8318;5111;4172;4173;4174;4176;5984;5982;2237;5985;5983;5557;5558;4171;1763;23649;4175;9837;84296;51659</t>
  </si>
  <si>
    <t>CDC45;PCNA;MCM3;MCM4;MCM5;MCM7;RFC4;RFC2;FEN1;RFC5;RFC3;PRIM1;PRIM2;MCM2;DNA2;POLA2;MCM6;GINS1;GINS4;GINS2</t>
  </si>
  <si>
    <t>http://www.broadinstitute.org/gsea/msigdb/cards/REACTOME_DNA_STRAND_ELONGATION.html</t>
  </si>
  <si>
    <t>REACTOME_M_G1_TRANSITION</t>
  </si>
  <si>
    <t>5717;8317;1871;5709;8318;1017;4172;4173;4174;4176;5557;5558;4171;5427;1869;5426;4998;23649;1870;4175;55388;990;81620;10926;23594</t>
  </si>
  <si>
    <t>PSMD11;CDC7;E2F3;PSMD3;CDC45;CDK2;MCM3;MCM4;MCM5;MCM7;PRIM1;PRIM2;MCM2;POLE2;E2F1;POLE;ORC1;POLA2;E2F2;MCM6;MCM10;CDC6;CDT1;DBF4;ORC6</t>
  </si>
  <si>
    <t>http://www.broadinstitute.org/gsea/msigdb/cards/REACTOME_M_G1_TRANSITION.html</t>
  </si>
  <si>
    <t>REACTOME_ACTIVATION_OF_THE_PRE_REPLICATIVE_COMPLEX</t>
  </si>
  <si>
    <t>8317;8318;1017;4172;4173;4174;4176;5557;5558;4171;5427;5426;4998;23649;4175;55388;990;81620;10926;23594</t>
  </si>
  <si>
    <t>CDC7;CDC45;CDK2;MCM3;MCM4;MCM5;MCM7;PRIM1;PRIM2;MCM2;POLE2;POLE;ORC1;POLA2;MCM6;MCM10;CDC6;CDT1;DBF4;ORC6</t>
  </si>
  <si>
    <t>http://www.broadinstitute.org/gsea/msigdb/cards/REACTOME_ACTIVATION_OF_THE_PRE_REPLICATIVE_COMPLEX.html</t>
  </si>
  <si>
    <t>GARCIA_TARGETS_OF_FLI1_AND_DAX1_DN</t>
  </si>
  <si>
    <t>1111;8562;11130;7298;3015;4605;4001;898;1017;993;6241;2237;7112;8208;6502;1870;157570;84798;55388;113130;990;64785;144097;55055;79968;79019;51514;29893;6941;51659;65003</t>
  </si>
  <si>
    <t>CHEK1;DENR;ZWINT;TYMS;H2AFZ;MYBL2;LMNB1;CCNE1;CDK2;CDC25A;RRM2;FEN1;TMPO;CHAF1B;SKP2;E2F2;ESCO2;C19orf48;MCM10;CDCA5;CDC6;GINS3;SPINDOC;ZWILCH;WDR76;CENPM;DTL;PSMC3IP;TCF19;GINS2;MRPL11</t>
  </si>
  <si>
    <t>http://www.broadinstitute.org/gsea/msigdb/cards/GARCIA_TARGETS_OF_FLI1_AND_DAX1_DN.html</t>
  </si>
  <si>
    <t>COLINA_TARGETS_OF_4EBP1_AND_4EBP2</t>
  </si>
  <si>
    <t>10403;8520;332;3161;10112;7153;891;890;7272;4751;5347;6415;5888;5426;2305;991;9700;9833;9787;9212;55872;11004;64105;55706;51203;83540;29127;81620;64946;1894;29089;54443;3070;81624;55723;10926;26271;22974;10460</t>
  </si>
  <si>
    <t>NDC80;HAT1;BIRC5;HMMR;KIF20A;TOP2A;CCNB1;CCNA2;TTK;NEK2;PLK1;SELENOW;RAD51;POLE;FOXM1;CDC20;ESPL1;MELK;DLGAP5;AURKB;PBK;KIF2C;CENPK;NDC1;NUSAP1;NUF2;RACGAP1;CDT1;CENPH;ECT2;UBE2T;ANLN;HELLS;DIAPH3;ASF1B;DBF4;FBXO5;TPX2;TACC3</t>
  </si>
  <si>
    <t>http://www.broadinstitute.org/gsea/msigdb/cards/COLINA_TARGETS_OF_4EBP1_AND_4EBP2.html</t>
  </si>
  <si>
    <t>GRAHAM_CML_QUIESCENT_VS_NORMAL_QUIESCENT_UP</t>
  </si>
  <si>
    <t>1111;9055;9133;11130;10592;7083;983;7153;10105;6241;4174;1063;3832;991;9833;9837;9768;9787;2146;1033;55165;79682;51203;29127;56992</t>
  </si>
  <si>
    <t>CHEK1;PRC1;CCNB2;ZWINT;SMC2;TK1;CDK1;TOP2A;PPIF;RRM2;MCM5;CENPF;KIF11;CDC20;MELK;GINS1;PCLAF;DLGAP5;EZH2;CDKN3;CEP55;CENPU;NUSAP1;RACGAP1;KIF15</t>
  </si>
  <si>
    <t>http://www.broadinstitute.org/gsea/msigdb/cards/GRAHAM_CML_QUIESCENT_VS_NORMAL_QUIESCENT_UP.html</t>
  </si>
  <si>
    <t>79733;8317;10733;11065;1111;3797;2175;6839;7398;22995;24137;7083;7298;203068;7153;10797;6929;4001;1841;6240;1017;3148;5933;7913;7112;5902;4288;5558;4171;1763;675;3832;5427;6733;84823;10657;5426;2305;1479;6502;23076;3837;23397;9918;23518;9787;9319;27338;54821;23590;63979;128239;54892;285753;55247;57650;8438;220134;27085;80829;55872;375444;990;54478;84057;51203;83540;29127;54443;3070;81624;55215;51514;10926;8914;6941;90417</t>
  </si>
  <si>
    <t>E2F8;CDC7;PLK4;UBE2C;CHEK1;KIF3C;FANCA;SUV39H1;USP1;CEP152;KIF4A;TK1;TYMS;TUBB;TOP2A;MTHFD2;TCF3;LMNB1;DTYMK;RRM1;CDK2;HMGB2;RBL1;DEK;TMPO;RANBP1;MKI67;PRIM2;MCM2;DNA2;BRCA2;KIF11;POLE2;SRPK2;LMNB2;KHDRBS1;POLE;FOXM1;CSTF3;SKP2;RRP1B;KPNB1;NCAPH;NCAPD2;R3HDM1;DLGAP5;TRIP13;UBE2S;ERCC6L;PDSS1;FIGNL1;IQGAP3;NCAPG2;CEP57L1;NEIL3;CIP2A;RAD54L;SKA1;MTBP;ZFP91;PBK;C5orf34;CDC6;PIMREG;MND1;NUSAP1;NUF2;RACGAP1;ANLN;HELLS;DIAPH3;FANCI;DTL;DBF4;TIMELESS;TCF19;KNSTRN</t>
  </si>
  <si>
    <t>11065;701;9133;11130;9232;7083;7298;203068;7153;5111;891;890;4172;3148;7272;5984;5983;4288;1063;3832;5347;2305;4085;9768;9928;9787;1033;11004;580;22974</t>
  </si>
  <si>
    <t>UBE2C;BUB1B;CCNB2;ZWINT;PTTG1;TK1;TYMS;TUBB;TOP2A;PCNA;CCNB1;CCNA2;MCM3;HMGB2;TTK;RFC4;RFC3;MKI67;CENPF;KIF11;PLK1;FOXM1;MAD2L1;PCLAF;KIF14;DLGAP5;CDKN3;KIF2C;BARD1;TPX2</t>
  </si>
  <si>
    <t>10403;701;1515;3161;10721;11169;7398;10592;4691;7272;7913;672;4436;4288;1063;9735;3832;641;1062;9493;9928;9787;55635;9824;29028;79682;259266;57082;81930;3066;10635;84991;55872;9585;51203;83540;64946;1894;54443;3070;56992;81624;10051;55010;10926;25788</t>
  </si>
  <si>
    <t>NDC80;BUB1B;CTSV;HMMR;POLQ;WDHD1;USP1;SMC2;NCL;TTK;DEK;BRCA1;MSH2;MKI67;CENPF;KNTC1;KIF11;BLM;CENPE;AC027237.1;KIF14;DLGAP5;DEPDC1;ARHGAP11A;ATAD2;CENPU;ASPM;KNL1;KIF18A;HDAC2;RAD51AP1;RBM17;PBK;KIF20B;NUSAP1;NUF2;CENPH;ECT2;ANLN;HELLS;KIF15;DIAPH3;SMC4;PARPBP;DBF4;RAD54B</t>
  </si>
  <si>
    <t>STEIN_ESR1_TARGETS</t>
  </si>
  <si>
    <t>23306;9134;5111;6240;993;4173;4174;5984;2237;7112;4171;5427;6502;4175;29028;79682;55388;54892;990;64785;55055;10051;51514;51659</t>
  </si>
  <si>
    <t>NEMP1;CCNE2;PCNA;RRM1;CDC25A;MCM4;MCM5;RFC4;FEN1;TMPO;MCM2;POLE2;SKP2;MCM6;ATAD2;CENPU;MCM10;NCAPG2;CDC6;GINS3;ZWILCH;SMC4;DTL;GINS2</t>
  </si>
  <si>
    <t>http://www.broadinstitute.org/gsea/msigdb/cards/STEIN_ESR1_TARGETS.html</t>
  </si>
  <si>
    <t>GREENBAUM_E2A_TARGETS_UP</t>
  </si>
  <si>
    <t>10733;6790;699;9133;24137;7298;7153;891;890;7272;4288;3832;4085;57650;11004;51203;29127;1894;54443</t>
  </si>
  <si>
    <t>PLK4;AURKA;BUB1;CCNB2;KIF4A;TYMS;TOP2A;CCNB1;CCNA2;TTK;MKI67;KIF11;MAD2L1;CIP2A;KIF2C;NUSAP1;RACGAP1;ECT2;ANLN</t>
  </si>
  <si>
    <t>http://www.broadinstitute.org/gsea/msigdb/cards/GREENBAUM_E2A_TARGETS_UP.html</t>
  </si>
  <si>
    <t>5717;10403;699;3161;86;890;7272;9775;5983;5557;4085;6996;9833;3837;9918;9319;2146;55165;55355;11073;10635;11004;990;64151;55706;55055;11321;79019;55215;10460</t>
  </si>
  <si>
    <t>PSMD11;NDC80;BUB1;HMMR;ACTL6A;CCNA2;TTK;EIF4A3;RFC3;PRIM1;MAD2L1;TDG;MELK;KPNB1;NCAPD2;TRIP13;EZH2;CEP55;HJURP;TOPBP1;RAD51AP1;KIF2C;CDC6;NCAPG;NDC1;ZWILCH;GPN1;CENPM;FANCI;TACC3</t>
  </si>
  <si>
    <t>11339;3015;5111;4001;5984;5982;672;2237;5985;5983;1058;5557;5558;1763;5427;5426;23649;79682;55355;57082;2491;55839;64105;79172;64946;54069</t>
  </si>
  <si>
    <t>OIP5;H2AFZ;PCNA;LMNB1;RFC4;RFC2;BRCA1;FEN1;RFC5;RFC3;CENPA;PRIM1;PRIM2;DNA2;POLE2;POLE;POLA2;CENPU;HJURP;KNL1;CENPI;CENPN;CENPK;CENPO;CENPH;MIS18A</t>
  </si>
  <si>
    <t>KEGG_DNA_REPLICATION</t>
  </si>
  <si>
    <t>10535;5111;4172;4173;4174;4176;5984;5982;2237;5985;5983;5557;5558;4171;1763;5427;5426;23649;4175</t>
  </si>
  <si>
    <t>RNASEH2A;PCNA;MCM3;MCM4;MCM5;MCM7;RFC4;RFC2;FEN1;RFC5;RFC3;PRIM1;PRIM2;MCM2;DNA2;POLE2;POLE;POLA2;MCM6</t>
  </si>
  <si>
    <t>http://www.broadinstitute.org/gsea/msigdb/cards/KEGG_DNA_REPLICATION.html</t>
  </si>
  <si>
    <t>NAKAMURA_TUMOR_ZONE_PERIPHERAL_VS_CENTRAL_UP</t>
  </si>
  <si>
    <t>5717;332;3161;9133;24137;7083;983;7153;1503;7283;1841;6241;4174;5984;7112;3838;5427;10376;9319;55165;387103;79682;79801;150465;55872;64151;84790;29127;79019;81624;29980;29893;51659;90417</t>
  </si>
  <si>
    <t>PSMD11;BIRC5;HMMR;CCNB2;KIF4A;TK1;CDK1;TOP2A;CTPS1;TUBG1;DTYMK;RRM2;MCM5;RFC4;TMPO;KPNA2;POLE2;TUBA1B;TRIP13;CEP55;CENPW;CENPU;SHCBP1;TTL;PBK;NCAPG;TUBA1C;RACGAP1;CENPM;DIAPH3;DONSON;PSMC3IP;GINS2;KNSTRN</t>
  </si>
  <si>
    <t>http://www.broadinstitute.org/gsea/msigdb/cards/NAKAMURA_TUMOR_ZONE_PERIPHERAL_VS_CENTRAL_UP.html</t>
  </si>
  <si>
    <t>PID_AURORA_B_PATHWAY</t>
  </si>
  <si>
    <t>10403;6790;332;699;10112;10592;4691;1058;9493;23397;9918;55143;151648;9212;11004;64151;29127;3619;10051</t>
  </si>
  <si>
    <t>NDC80;AURKA;BIRC5;BUB1;KIF20A;SMC2;NCL;CENPA;AC027237.1;NCAPH;NCAPD2;CDCA8;SGO1;AURKB;KIF2C;NCAPG;RACGAP1;INCENP;SMC4</t>
  </si>
  <si>
    <t>http://www.broadinstitute.org/gsea/msigdb/cards/PID_AURORA_B_PATHWAY.html</t>
  </si>
  <si>
    <t>PID_ATR_PATHWAY</t>
  </si>
  <si>
    <t>1111;890;1017;993;995;4176;5984;5982;5985;5983;4171;675;5347;5888;11073;990;2177;63967;8914</t>
  </si>
  <si>
    <t>CHEK1;CCNA2;CDK2;CDC25A;CDC25C;MCM7;RFC4;RFC2;RFC5;RFC3;MCM2;BRCA2;PLK1;RAD51;TOPBP1;CDC6;FANCD2;CLSPN;TIMELESS</t>
  </si>
  <si>
    <t>http://www.broadinstitute.org/gsea/msigdb/cards/PID_ATR_PATHWAY.html</t>
  </si>
  <si>
    <t>NADERI_BREAST_CANCER_PROGNOSIS_UP</t>
  </si>
  <si>
    <t>10403;699;10112;9232;4605;1503;9833;55165;55143;113115;259266;113130;55839;132320;10615;29128;79075;29127;8914;9156</t>
  </si>
  <si>
    <t>NDC80;BUB1;KIF20A;PTTG1;MYBL2;CTPS1;MELK;CEP55;CDCA8;MTFR2;ASPM;CDCA5;CENPN;SCLT1;SPAG5;UHRF1;DSCC1;RACGAP1;TIMELESS;EXO1</t>
  </si>
  <si>
    <t>http://www.broadinstitute.org/gsea/msigdb/cards/NADERI_BREAST_CANCER_PROGNOSIS_UP.html</t>
  </si>
  <si>
    <t>1871;9134;7083;7298;983;4605;890;6240;898;1017;4172;5933;993;6241;672;5902;1869;4998;1870;11073;144455;990</t>
  </si>
  <si>
    <t>E2F3;CCNE2;TK1;TYMS;CDK1;MYBL2;CCNA2;RRM1;CCNE1;CDK2;MCM3;RBL1;CDC25A;RRM2;BRCA1;RANBP1;E2F1;ORC1;E2F2;TOPBP1;E2F7;CDC6</t>
  </si>
  <si>
    <t>GARGALOVIC_RESPONSE_TO_OXIDIZED_PHOSPHOLIPIDS_TURQUOISE_DN</t>
  </si>
  <si>
    <t>79733;10403;6790;701;890;899;7112;4288;5347;991;6502;9700;151246;374393;147841;55247;580;3833;56992;10460</t>
  </si>
  <si>
    <t>E2F8;NDC80;AURKA;BUB1B;CCNA2;CCNF;TMPO;MKI67;PLK1;CDC20;SKP2;ESPL1;SGO2;FAM111B;SPC24;NEIL3;BARD1;KIFC1;KIF15;TACC3</t>
  </si>
  <si>
    <t>http://www.broadinstitute.org/gsea/msigdb/cards/GARGALOVIC_RESPONSE_TO_OXIDIZED_PHOSPHOLIPIDS_TURQUOISE_DN.html</t>
  </si>
  <si>
    <t>GRADE_COLON_AND_RECTAL_CANCER_UP</t>
  </si>
  <si>
    <t>10212;6790;10721;8318;983;3015;5111;10797;891;6240;4172;3148;6241;4173;4174;4176;5982;5985;4171;9735;5347;9493;6749;9833;79866;221150;285753;55355;990;51203;3070;55646;8914</t>
  </si>
  <si>
    <t>DDX39A;AURKA;POLQ;CDC45;CDK1;H2AFZ;PCNA;MTHFD2;CCNB1;RRM1;MCM3;HMGB2;RRM2;MCM4;MCM5;MCM7;RFC2;RFC5;MCM2;KNTC1;PLK1;AC027237.1;SSRP1;MELK;BORA;SKA3;CEP57L1;HJURP;CDC6;NUSAP1;HELLS;LYAR;TIMELESS</t>
  </si>
  <si>
    <t>http://www.broadinstitute.org/gsea/msigdb/cards/GRADE_COLON_AND_RECTAL_CANCER_UP.html</t>
  </si>
  <si>
    <t>8317;23306;7398;7298;4172;1063;9735;1479;2146;348654;29028;195828;162681;144455;375444;29128;580;64105;79968;3070;56992;29980;51514</t>
  </si>
  <si>
    <t>CDC7;NEMP1;USP1;TYMS;MCM3;CENPF;KNTC1;CSTF3;EZH2;GEN1;ATAD2;ZNF367;C18orf54;E2F7;C5orf34;UHRF1;BARD1;CENPK;WDR76;HELLS;KIF15;DONSON;DTL</t>
  </si>
  <si>
    <t>BURTON_ADIPOGENESIS_PEAK_AT_16HR</t>
  </si>
  <si>
    <t>8520;10592;4172;1786;3148;6241;4173;4174;4176;2237;2956;5888;8208;23649;4175;990;3070;55723</t>
  </si>
  <si>
    <t>HAT1;SMC2;MCM3;DNMT1;HMGB2;RRM2;MCM4;MCM5;MCM7;FEN1;MSH6;RAD51;CHAF1B;POLA2;MCM6;CDC6;HELLS;ASF1B</t>
  </si>
  <si>
    <t>http://www.broadinstitute.org/gsea/msigdb/cards/BURTON_ADIPOGENESIS_PEAK_AT_16HR.html</t>
  </si>
  <si>
    <t>GEORGES_CELL_CYCLE_MIR192_TARGETS</t>
  </si>
  <si>
    <t>8317;10721;7398;4172;7913;672;4288;9493;84823;5888;4085;6996;4175;23397;9928;55388;80174;9585;29127;51514</t>
  </si>
  <si>
    <t>CDC7;POLQ;USP1;MCM3;DEK;BRCA1;MKI67;AC027237.1;LMNB2;RAD51;MAD2L1;TDG;MCM6;NCAPH;KIF14;MCM10;DBF4B;KIF20B;RACGAP1;DTL</t>
  </si>
  <si>
    <t>http://www.broadinstitute.org/gsea/msigdb/cards/GEORGES_CELL_CYCLE_MIR192_TARGETS.html</t>
  </si>
  <si>
    <t>RIZ_ERYTHROID_DIFFERENTIATION</t>
  </si>
  <si>
    <t>24137;4605;7153;4172;1786;3148;5933;4173;4174;4176;672;2237;1058;4171;641;5427;1869;2146;9212;29128;9156</t>
  </si>
  <si>
    <t>KIF4A;MYBL2;TOP2A;MCM3;DNMT1;HMGB2;RBL1;MCM4;MCM5;MCM7;BRCA1;FEN1;CENPA;MCM2;BLM;POLE2;E2F1;EZH2;AURKB;UHRF1;EXO1</t>
  </si>
  <si>
    <t>http://www.broadinstitute.org/gsea/msigdb/cards/RIZ_ERYTHROID_DIFFERENTIATION.html</t>
  </si>
  <si>
    <t>REACTOME_E2F_MEDIATED_REGULATION_OF_DNA_REPLICATION</t>
  </si>
  <si>
    <t>8318;7298;983;5111;891;898;993;6241;5557;5558;1869;4998;23649;990;81620;26271;23594</t>
  </si>
  <si>
    <t>CDC45;TYMS;CDK1;PCNA;CCNB1;CCNE1;CDC25A;RRM2;PRIM1;PRIM2;E2F1;ORC1;POLA2;CDC6;CDT1;FBXO5;ORC6</t>
  </si>
  <si>
    <t>http://www.broadinstitute.org/gsea/msigdb/cards/REACTOME_E2F_MEDIATED_REGULATION_OF_DNA_REPLICATION.html</t>
  </si>
  <si>
    <t>LI_WILMS_TUMOR_ANAPLASTIC_UP</t>
  </si>
  <si>
    <t>8520;983;7272;5984;5983;4288;1058;1063;3838;3837;23397;8438;83461;11004;51203</t>
  </si>
  <si>
    <t>HAT1;CDK1;TTK;RFC4;RFC3;MKI67;CENPA;CENPF;KPNA2;KPNB1;NCAPH;RAD54L;CDCA3;KIF2C;NUSAP1</t>
  </si>
  <si>
    <t>http://www.broadinstitute.org/gsea/msigdb/cards/LI_WILMS_TUMOR_ANAPLASTIC_UP.html</t>
  </si>
  <si>
    <t>CHANG_CORE_SERUM_RESPONSE_UP</t>
  </si>
  <si>
    <t>10733;1111;11169;10592;86;3015;4605;7283;1017;4172;4176;4521;5983;675;5427;84823;387103;84798;79682;220134;55839;79172;79902;83990;55038;64858;55055;55646</t>
  </si>
  <si>
    <t>PLK4;CHEK1;WDHD1;SMC2;ACTL6A;H2AFZ;MYBL2;TUBG1;CDK2;MCM3;MCM7;NUDT1;RFC3;BRCA2;POLE2;LMNB2;CENPW;C19orf48;CENPU;SKA1;CENPN;CENPO;NUP85;BRIP1;CDCA4;DCLRE1B;ZWILCH;LYAR</t>
  </si>
  <si>
    <t>http://www.broadinstitute.org/gsea/msigdb/cards/CHANG_CORE_SERUM_RESPONSE_UP.html</t>
  </si>
  <si>
    <t>FERRANDO_T_ALL_WITH_MLL_ENL_FUSION_DN</t>
  </si>
  <si>
    <t>10212;11065;7298;7153;5111;4001;6240;1017;3148;4174;5902;4171;1434;10036;23649;3837;9768;27338;8570;9088;580</t>
  </si>
  <si>
    <t>DDX39A;UBE2C;TYMS;TOP2A;PCNA;LMNB1;RRM1;CDK2;HMGB2;MCM5;RANBP1;MCM2;CSE1L;CHAF1A;POLA2;KPNB1;PCLAF;UBE2S;KHSRP;PKMYT1;BARD1</t>
  </si>
  <si>
    <t>http://www.broadinstitute.org/gsea/msigdb/cards/FERRANDO_T_ALL_WITH_MLL_ENL_FUSION_DN.html</t>
  </si>
  <si>
    <t>2175;699;1515;9133;4605;1503;7272;4174;1058;5558;8833;3068;641;991;4175;9833;9918;6491;55165;55143;387103;221150;55355;11073;8438;11004;54478;54443;55732</t>
  </si>
  <si>
    <t>FANCA;BUB1;CTSV;CCNB2;MYBL2;CTPS1;TTK;MCM5;CENPA;PRIM2;GMPS;HDGF;BLM;CDC20;MCM6;MELK;NCAPD2;STIL;CEP55;CDCA8;CENPW;SKA3;HJURP;TOPBP1;RAD54L;KIF2C;PIMREG;ANLN;C1orf112</t>
  </si>
  <si>
    <t>SCIAN_CELL_CYCLE_TARGETS_OF_TP53_AND_TP73_DN</t>
  </si>
  <si>
    <t>11065;6790;891;890;1841;1017;995;4176;899;9493;991;4175;1033;51512;22974</t>
  </si>
  <si>
    <t>UBE2C;AURKA;CCNB1;CCNA2;DTYMK;CDK2;CDC25C;MCM7;CCNF;AC027237.1;CDC20;MCM6;CDKN3;GTSE1;TPX2</t>
  </si>
  <si>
    <t>http://www.broadinstitute.org/gsea/msigdb/cards/SCIAN_CELL_CYCLE_TARGETS_OF_TP53_AND_TP73_DN.html</t>
  </si>
  <si>
    <t>332;11339;9055;699;7398;7083;7298;203068;4605;6929;4174;1063;9735;3832;5888;5426;2305;4998;9833;9319;55165;29028;79682;195828;54892;146909;55355;144455;113130;84930;55771;80829;29128;9088;55706;3833;51203;29127;81620;81539;1894;55215;55723;51514;6941;10460</t>
  </si>
  <si>
    <t>BIRC5;OIP5;PRC1;BUB1;USP1;TK1;TYMS;TUBB;MYBL2;TCF3;MCM5;CENPF;KNTC1;KIF11;RAD51;POLE;FOXM1;ORC1;MELK;TRIP13;CEP55;ATAD2;CENPU;ZNF367;NCAPG2;KIF18B;HJURP;E2F7;CDCA5;MASTL;PRR11;ZFP91;UHRF1;PKMYT1;NDC1;KIFC1;NUSAP1;RACGAP1;CDT1;SLC38A1;ECT2;FANCI;ASF1B;DTL;TCF19;TACC3</t>
  </si>
  <si>
    <t>WANG_CISPLATIN_RESPONSE_AND_XPC_UP</t>
  </si>
  <si>
    <t>8317;11065;6790;2189;332;10535;983;3015;3148;7272;5984;2237;5985;23310;2956;3832;5888;4085;23649;9768;9918;9928;9319;63979;7444;26586;10051</t>
  </si>
  <si>
    <t>CDC7;UBE2C;AURKA;FANCG;BIRC5;RNASEH2A;CDK1;H2AFZ;HMGB2;TTK;RFC4;FEN1;RFC5;NCAPD3;MSH6;KIF11;RAD51;MAD2L1;POLA2;PCLAF;NCAPD2;KIF14;TRIP13;FIGNL1;VRK2;CKAP2;SMC4</t>
  </si>
  <si>
    <t>http://www.broadinstitute.org/gsea/msigdb/cards/WANG_CISPLATIN_RESPONSE_AND_XPC_UP.html</t>
  </si>
  <si>
    <t>FINETTI_BREAST_CANCER_KINOME_RED</t>
  </si>
  <si>
    <t>8317;10733;1111;6790;699;701;983;7272;4751;5347;9833;9212;84930;55872</t>
  </si>
  <si>
    <t>CDC7;PLK4;CHEK1;AURKA;BUB1;BUB1B;CDK1;TTK;NEK2;PLK1;MELK;AURKB;MASTL;PBK</t>
  </si>
  <si>
    <t>http://www.broadinstitute.org/gsea/msigdb/cards/FINETTI_BREAST_CANCER_KINOME_RED.html</t>
  </si>
  <si>
    <t>11065;6790;699;3161;10112;891;1058;1063;4751;5347;1062;9493;991;9928;9787;27338;55635;9824;84722;259266;83461;22974</t>
  </si>
  <si>
    <t>UBE2C;AURKA;BUB1;HMMR;KIF20A;CCNB1;CENPA;CENPF;NEK2;PLK1;CENPE;AC027237.1;CDC20;KIF14;DLGAP5;UBE2S;DEPDC1;ARHGAP11A;PSRC1;ASPM;CDCA3;TPX2</t>
  </si>
  <si>
    <t>PID_FANCONI_PATHWAY</t>
  </si>
  <si>
    <t>1111;2189;2175;7398;5984;5982;672;5985;5983;675;641;2187;11073;83990;2177;29089;55215</t>
  </si>
  <si>
    <t>CHEK1;FANCG;FANCA;USP1;RFC4;RFC2;BRCA1;RFC5;RFC3;BRCA2;BLM;FANCB;TOPBP1;BRIP1;FANCD2;UBE2T;FANCI</t>
  </si>
  <si>
    <t>http://www.broadinstitute.org/gsea/msigdb/cards/PID_FANCONI_PATHWAY.html</t>
  </si>
  <si>
    <t>11065;701;11130;86;9134;7083;3015;7153;5111;891;10971;5984;5982;4521;899;3068;3838;2956;3832;1163;6415;6733;4085;4175;9837;9768;27338;7444;10051;22974</t>
  </si>
  <si>
    <t>UBE2C;BUB1B;ZWINT;ACTL6A;CCNE2;TK1;H2AFZ;TOP2A;PCNA;CCNB1;YWHAQ;RFC4;RFC2;NUDT1;CCNF;HDGF;KPNA2;MSH6;KIF11;CKS1B;SELENOW;SRPK2;MAD2L1;MCM6;GINS1;PCLAF;UBE2S;VRK2;SMC4;TPX2</t>
  </si>
  <si>
    <t>79733;8317;10733;6790;11130;10592;7153;5111;6240;1786;5933;6241;5985;1058;1163;5888;6749;23397;9768;63979;11073;29128</t>
  </si>
  <si>
    <t>E2F8;CDC7;PLK4;AURKA;ZWINT;SMC2;TOP2A;PCNA;RRM1;DNMT1;RBL1;RRM2;RFC5;CENPA;CKS1B;RAD51;SSRP1;NCAPH;PCLAF;FIGNL1;TOPBP1;UHRF1</t>
  </si>
  <si>
    <t>PID_FOXM1_PATHWAY</t>
  </si>
  <si>
    <t>332;9133;983;891;890;898;1017;1058;1063;675;4751;5347;1163;2305;6502;9212</t>
  </si>
  <si>
    <t>BIRC5;CCNB2;CDK1;CCNB1;CCNA2;CCNE1;CDK2;CENPA;CENPF;BRCA2;NEK2;PLK1;CKS1B;FOXM1;SKP2;AURKB</t>
  </si>
  <si>
    <t>http://www.broadinstitute.org/gsea/msigdb/cards/PID_FOXM1_PATHWAY.html</t>
  </si>
  <si>
    <t>LY_AGING_MIDDLE_DN</t>
  </si>
  <si>
    <t>11065;4605;891;890;899;1058;1063;3832;5347;9493;2305;991;11004</t>
  </si>
  <si>
    <t>UBE2C;MYBL2;CCNB1;CCNA2;CCNF;CENPA;CENPF;KIF11;PLK1;AC027237.1;FOXM1;CDC20;KIF2C</t>
  </si>
  <si>
    <t>http://www.broadinstitute.org/gsea/msigdb/cards/LY_AGING_MIDDLE_DN.html</t>
  </si>
  <si>
    <t>MARKEY_RB1_CHRONIC_LOF_UP</t>
  </si>
  <si>
    <t>11169;10112;7083;7153;5111;1017;1786;5933;4176;5983;4436;5557;4171;675;8208;23397;2146;23234;29128;55038;81620</t>
  </si>
  <si>
    <t>WDHD1;KIF20A;TK1;TOP2A;PCNA;CDK2;DNMT1;RBL1;MCM7;RFC3;MSH2;PRIM1;MCM2;BRCA2;CHAF1B;NCAPH;EZH2;DNAJC9;UHRF1;CDCA4;CDT1</t>
  </si>
  <si>
    <t>http://www.broadinstitute.org/gsea/msigdb/cards/MARKEY_RB1_CHRONIC_LOF_UP.html</t>
  </si>
  <si>
    <t>699;9133;11130;86;983;203068;5111;6240;1017;4172;1786;993;6241;5985;4436;4670;3838;5347;991;23649;9768;1994;220042;79801;144455;10615;990;84790;64785;55706;55055;3070;55723</t>
  </si>
  <si>
    <t>BUB1;CCNB2;ZWINT;ACTL6A;CDK1;TUBB;PCNA;RRM1;CDK2;MCM3;DNMT1;CDC25A;RRM2;RFC5;MSH2;HNRNPM;KPNA2;PLK1;CDC20;POLA2;PCLAF;ELAVL1;DDIAS;SHCBP1;E2F7;SPAG5;CDC6;TUBA1C;GINS3;NDC1;ZWILCH;HELLS;ASF1B</t>
  </si>
  <si>
    <t>GROSS_HYPOXIA_VIA_ELK3_UP</t>
  </si>
  <si>
    <t>11065;10403;332;9133;10112;891;1503;890;1841;993;6241;1058;3838;10376;23649;9918;9824;11073;113130;55872;10615;84790;29127;3070;9156</t>
  </si>
  <si>
    <t>UBE2C;NDC80;BIRC5;CCNB2;KIF20A;CCNB1;CTPS1;CCNA2;DTYMK;CDC25A;RRM2;CENPA;KPNA2;TUBA1B;POLA2;NCAPD2;ARHGAP11A;TOPBP1;CDCA5;PBK;SPAG5;TUBA1C;RACGAP1;HELLS;EXO1</t>
  </si>
  <si>
    <t>http://www.broadinstitute.org/gsea/msigdb/cards/GROSS_HYPOXIA_VIA_ELK3_UP.html</t>
  </si>
  <si>
    <t>332;11339;22995;11130;9134;891;1841;993;6241;5982;2237;5983;1063;4670;3838;5427;9493;6502;6996;23649;23076;9837;3837;9928;54821;63979;195828;23234;2491;29128;63967;51514;26271</t>
  </si>
  <si>
    <t>BIRC5;OIP5;CEP152;ZWINT;CCNE2;CCNB1;DTYMK;CDC25A;RRM2;RFC2;FEN1;RFC3;CENPF;HNRNPM;KPNA2;POLE2;AC027237.1;SKP2;TDG;POLA2;RRP1B;GINS1;KPNB1;KIF14;ERCC6L;FIGNL1;ZNF367;DNAJC9;CENPI;UHRF1;CLSPN;DTL;FBXO5</t>
  </si>
  <si>
    <t>2189;2175;7398;5111;5984;5982;672;2237;5985;5983;675;5427;5888;5426;6996;2967;2187;83990;2177;29089</t>
  </si>
  <si>
    <t>FANCG;FANCA;USP1;PCNA;RFC4;RFC2;BRCA1;FEN1;RFC5;RFC3;BRCA2;POLE2;RAD51;POLE;TDG;GTF2H3;FANCB;BRIP1;FANCD2;UBE2T</t>
  </si>
  <si>
    <t>CONCANNON_APOPTOSIS_BY_EPOXOMICIN_DN</t>
  </si>
  <si>
    <t>11065;6790;332;699;3161;9232;983;7153;890;3148;4521;4288;1058;5347;9493;991;4085;9700;9768;9787;9212;3833;57405</t>
  </si>
  <si>
    <t>UBE2C;AURKA;BIRC5;BUB1;HMMR;PTTG1;CDK1;TOP2A;CCNA2;HMGB2;NUDT1;MKI67;CENPA;PLK1;AC027237.1;CDC20;MAD2L1;ESPL1;PCLAF;DLGAP5;AURKB;KIFC1;SPC25</t>
  </si>
  <si>
    <t>http://www.broadinstitute.org/gsea/msigdb/cards/CONCANNON_APOPTOSIS_BY_EPOXOMICIN_DN.html</t>
  </si>
  <si>
    <t>SCIBETTA_KDM5B_TARGETS_DN</t>
  </si>
  <si>
    <t>10403;6790;11339;701;3161;983;203068;7153;891;7272;672;23397;9787;55872;83461;11004;1894;26271</t>
  </si>
  <si>
    <t>NDC80;AURKA;OIP5;BUB1B;HMMR;CDK1;TUBB;TOP2A;CCNB1;TTK;BRCA1;NCAPH;DLGAP5;PBK;CDCA3;KIF2C;ECT2;FBXO5</t>
  </si>
  <si>
    <t>http://www.broadinstitute.org/gsea/msigdb/cards/SCIBETTA_KDM5B_TARGETS_DN.html</t>
  </si>
  <si>
    <t>SUNG_METASTASIS_STROMA_DN</t>
  </si>
  <si>
    <t>8318;5111;1841;4172;4174;7913;5427;1869;4175;79682;195828;54892;113130;9088;3070;55646</t>
  </si>
  <si>
    <t>CDC45;PCNA;DTYMK;MCM3;MCM5;DEK;POLE2;E2F1;MCM6;CENPU;ZNF367;NCAPG2;CDCA5;PKMYT1;HELLS;LYAR</t>
  </si>
  <si>
    <t>http://www.broadinstitute.org/gsea/msigdb/cards/SUNG_METASTASIS_STROMA_DN.html</t>
  </si>
  <si>
    <t>PEDERSEN_METASTASIS_BY_ERBB2_ISOFORM_7</t>
  </si>
  <si>
    <t>79733;8317;3797;8318;10535;9401;7298;4001;1841;4173;7112;5557;675;3832;2146;348654;63979;79682;89958;221150;259266;144455;10635;55839;64151;2177;56992;79019;55010;54069;51659</t>
  </si>
  <si>
    <t>E2F8;CDC7;KIF3C;CDC45;RNASEH2A;RECQL4;TYMS;LMNB1;DTYMK;MCM4;TMPO;PRIM1;BRCA2;KIF11;EZH2;GEN1;FIGNL1;CENPU;SAPCD2;SKA3;ASPM;E2F7;RAD51AP1;CENPN;NCAPG;FANCD2;KIF15;CENPM;PARPBP;MIS18A;GINS2</t>
  </si>
  <si>
    <t>http://www.broadinstitute.org/gsea/msigdb/cards/PEDERSEN_METASTASIS_BY_ERBB2_ISOFORM_7.html</t>
  </si>
  <si>
    <t>NAKAMURA_CANCER_MICROENVIRONMENT_DN</t>
  </si>
  <si>
    <t>6790;699;9133;5984;5985;991;9319;157313;10615;11004;990;55706;81610;55215;90417</t>
  </si>
  <si>
    <t>AURKA;BUB1;CCNB2;RFC4;RFC5;CDC20;TRIP13;CDCA2;SPAG5;KIF2C;CDC6;NDC1;FAM83D;FANCI;KNSTRN</t>
  </si>
  <si>
    <t>http://www.broadinstitute.org/gsea/msigdb/cards/NAKAMURA_CANCER_MICROENVIRONMENT_DN.html</t>
  </si>
  <si>
    <t>1871;11065;5709;699;3161;6581;7398;10112;7083;7298;3015;4605;5111;891;4691;7283;4172;790;5933;993;995;4174;4176;5982;4436;641;1869;5888;2305;1479;4085;9837;1994;128239;11073;9125;8438;8570;10635;9585;10615;580;990;64151;56992;26271;9156;51659;11198</t>
  </si>
  <si>
    <t>E2F3;UBE2C;PSMD3;BUB1;HMMR;SLC22A3;USP1;KIF20A;TK1;TYMS;H2AFZ;MYBL2;PCNA;CCNB1;NCL;TUBG1;MCM3;CAD;RBL1;CDC25A;CDC25C;MCM5;MCM7;RFC2;MSH2;BLM;E2F1;RAD51;FOXM1;CSTF3;MAD2L1;GINS1;ELAVL1;IQGAP3;TOPBP1;CNOT9;RAD54L;KHSRP;RAD51AP1;KIF20B;SPAG5;BARD1;CDC6;NCAPG;KIF15;FBXO5;EXO1;GINS2;SUPT16H</t>
  </si>
  <si>
    <t>MORI_MATURE_B_LYMPHOCYTE_DN</t>
  </si>
  <si>
    <t>8318;9133;10797;891;4001;3148;995;6241;4174;4521;672;4751;1163;2146;1033;11004;54443</t>
  </si>
  <si>
    <t>CDC45;CCNB2;MTHFD2;CCNB1;LMNB1;HMGB2;CDC25C;RRM2;MCM5;NUDT1;BRCA1;NEK2;CKS1B;EZH2;CDKN3;KIF2C;ANLN</t>
  </si>
  <si>
    <t>http://www.broadinstitute.org/gsea/msigdb/cards/MORI_MATURE_B_LYMPHOCYTE_DN.html</t>
  </si>
  <si>
    <t>11065;10403;6790;2175;7516;9401;10112;9232;86;1471;203068;7153;6240;4521;899;1063;5558;6878;8833;5426;10024;991;2967;23649;2146;2491;3066;8570;10615;64151;29893;23594;10460</t>
  </si>
  <si>
    <t>UBE2C;NDC80;AURKA;FANCA;XRCC2;RECQL4;KIF20A;PTTG1;ACTL6A;CST3;TUBB;TOP2A;RRM1;NUDT1;CCNF;CENPF;PRIM2;TAF6;GMPS;POLE;TROAP;CDC20;GTF2H3;POLA2;EZH2;CENPI;HDAC2;KHSRP;SPAG5;NCAPG;PSMC3IP;ORC6;TACC3</t>
  </si>
  <si>
    <t>http://www.broadinstitute.org/gsea/msigdb/cards/SPIELMAN_LYMPHOBLAST_EUROPEAN_VS_ASIAN_UP.html</t>
  </si>
  <si>
    <t>BIOCARTA_MCM_PATHWAY</t>
  </si>
  <si>
    <t>898;1017;4172;4173;4174;4176;4171;4998;4175;990;81620;23594</t>
  </si>
  <si>
    <t>CCNE1;CDK2;MCM3;MCM4;MCM5;MCM7;MCM2;ORC1;MCM6;CDC6;CDT1;ORC6</t>
  </si>
  <si>
    <t>http://www.broadinstitute.org/gsea/msigdb/cards/BIOCARTA_MCM_PATHWAY.html</t>
  </si>
  <si>
    <t>8520;10535;9133;7298;983;3015;5111;5984;2237;5985;5983;4436;5427;4085;1033;23165;10635;55872;64946;1894;29089;55732;22974</t>
  </si>
  <si>
    <t>HAT1;RNASEH2A;CCNB2;TYMS;CDK1;H2AFZ;PCNA;RFC4;FEN1;RFC5;RFC3;MSH2;POLE2;MAD2L1;CDKN3;NUP205;RAD51AP1;PBK;CENPH;ECT2;UBE2T;C1orf112;TPX2</t>
  </si>
  <si>
    <t>http://www.broadinstitute.org/gsea/msigdb/cards/CHIANG_LIVER_CANCER_SUBCLASS_UNANNOTATED_DN.html</t>
  </si>
  <si>
    <t>8317;10733;11065;6790;6839;9133;11130;9134;1841;4172;4174;4176;9735;3068;5347;1434;5427</t>
  </si>
  <si>
    <t>CDC7;PLK4;UBE2C;AURKA;SUV39H1;CCNB2;ZWINT;CCNE2;DTYMK;MCM3;MCM5;MCM7;KNTC1;HDGF;PLK1;CSE1L;POLE2</t>
  </si>
  <si>
    <t>SU_TESTIS</t>
  </si>
  <si>
    <t>6790;11339;699;701;3161;9133;983;891;7272;5984;4751;23397;2146;1033;11073;11004;10926</t>
  </si>
  <si>
    <t>AURKA;OIP5;BUB1;BUB1B;HMMR;CCNB2;CDK1;CCNB1;TTK;RFC4;NEK2;NCAPH;EZH2;CDKN3;TOPBP1;KIF2C;DBF4</t>
  </si>
  <si>
    <t>http://www.broadinstitute.org/gsea/msigdb/cards/SU_TESTIS.html</t>
  </si>
  <si>
    <t>10212;8317;1871;6790;2175;284403;11339;701;1515;8318;11169;983;3015;7153;5111;7283;4436;9735;10657;1479;4998;9768;9918;23518;9787;27338;113115;9824;29028;653820;7444;220042;23234;8570;55771;9088;79075;51203;11321;29089;3070;56992;22974;27339;23594;25788</t>
  </si>
  <si>
    <t>DDX39A;CDC7;E2F3;AURKA;FANCA;WDR62;OIP5;BUB1B;CTSV;CDC45;WDHD1;CDK1;H2AFZ;TOP2A;PCNA;TUBG1;MSH2;KNTC1;KHDRBS1;CSTF3;ORC1;PCLAF;NCAPD2;R3HDM1;DLGAP5;UBE2S;MTFR2;ARHGAP11A;ATAD2;FAM72B;VRK2;DDIAS;DNAJC9;KHSRP;PRR11;PKMYT1;DSCC1;NUSAP1;GPN1;UBE2T;HELLS;KIF15;TPX2;PRPF19;ORC6;RAD54B</t>
  </si>
  <si>
    <t>MORI_EMU_MYC_LYMPHOMA_BY_ONSET_TIME_UP</t>
  </si>
  <si>
    <t>701;11169;983;6929;4176;5983;5902;5558;6749;9768;253714;89958;146909;11073;55839;10615;79172;55038;51659</t>
  </si>
  <si>
    <t>BUB1B;WDHD1;CDK1;TCF3;MCM7;RFC3;RANBP1;PRIM2;SSRP1;PCLAF;MMS22L;SAPCD2;KIF18B;TOPBP1;CENPN;SPAG5;CENPO;CDCA4;GINS2</t>
  </si>
  <si>
    <t>http://www.broadinstitute.org/gsea/msigdb/cards/MORI_EMU_MYC_LYMPHOMA_BY_ONSET_TIME_UP.html</t>
  </si>
  <si>
    <t>REACTOME_G1_S_SPECIFIC_TRANSCRIPTION</t>
  </si>
  <si>
    <t>8318;7298;983;5111;898;993;6241;1869;4998;990;81620;26271</t>
  </si>
  <si>
    <t>CDC45;TYMS;CDK1;PCNA;CCNE1;CDC25A;RRM2;E2F1;ORC1;CDC6;CDT1;FBXO5</t>
  </si>
  <si>
    <t>http://www.broadinstitute.org/gsea/msigdb/cards/REACTOME_G1_S_SPECIFIC_TRANSCRIPTION.html</t>
  </si>
  <si>
    <t>LABBE_WNT3A_TARGETS_UP</t>
  </si>
  <si>
    <t>6790;9133;983;7153;5111;890;1786;6241;4173;4288;5557;3838;10376;84823;4175;79801;29127;1894;3070</t>
  </si>
  <si>
    <t>AURKA;CCNB2;CDK1;TOP2A;PCNA;CCNA2;DNMT1;RRM2;MCM4;MKI67;PRIM1;KPNA2;TUBA1B;LMNB2;MCM6;SHCBP1;RACGAP1;ECT2;HELLS</t>
  </si>
  <si>
    <t>http://www.broadinstitute.org/gsea/msigdb/cards/LABBE_WNT3A_TARGETS_UP.html</t>
  </si>
  <si>
    <t>MONTERO_THYROID_CANCER_POOR_SURVIVAL_UP</t>
  </si>
  <si>
    <t>11065;332;9055;9133;6241;1058;55165;259266;51203;54443;81624</t>
  </si>
  <si>
    <t>UBE2C;BIRC5;PRC1;CCNB2;RRM2;CENPA;CEP55;ASPM;NUSAP1;ANLN;DIAPH3</t>
  </si>
  <si>
    <t>http://www.broadinstitute.org/gsea/msigdb/cards/MONTERO_THYROID_CANCER_POOR_SURVIVAL_UP.html</t>
  </si>
  <si>
    <t>CREIGHTON_ENDOCRINE_THERAPY_RESISTANCE_1</t>
  </si>
  <si>
    <t>11065;3797;3161;9133;10112;24137;9232;203068;7374;1017;4172;3148;5725;790;4173;4176;1063;23076;9837;1033;27338;84798;128239;259266;150465;9212;55771;580;64785;51203;81539;29089;22974;11198</t>
  </si>
  <si>
    <t>UBE2C;KIF3C;HMMR;CCNB2;KIF20A;KIF4A;PTTG1;TUBB;UNG;CDK2;MCM3;HMGB2;PTBP1;CAD;MCM4;MCM7;CENPF;RRP1B;GINS1;CDKN3;UBE2S;C19orf48;IQGAP3;ASPM;TTL;AURKB;PRR11;BARD1;GINS3;NUSAP1;SLC38A1;UBE2T;TPX2;SUPT16H</t>
  </si>
  <si>
    <t>http://www.broadinstitute.org/gsea/msigdb/cards/CREIGHTON_ENDOCRINE_THERAPY_RESISTANCE_1.html</t>
  </si>
  <si>
    <t>SERVITJA_LIVER_HNF1A_TARGETS_UP</t>
  </si>
  <si>
    <t>11065;699;3161;9133;10112;891;890;4171;4751;3832;991;4085;55143;157570;9212;11004;29127;1894;54443;22974</t>
  </si>
  <si>
    <t>UBE2C;BUB1;HMMR;CCNB2;KIF20A;CCNB1;CCNA2;MCM2;NEK2;KIF11;CDC20;MAD2L1;CDCA8;ESCO2;AURKB;KIF2C;RACGAP1;ECT2;ANLN;TPX2</t>
  </si>
  <si>
    <t>http://www.broadinstitute.org/gsea/msigdb/cards/SERVITJA_LIVER_HNF1A_TARGETS_UP.html</t>
  </si>
  <si>
    <t>YU_BAP1_TARGETS</t>
  </si>
  <si>
    <t>1111;332;8318;7398;9134;983;5933;993;672;5983;6502;990;83990</t>
  </si>
  <si>
    <t>CHEK1;BIRC5;CDC45;USP1;CCNE2;CDK1;RBL1;CDC25A;BRCA1;RFC3;SKP2;CDC6;BRIP1</t>
  </si>
  <si>
    <t>http://www.broadinstitute.org/gsea/msigdb/cards/YU_BAP1_TARGETS.html</t>
  </si>
  <si>
    <t>10733;1111;10403;9133;11130;10797;1503;6240;5983;9735;5427;9768;9319;79682;55706;29127;55215;51514;51659;11198</t>
  </si>
  <si>
    <t>PLK4;CHEK1;NDC80;CCNB2;ZWINT;MTHFD2;CTPS1;RRM1;RFC3;KNTC1;POLE2;PCLAF;TRIP13;CENPU;NDC1;RACGAP1;FANCI;DTL;GINS2;SUPT16H</t>
  </si>
  <si>
    <t>LY_AGING_PREMATURE_DN</t>
  </si>
  <si>
    <t>10212;7298;4605;3148;899;5902;1058;4171;1163;2305;9088;11004;580</t>
  </si>
  <si>
    <t>DDX39A;TYMS;MYBL2;HMGB2;CCNF;RANBP1;CENPA;MCM2;CKS1B;FOXM1;PKMYT1;KIF2C;BARD1</t>
  </si>
  <si>
    <t>http://www.broadinstitute.org/gsea/msigdb/cards/LY_AGING_PREMATURE_DN.html</t>
  </si>
  <si>
    <t>YAMAZAKI_TCEB3_TARGETS_DN</t>
  </si>
  <si>
    <t>8520;6790;701;10112;203068;4605;7153;898;1786;5985;4751;3838;2956;3832;10376;27338;157570;84722;29128;84790;51203;1894;10926</t>
  </si>
  <si>
    <t>HAT1;AURKA;BUB1B;KIF20A;TUBB;MYBL2;TOP2A;CCNE1;DNMT1;RFC5;NEK2;KPNA2;MSH6;KIF11;TUBA1B;UBE2S;ESCO2;PSRC1;UHRF1;TUBA1C;NUSAP1;ECT2;DBF4</t>
  </si>
  <si>
    <t>http://www.broadinstitute.org/gsea/msigdb/cards/YAMAZAKI_TCEB3_TARGETS_DN.html</t>
  </si>
  <si>
    <t>HU_GENOTOXIC_DAMAGE_4HR</t>
  </si>
  <si>
    <t>6790;9055;699;9232;10797;995;4751;3838;991;81620;1894;54443;6941</t>
  </si>
  <si>
    <t>AURKA;PRC1;BUB1;PTTG1;MTHFD2;CDC25C;NEK2;KPNA2;CDC20;CDT1;ECT2;ANLN;TCF19</t>
  </si>
  <si>
    <t>http://www.broadinstitute.org/gsea/msigdb/cards/HU_GENOTOXIC_DAMAGE_4HR.html</t>
  </si>
  <si>
    <t>ANDERSEN_CHOLANGIOCARCINOMA_CLASS2</t>
  </si>
  <si>
    <t>11065;6790;699;1515;9133;7153;7272;3832;1062;991;9787;55165;79866;89958;83461;79098;81610;79000;54443;56992;22974</t>
  </si>
  <si>
    <t>UBE2C;AURKA;BUB1;CTSV;CCNB2;TOP2A;TTK;KIF11;CENPE;CDC20;DLGAP5;CEP55;BORA;SAPCD2;CDCA3;C1orf116;FAM83D;AUNIP;ANLN;KIF15;TPX2</t>
  </si>
  <si>
    <t>http://www.broadinstitute.org/gsea/msigdb/cards/ANDERSEN_CHOLANGIOCARCINOMA_CLASS2.html</t>
  </si>
  <si>
    <t>REACTOME_G0_AND_EARLY_G1</t>
  </si>
  <si>
    <t>9134;983;4605;5111;890;898;1017;5933;993;1869;286826;990</t>
  </si>
  <si>
    <t>CCNE2;CDK1;MYBL2;PCNA;CCNA2;CCNE1;CDK2;RBL1;CDC25A;E2F1;LIN9;CDC6</t>
  </si>
  <si>
    <t>http://www.broadinstitute.org/gsea/msigdb/cards/REACTOME_G0_AND_EARLY_G1.html</t>
  </si>
  <si>
    <t>5717;10733;6839;22995;7083;7298;203068;10797;6929;1841;6240;1017;10971;5933;7112;4171;84823;10657;5426;2305;1479;6502;23076;3837;9319;27338;23590;63979;128239;54892;57650;220134;27085;55872;375444;990;3070;51514;8914</t>
  </si>
  <si>
    <t>PSMD11;PLK4;SUV39H1;CEP152;TK1;TYMS;TUBB;MTHFD2;TCF3;DTYMK;RRM1;CDK2;YWHAQ;RBL1;TMPO;MCM2;LMNB2;KHDRBS1;POLE;FOXM1;CSTF3;SKP2;RRP1B;KPNB1;TRIP13;UBE2S;PDSS1;FIGNL1;IQGAP3;NCAPG2;CIP2A;SKA1;MTBP;PBK;C5orf34;CDC6;HELLS;DTL;TIMELESS</t>
  </si>
  <si>
    <t>KEGG_OOCYTE_MEIOSIS</t>
  </si>
  <si>
    <t>6790;699;9133;9232;9134;983;891;898;1017;10971;995;5347;991;4085;9700;151648;9088;26271</t>
  </si>
  <si>
    <t>AURKA;BUB1;CCNB2;PTTG1;CCNE2;CDK1;CCNB1;CCNE1;CDK2;YWHAQ;CDC25C;PLK1;CDC20;MAD2L1;ESPL1;SGO1;PKMYT1;FBXO5</t>
  </si>
  <si>
    <t>http://www.broadinstitute.org/gsea/msigdb/cards/KEGG_OOCYTE_MEIOSIS.html</t>
  </si>
  <si>
    <t>OLSSON_E2F3_TARGETS_DN</t>
  </si>
  <si>
    <t>1871;11065;9232;983;4605;5111;890;3148;6241;7112;5347;4085;9768;22974</t>
  </si>
  <si>
    <t>E2F3;UBE2C;PTTG1;CDK1;MYBL2;PCNA;CCNA2;HMGB2;RRM2;TMPO;PLK1;MAD2L1;PCLAF;TPX2</t>
  </si>
  <si>
    <t>http://www.broadinstitute.org/gsea/msigdb/cards/OLSSON_E2F3_TARGETS_DN.html</t>
  </si>
  <si>
    <t>SMID_BREAST_CANCER_LUMINAL_A_DN</t>
  </si>
  <si>
    <t>10403;8318;4605;7153;898;991;23397;55143;55839;83461;22974</t>
  </si>
  <si>
    <t>NDC80;CDC45;MYBL2;TOP2A;CCNE1;CDC20;NCAPH;CDCA8;CENPN;CDCA3;TPX2</t>
  </si>
  <si>
    <t>http://www.broadinstitute.org/gsea/msigdb/cards/SMID_BREAST_CANCER_LUMINAL_A_DN.html</t>
  </si>
  <si>
    <t>REACTOME_EXTENSION_OF_TELOMERES</t>
  </si>
  <si>
    <t>5111;5984;5982;2237;5985;5983;5557;5558;1763;5427;5426;23649</t>
  </si>
  <si>
    <t>PCNA;RFC4;RFC2;FEN1;RFC5;RFC3;PRIM1;PRIM2;DNA2;POLE2;POLE;POLA2</t>
  </si>
  <si>
    <t>http://www.broadinstitute.org/gsea/msigdb/cards/REACTOME_EXTENSION_OF_TELOMERES.html</t>
  </si>
  <si>
    <t>REACTOME_UNWINDING_OF_DNA</t>
  </si>
  <si>
    <t>8318;4172;4173;4174;4176;4171;4175;9837;84296;51659</t>
  </si>
  <si>
    <t>CDC45;MCM3;MCM4;MCM5;MCM7;MCM2;MCM6;GINS1;GINS4;GINS2</t>
  </si>
  <si>
    <t>http://www.broadinstitute.org/gsea/msigdb/cards/REACTOME_UNWINDING_OF_DNA.html</t>
  </si>
  <si>
    <t>REACTOME_ASSEMBLY_OF_THE_PRE_REPLICATIVE_COMPLEX</t>
  </si>
  <si>
    <t>5717;1871;5709;4172;4173;4174;4176;4171;1869;4998;1870;4175;990;81620;23594</t>
  </si>
  <si>
    <t>PSMD11;E2F3;PSMD3;MCM3;MCM4;MCM5;MCM7;MCM2;E2F1;ORC1;E2F2;MCM6;CDC6;CDT1;ORC6</t>
  </si>
  <si>
    <t>http://www.broadinstitute.org/gsea/msigdb/cards/REACTOME_ASSEMBLY_OF_THE_PRE_REPLICATIVE_COMPLEX.html</t>
  </si>
  <si>
    <t>PETROVA_PROX1_TARGETS_UP</t>
  </si>
  <si>
    <t>11065;10403;701;9134;7083;983;4605;7153;3148;4175;9837;10051</t>
  </si>
  <si>
    <t>UBE2C;NDC80;BUB1B;CCNE2;TK1;CDK1;MYBL2;TOP2A;HMGB2;MCM6;GINS1;SMC4</t>
  </si>
  <si>
    <t>http://www.broadinstitute.org/gsea/msigdb/cards/PETROVA_PROX1_TARGETS_UP.html</t>
  </si>
  <si>
    <t>REACTOME_REGULATION_OF_MITOTIC_CELL_CYCLE</t>
  </si>
  <si>
    <t>5717;11065;6790;5709;701;9232;983;891;890;1017;5347;991;4085;6502;9212;26271</t>
  </si>
  <si>
    <t>PSMD11;UBE2C;AURKA;PSMD3;BUB1B;PTTG1;CDK1;CCNB1;CCNA2;CDK2;PLK1;CDC20;MAD2L1;SKP2;AURKB;FBXO5</t>
  </si>
  <si>
    <t>http://www.broadinstitute.org/gsea/msigdb/cards/REACTOME_REGULATION_OF_MITOTIC_CELL_CYCLE.html</t>
  </si>
  <si>
    <t>8317;23306;332;8562;701;4605;10797;6929;1841;898;1869;2305;6996;9768;9319;2146;29028;55656;146909;162681;55355;55247;8438;55771;580;83540;1894;79019;51512;29893;25788;10460</t>
  </si>
  <si>
    <t>CDC7;NEMP1;BIRC5;DENR;BUB1B;MYBL2;MTHFD2;TCF3;DTYMK;CCNE1;E2F1;FOXM1;TDG;PCLAF;TRIP13;EZH2;ATAD2;INTS8;KIF18B;C18orf54;HJURP;NEIL3;RAD54L;PRR11;BARD1;NUF2;ECT2;CENPM;GTSE1;PSMC3IP;RAD54B;TACC3</t>
  </si>
  <si>
    <t>WANG_METASTASIS_OF_BREAST_CANCER_ESR1_UP</t>
  </si>
  <si>
    <t>10721;9134;2237;3838;5347;29028;79682;54892;10051;51512;11198</t>
  </si>
  <si>
    <t>POLQ;CCNE2;FEN1;KPNA2;PLK1;ATAD2;CENPU;NCAPG2;SMC4;GTSE1;SUPT16H</t>
  </si>
  <si>
    <t>http://www.broadinstitute.org/gsea/msigdb/cards/WANG_METASTASIS_OF_BREAST_CANCER_ESR1_UP.html</t>
  </si>
  <si>
    <t>KOKKINAKIS_METHIONINE_DEPRIVATION_96HR_DN</t>
  </si>
  <si>
    <t>332;10721;9133;9134;7083;983;891;1841;6240;1017;1786;993;2237;9212;25788</t>
  </si>
  <si>
    <t>BIRC5;POLQ;CCNB2;CCNE2;TK1;CDK1;CCNB1;DTYMK;RRM1;CDK2;DNMT1;CDC25A;FEN1;AURKB;RAD54B</t>
  </si>
  <si>
    <t>http://www.broadinstitute.org/gsea/msigdb/cards/KOKKINAKIS_METHIONINE_DEPRIVATION_96HR_DN.html</t>
  </si>
  <si>
    <t>79733;10212;6790;8562;3161;10112;24137;7298;6929;4001;3148;5725;6241;7112;4288;3068;2305;4175;23076;3837;1994;374393;195828;89958;220042;162681;151188;55789;55771;29128;64785;84057;1894;79968;63967;54443;54069;26271;6941</t>
  </si>
  <si>
    <t>E2F8;DDX39A;AURKA;DENR;HMMR;KIF20A;KIF4A;TYMS;TCF3;LMNB1;HMGB2;PTBP1;RRM2;TMPO;MKI67;HDGF;FOXM1;MCM6;RRP1B;KPNB1;ELAVL1;FAM111B;ZNF367;SAPCD2;DDIAS;C18orf54;ARL6IP6;DEPDC1B;PRR11;UHRF1;GINS3;MND1;ECT2;WDR76;CLSPN;ANLN;MIS18A;FBXO5;TCF19</t>
  </si>
  <si>
    <t>1871;10403;8520;6790;701;3161;11169;7153;4001;7272;7913;672;4436;1058;1063;5558;8833;675;2956;3832;641;1434;6733;1062;9493;6996;9833;9837;23518;9928;9787;6491;9824;11073;93594;9585;580;57405;10926</t>
  </si>
  <si>
    <t>E2F3;NDC80;HAT1;AURKA;BUB1B;HMMR;WDHD1;TOP2A;LMNB1;TTK;DEK;BRCA1;MSH2;CENPA;CENPF;PRIM2;GMPS;BRCA2;MSH6;KIF11;BLM;CSE1L;SRPK2;CENPE;AC027237.1;TDG;MELK;GINS1;R3HDM1;KIF14;DLGAP5;STIL;ARHGAP11A;TOPBP1;TBC1D31;KIF20B;BARD1;SPC25;DBF4</t>
  </si>
  <si>
    <t>RHODES_CANCER_META_SIGNATURE</t>
  </si>
  <si>
    <t>983;203068;7153;10797;4172;5984;9775;3838;5347;9768;1033;27338;23165;22974</t>
  </si>
  <si>
    <t>CDK1;TUBB;TOP2A;MTHFD2;MCM3;RFC4;EIF4A3;KPNA2;PLK1;PCLAF;CDKN3;UBE2S;NUP205;TPX2</t>
  </si>
  <si>
    <t>http://www.broadinstitute.org/gsea/msigdb/cards/RHODES_CANCER_META_SIGNATURE.html</t>
  </si>
  <si>
    <t>FARMER_BREAST_CANCER_BASAL_VS_LULMINAL</t>
  </si>
  <si>
    <t>1871;1111;10403;699;24137;9232;86;10797;898;7272;4174;1058;8833;2305;991;6502;9833;9928;6491;23590;55388;3066;10635;22974;9633</t>
  </si>
  <si>
    <t>E2F3;CHEK1;NDC80;BUB1;KIF4A;PTTG1;ACTL6A;MTHFD2;CCNE1;TTK;MCM5;CENPA;GMPS;FOXM1;CDC20;SKP2;MELK;KIF14;STIL;PDSS1;MCM10;HDAC2;RAD51AP1;TPX2;TESMIN</t>
  </si>
  <si>
    <t>http://www.broadinstitute.org/gsea/msigdb/cards/FARMER_BREAST_CANCER_BASAL_VS_LULMINAL.html</t>
  </si>
  <si>
    <t>10733;1871;9133;983;203068;891;890;7283;1017;993;995;4751;5347;1869;9088</t>
  </si>
  <si>
    <t>PLK4;E2F3;CCNB2;CDK1;TUBB;CCNB1;CCNA2;TUBG1;CDK2;CDC25A;CDC25C;NEK2;PLK1;E2F1;PKMYT1</t>
  </si>
  <si>
    <t>11065;6790;699;983;7153;5111;890;4172;995;7112;5558;3832;5347;6733;8683;6996;55165;3066;84991;29089;54443;51514;25788</t>
  </si>
  <si>
    <t>UBE2C;AURKA;BUB1;CDK1;TOP2A;PCNA;CCNA2;MCM3;CDC25C;TMPO;PRIM2;KIF11;PLK1;SRPK2;SRSF9;TDG;CEP55;HDAC2;RBM17;UBE2T;ANLN;DTL;RAD54B</t>
  </si>
  <si>
    <t>10535;9134;7298;4001;4172;4173;4174;4175;9768;387103;55635;195828;81620;79968;3070;51514</t>
  </si>
  <si>
    <t>RNASEH2A;CCNE2;TYMS;LMNB1;MCM3;MCM4;MCM5;MCM6;PCLAF;CENPW;DEPDC1;ZNF367;CDT1;WDR76;HELLS;DTL</t>
  </si>
  <si>
    <t>http://www.broadinstitute.org/gsea/msigdb/cards/CHICAS_RB1_TARGETS_LOW_SERUM.html</t>
  </si>
  <si>
    <t>KUMAMOTO_RESPONSE_TO_NUTLIN_3A_DN</t>
  </si>
  <si>
    <t>891;890;1063;991;1033;57082;10615;11004;3833</t>
  </si>
  <si>
    <t>CCNB1;CCNA2;CENPF;CDC20;CDKN3;KNL1;SPAG5;KIF2C;KIFC1</t>
  </si>
  <si>
    <t>http://www.broadinstitute.org/gsea/msigdb/cards/KUMAMOTO_RESPONSE_TO_NUTLIN_3A_DN.html</t>
  </si>
  <si>
    <t>REACTOME_ORC1_REMOVAL_FROM_CHROMATIN</t>
  </si>
  <si>
    <t>5717;5709;890;1017;4172;4173;4174;4176;4171;4998;4175;990;81620;23594</t>
  </si>
  <si>
    <t>PSMD11;PSMD3;CCNA2;CDK2;MCM3;MCM4;MCM5;MCM7;MCM2;ORC1;MCM6;CDC6;CDT1;ORC6</t>
  </si>
  <si>
    <t>http://www.broadinstitute.org/gsea/msigdb/cards/REACTOME_ORC1_REMOVAL_FROM_CHROMATIN.html</t>
  </si>
  <si>
    <t>BHATI_G2M_ARREST_BY_2METHOXYESTRADIOL_UP</t>
  </si>
  <si>
    <t>6790;699;4605;5111;891;1503;4751;991;4085;9787;259266;55872;990;55706;83540;80119;57405</t>
  </si>
  <si>
    <t>AURKA;BUB1;MYBL2;PCNA;CCNB1;CTPS1;NEK2;CDC20;MAD2L1;DLGAP5;ASPM;PBK;CDC6;NDC1;NUF2;PIF1;SPC25</t>
  </si>
  <si>
    <t>http://www.broadinstitute.org/gsea/msigdb/cards/BHATI_G2M_ARREST_BY_2METHOXYESTRADIOL_UP.html</t>
  </si>
  <si>
    <t>LIANG_SILENCED_BY_METHYLATION_DN</t>
  </si>
  <si>
    <t>890;3148;4288;4171;3832;2305;9768;2146;1033</t>
  </si>
  <si>
    <t>CCNA2;HMGB2;MKI67;MCM2;KIF11;FOXM1;PCLAF;EZH2;CDKN3</t>
  </si>
  <si>
    <t>http://www.broadinstitute.org/gsea/msigdb/cards/LIANG_SILENCED_BY_METHYLATION_DN.html</t>
  </si>
  <si>
    <t>REACTOME_LAGGING_STRAND_SYNTHESIS</t>
  </si>
  <si>
    <t>5111;5984;5982;2237;5985;5983;5557;5558;1763;23649</t>
  </si>
  <si>
    <t>PCNA;RFC4;RFC2;FEN1;RFC5;RFC3;PRIM1;PRIM2;DNA2;POLA2</t>
  </si>
  <si>
    <t>http://www.broadinstitute.org/gsea/msigdb/cards/REACTOME_LAGGING_STRAND_SYNTHESIS.html</t>
  </si>
  <si>
    <t>LE_NEURONAL_DIFFERENTIATION_DN</t>
  </si>
  <si>
    <t>11065;6839;9133;995;9493;991;1870;144455;9088;65003</t>
  </si>
  <si>
    <t>UBE2C;SUV39H1;CCNB2;CDC25C;AC027237.1;CDC20;E2F2;E2F7;PKMYT1;MRPL11</t>
  </si>
  <si>
    <t>http://www.broadinstitute.org/gsea/msigdb/cards/LE_NEURONAL_DIFFERENTIATION_DN.html</t>
  </si>
  <si>
    <t>1111;3161;11130;9232;10797;7283;4172;5933;7272;4176;7112;23310;1058;2956;3832;641;6733;9493;1870;9837;3837;9918;23518;1994;348654;343099;9824;55388;146909;220042;285753;91687;151188;115004;57082;201299;9212;64105;10293;83540;64858;1894;56992;79019;55215;10926</t>
  </si>
  <si>
    <t>CHEK1;HMMR;ZWINT;PTTG1;MTHFD2;TUBG1;MCM3;RBL1;TTK;MCM7;TMPO;NCAPD3;CENPA;MSH6;KIF11;BLM;SRPK2;AC027237.1;E2F2;GINS1;KPNB1;NCAPD2;R3HDM1;ELAVL1;GEN1;CCDC18;ARHGAP11A;MCM10;KIF18B;DDIAS;CEP57L1;CENPL;ARL6IP6;CGAS;KNL1;RDM1;AURKB;CENPK;TRAIP;NUF2;DCLRE1B;ECT2;KIF15;CENPM;FANCI;DBF4</t>
  </si>
  <si>
    <t>DELPUECH_FOXO3_TARGETS_DN</t>
  </si>
  <si>
    <t>11065;6790;9055;11130;10797;1841;4288;1063;4751;2305;51203;10051</t>
  </si>
  <si>
    <t>UBE2C;AURKA;PRC1;ZWINT;MTHFD2;DTYMK;MKI67;CENPF;NEK2;FOXM1;NUSAP1;SMC4</t>
  </si>
  <si>
    <t>http://www.broadinstitute.org/gsea/msigdb/cards/DELPUECH_FOXO3_TARGETS_DN.html</t>
  </si>
  <si>
    <t>5709;3161;6581;7398;10112;3015;5111;4691;7283;4172;790;5933;4174;7112;4436;3832;10376;1479;4085;9837;9319;11073;9125;8438;8570;10635;9585;10615;580;990;64151;56992;26271;9156;51659;11198</t>
  </si>
  <si>
    <t>PSMD3;HMMR;SLC22A3;USP1;KIF20A;H2AFZ;PCNA;NCL;TUBG1;MCM3;CAD;RBL1;MCM5;TMPO;MSH2;KIF11;TUBA1B;CSTF3;MAD2L1;GINS1;TRIP13;TOPBP1;CNOT9;RAD54L;KHSRP;RAD51AP1;KIF20B;SPAG5;BARD1;CDC6;NCAPG;KIF15;FBXO5;EXO1;GINS2;SUPT16H</t>
  </si>
  <si>
    <t>6790;6839;9055;10535;86;7083;7298;3015;890;1841;4172;1786;3148;4173;4174;5984;4521;9775;5902;8833;3838;2956;1163;991;27338;259266;23234;23165;55839;84790;51203;81610;11321;29089;55646;51514;8914;51659</t>
  </si>
  <si>
    <t>AURKA;SUV39H1;PRC1;RNASEH2A;ACTL6A;TK1;TYMS;H2AFZ;CCNA2;DTYMK;MCM3;DNMT1;HMGB2;MCM4;MCM5;RFC4;NUDT1;EIF4A3;RANBP1;GMPS;KPNA2;MSH6;CKS1B;CDC20;UBE2S;ASPM;DNAJC9;NUP205;CENPN;TUBA1C;NUSAP1;FAM83D;GPN1;UBE2T;LYAR;DTL;TIMELESS;GINS2</t>
  </si>
  <si>
    <t>WAKASUGI_HAVE_ZNF143_BINDING_SITES</t>
  </si>
  <si>
    <t>1111;2189;9401;672;2237;4436;2956;5888;5426;6996;2187;2177;9156</t>
  </si>
  <si>
    <t>CHEK1;FANCG;RECQL4;BRCA1;FEN1;MSH2;MSH6;RAD51;POLE;TDG;FANCB;FANCD2;EXO1</t>
  </si>
  <si>
    <t>http://www.broadinstitute.org/gsea/msigdb/cards/WAKASUGI_HAVE_ZNF143_BINDING_SITES.html</t>
  </si>
  <si>
    <t>WEST_ADRENOCORTICAL_TUMOR_MARKERS_UP</t>
  </si>
  <si>
    <t>9055;10112;983;7153;6241;4751;27338;259266;580;51514</t>
  </si>
  <si>
    <t>PRC1;KIF20A;CDK1;TOP2A;RRM2;NEK2;UBE2S;ASPM;BARD1;DTL</t>
  </si>
  <si>
    <t>http://www.broadinstitute.org/gsea/msigdb/cards/WEST_ADRENOCORTICAL_TUMOR_MARKERS_UP.html</t>
  </si>
  <si>
    <t>FOURNIER_ACINAR_DEVELOPMENT_LATE_DN</t>
  </si>
  <si>
    <t>6790;7283;6241;2305;9319;1033;55165;259266;64151;55055</t>
  </si>
  <si>
    <t>AURKA;TUBG1;RRM2;FOXM1;TRIP13;CDKN3;CEP55;ASPM;NCAPG;ZWILCH</t>
  </si>
  <si>
    <t>http://www.broadinstitute.org/gsea/msigdb/cards/FOURNIER_ACINAR_DEVELOPMENT_LATE_DN.html</t>
  </si>
  <si>
    <t>PENG_LEUCINE_DEPRIVATION_DN</t>
  </si>
  <si>
    <t>5717;6790;5709;7083;7374;891;4691;890;5725;790;4173;3838;1434;6996;23076;9319;27338;55215;29893</t>
  </si>
  <si>
    <t>PSMD11;AURKA;PSMD3;TK1;UNG;CCNB1;NCL;CCNA2;PTBP1;CAD;MCM4;KPNA2;CSE1L;TDG;RRP1B;TRIP13;UBE2S;FANCI;PSMC3IP</t>
  </si>
  <si>
    <t>http://www.broadinstitute.org/gsea/msigdb/cards/PENG_LEUCINE_DEPRIVATION_DN.html</t>
  </si>
  <si>
    <t>REACTOME_KINESINS</t>
  </si>
  <si>
    <t>3797;10112;24137;3832;9493;81930;11004;3833;29127;56992</t>
  </si>
  <si>
    <t>KIF3C;KIF20A;KIF4A;KIF11;AC027237.1;KIF18A;KIF2C;KIFC1;RACGAP1;KIF15</t>
  </si>
  <si>
    <t>http://www.broadinstitute.org/gsea/msigdb/cards/REACTOME_KINESINS.html</t>
  </si>
  <si>
    <t>10733;1871;23306;6790;701;11169;7398;9133;7153;891;4001;898;7272;4288;1058;1063;2956;3832;5427;9493;23076;9928;10051</t>
  </si>
  <si>
    <t>PLK4;E2F3;NEMP1;AURKA;BUB1B;WDHD1;USP1;CCNB2;TOP2A;CCNB1;LMNB1;CCNE1;TTK;MKI67;CENPA;CENPF;MSH6;KIF11;POLE2;AC027237.1;RRP1B;KIF14;SMC4</t>
  </si>
  <si>
    <t>SLEBOS_HEAD_AND_NECK_CANCER_WITH_HPV_UP</t>
  </si>
  <si>
    <t>8317;7398;86;5984;4171;4175;2146;387103;374393;348793;11073;375444;64105;56992</t>
  </si>
  <si>
    <t>CDC7;USP1;ACTL6A;RFC4;MCM2;MCM6;EZH2;CENPW;FAM111B;WDR53;TOPBP1;C5orf34;CENPK;KIF15</t>
  </si>
  <si>
    <t>http://www.broadinstitute.org/gsea/msigdb/cards/SLEBOS_HEAD_AND_NECK_CANCER_WITH_HPV_UP.html</t>
  </si>
  <si>
    <t>7298;203068;3015;5111;6240;898;1017;3148;4173;4174;2237;4171;4175</t>
  </si>
  <si>
    <t>TYMS;TUBB;H2AFZ;PCNA;RRM1;CCNE1;CDK2;HMGB2;MCM4;MCM5;FEN1;MCM2;MCM6</t>
  </si>
  <si>
    <t>http://www.broadinstitute.org/gsea/msigdb/cards/ZAMORA_NOS2_TARGETS_UP.html</t>
  </si>
  <si>
    <t>SIMBULAN_PARP1_TARGETS_DN</t>
  </si>
  <si>
    <t>9133;5111;891;890;1786;3148;5557;991;27338</t>
  </si>
  <si>
    <t>CCNB2;PCNA;CCNB1;CCNA2;DNMT1;HMGB2;PRIM1;CDC20;UBE2S</t>
  </si>
  <si>
    <t>http://www.broadinstitute.org/gsea/msigdb/cards/SIMBULAN_PARP1_TARGETS_DN.html</t>
  </si>
  <si>
    <t>24137;9232;7083;983;203068;10797;891;3148;3838;3066;9212;81610;51514;22974</t>
  </si>
  <si>
    <t>KIF4A;PTTG1;TK1;CDK1;TUBB;MTHFD2;CCNB1;HMGB2;KPNA2;HDAC2;AURKB;FAM83D;DTL;TPX2</t>
  </si>
  <si>
    <t>http://www.broadinstitute.org/gsea/msigdb/cards/BHATTACHARYA_EMBRYONIC_STEM_CELL.html</t>
  </si>
  <si>
    <t>VANTVEER_BREAST_CANCER_POOR_PROGNOSIS</t>
  </si>
  <si>
    <t>10403;9055;9134;5984;1058;8833;4175;9833;51203;81624;51514;23594</t>
  </si>
  <si>
    <t>NDC80;PRC1;CCNE2;RFC4;CENPA;GMPS;MCM6;MELK;NUSAP1;DIAPH3;DTL;ORC6</t>
  </si>
  <si>
    <t>http://www.broadinstitute.org/gsea/msigdb/cards/VANTVEER_BREAST_CANCER_POOR_PROGNOSIS.html</t>
  </si>
  <si>
    <t>5717;5709;203068;891;1503;4691;4001;7283;1841;790;993;10105;9775;8833;3838;1434;6996;23076;9319;9125;23165;8570;27339</t>
  </si>
  <si>
    <t>PSMD11;PSMD3;TUBB;CCNB1;CTPS1;NCL;LMNB1;TUBG1;DTYMK;CAD;CDC25A;PPIF;EIF4A3;GMPS;KPNA2;CSE1L;TDG;RRP1B;TRIP13;CNOT9;NUP205;KHSRP;PRPF19</t>
  </si>
  <si>
    <t>PID_BARD1_PATHWAY</t>
  </si>
  <si>
    <t>2189;2175;5111;898;1017;672;5888;11073;580;2177</t>
  </si>
  <si>
    <t>FANCG;FANCA;PCNA;CCNE1;CDK2;BRCA1;RAD51;TOPBP1;BARD1;FANCD2</t>
  </si>
  <si>
    <t>http://www.broadinstitute.org/gsea/msigdb/cards/PID_BARD1_PATHWAY.html</t>
  </si>
  <si>
    <t>REACTOME_TELOMERE_MAINTENANCE</t>
  </si>
  <si>
    <t>3015;5111;5984;5982;2237;5985;5983;5557;5558;1763;5427;5426;23649</t>
  </si>
  <si>
    <t>H2AFZ;PCNA;RFC4;RFC2;FEN1;RFC5;RFC3;PRIM1;PRIM2;DNA2;POLE2;POLE;POLA2</t>
  </si>
  <si>
    <t>http://www.broadinstitute.org/gsea/msigdb/cards/REACTOME_TELOMERE_MAINTENANCE.html</t>
  </si>
  <si>
    <t>KALMA_E2F1_TARGETS</t>
  </si>
  <si>
    <t>7298;7153;5111;5984;2237;4171;23649;4175</t>
  </si>
  <si>
    <t>TYMS;TOP2A;PCNA;RFC4;FEN1;MCM2;POLA2;MCM6</t>
  </si>
  <si>
    <t>http://www.broadinstitute.org/gsea/msigdb/cards/KALMA_E2F1_TARGETS.html</t>
  </si>
  <si>
    <t>THILLAINADESAN_ZNF217_TARGETS_UP</t>
  </si>
  <si>
    <t>6929;4001;995;672;55143;79682;221150;10635;55771;84057;56241</t>
  </si>
  <si>
    <t>TCF3;LMNB1;CDC25C;BRCA1;CDCA8;CENPU;SKA3;RAD51AP1;PRR11;MND1;SUSD2</t>
  </si>
  <si>
    <t>http://www.broadinstitute.org/gsea/msigdb/cards/THILLAINADESAN_ZNF217_TARGETS_UP.html</t>
  </si>
  <si>
    <t>IWANAGA_E2F1_TARGETS_INDUCED_BY_SERUM</t>
  </si>
  <si>
    <t>10733;3148;4288;1763;63979;79682;78995;10635;64946;63967</t>
  </si>
  <si>
    <t>PLK4;HMGB2;MKI67;DNA2;FIGNL1;CENPU;C17orf53;RAD51AP1;CENPH;CLSPN</t>
  </si>
  <si>
    <t>http://www.broadinstitute.org/gsea/msigdb/cards/IWANAGA_E2F1_TARGETS_INDUCED_BY_SERUM.html</t>
  </si>
  <si>
    <t>CAFFAREL_RESPONSE_TO_THC_DN</t>
  </si>
  <si>
    <t>11130;983;203068;890;4172;10105;6241;4175;9768;29128</t>
  </si>
  <si>
    <t>ZWINT;CDK1;TUBB;CCNA2;MCM3;PPIF;RRM2;MCM6;PCLAF;UHRF1</t>
  </si>
  <si>
    <t>http://www.broadinstitute.org/gsea/msigdb/cards/CAFFAREL_RESPONSE_TO_THC_DN.html</t>
  </si>
  <si>
    <t>REACTOME_DEPOSITION_OF_NEW_CENPA_CONTAINING_NUCLEOSOMES_AT_THE_CENTROMERE</t>
  </si>
  <si>
    <t>11339;3015;1058;79682;55355;57082;2491;55839;64105;79172;64946;54069</t>
  </si>
  <si>
    <t>OIP5;H2AFZ;CENPA;CENPU;HJURP;KNL1;CENPI;CENPN;CENPK;CENPO;CENPH;MIS18A</t>
  </si>
  <si>
    <t>http://www.broadinstitute.org/gsea/msigdb/cards/REACTOME_DEPOSITION_OF_NEW_CENPA_CONTAINING_NUCLEOSOMES_AT_THE_CENTROMERE.html</t>
  </si>
  <si>
    <t>REACTOME_POL_SWITCHING</t>
  </si>
  <si>
    <t>5111;5984;5982;5985;5983;5557;5558;23649</t>
  </si>
  <si>
    <t>PCNA;RFC4;RFC2;RFC5;RFC3;PRIM1;PRIM2;POLA2</t>
  </si>
  <si>
    <t>http://www.broadinstitute.org/gsea/msigdb/cards/REACTOME_POL_SWITCHING.html</t>
  </si>
  <si>
    <t>HESS_TARGETS_OF_HOXA9_AND_MEIS1_UP</t>
  </si>
  <si>
    <t>8318;4605;1503;4691;1841;6240;4172;4176;4436;9319;3066;29128</t>
  </si>
  <si>
    <t>CDC45;MYBL2;CTPS1;NCL;DTYMK;RRM1;MCM3;MCM7;MSH2;TRIP13;HDAC2;UHRF1</t>
  </si>
  <si>
    <t>http://www.broadinstitute.org/gsea/msigdb/cards/HESS_TARGETS_OF_HOXA9_AND_MEIS1_UP.html</t>
  </si>
  <si>
    <t>BROWNE_HCMV_INFECTION_48HR_UP</t>
  </si>
  <si>
    <t>5717;8317;23306;8520;11339;7398;3015;898;5984;672;5983;899;4436;5427;4085;23649;23165</t>
  </si>
  <si>
    <t>PSMD11;CDC7;NEMP1;HAT1;OIP5;USP1;H2AFZ;CCNE1;RFC4;BRCA1;RFC3;CCNF;MSH2;POLE2;MAD2L1;POLA2;NUP205</t>
  </si>
  <si>
    <t>http://www.broadinstitute.org/gsea/msigdb/cards/BROWNE_HCMV_INFECTION_48HR_UP.html</t>
  </si>
  <si>
    <t>LOPEZ_MESOTELIOMA_SURVIVAL_TIME_UP</t>
  </si>
  <si>
    <t>6790;332;24137;995;9833;9319;54478;64858</t>
  </si>
  <si>
    <t>AURKA;BIRC5;KIF4A;CDC25C;MELK;TRIP13;PIMREG;DCLRE1B</t>
  </si>
  <si>
    <t>http://www.broadinstitute.org/gsea/msigdb/cards/LOPEZ_MESOTELIOMA_SURVIVAL_TIME_UP.html</t>
  </si>
  <si>
    <t>SANSOM_APC_TARGETS_REQUIRE_MYC</t>
  </si>
  <si>
    <t>2175;284403;701;10535;7083;1841;790;4176;7112;84823;5426;89958;8438;220134;51512;51514;1789;8914</t>
  </si>
  <si>
    <t>FANCA;WDR62;BUB1B;RNASEH2A;TK1;DTYMK;CAD;MCM7;TMPO;LMNB2;POLE;SAPCD2;RAD54L;SKA1;GTSE1;DTL;DNMT3B;TIMELESS</t>
  </si>
  <si>
    <t>http://www.broadinstitute.org/gsea/msigdb/cards/SANSOM_APC_TARGETS_REQUIRE_MYC.html</t>
  </si>
  <si>
    <t>REACTOME_CYCLIN_A_B1_ASSOCIATED_EVENTS_DURING_G2_M_TRANSITION</t>
  </si>
  <si>
    <t>9133;983;891;890;993;995;5347;9088</t>
  </si>
  <si>
    <t>CCNB2;CDK1;CCNB1;CCNA2;CDC25A;CDC25C;PLK1;PKMYT1</t>
  </si>
  <si>
    <t>http://www.broadinstitute.org/gsea/msigdb/cards/REACTOME_CYCLIN_A_B1_ASSOCIATED_EVENTS_DURING_G2_M_TRANSITION.html</t>
  </si>
  <si>
    <t>10733;1871;6790;7398;7374;891;4001;3148;7272;5984;2237;1058;3838;5427;9493;1479;8683;6996;9837;11073;990</t>
  </si>
  <si>
    <t>PLK4;E2F3;AURKA;USP1;UNG;CCNB1;LMNB1;HMGB2;TTK;RFC4;FEN1;CENPA;KPNA2;POLE2;AC027237.1;CSTF3;SRSF9;TDG;GINS1;TOPBP1;CDC6</t>
  </si>
  <si>
    <t>KORKOLA_TERATOMA</t>
  </si>
  <si>
    <t>6790;11130;891;4174;2237;1058;991;9787;83540;1789</t>
  </si>
  <si>
    <t>AURKA;ZWINT;CCNB1;MCM5;FEN1;CENPA;CDC20;DLGAP5;NUF2;DNMT3B</t>
  </si>
  <si>
    <t>http://www.broadinstitute.org/gsea/msigdb/cards/KORKOLA_TERATOMA.html</t>
  </si>
  <si>
    <t>1111;22995;7298;983;23310;4171;2146;151246;195828;580;29127;81539</t>
  </si>
  <si>
    <t>CHEK1;CEP152;TYMS;CDK1;NCAPD3;MCM2;EZH2;SGO2;ZNF367;BARD1;RACGAP1;SLC38A1</t>
  </si>
  <si>
    <t>http://www.broadinstitute.org/gsea/msigdb/cards/MOREAUX_B_LYMPHOCYTE_MATURATION_BY_TACI_DN.html</t>
  </si>
  <si>
    <t>3161;1058;1063;9493;9928;259266;83461;57405;10051</t>
  </si>
  <si>
    <t>HMMR;CENPA;CENPF;AC027237.1;KIF14;ASPM;CDCA3;SPC25;SMC4</t>
  </si>
  <si>
    <t>OUELLET_OVARIAN_CANCER_INVASIVE_VS_LMP_UP</t>
  </si>
  <si>
    <t>10212;203068;3015;898;3148;5984;5902;4670;1434;1163;8683;9833;1033;23165</t>
  </si>
  <si>
    <t>DDX39A;TUBB;H2AFZ;CCNE1;HMGB2;RFC4;RANBP1;HNRNPM;CSE1L;CKS1B;SRSF9;MELK;CDKN3;NUP205</t>
  </si>
  <si>
    <t>http://www.broadinstitute.org/gsea/msigdb/cards/OUELLET_OVARIAN_CANCER_INVASIVE_VS_LMP_UP.html</t>
  </si>
  <si>
    <t>PEART_HDAC_PROLIFERATION_CLUSTER_UP</t>
  </si>
  <si>
    <t>898;1017;995;899;4751;3838;641;1033;11004;990;54443</t>
  </si>
  <si>
    <t>CCNE1;CDK2;CDC25C;CCNF;NEK2;KPNA2;BLM;CDKN3;KIF2C;CDC6;ANLN</t>
  </si>
  <si>
    <t>http://www.broadinstitute.org/gsea/msigdb/cards/PEART_HDAC_PROLIFERATION_CLUSTER_UP.html</t>
  </si>
  <si>
    <t>983;5111;891;1503;890;7283;5984;2237;1434;6749;4085;9319;27338;10926;22974</t>
  </si>
  <si>
    <t>CDK1;PCNA;CCNB1;CTPS1;CCNA2;TUBG1;RFC4;FEN1;CSE1L;SSRP1;MAD2L1;TRIP13;UBE2S;DBF4;TPX2</t>
  </si>
  <si>
    <t>1871;11065;7083;7298;3015;5111;891;4691;790;993;995;5982;4436;1869;1994</t>
  </si>
  <si>
    <t>E2F3;UBE2C;TK1;TYMS;H2AFZ;PCNA;CCNB1;NCL;CAD;CDC25A;CDC25C;RFC2;MSH2;E2F1;ELAVL1</t>
  </si>
  <si>
    <t>http://www.broadinstitute.org/gsea/msigdb/cards/DANG_MYC_TARGETS_UP.html</t>
  </si>
  <si>
    <t>10212;11065;2175;3015;7153;5111;6929;4691;4001;4172;3148;5725;10105;6241;4174;4176;5985;5902;4670;10376;10024;991;2146;27338;343099;29028;84798;221150;80174;8570;80179;92092;84991;79172</t>
  </si>
  <si>
    <t>DDX39A;UBE2C;FANCA;H2AFZ;TOP2A;PCNA;TCF3;NCL;LMNB1;MCM3;HMGB2;PTBP1;PPIF;RRM2;MCM5;MCM7;RFC5;RANBP1;HNRNPM;TUBA1B;TROAP;CDC20;EZH2;UBE2S;CCDC18;ATAD2;C19orf48;SKA3;DBF4B;KHSRP;MYO19;ZC3HAV1L;RBM17;CENPO</t>
  </si>
  <si>
    <t>http://www.broadinstitute.org/gsea/msigdb/cards/GRADE_COLON_CANCER_UP.html</t>
  </si>
  <si>
    <t>JOHANSSON_GLIOMAGENESIS_BY_PDGFB_UP</t>
  </si>
  <si>
    <t>983;7153;5111;4172;3148;6241;4288;4171;5347;991;55872</t>
  </si>
  <si>
    <t>CDK1;TOP2A;PCNA;MCM3;HMGB2;RRM2;MKI67;MCM2;PLK1;CDC20;PBK</t>
  </si>
  <si>
    <t>http://www.broadinstitute.org/gsea/msigdb/cards/JOHANSSON_GLIOMAGENESIS_BY_PDGFB_UP.html</t>
  </si>
  <si>
    <t>1871;10403;701;7153;4001;7272;672;4436;1058;1063;5558;8833;3832;641;6733;1062;9493;9833;9837;23518;9928;6491;11073;9585;580</t>
  </si>
  <si>
    <t>E2F3;NDC80;BUB1B;TOP2A;LMNB1;TTK;BRCA1;MSH2;CENPA;CENPF;PRIM2;GMPS;KIF11;BLM;SRPK2;CENPE;AC027237.1;MELK;GINS1;R3HDM1;KIF14;STIL;TOPBP1;KIF20B;BARD1</t>
  </si>
  <si>
    <t>79733;1871;11169;4605;3148;5933;7913;1869;2305;6749;9319;2146;3066</t>
  </si>
  <si>
    <t>E2F8;E2F3;WDHD1;MYBL2;HMGB2;RBL1;DEK;E2F1;FOXM1;SSRP1;TRIP13;EZH2;HDAC2</t>
  </si>
  <si>
    <t>JAEGER_METASTASIS_UP</t>
  </si>
  <si>
    <t>6790;6241;1063;11004;990;64151;84296;10051;51514;10460</t>
  </si>
  <si>
    <t>AURKA;RRM2;CENPF;KIF2C;CDC6;NCAPG;GINS4;SMC4;DTL;TACC3</t>
  </si>
  <si>
    <t>http://www.broadinstitute.org/gsea/msigdb/cards/JAEGER_METASTASIS_UP.html</t>
  </si>
  <si>
    <t>SEMBA_FHIT_TARGETS_DN</t>
  </si>
  <si>
    <t>10733;332;1841;1063;259266;10615;1894</t>
  </si>
  <si>
    <t>PLK4;BIRC5;DTYMK;CENPF;ASPM;SPAG5;ECT2</t>
  </si>
  <si>
    <t>http://www.broadinstitute.org/gsea/msigdb/cards/SEMBA_FHIT_TARGETS_DN.html</t>
  </si>
  <si>
    <t>GENTILE_RESPONSE_CLUSTER_D3</t>
  </si>
  <si>
    <t>10733;7374;4001;7272;5984;2237;5427;9493;6996;9837;990</t>
  </si>
  <si>
    <t>PLK4;UNG;LMNB1;TTK;RFC4;FEN1;POLE2;AC027237.1;TDG;GINS1;CDC6</t>
  </si>
  <si>
    <t>http://www.broadinstitute.org/gsea/msigdb/cards/GENTILE_RESPONSE_CLUSTER_D3.html</t>
  </si>
  <si>
    <t>8317;10403;701;7398;7272;7913;1063;9833</t>
  </si>
  <si>
    <t>CDC7;NDC80;BUB1B;USP1;TTK;DEK;CENPF;MELK</t>
  </si>
  <si>
    <t>BOYAULT_LIVER_CANCER_SUBCLASS_G123_UP</t>
  </si>
  <si>
    <t>8520;9133;10112;5984;7112;3838;9837;29028;580;10051</t>
  </si>
  <si>
    <t>HAT1;CCNB2;KIF20A;RFC4;TMPO;KPNA2;GINS1;ATAD2;BARD1;SMC4</t>
  </si>
  <si>
    <t>http://www.broadinstitute.org/gsea/msigdb/cards/BOYAULT_LIVER_CANCER_SUBCLASS_G123_UP.html</t>
  </si>
  <si>
    <t>7153;5111;4001;4174;4436;4171;2956;4175;3837;11198</t>
  </si>
  <si>
    <t>TOP2A;PCNA;LMNB1;MCM5;MSH2;MCM2;MSH6;MCM6;KPNB1;SUPT16H</t>
  </si>
  <si>
    <t>DACOSTA_UV_RESPONSE_VIA_ERCC3_UP</t>
  </si>
  <si>
    <t>1515;9134;7083;7298;4605;5111;898;1017;10105;4173;4174;5982;2237;5985;6415;1869;9088;990;81620;29893</t>
  </si>
  <si>
    <t>CTSV;CCNE2;TK1;TYMS;MYBL2;PCNA;CCNE1;CDK2;PPIF;MCM4;MCM5;RFC2;FEN1;RFC5;SELENOW;E2F1;PKMYT1;CDC6;CDT1;PSMC3IP</t>
  </si>
  <si>
    <t>http://www.broadinstitute.org/gsea/msigdb/cards/DACOSTA_UV_RESPONSE_VIA_ERCC3_UP.html</t>
  </si>
  <si>
    <t>699;3161;7083;891;5984;5983;4288;5557;2956;1033;63979;84930;64105;51203;83540;55055;51514;90417</t>
  </si>
  <si>
    <t>BUB1;HMMR;TK1;CCNB1;RFC4;RFC3;MKI67;PRIM1;MSH6;CDKN3;FIGNL1;MASTL;CENPK;NUSAP1;NUF2;ZWILCH;DTL;KNSTRN</t>
  </si>
  <si>
    <t>2175;9401;11130;9134;5111;898;2237;5427;5426;9837;2146;29028;195828;23234;144455;64858;29980;51514</t>
  </si>
  <si>
    <t>FANCA;RECQL4;ZWINT;CCNE2;PCNA;CCNE1;FEN1;POLE2;POLE;GINS1;EZH2;ATAD2;ZNF367;DNAJC9;E2F7;DCLRE1B;DONSON;DTL</t>
  </si>
  <si>
    <t>6790;9055;10535;86;7083;7298;3015;890;1841;4172;1786;3148;4173;5984;9775;8833;3838;1163;10657;991;3837;27338;55656;259266;11073;23165;3066;55839;51203;81610;29089;55646;54069;51514;51659</t>
  </si>
  <si>
    <t>AURKA;PRC1;RNASEH2A;ACTL6A;TK1;TYMS;H2AFZ;CCNA2;DTYMK;MCM3;DNMT1;HMGB2;MCM4;RFC4;EIF4A3;GMPS;KPNA2;CKS1B;KHDRBS1;CDC20;KPNB1;UBE2S;INTS8;ASPM;TOPBP1;NUP205;HDAC2;CENPN;NUSAP1;FAM83D;UBE2T;LYAR;MIS18A;DTL;GINS2</t>
  </si>
  <si>
    <t>10212;8317;1871;11065;11339;701;8318;983;203068;7153;7283;9735;3832;4998;9824;29028;3066;55771;9585;11004;79075;51203;80119;29089;3070;56992;81624;27339;23594;25788</t>
  </si>
  <si>
    <t>DDX39A;CDC7;E2F3;UBE2C;OIP5;BUB1B;CDC45;CDK1;TUBB;TOP2A;TUBG1;KNTC1;KIF11;ORC1;ARHGAP11A;ATAD2;HDAC2;PRR11;KIF20B;KIF2C;DSCC1;NUSAP1;PIF1;UBE2T;HELLS;KIF15;DIAPH3;PRPF19;ORC6;RAD54B</t>
  </si>
  <si>
    <t>RIGGI_EWING_SARCOMA_PROGENITOR_DN</t>
  </si>
  <si>
    <t>332;9055;701;7153;6241;9768;9787;55165;55635;259266;79801;55872;83461;51203;81610;54443</t>
  </si>
  <si>
    <t>BIRC5;PRC1;BUB1B;TOP2A;RRM2;PCLAF;DLGAP5;CEP55;DEPDC1;ASPM;SHCBP1;PBK;CDCA3;NUSAP1;FAM83D;ANLN</t>
  </si>
  <si>
    <t>http://www.broadinstitute.org/gsea/msigdb/cards/RIGGI_EWING_SARCOMA_PROGENITOR_DN.html</t>
  </si>
  <si>
    <t>701;7083;4691;1841;4172;6241;4174;4176;2237;5902;5558;4171;3832;6749;8208;9918;151648;8438;220134;113130;64151;51514;8914;10460</t>
  </si>
  <si>
    <t>BUB1B;TK1;NCL;DTYMK;MCM3;RRM2;MCM5;MCM7;FEN1;RANBP1;PRIM2;MCM2;KIF11;SSRP1;CHAF1B;NCAPD2;SGO1;RAD54L;SKA1;CDCA5;NCAPG;DTL;TIMELESS;TACC3</t>
  </si>
  <si>
    <t>KEGG_MISMATCH_REPAIR</t>
  </si>
  <si>
    <t>5111;5984;5982;5985;5983;4436;2956;9156</t>
  </si>
  <si>
    <t>PCNA;RFC4;RFC2;RFC5;RFC3;MSH2;MSH6;EXO1</t>
  </si>
  <si>
    <t>http://www.broadinstitute.org/gsea/msigdb/cards/KEGG_MISMATCH_REPAIR.html</t>
  </si>
  <si>
    <t>CHEN_ETV5_TARGETS_TESTIS</t>
  </si>
  <si>
    <t>9134;1017;5933;4288;4171;5888;4085;3070</t>
  </si>
  <si>
    <t>CCNE2;CDK2;RBL1;MKI67;MCM2;RAD51;MAD2L1;HELLS</t>
  </si>
  <si>
    <t>http://www.broadinstitute.org/gsea/msigdb/cards/CHEN_ETV5_TARGETS_TESTIS.html</t>
  </si>
  <si>
    <t>79733;440519;6839;3148;899;10024;55143;55635;157313;728833;84722;79866;146909;91687;284992;81930;220134;51512;1789</t>
  </si>
  <si>
    <t>E2F8;ZNF724;SUV39H1;HMGB2;CCNF;TROAP;CDCA8;DEPDC1;CDCA2;FAM72D;PSRC1;BORA;KIF18B;CENPL;CCDC150;KIF18A;SKA1;GTSE1;DNMT3B</t>
  </si>
  <si>
    <t>CROSBY_E2F4_TARGETS</t>
  </si>
  <si>
    <t>1111;10403;701;9232;1062;990</t>
  </si>
  <si>
    <t>CHEK1;NDC80;BUB1B;PTTG1;CENPE;CDC6</t>
  </si>
  <si>
    <t>http://www.broadinstitute.org/gsea/msigdb/cards/CROSBY_E2F4_TARGETS.html</t>
  </si>
  <si>
    <t>BIOCARTA_G2_PATHWAY</t>
  </si>
  <si>
    <t>1111;983;891;10971;993;995;672;5347</t>
  </si>
  <si>
    <t>CHEK1;CDK1;CCNB1;YWHAQ;CDC25A;CDC25C;BRCA1;PLK1</t>
  </si>
  <si>
    <t>http://www.broadinstitute.org/gsea/msigdb/cards/BIOCARTA_G2_PATHWAY.html</t>
  </si>
  <si>
    <t>HERNANDEZ_MITOTIC_ARREST_BY_DOCETAXEL_1_DN</t>
  </si>
  <si>
    <t>11065;983;203068;1017;5933;1163;990;51514;26271</t>
  </si>
  <si>
    <t>UBE2C;CDK1;TUBB;CDK2;RBL1;CKS1B;CDC6;DTL;FBXO5</t>
  </si>
  <si>
    <t>http://www.broadinstitute.org/gsea/msigdb/cards/HERNANDEZ_MITOTIC_ARREST_BY_DOCETAXEL_1_DN.html</t>
  </si>
  <si>
    <t>TURASHVILI_BREAST_DUCTAL_CARCINOMA_VS_LOBULAR_NORMAL_UP</t>
  </si>
  <si>
    <t>3161;9134;7153;9833;259266;55771;51203;29127;54443;55215;51514</t>
  </si>
  <si>
    <t>HMMR;CCNE2;TOP2A;MELK;ASPM;PRR11;NUSAP1;RACGAP1;ANLN;FANCI;DTL</t>
  </si>
  <si>
    <t>http://www.broadinstitute.org/gsea/msigdb/cards/TURASHVILI_BREAST_DUCTAL_CARCINOMA_VS_LOBULAR_NORMAL_UP.html</t>
  </si>
  <si>
    <t>REACTOME_REPAIR_SYNTHESIS_FOR_GAP_FILLING_BY_DNA_POL_IN_TC_NER</t>
  </si>
  <si>
    <t>5111;5984;5982;5985;5983;5427;5426</t>
  </si>
  <si>
    <t>PCNA;RFC4;RFC2;RFC5;RFC3;POLE2;POLE</t>
  </si>
  <si>
    <t>http://www.broadinstitute.org/gsea/msigdb/cards/REACTOME_REPAIR_SYNTHESIS_FOR_GAP_FILLING_BY_DNA_POL_IN_TC_NER.html</t>
  </si>
  <si>
    <t>REACTOME_FANCONI_ANEMIA_PATHWAY</t>
  </si>
  <si>
    <t>2189;2175;7398;672;675;2187;2177;29089</t>
  </si>
  <si>
    <t>FANCG;FANCA;USP1;BRCA1;BRCA2;FANCB;FANCD2;UBE2T</t>
  </si>
  <si>
    <t>http://www.broadinstitute.org/gsea/msigdb/cards/REACTOME_FANCONI_ANEMIA_PATHWAY.html</t>
  </si>
  <si>
    <t>WILLIAMS_ESR1_TARGETS_UP</t>
  </si>
  <si>
    <t>284403;699;10535;890;3148;991;55165;81610</t>
  </si>
  <si>
    <t>WDR62;BUB1;RNASEH2A;CCNA2;HMGB2;CDC20;CEP55;FAM83D</t>
  </si>
  <si>
    <t>http://www.broadinstitute.org/gsea/msigdb/cards/WILLIAMS_ESR1_TARGETS_UP.html</t>
  </si>
  <si>
    <t>BENPORATH_ES_2</t>
  </si>
  <si>
    <t>4605;1841;993;4998;23397;54821;55388;79075;3070</t>
  </si>
  <si>
    <t>MYBL2;DTYMK;CDC25A;ORC1;NCAPH;ERCC6L;MCM10;DSCC1;HELLS</t>
  </si>
  <si>
    <t>http://www.broadinstitute.org/gsea/msigdb/cards/BENPORATH_ES_2.html</t>
  </si>
  <si>
    <t>KEGG_PYRIMIDINE_METABOLISM</t>
  </si>
  <si>
    <t>7083;7298;1503;1841;6240;790;6241;5557;5558;5427;5426;23649</t>
  </si>
  <si>
    <t>TK1;TYMS;CTPS1;DTYMK;RRM1;CAD;RRM2;PRIM1;PRIM2;POLE2;POLE;POLA2</t>
  </si>
  <si>
    <t>http://www.broadinstitute.org/gsea/msigdb/cards/KEGG_PYRIMIDINE_METABOLISM.html</t>
  </si>
  <si>
    <t>332;8318;7083;891;4171;8833;1763;5888;10024;9700;157570;286826;63979;54892;150468;9125;23165;84930;55872;79915;990;83540;57405;55723;51514</t>
  </si>
  <si>
    <t>BIRC5;CDC45;TK1;CCNB1;MCM2;GMPS;DNA2;RAD51;TROAP;ESPL1;ESCO2;LIN9;FIGNL1;NCAPG2;CKAP2L;CNOT9;NUP205;MASTL;PBK;ATAD5;CDC6;NUF2;SPC25;ASF1B;DTL</t>
  </si>
  <si>
    <t>PID_P73PATHWAY</t>
  </si>
  <si>
    <t>1111;699;9134;983;200933;891;890;1017;675;5347;5888</t>
  </si>
  <si>
    <t>CHEK1;BUB1;CCNE2;CDK1;FBXO45;CCNB1;CCNA2;CDK2;BRCA2;PLK1;RAD51</t>
  </si>
  <si>
    <t>http://www.broadinstitute.org/gsea/msigdb/cards/PID_P73PATHWAY.html</t>
  </si>
  <si>
    <t>701;9133;7153;891;4001;7272;4288;1058;3832;5427;9493;23076;9928;10051</t>
  </si>
  <si>
    <t>BUB1B;CCNB2;TOP2A;CCNB1;LMNB1;TTK;MKI67;CENPA;KIF11;POLE2;AC027237.1;RRP1B;KIF14;SMC4</t>
  </si>
  <si>
    <t>ZHANG_RESPONSE_TO_IKK_INHIBITOR_AND_TNF_DN</t>
  </si>
  <si>
    <t>11169;7398;9134;5933;5984;2956;4998;1870;55388;195828;51514;1789</t>
  </si>
  <si>
    <t>WDHD1;USP1;CCNE2;RBL1;RFC4;MSH6;ORC1;E2F2;MCM10;ZNF367;DTL;DNMT3B</t>
  </si>
  <si>
    <t>http://www.broadinstitute.org/gsea/msigdb/cards/ZHANG_RESPONSE_TO_IKK_INHIBITOR_AND_TNF_DN.html</t>
  </si>
  <si>
    <t>REICHERT_G1S_REGULATORS_AS_PI3K_TARGETS</t>
  </si>
  <si>
    <t>9134;890;1017;993;995;6502</t>
  </si>
  <si>
    <t>CCNE2;CCNA2;CDK2;CDC25A;CDC25C;SKP2</t>
  </si>
  <si>
    <t>http://www.broadinstitute.org/gsea/msigdb/cards/REICHERT_G1S_REGULATORS_AS_PI3K_TARGETS.html</t>
  </si>
  <si>
    <t>RAY_TUMORIGENESIS_BY_ERBB2_CDC25A_UP</t>
  </si>
  <si>
    <t>9133;10112;4176;4288;1058;5557;1163;79801;64105;1894;3070;51514</t>
  </si>
  <si>
    <t>CCNB2;KIF20A;MCM7;MKI67;CENPA;PRIM1;CKS1B;SHCBP1;CENPK;ECT2;HELLS;DTL</t>
  </si>
  <si>
    <t>http://www.broadinstitute.org/gsea/msigdb/cards/RAY_TUMORIGENESIS_BY_ERBB2_CDC25A_UP.html</t>
  </si>
  <si>
    <t>79733;6790;332;9401;7398;7298;983;5111;890;4172;6241;5984;7112;3068;4670;5347;10376;1869;10024;4085;4175;9768;84798;80178;9088;84790;81620;79019;26271;65003;23594</t>
  </si>
  <si>
    <t>E2F8;AURKA;BIRC5;RECQL4;USP1;TYMS;CDK1;PCNA;CCNA2;MCM3;RRM2;RFC4;TMPO;HDGF;HNRNPM;PLK1;TUBA1B;E2F1;TROAP;MAD2L1;MCM6;PCLAF;C19orf48;TEDC2;PKMYT1;TUBA1C;CDT1;CENPM;FBXO5;MRPL11;ORC6</t>
  </si>
  <si>
    <t>PUIFFE_INVASION_INHIBITED_BY_ASCITES_UP</t>
  </si>
  <si>
    <t>10112;7298;4172;5725;1058;3838;6502;3837;55143;55355;22974</t>
  </si>
  <si>
    <t>KIF20A;TYMS;MCM3;PTBP1;CENPA;KPNA2;SKP2;KPNB1;CDCA8;HJURP;TPX2</t>
  </si>
  <si>
    <t>http://www.broadinstitute.org/gsea/msigdb/cards/PUIFFE_INVASION_INHIBITED_BY_ASCITES_UP.html</t>
  </si>
  <si>
    <t>ZHAN_MULTIPLE_MYELOMA_SUBGROUPS</t>
  </si>
  <si>
    <t>7298;4436;5902;5557;1163;10036;2146;990</t>
  </si>
  <si>
    <t>TYMS;MSH2;RANBP1;PRIM1;CKS1B;CHAF1A;EZH2;CDC6</t>
  </si>
  <si>
    <t>http://www.broadinstitute.org/gsea/msigdb/cards/ZHAN_MULTIPLE_MYELOMA_SUBGROUPS.html</t>
  </si>
  <si>
    <t>HONRADO_BREAST_CANCER_BRCA1_VS_BRCA2</t>
  </si>
  <si>
    <t>332;7153;891;890;898;4288;6502</t>
  </si>
  <si>
    <t>BIRC5;TOP2A;CCNB1;CCNA2;CCNE1;MKI67;SKP2</t>
  </si>
  <si>
    <t>http://www.broadinstitute.org/gsea/msigdb/cards/HONRADO_BREAST_CANCER_BRCA1_VS_BRCA2.html</t>
  </si>
  <si>
    <t>11065;2175;332;699;9133;9232;983;4605;7153;5111;1503;7283;1841;6240;1017;4172;10971;10105;6241;4521;5983;4436;3068;3832;1434;5888;6502;3837;27338;219988;8438;80829;55723</t>
  </si>
  <si>
    <t>UBE2C;FANCA;BIRC5;BUB1;CCNB2;PTTG1;CDK1;MYBL2;TOP2A;PCNA;CTPS1;TUBG1;DTYMK;RRM1;CDK2;MCM3;YWHAQ;PPIF;RRM2;NUDT1;RFC3;MSH2;HDGF;KIF11;CSE1L;RAD51;SKP2;KPNB1;UBE2S;PATL1;RAD54L;ZFP91;ASF1B</t>
  </si>
  <si>
    <t>1871;1111;203068;5111;1503;4176;23310;4436;8833;1163;2305;4085;9787;1994</t>
  </si>
  <si>
    <t>E2F3;CHEK1;TUBB;PCNA;CTPS1;MCM7;NCAPD3;MSH2;GMPS;CKS1B;FOXM1;MAD2L1;DLGAP5;ELAVL1</t>
  </si>
  <si>
    <t>PID_AURORA_A_PATHWAY</t>
  </si>
  <si>
    <t>6790;332;672;1058;9787;9212;22974;10460</t>
  </si>
  <si>
    <t>AURKA;BIRC5;BRCA1;CENPA;DLGAP5;AURKB;TPX2;TACC3</t>
  </si>
  <si>
    <t>http://www.broadinstitute.org/gsea/msigdb/cards/PID_AURORA_A_PATHWAY.html</t>
  </si>
  <si>
    <t>KEGG_PROGESTERONE_MEDIATED_OOCYTE_MATURATION</t>
  </si>
  <si>
    <t>699;9133;983;891;890;1017;993;995;5347;4085;9088</t>
  </si>
  <si>
    <t>BUB1;CCNB2;CDK1;CCNB1;CCNA2;CDK2;CDC25A;CDC25C;PLK1;MAD2L1;PKMYT1</t>
  </si>
  <si>
    <t>http://www.broadinstitute.org/gsea/msigdb/cards/KEGG_PROGESTERONE_MEDIATED_OOCYTE_MATURATION.html</t>
  </si>
  <si>
    <t>REACTOME_CYCLIN_E_ASSOCIATED_EVENTS_DURING_G1_S_TRANSITION_</t>
  </si>
  <si>
    <t>5717;5709;9134;890;898;1017;993;1163;6502;9088</t>
  </si>
  <si>
    <t>PSMD11;PSMD3;CCNE2;CCNA2;CCNE1;CDK2;CDC25A;CKS1B;SKP2;PKMYT1</t>
  </si>
  <si>
    <t>http://www.broadinstitute.org/gsea/msigdb/cards/REACTOME_CYCLIN_E_ASSOCIATED_EVENTS_DURING_G1_S_TRANSITION_.html</t>
  </si>
  <si>
    <t>MEISSNER_BRAIN_HCP_WITH_H3K4ME3_AND_H3K27ME3</t>
  </si>
  <si>
    <t>79733;11065;699;6581;983;4605;7153;6241;7272;9493;1870;23397;6491;151648;113115;9824;90381;89958;146909;259266;84904;115004;55355;55789;144455;29128;84790;54478;80119;1894;63967;57405;54443;10051;51514</t>
  </si>
  <si>
    <t>E2F8;UBE2C;BUB1;SLC22A3;CDK1;MYBL2;TOP2A;RRM2;TTK;AC027237.1;E2F2;NCAPH;STIL;SGO1;MTFR2;ARHGAP11A;TICRR;SAPCD2;KIF18B;ASPM;ARHGEF39;CGAS;HJURP;DEPDC1B;E2F7;UHRF1;TUBA1C;PIMREG;PIF1;ECT2;CLSPN;SPC25;ANLN;SMC4;DTL</t>
  </si>
  <si>
    <t>http://www.broadinstitute.org/gsea/msigdb/cards/MEISSNER_BRAIN_HCP_WITH_H3K4ME3_AND_H3K27ME3.html</t>
  </si>
  <si>
    <t>11065;10592;7153;4288;641;1062;9787;259266;51203</t>
  </si>
  <si>
    <t>UBE2C;SMC2;TOP2A;MKI67;BLM;CENPE;DLGAP5;ASPM;NUSAP1</t>
  </si>
  <si>
    <t>http://www.broadinstitute.org/gsea/msigdb/cards/BOHN_PRIMARY_IMMUNODEFICIENCY_SYNDROM_UP.html</t>
  </si>
  <si>
    <t>JEON_SMAD6_TARGETS_DN</t>
  </si>
  <si>
    <t>10212;9133;7153;1058;3832;9493;27338</t>
  </si>
  <si>
    <t>DDX39A;CCNB2;TOP2A;CENPA;KIF11;AC027237.1;UBE2S</t>
  </si>
  <si>
    <t>http://www.broadinstitute.org/gsea/msigdb/cards/JEON_SMAD6_TARGETS_DN.html</t>
  </si>
  <si>
    <t>BIOCARTA_RANMS_PATHWAY</t>
  </si>
  <si>
    <t>6790;5902;3838;3837;56992;22974</t>
  </si>
  <si>
    <t>AURKA;RANBP1;KPNA2;KPNB1;KIF15;TPX2</t>
  </si>
  <si>
    <t>http://www.broadinstitute.org/gsea/msigdb/cards/BIOCARTA_RANMS_PATHWAY.html</t>
  </si>
  <si>
    <t>OHASHI_AURKB_TARGETS</t>
  </si>
  <si>
    <t>1058;55143;9212;11004;29127;3619</t>
  </si>
  <si>
    <t>CENPA;CDCA8;AURKB;KIF2C;RACGAP1;INCENP</t>
  </si>
  <si>
    <t>http://www.broadinstitute.org/gsea/msigdb/cards/OHASHI_AURKB_TARGETS.html</t>
  </si>
  <si>
    <t>XU_HGF_SIGNALING_NOT_VIA_AKT1_48HR_DN</t>
  </si>
  <si>
    <t>3161;10112;1063;5347;4085;9787;51512</t>
  </si>
  <si>
    <t>HMMR;KIF20A;CENPF;PLK1;MAD2L1;DLGAP5;GTSE1</t>
  </si>
  <si>
    <t>http://www.broadinstitute.org/gsea/msigdb/cards/XU_HGF_SIGNALING_NOT_VIA_AKT1_48HR_DN.html</t>
  </si>
  <si>
    <t>2189;1503;7283;6240;6241;4176;5985;5557;2956;11198</t>
  </si>
  <si>
    <t>FANCG;CTPS1;TUBG1;RRM1;RRM2;MCM7;RFC5;PRIM1;MSH6;SUPT16H</t>
  </si>
  <si>
    <t>http://www.broadinstitute.org/gsea/msigdb/cards/ZHANG_RESPONSE_TO_CANTHARIDIN_DN.html</t>
  </si>
  <si>
    <t>203068;5111;790;4173;4174;4171;2956;1163;10376;4175;26586;51203</t>
  </si>
  <si>
    <t>TUBB;PCNA;CAD;MCM4;MCM5;MCM2;MSH6;CKS1B;TUBA1B;MCM6;CKAP2;NUSAP1</t>
  </si>
  <si>
    <t>http://www.broadinstitute.org/gsea/msigdb/cards/MATTIOLI_MGUS_VS_PCL.html</t>
  </si>
  <si>
    <t>1111;22995;86;7298;983;23310;4171;2146;151246;195828;580;29127;81539;10926</t>
  </si>
  <si>
    <t>CHEK1;CEP152;ACTL6A;TYMS;CDK1;NCAPD3;MCM2;EZH2;SGO2;ZNF367;BARD1;RACGAP1;SLC38A1;DBF4</t>
  </si>
  <si>
    <t>10212;1503;3148;6241;4176;5985;10036;3837;8570;9088;580;11198</t>
  </si>
  <si>
    <t>DDX39A;CTPS1;HMGB2;RRM2;MCM7;RFC5;CHAF1A;KPNB1;KHSRP;PKMYT1;BARD1;SUPT16H</t>
  </si>
  <si>
    <t>http://www.broadinstitute.org/gsea/msigdb/cards/DAIRKEE_CANCER_PRONE_RESPONSE_BPA_E2.html</t>
  </si>
  <si>
    <t>REACTOME_GLOBAL_GENOMIC_NER_GG_NER</t>
  </si>
  <si>
    <t>5111;5984;5982;5985;5983;5427;5426;2967</t>
  </si>
  <si>
    <t>PCNA;RFC4;RFC2;RFC5;RFC3;POLE2;POLE;GTF2H3</t>
  </si>
  <si>
    <t>http://www.broadinstitute.org/gsea/msigdb/cards/REACTOME_GLOBAL_GENOMIC_NER_GG_NER.html</t>
  </si>
  <si>
    <t>REACTOME_CDC6_ASSOCIATION_WITH_THE_ORC_ORIGIN_COMPLEX</t>
  </si>
  <si>
    <t>1871;1869;4998;1870;990;23594</t>
  </si>
  <si>
    <t>E2F3;E2F1;ORC1;E2F2;CDC6;ORC6</t>
  </si>
  <si>
    <t>http://www.broadinstitute.org/gsea/msigdb/cards/REACTOME_CDC6_ASSOCIATION_WITH_THE_ORC_ORIGIN_COMPLEX.html</t>
  </si>
  <si>
    <t>MATHEW_FANCONI_ANEMIA_GENES</t>
  </si>
  <si>
    <t>2189;2175;675;2187;83990;2177</t>
  </si>
  <si>
    <t>FANCG;FANCA;BRCA2;FANCB;BRIP1;FANCD2</t>
  </si>
  <si>
    <t>http://www.broadinstitute.org/gsea/msigdb/cards/MATHEW_FANCONI_ANEMIA_GENES.html</t>
  </si>
  <si>
    <t>CHICAS_RB1_TARGETS_CONFLUENT</t>
  </si>
  <si>
    <t>8317;9134;7298;203068;10797;4173;4174;5557;5558;3832;5427;10376;4175;9833;9768;55165;162681;10635;29128;84790;83990;83540;3070;81624</t>
  </si>
  <si>
    <t>CDC7;CCNE2;TYMS;TUBB;MTHFD2;MCM4;MCM5;PRIM1;PRIM2;KIF11;POLE2;TUBA1B;MCM6;MELK;PCLAF;CEP55;C18orf54;RAD51AP1;UHRF1;TUBA1C;BRIP1;NUF2;HELLS;DIAPH3</t>
  </si>
  <si>
    <t>http://www.broadinstitute.org/gsea/msigdb/cards/CHICAS_RB1_TARGETS_CONFLUENT.html</t>
  </si>
  <si>
    <t>332;7083;7153;672;9775;3838;3837;348654;146909;146956;55771;990;79902;83990</t>
  </si>
  <si>
    <t>BIRC5;TK1;TOP2A;BRCA1;EIF4A3;KPNA2;KPNB1;GEN1;KIF18B;EME1;PRR11;CDC6;NUP85;BRIP1</t>
  </si>
  <si>
    <t>BIOCARTA_CELLCYCLE_PATHWAY</t>
  </si>
  <si>
    <t>983;891;898;1017;5933;993;1869</t>
  </si>
  <si>
    <t>CDK1;CCNB1;CCNE1;CDK2;RBL1;CDC25A;E2F1</t>
  </si>
  <si>
    <t>http://www.broadinstitute.org/gsea/msigdb/cards/BIOCARTA_CELLCYCLE_PATHWAY.html</t>
  </si>
  <si>
    <t>FERRANDO_HOX11_NEIGHBORS</t>
  </si>
  <si>
    <t>7083;7298;7153;7374;890;4173;4174</t>
  </si>
  <si>
    <t>TK1;TYMS;TOP2A;UNG;CCNA2;MCM4;MCM5</t>
  </si>
  <si>
    <t>http://www.broadinstitute.org/gsea/msigdb/cards/FERRANDO_HOX11_NEIGHBORS.html</t>
  </si>
  <si>
    <t>10212;1111;6581;11130;3015;1503;7283;4172;790;5933;672;23310;1058;6733;3837;1994;343099;729533;9824;220042;285753;91687;151188;115004;57650;11073;2491;11004;54478;64858;1894;51514;10926</t>
  </si>
  <si>
    <t>DDX39A;CHEK1;SLC22A3;ZWINT;H2AFZ;CTPS1;TUBG1;MCM3;CAD;RBL1;BRCA1;NCAPD3;CENPA;SRPK2;KPNB1;ELAVL1;CCDC18;FAM72A;ARHGAP11A;DDIAS;CEP57L1;CENPL;ARL6IP6;CGAS;CIP2A;TOPBP1;CENPI;KIF2C;PIMREG;DCLRE1B;ECT2;DTL;DBF4</t>
  </si>
  <si>
    <t>SANSOM_APC_TARGETS_UP</t>
  </si>
  <si>
    <t>7374;1503;1841;4172;4176;4171;6502;4175;1894;29089;81624;51514</t>
  </si>
  <si>
    <t>UNG;CTPS1;DTYMK;MCM3;MCM7;MCM2;SKP2;MCM6;ECT2;UBE2T;DIAPH3;DTL</t>
  </si>
  <si>
    <t>http://www.broadinstitute.org/gsea/msigdb/cards/SANSOM_APC_TARGETS_UP.html</t>
  </si>
  <si>
    <t>8520;8318;10535;9232;983;10797;4001;7283;898;4172;4173;4174;5984;5983;4436;5557;4171;5427;1869;5888;10036;8208;9918;2146;163786;79682;57696;84296;64105;79075;81610;29089;55723;29980;6941</t>
  </si>
  <si>
    <t>HAT1;CDC45;RNASEH2A;PTTG1;CDK1;MTHFD2;LMNB1;TUBG1;CCNE1;MCM3;MCM4;MCM5;RFC4;RFC3;MSH2;PRIM1;MCM2;POLE2;E2F1;RAD51;CHAF1A;CHAF1B;NCAPD2;EZH2;SASS6;CENPU;DDX55;GINS4;CENPK;DSCC1;FAM83D;UBE2T;ASF1B;DONSON;TCF19</t>
  </si>
  <si>
    <t>SA_REG_CASCADE_OF_CYCLIN_EXPR</t>
  </si>
  <si>
    <t>9134;890;898;1017;1869;1870</t>
  </si>
  <si>
    <t>CCNE2;CCNA2;CCNE1;CDK2;E2F1;E2F2</t>
  </si>
  <si>
    <t>http://www.broadinstitute.org/gsea/msigdb/cards/SA_REG_CASCADE_OF_CYCLIN_EXPR.html</t>
  </si>
  <si>
    <t>KOKKINAKIS_METHIONINE_DEPRIVATION_48HR_UP</t>
  </si>
  <si>
    <t>2189;10721;9133;9134;983;891;898;1017;10971;993;672;2237</t>
  </si>
  <si>
    <t>FANCG;POLQ;CCNB2;CCNE2;CDK1;CCNB1;CCNE1;CDK2;YWHAQ;CDC25A;BRCA1;FEN1</t>
  </si>
  <si>
    <t>http://www.broadinstitute.org/gsea/msigdb/cards/KOKKINAKIS_METHIONINE_DEPRIVATION_48HR_UP.html</t>
  </si>
  <si>
    <t>FARMER_BREAST_CANCER_APOCRINE_VS_BASAL</t>
  </si>
  <si>
    <t>1871;11065;10112;7298;7153;4288;3832;9493;991;9833;9837;9928;6491;55165;146909;92086;81539;55055</t>
  </si>
  <si>
    <t>E2F3;UBE2C;KIF20A;TYMS;TOP2A;MKI67;KIF11;AC027237.1;CDC20;MELK;GINS1;KIF14;STIL;CEP55;KIF18B;GGTLC1;SLC38A1;ZWILCH</t>
  </si>
  <si>
    <t>http://www.broadinstitute.org/gsea/msigdb/cards/FARMER_BREAST_CANCER_APOCRINE_VS_BASAL.html</t>
  </si>
  <si>
    <t>REACTOME_FACTORS_INVOLVED_IN_MEGAKARYOCYTE_DEVELOPMENT_AND_PLATELET_PRODUCTION</t>
  </si>
  <si>
    <t>3797;10112;24137;1017;3832;9493;81930;3066;11004;3833;29127;56992</t>
  </si>
  <si>
    <t>KIF3C;KIF20A;KIF4A;CDK2;KIF11;AC027237.1;KIF18A;HDAC2;KIF2C;KIFC1;RACGAP1;KIF15</t>
  </si>
  <si>
    <t>http://www.broadinstitute.org/gsea/msigdb/cards/REACTOME_FACTORS_INVOLVED_IN_MEGAKARYOCYTE_DEVELOPMENT_AND_PLATELET_PRODUCTION.html</t>
  </si>
  <si>
    <t>REACTOME_ASSOCIATION_OF_LICENSING_FACTORS_WITH_THE_PRE_REPLICATIVE_COMPLEX</t>
  </si>
  <si>
    <t>1871;1869;4998;1870;990;81620</t>
  </si>
  <si>
    <t>E2F3;E2F1;ORC1;E2F2;CDC6;CDT1</t>
  </si>
  <si>
    <t>http://www.broadinstitute.org/gsea/msigdb/cards/REACTOME_ASSOCIATION_OF_LICENSING_FACTORS_WITH_THE_PRE_REPLICATIVE_COMPLEX.html</t>
  </si>
  <si>
    <t>10403;3797;332;699;9232;7298;203068;5347;991;6502;3837;6491;1994;27338;55635;146909;150468;55355;150465;64151;54443</t>
  </si>
  <si>
    <t>NDC80;KIF3C;BIRC5;BUB1;PTTG1;TYMS;TUBB;PLK1;CDC20;SKP2;KPNB1;STIL;ELAVL1;UBE2S;DEPDC1;KIF18B;CKAP2L;HJURP;TTL;NCAPG;ANLN</t>
  </si>
  <si>
    <t>REACTOME_PROCESSIVE_SYNTHESIS_ON_THE_LAGGING_STRAND</t>
  </si>
  <si>
    <t>5111;2237;5557;5558;1763;23649</t>
  </si>
  <si>
    <t>PCNA;FEN1;PRIM1;PRIM2;DNA2;POLA2</t>
  </si>
  <si>
    <t>http://www.broadinstitute.org/gsea/msigdb/cards/REACTOME_PROCESSIVE_SYNTHESIS_ON_THE_LAGGING_STRAND.html</t>
  </si>
  <si>
    <t>KEGG_NUCLEOTIDE_EXCISION_REPAIR</t>
  </si>
  <si>
    <t>http://www.broadinstitute.org/gsea/msigdb/cards/KEGG_NUCLEOTIDE_EXCISION_REPAIR.html</t>
  </si>
  <si>
    <t>KEGG_HOMOLOGOUS_RECOMBINATION</t>
  </si>
  <si>
    <t>7516;675;641;5888;8438;146956;25788</t>
  </si>
  <si>
    <t>XRCC2;BRCA2;BLM;RAD51;RAD54L;EME1;RAD54B</t>
  </si>
  <si>
    <t>http://www.broadinstitute.org/gsea/msigdb/cards/KEGG_HOMOLOGOUS_RECOMBINATION.html</t>
  </si>
  <si>
    <t>PENG_GLUCOSE_DEPRIVATION_DN</t>
  </si>
  <si>
    <t>8317;6790;11339;983;7913;4436;4288;3832;1869;4085;9700;10051;55215</t>
  </si>
  <si>
    <t>CDC7;AURKA;OIP5;CDK1;DEK;MSH2;MKI67;KIF11;E2F1;MAD2L1;ESPL1;SMC4;FANCI</t>
  </si>
  <si>
    <t>http://www.broadinstitute.org/gsea/msigdb/cards/PENG_GLUCOSE_DEPRIVATION_DN.html</t>
  </si>
  <si>
    <t>REACTOME_TRANSCRIPTION_COUPLED_NER_TC_NER</t>
  </si>
  <si>
    <t>http://www.broadinstitute.org/gsea/msigdb/cards/REACTOME_TRANSCRIPTION_COUPLED_NER_TC_NER.html</t>
  </si>
  <si>
    <t>SHIPP_DLBCL_VS_FOLLICULAR_LYMPHOMA_UP</t>
  </si>
  <si>
    <t>10797;891;4176;1058;3838;9833;9787;1033</t>
  </si>
  <si>
    <t>MTHFD2;CCNB1;MCM7;CENPA;KPNA2;MELK;DLGAP5;CDKN3</t>
  </si>
  <si>
    <t>http://www.broadinstitute.org/gsea/msigdb/cards/SHIPP_DLBCL_VS_FOLLICULAR_LYMPHOMA_UP.html</t>
  </si>
  <si>
    <t>PID_RB_1PATHWAY</t>
  </si>
  <si>
    <t>1871;6839;890;898;1017;1786;1869;6502;1870</t>
  </si>
  <si>
    <t>E2F3;SUV39H1;CCNA2;CCNE1;CDK2;DNMT1;E2F1;SKP2;E2F2</t>
  </si>
  <si>
    <t>http://www.broadinstitute.org/gsea/msigdb/cards/PID_RB_1PATHWAY.html</t>
  </si>
  <si>
    <t>DOANE_RESPONSE_TO_ANDROGEN_DN</t>
  </si>
  <si>
    <t>79733;10733;9401;9134;983;993;6241;4173;4174;10036;8438;10293;83990;3070;25788</t>
  </si>
  <si>
    <t>E2F8;PLK4;RECQL4;CCNE2;CDK1;CDC25A;RRM2;MCM4;MCM5;CHAF1A;RAD54L;TRAIP;BRIP1;HELLS;RAD54B</t>
  </si>
  <si>
    <t>http://www.broadinstitute.org/gsea/msigdb/cards/DOANE_RESPONSE_TO_ANDROGEN_DN.html</t>
  </si>
  <si>
    <t>11065;203068;7153;1503;890;4172;1786;3148;5984;4288;1063;1434;1163;6415;4175;9833;9768;23518</t>
  </si>
  <si>
    <t>UBE2C;TUBB;TOP2A;CTPS1;CCNA2;MCM3;DNMT1;HMGB2;RFC4;MKI67;CENPF;CSE1L;CKS1B;SELENOW;MCM6;MELK;PCLAF;R3HDM1</t>
  </si>
  <si>
    <t>3797;1515;10112;24137;3832;9493;81930;11004;29127;56992</t>
  </si>
  <si>
    <t>KIF3C;CTSV;KIF20A;KIF4A;KIF11;AC027237.1;KIF18A;KIF2C;RACGAP1;KIF15</t>
  </si>
  <si>
    <t>8317;8520;5709;7398;10592;86;10797;1017;4172;5725;790;5984;7913;672;5983;4436;5902;6878;2956;5427;6415;6733;10657;8683;4085;6996;3837;1994;7444;11073;3066;8570;10051;54069;1789;10926;27339;11198</t>
  </si>
  <si>
    <t>CDC7;HAT1;PSMD3;USP1;SMC2;ACTL6A;MTHFD2;CDK2;MCM3;PTBP1;CAD;RFC4;DEK;BRCA1;RFC3;MSH2;RANBP1;TAF6;MSH6;POLE2;SELENOW;SRPK2;KHDRBS1;SRSF9;MAD2L1;TDG;KPNB1;ELAVL1;VRK2;TOPBP1;HDAC2;KHSRP;SMC4;MIS18A;DNMT3B;DBF4;PRPF19;SUPT16H</t>
  </si>
  <si>
    <t>KEGG_P53_SIGNALING_PATHWAY</t>
  </si>
  <si>
    <t>1111;9133;9134;983;891;898;1017;6241;51512</t>
  </si>
  <si>
    <t>CHEK1;CCNB2;CCNE2;CDK1;CCNB1;CCNE1;CDK2;RRM2;GTSE1</t>
  </si>
  <si>
    <t>http://www.broadinstitute.org/gsea/msigdb/cards/KEGG_P53_SIGNALING_PATHWAY.html</t>
  </si>
  <si>
    <t>BROWNE_HCMV_INFECTION_2HR_DN</t>
  </si>
  <si>
    <t>11065;332;7083;1058;1063;5558;1062;9493</t>
  </si>
  <si>
    <t>UBE2C;BIRC5;TK1;CENPA;CENPF;PRIM2;CENPE;AC027237.1</t>
  </si>
  <si>
    <t>http://www.broadinstitute.org/gsea/msigdb/cards/BROWNE_HCMV_INFECTION_2HR_DN.html</t>
  </si>
  <si>
    <t>KENNY_CTNNB1_TARGETS_UP</t>
  </si>
  <si>
    <t>10733;8520;7083;891;3148;1434;1894;10460</t>
  </si>
  <si>
    <t>PLK4;HAT1;TK1;CCNB1;HMGB2;CSE1L;ECT2;TACC3</t>
  </si>
  <si>
    <t>http://www.broadinstitute.org/gsea/msigdb/cards/KENNY_CTNNB1_TARGETS_UP.html</t>
  </si>
  <si>
    <t>REACTOME_APC_C_CDH1_MEDIATED_DEGRADATION_OF_CDC20_AND_OTHER_APC_C_CDH1_TARGETED_PROTEINS_IN_LATE_MITOSIS_EARLY_G1</t>
  </si>
  <si>
    <t>5717;11065;6790;5709;9232;5347;991;6502;9212</t>
  </si>
  <si>
    <t>PSMD11;UBE2C;AURKA;PSMD3;PTTG1;PLK1;CDC20;SKP2;AURKB</t>
  </si>
  <si>
    <t>http://www.broadinstitute.org/gsea/msigdb/cards/REACTOME_APC_C_CDH1_MEDIATED_DEGRADATION_OF_CDC20_AND_OTHER_APC_C_CDH1_TARGETED_PROTEINS_IN_LATE_MITOSIS_EARLY_G1.html</t>
  </si>
  <si>
    <t>REACTOME_NUCLEOTIDE_EXCISION_REPAIR</t>
  </si>
  <si>
    <t>http://www.broadinstitute.org/gsea/msigdb/cards/REACTOME_NUCLEOTIDE_EXCISION_REPAIR.html</t>
  </si>
  <si>
    <t>PRAMOONJAGO_SOX4_TARGETS_DN</t>
  </si>
  <si>
    <t>332;10112;891;5725;6502;9787;1033;27338</t>
  </si>
  <si>
    <t>BIRC5;KIF20A;CCNB1;PTBP1;SKP2;DLGAP5;CDKN3;UBE2S</t>
  </si>
  <si>
    <t>http://www.broadinstitute.org/gsea/msigdb/cards/PRAMOONJAGO_SOX4_TARGETS_DN.html</t>
  </si>
  <si>
    <t>11130;9768;9787;221150;84057;54443</t>
  </si>
  <si>
    <t>ZWINT;PCLAF;DLGAP5;SKA3;MND1;ANLN</t>
  </si>
  <si>
    <t>REACTOME_APC_C_CDC20_MEDIATED_DEGRADATION_OF_MITOTIC_PROTEINS</t>
  </si>
  <si>
    <t>5717;11065;5709;701;9232;983;891;991;4085</t>
  </si>
  <si>
    <t>PSMD11;UBE2C;PSMD3;BUB1B;PTTG1;CDK1;CCNB1;CDC20;MAD2L1</t>
  </si>
  <si>
    <t>http://www.broadinstitute.org/gsea/msigdb/cards/REACTOME_APC_C_CDC20_MEDIATED_DEGRADATION_OF_MITOTIC_PROTEINS.html</t>
  </si>
  <si>
    <t>KEGG_BASE_EXCISION_REPAIR</t>
  </si>
  <si>
    <t>5111;7374;2237;5427;5426;6996;55247</t>
  </si>
  <si>
    <t>PCNA;UNG;FEN1;POLE2;POLE;TDG;NEIL3</t>
  </si>
  <si>
    <t>http://www.broadinstitute.org/gsea/msigdb/cards/KEGG_BASE_EXCISION_REPAIR.html</t>
  </si>
  <si>
    <t>8317;7398;9133;7153;4001;4172;10105;7272;7913;5985;5983;4171;675;2956;1434;6415;6502;23076;157313;54892;23165;83540;81539;81610;1894;54443;3070;54069;22974;51659</t>
  </si>
  <si>
    <t>CDC7;USP1;CCNB2;TOP2A;LMNB1;MCM3;PPIF;TTK;DEK;RFC5;RFC3;MCM2;BRCA2;MSH6;CSE1L;SELENOW;SKP2;RRP1B;CDCA2;NCAPG2;NUP205;NUF2;SLC38A1;FAM83D;ECT2;ANLN;HELLS;MIS18A;TPX2;GINS2</t>
  </si>
  <si>
    <t>BIOCARTA_ATRBRCA_PATHWAY</t>
  </si>
  <si>
    <t>1111;2189;672;675;5888;2177</t>
  </si>
  <si>
    <t>CHEK1;FANCG;BRCA1;BRCA2;RAD51;FANCD2</t>
  </si>
  <si>
    <t>http://www.broadinstitute.org/gsea/msigdb/cards/BIOCARTA_ATRBRCA_PATHWAY.html</t>
  </si>
  <si>
    <t>REACTOME_E2F_ENABLED_INHIBITION_OF_PRE_REPLICATION_COMPLEX_FORMATION</t>
  </si>
  <si>
    <t>983;891;993;4998;23594</t>
  </si>
  <si>
    <t>CDK1;CCNB1;CDC25A;ORC1;ORC6</t>
  </si>
  <si>
    <t>http://www.broadinstitute.org/gsea/msigdb/cards/REACTOME_E2F_ENABLED_INHIBITION_OF_PRE_REPLICATION_COMPLEX_FORMATION.html</t>
  </si>
  <si>
    <t>REACTOME_SCFSKP2_MEDIATED_DEGRADATION_OF_P27_P21</t>
  </si>
  <si>
    <t>5717;5709;9134;890;898;1017;1163;6502</t>
  </si>
  <si>
    <t>PSMD11;PSMD3;CCNE2;CCNA2;CCNE1;CDK2;CKS1B;SKP2</t>
  </si>
  <si>
    <t>http://www.broadinstitute.org/gsea/msigdb/cards/REACTOME_SCFSKP2_MEDIATED_DEGRADATION_OF_P27_P21.html</t>
  </si>
  <si>
    <t>6790;699;701;8318;11130;7083;5111;1058;3838;9088</t>
  </si>
  <si>
    <t>AURKA;BUB1;BUB1B;CDC45;ZWINT;TK1;PCNA;CENPA;KPNA2;PKMYT1</t>
  </si>
  <si>
    <t>BIOCARTA_PTC1_PATHWAY</t>
  </si>
  <si>
    <t>983;891;993;995;6469</t>
  </si>
  <si>
    <t>CDK1;CCNB1;CDC25A;CDC25C;SHH</t>
  </si>
  <si>
    <t>http://www.broadinstitute.org/gsea/msigdb/cards/BIOCARTA_PTC1_PATHWAY.html</t>
  </si>
  <si>
    <t>CHUANG_OXIDATIVE_STRESS_RESPONSE_DN</t>
  </si>
  <si>
    <t>11065;1111;7374;890;5347</t>
  </si>
  <si>
    <t>UBE2C;CHEK1;UNG;CCNA2;PLK1</t>
  </si>
  <si>
    <t>http://www.broadinstitute.org/gsea/msigdb/cards/CHUANG_OXIDATIVE_STRESS_RESPONSE_DN.html</t>
  </si>
  <si>
    <t>79733;1871;23306;10403;701;9133;10112;24137;7083;3148;995;7272;1063;4751;3832;5347;1062;9493;6996;9928;9787;84722;163786;55345;259266;78995;84904;147841;81930;55789;26586;10635;83461;11004;64151;54478;79098;3833;51203;83540;81610;56992;9633;10460</t>
  </si>
  <si>
    <t>E2F8;E2F3;NEMP1;NDC80;BUB1B;CCNB2;KIF20A;KIF4A;TK1;HMGB2;CDC25C;TTK;CENPF;NEK2;KIF11;PLK1;CENPE;AC027237.1;TDG;KIF14;DLGAP5;PSRC1;SASS6;ZGRF1;ASPM;C17orf53;ARHGEF39;SPC24;KIF18A;DEPDC1B;CKAP2;RAD51AP1;CDCA3;KIF2C;NCAPG;PIMREG;C1orf116;KIFC1;NUSAP1;NUF2;FAM83D;KIF15;TESMIN;TACC3</t>
  </si>
  <si>
    <t>CAFFAREL_RESPONSE_TO_THC_24HR_5_DN</t>
  </si>
  <si>
    <t>11065;983;6241;5902;2305;9768;91687;51203</t>
  </si>
  <si>
    <t>UBE2C;CDK1;RRM2;RANBP1;FOXM1;PCLAF;CENPL;NUSAP1</t>
  </si>
  <si>
    <t>http://www.broadinstitute.org/gsea/msigdb/cards/CAFFAREL_RESPONSE_TO_THC_24HR_5_DN.html</t>
  </si>
  <si>
    <t>SENESE_HDAC3_TARGETS_DN</t>
  </si>
  <si>
    <t>2189;332;6839;7083;4605;7374;6929;993;7272;1062;84823;4175;3837;9928;157570;84722;29028;147841;580;54478;55723</t>
  </si>
  <si>
    <t>FANCG;BIRC5;SUV39H1;TK1;MYBL2;UNG;TCF3;CDC25A;TTK;CENPE;LMNB2;MCM6;KPNB1;KIF14;ESCO2;PSRC1;ATAD2;SPC24;BARD1;PIMREG;ASF1B</t>
  </si>
  <si>
    <t>http://www.broadinstitute.org/gsea/msigdb/cards/SENESE_HDAC3_TARGETS_DN.html</t>
  </si>
  <si>
    <t>2189;2175;701;9401;6929;7913;672;4436;8833;675;2956;641;6491;57082;150465;2177</t>
  </si>
  <si>
    <t>FANCG;FANCA;BUB1B;RECQL4;TCF3;DEK;BRCA1;MSH2;GMPS;BRCA2;MSH6;BLM;STIL;KNL1;TTL;FANCD2</t>
  </si>
  <si>
    <t>ACEVEDO_FGFR1_TARGETS_IN_PROSTATE_CANCER_MODEL_UP</t>
  </si>
  <si>
    <t>332;10592;890;4172;4173;1058;991;4175;55165;55143;113130;55872;79098;1894;3070</t>
  </si>
  <si>
    <t>BIRC5;SMC2;CCNA2;MCM3;MCM4;CENPA;CDC20;MCM6;CEP55;CDCA8;CDCA5;PBK;C1orf116;ECT2;HELLS</t>
  </si>
  <si>
    <t>http://www.broadinstitute.org/gsea/msigdb/cards/ACEVEDO_FGFR1_TARGETS_IN_PROSTATE_CANCER_MODEL_UP.html</t>
  </si>
  <si>
    <t>KOKKINAKIS_METHIONINE_DEPRIVATION_48HR_DN</t>
  </si>
  <si>
    <t>332;7083;7298;1841;6240;1786;9212;25788</t>
  </si>
  <si>
    <t>BIRC5;TK1;TYMS;DTYMK;RRM1;DNMT1;AURKB;RAD54B</t>
  </si>
  <si>
    <t>http://www.broadinstitute.org/gsea/msigdb/cards/KOKKINAKIS_METHIONINE_DEPRIVATION_48HR_DN.html</t>
  </si>
  <si>
    <t>BIOCARTA_P27_PATHWAY</t>
  </si>
  <si>
    <t>898;1017;1163;1869;6502</t>
  </si>
  <si>
    <t>CCNE1;CDK2;CKS1B;E2F1;SKP2</t>
  </si>
  <si>
    <t>http://www.broadinstitute.org/gsea/msigdb/cards/BIOCARTA_P27_PATHWAY.html</t>
  </si>
  <si>
    <t>5709;10535;10112;9232;203068;3015;5111;3148;3838;1163;10376;3837;1994;2146;83461;64105;10460</t>
  </si>
  <si>
    <t>PSMD3;RNASEH2A;KIF20A;PTTG1;TUBB;H2AFZ;PCNA;HMGB2;KPNA2;CKS1B;TUBA1B;KPNB1;ELAVL1;EZH2;CDCA3;CENPK;TACC3</t>
  </si>
  <si>
    <t>http://www.broadinstitute.org/gsea/msigdb/cards/WANG_TUMOR_INVASIVENESS_UP.html</t>
  </si>
  <si>
    <t>KATSANOU_ELAVL1_TARGETS_DN</t>
  </si>
  <si>
    <t>11065;2175;4605;10024;55635;146909;78995;9088;3619;8914;6941</t>
  </si>
  <si>
    <t>UBE2C;FANCA;MYBL2;TROAP;DEPDC1;KIF18B;C17orf53;PKMYT1;INCENP;TIMELESS;TCF19</t>
  </si>
  <si>
    <t>http://www.broadinstitute.org/gsea/msigdb/cards/KATSANOU_ELAVL1_TARGETS_DN.html</t>
  </si>
  <si>
    <t>SANSOM_APC_MYC_TARGETS</t>
  </si>
  <si>
    <t>284403;4176;1058;84823;5426;2305;23649;84722;90381;89958;51514;27339;90417</t>
  </si>
  <si>
    <t>WDR62;MCM7;CENPA;LMNB2;POLE;FOXM1;POLA2;PSRC1;TICRR;SAPCD2;DTL;PRPF19;KNSTRN</t>
  </si>
  <si>
    <t>http://www.broadinstitute.org/gsea/msigdb/cards/SANSOM_APC_MYC_TARGETS.html</t>
  </si>
  <si>
    <t>332;9232;4001;7112;4085;6996;6491;11321</t>
  </si>
  <si>
    <t>BIRC5;PTTG1;LMNB1;TMPO;MAD2L1;TDG;STIL;GPN1</t>
  </si>
  <si>
    <t>BIOCARTA_G1_PATHWAY</t>
  </si>
  <si>
    <t>983;898;1017;993;1869;6502</t>
  </si>
  <si>
    <t>CDK1;CCNE1;CDK2;CDC25A;E2F1;SKP2</t>
  </si>
  <si>
    <t>http://www.broadinstitute.org/gsea/msigdb/cards/BIOCARTA_G1_PATHWAY.html</t>
  </si>
  <si>
    <t>NUNODA_RESPONSE_TO_DASATINIB_IMATINIB_UP</t>
  </si>
  <si>
    <t>1871;890;898;993;995;5888</t>
  </si>
  <si>
    <t>E2F3;CCNA2;CCNE1;CDC25A;CDC25C;RAD51</t>
  </si>
  <si>
    <t>http://www.broadinstitute.org/gsea/msigdb/cards/NUNODA_RESPONSE_TO_DASATINIB_IMATINIB_UP.html</t>
  </si>
  <si>
    <t>10212;7398;9134;898;1017;9775;2237;899;27338;990;10926</t>
  </si>
  <si>
    <t>DDX39A;USP1;CCNE2;CCNE1;CDK2;EIF4A3;FEN1;CCNF;UBE2S;CDC6;DBF4</t>
  </si>
  <si>
    <t>LI_WILMS_TUMOR_VS_FETAL_KIDNEY_2_UP</t>
  </si>
  <si>
    <t>332;983;3015;5557;3068;2146</t>
  </si>
  <si>
    <t>BIRC5;CDK1;H2AFZ;PRIM1;HDGF;EZH2</t>
  </si>
  <si>
    <t>http://www.broadinstitute.org/gsea/msigdb/cards/LI_WILMS_TUMOR_VS_FETAL_KIDNEY_2_UP.html</t>
  </si>
  <si>
    <t>8520;9055;9232;7298;6241;2146;580;51203;10051</t>
  </si>
  <si>
    <t>HAT1;PRC1;PTTG1;TYMS;RRM2;EZH2;BARD1;NUSAP1;SMC4</t>
  </si>
  <si>
    <t>REACTOME_METABOLISM_OF_NUCLEOTIDES</t>
  </si>
  <si>
    <t>7083;7298;1503;1841;6240;790;6241;8833</t>
  </si>
  <si>
    <t>TK1;TYMS;CTPS1;DTYMK;RRM1;CAD;RRM2;GMPS</t>
  </si>
  <si>
    <t>http://www.broadinstitute.org/gsea/msigdb/cards/REACTOME_METABOLISM_OF_NUCLEOTIDES.html</t>
  </si>
  <si>
    <t>MATZUK_SPERMATOCYTE</t>
  </si>
  <si>
    <t>2175;701;1017;675;9319;151246;29893;9156</t>
  </si>
  <si>
    <t>FANCA;BUB1B;CDK2;BRCA2;TRIP13;SGO2;PSMC3IP;EXO1</t>
  </si>
  <si>
    <t>http://www.broadinstitute.org/gsea/msigdb/cards/MATZUK_SPERMATOCYTE.html</t>
  </si>
  <si>
    <t>ZERBINI_RESPONSE_TO_SULINDAC_DN</t>
  </si>
  <si>
    <t>9133;983;891;995</t>
  </si>
  <si>
    <t>CCNB2;CDK1;CCNB1;CDC25C</t>
  </si>
  <si>
    <t>http://www.broadinstitute.org/gsea/msigdb/cards/ZERBINI_RESPONSE_TO_SULINDAC_DN.html</t>
  </si>
  <si>
    <t>11065;6790;9055;9232;7298;6241;3838;4175;55872</t>
  </si>
  <si>
    <t>UBE2C;AURKA;PRC1;PTTG1;TYMS;RRM2;KPNA2;MCM6;PBK</t>
  </si>
  <si>
    <t>NEMETH_INFLAMMATORY_RESPONSE_LPS_DN</t>
  </si>
  <si>
    <t>1111;6790;2237;899;4288;3070</t>
  </si>
  <si>
    <t>CHEK1;AURKA;FEN1;CCNF;MKI67;HELLS</t>
  </si>
  <si>
    <t>http://www.broadinstitute.org/gsea/msigdb/cards/NEMETH_INFLAMMATORY_RESPONSE_LPS_DN.html</t>
  </si>
  <si>
    <t>GROSS_HYPOXIA_VIA_ELK3_AND_HIF1A_DN</t>
  </si>
  <si>
    <t>11065;891;993;6241;3838;151648;11073;27339;9156</t>
  </si>
  <si>
    <t>UBE2C;CCNB1;CDC25A;RRM2;KPNA2;SGO1;TOPBP1;PRPF19;EXO1</t>
  </si>
  <si>
    <t>http://www.broadinstitute.org/gsea/msigdb/cards/GROSS_HYPOXIA_VIA_ELK3_AND_HIF1A_DN.html</t>
  </si>
  <si>
    <t>9134;4173;2237;7112;675;4670;6502;55388;990;79098;83990</t>
  </si>
  <si>
    <t>CCNE2;MCM4;FEN1;TMPO;BRCA2;HNRNPM;SKP2;MCM10;CDC6;C1orf116;BRIP1</t>
  </si>
  <si>
    <t>11339;7516;8562;10721;11169;898;3838;10024;6502;23076;6491;2146;55872;81539;81610;54443;23594</t>
  </si>
  <si>
    <t>OIP5;XRCC2;DENR;POLQ;WDHD1;CCNE1;KPNA2;TROAP;SKP2;RRP1B;STIL;EZH2;PBK;SLC38A1;FAM83D;ANLN;ORC6</t>
  </si>
  <si>
    <t>KARAKAS_TGFB1_SIGNALING</t>
  </si>
  <si>
    <t>3797;332;699;672;5347</t>
  </si>
  <si>
    <t>KIF3C;BIRC5;BUB1;BRCA1;PLK1</t>
  </si>
  <si>
    <t>http://www.broadinstitute.org/gsea/msigdb/cards/KARAKAS_TGFB1_SIGNALING.html</t>
  </si>
  <si>
    <t>PID_MYC_ACTIV_PATHWAY</t>
  </si>
  <si>
    <t>1871;332;86;7083;891;4691;790;993</t>
  </si>
  <si>
    <t>E2F3;BIRC5;ACTL6A;TK1;CCNB1;NCL;CAD;CDC25A</t>
  </si>
  <si>
    <t>http://www.broadinstitute.org/gsea/msigdb/cards/PID_MYC_ACTIV_PATHWAY.html</t>
  </si>
  <si>
    <t>MCBRYAN_PUBERTAL_BREAST_6_7WK_DN</t>
  </si>
  <si>
    <t>11065;9232;983;891;3148;4288;991;83461</t>
  </si>
  <si>
    <t>UBE2C;PTTG1;CDK1;CCNB1;HMGB2;MKI67;CDC20;CDCA3</t>
  </si>
  <si>
    <t>http://www.broadinstitute.org/gsea/msigdb/cards/MCBRYAN_PUBERTAL_BREAST_6_7WK_DN.html</t>
  </si>
  <si>
    <t>ROESSLER_LIVER_CANCER_METASTASIS_UP</t>
  </si>
  <si>
    <t>23306;1111;3161;1841;2237;5985;23310;1062;23165</t>
  </si>
  <si>
    <t>NEMP1;CHEK1;HMMR;DTYMK;FEN1;RFC5;NCAPD3;CENPE;NUP205</t>
  </si>
  <si>
    <t>http://www.broadinstitute.org/gsea/msigdb/cards/ROESSLER_LIVER_CANCER_METASTASIS_UP.html</t>
  </si>
  <si>
    <t>KEGG_PATHWAYS_IN_CANCER</t>
  </si>
  <si>
    <t>1871;332;9134;898;1017;4436;675;2956;1163;1869;5888;6502;1870;6469;3066</t>
  </si>
  <si>
    <t>E2F3;BIRC5;CCNE2;CCNE1;CDK2;MSH2;BRCA2;MSH6;CKS1B;E2F1;RAD51;SKP2;E2F2;SHH;HDAC2</t>
  </si>
  <si>
    <t>http://www.broadinstitute.org/gsea/msigdb/cards/KEGG_PATHWAYS_IN_CANCER.html</t>
  </si>
  <si>
    <t>MAYBURD_RESPONSE_TO_L663536_DN</t>
  </si>
  <si>
    <t>3161;983;10971;4436;1479;9125;55706</t>
  </si>
  <si>
    <t>HMMR;CDK1;YWHAQ;MSH2;CSTF3;CNOT9;NDC1</t>
  </si>
  <si>
    <t>http://www.broadinstitute.org/gsea/msigdb/cards/MAYBURD_RESPONSE_TO_L663536_DN.html</t>
  </si>
  <si>
    <t>1871;1111;11339;9055;9401;10112;7374;6929;1786;3148;10105;9775;3832;84823;1033;195828;10615;81610;11321;29893</t>
  </si>
  <si>
    <t>E2F3;CHEK1;OIP5;PRC1;RECQL4;KIF20A;UNG;TCF3;DNMT1;HMGB2;PPIF;EIF4A3;KIF11;LMNB2;CDKN3;ZNF367;SPAG5;FAM83D;GPN1;PSMC3IP</t>
  </si>
  <si>
    <t>YIH_RESPONSE_TO_ARSENITE_C3</t>
  </si>
  <si>
    <t>983;993;5984;5985;899;1033</t>
  </si>
  <si>
    <t>CDK1;CDC25A;RFC4;RFC5;CCNF;CDKN3</t>
  </si>
  <si>
    <t>http://www.broadinstitute.org/gsea/msigdb/cards/YIH_RESPONSE_TO_ARSENITE_C3.html</t>
  </si>
  <si>
    <t>10212;11065;10535;7398;86;7374;6929;4001;1017;5725;5933;4176;672;8833;3068;4670;6733;10657;6996;2967;3837;9918;23518;9928;23590;7444;23165;8570;10635;11004;990;64151;81539;10051;29980;51512;29893;10926;8914</t>
  </si>
  <si>
    <t>DDX39A;UBE2C;RNASEH2A;USP1;ACTL6A;UNG;TCF3;LMNB1;CDK2;PTBP1;RBL1;MCM7;BRCA1;GMPS;HDGF;HNRNPM;SRPK2;KHDRBS1;TDG;GTF2H3;KPNB1;NCAPD2;R3HDM1;KIF14;PDSS1;VRK2;NUP205;KHSRP;RAD51AP1;KIF2C;CDC6;NCAPG;SLC38A1;SMC4;DONSON;GTSE1;PSMC3IP;DBF4;TIMELESS</t>
  </si>
  <si>
    <t>MEINHOLD_OVARIAN_CANCER_LOW_GRADE_DN</t>
  </si>
  <si>
    <t>9133;10376;4175;9928;22974</t>
  </si>
  <si>
    <t>CCNB2;TUBA1B;MCM6;KIF14;TPX2</t>
  </si>
  <si>
    <t>http://www.broadinstitute.org/gsea/msigdb/cards/MEINHOLD_OVARIAN_CANCER_LOW_GRADE_DN.html</t>
  </si>
  <si>
    <t>ZHOU_CELL_CYCLE_GENES_IN_IR_RESPONSE_2HR</t>
  </si>
  <si>
    <t>4174;1058;1869;79866</t>
  </si>
  <si>
    <t>MCM5;CENPA;E2F1;BORA</t>
  </si>
  <si>
    <t>http://www.broadinstitute.org/gsea/msigdb/cards/ZHOU_CELL_CYCLE_GENES_IN_IR_RESPONSE_2HR.html</t>
  </si>
  <si>
    <t>KEGG_SMALL_CELL_LUNG_CANCER</t>
  </si>
  <si>
    <t>1871;9134;898;1017;1163;1869;6502;1870</t>
  </si>
  <si>
    <t>E2F3;CCNE2;CCNE1;CDK2;CKS1B;E2F1;SKP2;E2F2</t>
  </si>
  <si>
    <t>http://www.broadinstitute.org/gsea/msigdb/cards/KEGG_SMALL_CELL_LUNG_CANCER.html</t>
  </si>
  <si>
    <t>REACTOME_G1_PHASE</t>
  </si>
  <si>
    <t>1871;5933;1163;1869;6502;1870</t>
  </si>
  <si>
    <t>E2F3;RBL1;CKS1B;E2F1;SKP2;E2F2</t>
  </si>
  <si>
    <t>http://www.broadinstitute.org/gsea/msigdb/cards/REACTOME_G1_PHASE.html</t>
  </si>
  <si>
    <t>BOYLAN_MULTIPLE_MYELOMA_C_CLUSTER_UP</t>
  </si>
  <si>
    <t>7298;891;790;2305;6502;29128</t>
  </si>
  <si>
    <t>TYMS;CCNB1;CAD;FOXM1;SKP2;UHRF1</t>
  </si>
  <si>
    <t>http://www.broadinstitute.org/gsea/msigdb/cards/BOYLAN_MULTIPLE_MYELOMA_C_CLUSTER_UP.html</t>
  </si>
  <si>
    <t>8317;11065;7398;11130;86;7298;7153;6240;1017;1786;7913;2237;1434;4085;4175;9319;8570;22974</t>
  </si>
  <si>
    <t>CDC7;UBE2C;USP1;ZWINT;ACTL6A;TYMS;TOP2A;RRM1;CDK2;DNMT1;DEK;FEN1;CSE1L;MAD2L1;MCM6;TRIP13;KHSRP;TPX2</t>
  </si>
  <si>
    <t>11065;9232;9134;983;5111;899;4436;5902;5347;9585</t>
  </si>
  <si>
    <t>UBE2C;PTTG1;CCNE2;CDK1;PCNA;CCNF;MSH2;RANBP1;PLK1;KIF20B</t>
  </si>
  <si>
    <t>RIZ_ERYTHROID_DIFFERENTIATION_CCNE1</t>
  </si>
  <si>
    <t>3148;2237;1058;1869;9212;9156</t>
  </si>
  <si>
    <t>HMGB2;FEN1;CENPA;E2F1;AURKB;EXO1</t>
  </si>
  <si>
    <t>http://www.broadinstitute.org/gsea/msigdb/cards/RIZ_ERYTHROID_DIFFERENTIATION_CCNE1.html</t>
  </si>
  <si>
    <t>8520;5427;157313;253714;54892;93594;9585;51203;56992</t>
  </si>
  <si>
    <t>HAT1;POLE2;CDCA2;MMS22L;NCAPG2;TBC1D31;KIF20B;NUSAP1;KIF15</t>
  </si>
  <si>
    <t>79733;4173;4174;4176;7112;580</t>
  </si>
  <si>
    <t>E2F8;MCM4;MCM5;MCM7;TMPO;BARD1</t>
  </si>
  <si>
    <t>RICKMAN_TUMOR_DIFFERENTIATED_MODERATELY_VS_POORLY_UP</t>
  </si>
  <si>
    <t>1871;995;899;9735;4998;84798;80178;64151;55215</t>
  </si>
  <si>
    <t>E2F3;CDC25C;CCNF;KNTC1;ORC1;C19orf48;TEDC2;NCAPG;FANCI</t>
  </si>
  <si>
    <t>http://www.broadinstitute.org/gsea/msigdb/cards/RICKMAN_TUMOR_DIFFERENTIATED_MODERATELY_VS_POORLY_UP.html</t>
  </si>
  <si>
    <t>CAIRO_PML_TARGETS_BOUND_BY_MYC_UP</t>
  </si>
  <si>
    <t>7083;891;4691;790;993</t>
  </si>
  <si>
    <t>TK1;CCNB1;NCL;CAD;CDC25A</t>
  </si>
  <si>
    <t>http://www.broadinstitute.org/gsea/msigdb/cards/CAIRO_PML_TARGETS_BOUND_BY_MYC_UP.html</t>
  </si>
  <si>
    <t>6929;890;5933;899;1869;151648</t>
  </si>
  <si>
    <t>TCF3;CCNA2;RBL1;CCNF;E2F1;SGO1</t>
  </si>
  <si>
    <t>BIOCARTA_SKP2E2F_PATHWAY</t>
  </si>
  <si>
    <t>898;1017;1869;6502</t>
  </si>
  <si>
    <t>CCNE1;CDK2;E2F1;SKP2</t>
  </si>
  <si>
    <t>http://www.broadinstitute.org/gsea/msigdb/cards/BIOCARTA_SKP2E2F_PATHWAY.html</t>
  </si>
  <si>
    <t>KAN_RESPONSE_TO_ARSENIC_TRIOXIDE</t>
  </si>
  <si>
    <t>10112;7153;4001;6241;4176;9787;54478;57405;26271</t>
  </si>
  <si>
    <t>KIF20A;TOP2A;LMNB1;RRM2;MCM7;DLGAP5;PIMREG;SPC25;FBXO5</t>
  </si>
  <si>
    <t>http://www.broadinstitute.org/gsea/msigdb/cards/KAN_RESPONSE_TO_ARSENIC_TRIOXIDE.html</t>
  </si>
  <si>
    <t>10733;983;203068;891;7283;4751;5347</t>
  </si>
  <si>
    <t>PLK4;CDK1;TUBB;CCNB1;TUBG1;NEK2;PLK1</t>
  </si>
  <si>
    <t>BIOCARTA_SRCRPTP_PATHWAY</t>
  </si>
  <si>
    <t>983;891;993;995</t>
  </si>
  <si>
    <t>CDK1;CCNB1;CDC25A;CDC25C</t>
  </si>
  <si>
    <t>http://www.broadinstitute.org/gsea/msigdb/cards/BIOCARTA_SRCRPTP_PATHWAY.html</t>
  </si>
  <si>
    <t>GRAHAM_CML_QUIESCENT_VS_CML_DIVIDING_DN</t>
  </si>
  <si>
    <t>10403;983;7153;57405</t>
  </si>
  <si>
    <t>NDC80;CDK1;TOP2A;SPC25</t>
  </si>
  <si>
    <t>http://www.broadinstitute.org/gsea/msigdb/cards/GRAHAM_CML_QUIESCENT_VS_CML_DIVIDING_DN.html</t>
  </si>
  <si>
    <t>GOTZMANN_EPITHELIAL_TO_MESENCHYMAL_TRANSITION_UP</t>
  </si>
  <si>
    <t>10733;1111;4172;5933;672;4288;1058</t>
  </si>
  <si>
    <t>PLK4;CHEK1;MCM3;RBL1;BRCA1;MKI67;CENPA</t>
  </si>
  <si>
    <t>http://www.broadinstitute.org/gsea/msigdb/cards/GOTZMANN_EPITHELIAL_TO_MESENCHYMAL_TRANSITION_UP.html</t>
  </si>
  <si>
    <t>WANG_SMARCE1_TARGETS_DN</t>
  </si>
  <si>
    <t>10403;6790;9134;1503;898;993;10105;1434;6415;1479;4085;54821;55872;64151;55215</t>
  </si>
  <si>
    <t>NDC80;AURKA;CCNE2;CTPS1;CCNE1;CDC25A;PPIF;CSE1L;SELENOW;CSTF3;MAD2L1;ERCC6L;PBK;NCAPG;FANCI</t>
  </si>
  <si>
    <t>http://www.broadinstitute.org/gsea/msigdb/cards/WANG_SMARCE1_TARGETS_DN.html</t>
  </si>
  <si>
    <t>KRASNOSELSKAYA_ILF3_TARGETS_DN</t>
  </si>
  <si>
    <t>4001;10024;9700;9824;990;3833</t>
  </si>
  <si>
    <t>LMNB1;TROAP;ESPL1;ARHGAP11A;CDC6;KIFC1</t>
  </si>
  <si>
    <t>http://www.broadinstitute.org/gsea/msigdb/cards/KRASNOSELSKAYA_ILF3_TARGETS_DN.html</t>
  </si>
  <si>
    <t>REACTOME_G2_M_DNA_DAMAGE_CHECKPOINT</t>
  </si>
  <si>
    <t>1111;983;891;995</t>
  </si>
  <si>
    <t>CHEK1;CDK1;CCNB1;CDC25C</t>
  </si>
  <si>
    <t>http://www.broadinstitute.org/gsea/msigdb/cards/REACTOME_G2_M_DNA_DAMAGE_CHECKPOINT.html</t>
  </si>
  <si>
    <t>WU_APOPTOSIS_BY_CDKN1A_NOT_VIA_TP53</t>
  </si>
  <si>
    <t>4605;1063;10615;990</t>
  </si>
  <si>
    <t>MYBL2;CENPF;SPAG5;CDC6</t>
  </si>
  <si>
    <t>http://www.broadinstitute.org/gsea/msigdb/cards/WU_APOPTOSIS_BY_CDKN1A_NOT_VIA_TP53.html</t>
  </si>
  <si>
    <t>HUANG_GATA2_TARGETS_DN</t>
  </si>
  <si>
    <t>6790;10797;1503;6502;1870;23076;81624</t>
  </si>
  <si>
    <t>AURKA;MTHFD2;CTPS1;SKP2;E2F2;RRP1B;DIAPH3</t>
  </si>
  <si>
    <t>http://www.broadinstitute.org/gsea/msigdb/cards/HUANG_GATA2_TARGETS_DN.html</t>
  </si>
  <si>
    <t>5717;5709;2237;5902;6878;6749;2967;3837;23165;79902;11198</t>
  </si>
  <si>
    <t>PSMD11;PSMD3;FEN1;RANBP1;TAF6;SSRP1;GTF2H3;KPNB1;NUP205;NUP85;SUPT16H</t>
  </si>
  <si>
    <t>REACTOME_APC_CDC20_MEDIATED_DEGRADATION_OF_NEK2A</t>
  </si>
  <si>
    <t>11065;701;4751;991;4085</t>
  </si>
  <si>
    <t>UBE2C;BUB1B;NEK2;CDC20;MAD2L1</t>
  </si>
  <si>
    <t>http://www.broadinstitute.org/gsea/msigdb/cards/REACTOME_APC_CDC20_MEDIATED_DEGRADATION_OF_NEK2A.html</t>
  </si>
  <si>
    <t>BIOCARTA_RB_PATHWAY</t>
  </si>
  <si>
    <t>1111;983;1017;995</t>
  </si>
  <si>
    <t>CHEK1;CDK1;CDK2;CDC25C</t>
  </si>
  <si>
    <t>http://www.broadinstitute.org/gsea/msigdb/cards/BIOCARTA_RB_PATHWAY.html</t>
  </si>
  <si>
    <t>REACTOME_INHIBITION_OF_REPLICATION_INITIATION_OF_DAMAGED_DNA_BY_RB1_E2F1</t>
  </si>
  <si>
    <t>5557;5558;1869;23649</t>
  </si>
  <si>
    <t>PRIM1;PRIM2;E2F1;POLA2</t>
  </si>
  <si>
    <t>http://www.broadinstitute.org/gsea/msigdb/cards/REACTOME_INHIBITION_OF_REPLICATION_INITIATION_OF_DAMAGED_DNA_BY_RB1_E2F1.html</t>
  </si>
  <si>
    <t>SANSOM_APC_TARGETS</t>
  </si>
  <si>
    <t>10403;284403;7298;1786;5426;84722;57650;10635;84057;64858;51514</t>
  </si>
  <si>
    <t>NDC80;WDR62;TYMS;DNMT1;POLE;PSRC1;CIP2A;RAD51AP1;MND1;DCLRE1B;DTL</t>
  </si>
  <si>
    <t>http://www.broadinstitute.org/gsea/msigdb/cards/SANSOM_APC_TARGETS.html</t>
  </si>
  <si>
    <t>DACOSTA_UV_RESPONSE_VIA_ERCC3_COMMON_UP</t>
  </si>
  <si>
    <t>1515;9134;7083;5111;5985;6415;990</t>
  </si>
  <si>
    <t>CTSV;CCNE2;TK1;PCNA;RFC5;SELENOW;CDC6</t>
  </si>
  <si>
    <t>http://www.broadinstitute.org/gsea/msigdb/cards/DACOSTA_UV_RESPONSE_VIA_ERCC3_COMMON_UP.html</t>
  </si>
  <si>
    <t>11065;8520;6241;4670;3838;5347;4085</t>
  </si>
  <si>
    <t>UBE2C;HAT1;RRM2;HNRNPM;KPNA2;PLK1;MAD2L1</t>
  </si>
  <si>
    <t>http://www.broadinstitute.org/gsea/msigdb/cards/MALONEY_RESPONSE_TO_17AAG_DN.html</t>
  </si>
  <si>
    <t>DITTMER_PTHLH_TARGETS_UP</t>
  </si>
  <si>
    <t>11065;7398;7298;983;3015;5984;5985;83461</t>
  </si>
  <si>
    <t>UBE2C;USP1;TYMS;CDK1;H2AFZ;RFC4;RFC5;CDCA3</t>
  </si>
  <si>
    <t>http://www.broadinstitute.org/gsea/msigdb/cards/DITTMER_PTHLH_TARGETS_UP.html</t>
  </si>
  <si>
    <t>6790;10112;1058;55635;84722;25788</t>
  </si>
  <si>
    <t>AURKA;KIF20A;CENPA;DEPDC1;PSRC1;RAD54B</t>
  </si>
  <si>
    <t>1111;7083;5725;6241;1058;4171;5347;4085;23649;9125;4796;3833</t>
  </si>
  <si>
    <t>CHEK1;TK1;PTBP1;RRM2;CENPA;MCM2;PLK1;MAD2L1;POLA2;CNOT9;TONSL;KIFC1</t>
  </si>
  <si>
    <t>REACTOME_CDT1_ASSOCIATION_WITH_THE_CDC6_ORC_ORIGIN_COMPLEX</t>
  </si>
  <si>
    <t>5717;5709;4998;990;81620;23594</t>
  </si>
  <si>
    <t>PSMD11;PSMD3;ORC1;CDC6;CDT1;ORC6</t>
  </si>
  <si>
    <t>http://www.broadinstitute.org/gsea/msigdb/cards/REACTOME_CDT1_ASSOCIATION_WITH_THE_CDC6_ORC_ORIGIN_COMPLEX.html</t>
  </si>
  <si>
    <t>79733;8317;332;7083;203068;5111;10797;1503;890;4172;1786;4174;2237;1058;1763;6502;9700;9319;84722;29028;4796;83461;9088;54478;81620;80119;63967;81624;55723</t>
  </si>
  <si>
    <t>E2F8;CDC7;BIRC5;TK1;TUBB;PCNA;MTHFD2;CTPS1;CCNA2;MCM3;DNMT1;MCM5;FEN1;CENPA;DNA2;SKP2;ESPL1;TRIP13;PSRC1;ATAD2;TONSL;CDCA3;PKMYT1;PIMREG;CDT1;PIF1;CLSPN;DIAPH3;ASF1B</t>
  </si>
  <si>
    <t>ACOSTA_PROLIFERATION_INDEPENDENT_MYC_TARGETS_UP</t>
  </si>
  <si>
    <t>1503;898;9775;1434;6502;23076;27339</t>
  </si>
  <si>
    <t>CTPS1;CCNE1;EIF4A3;CSE1L;SKP2;RRP1B;PRPF19</t>
  </si>
  <si>
    <t>http://www.broadinstitute.org/gsea/msigdb/cards/ACOSTA_PROLIFERATION_INDEPENDENT_MYC_TARGETS_UP.html</t>
  </si>
  <si>
    <t>SHETH_LIVER_CANCER_VS_TXNIP_LOSS_PAM1</t>
  </si>
  <si>
    <t>1871;7153;1503;6241;4751;10376;991;27338;55165;128239;113130</t>
  </si>
  <si>
    <t>E2F3;TOP2A;CTPS1;RRM2;NEK2;TUBA1B;CDC20;UBE2S;CEP55;IQGAP3;CDCA5</t>
  </si>
  <si>
    <t>http://www.broadinstitute.org/gsea/msigdb/cards/SHETH_LIVER_CANCER_VS_TXNIP_LOSS_PAM1.html</t>
  </si>
  <si>
    <t>BIOCARTA_P53_PATHWAY</t>
  </si>
  <si>
    <t>5111;898;1017;1869</t>
  </si>
  <si>
    <t>PCNA;CCNE1;CDK2;E2F1</t>
  </si>
  <si>
    <t>http://www.broadinstitute.org/gsea/msigdb/cards/BIOCARTA_P53_PATHWAY.html</t>
  </si>
  <si>
    <t>REACTOME_MEIOSIS</t>
  </si>
  <si>
    <t>3015;4001;1017;672;675;641;5888;84057</t>
  </si>
  <si>
    <t>H2AFZ;LMNB1;CDK2;BRCA1;BRCA2;BLM;RAD51;MND1</t>
  </si>
  <si>
    <t>http://www.broadinstitute.org/gsea/msigdb/cards/REACTOME_MEIOSIS.html</t>
  </si>
  <si>
    <t>10592;203068;5111;4172;4174;4176;1163;10376;990</t>
  </si>
  <si>
    <t>SMC2;TUBB;PCNA;MCM3;MCM5;MCM7;CKS1B;TUBA1B;CDC6</t>
  </si>
  <si>
    <t>LEI_MYB_TARGETS</t>
  </si>
  <si>
    <t>11065;6790;9232;203068;5111;7283;4176;2237;4171;9768;2146;9212;22974</t>
  </si>
  <si>
    <t>UBE2C;AURKA;PTTG1;TUBB;PCNA;TUBG1;MCM7;FEN1;MCM2;PCLAF;EZH2;AURKB;TPX2</t>
  </si>
  <si>
    <t>http://www.broadinstitute.org/gsea/msigdb/cards/LEI_MYB_TARGETS.html</t>
  </si>
  <si>
    <t>993;995;672;641;2177</t>
  </si>
  <si>
    <t>CDC25A;CDC25C;BRCA1;BLM;FANCD2</t>
  </si>
  <si>
    <t>CAFFAREL_RESPONSE_TO_THC_24HR_5_UP</t>
  </si>
  <si>
    <t>203068;5111;890;8570;29128</t>
  </si>
  <si>
    <t>TUBB;PCNA;CCNA2;KHSRP;UHRF1</t>
  </si>
  <si>
    <t>http://www.broadinstitute.org/gsea/msigdb/cards/CAFFAREL_RESPONSE_TO_THC_24HR_5_UP.html</t>
  </si>
  <si>
    <t>REACTOME_MEIOTIC_RECOMBINATION</t>
  </si>
  <si>
    <t>3015;1017;672;675;641;5888;84057</t>
  </si>
  <si>
    <t>H2AFZ;CDK2;BRCA1;BRCA2;BLM;RAD51;MND1</t>
  </si>
  <si>
    <t>http://www.broadinstitute.org/gsea/msigdb/cards/REACTOME_MEIOTIC_RECOMBINATION.html</t>
  </si>
  <si>
    <t>DEURIG_T_CELL_PROLYMPHOCYTIC_LEUKEMIA_UP</t>
  </si>
  <si>
    <t>284403;9133;891;790;4173;4176;4288;5558;4171;9768;9319;54892;1894;25788</t>
  </si>
  <si>
    <t>WDR62;CCNB2;CCNB1;CAD;MCM4;MCM7;MKI67;PRIM2;MCM2;PCLAF;TRIP13;NCAPG2;ECT2;RAD54B</t>
  </si>
  <si>
    <t>http://www.broadinstitute.org/gsea/msigdb/cards/DEURIG_T_CELL_PROLYMPHOCYTIC_LEUKEMIA_UP.html</t>
  </si>
  <si>
    <t>YAO_TEMPORAL_RESPONSE_TO_PROGESTERONE_CLUSTER_15</t>
  </si>
  <si>
    <t>332;983;4288;9768;9212</t>
  </si>
  <si>
    <t>BIRC5;CDK1;MKI67;PCLAF;AURKB</t>
  </si>
  <si>
    <t>http://www.broadinstitute.org/gsea/msigdb/cards/YAO_TEMPORAL_RESPONSE_TO_PROGESTERONE_CLUSTER_15.html</t>
  </si>
  <si>
    <t>10733;983;203068;7283;4751;5347</t>
  </si>
  <si>
    <t>PLK4;CDK1;TUBB;TUBG1;NEK2;PLK1</t>
  </si>
  <si>
    <t>REACTOME_HOMOLOGOUS_RECOMBINATION_REPAIR_OF_REPLICATION_INDEPENDENT_DOUBLE_STRAND_BREAKS</t>
  </si>
  <si>
    <t>672;675;5888;83990</t>
  </si>
  <si>
    <t>BRCA1;BRCA2;RAD51;BRIP1</t>
  </si>
  <si>
    <t>http://www.broadinstitute.org/gsea/msigdb/cards/REACTOME_HOMOLOGOUS_RECOMBINATION_REPAIR_OF_REPLICATION_INDEPENDENT_DOUBLE_STRAND_BREAKS.html</t>
  </si>
  <si>
    <t>DORMOY_ELAVL1_TARGETS</t>
  </si>
  <si>
    <t>8317;890;1017;1033</t>
  </si>
  <si>
    <t>CDC7;CCNA2;CDK2;CDKN3</t>
  </si>
  <si>
    <t>http://www.broadinstitute.org/gsea/msigdb/cards/DORMOY_ELAVL1_TARGETS.html</t>
  </si>
  <si>
    <t>PROVENZANI_METASTASIS_UP</t>
  </si>
  <si>
    <t>11130;983;203068;6929;4172;5557;2146;79866;23234;55839</t>
  </si>
  <si>
    <t>ZWINT;CDK1;TUBB;TCF3;MCM3;PRIM1;EZH2;BORA;DNAJC9;CENPN</t>
  </si>
  <si>
    <t>http://www.broadinstitute.org/gsea/msigdb/cards/PROVENZANI_METASTASIS_UP.html</t>
  </si>
  <si>
    <t>1111;2189;9133;891;1017</t>
  </si>
  <si>
    <t>CHEK1;FANCG;CCNB2;CCNB1;CDK2</t>
  </si>
  <si>
    <t>PODAR_RESPONSE_TO_ADAPHOSTIN_DN</t>
  </si>
  <si>
    <t>7374;898;899;23076</t>
  </si>
  <si>
    <t>UNG;CCNE1;CCNF;RRP1B</t>
  </si>
  <si>
    <t>http://www.broadinstitute.org/gsea/msigdb/cards/PODAR_RESPONSE_TO_ADAPHOSTIN_DN.html</t>
  </si>
  <si>
    <t>PIONTEK_PKD1_TARGETS_DN</t>
  </si>
  <si>
    <t>203068;890;6240;29128</t>
  </si>
  <si>
    <t>TUBB;CCNA2;RRM1;UHRF1</t>
  </si>
  <si>
    <t>http://www.broadinstitute.org/gsea/msigdb/cards/PIONTEK_PKD1_TARGETS_DN.html</t>
  </si>
  <si>
    <t>10212;23306;2175;10376;1869;1033;84790;51203;10051;8914</t>
  </si>
  <si>
    <t>DDX39A;NEMP1;FANCA;TUBA1B;E2F1;CDKN3;TUBA1C;NUSAP1;SMC4;TIMELESS</t>
  </si>
  <si>
    <t>2237;5902;6878;6749;2967;23165;79902;11198</t>
  </si>
  <si>
    <t>FEN1;RANBP1;TAF6;SSRP1;GTF2H3;NUP205;NUP85;SUPT16H</t>
  </si>
  <si>
    <t>7398;7153;4172;7272;4171;675;2956;23076;54892;81539;81610;1894;54443;22974;51659</t>
  </si>
  <si>
    <t>USP1;TOP2A;MCM3;TTK;MCM2;BRCA2;MSH6;RRP1B;NCAPG2;SLC38A1;FAM83D;ECT2;ANLN;TPX2;GINS2</t>
  </si>
  <si>
    <t>PENG_RAPAMYCIN_RESPONSE_DN</t>
  </si>
  <si>
    <t>5717;1503;7283;5725;993;10105;1434;6996;23076;9319;27339</t>
  </si>
  <si>
    <t>PSMD11;CTPS1;TUBG1;PTBP1;CDC25A;PPIF;CSE1L;TDG;RRP1B;TRIP13;PRPF19</t>
  </si>
  <si>
    <t>http://www.broadinstitute.org/gsea/msigdb/cards/PENG_RAPAMYCIN_RESPONSE_DN.html</t>
  </si>
  <si>
    <t>10403;2189;3161;7083;7153;1786;1063;9918;9125;81620</t>
  </si>
  <si>
    <t>NDC80;FANCG;HMMR;TK1;TOP2A;DNMT1;CENPF;NCAPD2;CNOT9;CDT1</t>
  </si>
  <si>
    <t>REACTOME_SYNTHESIS_AND_INTERCONVERSION_OF_NUCLEOTIDE_DI_AND_TRIPHOSPHATES</t>
  </si>
  <si>
    <t>1503;1841;6240;6241</t>
  </si>
  <si>
    <t>CTPS1;DTYMK;RRM1;RRM2</t>
  </si>
  <si>
    <t>http://www.broadinstitute.org/gsea/msigdb/cards/REACTOME_SYNTHESIS_AND_INTERCONVERSION_OF_NUCLEOTIDE_DI_AND_TRIPHOSPHATES.html</t>
  </si>
  <si>
    <t>284403;701;1471;5725;993;4176;1163;5426;23076;9837;23518;1994;343099;151188;55355;150465;2491;83461;64105;54478;79902;84057;3619</t>
  </si>
  <si>
    <t>WDR62;BUB1B;CST3;PTBP1;CDC25A;MCM7;CKS1B;POLE;RRP1B;GINS1;R3HDM1;ELAVL1;CCDC18;ARL6IP6;HJURP;TTL;CENPI;CDCA3;CENPK;PIMREG;NUP85;MND1;INCENP</t>
  </si>
  <si>
    <t>OHASHI_AURKA_TARGETS</t>
  </si>
  <si>
    <t>6790;1058;9787</t>
  </si>
  <si>
    <t>AURKA;CENPA;DLGAP5</t>
  </si>
  <si>
    <t>http://www.broadinstitute.org/gsea/msigdb/cards/OHASHI_AURKA_TARGETS.html</t>
  </si>
  <si>
    <t>SMID_BREAST_CANCER_RELAPSE_IN_BRAIN_UP</t>
  </si>
  <si>
    <t>4174;1063;55388;55839;3833</t>
  </si>
  <si>
    <t>MCM5;CENPF;MCM10;CENPN;KIFC1</t>
  </si>
  <si>
    <t>http://www.broadinstitute.org/gsea/msigdb/cards/SMID_BREAST_CANCER_RELAPSE_IN_BRAIN_UP.html</t>
  </si>
  <si>
    <t>MATZUK_MEIOTIC_AND_DNA_REPAIR</t>
  </si>
  <si>
    <t>2189;2175;1017;9319;151246</t>
  </si>
  <si>
    <t>FANCG;FANCA;CDK2;TRIP13;SGO2</t>
  </si>
  <si>
    <t>http://www.broadinstitute.org/gsea/msigdb/cards/MATZUK_MEIOTIC_AND_DNA_REPAIR.html</t>
  </si>
  <si>
    <t>YEGNASUBRAMANIAN_PROSTATE_CANCER</t>
  </si>
  <si>
    <t>23306;10403;9493;29028;93594;55839;29980;29893</t>
  </si>
  <si>
    <t>NEMP1;NDC80;AC027237.1;ATAD2;TBC1D31;CENPN;DONSON;PSMC3IP</t>
  </si>
  <si>
    <t>http://www.broadinstitute.org/gsea/msigdb/cards/YEGNASUBRAMANIAN_PROSTATE_CANCER.html</t>
  </si>
  <si>
    <t>10105;4288;1058;2305;55165;55388;115004;23234;83461;51512</t>
  </si>
  <si>
    <t>PPIF;MKI67;CENPA;FOXM1;CEP55;MCM10;CGAS;DNAJC9;CDCA3;GTSE1</t>
  </si>
  <si>
    <t>2175;1017;7112;6733;5888;79676;9824;55247;2491;63967;10051;51512;23594</t>
  </si>
  <si>
    <t>FANCA;CDK2;TMPO;SRPK2;RAD51;OGFOD2;ARHGAP11A;NEIL3;CENPI;CLSPN;SMC4;GTSE1;ORC6</t>
  </si>
  <si>
    <t>SESTO_RESPONSE_TO_UV_C7</t>
  </si>
  <si>
    <t>11065;7083;991;9768;9918;1033</t>
  </si>
  <si>
    <t>UBE2C;TK1;CDC20;PCLAF;NCAPD2;CDKN3</t>
  </si>
  <si>
    <t>http://www.broadinstitute.org/gsea/msigdb/cards/SESTO_RESPONSE_TO_UV_C7.html</t>
  </si>
  <si>
    <t>JOHANSSON_BRAIN_CANCER_EARLY_VS_LATE_UP</t>
  </si>
  <si>
    <t>6241;29127;10460</t>
  </si>
  <si>
    <t>RRM2;RACGAP1;TACC3</t>
  </si>
  <si>
    <t>http://www.broadinstitute.org/gsea/msigdb/cards/JOHANSSON_BRAIN_CANCER_EARLY_VS_LATE_UP.html</t>
  </si>
  <si>
    <t>11065;9133;7153;5111;9775</t>
  </si>
  <si>
    <t>UBE2C;CCNB2;TOP2A;PCNA;EIF4A3</t>
  </si>
  <si>
    <t>http://www.broadinstitute.org/gsea/msigdb/cards/MODY_HIPPOCAMPUS_PRENATAL.html</t>
  </si>
  <si>
    <t>4001;899;4436;2305;991</t>
  </si>
  <si>
    <t>LMNB1;CCNF;MSH2;FOXM1;CDC20</t>
  </si>
  <si>
    <t>GLINSKY_CANCER_DEATH_UP</t>
  </si>
  <si>
    <t>699;891;4288</t>
  </si>
  <si>
    <t>BUB1;CCNB1;MKI67</t>
  </si>
  <si>
    <t>http://www.broadinstitute.org/gsea/msigdb/cards/GLINSKY_CANCER_DEATH_UP.html</t>
  </si>
  <si>
    <t>4605;790;1063;9918;580</t>
  </si>
  <si>
    <t>MYBL2;CAD;CENPF;NCAPD2;BARD1</t>
  </si>
  <si>
    <t>http://www.broadinstitute.org/gsea/msigdb/cards/POMEROY_MEDULLOBLASTOMA_PROGNOSIS_DN.html</t>
  </si>
  <si>
    <t>PID_P53_DOWNSTREAM_PATHWAY</t>
  </si>
  <si>
    <t>1871;5111;891;4436;1434;1869;1870;3066</t>
  </si>
  <si>
    <t>E2F3;PCNA;CCNB1;MSH2;CSE1L;E2F1;E2F2;HDAC2</t>
  </si>
  <si>
    <t>http://www.broadinstitute.org/gsea/msigdb/cards/PID_P53_DOWNSTREAM_PATHWAY.html</t>
  </si>
  <si>
    <t>1871;5496;11130;10797;1017;4172;5985;7112;11073</t>
  </si>
  <si>
    <t>E2F3;PPM1G;ZWINT;MTHFD2;CDK2;MCM3;RFC5;TMPO;TOPBP1</t>
  </si>
  <si>
    <t>PID_PRL_SIGNALING_EVENTS_PATHWAY</t>
  </si>
  <si>
    <t>890;898;1017;10376</t>
  </si>
  <si>
    <t>CCNA2;CCNE1;CDK2;TUBA1B</t>
  </si>
  <si>
    <t>http://www.broadinstitute.org/gsea/msigdb/cards/PID_PRL_SIGNALING_EVENTS_PATHWAY.html</t>
  </si>
  <si>
    <t>5902;6878;6749;2967;23165;79902;11198</t>
  </si>
  <si>
    <t>RANBP1;TAF6;SSRP1;GTF2H3;NUP205;NUP85;SUPT16H</t>
  </si>
  <si>
    <t>REACTOME_PHOSPHORYLATION_OF_THE_APC_C</t>
  </si>
  <si>
    <t>11065;983;891;5347</t>
  </si>
  <si>
    <t>UBE2C;CDK1;CCNB1;PLK1</t>
  </si>
  <si>
    <t>http://www.broadinstitute.org/gsea/msigdb/cards/REACTOME_PHOSPHORYLATION_OF_THE_APC_C.html</t>
  </si>
  <si>
    <t>8317;2146;9824;63979;79801;57082;2491;55839;580;55706;144097;3833;80119;54443;10926;65003</t>
  </si>
  <si>
    <t>CDC7;EZH2;ARHGAP11A;FIGNL1;SHCBP1;KNL1;CENPI;CENPN;BARD1;NDC1;SPINDOC;KIFC1;PIF1;ANLN;DBF4;MRPL11</t>
  </si>
  <si>
    <t>SMITH_LIVER_CANCER</t>
  </si>
  <si>
    <t>6790;7153;1063;1033;55355</t>
  </si>
  <si>
    <t>AURKA;TOP2A;CENPF;CDKN3;HJURP</t>
  </si>
  <si>
    <t>http://www.broadinstitute.org/gsea/msigdb/cards/SMITH_LIVER_CANCER.html</t>
  </si>
  <si>
    <t>SA_G2_AND_M_PHASES</t>
  </si>
  <si>
    <t>1111;983;993</t>
  </si>
  <si>
    <t>CHEK1;CDK1;CDC25A</t>
  </si>
  <si>
    <t>http://www.broadinstitute.org/gsea/msigdb/cards/SA_G2_AND_M_PHASES.html</t>
  </si>
  <si>
    <t>NAKAMURA_LUNG_CANCER</t>
  </si>
  <si>
    <t>6790;7153;4175</t>
  </si>
  <si>
    <t>AURKA;TOP2A;MCM6</t>
  </si>
  <si>
    <t>http://www.broadinstitute.org/gsea/msigdb/cards/NAKAMURA_LUNG_CANCER.html</t>
  </si>
  <si>
    <t>1111;699;9134;7913;5557;8833;23518;23590;79682;55656;115004;57650;3066;64105;51203;29893</t>
  </si>
  <si>
    <t>CHEK1;BUB1;CCNE2;DEK;PRIM1;GMPS;R3HDM1;PDSS1;CENPU;INTS8;CGAS;CIP2A;HDAC2;CENPK;NUSAP1;PSMC3IP</t>
  </si>
  <si>
    <t>1111;4172;5725;4174;4288;57647;11073;3833;10051</t>
  </si>
  <si>
    <t>CHEK1;MCM3;PTBP1;MCM5;MKI67;DHX37;TOPBP1;KIFC1;SMC4</t>
  </si>
  <si>
    <t>WELCSH_BRCA1_TARGETS_DN</t>
  </si>
  <si>
    <t>1503;898;790;4171;84823;6749;10036;23076</t>
  </si>
  <si>
    <t>CTPS1;CCNE1;CAD;MCM2;LMNB2;SSRP1;CHAF1A;RRP1B</t>
  </si>
  <si>
    <t>http://www.broadinstitute.org/gsea/msigdb/cards/WELCSH_BRCA1_TARGETS_DN.html</t>
  </si>
  <si>
    <t>KUNINGER_IGF1_VS_PDGFB_TARGETS_DN</t>
  </si>
  <si>
    <t>150468;10615;64946;54443;22974</t>
  </si>
  <si>
    <t>CKAP2L;SPAG5;CENPH;ANLN;TPX2</t>
  </si>
  <si>
    <t>http://www.broadinstitute.org/gsea/msigdb/cards/KUNINGER_IGF1_VS_PDGFB_TARGETS_DN.html</t>
  </si>
  <si>
    <t>REACTOME_INHIBITION_OF_THE_PROTEOLYTIC_ACTIVITY_OF_APC_C_REQUIRED_FOR_THE_ONSET_OF_ANAPHASE_BY_MITOTIC_SPINDLE_CHECKPOINT_COMPONENTS</t>
  </si>
  <si>
    <t>11065;701;991;4085</t>
  </si>
  <si>
    <t>UBE2C;BUB1B;CDC20;MAD2L1</t>
  </si>
  <si>
    <t>http://www.broadinstitute.org/gsea/msigdb/cards/REACTOME_INHIBITION_OF_THE_PROTEOLYTIC_ACTIVITY_OF_APC_C_REQUIRED_FOR_THE_ONSET_OF_ANAPHASE_BY_MITOTIC_SPINDLE_CHECKPOINT_COMPONENTS.html</t>
  </si>
  <si>
    <t>REACTOME_DOUBLE_STRAND_BREAK_REPAIR</t>
  </si>
  <si>
    <t>http://www.broadinstitute.org/gsea/msigdb/cards/REACTOME_DOUBLE_STRAND_BREAK_REPAIR.html</t>
  </si>
  <si>
    <t>7298;7153;1503;9768;151188;3066;92092;64105;10051;27339</t>
  </si>
  <si>
    <t>TYMS;TOP2A;CTPS1;PCLAF;ARL6IP6;HDAC2;ZC3HAV1L;CENPK;SMC4;PRPF19</t>
  </si>
  <si>
    <t>MORI_SMALL_PRE_BII_LYMPHOCYTE_DN</t>
  </si>
  <si>
    <t>11169;5933;6491;151648;55038;10051</t>
  </si>
  <si>
    <t>WDHD1;RBL1;STIL;SGO1;CDCA4;SMC4</t>
  </si>
  <si>
    <t>http://www.broadinstitute.org/gsea/msigdb/cards/MORI_SMALL_PRE_BII_LYMPHOCYTE_DN.html</t>
  </si>
  <si>
    <t>3015;891;4691;4173;4176;675;5347;1869;84823;2305</t>
  </si>
  <si>
    <t>H2AFZ;CCNB1;NCL;MCM4;MCM7;BRCA2;PLK1;E2F1;LMNB2;FOXM1</t>
  </si>
  <si>
    <t>http://www.broadinstitute.org/gsea/msigdb/cards/BENPORATH_MYC_TARGETS_WITH_EBOX.html</t>
  </si>
  <si>
    <t>ZHU_SKIL_TARGETS_DN</t>
  </si>
  <si>
    <t>332;9134;890</t>
  </si>
  <si>
    <t>BIRC5;CCNE2;CCNA2</t>
  </si>
  <si>
    <t>http://www.broadinstitute.org/gsea/msigdb/cards/ZHU_SKIL_TARGETS_DN.html</t>
  </si>
  <si>
    <t>BROWNE_HCMV_INFECTION_24HR_UP</t>
  </si>
  <si>
    <t>1871;5496;5709;1017;6241;4174;4176;5557</t>
  </si>
  <si>
    <t>E2F3;PPM1G;PSMD3;CDK2;RRM2;MCM5;MCM7;PRIM1</t>
  </si>
  <si>
    <t>http://www.broadinstitute.org/gsea/msigdb/cards/BROWNE_HCMV_INFECTION_24HR_UP.html</t>
  </si>
  <si>
    <t>9055;9232;10024;3837;1033;27338;55872;55646</t>
  </si>
  <si>
    <t>PRC1;PTTG1;TROAP;KPNB1;CDKN3;UBE2S;PBK;LYAR</t>
  </si>
  <si>
    <t>PID_FOXO_PATHWAY</t>
  </si>
  <si>
    <t>891;1017;10971;5347;6502</t>
  </si>
  <si>
    <t>CCNB1;CDK2;YWHAQ;PLK1;SKP2</t>
  </si>
  <si>
    <t>http://www.broadinstitute.org/gsea/msigdb/cards/PID_FOXO_PATHWAY.html</t>
  </si>
  <si>
    <t>WONG_PROTEASOME_GENE_MODULE</t>
  </si>
  <si>
    <t>11065;5709;7398;991;29089</t>
  </si>
  <si>
    <t>UBE2C;PSMD3;USP1;CDC20;UBE2T</t>
  </si>
  <si>
    <t>http://www.broadinstitute.org/gsea/msigdb/cards/WONG_PROTEASOME_GENE_MODULE.html</t>
  </si>
  <si>
    <t>REACTOME_APC_C_CDC20_MEDIATED_DEGRADATION_OF_CYCLIN_B</t>
  </si>
  <si>
    <t>11065;983;891;991</t>
  </si>
  <si>
    <t>UBE2C;CDK1;CCNB1;CDC20</t>
  </si>
  <si>
    <t>http://www.broadinstitute.org/gsea/msigdb/cards/REACTOME_APC_C_CDC20_MEDIATED_DEGRADATION_OF_CYCLIN_B.html</t>
  </si>
  <si>
    <t>5717;11065;3797;5709;1515;10112;24137;3832;9493;991;6502;27338;81930;11004;29127;56992</t>
  </si>
  <si>
    <t>PSMD11;UBE2C;KIF3C;PSMD3;CTSV;KIF20A;KIF4A;KIF11;AC027237.1;CDC20;SKP2;UBE2S;KIF18A;KIF2C;RACGAP1;KIF15</t>
  </si>
  <si>
    <t>HEDENFALK_BREAST_CANCER_HEREDITARY_VS_SPORADIC</t>
  </si>
  <si>
    <t>5111;1503;790;4176;2305</t>
  </si>
  <si>
    <t>PCNA;CTPS1;CAD;MCM7;FOXM1</t>
  </si>
  <si>
    <t>http://www.broadinstitute.org/gsea/msigdb/cards/HEDENFALK_BREAST_CANCER_HEREDITARY_VS_SPORADIC.html</t>
  </si>
  <si>
    <t>CHOW_RASSF1_TARGETS_UP</t>
  </si>
  <si>
    <t>2189;6241;5984;9768</t>
  </si>
  <si>
    <t>FANCG;RRM2;RFC4;PCLAF</t>
  </si>
  <si>
    <t>http://www.broadinstitute.org/gsea/msigdb/cards/CHOW_RASSF1_TARGETS_UP.html</t>
  </si>
  <si>
    <t>CHIN_BREAST_CANCER_COPY_NUMBER_UP</t>
  </si>
  <si>
    <t>6790;4605;7153;1434</t>
  </si>
  <si>
    <t>AURKA;MYBL2;TOP2A;CSE1L</t>
  </si>
  <si>
    <t>http://www.broadinstitute.org/gsea/msigdb/cards/CHIN_BREAST_CANCER_COPY_NUMBER_UP.html</t>
  </si>
  <si>
    <t>REACTOME_RECRUITMENT_OF_NUMA_TO_MITOTIC_CENTROSOMES</t>
  </si>
  <si>
    <t>983;891;7283</t>
  </si>
  <si>
    <t>CDK1;CCNB1;TUBG1</t>
  </si>
  <si>
    <t>http://www.broadinstitute.org/gsea/msigdb/cards/REACTOME_RECRUITMENT_OF_NUMA_TO_MITOTIC_CENTROSOMES.html</t>
  </si>
  <si>
    <t>REACTOME_REMOVAL_OF_THE_FLAP_INTERMEDIATE_FROM_THE_C_STRAND</t>
  </si>
  <si>
    <t>5111;2237;1763</t>
  </si>
  <si>
    <t>PCNA;FEN1;DNA2</t>
  </si>
  <si>
    <t>http://www.broadinstitute.org/gsea/msigdb/cards/REACTOME_REMOVAL_OF_THE_FLAP_INTERMEDIATE_FROM_THE_C_STRAND.html</t>
  </si>
  <si>
    <t>MANN_RESPONSE_TO_AMIFOSTINE_DN</t>
  </si>
  <si>
    <t>891;6241;4085</t>
  </si>
  <si>
    <t>CCNB1;RRM2;MAD2L1</t>
  </si>
  <si>
    <t>http://www.broadinstitute.org/gsea/msigdb/cards/MANN_RESPONSE_TO_AMIFOSTINE_DN.html</t>
  </si>
  <si>
    <t>OXFORD_RALA_AND_RALB_TARGETS_UP</t>
  </si>
  <si>
    <t>9134;79075;51659</t>
  </si>
  <si>
    <t>CCNE2;DSCC1;GINS2</t>
  </si>
  <si>
    <t>http://www.broadinstitute.org/gsea/msigdb/cards/OXFORD_RALA_AND_RALB_TARGETS_UP.html</t>
  </si>
  <si>
    <t>10592;5111;3148;7112;10657</t>
  </si>
  <si>
    <t>SMC2;PCNA;HMGB2;TMPO;KHDRBS1</t>
  </si>
  <si>
    <t>10212;7298;983;5111;1503;890;3148;4173;3838;6996;3837;9928;9787;27338;84722;79682;55656;51203;11198;25788</t>
  </si>
  <si>
    <t>DDX39A;TYMS;CDK1;PCNA;CTPS1;CCNA2;HMGB2;MCM4;KPNA2;TDG;KPNB1;KIF14;DLGAP5;UBE2S;PSRC1;CENPU;INTS8;NUSAP1;SUPT16H;RAD54B</t>
  </si>
  <si>
    <t>WELCSH_BRCA1_TARGETS_UP</t>
  </si>
  <si>
    <t>3161;983;203068;7153;6241;7913;7112;3832;11004</t>
  </si>
  <si>
    <t>HMMR;CDK1;TUBB;TOP2A;RRM2;DEK;TMPO;KIF11;KIF2C</t>
  </si>
  <si>
    <t>http://www.broadinstitute.org/gsea/msigdb/cards/WELCSH_BRCA1_TARGETS_UP.html</t>
  </si>
  <si>
    <t>10797;4171;5426;4175;10635</t>
  </si>
  <si>
    <t>MTHFD2;MCM2;POLE;MCM6;RAD51AP1</t>
  </si>
  <si>
    <t>MENSSEN_MYC_TARGETS</t>
  </si>
  <si>
    <t>891;4691;10105;672;4436</t>
  </si>
  <si>
    <t>CCNB1;NCL;PPIF;BRCA1;MSH2</t>
  </si>
  <si>
    <t>http://www.broadinstitute.org/gsea/msigdb/cards/MENSSEN_MYC_TARGETS.html</t>
  </si>
  <si>
    <t>8317;701;7153;3148;4998;9768;29028;23234;55771;56992;25788</t>
  </si>
  <si>
    <t>CDC7;BUB1B;TOP2A;HMGB2;ORC1;PCLAF;ATAD2;DNAJC9;PRR11;KIF15;RAD54B</t>
  </si>
  <si>
    <t>STANELLE_E2F1_TARGETS</t>
  </si>
  <si>
    <t>6790;9134;898;5983</t>
  </si>
  <si>
    <t>AURKA;CCNE2;CCNE1;RFC3</t>
  </si>
  <si>
    <t>http://www.broadinstitute.org/gsea/msigdb/cards/STANELLE_E2F1_TARGETS.html</t>
  </si>
  <si>
    <t>AUNG_GASTRIC_CANCER</t>
  </si>
  <si>
    <t>332;24137;4605;8683;55055</t>
  </si>
  <si>
    <t>BIRC5;KIF4A;MYBL2;SRSF9;ZWILCH</t>
  </si>
  <si>
    <t>http://www.broadinstitute.org/gsea/msigdb/cards/AUNG_GASTRIC_CANCER.html</t>
  </si>
  <si>
    <t>10112;983;4175;83461;51203</t>
  </si>
  <si>
    <t>KIF20A;CDK1;MCM6;CDCA3;NUSAP1</t>
  </si>
  <si>
    <t>http://www.broadinstitute.org/gsea/msigdb/cards/LEE_LIVER_CANCER_MYC_UP.html</t>
  </si>
  <si>
    <t>ENK_UV_RESPONSE_EPIDERMIS_UP</t>
  </si>
  <si>
    <t>5709;86;7298;7283;5557;1434;5426;991;9700;23590;7444</t>
  </si>
  <si>
    <t>PSMD3;ACTL6A;TYMS;TUBG1;PRIM1;CSE1L;POLE;CDC20;ESPL1;PDSS1;VRK2</t>
  </si>
  <si>
    <t>http://www.broadinstitute.org/gsea/msigdb/cards/ENK_UV_RESPONSE_EPIDERMIS_UP.html</t>
  </si>
  <si>
    <t>KEGG_PURINE_METABOLISM</t>
  </si>
  <si>
    <t>6240;6241;5557;5558;8833;5427;5426;23649</t>
  </si>
  <si>
    <t>RRM1;RRM2;PRIM1;PRIM2;GMPS;POLE2;POLE;POLA2</t>
  </si>
  <si>
    <t>http://www.broadinstitute.org/gsea/msigdb/cards/KEGG_PURINE_METABOLISM.html</t>
  </si>
  <si>
    <t>3015;10971;3068;1434;3066;22974</t>
  </si>
  <si>
    <t>H2AFZ;YWHAQ;HDGF;CSE1L;HDAC2;TPX2</t>
  </si>
  <si>
    <t>http://www.broadinstitute.org/gsea/msigdb/cards/SANA_RESPONSE_TO_IFNG_DN.html</t>
  </si>
  <si>
    <t>10403;10797;6929;790;6241;3838;23397;9928;79676;7444;79075;83540;79968;51512</t>
  </si>
  <si>
    <t>NDC80;MTHFD2;TCF3;CAD;RRM2;KPNA2;NCAPH;KIF14;OGFOD2;VRK2;DSCC1;NUF2;WDR76;GTSE1</t>
  </si>
  <si>
    <t>6790;7398;891;3148;3838</t>
  </si>
  <si>
    <t>AURKA;USP1;CCNB1;HMGB2;KPNA2</t>
  </si>
  <si>
    <t>10112;983;4085;51203;10051</t>
  </si>
  <si>
    <t>KIF20A;CDK1;MAD2L1;NUSAP1;SMC4</t>
  </si>
  <si>
    <t>LINSLEY_MIR16_TARGETS</t>
  </si>
  <si>
    <t>1111;898;993;1869;9493;144455;80829;55038;54443</t>
  </si>
  <si>
    <t>CHEK1;CCNE1;CDC25A;E2F1;AC027237.1;E2F7;ZFP91;CDCA4;ANLN</t>
  </si>
  <si>
    <t>http://www.broadinstitute.org/gsea/msigdb/cards/LINSLEY_MIR16_TARGETS.html</t>
  </si>
  <si>
    <t>BIOCARTA_AKAP95_PATHWAY</t>
  </si>
  <si>
    <t>983;891;9918</t>
  </si>
  <si>
    <t>CDK1;CCNB1;NCAPD2</t>
  </si>
  <si>
    <t>http://www.broadinstitute.org/gsea/msigdb/cards/BIOCARTA_AKAP95_PATHWAY.html</t>
  </si>
  <si>
    <t>REACTOME_P53_DEPENDENT_G1_DNA_DAMAGE_RESPONSE</t>
  </si>
  <si>
    <t>5717;5709;9134;898;1017</t>
  </si>
  <si>
    <t>PSMD11;PSMD3;CCNE2;CCNE1;CDK2</t>
  </si>
  <si>
    <t>http://www.broadinstitute.org/gsea/msigdb/cards/REACTOME_P53_DEPENDENT_G1_DNA_DAMAGE_RESPONSE.html</t>
  </si>
  <si>
    <t>BORLAK_LIVER_CANCER_EGF_UP</t>
  </si>
  <si>
    <t>983;891;6241;4288;1894</t>
  </si>
  <si>
    <t>CDK1;CCNB1;RRM2;MKI67;ECT2</t>
  </si>
  <si>
    <t>http://www.broadinstitute.org/gsea/msigdb/cards/BORLAK_LIVER_CANCER_EGF_UP.html</t>
  </si>
  <si>
    <t>5717;11065;3797;5709;1515;10112;24137;983;9775;3838;3832;9493;991;6502;3837;27338;81930;23165;11004;79902;29127;56992</t>
  </si>
  <si>
    <t>PSMD11;UBE2C;KIF3C;PSMD3;CTSV;KIF20A;KIF4A;CDK1;EIF4A3;KPNA2;KIF11;AC027237.1;CDC20;SKP2;KPNB1;UBE2S;KIF18A;NUP205;KIF2C;NUP85;RACGAP1;KIF15</t>
  </si>
  <si>
    <t>KEGG_PROSTATE_CANCER</t>
  </si>
  <si>
    <t>1871;9134;898;1017;1869;1870</t>
  </si>
  <si>
    <t>E2F3;CCNE2;CCNE1;CDK2;E2F1;E2F2</t>
  </si>
  <si>
    <t>http://www.broadinstitute.org/gsea/msigdb/cards/KEGG_PROSTATE_CANCER.html</t>
  </si>
  <si>
    <t>9055;699;4691;790;3832;2305;1479;151246;23165;10615;3619;56992;51514;27339;11198</t>
  </si>
  <si>
    <t>PRC1;BUB1;NCL;CAD;KIF11;FOXM1;CSTF3;SGO2;NUP205;SPAG5;INCENP;KIF15;DTL;PRPF19;SUPT16H</t>
  </si>
  <si>
    <t>1871;898;993;9493;144455;55038</t>
  </si>
  <si>
    <t>E2F3;CCNE1;CDC25A;AC027237.1;E2F7;CDCA4</t>
  </si>
  <si>
    <t>KEGG_PATHOGENIC_ESCHERICHIA_COLI_INFECTION</t>
  </si>
  <si>
    <t>203068;4691;10971;10376;84790</t>
  </si>
  <si>
    <t>TUBB;NCL;YWHAQ;TUBA1B;TUBA1C</t>
  </si>
  <si>
    <t>http://www.broadinstitute.org/gsea/msigdb/cards/KEGG_PATHOGENIC_ESCHERICHIA_COLI_INFECTION.html</t>
  </si>
  <si>
    <t>1111;890;1017;1434;6502</t>
  </si>
  <si>
    <t>CHEK1;CCNA2;CDK2;CSE1L;SKP2</t>
  </si>
  <si>
    <t>983;5933;7272;8683;580;1894</t>
  </si>
  <si>
    <t>CDK1;RBL1;TTK;SRSF9;BARD1;ECT2</t>
  </si>
  <si>
    <t>CUI_GLUCOSE_DEPRIVATION</t>
  </si>
  <si>
    <t>983;6241;55872;81620;54443</t>
  </si>
  <si>
    <t>CDK1;RRM2;PBK;CDT1;ANLN</t>
  </si>
  <si>
    <t>http://www.broadinstitute.org/gsea/msigdb/cards/CUI_GLUCOSE_DEPRIVATION.html</t>
  </si>
  <si>
    <t>KYNG_WERNER_SYNDROM_AND_NORMAL_AGING_UP</t>
  </si>
  <si>
    <t>1111;983;5111;219988;84991;9585</t>
  </si>
  <si>
    <t>CHEK1;CDK1;PCNA;PATL1;RBM17;KIF20B</t>
  </si>
  <si>
    <t>http://www.broadinstitute.org/gsea/msigdb/cards/KYNG_WERNER_SYNDROM_AND_NORMAL_AGING_UP.html</t>
  </si>
  <si>
    <t>INAMURA_LUNG_CANCER_SCC_UP</t>
  </si>
  <si>
    <t>7153;113130;22974</t>
  </si>
  <si>
    <t>TOP2A;CDCA5;TPX2</t>
  </si>
  <si>
    <t>http://www.broadinstitute.org/gsea/msigdb/cards/INAMURA_LUNG_CANCER_SCC_UP.html</t>
  </si>
  <si>
    <t>MINGUEZ_LIVER_CANCER_VASCULAR_INVASION_UP</t>
  </si>
  <si>
    <t>11065;7298;1033</t>
  </si>
  <si>
    <t>UBE2C;TYMS;CDKN3</t>
  </si>
  <si>
    <t>http://www.broadinstitute.org/gsea/msigdb/cards/MINGUEZ_LIVER_CANCER_VASCULAR_INVASION_UP.html</t>
  </si>
  <si>
    <t>11130;6241;4173;991;56992</t>
  </si>
  <si>
    <t>ZWINT;RRM2;MCM4;CDC20;KIF15</t>
  </si>
  <si>
    <t>6790;1841;7112;10036;9768;80179;990</t>
  </si>
  <si>
    <t>AURKA;DTYMK;TMPO;CHAF1A;PCLAF;MYO19;CDC6</t>
  </si>
  <si>
    <t>1871;203068;6929;10376;6502;157313;84798;7444;55771;64105;3070;56241</t>
  </si>
  <si>
    <t>E2F3;TUBB;TCF3;TUBA1B;SKP2;CDCA2;C19orf48;VRK2;PRR11;CENPK;HELLS;SUSD2</t>
  </si>
  <si>
    <t>699;4288;4670;57650</t>
  </si>
  <si>
    <t>BUB1;MKI67;HNRNPM;CIP2A</t>
  </si>
  <si>
    <t>MMS_MOUSE_LYMPH_HIGH_4HRS_UP</t>
  </si>
  <si>
    <t>10733;6241;2237;990</t>
  </si>
  <si>
    <t>PLK4;RRM2;FEN1;CDC6</t>
  </si>
  <si>
    <t>http://www.broadinstitute.org/gsea/msigdb/cards/MMS_MOUSE_LYMPH_HIGH_4HRS_UP.html</t>
  </si>
  <si>
    <t>BENPORATH_NOS_TARGETS</t>
  </si>
  <si>
    <t>8317;701;7153;4998;29028;55771;56992;25788</t>
  </si>
  <si>
    <t>CDC7;BUB1B;TOP2A;ORC1;ATAD2;PRR11;KIF15;RAD54B</t>
  </si>
  <si>
    <t>http://www.broadinstitute.org/gsea/msigdb/cards/BENPORATH_NOS_TARGETS.html</t>
  </si>
  <si>
    <t>SA_G1_AND_S_PHASES</t>
  </si>
  <si>
    <t>1017;1869;1870</t>
  </si>
  <si>
    <t>CDK2;E2F1;E2F2</t>
  </si>
  <si>
    <t>http://www.broadinstitute.org/gsea/msigdb/cards/SA_G1_AND_S_PHASES.html</t>
  </si>
  <si>
    <t>332;7298;890</t>
  </si>
  <si>
    <t>BIRC5;TYMS;CCNA2</t>
  </si>
  <si>
    <t>2175;4691;157570;8438;84057;3619;11198</t>
  </si>
  <si>
    <t>FANCA;NCL;ESCO2;RAD54L;MND1;INCENP;SUPT16H</t>
  </si>
  <si>
    <t>9775;3838;3837;23165;79902</t>
  </si>
  <si>
    <t>EIF4A3;KPNA2;KPNB1;NUP205;NUP85</t>
  </si>
  <si>
    <t>9134;983;891;898;1017</t>
  </si>
  <si>
    <t>CCNE2;CDK1;CCNB1;CCNE1;CDK2</t>
  </si>
  <si>
    <t>332;9232;7083;1786;995;10105;6878;162681;8570;11004;81610;11321</t>
  </si>
  <si>
    <t>BIRC5;PTTG1;TK1;DNMT1;CDC25C;PPIF;TAF6;C18orf54;KHSRP;KIF2C;FAM83D;GPN1</t>
  </si>
  <si>
    <t>http://www.broadinstitute.org/gsea/msigdb/cards/DAIRKEE_TERT_TARGETS_UP.html</t>
  </si>
  <si>
    <t>899;1870;6491;55165;89958;284992;57082;2491;144455;81610;80119;1894</t>
  </si>
  <si>
    <t>CCNF;E2F2;STIL;CEP55;SAPCD2;CCDC150;KNL1;CENPI;E2F7;FAM83D;PIF1;ECT2</t>
  </si>
  <si>
    <t>LOPEZ_MESOTHELIOMA_SURVIVAL_OVERALL_DN</t>
  </si>
  <si>
    <t>4751;84722;54478</t>
  </si>
  <si>
    <t>NEK2;PSRC1;PIMREG</t>
  </si>
  <si>
    <t>http://www.broadinstitute.org/gsea/msigdb/cards/LOPEZ_MESOTHELIOMA_SURVIVAL_OVERALL_DN.html</t>
  </si>
  <si>
    <t>PID_TELOMERASE_PATHWAY</t>
  </si>
  <si>
    <t>4691;641;1869;3066;80119</t>
  </si>
  <si>
    <t>NCL;BLM;E2F1;HDAC2;PIF1</t>
  </si>
  <si>
    <t>http://www.broadinstitute.org/gsea/msigdb/cards/PID_TELOMERASE_PATHWAY.html</t>
  </si>
  <si>
    <t>HIRSCH_CELLULAR_TRANSFORMATION_SIGNATURE_DN</t>
  </si>
  <si>
    <t>8562;11130;24137;1063;64151;29127</t>
  </si>
  <si>
    <t>DENR;ZWINT;KIF4A;CENPF;NCAPG;RACGAP1</t>
  </si>
  <si>
    <t>http://www.broadinstitute.org/gsea/msigdb/cards/HIRSCH_CELLULAR_TRANSFORMATION_SIGNATURE_DN.html</t>
  </si>
  <si>
    <t>6790;699;7153;891;899;1063;5347;2305;991;55165</t>
  </si>
  <si>
    <t>AURKA;BUB1;TOP2A;CCNB1;CCNF;CENPF;PLK1;FOXM1;CDC20;CEP55</t>
  </si>
  <si>
    <t>6878;6749;1479;8683;2967;11198</t>
  </si>
  <si>
    <t>TAF6;SSRP1;CSTF3;SRSF9;GTF2H3;SUPT16H</t>
  </si>
  <si>
    <t>REACTOME_RESOLUTION_OF_AP_SITES_VIA_THE_MULTIPLE_NUCLEOTIDE_PATCH_REPLACEMENT_PATHWAY</t>
  </si>
  <si>
    <t>5111;2237;6996</t>
  </si>
  <si>
    <t>PCNA;FEN1;TDG</t>
  </si>
  <si>
    <t>http://www.broadinstitute.org/gsea/msigdb/cards/REACTOME_RESOLUTION_OF_AP_SITES_VIA_THE_MULTIPLE_NUCLEOTIDE_PATCH_REPLACEMENT_PATHWAY.html</t>
  </si>
  <si>
    <t>KEGG_PANCREATIC_CANCER</t>
  </si>
  <si>
    <t>1871;675;1869;5888;1870</t>
  </si>
  <si>
    <t>E2F3;BRCA2;E2F1;RAD51;E2F2</t>
  </si>
  <si>
    <t>http://www.broadinstitute.org/gsea/msigdb/cards/KEGG_PANCREATIC_CANCER.html</t>
  </si>
  <si>
    <t>ZHONG_RESPONSE_TO_AZACITIDINE_AND_TSA_DN</t>
  </si>
  <si>
    <t>890;3148;3068;3837;56992</t>
  </si>
  <si>
    <t>CCNA2;HMGB2;HDGF;KPNB1;KIF15</t>
  </si>
  <si>
    <t>http://www.broadinstitute.org/gsea/msigdb/cards/ZHONG_RESPONSE_TO_AZACITIDINE_AND_TSA_DN.html</t>
  </si>
  <si>
    <t>SHETH_LIVER_CANCER_VS_TXNIP_LOSS_PAM3</t>
  </si>
  <si>
    <t>11065;891;4288;4175;84722</t>
  </si>
  <si>
    <t>UBE2C;CCNB1;MKI67;MCM6;PSRC1</t>
  </si>
  <si>
    <t>http://www.broadinstitute.org/gsea/msigdb/cards/SHETH_LIVER_CANCER_VS_TXNIP_LOSS_PAM3.html</t>
  </si>
  <si>
    <t>23306;4172;7112;1063;2956;9837;10615;29089;10051</t>
  </si>
  <si>
    <t>NEMP1;MCM3;TMPO;CENPF;MSH6;GINS1;SPAG5;UBE2T;SMC4</t>
  </si>
  <si>
    <t>LI_LUNG_CANCER</t>
  </si>
  <si>
    <t>203068;898;4172;3832</t>
  </si>
  <si>
    <t>TUBB;CCNE1;MCM3;KIF11</t>
  </si>
  <si>
    <t>http://www.broadinstitute.org/gsea/msigdb/cards/LI_LUNG_CANCER.html</t>
  </si>
  <si>
    <t>KAMMINGA_SENESCENCE</t>
  </si>
  <si>
    <t>4288;3837;1994;2146</t>
  </si>
  <si>
    <t>MKI67;KPNB1;ELAVL1;EZH2</t>
  </si>
  <si>
    <t>http://www.broadinstitute.org/gsea/msigdb/cards/KAMMINGA_SENESCENCE.html</t>
  </si>
  <si>
    <t>SCHLOSSER_SERUM_RESPONSE_AUGMENTED_BY_MYC</t>
  </si>
  <si>
    <t>5717;899;3068;27338;9212;27339</t>
  </si>
  <si>
    <t>PSMD11;CCNF;HDGF;UBE2S;AURKB;PRPF19</t>
  </si>
  <si>
    <t>http://www.broadinstitute.org/gsea/msigdb/cards/SCHLOSSER_SERUM_RESPONSE_AUGMENTED_BY_MYC.html</t>
  </si>
  <si>
    <t>5933;1869;3066</t>
  </si>
  <si>
    <t>RBL1;E2F1;HDAC2</t>
  </si>
  <si>
    <t>1503;790;4176;3837</t>
  </si>
  <si>
    <t>CTPS1;CAD;MCM7;KPNB1</t>
  </si>
  <si>
    <t>http://www.broadinstitute.org/gsea/msigdb/cards/WIERENGA_PML_INTERACTOME.html</t>
  </si>
  <si>
    <t>8562;8318;10592;203068;1503;5982;29028;150465;84930;80829;29128;990;79098;55038;64858;11321;54443;51514;23594</t>
  </si>
  <si>
    <t>DENR;CDC45;SMC2;TUBB;CTPS1;RFC2;ATAD2;TTL;MASTL;ZFP91;UHRF1;CDC6;C1orf116;CDCA4;DCLRE1B;GPN1;ANLN;DTL;ORC6</t>
  </si>
  <si>
    <t>REACTOME_BASE_EXCISION_REPAIR</t>
  </si>
  <si>
    <t>http://www.broadinstitute.org/gsea/msigdb/cards/REACTOME_BASE_EXCISION_REPAIR.html</t>
  </si>
  <si>
    <t>898;4288;2146</t>
  </si>
  <si>
    <t>CCNE1;MKI67;EZH2</t>
  </si>
  <si>
    <t>SHETH_LIVER_CANCER_VS_TXNIP_LOSS_PAM2</t>
  </si>
  <si>
    <t>3161;9232;6241;4171;84722;83540;64946</t>
  </si>
  <si>
    <t>HMMR;PTTG1;RRM2;MCM2;PSRC1;NUF2;CENPH</t>
  </si>
  <si>
    <t>http://www.broadinstitute.org/gsea/msigdb/cards/SHETH_LIVER_CANCER_VS_TXNIP_LOSS_PAM2.html</t>
  </si>
  <si>
    <t>TURASHVILI_BREAST_DUCTAL_CARCINOMA_VS_DUCTAL_NORMAL_UP</t>
  </si>
  <si>
    <t>7153;1063;151246;51514</t>
  </si>
  <si>
    <t>TOP2A;CENPF;SGO2;DTL</t>
  </si>
  <si>
    <t>http://www.broadinstitute.org/gsea/msigdb/cards/TURASHVILI_BREAST_DUCTAL_CARCINOMA_VS_DUCTAL_NORMAL_UP.html</t>
  </si>
  <si>
    <t>STREICHER_LSM1_TARGETS_UP</t>
  </si>
  <si>
    <t>8318;5933;993;990</t>
  </si>
  <si>
    <t>CDC45;RBL1;CDC25A;CDC6</t>
  </si>
  <si>
    <t>http://www.broadinstitute.org/gsea/msigdb/cards/STREICHER_LSM1_TARGETS_UP.html</t>
  </si>
  <si>
    <t>699;9232;9768;1033</t>
  </si>
  <si>
    <t>BUB1;PTTG1;PCLAF;CDKN3</t>
  </si>
  <si>
    <t>DELACROIX_RAR_BOUND_ES</t>
  </si>
  <si>
    <t>1471;4605;4751;2956;63979;128239;78995;9125;54478;1894;57405;79019;6941</t>
  </si>
  <si>
    <t>CST3;MYBL2;NEK2;MSH6;FIGNL1;IQGAP3;C17orf53;CNOT9;PIMREG;ECT2;SPC25;CENPM;TCF19</t>
  </si>
  <si>
    <t>http://www.broadinstitute.org/gsea/msigdb/cards/DELACROIX_RAR_BOUND_ES.html</t>
  </si>
  <si>
    <t>8317;7298;6241;4288;1763;57082</t>
  </si>
  <si>
    <t>CDC7;TYMS;RRM2;MKI67;DNA2;KNL1</t>
  </si>
  <si>
    <t>CARD_MIR302A_TARGETS</t>
  </si>
  <si>
    <t>1017;1786;3838;1869;195828</t>
  </si>
  <si>
    <t>CDK2;DNMT1;KPNA2;E2F1;ZNF367</t>
  </si>
  <si>
    <t>http://www.broadinstitute.org/gsea/msigdb/cards/CARD_MIR302A_TARGETS.html</t>
  </si>
  <si>
    <t>BIOCARTA_ATM_PATHWAY</t>
  </si>
  <si>
    <t>1111;672;5888</t>
  </si>
  <si>
    <t>CHEK1;BRCA1;RAD51</t>
  </si>
  <si>
    <t>http://www.broadinstitute.org/gsea/msigdb/cards/BIOCARTA_ATM_PATHWAY.html</t>
  </si>
  <si>
    <t>SESTO_RESPONSE_TO_UV_C4</t>
  </si>
  <si>
    <t>10212;7298;8683</t>
  </si>
  <si>
    <t>DDX39A;TYMS;SRSF9</t>
  </si>
  <si>
    <t>http://www.broadinstitute.org/gsea/msigdb/cards/SESTO_RESPONSE_TO_UV_C4.html</t>
  </si>
  <si>
    <t>9134;1503;898;993;5427;990</t>
  </si>
  <si>
    <t>CCNE2;CTPS1;CCNE1;CDC25A;POLE2;CDC6</t>
  </si>
  <si>
    <t>7516;4751;5347;1163;6733;9918;151648;79682;90381;79801;55839;51514</t>
  </si>
  <si>
    <t>XRCC2;NEK2;PLK1;CKS1B;SRPK2;NCAPD2;SGO1;CENPU;TICRR;SHCBP1;CENPN;DTL</t>
  </si>
  <si>
    <t>86;10797;9775;5902;3838;4085;3066</t>
  </si>
  <si>
    <t>ACTL6A;MTHFD2;EIF4A3;RANBP1;KPNA2;MAD2L1;HDAC2</t>
  </si>
  <si>
    <t>KANNAN_TP53_TARGETS_DN</t>
  </si>
  <si>
    <t>898;672;990</t>
  </si>
  <si>
    <t>CCNE1;BRCA1;CDC6</t>
  </si>
  <si>
    <t>http://www.broadinstitute.org/gsea/msigdb/cards/KANNAN_TP53_TARGETS_DN.html</t>
  </si>
  <si>
    <t>PID_DELTA_NP63_PATHWAY</t>
  </si>
  <si>
    <t>9133;7153;675;3070</t>
  </si>
  <si>
    <t>CCNB2;TOP2A;BRCA2;HELLS</t>
  </si>
  <si>
    <t>http://www.broadinstitute.org/gsea/msigdb/cards/PID_DELTA_NP63_PATHWAY.html</t>
  </si>
  <si>
    <t>7298;4172;790;6502</t>
  </si>
  <si>
    <t>TYMS;MCM3;CAD;SKP2</t>
  </si>
  <si>
    <t>79733;983;790;4175</t>
  </si>
  <si>
    <t>E2F8;CDK1;CAD;MCM6</t>
  </si>
  <si>
    <t>http://www.broadinstitute.org/gsea/msigdb/cards/IRITANI_MAD1_TARGETS_DN.html</t>
  </si>
  <si>
    <t>5725;4670;1479;8683;2967;23165;79902</t>
  </si>
  <si>
    <t>PTBP1;HNRNPM;CSTF3;SRSF9;GTF2H3;NUP205;NUP85</t>
  </si>
  <si>
    <t>1017;5725;5983;2956;10376;6502;6491;89958;55706;29893</t>
  </si>
  <si>
    <t>CDK2;PTBP1;RFC3;MSH6;TUBA1B;SKP2;STIL;SAPCD2;NDC1;PSMC3IP</t>
  </si>
  <si>
    <t>REACTOME_CDK_MEDIATED_PHOSPHORYLATION_AND_REMOVAL_OF_CDC6</t>
  </si>
  <si>
    <t>5717;5709;1017;990</t>
  </si>
  <si>
    <t>PSMD11;PSMD3;CDK2;CDC6</t>
  </si>
  <si>
    <t>http://www.broadinstitute.org/gsea/msigdb/cards/REACTOME_CDK_MEDIATED_PHOSPHORYLATION_AND_REMOVAL_OF_CDC6.html</t>
  </si>
  <si>
    <t>23076;51203;22974</t>
  </si>
  <si>
    <t>RRP1B;NUSAP1;TPX2</t>
  </si>
  <si>
    <t>983;7153;6241;7112;4670;9833;9768;9787;55165;259266;81539;22974</t>
  </si>
  <si>
    <t>CDK1;TOP2A;RRM2;TMPO;HNRNPM;MELK;PCLAF;DLGAP5;CEP55;ASPM;SLC38A1;TPX2</t>
  </si>
  <si>
    <t>LEE_CALORIE_RESTRICTION_NEOCORTEX_UP</t>
  </si>
  <si>
    <t>7298;203068;5111;4436;10657</t>
  </si>
  <si>
    <t>TYMS;TUBB;PCNA;MSH2;KHDRBS1</t>
  </si>
  <si>
    <t>http://www.broadinstitute.org/gsea/msigdb/cards/LEE_CALORIE_RESTRICTION_NEOCORTEX_UP.html</t>
  </si>
  <si>
    <t>8520;5111;1434;9700;26271</t>
  </si>
  <si>
    <t>HAT1;PCNA;CSE1L;ESPL1;FBXO5</t>
  </si>
  <si>
    <t>HOFMANN_CELL_LYMPHOMA_UP</t>
  </si>
  <si>
    <t>4605;1841;1163;6502</t>
  </si>
  <si>
    <t>MYBL2;DTYMK;CKS1B;SKP2</t>
  </si>
  <si>
    <t>http://www.broadinstitute.org/gsea/msigdb/cards/HOFMANN_CELL_LYMPHOMA_UP.html</t>
  </si>
  <si>
    <t>HELLER_HDAC_TARGETS_UP</t>
  </si>
  <si>
    <t>332;24137;7083;7153;899;1063;1062;991;9918;9787</t>
  </si>
  <si>
    <t>BIRC5;KIF4A;TK1;TOP2A;CCNF;CENPF;CENPE;CDC20;NCAPD2;DLGAP5</t>
  </si>
  <si>
    <t>http://www.broadinstitute.org/gsea/msigdb/cards/HELLER_HDAC_TARGETS_UP.html</t>
  </si>
  <si>
    <t>891;991;2146;1033</t>
  </si>
  <si>
    <t>CCNB1;CDC20;EZH2;CDKN3</t>
  </si>
  <si>
    <t>1871;9134;1479;84798;151188;81620;79000;1894;26271;9156</t>
  </si>
  <si>
    <t>E2F3;CCNE2;CSTF3;C19orf48;ARL6IP6;CDT1;AUNIP;ECT2;FBXO5;EXO1</t>
  </si>
  <si>
    <t>YANG_BREAST_CANCER_ESR1_BULK_DN</t>
  </si>
  <si>
    <t>7272;8833;259266</t>
  </si>
  <si>
    <t>TTK;GMPS;ASPM</t>
  </si>
  <si>
    <t>http://www.broadinstitute.org/gsea/msigdb/cards/YANG_BREAST_CANCER_ESR1_BULK_DN.html</t>
  </si>
  <si>
    <t>10112;4001;6240;4288;1058;3832;5347;6502;4175;9918;9319;55355;55872;10615;29127;3619</t>
  </si>
  <si>
    <t>KIF20A;LMNB1;RRM1;MKI67;CENPA;KIF11;PLK1;SKP2;MCM6;NCAPD2;TRIP13;HJURP;PBK;SPAG5;RACGAP1;INCENP</t>
  </si>
  <si>
    <t>REACTOME_P53_INDEPENDENT_G1_S_DNA_DAMAGE_CHECKPOINT</t>
  </si>
  <si>
    <t>5717;1111;5709;993</t>
  </si>
  <si>
    <t>PSMD11;CHEK1;PSMD3;CDC25A</t>
  </si>
  <si>
    <t>http://www.broadinstitute.org/gsea/msigdb/cards/REACTOME_P53_INDEPENDENT_G1_S_DNA_DAMAGE_CHECKPOINT.html</t>
  </si>
  <si>
    <t>REACTOME_SCF_BETA_TRCP_MEDIATED_DEGRADATION_OF_EMI1</t>
  </si>
  <si>
    <t>5717;5709;991;26271</t>
  </si>
  <si>
    <t>PSMD11;PSMD3;CDC20;FBXO5</t>
  </si>
  <si>
    <t>http://www.broadinstitute.org/gsea/msigdb/cards/REACTOME_SCF_BETA_TRCP_MEDIATED_DEGRADATION_OF_EMI1.html</t>
  </si>
  <si>
    <t>DAIRKEE_CANCER_PRONE_RESPONSE_BPA</t>
  </si>
  <si>
    <t>5496;7153;5902;1434</t>
  </si>
  <si>
    <t>PPM1G;TOP2A;RANBP1;CSE1L</t>
  </si>
  <si>
    <t>http://www.broadinstitute.org/gsea/msigdb/cards/DAIRKEE_CANCER_PRONE_RESPONSE_BPA.html</t>
  </si>
  <si>
    <t>CHAUHAN_RESPONSE_TO_METHOXYESTRADIOL_UP</t>
  </si>
  <si>
    <t>9232;891;3068;27338</t>
  </si>
  <si>
    <t>PTTG1;CCNB1;HDGF;UBE2S</t>
  </si>
  <si>
    <t>http://www.broadinstitute.org/gsea/msigdb/cards/CHAUHAN_RESPONSE_TO_METHOXYESTRADIOL_UP.html</t>
  </si>
  <si>
    <t>10733;7112;1870;54821;84798;84904;81620;10051;29893</t>
  </si>
  <si>
    <t>PLK4;TMPO;E2F2;ERCC6L;C19orf48;ARHGEF39;CDT1;SMC4;PSMC3IP</t>
  </si>
  <si>
    <t>REACTOME_PYRIMIDINE_METABOLISM</t>
  </si>
  <si>
    <t>7083;7298;790</t>
  </si>
  <si>
    <t>TK1;TYMS;CAD</t>
  </si>
  <si>
    <t>http://www.broadinstitute.org/gsea/msigdb/cards/REACTOME_PYRIMIDINE_METABOLISM.html</t>
  </si>
  <si>
    <t>YIH_RESPONSE_TO_ARSENITE_C1</t>
  </si>
  <si>
    <t>4605;7153;891</t>
  </si>
  <si>
    <t>MYBL2;TOP2A;CCNB1</t>
  </si>
  <si>
    <t>http://www.broadinstitute.org/gsea/msigdb/cards/YIH_RESPONSE_TO_ARSENITE_C1.html</t>
  </si>
  <si>
    <t>203068;5982;672;1870</t>
  </si>
  <si>
    <t>TUBB;RFC2;BRCA1;E2F2</t>
  </si>
  <si>
    <t>VANOEVELEN_MYOGENESIS_SIN3A_TARGETS</t>
  </si>
  <si>
    <t>1163;79676;10635;132320;64858;55055;55010;51514</t>
  </si>
  <si>
    <t>CKS1B;OGFOD2;RAD51AP1;SCLT1;DCLRE1B;ZWILCH;PARPBP;DTL</t>
  </si>
  <si>
    <t>http://www.broadinstitute.org/gsea/msigdb/cards/VANOEVELEN_MYOGENESIS_SIN3A_TARGETS.html</t>
  </si>
  <si>
    <t>1871;200933;1017;2305;55656;29980;22974;23594</t>
  </si>
  <si>
    <t>E2F3;FBXO45;CDK2;FOXM1;INTS8;DONSON;TPX2;ORC6</t>
  </si>
  <si>
    <t>BUSA_SAM68_TARGETS_DN</t>
  </si>
  <si>
    <t>1017;672</t>
  </si>
  <si>
    <t>CDK2;BRCA1</t>
  </si>
  <si>
    <t>http://www.broadinstitute.org/gsea/msigdb/cards/BUSA_SAM68_TARGETS_DN.html</t>
  </si>
  <si>
    <t>COURTOIS_SENESCENCE_TRIGGERS</t>
  </si>
  <si>
    <t>1871;1869</t>
  </si>
  <si>
    <t>E2F3;E2F1</t>
  </si>
  <si>
    <t>http://www.broadinstitute.org/gsea/msigdb/cards/COURTOIS_SENESCENCE_TRIGGERS.html</t>
  </si>
  <si>
    <t>COLLER_MYC_TARGETS_UP</t>
  </si>
  <si>
    <t>4691;10105;3068</t>
  </si>
  <si>
    <t>NCL;PPIF;HDGF</t>
  </si>
  <si>
    <t>http://www.broadinstitute.org/gsea/msigdb/cards/COLLER_MYC_TARGETS_UP.html</t>
  </si>
  <si>
    <t>JACKSON_DNMT1_TARGETS_DN</t>
  </si>
  <si>
    <t>1786;1058;1163</t>
  </si>
  <si>
    <t>DNMT1;CENPA;CKS1B</t>
  </si>
  <si>
    <t>http://www.broadinstitute.org/gsea/msigdb/cards/JACKSON_DNMT1_TARGETS_DN.html</t>
  </si>
  <si>
    <t>LU_TUMOR_ANGIOGENESIS_UP</t>
  </si>
  <si>
    <t>1871;898;2146</t>
  </si>
  <si>
    <t>E2F3;CCNE1;EZH2</t>
  </si>
  <si>
    <t>http://www.broadinstitute.org/gsea/msigdb/cards/LU_TUMOR_ANGIOGENESIS_UP.html</t>
  </si>
  <si>
    <t>PID_TAP63_PATHWAY</t>
  </si>
  <si>
    <t>10971;5347;6749;6469</t>
  </si>
  <si>
    <t>YWHAQ;PLK1;SSRP1;SHH</t>
  </si>
  <si>
    <t>http://www.broadinstitute.org/gsea/msigdb/cards/PID_TAP63_PATHWAY.html</t>
  </si>
  <si>
    <t>1017;6733;5888;79676;2491;63967;10051;51512;23594</t>
  </si>
  <si>
    <t>CDK2;SRPK2;RAD51;OGFOD2;CENPI;CLSPN;SMC4;GTSE1;ORC6</t>
  </si>
  <si>
    <t>VERHAAK_GLIOBLASTOMA_PRONEURAL</t>
  </si>
  <si>
    <t>8317;1871;993;55388;11073;3066;79915</t>
  </si>
  <si>
    <t>CDC7;E2F3;CDC25A;MCM10;TOPBP1;HDAC2;ATAD5</t>
  </si>
  <si>
    <t>http://www.broadinstitute.org/gsea/msigdb/cards/VERHAAK_GLIOBLASTOMA_PRONEURAL.html</t>
  </si>
  <si>
    <t>5717;5709;5902;3837;23165;79902</t>
  </si>
  <si>
    <t>PSMD11;PSMD3;RANBP1;KPNB1;NUP205;NUP85</t>
  </si>
  <si>
    <t>BIOCARTA_RACCYCD_PATHWAY</t>
  </si>
  <si>
    <t>898;1017;1869</t>
  </si>
  <si>
    <t>CCNE1;CDK2;E2F1</t>
  </si>
  <si>
    <t>http://www.broadinstitute.org/gsea/msigdb/cards/BIOCARTA_RACCYCD_PATHWAY.html</t>
  </si>
  <si>
    <t>4605;5111;672;1869</t>
  </si>
  <si>
    <t>MYBL2;PCNA;BRCA1;E2F1</t>
  </si>
  <si>
    <t>GAZIN_EPIGENETIC_SILENCING_BY_KRAS</t>
  </si>
  <si>
    <t>1786;1869;2146</t>
  </si>
  <si>
    <t>DNMT1;E2F1;EZH2</t>
  </si>
  <si>
    <t>http://www.broadinstitute.org/gsea/msigdb/cards/GAZIN_EPIGENETIC_SILENCING_BY_KRAS.html</t>
  </si>
  <si>
    <t>10535;7398;6929;5933;6733;2967;9918;23590;64151;29893;10926</t>
  </si>
  <si>
    <t>RNASEH2A;USP1;TCF3;RBL1;SRPK2;GTF2H3;NCAPD2;PDSS1;NCAPG;PSMC3IP;DBF4</t>
  </si>
  <si>
    <t>GALE_APL_WITH_FLT3_MUTATED_UP</t>
  </si>
  <si>
    <t>7272;5983;3837;55215</t>
  </si>
  <si>
    <t>TTK;RFC3;KPNB1;FANCI</t>
  </si>
  <si>
    <t>http://www.broadinstitute.org/gsea/msigdb/cards/GALE_APL_WITH_FLT3_MUTATED_UP.html</t>
  </si>
  <si>
    <t>3837;23165;79902</t>
  </si>
  <si>
    <t>KPNB1;NUP205;NUP85</t>
  </si>
  <si>
    <t>DARWICHE_SQUAMOUS_CELL_CARCINOMA_DN</t>
  </si>
  <si>
    <t>8562;79676;147841;10615;83540;29127;55646</t>
  </si>
  <si>
    <t>DENR;OGFOD2;SPC24;SPAG5;NUF2;RACGAP1;LYAR</t>
  </si>
  <si>
    <t>http://www.broadinstitute.org/gsea/msigdb/cards/DARWICHE_SQUAMOUS_CELL_CARCINOMA_DN.html</t>
  </si>
  <si>
    <t>7153;6241;672;899</t>
  </si>
  <si>
    <t>TOP2A;RRM2;BRCA1;CCNF</t>
  </si>
  <si>
    <t>10733;699;9134;5725;10105;4173;7112;5558;6502;157570;92092;11198</t>
  </si>
  <si>
    <t>PLK4;BUB1;CCNE2;PTBP1;PPIF;MCM4;TMPO;PRIM2;SKP2;ESCO2;ZC3HAV1L;SUPT16H</t>
  </si>
  <si>
    <t>11065;672;991;6502;27338;27339</t>
  </si>
  <si>
    <t>UBE2C;BRCA1;CDC20;SKP2;UBE2S;PRPF19</t>
  </si>
  <si>
    <t>5111;1017;5725;4173;4288;10024</t>
  </si>
  <si>
    <t>PCNA;CDK2;PTBP1;MCM4;MKI67;TROAP</t>
  </si>
  <si>
    <t>http://www.broadinstitute.org/gsea/msigdb/cards/JIANG_VHL_TARGETS.html</t>
  </si>
  <si>
    <t>DEBIASI_APOPTOSIS_BY_REOVIRUS_INFECTION_DN</t>
  </si>
  <si>
    <t>2175;6929;898;790;672;4288;2956;23649;8438</t>
  </si>
  <si>
    <t>FANCA;TCF3;CCNE1;CAD;BRCA1;MKI67;MSH6;POLA2;RAD54L</t>
  </si>
  <si>
    <t>http://www.broadinstitute.org/gsea/msigdb/cards/DEBIASI_APOPTOSIS_BY_REOVIRUS_INFECTION_DN.html</t>
  </si>
  <si>
    <t>8317;23306;10403;8520;3015;6929;10971;4436;5558;2956;8683;1870;23518;11073;11321;9156</t>
  </si>
  <si>
    <t>CDC7;NEMP1;NDC80;HAT1;H2AFZ;TCF3;YWHAQ;MSH2;PRIM2;MSH6;SRSF9;E2F2;R3HDM1;TOPBP1;GPN1;EXO1</t>
  </si>
  <si>
    <t>5725;4670;1479;8683;23165;79902</t>
  </si>
  <si>
    <t>PTBP1;HNRNPM;CSTF3;SRSF9;NUP205;NUP85</t>
  </si>
  <si>
    <t>FLOTHO_PEDIATRIC_ALL_THERAPY_RESPONSE_DN</t>
  </si>
  <si>
    <t>4001;9700;55723</t>
  </si>
  <si>
    <t>LMNB1;ESPL1;ASF1B</t>
  </si>
  <si>
    <t>http://www.broadinstitute.org/gsea/msigdb/cards/FLOTHO_PEDIATRIC_ALL_THERAPY_RESPONSE_DN.html</t>
  </si>
  <si>
    <t>3015;5111;9493</t>
  </si>
  <si>
    <t>H2AFZ;PCNA;AC027237.1</t>
  </si>
  <si>
    <t>7298;4605;1503;10105;4521;3068;5347;81539;51512</t>
  </si>
  <si>
    <t>TYMS;MYBL2;CTPS1;PPIF;NUDT1;HDGF;PLK1;SLC38A1;GTSE1</t>
  </si>
  <si>
    <t>REACTOME_RNA_POL_II_PRE_TRANSCRIPTION_EVENTS</t>
  </si>
  <si>
    <t>6878;6749;2967;11198</t>
  </si>
  <si>
    <t>TAF6;SSRP1;GTF2H3;SUPT16H</t>
  </si>
  <si>
    <t>http://www.broadinstitute.org/gsea/msigdb/cards/REACTOME_RNA_POL_II_PRE_TRANSCRIPTION_EVENTS.html</t>
  </si>
  <si>
    <t>6581;7398;7153;10797;993;151246;157570;259266;92092;3070;55646</t>
  </si>
  <si>
    <t>SLC22A3;USP1;TOP2A;MTHFD2;CDC25A;SGO2;ESCO2;ASPM;ZC3HAV1L;HELLS;LYAR</t>
  </si>
  <si>
    <t>DASU_IL6_SIGNALING_SCAR_UP</t>
  </si>
  <si>
    <t>891;27338;22974</t>
  </si>
  <si>
    <t>CCNB1;UBE2S;TPX2</t>
  </si>
  <si>
    <t>http://www.broadinstitute.org/gsea/msigdb/cards/DASU_IL6_SIGNALING_SCAR_UP.html</t>
  </si>
  <si>
    <t>6839;7083;7153;5933;672;9735;5347;2146;1033;151246;157570;151188;80829;9088;8914</t>
  </si>
  <si>
    <t>SUV39H1;TK1;TOP2A;RBL1;BRCA1;KNTC1;PLK1;EZH2;CDKN3;SGO2;ESCO2;ARL6IP6;ZFP91;PKMYT1;TIMELESS</t>
  </si>
  <si>
    <t>11065;203068;5558;1033;10615</t>
  </si>
  <si>
    <t>UBE2C;TUBB;PRIM2;CDKN3;SPAG5</t>
  </si>
  <si>
    <t>SMITH_TERT_TARGETS_UP</t>
  </si>
  <si>
    <t>5717;10797;23518;1033;27338;990</t>
  </si>
  <si>
    <t>PSMD11;MTHFD2;R3HDM1;CDKN3;UBE2S;CDC6</t>
  </si>
  <si>
    <t>http://www.broadinstitute.org/gsea/msigdb/cards/SMITH_TERT_TARGETS_UP.html</t>
  </si>
  <si>
    <t>BROWNE_HCMV_INFECTION_14HR_DN</t>
  </si>
  <si>
    <t>10403;701;3161;9133;7083;1841;1062;9837;9768</t>
  </si>
  <si>
    <t>NDC80;BUB1B;HMMR;CCNB2;TK1;DTYMK;CENPE;GINS1;PCLAF</t>
  </si>
  <si>
    <t>http://www.broadinstitute.org/gsea/msigdb/cards/BROWNE_HCMV_INFECTION_14HR_DN.html</t>
  </si>
  <si>
    <t>ROYLANCE_BREAST_CANCER_16Q_COPY_NUMBER_UP</t>
  </si>
  <si>
    <t>2175;79801;64785;23594</t>
  </si>
  <si>
    <t>FANCA;SHCBP1;GINS3;ORC6</t>
  </si>
  <si>
    <t>http://www.broadinstitute.org/gsea/msigdb/cards/ROYLANCE_BREAST_CANCER_16Q_COPY_NUMBER_UP.html</t>
  </si>
  <si>
    <t>STEIN_ESRRA_TARGETS_RESPONSIVE_TO_ESTROGEN_UP</t>
  </si>
  <si>
    <t>4173;5984;80179</t>
  </si>
  <si>
    <t>MCM4;RFC4;MYO19</t>
  </si>
  <si>
    <t>http://www.broadinstitute.org/gsea/msigdb/cards/STEIN_ESRRA_TARGETS_RESPONSIVE_TO_ESTROGEN_UP.html</t>
  </si>
  <si>
    <t>5111;993;11073;3833</t>
  </si>
  <si>
    <t>PCNA;CDC25A;TOPBP1;KIFC1</t>
  </si>
  <si>
    <t>STEIN_ESRRA_TARGETS</t>
  </si>
  <si>
    <t>6790;11169;10592;10105;4173;2237;2956;6733;23590;79682;93594;80179;65003</t>
  </si>
  <si>
    <t>AURKA;WDHD1;SMC2;PPIF;MCM4;FEN1;MSH6;SRPK2;PDSS1;CENPU;TBC1D31;MYO19;MRPL11</t>
  </si>
  <si>
    <t>http://www.broadinstitute.org/gsea/msigdb/cards/STEIN_ESRRA_TARGETS.html</t>
  </si>
  <si>
    <t>ELVIDGE_HYPOXIA_DN</t>
  </si>
  <si>
    <t>1503;10105;991;55839;79000;55055</t>
  </si>
  <si>
    <t>CTPS1;PPIF;CDC20;CENPN;AUNIP;ZWILCH</t>
  </si>
  <si>
    <t>http://www.broadinstitute.org/gsea/msigdb/cards/ELVIDGE_HYPOXIA_DN.html</t>
  </si>
  <si>
    <t>BYSTRYKH_HEMATOPOIESIS_STEM_CELL_FLI1</t>
  </si>
  <si>
    <t>2189;10926</t>
  </si>
  <si>
    <t>FANCG;DBF4</t>
  </si>
  <si>
    <t>http://www.broadinstitute.org/gsea/msigdb/cards/BYSTRYKH_HEMATOPOIESIS_STEM_CELL_FLI1.html</t>
  </si>
  <si>
    <t>REACTOME_APOPTOSIS</t>
  </si>
  <si>
    <t>5717;5709;4001;3148;1869;3837</t>
  </si>
  <si>
    <t>PSMD11;PSMD3;LMNB1;HMGB2;E2F1;KPNB1</t>
  </si>
  <si>
    <t>http://www.broadinstitute.org/gsea/msigdb/cards/REACTOME_APOPTOSIS.html</t>
  </si>
  <si>
    <t>SHAFFER_IRF4_TARGETS_IN_ACTIVATED_DENDRITIC_CELL</t>
  </si>
  <si>
    <t>6790;3161;7374;81620</t>
  </si>
  <si>
    <t>AURKA;HMMR;UNG;CDT1</t>
  </si>
  <si>
    <t>http://www.broadinstitute.org/gsea/msigdb/cards/SHAFFER_IRF4_TARGETS_IN_ACTIVATED_DENDRITIC_CELL.html</t>
  </si>
  <si>
    <t>6790;983;675;1062;23397;3833</t>
  </si>
  <si>
    <t>AURKA;CDK1;BRCA2;CENPE;NCAPH;KIFC1</t>
  </si>
  <si>
    <t>GRAESSMANN_RESPONSE_TO_MC_AND_DOXORUBICIN_UP</t>
  </si>
  <si>
    <t>9401;993;10105;2956;1869;1062;84722;201299;26586;23234;57405;29089;51512;10460</t>
  </si>
  <si>
    <t>RECQL4;CDC25A;PPIF;MSH6;E2F1;CENPE;PSRC1;RDM1;CKAP2;DNAJC9;SPC25;UBE2T;GTSE1;TACC3</t>
  </si>
  <si>
    <t>http://www.broadinstitute.org/gsea/msigdb/cards/GRAESSMANN_RESPONSE_TO_MC_AND_DOXORUBICIN_UP.html</t>
  </si>
  <si>
    <t>BIOCARTA_DNAFRAGMENT_PATHWAY</t>
  </si>
  <si>
    <t>7153;3148</t>
  </si>
  <si>
    <t>TOP2A;HMGB2</t>
  </si>
  <si>
    <t>http://www.broadinstitute.org/gsea/msigdb/cards/BIOCARTA_DNAFRAGMENT_PATHWAY.html</t>
  </si>
  <si>
    <t>KONG_E2F1_TARGETS</t>
  </si>
  <si>
    <t>1869;51203</t>
  </si>
  <si>
    <t>E2F1;NUSAP1</t>
  </si>
  <si>
    <t>http://www.broadinstitute.org/gsea/msigdb/cards/KONG_E2F1_TARGETS.html</t>
  </si>
  <si>
    <t>BIOCARTA_MPR_PATHWAY</t>
  </si>
  <si>
    <t>983;891;995</t>
  </si>
  <si>
    <t>CDK1;CCNB1;CDC25C</t>
  </si>
  <si>
    <t>http://www.broadinstitute.org/gsea/msigdb/cards/BIOCARTA_MPR_PATHWAY.html</t>
  </si>
  <si>
    <t>10733;1111;11130;9134;672;8683;9837;10635;11321</t>
  </si>
  <si>
    <t>PLK4;CHEK1;ZWINT;CCNE2;BRCA1;SRSF9;GINS1;RAD51AP1;GPN1</t>
  </si>
  <si>
    <t>79733;1871;284403;8318;983;3015;5111;7374;4691;4172;1786;5933;993;6241;4173;4176;7112;4436;5902;4171;5427;1869;5888;23649;4175;3837;9768;2146;348654;9824;29028;163786;195828;23234;11073;9125;144455;79915;9088;990;64785;2177;81620;81539;63967;26271</t>
  </si>
  <si>
    <t>E2F8;E2F3;WDR62;CDC45;CDK1;H2AFZ;PCNA;UNG;NCL;MCM3;DNMT1;RBL1;CDC25A;RRM2;MCM4;MCM7;TMPO;MSH2;RANBP1;MCM2;POLE2;E2F1;RAD51;POLA2;MCM6;KPNB1;PCLAF;EZH2;GEN1;ARHGAP11A;ATAD2;SASS6;ZNF367;DNAJC9;TOPBP1;CNOT9;E2F7;ATAD5;PKMYT1;CDC6;GINS3;FANCD2;CDT1;SLC38A1;CLSPN;FBXO5</t>
  </si>
  <si>
    <t>79733;1871;2189;284403;6839;983;3015;5111;7374;4691;4172;1786;5933;993;6241;4173;4176;7112;4436;5902;4171;5427;1869;4998;4175;3837;9768;2146;348654;9824;29028;163786;195828;23234;11073;9125;144455;79915;9088;990;64785;2177;81620;63967;26271</t>
  </si>
  <si>
    <t>E2F8;E2F3;FANCG;WDR62;SUV39H1;CDK1;H2AFZ;PCNA;UNG;NCL;MCM3;DNMT1;RBL1;CDC25A;RRM2;MCM4;MCM7;TMPO;MSH2;RANBP1;MCM2;POLE2;E2F1;ORC1;MCM6;KPNB1;PCLAF;EZH2;GEN1;ARHGAP11A;ATAD2;SASS6;ZNF367;DNAJC9;TOPBP1;CNOT9;E2F7;ATAD5;PKMYT1;CDC6;GINS3;FANCD2;CDT1;CLSPN;FBXO5</t>
  </si>
  <si>
    <t>79733;10733;1871;2189;284403;6839;8318;10592;3015;5111;7374;4691;4172;1786;10971;993;4173;4176;5902;5557;4171;9735;5427;1869;5888;4998;23649;4175;9833;3837;9768;2146;348654;9824;29028;163786;195828;11073;144455;9088;990;64785;81539;26271</t>
  </si>
  <si>
    <t>E2F8;PLK4;E2F3;FANCG;WDR62;SUV39H1;CDC45;SMC2;H2AFZ;PCNA;UNG;NCL;MCM3;DNMT1;YWHAQ;CDC25A;MCM4;MCM7;RANBP1;PRIM1;MCM2;KNTC1;POLE2;E2F1;RAD51;ORC1;POLA2;MCM6;MELK;KPNB1;PCLAF;EZH2;GEN1;ARHGAP11A;ATAD2;SASS6;ZNF367;TOPBP1;E2F7;PKMYT1;CDC6;GINS3;SLC38A1;FBXO5</t>
  </si>
  <si>
    <t>79733;1871;2189;284403;6839;8318;7398;10592;983;3015;5111;7374;4691;4172;1786;10971;993;4173;4176;5902;4171;5427;1869;5888;23649;4175;9833;3837;9768;2146;348654;9824;29028;163786;195828;11073;144455;93594;9088;990;64785;81539;26271</t>
  </si>
  <si>
    <t>E2F8;E2F3;FANCG;WDR62;SUV39H1;CDC45;USP1;SMC2;CDK1;H2AFZ;PCNA;UNG;NCL;MCM3;DNMT1;YWHAQ;CDC25A;MCM4;MCM7;RANBP1;MCM2;POLE2;E2F1;RAD51;POLA2;MCM6;MELK;KPNB1;PCLAF;EZH2;GEN1;ARHGAP11A;ATAD2;SASS6;ZNF367;TOPBP1;E2F7;TBC1D31;PKMYT1;CDC6;GINS3;SLC38A1;FBXO5</t>
  </si>
  <si>
    <t>79733;1871;2189;284403;6839;8318;7398;10592;983;3015;5111;7374;4691;4172;1786;10971;993;4173;4176;5902;4171;5427;1869;5888;23649;4175;9833;3837;9768;2146;348654;9824;29028;163786;195828;11073;93594;9088;990;64785;81539;26271</t>
  </si>
  <si>
    <t>E2F8;E2F3;FANCG;WDR62;SUV39H1;CDC45;USP1;SMC2;CDK1;H2AFZ;PCNA;UNG;NCL;MCM3;DNMT1;YWHAQ;CDC25A;MCM4;MCM7;RANBP1;MCM2;POLE2;E2F1;RAD51;POLA2;MCM6;MELK;KPNB1;PCLAF;EZH2;GEN1;ARHGAP11A;ATAD2;SASS6;ZNF367;TOPBP1;TBC1D31;PKMYT1;CDC6;GINS3;SLC38A1;FBXO5</t>
  </si>
  <si>
    <t>79733;1871;2189;284403;6839;983;3015;5111;7374;4691;4172;1786;5933;993;6241;4173;4176;7112;4436;5902;4171;5427;1869;4175;9768;2146;348654;9824;29028;163786;195828;23234;11073;9125;144455;79915;9088;990;64785;2177;63967;26271</t>
  </si>
  <si>
    <t>E2F8;E2F3;FANCG;WDR62;SUV39H1;CDK1;H2AFZ;PCNA;UNG;NCL;MCM3;DNMT1;RBL1;CDC25A;RRM2;MCM4;MCM7;TMPO;MSH2;RANBP1;MCM2;POLE2;E2F1;MCM6;PCLAF;EZH2;GEN1;ARHGAP11A;ATAD2;SASS6;ZNF367;DNAJC9;TOPBP1;CNOT9;E2F7;ATAD5;PKMYT1;CDC6;GINS3;FANCD2;CLSPN;FBXO5</t>
  </si>
  <si>
    <t>79733;1871;2189;6839;8318;5111;7374;4691;4172;1786;5933;993;4173;4176;7112;4436;5902;4171;5427;1869;5888;4998;23649;4175;9700;2146;348654;9824;29028;163786;195828;284992;23234;11073;9125;93594;79915;9088;63967;26271</t>
  </si>
  <si>
    <t>E2F8;E2F3;FANCG;SUV39H1;CDC45;PCNA;UNG;NCL;MCM3;DNMT1;RBL1;CDC25A;MCM4;MCM7;TMPO;MSH2;RANBP1;MCM2;POLE2;E2F1;RAD51;ORC1;POLA2;MCM6;ESPL1;EZH2;GEN1;ARHGAP11A;ATAD2;SASS6;ZNF367;CCDC150;DNAJC9;TOPBP1;CNOT9;TBC1D31;ATAD5;PKMYT1;CLSPN;FBXO5</t>
  </si>
  <si>
    <t>79733;10733;1871;2189;6839;8318;10592;3015;5111;7374;4691;4172;1786;10971;5933;993;6241;4173;4176;5902;5557;4171;5427;1869;5888;4998;4175;9833;3837;9768;2146;9824;29028;163786;195828;11073;144455;9088;990;26271</t>
  </si>
  <si>
    <t>E2F8;PLK4;E2F3;FANCG;SUV39H1;CDC45;SMC2;H2AFZ;PCNA;UNG;NCL;MCM3;DNMT1;YWHAQ;RBL1;CDC25A;RRM2;MCM4;MCM7;RANBP1;PRIM1;MCM2;POLE2;E2F1;RAD51;ORC1;MCM6;MELK;KPNB1;PCLAF;EZH2;ARHGAP11A;ATAD2;SASS6;ZNF367;TOPBP1;E2F7;PKMYT1;CDC6;FBXO5</t>
  </si>
  <si>
    <t>79733;10733;1871;284403;7398;983;3015;5111;4691;4172;1786;5933;993;6241;4176;7112;4436;4171;5427;1869;4998;4175;9768;2146;348654;9824;29028;163786;195828;23234;11073;9125;144455;79915;9088;990;64785;63967;56992;26271</t>
  </si>
  <si>
    <t>E2F8;PLK4;E2F3;WDR62;USP1;CDK1;H2AFZ;PCNA;NCL;MCM3;DNMT1;RBL1;CDC25A;RRM2;MCM7;TMPO;MSH2;MCM2;POLE2;E2F1;ORC1;MCM6;PCLAF;EZH2;GEN1;ARHGAP11A;ATAD2;SASS6;ZNF367;DNAJC9;TOPBP1;CNOT9;E2F7;ATAD5;PKMYT1;CDC6;GINS3;CLSPN;KIF15;FBXO5</t>
  </si>
  <si>
    <t>79733;284403;983;3015;5111;7374;4691;4172;1786;993;6241;4176;7112;4436;4171;5427;1869;5888;23649;4175;3837;9768;2146;348654;9824;29028;163786;195828;23234;11073;144455;79915;9088;990;64785;81620;81539;63967;26271</t>
  </si>
  <si>
    <t>E2F8;WDR62;CDK1;H2AFZ;PCNA;UNG;NCL;MCM3;DNMT1;CDC25A;RRM2;MCM7;TMPO;MSH2;MCM2;POLE2;E2F1;RAD51;POLA2;MCM6;KPNB1;PCLAF;EZH2;GEN1;ARHGAP11A;ATAD2;SASS6;ZNF367;DNAJC9;TOPBP1;E2F7;ATAD5;PKMYT1;CDC6;GINS3;CDT1;SLC38A1;CLSPN;FBXO5</t>
  </si>
  <si>
    <t>79733;1871;2189;284403;6839;3015;5111;7374;4691;4172;1786;993;6241;4173;4176;4436;5902;4171;5427;1869;4175;9768;348654;29028;195828;23234;11073;9125;79915;9088;990;64785;63967;26271</t>
  </si>
  <si>
    <t>E2F8;E2F3;FANCG;WDR62;SUV39H1;H2AFZ;PCNA;UNG;NCL;MCM3;DNMT1;CDC25A;RRM2;MCM4;MCM7;MSH2;RANBP1;MCM2;POLE2;E2F1;MCM6;PCLAF;GEN1;ATAD2;ZNF367;DNAJC9;TOPBP1;CNOT9;ATAD5;PKMYT1;CDC6;GINS3;CLSPN;FBXO5</t>
  </si>
  <si>
    <t>79733;10733;1871;8318;7398;983;3015;5111;7374;4691;4172;1786;993;4173;4176;5902;4171;5427;1869;5888;4998;23649;4175;3837;2146;348654;9824;29028;163786;195828;11073;144455;9088;990;81539;56992;26271</t>
  </si>
  <si>
    <t>E2F8;PLK4;E2F3;CDC45;USP1;CDK1;H2AFZ;PCNA;UNG;NCL;MCM3;DNMT1;CDC25A;MCM4;MCM7;RANBP1;MCM2;POLE2;E2F1;RAD51;ORC1;POLA2;MCM6;KPNB1;EZH2;GEN1;ARHGAP11A;ATAD2;SASS6;ZNF367;TOPBP1;E2F7;PKMYT1;CDC6;SLC38A1;KIF15;FBXO5</t>
  </si>
  <si>
    <t>79733;10733;1871;2189;6839;8318;10592;3015;7374;4172;1786;5933;993;4173;4176;5902;5557;4171;9735;1869;5888;4998;23649;4175;9833;9768;2146;29028;163786;195828;55345;23234;11073;144455;9088;990;26271</t>
  </si>
  <si>
    <t>E2F8;PLK4;E2F3;FANCG;SUV39H1;CDC45;SMC2;H2AFZ;UNG;MCM3;DNMT1;RBL1;CDC25A;MCM4;MCM7;RANBP1;PRIM1;MCM2;KNTC1;E2F1;RAD51;ORC1;POLA2;MCM6;MELK;PCLAF;EZH2;ATAD2;SASS6;ZNF367;ZGRF1;DNAJC9;TOPBP1;E2F7;PKMYT1;CDC6;FBXO5</t>
  </si>
  <si>
    <t>79733;11065;6790;6839;699;8318;10535;7398;10112;86;983;7153;3148;993;995;4173;4176;672;4436;1063;5347;1434;1163;9493;10024;9700;3837;23397;9918;23518;6469;1033;151246;9824;84722;79866;219988;220042;151188;8570;55771;80829;29128;84790;84296;54478;79098;83990;29127;63967;57405;55723;55010;22974;23594;10460</t>
  </si>
  <si>
    <t>E2F8;UBE2C;AURKA;SUV39H1;BUB1;CDC45;RNASEH2A;USP1;KIF20A;ACTL6A;CDK1;TOP2A;HMGB2;CDC25A;CDC25C;MCM4;MCM7;BRCA1;MSH2;CENPF;PLK1;CSE1L;CKS1B;AC027237.1;TROAP;ESPL1;KPNB1;NCAPH;NCAPD2;R3HDM1;SHH;CDKN3;SGO2;ARHGAP11A;PSRC1;BORA;PATL1;DDIAS;ARL6IP6;KHSRP;PRR11;ZFP91;UHRF1;TUBA1C;GINS4;PIMREG;C1orf116;BRIP1;RACGAP1;CLSPN;SPC25;ASF1B;PARPBP;TPX2;ORC6;TACC3</t>
  </si>
  <si>
    <t>79733;1871;8318;24137;5111;7374;4173;5902;5557;9735;5427;1869;5888;6502;23649;9833;3837;2146;79866;163786;144455;9088;990;81539;63967;55646;26271</t>
  </si>
  <si>
    <t>E2F8;E2F3;CDC45;KIF4A;PCNA;UNG;MCM4;RANBP1;PRIM1;KNTC1;POLE2;E2F1;RAD51;SKP2;POLA2;MELK;KPNB1;EZH2;BORA;SASS6;E2F7;PKMYT1;CDC6;SLC38A1;CLSPN;LYAR;FBXO5</t>
  </si>
  <si>
    <t>10212;10733;1871;8520;6839;11339;8562;9055;7398;86;983;3015;7153;6240;898;1017;10971;790;993;4176;672;7112;23310;5902;6878;5347;641;1434;5427;1163;1869;10657;1479;4998;9833;3837;9918;23518;2146;151246;195828;89958;220042;150468;84904;151188;25886;55247;9125;8570;220134;55839;80179;55771;80829;132320;9585;79915;83461;11004;84790;84296;55706;144097;83990;51203;81539;64946;54443;10051;56241;8914;9156;11198;23594</t>
  </si>
  <si>
    <t>DDX39A;PLK4;E2F3;HAT1;SUV39H1;OIP5;DENR;PRC1;USP1;ACTL6A;CDK1;H2AFZ;TOP2A;RRM1;CCNE1;CDK2;YWHAQ;CAD;CDC25A;MCM7;BRCA1;TMPO;NCAPD3;RANBP1;TAF6;PLK1;BLM;CSE1L;POLE2;CKS1B;E2F1;KHDRBS1;CSTF3;ORC1;MELK;KPNB1;NCAPD2;R3HDM1;EZH2;SGO2;ZNF367;SAPCD2;DDIAS;CKAP2L;ARHGEF39;ARL6IP6;POC1A;NEIL3;CNOT9;KHSRP;SKA1;CENPN;MYO19;PRR11;ZFP91;SCLT1;KIF20B;ATAD5;CDCA3;KIF2C;TUBA1C;GINS4;NDC1;SPINDOC;BRIP1;NUSAP1;SLC38A1;CENPH;ANLN;SMC4;SUSD2;TIMELESS;EXO1;SUPT16H;ORC6</t>
  </si>
  <si>
    <t>E2F_01</t>
  </si>
  <si>
    <t>1871;5111;4172;1786;4173;5985;5902;4171;1869;11073;8570;144455;10051</t>
  </si>
  <si>
    <t>E2F3;PCNA;MCM3;DNMT1;MCM4;RFC5;RANBP1;MCM2;E2F1;TOPBP1;KHSRP;E2F7;SMC4</t>
  </si>
  <si>
    <t>http://www.broadinstitute.org/gsea/msigdb/cards/E2F_01.html</t>
  </si>
  <si>
    <t>KTGGYRSGAA_UNKNOWN</t>
  </si>
  <si>
    <t>4172;4176;5984;5902;5557;4998;4175;23518;2146;253714;11073;29128;64946</t>
  </si>
  <si>
    <t>MCM3;MCM7;RFC4;RANBP1;PRIM1;ORC1;MCM6;R3HDM1;EZH2;MMS22L;TOPBP1;UHRF1;CENPH</t>
  </si>
  <si>
    <t>http://www.broadinstitute.org/gsea/msigdb/cards/KTGGYRSGAA_UNKNOWN.html</t>
  </si>
  <si>
    <t>NFY_Q6</t>
  </si>
  <si>
    <t>79733;6839;699;86;983;7153;3148;7272;4436;1063;4751;6469;220042;55771;80829;83990;29127;55010</t>
  </si>
  <si>
    <t>E2F8;SUV39H1;BUB1;ACTL6A;CDK1;TOP2A;HMGB2;TTK;MSH2;CENPF;NEK2;SHH;DDIAS;PRR11;ZFP91;BRIP1;RACGAP1;PARPBP</t>
  </si>
  <si>
    <t>http://www.broadinstitute.org/gsea/msigdb/cards/NFY_Q6.html</t>
  </si>
  <si>
    <t>10733;1786;10971;5933;993;4176;5902;5557;1869;3837;9768;2146;79676;29028;195828;23234;11073</t>
  </si>
  <si>
    <t>PLK4;DNMT1;YWHAQ;RBL1;CDC25A;MCM7;RANBP1;PRIM1;E2F1;KPNB1;PCLAF;EZH2;OGFOD2;ATAD2;ZNF367;DNAJC9;TOPBP1</t>
  </si>
  <si>
    <t>5717;2189;701;8318;10535;993;672;2237;5557;6502;9700;23518;128239;284992;83461;990;55706;57405;27339;9156</t>
  </si>
  <si>
    <t>PSMD11;FANCG;BUB1B;CDC45;RNASEH2A;CDC25A;BRCA1;FEN1;PRIM1;SKP2;ESPL1;R3HDM1;IQGAP3;CCDC150;CDCA3;CDC6;NDC1;SPC25;PRPF19;EXO1</t>
  </si>
  <si>
    <t>5717;701;4751;3832;5347;8683;3837;23518;284992;8570;55706;79172;57405;27339</t>
  </si>
  <si>
    <t>PSMD11;BUB1B;NEK2;KIF11;PLK1;SRSF9;KPNB1;R3HDM1;CCDC150;KHSRP;NDC1;CENPO;SPC25;PRPF19</t>
  </si>
  <si>
    <t>10212;10733;6790;3161;11169;5111;890;7283;1786;4173;899;23310;1163;10376;8683;4085;6996;23649;23397;348654;55345;284992;9125;2491;80829;79172;10051;26271</t>
  </si>
  <si>
    <t>DDX39A;PLK4;AURKA;HMMR;WDHD1;PCNA;CCNA2;TUBG1;DNMT1;MCM4;CCNF;NCAPD3;CKS1B;TUBA1B;SRSF9;MAD2L1;TDG;POLA2;NCAPH;GEN1;ZGRF1;CCDC150;CNOT9;CENPI;ZFP91;CENPO;SMC4;FBXO5</t>
  </si>
  <si>
    <t>10212;10733;8520;6790;8318;24137;1786;4176;5984;5982;641;1163;1479;8683;6502;23518;348654;55165;57647;57696;57650;146956;84930;80179;83461;79172;144097;2177;55010;22974;27339;11198</t>
  </si>
  <si>
    <t>DDX39A;PLK4;HAT1;AURKA;CDC45;KIF4A;DNMT1;MCM7;RFC4;RFC2;BLM;CKS1B;CSTF3;SRSF9;SKP2;R3HDM1;GEN1;CEP55;DHX37;DDX55;CIP2A;EME1;MASTL;MYO19;CDCA3;CENPO;SPINDOC;FANCD2;PARPBP;TPX2;PRPF19;SUPT16H</t>
  </si>
  <si>
    <t>11065;10112;86;993;9493;9700;9918;6469;151188;80829;29128;29127;57405</t>
  </si>
  <si>
    <t>UBE2C;KIF20A;ACTL6A;CDC25A;AC027237.1;ESPL1;NCAPD2;SHH;ARL6IP6;ZFP91;UHRF1;RACGAP1;SPC25</t>
  </si>
  <si>
    <t>10733;8318;5111;891;1017;1163;3837;220042;57405</t>
  </si>
  <si>
    <t>PLK4;CDC45;PCNA;CCNB1;CDK2;CKS1B;KPNB1;DDIAS;SPC25</t>
  </si>
  <si>
    <t>CCAATNNSNNNGCG_UNKNOWN</t>
  </si>
  <si>
    <t>5111;7112;84722;151188;8570;63967</t>
  </si>
  <si>
    <t>PCNA;TMPO;PSRC1;ARL6IP6;KHSRP;CLSPN</t>
  </si>
  <si>
    <t>http://www.broadinstitute.org/gsea/msigdb/cards/CCAATNNSNNNGCG_UNKNOWN.html</t>
  </si>
  <si>
    <t>NFY_01</t>
  </si>
  <si>
    <t>8318;86;983;993;4751;5347;9493;151246;80829;29127;10460</t>
  </si>
  <si>
    <t>CDC45;ACTL6A;CDK1;CDC25A;NEK2;PLK1;AC027237.1;SGO2;ZFP91;RACGAP1;TACC3</t>
  </si>
  <si>
    <t>http://www.broadinstitute.org/gsea/msigdb/cards/NFY_01.html</t>
  </si>
  <si>
    <t>11065;7398;86;5111;4751;9787;220042;259266;55771;80829;83461</t>
  </si>
  <si>
    <t>UBE2C;USP1;ACTL6A;PCNA;NEK2;DLGAP5;DDIAS;ASPM;PRR11;ZFP91;CDCA3</t>
  </si>
  <si>
    <t>79733;10112;86;993;4751;5347;6469;79866;55771;80829;29127</t>
  </si>
  <si>
    <t>E2F8;KIF20A;ACTL6A;CDC25A;NEK2;PLK1;SHH;BORA;PRR11;ZFP91;RACGAP1</t>
  </si>
  <si>
    <t>10797;7283;898;23310;6502;6469;27338;55345;9125;80829;9088;8914</t>
  </si>
  <si>
    <t>MTHFD2;TUBG1;CCNE1;NCAPD3;SKP2;SHH;UBE2S;ZGRF1;CNOT9;ZFP91;PKMYT1;TIMELESS</t>
  </si>
  <si>
    <t>6839;10721;86;1017;4176;1869;9493;23518;195828;144455;84930;80829;79172;10051</t>
  </si>
  <si>
    <t>SUV39H1;POLQ;ACTL6A;CDK2;MCM7;E2F1;AC027237.1;R3HDM1;ZNF367;E2F7;MASTL;ZFP91;CENPO;SMC4</t>
  </si>
  <si>
    <t>AACYNNNNTTCCS_UNKNOWN</t>
  </si>
  <si>
    <t>5557;6502;3837;25886;284992;27339</t>
  </si>
  <si>
    <t>PRIM1;SKP2;KPNB1;POC1A;CCDC150;PRPF19</t>
  </si>
  <si>
    <t>http://www.broadinstitute.org/gsea/msigdb/cards/AACYNNNNTTCCS_UNKNOWN.html</t>
  </si>
  <si>
    <t>10212;1871;8520;6790;8318;11169;1786;5984;5902;5558;1163;8683;23518;9319;348654;151246;144097;11198</t>
  </si>
  <si>
    <t>DDX39A;E2F3;HAT1;AURKA;CDC45;WDHD1;DNMT1;RFC4;RANBP1;PRIM2;CKS1B;SRSF9;R3HDM1;TRIP13;GEN1;SGO2;SPINDOC;SUPT16H</t>
  </si>
  <si>
    <t>3161;7283;1786;8683;23649;55345;9125;79172;10051</t>
  </si>
  <si>
    <t>HMMR;TUBG1;DNMT1;SRSF9;POLA2;ZGRF1;CNOT9;CENPO;SMC4</t>
  </si>
  <si>
    <t>10403;6790;993;55656;84904;10635;55839;55771;9585;79098;25788</t>
  </si>
  <si>
    <t>NDC80;AURKA;CDC25A;INTS8;ARHGEF39;RAD51AP1;CENPN;PRR11;KIF20B;C1orf116;RAD54B</t>
  </si>
  <si>
    <t>10403;4001;6240;5725;6878;9735;1434;9918;23518;29127;56992;65003</t>
  </si>
  <si>
    <t>NDC80;LMNB1;RRM1;PTBP1;TAF6;KNTC1;CSE1L;NCAPD2;R3HDM1;RACGAP1;KIF15;MRPL11</t>
  </si>
  <si>
    <t>1871;3797;1063;5347;23649;23518;195828;348793;10635</t>
  </si>
  <si>
    <t>E2F3;KIF3C;CENPF;PLK1;POLA2;R3HDM1;ZNF367;WDR53;RAD51AP1</t>
  </si>
  <si>
    <t>10733;11169;1479;1994;195828;57082;23234;2177;81539</t>
  </si>
  <si>
    <t>PLK4;WDHD1;CSTF3;ELAVL1;ZNF367;KNL1;DNAJC9;FANCD2;SLC38A1</t>
  </si>
  <si>
    <t>MODULE_54</t>
  </si>
  <si>
    <t>79733;8317;10733;11065;23306;1111;10403;6790;332;699;701;3161;10721;8318;9401;9133;11130;10592;9232;9134;7298;983;3015;4605;7153;5111;7374;10797;891;1503;890;4001;1841;6240;4172;3148;995;6241;7272;4173;4174;4176;5984;4521;2237;5985;5983;899;4436;5902;4288;1058;1063;5557;4171;9735;4751;3838;3832;5347;641;1434;5427;1163;1869;1062;9493;84823;5888;2305;10024;991;10036;8208;4085;4998;4175;9833;9837;23397;9768;9918;9928;9787;9319;1033;27338;55165;55635;113115;9824;84722;29028;259266;55355;79801;55247;55789;26586;11073;8438;113130;9212;55771;55872;10615;9088;11004;580;990;54478;3833;51203;83540;81610;1894;55055;29089;54443;10051;55723;22974;8914;51659;90417;10460</t>
  </si>
  <si>
    <t>E2F8;CDC7;PLK4;UBE2C;NEMP1;CHEK1;NDC80;AURKA;BIRC5;BUB1;BUB1B;HMMR;POLQ;CDC45;RECQL4;CCNB2;ZWINT;SMC2;PTTG1;CCNE2;TYMS;CDK1;H2AFZ;MYBL2;TOP2A;PCNA;UNG;MTHFD2;CCNB1;CTPS1;CCNA2;LMNB1;DTYMK;RRM1;MCM3;HMGB2;CDC25C;RRM2;TTK;MCM4;MCM5;MCM7;RFC4;NUDT1;FEN1;RFC5;RFC3;CCNF;MSH2;RANBP1;MKI67;CENPA;CENPF;PRIM1;MCM2;KNTC1;NEK2;KPNA2;KIF11;PLK1;BLM;CSE1L;POLE2;CKS1B;E2F1;CENPE;AC027237.1;LMNB2;RAD51;FOXM1;TROAP;CDC20;CHAF1A;CHAF1B;MAD2L1;ORC1;MCM6;MELK;GINS1;NCAPH;PCLAF;NCAPD2;KIF14;DLGAP5;TRIP13;CDKN3;UBE2S;CEP55;DEPDC1;MTFR2;ARHGAP11A;PSRC1;ATAD2;ASPM;HJURP;SHCBP1;NEIL3;DEPDC1B;CKAP2;TOPBP1;RAD54L;CDCA5;AURKB;PRR11;PBK;SPAG5;PKMYT1;KIF2C;BARD1;CDC6;PIMREG;KIFC1;NUSAP1;NUF2;FAM83D;ECT2;ZWILCH;UBE2T;ANLN;SMC4;ASF1B;TPX2;TIMELESS;GINS2;KNSTRN;TACC3</t>
  </si>
  <si>
    <t>http://www.broadinstitute.org/gsea/msigdb/cards/MODULE_54.html</t>
  </si>
  <si>
    <t>GNF2_CCNA2</t>
  </si>
  <si>
    <t>79733;11065;10403;6790;332;9055;701;3161;9133;11130;10112;24137;10592;7298;983;7153;5111;890;6240;4172;3148;6241;7272;4173;4176;5984;2237;5983;7112;4288;1058;1063;5557;4171;3832;5347;1163;1062;2305;991;4175;9700;9833;9768;9918;9928;9787;2146;55143;146909;259266;55355;79801;10635;9212;83461;64151;51203;29127;10051;55215;55723;22974;51659</t>
  </si>
  <si>
    <t>E2F8;UBE2C;NDC80;AURKA;BIRC5;PRC1;BUB1B;HMMR;CCNB2;ZWINT;KIF20A;KIF4A;SMC2;TYMS;CDK1;TOP2A;PCNA;CCNA2;RRM1;MCM3;HMGB2;RRM2;TTK;MCM4;MCM7;RFC4;FEN1;RFC3;TMPO;MKI67;CENPA;CENPF;PRIM1;MCM2;KIF11;PLK1;CKS1B;CENPE;FOXM1;CDC20;MCM6;ESPL1;MELK;PCLAF;NCAPD2;KIF14;DLGAP5;EZH2;CDCA8;KIF18B;ASPM;HJURP;SHCBP1;RAD51AP1;AURKB;CDCA3;NCAPG;NUSAP1;RACGAP1;SMC4;FANCI;ASF1B;TPX2;GINS2</t>
  </si>
  <si>
    <t>http://www.broadinstitute.org/gsea/msigdb/cards/GNF2_CCNA2.html</t>
  </si>
  <si>
    <t>GNF2_CENPF</t>
  </si>
  <si>
    <t>79733;10733;11065;10403;8520;6790;332;9055;3161;9133;11130;24137;10592;9232;7298;983;4605;7153;5111;890;1841;6240;4172;3148;6241;7272;4176;5984;2237;899;7112;4288;1063;5557;4171;3832;1062;2305;991;9768;9787;27338;55143;55388;146909;259266;55355;79801;26586;23234;83461;3833;51203;56992;10051;55215;22974;51659</t>
  </si>
  <si>
    <t>E2F8;PLK4;UBE2C;NDC80;HAT1;AURKA;BIRC5;PRC1;HMMR;CCNB2;ZWINT;KIF4A;SMC2;PTTG1;TYMS;CDK1;MYBL2;TOP2A;PCNA;CCNA2;DTYMK;RRM1;MCM3;HMGB2;RRM2;TTK;MCM7;RFC4;FEN1;CCNF;TMPO;MKI67;CENPF;PRIM1;MCM2;KIF11;CENPE;FOXM1;CDC20;PCLAF;DLGAP5;UBE2S;CDCA8;MCM10;KIF18B;ASPM;HJURP;SHCBP1;CKAP2;DNAJC9;CDCA3;KIFC1;NUSAP1;KIF15;SMC4;FANCI;TPX2;GINS2</t>
  </si>
  <si>
    <t>http://www.broadinstitute.org/gsea/msigdb/cards/GNF2_CENPF.html</t>
  </si>
  <si>
    <t>GNF2_PCNA</t>
  </si>
  <si>
    <t>10733;10403;6790;332;9055;701;3161;9133;11130;10592;7298;983;4605;7153;5111;890;6240;4172;3148;6241;7272;4173;4174;4176;5984;2237;7112;4436;4288;1063;5557;4171;3832;5427;1062;2305;991;4175;9700;9833;9837;9768;9787;55143;146909;259266;79801;23234;8438;10635;51203;29127;56992;10051;55215;51514;22974;51659</t>
  </si>
  <si>
    <t>PLK4;NDC80;AURKA;BIRC5;PRC1;BUB1B;HMMR;CCNB2;ZWINT;SMC2;TYMS;CDK1;MYBL2;TOP2A;PCNA;CCNA2;RRM1;MCM3;HMGB2;RRM2;TTK;MCM4;MCM5;MCM7;RFC4;FEN1;TMPO;MSH2;MKI67;CENPF;PRIM1;MCM2;KIF11;POLE2;CENPE;FOXM1;CDC20;MCM6;ESPL1;MELK;GINS1;PCLAF;DLGAP5;CDCA8;KIF18B;ASPM;SHCBP1;DNAJC9;RAD54L;RAD51AP1;NUSAP1;RACGAP1;KIF15;SMC4;FANCI;DTL;TPX2;GINS2</t>
  </si>
  <si>
    <t>http://www.broadinstitute.org/gsea/msigdb/cards/GNF2_PCNA.html</t>
  </si>
  <si>
    <t>GNF2_CDC2</t>
  </si>
  <si>
    <t>79733;10733;11065;10403;6790;332;9055;3161;9133;11130;10112;24137;10592;9232;7298;983;4605;7153;5111;890;6240;3148;6241;7272;5984;2237;5983;899;7112;4288;1063;5557;4171;3832;1062;2305;991;9833;9787;2146;27338;55143;146909;259266;55355;79801;26586;23234;83461;64151;3833;51203;56992;10051;55215;22974;51659</t>
  </si>
  <si>
    <t>E2F8;PLK4;UBE2C;NDC80;AURKA;BIRC5;PRC1;HMMR;CCNB2;ZWINT;KIF20A;KIF4A;SMC2;PTTG1;TYMS;CDK1;MYBL2;TOP2A;PCNA;CCNA2;RRM1;HMGB2;RRM2;TTK;RFC4;FEN1;RFC3;CCNF;TMPO;MKI67;CENPF;PRIM1;MCM2;KIF11;CENPE;FOXM1;CDC20;MELK;DLGAP5;EZH2;UBE2S;CDCA8;KIF18B;ASPM;HJURP;SHCBP1;CKAP2;DNAJC9;CDCA3;NCAPG;KIFC1;NUSAP1;KIF15;SMC4;FANCI;TPX2;GINS2</t>
  </si>
  <si>
    <t>http://www.broadinstitute.org/gsea/msigdb/cards/GNF2_CDC2.html</t>
  </si>
  <si>
    <t>GNF2_RRM1</t>
  </si>
  <si>
    <t>79733;10733;11065;10403;8520;6790;332;9055;701;3161;9133;11130;10592;7298;983;7153;5111;890;1841;6240;4172;3148;6241;7272;4173;4174;4176;5984;2237;5983;7112;4436;4288;1063;5557;4171;3832;1062;2305;6749;991;4175;9833;9837;9768;9928;9787;55143;146909;259266;79801;10635;9212;51203;29127;79019;10051;55215;51514;51659</t>
  </si>
  <si>
    <t>E2F8;PLK4;UBE2C;NDC80;HAT1;AURKA;BIRC5;PRC1;BUB1B;HMMR;CCNB2;ZWINT;SMC2;TYMS;CDK1;TOP2A;PCNA;CCNA2;DTYMK;RRM1;MCM3;HMGB2;RRM2;TTK;MCM4;MCM5;MCM7;RFC4;FEN1;RFC3;TMPO;MSH2;MKI67;CENPF;PRIM1;MCM2;KIF11;CENPE;FOXM1;SSRP1;CDC20;MCM6;MELK;GINS1;PCLAF;KIF14;DLGAP5;CDCA8;KIF18B;ASPM;SHCBP1;RAD51AP1;AURKB;NUSAP1;RACGAP1;CENPM;SMC4;FANCI;DTL;GINS2</t>
  </si>
  <si>
    <t>http://www.broadinstitute.org/gsea/msigdb/cards/GNF2_RRM1.html</t>
  </si>
  <si>
    <t>GNF2_SMC4L1</t>
  </si>
  <si>
    <t>79733;10733;10403;8520;6790;9055;701;3161;7398;9133;11130;10592;7298;983;7153;5111;890;1841;6240;4172;3148;7272;4173;4174;4176;5984;7913;2237;5983;7112;4436;1063;5557;4171;3832;5427;2305;6749;991;9837;9768;9787;55143;146909;259266;79801;26586;23234;10635;51203;29127;55055;10051;55215;51514;26271;51659;11198</t>
  </si>
  <si>
    <t>E2F8;PLK4;NDC80;HAT1;AURKA;PRC1;BUB1B;HMMR;USP1;CCNB2;ZWINT;SMC2;TYMS;CDK1;TOP2A;PCNA;CCNA2;DTYMK;RRM1;MCM3;HMGB2;TTK;MCM4;MCM5;MCM7;RFC4;DEK;FEN1;RFC3;TMPO;MSH2;CENPF;PRIM1;MCM2;KIF11;POLE2;FOXM1;SSRP1;CDC20;GINS1;PCLAF;DLGAP5;CDCA8;KIF18B;ASPM;SHCBP1;CKAP2;DNAJC9;RAD51AP1;NUSAP1;RACGAP1;ZWILCH;SMC4;FANCI;DTL;FBXO5;GINS2;SUPT16H</t>
  </si>
  <si>
    <t>http://www.broadinstitute.org/gsea/msigdb/cards/GNF2_SMC4L1.html</t>
  </si>
  <si>
    <t>GNF2_CCNB2</t>
  </si>
  <si>
    <t>10733;11065;10403;6790;332;11339;9055;699;701;3161;9133;11130;10112;24137;10592;9232;7298;983;7153;5111;890;6240;3148;6241;7272;4173;5984;2237;1063;4171;3832;1062;2305;991;9700;9833;23397;9787;27338;55143;146909;259266;79801;26586;55872;10615;83461;11004;51203;29127;10051;22974</t>
  </si>
  <si>
    <t>PLK4;UBE2C;NDC80;AURKA;BIRC5;OIP5;PRC1;BUB1;BUB1B;HMMR;CCNB2;ZWINT;KIF20A;KIF4A;SMC2;PTTG1;TYMS;CDK1;TOP2A;PCNA;CCNA2;RRM1;HMGB2;RRM2;TTK;MCM4;RFC4;FEN1;CENPF;MCM2;KIF11;CENPE;FOXM1;CDC20;ESPL1;MELK;NCAPH;DLGAP5;UBE2S;CDCA8;KIF18B;ASPM;SHCBP1;CKAP2;PBK;SPAG5;CDCA3;KIF2C;NUSAP1;RACGAP1;SMC4;TPX2</t>
  </si>
  <si>
    <t>http://www.broadinstitute.org/gsea/msigdb/cards/GNF2_CCNB2.html</t>
  </si>
  <si>
    <t>8317;1871;1111;10403;8520;2189;699;8318;9401;9133;11130;10592;9232;86;9134;983;3015;4605;7153;5111;7374;891;890;4001;898;1017;4172;1786;3148;995;5984;5982;7913;2237;5985;5983;7112;4436;1058;1063;5557;5558;6878;9735;4751;5347;641;1434;5427;6733;1869;1062;9493;5888;10657;5426;2305;6749;1479;10036;8208;4085;4998;4175;9700;3837;9918;9319;2146;11073;8438;3066;8570;11004;580</t>
  </si>
  <si>
    <t>CDC7;E2F3;CHEK1;NDC80;HAT1;FANCG;BUB1;CDC45;RECQL4;CCNB2;ZWINT;SMC2;PTTG1;ACTL6A;CCNE2;CDK1;H2AFZ;MYBL2;TOP2A;PCNA;UNG;CCNB1;CCNA2;LMNB1;CCNE1;CDK2;MCM3;DNMT1;HMGB2;CDC25C;RFC4;RFC2;DEK;FEN1;RFC5;RFC3;TMPO;MSH2;CENPA;CENPF;PRIM1;PRIM2;TAF6;KNTC1;NEK2;PLK1;BLM;CSE1L;POLE2;SRPK2;E2F1;CENPE;AC027237.1;RAD51;KHDRBS1;POLE;FOXM1;SSRP1;CSTF3;CHAF1A;CHAF1B;MAD2L1;ORC1;MCM6;ESPL1;KPNB1;NCAPD2;TRIP13;EZH2;TOPBP1;RAD54L;HDAC2;KHSRP;KIF2C;BARD1</t>
  </si>
  <si>
    <t>GNF2_CDC20</t>
  </si>
  <si>
    <t>10733;11065;10403;6790;332;9055;699;701;3161;9133;11130;10112;24137;10592;9232;7298;983;7153;5111;890;6240;6241;7272;4173;4288;1063;4171;3832;5347;1163;1062;2305;991;9700;9833;23397;9787;27338;55143;146909;259266;79801;9212;10615;83461;11004;51203;29127;10051;22974</t>
  </si>
  <si>
    <t>PLK4;UBE2C;NDC80;AURKA;BIRC5;PRC1;BUB1;BUB1B;HMMR;CCNB2;ZWINT;KIF20A;KIF4A;SMC2;PTTG1;TYMS;CDK1;TOP2A;PCNA;CCNA2;RRM1;RRM2;TTK;MCM4;MKI67;CENPF;MCM2;KIF11;PLK1;CKS1B;CENPE;FOXM1;CDC20;ESPL1;MELK;NCAPH;DLGAP5;UBE2S;CDCA8;KIF18B;ASPM;SHCBP1;AURKB;SPAG5;CDCA3;KIF2C;NUSAP1;RACGAP1;SMC4;TPX2</t>
  </si>
  <si>
    <t>http://www.broadinstitute.org/gsea/msigdb/cards/GNF2_CDC20.html</t>
  </si>
  <si>
    <t>8317;1871;10403;8520;332;699;8318;11169;9401;9133;11130;10592;9232;86;9134;983;3015;4605;7153;5111;7374;891;890;4001;4172;1786;3148;995;5984;7913;2237;5985;5983;7112;4436;1058;1063;5557;5558;6878;9735;4751;5347;1434;5427;6733;1869;1062;9493;5888;10657;2305;6749;10036;8208;4085;4998;4175;9918;9319;2146;11073;8438;3066;8570;11004;580</t>
  </si>
  <si>
    <t>CDC7;E2F3;NDC80;HAT1;BIRC5;BUB1;CDC45;WDHD1;RECQL4;CCNB2;ZWINT;SMC2;PTTG1;ACTL6A;CCNE2;CDK1;H2AFZ;MYBL2;TOP2A;PCNA;UNG;CCNB1;CCNA2;LMNB1;MCM3;DNMT1;HMGB2;CDC25C;RFC4;DEK;FEN1;RFC5;RFC3;TMPO;MSH2;CENPA;CENPF;PRIM1;PRIM2;TAF6;KNTC1;NEK2;PLK1;CSE1L;POLE2;SRPK2;E2F1;CENPE;AC027237.1;RAD51;KHDRBS1;FOXM1;SSRP1;CHAF1A;CHAF1B;MAD2L1;ORC1;MCM6;NCAPD2;TRIP13;EZH2;TOPBP1;RAD54L;HDAC2;KHSRP;KIF2C;BARD1</t>
  </si>
  <si>
    <t>GNF2_MCM4</t>
  </si>
  <si>
    <t>11065;10403;6790;699;701;3161;9133;11130;7298;7153;5111;890;4001;6240;4172;6241;7272;4173;4174;4176;5984;2237;5983;4171;3832;2305;991;4085;4175;9700;9833;9837;9768;9928;55143;146909;259266;10635;9212;29127;3070;79019;10051;55215;55723;51659</t>
  </si>
  <si>
    <t>UBE2C;NDC80;AURKA;BUB1;BUB1B;HMMR;CCNB2;ZWINT;TYMS;TOP2A;PCNA;CCNA2;LMNB1;RRM1;MCM3;RRM2;TTK;MCM4;MCM5;MCM7;RFC4;FEN1;RFC3;MCM2;KIF11;FOXM1;CDC20;MAD2L1;MCM6;ESPL1;MELK;GINS1;PCLAF;KIF14;CDCA8;KIF18B;ASPM;RAD51AP1;AURKB;RACGAP1;HELLS;CENPM;SMC4;FANCI;ASF1B;GINS2</t>
  </si>
  <si>
    <t>http://www.broadinstitute.org/gsea/msigdb/cards/GNF2_MCM4.html</t>
  </si>
  <si>
    <t>GNF2_RFC4</t>
  </si>
  <si>
    <t>10733;11065;10403;332;9133;11130;10592;7298;983;3015;7153;5111;1503;890;6240;4172;7272;4173;4176;5984;2237;5985;5983;4436;5902;1063;5557;4171;9735;2956;3832;1163;2305;6749;4175;9837;9768;9918;55388;259266;8438;10635;10051;55215;8914;51659;11198</t>
  </si>
  <si>
    <t>PLK4;UBE2C;NDC80;BIRC5;CCNB2;ZWINT;SMC2;TYMS;CDK1;H2AFZ;TOP2A;PCNA;CTPS1;CCNA2;RRM1;MCM3;TTK;MCM4;MCM7;RFC4;FEN1;RFC5;RFC3;MSH2;RANBP1;CENPF;PRIM1;MCM2;KNTC1;MSH6;KIF11;CKS1B;FOXM1;SSRP1;MCM6;GINS1;PCLAF;NCAPD2;MCM10;ASPM;RAD54L;RAD51AP1;SMC4;FANCI;TIMELESS;GINS2;SUPT16H</t>
  </si>
  <si>
    <t>http://www.broadinstitute.org/gsea/msigdb/cards/GNF2_RFC4.html</t>
  </si>
  <si>
    <t>GNF2_HMMR</t>
  </si>
  <si>
    <t>79733;10733;11065;10403;6790;332;9055;699;701;3161;9133;11130;10112;10592;7298;983;7153;5111;890;6240;6241;7272;4173;2237;5983;4288;1063;4171;3832;5347;1062;2305;991;9700;9833;9787;55143;146909;259266;79801;9212;83461;51203;10051;51659</t>
  </si>
  <si>
    <t>E2F8;PLK4;UBE2C;NDC80;AURKA;BIRC5;PRC1;BUB1;BUB1B;HMMR;CCNB2;ZWINT;KIF20A;SMC2;TYMS;CDK1;TOP2A;PCNA;CCNA2;RRM1;RRM2;TTK;MCM4;FEN1;RFC3;MKI67;CENPF;MCM2;KIF11;PLK1;CENPE;FOXM1;CDC20;ESPL1;MELK;DLGAP5;CDCA8;KIF18B;ASPM;SHCBP1;AURKB;CDCA3;NUSAP1;SMC4;GINS2</t>
  </si>
  <si>
    <t>http://www.broadinstitute.org/gsea/msigdb/cards/GNF2_HMMR.html</t>
  </si>
  <si>
    <t>8317;1871;1111;10403;8520;2189;699;8318;9401;9133;11130;10592;9232;86;9134;983;3015;4605;7153;5111;7374;891;890;4001;898;1017;4172;1786;3148;995;5984;5982;7913;2237;5985;5983;4436;1058;1063;5557;5558;6878;9735;4751;5347;641;1434;5427;6733;1869;1062;9493;5888;5426;2305;6749;1479;10036;8208;4085;4998;4175;9700;3837;9918;9319;2146;11073;8438;3066;8570;11004;580</t>
  </si>
  <si>
    <t>CDC7;E2F3;CHEK1;NDC80;HAT1;FANCG;BUB1;CDC45;RECQL4;CCNB2;ZWINT;SMC2;PTTG1;ACTL6A;CCNE2;CDK1;H2AFZ;MYBL2;TOP2A;PCNA;UNG;CCNB1;CCNA2;LMNB1;CCNE1;CDK2;MCM3;DNMT1;HMGB2;CDC25C;RFC4;RFC2;DEK;FEN1;RFC5;RFC3;MSH2;CENPA;CENPF;PRIM1;PRIM2;TAF6;KNTC1;NEK2;PLK1;BLM;CSE1L;POLE2;SRPK2;E2F1;CENPE;AC027237.1;RAD51;POLE;FOXM1;SSRP1;CSTF3;CHAF1A;CHAF1B;MAD2L1;ORC1;MCM6;ESPL1;KPNB1;NCAPD2;TRIP13;EZH2;TOPBP1;RAD54L;HDAC2;KHSRP;KIF2C;BARD1</t>
  </si>
  <si>
    <t>8317;11065;10403;8520;701;3161;8318;10535;9401;9133;11130;9232;7298;983;4605;7153;5111;7374;891;890;4001;1841;6240;1017;4172;1786;6241;4173;5984;4521;2237;5983;899;4436;4288;1058;1063;5557;4171;8833;9735;2956;3832;5347;641;1434;1869;84823;2305;10024;991;10036;4085;2967;4175;23076;9837;9768;9918;9928;9787;9319;2146;1033;11073;23165;8438;9088;11004;3833;51512;22974;27339</t>
  </si>
  <si>
    <t>CDC7;UBE2C;NDC80;HAT1;BUB1B;HMMR;CDC45;RNASEH2A;RECQL4;CCNB2;ZWINT;PTTG1;TYMS;CDK1;MYBL2;TOP2A;PCNA;UNG;CCNB1;CCNA2;LMNB1;DTYMK;RRM1;CDK2;MCM3;DNMT1;RRM2;MCM4;RFC4;NUDT1;FEN1;RFC3;CCNF;MSH2;MKI67;CENPA;CENPF;PRIM1;MCM2;GMPS;KNTC1;MSH6;KIF11;PLK1;BLM;CSE1L;E2F1;LMNB2;FOXM1;TROAP;CDC20;CHAF1A;MAD2L1;GTF2H3;MCM6;RRP1B;GINS1;PCLAF;NCAPD2;KIF14;DLGAP5;TRIP13;EZH2;CDKN3;TOPBP1;NUP205;RAD54L;PKMYT1;KIF2C;KIFC1;GTSE1;TPX2;PRPF19</t>
  </si>
  <si>
    <t>GNF2_BUB1B</t>
  </si>
  <si>
    <t>11065;10403;6790;699;701;3161;9133;11130;10112;7298;7153;5111;890;4001;6240;4172;6241;7272;4173;4171;3832;5347;1434;991;9700;9833;9837;9918;9928;55165;55143;259266;55355;23165;9212;10615;29127;3070;79019;10051;55215;55723</t>
  </si>
  <si>
    <t>UBE2C;NDC80;AURKA;BUB1;BUB1B;HMMR;CCNB2;ZWINT;KIF20A;TYMS;TOP2A;PCNA;CCNA2;LMNB1;RRM1;MCM3;RRM2;TTK;MCM4;MCM2;KIF11;PLK1;CSE1L;CDC20;ESPL1;MELK;GINS1;NCAPD2;KIF14;CEP55;CDCA8;ASPM;HJURP;NUP205;AURKB;SPAG5;RACGAP1;HELLS;CENPM;SMC4;FANCI;ASF1B</t>
  </si>
  <si>
    <t>http://www.broadinstitute.org/gsea/msigdb/cards/GNF2_BUB1B.html</t>
  </si>
  <si>
    <t>GNF2_FEN1</t>
  </si>
  <si>
    <t>79733;10733;10403;8520;9055;3161;9133;11130;7298;983;7153;5111;890;1841;6240;4172;3148;7272;4173;4174;4176;5984;2237;5985;4436;1063;4171;3832;5427;2305;9837;9768;9787;146909;79801;23234;10635;51203;29127;10051;55215;51514;51659</t>
  </si>
  <si>
    <t>E2F8;PLK4;NDC80;HAT1;PRC1;HMMR;CCNB2;ZWINT;TYMS;CDK1;TOP2A;PCNA;CCNA2;DTYMK;RRM1;MCM3;HMGB2;TTK;MCM4;MCM5;MCM7;RFC4;FEN1;RFC5;MSH2;CENPF;MCM2;KIF11;POLE2;FOXM1;GINS1;PCLAF;DLGAP5;KIF18B;SHCBP1;DNAJC9;RAD51AP1;NUSAP1;RACGAP1;SMC4;FANCI;DTL;GINS2</t>
  </si>
  <si>
    <t>http://www.broadinstitute.org/gsea/msigdb/cards/GNF2_FEN1.html</t>
  </si>
  <si>
    <t>GNF2_CKS2</t>
  </si>
  <si>
    <t>10733;10403;332;9055;3161;9133;11130;10112;10592;9232;7298;983;7153;5111;890;6240;3148;7272;4173;5984;2237;5983;1063;4171;1062;2305;991;9837;9768;9787;259266;79801;26586;83461;51203;29127;10051;55215;51514;51659</t>
  </si>
  <si>
    <t>PLK4;NDC80;BIRC5;PRC1;HMMR;CCNB2;ZWINT;KIF20A;SMC2;PTTG1;TYMS;CDK1;TOP2A;PCNA;CCNA2;RRM1;HMGB2;TTK;MCM4;RFC4;FEN1;RFC3;CENPF;MCM2;CENPE;FOXM1;CDC20;GINS1;PCLAF;DLGAP5;ASPM;SHCBP1;CKAP2;CDCA3;NUSAP1;RACGAP1;SMC4;FANCI;DTL;GINS2</t>
  </si>
  <si>
    <t>http://www.broadinstitute.org/gsea/msigdb/cards/GNF2_CKS2.html</t>
  </si>
  <si>
    <t>GNF2_RRM2</t>
  </si>
  <si>
    <t>11065;10403;6790;332;699;701;3161;9133;11130;7298;983;7153;5111;890;4001;6240;4172;6241;4173;4288;1063;4171;3832;5347;1062;2305;991;4175;9700;9833;9787;55143;146909;259266;9212;51203;79019</t>
  </si>
  <si>
    <t>UBE2C;NDC80;AURKA;BIRC5;BUB1;BUB1B;HMMR;CCNB2;ZWINT;TYMS;CDK1;TOP2A;PCNA;CCNA2;LMNB1;RRM1;MCM3;RRM2;MCM4;MKI67;CENPF;MCM2;KIF11;PLK1;CENPE;FOXM1;CDC20;MCM6;ESPL1;MELK;DLGAP5;CDCA8;KIF18B;ASPM;AURKB;NUSAP1;CENPM</t>
  </si>
  <si>
    <t>http://www.broadinstitute.org/gsea/msigdb/cards/GNF2_RRM2.html</t>
  </si>
  <si>
    <t>GNF2_CENPE</t>
  </si>
  <si>
    <t>11065;10403;6790;332;9055;699;3161;9133;11130;10592;7298;983;4605;5111;890;6240;6241;5983;899;7112;4288;1063;5557;3832;1163;1062;2305;991;9700;9787;55143;146909;259266;79801;9212;83461;51203</t>
  </si>
  <si>
    <t>UBE2C;NDC80;AURKA;BIRC5;PRC1;BUB1;HMMR;CCNB2;ZWINT;SMC2;TYMS;CDK1;MYBL2;PCNA;CCNA2;RRM1;RRM2;RFC3;CCNF;TMPO;MKI67;CENPF;PRIM1;KIF11;CKS1B;CENPE;FOXM1;CDC20;ESPL1;DLGAP5;CDCA8;KIF18B;ASPM;SHCBP1;AURKB;CDCA3;NUSAP1</t>
  </si>
  <si>
    <t>http://www.broadinstitute.org/gsea/msigdb/cards/GNF2_CENPE.html</t>
  </si>
  <si>
    <t>GNF2_TTK</t>
  </si>
  <si>
    <t>10733;10403;9055;701;3161;9133;11130;10592;7298;983;7153;5111;890;6240;7272;4173;5984;2237;1063;4171;3832;2305;991;9833;79682;146909;259266;55355;11004;51203;29127;10051;55215;10926;22974;51659</t>
  </si>
  <si>
    <t>PLK4;NDC80;PRC1;BUB1B;HMMR;CCNB2;ZWINT;SMC2;TYMS;CDK1;TOP2A;PCNA;CCNA2;RRM1;TTK;MCM4;RFC4;FEN1;CENPF;MCM2;KIF11;FOXM1;CDC20;MELK;CENPU;KIF18B;ASPM;HJURP;KIF2C;NUSAP1;RACGAP1;SMC4;FANCI;DBF4;TPX2;GINS2</t>
  </si>
  <si>
    <t>http://www.broadinstitute.org/gsea/msigdb/cards/GNF2_TTK.html</t>
  </si>
  <si>
    <t>GNF2_ESPL1</t>
  </si>
  <si>
    <t>11065;332;699;701;3161;9133;10112;10592;7153;5111;890;6241;4173;4288;1058;3832;5347;1163;1062;2305;991;4085;4175;9700;9833;9918;55143;259266;9212;10615;11004;79019;55723;22974</t>
  </si>
  <si>
    <t>UBE2C;BIRC5;BUB1;BUB1B;HMMR;CCNB2;KIF20A;SMC2;TOP2A;PCNA;CCNA2;RRM2;MCM4;MKI67;CENPA;KIF11;PLK1;CKS1B;CENPE;FOXM1;CDC20;MAD2L1;MCM6;ESPL1;MELK;NCAPD2;CDCA8;ASPM;AURKB;SPAG5;KIF2C;CENPM;ASF1B;TPX2</t>
  </si>
  <si>
    <t>http://www.broadinstitute.org/gsea/msigdb/cards/GNF2_ESPL1.html</t>
  </si>
  <si>
    <t>11065;10403;701;3161;8318;10535;9401;9133;11130;9232;983;4605;7153;5111;7374;891;890;4001;1841;6240;4172;6241;4173;5984;4521;2237;899;4288;1058;1063;4171;8833;9735;3832;5347;1434;1869;84823;2305;10024;991;10036;4085;4175;9768;9918;9928;9787;9319;2146;1033;11073;23165;8438;9088;3833;51512;22974;27339</t>
  </si>
  <si>
    <t>UBE2C;NDC80;BUB1B;HMMR;CDC45;RNASEH2A;RECQL4;CCNB2;ZWINT;PTTG1;CDK1;MYBL2;TOP2A;PCNA;UNG;CCNB1;CCNA2;LMNB1;DTYMK;RRM1;MCM3;RRM2;MCM4;RFC4;NUDT1;FEN1;CCNF;MKI67;CENPA;CENPF;MCM2;GMPS;KNTC1;KIF11;PLK1;CSE1L;E2F1;LMNB2;FOXM1;TROAP;CDC20;CHAF1A;MAD2L1;MCM6;PCLAF;NCAPD2;KIF14;DLGAP5;TRIP13;EZH2;CDKN3;TOPBP1;NUP205;RAD54L;PKMYT1;KIFC1;GTSE1;TPX2;PRPF19</t>
  </si>
  <si>
    <t>GNF2_SMC2L1</t>
  </si>
  <si>
    <t>10403;332;699;3161;9133;11130;10592;983;4605;7153;5111;890;6240;4172;7272;5984;5983;1063;5557;3832;1163;1062;2305;991;4175;9700;55143;146909;259266;51203;10051</t>
  </si>
  <si>
    <t>NDC80;BIRC5;BUB1;HMMR;CCNB2;ZWINT;SMC2;CDK1;MYBL2;TOP2A;PCNA;CCNA2;RRM1;MCM3;TTK;RFC4;RFC3;CENPF;PRIM1;KIF11;CKS1B;CENPE;FOXM1;CDC20;MCM6;ESPL1;CDCA8;KIF18B;ASPM;NUSAP1;SMC4</t>
  </si>
  <si>
    <t>http://www.broadinstitute.org/gsea/msigdb/cards/GNF2_SMC2L1.html</t>
  </si>
  <si>
    <t>GNF2_RFC3</t>
  </si>
  <si>
    <t>11065;10403;332;3161;10592;983;3015;7153;1503;890;6240;4172;4173;5984;5983;5902;2956;3832;1163;1062;2305;6749;4175;9768;9918;259266;10635;10051;55215;8914;51659;11198</t>
  </si>
  <si>
    <t>UBE2C;NDC80;BIRC5;HMMR;SMC2;CDK1;H2AFZ;TOP2A;CTPS1;CCNA2;RRM1;MCM3;MCM4;RFC4;RFC3;RANBP1;MSH6;KIF11;CKS1B;CENPE;FOXM1;SSRP1;MCM6;PCLAF;NCAPD2;ASPM;RAD51AP1;SMC4;FANCI;TIMELESS;GINS2;SUPT16H</t>
  </si>
  <si>
    <t>http://www.broadinstitute.org/gsea/msigdb/cards/GNF2_RFC3.html</t>
  </si>
  <si>
    <t>MODULE_57</t>
  </si>
  <si>
    <t>8317;1871;1111;699;701;8318;9133;9232;9134;983;5111;891;890;898;1017;4172;993;995;4173;4174;4176;4171;5347;1869;991;4085;4998;4175;9700;3066;9088;990;10926</t>
  </si>
  <si>
    <t>CDC7;E2F3;CHEK1;BUB1;BUB1B;CDC45;CCNB2;PTTG1;CCNE2;CDK1;PCNA;CCNB1;CCNA2;CCNE1;CDK2;MCM3;CDC25A;CDC25C;MCM4;MCM5;MCM7;MCM2;PLK1;E2F1;CDC20;MAD2L1;ORC1;MCM6;ESPL1;HDAC2;PKMYT1;CDC6;DBF4</t>
  </si>
  <si>
    <t>http://www.broadinstitute.org/gsea/msigdb/cards/MODULE_57.html</t>
  </si>
  <si>
    <t>GNF2_H2AFX</t>
  </si>
  <si>
    <t>6790;332;9055;9133;11130;9232;7298;983;5111;890;6240;3148;6241;899;7112;1063;4171;1062;2305;991;9787;27338;55143;146909;259266;79801;23234;51203;10051</t>
  </si>
  <si>
    <t>AURKA;BIRC5;PRC1;CCNB2;ZWINT;PTTG1;TYMS;CDK1;PCNA;CCNA2;RRM1;HMGB2;RRM2;CCNF;TMPO;CENPF;MCM2;CENPE;FOXM1;CDC20;DLGAP5;UBE2S;CDCA8;KIF18B;ASPM;SHCBP1;DNAJC9;NUSAP1;SMC4</t>
  </si>
  <si>
    <t>http://www.broadinstitute.org/gsea/msigdb/cards/GNF2_H2AFX.html</t>
  </si>
  <si>
    <t>MODULE_52</t>
  </si>
  <si>
    <t>1871;11065;8520;701;3161;8318;10535;9133;11130;9232;983;4605;7153;5111;7374;891;890;4001;1841;6240;1017;4172;6241;7272;5984;4521;2237;899;1058;1063;4171;8833;2956;3832;5347;1434;1869;84823;2305;991;10036;4085;4175;9700;23076;9768;9787;9319;2146;1033;23165;9088;3833;51512;22974;27339</t>
  </si>
  <si>
    <t>E2F3;UBE2C;HAT1;BUB1B;HMMR;CDC45;RNASEH2A;CCNB2;ZWINT;PTTG1;CDK1;MYBL2;TOP2A;PCNA;UNG;CCNB1;CCNA2;LMNB1;DTYMK;RRM1;CDK2;MCM3;RRM2;TTK;RFC4;NUDT1;FEN1;CCNF;CENPA;CENPF;MCM2;GMPS;MSH6;KIF11;PLK1;CSE1L;E2F1;LMNB2;FOXM1;CDC20;CHAF1A;MAD2L1;MCM6;ESPL1;RRP1B;PCLAF;DLGAP5;TRIP13;EZH2;CDKN3;NUP205;PKMYT1;KIFC1;GTSE1;TPX2;PRPF19</t>
  </si>
  <si>
    <t>http://www.broadinstitute.org/gsea/msigdb/cards/MODULE_52.html</t>
  </si>
  <si>
    <t>8317;10733;1111;699;9401;10592;7083;983;7153;5111;1841;1017;4172;7272;5984;5982;9775;5985;5983;4436;4288;5557;5558;8833;4751;3832;5347;641;5427;6733;1062;9493;5888;5426;4998;4175;9833;9928;9319;7444;8438;8570;11004</t>
  </si>
  <si>
    <t>CDC7;PLK4;CHEK1;BUB1;RECQL4;SMC2;TK1;CDK1;TOP2A;PCNA;DTYMK;CDK2;MCM3;TTK;RFC4;RFC2;EIF4A3;RFC5;RFC3;MSH2;MKI67;PRIM1;PRIM2;GMPS;NEK2;KIF11;PLK1;BLM;POLE2;SRPK2;CENPE;AC027237.1;RAD51;POLE;ORC1;MCM6;MELK;KIF14;TRIP13;VRK2;RAD54L;KHSRP;KIF2C</t>
  </si>
  <si>
    <t>MODULE_126</t>
  </si>
  <si>
    <t>6790;699;10721;10592;9134;983;5111;7374;891;6929;1503;890;6240;3148;993;10105;5984;2237;5983;4288;1063;8833;3068;2956;1434;1163;10376;1869;1062;2305;9833;1033;113115;54892;259266;83903;3066;8570;29089;10926;26271;22974</t>
  </si>
  <si>
    <t>AURKA;BUB1;POLQ;SMC2;CCNE2;CDK1;PCNA;UNG;CCNB1;TCF3;CTPS1;CCNA2;RRM1;HMGB2;CDC25A;PPIF;RFC4;FEN1;RFC3;MKI67;CENPF;GMPS;HDGF;MSH6;CSE1L;CKS1B;TUBA1B;E2F1;CENPE;FOXM1;MELK;CDKN3;MTFR2;NCAPG2;ASPM;HASPIN;HDAC2;KHSRP;UBE2T;DBF4;FBXO5;TPX2</t>
  </si>
  <si>
    <t>http://www.broadinstitute.org/gsea/msigdb/cards/MODULE_126.html</t>
  </si>
  <si>
    <t>GNF2_MKI67</t>
  </si>
  <si>
    <t>11065;6790;332;3161;11130;10112;983;7153;5111;890;6240;6241;4288;1058;1063;3832;1062;2305;991;9700;9833;9918;146909;259266;64151;51203;22974</t>
  </si>
  <si>
    <t>UBE2C;AURKA;BIRC5;HMMR;ZWINT;KIF20A;CDK1;TOP2A;PCNA;CCNA2;RRM1;RRM2;MKI67;CENPA;CENPF;KIF11;CENPE;FOXM1;CDC20;ESPL1;MELK;NCAPD2;KIF18B;ASPM;NCAPG;NUSAP1;TPX2</t>
  </si>
  <si>
    <t>http://www.broadinstitute.org/gsea/msigdb/cards/GNF2_MKI67.html</t>
  </si>
  <si>
    <t>MODULE_18</t>
  </si>
  <si>
    <t>10212;11065;8520;701;11130;9232;7083;7298;983;7153;5111;7374;891;890;4001;1841;6240;1017;1786;790;4176;5984;4521;2237;5983;899;1058;4171;8833;2956;3832;5347;1434;1869;84823;2305;991;1479;10036;4085;4998;23649;4175;9700;23076;9768;9787;9319;23165;9212;9088;3833;51512;22974;27339</t>
  </si>
  <si>
    <t>DDX39A;UBE2C;HAT1;BUB1B;ZWINT;PTTG1;TK1;TYMS;CDK1;TOP2A;PCNA;UNG;CCNB1;CCNA2;LMNB1;DTYMK;RRM1;CDK2;DNMT1;CAD;MCM7;RFC4;NUDT1;FEN1;RFC3;CCNF;CENPA;MCM2;GMPS;MSH6;KIF11;PLK1;CSE1L;E2F1;LMNB2;FOXM1;CDC20;CSTF3;CHAF1A;MAD2L1;ORC1;POLA2;MCM6;ESPL1;RRP1B;PCLAF;DLGAP5;TRIP13;NUP205;AURKB;PKMYT1;KIFC1;GTSE1;TPX2;PRPF19</t>
  </si>
  <si>
    <t>http://www.broadinstitute.org/gsea/msigdb/cards/MODULE_18.html</t>
  </si>
  <si>
    <t>10212;10403;8520;5496;699;701;3161;7398;11130;86;7298;3015;7153;7374;890;6240;4172;1786;790;5984;7913;5983;4436;4171;10657;6749;10036;4175;9700;23518;9928;9319;27338;23234;8438;3066;8570;10615;11321</t>
  </si>
  <si>
    <t>DDX39A;NDC80;HAT1;PPM1G;BUB1;BUB1B;HMMR;USP1;ZWINT;ACTL6A;TYMS;H2AFZ;TOP2A;UNG;CCNA2;RRM1;MCM3;DNMT1;CAD;RFC4;DEK;RFC3;MSH2;MCM2;KHDRBS1;SSRP1;CHAF1A;MCM6;ESPL1;R3HDM1;KIF14;TRIP13;UBE2S;DNAJC9;RAD54L;HDAC2;KHSRP;SPAG5;GPN1</t>
  </si>
  <si>
    <t>GNF2_CKS1B</t>
  </si>
  <si>
    <t>11065;10403;332;699;10535;10112;10592;890;4172;5984;5983;5902;8833;3832;1163;1062;991;4175;9700;9833;9918;9319;55143;259266;9212;11004;55723;22974</t>
  </si>
  <si>
    <t>UBE2C;NDC80;BIRC5;BUB1;RNASEH2A;KIF20A;SMC2;CCNA2;MCM3;RFC4;RFC3;RANBP1;GMPS;KIF11;CKS1B;CENPE;CDC20;MCM6;ESPL1;MELK;NCAPD2;TRIP13;CDCA8;ASPM;AURKB;KIF2C;ASF1B;TPX2</t>
  </si>
  <si>
    <t>http://www.broadinstitute.org/gsea/msigdb/cards/GNF2_CKS1B.html</t>
  </si>
  <si>
    <t>MODULE_158</t>
  </si>
  <si>
    <t>8317;8318;10535;7153;5111;6240;1017;4172;3148;6241;5984;5982;2237;5985;5983;1063;5557;5558;675;641;5427;1062;5426;10036;8208;4998;4175;11073</t>
  </si>
  <si>
    <t>CDC7;CDC45;RNASEH2A;TOP2A;PCNA;RRM1;CDK2;MCM3;HMGB2;RRM2;RFC4;RFC2;FEN1;RFC5;RFC3;CENPF;PRIM1;PRIM2;BRCA2;BLM;POLE2;CENPE;POLE;CHAF1A;CHAF1B;ORC1;MCM6;TOPBP1</t>
  </si>
  <si>
    <t>http://www.broadinstitute.org/gsea/msigdb/cards/MODULE_158.html</t>
  </si>
  <si>
    <t>GNF2_BUB1</t>
  </si>
  <si>
    <t>10403;699;701;3161;9133;10112;10592;6241;4173;5902;5347;1163;1062;2305;991;8208;9700;9833;55143;259266;9212;10615;11004;81620;55723</t>
  </si>
  <si>
    <t>NDC80;BUB1;BUB1B;HMMR;CCNB2;KIF20A;SMC2;RRM2;MCM4;RANBP1;PLK1;CKS1B;CENPE;FOXM1;CDC20;CHAF1B;ESPL1;MELK;CDCA8;ASPM;AURKB;SPAG5;KIF2C;CDT1;ASF1B</t>
  </si>
  <si>
    <t>http://www.broadinstitute.org/gsea/msigdb/cards/GNF2_BUB1.html</t>
  </si>
  <si>
    <t>MODULE_3</t>
  </si>
  <si>
    <t>11065;701;9133;11130;9232;7083;7298;983;4605;7153;5111;7374;891;890;4001;1841;6240;1017;4172;1786;790;6241;4174;4176;2237;899;1058;4171;8833;3832;5347;1434;84823;2305;991;10036;4085;4175;23076;9768;9787;9319;1033;23165;9212;3833;10051;22974;27339</t>
  </si>
  <si>
    <t>UBE2C;BUB1B;CCNB2;ZWINT;PTTG1;TK1;TYMS;CDK1;MYBL2;TOP2A;PCNA;UNG;CCNB1;CCNA2;LMNB1;DTYMK;RRM1;CDK2;MCM3;DNMT1;CAD;RRM2;MCM5;MCM7;FEN1;CCNF;CENPA;MCM2;GMPS;KIF11;PLK1;CSE1L;LMNB2;FOXM1;CDC20;CHAF1A;MAD2L1;MCM6;RRP1B;PCLAF;DLGAP5;TRIP13;CDKN3;NUP205;AURKB;KIFC1;SMC4;TPX2;PRPF19</t>
  </si>
  <si>
    <t>http://www.broadinstitute.org/gsea/msigdb/cards/MODULE_3.html</t>
  </si>
  <si>
    <t>10212;11065;10403;8520;701;3161;11130;9232;7083;7298;4605;7153;5111;7374;890;4001;6240;898;1017;1786;790;4174;4521;2237;899;4436;1058;4171;8833;2956;3832;5347;84823;2305;991;1479;10036;4085;4998;6996;2967;23649;4175;9700;23076;9768;9319;23165;8438;9212;9088;51512;22974;27339</t>
  </si>
  <si>
    <t>DDX39A;UBE2C;NDC80;HAT1;BUB1B;HMMR;ZWINT;PTTG1;TK1;TYMS;MYBL2;TOP2A;PCNA;UNG;CCNA2;LMNB1;RRM1;CCNE1;CDK2;DNMT1;CAD;MCM5;NUDT1;FEN1;CCNF;MSH2;CENPA;MCM2;GMPS;MSH6;KIF11;PLK1;LMNB2;FOXM1;CDC20;CSTF3;CHAF1A;MAD2L1;ORC1;TDG;GTF2H3;POLA2;MCM6;ESPL1;RRP1B;PCLAF;TRIP13;NUP205;RAD54L;AURKB;PKMYT1;GTSE1;TPX2;PRPF19</t>
  </si>
  <si>
    <t>MODULE_125</t>
  </si>
  <si>
    <t>8317;8318;10535;7153;5111;6240;1017;4172;6241;5984;5982;2237;5985;5983;1063;5557;5558;675;641;5427;1062;5426;10036;8208;4998;4175;11073</t>
  </si>
  <si>
    <t>CDC7;CDC45;RNASEH2A;TOP2A;PCNA;RRM1;CDK2;MCM3;RRM2;RFC4;RFC2;FEN1;RFC5;RFC3;CENPF;PRIM1;PRIM2;BRCA2;BLM;POLE2;CENPE;POLE;CHAF1A;CHAF1B;ORC1;MCM6;TOPBP1</t>
  </si>
  <si>
    <t>http://www.broadinstitute.org/gsea/msigdb/cards/MODULE_125.html</t>
  </si>
  <si>
    <t>MODULE_403</t>
  </si>
  <si>
    <t>10733;8318;9401;9134;7083;983;3015;4605;7153;5111;7374;891;1841;1017;4172;2237;4436;4288;1058;4751;3838;5347;1869;991;4175;9833;11073</t>
  </si>
  <si>
    <t>PLK4;CDC45;RECQL4;CCNE2;TK1;CDK1;H2AFZ;MYBL2;TOP2A;PCNA;UNG;CCNB1;DTYMK;CDK2;MCM3;FEN1;MSH2;MKI67;CENPA;NEK2;KPNA2;PLK1;E2F1;CDC20;MCM6;MELK;TOPBP1</t>
  </si>
  <si>
    <t>http://www.broadinstitute.org/gsea/msigdb/cards/MODULE_403.html</t>
  </si>
  <si>
    <t>10212;8520;5496;699;7398;11130;86;7298;3015;5111;4691;6240;1017;4172;1786;10971;790;4174;4176;5984;7913;4521;2237;4436;4171;8833;4670;84823;10657;6749;10036;8683;23649;4175;9700;9768;23518;27338;23234;3066;8570;9212;11321</t>
  </si>
  <si>
    <t>DDX39A;HAT1;PPM1G;BUB1;USP1;ZWINT;ACTL6A;TYMS;H2AFZ;PCNA;NCL;RRM1;CDK2;MCM3;DNMT1;YWHAQ;CAD;MCM5;MCM7;RFC4;DEK;NUDT1;FEN1;MSH2;MCM2;GMPS;HNRNPM;LMNB2;KHDRBS1;SSRP1;CHAF1A;SRSF9;POLA2;MCM6;ESPL1;PCLAF;R3HDM1;UBE2S;DNAJC9;HDAC2;KHSRP;AURKB;GPN1</t>
  </si>
  <si>
    <t>8520;5496;699;7398;11130;7298;3015;6240;4172;1786;5984;4521;2237;4436;1063;4171;4670;3832;84823;10657;6749;10036;4175;9700;23518;9787;23234;8438;3066;8570;10615;11321</t>
  </si>
  <si>
    <t>HAT1;PPM1G;BUB1;USP1;ZWINT;TYMS;H2AFZ;RRM1;MCM3;DNMT1;RFC4;NUDT1;FEN1;MSH2;CENPF;MCM2;HNRNPM;KIF11;LMNB2;KHDRBS1;SSRP1;CHAF1A;MCM6;ESPL1;R3HDM1;DLGAP5;DNAJC9;RAD54L;HDAC2;KHSRP;SPAG5;GPN1</t>
  </si>
  <si>
    <t>10212;1871;11065;8520;701;9133;11130;9232;7083;7298;983;7153;5111;7374;891;890;4001;1841;6240;1017;4172;1786;790;7272;4176;5984;4521;2237;4436;1063;4171;8833;2956;5347;1434;84823;2305;991;10036;4085;6996;4175;23076;9768;9319;1033;23165;9212;22974</t>
  </si>
  <si>
    <t>DDX39A;E2F3;UBE2C;HAT1;BUB1B;CCNB2;ZWINT;PTTG1;TK1;TYMS;CDK1;TOP2A;PCNA;UNG;CCNB1;CCNA2;LMNB1;DTYMK;RRM1;CDK2;MCM3;DNMT1;CAD;TTK;MCM7;RFC4;NUDT1;FEN1;MSH2;CENPF;MCM2;GMPS;MSH6;PLK1;CSE1L;LMNB2;FOXM1;CDC20;CHAF1A;MAD2L1;TDG;MCM6;RRP1B;PCLAF;TRIP13;CDKN3;NUP205;AURKB;TPX2</t>
  </si>
  <si>
    <t>10403;8520;7398;11130;7298;7153;5111;4001;6240;4172;3148;5725;4173;4174;4176;7913;2237;4171;6749;23649;9837;55143;11073;79019;10051;51514;51659</t>
  </si>
  <si>
    <t>NDC80;HAT1;USP1;ZWINT;TYMS;TOP2A;PCNA;LMNB1;RRM1;MCM3;HMGB2;PTBP1;MCM4;MCM5;MCM7;DEK;FEN1;MCM2;SSRP1;POLA2;GINS1;CDCA8;TOPBP1;CENPM;SMC4;DTL;GINS2</t>
  </si>
  <si>
    <t>10212;3161;8318;10535;9133;11130;9232;7083;7298;983;7153;5111;891;890;1841;1017;4172;1786;790;7272;4176;5984;4521;2237;4436;5557;4171;8833;5347;84823;991;10036;4998;4175;23076;9768;9928;9319;2146;23165;9212;9088;11004;22974;27339</t>
  </si>
  <si>
    <t>DDX39A;HMMR;CDC45;RNASEH2A;CCNB2;ZWINT;PTTG1;TK1;TYMS;CDK1;TOP2A;PCNA;CCNB1;CCNA2;DTYMK;CDK2;MCM3;DNMT1;CAD;TTK;MCM7;RFC4;NUDT1;FEN1;MSH2;PRIM1;MCM2;GMPS;PLK1;LMNB2;CDC20;CHAF1A;ORC1;MCM6;RRP1B;PCLAF;KIF14;TRIP13;EZH2;NUP205;AURKB;PKMYT1;KIF2C;TPX2;PRPF19</t>
  </si>
  <si>
    <t>8317;1871;11065;10403;332;699;11169;9133;10592;9232;86;983;4605;891;890;898;4172;1786;3148;993;7913;9735;3838;5347;1869;9493;10657;2305;6749;4085;4175;9918;2146;3066;11004</t>
  </si>
  <si>
    <t>CDC7;E2F3;UBE2C;NDC80;BIRC5;BUB1;WDHD1;CCNB2;SMC2;PTTG1;ACTL6A;CDK1;MYBL2;CCNB1;CCNA2;CCNE1;MCM3;DNMT1;HMGB2;CDC25A;DEK;KNTC1;KPNA2;PLK1;E2F1;AC027237.1;KHDRBS1;FOXM1;SSRP1;MAD2L1;MCM6;NCAPD2;EZH2;HDAC2;KIF2C</t>
  </si>
  <si>
    <t>MORF_BUB1B</t>
  </si>
  <si>
    <t>8317;10733;10403;699;701;3161;11130;86;983;7153;890;1786;7272;5984;5983;1058;4171;5347;4175;9700;9928;9319;8438;3066;8570;9585;22974</t>
  </si>
  <si>
    <t>CDC7;PLK4;NDC80;BUB1;BUB1B;HMMR;ZWINT;ACTL6A;CDK1;TOP2A;CCNA2;DNMT1;TTK;RFC4;RFC3;CENPA;MCM2;PLK1;MCM6;ESPL1;KIF14;TRIP13;RAD54L;HDAC2;KHSRP;KIF20B;TPX2</t>
  </si>
  <si>
    <t>http://www.broadinstitute.org/gsea/msigdb/cards/MORF_BUB1B.html</t>
  </si>
  <si>
    <t>MORF_ESPL1</t>
  </si>
  <si>
    <t>8520;5496;699;701;11130;7298;3015;6240;4172;1786;5984;4521;2237;4171;3832;5347;84823;2305;6749;23649;4175;9700;23234;8570;9212;3833</t>
  </si>
  <si>
    <t>HAT1;PPM1G;BUB1;BUB1B;ZWINT;TYMS;H2AFZ;RRM1;MCM3;DNMT1;RFC4;NUDT1;FEN1;MCM2;KIF11;PLK1;LMNB2;FOXM1;SSRP1;POLA2;MCM6;ESPL1;DNAJC9;KHSRP;AURKB;KIFC1</t>
  </si>
  <si>
    <t>http://www.broadinstitute.org/gsea/msigdb/cards/MORF_ESPL1.html</t>
  </si>
  <si>
    <t>MORF_BUB1</t>
  </si>
  <si>
    <t>10403;8520;699;701;3161;7398;11130;3015;891;6240;5984;5983;3832;5347;2305;4175;9700;9928;9787;3066;8570;10615;11004;22974</t>
  </si>
  <si>
    <t>NDC80;HAT1;BUB1;BUB1B;HMMR;USP1;ZWINT;H2AFZ;CCNB1;RRM1;RFC4;RFC3;KIF11;PLK1;FOXM1;MCM6;ESPL1;KIF14;DLGAP5;HDAC2;KHSRP;SPAG5;KIF2C;TPX2</t>
  </si>
  <si>
    <t>http://www.broadinstitute.org/gsea/msigdb/cards/MORF_BUB1.html</t>
  </si>
  <si>
    <t>MODULE_124</t>
  </si>
  <si>
    <t>8317;1871;11065;10403;332;699;9133;10592;9232;86;983;891;890;898;1017;993;6878;9735;3838;5347;1869;9493;10657;1479;4085;9918;11004</t>
  </si>
  <si>
    <t>CDC7;E2F3;UBE2C;NDC80;BIRC5;BUB1;CCNB2;SMC2;PTTG1;ACTL6A;CDK1;CCNB1;CCNA2;CCNE1;CDK2;CDC25A;TAF6;KNTC1;KPNA2;PLK1;E2F1;AC027237.1;KHDRBS1;CSTF3;MAD2L1;NCAPD2;KIF2C</t>
  </si>
  <si>
    <t>http://www.broadinstitute.org/gsea/msigdb/cards/MODULE_124.html</t>
  </si>
  <si>
    <t>5496;701;7398;11130;7298;3015;6240;4172;1786;4174;5984;4521;4171;4670;84823;10657;6749;10036;23649;4175;9700;23518;23234;8438;3066;8570;10615</t>
  </si>
  <si>
    <t>PPM1G;BUB1B;USP1;ZWINT;TYMS;H2AFZ;RRM1;MCM3;DNMT1;MCM5;RFC4;NUDT1;MCM2;HNRNPM;LMNB2;KHDRBS1;SSRP1;CHAF1A;POLA2;MCM6;ESPL1;R3HDM1;DNAJC9;RAD54L;HDAC2;KHSRP;SPAG5</t>
  </si>
  <si>
    <t>MODULE_397</t>
  </si>
  <si>
    <t>10733;10403;6790;701;8318;10592;9232;4605;1063;3832;5347;1869;1062;9493;2305;991;4998;23397;9918;9319;9824;23165;113130;83540;55723;29980;22974</t>
  </si>
  <si>
    <t>PLK4;NDC80;AURKA;BUB1B;CDC45;SMC2;PTTG1;MYBL2;CENPF;KIF11;PLK1;E2F1;CENPE;AC027237.1;FOXM1;CDC20;ORC1;NCAPH;NCAPD2;TRIP13;ARHGAP11A;NUP205;CDCA5;NUF2;ASF1B;DONSON;TPX2</t>
  </si>
  <si>
    <t>http://www.broadinstitute.org/gsea/msigdb/cards/MODULE_397.html</t>
  </si>
  <si>
    <t>GNF2_MSH2</t>
  </si>
  <si>
    <t>10403;7398;7153;5111;6240;4172;4176;5984;2237;4436;2956;4175;9837;9768;10635;10051;55215;11198</t>
  </si>
  <si>
    <t>NDC80;USP1;TOP2A;PCNA;RRM1;MCM3;MCM7;RFC4;FEN1;MSH2;MSH6;MCM6;GINS1;PCLAF;RAD51AP1;SMC4;FANCI;SUPT16H</t>
  </si>
  <si>
    <t>http://www.broadinstitute.org/gsea/msigdb/cards/GNF2_MSH2.html</t>
  </si>
  <si>
    <t>5496;699;7398;11130;9232;7298;3015;6240;4172;1786;5984;4521;4171;84823;10657;6749;10036;8683;4175;9700;23518;27338;23234;3066;8570;3833;11321</t>
  </si>
  <si>
    <t>PPM1G;BUB1;USP1;ZWINT;PTTG1;TYMS;H2AFZ;RRM1;MCM3;DNMT1;RFC4;NUDT1;MCM2;LMNB2;KHDRBS1;SSRP1;CHAF1A;SRSF9;MCM6;ESPL1;R3HDM1;UBE2S;DNAJC9;HDAC2;KHSRP;KIFC1;GPN1</t>
  </si>
  <si>
    <t>10212;8317;5709;701;7398;11130;86;7298;6240;1017;4172;1786;10971;790;4174;5984;4521;4171;10657;6749;10036;4175;9319;8438;3066;8570;9088;11321</t>
  </si>
  <si>
    <t>DDX39A;CDC7;PSMD3;BUB1B;USP1;ZWINT;ACTL6A;TYMS;RRM1;CDK2;MCM3;DNMT1;YWHAQ;CAD;MCM5;RFC4;NUDT1;MCM2;KHDRBS1;SSRP1;CHAF1A;MCM6;TRIP13;RAD54L;HDAC2;KHSRP;PKMYT1;GPN1</t>
  </si>
  <si>
    <t>MORF_FEN1</t>
  </si>
  <si>
    <t>8520;5496;11130;3015;5111;7374;891;6240;4172;4176;5982;2237;3838;84823;2305;4175;9700;9768;23234;23165</t>
  </si>
  <si>
    <t>HAT1;PPM1G;ZWINT;H2AFZ;PCNA;UNG;CCNB1;RRM1;MCM3;MCM7;RFC2;FEN1;KPNA2;LMNB2;FOXM1;MCM6;ESPL1;PCLAF;DNAJC9;NUP205</t>
  </si>
  <si>
    <t>http://www.broadinstitute.org/gsea/msigdb/cards/MORF_FEN1.html</t>
  </si>
  <si>
    <t>GNF2_PA2G4</t>
  </si>
  <si>
    <t>5717;10403;8520;701;3015;5111;10797;4691;6240;4172;790;4173;4174;4176;5902;8833;1434;1163;6749;9833;79019</t>
  </si>
  <si>
    <t>PSMD11;NDC80;HAT1;BUB1B;H2AFZ;PCNA;MTHFD2;NCL;RRM1;MCM3;CAD;MCM4;MCM5;MCM7;RANBP1;GMPS;CSE1L;CKS1B;SSRP1;MELK;CENPM</t>
  </si>
  <si>
    <t>http://www.broadinstitute.org/gsea/msigdb/cards/GNF2_PA2G4.html</t>
  </si>
  <si>
    <t>10212;8520;5496;699;701;7398;11130;86;3015;7374;6240;1017;1786;10971;790;5984;7913;4436;5902;4171;4670;10657;6749;10036;4175;23518;23234;8438;3066;8570;11321</t>
  </si>
  <si>
    <t>DDX39A;HAT1;PPM1G;BUB1;BUB1B;USP1;ZWINT;ACTL6A;H2AFZ;UNG;RRM1;CDK2;DNMT1;YWHAQ;CAD;RFC4;DEK;MSH2;RANBP1;MCM2;HNRNPM;KHDRBS1;SSRP1;CHAF1A;MCM6;R3HDM1;DNAJC9;RAD54L;HDAC2;KHSRP;GPN1</t>
  </si>
  <si>
    <t>10212;8520;5496;11130;7298;3015;4691;4172;1786;10971;790;10105;5984;7913;4521;4171;8833;3068;4670;84823;10657;8683;23649;4175;9700;9768;23518;23234;23165;3066;8570;3833;11321</t>
  </si>
  <si>
    <t>DDX39A;HAT1;PPM1G;ZWINT;TYMS;H2AFZ;NCL;MCM3;DNMT1;YWHAQ;CAD;PPIF;RFC4;DEK;NUDT1;MCM2;GMPS;HDGF;HNRNPM;LMNB2;KHDRBS1;SRSF9;POLA2;MCM6;ESPL1;PCLAF;R3HDM1;DNAJC9;NUP205;HDAC2;KHSRP;KIFC1;GPN1</t>
  </si>
  <si>
    <t>MODULE_451</t>
  </si>
  <si>
    <t>8318;983;3015;4605;7153;5111;891;2237;4288;1058;4751;3838;5347;991;9833;11073</t>
  </si>
  <si>
    <t>CDC45;CDK1;H2AFZ;MYBL2;TOP2A;PCNA;CCNB1;FEN1;MKI67;CENPA;NEK2;KPNA2;PLK1;CDC20;MELK;TOPBP1</t>
  </si>
  <si>
    <t>http://www.broadinstitute.org/gsea/msigdb/cards/MODULE_451.html</t>
  </si>
  <si>
    <t>MODULE_105</t>
  </si>
  <si>
    <t>332;983;4605;5111;891;1503;890;7283;1841;6240;6241;899;4436;4288;1058;9735;4751;641;1163;2305;10036;4085;9833;1994;2146;11073</t>
  </si>
  <si>
    <t>BIRC5;CDK1;MYBL2;PCNA;CCNB1;CTPS1;CCNA2;TUBG1;DTYMK;RRM1;RRM2;CCNF;MSH2;MKI67;CENPA;KNTC1;NEK2;BLM;CKS1B;FOXM1;CHAF1A;MAD2L1;MELK;ELAVL1;EZH2;TOPBP1</t>
  </si>
  <si>
    <t>http://www.broadinstitute.org/gsea/msigdb/cards/MODULE_105.html</t>
  </si>
  <si>
    <t>10212;8520;7398;86;5111;7374;6240;5984;7913;4436;5902;4171;2956;10657;6749;10036;3066;11321</t>
  </si>
  <si>
    <t>DDX39A;HAT1;USP1;ACTL6A;PCNA;UNG;RRM1;RFC4;DEK;MSH2;RANBP1;MCM2;MSH6;KHDRBS1;SSRP1;CHAF1A;HDAC2;GPN1</t>
  </si>
  <si>
    <t>8520;5496;699;7398;11130;3015;5111;7374;891;6240;5984;7913;2237;4436;4670;3838;10657;8683;9700;9768;23518;23234;3066;11321</t>
  </si>
  <si>
    <t>HAT1;PPM1G;BUB1;USP1;ZWINT;H2AFZ;PCNA;UNG;CCNB1;RRM1;RFC4;DEK;FEN1;MSH2;HNRNPM;KPNA2;KHDRBS1;SRSF9;ESPL1;PCLAF;R3HDM1;DNAJC9;HDAC2;GPN1</t>
  </si>
  <si>
    <t>MORF_PCNA</t>
  </si>
  <si>
    <t>8520;5496;7398;3015;5111;7374;4691;10971;4176;7913;2237;4436;4171;4670;2956;10657;8683;9768;9212</t>
  </si>
  <si>
    <t>HAT1;PPM1G;USP1;H2AFZ;PCNA;UNG;NCL;YWHAQ;MCM7;DEK;FEN1;MSH2;MCM2;HNRNPM;MSH6;KHDRBS1;SRSF9;PCLAF;AURKB</t>
  </si>
  <si>
    <t>http://www.broadinstitute.org/gsea/msigdb/cards/MORF_PCNA.html</t>
  </si>
  <si>
    <t>8317;10733;2189;284403;672;5985;899;4288;1058;1763;1479;4085;3837;9319;9824;9125;55215;51512</t>
  </si>
  <si>
    <t>CDC7;PLK4;FANCG;WDR62;BRCA1;RFC5;CCNF;MKI67;CENPA;DNA2;CSTF3;MAD2L1;KPNB1;TRIP13;ARHGAP11A;CNOT9;FANCI;GTSE1</t>
  </si>
  <si>
    <t>10212;5496;7398;7298;3015;4691;6240;1017;1786;5725;10971;10105;7913;4521;4171;4670;10657;8683;23649;4175;9700;23518;27338;23234;3066;8570;3833;11321</t>
  </si>
  <si>
    <t>DDX39A;PPM1G;USP1;TYMS;H2AFZ;NCL;RRM1;CDK2;DNMT1;PTBP1;YWHAQ;PPIF;DEK;NUDT1;MCM2;HNRNPM;KHDRBS1;SRSF9;POLA2;MCM6;ESPL1;R3HDM1;UBE2S;DNAJC9;HDAC2;KHSRP;KIFC1;GPN1</t>
  </si>
  <si>
    <t>10212;5496;7398;7298;3015;4691;6240;1017;1786;5725;10971;7913;4521;4171;4670;10657;6749;10036;8683;23649;4175;23518;23234;3066;11321</t>
  </si>
  <si>
    <t>DDX39A;PPM1G;USP1;TYMS;H2AFZ;NCL;RRM1;CDK2;DNMT1;PTBP1;YWHAQ;DEK;NUDT1;MCM2;HNRNPM;KHDRBS1;SSRP1;CHAF1A;SRSF9;POLA2;MCM6;R3HDM1;DNAJC9;HDAC2;GPN1</t>
  </si>
  <si>
    <t>10212;8520;5496;7398;3015;5111;4691;1017;3148;10971;5984;7913;4521;4436;5902;4171;4670;2956;10657;8683;9768;23518;3066;9212;11321</t>
  </si>
  <si>
    <t>DDX39A;HAT1;PPM1G;USP1;H2AFZ;PCNA;NCL;CDK2;HMGB2;YWHAQ;RFC4;DEK;NUDT1;MSH2;RANBP1;MCM2;HNRNPM;MSH6;KHDRBS1;SRSF9;PCLAF;R3HDM1;HDAC2;AURKB;GPN1</t>
  </si>
  <si>
    <t>GNF2_RAN</t>
  </si>
  <si>
    <t>10112;3015;10797;1503;6240;4172;5984;5983;5902;8833;2956;1434;1163;6749;991;9833;9918</t>
  </si>
  <si>
    <t>KIF20A;H2AFZ;MTHFD2;CTPS1;RRM1;MCM3;RFC4;RFC3;RANBP1;GMPS;MSH6;CSE1L;CKS1B;SSRP1;CDC20;MELK;NCAPD2</t>
  </si>
  <si>
    <t>http://www.broadinstitute.org/gsea/msigdb/cards/GNF2_RAN.html</t>
  </si>
  <si>
    <t>10212;8317;701;11130;86;6240;1786;790;5984;4171;6749;10036;9319;8438;3066;8570;9585;9088</t>
  </si>
  <si>
    <t>DDX39A;CDC7;BUB1B;ZWINT;ACTL6A;RRM1;DNMT1;CAD;RFC4;MCM2;SSRP1;CHAF1A;TRIP13;RAD54L;HDAC2;KHSRP;KIF20B;PKMYT1</t>
  </si>
  <si>
    <t>MORF_SMC1L1</t>
  </si>
  <si>
    <t>10212;8520;7398;3015;5111;4691;6240;4176;7913;4436;4670;2956;10657;23518;11321</t>
  </si>
  <si>
    <t>DDX39A;HAT1;USP1;H2AFZ;PCNA;NCL;RRM1;MCM7;DEK;MSH2;HNRNPM;MSH6;KHDRBS1;R3HDM1;GPN1</t>
  </si>
  <si>
    <t>http://www.broadinstitute.org/gsea/msigdb/cards/MORF_SMC1L1.html</t>
  </si>
  <si>
    <t>MODULE_315</t>
  </si>
  <si>
    <t>332;699;890;7272;1063;3832;1062;9493;991;4085</t>
  </si>
  <si>
    <t>BIRC5;BUB1;CCNA2;TTK;CENPF;KIF11;CENPE;AC027237.1;CDC20;MAD2L1</t>
  </si>
  <si>
    <t>http://www.broadinstitute.org/gsea/msigdb/cards/MODULE_315.html</t>
  </si>
  <si>
    <t>10403;8520;7398;6240;4172;3148;4174;7913;2237;1063;4171;51203;10051</t>
  </si>
  <si>
    <t>NDC80;HAT1;USP1;RRM1;MCM3;HMGB2;MCM5;DEK;FEN1;CENPF;MCM2;NUSAP1;SMC4</t>
  </si>
  <si>
    <t>MODULE_485</t>
  </si>
  <si>
    <t>6790;699;4605;5111;7374;890;6241;5984;5426;9768;9787;27338;990</t>
  </si>
  <si>
    <t>AURKA;BUB1;MYBL2;PCNA;UNG;CCNA2;RRM2;RFC4;POLE;PCLAF;DLGAP5;UBE2S;CDC6</t>
  </si>
  <si>
    <t>http://www.broadinstitute.org/gsea/msigdb/cards/MODULE_485.html</t>
  </si>
  <si>
    <t>10403;7398;3015;4691;4172;5984;4436;9735;2956;6749;55215;11198</t>
  </si>
  <si>
    <t>NDC80;USP1;H2AFZ;NCL;MCM3;RFC4;MSH2;KNTC1;MSH6;SSRP1;FANCI;SUPT16H</t>
  </si>
  <si>
    <t>MODULE_320</t>
  </si>
  <si>
    <t>10403;10592;9232;7272;672;3832;1062;9493;9700;9918</t>
  </si>
  <si>
    <t>NDC80;SMC2;PTTG1;TTK;BRCA1;KIF11;CENPE;AC027237.1;ESPL1;NCAPD2</t>
  </si>
  <si>
    <t>http://www.broadinstitute.org/gsea/msigdb/cards/MODULE_320.html</t>
  </si>
  <si>
    <t>GNF2_MSH6</t>
  </si>
  <si>
    <t>3015;10797;4172;5984;5983;4436;5902;8833;2956;1434;4085</t>
  </si>
  <si>
    <t>H2AFZ;MTHFD2;MCM3;RFC4;RFC3;MSH2;RANBP1;GMPS;MSH6;CSE1L;MAD2L1</t>
  </si>
  <si>
    <t>http://www.broadinstitute.org/gsea/msigdb/cards/GNF2_MSH6.html</t>
  </si>
  <si>
    <t>10403;8520;5496;3015;5982;2237;8833;3832;84823;8683;4175;23518;23234;23165;8570</t>
  </si>
  <si>
    <t>NDC80;HAT1;PPM1G;H2AFZ;RFC2;FEN1;GMPS;KIF11;LMNB2;SRSF9;MCM6;R3HDM1;DNAJC9;NUP205;KHSRP</t>
  </si>
  <si>
    <t>2189;332;4605;891;898;1786;995;1869;2305;23397;55635;26271;10460</t>
  </si>
  <si>
    <t>FANCG;BIRC5;MYBL2;CCNB1;CCNE1;DNMT1;CDC25C;E2F1;FOXM1;NCAPH;DEPDC1;FBXO5;TACC3</t>
  </si>
  <si>
    <t>MORF_EIF3S2</t>
  </si>
  <si>
    <t>10212;5496;3015;4691;1017;1786;10971;790;5984;7913;4521;4171;10657;6749;10036;8683;8438;3066;9088;11321</t>
  </si>
  <si>
    <t>DDX39A;PPM1G;H2AFZ;NCL;CDK2;DNMT1;YWHAQ;CAD;RFC4;DEK;NUDT1;MCM2;KHDRBS1;SSRP1;CHAF1A;SRSF9;RAD54L;HDAC2;PKMYT1;GPN1</t>
  </si>
  <si>
    <t>http://www.broadinstitute.org/gsea/msigdb/cards/MORF_EIF3S2.html</t>
  </si>
  <si>
    <t>10733;8318;6240;6241;1063;1869;4998;9918;9824;23165;3066;29980</t>
  </si>
  <si>
    <t>PLK4;CDC45;RRM1;RRM2;CENPF;E2F1;ORC1;NCAPD2;ARHGAP11A;NUP205;HDAC2;DONSON</t>
  </si>
  <si>
    <t>10212;9133;11130;9232;7298;7153;5111;1786;7272;4171;8833;4751;5347;1434;991;4175;9319;1033;9088;11004;22974</t>
  </si>
  <si>
    <t>DDX39A;CCNB2;ZWINT;PTTG1;TYMS;TOP2A;PCNA;DNMT1;TTK;MCM2;GMPS;NEK2;PLK1;CSE1L;CDC20;MCM6;TRIP13;CDKN3;PKMYT1;KIF2C;TPX2</t>
  </si>
  <si>
    <t>MODULE_303</t>
  </si>
  <si>
    <t>8317;1111;699;701;983;1017;7272;4751;5347</t>
  </si>
  <si>
    <t>CDC7;CHEK1;BUB1;BUB1B;CDK1;CDK2;TTK;NEK2;PLK1</t>
  </si>
  <si>
    <t>http://www.broadinstitute.org/gsea/msigdb/cards/MODULE_303.html</t>
  </si>
  <si>
    <t>8520;7398;4691;3148;5725;4174;7913;4670;6996;11073;10051</t>
  </si>
  <si>
    <t>HAT1;USP1;NCL;HMGB2;PTBP1;MCM5;DEK;HNRNPM;TDG;TOPBP1;SMC4</t>
  </si>
  <si>
    <t>10212;8520;7398;86;7374;10971;5984;7913;4436;10657;3066</t>
  </si>
  <si>
    <t>DDX39A;HAT1;USP1;ACTL6A;UNG;YWHAQ;RFC4;DEK;MSH2;KHDRBS1;HDAC2</t>
  </si>
  <si>
    <t>MODULE_312</t>
  </si>
  <si>
    <t>1871;332;8318;4605;5111;891;4288;5347;1869;991</t>
  </si>
  <si>
    <t>E2F3;BIRC5;CDC45;MYBL2;PCNA;CCNB1;MKI67;PLK1;E2F1;CDC20</t>
  </si>
  <si>
    <t>http://www.broadinstitute.org/gsea/msigdb/cards/MODULE_312.html</t>
  </si>
  <si>
    <t>10212;8520;5496;3015;5111;10971;4176;5982;7913;2237;8833;3068;3838;84823;10657;8683;9700;9768;11321</t>
  </si>
  <si>
    <t>DDX39A;HAT1;PPM1G;H2AFZ;PCNA;YWHAQ;MCM7;RFC2;DEK;FEN1;GMPS;HDGF;KPNA2;LMNB2;KHDRBS1;SRSF9;ESPL1;PCLAF;GPN1</t>
  </si>
  <si>
    <t>http://www.broadinstitute.org/gsea/msigdb/cards/MORF_CSNK2B.html</t>
  </si>
  <si>
    <t>MORF_CDK2</t>
  </si>
  <si>
    <t>3015;1017;10971;790;7913;4521;4171;10657;6749;3066;9088</t>
  </si>
  <si>
    <t>H2AFZ;CDK2;YWHAQ;CAD;DEK;NUDT1;MCM2;KHDRBS1;SSRP1;HDAC2;PKMYT1</t>
  </si>
  <si>
    <t>http://www.broadinstitute.org/gsea/msigdb/cards/MORF_CDK2.html</t>
  </si>
  <si>
    <t>10212;5496;3015;5111;4691;3148;5725;10971;4176;7913;4521;3068;10657;8683;9768;9212</t>
  </si>
  <si>
    <t>DDX39A;PPM1G;H2AFZ;PCNA;NCL;HMGB2;PTBP1;YWHAQ;MCM7;DEK;NUDT1;HDGF;KHDRBS1;SRSF9;PCLAF;AURKB</t>
  </si>
  <si>
    <t>http://www.broadinstitute.org/gsea/msigdb/cards/MORF_ANP32B.html</t>
  </si>
  <si>
    <t>GNF2_ANP32B</t>
  </si>
  <si>
    <t>8520;7398;3148;5725;4174;7913;4521;23234;10051</t>
  </si>
  <si>
    <t>HAT1;USP1;HMGB2;PTBP1;MCM5;DEK;NUDT1;DNAJC9;SMC4</t>
  </si>
  <si>
    <t>http://www.broadinstitute.org/gsea/msigdb/cards/GNF2_ANP32B.html</t>
  </si>
  <si>
    <t>10212;5709;7398;86;4691;1017;10971;790;4174;7913;4171;10657;6749;3066;9088;11321</t>
  </si>
  <si>
    <t>DDX39A;PSMD3;USP1;ACTL6A;NCL;CDK2;YWHAQ;CAD;MCM5;DEK;MCM2;KHDRBS1;SSRP1;HDAC2;PKMYT1;GPN1</t>
  </si>
  <si>
    <t>MORF_UNG</t>
  </si>
  <si>
    <t>8520;5496;3015;5111;7374;5984;2237;4436;3838;9768;3066</t>
  </si>
  <si>
    <t>HAT1;PPM1G;H2AFZ;PCNA;UNG;RFC4;FEN1;MSH2;KPNA2;PCLAF;HDAC2</t>
  </si>
  <si>
    <t>http://www.broadinstitute.org/gsea/msigdb/cards/MORF_UNG.html</t>
  </si>
  <si>
    <t>11130;9232;7298;5111;7374;1017;4172;1786;790;4521;4436;5557;4171;8833;84823;23649;4175;23076;9768;27339</t>
  </si>
  <si>
    <t>ZWINT;PTTG1;TYMS;PCNA;UNG;CDK2;MCM3;DNMT1;CAD;NUDT1;MSH2;PRIM1;MCM2;GMPS;LMNB2;POLA2;MCM6;RRP1B;PCLAF;PRPF19</t>
  </si>
  <si>
    <t>10212;5496;3015;4691;3148;5725;10971;7913;4521;3068;4670;10657;8683;23649;23518;3066;11321</t>
  </si>
  <si>
    <t>DDX39A;PPM1G;H2AFZ;NCL;HMGB2;PTBP1;YWHAQ;DEK;NUDT1;HDGF;HNRNPM;KHDRBS1;SRSF9;POLA2;R3HDM1;HDAC2;GPN1</t>
  </si>
  <si>
    <t>http://www.broadinstitute.org/gsea/msigdb/cards/MORF_HDAC1.html</t>
  </si>
  <si>
    <t>2189;1017;10971;790;995;10105;4521;4171;10657;4998;2967;23649;8438;3066;9088</t>
  </si>
  <si>
    <t>FANCG;CDK2;YWHAQ;CAD;CDC25C;PPIF;NUDT1;MCM2;KHDRBS1;ORC1;GTF2H3;POLA2;RAD54L;HDAC2;PKMYT1</t>
  </si>
  <si>
    <t>5496;3015;5111;4691;10971;4176;7913;4521;4171;3068;10657;8683;9212</t>
  </si>
  <si>
    <t>PPM1G;H2AFZ;PCNA;NCL;YWHAQ;MCM7;DEK;NUDT1;MCM2;HDGF;KHDRBS1;SRSF9;AURKB</t>
  </si>
  <si>
    <t>http://www.broadinstitute.org/gsea/msigdb/cards/MORF_FBL.html</t>
  </si>
  <si>
    <t>MORF_EI24</t>
  </si>
  <si>
    <t>8520;5496;699;11130;86;3015;891;5984;6749;9319;27338;3066;8570</t>
  </si>
  <si>
    <t>HAT1;PPM1G;BUB1;ZWINT;ACTL6A;H2AFZ;CCNB1;RFC4;SSRP1;TRIP13;UBE2S;HDAC2;KHSRP</t>
  </si>
  <si>
    <t>http://www.broadinstitute.org/gsea/msigdb/cards/MORF_EI24.html</t>
  </si>
  <si>
    <t>5496;3015;5111;4691;5725;10971;4176;7913;4521;3068;4670;10657;8683;11321</t>
  </si>
  <si>
    <t>PPM1G;H2AFZ;PCNA;NCL;PTBP1;YWHAQ;MCM7;DEK;NUDT1;HDGF;HNRNPM;KHDRBS1;SRSF9;GPN1</t>
  </si>
  <si>
    <t>http://www.broadinstitute.org/gsea/msigdb/cards/MORF_G22P1.html</t>
  </si>
  <si>
    <t>MODULE_205</t>
  </si>
  <si>
    <t>79733;890;995;4751;9928;9787;6469;79682;55656;55355;79801;55789;80179;3833;10293;2177;51514;22974</t>
  </si>
  <si>
    <t>E2F8;CCNA2;CDC25C;NEK2;KIF14;DLGAP5;SHH;CENPU;INTS8;HJURP;SHCBP1;DEPDC1B;MYO19;KIFC1;TRAIP;FANCD2;DTL;TPX2</t>
  </si>
  <si>
    <t>http://www.broadinstitute.org/gsea/msigdb/cards/MODULE_205.html</t>
  </si>
  <si>
    <t>MODULE_127</t>
  </si>
  <si>
    <t>8520;3015;1058;675;10036;8208;2146</t>
  </si>
  <si>
    <t>HAT1;H2AFZ;CENPA;BRCA2;CHAF1A;CHAF1B;EZH2</t>
  </si>
  <si>
    <t>http://www.broadinstitute.org/gsea/msigdb/cards/MODULE_127.html</t>
  </si>
  <si>
    <t>GNF2_SMC1L1</t>
  </si>
  <si>
    <t>4001;4172;5725;6241;4174;23649;79019</t>
  </si>
  <si>
    <t>LMNB1;MCM3;PTBP1;RRM2;MCM5;POLA2;CENPM</t>
  </si>
  <si>
    <t>http://www.broadinstitute.org/gsea/msigdb/cards/GNF2_SMC1L1.html</t>
  </si>
  <si>
    <t>10535;5111;4001;6240;4172;2237;4436;2305;2146;22974</t>
  </si>
  <si>
    <t>RNASEH2A;PCNA;LMNB1;RRM1;MCM3;FEN1;MSH2;FOXM1;EZH2;TPX2</t>
  </si>
  <si>
    <t>8520;5496;3015;5111;7374;891;10971;7913;2237;4436;3838;10657;8683;9768;3066;11321</t>
  </si>
  <si>
    <t>HAT1;PPM1G;H2AFZ;PCNA;UNG;CCNB1;YWHAQ;DEK;FEN1;MSH2;KPNA2;KHDRBS1;SRSF9;PCLAF;HDAC2;GPN1</t>
  </si>
  <si>
    <t>http://www.broadinstitute.org/gsea/msigdb/cards/MORF_SOD1.html</t>
  </si>
  <si>
    <t>10212;2189;5709;284403;86;1017;10971;790;995;4171;10657;6749;1479;9319;9088</t>
  </si>
  <si>
    <t>DDX39A;FANCG;PSMD3;WDR62;ACTL6A;CDK2;YWHAQ;CAD;CDC25C;MCM2;KHDRBS1;SSRP1;CSTF3;TRIP13;PKMYT1</t>
  </si>
  <si>
    <t>MODULE_438</t>
  </si>
  <si>
    <t>332;11130;4001;1063;3832;1062;9493;991;11004</t>
  </si>
  <si>
    <t>BIRC5;ZWINT;LMNB1;CENPF;KIF11;CENPE;AC027237.1;CDC20;KIF2C</t>
  </si>
  <si>
    <t>http://www.broadinstitute.org/gsea/msigdb/cards/MODULE_438.html</t>
  </si>
  <si>
    <t>MODULE_392</t>
  </si>
  <si>
    <t>3015;7374;4691;4436;3838;5888</t>
  </si>
  <si>
    <t>H2AFZ;UNG;NCL;MSH2;KPNA2;RAD51</t>
  </si>
  <si>
    <t>http://www.broadinstitute.org/gsea/msigdb/cards/MODULE_392.html</t>
  </si>
  <si>
    <t>8520;7398;3015;5111;10971;7913;4436;4670;3838;10657;8683;9768;3066</t>
  </si>
  <si>
    <t>HAT1;USP1;H2AFZ;PCNA;YWHAQ;DEK;MSH2;HNRNPM;KPNA2;KHDRBS1;SRSF9;PCLAF;HDAC2</t>
  </si>
  <si>
    <t>http://www.broadinstitute.org/gsea/msigdb/cards/MORF_RAD21.html</t>
  </si>
  <si>
    <t>MORF_GMPS</t>
  </si>
  <si>
    <t>5496;3015;5982;8833;84823;8683;9768;23165</t>
  </si>
  <si>
    <t>PPM1G;H2AFZ;RFC2;GMPS;LMNB2;SRSF9;PCLAF;NUP205</t>
  </si>
  <si>
    <t>http://www.broadinstitute.org/gsea/msigdb/cards/MORF_GMPS.html</t>
  </si>
  <si>
    <t>332;8318;4605;5111;891;5347</t>
  </si>
  <si>
    <t>BIRC5;CDC45;MYBL2;PCNA;CCNB1;PLK1</t>
  </si>
  <si>
    <t>MODULE_189</t>
  </si>
  <si>
    <t>8520;3015;1058;10036;8208;2146</t>
  </si>
  <si>
    <t>HAT1;H2AFZ;CENPA;CHAF1A;CHAF1B;EZH2</t>
  </si>
  <si>
    <t>http://www.broadinstitute.org/gsea/msigdb/cards/MODULE_189.html</t>
  </si>
  <si>
    <t>MODULE_372</t>
  </si>
  <si>
    <t>9134;2237;4436;3832;29028;1894</t>
  </si>
  <si>
    <t>CCNE2;FEN1;MSH2;KIF11;ATAD2;ECT2</t>
  </si>
  <si>
    <t>http://www.broadinstitute.org/gsea/msigdb/cards/MODULE_372.html</t>
  </si>
  <si>
    <t>10212;3015;4691;4172;10971;4670;84823;10657;8683;4175</t>
  </si>
  <si>
    <t>DDX39A;H2AFZ;NCL;MCM3;YWHAQ;HNRNPM;LMNB2;KHDRBS1;SRSF9;MCM6</t>
  </si>
  <si>
    <t>http://www.broadinstitute.org/gsea/msigdb/cards/GCM_APEX1.html</t>
  </si>
  <si>
    <t>MODULE_219</t>
  </si>
  <si>
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</si>
  <si>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</si>
  <si>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</si>
  <si>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</si>
  <si>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HAT1;USP1;DEK;HNRNPM;SSRP1;TDG</t>
  </si>
  <si>
    <t>7153;1786;3148;7913;5902;4171;991;1033;27338</t>
  </si>
  <si>
    <t>TOP2A;DNMT1;HMGB2;DEK;RANBP1;MCM2;CDC20;CDKN3;UBE2S</t>
  </si>
  <si>
    <t>MODULE_552</t>
  </si>
  <si>
    <t>3015;4605;3148;1058;2146</t>
  </si>
  <si>
    <t>H2AFZ;MYBL2;HMGB2;CENPA;EZH2</t>
  </si>
  <si>
    <t>http://www.broadinstitute.org/gsea/msigdb/cards/MODULE_552.html</t>
  </si>
  <si>
    <t>GCM_ANP32B</t>
  </si>
  <si>
    <t>3015;4691;4174;10657;8683;4175</t>
  </si>
  <si>
    <t>H2AFZ;NCL;MCM5;KHDRBS1;SRSF9;MCM6</t>
  </si>
  <si>
    <t>http://www.broadinstitute.org/gsea/msigdb/cards/GCM_ANP32B.html</t>
  </si>
  <si>
    <t>10212;8317;5709;86;899;1479;2967;3066</t>
  </si>
  <si>
    <t>DDX39A;CDC7;PSMD3;ACTL6A;CCNF;CSTF3;GTF2H3;HDAC2</t>
  </si>
  <si>
    <t>MODULE_253</t>
  </si>
  <si>
    <t>3832;1062;9493;9928;11004</t>
  </si>
  <si>
    <t>KIF11;CENPE;AC027237.1;KIF14;KIF2C</t>
  </si>
  <si>
    <t>http://www.broadinstitute.org/gsea/msigdb/cards/MODULE_253.html</t>
  </si>
  <si>
    <t>MODULE_168</t>
  </si>
  <si>
    <t>3015;3148;1058;1063;1062</t>
  </si>
  <si>
    <t>H2AFZ;HMGB2;CENPA;CENPF;CENPE</t>
  </si>
  <si>
    <t>http://www.broadinstitute.org/gsea/msigdb/cards/MODULE_168.html</t>
  </si>
  <si>
    <t>MODULE_222</t>
  </si>
  <si>
    <t>http://www.broadinstitute.org/gsea/msigdb/cards/MODULE_222.html</t>
  </si>
  <si>
    <t>MODULE_196</t>
  </si>
  <si>
    <t>http://www.broadinstitute.org/gsea/msigdb/cards/MODULE_196.html</t>
  </si>
  <si>
    <t>7398;3015;4691;5725;4174;10657;11073;11198</t>
  </si>
  <si>
    <t>USP1;H2AFZ;NCL;PTBP1;MCM5;KHDRBS1;TOPBP1;SUPT16H</t>
  </si>
  <si>
    <t>10212;8520;5496;3015;4670;10657;8683;23234</t>
  </si>
  <si>
    <t>DDX39A;HAT1;PPM1G;H2AFZ;HNRNPM;KHDRBS1;SRSF9;DNAJC9</t>
  </si>
  <si>
    <t>10212;5717;3015;4691;4670;84823;10657;8683</t>
  </si>
  <si>
    <t>DDX39A;PSMD11;H2AFZ;NCL;HNRNPM;LMNB2;KHDRBS1;SRSF9</t>
  </si>
  <si>
    <t>http://www.broadinstitute.org/gsea/msigdb/cards/GCM_CSNK2B.html</t>
  </si>
  <si>
    <t>2189;5709;284403;995;899;4288;1763;1479;2967;9088</t>
  </si>
  <si>
    <t>FANCG;PSMD3;WDR62;CDC25C;CCNF;MKI67;DNA2;CSTF3;GTF2H3;PKMYT1</t>
  </si>
  <si>
    <t>MODULE_318</t>
  </si>
  <si>
    <t>9401;4172;641;5888;4175</t>
  </si>
  <si>
    <t>RECQL4;MCM3;BLM;RAD51;MCM6</t>
  </si>
  <si>
    <t>http://www.broadinstitute.org/gsea/msigdb/cards/MODULE_318.html</t>
  </si>
  <si>
    <t>MORF_GSPT1</t>
  </si>
  <si>
    <t>8520;5496;7374;891;2237;3838</t>
  </si>
  <si>
    <t>HAT1;PPM1G;UNG;CCNB1;FEN1;KPNA2</t>
  </si>
  <si>
    <t>http://www.broadinstitute.org/gsea/msigdb/cards/MORF_GSPT1.html</t>
  </si>
  <si>
    <t>MODULE_61</t>
  </si>
  <si>
    <t>1503;3068;1434;10376;3066;26271</t>
  </si>
  <si>
    <t>CTPS1;HDGF;CSE1L;TUBA1B;HDAC2;FBXO5</t>
  </si>
  <si>
    <t>http://www.broadinstitute.org/gsea/msigdb/cards/MODULE_61.html</t>
  </si>
  <si>
    <t>284403;672;5985;899;1479;2967;9824</t>
  </si>
  <si>
    <t>WDR62;BRCA1;RFC5;CCNF;CSTF3;GTF2H3;ARHGAP11A</t>
  </si>
  <si>
    <t>8317;2189;284403;1479;4998;2967;8438;9088</t>
  </si>
  <si>
    <t>CDC7;FANCG;WDR62;CSTF3;ORC1;GTF2H3;RAD54L;PKMYT1</t>
  </si>
  <si>
    <t>672;5985;899;4288;5558;1763;4751;1479;4085;9824;55215;51512</t>
  </si>
  <si>
    <t>BRCA1;RFC5;CCNF;MKI67;PRIM2;DNA2;NEK2;CSTF3;MAD2L1;ARHGAP11A;FANCI;GTSE1</t>
  </si>
  <si>
    <t>10212;5496;3015;5111;4691;5725;10971;7913;3068;10376;10657;8683</t>
  </si>
  <si>
    <t>DDX39A;PPM1G;H2AFZ;PCNA;NCL;PTBP1;YWHAQ;DEK;HDGF;TUBA1B;KHDRBS1;SRSF9</t>
  </si>
  <si>
    <t>http://www.broadinstitute.org/gsea/msigdb/cards/MORF_RAN.html</t>
  </si>
  <si>
    <t>MODULE_278</t>
  </si>
  <si>
    <t>11065;1503;790;8833;27338</t>
  </si>
  <si>
    <t>UBE2C;CTPS1;CAD;GMPS;UBE2S</t>
  </si>
  <si>
    <t>http://www.broadinstitute.org/gsea/msigdb/cards/MODULE_278.html</t>
  </si>
  <si>
    <t>4691;5725;7913;4670;6996</t>
  </si>
  <si>
    <t>NCL;PTBP1;DEK;HNRNPM;TDG</t>
  </si>
  <si>
    <t>MODULE_90</t>
  </si>
  <si>
    <t>3015;1058;10036;8208</t>
  </si>
  <si>
    <t>H2AFZ;CENPA;CHAF1A;CHAF1B</t>
  </si>
  <si>
    <t>http://www.broadinstitute.org/gsea/msigdb/cards/MODULE_90.html</t>
  </si>
  <si>
    <t>10212;4691;5725;10971;7913;4521;3068;4670;10376;10657;8683</t>
  </si>
  <si>
    <t>DDX39A;NCL;PTBP1;YWHAQ;DEK;NUDT1;HDGF;HNRNPM;TUBA1B;KHDRBS1;SRSF9</t>
  </si>
  <si>
    <t>http://www.broadinstitute.org/gsea/msigdb/cards/MORF_UBE2I.html</t>
  </si>
  <si>
    <t>2189;284403;672;5985;899;1479;55215</t>
  </si>
  <si>
    <t>FANCG;WDR62;BRCA1;RFC5;CCNF;CSTF3;FANCI</t>
  </si>
  <si>
    <t>5717;4691;10971;4670;10657</t>
  </si>
  <si>
    <t>PSMD11;NCL;YWHAQ;HNRNPM;KHDRBS1</t>
  </si>
  <si>
    <t>10535;86;4691;4521;9775;2237;7112;10657;10036;8683;23518</t>
  </si>
  <si>
    <t>RNASEH2A;ACTL6A;NCL;NUDT1;EIF4A3;FEN1;TMPO;KHDRBS1;CHAF1A;SRSF9;R3HDM1</t>
  </si>
  <si>
    <t>http://www.broadinstitute.org/gsea/msigdb/cards/MODULE_32.html</t>
  </si>
  <si>
    <t>MORF_PPP2CA</t>
  </si>
  <si>
    <t>10212;4691;10971;7913;4670;10657;3066;11321</t>
  </si>
  <si>
    <t>DDX39A;NCL;YWHAQ;DEK;HNRNPM;KHDRBS1;HDAC2;GPN1</t>
  </si>
  <si>
    <t>http://www.broadinstitute.org/gsea/msigdb/cards/MORF_PPP2CA.html</t>
  </si>
  <si>
    <t>1871;4605;4172;1786;3148;672;2305;8208;2146;1033;3066</t>
  </si>
  <si>
    <t>E2F3;MYBL2;MCM3;DNMT1;HMGB2;BRCA1;FOXM1;CHAF1B;EZH2;CDKN3;HDAC2</t>
  </si>
  <si>
    <t>10212;4691;5725;10971;7913;3068;10657;8683;11321</t>
  </si>
  <si>
    <t>DDX39A;NCL;PTBP1;YWHAQ;DEK;HDGF;KHDRBS1;SRSF9;GPN1</t>
  </si>
  <si>
    <t>http://www.broadinstitute.org/gsea/msigdb/cards/MORF_CTBP1.html</t>
  </si>
  <si>
    <t>GCM_CBFB</t>
  </si>
  <si>
    <t>4691;4172;10971;4670;10657;8683</t>
  </si>
  <si>
    <t>NCL;MCM3;YWHAQ;HNRNPM;KHDRBS1;SRSF9</t>
  </si>
  <si>
    <t>http://www.broadinstitute.org/gsea/msigdb/cards/GCM_CBFB.html</t>
  </si>
  <si>
    <t>MORF_CUL1</t>
  </si>
  <si>
    <t>10971;7913;4670;10657;3066;11321</t>
  </si>
  <si>
    <t>YWHAQ;DEK;HNRNPM;KHDRBS1;HDAC2;GPN1</t>
  </si>
  <si>
    <t>http://www.broadinstitute.org/gsea/msigdb/cards/MORF_CUL1.html</t>
  </si>
  <si>
    <t>2189;5709;86;10971;790;995;10657;1479;3066;9088</t>
  </si>
  <si>
    <t>FANCG;PSMD3;ACTL6A;YWHAQ;CAD;CDC25C;KHDRBS1;CSTF3;HDAC2;PKMYT1</t>
  </si>
  <si>
    <t>7398;4691;4670;10657;3837;11073</t>
  </si>
  <si>
    <t>USP1;NCL;HNRNPM;KHDRBS1;KPNB1;TOPBP1</t>
  </si>
  <si>
    <t>MODULE_212</t>
  </si>
  <si>
    <t>983;7153;5111;6241;7272;5347;9493;9833;1033;8438;3066;92086</t>
  </si>
  <si>
    <t>CDK1;TOP2A;PCNA;RRM2;TTK;PLK1;AC027237.1;MELK;CDKN3;RAD54L;HDAC2;GGTLC1</t>
  </si>
  <si>
    <t>http://www.broadinstitute.org/gsea/msigdb/cards/MODULE_212.html</t>
  </si>
  <si>
    <t>3015;4691;4670;8683;4175</t>
  </si>
  <si>
    <t>H2AFZ;NCL;HNRNPM;SRSF9;MCM6</t>
  </si>
  <si>
    <t>http://www.broadinstitute.org/gsea/msigdb/cards/GCM_PFN1.html</t>
  </si>
  <si>
    <t>MODULE_457</t>
  </si>
  <si>
    <t>7374;4691;3838</t>
  </si>
  <si>
    <t>UNG;NCL;KPNA2</t>
  </si>
  <si>
    <t>http://www.broadinstitute.org/gsea/msigdb/cards/MODULE_457.html</t>
  </si>
  <si>
    <t>MODULE_421</t>
  </si>
  <si>
    <t>3148;1058;1063;1062</t>
  </si>
  <si>
    <t>HMGB2;CENPA;CENPF;CENPE</t>
  </si>
  <si>
    <t>http://www.broadinstitute.org/gsea/msigdb/cards/MODULE_421.html</t>
  </si>
  <si>
    <t>MODULE_325</t>
  </si>
  <si>
    <t>6790;5557;9787;113130;22974</t>
  </si>
  <si>
    <t>AURKA;PRIM1;DLGAP5;CDCA5;TPX2</t>
  </si>
  <si>
    <t>http://www.broadinstitute.org/gsea/msigdb/cards/MODULE_325.html</t>
  </si>
  <si>
    <t>MORF_PRDX3</t>
  </si>
  <si>
    <t>8520;5496;3015;3838;10657;3066</t>
  </si>
  <si>
    <t>HAT1;PPM1G;H2AFZ;KPNA2;KHDRBS1;HDAC2</t>
  </si>
  <si>
    <t>http://www.broadinstitute.org/gsea/msigdb/cards/MORF_PRDX3.html</t>
  </si>
  <si>
    <t>8520;5496;3015;7913;3068;3838;10657;8683;9768</t>
  </si>
  <si>
    <t>HAT1;PPM1G;H2AFZ;DEK;HDGF;KPNA2;KHDRBS1;SRSF9;PCLAF</t>
  </si>
  <si>
    <t>http://www.broadinstitute.org/gsea/msigdb/cards/MORF_SKP1A.html</t>
  </si>
  <si>
    <t>MORF_PHB</t>
  </si>
  <si>
    <t>2189;5709;284403;790;995;1479;9088</t>
  </si>
  <si>
    <t>FANCG;PSMD3;WDR62;CAD;CDC25C;CSTF3;PKMYT1</t>
  </si>
  <si>
    <t>http://www.broadinstitute.org/gsea/msigdb/cards/MORF_PHB.html</t>
  </si>
  <si>
    <t>GCM_PPP1CC</t>
  </si>
  <si>
    <t>4691;10971;4670;10657;8683</t>
  </si>
  <si>
    <t>NCL;YWHAQ;HNRNPM;KHDRBS1;SRSF9</t>
  </si>
  <si>
    <t>http://www.broadinstitute.org/gsea/msigdb/cards/GCM_PPP1CC.html</t>
  </si>
  <si>
    <t>10212;3015;4691;10971;4670;10657;8683</t>
  </si>
  <si>
    <t>DDX39A;H2AFZ;NCL;YWHAQ;HNRNPM;KHDRBS1;SRSF9</t>
  </si>
  <si>
    <t>http://www.broadinstitute.org/gsea/msigdb/cards/GCM_ACTG1.html</t>
  </si>
  <si>
    <t>2189;7516;7283;790;10105;4171;3068;5347;1869;4998;2967;23649;9700;57405;51512</t>
  </si>
  <si>
    <t>FANCG;XRCC2;TUBG1;CAD;PPIF;MCM2;HDGF;PLK1;E2F1;ORC1;GTF2H3;POLA2;ESPL1;SPC25;GTSE1</t>
  </si>
  <si>
    <t>MORF_MAP2K2</t>
  </si>
  <si>
    <t>5496;3015;10971;10657;8683;27338;3066</t>
  </si>
  <si>
    <t>PPM1G;H2AFZ;YWHAQ;KHDRBS1;SRSF9;UBE2S;HDAC2</t>
  </si>
  <si>
    <t>http://www.broadinstitute.org/gsea/msigdb/cards/MORF_MAP2K2.html</t>
  </si>
  <si>
    <t>10212;4691;10971;4670;10657</t>
  </si>
  <si>
    <t>DDX39A;NCL;YWHAQ;HNRNPM;KHDRBS1</t>
  </si>
  <si>
    <t>6733;10657;1479;8683;8570</t>
  </si>
  <si>
    <t>SRPK2;KHDRBS1;CSTF3;SRSF9;KHSRP</t>
  </si>
  <si>
    <t>GCM_HDAC1</t>
  </si>
  <si>
    <t>4691;4670;84823;8683</t>
  </si>
  <si>
    <t>NCL;HNRNPM;LMNB2;SRSF9</t>
  </si>
  <si>
    <t>http://www.broadinstitute.org/gsea/msigdb/cards/GCM_HDAC1.html</t>
  </si>
  <si>
    <t>MODULE_203</t>
  </si>
  <si>
    <t>3015;1058;8208</t>
  </si>
  <si>
    <t>H2AFZ;CENPA;CHAF1B</t>
  </si>
  <si>
    <t>http://www.broadinstitute.org/gsea/msigdb/cards/MODULE_203.html</t>
  </si>
  <si>
    <t>7112;1434;3837</t>
  </si>
  <si>
    <t>TMPO;CSE1L;KPNB1</t>
  </si>
  <si>
    <t>MODULE_534</t>
  </si>
  <si>
    <t>3148;1058;1062</t>
  </si>
  <si>
    <t>HMGB2;CENPA;CENPE</t>
  </si>
  <si>
    <t>http://www.broadinstitute.org/gsea/msigdb/cards/MODULE_534.html</t>
  </si>
  <si>
    <t>MODULE_102</t>
  </si>
  <si>
    <t>1503;1841;8833</t>
  </si>
  <si>
    <t>CTPS1;DTYMK;GMPS</t>
  </si>
  <si>
    <t>http://www.broadinstitute.org/gsea/msigdb/cards/MODULE_102.html</t>
  </si>
  <si>
    <t>GNF2_XRCC5</t>
  </si>
  <si>
    <t>10212;5717;4691;6749;3837</t>
  </si>
  <si>
    <t>DDX39A;PSMD11;NCL;SSRP1;KPNB1</t>
  </si>
  <si>
    <t>http://www.broadinstitute.org/gsea/msigdb/cards/GNF2_XRCC5.html</t>
  </si>
  <si>
    <t>MODULE_453</t>
  </si>
  <si>
    <t>1503;899;9928;79801</t>
  </si>
  <si>
    <t>CTPS1;CCNF;KIF14;SHCBP1</t>
  </si>
  <si>
    <t>http://www.broadinstitute.org/gsea/msigdb/cards/MODULE_453.html</t>
  </si>
  <si>
    <t>MODULE_533</t>
  </si>
  <si>
    <t>11130;4001;1063;991</t>
  </si>
  <si>
    <t>ZWINT;LMNB1;CENPF;CDC20</t>
  </si>
  <si>
    <t>http://www.broadinstitute.org/gsea/msigdb/cards/MODULE_533.html</t>
  </si>
  <si>
    <t>6581;4605;5982;10036;55165;55345;81930;57650;580;64105;79098;83990;80119;8914</t>
  </si>
  <si>
    <t>SLC22A3;MYBL2;RFC2;CHAF1A;CEP55;ZGRF1;KIF18A;CIP2A;BARD1;CENPK;C1orf116;BRIP1;PIF1;TIMELESS</t>
  </si>
  <si>
    <t>10212;4691;10971;7913;3068;4670;10657;8683</t>
  </si>
  <si>
    <t>DDX39A;NCL;YWHAQ;DEK;HDGF;HNRNPM;KHDRBS1;SRSF9</t>
  </si>
  <si>
    <t>10212;4691;10971;3068;10657;8683</t>
  </si>
  <si>
    <t>DDX39A;NCL;YWHAQ;HDGF;KHDRBS1;SRSF9</t>
  </si>
  <si>
    <t>http://www.broadinstitute.org/gsea/msigdb/cards/MORF_EIF3S6.html</t>
  </si>
  <si>
    <t>3015;4691;4670;10657;8683</t>
  </si>
  <si>
    <t>H2AFZ;NCL;HNRNPM;KHDRBS1;SRSF9</t>
  </si>
  <si>
    <t>http://www.broadinstitute.org/gsea/msigdb/cards/GCM_PSME1.html</t>
  </si>
  <si>
    <t>8562;10657;55656;11073</t>
  </si>
  <si>
    <t>DENR;KHDRBS1;INTS8;TOPBP1</t>
  </si>
  <si>
    <t>6581;4605;5982;55165;55345;81930;57650;580;64105;79098;83990;80119;8914</t>
  </si>
  <si>
    <t>SLC22A3;MYBL2;RFC2;CEP55;ZGRF1;KIF18A;CIP2A;BARD1;CENPK;C1orf116;BRIP1;PIF1;TIMELESS</t>
  </si>
  <si>
    <t>MODULE_95</t>
  </si>
  <si>
    <t>11065;10403;4288;5427;9700;10635;84991;55872;54478;51203;81610;1789;26271;23594</t>
  </si>
  <si>
    <t>UBE2C;NDC80;MKI67;POLE2;ESPL1;RAD51AP1;RBM17;PBK;PIMREG;NUSAP1;FAM83D;DNMT3B;FBXO5;ORC6</t>
  </si>
  <si>
    <t>http://www.broadinstitute.org/gsea/msigdb/cards/MODULE_95.html</t>
  </si>
  <si>
    <t>MODULE_163</t>
  </si>
  <si>
    <t>http://www.broadinstitute.org/gsea/msigdb/cards/MODULE_163.html</t>
  </si>
  <si>
    <t>GCM_SUPT4H1</t>
  </si>
  <si>
    <t>23310;1479;9319;2491</t>
  </si>
  <si>
    <t>NCAPD3;CSTF3;TRIP13;CENPI</t>
  </si>
  <si>
    <t>http://www.broadinstitute.org/gsea/msigdb/cards/GCM_SUPT4H1.html</t>
  </si>
  <si>
    <t>672;899;5558;1763;1479;51512</t>
  </si>
  <si>
    <t>BRCA1;CCNF;PRIM2;DNA2;CSTF3;GTSE1</t>
  </si>
  <si>
    <t>10212;10971;10657;3066;11321</t>
  </si>
  <si>
    <t>DDX39A;YWHAQ;KHDRBS1;HDAC2;GPN1</t>
  </si>
  <si>
    <t>10212;4691;10971;7913;10657;8683;11321</t>
  </si>
  <si>
    <t>DDX39A;NCL;YWHAQ;DEK;KHDRBS1;SRSF9;GPN1</t>
  </si>
  <si>
    <t>http://www.broadinstitute.org/gsea/msigdb/cards/MORF_DAP3.html</t>
  </si>
  <si>
    <t>10212;5717;10657</t>
  </si>
  <si>
    <t>DDX39A;PSMD11;KHDRBS1</t>
  </si>
  <si>
    <t>MODULE_21</t>
  </si>
  <si>
    <t>7298;8833</t>
  </si>
  <si>
    <t>TYMS;GMPS</t>
  </si>
  <si>
    <t>http://www.broadinstitute.org/gsea/msigdb/cards/MODULE_21.html</t>
  </si>
  <si>
    <t>9134;5111;8833;83903;80119</t>
  </si>
  <si>
    <t>CCNE2;PCNA;GMPS;HASPIN;PIF1</t>
  </si>
  <si>
    <t>2189;284403;672;5985;1763;1479;51512</t>
  </si>
  <si>
    <t>FANCG;WDR62;BRCA1;RFC5;DNA2;CSTF3;GTSE1</t>
  </si>
  <si>
    <t>5111;4691;10971;7913;8683</t>
  </si>
  <si>
    <t>PCNA;NCL;YWHAQ;DEK;SRSF9</t>
  </si>
  <si>
    <t>http://www.broadinstitute.org/gsea/msigdb/cards/MORF_ERH.html</t>
  </si>
  <si>
    <t>MODULE_91</t>
  </si>
  <si>
    <t>5717;5709;3015</t>
  </si>
  <si>
    <t>PSMD11;PSMD3;H2AFZ</t>
  </si>
  <si>
    <t>http://www.broadinstitute.org/gsea/msigdb/cards/MODULE_91.html</t>
  </si>
  <si>
    <t>1871;8520;5111;6240;6996;580</t>
  </si>
  <si>
    <t>E2F3;HAT1;PCNA;RRM1;TDG;BARD1</t>
  </si>
  <si>
    <t>http://www.broadinstitute.org/gsea/msigdb/cards/GCM_NPM1.html</t>
  </si>
  <si>
    <t>MODULE_56</t>
  </si>
  <si>
    <t>http://www.broadinstitute.org/gsea/msigdb/cards/MODULE_56.html</t>
  </si>
  <si>
    <t>GCM_AIP</t>
  </si>
  <si>
    <t>5347;84823;9319</t>
  </si>
  <si>
    <t>PLK1;LMNB2;TRIP13</t>
  </si>
  <si>
    <t>http://www.broadinstitute.org/gsea/msigdb/cards/GCM_AIP.html</t>
  </si>
  <si>
    <t>5496;3015;3068;10657;8683;9768</t>
  </si>
  <si>
    <t>PPM1G;H2AFZ;HDGF;KHDRBS1;SRSF9;PCLAF</t>
  </si>
  <si>
    <t>http://www.broadinstitute.org/gsea/msigdb/cards/MORF_PPP1CA.html</t>
  </si>
  <si>
    <t>79733;5717;8317;10733;1871;11065;1111;10403;6790;2189;5496;2175;332;5709;284403;6839;11339;7516;9055;699;701;3161;8318;22995;9133;11130;10112;24137;10592;9232;9134;7298;983;203068;4605;7153;5111;891;890;7283;1841;6240;898;1017;4172;5933;993;995;6241;7272;4173;4174;4176;672;899;23310;4436;5902;4288;1058;1063;5557;5558;4171;9735;1763;675;4751;2956;3832;5347;641;5427;1163;1869;1062;9493;5888;10657;5426;2305;991;10036;8208;4085;6502;4998;23649;1870;4175;9700;9833;9837;3837;23397;9918;9928;9787;6491;9319;2146;1033;27338;54821;55165;55143;151246;157570;387103;151648;286826;157313;84722;79866;163786;79682;55388;90381;128239;54892;146909;221150;220042;285753;259266;91687;147841;55355;80174;57082;81930;83903;26586;9125;23165;2491;8438;144455;220134;27085;113130;9212;84930;55839;55872;9585;10615;29128;83461;9088;11004;580;990;64151;64105;54478;55706;79172;79075;3833;79902;84057;83990;51203;2177;83540;29127;81620;64946;81610;79000;64858;1894;55055;63967;57405;3619;54443;3070;56992;79019;10051;55215;54069;51512;51514;29893;10926;26271;22974;27339;8914;9156;51659;90417;23594;25788</t>
  </si>
  <si>
    <t>E2F8;PSMD11;CDC7;PLK4;E2F3;UBE2C;CHEK1;NDC80;AURKA;FANCG;PPM1G;FANCA;BIRC5;PSMD3;WDR62;SUV39H1;OIP5;XRCC2;PRC1;BUB1;BUB1B;HMMR;CDC45;CEP152;CCNB2;ZWINT;KIF20A;KIF4A;SMC2;PTTG1;CCNE2;TYMS;CDK1;TUBB;MYBL2;TOP2A;PCNA;CCNB1;CCNA2;TUBG1;DTYMK;RRM1;CCNE1;CDK2;MCM3;RBL1;CDC25A;CDC25C;RRM2;TTK;MCM4;MCM5;MCM7;BRCA1;CCNF;NCAPD3;MSH2;RANBP1;MKI67;CENPA;CENPF;PRIM1;PRIM2;MCM2;KNTC1;DNA2;BRCA2;NEK2;MSH6;KIF11;PLK1;BLM;POLE2;CKS1B;E2F1;CENPE;AC027237.1;RAD51;KHDRBS1;POLE;FOXM1;CDC20;CHAF1A;CHAF1B;MAD2L1;SKP2;ORC1;POLA2;E2F2;MCM6;ESPL1;MELK;GINS1;KPNB1;NCAPH;NCAPD2;KIF14;DLGAP5;STIL;TRIP13;EZH2;CDKN3;UBE2S;ERCC6L;CEP55;CDCA8;SGO2;ESCO2;CENPW;SGO1;LIN9;CDCA2;PSRC1;BORA;SASS6;CENPU;MCM10;TICRR;IQGAP3;NCAPG2;KIF18B;SKA3;DDIAS;CEP57L1;ASPM;CENPL;SPC24;HJURP;DBF4B;KNL1;KIF18A;HASPIN;CKAP2;CNOT9;NUP205;CENPI;RAD54L;E2F7;SKA1;MTBP;CDCA5;AURKB;MASTL;CENPN;PBK;KIF20B;SPAG5;UHRF1;CDCA3;PKMYT1;KIF2C;BARD1;CDC6;NCAPG;CENPK;PIMREG;NDC1;CENPO;DSCC1;KIFC1;NUP85;MND1;BRIP1;NUSAP1;FANCD2;NUF2;RACGAP1;CDT1;CENPH;FAM83D;AUNIP;DCLRE1B;ECT2;ZWILCH;CLSPN;SPC25;INCENP;ANLN;HELLS;KIF15;CENPM;SMC4;FANCI;MIS18A;GTSE1;DTL;PSMC3IP;DBF4;FBXO5;TPX2;PRPF19;TIMELESS;EXO1;GINS2;KNSTRN;ORC6;RAD54B</t>
  </si>
  <si>
    <t>5717;8317;10733;11065;1111;10403;6790;2189;5496;2175;332;5709;284403;11339;7516;9055;699;701;3161;8318;22995;9133;11130;10112;24137;10592;9232;9134;7298;983;203068;4605;7153;5111;891;890;7283;898;1017;4172;993;995;6241;7272;4173;4174;4176;672;899;23310;4436;5902;4288;1058;1063;5557;5558;4171;9735;1763;675;4751;2956;3832;5347;641;5427;1869;1062;9493;5888;10657;5426;2305;991;4085;6502;4998;23649;4175;9700;9833;9837;3837;23397;9918;9928;9787;6491;9319;2146;1033;27338;54821;55165;55143;151246;387103;151648;157313;84722;79866;163786;79682;55388;90381;128239;54892;146909;221150;220042;285753;259266;91687;147841;57082;81930;83903;26586;9125;23165;2491;8438;144455;220134;27085;113130;9212;84930;55839;55872;9585;10615;83461;9088;11004;580;990;64151;64105;54478;55706;79172;79075;3833;79902;83990;51203;2177;83540;29127;81620;64946;81610;79000;64858;1894;55055;63967;57405;3619;54443;3070;56992;79019;10051;55215;54069;51512;51514;10926;26271;22974;27339;8914;51659;90417;23594;25788</t>
  </si>
  <si>
    <t>PSMD11;CDC7;PLK4;UBE2C;CHEK1;NDC80;AURKA;FANCG;PPM1G;FANCA;BIRC5;PSMD3;WDR62;OIP5;XRCC2;PRC1;BUB1;BUB1B;HMMR;CDC45;CEP152;CCNB2;ZWINT;KIF20A;KIF4A;SMC2;PTTG1;CCNE2;TYMS;CDK1;TUBB;MYBL2;TOP2A;PCNA;CCNB1;CCNA2;TUBG1;CCNE1;CDK2;MCM3;CDC25A;CDC25C;RRM2;TTK;MCM4;MCM5;MCM7;BRCA1;CCNF;NCAPD3;MSH2;RANBP1;MKI67;CENPA;CENPF;PRIM1;PRIM2;MCM2;KNTC1;DNA2;BRCA2;NEK2;MSH6;KIF11;PLK1;BLM;POLE2;E2F1;CENPE;AC027237.1;RAD51;KHDRBS1;POLE;FOXM1;CDC20;MAD2L1;SKP2;ORC1;POLA2;MCM6;ESPL1;MELK;GINS1;KPNB1;NCAPH;NCAPD2;KIF14;DLGAP5;STIL;TRIP13;EZH2;CDKN3;UBE2S;ERCC6L;CEP55;CDCA8;SGO2;CENPW;SGO1;CDCA2;PSRC1;BORA;SASS6;CENPU;MCM10;TICRR;IQGAP3;NCAPG2;KIF18B;SKA3;DDIAS;CEP57L1;ASPM;CENPL;SPC24;KNL1;KIF18A;HASPIN;CKAP2;CNOT9;NUP205;CENPI;RAD54L;E2F7;SKA1;MTBP;CDCA5;AURKB;MASTL;CENPN;PBK;KIF20B;SPAG5;CDCA3;PKMYT1;KIF2C;BARD1;CDC6;NCAPG;CENPK;PIMREG;NDC1;CENPO;DSCC1;KIFC1;NUP85;BRIP1;NUSAP1;FANCD2;NUF2;RACGAP1;CDT1;CENPH;FAM83D;AUNIP;DCLRE1B;ECT2;ZWILCH;CLSPN;SPC25;INCENP;ANLN;HELLS;KIF15;CENPM;SMC4;FANCI;MIS18A;GTSE1;DTL;DBF4;FBXO5;TPX2;PRPF19;TIMELESS;GINS2;KNSTRN;ORC6;RAD54B</t>
  </si>
  <si>
    <t>79733;5717;8317;10733;11065;1111;10403;6790;332;5709;284403;11339;7516;9055;699;701;3161;8318;22995;9133;11130;10112;24137;10592;9232;9134;7298;983;203068;4605;7153;5111;891;890;7283;6240;898;1017;4172;993;995;6241;7272;4173;4174;4176;899;23310;4436;5902;1058;1063;5557;5558;4171;9735;1763;4751;3832;5347;641;5427;1869;1062;9493;10657;5426;2305;991;4085;6502;4998;23649;4175;9700;9833;9837;3837;23397;9918;9928;9787;6491;1033;27338;54821;55165;55143;387103;151648;157313;84722;79866;55388;90381;128239;54892;146909;221150;285753;259266;147841;57082;81930;83903;26586;9125;23165;144455;220134;113130;9212;84930;55839;55872;9585;10615;83461;9088;11004;990;64151;54478;55706;79075;3833;79902;51203;83540;29127;81620;81610;55055;63967;57405;3619;54443;3070;56992;10051;55215;54069;51512;10926;26271;22974;8914;51659;90417;23594</t>
  </si>
  <si>
    <t>E2F8;PSMD11;CDC7;PLK4;UBE2C;CHEK1;NDC80;AURKA;BIRC5;PSMD3;WDR62;OIP5;XRCC2;PRC1;BUB1;BUB1B;HMMR;CDC45;CEP152;CCNB2;ZWINT;KIF20A;KIF4A;SMC2;PTTG1;CCNE2;TYMS;CDK1;TUBB;MYBL2;TOP2A;PCNA;CCNB1;CCNA2;TUBG1;RRM1;CCNE1;CDK2;MCM3;CDC25A;CDC25C;RRM2;TTK;MCM4;MCM5;MCM7;CCNF;NCAPD3;MSH2;RANBP1;CENPA;CENPF;PRIM1;PRIM2;MCM2;KNTC1;DNA2;NEK2;KIF11;PLK1;BLM;POLE2;E2F1;CENPE;AC027237.1;KHDRBS1;POLE;FOXM1;CDC20;MAD2L1;SKP2;ORC1;POLA2;MCM6;ESPL1;MELK;GINS1;KPNB1;NCAPH;NCAPD2;KIF14;DLGAP5;STIL;CDKN3;UBE2S;ERCC6L;CEP55;CDCA8;CENPW;SGO1;CDCA2;PSRC1;BORA;MCM10;TICRR;IQGAP3;NCAPG2;KIF18B;SKA3;CEP57L1;ASPM;SPC24;KNL1;KIF18A;HASPIN;CKAP2;CNOT9;NUP205;E2F7;SKA1;CDCA5;AURKB;MASTL;CENPN;PBK;KIF20B;SPAG5;CDCA3;PKMYT1;KIF2C;CDC6;NCAPG;PIMREG;NDC1;DSCC1;KIFC1;NUP85;NUSAP1;NUF2;RACGAP1;CDT1;FAM83D;ZWILCH;CLSPN;SPC25;INCENP;ANLN;HELLS;KIF15;SMC4;FANCI;MIS18A;GTSE1;DBF4;FBXO5;TPX2;TIMELESS;GINS2;KNSTRN;ORC6</t>
  </si>
  <si>
    <t>10733;1111;10403;8520;6790;332;6839;11339;7516;699;701;10721;8318;9401;11130;24137;10592;86;983;3015;4605;7153;5111;891;6929;7283;1017;4172;1786;3148;4173;4174;4176;5984;5982;672;2237;5985;5983;7112;23310;4436;4288;1058;1063;5557;5558;4171;9735;1763;675;4751;2956;5347;641;5427;1869;1062;5888;5426;6749;10036;8208;4085;4998;23649;4175;23076;9837;23397;9918;2146;54821;55143;151246;157570;387103;151648;157313;63979;253714;79682;55388;221150;91687;147841;55355;80174;57082;81930;83903;11073;2491;3066;146956;220134;27085;113130;9212;55839;4796;10615;29128;11004;64151;84296;64105;79172;79075;79902;51203;2177;83540;64946;80119;64858;55055;57405;3619;3070;79019;10051;55723;55010;54069;51514;27339;8914;51659;90417;11198;23594</t>
  </si>
  <si>
    <t>PLK4;CHEK1;NDC80;HAT1;AURKA;BIRC5;SUV39H1;OIP5;XRCC2;BUB1;BUB1B;POLQ;CDC45;RECQL4;ZWINT;KIF4A;SMC2;ACTL6A;CDK1;H2AFZ;MYBL2;TOP2A;PCNA;CCNB1;TCF3;TUBG1;CDK2;MCM3;DNMT1;HMGB2;MCM4;MCM5;MCM7;RFC4;RFC2;BRCA1;FEN1;RFC5;RFC3;TMPO;NCAPD3;MSH2;MKI67;CENPA;CENPF;PRIM1;PRIM2;MCM2;KNTC1;DNA2;BRCA2;NEK2;MSH6;PLK1;BLM;POLE2;E2F1;CENPE;RAD51;POLE;SSRP1;CHAF1A;CHAF1B;MAD2L1;ORC1;POLA2;MCM6;RRP1B;GINS1;NCAPH;NCAPD2;EZH2;ERCC6L;CDCA8;SGO2;ESCO2;CENPW;SGO1;CDCA2;FIGNL1;MMS22L;CENPU;MCM10;SKA3;CENPL;SPC24;HJURP;DBF4B;KNL1;KIF18A;HASPIN;TOPBP1;CENPI;HDAC2;EME1;SKA1;MTBP;CDCA5;AURKB;CENPN;TONSL;SPAG5;UHRF1;KIF2C;NCAPG;GINS4;CENPK;CENPO;DSCC1;NUP85;NUSAP1;FANCD2;NUF2;CENPH;PIF1;DCLRE1B;ZWILCH;SPC25;INCENP;HELLS;CENPM;SMC4;ASF1B;PARPBP;MIS18A;DTL;PRPF19;TIMELESS;GINS2;KNSTRN;SUPT16H;ORC6</t>
  </si>
  <si>
    <t>1111;10403;8520;6790;332;6839;11339;9055;699;701;8318;9401;11130;24137;10592;9232;86;983;3015;7153;5111;891;1017;4172;1786;3148;5933;4173;4174;4176;5984;5982;7913;672;2237;5985;5983;23310;4436;1058;1063;5557;5558;4171;9735;1763;675;4751;2956;5347;641;5427;1062;9493;5888;5426;991;10036;8208;4085;6996;2967;23649;4175;9700;9837;3837;23397;9918;9928;9787;9319;2146;54821;55165;55143;151246;387103;151648;84722;29028;79682;54892;146909;285753;91687;147841;55355;57082;81930;83903;2491;8438;3066;220134;113130;9212;55839;10615;29128;11004;64151;84296;64105;55706;79172;79075;3833;79902;83990;51203;2177;83540;29127;64946;80119;64858;55055;57405;3619;3070;79019;10051;55723;54069;51659;90417;11198;25788</t>
  </si>
  <si>
    <t>CHEK1;NDC80;HAT1;AURKA;BIRC5;SUV39H1;OIP5;PRC1;BUB1;BUB1B;CDC45;RECQL4;ZWINT;KIF4A;SMC2;PTTG1;ACTL6A;CDK1;H2AFZ;TOP2A;PCNA;CCNB1;CDK2;MCM3;DNMT1;HMGB2;RBL1;MCM4;MCM5;MCM7;RFC4;RFC2;DEK;BRCA1;FEN1;RFC5;RFC3;NCAPD3;MSH2;CENPA;CENPF;PRIM1;PRIM2;MCM2;KNTC1;DNA2;BRCA2;NEK2;MSH6;PLK1;BLM;POLE2;CENPE;AC027237.1;RAD51;POLE;CDC20;CHAF1A;CHAF1B;MAD2L1;TDG;GTF2H3;POLA2;MCM6;ESPL1;GINS1;KPNB1;NCAPH;NCAPD2;KIF14;DLGAP5;TRIP13;EZH2;ERCC6L;CEP55;CDCA8;SGO2;CENPW;SGO1;PSRC1;ATAD2;CENPU;NCAPG2;KIF18B;CEP57L1;CENPL;SPC24;HJURP;KNL1;KIF18A;HASPIN;CENPI;RAD54L;HDAC2;SKA1;CDCA5;AURKB;CENPN;SPAG5;UHRF1;KIF2C;NCAPG;GINS4;CENPK;NDC1;CENPO;DSCC1;KIFC1;NUP85;BRIP1;NUSAP1;FANCD2;NUF2;RACGAP1;CENPH;PIF1;DCLRE1B;ZWILCH;SPC25;INCENP;HELLS;CENPM;SMC4;ASF1B;MIS18A;GINS2;KNSTRN;SUPT16H;RAD54B</t>
  </si>
  <si>
    <t>11065;10403;6790;2175;332;11339;7516;9055;699;701;9133;11130;24137;10592;9232;983;4605;7153;891;890;1017;993;995;899;23310;4436;4288;1063;9735;675;4751;2956;3832;5347;1062;9493;5888;991;4085;9700;3837;23397;9918;9928;9787;9319;27338;54821;55165;55143;151246;387103;151648;157313;113115;84722;79866;54892;146909;221150;285753;259266;147841;57082;81930;83903;8438;220134;113130;9212;84930;55839;55872;9585;10615;83461;9088;11004;990;64151;54478;55706;79075;3833;51203;2177;83540;29127;81610;55055;57405;3619;54443;3070;56992;10051;54069;26271;22974;8914;90417;25788</t>
  </si>
  <si>
    <t>UBE2C;NDC80;AURKA;FANCA;BIRC5;OIP5;XRCC2;PRC1;BUB1;BUB1B;CCNB2;ZWINT;KIF4A;SMC2;PTTG1;CDK1;MYBL2;TOP2A;CCNB1;CCNA2;CDK2;CDC25A;CDC25C;CCNF;NCAPD3;MSH2;MKI67;CENPF;KNTC1;BRCA2;NEK2;MSH6;KIF11;PLK1;CENPE;AC027237.1;RAD51;CDC20;MAD2L1;ESPL1;KPNB1;NCAPH;NCAPD2;KIF14;DLGAP5;TRIP13;UBE2S;ERCC6L;CEP55;CDCA8;SGO2;CENPW;SGO1;CDCA2;MTFR2;PSRC1;BORA;NCAPG2;KIF18B;SKA3;CEP57L1;ASPM;SPC24;KNL1;KIF18A;HASPIN;RAD54L;SKA1;CDCA5;AURKB;MASTL;CENPN;PBK;KIF20B;SPAG5;CDCA3;PKMYT1;KIF2C;CDC6;NCAPG;PIMREG;NDC1;DSCC1;KIFC1;NUSAP1;FANCD2;NUF2;RACGAP1;FAM83D;ZWILCH;SPC25;INCENP;ANLN;HELLS;KIF15;SMC4;MIS18A;FBXO5;TPX2;TIMELESS;KNSTRN;RAD54B</t>
  </si>
  <si>
    <t>8317;1111;2189;2175;7516;10721;8318;10535;9401;7398;9232;86;9134;7083;7298;983;7153;5111;7374;6929;6240;898;1017;4172;1786;3148;993;995;6241;4173;4174;4176;5984;5982;4521;672;2237;5985;5983;4436;4288;1063;5557;5558;4171;1763;675;3838;2956;641;5427;5888;5426;2305;6749;10036;8208;4998;6996;2967;23649;4175;9837;3837;9768;9319;2146;348654;157570;286826;253714;55388;90381;2187;55247;11073;8438;146956;10635;113130;4796;29128;580;990;84296;64785;79075;84057;83990;2177;81620;80119;64858;63967;29089;3070;55215;55010;51514;29893;1789;10926;27339;8914;9156;51659;11198;23594;25788</t>
  </si>
  <si>
    <t>CDC7;CHEK1;FANCG;FANCA;XRCC2;POLQ;CDC45;RNASEH2A;RECQL4;USP1;PTTG1;ACTL6A;CCNE2;TK1;TYMS;CDK1;TOP2A;PCNA;UNG;TCF3;RRM1;CCNE1;CDK2;MCM3;DNMT1;HMGB2;CDC25A;CDC25C;RRM2;MCM4;MCM5;MCM7;RFC4;RFC2;NUDT1;BRCA1;FEN1;RFC5;RFC3;MSH2;MKI67;CENPF;PRIM1;PRIM2;MCM2;DNA2;BRCA2;KPNA2;MSH6;BLM;POLE2;RAD51;POLE;FOXM1;SSRP1;CHAF1A;CHAF1B;ORC1;TDG;GTF2H3;POLA2;MCM6;GINS1;KPNB1;PCLAF;TRIP13;EZH2;GEN1;ESCO2;LIN9;MMS22L;MCM10;TICRR;FANCB;NEIL3;TOPBP1;RAD54L;EME1;RAD51AP1;CDCA5;TONSL;UHRF1;BARD1;CDC6;GINS4;GINS3;DSCC1;MND1;BRIP1;FANCD2;CDT1;PIF1;DCLRE1B;CLSPN;UBE2T;HELLS;FANCI;PARPBP;DTL;PSMC3IP;DNMT3B;DBF4;PRPF19;TIMELESS;EXO1;GINS2;SUPT16H;ORC6;RAD54B</t>
  </si>
  <si>
    <t>11065;10403;6790;332;11339;9055;699;701;9133;11130;24137;10592;9232;983;4605;891;890;1017;993;995;899;23310;1063;9735;4751;3832;5347;1062;9493;991;4085;9700;3837;23397;9918;9928;9787;27338;54821;55165;55143;387103;151648;157313;84722;79866;54892;146909;221150;285753;259266;147841;57082;81930;83903;220134;113130;9212;84930;55839;55872;9585;10615;83461;9088;11004;990;64151;54478;79075;3833;51203;83540;29127;81610;55055;57405;3619;54443;3070;56992;10051;54069;26271;22974;8914;90417</t>
  </si>
  <si>
    <t>UBE2C;NDC80;AURKA;BIRC5;OIP5;PRC1;BUB1;BUB1B;CCNB2;ZWINT;KIF4A;SMC2;PTTG1;CDK1;MYBL2;CCNB1;CCNA2;CDK2;CDC25A;CDC25C;CCNF;NCAPD3;CENPF;KNTC1;NEK2;KIF11;PLK1;CENPE;AC027237.1;CDC20;MAD2L1;ESPL1;KPNB1;NCAPH;NCAPD2;KIF14;DLGAP5;UBE2S;ERCC6L;CEP55;CDCA8;CENPW;SGO1;CDCA2;PSRC1;BORA;NCAPG2;KIF18B;SKA3;CEP57L1;ASPM;SPC24;KNL1;KIF18A;HASPIN;SKA1;CDCA5;AURKB;MASTL;CENPN;PBK;KIF20B;SPAG5;CDCA3;PKMYT1;KIF2C;CDC6;NCAPG;PIMREG;DSCC1;KIFC1;NUSAP1;NUF2;RACGAP1;FAM83D;ZWILCH;SPC25;INCENP;ANLN;HELLS;KIF15;SMC4;MIS18A;FBXO5;TPX2;TIMELESS;KNSTRN</t>
  </si>
  <si>
    <t>10403;332;9055;699;701;11130;24137;10592;9232;7153;891;7272;672;23310;1058;1063;9735;675;4751;3832;5347;1062;9493;991;4085;9700;3837;23397;9918;9928;9787;9319;54821;55165;55143;151246;157570;387103;151648;157313;84722;79682;146909;221150;285753;91687;147841;55355;57082;81930;83903;2491;220134;113130;9212;55839;10615;11004;64151;64105;55706;79172;79075;3833;79902;51203;2177;83540;29127;64946;81610;55055;57405;3619;79019;10051;54069;90417</t>
  </si>
  <si>
    <t>NDC80;BIRC5;PRC1;BUB1;BUB1B;ZWINT;KIF4A;SMC2;PTTG1;TOP2A;CCNB1;TTK;BRCA1;NCAPD3;CENPA;CENPF;KNTC1;BRCA2;NEK2;KIF11;PLK1;CENPE;AC027237.1;CDC20;MAD2L1;ESPL1;KPNB1;NCAPH;NCAPD2;KIF14;DLGAP5;TRIP13;ERCC6L;CEP55;CDCA8;SGO2;ESCO2;CENPW;SGO1;CDCA2;PSRC1;CENPU;KIF18B;SKA3;CEP57L1;CENPL;SPC24;HJURP;KNL1;KIF18A;HASPIN;CENPI;SKA1;CDCA5;AURKB;CENPN;SPAG5;KIF2C;NCAPG;CENPK;NDC1;CENPO;DSCC1;KIFC1;NUP85;NUSAP1;FANCD2;NUF2;RACGAP1;CENPH;FAM83D;ZWILCH;SPC25;INCENP;CENPM;SMC4;MIS18A;KNSTRN</t>
  </si>
  <si>
    <t>8317;11065;10403;6790;332;11339;9055;699;701;9133;11130;10112;24137;10592;9232;9134;983;203068;7153;891;890;898;1017;993;995;899;23310;1063;9735;675;4751;3832;5347;1163;10376;1062;9493;991;4085;9700;23397;9918;9928;27338;54821;55165;55143;151246;387103;151648;157313;84722;79866;54892;146909;221150;259266;147841;57082;26586;220134;113130;9212;84930;9585;10615;83461;11004;990;64151;84790;54478;3833;51203;83540;29127;81610;1894;55055;57405;3619;54443;3070;10051;54069;26271;22974;8914;90417</t>
  </si>
  <si>
    <t>CDC7;UBE2C;NDC80;AURKA;BIRC5;OIP5;PRC1;BUB1;BUB1B;CCNB2;ZWINT;KIF20A;KIF4A;SMC2;PTTG1;CCNE2;CDK1;TUBB;TOP2A;CCNB1;CCNA2;CCNE1;CDK2;CDC25A;CDC25C;CCNF;NCAPD3;CENPF;KNTC1;BRCA2;NEK2;KIF11;PLK1;CKS1B;TUBA1B;CENPE;AC027237.1;CDC20;MAD2L1;ESPL1;NCAPH;NCAPD2;KIF14;UBE2S;ERCC6L;CEP55;CDCA8;SGO2;CENPW;SGO1;CDCA2;PSRC1;BORA;NCAPG2;KIF18B;SKA3;ASPM;SPC24;KNL1;CKAP2;SKA1;CDCA5;AURKB;MASTL;KIF20B;SPAG5;CDCA3;KIF2C;CDC6;NCAPG;TUBA1C;PIMREG;KIFC1;NUSAP1;NUF2;RACGAP1;FAM83D;ECT2;ZWILCH;SPC25;INCENP;ANLN;HELLS;SMC4;MIS18A;FBXO5;TPX2;TIMELESS;KNSTRN</t>
  </si>
  <si>
    <t>10403;332;9055;699;701;11130;24137;10592;9232;7153;891;23310;1058;1063;9735;675;4751;5347;1062;9493;991;4085;9700;3837;23397;9918;9928;9787;9319;54821;55165;55143;151246;151648;84722;79682;146909;285753;91687;147841;57082;81930;83903;2491;220134;113130;9212;55839;10615;11004;64151;64105;55706;79172;79075;3833;79902;51203;2177;83540;29127;64946;81610;55055;57405;3619;79019;10051;90417</t>
  </si>
  <si>
    <t>NDC80;BIRC5;PRC1;BUB1;BUB1B;ZWINT;KIF4A;SMC2;PTTG1;TOP2A;CCNB1;NCAPD3;CENPA;CENPF;KNTC1;BRCA2;NEK2;PLK1;CENPE;AC027237.1;CDC20;MAD2L1;ESPL1;KPNB1;NCAPH;NCAPD2;KIF14;DLGAP5;TRIP13;ERCC6L;CEP55;CDCA8;SGO2;SGO1;PSRC1;CENPU;KIF18B;CEP57L1;CENPL;SPC24;KNL1;KIF18A;HASPIN;CENPI;SKA1;CDCA5;AURKB;CENPN;SPAG5;KIF2C;NCAPG;CENPK;NDC1;CENPO;DSCC1;KIFC1;NUP85;NUSAP1;FANCD2;NUF2;RACGAP1;CENPH;FAM83D;ZWILCH;SPC25;INCENP;CENPM;SMC4;KNSTRN</t>
  </si>
  <si>
    <t>10403;332;9055;699;701;11130;24137;10592;7153;891;23310;1058;1063;9735;4751;5347;1062;9493;991;4085;9700;3837;23397;9918;9928;9787;54821;55165;55143;151246;151648;84722;79682;146909;285753;91687;147841;57082;81930;83903;2491;220134;113130;9212;55839;10615;11004;64151;64105;79172;79075;3833;79902;51203;83540;29127;64946;55055;57405;3619;79019;10051;90417</t>
  </si>
  <si>
    <t>NDC80;BIRC5;PRC1;BUB1;BUB1B;ZWINT;KIF4A;SMC2;TOP2A;CCNB1;NCAPD3;CENPA;CENPF;KNTC1;NEK2;PLK1;CENPE;AC027237.1;CDC20;MAD2L1;ESPL1;KPNB1;NCAPH;NCAPD2;KIF14;DLGAP5;ERCC6L;CEP55;CDCA8;SGO2;SGO1;PSRC1;CENPU;KIF18B;CEP57L1;CENPL;SPC24;KNL1;KIF18A;HASPIN;CENPI;SKA1;CDCA5;AURKB;CENPN;SPAG5;KIF2C;NCAPG;CENPK;CENPO;DSCC1;KIFC1;NUP85;NUSAP1;NUF2;RACGAP1;CENPH;ZWILCH;SPC25;INCENP;CENPM;SMC4;KNSTRN</t>
  </si>
  <si>
    <t>1111;10403;8520;6790;332;6839;11339;699;701;11130;983;5111;891;1017;4172;1786;4173;4174;4176;2237;23310;4436;4288;1058;1063;4171;9735;1763;675;4751;5347;641;1062;5888;4085;4998;4175;9918;54821;55143;151246;157570;387103;151648;79682;221150;91687;147841;55355;57082;81930;2491;220134;27085;113130;9212;55839;10615;11004;64105;79172;79075;79902;83540;64946;80119;64858;55055;57405;3619;3070;79019;54069;90417</t>
  </si>
  <si>
    <t>CHEK1;NDC80;HAT1;AURKA;BIRC5;SUV39H1;OIP5;BUB1;BUB1B;ZWINT;CDK1;PCNA;CCNB1;CDK2;MCM3;DNMT1;MCM4;MCM5;MCM7;FEN1;NCAPD3;MSH2;MKI67;CENPA;CENPF;MCM2;KNTC1;DNA2;BRCA2;NEK2;PLK1;BLM;CENPE;RAD51;MAD2L1;ORC1;MCM6;NCAPD2;ERCC6L;CDCA8;SGO2;ESCO2;CENPW;SGO1;CENPU;SKA3;CENPL;SPC24;HJURP;KNL1;KIF18A;CENPI;SKA1;MTBP;CDCA5;AURKB;CENPN;SPAG5;KIF2C;CENPK;CENPO;DSCC1;NUP85;NUF2;CENPH;PIF1;DCLRE1B;ZWILCH;SPC25;INCENP;HELLS;CENPM;MIS18A;KNSTRN</t>
  </si>
  <si>
    <t>8317;1111;10721;8318;10535;9401;9134;983;7153;5111;6240;898;1017;4172;993;995;6241;4173;4174;4176;5984;5982;672;2237;5985;5983;5557;5558;4171;1763;675;641;5427;5888;5426;6749;10036;8208;4998;23649;4175;9837;9768;253714;55388;90381;11073;4796;580;990;84296;64785;79075;83990;81620;63967;51514;10926;8914;9156;51659;11198;23594</t>
  </si>
  <si>
    <t>CDC7;CHEK1;POLQ;CDC45;RNASEH2A;RECQL4;CCNE2;CDK1;TOP2A;PCNA;RRM1;CCNE1;CDK2;MCM3;CDC25A;CDC25C;RRM2;MCM4;MCM5;MCM7;RFC4;RFC2;BRCA1;FEN1;RFC5;RFC3;PRIM1;PRIM2;MCM2;DNA2;BRCA2;BLM;POLE2;RAD51;POLE;SSRP1;CHAF1A;CHAF1B;ORC1;POLA2;MCM6;GINS1;PCLAF;MMS22L;MCM10;TICRR;TOPBP1;TONSL;BARD1;CDC6;GINS4;GINS3;DSCC1;BRIP1;CDT1;CLSPN;DTL;DBF4;TIMELESS;EXO1;GINS2;SUPT16H;ORC6</t>
  </si>
  <si>
    <t>79733;5717;8317;10733;11065;1111;6790;5496;332;5709;699;701;8318;9133;11130;9232;9134;983;4605;7153;5111;891;6929;890;898;1017;5933;993;995;7272;672;899;4436;5902;1063;6878;9735;675;4751;3832;5347;641;1163;6733;1869;1062;9493;10657;2305;991;4085;6502;4998;1870;9700;9768;9928;9787;2146;1033;348654;286826;84722;79866;63979;90381;220042;259266;80174;83903;9125;144455;27085;113130;9212;84930;55771;9585;10615;9088;580;990;51203;29127;81620;81610;1894;55055;63967;54443;55215;51512;51514;56241;26271;22974;27339;90417</t>
  </si>
  <si>
    <t>E2F8;PSMD11;CDC7;PLK4;UBE2C;CHEK1;AURKA;PPM1G;BIRC5;PSMD3;BUB1;BUB1B;CDC45;CCNB2;ZWINT;PTTG1;CCNE2;CDK1;MYBL2;TOP2A;PCNA;CCNB1;TCF3;CCNA2;CCNE1;CDK2;RBL1;CDC25A;CDC25C;TTK;BRCA1;CCNF;MSH2;RANBP1;CENPF;TAF6;KNTC1;BRCA2;NEK2;KIF11;PLK1;BLM;CKS1B;SRPK2;E2F1;CENPE;AC027237.1;KHDRBS1;FOXM1;CDC20;MAD2L1;SKP2;ORC1;E2F2;ESPL1;PCLAF;KIF14;DLGAP5;EZH2;CDKN3;GEN1;LIN9;PSRC1;BORA;FIGNL1;TICRR;DDIAS;ASPM;DBF4B;HASPIN;CNOT9;E2F7;MTBP;CDCA5;AURKB;MASTL;PRR11;KIF20B;SPAG5;PKMYT1;BARD1;CDC6;NUSAP1;RACGAP1;CDT1;FAM83D;ECT2;ZWILCH;CLSPN;ANLN;FANCI;GTSE1;DTL;SUSD2;FBXO5;TPX2;PRPF19;KNSTRN</t>
  </si>
  <si>
    <t>10212;8317;1111;6790;2189;2175;6839;7516;10721;8318;10535;9401;7398;9232;86;983;200933;7153;5111;7374;891;890;1017;3148;995;4176;5984;5982;4521;672;2237;5985;5983;4436;1763;675;2956;5347;641;5427;1869;5888;5426;2305;6749;10036;8208;6996;2967;9768;9319;348654;157570;253714;55388;90381;2187;55247;11073;9125;8438;144455;146956;10635;113130;84930;4796;79915;29128;580;84296;83990;2177;80119;64858;79968;63967;29089;55215;55010;51512;51514;27339;8914;9156;51659;11198;25788</t>
  </si>
  <si>
    <t>DDX39A;CDC7;CHEK1;AURKA;FANCG;FANCA;SUV39H1;XRCC2;POLQ;CDC45;RNASEH2A;RECQL4;USP1;PTTG1;ACTL6A;CDK1;FBXO45;TOP2A;PCNA;UNG;CCNB1;CCNA2;CDK2;HMGB2;CDC25C;MCM7;RFC4;RFC2;NUDT1;BRCA1;FEN1;RFC5;RFC3;MSH2;DNA2;BRCA2;MSH6;PLK1;BLM;POLE2;E2F1;RAD51;POLE;FOXM1;SSRP1;CHAF1A;CHAF1B;TDG;GTF2H3;PCLAF;TRIP13;GEN1;ESCO2;MMS22L;MCM10;TICRR;FANCB;NEIL3;TOPBP1;CNOT9;RAD54L;E2F7;EME1;RAD51AP1;CDCA5;MASTL;TONSL;ATAD5;UHRF1;BARD1;GINS4;BRIP1;FANCD2;PIF1;DCLRE1B;WDR76;CLSPN;UBE2T;FANCI;PARPBP;GTSE1;DTL;PRPF19;TIMELESS;EXO1;GINS2;SUPT16H;RAD54B</t>
  </si>
  <si>
    <t>1111;10403;6790;332;6839;699;701;11130;10592;7153;891;7283;1017;3148;672;23310;4288;1058;1063;9735;4751;5347;641;1062;5888;4085;23397;9918;54821;151246;387103;151648;79682;221150;147841;55355;57082;11073;220134;113130;9212;55839;10615;11004;64151;64105;79172;79902;2177;83540;64946;55055;57405;3619;79019;10051;90417</t>
  </si>
  <si>
    <t>CHEK1;NDC80;AURKA;BIRC5;SUV39H1;BUB1;BUB1B;ZWINT;SMC2;TOP2A;CCNB1;TUBG1;CDK2;HMGB2;BRCA1;NCAPD3;MKI67;CENPA;CENPF;KNTC1;NEK2;PLK1;BLM;CENPE;RAD51;MAD2L1;NCAPH;NCAPD2;ERCC6L;SGO2;CENPW;SGO1;CENPU;SKA3;SPC24;HJURP;KNL1;TOPBP1;SKA1;CDCA5;AURKB;CENPN;SPAG5;KIF2C;NCAPG;CENPK;CENPO;NUP85;FANCD2;NUF2;CENPH;ZWILCH;SPC25;INCENP;CENPM;SMC4;KNSTRN</t>
  </si>
  <si>
    <t>10403;6790;332;6839;11339;699;701;11130;891;1786;23310;4288;1058;1063;9735;4751;5347;1062;4085;9918;54821;55143;151246;157570;387103;151648;79682;221150;91687;147841;55355;57082;81930;2491;220134;27085;113130;9212;55839;10615;11004;64105;79172;79075;79902;83540;64946;55055;57405;3619;3070;79019;54069;90417</t>
  </si>
  <si>
    <t>NDC80;AURKA;BIRC5;SUV39H1;OIP5;BUB1;BUB1B;ZWINT;CCNB1;DNMT1;NCAPD3;MKI67;CENPA;CENPF;KNTC1;NEK2;PLK1;CENPE;MAD2L1;NCAPD2;ERCC6L;CDCA8;SGO2;ESCO2;CENPW;SGO1;CENPU;SKA3;CENPL;SPC24;HJURP;KNL1;KIF18A;CENPI;SKA1;MTBP;CDCA5;AURKB;CENPN;SPAG5;KIF2C;CENPK;CENPO;DSCC1;NUP85;NUF2;CENPH;ZWILCH;SPC25;INCENP;HELLS;CENPM;MIS18A;KNSTRN</t>
  </si>
  <si>
    <t>8317;10733;11065;1111;6790;332;701;3161;8318;22995;9133;9134;7298;983;203068;5111;891;7283;898;1017;4172;993;995;6241;4173;4174;4176;5902;5557;5558;4171;4751;5347;5427;1869;10657;5426;2305;6502;4998;23649;4175;9833;1033;27338;79866;55388;128239;144455;113130;84930;9088;990;81620;10926;26271;22974;8914;23594</t>
  </si>
  <si>
    <t>CDC7;PLK4;UBE2C;CHEK1;AURKA;BIRC5;BUB1B;HMMR;CDC45;CEP152;CCNB2;CCNE2;TYMS;CDK1;TUBB;PCNA;CCNB1;TUBG1;CCNE1;CDK2;MCM3;CDC25A;CDC25C;RRM2;MCM4;MCM5;MCM7;RANBP1;PRIM1;PRIM2;MCM2;NEK2;PLK1;POLE2;E2F1;KHDRBS1;POLE;FOXM1;SKP2;ORC1;POLA2;MCM6;MELK;CDKN3;UBE2S;BORA;MCM10;IQGAP3;E2F7;CDCA5;MASTL;PKMYT1;CDC6;CDT1;DBF4;FBXO5;TPX2;TIMELESS;ORC6</t>
  </si>
  <si>
    <t>8317;10733;1111;3797;6790;332;284403;7516;9055;701;8318;22995;9133;10112;24137;983;203068;7153;5111;891;7283;898;1017;4172;7272;672;899;5902;1063;4171;9735;675;4751;3832;5347;10376;1062;9493;5888;991;4085;9700;9928;9787;6491;348654;54821;55165;55143;151648;84722;163786;79682;146909;221150;150468;285753;259266;25886;81930;83903;26586;11073;220134;93594;9212;84930;132320;9585;10615;11004;990;64151;84790;55706;3833;79902;51203;29127;81610;79000;64858;1894;3619;56992;51512;51514;26271;22974;27339;8914;90417;10460</t>
  </si>
  <si>
    <t>CDC7;PLK4;CHEK1;KIF3C;AURKA;BIRC5;WDR62;XRCC2;PRC1;BUB1B;CDC45;CEP152;CCNB2;KIF20A;KIF4A;CDK1;TUBB;TOP2A;PCNA;CCNB1;TUBG1;CCNE1;CDK2;MCM3;TTK;BRCA1;CCNF;RANBP1;CENPF;MCM2;KNTC1;BRCA2;NEK2;KIF11;PLK1;TUBA1B;CENPE;AC027237.1;RAD51;CDC20;MAD2L1;ESPL1;KIF14;DLGAP5;STIL;GEN1;ERCC6L;CEP55;CDCA8;SGO1;PSRC1;SASS6;CENPU;KIF18B;SKA3;CKAP2L;CEP57L1;ASPM;POC1A;KIF18A;HASPIN;CKAP2;TOPBP1;SKA1;TBC1D31;AURKB;MASTL;SCLT1;KIF20B;SPAG5;KIF2C;CDC6;NCAPG;TUBA1C;NDC1;KIFC1;NUP85;NUSAP1;RACGAP1;FAM83D;AUNIP;DCLRE1B;ECT2;INCENP;KIF15;GTSE1;DTL;FBXO5;TPX2;PRPF19;TIMELESS;KNSTRN;TACC3</t>
  </si>
  <si>
    <t>8317;1111;2189;2175;7516;10721;8318;10535;9401;7398;9232;86;983;5111;7374;1017;3148;5984;5982;4521;672;2237;5985;5983;4436;1763;675;2956;641;5427;5888;5426;2305;6749;10036;8208;6996;2967;9768;9319;348654;157570;253714;90381;2187;55247;11073;8438;146956;10635;113130;4796;29128;580;84296;83990;2177;80119;64858;63967;29089;55215;55010;51514;27339;9156;51659;11198;25788</t>
  </si>
  <si>
    <t>CDC7;CHEK1;FANCG;FANCA;XRCC2;POLQ;CDC45;RNASEH2A;RECQL4;USP1;PTTG1;ACTL6A;CDK1;PCNA;UNG;CDK2;HMGB2;RFC4;RFC2;NUDT1;BRCA1;FEN1;RFC5;RFC3;MSH2;DNA2;BRCA2;MSH6;BLM;POLE2;RAD51;POLE;FOXM1;SSRP1;CHAF1A;CHAF1B;TDG;GTF2H3;PCLAF;TRIP13;GEN1;ESCO2;MMS22L;TICRR;FANCB;NEIL3;TOPBP1;RAD54L;EME1;RAD51AP1;CDCA5;TONSL;UHRF1;BARD1;GINS4;BRIP1;FANCD2;PIF1;DCLRE1B;CLSPN;UBE2T;FANCI;PARPBP;DTL;PRPF19;EXO1;GINS2;SUPT16H;RAD54B</t>
  </si>
  <si>
    <t>79733;5717;8317;10733;11065;1111;6790;332;5709;699;701;8318;9232;983;5111;891;6929;890;1017;995;7272;672;899;4436;5902;1063;9735;675;4751;3832;5347;641;1869;1062;9493;2305;991;4085;4998;9700;9928;9787;2146;348654;84722;79866;90381;80174;83903;9125;144455;27085;113130;9212;9585;10615;9088;990;51203;29127;81620;81610;1894;63967;54443;55215;51512;56241;26271;22974;27339;90417</t>
  </si>
  <si>
    <t>E2F8;PSMD11;CDC7;PLK4;UBE2C;CHEK1;AURKA;BIRC5;PSMD3;BUB1;BUB1B;CDC45;PTTG1;CDK1;PCNA;CCNB1;TCF3;CCNA2;CDK2;CDC25C;TTK;BRCA1;CCNF;MSH2;RANBP1;CENPF;KNTC1;BRCA2;NEK2;KIF11;PLK1;BLM;E2F1;CENPE;AC027237.1;FOXM1;CDC20;MAD2L1;ORC1;ESPL1;KIF14;DLGAP5;EZH2;GEN1;PSRC1;BORA;TICRR;DBF4B;HASPIN;CNOT9;E2F7;MTBP;CDCA5;AURKB;KIF20B;SPAG5;PKMYT1;CDC6;NUSAP1;RACGAP1;CDT1;FAM83D;ECT2;CLSPN;ANLN;FANCI;GTSE1;SUSD2;FBXO5;TPX2;PRPF19;KNSTRN</t>
  </si>
  <si>
    <t>1111;10403;8520;6790;332;6839;699;701;8318;10592;86;983;3015;7153;5111;891;6929;7283;4172;3148;4173;4174;4176;672;2237;23310;4436;1058;4171;1763;675;4751;2956;5347;641;5427;1869;5888;5426;10036;8208;4998;23649;4175;9837;9918;2146;157570;151648;63979;253714;55388;80174;11073;3066;146956;113130;9212;4796;29128;84296;80119;64858;3619;55723;27339;8914;51659;23594</t>
  </si>
  <si>
    <t>CHEK1;NDC80;HAT1;AURKA;BIRC5;SUV39H1;BUB1;BUB1B;CDC45;SMC2;ACTL6A;CDK1;H2AFZ;TOP2A;PCNA;CCNB1;TCF3;TUBG1;MCM3;HMGB2;MCM4;MCM5;MCM7;BRCA1;FEN1;NCAPD3;MSH2;CENPA;MCM2;DNA2;BRCA2;NEK2;MSH6;PLK1;BLM;POLE2;E2F1;RAD51;POLE;CHAF1A;CHAF1B;ORC1;POLA2;MCM6;GINS1;NCAPD2;EZH2;ESCO2;SGO1;FIGNL1;MMS22L;MCM10;DBF4B;TOPBP1;HDAC2;EME1;CDCA5;AURKB;TONSL;UHRF1;GINS4;PIF1;DCLRE1B;INCENP;ASF1B;PRPF19;TIMELESS;GINS2;ORC6</t>
  </si>
  <si>
    <t>10212;8317;1111;6790;2189;2175;6839;7516;1515;10721;8318;6581;10535;9401;7398;9232;86;983;200933;7153;5111;7374;891;890;1017;3148;995;10105;4176;5984;5982;4521;672;2237;5985;5983;4436;4288;1763;675;3068;2956;5347;641;5427;1869;5888;5426;2305;6749;10036;8208;6996;2967;9833;9768;9319;2146;348654;157570;253714;55388;90381;7444;2187;55247;11073;9125;8438;3066;144455;146956;10635;113130;84930;4796;79915;29128;580;84296;83990;2177;80119;64858;1894;79968;63967;29089;55215;55010;51512;51514;1789;27339;8914;9156;51659;11198;25788</t>
  </si>
  <si>
    <t>DDX39A;CDC7;CHEK1;AURKA;FANCG;FANCA;SUV39H1;XRCC2;CTSV;POLQ;CDC45;SLC22A3;RNASEH2A;RECQL4;USP1;PTTG1;ACTL6A;CDK1;FBXO45;TOP2A;PCNA;UNG;CCNB1;CCNA2;CDK2;HMGB2;CDC25C;PPIF;MCM7;RFC4;RFC2;NUDT1;BRCA1;FEN1;RFC5;RFC3;MSH2;MKI67;DNA2;BRCA2;HDGF;MSH6;PLK1;BLM;POLE2;E2F1;RAD51;POLE;FOXM1;SSRP1;CHAF1A;CHAF1B;TDG;GTF2H3;MELK;PCLAF;TRIP13;EZH2;GEN1;ESCO2;MMS22L;MCM10;TICRR;VRK2;FANCB;NEIL3;TOPBP1;CNOT9;RAD54L;HDAC2;E2F7;EME1;RAD51AP1;CDCA5;MASTL;TONSL;ATAD5;UHRF1;BARD1;GINS4;BRIP1;FANCD2;PIF1;DCLRE1B;ECT2;WDR76;CLSPN;UBE2T;FANCI;PARPBP;GTSE1;DTL;DNMT3B;PRPF19;TIMELESS;EXO1;GINS2;SUPT16H;RAD54B</t>
  </si>
  <si>
    <t>6790;332;284403;9055;701;10112;24137;983;891;7283;7272;1063;9735;4751;3832;5347;1062;9493;991;4085;9700;9928;9787;55143;151648;84722;146909;221150;150468;259266;25886;81930;83903;26586;11073;220134;9212;9585;10615;990;55706;3833;79902;51203;29127;81610;79000;1894;3619;56992;26271;22974;27339;90417</t>
  </si>
  <si>
    <t>AURKA;BIRC5;WDR62;PRC1;BUB1B;KIF20A;KIF4A;CDK1;CCNB1;TUBG1;TTK;CENPF;KNTC1;NEK2;KIF11;PLK1;CENPE;AC027237.1;CDC20;MAD2L1;ESPL1;KIF14;DLGAP5;CDCA8;SGO1;PSRC1;KIF18B;SKA3;CKAP2L;ASPM;POC1A;KIF18A;HASPIN;CKAP2;TOPBP1;SKA1;AURKB;KIF20B;SPAG5;CDC6;NDC1;KIFC1;NUP85;NUSAP1;RACGAP1;FAM83D;AUNIP;ECT2;INCENP;KIF15;FBXO5;TPX2;PRPF19;KNSTRN</t>
  </si>
  <si>
    <t>GO_CONDENSED_CHROMOSOME_CENTROMERIC_REGION</t>
  </si>
  <si>
    <t>10403;6790;332;699;701;11130;891;23310;1058;1063;9735;4751;5347;1062;4085;9918;54821;151246;387103;151648;79682;221150;147841;55355;57082;220134;9212;55839;10615;11004;64105;79172;79902;83540;64946;55055;57405;3619;79019;90417</t>
  </si>
  <si>
    <t>NDC80;AURKA;BIRC5;BUB1;BUB1B;ZWINT;CCNB1;NCAPD3;CENPA;CENPF;KNTC1;NEK2;PLK1;CENPE;MAD2L1;NCAPD2;ERCC6L;SGO2;CENPW;SGO1;CENPU;SKA3;SPC24;HJURP;KNL1;SKA1;AURKB;CENPN;SPAG5;KIF2C;CENPK;CENPO;NUP85;NUF2;CENPH;ZWILCH;SPC25;INCENP;CENPM;KNSTRN</t>
  </si>
  <si>
    <t>http://www.broadinstitute.org/gsea/msigdb/cards/GO_CONDENSED_CHROMOSOME_CENTROMERIC_REGION.html</t>
  </si>
  <si>
    <t>10733;1111;3797;6790;332;284403;7516;9055;701;8318;22995;9133;10112;24137;983;203068;7153;5111;891;4001;7283;898;1017;4172;7272;672;899;5902;1063;9735;675;4751;3832;5347;10376;1062;9493;84823;5888;991;4085;9700;9928;9787;6491;348654;54821;55165;55143;151648;84722;163786;79682;146909;221150;150468;285753;259266;25886;81930;83903;26586;11073;220134;93594;9212;84930;80179;132320;9585;10615;11004;990;64151;84790;55706;3833;79902;51203;29127;81610;79000;64858;1894;3619;54443;56992;51512;51514;26271;22974;27339;90417</t>
  </si>
  <si>
    <t>PLK4;CHEK1;KIF3C;AURKA;BIRC5;WDR62;XRCC2;PRC1;BUB1B;CDC45;CEP152;CCNB2;KIF20A;KIF4A;CDK1;TUBB;TOP2A;PCNA;CCNB1;LMNB1;TUBG1;CCNE1;CDK2;MCM3;TTK;BRCA1;CCNF;RANBP1;CENPF;KNTC1;BRCA2;NEK2;KIF11;PLK1;TUBA1B;CENPE;AC027237.1;LMNB2;RAD51;CDC20;MAD2L1;ESPL1;KIF14;DLGAP5;STIL;GEN1;ERCC6L;CEP55;CDCA8;SGO1;PSRC1;SASS6;CENPU;KIF18B;SKA3;CKAP2L;CEP57L1;ASPM;POC1A;KIF18A;HASPIN;CKAP2;TOPBP1;SKA1;TBC1D31;AURKB;MASTL;MYO19;SCLT1;KIF20B;SPAG5;KIF2C;CDC6;NCAPG;TUBA1C;NDC1;KIFC1;NUP85;NUSAP1;RACGAP1;FAM83D;AUNIP;DCLRE1B;ECT2;INCENP;ANLN;KIF15;GTSE1;DTL;FBXO5;TPX2;PRPF19;KNSTRN</t>
  </si>
  <si>
    <t>10403;332;699;701;11130;891;1058;1063;9735;4751;5347;1062;4085;54821;151246;387103;151648;79682;221150;147841;55355;57082;81930;2491;220134;27085;9212;55839;10615;11004;64105;79172;79902;83540;64946;55055;57405;3619;79019;90417</t>
  </si>
  <si>
    <t>NDC80;BIRC5;BUB1;BUB1B;ZWINT;CCNB1;CENPA;CENPF;KNTC1;NEK2;PLK1;CENPE;MAD2L1;ERCC6L;SGO2;CENPW;SGO1;CENPU;SKA3;SPC24;HJURP;KNL1;KIF18A;CENPI;SKA1;MTBP;AURKB;CENPN;SPAG5;KIF2C;CENPK;CENPO;NUP85;NUF2;CENPH;ZWILCH;SPC25;INCENP;CENPM;KNSTRN</t>
  </si>
  <si>
    <t>8520;11339;8318;9401;10592;983;7153;891;4172;3148;4173;4174;4176;23310;1058;4171;1763;641;5888;10036;8208;2967;4175;9837;23397;9918;387103;79682;54892;91687;55355;57082;2491;113130;55839;64151;84296;64105;79172;83990;51203;64946;80119;3070;79019;10051;55723;54069;51659;25788</t>
  </si>
  <si>
    <t>HAT1;OIP5;CDC45;RECQL4;SMC2;CDK1;TOP2A;CCNB1;MCM3;HMGB2;MCM4;MCM5;MCM7;NCAPD3;CENPA;MCM2;DNA2;BLM;RAD51;CHAF1A;CHAF1B;GTF2H3;MCM6;GINS1;NCAPH;NCAPD2;CENPW;CENPU;NCAPG2;CENPL;HJURP;KNL1;CENPI;CDCA5;CENPN;NCAPG;GINS4;CENPK;CENPO;BRIP1;NUSAP1;CENPH;PIF1;HELLS;CENPM;SMC4;ASF1B;MIS18A;GINS2;RAD54B</t>
  </si>
  <si>
    <t>10733;10403;6790;332;284403;7516;9055;22995;10112;24137;983;203068;4605;891;7283;1017;7272;672;5902;1058;675;4751;3832;5347;10376;9493;9700;3837;9768;9928;6491;151648;84722;63979;163786;146909;285753;259266;150465;81930;9212;10615;11004;55706;3833;51203;29127;79000;57405;26271;22974;90417;10460</t>
  </si>
  <si>
    <t>PLK4;NDC80;AURKA;BIRC5;WDR62;XRCC2;PRC1;CEP152;KIF20A;KIF4A;CDK1;TUBB;MYBL2;CCNB1;TUBG1;CDK2;TTK;BRCA1;RANBP1;CENPA;BRCA2;NEK2;KIF11;PLK1;TUBA1B;AC027237.1;ESPL1;KPNB1;PCLAF;KIF14;STIL;SGO1;PSRC1;FIGNL1;SASS6;KIF18B;CEP57L1;ASPM;TTL;KIF18A;AURKB;SPAG5;KIF2C;NDC1;KIFC1;NUSAP1;RACGAP1;AUNIP;SPC25;FBXO5;TPX2;KNSTRN;TACC3</t>
  </si>
  <si>
    <t>8317;10721;8318;10535;9134;7153;5111;898;4172;4173;4174;4176;5984;5982;2237;5985;5983;5557;5558;4171;1763;675;641;5427;5888;5426;4998;23649;4175;9837;253714;55388;4796;990;84296;64785;51659</t>
  </si>
  <si>
    <t>CDC7;POLQ;CDC45;RNASEH2A;CCNE2;TOP2A;PCNA;CCNE1;MCM3;MCM4;MCM5;MCM7;RFC4;RFC2;FEN1;RFC5;RFC3;PRIM1;PRIM2;MCM2;DNA2;BRCA2;BLM;POLE2;RAD51;POLE;ORC1;POLA2;MCM6;GINS1;MMS22L;MCM10;TONSL;CDC6;GINS4;GINS3;GINS2</t>
  </si>
  <si>
    <t>10403;332;699;701;11130;1058;1063;9735;5347;1062;991;4085;54821;55143;151246;151648;79682;91687;147841;57082;81930;83903;2491;220134;113130;9212;55839;11004;64105;79172;79075;79902;83540;64946;55055;57405;3619;79019</t>
  </si>
  <si>
    <t>NDC80;BIRC5;BUB1;BUB1B;ZWINT;CENPA;CENPF;KNTC1;PLK1;CENPE;CDC20;MAD2L1;ERCC6L;CDCA8;SGO2;SGO1;CENPU;CENPL;SPC24;KNL1;KIF18A;HASPIN;CENPI;SKA1;CDCA5;AURKB;CENPN;KIF2C;CENPK;CENPO;DSCC1;NUP85;NUF2;CENPH;ZWILCH;SPC25;INCENP;CENPM</t>
  </si>
  <si>
    <t>5717;8317;11065;1111;6790;332;5709;699;701;8318;11130;9232;983;7153;5111;891;6929;890;1017;995;7272;4436;5902;1063;9735;675;4751;3832;5347;641;1869;1062;991;4085;9700;9928;9787;2146;348654;84722;79866;90381;80174;9125;144455;27085;113130;9585;9088;990;51203;55055;63967;54443;55215;51512;26271;22974</t>
  </si>
  <si>
    <t>PSMD11;CDC7;UBE2C;CHEK1;AURKA;BIRC5;PSMD3;BUB1;BUB1B;CDC45;ZWINT;PTTG1;CDK1;TOP2A;PCNA;CCNB1;TCF3;CCNA2;CDK2;CDC25C;TTK;MSH2;RANBP1;CENPF;KNTC1;BRCA2;NEK2;KIF11;PLK1;BLM;E2F1;CENPE;CDC20;MAD2L1;ESPL1;KIF14;DLGAP5;EZH2;GEN1;PSRC1;BORA;TICRR;DBF4B;CNOT9;E2F7;MTBP;CDCA5;KIF20B;PKMYT1;CDC6;NUSAP1;ZWILCH;CLSPN;ANLN;FANCI;GTSE1;FBXO5;TPX2</t>
  </si>
  <si>
    <t>GO_MITOTIC_SISTER_CHROMATID_SEGREGATION</t>
  </si>
  <si>
    <t>10403;9055;11130;24137;10592;891;23310;4751;5347;1062;9493;4085;9700;3837;23397;9918;9928;9787;55165;55143;84722;146909;285753;81930;83903;113130;9212;10615;11004;64151;79075;3833;51203;29127;10051;90417</t>
  </si>
  <si>
    <t>NDC80;PRC1;ZWINT;KIF4A;SMC2;CCNB1;NCAPD3;NEK2;PLK1;CENPE;AC027237.1;MAD2L1;ESPL1;KPNB1;NCAPH;NCAPD2;KIF14;DLGAP5;CEP55;CDCA8;PSRC1;KIF18B;CEP57L1;KIF18A;HASPIN;CDCA5;AURKB;SPAG5;KIF2C;NCAPG;DSCC1;KIFC1;NUSAP1;RACGAP1;SMC4;KNSTRN</t>
  </si>
  <si>
    <t>http://www.broadinstitute.org/gsea/msigdb/cards/GO_MITOTIC_SISTER_CHROMATID_SEGREGATION.html</t>
  </si>
  <si>
    <t>10733;10403;3797;6790;332;284403;7516;9055;22995;10112;24137;983;203068;4605;891;7283;1017;7272;672;5902;1058;675;4751;3832;5347;10376;1062;9493;9700;3837;9768;9928;9787;6491;151648;84722;63979;163786;146909;285753;259266;150465;81930;9212;9585;10615;11004;84790;55706;3833;51203;29127;79000;57405;56992;51512;26271;22974;90417;10460</t>
  </si>
  <si>
    <t>PLK4;NDC80;KIF3C;AURKA;BIRC5;WDR62;XRCC2;PRC1;CEP152;KIF20A;KIF4A;CDK1;TUBB;MYBL2;CCNB1;TUBG1;CDK2;TTK;BRCA1;RANBP1;CENPA;BRCA2;NEK2;KIF11;PLK1;TUBA1B;CENPE;AC027237.1;ESPL1;KPNB1;PCLAF;KIF14;DLGAP5;STIL;SGO1;PSRC1;FIGNL1;SASS6;KIF18B;CEP57L1;ASPM;TTL;KIF18A;AURKB;KIF20B;SPAG5;KIF2C;TUBA1C;NDC1;KIFC1;NUSAP1;RACGAP1;AUNIP;SPC25;KIF15;GTSE1;FBXO5;TPX2;KNSTRN;TACC3</t>
  </si>
  <si>
    <t>8317;7516;10721;8318;9401;86;7153;5111;7374;6929;3148;5984;5982;672;2237;5985;5983;4436;5557;5558;1763;675;2956;641;5427;5888;5426;23649;9319;348654;253714;8438;146956;10635;4796;580;84296;84057;83990;80119;29893;9156;51659;25788</t>
  </si>
  <si>
    <t>CDC7;XRCC2;POLQ;CDC45;RECQL4;ACTL6A;TOP2A;PCNA;UNG;TCF3;HMGB2;RFC4;RFC2;BRCA1;FEN1;RFC5;RFC3;MSH2;PRIM1;PRIM2;DNA2;BRCA2;MSH6;BLM;POLE2;RAD51;POLE;POLA2;TRIP13;GEN1;MMS22L;RAD54L;EME1;RAD51AP1;TONSL;BARD1;GINS4;MND1;BRIP1;PIF1;PSMC3IP;EXO1;GINS2;RAD54B</t>
  </si>
  <si>
    <t>8317;8318;9134;7298;983;5111;898;1017;4172;993;6241;4173;4174;4176;5902;5557;5558;4171;5427;1869;5426;6502;4998;23649;4175;1033;55388;128239;144455;113130;9088;990;81620;10926;26271;23594</t>
  </si>
  <si>
    <t>CDC7;CDC45;CCNE2;TYMS;CDK1;PCNA;CCNE1;CDK2;MCM3;CDC25A;RRM2;MCM4;MCM5;MCM7;RANBP1;PRIM1;PRIM2;MCM2;POLE2;E2F1;POLE;SKP2;ORC1;POLA2;MCM6;CDKN3;MCM10;IQGAP3;E2F7;CDCA5;PKMYT1;CDC6;CDT1;DBF4;FBXO5;ORC6</t>
  </si>
  <si>
    <t>8317;10733;1111;3797;6790;332;284403;7516;9055;701;8318;22995;9133;10112;24137;983;203068;7153;5111;891;4001;7283;898;1017;4172;7272;672;899;5902;1063;4171;9735;675;4751;3832;5347;10376;1062;9493;84823;5888;991;4085;9700;9928;9787;6491;348654;54821;55165;55143;151648;84722;163786;79682;146909;221150;150468;285753;259266;25886;81930;83903;26586;11073;220134;93594;9212;84930;80179;132320;9585;10615;11004;990;64151;84790;55706;3833;79902;51203;29127;81610;79000;64858;1894;3619;54443;56992;51512;51514;26271;22974;27339;8914;90417;23594;10460</t>
  </si>
  <si>
    <t>CDC7;PLK4;CHEK1;KIF3C;AURKA;BIRC5;WDR62;XRCC2;PRC1;BUB1B;CDC45;CEP152;CCNB2;KIF20A;KIF4A;CDK1;TUBB;TOP2A;PCNA;CCNB1;LMNB1;TUBG1;CCNE1;CDK2;MCM3;TTK;BRCA1;CCNF;RANBP1;CENPF;MCM2;KNTC1;BRCA2;NEK2;KIF11;PLK1;TUBA1B;CENPE;AC027237.1;LMNB2;RAD51;CDC20;MAD2L1;ESPL1;KIF14;DLGAP5;STIL;GEN1;ERCC6L;CEP55;CDCA8;SGO1;PSRC1;SASS6;CENPU;KIF18B;SKA3;CKAP2L;CEP57L1;ASPM;POC1A;KIF18A;HASPIN;CKAP2;TOPBP1;SKA1;TBC1D31;AURKB;MASTL;MYO19;SCLT1;KIF20B;SPAG5;KIF2C;CDC6;NCAPG;TUBA1C;NDC1;KIFC1;NUP85;NUSAP1;RACGAP1;FAM83D;AUNIP;DCLRE1B;ECT2;INCENP;ANLN;KIF15;GTSE1;DTL;FBXO5;TPX2;PRPF19;TIMELESS;KNSTRN;ORC6;TACC3</t>
  </si>
  <si>
    <t>1111;6790;2189;332;699;701;8318;11130;9134;983;7153;5111;891;890;1017;995;7272;672;4436;1063;9735;1763;5347;641;1869;4085;90381;57082;9125;144455;9212;990;83990;81620;64858;55055;63967;55215;51512;51514;27339</t>
  </si>
  <si>
    <t>CHEK1;AURKA;FANCG;BIRC5;BUB1;BUB1B;CDC45;ZWINT;CCNE2;CDK1;TOP2A;PCNA;CCNB1;CCNA2;CDK2;CDC25C;TTK;BRCA1;MSH2;CENPF;KNTC1;DNA2;PLK1;BLM;E2F1;MAD2L1;TICRR;KNL1;CNOT9;E2F7;AURKB;CDC6;BRIP1;CDT1;DCLRE1B;ZWILCH;CLSPN;FANCI;GTSE1;DTL;PRPF19</t>
  </si>
  <si>
    <t>GO_REGULATION_OF_CELL_DIVISION</t>
  </si>
  <si>
    <t>79733;11065;1111;6790;332;699;701;9232;891;995;7272;4436;5902;1063;9735;675;4751;3832;5347;641;1062;9493;991;4085;9700;9928;9787;6469;348654;79866;146909;259266;144455;27085;113130;9212;9585;9088;990;51203;29127;1894;54443;56241;26271</t>
  </si>
  <si>
    <t>E2F8;UBE2C;CHEK1;AURKA;BIRC5;BUB1;BUB1B;PTTG1;CCNB1;CDC25C;TTK;MSH2;RANBP1;CENPF;KNTC1;BRCA2;NEK2;KIF11;PLK1;BLM;CENPE;AC027237.1;CDC20;MAD2L1;ESPL1;KIF14;DLGAP5;SHH;GEN1;BORA;KIF18B;ASPM;E2F7;MTBP;CDCA5;AURKB;KIF20B;PKMYT1;CDC6;NUSAP1;RACGAP1;ECT2;ANLN;SUSD2;FBXO5</t>
  </si>
  <si>
    <t>http://www.broadinstitute.org/gsea/msigdb/cards/GO_REGULATION_OF_CELL_DIVISION.html</t>
  </si>
  <si>
    <t>5717;8317;11065;6790;332;5709;699;701;8318;983;5111;891;6929;890;1017;995;7272;1063;9735;5347;641;1869;1062;991;4085;9700;9928;9787;2146;348654;90381;80174;9125;144455;27085;113130;990;81610;63967;54443;55215;51512;56241;26271;27339</t>
  </si>
  <si>
    <t>PSMD11;CDC7;UBE2C;AURKA;BIRC5;PSMD3;BUB1;BUB1B;CDC45;CDK1;PCNA;CCNB1;TCF3;CCNA2;CDK2;CDC25C;TTK;CENPF;KNTC1;PLK1;BLM;E2F1;CENPE;CDC20;MAD2L1;ESPL1;KIF14;DLGAP5;EZH2;GEN1;TICRR;DBF4B;CNOT9;E2F7;MTBP;CDCA5;CDC6;FAM83D;CLSPN;ANLN;FANCI;GTSE1;SUSD2;FBXO5;PRPF19</t>
  </si>
  <si>
    <t>10733;1111;6790;332;284403;7516;701;8318;22995;9133;983;7153;5111;891;7283;898;1017;4172;672;899;5902;1063;675;4751;5347;9493;5888;991;9700;9787;6491;348654;54821;55165;151648;163786;79682;150468;285753;25886;81930;83903;26586;11073;93594;9212;84930;132320;9585;10615;64151;55706;3833;79000;64858;56992;51514</t>
  </si>
  <si>
    <t>PLK4;CHEK1;AURKA;BIRC5;WDR62;XRCC2;BUB1B;CDC45;CEP152;CCNB2;CDK1;TOP2A;PCNA;CCNB1;TUBG1;CCNE1;CDK2;MCM3;BRCA1;CCNF;RANBP1;CENPF;BRCA2;NEK2;PLK1;AC027237.1;RAD51;CDC20;ESPL1;DLGAP5;STIL;GEN1;ERCC6L;CEP55;SGO1;SASS6;CENPU;CKAP2L;CEP57L1;POC1A;KIF18A;HASPIN;CKAP2;TOPBP1;TBC1D31;AURKB;MASTL;SCLT1;KIF20B;SPAG5;NCAPG;NDC1;KIFC1;AUNIP;DCLRE1B;KIF15;DTL</t>
  </si>
  <si>
    <t>10733;1111;10403;6790;332;284403;9055;24137;203068;4605;891;7283;7272;672;899;5902;4751;3832;5347;9493;9700;3837;6491;348654;84722;79866;221150;259266;81930;26586;220134;9212;10615;3833;29127;79000;1894;57405;26271;22974;90417</t>
  </si>
  <si>
    <t>PLK4;CHEK1;NDC80;AURKA;BIRC5;WDR62;PRC1;KIF4A;TUBB;MYBL2;CCNB1;TUBG1;TTK;BRCA1;CCNF;RANBP1;NEK2;KIF11;PLK1;AC027237.1;ESPL1;KPNB1;STIL;GEN1;PSRC1;BORA;SKA3;ASPM;KIF18A;CKAP2;SKA1;AURKB;SPAG5;KIFC1;RACGAP1;AUNIP;ECT2;SPC25;FBXO5;TPX2;KNSTRN</t>
  </si>
  <si>
    <t>10212;8317;10733;11065;1111;3797;6790;7516;699;701;10721;9401;10112;24137;10592;7083;983;7153;1503;1841;6240;1017;4172;790;7272;4173;4174;4176;5984;5982;9775;5985;4436;4288;4171;8833;1763;4751;2956;3832;5347;641;6733;1062;9493;5888;4998;4175;9833;9928;9319;27338;54821;63979;29028;7444;146909;57647;115004;150465;57696;81930;83903;8438;9212;84930;80179;55872;9585;79915;9088;11004;990;3833;83990;80119;29089;3070;56992;10051;22974;25788</t>
  </si>
  <si>
    <t>DDX39A;CDC7;PLK4;UBE2C;CHEK1;KIF3C;AURKA;XRCC2;BUB1;BUB1B;POLQ;RECQL4;KIF20A;KIF4A;SMC2;TK1;CDK1;TOP2A;CTPS1;DTYMK;RRM1;CDK2;MCM3;CAD;TTK;MCM4;MCM5;MCM7;RFC4;RFC2;EIF4A3;RFC5;MSH2;MKI67;MCM2;GMPS;DNA2;NEK2;MSH6;KIF11;PLK1;BLM;SRPK2;CENPE;AC027237.1;RAD51;ORC1;MCM6;MELK;KIF14;TRIP13;UBE2S;ERCC6L;FIGNL1;ATAD2;VRK2;KIF18B;DHX37;CGAS;TTL;DDX55;KIF18A;HASPIN;RAD54L;AURKB;MASTL;MYO19;PBK;KIF20B;ATAD5;PKMYT1;KIF2C;CDC6;KIFC1;BRIP1;PIF1;UBE2T;HELLS;KIF15;SMC4;TPX2;RAD54B</t>
  </si>
  <si>
    <t>10733;11065;1111;10403;6790;332;284403;9055;699;701;1515;8318;24137;9232;86;203068;4605;891;7283;1786;10971;995;10105;7272;672;899;4436;5902;1063;9735;4751;3832;5347;1869;1062;9493;991;4085;9700;3837;9787;6491;348654;84722;79866;29028;221150;259266;81930;26586;220134;27085;113130;9212;9585;10615;29128;9088;990;3833;51203;29127;80119;79000;1894;57405;54443;54069;1789;26271;22974;90417</t>
  </si>
  <si>
    <t>PLK4;UBE2C;CHEK1;NDC80;AURKA;BIRC5;WDR62;PRC1;BUB1;BUB1B;CTSV;CDC45;KIF4A;PTTG1;ACTL6A;TUBB;MYBL2;CCNB1;TUBG1;DNMT1;YWHAQ;CDC25C;PPIF;TTK;BRCA1;CCNF;MSH2;RANBP1;CENPF;KNTC1;NEK2;KIF11;PLK1;E2F1;CENPE;AC027237.1;CDC20;MAD2L1;ESPL1;KPNB1;DLGAP5;STIL;GEN1;PSRC1;BORA;ATAD2;SKA3;ASPM;KIF18A;CKAP2;SKA1;MTBP;CDCA5;AURKB;KIF20B;SPAG5;UHRF1;PKMYT1;CDC6;KIFC1;NUSAP1;RACGAP1;PIF1;AUNIP;ECT2;SPC25;ANLN;MIS18A;DNMT3B;FBXO5;TPX2;KNSTRN</t>
  </si>
  <si>
    <t>10733;1111;6790;332;284403;7516;8318;22995;9133;983;7153;5111;891;7283;898;1017;4172;899;5902;1063;675;4751;5347;9493;991;9700;9787;6491;348654;54821;55165;151648;163786;150468;285753;25886;83903;26586;11073;93594;9212;84930;132320;9585;10615;64151;79000;64858;56992;51514</t>
  </si>
  <si>
    <t>PLK4;CHEK1;AURKA;BIRC5;WDR62;XRCC2;CDC45;CEP152;CCNB2;CDK1;TOP2A;PCNA;CCNB1;TUBG1;CCNE1;CDK2;MCM3;CCNF;RANBP1;CENPF;BRCA2;NEK2;PLK1;AC027237.1;CDC20;ESPL1;DLGAP5;STIL;GEN1;ERCC6L;CEP55;SGO1;SASS6;CKAP2L;CEP57L1;POC1A;HASPIN;CKAP2;TOPBP1;TBC1D31;AURKB;MASTL;SCLT1;KIF20B;SPAG5;NCAPG;AUNIP;DCLRE1B;KIF15;DTL</t>
  </si>
  <si>
    <t>10212;8317;10733;11065;1111;3797;6790;7516;699;701;10721;9401;10112;24137;10592;7083;983;203068;7153;1503;7283;1841;6240;1017;4172;790;7272;4173;4174;4176;5984;5982;9775;5985;4436;4288;4171;8833;1763;4751;2956;3832;5347;641;10376;6733;1062;9493;5888;4998;4175;9833;9928;9319;27338;54821;63979;29028;7444;146909;57647;115004;150465;57696;81930;83903;8438;9212;84930;80179;55872;9585;79915;9088;11004;990;84790;3833;83990;80119;11321;29089;3070;56992;10051;22974;25788</t>
  </si>
  <si>
    <t>DDX39A;CDC7;PLK4;UBE2C;CHEK1;KIF3C;AURKA;XRCC2;BUB1;BUB1B;POLQ;RECQL4;KIF20A;KIF4A;SMC2;TK1;CDK1;TUBB;TOP2A;CTPS1;TUBG1;DTYMK;RRM1;CDK2;MCM3;CAD;TTK;MCM4;MCM5;MCM7;RFC4;RFC2;EIF4A3;RFC5;MSH2;MKI67;MCM2;GMPS;DNA2;NEK2;MSH6;KIF11;PLK1;BLM;TUBA1B;SRPK2;CENPE;AC027237.1;RAD51;ORC1;MCM6;MELK;KIF14;TRIP13;UBE2S;ERCC6L;FIGNL1;ATAD2;VRK2;KIF18B;DHX37;CGAS;TTL;DDX55;KIF18A;HASPIN;RAD54L;AURKB;MASTL;MYO19;PBK;KIF20B;ATAD5;PKMYT1;KIF2C;CDC6;TUBA1C;KIFC1;BRIP1;PIF1;GPN1;UBE2T;HELLS;KIF15;SMC4;TPX2;RAD54B</t>
  </si>
  <si>
    <t>1111;10403;6790;332;284403;9055;699;701;24137;9232;203068;4605;891;7283;1786;10105;7272;672;899;4436;5902;1063;4751;3832;5347;9493;4085;9700;3837;6491;29028;259266;26586;27085;9212;10615;3833;29127;80119;79000;57405;1789;26271;22974;90417</t>
  </si>
  <si>
    <t>CHEK1;NDC80;AURKA;BIRC5;WDR62;PRC1;BUB1;BUB1B;KIF4A;PTTG1;TUBB;MYBL2;CCNB1;TUBG1;DNMT1;PPIF;TTK;BRCA1;CCNF;MSH2;RANBP1;CENPF;NEK2;KIF11;PLK1;AC027237.1;MAD2L1;ESPL1;KPNB1;STIL;ATAD2;ASPM;CKAP2;MTBP;AURKB;SPAG5;KIFC1;RACGAP1;PIF1;AUNIP;SPC25;DNMT3B;FBXO5;TPX2;KNSTRN</t>
  </si>
  <si>
    <t>79733;11065;1111;6790;5496;699;701;11130;9232;983;7153;5111;891;890;1017;995;7272;672;899;4436;1063;6878;9735;5347;641;1869;10657;4085;9700;2146;1033;90381;220042;9125;144455;27085;9212;9585;580;55055;63967;55215;51512;56241;26271;27339</t>
  </si>
  <si>
    <t>E2F8;UBE2C;CHEK1;AURKA;PPM1G;BUB1;BUB1B;ZWINT;PTTG1;CDK1;TOP2A;PCNA;CCNB1;CCNA2;CDK2;CDC25C;TTK;BRCA1;CCNF;MSH2;CENPF;TAF6;KNTC1;PLK1;BLM;E2F1;KHDRBS1;MAD2L1;ESPL1;EZH2;CDKN3;TICRR;DDIAS;CNOT9;E2F7;MTBP;AURKB;KIF20B;BARD1;ZWILCH;CLSPN;FANCI;GTSE1;SUSD2;FBXO5;PRPF19</t>
  </si>
  <si>
    <t>10403;6790;332;284403;9055;24137;203068;4605;891;7283;7272;5902;4751;3832;5347;9493;9700;3837;6491;84722;79866;221150;259266;26586;220134;9212;10615;3833;29127;79000;57405;26271;22974;90417</t>
  </si>
  <si>
    <t>NDC80;AURKA;BIRC5;WDR62;PRC1;KIF4A;TUBB;MYBL2;CCNB1;TUBG1;TTK;RANBP1;NEK2;KIF11;PLK1;AC027237.1;ESPL1;KPNB1;STIL;PSRC1;BORA;SKA3;ASPM;CKAP2;SKA1;AURKB;SPAG5;KIFC1;RACGAP1;AUNIP;SPC25;FBXO5;TPX2;KNSTRN</t>
  </si>
  <si>
    <t>5717;11065;10403;8520;6790;2175;332;284403;11339;9055;10721;24137;10592;7083;983;203068;4605;891;7283;6240;3148;6241;7272;5902;1058;1063;4171;9735;4751;3832;641;1062;9493;5888;10036;8208;9700;3837;9928;6469;6491;27338;387103;23590;63979;79682;146909;259266;91687;55355;57082;81930;23165;2491;9212;55839;10615;11004;64105;55706;79172;3833;29127;64946;79000;1894;57405;54443;79019;10051;55723;54069;26271;22974;65003;90417;11198</t>
  </si>
  <si>
    <t>PSMD11;UBE2C;NDC80;HAT1;AURKA;FANCA;BIRC5;WDR62;OIP5;PRC1;POLQ;KIF4A;SMC2;TK1;CDK1;TUBB;MYBL2;CCNB1;TUBG1;RRM1;HMGB2;RRM2;TTK;RANBP1;CENPA;CENPF;MCM2;KNTC1;NEK2;KIF11;BLM;CENPE;AC027237.1;RAD51;CHAF1A;CHAF1B;ESPL1;KPNB1;KIF14;SHH;STIL;UBE2S;CENPW;PDSS1;FIGNL1;CENPU;KIF18B;ASPM;CENPL;HJURP;KNL1;KIF18A;NUP205;CENPI;AURKB;CENPN;SPAG5;KIF2C;CENPK;NDC1;CENPO;KIFC1;RACGAP1;CENPH;AUNIP;ECT2;SPC25;ANLN;CENPM;SMC4;ASF1B;MIS18A;FBXO5;TPX2;MRPL11;KNSTRN;SUPT16H</t>
  </si>
  <si>
    <t>10212;3797;7516;10721;8318;9401;10112;24137;203068;7153;7283;4172;4173;4174;4176;5984;5982;4521;9775;5985;5983;4436;4171;8833;1763;2956;3832;641;10376;1062;9493;5888;2967;4175;9837;9928;54821;63979;29028;146909;57647;57696;81930;8438;80179;9585;11004;84790;84296;79075;3833;83990;80119;11321;3070;56992;51659;25788</t>
  </si>
  <si>
    <t>DDX39A;KIF3C;XRCC2;POLQ;CDC45;RECQL4;KIF20A;KIF4A;TUBB;TOP2A;TUBG1;MCM3;MCM4;MCM5;MCM7;RFC4;RFC2;NUDT1;EIF4A3;RFC5;RFC3;MSH2;MCM2;GMPS;DNA2;MSH6;KIF11;BLM;TUBA1B;CENPE;AC027237.1;RAD51;GTF2H3;MCM6;GINS1;KIF14;ERCC6L;FIGNL1;ATAD2;KIF18B;DHX37;DDX55;KIF18A;RAD54L;MYO19;KIF20B;KIF2C;TUBA1C;GINS4;DSCC1;KIFC1;BRIP1;PIF1;GPN1;HELLS;KIF15;GINS2;RAD54B</t>
  </si>
  <si>
    <t>79733;8317;10733;11065;6790;332;8318;983;5111;891;6929;1017;995;672;5902;675;5347;6733;1869;9493;4085;4998;9700;9928;9787;348654;84722;80174;9125;144455;27085;113130;9212;9585;990;51203;29127;81610;1894;51512;26271</t>
  </si>
  <si>
    <t>E2F8;CDC7;PLK4;UBE2C;AURKA;BIRC5;CDC45;CDK1;PCNA;CCNB1;TCF3;CDK2;CDC25C;BRCA1;RANBP1;BRCA2;PLK1;SRPK2;E2F1;AC027237.1;MAD2L1;ORC1;ESPL1;KIF14;DLGAP5;GEN1;PSRC1;DBF4B;CNOT9;E2F7;MTBP;CDCA5;AURKB;KIF20B;CDC6;NUSAP1;RACGAP1;FAM83D;ECT2;GTSE1;FBXO5</t>
  </si>
  <si>
    <t>79733;8317;10733;11065;6790;332;8318;983;5111;891;1017;995;672;5902;5347;1869;9493;4085;4998;9700;9928;9787;348654;80174;9125;144455;27085;113130;9212;9585;990;51203;29127;81610;1894;51512;26271</t>
  </si>
  <si>
    <t>E2F8;CDC7;PLK4;UBE2C;AURKA;BIRC5;CDC45;CDK1;PCNA;CCNB1;CDK2;CDC25C;BRCA1;RANBP1;PLK1;E2F1;AC027237.1;MAD2L1;ORC1;ESPL1;KIF14;DLGAP5;GEN1;DBF4B;CNOT9;E2F7;MTBP;CDCA5;AURKB;KIF20B;CDC6;NUSAP1;RACGAP1;FAM83D;ECT2;GTSE1;FBXO5</t>
  </si>
  <si>
    <t>GO_REGULATION_OF_NUCLEAR_DIVISION</t>
  </si>
  <si>
    <t>11065;1111;6790;332;699;701;9232;891;995;7272;4436;5902;1063;9735;4751;3832;5347;1062;991;4085;9700;9787;348654;79866;27085;113130;9585;9088;990;51203;54443;26271</t>
  </si>
  <si>
    <t>UBE2C;CHEK1;AURKA;BIRC5;BUB1;BUB1B;PTTG1;CCNB1;CDC25C;TTK;MSH2;RANBP1;CENPF;KNTC1;NEK2;KIF11;PLK1;CENPE;CDC20;MAD2L1;ESPL1;DLGAP5;GEN1;BORA;MTBP;CDCA5;KIF20B;PKMYT1;CDC6;NUSAP1;ANLN;FBXO5</t>
  </si>
  <si>
    <t>http://www.broadinstitute.org/gsea/msigdb/cards/GO_REGULATION_OF_NUCLEAR_DIVISION.html</t>
  </si>
  <si>
    <t>6790;2175;7516;10592;9232;7153;7283;1017;23310;4436;4288;675;4751;2956;5347;5888;9700;9918;9319;151246;151648;259266;81930;8438;84930;55706;84057;2177;10051;29893;26271;9156;25788</t>
  </si>
  <si>
    <t>AURKA;FANCA;XRCC2;SMC2;PTTG1;TOP2A;TUBG1;CDK2;NCAPD3;MSH2;MKI67;BRCA2;NEK2;MSH6;PLK1;RAD51;ESPL1;NCAPD2;TRIP13;SGO2;SGO1;ASPM;KIF18A;RAD54L;MASTL;NDC1;MND1;FANCD2;SMC4;PSMC3IP;FBXO5;EXO1;RAD54B</t>
  </si>
  <si>
    <t>GO_SPINDLE_POLE</t>
  </si>
  <si>
    <t>6790;284403;9055;891;7283;1063;9735;4751;3832;5347;991;4085;9787;151648;84722;150468;259266;25886;26586;11073;9212;9585;10615;990;55706;81610;79000;22974;90417</t>
  </si>
  <si>
    <t>AURKA;WDR62;PRC1;CCNB1;TUBG1;CENPF;KNTC1;NEK2;KIF11;PLK1;CDC20;MAD2L1;DLGAP5;SGO1;PSRC1;CKAP2L;ASPM;POC1A;CKAP2;TOPBP1;AURKB;KIF20B;SPAG5;CDC6;NDC1;FAM83D;AUNIP;TPX2;KNSTRN</t>
  </si>
  <si>
    <t>http://www.broadinstitute.org/gsea/msigdb/cards/GO_SPINDLE_POLE.html</t>
  </si>
  <si>
    <t>GO_DNA_PACKAGING</t>
  </si>
  <si>
    <t>8520;11339;10592;983;7153;891;3148;23310;1058;4171;10036;8208;23397;9918;387103;79682;54892;91687;55355;57082;2491;113130;55839;64151;64105;79172;51203;64946;3070;79019;10051;55723;54069</t>
  </si>
  <si>
    <t>HAT1;OIP5;SMC2;CDK1;TOP2A;CCNB1;HMGB2;NCAPD3;CENPA;MCM2;CHAF1A;CHAF1B;NCAPH;NCAPD2;CENPW;CENPU;NCAPG2;CENPL;HJURP;KNL1;CENPI;CDCA5;CENPN;NCAPG;CENPK;CENPO;NUSAP1;CENPH;HELLS;CENPM;SMC4;ASF1B;MIS18A</t>
  </si>
  <si>
    <t>http://www.broadinstitute.org/gsea/msigdb/cards/GO_DNA_PACKAGING.html</t>
  </si>
  <si>
    <t>79733;1111;6790;699;701;9232;983;5111;891;890;1017;995;7272;672;899;4436;1063;5347;641;1869;4085;9700;2146;90381;9125;144455;27085;9212;63967;55215;51512;56241;26271;27339</t>
  </si>
  <si>
    <t>E2F8;CHEK1;AURKA;BUB1;BUB1B;PTTG1;CDK1;PCNA;CCNB1;CCNA2;CDK2;CDC25C;TTK;BRCA1;CCNF;MSH2;CENPF;PLK1;BLM;E2F1;MAD2L1;ESPL1;EZH2;TICRR;CNOT9;E2F7;MTBP;AURKB;CLSPN;FANCI;GTSE1;SUSD2;FBXO5;PRPF19</t>
  </si>
  <si>
    <t>10733;10403;6790;332;284403;7516;9055;22995;10112;24137;983;203068;4605;891;7283;1017;7272;672;5902;1058;675;4751;3832;5347;10376;9493;9700;3837;9768;9928;6469;6491;151648;84722;63979;163786;146909;285753;259266;150465;81930;9212;10615;11004;55706;3833;51203;29127;79000;57405;54443;81624;26271;22974;90417;10460</t>
  </si>
  <si>
    <t>PLK4;NDC80;AURKA;BIRC5;WDR62;XRCC2;PRC1;CEP152;KIF20A;KIF4A;CDK1;TUBB;MYBL2;CCNB1;TUBG1;CDK2;TTK;BRCA1;RANBP1;CENPA;BRCA2;NEK2;KIF11;PLK1;TUBA1B;AC027237.1;ESPL1;KPNB1;PCLAF;KIF14;SHH;STIL;SGO1;PSRC1;FIGNL1;SASS6;KIF18B;CEP57L1;ASPM;TTL;KIF18A;AURKB;SPAG5;KIF2C;NDC1;KIFC1;NUSAP1;RACGAP1;AUNIP;SPC25;ANLN;DIAPH3;FBXO5;TPX2;KNSTRN;TACC3</t>
  </si>
  <si>
    <t>GO_DNA_REPLICATION_INITIATION</t>
  </si>
  <si>
    <t>8317;8318;9134;898;4172;4173;4174;4176;5557;5558;4171;5427;5426;4998;23649;4175;55388;990;84296;51659</t>
  </si>
  <si>
    <t>CDC7;CDC45;CCNE2;CCNE1;MCM3;MCM4;MCM5;MCM7;PRIM1;PRIM2;MCM2;POLE2;POLE;ORC1;POLA2;MCM6;MCM10;CDC6;GINS4;GINS2</t>
  </si>
  <si>
    <t>http://www.broadinstitute.org/gsea/msigdb/cards/GO_DNA_REPLICATION_INITIATION.html</t>
  </si>
  <si>
    <t>79733;8317;1111;10721;7398;983;7153;5111;7374;1017;1786;5984;5982;7913;672;5985;5983;4436;1763;675;4751;3838;2956;641;5888;2305;157570;63979;90381;80174;144455;10635;9212;990;79075;81620;80119;55010;54069</t>
  </si>
  <si>
    <t>E2F8;CDC7;CHEK1;POLQ;USP1;CDK1;TOP2A;PCNA;UNG;CDK2;DNMT1;RFC4;RFC2;DEK;BRCA1;RFC5;RFC3;MSH2;DNA2;BRCA2;NEK2;KPNA2;MSH6;BLM;RAD51;FOXM1;ESCO2;FIGNL1;TICRR;DBF4B;E2F7;RAD51AP1;AURKB;CDC6;DSCC1;CDT1;PIF1;PARPBP;MIS18A</t>
  </si>
  <si>
    <t>1111;7516;8318;5111;4172;1786;5984;5982;5985;5983;5557;5558;5427;5426;23649;253714;55388;4796;29128;84296;80119;27339;51659</t>
  </si>
  <si>
    <t>CHEK1;XRCC2;CDC45;PCNA;MCM3;DNMT1;RFC4;RFC2;RFC5;RFC3;PRIM1;PRIM2;POLE2;POLE;POLA2;MMS22L;MCM10;TONSL;UHRF1;GINS4;PIF1;PRPF19;GINS2</t>
  </si>
  <si>
    <t>GO_MEIOTIC_CELL_CYCLE_PROCESS</t>
  </si>
  <si>
    <t>6790;2175;7516;10592;9232;7153;7283;1017;23310;4436;4288;675;2956;5347;5888;9700;9918;9319;151246;151648;259266;81930;8438;84930;55706;2177;10051;26271;25788</t>
  </si>
  <si>
    <t>AURKA;FANCA;XRCC2;SMC2;PTTG1;TOP2A;TUBG1;CDK2;NCAPD3;MSH2;MKI67;BRCA2;MSH6;PLK1;RAD51;ESPL1;NCAPD2;TRIP13;SGO2;SGO1;ASPM;KIF18A;RAD54L;MASTL;NDC1;FANCD2;SMC4;FBXO5;RAD54B</t>
  </si>
  <si>
    <t>http://www.broadinstitute.org/gsea/msigdb/cards/GO_MEIOTIC_CELL_CYCLE_PROCESS.html</t>
  </si>
  <si>
    <t>10212;3797;7516;10721;9401;10112;24137;7153;4173;4176;5984;5982;9775;5985;5983;4436;1763;2956;3832;641;1062;9493;5888;2967;4175;9928;63979;29028;146909;57647;57696;81930;80179;9585;11004;79075;3833;83990;80119;56992;25788</t>
  </si>
  <si>
    <t>DDX39A;KIF3C;XRCC2;POLQ;RECQL4;KIF20A;KIF4A;TOP2A;MCM4;MCM7;RFC4;RFC2;EIF4A3;RFC5;RFC3;MSH2;DNA2;MSH6;KIF11;BLM;CENPE;AC027237.1;RAD51;GTF2H3;MCM6;KIF14;FIGNL1;ATAD2;KIF18B;DHX37;DDX55;KIF18A;MYO19;KIF20B;KIF2C;DSCC1;KIFC1;BRIP1;PIF1;KIF15;RAD54B</t>
  </si>
  <si>
    <t>10403;6790;332;284403;9055;24137;203068;4605;891;7283;7272;5902;4751;3832;5347;9493;9700;3837;6491;84722;79866;259266;26586;9212;10615;3833;29127;79000;57405;26271;22974;90417</t>
  </si>
  <si>
    <t>NDC80;AURKA;BIRC5;WDR62;PRC1;KIF4A;TUBB;MYBL2;CCNB1;TUBG1;TTK;RANBP1;NEK2;KIF11;PLK1;AC027237.1;ESPL1;KPNB1;STIL;PSRC1;BORA;ASPM;CKAP2;AURKB;SPAG5;KIFC1;RACGAP1;AUNIP;SPC25;FBXO5;TPX2;KNSTRN</t>
  </si>
  <si>
    <t>5717;11065;8520;6790;2175;332;11339;7516;8562;10721;8318;24137;7083;983;203068;4605;891;7283;6240;3148;6241;1058;1063;4171;9735;4751;3832;641;6733;1062;9493;5888;10036;8208;8683;2967;3837;27338;387103;23590;79682;90381;219988;259266;91687;55355;57082;23165;2491;9212;55839;64105;55706;79172;3833;29127;64946;1894;54443;3070;79019;55723;54069;26271;22974;27339;65003</t>
  </si>
  <si>
    <t>PSMD11;UBE2C;HAT1;AURKA;FANCA;BIRC5;OIP5;XRCC2;DENR;POLQ;CDC45;KIF4A;TK1;CDK1;TUBB;MYBL2;CCNB1;TUBG1;RRM1;HMGB2;RRM2;CENPA;CENPF;MCM2;KNTC1;NEK2;KIF11;BLM;SRPK2;CENPE;AC027237.1;RAD51;CHAF1A;CHAF1B;SRSF9;GTF2H3;KPNB1;UBE2S;CENPW;PDSS1;CENPU;TICRR;PATL1;ASPM;CENPL;HJURP;KNL1;NUP205;CENPI;AURKB;CENPN;CENPK;NDC1;CENPO;KIFC1;RACGAP1;CENPH;ECT2;ANLN;HELLS;CENPM;ASF1B;MIS18A;FBXO5;TPX2;PRPF19;MRPL11</t>
  </si>
  <si>
    <t>10403;6790;332;284403;9055;24137;203068;4605;891;7283;7272;5902;4751;3832;9493;9700;3837;6491;259266;26586;9212;10615;3833;29127;79000;57405;26271;22974;90417</t>
  </si>
  <si>
    <t>NDC80;AURKA;BIRC5;WDR62;PRC1;KIF4A;TUBB;MYBL2;CCNB1;TUBG1;TTK;RANBP1;NEK2;KIF11;AC027237.1;ESPL1;KPNB1;STIL;ASPM;CKAP2;AURKB;SPAG5;KIFC1;RACGAP1;AUNIP;SPC25;FBXO5;TPX2;KNSTRN</t>
  </si>
  <si>
    <t>1111;10403;6790;332;284403;9055;699;701;24137;9232;1471;203068;4605;891;7283;1786;10105;7272;672;899;4436;5902;1063;4751;3832;5347;9493;4085;9700;3837;9928;6491;29028;259266;26586;3066;27085;9212;10615;3833;29127;80119;79000;57405;1789;26271;22974;90417</t>
  </si>
  <si>
    <t>CHEK1;NDC80;AURKA;BIRC5;WDR62;PRC1;BUB1;BUB1B;KIF4A;PTTG1;CST3;TUBB;MYBL2;CCNB1;TUBG1;DNMT1;PPIF;TTK;BRCA1;CCNF;MSH2;RANBP1;CENPF;NEK2;KIF11;PLK1;AC027237.1;MAD2L1;ESPL1;KPNB1;KIF14;STIL;ATAD2;ASPM;CKAP2;HDAC2;MTBP;AURKB;SPAG5;KIFC1;RACGAP1;PIF1;AUNIP;SPC25;DNMT3B;FBXO5;TPX2;KNSTRN</t>
  </si>
  <si>
    <t>1111;6790;699;701;11130;9232;983;7153;5111;891;890;1017;995;7272;4436;1063;9735;5347;641;1869;4085;2146;90381;9125;144455;27085;55055;63967;55215;51512</t>
  </si>
  <si>
    <t>CHEK1;AURKA;BUB1;BUB1B;ZWINT;PTTG1;CDK1;TOP2A;PCNA;CCNB1;CCNA2;CDK2;CDC25C;TTK;MSH2;CENPF;KNTC1;PLK1;BLM;E2F1;MAD2L1;EZH2;TICRR;CNOT9;E2F7;MTBP;ZWILCH;CLSPN;FANCI;GTSE1</t>
  </si>
  <si>
    <t>10733;1111;10403;6790;332;284403;9055;1515;24137;203068;4605;891;7283;7272;672;899;5902;4751;3832;5347;9493;9700;3837;6491;348654;84722;79866;221150;259266;81930;26586;220134;9212;10615;3833;29127;79000;1894;57405;26271;22974;90417</t>
  </si>
  <si>
    <t>PLK4;CHEK1;NDC80;AURKA;BIRC5;WDR62;PRC1;CTSV;KIF4A;TUBB;MYBL2;CCNB1;TUBG1;TTK;BRCA1;CCNF;RANBP1;NEK2;KIF11;PLK1;AC027237.1;ESPL1;KPNB1;STIL;GEN1;PSRC1;BORA;SKA3;ASPM;KIF18A;CKAP2;SKA1;AURKB;SPAG5;KIFC1;RACGAP1;AUNIP;ECT2;SPC25;FBXO5;TPX2;KNSTRN</t>
  </si>
  <si>
    <t>GO_NEGATIVE_REGULATION_OF_CYTOSKELETON_ORGANIZATION</t>
  </si>
  <si>
    <t>10403;6790;332;284403;9055;24137;203068;4605;891;7283;7272;672;899;5902;4751;3832;9493;9700;3837;6491;259266;26586;9212;10615;3833;29127;79000;57405;26271;22974;90417</t>
  </si>
  <si>
    <t>NDC80;AURKA;BIRC5;WDR62;PRC1;KIF4A;TUBB;MYBL2;CCNB1;TUBG1;TTK;BRCA1;CCNF;RANBP1;NEK2;KIF11;AC027237.1;ESPL1;KPNB1;STIL;ASPM;CKAP2;AURKB;SPAG5;KIFC1;RACGAP1;AUNIP;SPC25;FBXO5;TPX2;KNSTRN</t>
  </si>
  <si>
    <t>http://www.broadinstitute.org/gsea/msigdb/cards/GO_NEGATIVE_REGULATION_OF_CYTOSKELETON_ORGANIZATION.html</t>
  </si>
  <si>
    <t>1111;6790;8318;983;7153;5111;891;890;1017;995;672;4436;1763;5347;641;1869;90381;9125;144455;990;83990;81620;63967;55215;51512;51514;27339</t>
  </si>
  <si>
    <t>CHEK1;AURKA;CDC45;CDK1;TOP2A;PCNA;CCNB1;CCNA2;CDK2;CDC25C;BRCA1;MSH2;DNA2;PLK1;BLM;E2F1;TICRR;CNOT9;E2F7;CDC6;BRIP1;CDT1;CLSPN;FANCI;GTSE1;DTL;PRPF19</t>
  </si>
  <si>
    <t>11065;699;701;9232;891;7272;1063;4751;5347;1062;4085;9700;9787;348654;113130;9212;10615;11004;990;29127;1894;26271;90417</t>
  </si>
  <si>
    <t>UBE2C;BUB1;BUB1B;PTTG1;CCNB1;TTK;CENPF;NEK2;PLK1;CENPE;MAD2L1;ESPL1;DLGAP5;GEN1;CDCA5;AURKB;SPAG5;KIF2C;CDC6;RACGAP1;ECT2;FBXO5;KNSTRN</t>
  </si>
  <si>
    <t>3797;6790;332;9055;10112;24137;983;203068;7283;9735;4751;3832;5347;10376;1062;9493;9928;84722;146909;221150;285753;259266;81930;26586;220134;9212;9585;10615;11004;84790;3833;51203;29127;3619;56992;51512;22974;90417</t>
  </si>
  <si>
    <t>KIF3C;AURKA;BIRC5;PRC1;KIF20A;KIF4A;CDK1;TUBB;TUBG1;KNTC1;NEK2;KIF11;PLK1;TUBA1B;CENPE;AC027237.1;KIF14;PSRC1;KIF18B;SKA3;CEP57L1;ASPM;KIF18A;CKAP2;SKA1;AURKB;KIF20B;SPAG5;KIF2C;TUBA1C;KIFC1;NUSAP1;RACGAP1;INCENP;KIF15;GTSE1;TPX2;KNSTRN</t>
  </si>
  <si>
    <t>7516;10721;7083;7298;5111;5984;5982;672;5985;5983;1063;1763;675;641;5427;5888;5426;23649;9768;286826;10635;580;83990;51514;9156</t>
  </si>
  <si>
    <t>XRCC2;POLQ;TK1;TYMS;PCNA;RFC4;RFC2;BRCA1;RFC5;RFC3;CENPF;DNA2;BRCA2;BLM;POLE2;RAD51;POLE;POLA2;PCLAF;LIN9;RAD51AP1;BARD1;BRIP1;DTL;EXO1</t>
  </si>
  <si>
    <t>6790;699;701;11130;983;7153;5111;891;890;1017;995;7272;4436;1063;9735;5347;641;1869;4085;90381;9125;144455;55055;63967;55215;51512</t>
  </si>
  <si>
    <t>AURKA;BUB1;BUB1B;ZWINT;CDK1;TOP2A;PCNA;CCNB1;CCNA2;CDK2;CDC25C;TTK;MSH2;CENPF;KNTC1;PLK1;BLM;E2F1;MAD2L1;TICRR;CNOT9;E2F7;ZWILCH;CLSPN;FANCI;GTSE1</t>
  </si>
  <si>
    <t>8317;7516;10721;8318;9401;672;2237;4436;1763;675;641;5888;9319;348654;157570;253714;8438;10635;113130;4796;580;84296;83990;64858;27339;51659;25788</t>
  </si>
  <si>
    <t>CDC7;XRCC2;POLQ;CDC45;RECQL4;BRCA1;FEN1;MSH2;DNA2;BRCA2;BLM;RAD51;TRIP13;GEN1;ESCO2;MMS22L;RAD54L;RAD51AP1;CDCA5;TONSL;BARD1;GINS4;BRIP1;DCLRE1B;PRPF19;GINS2;RAD54B</t>
  </si>
  <si>
    <t>3797;332;6839;9055;1515;10721;8318;10112;24137;86;203068;3015;7153;5111;898;1017;1786;4174;672;9775;23310;4436;1058;1063;2956;3832;5347;1062;9493;5888;10657;5426;6749;991;10036;8208;4998;9768;9918;9928;2146;84722;29028;90381;146909;285753;81930;3066;220134;113130;9585;29128;11004;3833;51203;29127;64946;81610;63967;29089;56992;1789;9156</t>
  </si>
  <si>
    <t>KIF3C;BIRC5;SUV39H1;PRC1;CTSV;POLQ;CDC45;KIF20A;KIF4A;ACTL6A;TUBB;H2AFZ;TOP2A;PCNA;CCNE1;CDK2;DNMT1;MCM5;BRCA1;EIF4A3;NCAPD3;MSH2;CENPA;CENPF;MSH6;KIF11;PLK1;CENPE;AC027237.1;RAD51;KHDRBS1;POLE;SSRP1;CDC20;CHAF1A;CHAF1B;ORC1;PCLAF;NCAPD2;KIF14;EZH2;PSRC1;ATAD2;TICRR;KIF18B;CEP57L1;KIF18A;HDAC2;SKA1;CDCA5;KIF20B;UHRF1;KIF2C;KIFC1;NUSAP1;RACGAP1;CENPH;FAM83D;CLSPN;UBE2T;KIF15;DNMT3B;EXO1</t>
  </si>
  <si>
    <t>7516;7153;5111;5984;5982;2237;5985;5983;5557;5558;1763;675;5427;5888;5426;23649;348654;25788</t>
  </si>
  <si>
    <t>XRCC2;TOP2A;PCNA;RFC4;RFC2;FEN1;RFC5;RFC3;PRIM1;PRIM2;DNA2;BRCA2;POLE2;RAD51;POLE;POLA2;GEN1;RAD54B</t>
  </si>
  <si>
    <t>5717;11065;8520;6790;2175;332;11339;10721;24137;7083;983;203068;4605;891;7283;6240;3148;6241;1058;1063;4171;9735;4751;3832;641;1062;9493;5888;10036;8208;3837;27338;387103;23590;79682;259266;91687;55355;57082;23165;2491;9212;55839;64105;55706;79172;3833;29127;64946;1894;54443;79019;55723;54069;26271;22974</t>
  </si>
  <si>
    <t>PSMD11;UBE2C;HAT1;AURKA;FANCA;BIRC5;OIP5;POLQ;KIF4A;TK1;CDK1;TUBB;MYBL2;CCNB1;TUBG1;RRM1;HMGB2;RRM2;CENPA;CENPF;MCM2;KNTC1;NEK2;KIF11;BLM;CENPE;AC027237.1;RAD51;CHAF1A;CHAF1B;KPNB1;UBE2S;CENPW;PDSS1;CENPU;ASPM;CENPL;HJURP;KNL1;NUP205;CENPI;AURKB;CENPN;CENPK;NDC1;CENPO;KIFC1;RACGAP1;CENPH;ECT2;ANLN;CENPM;ASF1B;MIS18A;FBXO5;TPX2</t>
  </si>
  <si>
    <t>79733;699;701;7083;7298;5111;1503;1841;6240;993;995;4176;4288;1063;675;3068;5347;1434;1163;10657;6502;9833;9837;9928;9787;6469;6491;63979;55388;54892;259266;9212;29128;11004;84296;10293;29127;81610;3070;56992;22974;27339;6941;10460</t>
  </si>
  <si>
    <t>E2F8;BUB1;BUB1B;TK1;TYMS;PCNA;CTPS1;DTYMK;RRM1;CDC25A;CDC25C;MCM7;MKI67;CENPF;BRCA2;HDGF;PLK1;CSE1L;CKS1B;KHDRBS1;SKP2;MELK;GINS1;KIF14;DLGAP5;SHH;STIL;FIGNL1;MCM10;NCAPG2;ASPM;AURKB;UHRF1;KIF2C;GINS4;TRAIP;RACGAP1;FAM83D;HELLS;KIF15;TPX2;PRPF19;TCF19;TACC3</t>
  </si>
  <si>
    <t>79733;10733;6790;2189;2175;7516;1515;10592;9232;7083;983;7153;891;4691;7283;6240;898;1017;3148;790;995;899;23310;4436;4288;675;4751;2956;5347;1869;5888;9700;9918;6469;9319;151246;151648;259266;57082;81930;57650;9125;2491;8438;144455;84930;55706;3833;84057;2177;29127;81624;10051;55723;29893;26271;9156;9633;25788</t>
  </si>
  <si>
    <t>E2F8;PLK4;AURKA;FANCG;FANCA;XRCC2;CTSV;SMC2;PTTG1;TK1;CDK1;TOP2A;CCNB1;NCL;TUBG1;RRM1;CCNE1;CDK2;HMGB2;CAD;CDC25C;CCNF;NCAPD3;MSH2;MKI67;BRCA2;NEK2;MSH6;PLK1;E2F1;RAD51;ESPL1;NCAPD2;SHH;TRIP13;SGO2;SGO1;ASPM;KNL1;KIF18A;CIP2A;CNOT9;CENPI;RAD54L;E2F7;MASTL;NDC1;KIFC1;MND1;FANCD2;RACGAP1;DIAPH3;SMC4;ASF1B;PSMC3IP;FBXO5;EXO1;TESMIN;RAD54B</t>
  </si>
  <si>
    <t>10733;1111;6790;332;3161;22995;9133;983;203068;891;7283;1017;993;995;4751;5347;10657;2305;6502;9833;79866;84930;9088;22974</t>
  </si>
  <si>
    <t>PLK4;CHEK1;AURKA;BIRC5;HMMR;CEP152;CCNB2;CDK1;TUBB;CCNB1;TUBG1;CDK2;CDC25A;CDC25C;NEK2;PLK1;KHDRBS1;FOXM1;SKP2;MELK;BORA;MASTL;PKMYT1;TPX2</t>
  </si>
  <si>
    <t>1111;8520;6839;11339;86;3015;6929;1786;3148;4176;7112;23310;1058;1063;4171;2956;5347;1869;5888;10036;8208;23076;2146;157570;80174;3066;146956;27085;113130;29128;79075;3619;3070;55723;55010;8914</t>
  </si>
  <si>
    <t>CHEK1;HAT1;SUV39H1;OIP5;ACTL6A;H2AFZ;TCF3;DNMT1;HMGB2;MCM7;TMPO;NCAPD3;CENPA;CENPF;MCM2;MSH6;PLK1;E2F1;RAD51;CHAF1A;CHAF1B;RRP1B;EZH2;ESCO2;DBF4B;HDAC2;EME1;MTBP;CDCA5;UHRF1;DSCC1;INCENP;HELLS;ASF1B;PARPBP;TIMELESS</t>
  </si>
  <si>
    <t>8520;11339;7516;8318;3148;1058;1063;4171;1062;5888;10036;8208;2967;387103;79682;91687;55355;57082;2491;55839;64105;79172;64946;3070;79019;55723;54069;11198</t>
  </si>
  <si>
    <t>HAT1;OIP5;XRCC2;CDC45;HMGB2;CENPA;CENPF;MCM2;CENPE;RAD51;CHAF1A;CHAF1B;GTF2H3;CENPW;CENPU;CENPL;HJURP;KNL1;CENPI;CENPN;CENPK;CENPO;CENPH;HELLS;CENPM;ASF1B;MIS18A;SUPT16H</t>
  </si>
  <si>
    <t>6790;699;701;983;5111;891;890;1017;995;7272;1063;5347;641;1869;4085;2146;90381;9125;144455;63967;55215;51512;56241;27339</t>
  </si>
  <si>
    <t>AURKA;BUB1;BUB1B;CDK1;PCNA;CCNB1;CCNA2;CDK2;CDC25C;TTK;CENPF;PLK1;BLM;E2F1;MAD2L1;EZH2;TICRR;CNOT9;E2F7;CLSPN;FANCI;GTSE1;SUSD2;PRPF19</t>
  </si>
  <si>
    <t>8318;9401;7153;4172;3148;4173;4174;4176;4171;1763;641;5888;2967;4175;9837;84296;83990;80119;51659;25788</t>
  </si>
  <si>
    <t>CDC45;RECQL4;TOP2A;MCM3;HMGB2;MCM4;MCM5;MCM7;MCM2;DNA2;BLM;RAD51;GTF2H3;MCM6;GINS1;GINS4;BRIP1;PIF1;GINS2;RAD54B</t>
  </si>
  <si>
    <t>GO_MITOTIC_SPINDLE_ORGANIZATION</t>
  </si>
  <si>
    <t>10403;6790;332;284403;9055;24137;4605;891;7272;4751;3832;9493;3837;6491;9212;3833;29127;57405;22974</t>
  </si>
  <si>
    <t>NDC80;AURKA;BIRC5;WDR62;PRC1;KIF4A;MYBL2;CCNB1;TTK;NEK2;KIF11;AC027237.1;KPNB1;STIL;AURKB;KIFC1;RACGAP1;SPC25;TPX2</t>
  </si>
  <si>
    <t>http://www.broadinstitute.org/gsea/msigdb/cards/GO_MITOTIC_SPINDLE_ORGANIZATION.html</t>
  </si>
  <si>
    <t>GO_CONDENSED_NUCLEAR_CHROMOSOME</t>
  </si>
  <si>
    <t>1111;10403;6790;6839;699;701;891;7283;672;23310;1058;4751;5347;641;5888;9918;151648;11073;9212;3619</t>
  </si>
  <si>
    <t>CHEK1;NDC80;AURKA;SUV39H1;BUB1;BUB1B;CCNB1;TUBG1;BRCA1;NCAPD3;CENPA;NEK2;PLK1;BLM;RAD51;NCAPD2;SGO1;TOPBP1;AURKB;INCENP</t>
  </si>
  <si>
    <t>http://www.broadinstitute.org/gsea/msigdb/cards/GO_CONDENSED_NUCLEAR_CHROMOSOME.html</t>
  </si>
  <si>
    <t>GO_CENTROMERE_COMPLEX_ASSEMBLY</t>
  </si>
  <si>
    <t>11339;1058;1063;1062;387103;79682;91687;55355;57082;2491;55839;64105;79172;64946;3070;79019;54069</t>
  </si>
  <si>
    <t>OIP5;CENPA;CENPF;CENPE;CENPW;CENPU;CENPL;HJURP;KNL1;CENPI;CENPN;CENPK;CENPO;CENPH;HELLS;CENPM;MIS18A</t>
  </si>
  <si>
    <t>http://www.broadinstitute.org/gsea/msigdb/cards/GO_CENTROMERE_COMPLEX_ASSEMBLY.html</t>
  </si>
  <si>
    <t>7516;5111;5984;5982;672;5985;5983;1763;675;641;5427;5888;5426;9768;10635;580;83990;51514;9156</t>
  </si>
  <si>
    <t>XRCC2;PCNA;RFC4;RFC2;BRCA1;RFC5;RFC3;DNA2;BRCA2;BLM;POLE2;RAD51;POLE;PCLAF;RAD51AP1;BARD1;BRIP1;DTL;EXO1</t>
  </si>
  <si>
    <t>5717;11065;8520;11339;7516;8562;8318;7283;3148;1058;1063;4171;6733;1062;5888;10036;8208;8683;2967;3837;27338;387103;79682;90381;219988;91687;55355;57082;23165;2491;55839;64105;55706;79172;64946;54443;3070;79019;55723;54069;26271;27339;65003</t>
  </si>
  <si>
    <t>PSMD11;UBE2C;HAT1;OIP5;XRCC2;DENR;CDC45;TUBG1;HMGB2;CENPA;CENPF;MCM2;SRPK2;CENPE;RAD51;CHAF1A;CHAF1B;SRSF9;GTF2H3;KPNB1;UBE2S;CENPW;CENPU;TICRR;PATL1;CENPL;HJURP;KNL1;NUP205;CENPI;CENPN;CENPK;NDC1;CENPO;CENPH;ANLN;HELLS;CENPM;ASF1B;MIS18A;FBXO5;PRPF19;MRPL11</t>
  </si>
  <si>
    <t>7516;10721;9401;7153;4173;4176;5984;5982;5985;5983;1763;641;5888;2967;4175;79075;83990;80119;25788</t>
  </si>
  <si>
    <t>XRCC2;POLQ;RECQL4;TOP2A;MCM4;MCM7;RFC4;RFC2;RFC5;RFC3;DNA2;BLM;RAD51;GTF2H3;MCM6;DSCC1;BRIP1;PIF1;RAD54B</t>
  </si>
  <si>
    <t>1111;8520;6790;6839;11339;86;983;3015;891;1017;1786;3148;5933;7913;1058;4171;675;10036;8208;6996;2146;387103;29028;79682;91687;55355;57082;83903;2491;3066;9212;55839;29128;64105;79172;64946;3070;79019;55723;54069;11198</t>
  </si>
  <si>
    <t>CHEK1;HAT1;AURKA;SUV39H1;OIP5;ACTL6A;CDK1;H2AFZ;CCNB1;CDK2;DNMT1;HMGB2;RBL1;DEK;CENPA;MCM2;BRCA2;CHAF1A;CHAF1B;TDG;EZH2;CENPW;ATAD2;CENPU;CENPL;HJURP;KNL1;HASPIN;CENPI;HDAC2;AURKB;CENPN;UHRF1;CENPK;CENPO;CENPH;HELLS;CENPM;ASF1B;MIS18A;SUPT16H</t>
  </si>
  <si>
    <t>GO_MIDBODY</t>
  </si>
  <si>
    <t>6790;332;9055;10112;24137;983;1063;4751;5347;1062;9493;9928;55165;55143;84722;259266;9212;9585;10615;29127;1894;3619</t>
  </si>
  <si>
    <t>AURKA;BIRC5;PRC1;KIF20A;KIF4A;CDK1;CENPF;NEK2;PLK1;CENPE;AC027237.1;KIF14;CEP55;CDCA8;PSRC1;ASPM;AURKB;KIF20B;SPAG5;RACGAP1;ECT2;INCENP</t>
  </si>
  <si>
    <t>http://www.broadinstitute.org/gsea/msigdb/cards/GO_MIDBODY.html</t>
  </si>
  <si>
    <t>10212;8318;9401;4172;4173;4174;4176;9775;4171;1763;641;4175;9837;54821;57647;57696;8438;84296;83990;80119;3070;51659;25788</t>
  </si>
  <si>
    <t>DDX39A;CDC45;RECQL4;MCM3;MCM4;MCM5;MCM7;EIF4A3;MCM2;DNA2;BLM;MCM6;GINS1;ERCC6L;DHX37;DDX55;RAD54L;GINS4;BRIP1;PIF1;HELLS;GINS2;RAD54B</t>
  </si>
  <si>
    <t>GO_SPINDLE_MICROTUBULE</t>
  </si>
  <si>
    <t>6790;332;9055;24137;983;7283;9735;3832;5347;84722;146909;221150;81930;220134;9212;10615;51203</t>
  </si>
  <si>
    <t>AURKA;BIRC5;PRC1;KIF4A;CDK1;TUBG1;KNTC1;KIF11;PLK1;PSRC1;KIF18B;SKA3;KIF18A;SKA1;AURKB;SPAG5;NUSAP1</t>
  </si>
  <si>
    <t>http://www.broadinstitute.org/gsea/msigdb/cards/GO_SPINDLE_MICROTUBULE.html</t>
  </si>
  <si>
    <t>GO_POSITIVE_REGULATION_OF_MITOTIC_CELL_CYCLE</t>
  </si>
  <si>
    <t>8317;11065;6790;332;8318;983;891;5902;675;5347;4085;9700;9787;348654;80174;27085;113130;9585;990;51203;26271</t>
  </si>
  <si>
    <t>CDC7;UBE2C;AURKA;BIRC5;CDC45;CDK1;CCNB1;RANBP1;BRCA2;PLK1;MAD2L1;ESPL1;DLGAP5;GEN1;DBF4B;MTBP;CDCA5;KIF20B;CDC6;NUSAP1;FBXO5</t>
  </si>
  <si>
    <t>http://www.broadinstitute.org/gsea/msigdb/cards/GO_POSITIVE_REGULATION_OF_MITOTIC_CELL_CYCLE.html</t>
  </si>
  <si>
    <t>GO_NEGATIVE_REGULATION_OF_CELL_DIVISION</t>
  </si>
  <si>
    <t>79733;1111;699;701;9232;7272;4436;1063;5347;641;4085;259266;144455;27085;9212;56241;26271</t>
  </si>
  <si>
    <t>E2F8;CHEK1;BUB1;BUB1B;PTTG1;TTK;MSH2;CENPF;PLK1;BLM;MAD2L1;ASPM;E2F7;MTBP;AURKB;SUSD2;FBXO5</t>
  </si>
  <si>
    <t>http://www.broadinstitute.org/gsea/msigdb/cards/GO_NEGATIVE_REGULATION_OF_CELL_DIVISION.html</t>
  </si>
  <si>
    <t>11065;6790;332;9055;22995;10112;9134;1471;203068;7153;5111;7374;891;6929;890;4001;898;1786;790;993;995;5984;5982;672;5985;4436;5902;4171;675;4751;3838;3832;5347;1434;10376;1869;5888;2305;991;6996;3837;9928;1994;27338;151648;79866;55388;128239;7444;80174;3066;84930;580;990;2177;29127;81610;1894;29089;81624;55215;1789;26271;22974</t>
  </si>
  <si>
    <t>UBE2C;AURKA;BIRC5;PRC1;CEP152;KIF20A;CCNE2;CST3;TUBB;TOP2A;PCNA;UNG;CCNB1;TCF3;CCNA2;LMNB1;CCNE1;DNMT1;CAD;CDC25A;CDC25C;RFC4;RFC2;BRCA1;RFC5;MSH2;RANBP1;MCM2;BRCA2;NEK2;KPNA2;KIF11;PLK1;CSE1L;TUBA1B;E2F1;RAD51;FOXM1;CDC20;TDG;KPNB1;KIF14;ELAVL1;UBE2S;SGO1;BORA;MCM10;IQGAP3;VRK2;DBF4B;HDAC2;MASTL;BARD1;CDC6;FANCD2;RACGAP1;FAM83D;ECT2;UBE2T;DIAPH3;FANCI;DNMT3B;FBXO5;TPX2</t>
  </si>
  <si>
    <t>GO_SUPRAMOLECULAR_FIBER</t>
  </si>
  <si>
    <t>3797;6790;332;9055;10112;24137;983;203068;4001;7283;9735;4751;3832;5347;10376;1062;9493;84823;9928;84722;146909;221150;285753;259266;81930;26586;220134;9212;9585;10615;11004;84790;3833;51203;29127;3619;56992;51512;22974;90417</t>
  </si>
  <si>
    <t>KIF3C;AURKA;BIRC5;PRC1;KIF20A;KIF4A;CDK1;TUBB;LMNB1;TUBG1;KNTC1;NEK2;KIF11;PLK1;TUBA1B;CENPE;AC027237.1;LMNB2;KIF14;PSRC1;KIF18B;SKA3;CEP57L1;ASPM;KIF18A;CKAP2;SKA1;AURKB;KIF20B;SPAG5;KIF2C;TUBA1C;KIFC1;NUSAP1;RACGAP1;INCENP;KIF15;GTSE1;TPX2;KNSTRN</t>
  </si>
  <si>
    <t>http://www.broadinstitute.org/gsea/msigdb/cards/GO_SUPRAMOLECULAR_FIBER.html</t>
  </si>
  <si>
    <t>GO_DNA_STRAND_ELONGATION</t>
  </si>
  <si>
    <t>10535;5111;5984;2237;5983;5557;5558;1763;23649;9837;84296;64785;64858;51659</t>
  </si>
  <si>
    <t>RNASEH2A;PCNA;RFC4;FEN1;RFC3;PRIM1;PRIM2;DNA2;POLA2;GINS1;GINS4;GINS3;DCLRE1B;GINS2</t>
  </si>
  <si>
    <t>http://www.broadinstitute.org/gsea/msigdb/cards/GO_DNA_STRAND_ELONGATION.html</t>
  </si>
  <si>
    <t>GO_DNA_REPLICATION_INDEPENDENT_NUCLEOSOME_ORGANIZATION</t>
  </si>
  <si>
    <t>8520;11339;1058;387103;79682;91687;55355;57082;2491;55839;64105;79172;64946;79019;55723;54069</t>
  </si>
  <si>
    <t>HAT1;OIP5;CENPA;CENPW;CENPU;CENPL;HJURP;KNL1;CENPI;CENPN;CENPK;CENPO;CENPH;CENPM;ASF1B;MIS18A</t>
  </si>
  <si>
    <t>http://www.broadinstitute.org/gsea/msigdb/cards/GO_DNA_REPLICATION_INDEPENDENT_NUCLEOSOME_ORGANIZATION.html</t>
  </si>
  <si>
    <t>8318;9401;4172;4173;4174;4176;4171;1763;641;4175;9837;84296;83990;80119;51659;25788</t>
  </si>
  <si>
    <t>CDC45;RECQL4;MCM3;MCM4;MCM5;MCM7;MCM2;DNA2;BLM;MCM6;GINS1;GINS4;BRIP1;PIF1;GINS2;RAD54B</t>
  </si>
  <si>
    <t>5111;5984;5982;2237;5985;5983;5557;5558;1763;675;5427;5888;5426;23649</t>
  </si>
  <si>
    <t>PCNA;RFC4;RFC2;FEN1;RFC5;RFC3;PRIM1;PRIM2;DNA2;BRCA2;POLE2;RAD51;POLE;POLA2</t>
  </si>
  <si>
    <t>79733;8317;983;5111;1017;5984;5982;5985;5983;1763;675;4751;641;157570;90381;80174;144455;9212;990;79075;81620;80119</t>
  </si>
  <si>
    <t>E2F8;CDC7;CDK1;PCNA;CDK2;RFC4;RFC2;RFC5;RFC3;DNA2;BRCA2;NEK2;BLM;ESCO2;TICRR;DBF4B;E2F7;AURKB;CDC6;DSCC1;CDT1;PIF1</t>
  </si>
  <si>
    <t>GO_DNA_STRAND_ELONGATION_INVOLVED_IN_DNA_REPLICATION</t>
  </si>
  <si>
    <t>10535;5111;5984;2237;5983;5557;5558;1763;23649;9837;84296;64785;51659</t>
  </si>
  <si>
    <t>RNASEH2A;PCNA;RFC4;FEN1;RFC3;PRIM1;PRIM2;DNA2;POLA2;GINS1;GINS4;GINS3;GINS2</t>
  </si>
  <si>
    <t>http://www.broadinstitute.org/gsea/msigdb/cards/GO_DNA_STRAND_ELONGATION_INVOLVED_IN_DNA_REPLICATION.html</t>
  </si>
  <si>
    <t>1111;8520;6790;6839;11339;86;983;891;1017;1786;5933;7913;1058;675;6996;2146;387103;29028;79682;91687;55355;57082;83903;2491;3066;9212;55839;29128;64105;79172;64946;3070;79019;55723;54069</t>
  </si>
  <si>
    <t>CHEK1;HAT1;AURKA;SUV39H1;OIP5;ACTL6A;CDK1;CCNB1;CDK2;DNMT1;RBL1;DEK;CENPA;BRCA2;TDG;EZH2;CENPW;ATAD2;CENPU;CENPL;HJURP;KNL1;HASPIN;CENPI;HDAC2;AURKB;CENPN;UHRF1;CENPK;CENPO;CENPH;HELLS;CENPM;ASF1B;MIS18A</t>
  </si>
  <si>
    <t>GO_CHROMOSOME_LOCALIZATION</t>
  </si>
  <si>
    <t>332;891;1063;675;1062;3837;9928;9787;55165;55143;84722;81930;113130;11004;3833;81610</t>
  </si>
  <si>
    <t>BIRC5;CCNB1;CENPF;BRCA2;CENPE;KPNB1;KIF14;DLGAP5;CEP55;CDCA8;PSRC1;KIF18A;CDCA5;KIF2C;KIFC1;FAM83D</t>
  </si>
  <si>
    <t>http://www.broadinstitute.org/gsea/msigdb/cards/GO_CHROMOSOME_LOCALIZATION.html</t>
  </si>
  <si>
    <t>8520;11339;3148;1058;4171;10036;8208;387103;79682;91687;55355;57082;2491;55839;64105;79172;64946;3070;79019;55723;54069;11198</t>
  </si>
  <si>
    <t>HAT1;OIP5;HMGB2;CENPA;MCM2;CHAF1A;CHAF1B;CENPW;CENPU;CENPL;HJURP;KNL1;CENPI;CENPN;CENPK;CENPO;CENPH;HELLS;CENPM;ASF1B;MIS18A;SUPT16H</t>
  </si>
  <si>
    <t>11065;1111;699;701;8318;9232;891;1786;7272;672;1063;4751;5347;1062;4085;9700;9787;348654;29028;113130;9212;29128;990;80119;1789;26271</t>
  </si>
  <si>
    <t>UBE2C;CHEK1;BUB1;BUB1B;CDC45;PTTG1;CCNB1;DNMT1;TTK;BRCA1;CENPF;NEK2;PLK1;CENPE;MAD2L1;ESPL1;DLGAP5;GEN1;ATAD2;CDCA5;AURKB;UHRF1;CDC6;PIF1;DNMT3B;FBXO5</t>
  </si>
  <si>
    <t>GO_RECOMBINATIONAL_REPAIR</t>
  </si>
  <si>
    <t>8317;7516;10721;8318;672;2237;675;641;5888;348654;253714;8438;10635;4796;84296;51659;25788</t>
  </si>
  <si>
    <t>CDC7;XRCC2;POLQ;CDC45;BRCA1;FEN1;BRCA2;BLM;RAD51;GEN1;MMS22L;RAD54L;RAD51AP1;TONSL;GINS4;GINS2;RAD54B</t>
  </si>
  <si>
    <t>http://www.broadinstitute.org/gsea/msigdb/cards/GO_RECOMBINATIONAL_REPAIR.html</t>
  </si>
  <si>
    <t>6839;10721;8318;86;3015;7153;5111;1786;4174;672;23310;1058;1063;2956;5888;5426;6749;10036;8208;4998;9768;9918;2146;29028;90381;3066;113130;29128;29089;1789;9156</t>
  </si>
  <si>
    <t>SUV39H1;POLQ;CDC45;ACTL6A;H2AFZ;TOP2A;PCNA;DNMT1;MCM5;BRCA1;NCAPD3;CENPA;CENPF;MSH6;RAD51;POLE;SSRP1;CHAF1A;CHAF1B;ORC1;PCLAF;NCAPD2;EZH2;ATAD2;TICRR;HDAC2;CDCA5;UHRF1;UBE2T;DNMT3B;EXO1</t>
  </si>
  <si>
    <t>GO_REGULATION_OF_SISTER_CHROMATID_SEGREGATION</t>
  </si>
  <si>
    <t>11065;699;701;9232;891;7272;1063;5347;1062;4085;9700;9787;348654;113130;990;26271</t>
  </si>
  <si>
    <t>UBE2C;BUB1;BUB1B;PTTG1;CCNB1;TTK;CENPF;PLK1;CENPE;MAD2L1;ESPL1;DLGAP5;GEN1;CDCA5;CDC6;FBXO5</t>
  </si>
  <si>
    <t>http://www.broadinstitute.org/gsea/msigdb/cards/GO_REGULATION_OF_SISTER_CHROMATID_SEGREGATION.html</t>
  </si>
  <si>
    <t>79733;8317;1017;5984;5982;5985;5983;675;641;90381;80174;144455;79075;81620</t>
  </si>
  <si>
    <t>E2F8;CDC7;CDK2;RFC4;RFC2;RFC5;RFC3;BRCA2;BLM;TICRR;DBF4B;E2F7;DSCC1;CDT1</t>
  </si>
  <si>
    <t>10733;6790;284403;7516;22995;983;1017;672;675;4751;3832;5347;9768;6491;151648;163786;55706</t>
  </si>
  <si>
    <t>PLK4;AURKA;WDR62;XRCC2;CEP152;CDK1;CDK2;BRCA1;BRCA2;NEK2;KIF11;PLK1;PCLAF;STIL;SGO1;SASS6;NDC1</t>
  </si>
  <si>
    <t>GO_METAPHASE_PLATE_CONGRESSION</t>
  </si>
  <si>
    <t>891;1063;675;1062;3837;9928;55165;55143;84722;81930;113130;11004;3833;81610</t>
  </si>
  <si>
    <t>CCNB1;CENPF;BRCA2;CENPE;KPNB1;KIF14;CEP55;CDCA8;PSRC1;KIF18A;CDCA5;KIF2C;KIFC1;FAM83D</t>
  </si>
  <si>
    <t>http://www.broadinstitute.org/gsea/msigdb/cards/GO_METAPHASE_PLATE_CONGRESSION.html</t>
  </si>
  <si>
    <t>11339;86;1058;387103;79682;91687;55355;57082;2491;3066;55839;64105;79172;64946;79019;54069</t>
  </si>
  <si>
    <t>OIP5;ACTL6A;CENPA;CENPW;CENPU;CENPL;HJURP;KNL1;CENPI;HDAC2;CENPN;CENPK;CENPO;CENPH;CENPM;MIS18A</t>
  </si>
  <si>
    <t>10733;2189;1515;10592;7298;7153;4691;3148;5725;2237;4288;4751;4670;5347;641;6733;5888;6749;10036;8683;6502;4998;23076;55143;64434;387103;55388;89958;57647;147841;55355;201299;146956;9585;54478;10293;51203;2177;55646;51514;8914</t>
  </si>
  <si>
    <t>PLK4;FANCG;CTSV;SMC2;TYMS;TOP2A;NCL;HMGB2;PTBP1;FEN1;MKI67;NEK2;HNRNPM;PLK1;BLM;SRPK2;RAD51;SSRP1;CHAF1A;SRSF9;SKP2;ORC1;RRP1B;CDCA8;NOM1;CENPW;MCM10;SAPCD2;DHX37;SPC24;HJURP;RDM1;EME1;KIF20B;PIMREG;TRAIP;NUSAP1;FANCD2;LYAR;DTL;TIMELESS</t>
  </si>
  <si>
    <t>3797;332;9055;10112;24137;3832;5347;1062;9493;9928;84722;146909;285753;81930;220134;9585;11004;3833;51203;29127;81610;56992</t>
  </si>
  <si>
    <t>KIF3C;BIRC5;PRC1;KIF20A;KIF4A;KIF11;PLK1;CENPE;AC027237.1;KIF14;PSRC1;KIF18B;CEP57L1;KIF18A;SKA1;KIF20B;KIF2C;KIFC1;NUSAP1;RACGAP1;FAM83D;KIF15</t>
  </si>
  <si>
    <t>5717;11065;5709;701;9134;983;891;890;898;1017;5933;993;995;5984;5982;5985;5983;4751;5347;641;1163;1062;991;4085;9928;2146;1033;27338;348654;84722;128239;80174;9212;84930;80829;9088;990;79075;80119;1894;63967;26271;22974</t>
  </si>
  <si>
    <t>PSMD11;UBE2C;PSMD3;BUB1B;CCNE2;CDK1;CCNB1;CCNA2;CCNE1;CDK2;RBL1;CDC25A;CDC25C;RFC4;RFC2;RFC5;RFC3;NEK2;PLK1;BLM;CKS1B;CENPE;CDC20;MAD2L1;KIF14;EZH2;CDKN3;UBE2S;GEN1;PSRC1;IQGAP3;DBF4B;AURKB;MASTL;ZFP91;PKMYT1;CDC6;DSCC1;PIF1;ECT2;CLSPN;FBXO5;TPX2</t>
  </si>
  <si>
    <t>GO_REGULATION_OF_TRANSCRIPTION_INVOLVED_IN_G1_S_TRANSITION_OF_MITOTIC_CELL_CYCLE</t>
  </si>
  <si>
    <t>8318;7298;983;5111;898;6241;1869;4998;144455;990;81620;26271</t>
  </si>
  <si>
    <t>CDC45;TYMS;CDK1;PCNA;CCNE1;RRM2;E2F1;ORC1;E2F7;CDC6;CDT1;FBXO5</t>
  </si>
  <si>
    <t>http://www.broadinstitute.org/gsea/msigdb/cards/GO_REGULATION_OF_TRANSCRIPTION_INVOLVED_IN_G1_S_TRANSITION_OF_MITOTIC_CELL_CYCLE.html</t>
  </si>
  <si>
    <t>79733;8317;983;7153;5111;7374;1017;5984;5982;672;5985;5983;1763;4751;2956;5888;2305;80174;144455;9212;79075</t>
  </si>
  <si>
    <t>E2F8;CDC7;CDK1;TOP2A;PCNA;UNG;CDK2;RFC4;RFC2;BRCA1;RFC5;RFC3;DNA2;NEK2;MSH6;RAD51;FOXM1;DBF4B;E2F7;AURKB;DSCC1</t>
  </si>
  <si>
    <t>1111;6790;1017;5984;5982;672;5985;5983;6878;1763;641;6749;11073;3066;9212;580;83990;22974;9156;11198</t>
  </si>
  <si>
    <t>CHEK1;AURKA;CDK2;RFC4;RFC2;BRCA1;RFC5;RFC3;TAF6;DNA2;BLM;SSRP1;TOPBP1;HDAC2;AURKB;BARD1;BRIP1;TPX2;EXO1;SUPT16H</t>
  </si>
  <si>
    <t>1111;8520;983;5111;1017;4172;4173;4174;4176;2237;4436;4171;1763;675;641;5888;4998;4175;80119;64858</t>
  </si>
  <si>
    <t>CHEK1;HAT1;CDK1;PCNA;CDK2;MCM3;MCM4;MCM5;MCM7;FEN1;MSH2;MCM2;DNA2;BRCA2;BLM;RAD51;ORC1;MCM6;PIF1;DCLRE1B</t>
  </si>
  <si>
    <t>6790;983;7153;5111;891;890;1017;995;4436;641;1869;90381;9125;144455;63967;55215;51512</t>
  </si>
  <si>
    <t>AURKA;CDK1;TOP2A;PCNA;CCNB1;CCNA2;CDK2;CDC25C;MSH2;BLM;E2F1;TICRR;CNOT9;E2F7;CLSPN;FANCI;GTSE1</t>
  </si>
  <si>
    <t>GO_HISTONE_EXCHANGE</t>
  </si>
  <si>
    <t>11339;1058;387103;79682;91687;55355;57082;2491;55839;64105;79172;64946;79019;54069</t>
  </si>
  <si>
    <t>OIP5;CENPA;CENPW;CENPU;CENPL;HJURP;KNL1;CENPI;CENPN;CENPK;CENPO;CENPH;CENPM;MIS18A</t>
  </si>
  <si>
    <t>http://www.broadinstitute.org/gsea/msigdb/cards/GO_HISTONE_EXCHANGE.html</t>
  </si>
  <si>
    <t>332;9055;10112;24137;675;5347;9493;9700;55165;26586;9212;51203;29127;1894;3619;54443</t>
  </si>
  <si>
    <t>BIRC5;PRC1;KIF20A;KIF4A;BRCA2;PLK1;AC027237.1;ESPL1;CEP55;CKAP2;AURKB;NUSAP1;RACGAP1;ECT2;INCENP;ANLN</t>
  </si>
  <si>
    <t>3797;332;9055;10112;24137;672;675;3832;5347;1062;9493;9928;84722;146909;285753;81930;220134;9585;11004;3833;51203;29127;81610;56992</t>
  </si>
  <si>
    <t>KIF3C;BIRC5;PRC1;KIF20A;KIF4A;BRCA1;BRCA2;KIF11;PLK1;CENPE;AC027237.1;KIF14;PSRC1;KIF18B;CEP57L1;KIF18A;SKA1;KIF20B;KIF2C;KIFC1;NUSAP1;RACGAP1;FAM83D;KIF15</t>
  </si>
  <si>
    <t>GO_MITOTIC_SPINDLE</t>
  </si>
  <si>
    <t>6790;983;1062;9493;4085;9700;259266;81930;9585;10615;29127;81610;1894;90417</t>
  </si>
  <si>
    <t>AURKA;CDK1;CENPE;AC027237.1;MAD2L1;ESPL1;ASPM;KIF18A;KIF20B;SPAG5;RACGAP1;FAM83D;ECT2;KNSTRN</t>
  </si>
  <si>
    <t>http://www.broadinstitute.org/gsea/msigdb/cards/GO_MITOTIC_SPINDLE.html</t>
  </si>
  <si>
    <t>GO_SPINDLE_ASSEMBLY</t>
  </si>
  <si>
    <t>6790;332;24137;203068;4605;4751;3832;9493;3837;259266;9212;3833;29127;26271;22974</t>
  </si>
  <si>
    <t>AURKA;BIRC5;KIF4A;TUBB;MYBL2;NEK2;KIF11;AC027237.1;KPNB1;ASPM;AURKB;KIFC1;RACGAP1;FBXO5;TPX2</t>
  </si>
  <si>
    <t>http://www.broadinstitute.org/gsea/msigdb/cards/GO_SPINDLE_ASSEMBLY.html</t>
  </si>
  <si>
    <t>GO_CHROMOSOME_CONDENSATION</t>
  </si>
  <si>
    <t>10592;983;7153;891;23310;23397;9918;54892;113130;64151;51203;10051</t>
  </si>
  <si>
    <t>SMC2;CDK1;TOP2A;CCNB1;NCAPD3;NCAPH;NCAPD2;NCAPG2;CDCA5;NCAPG;NUSAP1;SMC4</t>
  </si>
  <si>
    <t>http://www.broadinstitute.org/gsea/msigdb/cards/GO_CHROMOSOME_CONDENSATION.html</t>
  </si>
  <si>
    <t>10212;7516;10721;9401;7153;4173;4176;5984;5982;9775;5985;5983;1763;641;5888;2967;4175;63979;57647;57696;81930;79075;83990;80119;25788</t>
  </si>
  <si>
    <t>DDX39A;XRCC2;POLQ;RECQL4;TOP2A;MCM4;MCM7;RFC4;RFC2;EIF4A3;RFC5;RFC3;DNA2;BLM;RAD51;GTF2H3;MCM6;FIGNL1;DHX37;DDX55;KIF18A;DSCC1;BRIP1;PIF1;RAD54B</t>
  </si>
  <si>
    <t>GO_POSITIVE_REGULATION_OF_CELL_DIVISION</t>
  </si>
  <si>
    <t>11065;6790;332;5902;5347;9493;9700;9928;9787;6469;113130;9212;9585;990;51203;29127;1894;26271</t>
  </si>
  <si>
    <t>UBE2C;AURKA;BIRC5;RANBP1;PLK1;AC027237.1;ESPL1;KIF14;DLGAP5;SHH;CDCA5;AURKB;KIF20B;CDC6;NUSAP1;RACGAP1;ECT2;FBXO5</t>
  </si>
  <si>
    <t>http://www.broadinstitute.org/gsea/msigdb/cards/GO_POSITIVE_REGULATION_OF_CELL_DIVISION.html</t>
  </si>
  <si>
    <t>1111;2189;7516;7398;5111;6240;1786;993;672;2237;4436;675;2956;641;5888;9768;63979;90381;11073;8438;10635;9212;55872;2177;1894;51514;1789;25788</t>
  </si>
  <si>
    <t>CHEK1;FANCG;XRCC2;USP1;PCNA;RRM1;DNMT1;CDC25A;BRCA1;FEN1;MSH2;BRCA2;MSH6;BLM;RAD51;PCLAF;FIGNL1;TICRR;TOPBP1;RAD54L;RAD51AP1;AURKB;PBK;FANCD2;ECT2;DTL;DNMT3B;RAD54B</t>
  </si>
  <si>
    <t>10733;6790;332;284403;22995;24137;203068;4605;1017;1058;1063;4751;3832;1062;9493;3837;387103;163786;219988;259266;57082;9212;132320;3833;29127;64946;54443;26271;22974;65003</t>
  </si>
  <si>
    <t>PLK4;AURKA;BIRC5;WDR62;CEP152;KIF4A;TUBB;MYBL2;CDK2;CENPA;CENPF;NEK2;KIF11;CENPE;AC027237.1;KPNB1;CENPW;SASS6;PATL1;ASPM;KNL1;AURKB;SCLT1;KIFC1;RACGAP1;CENPH;ANLN;FBXO5;TPX2;MRPL11</t>
  </si>
  <si>
    <t>GO_SPINDLE_MIDZONE</t>
  </si>
  <si>
    <t>6790;701;5347;1062;9928;55143;81930;9212;9585;990;29127</t>
  </si>
  <si>
    <t>AURKA;BUB1B;PLK1;CENPE;KIF14;CDCA8;KIF18A;AURKB;KIF20B;CDC6;RACGAP1</t>
  </si>
  <si>
    <t>http://www.broadinstitute.org/gsea/msigdb/cards/GO_SPINDLE_MIDZONE.html</t>
  </si>
  <si>
    <t>GO_NUCLEAR_REPLICATION_FORK</t>
  </si>
  <si>
    <t>8318;5111;4172;5427;5426;23649;253714;55388;4796;84296;27339;51659</t>
  </si>
  <si>
    <t>CDC45;PCNA;MCM3;POLE2;POLE;POLA2;MMS22L;MCM10;TONSL;GINS4;PRPF19;GINS2</t>
  </si>
  <si>
    <t>http://www.broadinstitute.org/gsea/msigdb/cards/GO_NUCLEAR_REPLICATION_FORK.html</t>
  </si>
  <si>
    <t>5111;5984;5982;2237;5985;5983;5557;5558;1763;675;5427;5888;5426;23649;80119;64858</t>
  </si>
  <si>
    <t>PCNA;RFC4;RFC2;FEN1;RFC5;RFC3;PRIM1;PRIM2;DNA2;BRCA2;POLE2;RAD51;POLE;POLA2;PIF1;DCLRE1B</t>
  </si>
  <si>
    <t>6790;8318;983;5111;891;6929;1017;995;1869;9928;2146;9125;144455;27085;990;81610;51512;56241</t>
  </si>
  <si>
    <t>AURKA;CDC45;CDK1;PCNA;CCNB1;TCF3;CDK2;CDC25C;E2F1;KIF14;EZH2;CNOT9;E2F7;MTBP;CDC6;FAM83D;GTSE1;SUSD2</t>
  </si>
  <si>
    <t>1111;11339;86;1058;387103;79682;91687;55355;57082;2491;3066;55839;64105;79172;64946;3070;79019;54069</t>
  </si>
  <si>
    <t>CHEK1;OIP5;ACTL6A;CENPA;CENPW;CENPU;CENPL;HJURP;KNL1;CENPI;HDAC2;CENPN;CENPK;CENPO;CENPH;HELLS;CENPM;MIS18A</t>
  </si>
  <si>
    <t>GO_MEIOSIS_I</t>
  </si>
  <si>
    <t>6790;7516;9232;7153;4436;675;2956;5347;5888;9700;9319;55706;2177;26271;25788</t>
  </si>
  <si>
    <t>AURKA;XRCC2;PTTG1;TOP2A;MSH2;BRCA2;MSH6;PLK1;RAD51;ESPL1;TRIP13;NDC1;FANCD2;FBXO5;RAD54B</t>
  </si>
  <si>
    <t>http://www.broadinstitute.org/gsea/msigdb/cards/GO_MEIOSIS_I.html</t>
  </si>
  <si>
    <t>3797;10112;24137;3832;1062;9493;9928;146909;81930;9585;11004;3833;56992</t>
  </si>
  <si>
    <t>KIF3C;KIF20A;KIF4A;KIF11;CENPE;AC027237.1;KIF14;KIF18B;KIF18A;KIF20B;KIF2C;KIFC1;KIF15</t>
  </si>
  <si>
    <t>GO_CONDENSED_CHROMOSOME_OUTER_KINETOCHORE</t>
  </si>
  <si>
    <t>10403;699;701;891;1063;5347;1062;221150;220134</t>
  </si>
  <si>
    <t>NDC80;BUB1;BUB1B;CCNB1;CENPF;PLK1;CENPE;SKA3;SKA1</t>
  </si>
  <si>
    <t>http://www.broadinstitute.org/gsea/msigdb/cards/GO_CONDENSED_CHROMOSOME_OUTER_KINETOCHORE.html</t>
  </si>
  <si>
    <t>8520;983;5111;4172;4173;4174;4176;2237;4436;4171;1763;675;5888;4998;4175;80119;64858</t>
  </si>
  <si>
    <t>HAT1;CDK1;PCNA;MCM3;MCM4;MCM5;MCM7;FEN1;MSH2;MCM2;DNA2;BRCA2;RAD51;ORC1;MCM6;PIF1;DCLRE1B</t>
  </si>
  <si>
    <t>GO_SINGLE_STRANDED_DNA_DEPENDENT_ATPASE_ACTIVITY</t>
  </si>
  <si>
    <t>10721;5984;5982;5985;5983;1763;5888;79075;80119</t>
  </si>
  <si>
    <t>POLQ;RFC4;RFC2;RFC5;RFC3;DNA2;RAD51;DSCC1;PIF1</t>
  </si>
  <si>
    <t>http://www.broadinstitute.org/gsea/msigdb/cards/GO_SINGLE_STRANDED_DNA_DEPENDENT_ATPASE_ACTIVITY.html</t>
  </si>
  <si>
    <t>10733;6790;284403;22995;983;1017;672;675;4751;3832;6491;163786</t>
  </si>
  <si>
    <t>PLK4;AURKA;WDR62;CEP152;CDK1;CDK2;BRCA1;BRCA2;NEK2;KIF11;STIL;SASS6</t>
  </si>
  <si>
    <t>GO_ANAPHASE_PROMOTING_COMPLEX_DEPENDENT_CATABOLIC_PROCESS</t>
  </si>
  <si>
    <t>5717;11065;6790;5709;701;9232;983;891;5347;991;4085;6502;27338;9212</t>
  </si>
  <si>
    <t>PSMD11;UBE2C;AURKA;PSMD3;BUB1B;PTTG1;CDK1;CCNB1;PLK1;CDC20;MAD2L1;SKP2;UBE2S;AURKB</t>
  </si>
  <si>
    <t>http://www.broadinstitute.org/gsea/msigdb/cards/GO_ANAPHASE_PROMOTING_COMPLEX_DEPENDENT_CATABOLIC_PROCESS.html</t>
  </si>
  <si>
    <t>GO_DAMAGED_DNA_BINDING</t>
  </si>
  <si>
    <t>2189;10721;5111;7374;3148;672;2237;4436;2956;6996;2967;55247;64858</t>
  </si>
  <si>
    <t>FANCG;POLQ;PCNA;UNG;HMGB2;BRCA1;FEN1;MSH2;MSH6;TDG;GTF2H3;NEIL3;DCLRE1B</t>
  </si>
  <si>
    <t>http://www.broadinstitute.org/gsea/msigdb/cards/GO_DAMAGED_DNA_BINDING.html</t>
  </si>
  <si>
    <t>7516;6240;1786;672;4436;675;641;5888;63979;90381;11073;8438;10635;2177;1894;1789;25788</t>
  </si>
  <si>
    <t>XRCC2;RRM1;DNMT1;BRCA1;MSH2;BRCA2;BLM;RAD51;FIGNL1;TICRR;TOPBP1;RAD54L;RAD51AP1;FANCD2;ECT2;DNMT3B;RAD54B</t>
  </si>
  <si>
    <t>3797;6790;332;10112;24137;3832;1062;9493;9928;55143;146909;81930;9212;9585;11004;3833;56992</t>
  </si>
  <si>
    <t>KIF3C;AURKA;BIRC5;KIF20A;KIF4A;KIF11;CENPE;AC027237.1;KIF14;CDCA8;KIF18B;KIF18A;AURKB;KIF20B;KIF2C;KIFC1;KIF15</t>
  </si>
  <si>
    <t>6790;9055;22995;10112;9134;7153;5111;891;6929;890;898;993;995;4436;3832;5347;1869;2305;6996;9928;1994;151648;79866;7444;80174;580;990;29127;81610;26271;22974</t>
  </si>
  <si>
    <t>AURKA;PRC1;CEP152;KIF20A;CCNE2;TOP2A;PCNA;CCNB1;TCF3;CCNA2;CCNE1;CDC25A;CDC25C;MSH2;KIF11;PLK1;E2F1;FOXM1;TDG;KIF14;ELAVL1;SGO1;BORA;VRK2;DBF4B;BARD1;CDC6;RACGAP1;FAM83D;FBXO5;TPX2</t>
  </si>
  <si>
    <t>GO_STRAND_DISPLACEMENT</t>
  </si>
  <si>
    <t>7516;672;1763;675;641;5888;10635;580;83990;9156</t>
  </si>
  <si>
    <t>XRCC2;BRCA1;DNA2;BRCA2;BLM;RAD51;RAD51AP1;BARD1;BRIP1;EXO1</t>
  </si>
  <si>
    <t>http://www.broadinstitute.org/gsea/msigdb/cards/GO_STRAND_DISPLACEMENT.html</t>
  </si>
  <si>
    <t>GO_POSITIVE_REGULATION_OF_CELL_CYCLE_PHASE_TRANSITION</t>
  </si>
  <si>
    <t>8317;11065;332;8318;5347;9700;9787;80174;27085;113130;990;81610;26271</t>
  </si>
  <si>
    <t>CDC7;UBE2C;BIRC5;CDC45;PLK1;ESPL1;DLGAP5;DBF4B;MTBP;CDCA5;CDC6;FAM83D;FBXO5</t>
  </si>
  <si>
    <t>http://www.broadinstitute.org/gsea/msigdb/cards/GO_POSITIVE_REGULATION_OF_CELL_CYCLE_PHASE_TRANSITION.html</t>
  </si>
  <si>
    <t>GO_CONDENSED_NUCLEAR_CHROMOSOME_CENTROMERIC_REGION</t>
  </si>
  <si>
    <t>10403;6790;699;701;891;1058;5347;151648;9212</t>
  </si>
  <si>
    <t>NDC80;AURKA;BUB1;BUB1B;CCNB1;CENPA;PLK1;SGO1;AURKB</t>
  </si>
  <si>
    <t>http://www.broadinstitute.org/gsea/msigdb/cards/GO_CONDENSED_NUCLEAR_CHROMOSOME_CENTROMERIC_REGION.html</t>
  </si>
  <si>
    <t>GO_MITOTIC_SPINDLE_ASSEMBLY</t>
  </si>
  <si>
    <t>332;24137;4605;4751;3832;9493;3837;9212;3833;29127;22974</t>
  </si>
  <si>
    <t>BIRC5;KIF4A;MYBL2;NEK2;KIF11;AC027237.1;KPNB1;AURKB;KIFC1;RACGAP1;TPX2</t>
  </si>
  <si>
    <t>http://www.broadinstitute.org/gsea/msigdb/cards/GO_MITOTIC_SPINDLE_ASSEMBLY.html</t>
  </si>
  <si>
    <t>GO_SINGLE_STRANDED_DNA_BINDING</t>
  </si>
  <si>
    <t>7516;8318;4691;3148;4173;4176;4436;675;641;5888;4175;55388;55247;10635</t>
  </si>
  <si>
    <t>XRCC2;CDC45;NCL;HMGB2;MCM4;MCM7;MSH2;BRCA2;BLM;RAD51;MCM6;MCM10;NEIL3;RAD51AP1</t>
  </si>
  <si>
    <t>http://www.broadinstitute.org/gsea/msigdb/cards/GO_SINGLE_STRANDED_DNA_BINDING.html</t>
  </si>
  <si>
    <t>GO_MCM_COMPLEX</t>
  </si>
  <si>
    <t>4172;4173;4174;4176;4171;4175;253714;4796</t>
  </si>
  <si>
    <t>MCM3;MCM4;MCM5;MCM7;MCM2;MCM6;MMS22L;TONSL</t>
  </si>
  <si>
    <t>http://www.broadinstitute.org/gsea/msigdb/cards/GO_MCM_COMPLEX.html</t>
  </si>
  <si>
    <t>5717;11065;6790;332;5709;701;7398;9232;983;200933;7153;5111;891;672;899;5347;641;991;4085;6502;6996;27338;55143;23165;9212;80829;29128;83461;580;55706;79902;10293;29089;3619;51514;27339</t>
  </si>
  <si>
    <t>PSMD11;UBE2C;AURKA;BIRC5;PSMD3;BUB1B;USP1;PTTG1;CDK1;FBXO45;TOP2A;PCNA;CCNB1;BRCA1;CCNF;PLK1;BLM;CDC20;MAD2L1;SKP2;TDG;UBE2S;CDCA8;NUP205;AURKB;ZFP91;UHRF1;CDCA3;BARD1;NDC1;NUP85;TRAIP;UBE2T;INCENP;DTL;PRPF19</t>
  </si>
  <si>
    <t>10403;3797;6790;332;891;1058;1063;675;1062;9493;9700;3837;9928;9787;55165;55143;84722;259266;81930;113130;10615;11004;3833;51203;81610</t>
  </si>
  <si>
    <t>NDC80;KIF3C;AURKA;BIRC5;CCNB1;CENPA;CENPF;BRCA2;CENPE;AC027237.1;ESPL1;KPNB1;KIF14;DLGAP5;CEP55;CDCA8;PSRC1;ASPM;KIF18A;CDCA5;SPAG5;KIF2C;KIFC1;NUSAP1;FAM83D</t>
  </si>
  <si>
    <t>GO_REGULATION_OF_CELL_CYCLE_G2_M_PHASE_TRANSITION</t>
  </si>
  <si>
    <t>8317;983;890;1063;5347;641;9928;90381;80174;63967;55215;51512</t>
  </si>
  <si>
    <t>CDC7;CDK1;CCNA2;CENPF;PLK1;BLM;KIF14;TICRR;DBF4B;CLSPN;FANCI;GTSE1</t>
  </si>
  <si>
    <t>http://www.broadinstitute.org/gsea/msigdb/cards/GO_REGULATION_OF_CELL_CYCLE_G2_M_PHASE_TRANSITION.html</t>
  </si>
  <si>
    <t>6790;983;5111;891;1017;995;672;675;1869;2305;9125;144455;51512;27339</t>
  </si>
  <si>
    <t>AURKA;CDK1;PCNA;CCNB1;CDK2;CDC25C;BRCA1;BRCA2;E2F1;FOXM1;CNOT9;E2F7;GTSE1;PRPF19</t>
  </si>
  <si>
    <t>5717;11065;5709;701;983;891;5984;5982;5985;5983;4751;5347;1062;991;4085;9928;2146;27338;84722;128239;80174;9212;84930;80829;990;79075;1894;63967;26271;22974</t>
  </si>
  <si>
    <t>PSMD11;UBE2C;PSMD3;BUB1B;CDK1;CCNB1;RFC4;RFC2;RFC5;RFC3;NEK2;PLK1;CENPE;CDC20;MAD2L1;KIF14;EZH2;UBE2S;PSRC1;IQGAP3;DBF4B;AURKB;MASTL;ZFP91;CDC6;DSCC1;ECT2;CLSPN;FBXO5;TPX2</t>
  </si>
  <si>
    <t>GO_PROTEIN_LOCALIZATION_TO_CHROMOSOME</t>
  </si>
  <si>
    <t>701;983;1058;675;5347;2146;157570;57082;83903;27085;9212</t>
  </si>
  <si>
    <t>BUB1B;CDK1;CENPA;BRCA2;PLK1;EZH2;ESCO2;KNL1;HASPIN;MTBP;AURKB</t>
  </si>
  <si>
    <t>http://www.broadinstitute.org/gsea/msigdb/cards/GO_PROTEIN_LOCALIZATION_TO_CHROMOSOME.html</t>
  </si>
  <si>
    <t>3797;332;9055;1515;10112;24137;86;203068;3015;5111;898;1017;4436;2956;3832;5347;1062;9493;10657;991;9928;84722;146909;285753;81930;3066;220134;9585;29128;11004;3833;51203;29127;64946;81610;63967;56992</t>
  </si>
  <si>
    <t>KIF3C;BIRC5;PRC1;CTSV;KIF20A;KIF4A;ACTL6A;TUBB;H2AFZ;PCNA;CCNE1;CDK2;MSH2;MSH6;KIF11;PLK1;CENPE;AC027237.1;KHDRBS1;CDC20;KIF14;PSRC1;KIF18B;CEP57L1;KIF18A;HDAC2;SKA1;KIF20B;UHRF1;KIF2C;KIFC1;NUSAP1;RACGAP1;CENPH;FAM83D;CLSPN;KIF15</t>
  </si>
  <si>
    <t>GO_NEGATIVE_REGULATION_OF_NUCLEAR_DIVISION</t>
  </si>
  <si>
    <t>1111;699;701;9232;7272;4436;1063;5347;4085;27085;26271</t>
  </si>
  <si>
    <t>CHEK1;BUB1;BUB1B;PTTG1;TTK;MSH2;CENPF;PLK1;MAD2L1;MTBP;FBXO5</t>
  </si>
  <si>
    <t>http://www.broadinstitute.org/gsea/msigdb/cards/GO_NEGATIVE_REGULATION_OF_NUCLEAR_DIVISION.html</t>
  </si>
  <si>
    <t>GO_MEIOTIC_CHROMOSOME_SEGREGATION</t>
  </si>
  <si>
    <t>10592;9232;7153;675;5347;9700;9319;151246;151648;55706;2177;10051</t>
  </si>
  <si>
    <t>SMC2;PTTG1;TOP2A;BRCA2;PLK1;ESPL1;TRIP13;SGO2;SGO1;NDC1;FANCD2;SMC4</t>
  </si>
  <si>
    <t>http://www.broadinstitute.org/gsea/msigdb/cards/GO_MEIOTIC_CHROMOSOME_SEGREGATION.html</t>
  </si>
  <si>
    <t>6790;983;5111;891;1017;995;672;4436;675;1869;2305;1870;9125;144455;51512</t>
  </si>
  <si>
    <t>AURKA;CDK1;PCNA;CCNB1;CDK2;CDC25C;BRCA1;MSH2;BRCA2;E2F1;FOXM1;E2F2;CNOT9;E2F7;GTSE1</t>
  </si>
  <si>
    <t>GO_MITOTIC_CHROMOSOME_CONDENSATION</t>
  </si>
  <si>
    <t>10592;23310;23397;9918;113130;64151;51203;10051</t>
  </si>
  <si>
    <t>SMC2;NCAPD3;NCAPH;NCAPD2;CDCA5;NCAPG;NUSAP1;SMC4</t>
  </si>
  <si>
    <t>http://www.broadinstitute.org/gsea/msigdb/cards/GO_MITOTIC_CHROMOSOME_CONDENSATION.html</t>
  </si>
  <si>
    <t>GO_SPINDLE_CHECKPOINT</t>
  </si>
  <si>
    <t>332;699;701;7272;1063;5347;4085;57082;9212</t>
  </si>
  <si>
    <t>BIRC5;BUB1;BUB1B;TTK;CENPF;PLK1;MAD2L1;KNL1;AURKB</t>
  </si>
  <si>
    <t>http://www.broadinstitute.org/gsea/msigdb/cards/GO_SPINDLE_CHECKPOINT.html</t>
  </si>
  <si>
    <t>GO_CYTOSKELETON_DEPENDENT_CYTOKINESIS</t>
  </si>
  <si>
    <t>10112;24137;5347;9493;55165;26586;9212;51203;29127;54443</t>
  </si>
  <si>
    <t>KIF20A;KIF4A;PLK1;AC027237.1;CEP55;CKAP2;AURKB;NUSAP1;RACGAP1;ANLN</t>
  </si>
  <si>
    <t>http://www.broadinstitute.org/gsea/msigdb/cards/GO_CYTOSKELETON_DEPENDENT_CYTOKINESIS.html</t>
  </si>
  <si>
    <t>5717;11065;1111;5709;701;9134;983;891;890;898;1017;1786;993;995;7272;672;5347;641;1163;1062;5888;2305;991;4085;6502;23076;9928;2146;1033;27338;348654;157313;84722;128239;7444;80174;57082;3066;84930;80829;55872;9088;990;81610;1894;63967;55215;1789;26271;22974</t>
  </si>
  <si>
    <t>PSMD11;UBE2C;CHEK1;PSMD3;BUB1B;CCNE2;CDK1;CCNB1;CCNA2;CCNE1;CDK2;DNMT1;CDC25A;CDC25C;TTK;BRCA1;PLK1;BLM;CKS1B;CENPE;RAD51;FOXM1;CDC20;MAD2L1;SKP2;RRP1B;KIF14;EZH2;CDKN3;UBE2S;GEN1;CDCA2;PSRC1;IQGAP3;VRK2;DBF4B;KNL1;HDAC2;MASTL;ZFP91;PBK;PKMYT1;CDC6;FAM83D;ECT2;CLSPN;FANCI;DNMT3B;FBXO5;TPX2</t>
  </si>
  <si>
    <t>7516;9401;86;3015;3148;4436;2956;641;5888;6996;2146;55247;3066;80119</t>
  </si>
  <si>
    <t>XRCC2;RECQL4;ACTL6A;H2AFZ;HMGB2;MSH2;MSH6;BLM;RAD51;TDG;EZH2;NEIL3;HDAC2;PIF1</t>
  </si>
  <si>
    <t>699;701;9232;1786;7272;672;1063;5347;4085;9700;29028;80119;1789</t>
  </si>
  <si>
    <t>BUB1;BUB1B;PTTG1;DNMT1;TTK;BRCA1;CENPF;PLK1;MAD2L1;ESPL1;ATAD2;PIF1;DNMT3B</t>
  </si>
  <si>
    <t>1111;10721;7374;4436;3838;2956;641;5888;63979;10635;55010</t>
  </si>
  <si>
    <t>CHEK1;POLQ;UNG;MSH2;KPNA2;MSH6;BLM;RAD51;FIGNL1;RAD51AP1;PARPBP</t>
  </si>
  <si>
    <t>10733;6790;332;284403;22995;7153;7283;672;899;6491;55165;163786;25886;132320;10615</t>
  </si>
  <si>
    <t>PLK4;AURKA;BIRC5;WDR62;CEP152;TOP2A;TUBG1;BRCA1;CCNF;STIL;CEP55;SASS6;POC1A;SCLT1;SPAG5</t>
  </si>
  <si>
    <t>5111;4172;5557;5558;5427;5426;23649;4796;27339</t>
  </si>
  <si>
    <t>PCNA;MCM3;PRIM1;PRIM2;POLE2;POLE;POLA2;TONSL;PRPF19</t>
  </si>
  <si>
    <t>10733;6790;332;284403;22995;7153;7283;899;6491;55165;163786;25886;132320</t>
  </si>
  <si>
    <t>PLK4;AURKA;BIRC5;WDR62;CEP152;TOP2A;TUBG1;CCNF;STIL;CEP55;SASS6;POC1A;SCLT1</t>
  </si>
  <si>
    <t>GO_MITOTIC_CYTOKINESIS</t>
  </si>
  <si>
    <t>10112;24137;5347;9493;55165;26586;51203;29127;54443</t>
  </si>
  <si>
    <t>KIF20A;KIF4A;PLK1;AC027237.1;CEP55;CKAP2;NUSAP1;RACGAP1;ANLN</t>
  </si>
  <si>
    <t>http://www.broadinstitute.org/gsea/msigdb/cards/GO_MITOTIC_CYTOKINESIS.html</t>
  </si>
  <si>
    <t>GO_PROTEASOMAL_PROTEIN_CATABOLIC_PROCESS</t>
  </si>
  <si>
    <t>5717;11065;6790;5709;701;9232;983;200933;891;899;5347;991;4085;6502;9928;27338;9212;51512;27339</t>
  </si>
  <si>
    <t>PSMD11;UBE2C;AURKA;PSMD3;BUB1B;PTTG1;CDK1;FBXO45;CCNB1;CCNF;PLK1;CDC20;MAD2L1;SKP2;KIF14;UBE2S;AURKB;GTSE1;PRPF19</t>
  </si>
  <si>
    <t>http://www.broadinstitute.org/gsea/msigdb/cards/GO_PROTEASOMAL_PROTEIN_CATABOLIC_PROCESS.html</t>
  </si>
  <si>
    <t>5717;11065;6790;5709;699;701;983;891;7272;1063;5347;991;4085;9700;9787;6469;348654;55872;26271</t>
  </si>
  <si>
    <t>PSMD11;UBE2C;AURKA;PSMD3;BUB1;BUB1B;CDK1;CCNB1;TTK;CENPF;PLK1;CDC20;MAD2L1;ESPL1;DLGAP5;SHH;GEN1;PBK;FBXO5</t>
  </si>
  <si>
    <t>GO_REGULATION_OF_CYTOKINESIS</t>
  </si>
  <si>
    <t>79733;6790;675;9493;9928;144455;9212;9585;990;29127;1894</t>
  </si>
  <si>
    <t>E2F8;AURKA;BRCA2;AC027237.1;KIF14;E2F7;AURKB;KIF20B;CDC6;RACGAP1;ECT2</t>
  </si>
  <si>
    <t>http://www.broadinstitute.org/gsea/msigdb/cards/GO_REGULATION_OF_CYTOKINESIS.html</t>
  </si>
  <si>
    <t>GO_REGULATION_OF_LIGASE_ACTIVITY</t>
  </si>
  <si>
    <t>5717;11065;5709;701;983;891;1017;5347;991;4085;27338;348654;84930;26271</t>
  </si>
  <si>
    <t>PSMD11;UBE2C;PSMD3;BUB1B;CDK1;CCNB1;CDK2;PLK1;CDC20;MAD2L1;UBE2S;GEN1;MASTL;FBXO5</t>
  </si>
  <si>
    <t>http://www.broadinstitute.org/gsea/msigdb/cards/GO_REGULATION_OF_LIGASE_ACTIVITY.html</t>
  </si>
  <si>
    <t>GO_G2_DNA_DAMAGE_CHECKPOINT</t>
  </si>
  <si>
    <t>1111;983;890;672;5347;641;63967;55215;51514</t>
  </si>
  <si>
    <t>CHEK1;CDK1;CCNA2;BRCA1;PLK1;BLM;CLSPN;FANCI;DTL</t>
  </si>
  <si>
    <t>http://www.broadinstitute.org/gsea/msigdb/cards/GO_G2_DNA_DAMAGE_CHECKPOINT.html</t>
  </si>
  <si>
    <t>GO_MOTOR_ACTIVITY</t>
  </si>
  <si>
    <t>3797;10112;24137;3832;1062;9493;9928;146909;81930;80179;9585;11004;3833;56992</t>
  </si>
  <si>
    <t>KIF3C;KIF20A;KIF4A;KIF11;CENPE;AC027237.1;KIF14;KIF18B;KIF18A;MYO19;KIF20B;KIF2C;KIFC1;KIF15</t>
  </si>
  <si>
    <t>http://www.broadinstitute.org/gsea/msigdb/cards/GO_MOTOR_ACTIVITY.html</t>
  </si>
  <si>
    <t>GO_NEGATIVE_REGULATION_OF_MITOTIC_NUCLEAR_DIVISION</t>
  </si>
  <si>
    <t>1111;699;701;9232;7272;1063;5347;4085;27085</t>
  </si>
  <si>
    <t>CHEK1;BUB1;BUB1B;PTTG1;TTK;CENPF;PLK1;MAD2L1;MTBP</t>
  </si>
  <si>
    <t>http://www.broadinstitute.org/gsea/msigdb/cards/GO_NEGATIVE_REGULATION_OF_MITOTIC_NUCLEAR_DIVISION.html</t>
  </si>
  <si>
    <t>GO_KINETOCHORE_ORGANIZATION</t>
  </si>
  <si>
    <t>10592;1058;1063;1062;387103;64946;10051</t>
  </si>
  <si>
    <t>SMC2;CENPA;CENPF;CENPE;CENPW;CENPH;SMC4</t>
  </si>
  <si>
    <t>http://www.broadinstitute.org/gsea/msigdb/cards/GO_KINETOCHORE_ORGANIZATION.html</t>
  </si>
  <si>
    <t>GO_REGULATION_OF_PROTEIN_CATABOLIC_PROCESS</t>
  </si>
  <si>
    <t>5717;11065;6790;5709;699;701;1471;983;891;7272;1063;5347;991;4085;9700;9787;6469;348654;55872;580;81610;26271</t>
  </si>
  <si>
    <t>PSMD11;UBE2C;AURKA;PSMD3;BUB1;BUB1B;CST3;CDK1;CCNB1;TTK;CENPF;PLK1;CDC20;MAD2L1;ESPL1;DLGAP5;SHH;GEN1;PBK;BARD1;FAM83D;FBXO5</t>
  </si>
  <si>
    <t>http://www.broadinstitute.org/gsea/msigdb/cards/GO_REGULATION_OF_PROTEIN_CATABOLIC_PROCESS.html</t>
  </si>
  <si>
    <t>1111;2189;6839;7516;7398;5111;891;890;6240;1017;1786;993;672;2237;4436;4288;675;2956;641;1869;5888;9768;63979;90381;11073;8438;3066;10635;9212;55872;2177;1894;51514;1789;8914;25788</t>
  </si>
  <si>
    <t>CHEK1;FANCG;SUV39H1;XRCC2;USP1;PCNA;CCNB1;CCNA2;RRM1;CDK2;DNMT1;CDC25A;BRCA1;FEN1;MSH2;MKI67;BRCA2;MSH6;BLM;E2F1;RAD51;PCLAF;FIGNL1;TICRR;TOPBP1;RAD54L;HDAC2;RAD51AP1;AURKB;PBK;FANCD2;ECT2;DTL;DNMT3B;TIMELESS;RAD54B</t>
  </si>
  <si>
    <t>5717;11065;6790;5709;701;1515;3161;10535;7398;9232;983;200933;891;3148;9775;2237;899;5902;1763;5347;991;4085;6502;3837;9928;27338;219988;9125;8570;9212;29128;51512;51514;27339</t>
  </si>
  <si>
    <t>PSMD11;UBE2C;AURKA;PSMD3;BUB1B;CTSV;HMMR;RNASEH2A;USP1;PTTG1;CDK1;FBXO45;CCNB1;HMGB2;EIF4A3;FEN1;CCNF;RANBP1;DNA2;PLK1;CDC20;MAD2L1;SKP2;KPNB1;KIF14;UBE2S;PATL1;CNOT9;KHSRP;AURKB;UHRF1;GTSE1;DTL;PRPF19</t>
  </si>
  <si>
    <t>GO_POSITIVE_REGULATION_OF_MITOTIC_NUCLEAR_DIVISION</t>
  </si>
  <si>
    <t>11065;6790;332;5902;5347;9700;9787;113130;51203;26271</t>
  </si>
  <si>
    <t>UBE2C;AURKA;BIRC5;RANBP1;PLK1;ESPL1;DLGAP5;CDCA5;NUSAP1;FBXO5</t>
  </si>
  <si>
    <t>http://www.broadinstitute.org/gsea/msigdb/cards/GO_POSITIVE_REGULATION_OF_MITOTIC_NUCLEAR_DIVISION.html</t>
  </si>
  <si>
    <t>8520;86;3015;6929;3148;23310;2956;1869;10036;8208;2146;157570;80174;3066;146956;113130;29128;55723;8914</t>
  </si>
  <si>
    <t>HAT1;ACTL6A;H2AFZ;TCF3;HMGB2;NCAPD3;MSH6;E2F1;CHAF1A;CHAF1B;EZH2;ESCO2;DBF4B;HDAC2;EME1;CDCA5;UHRF1;ASF1B;TIMELESS</t>
  </si>
  <si>
    <t>GO_PROTEIN_LOCALIZATION_TO_CHROMOSOME_CENTROMERIC_REGION</t>
  </si>
  <si>
    <t>701;983;1058;57082;83903;27085;9212</t>
  </si>
  <si>
    <t>BUB1B;CDK1;CENPA;KNL1;HASPIN;MTBP;AURKB</t>
  </si>
  <si>
    <t>http://www.broadinstitute.org/gsea/msigdb/cards/GO_PROTEIN_LOCALIZATION_TO_CHROMOSOME_CENTROMERIC_REGION.html</t>
  </si>
  <si>
    <t>8317;1111;8520;6790;332;6839;86;983;7153;5111;891;1017;790;10105;7272;672;675;5347;641;6996;9833;2146;55143;7444;83903;23165;9212;84930;55706;79902;63967;3619</t>
  </si>
  <si>
    <t>CDC7;CHEK1;HAT1;AURKA;BIRC5;SUV39H1;ACTL6A;CDK1;TOP2A;PCNA;CCNB1;CDK2;CAD;PPIF;TTK;BRCA1;BRCA2;PLK1;BLM;TDG;MELK;EZH2;CDCA8;VRK2;HASPIN;NUP205;AURKB;MASTL;NDC1;NUP85;CLSPN;INCENP</t>
  </si>
  <si>
    <t>GO_DNA_SECONDARY_STRUCTURE_BINDING</t>
  </si>
  <si>
    <t>7516;9401;3148;4436;2956;641;5888;55247</t>
  </si>
  <si>
    <t>XRCC2;RECQL4;HMGB2;MSH2;MSH6;BLM;RAD51;NEIL3</t>
  </si>
  <si>
    <t>http://www.broadinstitute.org/gsea/msigdb/cards/GO_DNA_SECONDARY_STRUCTURE_BINDING.html</t>
  </si>
  <si>
    <t>5111;5984;5982;672;5985;5983;4436;5427;9768;51514</t>
  </si>
  <si>
    <t>PCNA;RFC4;RFC2;BRCA1;RFC5;RFC3;MSH2;POLE2;PCLAF;DTL</t>
  </si>
  <si>
    <t>GO_REGULATION_OF_CENTROSOME_CYCLE</t>
  </si>
  <si>
    <t>10733;1111;6790;672;899;5902;4751;3832;348654</t>
  </si>
  <si>
    <t>PLK4;CHEK1;AURKA;BRCA1;CCNF;RANBP1;NEK2;KIF11;GEN1</t>
  </si>
  <si>
    <t>http://www.broadinstitute.org/gsea/msigdb/cards/GO_REGULATION_OF_CENTROSOME_CYCLE.html</t>
  </si>
  <si>
    <t>1111;10721;7398;5111;7913;672;5888;2305;63979;10635;55010</t>
  </si>
  <si>
    <t>CHEK1;POLQ;USP1;PCNA;DEK;BRCA1;RAD51;FOXM1;FIGNL1;RAD51AP1;PARPBP</t>
  </si>
  <si>
    <t>GO_REGULATION_OF_CYCLIN_DEPENDENT_PROTEIN_KINASE_ACTIVITY</t>
  </si>
  <si>
    <t>11065;9134;890;993;995;5347;641;1163;1033;84722;9088;990</t>
  </si>
  <si>
    <t>UBE2C;CCNE2;CCNA2;CDC25A;CDC25C;PLK1;BLM;CKS1B;CDKN3;PSRC1;PKMYT1;CDC6</t>
  </si>
  <si>
    <t>http://www.broadinstitute.org/gsea/msigdb/cards/GO_REGULATION_OF_CYCLIN_DEPENDENT_PROTEIN_KINASE_ACTIVITY.html</t>
  </si>
  <si>
    <t>8318;3015;5111;4172;1058;5557;5558;5427;5426;23649;9837;4796;84296;27339;51659</t>
  </si>
  <si>
    <t>CDC45;H2AFZ;PCNA;MCM3;CENPA;PRIM1;PRIM2;POLE2;POLE;POLA2;GINS1;TONSL;GINS4;PRPF19;GINS2</t>
  </si>
  <si>
    <t>8520;6839;24137;4001;790;1063;4670;641;84823;3837;387103;23165;29128</t>
  </si>
  <si>
    <t>HAT1;SUV39H1;KIF4A;LMNB1;CAD;CENPF;HNRNPM;BLM;LMNB2;KPNB1;CENPW;NUP205;UHRF1</t>
  </si>
  <si>
    <t>3797;10112;24137;3832;1062;9493;3837;9928;9787;146909;81930;9585;11004;3833;29127;56992</t>
  </si>
  <si>
    <t>KIF3C;KIF20A;KIF4A;KIF11;CENPE;AC027237.1;KPNB1;KIF14;DLGAP5;KIF18B;KIF18A;KIF20B;KIF2C;KIFC1;RACGAP1;KIF15</t>
  </si>
  <si>
    <t>6790;699;701;891;7272;1063;5347;4085;9700;9787;6469;348654;55872;26271</t>
  </si>
  <si>
    <t>AURKA;BUB1;BUB1B;CCNB1;TTK;CENPF;PLK1;MAD2L1;ESPL1;DLGAP5;SHH;GEN1;PBK;FBXO5</t>
  </si>
  <si>
    <t>6790;983;5111;891;1017;995;1869;2146;9125;144455;51512;56241</t>
  </si>
  <si>
    <t>AURKA;CDK1;PCNA;CCNB1;CDK2;CDC25C;E2F1;EZH2;CNOT9;E2F7;GTSE1;SUSD2</t>
  </si>
  <si>
    <t>8520;1515;4691;7913;23310;4171;2956;8208;9918;29028;54892;55355;4796;29128;55723</t>
  </si>
  <si>
    <t>HAT1;CTSV;NCL;DEK;NCAPD3;MCM2;MSH6;CHAF1B;NCAPD2;ATAD2;NCAPG2;HJURP;TONSL;UHRF1;ASF1B</t>
  </si>
  <si>
    <t>699;701;9232;7272;1063;5347;4085;9700</t>
  </si>
  <si>
    <t>BUB1;BUB1B;PTTG1;TTK;CENPF;PLK1;MAD2L1;ESPL1</t>
  </si>
  <si>
    <t>GO_INTERSTRAND_CROSS_LINK_REPAIR</t>
  </si>
  <si>
    <t>2189;2175;7398;2187;146956;2177;64858;29089;55215</t>
  </si>
  <si>
    <t>FANCG;FANCA;USP1;FANCB;EME1;FANCD2;DCLRE1B;UBE2T;FANCI</t>
  </si>
  <si>
    <t>http://www.broadinstitute.org/gsea/msigdb/cards/GO_INTERSTRAND_CROSS_LINK_REPAIR.html</t>
  </si>
  <si>
    <t>79733;10733;10403;332;9055;1471;7083;7298;7153;5111;6929;4691;790;4436;1063;2956;5888;10657;10036;4085;6502;6996;4175;9319;1994;146556;55388;285753;55355;11073;9125;144455;9585;29128;580;1894;27339;8914</t>
  </si>
  <si>
    <t>E2F8;PLK4;NDC80;BIRC5;PRC1;CST3;TK1;TYMS;TOP2A;PCNA;TCF3;NCL;CAD;MSH2;CENPF;MSH6;RAD51;KHDRBS1;CHAF1A;MAD2L1;SKP2;TDG;MCM6;TRIP13;ELAVL1;C16orf89;MCM10;CEP57L1;HJURP;TOPBP1;CNOT9;E2F7;KIF20B;UHRF1;BARD1;ECT2;PRPF19;TIMELESS</t>
  </si>
  <si>
    <t>GO_POSITIVE_REGULATION_OF_NUCLEAR_DIVISION</t>
  </si>
  <si>
    <t>http://www.broadinstitute.org/gsea/msigdb/cards/GO_POSITIVE_REGULATION_OF_NUCLEAR_DIVISION.html</t>
  </si>
  <si>
    <t>10535;5111;3148;5984;5982;2237;5985;5983;1763;5426;1479;2967;3837;348654;146956;64858;9156</t>
  </si>
  <si>
    <t>RNASEH2A;PCNA;HMGB2;RFC4;RFC2;FEN1;RFC5;RFC3;DNA2;POLE;CSTF3;GTF2H3;KPNB1;GEN1;EME1;DCLRE1B;EXO1</t>
  </si>
  <si>
    <t>6790;983;5111;891;1017;995;672;1869;2305;9125;144455;51512</t>
  </si>
  <si>
    <t>AURKA;CDK1;PCNA;CCNB1;CDK2;CDC25C;BRCA1;E2F1;FOXM1;CNOT9;E2F7;GTSE1</t>
  </si>
  <si>
    <t>6790;983;5111;891;1017;995;672;1869;9125;144455;51512</t>
  </si>
  <si>
    <t>AURKA;CDK1;PCNA;CCNB1;CDK2;CDC25C;BRCA1;E2F1;CNOT9;E2F7;GTSE1</t>
  </si>
  <si>
    <t>8317;10733;1111;6790;699;701;9133;983;891;1017;7272;4751;5347;6733;2967;9833;7444;83903;9212;84930;55872;9088</t>
  </si>
  <si>
    <t>CDC7;PLK4;CHEK1;AURKA;BUB1;BUB1B;CCNB2;CDK1;CCNB1;CDK2;TTK;NEK2;PLK1;SRPK2;GTF2H3;MELK;VRK2;HASPIN;AURKB;MASTL;PBK;PKMYT1</t>
  </si>
  <si>
    <t>GO_POSITIVE_REGULATION_OF_LIGASE_ACTIVITY</t>
  </si>
  <si>
    <t>5717;11065;5709;701;983;891;5347;991;4085;27338;84930;26271</t>
  </si>
  <si>
    <t>PSMD11;UBE2C;PSMD3;BUB1B;CDK1;CCNB1;PLK1;CDC20;MAD2L1;UBE2S;MASTL;FBXO5</t>
  </si>
  <si>
    <t>http://www.broadinstitute.org/gsea/msigdb/cards/GO_POSITIVE_REGULATION_OF_LIGASE_ACTIVITY.html</t>
  </si>
  <si>
    <t>79733;8520;332;6839;10721;3015;6929;1786;3148;5725;10971;5933;10105;672;9775;4436;1063;675;3068;2956;5347;641;1869;10657;2305;8683;6996;6469;2146;55635;9125;3066;144455;9212;4796;29128;580;990;80119;3070;55010;1789;8914</t>
  </si>
  <si>
    <t>E2F8;HAT1;BIRC5;SUV39H1;POLQ;H2AFZ;TCF3;DNMT1;HMGB2;PTBP1;YWHAQ;RBL1;PPIF;BRCA1;EIF4A3;MSH2;CENPF;BRCA2;HDGF;MSH6;PLK1;BLM;E2F1;KHDRBS1;FOXM1;SRSF9;TDG;SHH;EZH2;DEPDC1;CNOT9;HDAC2;E2F7;AURKB;TONSL;UHRF1;BARD1;CDC6;PIF1;HELLS;PARPBP;DNMT3B;TIMELESS</t>
  </si>
  <si>
    <t>5717;11065;5709;701;983;5111;891;3148;5984;5982;5985;5983;4436;5902;4751;2956;5347;1062;991;4085;9928;2146;27338;55635;9824;84722;128239;84904;80174;55789;23234;9212;84930;80829;29128;990;79075;29127;1894;63967;10926;26271;22974</t>
  </si>
  <si>
    <t>PSMD11;UBE2C;PSMD3;BUB1B;CDK1;PCNA;CCNB1;HMGB2;RFC4;RFC2;RFC5;RFC3;MSH2;RANBP1;NEK2;MSH6;PLK1;CENPE;CDC20;MAD2L1;KIF14;EZH2;UBE2S;DEPDC1;ARHGAP11A;PSRC1;IQGAP3;ARHGEF39;DBF4B;DEPDC1B;DNAJC9;AURKB;MASTL;ZFP91;UHRF1;CDC6;DSCC1;RACGAP1;ECT2;CLSPN;DBF4;FBXO5;TPX2</t>
  </si>
  <si>
    <t>GO_HISTONE_KINASE_ACTIVITY</t>
  </si>
  <si>
    <t>1111;6790;983;891;1017;83903;9212</t>
  </si>
  <si>
    <t>CHEK1;AURKA;CDK1;CCNB1;CDK2;HASPIN;AURKB</t>
  </si>
  <si>
    <t>http://www.broadinstitute.org/gsea/msigdb/cards/GO_HISTONE_KINASE_ACTIVITY.html</t>
  </si>
  <si>
    <t>GO_POSITIVE_REGULATION_OF_PROTEIN_MODIFICATION_BY_SMALL_PROTEIN_CONJUGATION_OR_REMOVAL</t>
  </si>
  <si>
    <t>5717;11065;5709;701;983;891;672;5347;991;4085;6502;27338;84930;55215;26271</t>
  </si>
  <si>
    <t>PSMD11;UBE2C;PSMD3;BUB1B;CDK1;CCNB1;BRCA1;PLK1;CDC20;MAD2L1;SKP2;UBE2S;MASTL;FANCI;FBXO5</t>
  </si>
  <si>
    <t>http://www.broadinstitute.org/gsea/msigdb/cards/GO_POSITIVE_REGULATION_OF_PROTEIN_MODIFICATION_BY_SMALL_PROTEIN_CONJUGATION_OR_REMOVAL.html</t>
  </si>
  <si>
    <t>5717;11065;6790;332;5709;701;9232;983;200933;891;672;899;5347;991;4085;6502;27338;9212;80829;29128;83461;580;10293;29089;51514;27339</t>
  </si>
  <si>
    <t>PSMD11;UBE2C;AURKA;BIRC5;PSMD3;BUB1B;PTTG1;CDK1;FBXO45;CCNB1;BRCA1;CCNF;PLK1;CDC20;MAD2L1;SKP2;UBE2S;AURKB;ZFP91;UHRF1;CDCA3;BARD1;TRAIP;UBE2T;DTL;PRPF19</t>
  </si>
  <si>
    <t>6839;3015;1786;23310;23076;157570;146956;29128;3619;3070</t>
  </si>
  <si>
    <t>SUV39H1;H2AFZ;DNMT1;NCAPD3;RRP1B;ESCO2;EME1;UHRF1;INCENP;HELLS</t>
  </si>
  <si>
    <t>332;7153;5111;672;641;6996;55143;23165;9212;55706;79902;3619</t>
  </si>
  <si>
    <t>BIRC5;TOP2A;PCNA;BRCA1;BLM;TDG;CDCA8;NUP205;AURKB;NDC1;NUP85;INCENP</t>
  </si>
  <si>
    <t>GO_CHROMOSOME_ORGANIZATION_INVOLVED_IN_MEIOTIC_CELL_CYCLE</t>
  </si>
  <si>
    <t>10592;23310;5888;9918;9319;151246;55706;2177;10051</t>
  </si>
  <si>
    <t>SMC2;NCAPD3;RAD51;NCAPD2;TRIP13;SGO2;NDC1;FANCD2;SMC4</t>
  </si>
  <si>
    <t>http://www.broadinstitute.org/gsea/msigdb/cards/GO_CHROMOSOME_ORGANIZATION_INVOLVED_IN_MEIOTIC_CELL_CYCLE.html</t>
  </si>
  <si>
    <t>8317;10733;1111;6790;699;701;10721;9133;7083;983;891;1841;898;1017;790;7272;5557;5558;4751;5347;5427;6733;5426;2967;23649;9833;7444;115004;83903;9212;84930;55872;9088</t>
  </si>
  <si>
    <t>CDC7;PLK4;CHEK1;AURKA;BUB1;BUB1B;POLQ;CCNB2;TK1;CDK1;CCNB1;DTYMK;CCNE1;CDK2;CAD;TTK;PRIM1;PRIM2;NEK2;PLK1;POLE2;SRPK2;POLE;GTF2H3;POLA2;MELK;VRK2;CGAS;HASPIN;AURKB;MASTL;PBK;PKMYT1</t>
  </si>
  <si>
    <t>6790;701;983;5902;1058;675;3838;5347;1434;23649;3837;6469;6491;2146;157570;57082;83903;23165;27085;9212;9585;10615;79902;81610</t>
  </si>
  <si>
    <t>AURKA;BUB1B;CDK1;RANBP1;CENPA;BRCA2;KPNA2;PLK1;CSE1L;POLA2;KPNB1;SHH;STIL;EZH2;ESCO2;KNL1;HASPIN;NUP205;MTBP;AURKB;KIF20B;SPAG5;NUP85;FAM83D</t>
  </si>
  <si>
    <t>GO_PROTEIN_LOCALIZATION_TO_KINETOCHORE</t>
  </si>
  <si>
    <t>701;983;57082;83903;27085;9212</t>
  </si>
  <si>
    <t>BUB1B;CDK1;KNL1;HASPIN;MTBP;AURKB</t>
  </si>
  <si>
    <t>http://www.broadinstitute.org/gsea/msigdb/cards/GO_PROTEIN_LOCALIZATION_TO_KINETOCHORE.html</t>
  </si>
  <si>
    <t>GO_REGULATION_OF_ATTACHMENT_OF_SPINDLE_MICROTUBULES_TO_KINETOCHORE</t>
  </si>
  <si>
    <t>891;4751;10615;29127;1894;90417</t>
  </si>
  <si>
    <t>CCNB1;NEK2;SPAG5;RACGAP1;ECT2;KNSTRN</t>
  </si>
  <si>
    <t>http://www.broadinstitute.org/gsea/msigdb/cards/GO_REGULATION_OF_ATTACHMENT_OF_SPINDLE_MICROTUBULES_TO_KINETOCHORE.html</t>
  </si>
  <si>
    <t>6790;983;5111;891;1017;995;1869;9125;144455;51512</t>
  </si>
  <si>
    <t>AURKA;CDK1;PCNA;CCNB1;CDK2;CDC25C;E2F1;CNOT9;E2F7;GTSE1</t>
  </si>
  <si>
    <t>5717;11065;5709;701;983;891;1017;672;5347;991;4085;6502;27338;348654;84930;55215;26271</t>
  </si>
  <si>
    <t>PSMD11;UBE2C;PSMD3;BUB1B;CDK1;CCNB1;CDK2;BRCA1;PLK1;CDC20;MAD2L1;SKP2;UBE2S;GEN1;MASTL;FANCI;FBXO5</t>
  </si>
  <si>
    <t>10212;9401;4173;4176;9775;641;4175;57647;57696;83990;80119</t>
  </si>
  <si>
    <t>DDX39A;RECQL4;MCM4;MCM7;EIF4A3;BLM;MCM6;DHX37;DDX55;BRIP1;PIF1</t>
  </si>
  <si>
    <t>GO_3_5_DNA_HELICASE_ACTIVITY</t>
  </si>
  <si>
    <t>8318;9401;641;9837;84296;51659</t>
  </si>
  <si>
    <t>CDC45;RECQL4;BLM;GINS1;GINS4;GINS2</t>
  </si>
  <si>
    <t>http://www.broadinstitute.org/gsea/msigdb/cards/GO_3_5_DNA_HELICASE_ACTIVITY.html</t>
  </si>
  <si>
    <t>5111;5984;5982;2237;5985;5983;5557;5558;1763;675;5427;5888;5426;23649;580;80119;64858</t>
  </si>
  <si>
    <t>PCNA;RFC4;RFC2;FEN1;RFC5;RFC3;PRIM1;PRIM2;DNA2;BRCA2;POLE2;RAD51;POLE;POLA2;BARD1;PIF1;DCLRE1B</t>
  </si>
  <si>
    <t>1111;10721;7913;5888;2305;63979;10635;55010</t>
  </si>
  <si>
    <t>CHEK1;POLQ;DEK;RAD51;FOXM1;FIGNL1;RAD51AP1;PARPBP</t>
  </si>
  <si>
    <t>GO_RESPONSE_TO_UV</t>
  </si>
  <si>
    <t>1111;7398;5111;993;2237;4436;675;2956;9768;9212;55872;51514</t>
  </si>
  <si>
    <t>CHEK1;USP1;PCNA;CDC25A;FEN1;MSH2;BRCA2;MSH6;PCLAF;AURKB;PBK;DTL</t>
  </si>
  <si>
    <t>http://www.broadinstitute.org/gsea/msigdb/cards/GO_RESPONSE_TO_UV.html</t>
  </si>
  <si>
    <t>5717;11065;6790;5709;701;1515;7398;9232;983;200933;891;899;5902;5347;991;4085;6502;9928;27338;9212;29128;51512;51514;27339</t>
  </si>
  <si>
    <t>PSMD11;UBE2C;AURKA;PSMD3;BUB1B;CTSV;USP1;PTTG1;CDK1;FBXO45;CCNB1;CCNF;RANBP1;PLK1;CDC20;MAD2L1;SKP2;KIF14;UBE2S;AURKB;UHRF1;GTSE1;DTL;PRPF19</t>
  </si>
  <si>
    <t>10212;8562;10535;7298;7153;4691;1786;3148;5725;7913;4521;672;9775;4288;3068;4670;3838;10376;6733;10657;6749;1479;8683;2967;23076;3837;23518;1994;2146;64434;219988;57647;201299;57696;3066;8570;10635;84991;580;51203;55646;65003;11198</t>
  </si>
  <si>
    <t>DDX39A;DENR;RNASEH2A;TYMS;TOP2A;NCL;DNMT1;HMGB2;PTBP1;DEK;NUDT1;BRCA1;EIF4A3;MKI67;HDGF;HNRNPM;KPNA2;TUBA1B;SRPK2;KHDRBS1;SSRP1;CSTF3;SRSF9;GTF2H3;RRP1B;KPNB1;R3HDM1;ELAVL1;EZH2;NOM1;PATL1;DHX37;RDM1;DDX55;HDAC2;KHSRP;RAD51AP1;RBM17;BARD1;NUSAP1;LYAR;MRPL11;SUPT16H</t>
  </si>
  <si>
    <t>GO_HISTONE_PHOSPHORYLATION</t>
  </si>
  <si>
    <t>http://www.broadinstitute.org/gsea/msigdb/cards/GO_HISTONE_PHOSPHORYLATION.html</t>
  </si>
  <si>
    <t>5717;11065;5709;701;983;5111;891;6929;3148;5984;5982;5985;5983;4436;5902;4751;2956;5347;1062;991;4085;9928;6469;2146;27338;55635;9824;84722;128239;84904;80174;55789;23234;9125;9212;84930;80829;29128;990;79075;29127;1894;63967;10926;26271;22974</t>
  </si>
  <si>
    <t>PSMD11;UBE2C;PSMD3;BUB1B;CDK1;PCNA;CCNB1;TCF3;HMGB2;RFC4;RFC2;RFC5;RFC3;MSH2;RANBP1;NEK2;MSH6;PLK1;CENPE;CDC20;MAD2L1;KIF14;SHH;EZH2;UBE2S;DEPDC1;ARHGAP11A;PSRC1;IQGAP3;ARHGEF39;DBF4B;DEPDC1B;DNAJC9;CNOT9;AURKB;MASTL;ZFP91;UHRF1;CDC6;DSCC1;RACGAP1;ECT2;CLSPN;DBF4;FBXO5;TPX2</t>
  </si>
  <si>
    <t>10212;10403;3797;332;11130;24137;203068;891;10971;10105;9775;5902;1058;1063;675;3838;3832;1434;10376;1869;1062;9493;8683;23649;9700;3837;9928;9787;55165;55143;84722;81930;23165;113130;10615;11004;84790;55706;3833;79902;51203;29127;81610;56992</t>
  </si>
  <si>
    <t>DDX39A;NDC80;KIF3C;BIRC5;ZWINT;KIF4A;TUBB;CCNB1;YWHAQ;PPIF;EIF4A3;RANBP1;CENPA;CENPF;BRCA2;KPNA2;KIF11;CSE1L;TUBA1B;E2F1;CENPE;AC027237.1;SRSF9;POLA2;ESPL1;KPNB1;KIF14;DLGAP5;CEP55;CDCA8;PSRC1;KIF18A;NUP205;CDCA5;SPAG5;KIF2C;TUBA1C;NDC1;KIFC1;NUP85;NUSAP1;RACGAP1;FAM83D;KIF15</t>
  </si>
  <si>
    <t>GO_TRANSLESION_SYNTHESIS</t>
  </si>
  <si>
    <t>5111;5984;5982;5985;5983;5427;9768;51514</t>
  </si>
  <si>
    <t>PCNA;RFC4;RFC2;RFC5;RFC3;POLE2;PCLAF;DTL</t>
  </si>
  <si>
    <t>http://www.broadinstitute.org/gsea/msigdb/cards/GO_TRANSLESION_SYNTHESIS.html</t>
  </si>
  <si>
    <t>GO_ATTACHMENT_OF_SPINDLE_MICROTUBULES_TO_KINETOCHORE</t>
  </si>
  <si>
    <t>10403;675;1062;151648;57082;9212</t>
  </si>
  <si>
    <t>NDC80;BRCA2;CENPE;SGO1;KNL1;AURKB</t>
  </si>
  <si>
    <t>http://www.broadinstitute.org/gsea/msigdb/cards/GO_ATTACHMENT_OF_SPINDLE_MICROTUBULES_TO_KINETOCHORE.html</t>
  </si>
  <si>
    <t>11065;6790;701;9232;983;200933;891;5347;991;4085;9212;29128</t>
  </si>
  <si>
    <t>UBE2C;AURKA;BUB1B;PTTG1;CDK1;FBXO45;CCNB1;PLK1;CDC20;MAD2L1;AURKB;UHRF1</t>
  </si>
  <si>
    <t>GO_DNA_REPLICATION_CHECKPOINT</t>
  </si>
  <si>
    <t>8318;1763;90381;990;81620;63967</t>
  </si>
  <si>
    <t>CDC45;DNA2;TICRR;CDC6;CDT1;CLSPN</t>
  </si>
  <si>
    <t>http://www.broadinstitute.org/gsea/msigdb/cards/GO_DNA_REPLICATION_CHECKPOINT.html</t>
  </si>
  <si>
    <t>GO_ACTIVATION_OF_ANAPHASE_PROMOTING_COMPLEX_ACTIVITY</t>
  </si>
  <si>
    <t>11065;5347;991;27338;84930;26271</t>
  </si>
  <si>
    <t>UBE2C;PLK1;CDC20;UBE2S;MASTL;FBXO5</t>
  </si>
  <si>
    <t>http://www.broadinstitute.org/gsea/msigdb/cards/GO_ACTIVATION_OF_ANAPHASE_PROMOTING_COMPLEX_ACTIVITY.html</t>
  </si>
  <si>
    <t>GO_POSITIVE_REGULATION_OF_DNA_REPLICATION</t>
  </si>
  <si>
    <t>79733;8317;983;5111;1017;1763;4751;80174;144455;9212</t>
  </si>
  <si>
    <t>E2F8;CDC7;CDK1;PCNA;CDK2;DNA2;NEK2;DBF4B;E2F7;AURKB</t>
  </si>
  <si>
    <t>http://www.broadinstitute.org/gsea/msigdb/cards/GO_POSITIVE_REGULATION_OF_DNA_REPLICATION.html</t>
  </si>
  <si>
    <t>2189;2175;11339;8318;86;1017;9775;6878;4670;641;5888;6996;2967;9837;2146;253714;55656;219988;2187;201299;11073;3066;4796;84296;27339;51659</t>
  </si>
  <si>
    <t>FANCG;FANCA;OIP5;CDC45;ACTL6A;CDK2;EIF4A3;TAF6;HNRNPM;BLM;RAD51;TDG;GTF2H3;GINS1;EZH2;MMS22L;INTS8;PATL1;FANCB;RDM1;TOPBP1;HDAC2;TONSL;GINS4;PRPF19;GINS2</t>
  </si>
  <si>
    <t>8520;332;6839;86;7153;5111;672;675;641;6996;2146;55143;23165;9212;55706;79902;3619</t>
  </si>
  <si>
    <t>HAT1;BIRC5;SUV39H1;ACTL6A;TOP2A;PCNA;BRCA1;BRCA2;BLM;TDG;EZH2;CDCA8;NUP205;AURKB;NDC1;NUP85;INCENP</t>
  </si>
  <si>
    <t>10733;11065;6790;332;86;891;1786;10971;10105;672;5902;4751;5347;1869;9700;9787;84722;113130;9212;51203;54069;1789;26271</t>
  </si>
  <si>
    <t>PLK4;UBE2C;AURKA;BIRC5;ACTL6A;CCNB1;DNMT1;YWHAQ;PPIF;BRCA1;RANBP1;NEK2;PLK1;E2F1;ESPL1;DLGAP5;PSRC1;CDCA5;AURKB;NUSAP1;MIS18A;DNMT3B;FBXO5</t>
  </si>
  <si>
    <t>3797;332;9055;10112;24137;672;675;3832;5347;1062;9493;9928;84722;128239;146909;285753;81930;220134;80179;9585;11004;3833;51203;29127;81610;54443;56992;81624</t>
  </si>
  <si>
    <t>KIF3C;BIRC5;PRC1;KIF20A;KIF4A;BRCA1;BRCA2;KIF11;PLK1;CENPE;AC027237.1;KIF14;PSRC1;IQGAP3;KIF18B;CEP57L1;KIF18A;SKA1;MYO19;KIF20B;KIF2C;KIFC1;NUSAP1;RACGAP1;FAM83D;ANLN;KIF15;DIAPH3</t>
  </si>
  <si>
    <t>8317;1871;1111;2175;332;9055;1515;983;891;6929;890;1017;1786;3148;7272;672;6878;675;6733;1869;2305;991;6502;4998;9928;6469;2146;1033;128239;259266;79801;80174;57650;3066;144455;27085;9585;990;83990;8914</t>
  </si>
  <si>
    <t>CDC7;E2F3;CHEK1;FANCA;BIRC5;PRC1;CTSV;CDK1;CCNB1;TCF3;CCNA2;CDK2;DNMT1;HMGB2;TTK;BRCA1;TAF6;BRCA2;SRPK2;E2F1;FOXM1;CDC20;SKP2;ORC1;KIF14;SHH;EZH2;CDKN3;IQGAP3;ASPM;SHCBP1;DBF4B;CIP2A;HDAC2;E2F7;MTBP;KIF20B;CDC6;BRIP1;TIMELESS</t>
  </si>
  <si>
    <t>GO_ATP_DEPENDENT_MICROTUBULE_MOTOR_ACTIVITY</t>
  </si>
  <si>
    <t>24137;3832;9928;146909;81930;9585</t>
  </si>
  <si>
    <t>KIF4A;KIF11;KIF14;KIF18B;KIF18A;KIF20B</t>
  </si>
  <si>
    <t>http://www.broadinstitute.org/gsea/msigdb/cards/GO_ATP_DEPENDENT_MICROTUBULE_MOTOR_ACTIVITY.html</t>
  </si>
  <si>
    <t>GO_DEOXYRIBONUCLEASE_ACTIVITY</t>
  </si>
  <si>
    <t>7516;2237;1763;5888;348654;55247;146956;64858;9156</t>
  </si>
  <si>
    <t>XRCC2;FEN1;DNA2;RAD51;GEN1;NEIL3;EME1;DCLRE1B;EXO1</t>
  </si>
  <si>
    <t>http://www.broadinstitute.org/gsea/msigdb/cards/GO_DEOXYRIBONUCLEASE_ACTIVITY.html</t>
  </si>
  <si>
    <t>3797;1515;24137;3832;1062;9493;81930;11004;29127;56992</t>
  </si>
  <si>
    <t>KIF3C;CTSV;KIF4A;KIF11;CENPE;AC027237.1;KIF18A;KIF2C;RACGAP1;KIF15</t>
  </si>
  <si>
    <t>10733;284403;22995;1017;675;6491;163786</t>
  </si>
  <si>
    <t>PLK4;WDR62;CEP152;CDK2;BRCA2;STIL;SASS6</t>
  </si>
  <si>
    <t>GO_ENDODEOXYRIBONUCLEASE_ACTIVITY</t>
  </si>
  <si>
    <t>7516;2237;1763;5888;348654;55247;146956;9156</t>
  </si>
  <si>
    <t>XRCC2;FEN1;DNA2;RAD51;GEN1;NEIL3;EME1;EXO1</t>
  </si>
  <si>
    <t>http://www.broadinstitute.org/gsea/msigdb/cards/GO_ENDODEOXYRIBONUCLEASE_ACTIVITY.html</t>
  </si>
  <si>
    <t>GO_REGULATION_OF_DOUBLE_STRAND_BREAK_REPAIR_VIA_HOMOLOGOUS_RECOMBINATION</t>
  </si>
  <si>
    <t>1111;10721;5888;63979;10635;55010</t>
  </si>
  <si>
    <t>CHEK1;POLQ;RAD51;FIGNL1;RAD51AP1;PARPBP</t>
  </si>
  <si>
    <t>http://www.broadinstitute.org/gsea/msigdb/cards/GO_REGULATION_OF_DOUBLE_STRAND_BREAK_REPAIR_VIA_HOMOLOGOUS_RECOMBINATION.html</t>
  </si>
  <si>
    <t>GO_MITOTIC_G2_M_TRANSITION_CHECKPOINT</t>
  </si>
  <si>
    <t>983;890;641;90381;63967;55215</t>
  </si>
  <si>
    <t>CDK1;CCNA2;BLM;TICRR;CLSPN;FANCI</t>
  </si>
  <si>
    <t>http://www.broadinstitute.org/gsea/msigdb/cards/GO_MITOTIC_G2_M_TRANSITION_CHECKPOINT.html</t>
  </si>
  <si>
    <t>GO_ERROR_PRONE_TRANSLESION_SYNTHESIS</t>
  </si>
  <si>
    <t>5111;5984;5982;5985;5983;5427</t>
  </si>
  <si>
    <t>PCNA;RFC4;RFC2;RFC5;RFC3;POLE2</t>
  </si>
  <si>
    <t>http://www.broadinstitute.org/gsea/msigdb/cards/GO_ERROR_PRONE_TRANSLESION_SYNTHESIS.html</t>
  </si>
  <si>
    <t>9401;4173;4176;641;4175;83990;80119</t>
  </si>
  <si>
    <t>RECQL4;MCM4;MCM7;BLM;MCM6;BRIP1;PIF1</t>
  </si>
  <si>
    <t>8562;1515;6581;9133;983;7153;891;3148;5347;8208;3837;9928;146909;81930;23165;11004;55706;79902;63967;65003;11198</t>
  </si>
  <si>
    <t>DENR;CTSV;SLC22A3;CCNB2;CDK1;TOP2A;CCNB1;HMGB2;PLK1;CHAF1B;KPNB1;KIF14;KIF18B;KIF18A;NUP205;KIF2C;NDC1;NUP85;CLSPN;MRPL11;SUPT16H</t>
  </si>
  <si>
    <t>GO_POSITIVE_REGULATION_OF_CELLULAR_PROTEIN_CATABOLIC_PROCESS</t>
  </si>
  <si>
    <t>5717;11065;6790;5709;701;983;891;5347;991;4085;9700;9787;26271</t>
  </si>
  <si>
    <t>PSMD11;UBE2C;AURKA;PSMD3;BUB1B;CDK1;CCNB1;PLK1;CDC20;MAD2L1;ESPL1;DLGAP5;FBXO5</t>
  </si>
  <si>
    <t>http://www.broadinstitute.org/gsea/msigdb/cards/GO_POSITIVE_REGULATION_OF_CELLULAR_PROTEIN_CATABOLIC_PROCESS.html</t>
  </si>
  <si>
    <t>5717;11065;6790;5709;701;983;891;1786;7272;672;9775;5347;1062;10657;991;4085;6502;9700;9928;9787;1994;2146;27338;157313;84722;128239;80174;3066;84930;80829;29128;580;990;1894;63967;55215;1789;26271;22974</t>
  </si>
  <si>
    <t>PSMD11;UBE2C;AURKA;PSMD3;BUB1B;CDK1;CCNB1;DNMT1;TTK;BRCA1;EIF4A3;PLK1;CENPE;KHDRBS1;CDC20;MAD2L1;SKP2;ESPL1;KIF14;DLGAP5;ELAVL1;EZH2;UBE2S;CDCA2;PSRC1;IQGAP3;DBF4B;HDAC2;MASTL;ZFP91;UHRF1;BARD1;CDC6;ECT2;CLSPN;FANCI;DNMT3B;FBXO5;TPX2</t>
  </si>
  <si>
    <t>GO_POSITIVE_REGULATION_OF_CYTOKINESIS</t>
  </si>
  <si>
    <t>9493;9928;9212;9585;990;29127;1894</t>
  </si>
  <si>
    <t>AC027237.1;KIF14;AURKB;KIF20B;CDC6;RACGAP1;ECT2</t>
  </si>
  <si>
    <t>http://www.broadinstitute.org/gsea/msigdb/cards/GO_POSITIVE_REGULATION_OF_CYTOKINESIS.html</t>
  </si>
  <si>
    <t>GO_DEOXYRIBONUCLEOTIDE_METABOLIC_PROCESS</t>
  </si>
  <si>
    <t>7298;7374;1841;6240;6241;4521;6996</t>
  </si>
  <si>
    <t>TYMS;UNG;DTYMK;RRM1;RRM2;NUDT1;TDG</t>
  </si>
  <si>
    <t>http://www.broadinstitute.org/gsea/msigdb/cards/GO_DEOXYRIBONUCLEOTIDE_METABOLIC_PROCESS.html</t>
  </si>
  <si>
    <t>7398;5111;5984;5982;5985;5983;51514</t>
  </si>
  <si>
    <t>USP1;PCNA;RFC4;RFC2;RFC5;RFC3;DTL</t>
  </si>
  <si>
    <t>http://www.broadinstitute.org/gsea/msigdb/cards/GO_DNA_DAMAGE_RESPONSE_DETECTION_OF_DNA_DAMAGE.html</t>
  </si>
  <si>
    <t>GO_RETROGRADE_VESICLE_MEDIATED_TRANSPORT_GOLGI_TO_ER</t>
  </si>
  <si>
    <t>3797;24137;3832;1062;9493;81930;11004;29127;56992</t>
  </si>
  <si>
    <t>KIF3C;KIF4A;KIF11;CENPE;AC027237.1;KIF18A;KIF2C;RACGAP1;KIF15</t>
  </si>
  <si>
    <t>http://www.broadinstitute.org/gsea/msigdb/cards/GO_RETROGRADE_VESICLE_MEDIATED_TRANSPORT_GOLGI_TO_ER.html</t>
  </si>
  <si>
    <t>79733;440519;6839;7516;8318;86;3015;4605;5111;6929;1786;3148;4174;2237;4436;4171;2956;5888;6996;55388;55247;3066;144455;10635;29128;11004</t>
  </si>
  <si>
    <t>E2F8;ZNF724;SUV39H1;XRCC2;CDC45;ACTL6A;H2AFZ;MYBL2;PCNA;TCF3;DNMT1;HMGB2;MCM5;FEN1;MSH2;MCM2;MSH6;RAD51;TDG;MCM10;NEIL3;HDAC2;E2F7;RAD51AP1;UHRF1;KIF2C</t>
  </si>
  <si>
    <t>GO_REGULATION_OF_PROTEIN_UBIQUITINATION_INVOLVED_IN_UBIQUITIN_DEPENDENT_PROTEIN_CATABOLIC_PROCESS</t>
  </si>
  <si>
    <t>5717;11065;5709;701;983;891;5347;991;4085;26271</t>
  </si>
  <si>
    <t>PSMD11;UBE2C;PSMD3;BUB1B;CDK1;CCNB1;PLK1;CDC20;MAD2L1;FBXO5</t>
  </si>
  <si>
    <t>http://www.broadinstitute.org/gsea/msigdb/cards/GO_REGULATION_OF_PROTEIN_UBIQUITINATION_INVOLVED_IN_UBIQUITIN_DEPENDENT_PROTEIN_CATABOLIC_PROCESS.html</t>
  </si>
  <si>
    <t>5717;11065;6790;5709;701;1515;10535;7398;9232;983;200933;7374;891;3148;4521;9775;2237;899;5902;1763;5347;991;4085;6502;6996;3837;9928;27338;219988;9125;8570;9212;29128;51512;51514;27339</t>
  </si>
  <si>
    <t>PSMD11;UBE2C;AURKA;PSMD3;BUB1B;CTSV;RNASEH2A;USP1;PTTG1;CDK1;FBXO45;UNG;CCNB1;HMGB2;NUDT1;EIF4A3;FEN1;CCNF;RANBP1;DNA2;PLK1;CDC20;MAD2L1;SKP2;TDG;KPNB1;KIF14;UBE2S;PATL1;CNOT9;KHSRP;AURKB;UHRF1;GTSE1;DTL;PRPF19</t>
  </si>
  <si>
    <t>10403;1058;9700;3837;259266;10615;51203</t>
  </si>
  <si>
    <t>NDC80;CENPA;ESPL1;KPNB1;ASPM;SPAG5;NUSAP1</t>
  </si>
  <si>
    <t>GO_BASE_EXCISION_REPAIR</t>
  </si>
  <si>
    <t>10721;9401;7374;1763;5426;6996;55247</t>
  </si>
  <si>
    <t>POLQ;RECQL4;UNG;DNA2;POLE;TDG;NEIL3</t>
  </si>
  <si>
    <t>http://www.broadinstitute.org/gsea/msigdb/cards/GO_BASE_EXCISION_REPAIR.html</t>
  </si>
  <si>
    <t>GO_INNER_CELL_MASS_CELL_PROLIFERATION</t>
  </si>
  <si>
    <t>675;9837;54892;84296;27339</t>
  </si>
  <si>
    <t>BRCA2;GINS1;NCAPG2;GINS4;PRPF19</t>
  </si>
  <si>
    <t>http://www.broadinstitute.org/gsea/msigdb/cards/GO_INNER_CELL_MASS_CELL_PROLIFERATION.html</t>
  </si>
  <si>
    <t>5717;8317;10733;1111;6790;5496;332;5709;699;701;7083;7298;983;7374;891;1503;1841;6240;898;1017;790;993;995;6241;7272;4521;4436;8833;4751;5347;6733;6996;2967;9833;9787;1033;63979;128239;7444;115004;83903;9212;84930;55872;9088;63967</t>
  </si>
  <si>
    <t>PSMD11;CDC7;PLK4;CHEK1;AURKA;PPM1G;BIRC5;PSMD3;BUB1;BUB1B;TK1;TYMS;CDK1;UNG;CCNB1;CTPS1;DTYMK;RRM1;CCNE1;CDK2;CAD;CDC25A;CDC25C;RRM2;TTK;NUDT1;MSH2;GMPS;NEK2;PLK1;SRPK2;TDG;GTF2H3;MELK;DLGAP5;CDKN3;FIGNL1;IQGAP3;VRK2;CGAS;HASPIN;AURKB;MASTL;PBK;PKMYT1;CLSPN</t>
  </si>
  <si>
    <t>GO_RECIPROCAL_DNA_RECOMBINATION</t>
  </si>
  <si>
    <t>7516;7153;4436;2956;5888;9319;25788</t>
  </si>
  <si>
    <t>XRCC2;TOP2A;MSH2;MSH6;RAD51;TRIP13;RAD54B</t>
  </si>
  <si>
    <t>http://www.broadinstitute.org/gsea/msigdb/cards/GO_RECIPROCAL_DNA_RECOMBINATION.html</t>
  </si>
  <si>
    <t>10403;3797;891;5902;1058;675;3838;1434;1062;9493;23649;9700;3837;9928;9787;55165;55143;84722;259266;81930;23165;113130;10615;11004;55706;3833;79902;51203</t>
  </si>
  <si>
    <t>NDC80;KIF3C;CCNB1;RANBP1;CENPA;BRCA2;KPNA2;CSE1L;CENPE;AC027237.1;POLA2;ESPL1;KPNB1;KIF14;DLGAP5;CEP55;CDCA8;PSRC1;ASPM;KIF18A;NUP205;CDCA5;SPAG5;KIF2C;NDC1;KIFC1;NUP85;NUSAP1</t>
  </si>
  <si>
    <t>5111;675;641;5888;253714;4796</t>
  </si>
  <si>
    <t>PCNA;BRCA2;BLM;RAD51;MMS22L;TONSL</t>
  </si>
  <si>
    <t>GO_NUCLEOTIDE_EXCISION_REPAIR_DNA_GAP_FILLING</t>
  </si>
  <si>
    <t>5111;5984;5982;5985;5983;5426</t>
  </si>
  <si>
    <t>PCNA;RFC4;RFC2;RFC5;RFC3;POLE</t>
  </si>
  <si>
    <t>http://www.broadinstitute.org/gsea/msigdb/cards/GO_NUCLEOTIDE_EXCISION_REPAIR_DNA_GAP_FILLING.html</t>
  </si>
  <si>
    <t>6790;7083;7298;983;3015;890;898;1017;1786;790;672;675;641;5888;2146;3066;1789</t>
  </si>
  <si>
    <t>AURKA;TK1;TYMS;CDK1;H2AFZ;CCNA2;CCNE1;CDK2;DNMT1;CAD;BRCA1;BRCA2;BLM;RAD51;EZH2;HDAC2;DNMT3B</t>
  </si>
  <si>
    <t>8317;10733;1111;6790;699;701;9133;983;891;1017;790;7272;4751;5347;6733;2967;9833;7444;83903;9212;84930;55872;9088</t>
  </si>
  <si>
    <t>CDC7;PLK4;CHEK1;AURKA;BUB1;BUB1B;CCNB2;CDK1;CCNB1;CDK2;CAD;TTK;NEK2;PLK1;SRPK2;GTF2H3;MELK;VRK2;HASPIN;AURKB;MASTL;PBK;PKMYT1</t>
  </si>
  <si>
    <t>GO_CELL_CYCLE_DNA_REPLICATION</t>
  </si>
  <si>
    <t>8318;5111;1763;9837;51659</t>
  </si>
  <si>
    <t>CDC45;PCNA;DNA2;GINS1;GINS2</t>
  </si>
  <si>
    <t>http://www.broadinstitute.org/gsea/msigdb/cards/GO_CELL_CYCLE_DNA_REPLICATION.html</t>
  </si>
  <si>
    <t>GO_POSITIVE_REGULATION_OF_DNA_DEPENDENT_DNA_REPLICATION</t>
  </si>
  <si>
    <t>79733;8317;1017;80174;144455</t>
  </si>
  <si>
    <t>E2F8;CDC7;CDK2;DBF4B;E2F7</t>
  </si>
  <si>
    <t>http://www.broadinstitute.org/gsea/msigdb/cards/GO_POSITIVE_REGULATION_OF_DNA_DEPENDENT_DNA_REPLICATION.html</t>
  </si>
  <si>
    <t>2189;1515;9232;891;4691;3148;995;4436;675;1869;9319;259266;57082;57650;55706;3833;2177;29127;81624;55723;26271;9633</t>
  </si>
  <si>
    <t>FANCG;CTSV;PTTG1;CCNB1;NCL;HMGB2;CDC25C;MSH2;BRCA2;E2F1;TRIP13;ASPM;KNL1;CIP2A;NDC1;KIFC1;FANCD2;RACGAP1;DIAPH3;ASF1B;FBXO5;TESMIN</t>
  </si>
  <si>
    <t>GO_NUCLEOTIDE_EXCISION_REPAIR</t>
  </si>
  <si>
    <t>5111;5984;5982;5985;5983;675;5426;2967;55247;27339</t>
  </si>
  <si>
    <t>PCNA;RFC4;RFC2;RFC5;RFC3;BRCA2;POLE;GTF2H3;NEIL3;PRPF19</t>
  </si>
  <si>
    <t>http://www.broadinstitute.org/gsea/msigdb/cards/GO_NUCLEOTIDE_EXCISION_REPAIR.html</t>
  </si>
  <si>
    <t>GO_NEGATIVE_REGULATION_OF_CELL_CYCLE_G2_M_PHASE_TRANSITION</t>
  </si>
  <si>
    <t>http://www.broadinstitute.org/gsea/msigdb/cards/GO_NEGATIVE_REGULATION_OF_CELL_CYCLE_G2_M_PHASE_TRANSITION.html</t>
  </si>
  <si>
    <t>GO_POSITIVE_REGULATION_OF_CHROMOSOME_SEGREGATION</t>
  </si>
  <si>
    <t>891;5347;9700;9787;990;26271</t>
  </si>
  <si>
    <t>CCNB1;PLK1;ESPL1;DLGAP5;CDC6;FBXO5</t>
  </si>
  <si>
    <t>http://www.broadinstitute.org/gsea/msigdb/cards/GO_POSITIVE_REGULATION_OF_CHROMOSOME_SEGREGATION.html</t>
  </si>
  <si>
    <t>GO_SOMATIC_DIVERSIFICATION_OF_IMMUNE_RECEPTORS</t>
  </si>
  <si>
    <t>10721;7374;6929;3148;4436;2956;9156</t>
  </si>
  <si>
    <t>POLQ;UNG;TCF3;HMGB2;MSH2;MSH6;EXO1</t>
  </si>
  <si>
    <t>http://www.broadinstitute.org/gsea/msigdb/cards/GO_SOMATIC_DIVERSIFICATION_OF_IMMUNE_RECEPTORS.html</t>
  </si>
  <si>
    <t>79733;8520;332;6839;3015;891;6929;1786;3148;5725;10971;5933;672;9775;1063;3068;5347;1869;10657;2305;8683;6996;6469;2146;55635;128239;9125;23165;3066;144455;9212;29128;580;55706;79902;3070;1789;8914</t>
  </si>
  <si>
    <t>E2F8;HAT1;BIRC5;SUV39H1;H2AFZ;CCNB1;TCF3;DNMT1;HMGB2;PTBP1;YWHAQ;RBL1;BRCA1;EIF4A3;CENPF;HDGF;PLK1;E2F1;KHDRBS1;FOXM1;SRSF9;TDG;SHH;EZH2;DEPDC1;IQGAP3;CNOT9;NUP205;HDAC2;E2F7;AURKB;UHRF1;BARD1;NDC1;NUP85;HELLS;DNMT3B;TIMELESS</t>
  </si>
  <si>
    <t>5717;3797;5709;1515;24137;3832;1062;9493;81930;11004;29127;56992</t>
  </si>
  <si>
    <t>PSMD11;KIF3C;PSMD3;CTSV;KIF4A;KIF11;CENPE;AC027237.1;KIF18A;KIF2C;RACGAP1;KIF15</t>
  </si>
  <si>
    <t>GO_NEGATIVE_REGULATION_OF_CELLULAR_PROTEIN_CATABOLIC_PROCESS</t>
  </si>
  <si>
    <t>699;701;7272;1063;5347;4085;6469;55872</t>
  </si>
  <si>
    <t>BUB1;BUB1B;TTK;CENPF;PLK1;MAD2L1;SHH;PBK</t>
  </si>
  <si>
    <t>http://www.broadinstitute.org/gsea/msigdb/cards/GO_NEGATIVE_REGULATION_OF_CELLULAR_PROTEIN_CATABOLIC_PROCESS.html</t>
  </si>
  <si>
    <t>GO_CHROMOCENTER</t>
  </si>
  <si>
    <t>11339;55143;157570;9212;3619</t>
  </si>
  <si>
    <t>OIP5;CDCA8;ESCO2;AURKB;INCENP</t>
  </si>
  <si>
    <t>http://www.broadinstitute.org/gsea/msigdb/cards/GO_CHROMOCENTER.html</t>
  </si>
  <si>
    <t>8317;1871;332;9055;983;891;6929;890;1017;3148;7272;6733;1869;2305;991;6502;4998;9928;6469;128239;259266;80174;57650;3066;9585;990</t>
  </si>
  <si>
    <t>CDC7;E2F3;BIRC5;PRC1;CDK1;CCNB1;TCF3;CCNA2;CDK2;HMGB2;TTK;SRPK2;E2F1;FOXM1;CDC20;SKP2;ORC1;KIF14;SHH;IQGAP3;ASPM;DBF4B;CIP2A;HDAC2;KIF20B;CDC6</t>
  </si>
  <si>
    <t>2189;1515;9232;7083;891;4691;898;3148;995;4436;675;1869;9319;259266;57082;57650;2491;55706;3833;2177;29127;81624;55723;26271;9633</t>
  </si>
  <si>
    <t>FANCG;CTSV;PTTG1;TK1;CCNB1;NCL;CCNE1;HMGB2;CDC25C;MSH2;BRCA2;E2F1;TRIP13;ASPM;KNL1;CIP2A;CENPI;NDC1;KIFC1;FANCD2;RACGAP1;DIAPH3;ASF1B;FBXO5;TESMIN</t>
  </si>
  <si>
    <t>9133;983;891;5347;23165;55706;79902</t>
  </si>
  <si>
    <t>CCNB2;CDK1;CCNB1;PLK1;NUP205;NDC1;NUP85</t>
  </si>
  <si>
    <t>5717;8317;10733;1111;6790;332;5709;699;701;983;891;898;1017;790;7272;4751;5347;6733;2967;9833;128239;7444;83903;9212;84930;55872;9088;63967</t>
  </si>
  <si>
    <t>PSMD11;CDC7;PLK4;CHEK1;AURKA;BIRC5;PSMD3;BUB1;BUB1B;CDK1;CCNB1;CCNE1;CDK2;CAD;TTK;NEK2;PLK1;SRPK2;GTF2H3;MELK;IQGAP3;VRK2;HASPIN;AURKB;MASTL;PBK;PKMYT1;CLSPN</t>
  </si>
  <si>
    <t>GO_POSITIVE_REGULATION_OF_PROTEIN_CATABOLIC_PROCESS</t>
  </si>
  <si>
    <t>5717;11065;6790;5709;701;983;891;5347;991;4085;9700;9787;580;26271</t>
  </si>
  <si>
    <t>PSMD11;UBE2C;AURKA;PSMD3;BUB1B;CDK1;CCNB1;PLK1;CDC20;MAD2L1;ESPL1;DLGAP5;BARD1;FBXO5</t>
  </si>
  <si>
    <t>http://www.broadinstitute.org/gsea/msigdb/cards/GO_POSITIVE_REGULATION_OF_PROTEIN_CATABOLIC_PROCESS.html</t>
  </si>
  <si>
    <t>GO_SOMATIC_DIVERSIFICATION_OF_IMMUNOGLOBULINS</t>
  </si>
  <si>
    <t>10721;7374;6929;4436;2956;9156</t>
  </si>
  <si>
    <t>POLQ;UNG;TCF3;MSH2;MSH6;EXO1</t>
  </si>
  <si>
    <t>http://www.broadinstitute.org/gsea/msigdb/cards/GO_SOMATIC_DIVERSIFICATION_OF_IMMUNOGLOBULINS.html</t>
  </si>
  <si>
    <t>GO_SOMATIC_DIVERSIFICATION_OF_IMMUNE_RECEPTORS_VIA_SOMATIC_MUTATION</t>
  </si>
  <si>
    <t>10721;7374;4436;2956;9156</t>
  </si>
  <si>
    <t>POLQ;UNG;MSH2;MSH6;EXO1</t>
  </si>
  <si>
    <t>http://www.broadinstitute.org/gsea/msigdb/cards/GO_SOMATIC_DIVERSIFICATION_OF_IMMUNE_RECEPTORS_VIA_SOMATIC_MUTATION.html</t>
  </si>
  <si>
    <t>GO_PERICENTRIC_HETEROCHROMATIN</t>
  </si>
  <si>
    <t>1786;23310;157570;3619;3070</t>
  </si>
  <si>
    <t>DNMT1;NCAPD3;ESCO2;INCENP;HELLS</t>
  </si>
  <si>
    <t>http://www.broadinstitute.org/gsea/msigdb/cards/GO_PERICENTRIC_HETEROCHROMATIN.html</t>
  </si>
  <si>
    <t>GO_FOUR_WAY_JUNCTION_DNA_BINDING</t>
  </si>
  <si>
    <t>7516;3148;4436;2956;5888</t>
  </si>
  <si>
    <t>XRCC2;HMGB2;MSH2;MSH6;RAD51</t>
  </si>
  <si>
    <t>http://www.broadinstitute.org/gsea/msigdb/cards/GO_FOUR_WAY_JUNCTION_DNA_BINDING.html</t>
  </si>
  <si>
    <t>GO_HOMOLOGOUS_CHROMOSOME_SEGREGATION</t>
  </si>
  <si>
    <t>9232;675;5347;9700;9319;55706;2177</t>
  </si>
  <si>
    <t>PTTG1;BRCA2;PLK1;ESPL1;TRIP13;NDC1;FANCD2</t>
  </si>
  <si>
    <t>http://www.broadinstitute.org/gsea/msigdb/cards/GO_HOMOLOGOUS_CHROMOSOME_SEGREGATION.html</t>
  </si>
  <si>
    <t>8317;10733;1111;6790;699;701;9133;7083;983;891;1841;898;1017;790;7272;4751;5347;6733;2967;9833;7444;83903;9212;84930;55872;9088</t>
  </si>
  <si>
    <t>CDC7;PLK4;CHEK1;AURKA;BUB1;BUB1B;CCNB2;TK1;CDK1;CCNB1;DTYMK;CCNE1;CDK2;CAD;TTK;NEK2;PLK1;SRPK2;GTF2H3;MELK;VRK2;HASPIN;AURKB;MASTL;PBK;PKMYT1</t>
  </si>
  <si>
    <t>1111;8520;6839;3015;1786;7913;672;6996;2146;29028;3066;3070;1789</t>
  </si>
  <si>
    <t>CHEK1;HAT1;SUV39H1;H2AFZ;DNMT1;DEK;BRCA1;TDG;EZH2;ATAD2;HDAC2;HELLS;DNMT3B</t>
  </si>
  <si>
    <t>79733;8317;1871;1111;983;3015;4605;7153;5111;6929;4691;890;898;1017;3148;5933;5984;5982;672;9775;5985;5983;1763;675;4751;641;1869;10657;2305;6469;1994;84722;29028;80174;26586;3066;144455;9212;29128;79075;79902;11198</t>
  </si>
  <si>
    <t>E2F8;CDC7;E2F3;CHEK1;CDK1;H2AFZ;MYBL2;TOP2A;PCNA;TCF3;NCL;CCNA2;CCNE1;CDK2;HMGB2;RBL1;RFC4;RFC2;BRCA1;EIF4A3;RFC5;RFC3;DNA2;BRCA2;NEK2;BLM;E2F1;KHDRBS1;FOXM1;SHH;ELAVL1;PSRC1;ATAD2;DBF4B;CKAP2;HDAC2;E2F7;AURKB;UHRF1;DSCC1;NUP85;SUPT16H</t>
  </si>
  <si>
    <t>GO_MALE_GAMETE_GENERATION</t>
  </si>
  <si>
    <t>2189;1515;9232;891;4691;3148;995;675;1869;9319;259266;57082;57650;55706;3833;29127;81624;55723;9633</t>
  </si>
  <si>
    <t>FANCG;CTSV;PTTG1;CCNB1;NCL;HMGB2;CDC25C;BRCA2;E2F1;TRIP13;ASPM;KNL1;CIP2A;NDC1;KIFC1;RACGAP1;DIAPH3;ASF1B;TESMIN</t>
  </si>
  <si>
    <t>http://www.broadinstitute.org/gsea/msigdb/cards/GO_MALE_GAMETE_GENERATION.html</t>
  </si>
  <si>
    <t>8520;24137;4001;790;1063;4670;641;387103;29128</t>
  </si>
  <si>
    <t>HAT1;KIF4A;LMNB1;CAD;CENPF;HNRNPM;BLM;CENPW;UHRF1</t>
  </si>
  <si>
    <t>11065;9134;983;891;890;898;5933;993;995;10105;7272;4176;5347;641;1163;1062;5888;2305;23076;9928;2146;1033;157313;84722;128239;7444;80174;57082;3066;84930;80829;55872;9088;580;990;81610;1894;63967;22974</t>
  </si>
  <si>
    <t>UBE2C;CCNE2;CDK1;CCNB1;CCNA2;CCNE1;RBL1;CDC25A;CDC25C;PPIF;TTK;MCM7;PLK1;BLM;CKS1B;CENPE;RAD51;FOXM1;RRP1B;KIF14;EZH2;CDKN3;CDCA2;PSRC1;IQGAP3;VRK2;DBF4B;KNL1;HDAC2;MASTL;ZFP91;PBK;PKMYT1;BARD1;CDC6;FAM83D;ECT2;CLSPN;TPX2</t>
  </si>
  <si>
    <t>5717;11065;5709;701;983;891;1786;7272;672;5347;1062;991;4085;6502;9928;2146;27338;157313;84722;128239;80174;3066;84930;80829;990;1894;63967;55215;1789;26271;22974</t>
  </si>
  <si>
    <t>PSMD11;UBE2C;PSMD3;BUB1B;CDK1;CCNB1;DNMT1;TTK;BRCA1;PLK1;CENPE;CDC20;MAD2L1;SKP2;KIF14;EZH2;UBE2S;CDCA2;PSRC1;IQGAP3;DBF4B;HDAC2;MASTL;ZFP91;CDC6;ECT2;CLSPN;FANCI;DNMT3B;FBXO5;TPX2</t>
  </si>
  <si>
    <t>GO_NEGATIVE_REGULATION_OF_DNA_RECOMBINATION</t>
  </si>
  <si>
    <t>10721;4436;2956;641;55010</t>
  </si>
  <si>
    <t>POLQ;MSH2;MSH6;BLM;PARPBP</t>
  </si>
  <si>
    <t>http://www.broadinstitute.org/gsea/msigdb/cards/GO_NEGATIVE_REGULATION_OF_DNA_RECOMBINATION.html</t>
  </si>
  <si>
    <t>GO_REGULATION_OF_EXIT_FROM_MITOSIS</t>
  </si>
  <si>
    <t>11065;332;9735;113130;54443</t>
  </si>
  <si>
    <t>UBE2C;BIRC5;KNTC1;CDCA5;ANLN</t>
  </si>
  <si>
    <t>http://www.broadinstitute.org/gsea/msigdb/cards/GO_REGULATION_OF_EXIT_FROM_MITOSIS.html</t>
  </si>
  <si>
    <t>GO_MISMATCH_REPAIR</t>
  </si>
  <si>
    <t>10535;5111;4436;2956;6996;9156</t>
  </si>
  <si>
    <t>RNASEH2A;PCNA;MSH2;MSH6;TDG;EXO1</t>
  </si>
  <si>
    <t>http://www.broadinstitute.org/gsea/msigdb/cards/GO_MISMATCH_REPAIR.html</t>
  </si>
  <si>
    <t>5717;11065;332;5709;699;701;9232;1471;983;891;1017;1786;7272;672;9775;1063;5347;2305;991;4085;23076;6469;57082;9125;3066;84930;55872;9088;1789;26271</t>
  </si>
  <si>
    <t>PSMD11;UBE2C;BIRC5;PSMD3;BUB1;BUB1B;PTTG1;CST3;CDK1;CCNB1;CDK2;DNMT1;TTK;BRCA1;EIF4A3;CENPF;PLK1;FOXM1;CDC20;MAD2L1;RRP1B;SHH;KNL1;CNOT9;HDAC2;MASTL;PBK;PKMYT1;DNMT3B;FBXO5</t>
  </si>
  <si>
    <t>GO_BLASTOCYST_GROWTH</t>
  </si>
  <si>
    <t>http://www.broadinstitute.org/gsea/msigdb/cards/GO_BLASTOCYST_GROWTH.html</t>
  </si>
  <si>
    <t>11065;701;86;898;1017;4172;672;899;6878;1763;5427;5426;991;6502;2967;23649;2146;27338;23590;55656;3066;580;51514</t>
  </si>
  <si>
    <t>UBE2C;BUB1B;ACTL6A;CCNE1;CDK2;MCM3;BRCA1;CCNF;TAF6;DNA2;POLE2;POLE;CDC20;SKP2;GTF2H3;POLA2;EZH2;UBE2S;PDSS1;INTS8;HDAC2;BARD1;DTL</t>
  </si>
  <si>
    <t>79733;10733;2189;2175;1515;891;6240;898;3148;899;4436;675;6469;9319;259266;57082;81930;9125;2491;144455;26271</t>
  </si>
  <si>
    <t>E2F8;PLK4;FANCG;FANCA;CTSV;CCNB1;RRM1;CCNE1;HMGB2;CCNF;MSH2;BRCA2;SHH;TRIP13;ASPM;KNL1;KIF18A;CNOT9;CENPI;E2F7;FBXO5</t>
  </si>
  <si>
    <t>86;983;891;10971;672;4751;4670;5347;1869;6469;113130;4796;9585;10615;580;29127;1894;54069;51512;90417</t>
  </si>
  <si>
    <t>ACTL6A;CDK1;CCNB1;YWHAQ;BRCA1;NEK2;HNRNPM;PLK1;E2F1;SHH;CDCA5;TONSL;KIF20B;SPAG5;BARD1;RACGAP1;ECT2;MIS18A;GTSE1;KNSTRN</t>
  </si>
  <si>
    <t>7374;6929;3148;4436;2956;9156</t>
  </si>
  <si>
    <t>UNG;TCF3;HMGB2;MSH2;MSH6;EXO1</t>
  </si>
  <si>
    <t>79733;10733;7516;9133;7083;891;672;9775;4436;675;4751;9837;6469;6491;79682;54892;144455;9585;84296;27339</t>
  </si>
  <si>
    <t>E2F8;PLK4;XRCC2;CCNB2;TK1;CCNB1;BRCA1;EIF4A3;MSH2;BRCA2;NEK2;GINS1;SHH;STIL;CENPU;NCAPG2;E2F7;KIF20B;GINS4;PRPF19</t>
  </si>
  <si>
    <t>9133;983;891;3148;5347;6733;55165;23165;55706;79902</t>
  </si>
  <si>
    <t>CCNB2;CDK1;CCNB1;HMGB2;PLK1;SRPK2;CEP55;NUP205;NDC1;NUP85</t>
  </si>
  <si>
    <t>GO_REGULATION_OF_PROTEOLYSIS</t>
  </si>
  <si>
    <t>5717;11065;6790;332;5709;699;701;9232;1471;983;891;7272;1063;5347;991;4085;9700;9787;6469;348654;3066;55872;26271</t>
  </si>
  <si>
    <t>PSMD11;UBE2C;AURKA;BIRC5;PSMD3;BUB1;BUB1B;PTTG1;CST3;CDK1;CCNB1;TTK;CENPF;PLK1;CDC20;MAD2L1;ESPL1;DLGAP5;SHH;GEN1;HDAC2;PBK;FBXO5</t>
  </si>
  <si>
    <t>http://www.broadinstitute.org/gsea/msigdb/cards/GO_REGULATION_OF_PROTEOLYSIS.html</t>
  </si>
  <si>
    <t>GO_REGULATION_OF_UBIQUITIN_PROTEIN_LIGASE_ACTIVITY</t>
  </si>
  <si>
    <t>891;5347;4085;348654;26271</t>
  </si>
  <si>
    <t>CCNB1;PLK1;MAD2L1;GEN1;FBXO5</t>
  </si>
  <si>
    <t>http://www.broadinstitute.org/gsea/msigdb/cards/GO_REGULATION_OF_UBIQUITIN_PROTEIN_LIGASE_ACTIVITY.html</t>
  </si>
  <si>
    <t>GO_CELLULAR_RESPONSE_TO_RADIATION</t>
  </si>
  <si>
    <t>1111;5111;993;641;5888;63979;10635;9212;55872;1894</t>
  </si>
  <si>
    <t>CHEK1;PCNA;CDC25A;BLM;RAD51;FIGNL1;RAD51AP1;AURKB;PBK;ECT2</t>
  </si>
  <si>
    <t>http://www.broadinstitute.org/gsea/msigdb/cards/GO_CELLULAR_RESPONSE_TO_RADIATION.html</t>
  </si>
  <si>
    <t>23306;203068;4001;6240;7112;5902;1063;3838;1434;84823;4085;3837;23165;55706;79902;83990;51514</t>
  </si>
  <si>
    <t>NEMP1;TUBB;LMNB1;RRM1;TMPO;RANBP1;CENPF;KPNA2;CSE1L;LMNB2;MAD2L1;KPNB1;NUP205;NDC1;NUP85;BRIP1;DTL</t>
  </si>
  <si>
    <t>GO_PYRIMIDINE_CONTAINING_COMPOUND_METABOLIC_PROCESS</t>
  </si>
  <si>
    <t>7083;7298;7374;1503;1841;6240;790;6996</t>
  </si>
  <si>
    <t>TK1;TYMS;UNG;CTPS1;DTYMK;RRM1;CAD;TDG</t>
  </si>
  <si>
    <t>http://www.broadinstitute.org/gsea/msigdb/cards/GO_PYRIMIDINE_CONTAINING_COMPOUND_METABOLIC_PROCESS.html</t>
  </si>
  <si>
    <t>10212;7298;7153;4691;3148;5725;7913;9775;4288;3068;4670;3838;6733;10657;6749;1479;8683;23076;3837;23518;1994;64434;219988;57647;57696;3066;8570;51203;55646;65003;11198</t>
  </si>
  <si>
    <t>DDX39A;TYMS;TOP2A;NCL;HMGB2;PTBP1;DEK;EIF4A3;MKI67;HDGF;HNRNPM;KPNA2;SRPK2;KHDRBS1;SSRP1;CSTF3;SRSF9;RRP1B;KPNB1;R3HDM1;ELAVL1;NOM1;PATL1;DHX37;DDX55;HDAC2;KHSRP;NUSAP1;LYAR;MRPL11;SUPT16H</t>
  </si>
  <si>
    <t>GO_NEGATIVE_REGULATION_OF_PROTEIN_MODIFICATION_BY_SMALL_PROTEIN_CONJUGATION_OR_REMOVAL</t>
  </si>
  <si>
    <t>5717;11065;5709;701;983;891;1017;991;4085;26271</t>
  </si>
  <si>
    <t>PSMD11;UBE2C;PSMD3;BUB1B;CDK1;CCNB1;CDK2;CDC20;MAD2L1;FBXO5</t>
  </si>
  <si>
    <t>http://www.broadinstitute.org/gsea/msigdb/cards/GO_NEGATIVE_REGULATION_OF_PROTEIN_MODIFICATION_BY_SMALL_PROTEIN_CONJUGATION_OR_REMOVAL.html</t>
  </si>
  <si>
    <t>5717;11065;5709;701;983;891;1017;1786;672;5347;2305;991;4085;23076;57082;3066;84930;55872;9088;1789;26271</t>
  </si>
  <si>
    <t>PSMD11;UBE2C;PSMD3;BUB1B;CDK1;CCNB1;CDK2;DNMT1;BRCA1;PLK1;FOXM1;CDC20;MAD2L1;RRP1B;KNL1;HDAC2;MASTL;PBK;PKMYT1;DNMT3B;FBXO5</t>
  </si>
  <si>
    <t>11065;9134;983;890;898;5933;993;995;5347;641;1163;1062;9928;2146;1033;84722;128239;80174;80829;9088;990;1894;63967;22974</t>
  </si>
  <si>
    <t>UBE2C;CCNE2;CDK1;CCNA2;CCNE1;RBL1;CDC25A;CDC25C;PLK1;BLM;CKS1B;CENPE;KIF14;EZH2;CDKN3;PSRC1;IQGAP3;DBF4B;ZFP91;PKMYT1;CDC6;ECT2;CLSPN;TPX2</t>
  </si>
  <si>
    <t>GO_NEGATIVE_REGULATION_OF_PROTEIN_CATABOLIC_PROCESS</t>
  </si>
  <si>
    <t>699;701;1471;7272;1063;5347;4085;6469;55872</t>
  </si>
  <si>
    <t>BUB1;BUB1B;CST3;TTK;CENPF;PLK1;MAD2L1;SHH;PBK</t>
  </si>
  <si>
    <t>http://www.broadinstitute.org/gsea/msigdb/cards/GO_NEGATIVE_REGULATION_OF_PROTEIN_CATABOLIC_PROCESS.html</t>
  </si>
  <si>
    <t>GO_ERROR_FREE_TRANSLESION_SYNTHESIS</t>
  </si>
  <si>
    <t>5111;5984;5982;5985;5983</t>
  </si>
  <si>
    <t>PCNA;RFC4;RFC2;RFC5;RFC3</t>
  </si>
  <si>
    <t>http://www.broadinstitute.org/gsea/msigdb/cards/GO_ERROR_FREE_TRANSLESION_SYNTHESIS.html</t>
  </si>
  <si>
    <t>GO_CYTOPLASMIC_MICROTUBULE</t>
  </si>
  <si>
    <t>332;7283;10376;146909;26586;11004;51512</t>
  </si>
  <si>
    <t>BIRC5;TUBG1;TUBA1B;KIF18B;CKAP2;KIF2C;GTSE1</t>
  </si>
  <si>
    <t>http://www.broadinstitute.org/gsea/msigdb/cards/GO_CYTOPLASMIC_MICROTUBULE.html</t>
  </si>
  <si>
    <t>2189;1515;9232;983;891;4691;3148;995;4436;675;1869;9319;259266;57082;57650;55706;3833;2177;29127;81624;55723;26271;9633</t>
  </si>
  <si>
    <t>FANCG;CTSV;PTTG1;CDK1;CCNB1;NCL;HMGB2;CDC25C;MSH2;BRCA2;E2F1;TRIP13;ASPM;KNL1;CIP2A;NDC1;KIFC1;FANCD2;RACGAP1;DIAPH3;ASF1B;FBXO5;TESMIN</t>
  </si>
  <si>
    <t>GO_ORGAN_REGENERATION</t>
  </si>
  <si>
    <t>7298;983;4691;890;898;1017;790;4288</t>
  </si>
  <si>
    <t>TYMS;CDK1;NCL;CCNA2;CCNE1;CDK2;CAD;MKI67</t>
  </si>
  <si>
    <t>http://www.broadinstitute.org/gsea/msigdb/cards/GO_ORGAN_REGENERATION.html</t>
  </si>
  <si>
    <t>5717;11065;6790;5709;699;701;86;1471;983;891;7272;1063;5347;991;4085;9700;9787;6469;348654;55872;580;81610;26271</t>
  </si>
  <si>
    <t>PSMD11;UBE2C;AURKA;PSMD3;BUB1;BUB1B;ACTL6A;CST3;CDK1;CCNB1;TTK;CENPF;PLK1;CDC20;MAD2L1;ESPL1;DLGAP5;SHH;GEN1;PBK;BARD1;FAM83D;FBXO5</t>
  </si>
  <si>
    <t>GO_CHROMOSOME_SEPARATION</t>
  </si>
  <si>
    <t>7153;7272;23310;9700;9918</t>
  </si>
  <si>
    <t>TOP2A;TTK;NCAPD3;ESPL1;NCAPD2</t>
  </si>
  <si>
    <t>http://www.broadinstitute.org/gsea/msigdb/cards/GO_CHROMOSOME_SEPARATION.html</t>
  </si>
  <si>
    <t>GO_CENTRIOLE_ASSEMBLY</t>
  </si>
  <si>
    <t>10733;284403;22995;1017;163786</t>
  </si>
  <si>
    <t>PLK4;WDR62;CEP152;CDK2;SASS6</t>
  </si>
  <si>
    <t>http://www.broadinstitute.org/gsea/msigdb/cards/GO_CENTRIOLE_ASSEMBLY.html</t>
  </si>
  <si>
    <t>6581;7298;983;891;1503;898;1017;1786;3148;790;4176;1063;5888;8438;3066;1789;25788</t>
  </si>
  <si>
    <t>SLC22A3;TYMS;CDK1;CCNB1;CTPS1;CCNE1;CDK2;DNMT1;HMGB2;CAD;MCM7;CENPF;RAD51;RAD54L;HDAC2;DNMT3B;RAD54B</t>
  </si>
  <si>
    <t>GO_POSITIVE_REGULATION_OF_DNA_BIOSYNTHETIC_PROCESS</t>
  </si>
  <si>
    <t>5984;5982;5985;5983;4751;9212;79075</t>
  </si>
  <si>
    <t>RFC4;RFC2;RFC5;RFC3;NEK2;AURKB;DSCC1</t>
  </si>
  <si>
    <t>http://www.broadinstitute.org/gsea/msigdb/cards/GO_POSITIVE_REGULATION_OF_DNA_BIOSYNTHETIC_PROCESS.html</t>
  </si>
  <si>
    <t>GO_RESPONSE_TO_ESTRADIOL</t>
  </si>
  <si>
    <t>6790;3015;890;898;1017;1786;672;675;2146;1789</t>
  </si>
  <si>
    <t>AURKA;H2AFZ;CCNA2;CCNE1;CDK2;DNMT1;BRCA1;BRCA2;EZH2;DNMT3B</t>
  </si>
  <si>
    <t>http://www.broadinstitute.org/gsea/msigdb/cards/GO_RESPONSE_TO_ESTRADIOL.html</t>
  </si>
  <si>
    <t>5717;11065;6790;332;5709;701;9232;1471;983;891;1017;10105;9775;4751;5347;1869;991;4085;6996;23076;2146;57082;3066;9212;84930;9088;80119;51512;26271</t>
  </si>
  <si>
    <t>PSMD11;UBE2C;AURKA;BIRC5;PSMD3;BUB1B;PTTG1;CST3;CDK1;CCNB1;CDK2;PPIF;EIF4A3;NEK2;PLK1;E2F1;CDC20;MAD2L1;TDG;RRP1B;EZH2;KNL1;HDAC2;AURKB;MASTL;PKMYT1;PIF1;GTSE1;FBXO5</t>
  </si>
  <si>
    <t>GO_SOMATIC_RECOMBINATION_OF_IMMUNOGLOBULIN_GENE_SEGMENTS</t>
  </si>
  <si>
    <t>7374;6929;4436;2956;9156</t>
  </si>
  <si>
    <t>UNG;TCF3;MSH2;MSH6;EXO1</t>
  </si>
  <si>
    <t>http://www.broadinstitute.org/gsea/msigdb/cards/GO_SOMATIC_RECOMBINATION_OF_IMMUNOGLOBULIN_GENE_SEGMENTS.html</t>
  </si>
  <si>
    <t>1111;8520;6790;6839;86;983;891;1017;675;2146;83903;3066;9212;29128;3070</t>
  </si>
  <si>
    <t>CHEK1;HAT1;AURKA;SUV39H1;ACTL6A;CDK1;CCNB1;CDK2;BRCA2;EZH2;HASPIN;HDAC2;AURKB;UHRF1;HELLS</t>
  </si>
  <si>
    <t>8317;6790;983;891;1017;5347;7444;9212;84930;63967</t>
  </si>
  <si>
    <t>CDC7;AURKA;CDK1;CCNB1;CDK2;PLK1;VRK2;AURKB;MASTL;CLSPN</t>
  </si>
  <si>
    <t>GO_NUCLEOTIDE_EXCISION_REPAIR_DNA_INCISION</t>
  </si>
  <si>
    <t>5111;5984;5982;5985;5983;2967</t>
  </si>
  <si>
    <t>PCNA;RFC4;RFC2;RFC5;RFC3;GTF2H3</t>
  </si>
  <si>
    <t>http://www.broadinstitute.org/gsea/msigdb/cards/GO_NUCLEOTIDE_EXCISION_REPAIR_DNA_INCISION.html</t>
  </si>
  <si>
    <t>891;1786;672;4751;5347;9700;9787;9212;1789;26271</t>
  </si>
  <si>
    <t>CCNB1;DNMT1;BRCA1;NEK2;PLK1;ESPL1;DLGAP5;AURKB;DNMT3B;FBXO5</t>
  </si>
  <si>
    <t>GO_MICROTUBULE_END</t>
  </si>
  <si>
    <t>146909;259266;10615;11004;90417</t>
  </si>
  <si>
    <t>KIF18B;ASPM;SPAG5;KIF2C;KNSTRN</t>
  </si>
  <si>
    <t>http://www.broadinstitute.org/gsea/msigdb/cards/GO_MICROTUBULE_END.html</t>
  </si>
  <si>
    <t>GO_SEX_DIFFERENTIATION</t>
  </si>
  <si>
    <t>2189;2175;1515;6240;898;3148;4436;675;6469;259266;81930;9125;2491</t>
  </si>
  <si>
    <t>FANCG;FANCA;CTSV;RRM1;CCNE1;HMGB2;MSH2;BRCA2;SHH;ASPM;KIF18A;CNOT9;CENPI</t>
  </si>
  <si>
    <t>http://www.broadinstitute.org/gsea/msigdb/cards/GO_SEX_DIFFERENTIATION.html</t>
  </si>
  <si>
    <t>GO_MICROTUBULE_POLYMERIZATION_OR_DEPOLYMERIZATION</t>
  </si>
  <si>
    <t>7283;9928;146909;81930;11004;26271</t>
  </si>
  <si>
    <t>TUBG1;KIF14;KIF18B;KIF18A;KIF2C;FBXO5</t>
  </si>
  <si>
    <t>http://www.broadinstitute.org/gsea/msigdb/cards/GO_MICROTUBULE_POLYMERIZATION_OR_DEPOLYMERIZATION.html</t>
  </si>
  <si>
    <t>79733;10733;7516;9133;891;4436;675;4751;9837;6491;54892;144455;84296;27339</t>
  </si>
  <si>
    <t>E2F8;PLK4;XRCC2;CCNB2;CCNB1;MSH2;BRCA2;NEK2;GINS1;STIL;NCAPG2;E2F7;GINS4;PRPF19</t>
  </si>
  <si>
    <t>5717;8317;10733;1111;6790;332;5709;699;701;7083;983;891;1841;898;1017;790;7272;4436;4751;5347;6733;2967;9833;128239;7444;83903;9212;84930;55872;9088;63967</t>
  </si>
  <si>
    <t>PSMD11;CDC7;PLK4;CHEK1;AURKA;BIRC5;PSMD3;BUB1;BUB1B;TK1;CDK1;CCNB1;DTYMK;CCNE1;CDK2;CAD;TTK;MSH2;NEK2;PLK1;SRPK2;GTF2H3;MELK;IQGAP3;VRK2;HASPIN;AURKB;MASTL;PBK;PKMYT1;CLSPN</t>
  </si>
  <si>
    <t>GO_CELLULAR_RESPONSE_TO_INORGANIC_SUBSTANCE</t>
  </si>
  <si>
    <t>891;890;1017;1786;10105;9775;641;5888;6469;1894</t>
  </si>
  <si>
    <t>CCNB1;CCNA2;CDK2;DNMT1;PPIF;EIF4A3;BLM;RAD51;SHH;ECT2</t>
  </si>
  <si>
    <t>http://www.broadinstitute.org/gsea/msigdb/cards/GO_CELLULAR_RESPONSE_TO_INORGANIC_SUBSTANCE.html</t>
  </si>
  <si>
    <t>GO_NUCLEAR_UBIQUITIN_LIGASE_COMPLEX</t>
  </si>
  <si>
    <t>11065;701;672;991;27338;580</t>
  </si>
  <si>
    <t>UBE2C;BUB1B;BRCA1;CDC20;UBE2S;BARD1</t>
  </si>
  <si>
    <t>http://www.broadinstitute.org/gsea/msigdb/cards/GO_NUCLEAR_UBIQUITIN_LIGASE_COMPLEX.html</t>
  </si>
  <si>
    <t>79733;10733;2189;2175;1515;6240;898;3148;899;4436;675;6469;259266;81930;2491;144455</t>
  </si>
  <si>
    <t>E2F8;PLK4;FANCG;FANCA;CTSV;RRM1;CCNE1;HMGB2;CCNF;MSH2;BRCA2;SHH;ASPM;KIF18A;CENPI;E2F7</t>
  </si>
  <si>
    <t>GO_ESTABLISHMENT_OF_MITOTIC_SPINDLE_LOCALIZATION</t>
  </si>
  <si>
    <t>10403;1058;9700;3837;51203</t>
  </si>
  <si>
    <t>NDC80;CENPA;ESPL1;KPNB1;NUSAP1</t>
  </si>
  <si>
    <t>http://www.broadinstitute.org/gsea/msigdb/cards/GO_ESTABLISHMENT_OF_MITOTIC_SPINDLE_LOCALIZATION.html</t>
  </si>
  <si>
    <t>5984;5982;5985;5983;4751;9212;79075;80119</t>
  </si>
  <si>
    <t>RFC4;RFC2;RFC5;RFC3;NEK2;AURKB;DSCC1;PIF1</t>
  </si>
  <si>
    <t>GO_REGENERATION</t>
  </si>
  <si>
    <t>7298;983;891;4691;890;898;1017;790;4288;2146</t>
  </si>
  <si>
    <t>TYMS;CDK1;CCNB1;NCL;CCNA2;CCNE1;CDK2;CAD;MKI67;EZH2</t>
  </si>
  <si>
    <t>http://www.broadinstitute.org/gsea/msigdb/cards/GO_REGENERATION.html</t>
  </si>
  <si>
    <t>2189;1515;9232;7083;983;891;4691;3148;790;995;4436;675;1869;9319;259266;57082;57650;55706;3833;2177;29127;81624;55723;26271;9633</t>
  </si>
  <si>
    <t>FANCG;CTSV;PTTG1;TK1;CDK1;CCNB1;NCL;HMGB2;CAD;CDC25C;MSH2;BRCA2;E2F1;TRIP13;ASPM;KNL1;CIP2A;NDC1;KIFC1;FANCD2;RACGAP1;DIAPH3;ASF1B;FBXO5;TESMIN</t>
  </si>
  <si>
    <t>79733;10733;7516;9133;7083;7153;891;672;9775;4436;675;4751;5426;6996;9837;6469;6491;79682;54892;3066;144455;9585;84296;29127;27339</t>
  </si>
  <si>
    <t>E2F8;PLK4;XRCC2;CCNB2;TK1;TOP2A;CCNB1;BRCA1;EIF4A3;MSH2;BRCA2;NEK2;POLE;TDG;GINS1;SHH;STIL;CENPU;NCAPG2;HDAC2;E2F7;KIF20B;GINS4;RACGAP1;PRPF19</t>
  </si>
  <si>
    <t>5717;11065;6790;5709;701;1515;3161;6581;10535;7398;9232;983;200933;7374;891;3148;4521;9775;2237;899;5902;1763;5347;991;8208;4085;6502;6996;3837;9928;27338;219988;9125;8570;9212;29128;51512;51514;27339</t>
  </si>
  <si>
    <t>PSMD11;UBE2C;AURKA;PSMD3;BUB1B;CTSV;HMMR;SLC22A3;RNASEH2A;USP1;PTTG1;CDK1;FBXO45;UNG;CCNB1;HMGB2;NUDT1;EIF4A3;FEN1;CCNF;RANBP1;DNA2;PLK1;CDC20;CHAF1B;MAD2L1;SKP2;TDG;KPNB1;KIF14;UBE2S;PATL1;CNOT9;KHSRP;AURKB;UHRF1;GTSE1;DTL;PRPF19</t>
  </si>
  <si>
    <t>GO_FEMALE_MEIOTIC_DIVISION</t>
  </si>
  <si>
    <t>6790;5347;9319;84930;26271</t>
  </si>
  <si>
    <t>AURKA;PLK1;TRIP13;MASTL;FBXO5</t>
  </si>
  <si>
    <t>http://www.broadinstitute.org/gsea/msigdb/cards/GO_FEMALE_MEIOTIC_DIVISION.html</t>
  </si>
  <si>
    <t>7516;10535;2237;1763;5888;348654;55247;146956;9156</t>
  </si>
  <si>
    <t>XRCC2;RNASEH2A;FEN1;DNA2;RAD51;GEN1;NEIL3;EME1;EXO1</t>
  </si>
  <si>
    <t>GO_DEOXYRIBONUCLEOTIDE_BIOSYNTHETIC_PROCESS</t>
  </si>
  <si>
    <t>7298;1841;6240;6241</t>
  </si>
  <si>
    <t>TYMS;DTYMK;RRM1;RRM2</t>
  </si>
  <si>
    <t>http://www.broadinstitute.org/gsea/msigdb/cards/GO_DEOXYRIBONUCLEOTIDE_BIOSYNTHETIC_PROCESS.html</t>
  </si>
  <si>
    <t>GO_MISMATCHED_DNA_BINDING</t>
  </si>
  <si>
    <t>5111;4436;2956;6996</t>
  </si>
  <si>
    <t>PCNA;MSH2;MSH6;TDG</t>
  </si>
  <si>
    <t>http://www.broadinstitute.org/gsea/msigdb/cards/GO_MISMATCHED_DNA_BINDING.html</t>
  </si>
  <si>
    <t>GO_DNA_POLYMERASE_BINDING</t>
  </si>
  <si>
    <t>5111;5888;2177;55215</t>
  </si>
  <si>
    <t>PCNA;RAD51;FANCD2;FANCI</t>
  </si>
  <si>
    <t>http://www.broadinstitute.org/gsea/msigdb/cards/GO_DNA_POLYMERASE_BINDING.html</t>
  </si>
  <si>
    <t>6790;7516;7298;891;898;675;9837;6469;6491;2146;54892;259266;84296;27339</t>
  </si>
  <si>
    <t>AURKA;XRCC2;TYMS;CCNB1;CCNE1;BRCA2;GINS1;SHH;STIL;EZH2;NCAPG2;ASPM;GINS4;PRPF19</t>
  </si>
  <si>
    <t>GO_TRANSCRIPTION_COUPLED_NUCLEOTIDE_EXCISION_REPAIR</t>
  </si>
  <si>
    <t>5111;5984;5982;5985;5983;2967;27339</t>
  </si>
  <si>
    <t>PCNA;RFC4;RFC2;RFC5;RFC3;GTF2H3;PRPF19</t>
  </si>
  <si>
    <t>http://www.broadinstitute.org/gsea/msigdb/cards/GO_TRANSCRIPTION_COUPLED_NUCLEOTIDE_EXCISION_REPAIR.html</t>
  </si>
  <si>
    <t>GO_PYRIMIDINE_NUCLEOTIDE_METABOLIC_PROCESS</t>
  </si>
  <si>
    <t>7298;7374;1503;1841;790;6996</t>
  </si>
  <si>
    <t>TYMS;UNG;CTPS1;DTYMK;CAD;TDG</t>
  </si>
  <si>
    <t>http://www.broadinstitute.org/gsea/msigdb/cards/GO_PYRIMIDINE_NUCLEOTIDE_METABOLIC_PROCESS.html</t>
  </si>
  <si>
    <t>7083;983;5111;891;890;1841;1017;1786;10105;9775;641;5888;6469;2146;3066;1894;9633</t>
  </si>
  <si>
    <t>TK1;CDK1;PCNA;CCNB1;CCNA2;DTYMK;CDK2;DNMT1;PPIF;EIF4A3;BLM;RAD51;SHH;EZH2;HDAC2;ECT2;TESMIN</t>
  </si>
  <si>
    <t>79733;1871;1111;983;3015;4605;7153;891;6929;4691;890;898;1017;1786;3148;5933;7913;672;9775;675;641;6733;1869;10657;2305;6469;1994;84722;29028;128239;26586;3066;144455;29128;79902;1789;27339;11198</t>
  </si>
  <si>
    <t>E2F8;E2F3;CHEK1;CDK1;H2AFZ;MYBL2;TOP2A;CCNB1;TCF3;NCL;CCNA2;CCNE1;CDK2;DNMT1;HMGB2;RBL1;DEK;BRCA1;EIF4A3;BRCA2;BLM;SRPK2;E2F1;KHDRBS1;FOXM1;SHH;ELAVL1;PSRC1;ATAD2;IQGAP3;CKAP2;HDAC2;E2F7;UHRF1;NUP85;DNMT3B;PRPF19;SUPT16H</t>
  </si>
  <si>
    <t>6790;1515;7083;7298;983;3015;891;890;1841;898;1017;1786;3148;790;672;9775;4288;675;641;5888;2305;2146;115004;3066;1789</t>
  </si>
  <si>
    <t>AURKA;CTSV;TK1;TYMS;CDK1;H2AFZ;CCNB1;CCNA2;DTYMK;CCNE1;CDK2;DNMT1;HMGB2;CAD;BRCA1;EIF4A3;MKI67;BRCA2;BLM;RAD51;FOXM1;EZH2;CGAS;HDAC2;DNMT3B</t>
  </si>
  <si>
    <t>7516;10535;2237;1763;5888;5426;348654;55247;146956;64858;9156</t>
  </si>
  <si>
    <t>XRCC2;RNASEH2A;FEN1;DNA2;RAD51;POLE;GEN1;NEIL3;EME1;DCLRE1B;EXO1</t>
  </si>
  <si>
    <t>GO_MICROTUBULE_DEPOLYMERIZATION</t>
  </si>
  <si>
    <t>9928;146909;81930;11004</t>
  </si>
  <si>
    <t>KIF14;KIF18B;KIF18A;KIF2C</t>
  </si>
  <si>
    <t>http://www.broadinstitute.org/gsea/msigdb/cards/GO_MICROTUBULE_DEPOLYMERIZATION.html</t>
  </si>
  <si>
    <t>GO_MITOTIC_G2_DNA_DAMAGE_CHECKPOINT</t>
  </si>
  <si>
    <t>983;890;641;55215</t>
  </si>
  <si>
    <t>CDK1;CCNA2;BLM;FANCI</t>
  </si>
  <si>
    <t>http://www.broadinstitute.org/gsea/msigdb/cards/GO_MITOTIC_G2_DNA_DAMAGE_CHECKPOINT.html</t>
  </si>
  <si>
    <t>5717;11065;7283;1058;1063;1062;3837;27338;387103;23165;55706;64946;54443;26271</t>
  </si>
  <si>
    <t>PSMD11;UBE2C;TUBG1;CENPA;CENPF;CENPE;KPNB1;UBE2S;CENPW;NUP205;NDC1;CENPH;ANLN;FBXO5</t>
  </si>
  <si>
    <t>GO_DEVELOPMENT_OF_PRIMARY_SEXUAL_CHARACTERISTICS</t>
  </si>
  <si>
    <t>2189;2175;1515;6240;898;3148;4436;675;259266;81930;2491</t>
  </si>
  <si>
    <t>FANCG;FANCA;CTSV;RRM1;CCNE1;HMGB2;MSH2;BRCA2;ASPM;KIF18A;CENPI</t>
  </si>
  <si>
    <t>http://www.broadinstitute.org/gsea/msigdb/cards/GO_DEVELOPMENT_OF_PRIMARY_SEXUAL_CHARACTERISTICS.html</t>
  </si>
  <si>
    <t>GO_PROTEIN_LOCALIZATION_TO_CYTOSKELETON</t>
  </si>
  <si>
    <t>6790;6491;9585;10615;81610</t>
  </si>
  <si>
    <t>AURKA;STIL;KIF20B;SPAG5;FAM83D</t>
  </si>
  <si>
    <t>http://www.broadinstitute.org/gsea/msigdb/cards/GO_PROTEIN_LOCALIZATION_TO_CYTOSKELETON.html</t>
  </si>
  <si>
    <t>GO_RESPONSE_TO_X_RAY</t>
  </si>
  <si>
    <t>7516;4436;675;641;5888</t>
  </si>
  <si>
    <t>XRCC2;MSH2;BRCA2;BLM;RAD51</t>
  </si>
  <si>
    <t>http://www.broadinstitute.org/gsea/msigdb/cards/GO_RESPONSE_TO_X_RAY.html</t>
  </si>
  <si>
    <t>GO_DNA_PACKAGING_COMPLEX</t>
  </si>
  <si>
    <t>10592;3015;23310;1058;23397;9918;64151;10051</t>
  </si>
  <si>
    <t>SMC2;H2AFZ;NCAPD3;CENPA;NCAPH;NCAPD2;NCAPG;SMC4</t>
  </si>
  <si>
    <t>http://www.broadinstitute.org/gsea/msigdb/cards/GO_DNA_PACKAGING_COMPLEX.html</t>
  </si>
  <si>
    <t>GO_POSITIVE_REGULATION_OF_MITOTIC_SISTER_CHROMATID_SEPARATION</t>
  </si>
  <si>
    <t>5347;9700;9787;26271</t>
  </si>
  <si>
    <t>PLK1;ESPL1;DLGAP5;FBXO5</t>
  </si>
  <si>
    <t>http://www.broadinstitute.org/gsea/msigdb/cards/GO_POSITIVE_REGULATION_OF_MITOTIC_SISTER_CHROMATID_SEPARATION.html</t>
  </si>
  <si>
    <t>GO_REGULATION_OF_SPINDLE_CHECKPOINT</t>
  </si>
  <si>
    <t>891;4085;348654;83903</t>
  </si>
  <si>
    <t>CCNB1;MAD2L1;GEN1;HASPIN</t>
  </si>
  <si>
    <t>http://www.broadinstitute.org/gsea/msigdb/cards/GO_REGULATION_OF_SPINDLE_CHECKPOINT.html</t>
  </si>
  <si>
    <t>GO_RESPONSE_TO_ESTROGEN</t>
  </si>
  <si>
    <t>6790;3015;890;1841;898;1017;1786;672;675;2146;1789</t>
  </si>
  <si>
    <t>AURKA;H2AFZ;CCNA2;DTYMK;CCNE1;CDK2;DNMT1;BRCA1;BRCA2;EZH2;DNMT3B</t>
  </si>
  <si>
    <t>http://www.broadinstitute.org/gsea/msigdb/cards/GO_RESPONSE_TO_ESTROGEN.html</t>
  </si>
  <si>
    <t>GO_DETERMINATION_OF_ADULT_LIFESPAN</t>
  </si>
  <si>
    <t>4436;2956;8438;25788</t>
  </si>
  <si>
    <t>MSH2;MSH6;RAD54L;RAD54B</t>
  </si>
  <si>
    <t>http://www.broadinstitute.org/gsea/msigdb/cards/GO_DETERMINATION_OF_ADULT_LIFESPAN.html</t>
  </si>
  <si>
    <t>GO_CELL_DIVISION_SITE</t>
  </si>
  <si>
    <t>10733;55165;84930;29127;1894;54443</t>
  </si>
  <si>
    <t>PLK4;CEP55;MASTL;RACGAP1;ECT2;ANLN</t>
  </si>
  <si>
    <t>http://www.broadinstitute.org/gsea/msigdb/cards/GO_CELL_DIVISION_SITE.html</t>
  </si>
  <si>
    <t>5717;6790;5709;983;5111;891;890;1017;1786;10971;995;672;4436;675;2956;6733;1869;2305;1870;9833;3837;6469;55635;128239;83903;55789;9125;144455;84930;80829;10293;29127;1894;51512;27339</t>
  </si>
  <si>
    <t>PSMD11;AURKA;PSMD3;CDK1;PCNA;CCNB1;CCNA2;CDK2;DNMT1;YWHAQ;CDC25C;BRCA1;MSH2;BRCA2;MSH6;SRPK2;E2F1;FOXM1;E2F2;MELK;KPNB1;SHH;DEPDC1;IQGAP3;HASPIN;DEPDC1B;CNOT9;E2F7;MASTL;ZFP91;TRAIP;RACGAP1;ECT2;GTSE1;PRPF19</t>
  </si>
  <si>
    <t>GO_MULTICELLULAR_ORGANISM_AGING</t>
  </si>
  <si>
    <t>1515;4436;2956;8438;25788</t>
  </si>
  <si>
    <t>CTSV;MSH2;MSH6;RAD54L;RAD54B</t>
  </si>
  <si>
    <t>http://www.broadinstitute.org/gsea/msigdb/cards/GO_MULTICELLULAR_ORGANISM_AGING.html</t>
  </si>
  <si>
    <t>10721;4436;675;2956;641;990;80119;55010</t>
  </si>
  <si>
    <t>POLQ;MSH2;BRCA2;MSH6;BLM;CDC6;PIF1;PARPBP</t>
  </si>
  <si>
    <t>GO_NEGATIVE_REGULATION_OF_GENE_EXPRESSION_EPIGENETIC</t>
  </si>
  <si>
    <t>8520;6839;3015;1786;2146;3066;3070;1789</t>
  </si>
  <si>
    <t>HAT1;SUV39H1;H2AFZ;DNMT1;EZH2;HDAC2;HELLS;DNMT3B</t>
  </si>
  <si>
    <t>http://www.broadinstitute.org/gsea/msigdb/cards/GO_NEGATIVE_REGULATION_OF_GENE_EXPRESSION_EPIGENETIC.html</t>
  </si>
  <si>
    <t>GO_PRONUCLEUS</t>
  </si>
  <si>
    <t>6790;890;1063;2146</t>
  </si>
  <si>
    <t>AURKA;CCNA2;CENPF;EZH2</t>
  </si>
  <si>
    <t>http://www.broadinstitute.org/gsea/msigdb/cards/GO_PRONUCLEUS.html</t>
  </si>
  <si>
    <t>3015;23310;157570;146956;29128</t>
  </si>
  <si>
    <t>H2AFZ;NCAPD3;ESCO2;EME1;UHRF1</t>
  </si>
  <si>
    <t>GO_DNA_N_GLYCOSYLASE_ACTIVITY</t>
  </si>
  <si>
    <t>5111;7374;6996;55247</t>
  </si>
  <si>
    <t>PCNA;UNG;TDG;NEIL3</t>
  </si>
  <si>
    <t>http://www.broadinstitute.org/gsea/msigdb/cards/GO_DNA_N_GLYCOSYLASE_ACTIVITY.html</t>
  </si>
  <si>
    <t>1111;6790;983;1017;10105;5984;5982;672;5985;5983;6878;1763;641;2305;6749;9928;2146;9824;63979;128239;7444;84904;55789;11073;3066;9212;80829;55872;580;83990;29127;81610;1894;22974;9156;11198</t>
  </si>
  <si>
    <t>CHEK1;AURKA;CDK1;CDK2;PPIF;RFC4;RFC2;BRCA1;RFC5;RFC3;TAF6;DNA2;BLM;FOXM1;SSRP1;KIF14;EZH2;ARHGAP11A;FIGNL1;IQGAP3;VRK2;ARHGEF39;DEPDC1B;TOPBP1;HDAC2;AURKB;ZFP91;PBK;BARD1;BRIP1;RACGAP1;FAM83D;ECT2;TPX2;EXO1;SUPT16H</t>
  </si>
  <si>
    <t>7153;4691;10971;4436;4288;1063;5888;991;11073;132320</t>
  </si>
  <si>
    <t>TOP2A;NCL;YWHAQ;MSH2;MKI67;CENPF;RAD51;CDC20;TOPBP1;SCLT1</t>
  </si>
  <si>
    <t>6790;7516;9133;7298;891;898;675;9837;6469;6491;2146;54892;259266;84296;27339</t>
  </si>
  <si>
    <t>AURKA;XRCC2;CCNB2;TYMS;CCNB1;CCNE1;BRCA2;GINS1;SHH;STIL;EZH2;NCAPG2;ASPM;GINS4;PRPF19</t>
  </si>
  <si>
    <t>GO_POSITIVE_REGULATION_OF_PROTEOLYSIS</t>
  </si>
  <si>
    <t>5717;11065;6790;5709;701;983;891;5347;991;4085;9700;9787;3066;26271</t>
  </si>
  <si>
    <t>PSMD11;UBE2C;AURKA;PSMD3;BUB1B;CDK1;CCNB1;PLK1;CDC20;MAD2L1;ESPL1;DLGAP5;HDAC2;FBXO5</t>
  </si>
  <si>
    <t>http://www.broadinstitute.org/gsea/msigdb/cards/GO_POSITIVE_REGULATION_OF_PROTEOLYSIS.html</t>
  </si>
  <si>
    <t>11065;9134;983;890;993;995;5347;641;1163;2146;1033;84722;128239;80829;9088;990</t>
  </si>
  <si>
    <t>UBE2C;CCNE2;CDK1;CCNA2;CDC25A;CDC25C;PLK1;BLM;CKS1B;EZH2;CDKN3;PSRC1;IQGAP3;ZFP91;PKMYT1;CDC6</t>
  </si>
  <si>
    <t>146909;10615;11004;90417</t>
  </si>
  <si>
    <t>KIF18B;SPAG5;KIF2C;KNSTRN</t>
  </si>
  <si>
    <t>GO_RESPONSE_TO_LIGHT_STIMULUS</t>
  </si>
  <si>
    <t>http://www.broadinstitute.org/gsea/msigdb/cards/GO_RESPONSE_TO_LIGHT_STIMULUS.html</t>
  </si>
  <si>
    <t>GO_RESPONSE_TO_CAFFEINE</t>
  </si>
  <si>
    <t>1786;790;3066;1789</t>
  </si>
  <si>
    <t>DNMT1;CAD;HDAC2;DNMT3B</t>
  </si>
  <si>
    <t>http://www.broadinstitute.org/gsea/msigdb/cards/GO_RESPONSE_TO_CAFFEINE.html</t>
  </si>
  <si>
    <t>GO_OOCYTE_MATURATION</t>
  </si>
  <si>
    <t>891;675;9319;26271</t>
  </si>
  <si>
    <t>CCNB1;BRCA2;TRIP13;FBXO5</t>
  </si>
  <si>
    <t>http://www.broadinstitute.org/gsea/msigdb/cards/GO_OOCYTE_MATURATION.html</t>
  </si>
  <si>
    <t>GO_PYRIMIDINE_DEOXYRIBONUCLEOTIDE_METABOLIC_PROCESS</t>
  </si>
  <si>
    <t>7298;7374;1841;6996</t>
  </si>
  <si>
    <t>TYMS;UNG;DTYMK;TDG</t>
  </si>
  <si>
    <t>http://www.broadinstitute.org/gsea/msigdb/cards/GO_PYRIMIDINE_DEOXYRIBONUCLEOTIDE_METABOLIC_PROCESS.html</t>
  </si>
  <si>
    <t>GO_BLASTOCYST_DEVELOPMENT</t>
  </si>
  <si>
    <t>675;4751;9837;54892;84296;27339</t>
  </si>
  <si>
    <t>BRCA2;NEK2;GINS1;NCAPG2;GINS4;PRPF19</t>
  </si>
  <si>
    <t>http://www.broadinstitute.org/gsea/msigdb/cards/GO_BLASTOCYST_DEVELOPMENT.html</t>
  </si>
  <si>
    <t>5717;11065;5709;672;6502;27338;80829;580;29089;51514;27339</t>
  </si>
  <si>
    <t>PSMD11;UBE2C;PSMD3;BRCA1;SKP2;UBE2S;ZFP91;BARD1;UBE2T;DTL;PRPF19</t>
  </si>
  <si>
    <t>GO_PYRIMIDINE_NUCLEOSIDE_TRIPHOSPHATE_BIOSYNTHETIC_PROCESS</t>
  </si>
  <si>
    <t>7298;1503;1841;790</t>
  </si>
  <si>
    <t>TYMS;CTPS1;DTYMK;CAD</t>
  </si>
  <si>
    <t>http://www.broadinstitute.org/gsea/msigdb/cards/GO_PYRIMIDINE_NUCLEOSIDE_TRIPHOSPHATE_BIOSYNTHETIC_PROCESS.html</t>
  </si>
  <si>
    <t>GO_REGULATION_OF_SPINDLE_ORGANIZATION</t>
  </si>
  <si>
    <t>5347;84722;79866;22974</t>
  </si>
  <si>
    <t>PLK1;PSRC1;BORA;TPX2</t>
  </si>
  <si>
    <t>http://www.broadinstitute.org/gsea/msigdb/cards/GO_REGULATION_OF_SPINDLE_ORGANIZATION.html</t>
  </si>
  <si>
    <t>GO_DNA_DOUBLE_STRAND_BREAK_PROCESSING</t>
  </si>
  <si>
    <t>672;1763;641;580</t>
  </si>
  <si>
    <t>BRCA1;DNA2;BLM;BARD1</t>
  </si>
  <si>
    <t>http://www.broadinstitute.org/gsea/msigdb/cards/GO_DNA_DOUBLE_STRAND_BREAK_PROCESSING.html</t>
  </si>
  <si>
    <t>6790;9775;4751;1869;6996;3066;9212;51512</t>
  </si>
  <si>
    <t>AURKA;EIF4A3;NEK2;E2F1;TDG;HDAC2;AURKB;GTSE1</t>
  </si>
  <si>
    <t>GO_RESPONSE_TO_STEROID_HORMONE</t>
  </si>
  <si>
    <t>6790;1515;7083;7298;3015;890;1841;898;1017;1786;3148;790;672;675;2146;1789</t>
  </si>
  <si>
    <t>AURKA;CTSV;TK1;TYMS;H2AFZ;CCNA2;DTYMK;CCNE1;CDK2;DNMT1;HMGB2;CAD;BRCA1;BRCA2;EZH2;DNMT3B</t>
  </si>
  <si>
    <t>http://www.broadinstitute.org/gsea/msigdb/cards/GO_RESPONSE_TO_STEROID_HORMONE.html</t>
  </si>
  <si>
    <t>6839;699;7298;7374;890;5725;5933;995;7913;5902;1058;3838;2956;3837;79682;7444;23165;55706;79902</t>
  </si>
  <si>
    <t>SUV39H1;BUB1;TYMS;UNG;CCNA2;PTBP1;RBL1;CDC25C;DEK;RANBP1;CENPA;KPNA2;MSH6;KPNB1;CENPU;VRK2;NUP205;NDC1;NUP85</t>
  </si>
  <si>
    <t>8520;6839;3015;1786;9125;23165;3066;55706;79902;3070</t>
  </si>
  <si>
    <t>HAT1;SUV39H1;H2AFZ;DNMT1;CNOT9;NUP205;HDAC2;NDC1;NUP85;HELLS</t>
  </si>
  <si>
    <t>GO_REGULATION_OF_CHROMATIN_SILENCING</t>
  </si>
  <si>
    <t>8318;1786;29028;29128</t>
  </si>
  <si>
    <t>CDC45;DNMT1;ATAD2;UHRF1</t>
  </si>
  <si>
    <t>http://www.broadinstitute.org/gsea/msigdb/cards/GO_REGULATION_OF_CHROMATIN_SILENCING.html</t>
  </si>
  <si>
    <t>10733;11065;6790;332;86;891;1786;10971;10105;672;5902;4751;5347;1869;991;2967;9700;9787;2146;84722;3066;113130;9212;51203;54069;1789;26271</t>
  </si>
  <si>
    <t>PLK4;UBE2C;AURKA;BIRC5;ACTL6A;CCNB1;DNMT1;YWHAQ;PPIF;BRCA1;RANBP1;NEK2;PLK1;E2F1;CDC20;GTF2H3;ESPL1;DLGAP5;EZH2;PSRC1;HDAC2;CDCA5;AURKB;NUSAP1;MIS18A;DNMT3B;FBXO5</t>
  </si>
  <si>
    <t>GO_PYRIMIDINE_CONTAINING_COMPOUND_BIOSYNTHETIC_PROCESS</t>
  </si>
  <si>
    <t>7083;7298;1503;1841;790</t>
  </si>
  <si>
    <t>TK1;TYMS;CTPS1;DTYMK;CAD</t>
  </si>
  <si>
    <t>http://www.broadinstitute.org/gsea/msigdb/cards/GO_PYRIMIDINE_CONTAINING_COMPOUND_BIOSYNTHETIC_PROCESS.html</t>
  </si>
  <si>
    <t>GO_NEURAL_PRECURSOR_CELL_PROLIFERATION</t>
  </si>
  <si>
    <t>6240;9833;9928;6469;259266;29127</t>
  </si>
  <si>
    <t>RRM1;MELK;KIF14;SHH;ASPM;RACGAP1</t>
  </si>
  <si>
    <t>http://www.broadinstitute.org/gsea/msigdb/cards/GO_NEURAL_PRECURSOR_CELL_PROLIFERATION.html</t>
  </si>
  <si>
    <t>GO_ANAPHASE_PROMOTING_COMPLEX</t>
  </si>
  <si>
    <t>11065;701;991;27338</t>
  </si>
  <si>
    <t>UBE2C;BUB1B;CDC20;UBE2S</t>
  </si>
  <si>
    <t>http://www.broadinstitute.org/gsea/msigdb/cards/GO_ANAPHASE_PROMOTING_COMPLEX.html</t>
  </si>
  <si>
    <t>11065;701;86;6240;898;1017;4172;6241;672;899;6878;1763;5427;5426;991;6502;2967;23649;2146;27338;23590;55656;3066;580;51514</t>
  </si>
  <si>
    <t>UBE2C;BUB1B;ACTL6A;RRM1;CCNE1;CDK2;MCM3;RRM2;BRCA1;CCNF;TAF6;DNA2;POLE2;POLE;CDC20;SKP2;GTF2H3;POLA2;EZH2;UBE2S;PDSS1;INTS8;HDAC2;BARD1;DTL</t>
  </si>
  <si>
    <t>GO_INTERCELLULAR_BRIDGE</t>
  </si>
  <si>
    <t>8317;9493;55165;55143;9212</t>
  </si>
  <si>
    <t>CDC7;AC027237.1;CEP55;CDCA8;AURKB</t>
  </si>
  <si>
    <t>http://www.broadinstitute.org/gsea/msigdb/cards/GO_INTERCELLULAR_BRIDGE.html</t>
  </si>
  <si>
    <t>6790;701;983;10971;5902;1058;675;3838;5347;1434;23649;3837;6469;6491;2146;157570;57082;83903;23165;27085;9212;4796;9585;10615;55706;79902;81610;27339</t>
  </si>
  <si>
    <t>AURKA;BUB1B;CDK1;YWHAQ;RANBP1;CENPA;BRCA2;KPNA2;PLK1;CSE1L;POLA2;KPNB1;SHH;STIL;EZH2;ESCO2;KNL1;HASPIN;NUP205;MTBP;AURKB;TONSL;KIF20B;SPAG5;NDC1;NUP85;FAM83D;PRPF19</t>
  </si>
  <si>
    <t>GO_AGING</t>
  </si>
  <si>
    <t>1111;1515;7298;983;1786;4436;675;2956;8438;9212;25788</t>
  </si>
  <si>
    <t>CHEK1;CTSV;TYMS;CDK1;DNMT1;MSH2;BRCA2;MSH6;RAD54L;AURKB;RAD54B</t>
  </si>
  <si>
    <t>http://www.broadinstitute.org/gsea/msigdb/cards/GO_AGING.html</t>
  </si>
  <si>
    <t>86;983;891;10971;672;4670;5347;1869;6469;9585;1894;54069;51512</t>
  </si>
  <si>
    <t>ACTL6A;CDK1;CCNB1;YWHAQ;BRCA1;HNRNPM;PLK1;E2F1;SHH;KIF20B;ECT2;MIS18A;GTSE1</t>
  </si>
  <si>
    <t>GO_NUCLEOBASE_CONTAINING_SMALL_MOLECULE_INTERCONVERSION</t>
  </si>
  <si>
    <t>http://www.broadinstitute.org/gsea/msigdb/cards/GO_NUCLEOBASE_CONTAINING_SMALL_MOLECULE_INTERCONVERSION.html</t>
  </si>
  <si>
    <t>GO_CELLULAR_RESPONSE_TO_REACTIVE_OXYGEN_SPECIES</t>
  </si>
  <si>
    <t>983;890;1017;10105;2146;3066;1894</t>
  </si>
  <si>
    <t>CDK1;CCNA2;CDK2;PPIF;EZH2;HDAC2;ECT2</t>
  </si>
  <si>
    <t>http://www.broadinstitute.org/gsea/msigdb/cards/GO_CELLULAR_RESPONSE_TO_REACTIVE_OXYGEN_SPECIES.html</t>
  </si>
  <si>
    <t>GO_HYDROLASE_ACTIVITY_HYDROLYZING_N_GLYCOSYL_COMPOUNDS</t>
  </si>
  <si>
    <t>http://www.broadinstitute.org/gsea/msigdb/cards/GO_HYDROLASE_ACTIVITY_HYDROLYZING_N_GLYCOSYL_COMPOUNDS.html</t>
  </si>
  <si>
    <t>10212;5725;9775;4670;6733;1479;8683;1994;8570;84991;27339</t>
  </si>
  <si>
    <t>DDX39A;PTBP1;EIF4A3;HNRNPM;SRPK2;CSTF3;SRSF9;ELAVL1;KHSRP;RBM17;PRPF19</t>
  </si>
  <si>
    <t>GO_PYRIMIDINE_NUCLEOSIDE_TRIPHOSPHATE_METABOLIC_PROCESS</t>
  </si>
  <si>
    <t>http://www.broadinstitute.org/gsea/msigdb/cards/GO_PYRIMIDINE_NUCLEOSIDE_TRIPHOSPHATE_METABOLIC_PROCESS.html</t>
  </si>
  <si>
    <t>GO_CELLULAR_RESPONSE_TO_OXIDATIVE_STRESS</t>
  </si>
  <si>
    <t>983;890;1017;10105;9833;2146;7444;3066;1894</t>
  </si>
  <si>
    <t>CDK1;CCNA2;CDK2;PPIF;MELK;EZH2;VRK2;HDAC2;ECT2</t>
  </si>
  <si>
    <t>http://www.broadinstitute.org/gsea/msigdb/cards/GO_CELLULAR_RESPONSE_TO_OXIDATIVE_STRESS.html</t>
  </si>
  <si>
    <t>332;699;701;1515;983;7153;3148;10105;672;4436;675;2956;1434;1869;1870;9700;9833;3837;6469;220042;26586;10293;63967;22974</t>
  </si>
  <si>
    <t>BIRC5;BUB1;BUB1B;CTSV;CDK1;TOP2A;HMGB2;PPIF;BRCA1;MSH2;BRCA2;MSH6;CSE1L;E2F1;E2F2;ESPL1;MELK;KPNB1;SHH;DDIAS;CKAP2;TRAIP;CLSPN;TPX2</t>
  </si>
  <si>
    <t>GO_PROTEIN_DEPOLYMERIZATION</t>
  </si>
  <si>
    <t>http://www.broadinstitute.org/gsea/msigdb/cards/GO_PROTEIN_DEPOLYMERIZATION.html</t>
  </si>
  <si>
    <t>10212;9775;5902;1434;8683;23165;55706;79902</t>
  </si>
  <si>
    <t>DDX39A;EIF4A3;RANBP1;CSE1L;SRSF9;NUP205;NDC1;NUP85</t>
  </si>
  <si>
    <t>3838;4085;3837;23165;55706;79902</t>
  </si>
  <si>
    <t>KPNA2;MAD2L1;KPNB1;NUP205;NDC1;NUP85</t>
  </si>
  <si>
    <t>GO_NUCLEOSIDE_PHOSPHATE_BIOSYNTHETIC_PROCESS</t>
  </si>
  <si>
    <t>7083;7298;1503;1841;6240;790;6241;8833;115004</t>
  </si>
  <si>
    <t>TK1;TYMS;CTPS1;DTYMK;RRM1;CAD;RRM2;GMPS;CGAS</t>
  </si>
  <si>
    <t>http://www.broadinstitute.org/gsea/msigdb/cards/GO_NUCLEOSIDE_PHOSPHATE_BIOSYNTHETIC_PROCESS.html</t>
  </si>
  <si>
    <t>GO_MALE_SEX_DIFFERENTIATION</t>
  </si>
  <si>
    <t>2175;1515;6240;3148;4436;6469;259266;81930</t>
  </si>
  <si>
    <t>FANCA;CTSV;RRM1;HMGB2;MSH2;SHH;ASPM;KIF18A</t>
  </si>
  <si>
    <t>http://www.broadinstitute.org/gsea/msigdb/cards/GO_MALE_SEX_DIFFERENTIATION.html</t>
  </si>
  <si>
    <t>7083;7298;7374;1503;1841;6240;1786;790;6241;4521;4436;8833;6996;63979;115004;1789</t>
  </si>
  <si>
    <t>TK1;TYMS;UNG;CTPS1;DTYMK;RRM1;DNMT1;CAD;RRM2;NUDT1;MSH2;GMPS;TDG;FIGNL1;CGAS;DNMT3B</t>
  </si>
  <si>
    <t>http://www.broadinstitute.org/gsea/msigdb/cards/GO_NUCLEOBASE_CONTAINING_SMALL_MOLECULE_METABOLIC_PROCESS.html</t>
  </si>
  <si>
    <t>6790;1515;7083;7298;3015;5111;891;4691;890;1841;898;1017;1786;3148;790;672;675;4670;1869;2146;3066;1789</t>
  </si>
  <si>
    <t>AURKA;CTSV;TK1;TYMS;H2AFZ;PCNA;CCNB1;NCL;CCNA2;DTYMK;CCNE1;CDK2;DNMT1;HMGB2;CAD;BRCA1;BRCA2;HNRNPM;E2F1;EZH2;HDAC2;DNMT3B</t>
  </si>
  <si>
    <t>6790;3148;9775;4751;5347;1869;6996;55355;3066;9212;51512</t>
  </si>
  <si>
    <t>AURKA;HMGB2;EIF4A3;NEK2;PLK1;E2F1;TDG;HJURP;HDAC2;AURKB;GTSE1</t>
  </si>
  <si>
    <t>1111;8318;891;1786;672;29028;29128;1789</t>
  </si>
  <si>
    <t>CHEK1;CDC45;CCNB1;DNMT1;BRCA1;ATAD2;UHRF1;DNMT3B</t>
  </si>
  <si>
    <t>79733;1871;3015;1869;1870;2146;3066;144455</t>
  </si>
  <si>
    <t>E2F8;E2F3;H2AFZ;E2F1;E2F2;EZH2;HDAC2;E2F7</t>
  </si>
  <si>
    <t>898;1017;4172;6878;1763;5427;5426;2967;23649;55656</t>
  </si>
  <si>
    <t>CCNE1;CDK2;MCM3;TAF6;DNA2;POLE2;POLE;GTF2H3;POLA2;INTS8</t>
  </si>
  <si>
    <t>10733;3015;1017;157570</t>
  </si>
  <si>
    <t>PLK4;H2AFZ;CDK2;ESCO2</t>
  </si>
  <si>
    <t>GO_LATERAL_ELEMENT</t>
  </si>
  <si>
    <t>641;5888;3619</t>
  </si>
  <si>
    <t>BLM;RAD51;INCENP</t>
  </si>
  <si>
    <t>http://www.broadinstitute.org/gsea/msigdb/cards/GO_LATERAL_ELEMENT.html</t>
  </si>
  <si>
    <t>GO_CELL_CYCLE_ARREST</t>
  </si>
  <si>
    <t>5496;4436;10657;1033;220042;27085;9585;580</t>
  </si>
  <si>
    <t>PPM1G;MSH2;KHDRBS1;CDKN3;DDIAS;MTBP;KIF20B;BARD1</t>
  </si>
  <si>
    <t>http://www.broadinstitute.org/gsea/msigdb/cards/GO_CELL_CYCLE_ARREST.html</t>
  </si>
  <si>
    <t>3797;24137;203068;10376;9493;9928;84790</t>
  </si>
  <si>
    <t>KIF3C;KIF4A;TUBB;TUBA1B;AC027237.1;KIF14;TUBA1C</t>
  </si>
  <si>
    <t>GO_CELLULAR_RESPONSE_TO_IONIZING_RADIATION</t>
  </si>
  <si>
    <t>641;5888;63979;10635;1894</t>
  </si>
  <si>
    <t>BLM;RAD51;FIGNL1;RAD51AP1;ECT2</t>
  </si>
  <si>
    <t>http://www.broadinstitute.org/gsea/msigdb/cards/GO_CELLULAR_RESPONSE_TO_IONIZING_RADIATION.html</t>
  </si>
  <si>
    <t>8318;1017;1786;29028;29128</t>
  </si>
  <si>
    <t>CDC45;CDK2;DNMT1;ATAD2;UHRF1</t>
  </si>
  <si>
    <t>GO_DNA_DIRECTED_DNA_POLYMERASE_ACTIVITY</t>
  </si>
  <si>
    <t>10721;5427;5426;23649</t>
  </si>
  <si>
    <t>POLQ;POLE2;POLE;POLA2</t>
  </si>
  <si>
    <t>http://www.broadinstitute.org/gsea/msigdb/cards/GO_DNA_DIRECTED_DNA_POLYMERASE_ACTIVITY.html</t>
  </si>
  <si>
    <t>5902;3838;1434;23649;3837;6469;23165;79902</t>
  </si>
  <si>
    <t>RANBP1;KPNA2;CSE1L;POLA2;KPNB1;SHH;NUP205;NUP85</t>
  </si>
  <si>
    <t>79733;440519;6839;8318;86;3015;4605;6929;4691;1786;3148;4174;4436;4171;1869;2305;2146;55388;3066;144455;29128;11004;80119;1789</t>
  </si>
  <si>
    <t>E2F8;ZNF724;SUV39H1;CDC45;ACTL6A;H2AFZ;MYBL2;TCF3;NCL;DNMT1;HMGB2;MCM5;MSH2;MCM2;E2F1;FOXM1;EZH2;MCM10;HDAC2;E2F7;UHRF1;KIF2C;PIF1;DNMT3B</t>
  </si>
  <si>
    <t>GO_REGULATION_OF_CELL_CYCLE_CHECKPOINT</t>
  </si>
  <si>
    <t>http://www.broadinstitute.org/gsea/msigdb/cards/GO_REGULATION_OF_CELL_CYCLE_CHECKPOINT.html</t>
  </si>
  <si>
    <t>GO_REGULATION_OF_MITOTIC_SPINDLE_CHECKPOINT</t>
  </si>
  <si>
    <t>891;4085;348654</t>
  </si>
  <si>
    <t>CCNB1;MAD2L1;GEN1</t>
  </si>
  <si>
    <t>http://www.broadinstitute.org/gsea/msigdb/cards/GO_REGULATION_OF_MITOTIC_SPINDLE_CHECKPOINT.html</t>
  </si>
  <si>
    <t>GO_REGULATION_OF_NUCLEAR_CELL_CYCLE_DNA_REPLICATION</t>
  </si>
  <si>
    <t>8317;80174;81620</t>
  </si>
  <si>
    <t>CDC7;DBF4B;CDT1</t>
  </si>
  <si>
    <t>http://www.broadinstitute.org/gsea/msigdb/cards/GO_REGULATION_OF_NUCLEAR_CELL_CYCLE_DNA_REPLICATION.html</t>
  </si>
  <si>
    <t>GO_LAGGING_STRAND_ELONGATION</t>
  </si>
  <si>
    <t>10535;2237;1763</t>
  </si>
  <si>
    <t>RNASEH2A;FEN1;DNA2</t>
  </si>
  <si>
    <t>http://www.broadinstitute.org/gsea/msigdb/cards/GO_LAGGING_STRAND_ELONGATION.html</t>
  </si>
  <si>
    <t>GO_POSITIVE_REGULATION_OF_CELL_CYCLE_G1_S_PHASE_TRANSITION</t>
  </si>
  <si>
    <t>8318;27085;990;81610</t>
  </si>
  <si>
    <t>CDC45;MTBP;CDC6;FAM83D</t>
  </si>
  <si>
    <t>http://www.broadinstitute.org/gsea/msigdb/cards/GO_POSITIVE_REGULATION_OF_CELL_CYCLE_G1_S_PHASE_TRANSITION.html</t>
  </si>
  <si>
    <t>GO_COHESIN_COMPLEX</t>
  </si>
  <si>
    <t>151246;151648;113130</t>
  </si>
  <si>
    <t>SGO2;SGO1;CDCA5</t>
  </si>
  <si>
    <t>http://www.broadinstitute.org/gsea/msigdb/cards/GO_COHESIN_COMPLEX.html</t>
  </si>
  <si>
    <t>GO_LIGASE_ACTIVITY_FORMING_CARBON_NITROGEN_BONDS</t>
  </si>
  <si>
    <t>10797;1503;790;8833;150465</t>
  </si>
  <si>
    <t>MTHFD2;CTPS1;CAD;GMPS;TTL</t>
  </si>
  <si>
    <t>http://www.broadinstitute.org/gsea/msigdb/cards/GO_LIGASE_ACTIVITY_FORMING_CARBON_NITROGEN_BONDS.html</t>
  </si>
  <si>
    <t>6790;332;701;10112;983;10971;5902;1058;1063;675;3838;5347;1434;23649;3837;9928;6469;6491;2146;55165;157570;57082;81930;83903;23165;27085;9212;4796;9585;10615;55706;79902;81610;1894;27339</t>
  </si>
  <si>
    <t>AURKA;BIRC5;BUB1B;KIF20A;CDK1;YWHAQ;RANBP1;CENPA;CENPF;BRCA2;KPNA2;PLK1;CSE1L;POLA2;KPNB1;KIF14;SHH;STIL;EZH2;CEP55;ESCO2;KNL1;KIF18A;HASPIN;NUP205;MTBP;AURKB;TONSL;KIF20B;SPAG5;NDC1;NUP85;FAM83D;ECT2;PRPF19</t>
  </si>
  <si>
    <t>GO_CELLULAR_PROCESS_INVOLVED_IN_REPRODUCTION_IN_MULTICELLULAR_ORGANISM</t>
  </si>
  <si>
    <t>2189;891;3148;4436;675;9319;259266;57082;2491;26271</t>
  </si>
  <si>
    <t>FANCG;CCNB1;HMGB2;MSH2;BRCA2;TRIP13;ASPM;KNL1;CENPI;FBXO5</t>
  </si>
  <si>
    <t>http://www.broadinstitute.org/gsea/msigdb/cards/GO_CELLULAR_PROCESS_INVOLVED_IN_REPRODUCTION_IN_MULTICELLULAR_ORGANISM.html</t>
  </si>
  <si>
    <t>GO_TROPHOBLAST_GIANT_CELL_DIFFERENTIATION</t>
  </si>
  <si>
    <t>79733;10733;144455</t>
  </si>
  <si>
    <t>E2F8;PLK4;E2F7</t>
  </si>
  <si>
    <t>http://www.broadinstitute.org/gsea/msigdb/cards/GO_TROPHOBLAST_GIANT_CELL_DIFFERENTIATION.html</t>
  </si>
  <si>
    <t>83903;113130;79075</t>
  </si>
  <si>
    <t>HASPIN;CDCA5;DSCC1</t>
  </si>
  <si>
    <t>GO_5_3_EXONUCLEASE_ACTIVITY</t>
  </si>
  <si>
    <t>2237;64858;9156</t>
  </si>
  <si>
    <t>FEN1;DCLRE1B;EXO1</t>
  </si>
  <si>
    <t>http://www.broadinstitute.org/gsea/msigdb/cards/GO_5_3_EXONUCLEASE_ACTIVITY.html</t>
  </si>
  <si>
    <t>GO_RNA_DNA_HYBRID_RIBONUCLEASE_ACTIVITY</t>
  </si>
  <si>
    <t>10535;2237;9156</t>
  </si>
  <si>
    <t>RNASEH2A;FEN1;EXO1</t>
  </si>
  <si>
    <t>http://www.broadinstitute.org/gsea/msigdb/cards/GO_RNA_DNA_HYBRID_RIBONUCLEASE_ACTIVITY.html</t>
  </si>
  <si>
    <t>GO_ANNEALING_ACTIVITY</t>
  </si>
  <si>
    <t>9401;641;8438</t>
  </si>
  <si>
    <t>RECQL4;BLM;RAD54L</t>
  </si>
  <si>
    <t>http://www.broadinstitute.org/gsea/msigdb/cards/GO_ANNEALING_ACTIVITY.html</t>
  </si>
  <si>
    <t>GO_PYRIMIDINE_NUCLEOTIDE_BIOSYNTHETIC_PROCESS</t>
  </si>
  <si>
    <t>http://www.broadinstitute.org/gsea/msigdb/cards/GO_PYRIMIDINE_NUCLEOTIDE_BIOSYNTHETIC_PROCESS.html</t>
  </si>
  <si>
    <t>GO_NEGATIVE_REGULATION_OF_TRANSFERASE_ACTIVITY</t>
  </si>
  <si>
    <t>5717;11065;5709;701;983;891;1017;5347;991;4085;80119;26271</t>
  </si>
  <si>
    <t>PSMD11;UBE2C;PSMD3;BUB1B;CDK1;CCNB1;CDK2;PLK1;CDC20;MAD2L1;PIF1;FBXO5</t>
  </si>
  <si>
    <t>http://www.broadinstitute.org/gsea/msigdb/cards/GO_NEGATIVE_REGULATION_OF_TRANSFERASE_ACTIVITY.html</t>
  </si>
  <si>
    <t>332;5902;1434;3837</t>
  </si>
  <si>
    <t>BIRC5;RANBP1;CSE1L;KPNB1</t>
  </si>
  <si>
    <t>GO_GERM_CELL_DEVELOPMENT</t>
  </si>
  <si>
    <t>2189;891;3148;4436;675;9319;259266;57082;26271</t>
  </si>
  <si>
    <t>FANCG;CCNB1;HMGB2;MSH2;BRCA2;TRIP13;ASPM;KNL1;FBXO5</t>
  </si>
  <si>
    <t>http://www.broadinstitute.org/gsea/msigdb/cards/GO_GERM_CELL_DEVELOPMENT.html</t>
  </si>
  <si>
    <t>GO_PYRIMIDINE_NUCLEOSIDE_BIOSYNTHETIC_PROCESS</t>
  </si>
  <si>
    <t>7083;7298;1503;790</t>
  </si>
  <si>
    <t>TK1;TYMS;CTPS1;CAD</t>
  </si>
  <si>
    <t>http://www.broadinstitute.org/gsea/msigdb/cards/GO_PYRIMIDINE_NUCLEOSIDE_BIOSYNTHETIC_PROCESS.html</t>
  </si>
  <si>
    <t>GO_REGULATION_OF_CENTROSOME_DUPLICATION</t>
  </si>
  <si>
    <t>10733;672;899;348654</t>
  </si>
  <si>
    <t>PLK4;BRCA1;CCNF;GEN1</t>
  </si>
  <si>
    <t>http://www.broadinstitute.org/gsea/msigdb/cards/GO_REGULATION_OF_CENTROSOME_DUPLICATION.html</t>
  </si>
  <si>
    <t>GO_DNA_REPLICATION_DEPENDENT_NUCLEOSOME_ORGANIZATION</t>
  </si>
  <si>
    <t>8520;10036;8208;55723</t>
  </si>
  <si>
    <t>HAT1;CHAF1A;CHAF1B;ASF1B</t>
  </si>
  <si>
    <t>http://www.broadinstitute.org/gsea/msigdb/cards/GO_DNA_REPLICATION_DEPENDENT_NUCLEOSOME_ORGANIZATION.html</t>
  </si>
  <si>
    <t>79733;7083;4691;898;790;4288;144455</t>
  </si>
  <si>
    <t>E2F8;TK1;NCL;CCNE1;CAD;MKI67;E2F7</t>
  </si>
  <si>
    <t>GO_PROTEIN_LOCALIZATION_TO_CHROMATIN</t>
  </si>
  <si>
    <t>5347;2146;157570</t>
  </si>
  <si>
    <t>PLK1;EZH2;ESCO2</t>
  </si>
  <si>
    <t>http://www.broadinstitute.org/gsea/msigdb/cards/GO_PROTEIN_LOCALIZATION_TO_CHROMATIN.html</t>
  </si>
  <si>
    <t>GO_DNA_POLYMERASE_COMPLEX</t>
  </si>
  <si>
    <t>1763;5427;5426</t>
  </si>
  <si>
    <t>DNA2;POLE2;POLE</t>
  </si>
  <si>
    <t>http://www.broadinstitute.org/gsea/msigdb/cards/GO_DNA_POLYMERASE_COMPLEX.html</t>
  </si>
  <si>
    <t>GO_FANCONI_ANAEMIA_NUCLEAR_COMPLEX</t>
  </si>
  <si>
    <t>2189;2175;2187</t>
  </si>
  <si>
    <t>FANCG;FANCA;FANCB</t>
  </si>
  <si>
    <t>http://www.broadinstitute.org/gsea/msigdb/cards/GO_FANCONI_ANAEMIA_NUCLEAR_COMPLEX.html</t>
  </si>
  <si>
    <t>983;672;4670;5347;6469;1894;51512</t>
  </si>
  <si>
    <t>CDK1;BRCA1;HNRNPM;PLK1;SHH;ECT2;GTSE1</t>
  </si>
  <si>
    <t>5902;3838;1434;23649;3837;23165;79902</t>
  </si>
  <si>
    <t>RANBP1;KPNA2;CSE1L;POLA2;KPNB1;NUP205;NUP85</t>
  </si>
  <si>
    <t>5717;11065;6790;5709;701;1515;7398;9232;983;200933;891;899;5902;5347;991;4085;6502;9700;9928;6469;27338;9212;29128;51512;51514;27339</t>
  </si>
  <si>
    <t>PSMD11;UBE2C;AURKA;PSMD3;BUB1B;CTSV;USP1;PTTG1;CDK1;FBXO45;CCNB1;CCNF;RANBP1;PLK1;CDC20;MAD2L1;SKP2;ESPL1;KIF14;SHH;UBE2S;AURKB;UHRF1;GTSE1;DTL;PRPF19</t>
  </si>
  <si>
    <t>86;983;891;4691;10971;672;4751;4670;5347;1869;6469;79866;113130;4796;9585;10615;580;29127;1894;54069;51512;90417</t>
  </si>
  <si>
    <t>ACTL6A;CDK1;CCNB1;NCL;YWHAQ;BRCA1;NEK2;HNRNPM;PLK1;E2F1;SHH;BORA;CDCA5;TONSL;KIF20B;SPAG5;BARD1;RACGAP1;ECT2;MIS18A;GTSE1;KNSTRN</t>
  </si>
  <si>
    <t>GO_CELLULAR_RESPONSE_TO_HYDROGEN_PEROXIDE</t>
  </si>
  <si>
    <t>983;10105;2146;3066;1894</t>
  </si>
  <si>
    <t>CDK1;PPIF;EZH2;HDAC2;ECT2</t>
  </si>
  <si>
    <t>http://www.broadinstitute.org/gsea/msigdb/cards/GO_CELLULAR_RESPONSE_TO_HYDROGEN_PEROXIDE.html</t>
  </si>
  <si>
    <t>GO_NUCLEOTIDYLTRANSFERASE_ACTIVITY</t>
  </si>
  <si>
    <t>10721;5557;5558;5427;5426;23649;115004</t>
  </si>
  <si>
    <t>POLQ;PRIM1;PRIM2;POLE2;POLE;POLA2;CGAS</t>
  </si>
  <si>
    <t>http://www.broadinstitute.org/gsea/msigdb/cards/GO_NUCLEOTIDYLTRANSFERASE_ACTIVITY.html</t>
  </si>
  <si>
    <t>79733;332;10592;7298;3015;7153;6929;4436;1058;1063;6878;2956;4085;6996;23649;1994;387103;23590;146556;9125;9585;580;1894;10051;8914</t>
  </si>
  <si>
    <t>E2F8;BIRC5;SMC2;TYMS;H2AFZ;TOP2A;TCF3;MSH2;CENPA;CENPF;TAF6;MSH6;MAD2L1;TDG;POLA2;ELAVL1;CENPW;PDSS1;C16orf89;CNOT9;KIF20B;BARD1;ECT2;SMC4;TIMELESS</t>
  </si>
  <si>
    <t>GO_CYCLIN_DEPENDENT_PROTEIN_KINASE_ACTIVITY</t>
  </si>
  <si>
    <t>9133;983;891;1017</t>
  </si>
  <si>
    <t>CCNB2;CDK1;CCNB1;CDK2</t>
  </si>
  <si>
    <t>http://www.broadinstitute.org/gsea/msigdb/cards/GO_CYCLIN_DEPENDENT_PROTEIN_KINASE_ACTIVITY.html</t>
  </si>
  <si>
    <t>GO_NEGATIVE_REGULATION_OF_CATALYTIC_ACTIVITY</t>
  </si>
  <si>
    <t>5717;11065;332;5709;701;9232;1471;983;891;1017;10105;5347;991;4085;23076;57082;84930;9088;80119;26271</t>
  </si>
  <si>
    <t>PSMD11;UBE2C;BIRC5;PSMD3;BUB1B;PTTG1;CST3;CDK1;CCNB1;CDK2;PPIF;PLK1;CDC20;MAD2L1;RRP1B;KNL1;MASTL;PKMYT1;PIF1;FBXO5</t>
  </si>
  <si>
    <t>http://www.broadinstitute.org/gsea/msigdb/cards/GO_NEGATIVE_REGULATION_OF_CATALYTIC_ACTIVITY.html</t>
  </si>
  <si>
    <t>GO_CYTOKINETIC_PROCESS</t>
  </si>
  <si>
    <t>9493;9212;29127</t>
  </si>
  <si>
    <t>AC027237.1;AURKB;RACGAP1</t>
  </si>
  <si>
    <t>http://www.broadinstitute.org/gsea/msigdb/cards/GO_CYTOKINETIC_PROCESS.html</t>
  </si>
  <si>
    <t>GO_STRUCTURAL_CONSTITUENT_OF_NUCLEAR_PORE</t>
  </si>
  <si>
    <t>23165;55706;79902</t>
  </si>
  <si>
    <t>NUP205;NDC1;NUP85</t>
  </si>
  <si>
    <t>http://www.broadinstitute.org/gsea/msigdb/cards/GO_STRUCTURAL_CONSTITUENT_OF_NUCLEAR_PORE.html</t>
  </si>
  <si>
    <t>GO_SYNAPTONEMAL_COMPLEX</t>
  </si>
  <si>
    <t>5347;641;5888;3619</t>
  </si>
  <si>
    <t>PLK1;BLM;RAD51;INCENP</t>
  </si>
  <si>
    <t>http://www.broadinstitute.org/gsea/msigdb/cards/GO_SYNAPTONEMAL_COMPLEX.html</t>
  </si>
  <si>
    <t>641;5888;6996;219988;201299;11073</t>
  </si>
  <si>
    <t>BLM;RAD51;TDG;PATL1;RDM1;TOPBP1</t>
  </si>
  <si>
    <t>GO_PROTEIN_K63_LINKED_UBIQUITINATION</t>
  </si>
  <si>
    <t>27338;80829;29089;27339</t>
  </si>
  <si>
    <t>UBE2S;ZFP91;UBE2T;PRPF19</t>
  </si>
  <si>
    <t>http://www.broadinstitute.org/gsea/msigdb/cards/GO_PROTEIN_K63_LINKED_UBIQUITINATION.html</t>
  </si>
  <si>
    <t>GO_RESPONSE_TO_ALKALOID</t>
  </si>
  <si>
    <t>890;1786;790;641;5888;3066;1789</t>
  </si>
  <si>
    <t>CCNA2;DNMT1;CAD;BLM;RAD51;HDAC2;DNMT3B</t>
  </si>
  <si>
    <t>http://www.broadinstitute.org/gsea/msigdb/cards/GO_RESPONSE_TO_ALKALOID.html</t>
  </si>
  <si>
    <t>GO_DNA_DAMAGE_RESPONSE_SIGNAL_TRANSDUCTION_RESULTING_IN_TRANSCRIPTION</t>
  </si>
  <si>
    <t>672;675;2305</t>
  </si>
  <si>
    <t>BRCA1;BRCA2;FOXM1</t>
  </si>
  <si>
    <t>http://www.broadinstitute.org/gsea/msigdb/cards/GO_DNA_DAMAGE_RESPONSE_SIGNAL_TRANSDUCTION_RESULTING_IN_TRANSCRIPTION.html</t>
  </si>
  <si>
    <t>GO_OOGENESIS</t>
  </si>
  <si>
    <t>891;675;9319;259266;26271</t>
  </si>
  <si>
    <t>CCNB1;BRCA2;TRIP13;ASPM;FBXO5</t>
  </si>
  <si>
    <t>http://www.broadinstitute.org/gsea/msigdb/cards/GO_OOGENESIS.html</t>
  </si>
  <si>
    <t>10212;5725;9775;4670;6733;10657;1479;8683;2967;1994;8570;84991;27339</t>
  </si>
  <si>
    <t>DDX39A;PTBP1;EIF4A3;HNRNPM;SRPK2;KHDRBS1;CSTF3;SRSF9;GTF2H3;ELAVL1;KHSRP;RBM17;PRPF19</t>
  </si>
  <si>
    <t>GO_CELLULAR_RESPONSE_TO_UV</t>
  </si>
  <si>
    <t>1111;5111;993;9212;55872</t>
  </si>
  <si>
    <t>CHEK1;PCNA;CDC25A;AURKB;PBK</t>
  </si>
  <si>
    <t>http://www.broadinstitute.org/gsea/msigdb/cards/GO_CELLULAR_RESPONSE_TO_UV.html</t>
  </si>
  <si>
    <t>6790;1515;7083;7298;983;3015;890;1841;898;1017;1786;3148;5725;790;4176;672;9775;675;4670;641;1869;5888;2305;2146;79801;3066;146956;990;1789</t>
  </si>
  <si>
    <t>AURKA;CTSV;TK1;TYMS;CDK1;H2AFZ;CCNA2;DTYMK;CCNE1;CDK2;DNMT1;HMGB2;PTBP1;CAD;MCM7;BRCA1;EIF4A3;BRCA2;HNRNPM;BLM;E2F1;RAD51;FOXM1;EZH2;SHCBP1;HDAC2;EME1;CDC6;DNMT3B</t>
  </si>
  <si>
    <t>10212;9775;57647;57696;25788</t>
  </si>
  <si>
    <t>DDX39A;EIF4A3;DHX37;DDX55;RAD54B</t>
  </si>
  <si>
    <t>GO_OOCYTE_DIFFERENTIATION</t>
  </si>
  <si>
    <t>http://www.broadinstitute.org/gsea/msigdb/cards/GO_OOCYTE_DIFFERENTIATION.html</t>
  </si>
  <si>
    <t>GO_NEGATIVE_REGULATION_OF_PROTEOLYSIS</t>
  </si>
  <si>
    <t>332;699;701;9232;1471;7272;1063;5347;4085;6469;55872</t>
  </si>
  <si>
    <t>BIRC5;BUB1;BUB1B;PTTG1;CST3;TTK;CENPF;PLK1;MAD2L1;SHH;PBK</t>
  </si>
  <si>
    <t>http://www.broadinstitute.org/gsea/msigdb/cards/GO_NEGATIVE_REGULATION_OF_PROTEOLYSIS.html</t>
  </si>
  <si>
    <t>GO_POSITIVE_REGULATION_OF_HISTONE_H3_K4_METHYLATION</t>
  </si>
  <si>
    <t>1786;672;1789</t>
  </si>
  <si>
    <t>DNMT1;BRCA1;DNMT3B</t>
  </si>
  <si>
    <t>http://www.broadinstitute.org/gsea/msigdb/cards/GO_POSITIVE_REGULATION_OF_HISTONE_H3_K4_METHYLATION.html</t>
  </si>
  <si>
    <t>GO_NEGATIVE_REGULATION_OF_HISTONE_METHYLATION</t>
  </si>
  <si>
    <t>http://www.broadinstitute.org/gsea/msigdb/cards/GO_NEGATIVE_REGULATION_OF_HISTONE_METHYLATION.html</t>
  </si>
  <si>
    <t>GO_ISOTYPE_SWITCHING</t>
  </si>
  <si>
    <t>4436;2956;9156</t>
  </si>
  <si>
    <t>MSH2;MSH6;EXO1</t>
  </si>
  <si>
    <t>http://www.broadinstitute.org/gsea/msigdb/cards/GO_ISOTYPE_SWITCHING.html</t>
  </si>
  <si>
    <t>10212;9775;5902;8683;23165;8570;55706;79902</t>
  </si>
  <si>
    <t>DDX39A;EIF4A3;RANBP1;SRSF9;NUP205;KHSRP;NDC1;NUP85</t>
  </si>
  <si>
    <t>3838;3837;23165;55706;79902</t>
  </si>
  <si>
    <t>KPNA2;KPNB1;NUP205;NDC1;NUP85</t>
  </si>
  <si>
    <t>23306;4001;7112;84823;3837;23165;55706;79902;83990;51514</t>
  </si>
  <si>
    <t>NEMP1;LMNB1;TMPO;LMNB2;KPNB1;NUP205;NDC1;NUP85;BRIP1;DTL</t>
  </si>
  <si>
    <t>GO_NUCLEOBASE_METABOLIC_PROCESS</t>
  </si>
  <si>
    <t>7298;6240;790;8833</t>
  </si>
  <si>
    <t>TYMS;RRM1;CAD;GMPS</t>
  </si>
  <si>
    <t>http://www.broadinstitute.org/gsea/msigdb/cards/GO_NUCLEOBASE_METABOLIC_PROCESS.html</t>
  </si>
  <si>
    <t>GO_MALE_MEIOSIS</t>
  </si>
  <si>
    <t>2175;675;9319;81930</t>
  </si>
  <si>
    <t>FANCA;BRCA2;TRIP13;KIF18A</t>
  </si>
  <si>
    <t>http://www.broadinstitute.org/gsea/msigdb/cards/GO_MALE_MEIOSIS.html</t>
  </si>
  <si>
    <t>983;3015;891;4691;890;1017;1786;3148;10105;672;4670;641;1869;5888;2146;3066;990;1894;1789</t>
  </si>
  <si>
    <t>CDK1;H2AFZ;CCNB1;NCL;CCNA2;CDK2;DNMT1;HMGB2;PPIF;BRCA1;HNRNPM;BLM;E2F1;RAD51;EZH2;HDAC2;CDC6;ECT2;DNMT3B</t>
  </si>
  <si>
    <t>7083;983;5111;891;1841;1017;1786;10105;6469;1894;9633</t>
  </si>
  <si>
    <t>TK1;CDK1;PCNA;CCNB1;DTYMK;CDK2;DNMT1;PPIF;SHH;ECT2;TESMIN</t>
  </si>
  <si>
    <t>8520;1515;6581;7083;7298;898;1786;4521;672;675;6502;83990;1789</t>
  </si>
  <si>
    <t>HAT1;CTSV;SLC22A3;TK1;TYMS;CCNE1;DNMT1;NUDT1;BRCA1;BRCA2;SKP2;BRIP1;DNMT3B</t>
  </si>
  <si>
    <t>79733;6839;6929;1786;5933;3068;5347;1869;2305;6996;6469;2146;3066;144455;9212;29128;1789;8914</t>
  </si>
  <si>
    <t>E2F8;SUV39H1;TCF3;DNMT1;RBL1;HDGF;PLK1;E2F1;FOXM1;TDG;SHH;EZH2;HDAC2;E2F7;AURKB;UHRF1;DNMT3B;TIMELESS</t>
  </si>
  <si>
    <t>GO_PROTEIN_LOCALIZATION_TO_CENTROSOME</t>
  </si>
  <si>
    <t>6790;6491;10615</t>
  </si>
  <si>
    <t>AURKA;STIL;SPAG5</t>
  </si>
  <si>
    <t>http://www.broadinstitute.org/gsea/msigdb/cards/GO_PROTEIN_LOCALIZATION_TO_CENTROSOME.html</t>
  </si>
  <si>
    <t>1786;672;54069</t>
  </si>
  <si>
    <t>DNMT1;BRCA1;MIS18A</t>
  </si>
  <si>
    <t>GO_REGULATION_OF_HISTONE_H3_K9_METHYLATION</t>
  </si>
  <si>
    <t>http://www.broadinstitute.org/gsea/msigdb/cards/GO_REGULATION_OF_HISTONE_H3_K9_METHYLATION.html</t>
  </si>
  <si>
    <t>GO_REGULATION_OF_SISTER_CHROMATID_COHESION</t>
  </si>
  <si>
    <t>699;9700;113130</t>
  </si>
  <si>
    <t>BUB1;ESPL1;CDCA5</t>
  </si>
  <si>
    <t>http://www.broadinstitute.org/gsea/msigdb/cards/GO_REGULATION_OF_SISTER_CHROMATID_COHESION.html</t>
  </si>
  <si>
    <t>GO_POLY_PYRIMIDINE_TRACT_BINDING</t>
  </si>
  <si>
    <t>5725;10657;219988</t>
  </si>
  <si>
    <t>PTBP1;KHDRBS1;PATL1</t>
  </si>
  <si>
    <t>http://www.broadinstitute.org/gsea/msigdb/cards/GO_POLY_PYRIMIDINE_TRACT_BINDING.html</t>
  </si>
  <si>
    <t>GO_REGULATION_OF_MEIOTIC_CELL_CYCLE</t>
  </si>
  <si>
    <t>4436;991;259266;26271</t>
  </si>
  <si>
    <t>MSH2;CDC20;ASPM;FBXO5</t>
  </si>
  <si>
    <t>http://www.broadinstitute.org/gsea/msigdb/cards/GO_REGULATION_OF_MEIOTIC_CELL_CYCLE.html</t>
  </si>
  <si>
    <t>10721;672;580;64858;27339</t>
  </si>
  <si>
    <t>POLQ;BRCA1;BARD1;DCLRE1B;PRPF19</t>
  </si>
  <si>
    <t>GO_RESPONSE_TO_CADMIUM_ION</t>
  </si>
  <si>
    <t>983;5111;1841;1017</t>
  </si>
  <si>
    <t>CDK1;PCNA;DTYMK;CDK2</t>
  </si>
  <si>
    <t>http://www.broadinstitute.org/gsea/msigdb/cards/GO_RESPONSE_TO_CADMIUM_ION.html</t>
  </si>
  <si>
    <t>GO_DNA_POLYMERASE_ACTIVITY</t>
  </si>
  <si>
    <t>http://www.broadinstitute.org/gsea/msigdb/cards/GO_DNA_POLYMERASE_ACTIVITY.html</t>
  </si>
  <si>
    <t>GO_SINGLE_ORGANISM_BIOSYNTHETIC_PROCESS</t>
  </si>
  <si>
    <t>8318;7083;7298;5111;10797;1503;1841;6240;790;6241;5984;5982;672;5985;5983;8833;1763;5427;9837;9768;23590;115004;92086;51514;27339;51659;65003</t>
  </si>
  <si>
    <t>CDC45;TK1;TYMS;PCNA;MTHFD2;CTPS1;DTYMK;RRM1;CAD;RRM2;RFC4;RFC2;BRCA1;RFC5;RFC3;GMPS;DNA2;POLE2;GINS1;PCLAF;PDSS1;CGAS;GGTLC1;DTL;PRPF19;GINS2;MRPL11</t>
  </si>
  <si>
    <t>http://www.broadinstitute.org/gsea/msigdb/cards/GO_SINGLE_ORGANISM_BIOSYNTHETIC_PROCESS.html</t>
  </si>
  <si>
    <t>GO_INTRINSIC_APOPTOTIC_SIGNALING_PATHWAY_IN_RESPONSE_TO_DNA_DAMAGE</t>
  </si>
  <si>
    <t>672;4436;675;2956;1869</t>
  </si>
  <si>
    <t>BRCA1;MSH2;BRCA2;MSH6;E2F1</t>
  </si>
  <si>
    <t>http://www.broadinstitute.org/gsea/msigdb/cards/GO_INTRINSIC_APOPTOTIC_SIGNALING_PATHWAY_IN_RESPONSE_TO_DNA_DAMAGE.html</t>
  </si>
  <si>
    <t>8520;7298;898;1786;672;675;83990;1789</t>
  </si>
  <si>
    <t>HAT1;TYMS;CCNE1;DNMT1;BRCA1;BRCA2;BRIP1;DNMT3B</t>
  </si>
  <si>
    <t>GO_ENDONUCLEASE_ACTIVITY_ACTIVE_WITH_EITHER_RIBO_OR_DEOXYRIBONUCLEIC_ACIDS_AND_PRODUCING_5_PHOSPHOMONOESTERS</t>
  </si>
  <si>
    <t>10535;2237;1763;9156</t>
  </si>
  <si>
    <t>RNASEH2A;FEN1;DNA2;EXO1</t>
  </si>
  <si>
    <t>http://www.broadinstitute.org/gsea/msigdb/cards/GO_ENDONUCLEASE_ACTIVITY_ACTIVE_WITH_EITHER_RIBO_OR_DEOXYRIBONUCLEIC_ACIDS_AND_PRODUCING_5_PHOSPHOMONOESTERS.html</t>
  </si>
  <si>
    <t>GO_4_IRON_4_SULFUR_CLUSTER_BINDING</t>
  </si>
  <si>
    <t>5558;1763;5426;83990</t>
  </si>
  <si>
    <t>PRIM2;DNA2;POLE;BRIP1</t>
  </si>
  <si>
    <t>http://www.broadinstitute.org/gsea/msigdb/cards/GO_4_IRON_4_SULFUR_CLUSTER_BINDING.html</t>
  </si>
  <si>
    <t>3797;10112;24137;983;203068;200933;3148;3832;1062;9493;3837;9928;9787;6469;146909;259266;81930;55789;9585;11004;3833;79902;29127;81610;54443;56992</t>
  </si>
  <si>
    <t>KIF3C;KIF20A;KIF4A;CDK1;TUBB;FBXO45;HMGB2;KIF11;CENPE;AC027237.1;KPNB1;KIF14;DLGAP5;SHH;KIF18B;ASPM;KIF18A;DEPDC1B;KIF20B;KIF2C;KIFC1;NUP85;RACGAP1;FAM83D;ANLN;KIF15</t>
  </si>
  <si>
    <t>GO_EXODEOXYRIBONUCLEASE_ACTIVITY</t>
  </si>
  <si>
    <t>http://www.broadinstitute.org/gsea/msigdb/cards/GO_EXODEOXYRIBONUCLEASE_ACTIVITY.html</t>
  </si>
  <si>
    <t>GO_RESPONSE_TO_TOXIC_SUBSTANCE</t>
  </si>
  <si>
    <t>7083;7298;983;891;1017;1786;6415;5888;1789</t>
  </si>
  <si>
    <t>TK1;TYMS;CDK1;CCNB1;CDK2;DNMT1;SELENOW;RAD51;DNMT3B</t>
  </si>
  <si>
    <t>http://www.broadinstitute.org/gsea/msigdb/cards/GO_RESPONSE_TO_TOXIC_SUBSTANCE.html</t>
  </si>
  <si>
    <t>GO_CULLIN_RING_UBIQUITIN_LIGASE_COMPLEX</t>
  </si>
  <si>
    <t>11065;701;899;991;6502;27338;51514</t>
  </si>
  <si>
    <t>UBE2C;BUB1B;CCNF;CDC20;SKP2;UBE2S;DTL</t>
  </si>
  <si>
    <t>http://www.broadinstitute.org/gsea/msigdb/cards/GO_CULLIN_RING_UBIQUITIN_LIGASE_COMPLEX.html</t>
  </si>
  <si>
    <t>79733;1111;6839;86;3015;4605;7153;6929;4691;1786;3148;5933;7913;672;3068;5347;1869;2305;6996;2967;6469;2146;29028;195828;26586;3066;144455;9212;29128;83990;1789;8914;6941</t>
  </si>
  <si>
    <t>E2F8;CHEK1;SUV39H1;ACTL6A;H2AFZ;MYBL2;TOP2A;TCF3;NCL;DNMT1;HMGB2;RBL1;DEK;BRCA1;HDGF;PLK1;E2F1;FOXM1;TDG;GTF2H3;SHH;EZH2;ATAD2;ZNF367;CKAP2;HDAC2;E2F7;AURKB;UHRF1;BRIP1;DNMT3B;TIMELESS;TCF19</t>
  </si>
  <si>
    <t>672;4436;675;2956;1869;1870;9833</t>
  </si>
  <si>
    <t>BRCA1;MSH2;BRCA2;MSH6;E2F1;E2F2;MELK</t>
  </si>
  <si>
    <t>GO_CELLULAR_COMPONENT_DISASSEMBLY_INVOLVED_IN_EXECUTION_PHASE_OF_APOPTOSIS</t>
  </si>
  <si>
    <t>7153;3148;3837;63967</t>
  </si>
  <si>
    <t>TOP2A;HMGB2;KPNB1;CLSPN</t>
  </si>
  <si>
    <t>http://www.broadinstitute.org/gsea/msigdb/cards/GO_CELLULAR_COMPONENT_DISASSEMBLY_INVOLVED_IN_EXECUTION_PHASE_OF_APOPTOSIS.html</t>
  </si>
  <si>
    <t>GO_DNA_REPAIR_COMPLEX</t>
  </si>
  <si>
    <t>4436;2956;5427;5426</t>
  </si>
  <si>
    <t>MSH2;MSH6;POLE2;POLE</t>
  </si>
  <si>
    <t>http://www.broadinstitute.org/gsea/msigdb/cards/GO_DNA_REPAIR_COMPLEX.html</t>
  </si>
  <si>
    <t>GO_PYRIMIDINE_NUCLEOBASE_METABOLIC_PROCESS</t>
  </si>
  <si>
    <t>7298;6240;790</t>
  </si>
  <si>
    <t>TYMS;RRM1;CAD</t>
  </si>
  <si>
    <t>http://www.broadinstitute.org/gsea/msigdb/cards/GO_PYRIMIDINE_NUCLEOBASE_METABOLIC_PROCESS.html</t>
  </si>
  <si>
    <t>GO_DEOXYRIBONUCLEOSIDE_TRIPHOSPHATE_METABOLIC_PROCESS</t>
  </si>
  <si>
    <t>7298;1841;4521</t>
  </si>
  <si>
    <t>TYMS;DTYMK;NUDT1</t>
  </si>
  <si>
    <t>http://www.broadinstitute.org/gsea/msigdb/cards/GO_DEOXYRIBONUCLEOSIDE_TRIPHOSPHATE_METABOLIC_PROCESS.html</t>
  </si>
  <si>
    <t>GO_POLY_PURINE_TRACT_BINDING</t>
  </si>
  <si>
    <t>9775;10657;219988</t>
  </si>
  <si>
    <t>EIF4A3;KHDRBS1;PATL1</t>
  </si>
  <si>
    <t>http://www.broadinstitute.org/gsea/msigdb/cards/GO_POLY_PURINE_TRACT_BINDING.html</t>
  </si>
  <si>
    <t>11339;1017;9775;4670;641;5888;6996;219988;201299;11073;27339</t>
  </si>
  <si>
    <t>OIP5;CDK2;EIF4A3;HNRNPM;BLM;RAD51;TDG;PATL1;RDM1;TOPBP1;PRPF19</t>
  </si>
  <si>
    <t>23306;7298;203068;4001;1841;6240;10105;7112;5902;1063;3838;1434;84823;4085;3837;7444;23165;80179;55706;79902;83990;51514;65003</t>
  </si>
  <si>
    <t>NEMP1;TYMS;TUBB;LMNB1;DTYMK;RRM1;PPIF;TMPO;RANBP1;CENPF;KPNA2;CSE1L;LMNB2;MAD2L1;KPNB1;VRK2;NUP205;MYO19;NDC1;NUP85;BRIP1;DTL;MRPL11</t>
  </si>
  <si>
    <t>79733;1871;6929;1017;5933;6878;1869;2967;1870;144455</t>
  </si>
  <si>
    <t>E2F8;E2F3;TCF3;CDK2;RBL1;TAF6;E2F1;GTF2H3;E2F2;E2F7</t>
  </si>
  <si>
    <t>1786;672;29028;1789</t>
  </si>
  <si>
    <t>DNMT1;BRCA1;ATAD2;DNMT3B</t>
  </si>
  <si>
    <t>GO_NUCLEOSOME_BINDING</t>
  </si>
  <si>
    <t>86;3015;3066;29128</t>
  </si>
  <si>
    <t>ACTL6A;H2AFZ;HDAC2;UHRF1</t>
  </si>
  <si>
    <t>http://www.broadinstitute.org/gsea/msigdb/cards/GO_NUCLEOSOME_BINDING.html</t>
  </si>
  <si>
    <t>GO_RESPONSE_TO_VITAMIN_A</t>
  </si>
  <si>
    <t>7298;1786;1789</t>
  </si>
  <si>
    <t>TYMS;DNMT1;DNMT3B</t>
  </si>
  <si>
    <t>http://www.broadinstitute.org/gsea/msigdb/cards/GO_RESPONSE_TO_VITAMIN_A.html</t>
  </si>
  <si>
    <t>GO_GERM_CELL_NUCLEUS</t>
  </si>
  <si>
    <t>6790;9319;11073</t>
  </si>
  <si>
    <t>AURKA;TRIP13;TOPBP1</t>
  </si>
  <si>
    <t>http://www.broadinstitute.org/gsea/msigdb/cards/GO_GERM_CELL_NUCLEUS.html</t>
  </si>
  <si>
    <t>10212;9775;5902;3838;1434;8683;23649;3837;23165;55706;79902</t>
  </si>
  <si>
    <t>DDX39A;EIF4A3;RANBP1;KPNA2;CSE1L;SRSF9;POLA2;KPNB1;NUP205;NDC1;NUP85</t>
  </si>
  <si>
    <t>GO_CELLULAR_RESPONSE_TO_ALCOHOL</t>
  </si>
  <si>
    <t>3015;890;672;641;5888;1789</t>
  </si>
  <si>
    <t>H2AFZ;CCNA2;BRCA1;BLM;RAD51;DNMT3B</t>
  </si>
  <si>
    <t>http://www.broadinstitute.org/gsea/msigdb/cards/GO_CELLULAR_RESPONSE_TO_ALCOHOL.html</t>
  </si>
  <si>
    <t>GO_PROTEIN_HETERODIMERIZATION_ACTIVITY</t>
  </si>
  <si>
    <t>332;10592;3015;7153;6929;1058;6878;23649;387103;23590;580;10051;8914</t>
  </si>
  <si>
    <t>BIRC5;SMC2;H2AFZ;TOP2A;TCF3;CENPA;TAF6;POLA2;CENPW;PDSS1;BARD1;SMC4;TIMELESS</t>
  </si>
  <si>
    <t>http://www.broadinstitute.org/gsea/msigdb/cards/GO_PROTEIN_HETERODIMERIZATION_ACTIVITY.html</t>
  </si>
  <si>
    <t>898;1017;1786;790;2305;3066;1789</t>
  </si>
  <si>
    <t>CCNE1;CDK2;DNMT1;CAD;FOXM1;HDAC2;DNMT3B</t>
  </si>
  <si>
    <t>6790;1515;7083;7298;983;3015;891;4691;890;898;1017;1786;3148;790;10105;672;675;4670;641;1869;5888;2305;2146;3066;990;1894;1789</t>
  </si>
  <si>
    <t>AURKA;CTSV;TK1;TYMS;CDK1;H2AFZ;CCNB1;NCL;CCNA2;CCNE1;CDK2;DNMT1;HMGB2;CAD;PPIF;BRCA1;BRCA2;HNRNPM;BLM;E2F1;RAD51;FOXM1;EZH2;HDAC2;CDC6;ECT2;DNMT3B</t>
  </si>
  <si>
    <t>1111;983;790;83903</t>
  </si>
  <si>
    <t>CHEK1;CDK1;CAD;HASPIN</t>
  </si>
  <si>
    <t>7374;1786;6996;2146;1789</t>
  </si>
  <si>
    <t>UNG;DNMT1;TDG;EZH2;DNMT3B</t>
  </si>
  <si>
    <t>GO_DEOXYRIBOSE_PHOSPHATE_CATABOLIC_PROCESS</t>
  </si>
  <si>
    <t>7374;4521;6996</t>
  </si>
  <si>
    <t>UNG;NUDT1;TDG</t>
  </si>
  <si>
    <t>http://www.broadinstitute.org/gsea/msigdb/cards/GO_DEOXYRIBOSE_PHOSPHATE_CATABOLIC_PROCESS.html</t>
  </si>
  <si>
    <t>891;5725;6733;8683;580;27339</t>
  </si>
  <si>
    <t>CCNB1;PTBP1;SRPK2;SRSF9;BARD1;PRPF19</t>
  </si>
  <si>
    <t>10212;9775;8683;23165;55706;79902</t>
  </si>
  <si>
    <t>DDX39A;EIF4A3;SRSF9;NUP205;NDC1;NUP85</t>
  </si>
  <si>
    <t>11065;332;672;6502;27338;80829;29128;580;10293;29089;51514;27339</t>
  </si>
  <si>
    <t>UBE2C;BIRC5;BRCA1;SKP2;UBE2S;ZFP91;UHRF1;BARD1;TRAIP;UBE2T;DTL;PRPF19</t>
  </si>
  <si>
    <t>79733;332;7298;7153;6929;4436;1063;2956;4085;6996;1994;146556;9125;9585;580;1894;8914</t>
  </si>
  <si>
    <t>E2F8;BIRC5;TYMS;TOP2A;TCF3;MSH2;CENPF;MSH6;MAD2L1;TDG;ELAVL1;C16orf89;CNOT9;KIF20B;BARD1;ECT2;TIMELESS</t>
  </si>
  <si>
    <t>983;672;10657;6469;1894;51512</t>
  </si>
  <si>
    <t>CDK1;BRCA1;KHDRBS1;SHH;ECT2;GTSE1</t>
  </si>
  <si>
    <t>11065;701;672;899;991;6502;27338;580;51514</t>
  </si>
  <si>
    <t>UBE2C;BUB1B;BRCA1;CCNF;CDC20;SKP2;UBE2S;BARD1;DTL</t>
  </si>
  <si>
    <t>86;983;10971;672;1869;10657;6469;9585;1894;54069;51512</t>
  </si>
  <si>
    <t>ACTL6A;CDK1;YWHAQ;BRCA1;E2F1;KHDRBS1;SHH;KIF20B;ECT2;MIS18A;GTSE1</t>
  </si>
  <si>
    <t>10535;7374;3148;4521;9775;2237;1763;6996;3837;219988;9125;8570</t>
  </si>
  <si>
    <t>RNASEH2A;UNG;HMGB2;NUDT1;EIF4A3;FEN1;DNA2;TDG;KPNB1;PATL1;CNOT9;KHSRP</t>
  </si>
  <si>
    <t>7516;675;5888;2177</t>
  </si>
  <si>
    <t>XRCC2;BRCA2;RAD51;FANCD2</t>
  </si>
  <si>
    <t>GO_GLUTAMINE_METABOLIC_PROCESS</t>
  </si>
  <si>
    <t>1503;790;8833</t>
  </si>
  <si>
    <t>CTPS1;CAD;GMPS</t>
  </si>
  <si>
    <t>http://www.broadinstitute.org/gsea/msigdb/cards/GO_GLUTAMINE_METABOLIC_PROCESS.html</t>
  </si>
  <si>
    <t>10212;5725;9775;4670;6733;10657;1479;8683;2967;1994;219988;9125;8570;84991;27339</t>
  </si>
  <si>
    <t>DDX39A;PTBP1;EIF4A3;HNRNPM;SRPK2;KHDRBS1;CSTF3;SRSF9;GTF2H3;ELAVL1;PATL1;CNOT9;KHSRP;RBM17;PRPF19</t>
  </si>
  <si>
    <t>GO_PYRIMIDINE_NUCLEOSIDE_METABOLIC_PROCESS</t>
  </si>
  <si>
    <t>http://www.broadinstitute.org/gsea/msigdb/cards/GO_PYRIMIDINE_NUCLEOSIDE_METABOLIC_PROCESS.html</t>
  </si>
  <si>
    <t>983;672;4670;5347;6469;4796;1894;51512</t>
  </si>
  <si>
    <t>CDK1;BRCA1;HNRNPM;PLK1;SHH;TONSL;ECT2;GTSE1</t>
  </si>
  <si>
    <t>GO_POSITIVE_REGULATION_OF_G1_S_TRANSITION_OF_MITOTIC_CELL_CYCLE</t>
  </si>
  <si>
    <t>8318;27085;990</t>
  </si>
  <si>
    <t>CDC45;MTBP;CDC6</t>
  </si>
  <si>
    <t>http://www.broadinstitute.org/gsea/msigdb/cards/GO_POSITIVE_REGULATION_OF_G1_S_TRANSITION_OF_MITOTIC_CELL_CYCLE.html</t>
  </si>
  <si>
    <t>GO_GAMMA_TUBULIN_BINDING</t>
  </si>
  <si>
    <t>675;285753;29127</t>
  </si>
  <si>
    <t>BRCA2;CEP57L1;RACGAP1</t>
  </si>
  <si>
    <t>http://www.broadinstitute.org/gsea/msigdb/cards/GO_GAMMA_TUBULIN_BINDING.html</t>
  </si>
  <si>
    <t>6790;332;7516;983;7374;4691;3148;10105;672;4436;5347;4085;9928;6469;6491;63979;3066;9212;580</t>
  </si>
  <si>
    <t>AURKA;BIRC5;XRCC2;CDK1;UNG;NCL;HMGB2;PPIF;BRCA1;MSH2;PLK1;MAD2L1;KIF14;SHH;STIL;FIGNL1;HDAC2;AURKB;BARD1</t>
  </si>
  <si>
    <t>23310;2956;54892;29128</t>
  </si>
  <si>
    <t>NCAPD3;MSH6;NCAPG2;UHRF1</t>
  </si>
  <si>
    <t>983;672;10657;6469;4796;580;1894;51512</t>
  </si>
  <si>
    <t>CDK1;BRCA1;KHDRBS1;SHH;TONSL;BARD1;ECT2;GTSE1</t>
  </si>
  <si>
    <t>GO_POSITIVE_REGULATION_OF_FIBROBLAST_PROLIFERATION</t>
  </si>
  <si>
    <t>891;890;1869;990</t>
  </si>
  <si>
    <t>CCNB1;CCNA2;E2F1;CDC6</t>
  </si>
  <si>
    <t>http://www.broadinstitute.org/gsea/msigdb/cards/GO_POSITIVE_REGULATION_OF_FIBROBLAST_PROLIFERATION.html</t>
  </si>
  <si>
    <t>GO_INTRINSIC_APOPTOTIC_SIGNALING_PATHWAY_BY_P53_CLASS_MEDIATOR</t>
  </si>
  <si>
    <t>4436;675;1869;1870</t>
  </si>
  <si>
    <t>MSH2;BRCA2;E2F1;E2F2</t>
  </si>
  <si>
    <t>http://www.broadinstitute.org/gsea/msigdb/cards/GO_INTRINSIC_APOPTOTIC_SIGNALING_PATHWAY_BY_P53_CLASS_MEDIATOR.html</t>
  </si>
  <si>
    <t>GO_REGULATION_OF_REPRODUCTIVE_PROCESS</t>
  </si>
  <si>
    <t>6790;4436;991;6469;259266;26271</t>
  </si>
  <si>
    <t>AURKA;MSH2;CDC20;SHH;ASPM;FBXO5</t>
  </si>
  <si>
    <t>http://www.broadinstitute.org/gsea/msigdb/cards/GO_REGULATION_OF_REPRODUCTIVE_PROCESS.html</t>
  </si>
  <si>
    <t>6839;8562;9775;6733;8683;23076;64434;90381;219988;57647;27339;65003</t>
  </si>
  <si>
    <t>SUV39H1;DENR;EIF4A3;SRPK2;SRSF9;RRP1B;NOM1;TICRR;PATL1;DHX37;PRPF19;MRPL11</t>
  </si>
  <si>
    <t>GO_CELL_DIFFERENTIATION_INVOLVED_IN_EMBRYONIC_PLACENTA_DEVELOPMENT</t>
  </si>
  <si>
    <t>http://www.broadinstitute.org/gsea/msigdb/cards/GO_CELL_DIFFERENTIATION_INVOLVED_IN_EMBRYONIC_PLACENTA_DEVELOPMENT.html</t>
  </si>
  <si>
    <t>GO_APOPTOTIC_NUCLEAR_CHANGES</t>
  </si>
  <si>
    <t>7153;3148;3837</t>
  </si>
  <si>
    <t>TOP2A;HMGB2;KPNB1</t>
  </si>
  <si>
    <t>http://www.broadinstitute.org/gsea/msigdb/cards/GO_APOPTOTIC_NUCLEAR_CHANGES.html</t>
  </si>
  <si>
    <t>9232;203068;1786;3148;10971;995;4670;10657;10036;3837;9928;7444;79801;9125;9585</t>
  </si>
  <si>
    <t>PTTG1;TUBB;DNMT1;HMGB2;YWHAQ;CDC25C;HNRNPM;KHDRBS1;CHAF1A;KPNB1;KIF14;VRK2;SHCBP1;CNOT9;KIF20B</t>
  </si>
  <si>
    <t>GO_NUCLEAR_INNER_MEMBRANE</t>
  </si>
  <si>
    <t>23306;4001;7112;84823</t>
  </si>
  <si>
    <t>NEMP1;LMNB1;TMPO;LMNB2</t>
  </si>
  <si>
    <t>http://www.broadinstitute.org/gsea/msigdb/cards/GO_NUCLEAR_INNER_MEMBRANE.html</t>
  </si>
  <si>
    <t>GO_CELL_MATURATION</t>
  </si>
  <si>
    <t>7298;891;675;9319;132320;26271</t>
  </si>
  <si>
    <t>TYMS;CCNB1;BRCA2;TRIP13;SCLT1;FBXO5</t>
  </si>
  <si>
    <t>http://www.broadinstitute.org/gsea/msigdb/cards/GO_CELL_MATURATION.html</t>
  </si>
  <si>
    <t>GO_REGULATION_OF_GLIOGENESIS</t>
  </si>
  <si>
    <t>983;6469;2146;3066;27339</t>
  </si>
  <si>
    <t>CDK1;SHH;EZH2;HDAC2;PRPF19</t>
  </si>
  <si>
    <t>http://www.broadinstitute.org/gsea/msigdb/cards/GO_REGULATION_OF_GLIOGENESIS.html</t>
  </si>
  <si>
    <t>1111;10721;7398;86;5111;7913;672;5888;2305;63979;23165;10635;55872;55706;79902;55010</t>
  </si>
  <si>
    <t>CHEK1;POLQ;USP1;ACTL6A;PCNA;DEK;BRCA1;RAD51;FOXM1;FIGNL1;NUP205;RAD51AP1;PBK;NDC1;NUP85;PARPBP</t>
  </si>
  <si>
    <t>GO_ESTABLISHMENT_OF_SPINDLE_ORIENTATION</t>
  </si>
  <si>
    <t>10403;1058;10615</t>
  </si>
  <si>
    <t>NDC80;CENPA;SPAG5</t>
  </si>
  <si>
    <t>http://www.broadinstitute.org/gsea/msigdb/cards/GO_ESTABLISHMENT_OF_SPINDLE_ORIENTATION.html</t>
  </si>
  <si>
    <t>GO_CELLULAR_RESPONSE_TO_LIGHT_STIMULUS</t>
  </si>
  <si>
    <t>http://www.broadinstitute.org/gsea/msigdb/cards/GO_CELLULAR_RESPONSE_TO_LIGHT_STIMULUS.html</t>
  </si>
  <si>
    <t>GO_TELOMERE_MAINTENANCE_VIA_TELOMERE_LENGTHENING</t>
  </si>
  <si>
    <t>5111;1763;5888</t>
  </si>
  <si>
    <t>PCNA;DNA2;RAD51</t>
  </si>
  <si>
    <t>http://www.broadinstitute.org/gsea/msigdb/cards/GO_TELOMERE_MAINTENANCE_VIA_TELOMERE_LENGTHENING.html</t>
  </si>
  <si>
    <t>GO_EXECUTION_PHASE_OF_APOPTOSIS</t>
  </si>
  <si>
    <t>http://www.broadinstitute.org/gsea/msigdb/cards/GO_EXECUTION_PHASE_OF_APOPTOSIS.html</t>
  </si>
  <si>
    <t>675;641;990;80119</t>
  </si>
  <si>
    <t>BRCA2;BLM;CDC6;PIF1</t>
  </si>
  <si>
    <t>GO_ALPHA_AMINO_ACID_METABOLIC_PROCESS</t>
  </si>
  <si>
    <t>7298;10797;1503;1786;790;9775;8833;1789</t>
  </si>
  <si>
    <t>TYMS;MTHFD2;CTPS1;DNMT1;CAD;EIF4A3;GMPS;DNMT3B</t>
  </si>
  <si>
    <t>http://www.broadinstitute.org/gsea/msigdb/cards/GO_ALPHA_AMINO_ACID_METABOLIC_PROCESS.html</t>
  </si>
  <si>
    <t>GO_REGULATION_OF_DNA_BINDING</t>
  </si>
  <si>
    <t>3148;4751;1869;55355;3066</t>
  </si>
  <si>
    <t>HMGB2;NEK2;E2F1;HJURP;HDAC2</t>
  </si>
  <si>
    <t>http://www.broadinstitute.org/gsea/msigdb/cards/GO_REGULATION_OF_DNA_BINDING.html</t>
  </si>
  <si>
    <t>86;3015;6929;3148;3066</t>
  </si>
  <si>
    <t>ACTL6A;H2AFZ;TCF3;HMGB2;HDAC2</t>
  </si>
  <si>
    <t>GO_PROTEIN_K11_LINKED_UBIQUITINATION</t>
  </si>
  <si>
    <t>11065;27338;29089</t>
  </si>
  <si>
    <t>UBE2C;UBE2S;UBE2T</t>
  </si>
  <si>
    <t>http://www.broadinstitute.org/gsea/msigdb/cards/GO_PROTEIN_K11_LINKED_UBIQUITINATION.html</t>
  </si>
  <si>
    <t>GO_REGULATION_OF_HISTONE_H3_K4_METHYLATION</t>
  </si>
  <si>
    <t>http://www.broadinstitute.org/gsea/msigdb/cards/GO_REGULATION_OF_HISTONE_H3_K4_METHYLATION.html</t>
  </si>
  <si>
    <t>GO_MACROMOLECULAR_COMPLEX_DISASSEMBLY</t>
  </si>
  <si>
    <t>8562;9928;146909;81930;11004;65003;11198</t>
  </si>
  <si>
    <t>DENR;KIF14;KIF18B;KIF18A;KIF2C;MRPL11;SUPT16H</t>
  </si>
  <si>
    <t>http://www.broadinstitute.org/gsea/msigdb/cards/GO_MACROMOLECULAR_COMPLEX_DISASSEMBLY.html</t>
  </si>
  <si>
    <t>GO_RESPONSE_TO_ETHANOL</t>
  </si>
  <si>
    <t>7298;983;898;1017;1786;3066</t>
  </si>
  <si>
    <t>TYMS;CDK1;CCNE1;CDK2;DNMT1;HDAC2</t>
  </si>
  <si>
    <t>http://www.broadinstitute.org/gsea/msigdb/cards/GO_RESPONSE_TO_ETHANOL.html</t>
  </si>
  <si>
    <t>GO_CHROMATIN_SILENCING</t>
  </si>
  <si>
    <t>8520;6839;3015;3066;3070</t>
  </si>
  <si>
    <t>HAT1;SUV39H1;H2AFZ;HDAC2;HELLS</t>
  </si>
  <si>
    <t>http://www.broadinstitute.org/gsea/msigdb/cards/GO_CHROMATIN_SILENCING.html</t>
  </si>
  <si>
    <t>672;6502;9125</t>
  </si>
  <si>
    <t>BRCA1;SKP2;CNOT9</t>
  </si>
  <si>
    <t>GO_RESPONSE_TO_GONADOTROPIN</t>
  </si>
  <si>
    <t>1515;890;2305</t>
  </si>
  <si>
    <t>CTSV;CCNA2;FOXM1</t>
  </si>
  <si>
    <t>http://www.broadinstitute.org/gsea/msigdb/cards/GO_RESPONSE_TO_GONADOTROPIN.html</t>
  </si>
  <si>
    <t>GO_CYCLIN_DEPENDENT_PROTEIN_SERINE_THREONINE_KINASE_REGULATOR_ACTIVITY</t>
  </si>
  <si>
    <t>9134;898;1163</t>
  </si>
  <si>
    <t>CCNE2;CCNE1;CKS1B</t>
  </si>
  <si>
    <t>http://www.broadinstitute.org/gsea/msigdb/cards/GO_CYCLIN_DEPENDENT_PROTEIN_SERINE_THREONINE_KINASE_REGULATOR_ACTIVITY.html</t>
  </si>
  <si>
    <t>GO_FEMALE_GAMETE_GENERATION</t>
  </si>
  <si>
    <t>http://www.broadinstitute.org/gsea/msigdb/cards/GO_FEMALE_GAMETE_GENERATION.html</t>
  </si>
  <si>
    <t>10721;9133;7153;7374;6929;3148;4436;675;2956;9833;6469;157570;54443;9156</t>
  </si>
  <si>
    <t>POLQ;CCNB2;TOP2A;UNG;TCF3;HMGB2;MSH2;BRCA2;MSH6;MELK;SHH;ESCO2;ANLN;EXO1</t>
  </si>
  <si>
    <t>1786;6996;2146;1789</t>
  </si>
  <si>
    <t>DNMT1;TDG;EZH2;DNMT3B</t>
  </si>
  <si>
    <t>GO_REGULATION_OF_GLIAL_CELL_DIFFERENTIATION</t>
  </si>
  <si>
    <t>983;6469;3066;27339</t>
  </si>
  <si>
    <t>CDK1;SHH;HDAC2;PRPF19</t>
  </si>
  <si>
    <t>http://www.broadinstitute.org/gsea/msigdb/cards/GO_REGULATION_OF_GLIAL_CELL_DIFFERENTIATION.html</t>
  </si>
  <si>
    <t>GO_REGULATION_OF_MEIOTIC_NUCLEAR_DIVISION</t>
  </si>
  <si>
    <t>4436;991;26271</t>
  </si>
  <si>
    <t>MSH2;CDC20;FBXO5</t>
  </si>
  <si>
    <t>http://www.broadinstitute.org/gsea/msigdb/cards/GO_REGULATION_OF_MEIOTIC_NUCLEAR_DIVISION.html</t>
  </si>
  <si>
    <t>GO_NEUROBLAST_PROLIFERATION</t>
  </si>
  <si>
    <t>6469;259266;29127</t>
  </si>
  <si>
    <t>SHH;ASPM;RACGAP1</t>
  </si>
  <si>
    <t>http://www.broadinstitute.org/gsea/msigdb/cards/GO_NEUROBLAST_PROLIFERATION.html</t>
  </si>
  <si>
    <t>GO_UBIQUITIN_LIKE_PROTEIN_CONJUGATING_ENZYME_ACTIVITY</t>
  </si>
  <si>
    <t>http://www.broadinstitute.org/gsea/msigdb/cards/GO_UBIQUITIN_LIKE_PROTEIN_CONJUGATING_ENZYME_ACTIVITY.html</t>
  </si>
  <si>
    <t>GO_POSITIVE_REGULATION_OF_PROTEASOMAL_PROTEIN_CATABOLIC_PROCESS</t>
  </si>
  <si>
    <t>6790;5347;9700;9787;26271</t>
  </si>
  <si>
    <t>AURKA;PLK1;ESPL1;DLGAP5;FBXO5</t>
  </si>
  <si>
    <t>http://www.broadinstitute.org/gsea/msigdb/cards/GO_POSITIVE_REGULATION_OF_PROTEASOMAL_PROTEIN_CATABOLIC_PROCESS.html</t>
  </si>
  <si>
    <t>7298;898;1786;83990;1789</t>
  </si>
  <si>
    <t>TYMS;CCNE1;DNMT1;BRIP1;DNMT3B</t>
  </si>
  <si>
    <t>10797;1503;790;672;8833;150465;80829;29128;580;10293;27339</t>
  </si>
  <si>
    <t>MTHFD2;CTPS1;CAD;BRCA1;GMPS;TTL;ZFP91;UHRF1;BARD1;TRAIP;PRPF19</t>
  </si>
  <si>
    <t>GO_NUCLEOSOMAL_DNA_BINDING</t>
  </si>
  <si>
    <t>86;3015;3066</t>
  </si>
  <si>
    <t>ACTL6A;H2AFZ;HDAC2</t>
  </si>
  <si>
    <t>http://www.broadinstitute.org/gsea/msigdb/cards/GO_NUCLEOSOMAL_DNA_BINDING.html</t>
  </si>
  <si>
    <t>GO_STRUCTURAL_CONSTITUENT_OF_CYTOSKELETON</t>
  </si>
  <si>
    <t>10403;203068;7283;10376;84790</t>
  </si>
  <si>
    <t>NDC80;TUBB;TUBG1;TUBA1B;TUBA1C</t>
  </si>
  <si>
    <t>http://www.broadinstitute.org/gsea/msigdb/cards/GO_STRUCTURAL_CONSTITUENT_OF_CYTOSKELETON.html</t>
  </si>
  <si>
    <t>983;890;1017;10105;4521;9833;2146;7444;3066;1894</t>
  </si>
  <si>
    <t>CDK1;CCNA2;CDK2;PPIF;NUDT1;MELK;EZH2;VRK2;HDAC2;ECT2</t>
  </si>
  <si>
    <t>10212;9775;1479;8683</t>
  </si>
  <si>
    <t>DDX39A;EIF4A3;CSTF3;SRSF9</t>
  </si>
  <si>
    <t>5725;6733;8683;27339</t>
  </si>
  <si>
    <t>PTBP1;SRPK2;SRSF9;PRPF19</t>
  </si>
  <si>
    <t>10212;1871;9232;4605;7913;9775;6878;2305;6749;1479;8683;2967;1870;9319;55656;11198</t>
  </si>
  <si>
    <t>DDX39A;E2F3;PTTG1;MYBL2;DEK;EIF4A3;TAF6;FOXM1;SSRP1;CSTF3;SRSF9;GTF2H3;E2F2;TRIP13;INTS8;SUPT16H</t>
  </si>
  <si>
    <t>GO_DNA_TEMPLATED_TRANSCRIPTION_TERMINATION</t>
  </si>
  <si>
    <t>10212;9775;1479;8683;2967</t>
  </si>
  <si>
    <t>DDX39A;EIF4A3;CSTF3;SRSF9;GTF2H3</t>
  </si>
  <si>
    <t>http://www.broadinstitute.org/gsea/msigdb/cards/GO_DNA_TEMPLATED_TRANSCRIPTION_TERMINATION.html</t>
  </si>
  <si>
    <t>2189;6839;7298;7153;898;2146;2491;3066;8914</t>
  </si>
  <si>
    <t>FANCG;SUV39H1;TYMS;TOP2A;CCNE1;EZH2;CENPI;HDAC2;TIMELESS</t>
  </si>
  <si>
    <t>GO_EUCHROMATIN</t>
  </si>
  <si>
    <t>3015;23076;29128</t>
  </si>
  <si>
    <t>H2AFZ;RRP1B;UHRF1</t>
  </si>
  <si>
    <t>http://www.broadinstitute.org/gsea/msigdb/cards/GO_EUCHROMATIN.html</t>
  </si>
  <si>
    <t>5888;157570;27339</t>
  </si>
  <si>
    <t>RAD51;ESCO2;PRPF19</t>
  </si>
  <si>
    <t>RB_P107_DN.V1_UP</t>
  </si>
  <si>
    <t>79733;2175;9055;8318;11169;24137;9134;5111;7283;6240;898;1017;6241;4174;4176;5982;2237;5985;5983;899;5557;5558;4171;1763;5427;1869;5426;8208;4085;4175;23397;9918;23234;84296;64105;64946;3619;55723;51512;6941;23594</t>
  </si>
  <si>
    <t>E2F8;FANCA;PRC1;CDC45;WDHD1;KIF4A;CCNE2;PCNA;TUBG1;RRM1;CCNE1;CDK2;RRM2;MCM5;MCM7;RFC2;FEN1;RFC5;RFC3;CCNF;PRIM1;PRIM2;MCM2;DNA2;POLE2;E2F1;POLE;CHAF1B;MAD2L1;MCM6;NCAPH;NCAPD2;DNAJC9;GINS4;CENPK;CENPH;INCENP;ASF1B;GTSE1;TCF19;ORC6</t>
  </si>
  <si>
    <t>http://www.broadinstitute.org/gsea/msigdb/cards/RB_P107_DN.V1_UP.html</t>
  </si>
  <si>
    <t>CSR_LATE_UP.V1_UP</t>
  </si>
  <si>
    <t>8317;11065;8520;2175;332;11130;86;983;4605;1503;7283;1841;4172;6241;2237;5557;84823;2305;9319;2146;55143;84798;195828;79801;26586;55872;29128;990;64785;55706;83540;81610;55055;63967;54443;81624;55646;6941;51659</t>
  </si>
  <si>
    <t>CDC7;UBE2C;HAT1;FANCA;BIRC5;ZWINT;ACTL6A;CDK1;MYBL2;CTPS1;TUBG1;DTYMK;MCM3;RRM2;FEN1;PRIM1;LMNB2;FOXM1;TRIP13;EZH2;CDCA8;C19orf48;ZNF367;SHCBP1;CKAP2;PBK;UHRF1;CDC6;GINS3;NDC1;NUF2;FAM83D;ZWILCH;CLSPN;ANLN;DIAPH3;LYAR;TCF19;GINS2</t>
  </si>
  <si>
    <t>http://www.broadinstitute.org/gsea/msigdb/cards/CSR_LATE_UP.V1_UP.html</t>
  </si>
  <si>
    <t>RPS14_DN.V1_DN</t>
  </si>
  <si>
    <t>79733;9055;9133;10112;7083;4605;7283;790;4174;4436;4288;5347;1062;9493;991;4998;9700;23397;9787;9319;54821;55635;9824;29028;55388;80179;55872;83461;11004;990;55706;1894;55055;3619;56992;26271;9156;51659</t>
  </si>
  <si>
    <t>E2F8;PRC1;CCNB2;KIF20A;TK1;MYBL2;TUBG1;CAD;MCM5;MSH2;MKI67;PLK1;CENPE;AC027237.1;CDC20;ORC1;ESPL1;NCAPH;DLGAP5;TRIP13;ERCC6L;DEPDC1;ARHGAP11A;ATAD2;MCM10;MYO19;PBK;CDCA3;KIF2C;CDC6;NDC1;ECT2;ZWILCH;INCENP;KIF15;FBXO5;EXO1;GINS2</t>
  </si>
  <si>
    <t>http://www.broadinstitute.org/gsea/msigdb/cards/RPS14_DN.V1_DN.html</t>
  </si>
  <si>
    <t>E2F1_UP.V1_UP</t>
  </si>
  <si>
    <t>79733;10733;1871;1111;9055;699;11169;10592;7083;7298;7153;4001;6240;790;4173;2237;5558;6878;1763;675;8208;23649;23076;23397;9787;6491;1994;2146;151648;55388;9212;3833;29089;10926</t>
  </si>
  <si>
    <t>E2F8;PLK4;E2F3;CHEK1;PRC1;BUB1;WDHD1;SMC2;TK1;TYMS;TOP2A;LMNB1;RRM1;CAD;MCM4;FEN1;PRIM2;TAF6;DNA2;BRCA2;CHAF1B;POLA2;RRP1B;NCAPH;DLGAP5;STIL;ELAVL1;EZH2;SGO1;MCM10;AURKB;KIFC1;UBE2T;DBF4</t>
  </si>
  <si>
    <t>http://www.broadinstitute.org/gsea/msigdb/cards/E2F1_UP.V1_UP.html</t>
  </si>
  <si>
    <t>PRC2_EZH2_UP.V1_DN</t>
  </si>
  <si>
    <t>11339;699;3161;8318;24137;4605;4001;993;7272;5984;1063;5557;4171;9735;1763;6502;23397;9787;2146;55635;84722;79682;55388;55355;8438;9212;79075;81620;1894;79968;3070;56992;10460</t>
  </si>
  <si>
    <t>OIP5;BUB1;HMMR;CDC45;KIF4A;MYBL2;LMNB1;CDC25A;TTK;RFC4;CENPF;PRIM1;MCM2;KNTC1;DNA2;SKP2;NCAPH;DLGAP5;EZH2;DEPDC1;PSRC1;CENPU;MCM10;HJURP;RAD54L;AURKB;DSCC1;CDT1;ECT2;WDR76;HELLS;KIF15;TACC3</t>
  </si>
  <si>
    <t>http://www.broadinstitute.org/gsea/msigdb/cards/PRC2_EZH2_UP.V1_DN.html</t>
  </si>
  <si>
    <t>79733;10212;1111;6790;9055;10592;7083;983;7153;7374;6240;993;995;6241;4173;4174;23649;4175;9787;9319;151648;55388;9212;11004;3833;51203;3619;10051;29893</t>
  </si>
  <si>
    <t>E2F8;DDX39A;CHEK1;AURKA;PRC1;SMC2;TK1;CDK1;TOP2A;UNG;RRM1;CDC25A;CDC25C;RRM2;MCM4;MCM5;POLA2;MCM6;DLGAP5;TRIP13;SGO1;MCM10;AURKB;KIF2C;KIFC1;NUSAP1;INCENP;SMC4;PSMC3IP</t>
  </si>
  <si>
    <t>10733;10403;332;699;701;3161;8318;9133;891;4001;898;6241;7272;4173;5984;7112;1058;3832;1434;1062;9493;4085;9787;1033;10615;10051;10926;9156</t>
  </si>
  <si>
    <t>PLK4;NDC80;BIRC5;BUB1;BUB1B;HMMR;CDC45;CCNB2;CCNB1;LMNB1;CCNE1;RRM2;TTK;MCM4;RFC4;TMPO;CENPA;KIF11;CSE1L;CENPE;AC027237.1;MAD2L1;DLGAP5;CDKN3;SPAG5;SMC4;DBF4;EXO1</t>
  </si>
  <si>
    <t>PRC2_EED_UP.V1_DN</t>
  </si>
  <si>
    <t>701;8318;9401;24137;4605;790;4174;4171;5347;9493;8208;4998;23649;55143;80178;55388;80174;8438;64858;55055;63967;3619;3070;55732;55723;10460</t>
  </si>
  <si>
    <t>BUB1B;CDC45;RECQL4;KIF4A;MYBL2;CAD;MCM5;MCM2;PLK1;AC027237.1;CHAF1B;ORC1;POLA2;CDCA8;TEDC2;MCM10;DBF4B;RAD54L;DCLRE1B;ZWILCH;CLSPN;INCENP;HELLS;C1orf112;ASF1B;TACC3</t>
  </si>
  <si>
    <t>http://www.broadinstitute.org/gsea/msigdb/cards/PRC2_EED_UP.V1_DN.html</t>
  </si>
  <si>
    <t>79733;1871;1111;6790;9055;24137;10592;7298;200933;7153;6240;4174;2237;2956;23649;4175;151648;55388;9212;3833;10293;29089;54443</t>
  </si>
  <si>
    <t>E2F8;E2F3;CHEK1;AURKA;PRC1;KIF4A;SMC2;TYMS;FBXO45;TOP2A;RRM1;MCM5;FEN1;MSH6;POLA2;MCM6;SGO1;MCM10;AURKB;KIFC1;TRAIP;UBE2T;ANLN</t>
  </si>
  <si>
    <t>79733;10733;2189;8318;10535;5558;675;4998;9837;9918;55165;9824;29028;55388;990;84296;64785;55706;81620;81539;3070;55732;55215</t>
  </si>
  <si>
    <t>E2F8;PLK4;FANCG;CDC45;RNASEH2A;PRIM2;BRCA2;ORC1;GINS1;NCAPD2;CEP55;ARHGAP11A;ATAD2;MCM10;CDC6;GINS4;GINS3;NDC1;CDT1;SLC38A1;HELLS;C1orf112;FANCI</t>
  </si>
  <si>
    <t>RB_DN.V1_UP</t>
  </si>
  <si>
    <t>8520;9134;5111;7283;898;1786;6241;4176;5983;5557;1763;2956;5427;4175;23234;8438;29089;8914</t>
  </si>
  <si>
    <t>HAT1;CCNE2;PCNA;TUBG1;CCNE1;DNMT1;RRM2;MCM7;RFC3;PRIM1;DNA2;MSH6;POLE2;MCM6;DNAJC9;RAD54L;UBE2T;TIMELESS</t>
  </si>
  <si>
    <t>http://www.broadinstitute.org/gsea/msigdb/cards/RB_DN.V1_UP.html</t>
  </si>
  <si>
    <t>RB_P130_DN.V1_UP</t>
  </si>
  <si>
    <t>8317;11065;6790;332;6581;9133;10112;7083;983;4998;9212;54478;29127</t>
  </si>
  <si>
    <t>CDC7;UBE2C;AURKA;BIRC5;SLC22A3;CCNB2;KIF20A;TK1;CDK1;ORC1;AURKB;PIMREG;RACGAP1</t>
  </si>
  <si>
    <t>http://www.broadinstitute.org/gsea/msigdb/cards/RB_P130_DN.V1_UP.html</t>
  </si>
  <si>
    <t>10733;7272;4436;1062;4085;6491;55635;11073;10635;64151;1894;51514;10926;26271;25788</t>
  </si>
  <si>
    <t>PLK4;TTK;MSH2;CENPE;MAD2L1;STIL;DEPDC1;TOPBP1;RAD51AP1;NCAPG;ECT2;DTL;DBF4;FBXO5;RAD54B</t>
  </si>
  <si>
    <t>E2F3_UP.V1_UP</t>
  </si>
  <si>
    <t>2175;9401;9134;5111;7374;898;2237;5427;5426;9837;29028;195828;144455;64858;51514</t>
  </si>
  <si>
    <t>FANCA;RECQL4;CCNE2;PCNA;UNG;CCNE1;FEN1;POLE2;POLE;GINS1;ATAD2;ZNF367;E2F7;DCLRE1B;DTL</t>
  </si>
  <si>
    <t>http://www.broadinstitute.org/gsea/msigdb/cards/E2F3_UP.V1_UP.html</t>
  </si>
  <si>
    <t>11065;8520;699;10112;86;5933;4174;84798;54892;57650;26586;9212;55055;51514</t>
  </si>
  <si>
    <t>UBE2C;HAT1;BUB1;KIF20A;ACTL6A;RBL1;MCM5;C19orf48;NCAPG2;CIP2A;CKAP2;AURKB;ZWILCH;DTL</t>
  </si>
  <si>
    <t>CORDENONSI_YAP_CONSERVED_SIGNATURE</t>
  </si>
  <si>
    <t>332;3161;7083;7153;1063;991;79801;1894</t>
  </si>
  <si>
    <t>BIRC5;HMMR;TK1;TOP2A;CENPF;CDC20;SHCBP1;ECT2</t>
  </si>
  <si>
    <t>http://www.broadinstitute.org/gsea/msigdb/cards/CORDENONSI_YAP_CONSERVED_SIGNATURE.html</t>
  </si>
  <si>
    <t>MTOR_UP.V1_UP</t>
  </si>
  <si>
    <t>11065;983;5111;6241;4174;991;4175;55247;29128;3070;10926;6941</t>
  </si>
  <si>
    <t>UBE2C;CDK1;PCNA;RRM2;MCM5;CDC20;MCM6;NEIL3;UHRF1;HELLS;DBF4;TCF19</t>
  </si>
  <si>
    <t>http://www.broadinstitute.org/gsea/msigdb/cards/MTOR_UP.V1_UP.html</t>
  </si>
  <si>
    <t>SRC_UP.V1_DN</t>
  </si>
  <si>
    <t>79733;10733;86;4172;4173;4174;9837;2146;29028;29128;29127;64946</t>
  </si>
  <si>
    <t>E2F8;PLK4;ACTL6A;MCM3;MCM4;MCM5;GINS1;EZH2;ATAD2;UHRF1;RACGAP1;CENPH</t>
  </si>
  <si>
    <t>http://www.broadinstitute.org/gsea/msigdb/cards/SRC_UP.V1_DN.html</t>
  </si>
  <si>
    <t>8318;11169;10797;4172;10105;6241;4998;1994;157570;55388;195828;55355;80174;201299;55247;27085;83990;10926</t>
  </si>
  <si>
    <t>CDC45;WDHD1;MTHFD2;MCM3;PPIF;RRM2;ORC1;ELAVL1;ESCO2;MCM10;ZNF367;HJURP;DBF4B;RDM1;NEIL3;MTBP;BRIP1;DBF4</t>
  </si>
  <si>
    <t>10733;7083;5888;2305;9833;79682;64151;64785;79172;51514;51659</t>
  </si>
  <si>
    <t>PLK4;TK1;RAD51;FOXM1;MELK;CENPU;NCAPG;GINS3;CENPO;DTL;GINS2</t>
  </si>
  <si>
    <t>EGFR_UP.V1_DN</t>
  </si>
  <si>
    <t>79733;3832;6491;2146;55635;79682;54892;23165;55706;83990;51514</t>
  </si>
  <si>
    <t>E2F8;KIF11;STIL;EZH2;DEPDC1;CENPU;NCAPG2;NUP205;NDC1;BRIP1;DTL</t>
  </si>
  <si>
    <t>http://www.broadinstitute.org/gsea/msigdb/cards/EGFR_UP.V1_DN.html</t>
  </si>
  <si>
    <t>ATF2_S_UP.V1_UP</t>
  </si>
  <si>
    <t>10112;7083;7153;7374;9493;2305;2146;1033;79682</t>
  </si>
  <si>
    <t>KIF20A;TK1;TOP2A;UNG;AC027237.1;FOXM1;EZH2;CDKN3;CENPU</t>
  </si>
  <si>
    <t>http://www.broadinstitute.org/gsea/msigdb/cards/ATF2_S_UP.V1_UP.html</t>
  </si>
  <si>
    <t>1111;9401;898;84823;4998;23649;8438;55055</t>
  </si>
  <si>
    <t>CHEK1;RECQL4;CCNE1;LMNB2;ORC1;POLA2;RAD54L;ZWILCH</t>
  </si>
  <si>
    <t>SIRNA_EIF4GI_DN</t>
  </si>
  <si>
    <t>9319;79801;80179;990;29893</t>
  </si>
  <si>
    <t>TRIP13;SHCBP1;MYO19;CDC6;PSMC3IP</t>
  </si>
  <si>
    <t>http://www.broadinstitute.org/gsea/msigdb/cards/SIRNA_EIF4GI_DN.html</t>
  </si>
  <si>
    <t>GSE15750_DAY6_VS_DAY10_TRAF6KO_EFF_CD8_TCELL_UP</t>
  </si>
  <si>
    <t>79733;11065;1111;6790;332;699;701;3161;8318;9133;10112;24137;10592;7083;983;4605;7153;5111;890;6240;4172;3148;995;6241;7272;2237;5985;899;4288;1058;1063;5557;1763;4751;5347;1163;10376;1062;9493;5888;5426;2305;4085;4998;4175;9833;23397;6491;1033;348654;55165;157570;55635;157313;113115;9824;84722;55388;90381;54892;146909;221150;150468;259266;78995;147841;79801;57082;57650;26586;23165;2491;144455;146956;10635;220134;113130;9212;55839;55771;55872;9585;10615;29128;83461;990;64151;64105;54478;84057;83990;2177;83540;29127;64946;80119;79000;1894;55055;63967;57405;3619;54443;79019;55010;51512;51514;22974;9156;6941;90417;10460</t>
  </si>
  <si>
    <t>E2F8;UBE2C;CHEK1;AURKA;BIRC5;BUB1;BUB1B;HMMR;CDC45;CCNB2;KIF20A;KIF4A;SMC2;TK1;CDK1;MYBL2;TOP2A;PCNA;CCNA2;RRM1;MCM3;HMGB2;CDC25C;RRM2;TTK;FEN1;RFC5;CCNF;MKI67;CENPA;CENPF;PRIM1;DNA2;NEK2;PLK1;CKS1B;TUBA1B;CENPE;AC027237.1;RAD51;POLE;FOXM1;MAD2L1;ORC1;MCM6;MELK;NCAPH;STIL;CDKN3;GEN1;CEP55;ESCO2;DEPDC1;CDCA2;MTFR2;ARHGAP11A;PSRC1;MCM10;TICRR;NCAPG2;KIF18B;SKA3;CKAP2L;ASPM;C17orf53;SPC24;SHCBP1;KNL1;CIP2A;CKAP2;NUP205;CENPI;E2F7;EME1;RAD51AP1;SKA1;CDCA5;AURKB;CENPN;PRR11;PBK;KIF20B;SPAG5;UHRF1;CDCA3;CDC6;NCAPG;CENPK;PIMREG;MND1;BRIP1;FANCD2;NUF2;RACGAP1;CENPH;PIF1;AUNIP;ECT2;ZWILCH;CLSPN;SPC25;INCENP;ANLN;CENPM;PARPBP;GTSE1;DTL;TPX2;EXO1;TCF19;KNSTRN;TACC3</t>
  </si>
  <si>
    <t>http://www.broadinstitute.org/gsea/msigdb/cards/GSE15750_DAY6_VS_DAY10_TRAF6KO_EFF_CD8_TCELL_UP.html</t>
  </si>
  <si>
    <t>GSE15750_DAY6_VS_DAY10_EFF_CD8_TCELL_UP</t>
  </si>
  <si>
    <t>11065;10403;6790;332;11339;9055;699;701;3161;10721;8318;9133;10112;10592;7083;983;4605;7153;6240;995;6241;7272;4174;4176;672;2237;1058;4171;9735;1763;4751;3838;3832;5347;1163;10376;1062;9493;5888;991;4085;9700;9833;9837;23397;9768;6491;1033;55165;55143;151246;157570;387103;151648;55635;9824;63979;55388;128239;146909;55345;221150;150468;259266;78995;147841;79801;57082;55247;57650;83903;26586;2491;8438;144455;10635;220134;9212;55839;55771;55872;79915;10615;29128;11004;990;64151;54478;79075;51203;83540;29127;64946;81610;79000;57405;3070;55732;79019;81624;55723;55010;51512;10926;26271;22974;6941;51659;90417;25788</t>
  </si>
  <si>
    <t>UBE2C;NDC80;AURKA;BIRC5;OIP5;PRC1;BUB1;BUB1B;HMMR;POLQ;CDC45;CCNB2;KIF20A;SMC2;TK1;CDK1;MYBL2;TOP2A;RRM1;CDC25C;RRM2;TTK;MCM5;MCM7;BRCA1;FEN1;CENPA;MCM2;KNTC1;DNA2;NEK2;KPNA2;KIF11;PLK1;CKS1B;TUBA1B;CENPE;AC027237.1;RAD51;CDC20;MAD2L1;ESPL1;MELK;GINS1;NCAPH;PCLAF;STIL;CDKN3;CEP55;CDCA8;SGO2;ESCO2;CENPW;SGO1;DEPDC1;ARHGAP11A;FIGNL1;MCM10;IQGAP3;KIF18B;ZGRF1;SKA3;CKAP2L;ASPM;C17orf53;SPC24;SHCBP1;KNL1;NEIL3;CIP2A;HASPIN;CKAP2;CENPI;RAD54L;E2F7;RAD51AP1;SKA1;AURKB;CENPN;PRR11;PBK;ATAD5;SPAG5;UHRF1;KIF2C;CDC6;NCAPG;PIMREG;DSCC1;NUSAP1;NUF2;RACGAP1;CENPH;FAM83D;AUNIP;SPC25;HELLS;C1orf112;CENPM;DIAPH3;ASF1B;PARPBP;GTSE1;DBF4;FBXO5;TPX2;TCF19;GINS2;KNSTRN;RAD54B</t>
  </si>
  <si>
    <t>http://www.broadinstitute.org/gsea/msigdb/cards/GSE15750_DAY6_VS_DAY10_EFF_CD8_TCELL_UP.html</t>
  </si>
  <si>
    <t>GSE13547_CTRL_VS_ANTI_IGM_STIM_BCELL_12H_UP</t>
  </si>
  <si>
    <t>79733;1111;10403;6790;332;9055;699;701;3161;8318;11169;9133;10592;7083;983;7153;890;4001;6240;898;4172;3148;995;6241;7272;4173;4174;4176;672;5983;4288;1063;5557;1763;675;3832;5347;1163;1062;9493;5888;5426;8208;4085;9837;23397;9918;9928;9787;1033;55165;55143;151246;157570;151648;9824;63979;259266;147841;79801;57082;55247;26586;11073;8438;146956;10635;220134;9212;55839;55771;55872;79915;10615;29128;83461;990;64151;83990;83540;29127;64946;1894;79968;63967;57405;3619;3070;56992;55723;26271;22974;6941;23594;10460</t>
  </si>
  <si>
    <t>E2F8;CHEK1;NDC80;AURKA;BIRC5;PRC1;BUB1;BUB1B;HMMR;CDC45;WDHD1;CCNB2;SMC2;TK1;CDK1;TOP2A;CCNA2;LMNB1;RRM1;CCNE1;MCM3;HMGB2;CDC25C;RRM2;TTK;MCM4;MCM5;MCM7;BRCA1;RFC3;MKI67;CENPF;PRIM1;DNA2;BRCA2;KIF11;PLK1;CKS1B;CENPE;AC027237.1;RAD51;POLE;CHAF1B;MAD2L1;GINS1;NCAPH;NCAPD2;KIF14;DLGAP5;CDKN3;CEP55;CDCA8;SGO2;ESCO2;SGO1;ARHGAP11A;FIGNL1;ASPM;SPC24;SHCBP1;KNL1;NEIL3;CKAP2;TOPBP1;RAD54L;EME1;RAD51AP1;SKA1;AURKB;CENPN;PRR11;PBK;ATAD5;SPAG5;UHRF1;CDCA3;CDC6;NCAPG;BRIP1;NUF2;RACGAP1;CENPH;ECT2;WDR76;CLSPN;SPC25;INCENP;HELLS;KIF15;ASF1B;FBXO5;TPX2;TCF19;ORC6;TACC3</t>
  </si>
  <si>
    <t>http://www.broadinstitute.org/gsea/msigdb/cards/GSE13547_CTRL_VS_ANTI_IGM_STIM_BCELL_12H_UP.html</t>
  </si>
  <si>
    <t>79733;10733;10403;332;7516;699;701;8318;9133;10112;24137;10592;7083;7153;10797;890;6240;4172;3148;6241;7272;4174;672;899;7112;1058;1063;4751;3838;1163;1062;9493;5888;5426;9700;9833;9837;23397;9768;9918;9787;6491;9319;2146;54821;55165;151246;157570;113115;9824;63979;55388;90381;54892;146909;150468;259266;78995;147841;55355;79801;57082;55247;8438;146956;220134;113130;9212;55839;9585;10615;29128;83461;9088;990;64105;79075;84057;83990;51203;83540;80119;63967;57405;55723;55010;10926;26271;9156</t>
  </si>
  <si>
    <t>E2F8;PLK4;NDC80;BIRC5;XRCC2;BUB1;BUB1B;CDC45;CCNB2;KIF20A;KIF4A;SMC2;TK1;TOP2A;MTHFD2;CCNA2;RRM1;MCM3;HMGB2;RRM2;TTK;MCM5;BRCA1;CCNF;TMPO;CENPA;CENPF;NEK2;KPNA2;CKS1B;CENPE;AC027237.1;RAD51;POLE;ESPL1;MELK;GINS1;NCAPH;PCLAF;NCAPD2;DLGAP5;STIL;TRIP13;EZH2;ERCC6L;CEP55;SGO2;ESCO2;MTFR2;ARHGAP11A;FIGNL1;MCM10;TICRR;NCAPG2;KIF18B;CKAP2L;ASPM;C17orf53;SPC24;HJURP;SHCBP1;KNL1;NEIL3;RAD54L;EME1;SKA1;CDCA5;AURKB;CENPN;KIF20B;SPAG5;UHRF1;CDCA3;PKMYT1;CDC6;CENPK;DSCC1;MND1;BRIP1;NUSAP1;NUF2;PIF1;CLSPN;SPC25;ASF1B;PARPBP;DBF4;FBXO5;EXO1</t>
  </si>
  <si>
    <t>GSE39556_CD8A_DC_VS_NK_CELL_MOUSE_3H_POST_POLYIC_INJ_UP</t>
  </si>
  <si>
    <t>8317;10733;23306;1111;10403;6790;2189;2175;11339;7516;699;701;3161;8318;10535;9133;11130;9134;7083;983;7153;10797;891;890;7283;1841;6240;898;1017;995;6241;7272;5984;4521;672;5985;5983;899;7112;23310;1058;5557;5558;8833;9735;1763;4751;3838;3832;641;1434;5427;1163;1062;9493;5426;2305;10024;991;10036;6502;9700;9833;9837;23397;9928;9787;6491;9319;1033;27338;9824;23165;10635;93594;9585;10615;9088;11004;580;990;10051;55215;51512;10926;22974;8914;9156</t>
  </si>
  <si>
    <t>CDC7;PLK4;NEMP1;CHEK1;NDC80;AURKA;FANCG;FANCA;OIP5;XRCC2;BUB1;BUB1B;HMMR;CDC45;RNASEH2A;CCNB2;ZWINT;CCNE2;TK1;CDK1;TOP2A;MTHFD2;CCNB1;CCNA2;TUBG1;DTYMK;RRM1;CCNE1;CDK2;CDC25C;RRM2;TTK;RFC4;NUDT1;BRCA1;RFC5;RFC3;CCNF;TMPO;NCAPD3;CENPA;PRIM1;PRIM2;GMPS;KNTC1;DNA2;NEK2;KPNA2;KIF11;BLM;CSE1L;POLE2;CKS1B;CENPE;AC027237.1;POLE;FOXM1;TROAP;CDC20;CHAF1A;SKP2;ESPL1;MELK;GINS1;NCAPH;KIF14;DLGAP5;STIL;TRIP13;CDKN3;UBE2S;ARHGAP11A;NUP205;RAD51AP1;TBC1D31;KIF20B;SPAG5;PKMYT1;KIF2C;BARD1;CDC6;SMC4;FANCI;GTSE1;DBF4;TPX2;TIMELESS;EXO1</t>
  </si>
  <si>
    <t>http://www.broadinstitute.org/gsea/msigdb/cards/GSE39556_CD8A_DC_VS_NK_CELL_MOUSE_3H_POST_POLYIC_INJ_UP.html</t>
  </si>
  <si>
    <t>79733;1111;10403;6790;332;9055;699;701;3161;8318;11169;9133;10592;7083;983;7153;890;4001;6240;4172;3148;995;6241;7272;4173;4174;4176;672;1063;4171;3832;5347;641;1163;1062;9493;5888;8208;4085;9837;23397;9918;9928;9787;1033;55165;55143;151246;157570;151648;9824;128239;150468;259266;147841;57082;55247;26586;11073;8438;55839;55771;55872;10615;29128;83461;64151;83990;83540;64946;63967;3070;56992;79019;55723;26271;22974;10460</t>
  </si>
  <si>
    <t>E2F8;CHEK1;NDC80;AURKA;BIRC5;PRC1;BUB1;BUB1B;HMMR;CDC45;WDHD1;CCNB2;SMC2;TK1;CDK1;TOP2A;CCNA2;LMNB1;RRM1;MCM3;HMGB2;CDC25C;RRM2;TTK;MCM4;MCM5;MCM7;BRCA1;CENPF;MCM2;KIF11;PLK1;BLM;CKS1B;CENPE;AC027237.1;RAD51;CHAF1B;MAD2L1;GINS1;NCAPH;NCAPD2;KIF14;DLGAP5;CDKN3;CEP55;CDCA8;SGO2;ESCO2;SGO1;ARHGAP11A;IQGAP3;CKAP2L;ASPM;SPC24;KNL1;NEIL3;CKAP2;TOPBP1;RAD54L;CENPN;PRR11;PBK;SPAG5;UHRF1;CDCA3;NCAPG;BRIP1;NUF2;CENPH;CLSPN;HELLS;KIF15;CENPM;ASF1B;FBXO5;TPX2;TACC3</t>
  </si>
  <si>
    <t>10733;11065;10403;6790;2189;5496;11339;9055;3161;10721;8318;9133;11130;10112;24137;9232;7083;983;5111;891;1503;890;1841;898;3148;995;6241;4173;4176;5984;4521;2237;5983;1058;1063;5557;4171;8833;9735;3832;5347;641;1062;84823;5888;991;4085;23649;4175;9700;9833;23397;9787;6491;9319;55165;55143;259266;55355;55247;8438;10635;11004;64151;64785;51203;29127;81620;3070;56992;79019;55215;51514;22974;8914;51659;65003;10460</t>
  </si>
  <si>
    <t>PLK4;UBE2C;NDC80;AURKA;FANCG;PPM1G;OIP5;PRC1;HMMR;POLQ;CDC45;CCNB2;ZWINT;KIF20A;KIF4A;PTTG1;TK1;CDK1;PCNA;CCNB1;CTPS1;CCNA2;DTYMK;CCNE1;HMGB2;CDC25C;RRM2;MCM4;MCM7;RFC4;NUDT1;FEN1;RFC3;CENPA;CENPF;PRIM1;MCM2;GMPS;KNTC1;KIF11;PLK1;BLM;CENPE;LMNB2;RAD51;CDC20;MAD2L1;POLA2;MCM6;ESPL1;MELK;NCAPH;DLGAP5;STIL;TRIP13;CEP55;CDCA8;ASPM;HJURP;NEIL3;RAD54L;RAD51AP1;KIF2C;NCAPG;GINS3;NUSAP1;RACGAP1;CDT1;HELLS;KIF15;CENPM;FANCI;DTL;TPX2;TIMELESS;GINS2;MRPL11;TACC3</t>
  </si>
  <si>
    <t>79733;1871;11065;1111;6790;332;699;9401;9133;10112;24137;983;4605;7153;890;7283;898;995;7272;2237;899;1063;8833;1763;4751;3838;3832;5347;1163;1062;2305;991;9833;9768;6491;9319;348654;55165;157570;151648;343099;729533;63979;253714;55388;90381;146909;221150;220042;259266;25886;147841;79801;55789;26586;2491;144455;10635;220134;113130;55771;55872;29128;11004;990;84057;51203;2177;83540;29127;63967;57405;54443;55010;51514;22974;9156</t>
  </si>
  <si>
    <t>E2F8;E2F3;UBE2C;CHEK1;AURKA;BIRC5;BUB1;RECQL4;CCNB2;KIF20A;KIF4A;CDK1;MYBL2;TOP2A;CCNA2;TUBG1;CCNE1;CDC25C;TTK;FEN1;CCNF;CENPF;GMPS;DNA2;NEK2;KPNA2;KIF11;PLK1;CKS1B;CENPE;FOXM1;CDC20;MELK;PCLAF;STIL;TRIP13;GEN1;CEP55;ESCO2;SGO1;CCDC18;FAM72A;FIGNL1;MMS22L;MCM10;TICRR;KIF18B;SKA3;DDIAS;ASPM;POC1A;SPC24;SHCBP1;DEPDC1B;CKAP2;CENPI;E2F7;RAD51AP1;SKA1;CDCA5;PRR11;PBK;UHRF1;KIF2C;CDC6;MND1;NUSAP1;FANCD2;NUF2;RACGAP1;CLSPN;SPC25;ANLN;PARPBP;DTL;TPX2;EXO1</t>
  </si>
  <si>
    <t>GSE36476_CTRL_VS_TSST_ACT_72H_MEMORY_CD4_TCELL_YOUNG_DN</t>
  </si>
  <si>
    <t>11065;1111;6790;332;11339;699;701;3161;10721;8318;9133;11130;10112;9232;7083;7298;7153;5111;891;1503;7283;1841;993;6241;7272;4174;4176;5984;2237;4288;1058;4171;3832;5427;1163;10376;1062;84823;5888;2305;991;23649;9700;23397;9768;9787;6491;1033;54821;55165;55143;55388;259266;79801;55247;8438;10635;55872;10615;83461;11004;990;64151;84790;3833;10293;51203;56992;79019;55215;54069;51514;26271;51659</t>
  </si>
  <si>
    <t>UBE2C;CHEK1;AURKA;BIRC5;OIP5;BUB1;BUB1B;HMMR;POLQ;CDC45;CCNB2;ZWINT;KIF20A;PTTG1;TK1;TYMS;TOP2A;PCNA;CCNB1;CTPS1;TUBG1;DTYMK;CDC25A;RRM2;TTK;MCM5;MCM7;RFC4;FEN1;MKI67;CENPA;MCM2;KIF11;POLE2;CKS1B;TUBA1B;CENPE;LMNB2;RAD51;FOXM1;CDC20;POLA2;ESPL1;NCAPH;PCLAF;DLGAP5;STIL;CDKN3;ERCC6L;CEP55;CDCA8;MCM10;ASPM;SHCBP1;NEIL3;RAD54L;RAD51AP1;PBK;SPAG5;CDCA3;KIF2C;CDC6;NCAPG;TUBA1C;KIFC1;TRAIP;NUSAP1;KIF15;CENPM;FANCI;MIS18A;DTL;FBXO5;GINS2</t>
  </si>
  <si>
    <t>http://www.broadinstitute.org/gsea/msigdb/cards/GSE36476_CTRL_VS_TSST_ACT_72H_MEMORY_CD4_TCELL_YOUNG_DN.html</t>
  </si>
  <si>
    <t>79733;1111;10403;6790;332;9055;699;701;9134;7298;983;203068;7153;891;890;1841;898;993;7272;4174;5984;5983;4288;5557;3832;1163;84823;5888;4085;23649;4175;9833;23397;9787;2146;157313;55388;195828;146909;259266;91687;115004;25886;147841;55355;55789;8438;144455;220134;9212;10615;11004;990;79172;3833;83540;81610;80119;1894;29089;54443;56992;81624;55723;55010;29980;51514;10926;26271;22974;9156;51659;23594;10460</t>
  </si>
  <si>
    <t>E2F8;CHEK1;NDC80;AURKA;BIRC5;PRC1;BUB1;BUB1B;CCNE2;TYMS;CDK1;TUBB;TOP2A;CCNB1;CCNA2;DTYMK;CCNE1;CDC25A;TTK;MCM5;RFC4;RFC3;MKI67;PRIM1;KIF11;CKS1B;LMNB2;RAD51;MAD2L1;POLA2;MCM6;MELK;NCAPH;DLGAP5;EZH2;CDCA2;MCM10;ZNF367;KIF18B;ASPM;CENPL;CGAS;POC1A;SPC24;HJURP;DEPDC1B;RAD54L;E2F7;SKA1;AURKB;SPAG5;KIF2C;CDC6;CENPO;KIFC1;NUF2;FAM83D;PIF1;ECT2;UBE2T;ANLN;KIF15;DIAPH3;ASF1B;PARPBP;DONSON;DTL;DBF4;FBXO5;TPX2;EXO1;GINS2;ORC6;TACC3</t>
  </si>
  <si>
    <t>GSE36476_CTRL_VS_TSST_ACT_40H_MEMORY_CD4_TCELL_YOUNG_DN</t>
  </si>
  <si>
    <t>11065;2189;2175;332;3161;8318;9133;10112;24137;9134;7083;7298;203068;7153;5111;891;1503;7283;1841;898;995;6241;4173;4174;4176;5984;672;2237;4288;1058;4171;675;3832;641;5427;1163;10376;1062;9493;84823;5888;991;10036;23649;9700;23397;9768;9319;1033;55165;55143;79682;55388;54892;146909;259266;55355;8438;220134;9212;10615;83461;11004;64151;84790;64785;51203;29127;55055;79019;51514;22974;51659</t>
  </si>
  <si>
    <t>UBE2C;FANCG;FANCA;BIRC5;HMMR;CDC45;CCNB2;KIF20A;KIF4A;CCNE2;TK1;TYMS;TUBB;TOP2A;PCNA;CCNB1;CTPS1;TUBG1;DTYMK;CCNE1;CDC25C;RRM2;MCM4;MCM5;MCM7;RFC4;BRCA1;FEN1;MKI67;CENPA;MCM2;BRCA2;KIF11;BLM;POLE2;CKS1B;TUBA1B;CENPE;AC027237.1;LMNB2;RAD51;CDC20;CHAF1A;POLA2;ESPL1;NCAPH;PCLAF;TRIP13;CDKN3;CEP55;CDCA8;CENPU;MCM10;NCAPG2;KIF18B;ASPM;HJURP;RAD54L;SKA1;AURKB;SPAG5;CDCA3;KIF2C;NCAPG;TUBA1C;GINS3;NUSAP1;RACGAP1;ZWILCH;CENPM;DTL;TPX2;GINS2</t>
  </si>
  <si>
    <t>http://www.broadinstitute.org/gsea/msigdb/cards/GSE36476_CTRL_VS_TSST_ACT_40H_MEMORY_CD4_TCELL_YOUNG_DN.html</t>
  </si>
  <si>
    <t>GSE36476_CTRL_VS_TSST_ACT_72H_MEMORY_CD4_TCELL_OLD_DN</t>
  </si>
  <si>
    <t>10733;11065;6790;2189;11339;701;3161;10535;9133;11130;10112;24137;10592;7083;7298;203068;7153;7374;891;1503;890;7283;898;6241;4173;4174;4176;5984;4521;2237;7112;4288;1058;1063;4171;3832;641;5427;1163;10376;9493;5888;2305;991;9700;9833;23397;9768;9787;9319;55165;79682;55388;54892;259266;55355;9212;10615;83461;990;64151;84790;51203;29127;55055;79019;55215;54069;51514;22974;8914;51659;65003</t>
  </si>
  <si>
    <t>PLK4;UBE2C;AURKA;FANCG;OIP5;BUB1B;HMMR;RNASEH2A;CCNB2;ZWINT;KIF20A;KIF4A;SMC2;TK1;TYMS;TUBB;TOP2A;UNG;CCNB1;CTPS1;CCNA2;TUBG1;CCNE1;RRM2;MCM4;MCM5;MCM7;RFC4;NUDT1;FEN1;TMPO;MKI67;CENPA;CENPF;MCM2;KIF11;BLM;POLE2;CKS1B;TUBA1B;AC027237.1;RAD51;FOXM1;CDC20;ESPL1;MELK;NCAPH;PCLAF;DLGAP5;TRIP13;CEP55;CENPU;MCM10;NCAPG2;ASPM;HJURP;AURKB;SPAG5;CDCA3;CDC6;NCAPG;TUBA1C;NUSAP1;RACGAP1;ZWILCH;CENPM;FANCI;MIS18A;DTL;TPX2;TIMELESS;GINS2;MRPL11</t>
  </si>
  <si>
    <t>http://www.broadinstitute.org/gsea/msigdb/cards/GSE36476_CTRL_VS_TSST_ACT_72H_MEMORY_CD4_TCELL_OLD_DN.html</t>
  </si>
  <si>
    <t>GSE36476_CTRL_VS_TSST_ACT_40H_MEMORY_CD4_TCELL_OLD_DN</t>
  </si>
  <si>
    <t>1111;6790;2189;5496;701;3161;10535;9133;11130;10112;24137;10592;7083;7298;203068;7153;7374;891;1503;7283;993;6241;4173;4176;5984;4521;2237;5985;5983;7112;5902;1058;1063;5557;4171;3838;3832;641;5427;1163;10376;84823;5888;9700;9833;23397;9768;9787;9319;55165;79682;55388;54892;259266;55355;10635;9212;10615;11004;990;64151;84790;64785;29127;79968;56992;79019;55215;51514;22974;51659;65003</t>
  </si>
  <si>
    <t>CHEK1;AURKA;FANCG;PPM1G;BUB1B;HMMR;RNASEH2A;CCNB2;ZWINT;KIF20A;KIF4A;SMC2;TK1;TYMS;TUBB;TOP2A;UNG;CCNB1;CTPS1;TUBG1;CDC25A;RRM2;MCM4;MCM7;RFC4;NUDT1;FEN1;RFC5;RFC3;TMPO;RANBP1;CENPA;CENPF;PRIM1;MCM2;KPNA2;KIF11;BLM;POLE2;CKS1B;TUBA1B;LMNB2;RAD51;ESPL1;MELK;NCAPH;PCLAF;DLGAP5;TRIP13;CEP55;CENPU;MCM10;NCAPG2;ASPM;HJURP;RAD51AP1;AURKB;SPAG5;KIF2C;CDC6;NCAPG;TUBA1C;GINS3;RACGAP1;WDR76;KIF15;CENPM;FANCI;DTL;TPX2;GINS2;MRPL11</t>
  </si>
  <si>
    <t>http://www.broadinstitute.org/gsea/msigdb/cards/GSE36476_CTRL_VS_TSST_ACT_40H_MEMORY_CD4_TCELL_OLD_DN.html</t>
  </si>
  <si>
    <t>79733;10733;332;699;701;3161;8318;11169;9133;10592;983;7153;890;4001;6240;4172;995;7272;4174;4521;672;4288;1058;1063;4171;3838;3832;5347;1163;9493;5888;9833;9837;9928;9787;9319;2146;348654;55165;55143;151648;9824;54892;150468;259266;147841;79801;57082;55247;83903;55789;8438;55839;84991;55872;79915;83461;11004;64151;83540;64946;1894;63967;3619;56992;55723;29893;22974;9156;10460</t>
  </si>
  <si>
    <t>E2F8;PLK4;BIRC5;BUB1;BUB1B;HMMR;CDC45;WDHD1;CCNB2;SMC2;CDK1;TOP2A;CCNA2;LMNB1;RRM1;MCM3;CDC25C;TTK;MCM5;NUDT1;BRCA1;MKI67;CENPA;CENPF;MCM2;KPNA2;KIF11;PLK1;CKS1B;AC027237.1;RAD51;MELK;GINS1;KIF14;DLGAP5;TRIP13;EZH2;GEN1;CEP55;CDCA8;SGO1;ARHGAP11A;NCAPG2;CKAP2L;ASPM;SPC24;SHCBP1;KNL1;NEIL3;HASPIN;DEPDC1B;RAD54L;CENPN;RBM17;PBK;ATAD5;CDCA3;KIF2C;NCAPG;NUF2;CENPH;ECT2;CLSPN;INCENP;KIF15;ASF1B;PSMC3IP;TPX2;EXO1;TACC3</t>
  </si>
  <si>
    <t>GSE14415_TCONV_VS_FOXP3_KO_INDUCED_TREG_DN</t>
  </si>
  <si>
    <t>79733;8317;10733;1111;332;9055;699;701;8318;11169;9133;10592;983;10797;890;6240;1017;4172;995;6241;4521;672;5983;1058;4171;9735;3838;3832;5347;9493;4085;4175;9837;9918;9928;9787;9319;348654;55165;55143;113115;9824;63979;29028;54892;147841;79801;57082;83903;9125;220134;55872;79915;29128;83461;64151;79075;83990;83540;29127;64946;79968;63967;56992;51514;22974;10460</t>
  </si>
  <si>
    <t>E2F8;CDC7;PLK4;CHEK1;BIRC5;PRC1;BUB1;BUB1B;CDC45;WDHD1;CCNB2;SMC2;CDK1;MTHFD2;CCNA2;RRM1;CDK2;MCM3;CDC25C;RRM2;NUDT1;BRCA1;RFC3;CENPA;MCM2;KNTC1;KPNA2;KIF11;PLK1;AC027237.1;MAD2L1;MCM6;GINS1;NCAPD2;KIF14;DLGAP5;TRIP13;GEN1;CEP55;CDCA8;MTFR2;ARHGAP11A;FIGNL1;ATAD2;NCAPG2;SPC24;SHCBP1;KNL1;HASPIN;CNOT9;SKA1;PBK;ATAD5;UHRF1;CDCA3;NCAPG;DSCC1;BRIP1;NUF2;RACGAP1;CENPH;WDR76;CLSPN;KIF15;DTL;TPX2;TACC3</t>
  </si>
  <si>
    <t>http://www.broadinstitute.org/gsea/msigdb/cards/GSE14415_TCONV_VS_FOXP3_KO_INDUCED_TREG_DN.html</t>
  </si>
  <si>
    <t>79733;10733;1111;6790;332;9055;699;8318;9133;10112;24137;10592;7083;7298;983;3015;7153;890;4001;6240;5933;995;6241;7272;672;5985;899;7112;4288;1058;5557;1763;4751;3838;3832;5427;1163;10376;9493;5888;991;10036;4085;23397;9768;9787;2146;1033;55143;55388;128239;259266;57650;10635;9212;83461;11004;990;84790;51203;1894;29089;3619;54443;55723;51514;6941;10460</t>
  </si>
  <si>
    <t>E2F8;PLK4;CHEK1;AURKA;BIRC5;PRC1;BUB1;CDC45;CCNB2;KIF20A;KIF4A;SMC2;TK1;TYMS;CDK1;H2AFZ;TOP2A;CCNA2;LMNB1;RRM1;RBL1;CDC25C;RRM2;TTK;BRCA1;RFC5;CCNF;TMPO;MKI67;CENPA;PRIM1;DNA2;NEK2;KPNA2;KIF11;POLE2;CKS1B;TUBA1B;AC027237.1;RAD51;CDC20;CHAF1A;MAD2L1;NCAPH;PCLAF;DLGAP5;EZH2;CDKN3;CDCA8;MCM10;IQGAP3;ASPM;CIP2A;RAD51AP1;AURKB;CDCA3;KIF2C;CDC6;TUBA1C;NUSAP1;ECT2;UBE2T;INCENP;ANLN;ASF1B;DTL;TCF19;TACC3</t>
  </si>
  <si>
    <t>GSE25088_WT_VS_STAT6_KO_MACROPHAGE_IL4_STIM_DN</t>
  </si>
  <si>
    <t>79733;10733;6790;11339;9055;701;3161;8318;9133;11130;10112;24137;9232;7083;7298;983;7153;5111;891;7283;1786;3148;6241;5984;5983;7112;23310;4288;1063;4751;3838;3832;5888;5426;10024;991;10036;23649;4175;9700;9833;9837;23397;9768;9928;9787;9319;2146;1033;55165;54892;259266;55355;23234;8438;10635;55839;10615;64151;64785;55038;51203;29127;3070;55215;29980;51514;9156</t>
  </si>
  <si>
    <t>E2F8;PLK4;AURKA;OIP5;PRC1;BUB1B;HMMR;CDC45;CCNB2;ZWINT;KIF20A;KIF4A;PTTG1;TK1;TYMS;CDK1;TOP2A;PCNA;CCNB1;TUBG1;DNMT1;HMGB2;RRM2;RFC4;RFC3;TMPO;NCAPD3;MKI67;CENPF;NEK2;KPNA2;KIF11;RAD51;POLE;TROAP;CDC20;CHAF1A;POLA2;MCM6;ESPL1;MELK;GINS1;NCAPH;PCLAF;KIF14;DLGAP5;TRIP13;EZH2;CDKN3;CEP55;NCAPG2;ASPM;HJURP;DNAJC9;RAD54L;RAD51AP1;CENPN;SPAG5;NCAPG;GINS3;CDCA4;NUSAP1;RACGAP1;HELLS;FANCI;DONSON;DTL;EXO1</t>
  </si>
  <si>
    <t>http://www.broadinstitute.org/gsea/msigdb/cards/GSE25088_WT_VS_STAT6_KO_MACROPHAGE_IL4_STIM_DN.html</t>
  </si>
  <si>
    <t>1111;9055;699;3161;8318;11169;9133;983;3015;7153;890;6240;898;4172;995;6241;7272;4176;672;4288;1058;1063;5557;675;3838;3832;5347;1163;1062;5888;5426;4085;4175;9918;9928;2146;1033;348654;55143;151246;157570;151648;63979;54892;259266;55247;26586;10635;9212;55771;79915;83461;11004;580;64151;83990;83540;64946;1894;63967;57405;3619;3070;56992;26271;22974</t>
  </si>
  <si>
    <t>CHEK1;PRC1;BUB1;HMMR;CDC45;WDHD1;CCNB2;CDK1;H2AFZ;TOP2A;CCNA2;RRM1;CCNE1;MCM3;CDC25C;RRM2;TTK;MCM7;BRCA1;MKI67;CENPA;CENPF;PRIM1;BRCA2;KPNA2;KIF11;PLK1;CKS1B;CENPE;RAD51;POLE;MAD2L1;MCM6;NCAPD2;KIF14;EZH2;CDKN3;GEN1;CDCA8;SGO2;ESCO2;SGO1;FIGNL1;NCAPG2;ASPM;NEIL3;CKAP2;RAD51AP1;AURKB;PRR11;ATAD5;CDCA3;KIF2C;BARD1;NCAPG;BRIP1;NUF2;CENPH;ECT2;CLSPN;SPC25;INCENP;HELLS;KIF15;FBXO5;TPX2</t>
  </si>
  <si>
    <t>8317;10733;11065;6790;2189;332;9055;699;8318;11169;10535;9133;11130;24137;9232;7083;7298;4605;891;890;4001;6241;4173;4176;5984;2237;1058;1063;4171;9735;3832;641;1163;1062;5888;991;9833;9837;9768;9787;9319;2146;1033;27338;55165;55143;84722;29028;54892;55355;9212;55839;10615;11004;51203;81620;55055;79968;56992;55732;79019;55215;29980;51514;22974;9156;65003</t>
  </si>
  <si>
    <t>CDC7;PLK4;UBE2C;AURKA;FANCG;BIRC5;PRC1;BUB1;CDC45;WDHD1;RNASEH2A;CCNB2;ZWINT;KIF4A;PTTG1;TK1;TYMS;MYBL2;CCNB1;CCNA2;LMNB1;RRM2;MCM4;MCM7;RFC4;FEN1;CENPA;CENPF;MCM2;KNTC1;KIF11;BLM;CKS1B;CENPE;RAD51;CDC20;MELK;GINS1;PCLAF;DLGAP5;TRIP13;EZH2;CDKN3;UBE2S;CEP55;CDCA8;PSRC1;ATAD2;NCAPG2;HJURP;AURKB;CENPN;SPAG5;KIF2C;NUSAP1;CDT1;ZWILCH;WDR76;KIF15;C1orf112;CENPM;FANCI;DONSON;DTL;TPX2;EXO1;MRPL11</t>
  </si>
  <si>
    <t>GSE18893_TCONV_VS_TREG_24H_TNF_STIM_UP</t>
  </si>
  <si>
    <t>6839;10535;9232;86;9134;203068;3015;4605;5111;6240;1017;790;993;4173;4176;5984;5982;4521;672;899;7112;4436;5902;5558;4171;9735;2956;1163;10376;1869;10024;8208;23649;9837;54821;157570;151648;84722;79866;63979;84798;79682;90381;89958;220042;147841;57082;55789;144455;10635;220134;113130;55839;29128;83461;990;64785;83990;29127;81620;55055;3070;56992;29893;10926;26271;6941</t>
  </si>
  <si>
    <t>SUV39H1;RNASEH2A;PTTG1;ACTL6A;CCNE2;TUBB;H2AFZ;MYBL2;PCNA;RRM1;CDK2;CAD;CDC25A;MCM4;MCM7;RFC4;RFC2;NUDT1;BRCA1;CCNF;TMPO;MSH2;RANBP1;PRIM2;MCM2;KNTC1;MSH6;CKS1B;TUBA1B;E2F1;TROAP;CHAF1B;POLA2;GINS1;ERCC6L;ESCO2;SGO1;PSRC1;BORA;FIGNL1;C19orf48;CENPU;TICRR;SAPCD2;DDIAS;SPC24;KNL1;DEPDC1B;E2F7;RAD51AP1;SKA1;CDCA5;CENPN;UHRF1;CDCA3;CDC6;GINS3;BRIP1;RACGAP1;CDT1;ZWILCH;HELLS;KIF15;PSMC3IP;DBF4;FBXO5;TCF19</t>
  </si>
  <si>
    <t>http://www.broadinstitute.org/gsea/msigdb/cards/GSE18893_TCONV_VS_TREG_24H_TNF_STIM_UP.html</t>
  </si>
  <si>
    <t>8317;10733;10403;332;11339;9055;24137;7298;6929;1841;6240;898;3148;995;5984;7913;899;7112;3068;4670;3838;1163;10024;1870;9700;9833;9768;9928;9787;6491;9319;1033;55143;151246;55635;9824;374393;195828;89958;128239;150468;162681;25886;284992;81930;55789;2491;8438;146956;220134;113130;10615;9088;11004;84790;51203;1894;29089;81624;55215;29980;51512;26271;22974;51659;10460</t>
  </si>
  <si>
    <t>CDC7;PLK4;NDC80;BIRC5;OIP5;PRC1;KIF4A;TYMS;TCF3;DTYMK;RRM1;CCNE1;HMGB2;CDC25C;RFC4;DEK;CCNF;TMPO;HDGF;HNRNPM;KPNA2;CKS1B;TROAP;E2F2;ESPL1;MELK;PCLAF;KIF14;DLGAP5;STIL;TRIP13;CDKN3;CDCA8;SGO2;DEPDC1;ARHGAP11A;FAM111B;ZNF367;SAPCD2;IQGAP3;CKAP2L;C18orf54;POC1A;CCDC150;KIF18A;DEPDC1B;CENPI;RAD54L;EME1;SKA1;CDCA5;SPAG5;PKMYT1;KIF2C;TUBA1C;NUSAP1;ECT2;UBE2T;DIAPH3;FANCI;DONSON;GTSE1;FBXO5;TPX2;GINS2;TACC3</t>
  </si>
  <si>
    <t>GSE33292_WT_VS_TCF1_KO_DN3_THYMOCYTE_DN</t>
  </si>
  <si>
    <t>8317;10733;11065;23306;1111;10403;2189;11339;699;701;3161;8318;10535;11130;9134;7083;983;7153;7374;10797;891;7283;1841;898;995;7272;5984;4521;5985;5902;1058;1063;5557;5558;8833;9735;3832;641;1434;5427;1163;1062;9493;5426;2305;10036;6502;9700;9833;9837;23397;9787;6491;9319;1033;9824;9585;10615;9088;11004;990;51512;10926;22974;8914;9156</t>
  </si>
  <si>
    <t>CDC7;PLK4;UBE2C;NEMP1;CHEK1;NDC80;FANCG;OIP5;BUB1;BUB1B;HMMR;CDC45;RNASEH2A;ZWINT;CCNE2;TK1;CDK1;TOP2A;UNG;MTHFD2;CCNB1;TUBG1;DTYMK;CCNE1;CDC25C;TTK;RFC4;NUDT1;RFC5;RANBP1;CENPA;CENPF;PRIM1;PRIM2;GMPS;KNTC1;KIF11;BLM;CSE1L;POLE2;CKS1B;CENPE;AC027237.1;POLE;FOXM1;CHAF1A;SKP2;ESPL1;MELK;GINS1;NCAPH;DLGAP5;STIL;TRIP13;CDKN3;ARHGAP11A;KIF20B;SPAG5;PKMYT1;KIF2C;CDC6;GTSE1;DBF4;TPX2;TIMELESS;EXO1</t>
  </si>
  <si>
    <t>http://www.broadinstitute.org/gsea/msigdb/cards/GSE33292_WT_VS_TCF1_KO_DN3_THYMOCYTE_DN.html</t>
  </si>
  <si>
    <t>GSE40274_CTRL_VS_FOXP3_TRANSDUCED_ACTIVATED_CD4_TCELL_UP</t>
  </si>
  <si>
    <t>10733;10403;11339;701;10112;24137;10592;9232;9134;7153;10797;6240;4172;4176;5984;5982;4521;5983;1058;5558;9735;1763;5426;4085;9837;23397;9768;6491;55165;157570;387103;343099;9824;253714;79682;55388;54892;146909;220042;150468;91687;78995;57650;10635;9212;84930;55839;55771;79915;64151;64785;64105;51203;2177;1894;55055;57405;29089;55215;55723;10926;8914;6941;51659;23594</t>
  </si>
  <si>
    <t>PLK4;NDC80;OIP5;BUB1B;KIF20A;KIF4A;SMC2;PTTG1;CCNE2;TOP2A;MTHFD2;RRM1;MCM3;MCM7;RFC4;RFC2;NUDT1;RFC3;CENPA;PRIM2;KNTC1;DNA2;POLE;MAD2L1;GINS1;NCAPH;PCLAF;STIL;CEP55;ESCO2;CENPW;CCDC18;ARHGAP11A;MMS22L;CENPU;MCM10;NCAPG2;KIF18B;DDIAS;CKAP2L;CENPL;C17orf53;CIP2A;RAD51AP1;AURKB;MASTL;CENPN;PRR11;ATAD5;NCAPG;GINS3;CENPK;NUSAP1;FANCD2;ECT2;ZWILCH;SPC25;UBE2T;FANCI;ASF1B;DBF4;TIMELESS;TCF19;GINS2;ORC6</t>
  </si>
  <si>
    <t>http://www.broadinstitute.org/gsea/msigdb/cards/GSE40274_CTRL_VS_FOXP3_TRANSDUCED_ACTIVATED_CD4_TCELL_UP.html</t>
  </si>
  <si>
    <t>79733;7516;9055;701;10721;10592;7153;890;5933;7272;672;899;7112;4288;1063;9735;1763;3068;3832;5347;1062;9493;5426;10024;23397;9918;9928;2146;27338;55143;157570;157313;9824;29028;55388;54892;146909;150468;259266;57082;55247;83903;23165;55771;10615;29128;580;990;83990;2177;29127;80119;1894;29089;3619;54443;56992;51512;22974;25788;10460</t>
  </si>
  <si>
    <t>E2F8;XRCC2;PRC1;BUB1B;POLQ;SMC2;TOP2A;CCNA2;RBL1;TTK;BRCA1;CCNF;TMPO;MKI67;CENPF;KNTC1;DNA2;HDGF;KIF11;PLK1;CENPE;AC027237.1;POLE;TROAP;NCAPH;NCAPD2;KIF14;EZH2;UBE2S;CDCA8;ESCO2;CDCA2;ARHGAP11A;ATAD2;MCM10;NCAPG2;KIF18B;CKAP2L;ASPM;KNL1;NEIL3;HASPIN;NUP205;PRR11;SPAG5;UHRF1;BARD1;CDC6;BRIP1;FANCD2;RACGAP1;PIF1;ECT2;UBE2T;INCENP;ANLN;KIF15;GTSE1;TPX2;RAD54B;TACC3</t>
  </si>
  <si>
    <t>10403;6790;332;6839;11339;9055;701;3161;8318;10112;7083;7153;5111;890;898;6241;5985;5983;899;4288;1058;1063;5558;3838;1062;4085;6502;4175;9700;9837;23397;2146;1033;55165;55143;151648;157313;63979;90381;146909;150468;79801;57082;57650;26586;2491;220134;113130;55872;79915;83461;11004;64151;54478;51203;83540;29127;57405;55723;51514;26271;22974;9156;90417</t>
  </si>
  <si>
    <t>NDC80;AURKA;BIRC5;SUV39H1;OIP5;PRC1;BUB1B;HMMR;CDC45;KIF20A;TK1;TOP2A;PCNA;CCNA2;CCNE1;RRM2;RFC5;RFC3;CCNF;MKI67;CENPA;CENPF;PRIM2;KPNA2;CENPE;MAD2L1;SKP2;MCM6;ESPL1;GINS1;NCAPH;EZH2;CDKN3;CEP55;CDCA8;SGO1;CDCA2;FIGNL1;TICRR;KIF18B;CKAP2L;SHCBP1;KNL1;CIP2A;CKAP2;CENPI;SKA1;CDCA5;PBK;ATAD5;CDCA3;KIF2C;NCAPG;PIMREG;NUSAP1;NUF2;RACGAP1;SPC25;ASF1B;DTL;FBXO5;TPX2;EXO1;KNSTRN</t>
  </si>
  <si>
    <t>GSE25088_WT_VS_STAT6_KO_MACROPHAGE_DN</t>
  </si>
  <si>
    <t>79733;6790;11339;9055;8318;9133;11130;10112;24137;7298;983;3015;7153;5111;891;1786;993;6241;5984;5983;7112;23310;4288;1063;4751;3838;2956;3832;5427;5888;2305;10024;10036;23649;9833;9837;23397;9768;9928;9787;9319;2146;79682;259266;10635;220134;10615;9088;11004;64151;84790;64785;83990;55038;51203;79000;3070;56992;55723;29980;51514;22974;9156;65003</t>
  </si>
  <si>
    <t>E2F8;AURKA;OIP5;PRC1;CDC45;CCNB2;ZWINT;KIF20A;KIF4A;TYMS;CDK1;H2AFZ;TOP2A;PCNA;CCNB1;DNMT1;CDC25A;RRM2;RFC4;RFC3;TMPO;NCAPD3;MKI67;CENPF;NEK2;KPNA2;MSH6;KIF11;POLE2;RAD51;FOXM1;TROAP;CHAF1A;POLA2;MELK;GINS1;NCAPH;PCLAF;KIF14;DLGAP5;TRIP13;EZH2;CENPU;ASPM;RAD51AP1;SKA1;SPAG5;PKMYT1;KIF2C;NCAPG;TUBA1C;GINS3;BRIP1;CDCA4;NUSAP1;AUNIP;HELLS;KIF15;ASF1B;DONSON;DTL;TPX2;EXO1;MRPL11</t>
  </si>
  <si>
    <t>http://www.broadinstitute.org/gsea/msigdb/cards/GSE25088_WT_VS_STAT6_KO_MACROPHAGE_DN.html</t>
  </si>
  <si>
    <t>GSE35543_IN_VITRO_ITREG_VS_CONVERTED_EX_ITREG_UP</t>
  </si>
  <si>
    <t>79733;11065;332;284403;6839;9133;24137;9232;983;4174;4176;5984;7913;672;5985;4288;1063;5558;4751;1163;1869;9493;5426;2305;8208;4085;1870;9700;9918;6491;27338;55143;151246;9824;84722;128239;54892;221150;220042;150468;259266;91687;25886;55355;83903;11073;220134;84930;55839;55771;10615;83461;9088;10293;51203;29127;64946;11321;79019;10051;10926;26271;51659;10460</t>
  </si>
  <si>
    <t>E2F8;UBE2C;BIRC5;WDR62;SUV39H1;CCNB2;KIF4A;PTTG1;CDK1;MCM5;MCM7;RFC4;DEK;BRCA1;RFC5;MKI67;CENPF;PRIM2;NEK2;CKS1B;E2F1;AC027237.1;POLE;FOXM1;CHAF1B;MAD2L1;E2F2;ESPL1;NCAPD2;STIL;UBE2S;CDCA8;SGO2;ARHGAP11A;PSRC1;IQGAP3;NCAPG2;SKA3;DDIAS;CKAP2L;ASPM;CENPL;POC1A;HJURP;HASPIN;TOPBP1;SKA1;MASTL;CENPN;PRR11;SPAG5;CDCA3;PKMYT1;TRAIP;NUSAP1;RACGAP1;CENPH;GPN1;CENPM;SMC4;DBF4;FBXO5;GINS2;TACC3</t>
  </si>
  <si>
    <t>http://www.broadinstitute.org/gsea/msigdb/cards/GSE35543_IN_VITRO_ITREG_VS_CONVERTED_EX_ITREG_UP.html</t>
  </si>
  <si>
    <t>GSE14415_INDUCED_TREG_VS_TCONV_UP</t>
  </si>
  <si>
    <t>10212;8520;6790;332;5709;699;3161;10721;8318;9133;983;890;995;6241;4176;4521;5985;5983;5902;4288;5557;5558;5347;5427;1163;5888;10024;991;4085;9837;9319;1033;348654;55143;151648;729533;63979;55388;146909;150468;147841;57082;55247;144455;10635;9212;55839;55872;10615;83461;580;55706;79075;10293;83540;57405;56992;55723;29893;26271</t>
  </si>
  <si>
    <t>DDX39A;HAT1;AURKA;BIRC5;PSMD3;BUB1;HMMR;POLQ;CDC45;CCNB2;CDK1;CCNA2;CDC25C;RRM2;MCM7;NUDT1;RFC5;RFC3;RANBP1;MKI67;PRIM1;PRIM2;PLK1;POLE2;CKS1B;RAD51;TROAP;CDC20;MAD2L1;GINS1;TRIP13;CDKN3;GEN1;CDCA8;SGO1;FAM72A;FIGNL1;MCM10;KIF18B;CKAP2L;SPC24;KNL1;NEIL3;E2F7;RAD51AP1;AURKB;CENPN;PBK;SPAG5;CDCA3;BARD1;NDC1;DSCC1;TRAIP;NUF2;SPC25;KIF15;ASF1B;PSMC3IP;FBXO5</t>
  </si>
  <si>
    <t>http://www.broadinstitute.org/gsea/msigdb/cards/GSE14415_INDUCED_TREG_VS_TCONV_UP.html</t>
  </si>
  <si>
    <t>10733;6790;2189;6839;9055;699;701;10721;11169;9133;11130;10112;7083;898;993;995;7272;7913;5983;1058;1869;1062;991;4998;9833;54821;343099;55635;113115;84722;29028;163786;79682;195828;89958;54892;285753;147841;201299;150465;81930;55247;11073;2491;144455;146956;93594;132320;29128;83461;64151;51203;83540;81610;80119;1894;54443;29893;6941;23594;10460</t>
  </si>
  <si>
    <t>PLK4;AURKA;FANCG;SUV39H1;PRC1;BUB1;BUB1B;POLQ;WDHD1;CCNB2;ZWINT;KIF20A;TK1;CCNE1;CDC25A;CDC25C;TTK;DEK;RFC3;CENPA;E2F1;CENPE;CDC20;ORC1;MELK;ERCC6L;CCDC18;DEPDC1;MTFR2;PSRC1;ATAD2;SASS6;CENPU;ZNF367;SAPCD2;NCAPG2;CEP57L1;SPC24;RDM1;TTL;KIF18A;NEIL3;TOPBP1;CENPI;E2F7;EME1;TBC1D31;SCLT1;UHRF1;CDCA3;NCAPG;NUSAP1;NUF2;FAM83D;PIF1;ECT2;ANLN;PSMC3IP;TCF19;ORC6;TACC3</t>
  </si>
  <si>
    <t>79733;10212;8317;1871;1111;9055;701;11169;9133;10592;7083;7298;890;4001;6240;898;3148;4173;4174;5984;4521;2237;5985;5983;5902;5557;9735;3838;5347;1163;5888;991;4085;4998;9833;9837;9768;9319;55143;23590;113115;9824;63979;195828;55247;26586;8438;113130;9212;55872;29128;580;55706;55055;3619;55010;51514;9156;51659;23594</t>
  </si>
  <si>
    <t>E2F8;DDX39A;CDC7;E2F3;CHEK1;PRC1;BUB1B;WDHD1;CCNB2;SMC2;TK1;TYMS;CCNA2;LMNB1;RRM1;CCNE1;HMGB2;MCM4;MCM5;RFC4;NUDT1;FEN1;RFC5;RFC3;RANBP1;PRIM1;KNTC1;KPNA2;PLK1;CKS1B;RAD51;CDC20;MAD2L1;ORC1;MELK;GINS1;PCLAF;TRIP13;CDCA8;PDSS1;MTFR2;ARHGAP11A;FIGNL1;ZNF367;NEIL3;CKAP2;RAD54L;CDCA5;AURKB;PBK;UHRF1;BARD1;NDC1;ZWILCH;INCENP;PARPBP;DTL;EXO1;GINS2;ORC6</t>
  </si>
  <si>
    <t>79733;10733;1111;6790;332;9055;699;8318;9133;10112;24137;7083;7298;983;3015;7153;5111;890;6240;995;7272;4174;672;5985;899;4288;1058;5557;5558;4751;3832;1163;5888;10036;4085;23397;9768;9787;2146;1033;55143;55388;259266;113130;9212;83461;11004;990;3833;51203;1894;29089;3619;54443;55723;51514;6941;10460</t>
  </si>
  <si>
    <t>E2F8;PLK4;CHEK1;AURKA;BIRC5;PRC1;BUB1;CDC45;CCNB2;KIF20A;KIF4A;TK1;TYMS;CDK1;H2AFZ;TOP2A;PCNA;CCNA2;RRM1;CDC25C;TTK;MCM5;BRCA1;RFC5;CCNF;MKI67;CENPA;PRIM1;PRIM2;NEK2;KIF11;CKS1B;RAD51;CHAF1A;MAD2L1;NCAPH;PCLAF;DLGAP5;EZH2;CDKN3;CDCA8;MCM10;ASPM;CDCA5;AURKB;CDCA3;KIF2C;CDC6;KIFC1;NUSAP1;ECT2;UBE2T;INCENP;ANLN;ASF1B;DTL;TCF19;TACC3</t>
  </si>
  <si>
    <t>GSE5679_CTRL_VS_PPARG_LIGAND_ROSIGLITAZONE_TREATED_DC_UP</t>
  </si>
  <si>
    <t>10212;8317;699;8318;9401;9133;7298;203068;10797;1503;890;4172;4174;5984;672;5985;4288;5557;1763;3838;5427;9493;84823;5888;991;23397;9768;9918;9787;6491;9319;151246;9824;84722;128239;146909;220042;259266;78995;79801;57082;55789;220134;83461;11004;54478;79075;51203;64946;80119;1894;63967;55723;55646;29893;26271;25788;10460</t>
  </si>
  <si>
    <t>DDX39A;CDC7;BUB1;CDC45;RECQL4;CCNB2;TYMS;TUBB;MTHFD2;CTPS1;CCNA2;MCM3;MCM5;RFC4;BRCA1;RFC5;MKI67;PRIM1;DNA2;KPNA2;POLE2;AC027237.1;LMNB2;RAD51;CDC20;NCAPH;PCLAF;NCAPD2;DLGAP5;STIL;TRIP13;SGO2;ARHGAP11A;PSRC1;IQGAP3;KIF18B;DDIAS;ASPM;C17orf53;SHCBP1;KNL1;DEPDC1B;SKA1;CDCA3;KIF2C;PIMREG;DSCC1;NUSAP1;CENPH;PIF1;ECT2;CLSPN;ASF1B;LYAR;PSMC3IP;FBXO5;RAD54B;TACC3</t>
  </si>
  <si>
    <t>http://www.broadinstitute.org/gsea/msigdb/cards/GSE5679_CTRL_VS_PPARG_LIGAND_ROSIGLITAZONE_TREATED_DC_UP.html</t>
  </si>
  <si>
    <t>GSE5679_CTRL_VS_RARA_AGONIST_AM580_TREATED_DC_UP</t>
  </si>
  <si>
    <t>10212;2175;8318;9401;9133;7298;203068;10797;1503;890;7283;1841;4172;790;4174;5984;672;5985;4288;5557;1763;3838;5427;9493;84823;5888;991;23397;9918;6491;9319;151246;387103;113115;9824;84722;128239;146909;259266;91687;78995;79801;57082;55247;55789;220134;55771;83461;11004;54478;51203;1894;55723;29893;26271;51659;25788</t>
  </si>
  <si>
    <t>DDX39A;FANCA;CDC45;RECQL4;CCNB2;TYMS;TUBB;MTHFD2;CTPS1;CCNA2;TUBG1;DTYMK;MCM3;CAD;MCM5;RFC4;BRCA1;RFC5;MKI67;PRIM1;DNA2;KPNA2;POLE2;AC027237.1;LMNB2;RAD51;CDC20;NCAPH;NCAPD2;STIL;TRIP13;SGO2;CENPW;MTFR2;ARHGAP11A;PSRC1;IQGAP3;KIF18B;ASPM;CENPL;C17orf53;SHCBP1;KNL1;NEIL3;DEPDC1B;SKA1;PRR11;CDCA3;KIF2C;PIMREG;NUSAP1;ECT2;ASF1B;PSMC3IP;FBXO5;GINS2;RAD54B</t>
  </si>
  <si>
    <t>http://www.broadinstitute.org/gsea/msigdb/cards/GSE5679_CTRL_VS_RARA_AGONIST_AM580_TREATED_DC_UP.html</t>
  </si>
  <si>
    <t>GSE40274_FOXP3_VS_FOXP3_AND_EOS_TRANSDUCED_ACTIVATED_CD4_TCELL_DN</t>
  </si>
  <si>
    <t>10733;1871;701;10112;9232;9134;3015;7374;10797;890;898;995;5984;5983;5557;4751;3832;5888;5426;10024;9837;23397;9768;6491;9319;54821;157570;343099;157313;9824;79682;54892;146909;220042;91687;78995;57650;8438;220134;55771;29128;64151;64105;55706;79075;2177;1894;55055;57405;29089;54443;55010;10926;9156;6941;90417;23594</t>
  </si>
  <si>
    <t>PLK4;E2F3;BUB1B;KIF20A;PTTG1;CCNE2;H2AFZ;UNG;MTHFD2;CCNA2;CCNE1;CDC25C;RFC4;RFC3;PRIM1;NEK2;KIF11;RAD51;POLE;TROAP;GINS1;NCAPH;PCLAF;STIL;TRIP13;ERCC6L;ESCO2;CCDC18;CDCA2;ARHGAP11A;CENPU;NCAPG2;KIF18B;DDIAS;CENPL;C17orf53;CIP2A;RAD54L;SKA1;PRR11;UHRF1;NCAPG;CENPK;NDC1;DSCC1;FANCD2;ECT2;ZWILCH;SPC25;UBE2T;ANLN;PARPBP;DBF4;EXO1;TCF19;KNSTRN;ORC6</t>
  </si>
  <si>
    <t>http://www.broadinstitute.org/gsea/msigdb/cards/GSE40274_FOXP3_VS_FOXP3_AND_EOS_TRANSDUCED_ACTIVATED_CD4_TCELL_DN.html</t>
  </si>
  <si>
    <t>10403;332;9055;699;3161;983;7153;890;995;7272;4288;9735;3832;9493;4085;1870;23397;9928;9787;6491;348654;55143;151246;157570;151648;157313;63979;146909;150468;79801;57082;81930;55247;2491;8438;93594;113130;9212;84930;10615;83461;83540;29127;1894;63967;57405;54443;56992;55723;51512;51514;22974;6941;10460</t>
  </si>
  <si>
    <t>NDC80;BIRC5;PRC1;BUB1;HMMR;CDK1;TOP2A;CCNA2;CDC25C;TTK;MKI67;KNTC1;KIF11;AC027237.1;MAD2L1;E2F2;NCAPH;KIF14;DLGAP5;STIL;GEN1;CDCA8;SGO2;ESCO2;SGO1;CDCA2;FIGNL1;KIF18B;CKAP2L;SHCBP1;KNL1;KIF18A;NEIL3;CENPI;RAD54L;TBC1D31;CDCA5;AURKB;MASTL;SPAG5;CDCA3;NUF2;RACGAP1;ECT2;CLSPN;SPC25;ANLN;KIF15;ASF1B;GTSE1;DTL;TPX2;TCF19;TACC3</t>
  </si>
  <si>
    <t>10212;8520;6790;332;699;3161;8318;9133;983;890;7283;6241;4176;5983;5902;4288;5557;5558;5347;5427;1163;5888;10024;4085;9837;9319;1033;27338;348654;55143;151648;729533;63979;55388;150468;147841;57082;146956;10635;9212;55839;55872;10615;83461;55706;79075;83540;57405;56992;55723;55646;29893;26271;23594</t>
  </si>
  <si>
    <t>DDX39A;HAT1;AURKA;BIRC5;BUB1;HMMR;CDC45;CCNB2;CDK1;CCNA2;TUBG1;RRM2;MCM7;RFC3;RANBP1;MKI67;PRIM1;PRIM2;PLK1;POLE2;CKS1B;RAD51;TROAP;MAD2L1;GINS1;TRIP13;CDKN3;UBE2S;GEN1;CDCA8;SGO1;FAM72A;FIGNL1;MCM10;CKAP2L;SPC24;KNL1;EME1;RAD51AP1;AURKB;CENPN;PBK;SPAG5;CDCA3;NDC1;DSCC1;NUF2;SPC25;KIF15;ASF1B;LYAR;PSMC3IP;FBXO5;ORC6</t>
  </si>
  <si>
    <t>1111;10403;332;9055;699;701;3161;9133;9232;983;7153;890;3148;995;6241;7272;899;4288;1063;9735;3832;1163;1062;5888;991;23397;9928;1033;55165;55143;151246;151648;9824;54892;150468;259266;79801;57082;55247;8438;55771;55872;83461;64151;83540;63967;3619;54443;56992;22974;6941;25788;10460</t>
  </si>
  <si>
    <t>CHEK1;NDC80;BIRC5;PRC1;BUB1;BUB1B;HMMR;CCNB2;PTTG1;CDK1;TOP2A;CCNA2;HMGB2;CDC25C;RRM2;TTK;CCNF;MKI67;CENPF;KNTC1;KIF11;CKS1B;CENPE;RAD51;CDC20;NCAPH;KIF14;CDKN3;CEP55;CDCA8;SGO2;SGO1;ARHGAP11A;NCAPG2;CKAP2L;ASPM;SHCBP1;KNL1;NEIL3;RAD54L;PRR11;PBK;CDCA3;NCAPG;NUF2;CLSPN;INCENP;ANLN;KIF15;TPX2;TCF19;RAD54B;TACC3</t>
  </si>
  <si>
    <t>79733;1111;6790;332;9055;8318;9133;24137;983;4605;7153;890;995;6241;7272;4176;4521;672;5985;5902;4171;675;4751;3832;641;1163;1869;1062;9493;5888;991;4085;4998;23397;9768;55143;55388;26586;113130;9212;29128;83461;990;64105;51203;29127;81620;1894;54443;81624;55723;51514;9156;23594</t>
  </si>
  <si>
    <t>E2F8;CHEK1;AURKA;BIRC5;PRC1;CDC45;CCNB2;KIF4A;CDK1;MYBL2;TOP2A;CCNA2;CDC25C;RRM2;TTK;MCM7;NUDT1;BRCA1;RFC5;RANBP1;MCM2;BRCA2;NEK2;KIF11;BLM;CKS1B;E2F1;CENPE;AC027237.1;RAD51;CDC20;MAD2L1;ORC1;NCAPH;PCLAF;CDCA8;MCM10;CKAP2;CDCA5;AURKB;UHRF1;CDCA3;CDC6;CENPK;NUSAP1;RACGAP1;CDT1;ECT2;ANLN;DIAPH3;ASF1B;DTL;EXO1;ORC6</t>
  </si>
  <si>
    <t>http://www.broadinstitute.org/gsea/msigdb/cards/GSE23568_CTRL_VS_ID3_TRANSDUCED_CD8_TCELL_DN.html</t>
  </si>
  <si>
    <t>GSE40666_WT_VS_STAT1_KO_CD8_TCELL_WITH_IFNA_STIM_90MIN_DN</t>
  </si>
  <si>
    <t>1871;1111;10403;332;11339;10592;7083;983;203068;3015;7153;5111;1017;6241;4173;4174;5984;5982;5983;9735;675;641;1163;1869;5426;4085;9833;9768;9319;2146;55143;387103;253714;55388;54892;150468;79801;8438;113130;55771;79915;990;64105;79075;1894;55055;63967;57405;3070;79019;55723;9156;6941</t>
  </si>
  <si>
    <t>E2F3;CHEK1;NDC80;BIRC5;OIP5;SMC2;TK1;CDK1;TUBB;H2AFZ;TOP2A;PCNA;CDK2;RRM2;MCM4;MCM5;RFC4;RFC2;RFC3;KNTC1;BRCA2;BLM;CKS1B;E2F1;POLE;MAD2L1;MELK;PCLAF;TRIP13;EZH2;CDCA8;CENPW;MMS22L;MCM10;NCAPG2;CKAP2L;SHCBP1;RAD54L;CDCA5;PRR11;ATAD5;CDC6;CENPK;DSCC1;ECT2;ZWILCH;CLSPN;SPC25;HELLS;CENPM;ASF1B;EXO1;TCF19</t>
  </si>
  <si>
    <t>http://www.broadinstitute.org/gsea/msigdb/cards/GSE40666_WT_VS_STAT1_KO_CD8_TCELL_WITH_IFNA_STIM_90MIN_DN.html</t>
  </si>
  <si>
    <t>GSE21546_ELK1_KO_VS_SAP1A_KO_AND_ELK1_KO_DP_THYMOCYTES_DN</t>
  </si>
  <si>
    <t>23306;10721;8318;9401;24137;7374;1503;1841;6240;10105;4174;5984;672;2237;899;4171;9735;4670;641;991;10036;23649;3837;9918;1994;2146;151246;64434;84722;79682;55388;90381;219988;54892;259266;284992;57082;23234;220134;113130;9212;55771;84991;10615;79075;79902;55038;51203;54069;29893;8914;6941</t>
  </si>
  <si>
    <t>NEMP1;POLQ;CDC45;RECQL4;KIF4A;UNG;CTPS1;DTYMK;RRM1;PPIF;MCM5;RFC4;BRCA1;FEN1;CCNF;MCM2;KNTC1;HNRNPM;BLM;CDC20;CHAF1A;POLA2;KPNB1;NCAPD2;ELAVL1;EZH2;SGO2;NOM1;PSRC1;CENPU;MCM10;TICRR;PATL1;NCAPG2;ASPM;CCDC150;KNL1;DNAJC9;SKA1;CDCA5;AURKB;PRR11;RBM17;SPAG5;DSCC1;NUP85;CDCA4;NUSAP1;MIS18A;PSMC3IP;TIMELESS;TCF19</t>
  </si>
  <si>
    <t>http://www.broadinstitute.org/gsea/msigdb/cards/GSE21546_ELK1_KO_VS_SAP1A_KO_AND_ELK1_KO_DP_THYMOCYTES_DN.html</t>
  </si>
  <si>
    <t>11065;8318;9133;10112;24137;10592;9232;10797;891;4691;7283;1786;10105;4176;2237;4288;675;3832;1062;9493;2305;991;4085;4998;9700;9833;9918;9787;9319;2146;1033;55635;55388;54892;259266;79801;8438;10635;220134;9212;55872;10615;990;64151;55706;29127;57405;56992;55215;51514;51659;10460</t>
  </si>
  <si>
    <t>UBE2C;CDC45;CCNB2;KIF20A;KIF4A;SMC2;PTTG1;MTHFD2;CCNB1;NCL;TUBG1;DNMT1;PPIF;MCM7;FEN1;MKI67;BRCA2;KIF11;CENPE;AC027237.1;FOXM1;CDC20;MAD2L1;ORC1;ESPL1;MELK;NCAPD2;DLGAP5;TRIP13;EZH2;CDKN3;DEPDC1;MCM10;NCAPG2;ASPM;SHCBP1;RAD54L;RAD51AP1;SKA1;AURKB;PBK;SPAG5;CDC6;NCAPG;NDC1;RACGAP1;SPC25;KIF15;FANCI;DTL;GINS2;TACC3</t>
  </si>
  <si>
    <t>10733;1111;6839;11339;8318;11169;10112;9134;995;7272;4173;4521;5558;1062;84823;5426;2305;9833;23397;9918;6491;2146;27338;54821;55165;55143;9824;79866;29028;79682;91687;147841;57082;81930;55247;57650;83903;11073;10635;9585;79915;29128;79172;2177;80119;1894;10051;55010;54069;51512;51659</t>
  </si>
  <si>
    <t>PLK4;CHEK1;SUV39H1;OIP5;CDC45;WDHD1;KIF20A;CCNE2;CDC25C;TTK;MCM4;NUDT1;PRIM2;CENPE;LMNB2;POLE;FOXM1;MELK;NCAPH;NCAPD2;STIL;EZH2;UBE2S;ERCC6L;CEP55;CDCA8;ARHGAP11A;BORA;ATAD2;CENPU;CENPL;SPC24;KNL1;KIF18A;NEIL3;CIP2A;HASPIN;TOPBP1;RAD51AP1;KIF20B;ATAD5;UHRF1;CENPO;FANCD2;PIF1;ECT2;SMC4;PARPBP;MIS18A;GTSE1;GINS2</t>
  </si>
  <si>
    <t>GSE45365_HEALTHY_VS_MCMV_INFECTION_CD11B_DC_DN</t>
  </si>
  <si>
    <t>11065;6790;332;9055;3161;9133;10112;9232;7083;983;891;7283;6241;4288;1058;1063;4751;5347;1062;2305;10024;991;9833;9837;9768;9787;9319;1033;27338;55165;55143;157570;55635;113115;146909;221150;259266;55355;79801;113130;9212;55839;55872;10615;83461;83540;54443;81624;51514;22974</t>
  </si>
  <si>
    <t>UBE2C;AURKA;BIRC5;PRC1;HMMR;CCNB2;KIF20A;PTTG1;TK1;CDK1;CCNB1;TUBG1;RRM2;MKI67;CENPA;CENPF;NEK2;PLK1;CENPE;FOXM1;TROAP;CDC20;MELK;GINS1;PCLAF;DLGAP5;TRIP13;CDKN3;UBE2S;CEP55;CDCA8;ESCO2;DEPDC1;MTFR2;KIF18B;SKA3;ASPM;HJURP;SHCBP1;CDCA5;AURKB;CENPN;PBK;SPAG5;CDCA3;NUF2;ANLN;DIAPH3;DTL;TPX2</t>
  </si>
  <si>
    <t>http://www.broadinstitute.org/gsea/msigdb/cards/GSE45365_HEALTHY_VS_MCMV_INFECTION_CD11B_DC_DN.html</t>
  </si>
  <si>
    <t>79733;1111;9055;3161;24137;86;7083;7298;1841;898;7272;4173;4174;5985;5902;9735;675;4751;3838;1163;991;4085;9833;9918;54821;55143;23590;113115;55345;55247;57650;83903;26586;8438;144455;146956;10635;113130;9212;55872;10615;580;64946;80119;55055;3619;54443;55732;51659;10460</t>
  </si>
  <si>
    <t>E2F8;CHEK1;PRC1;HMMR;KIF4A;ACTL6A;TK1;TYMS;DTYMK;CCNE1;TTK;MCM4;MCM5;RFC5;RANBP1;KNTC1;BRCA2;NEK2;KPNA2;CKS1B;CDC20;MAD2L1;MELK;NCAPD2;ERCC6L;CDCA8;PDSS1;MTFR2;ZGRF1;NEIL3;CIP2A;HASPIN;CKAP2;RAD54L;E2F7;EME1;RAD51AP1;CDCA5;AURKB;PBK;SPAG5;BARD1;CENPH;PIF1;ZWILCH;INCENP;ANLN;C1orf112;GINS2;TACC3</t>
  </si>
  <si>
    <t>GSE7852_LN_VS_THYMUS_TCONV_DN</t>
  </si>
  <si>
    <t>79733;11065;9055;983;7153;5111;6240;1017;7272;4176;899;1058;5557;5347;641;1163;1062;5888;991;6502;1870;9700;9833;23397;2146;151246;55635;63979;163786;55388;54892;220042;83903;8438;10635;113130;84930;55771;55872;79915;29128;11004;990;79075;51203;1894;55723;55010;8914;11198</t>
  </si>
  <si>
    <t>E2F8;UBE2C;PRC1;CDK1;TOP2A;PCNA;RRM1;CDK2;TTK;MCM7;CCNF;CENPA;PRIM1;PLK1;BLM;CKS1B;CENPE;RAD51;CDC20;SKP2;E2F2;ESPL1;MELK;NCAPH;EZH2;SGO2;DEPDC1;FIGNL1;SASS6;MCM10;NCAPG2;DDIAS;HASPIN;RAD54L;RAD51AP1;CDCA5;MASTL;PRR11;PBK;ATAD5;UHRF1;KIF2C;CDC6;DSCC1;NUSAP1;ECT2;ASF1B;PARPBP;TIMELESS;SUPT16H</t>
  </si>
  <si>
    <t>http://www.broadinstitute.org/gsea/msigdb/cards/GSE7852_LN_VS_THYMUS_TCONV_DN.html</t>
  </si>
  <si>
    <t>79733;1111;6790;11339;699;701;3161;9133;11130;24137;10592;9232;7298;983;891;7283;6241;7272;4288;1063;4171;3832;1434;2305;991;9833;9837;9768;9928;9787;9319;1033;348654;55165;79801;57082;2491;92092;55872;10615;990;64151;51203;83540;56992;55010;51514;26271;22974</t>
  </si>
  <si>
    <t>E2F8;CHEK1;AURKA;OIP5;BUB1;BUB1B;HMMR;CCNB2;ZWINT;KIF4A;SMC2;PTTG1;TYMS;CDK1;CCNB1;TUBG1;RRM2;TTK;MKI67;CENPF;MCM2;KIF11;CSE1L;FOXM1;CDC20;MELK;GINS1;PCLAF;KIF14;DLGAP5;TRIP13;CDKN3;GEN1;CEP55;SHCBP1;KNL1;CENPI;ZC3HAV1L;PBK;SPAG5;CDC6;NCAPG;NUSAP1;NUF2;KIF15;PARPBP;DTL;FBXO5;TPX2</t>
  </si>
  <si>
    <t>GSE19941_LPS_VS_LPS_AND_IL10_STIM_IL10_KO_MACROPHAGE_UP</t>
  </si>
  <si>
    <t>79733;23306;6790;5496;701;7083;983;1017;7272;4288;1058;4171;3832;5347;5427;1869;9493;6749;10024;991;23649;9700;9918;27338;54821;55143;151648;113115;63979;128239;146909;150468;57082;201299;55789;113130;10615;11004;54478;79968;3619;54443;55723;51512;56241;26271;22974</t>
  </si>
  <si>
    <t>E2F8;NEMP1;AURKA;PPM1G;BUB1B;TK1;CDK1;CDK2;TTK;MKI67;CENPA;MCM2;KIF11;PLK1;POLE2;E2F1;AC027237.1;SSRP1;TROAP;CDC20;POLA2;ESPL1;NCAPD2;UBE2S;ERCC6L;CDCA8;SGO1;MTFR2;FIGNL1;IQGAP3;KIF18B;CKAP2L;KNL1;RDM1;DEPDC1B;CDCA5;SPAG5;KIF2C;PIMREG;WDR76;INCENP;ANLN;ASF1B;GTSE1;SUSD2;FBXO5;TPX2</t>
  </si>
  <si>
    <t>http://www.broadinstitute.org/gsea/msigdb/cards/GSE19941_LPS_VS_LPS_AND_IL10_STIM_IL10_KO_MACROPHAGE_UP.html</t>
  </si>
  <si>
    <t>GSE45365_WT_VS_IFNAR_KO_BCELL_MCMV_INFECTION_DN</t>
  </si>
  <si>
    <t>6790;332;11339;701;10721;9133;10112;24137;9232;898;2237;4288;1058;4171;4751;5347;5888;10024;4085;9700;9768;9787;9319;1033;54821;55165;157570;113115;55388;146909;150468;55355;55247;55789;8438;113130;55839;10615;83461;11004;55038;83540;81610;29089;55732;81624;55723;6941</t>
  </si>
  <si>
    <t>AURKA;BIRC5;OIP5;BUB1B;POLQ;CCNB2;KIF20A;KIF4A;PTTG1;CCNE1;FEN1;MKI67;CENPA;MCM2;NEK2;PLK1;RAD51;TROAP;MAD2L1;ESPL1;PCLAF;DLGAP5;TRIP13;CDKN3;ERCC6L;CEP55;ESCO2;MTFR2;MCM10;KIF18B;CKAP2L;HJURP;NEIL3;DEPDC1B;RAD54L;CDCA5;CENPN;SPAG5;CDCA3;KIF2C;CDCA4;NUF2;FAM83D;UBE2T;C1orf112;DIAPH3;ASF1B;TCF19</t>
  </si>
  <si>
    <t>http://www.broadinstitute.org/gsea/msigdb/cards/GSE45365_WT_VS_IFNAR_KO_BCELL_MCMV_INFECTION_DN.html</t>
  </si>
  <si>
    <t>1111;10403;6790;9055;701;8318;7083;983;890;6240;1763;4751;3832;5347;8208;4085;9833;9918;6491;343099;9824;90381;89958;54892;25886;147841;79801;55789;8438;10635;220134;990;55706;84057;83990;2177;64946;80119;57405;54443;81624;55723;51514;26271;22974;9156;25788;10460</t>
  </si>
  <si>
    <t>CHEK1;NDC80;AURKA;PRC1;BUB1B;CDC45;TK1;CDK1;CCNA2;RRM1;DNA2;NEK2;KIF11;PLK1;CHAF1B;MAD2L1;MELK;NCAPD2;STIL;CCDC18;ARHGAP11A;TICRR;SAPCD2;NCAPG2;POC1A;SPC24;SHCBP1;DEPDC1B;RAD54L;RAD51AP1;SKA1;CDC6;NDC1;MND1;BRIP1;FANCD2;CENPH;PIF1;SPC25;ANLN;DIAPH3;ASF1B;DTL;FBXO5;TPX2;EXO1;RAD54B;TACC3</t>
  </si>
  <si>
    <t>79733;10733;11065;1111;332;11339;701;3161;9133;11130;10112;9232;7083;7298;983;203068;891;890;1841;3148;6241;7272;2237;4288;4171;3832;5427;9493;991;4175;9700;9833;9768;9787;1033;55143;10635;9212;10615;11004;64151;51203;29127;56992;55215;51514;22974;51659</t>
  </si>
  <si>
    <t>E2F8;PLK4;UBE2C;CHEK1;BIRC5;OIP5;BUB1B;HMMR;CCNB2;ZWINT;KIF20A;PTTG1;TK1;TYMS;CDK1;TUBB;CCNB1;CCNA2;DTYMK;HMGB2;RRM2;TTK;FEN1;MKI67;MCM2;KIF11;POLE2;AC027237.1;CDC20;MCM6;ESPL1;MELK;PCLAF;DLGAP5;CDKN3;CDCA8;RAD51AP1;AURKB;SPAG5;KIF2C;NCAPG;NUSAP1;RACGAP1;KIF15;FANCI;DTL;TPX2;GINS2</t>
  </si>
  <si>
    <t>GSE32164_RESTING_DIFFERENTIATED_VS_ALTERNATIVELY_ACT_M2_MACROPHAGE_UP</t>
  </si>
  <si>
    <t>79733;1111;10403;332;9055;8318;9133;10112;24137;7083;983;203068;7153;5111;890;995;6241;4521;5902;1058;5557;675;3838;5427;1163;9493;5888;991;4085;23649;23397;9768;2146;55143;26586;23234;9212;29128;83461;990;64105;51203;29127;81620;54443;81624;9156;23594</t>
  </si>
  <si>
    <t>E2F8;CHEK1;NDC80;BIRC5;PRC1;CDC45;CCNB2;KIF20A;KIF4A;TK1;CDK1;TUBB;TOP2A;PCNA;CCNA2;CDC25C;RRM2;NUDT1;RANBP1;CENPA;PRIM1;BRCA2;KPNA2;POLE2;CKS1B;AC027237.1;RAD51;CDC20;MAD2L1;POLA2;NCAPH;PCLAF;EZH2;CDCA8;CKAP2;DNAJC9;AURKB;UHRF1;CDCA3;CDC6;CENPK;NUSAP1;RACGAP1;CDT1;ANLN;DIAPH3;EXO1;ORC6</t>
  </si>
  <si>
    <t>http://www.broadinstitute.org/gsea/msigdb/cards/GSE32164_RESTING_DIFFERENTIATED_VS_ALTERNATIVELY_ACT_M2_MACROPHAGE_UP.html</t>
  </si>
  <si>
    <t>10403;332;11339;699;10721;11169;9133;10112;24137;9232;9134;7153;7272;2237;4288;1058;1063;3832;5888;2305;10024;9700;9928;9787;55165;55635;157313;113115;146909;150468;147841;57082;55247;55789;10635;113130;9212;10615;51203;83540;81610;57405;29089;54443;81624;55723;55010</t>
  </si>
  <si>
    <t>NDC80;BIRC5;OIP5;BUB1;POLQ;WDHD1;CCNB2;KIF20A;KIF4A;PTTG1;CCNE2;TOP2A;TTK;FEN1;MKI67;CENPA;CENPF;KIF11;RAD51;FOXM1;TROAP;ESPL1;KIF14;DLGAP5;CEP55;DEPDC1;CDCA2;MTFR2;KIF18B;CKAP2L;SPC24;KNL1;NEIL3;DEPDC1B;RAD51AP1;CDCA5;AURKB;SPAG5;NUSAP1;NUF2;FAM83D;SPC25;UBE2T;ANLN;DIAPH3;ASF1B;PARPBP</t>
  </si>
  <si>
    <t>79733;10733;332;3161;9133;10592;7283;6240;995;6241;7112;4288;1063;8833;4751;3832;1062;9493;4998;9833;9837;151246;343099;113115;9824;55388;128239;54892;57082;55247;55789;10635;9212;79915;10615;83461;990;83990;29127;64946;3070;56992;22974;9156;10460</t>
  </si>
  <si>
    <t>E2F8;PLK4;BIRC5;HMMR;CCNB2;SMC2;TUBG1;RRM1;CDC25C;RRM2;TMPO;MKI67;CENPF;GMPS;NEK2;KIF11;CENPE;AC027237.1;ORC1;MELK;GINS1;SGO2;CCDC18;MTFR2;ARHGAP11A;MCM10;IQGAP3;NCAPG2;KNL1;NEIL3;DEPDC1B;RAD51AP1;AURKB;ATAD5;SPAG5;CDCA3;CDC6;BRIP1;RACGAP1;CENPH;HELLS;KIF15;TPX2;EXO1;TACC3</t>
  </si>
  <si>
    <t>332;9055;8318;9133;9134;7298;983;1503;890;4001;6240;4172;993;6241;4173;5983;4288;5557;5558;3838;5347;9493;5426;9833;55165;55143;387103;55388;195828;54892;25886;55355;79801;57650;2491;29128;990;63967;29089;3070;55723;54069;51514;22974;6941;51659;10460</t>
  </si>
  <si>
    <t>BIRC5;PRC1;CDC45;CCNB2;CCNE2;TYMS;CDK1;CTPS1;CCNA2;LMNB1;RRM1;MCM3;CDC25A;RRM2;MCM4;RFC3;MKI67;PRIM1;PRIM2;KPNA2;PLK1;AC027237.1;POLE;MELK;CEP55;CDCA8;CENPW;MCM10;ZNF367;NCAPG2;POC1A;HJURP;SHCBP1;CIP2A;CENPI;UHRF1;CDC6;CLSPN;UBE2T;HELLS;ASF1B;MIS18A;DTL;TPX2;TCF19;GINS2;TACC3</t>
  </si>
  <si>
    <t>79733;8520;284403;24137;9134;5111;7283;6240;898;5933;5984;672;1058;4171;3068;2956;3832;10376;6749;23397;9918;157570;343099;29028;89958;150468;162681;91687;25886;55355;57650;23165;2491;8438;146956;11004;64151;55706;29127;55055;3619;10051;51512;22974;9156;51659;10460</t>
  </si>
  <si>
    <t>E2F8;HAT1;WDR62;KIF4A;CCNE2;PCNA;TUBG1;RRM1;CCNE1;RBL1;RFC4;BRCA1;CENPA;MCM2;HDGF;MSH6;KIF11;TUBA1B;SSRP1;NCAPH;NCAPD2;ESCO2;CCDC18;ATAD2;SAPCD2;CKAP2L;C18orf54;CENPL;POC1A;HJURP;CIP2A;NUP205;CENPI;RAD54L;EME1;KIF2C;NCAPG;NDC1;RACGAP1;ZWILCH;INCENP;SMC4;GTSE1;TPX2;EXO1;GINS2;TACC3</t>
  </si>
  <si>
    <t>GSE1460_INTRATHYMIC_T_PROGENITOR_VS_NAIVE_CD4_TCELL_ADULT_BLOOD_UP</t>
  </si>
  <si>
    <t>8317;11065;1111;6790;11339;699;11169;11130;890;6240;10971;4173;9775;2237;4288;3068;4751;2956;641;2305;991;1479;10036;8208;4085;4175;6491;1033;27338;146909;26586;11073;3066;55839;55872;990;54478;1894;55055;3070;79019;10051;55215;29980;26271;23594</t>
  </si>
  <si>
    <t>CDC7;UBE2C;CHEK1;AURKA;OIP5;BUB1;WDHD1;ZWINT;CCNA2;RRM1;YWHAQ;MCM4;EIF4A3;FEN1;MKI67;HDGF;NEK2;MSH6;BLM;FOXM1;CDC20;CSTF3;CHAF1A;CHAF1B;MAD2L1;MCM6;STIL;CDKN3;UBE2S;KIF18B;CKAP2;TOPBP1;HDAC2;CENPN;PBK;CDC6;PIMREG;ECT2;ZWILCH;HELLS;CENPM;SMC4;FANCI;DONSON;FBXO5;ORC6</t>
  </si>
  <si>
    <t>http://www.broadinstitute.org/gsea/msigdb/cards/GSE1460_INTRATHYMIC_T_PROGENITOR_VS_NAIVE_CD4_TCELL_ADULT_BLOOD_UP.html</t>
  </si>
  <si>
    <t>8317;10403;6790;701;3161;8318;9133;10592;9232;7083;7298;983;4605;7153;10797;891;890;7283;4172;6241;7272;4173;5983;1063;5557;4171;4751;3832;5427;1163;10376;9700;23397;9768;9918;2146;1033;27338;10635;11004;990;3833;81620;55215;22974;8914</t>
  </si>
  <si>
    <t>CDC7;NDC80;AURKA;BUB1B;HMMR;CDC45;CCNB2;SMC2;PTTG1;TK1;TYMS;CDK1;MYBL2;TOP2A;MTHFD2;CCNB1;CCNA2;TUBG1;MCM3;RRM2;TTK;MCM4;RFC3;CENPF;PRIM1;MCM2;NEK2;KIF11;POLE2;CKS1B;TUBA1B;ESPL1;NCAPH;PCLAF;NCAPD2;EZH2;CDKN3;UBE2S;RAD51AP1;KIF2C;CDC6;KIFC1;CDT1;FANCI;TPX2;TIMELESS</t>
  </si>
  <si>
    <t>79733;8317;701;8318;11169;22995;24137;7153;6241;4176;5982;672;4288;1063;5557;9735;3832;1163;1062;9493;23397;9768;9918;9319;54821;55143;151246;84722;79801;55789;113130;55771;55872;10615;9088;3833;55038;81620;80119;55055;3619;54443;79019;10051;55215</t>
  </si>
  <si>
    <t>E2F8;CDC7;BUB1B;CDC45;WDHD1;CEP152;KIF4A;TOP2A;RRM2;MCM7;RFC2;BRCA1;MKI67;CENPF;PRIM1;KNTC1;KIF11;CKS1B;CENPE;AC027237.1;NCAPH;PCLAF;NCAPD2;TRIP13;ERCC6L;CDCA8;SGO2;PSRC1;SHCBP1;DEPDC1B;CDCA5;PRR11;PBK;SPAG5;PKMYT1;KIFC1;CDCA4;CDT1;PIF1;ZWILCH;INCENP;ANLN;CENPM;SMC4;FANCI</t>
  </si>
  <si>
    <t>11065;6790;8318;11169;9133;10592;9232;7298;4605;5111;891;1503;890;7283;4172;995;6241;7272;4173;4174;4521;672;2237;4288;1063;4171;3832;10376;991;9700;9833;9837;9768;9918;9787;2146;1033;27338;8438;10635;9212;990;55215;22974;9156</t>
  </si>
  <si>
    <t>UBE2C;AURKA;CDC45;WDHD1;CCNB2;SMC2;PTTG1;TYMS;MYBL2;PCNA;CCNB1;CTPS1;CCNA2;TUBG1;MCM3;CDC25C;RRM2;TTK;MCM4;MCM5;NUDT1;BRCA1;FEN1;MKI67;CENPF;MCM2;KIF11;TUBA1B;CDC20;ESPL1;MELK;GINS1;PCLAF;NCAPD2;DLGAP5;EZH2;CDKN3;UBE2S;RAD54L;RAD51AP1;AURKB;CDC6;FANCI;TPX2;EXO1</t>
  </si>
  <si>
    <t>GSE7764_IL15_TREATED_VS_CTRL_NK_CELL_24H_UP</t>
  </si>
  <si>
    <t>79733;10733;1871;11065;6790;332;8318;11130;7298;4605;7153;10797;890;4172;993;995;672;1063;1763;4751;9768;1994;2146;157313;9824;29028;219988;150468;78995;55789;8438;146956;27085;84930;9585;79915;990;64151;3833;51203;55055;63967;3070;55723</t>
  </si>
  <si>
    <t>E2F8;PLK4;E2F3;UBE2C;AURKA;BIRC5;CDC45;ZWINT;TYMS;MYBL2;TOP2A;MTHFD2;CCNA2;MCM3;CDC25A;CDC25C;BRCA1;CENPF;DNA2;NEK2;PCLAF;ELAVL1;EZH2;CDCA2;ARHGAP11A;ATAD2;PATL1;CKAP2L;C17orf53;DEPDC1B;RAD54L;EME1;MTBP;MASTL;KIF20B;ATAD5;CDC6;NCAPG;KIFC1;NUSAP1;ZWILCH;CLSPN;HELLS;ASF1B</t>
  </si>
  <si>
    <t>http://www.broadinstitute.org/gsea/msigdb/cards/GSE7764_IL15_TREATED_VS_CTRL_NK_CELL_24H_UP.html</t>
  </si>
  <si>
    <t>8317;10733;1871;1111;22995;10112;24137;7083;4001;4172;1786;3148;4173;4176;1063;4171;10376;5888;991;9837;1994;343099;157313;84722;29028;55388;55345;147841;55789;8438;113130;84991;55872;375444;10615;29128;84790;55055;57405;3070;79019;51514;22974;8914</t>
  </si>
  <si>
    <t>CDC7;PLK4;E2F3;CHEK1;CEP152;KIF20A;KIF4A;TK1;LMNB1;MCM3;DNMT1;HMGB2;MCM4;MCM7;CENPF;MCM2;TUBA1B;RAD51;CDC20;GINS1;ELAVL1;CCDC18;CDCA2;PSRC1;ATAD2;MCM10;ZGRF1;SPC24;DEPDC1B;RAD54L;CDCA5;RBM17;PBK;C5orf34;SPAG5;UHRF1;TUBA1C;ZWILCH;SPC25;HELLS;CENPM;DTL;TPX2;TIMELESS</t>
  </si>
  <si>
    <t>8520;9055;8318;7398;5111;1503;7283;1017;1786;4173;4174;4176;5984;2237;5985;5902;4171;3838;2956;641;1434;1163;10376;84823;991;4085;4998;4175;9319;1994;27338;55388;23234;11073;23165;3066;10635;55872;990;81620;10051;29980;51514;51659</t>
  </si>
  <si>
    <t>HAT1;PRC1;CDC45;USP1;PCNA;CTPS1;TUBG1;CDK2;DNMT1;MCM4;MCM5;MCM7;RFC4;FEN1;RFC5;RANBP1;MCM2;KPNA2;MSH6;BLM;CSE1L;CKS1B;TUBA1B;LMNB2;CDC20;MAD2L1;ORC1;MCM6;TRIP13;ELAVL1;UBE2S;MCM10;DNAJC9;TOPBP1;NUP205;HDAC2;RAD51AP1;PBK;CDC6;CDT1;SMC4;DONSON;DTL;GINS2</t>
  </si>
  <si>
    <t>http://www.broadinstitute.org/gsea/msigdb/cards/GSE22886_UNSTIM_VS_IL15_STIM_NKCELL_DN.html</t>
  </si>
  <si>
    <t>11065;9055;701;9133;11130;10112;10592;7083;7298;983;203068;7153;5111;1503;4691;1841;5725;790;23310;1058;1434;5427;10376;5888;6502;9700;3837;23397;23518;2146;79801;26586;55872;580;84790;64785;54478;81620;56992;79019;10051;55215;10926;11198</t>
  </si>
  <si>
    <t>UBE2C;PRC1;BUB1B;CCNB2;ZWINT;KIF20A;SMC2;TK1;TYMS;CDK1;TUBB;TOP2A;PCNA;CTPS1;NCL;DTYMK;PTBP1;CAD;NCAPD3;CENPA;CSE1L;POLE2;TUBA1B;RAD51;SKP2;ESPL1;KPNB1;NCAPH;R3HDM1;EZH2;SHCBP1;CKAP2;PBK;BARD1;TUBA1C;GINS3;PIMREG;CDT1;KIF15;CENPM;SMC4;FANCI;DBF4;SUPT16H</t>
  </si>
  <si>
    <t>79733;1111;6790;701;10721;8318;11169;11130;10592;5111;1503;890;3148;993;672;5983;899;7112;1063;1763;3838;9493;5888;2305;4085;9700;9787;1033;55388;79801;9212;55872;10615;990;54478;3833;92086;1894;57405;11321;3070;10051;51514;51659</t>
  </si>
  <si>
    <t>E2F8;CHEK1;AURKA;BUB1B;POLQ;CDC45;WDHD1;ZWINT;SMC2;PCNA;CTPS1;CCNA2;HMGB2;CDC25A;BRCA1;RFC3;CCNF;TMPO;CENPF;DNA2;KPNA2;AC027237.1;RAD51;FOXM1;MAD2L1;ESPL1;DLGAP5;CDKN3;MCM10;SHCBP1;AURKB;PBK;SPAG5;CDC6;PIMREG;KIFC1;GGTLC1;ECT2;SPC25;GPN1;HELLS;SMC4;DTL;GINS2</t>
  </si>
  <si>
    <t>1111;6790;332;699;9133;9232;983;7153;4001;1841;3148;7272;4176;5982;4521;5985;5983;4288;4751;3832;641;1163;991;4085;23397;9768;9787;9319;55143;163786;259266;57650;113130;990;64105;51203;29127;81620;54443;55723;51514;6941;23594;10460</t>
  </si>
  <si>
    <t>CHEK1;AURKA;BIRC5;BUB1;CCNB2;PTTG1;CDK1;TOP2A;LMNB1;DTYMK;HMGB2;TTK;MCM7;RFC2;NUDT1;RFC5;RFC3;MKI67;NEK2;KIF11;BLM;CKS1B;CDC20;MAD2L1;NCAPH;PCLAF;DLGAP5;TRIP13;CDCA8;SASS6;ASPM;CIP2A;CDCA5;CDC6;CENPK;NUSAP1;RACGAP1;CDT1;ANLN;ASF1B;DTL;TCF19;ORC6;TACC3</t>
  </si>
  <si>
    <t>10733;10403;9055;699;701;8318;10592;983;7153;6240;1017;995;6241;4176;1063;9735;1062;9493;5888;9833;9319;55165;55143;151246;151648;157313;63979;259266;79801;57082;81930;83903;8438;10635;55872;9585;64151;84296;29089;56992;55646;51514</t>
  </si>
  <si>
    <t>PLK4;NDC80;PRC1;BUB1;BUB1B;CDC45;SMC2;CDK1;TOP2A;RRM1;CDK2;CDC25C;RRM2;MCM7;CENPF;KNTC1;CENPE;AC027237.1;RAD51;MELK;TRIP13;CEP55;CDCA8;SGO2;SGO1;CDCA2;FIGNL1;ASPM;SHCBP1;KNL1;KIF18A;HASPIN;RAD54L;RAD51AP1;PBK;KIF20B;NCAPG;GINS4;UBE2T;KIF15;LYAR;DTL</t>
  </si>
  <si>
    <t>10733;332;9055;699;8318;9133;24137;7298;983;7153;890;4001;6240;1017;3148;995;6241;672;899;4288;1058;5558;3838;3832;1163;991;10036;4085;23397;9768;9787;2146;1033;83903;113130;11004;990;51203;29127;55723;51512;6941;10460</t>
  </si>
  <si>
    <t>PLK4;BIRC5;PRC1;BUB1;CDC45;CCNB2;KIF4A;TYMS;CDK1;TOP2A;CCNA2;LMNB1;RRM1;CDK2;HMGB2;CDC25C;RRM2;BRCA1;CCNF;MKI67;CENPA;PRIM2;KPNA2;KIF11;CKS1B;CDC20;CHAF1A;MAD2L1;NCAPH;PCLAF;DLGAP5;EZH2;CDKN3;HASPIN;CDCA5;KIF2C;CDC6;NUSAP1;RACGAP1;ASF1B;GTSE1;TCF19;TACC3</t>
  </si>
  <si>
    <t>10733;1111;8520;6839;7516;699;9133;24137;10797;1503;890;5984;2237;5902;8833;4751;3838;641;5888;4085;9833;9319;151648;9824;63979;54892;79801;26586;8438;93594;79915;10615;29128;990;64105;2177;57405;3070;81624;51514;29893;9156;90417</t>
  </si>
  <si>
    <t>PLK4;CHEK1;HAT1;SUV39H1;XRCC2;BUB1;CCNB2;KIF4A;MTHFD2;CTPS1;CCNA2;RFC4;FEN1;RANBP1;GMPS;NEK2;KPNA2;BLM;RAD51;MAD2L1;MELK;TRIP13;SGO1;ARHGAP11A;FIGNL1;NCAPG2;SHCBP1;CKAP2;RAD54L;TBC1D31;ATAD5;SPAG5;UHRF1;CDC6;CENPK;FANCD2;SPC25;HELLS;DIAPH3;DTL;PSMC3IP;EXO1;KNSTRN</t>
  </si>
  <si>
    <t>GSE22886_UNSTIM_VS_IL2_STIM_NKCELL_DN</t>
  </si>
  <si>
    <t>10212;1111;6839;9055;3161;8318;203068;5111;1503;7283;993;4173;4176;5984;2237;5902;4171;675;3838;641;1434;1163;10376;84823;991;4175;9700;9319;27338;54821;23590;55388;79801;23234;990;84790;64785;55038;81620;79000;29980;9156;51659</t>
  </si>
  <si>
    <t>DDX39A;CHEK1;SUV39H1;PRC1;HMMR;CDC45;TUBB;PCNA;CTPS1;TUBG1;CDC25A;MCM4;MCM7;RFC4;FEN1;RANBP1;MCM2;BRCA2;KPNA2;BLM;CSE1L;CKS1B;TUBA1B;LMNB2;CDC20;MCM6;ESPL1;TRIP13;UBE2S;ERCC6L;PDSS1;MCM10;SHCBP1;DNAJC9;CDC6;TUBA1C;GINS3;CDCA4;CDT1;AUNIP;DONSON;EXO1;GINS2</t>
  </si>
  <si>
    <t>http://www.broadinstitute.org/gsea/msigdb/cards/GSE22886_UNSTIM_VS_IL2_STIM_NKCELL_DN.html</t>
  </si>
  <si>
    <t>GSE24634_TEFF_VS_TCONV_DAY5_IN_CULTURE_UP</t>
  </si>
  <si>
    <t>5717;8317;10592;7298;4605;4001;1841;6241;7272;4176;5984;2237;5985;23310;5902;1063;4171;8833;5347;9493;2305;4085;6502;9700;9833;9768;2146;1033;79866;26586;55839;11004;84790;64785;79075;81620;1894;56992;79019;10051;10926;9156;25788</t>
  </si>
  <si>
    <t>PSMD11;CDC7;SMC2;TYMS;MYBL2;LMNB1;DTYMK;RRM2;TTK;MCM7;RFC4;FEN1;RFC5;NCAPD3;RANBP1;CENPF;MCM2;GMPS;PLK1;AC027237.1;FOXM1;MAD2L1;SKP2;ESPL1;MELK;PCLAF;EZH2;CDKN3;BORA;CKAP2;CENPN;KIF2C;TUBA1C;GINS3;DSCC1;CDT1;ECT2;KIF15;CENPM;SMC4;DBF4;EXO1;RAD54B</t>
  </si>
  <si>
    <t>http://www.broadinstitute.org/gsea/msigdb/cards/GSE24634_TEFF_VS_TCONV_DAY5_IN_CULTURE_UP.html</t>
  </si>
  <si>
    <t>1871;6790;332;9133;10112;10592;9232;7298;3015;5111;890;6240;993;6241;4174;5984;4436;1058;3832;5427;1163;5888;23649;9700;9918;6491;29028;54892;146909;81930;26586;2491;8438;9585;11004;64151;84296;55706;51203;55732;55215;51514;51659</t>
  </si>
  <si>
    <t>E2F3;AURKA;BIRC5;CCNB2;KIF20A;SMC2;PTTG1;TYMS;H2AFZ;PCNA;CCNA2;RRM1;CDC25A;RRM2;MCM5;RFC4;MSH2;CENPA;KIF11;POLE2;CKS1B;RAD51;POLA2;ESPL1;NCAPD2;STIL;ATAD2;NCAPG2;KIF18B;KIF18A;CKAP2;CENPI;RAD54L;KIF20B;KIF2C;NCAPG;GINS4;NDC1;NUSAP1;C1orf112;FANCI;DTL;GINS2</t>
  </si>
  <si>
    <t>GSE17301_ACD3_ACD28_VS_ACD3_ACD28_AND_IFNA5_STIM_CD8_TCELL_UP</t>
  </si>
  <si>
    <t>2175;284403;10721;9401;9133;7083;7298;983;4605;3148;993;6241;899;4288;10376;2305;10024;9700;9833;9768;9787;9319;55635;259266;55355;80174;8438;79915;83461;9088;11004;3833;10293;51203;64858;63967;79019;55723;51512;1789;22974;9156;23594</t>
  </si>
  <si>
    <t>FANCA;WDR62;POLQ;RECQL4;CCNB2;TK1;TYMS;CDK1;MYBL2;HMGB2;CDC25A;RRM2;CCNF;MKI67;TUBA1B;FOXM1;TROAP;ESPL1;MELK;PCLAF;DLGAP5;TRIP13;DEPDC1;ASPM;HJURP;DBF4B;RAD54L;ATAD5;CDCA3;PKMYT1;KIF2C;KIFC1;TRAIP;NUSAP1;DCLRE1B;CLSPN;CENPM;ASF1B;GTSE1;DNMT3B;TPX2;EXO1;ORC6</t>
  </si>
  <si>
    <t>http://www.broadinstitute.org/gsea/msigdb/cards/GSE17301_ACD3_ACD28_VS_ACD3_ACD28_AND_IFNA5_STIM_CD8_TCELL_UP.html</t>
  </si>
  <si>
    <t>1111;332;9055;8318;983;3015;7153;890;7272;4521;672;1058;3838;3832;5347;1163;5888;5426;8208;4085;4175;9928;9787;9319;27338;55143;9824;54892;147841;55247;23234;64151;83540;64946;1894;63967;57405;3619;22974;10460</t>
  </si>
  <si>
    <t>CHEK1;BIRC5;PRC1;CDC45;CDK1;H2AFZ;TOP2A;CCNA2;TTK;NUDT1;BRCA1;CENPA;KPNA2;KIF11;PLK1;CKS1B;RAD51;POLE;CHAF1B;MAD2L1;MCM6;KIF14;DLGAP5;TRIP13;UBE2S;CDCA8;ARHGAP11A;NCAPG2;SPC24;NEIL3;DNAJC9;NCAPG;NUF2;CENPH;ECT2;CLSPN;SPC25;INCENP;TPX2;TACC3</t>
  </si>
  <si>
    <t>79733;11065;2189;11339;22995;9133;9134;4605;890;1841;7272;4751;3838;3832;1163;1062;9493;10024;23649;9700;23397;9768;9928;1033;157313;9824;128239;146909;220042;150468;2187;79801;83903;144455;1894;63967;29089;54443;54069;51514;26271;90417</t>
  </si>
  <si>
    <t>E2F8;UBE2C;FANCG;OIP5;CEP152;CCNB2;CCNE2;MYBL2;CCNA2;DTYMK;TTK;NEK2;KPNA2;KIF11;CKS1B;CENPE;AC027237.1;TROAP;POLA2;ESPL1;NCAPH;PCLAF;KIF14;CDKN3;CDCA2;ARHGAP11A;IQGAP3;KIF18B;DDIAS;CKAP2L;FANCB;SHCBP1;HASPIN;E2F7;ECT2;CLSPN;UBE2T;ANLN;MIS18A;DTL;FBXO5;KNSTRN</t>
  </si>
  <si>
    <t>GSE21063_CTRL_VS_ANTI_IGM_STIM_BCELL_NFATC1_KO_8H_DN</t>
  </si>
  <si>
    <t>6790;332;701;3161;10535;9133;10592;7298;7153;10797;890;993;7272;4174;5983;5557;9735;641;1163;5888;4085;23397;157313;84722;79682;55388;259266;55355;55789;144455;220134;10615;580;64151;79172;2177;54443;56992;55215;55723;29980;9156</t>
  </si>
  <si>
    <t>AURKA;BIRC5;BUB1B;HMMR;RNASEH2A;CCNB2;SMC2;TYMS;TOP2A;MTHFD2;CCNA2;CDC25A;TTK;MCM5;RFC3;PRIM1;KNTC1;BLM;CKS1B;RAD51;MAD2L1;NCAPH;CDCA2;PSRC1;CENPU;MCM10;ASPM;HJURP;DEPDC1B;E2F7;SKA1;SPAG5;BARD1;NCAPG;CENPO;FANCD2;ANLN;KIF15;FANCI;ASF1B;DONSON;EXO1</t>
  </si>
  <si>
    <t>http://www.broadinstitute.org/gsea/msigdb/cards/GSE21063_CTRL_VS_ANTI_IGM_STIM_BCELL_NFATC1_KO_8H_DN.html</t>
  </si>
  <si>
    <t>10212;23306;6839;9133;24137;7374;1503;7283;1786;4174;672;899;4288;9735;4670;641;1869;991;1479;10036;2146;151246;84722;80178;90381;146909;259266;147841;113130;80179;55771;9585;10615;55706;79075;79902;55038;79968;55732;22974;8914;6941</t>
  </si>
  <si>
    <t>DDX39A;NEMP1;SUV39H1;CCNB2;KIF4A;UNG;CTPS1;TUBG1;DNMT1;MCM5;BRCA1;CCNF;MKI67;KNTC1;HNRNPM;BLM;E2F1;CDC20;CSTF3;CHAF1A;EZH2;SGO2;PSRC1;TEDC2;TICRR;KIF18B;ASPM;SPC24;CDCA5;MYO19;PRR11;KIF20B;SPAG5;NDC1;DSCC1;NUP85;CDCA4;WDR76;C1orf112;TPX2;TIMELESS;TCF19</t>
  </si>
  <si>
    <t>6790;9055;701;1515;3161;8318;9133;10112;3148;995;6241;2237;4288;1063;3838;3832;10376;1062;991;4085;9768;55143;151648;90381;146909;150468;259266;147841;55789;26586;144455;220134;113130;55872;11004;990;83540;57405;55723;9156;90417</t>
  </si>
  <si>
    <t>AURKA;PRC1;BUB1B;CTSV;HMMR;CDC45;CCNB2;KIF20A;HMGB2;CDC25C;RRM2;FEN1;MKI67;CENPF;KPNA2;KIF11;TUBA1B;CENPE;CDC20;MAD2L1;PCLAF;CDCA8;SGO1;TICRR;KIF18B;CKAP2L;ASPM;SPC24;DEPDC1B;CKAP2;E2F7;SKA1;CDCA5;PBK;KIF2C;CDC6;NUF2;SPC25;ASF1B;EXO1;KNSTRN</t>
  </si>
  <si>
    <t>GSE2405_0H_VS_12H_A_PHAGOCYTOPHILUM_STIM_NEUTROPHIL_DN</t>
  </si>
  <si>
    <t>332;11339;9055;701;8318;11169;6240;898;5557;5558;9735;641;1062;84823;4085;1870;9833;9319;151246;343099;729533;9824;163786;150468;2187;79801;93594;84930;55771;9585;11004;580;54478;83990;63967;57405;55732;1789;22974;90417;23594</t>
  </si>
  <si>
    <t>BIRC5;OIP5;PRC1;BUB1B;CDC45;WDHD1;RRM1;CCNE1;PRIM1;PRIM2;KNTC1;BLM;CENPE;LMNB2;MAD2L1;E2F2;MELK;TRIP13;SGO2;CCDC18;FAM72A;ARHGAP11A;SASS6;CKAP2L;FANCB;SHCBP1;TBC1D31;MASTL;PRR11;KIF20B;KIF2C;BARD1;PIMREG;BRIP1;CLSPN;SPC25;C1orf112;DNMT3B;TPX2;KNSTRN;ORC6</t>
  </si>
  <si>
    <t>http://www.broadinstitute.org/gsea/msigdb/cards/GSE2405_0H_VS_12H_A_PHAGOCYTOPHILUM_STIM_NEUTROPHIL_DN.html</t>
  </si>
  <si>
    <t>10733;701;7398;10112;10592;7153;10797;1841;898;4172;4176;4288;1063;5558;4171;1763;3068;3832;5347;1163;10376;991;8208;4085;4175;9833;9918;9787;6491;9319;55355;201299;10635;9212;55872;51203;55055;3619;81624;22974;6941</t>
  </si>
  <si>
    <t>PLK4;BUB1B;USP1;KIF20A;SMC2;TOP2A;MTHFD2;DTYMK;CCNE1;MCM3;MCM7;MKI67;CENPF;PRIM2;MCM2;DNA2;HDGF;KIF11;PLK1;CKS1B;TUBA1B;CDC20;CHAF1B;MAD2L1;MCM6;MELK;NCAPD2;DLGAP5;STIL;TRIP13;HJURP;RDM1;RAD51AP1;AURKB;PBK;NUSAP1;ZWILCH;INCENP;DIAPH3;TPX2;TCF19</t>
  </si>
  <si>
    <t>GSE45365_WT_VS_IFNAR_KO_CD11B_DC_MCMV_INFECTION_DN</t>
  </si>
  <si>
    <t>79733;10733;11065;6790;9055;3161;9133;10112;24137;7083;983;7153;995;4288;1063;1062;2305;991;9833;9837;9787;9319;1033;27338;55165;55143;55635;113115;221150;220042;259266;79801;113130;10615;83461;84057;83540;51514;22974;9633</t>
  </si>
  <si>
    <t>E2F8;PLK4;UBE2C;AURKA;PRC1;HMMR;CCNB2;KIF20A;KIF4A;TK1;CDK1;TOP2A;CDC25C;MKI67;CENPF;CENPE;FOXM1;CDC20;MELK;GINS1;DLGAP5;TRIP13;CDKN3;UBE2S;CEP55;CDCA8;DEPDC1;MTFR2;SKA3;DDIAS;ASPM;SHCBP1;CDCA5;SPAG5;CDCA3;MND1;NUF2;DTL;TPX2;TESMIN</t>
  </si>
  <si>
    <t>http://www.broadinstitute.org/gsea/msigdb/cards/GSE45365_WT_VS_IFNAR_KO_CD11B_DC_MCMV_INFECTION_DN.html</t>
  </si>
  <si>
    <t>79733;8520;9055;701;3161;7083;890;995;899;4288;9735;3832;5427;1163;1062;9493;9918;6491;9319;157313;150468;79801;57082;23165;2491;9585;83540;64946;1894;63967;3619;54443;56992;55723;51512;51514;22974;6941</t>
  </si>
  <si>
    <t>E2F8;HAT1;PRC1;BUB1B;HMMR;TK1;CCNA2;CDC25C;CCNF;MKI67;KNTC1;KIF11;POLE2;CKS1B;CENPE;AC027237.1;NCAPD2;STIL;TRIP13;CDCA2;CKAP2L;SHCBP1;KNL1;NUP205;CENPI;KIF20B;NUF2;CENPH;ECT2;CLSPN;INCENP;ANLN;KIF15;ASF1B;GTSE1;DTL;TPX2;TCF19</t>
  </si>
  <si>
    <t>GSE20366_EX_VIVO_VS_HOMEOSTATIC_CONVERSION_TREG_DN</t>
  </si>
  <si>
    <t>11065;1111;332;699;9133;24137;10592;7298;3015;10797;890;3148;995;5902;4288;1063;1763;3838;1062;991;1870;9833;9768;9319;151246;387103;151648;157313;54892;220042;259266;147841;9212;55872;51203;1894;3619;55723;55010;51514</t>
  </si>
  <si>
    <t>UBE2C;CHEK1;BIRC5;BUB1;CCNB2;KIF4A;SMC2;TYMS;H2AFZ;MTHFD2;CCNA2;HMGB2;CDC25C;RANBP1;MKI67;CENPF;DNA2;KPNA2;CENPE;CDC20;E2F2;MELK;PCLAF;TRIP13;SGO2;CENPW;SGO1;CDCA2;NCAPG2;DDIAS;ASPM;SPC24;AURKB;PBK;NUSAP1;ECT2;INCENP;ASF1B;PARPBP;DTL</t>
  </si>
  <si>
    <t>http://www.broadinstitute.org/gsea/msigdb/cards/GSE20366_EX_VIVO_VS_HOMEOSTATIC_CONVERSION_TREG_DN.html</t>
  </si>
  <si>
    <t>10733;10403;6790;6839;7083;4001;7272;672;9735;5426;9700;23397;6491;348654;157570;387103;729533;146909;147841;55355;81930;57650;83903;2491;10635;113130;4796;54478;79172;79075;83990;64946;57405;29089;81624;55010;54069;10926;22974;90417</t>
  </si>
  <si>
    <t>PLK4;NDC80;AURKA;SUV39H1;TK1;LMNB1;TTK;BRCA1;KNTC1;POLE;ESPL1;NCAPH;STIL;GEN1;ESCO2;CENPW;FAM72A;KIF18B;SPC24;HJURP;KIF18A;CIP2A;HASPIN;CENPI;RAD51AP1;CDCA5;TONSL;PIMREG;CENPO;DSCC1;BRIP1;CENPH;SPC25;UBE2T;DIAPH3;PARPBP;MIS18A;DBF4;TPX2;KNSTRN</t>
  </si>
  <si>
    <t>GSE21063_CTRL_VS_ANTI_IGM_STIM_BCELL_16H_UP</t>
  </si>
  <si>
    <t>11065;10403;6790;332;9055;10535;9133;10112;983;7153;10797;890;1786;995;5427;1062;9493;9787;1033;55165;151648;113115;79866;253714;79682;90381;259266;147841;26586;55839;55771;9585;10615;29127;81620;1894;1789;26271;8914;90417</t>
  </si>
  <si>
    <t>UBE2C;NDC80;AURKA;BIRC5;PRC1;RNASEH2A;CCNB2;KIF20A;CDK1;TOP2A;MTHFD2;CCNA2;DNMT1;CDC25C;POLE2;CENPE;AC027237.1;DLGAP5;CDKN3;CEP55;SGO1;MTFR2;BORA;MMS22L;CENPU;TICRR;ASPM;SPC24;CKAP2;CENPN;PRR11;KIF20B;SPAG5;RACGAP1;CDT1;ECT2;DNMT3B;FBXO5;TIMELESS;KNSTRN</t>
  </si>
  <si>
    <t>http://www.broadinstitute.org/gsea/msigdb/cards/GSE21063_CTRL_VS_ANTI_IGM_STIM_BCELL_16H_UP.html</t>
  </si>
  <si>
    <t>GSE45365_HEALTHY_VS_MCMV_INFECTION_CD11B_DC_IFNAR_KO_DN</t>
  </si>
  <si>
    <t>79733;10733;6790;11339;699;3161;10112;24137;7083;7272;4288;1063;1062;2305;991;9833;9837;9928;9319;1033;55165;55143;113115;146909;221150;220042;259266;84904;55355;79801;55789;113130;10615;11004;64151;84057;54443;56992;51514</t>
  </si>
  <si>
    <t>E2F8;PLK4;AURKA;OIP5;BUB1;HMMR;KIF20A;KIF4A;TK1;TTK;MKI67;CENPF;CENPE;FOXM1;CDC20;MELK;GINS1;KIF14;TRIP13;CDKN3;CEP55;CDCA8;MTFR2;KIF18B;SKA3;DDIAS;ASPM;ARHGEF39;HJURP;SHCBP1;DEPDC1B;CDCA5;SPAG5;KIF2C;NCAPG;MND1;ANLN;KIF15;DTL</t>
  </si>
  <si>
    <t>http://www.broadinstitute.org/gsea/msigdb/cards/GSE45365_HEALTHY_VS_MCMV_INFECTION_CD11B_DC_IFNAR_KO_DN.html</t>
  </si>
  <si>
    <t>GSE3982_MEMORY_CD4_TCELL_VS_TH2_DN</t>
  </si>
  <si>
    <t>10403;11339;10535;9401;11130;10592;983;7153;890;6240;1017;10105;6241;7272;4173;2237;4436;4171;3832;641;1434;5427;1163;6749;4085;4175;9837;23397;9319;55143;79682;55872;9585;51203;3070;56992;51514;51659;23594</t>
  </si>
  <si>
    <t>NDC80;OIP5;RNASEH2A;RECQL4;ZWINT;SMC2;CDK1;TOP2A;CCNA2;RRM1;CDK2;PPIF;RRM2;TTK;MCM4;FEN1;MSH2;MCM2;KIF11;BLM;CSE1L;POLE2;CKS1B;SSRP1;MAD2L1;MCM6;GINS1;NCAPH;TRIP13;CDCA8;CENPU;PBK;KIF20B;NUSAP1;HELLS;KIF15;DTL;GINS2;ORC6</t>
  </si>
  <si>
    <t>http://www.broadinstitute.org/gsea/msigdb/cards/GSE3982_MEMORY_CD4_TCELL_VS_TH2_DN.html</t>
  </si>
  <si>
    <t>GSE24671_BAKIMULC_VS_SENDAI_VIRUS_INFECTED_MOUSE_SPLENOCYTES_UP</t>
  </si>
  <si>
    <t>10733;10403;284403;9232;898;4174;4176;5984;3832;1163;9837;9787;54821;157570;55635;157313;113115;84722;79682;90381;128239;54892;150468;147841;81930;8438;144455;10635;55839;55771;10615;9088;990;3833;64946;79019;10051;51514;90417</t>
  </si>
  <si>
    <t>PLK4;NDC80;WDR62;PTTG1;CCNE1;MCM5;MCM7;RFC4;KIF11;CKS1B;GINS1;DLGAP5;ERCC6L;ESCO2;DEPDC1;CDCA2;MTFR2;PSRC1;CENPU;TICRR;IQGAP3;NCAPG2;CKAP2L;SPC24;KIF18A;RAD54L;E2F7;RAD51AP1;CENPN;PRR11;SPAG5;PKMYT1;CDC6;KIFC1;CENPH;CENPM;SMC4;DTL;KNSTRN</t>
  </si>
  <si>
    <t>http://www.broadinstitute.org/gsea/msigdb/cards/GSE24671_BAKIMULC_VS_SENDAI_VIRUS_INFECTED_MOUSE_SPLENOCYTES_UP.html</t>
  </si>
  <si>
    <t>10403;9055;701;9133;10592;7083;7298;203068;891;3148;5984;5985;5983;7112;4171;9735;3832;641;1062;1479;4175;9700;9833;9768;9787;29028;146909;259266;81930;11073;11004;580;64151;51203;29127;3070;10051;22974</t>
  </si>
  <si>
    <t>NDC80;PRC1;BUB1B;CCNB2;SMC2;TK1;TYMS;TUBB;CCNB1;HMGB2;RFC4;RFC5;RFC3;TMPO;MCM2;KNTC1;KIF11;BLM;CENPE;CSTF3;MCM6;ESPL1;MELK;PCLAF;DLGAP5;ATAD2;KIF18B;ASPM;KIF18A;TOPBP1;KIF2C;BARD1;NCAPG;NUSAP1;RACGAP1;HELLS;SMC4;TPX2</t>
  </si>
  <si>
    <t>10733;332;9055;10592;7083;7298;7153;6240;6241;672;1869;1062;5888;9837;2146;1033;157570;9824;55388;195828;128239;150468;79801;57082;57650;10635;55872;9585;580;79075;64946;55055;63967;57405;3070;51514;22974;10460</t>
  </si>
  <si>
    <t>PLK4;BIRC5;PRC1;SMC2;TK1;TYMS;TOP2A;RRM1;RRM2;BRCA1;E2F1;CENPE;RAD51;GINS1;EZH2;CDKN3;ESCO2;ARHGAP11A;MCM10;ZNF367;IQGAP3;CKAP2L;SHCBP1;KNL1;CIP2A;RAD51AP1;PBK;KIF20B;BARD1;DSCC1;CENPH;ZWILCH;CLSPN;SPC25;HELLS;DTL;TPX2;TACC3</t>
  </si>
  <si>
    <t>GSE5142_HTERT_TRANSDUCED_VS_CTRL_CD8_TCELL_LATE_PASSAGE_CLONE_UP</t>
  </si>
  <si>
    <t>79733;10212;2175;7298;7153;890;1841;6241;5902;4288;5557;675;9493;84823;1870;23397;27338;151246;23590;79866;195828;146909;55345;220042;91687;55789;23165;113130;84930;55839;55872;79075;79902;55732;51512;51659;90417;25788</t>
  </si>
  <si>
    <t>E2F8;DDX39A;FANCA;TYMS;TOP2A;CCNA2;DTYMK;RRM2;RANBP1;MKI67;PRIM1;BRCA2;AC027237.1;LMNB2;E2F2;NCAPH;UBE2S;SGO2;PDSS1;BORA;ZNF367;KIF18B;ZGRF1;DDIAS;CENPL;DEPDC1B;NUP205;CDCA5;MASTL;CENPN;PBK;DSCC1;NUP85;C1orf112;GTSE1;GINS2;KNSTRN;RAD54B</t>
  </si>
  <si>
    <t>http://www.broadinstitute.org/gsea/msigdb/cards/GSE5142_HTERT_TRANSDUCED_VS_CTRL_CD8_TCELL_LATE_PASSAGE_CLONE_UP.html</t>
  </si>
  <si>
    <t>GSE19888_CTRL_VS_A3R_INHIBITOR_TREATED_MAST_CELL_UP</t>
  </si>
  <si>
    <t>8520;9133;10112;4605;1017;993;899;5902;4171;9735;675;3838;5347;1434;23649;1870;6491;348654;157313;9824;374393;89958;221150;150468;285753;84904;25886;147841;144455;146956;80179;9585;81620;64858;55055;81624;9156;6941</t>
  </si>
  <si>
    <t>HAT1;CCNB2;KIF20A;MYBL2;CDK2;CDC25A;CCNF;RANBP1;MCM2;KNTC1;BRCA2;KPNA2;PLK1;CSE1L;POLA2;E2F2;STIL;GEN1;CDCA2;ARHGAP11A;FAM111B;SAPCD2;SKA3;CKAP2L;CEP57L1;ARHGEF39;POC1A;SPC24;E2F7;EME1;MYO19;KIF20B;CDT1;DCLRE1B;ZWILCH;DIAPH3;EXO1;TCF19</t>
  </si>
  <si>
    <t>http://www.broadinstitute.org/gsea/msigdb/cards/GSE19888_CTRL_VS_A3R_INHIBITOR_TREATED_MAST_CELL_UP.html</t>
  </si>
  <si>
    <t>GSE19941_UNSTIM_VS_LPS_AND_IL10_STIM_IL10_KO_MACROPHAGE_DN</t>
  </si>
  <si>
    <t>79733;2189;7516;701;10592;7272;4176;5984;5985;4436;5557;5347;5427;1163;5426;2305;10024;8683;348654;55143;63979;90381;81930;26586;8438;144455;146956;93594;113130;9585;79915;10615;84296;29127;55732;79019;81624;23594</t>
  </si>
  <si>
    <t>E2F8;FANCG;XRCC2;BUB1B;SMC2;TTK;MCM7;RFC4;RFC5;MSH2;PRIM1;PLK1;POLE2;CKS1B;POLE;FOXM1;TROAP;SRSF9;GEN1;CDCA8;FIGNL1;TICRR;KIF18A;CKAP2;RAD54L;E2F7;EME1;TBC1D31;CDCA5;KIF20B;ATAD5;SPAG5;GINS4;RACGAP1;C1orf112;CENPM;DIAPH3;ORC6</t>
  </si>
  <si>
    <t>http://www.broadinstitute.org/gsea/msigdb/cards/GSE19941_UNSTIM_VS_LPS_AND_IL10_STIM_IL10_KO_MACROPHAGE_DN.html</t>
  </si>
  <si>
    <t>1111;6790;332;9055;699;983;7153;4001;5985;5983;5557;4751;3832;5427;1163;9493;991;23397;9768;9319;2146;55143;163786;259266;26586;23234;113130;84991;990;64105;51203;29127;54443;10051;55723;51514;10460</t>
  </si>
  <si>
    <t>CHEK1;AURKA;BIRC5;PRC1;BUB1;CDK1;TOP2A;LMNB1;RFC5;RFC3;PRIM1;NEK2;KIF11;POLE2;CKS1B;AC027237.1;CDC20;NCAPH;PCLAF;TRIP13;EZH2;CDCA8;SASS6;ASPM;CKAP2;DNAJC9;CDCA5;RBM17;CDC6;CENPK;NUSAP1;RACGAP1;ANLN;SMC4;ASF1B;DTL;TACC3</t>
  </si>
  <si>
    <t>GSE3982_MEMORY_CD4_TCELL_VS_TH1_DN</t>
  </si>
  <si>
    <t>5717;10403;11339;699;10535;9401;10592;983;10797;6240;10105;6241;7272;4174;4436;4171;3832;641;1434;5427;1163;4085;4175;9837;23397;55143;23590;79682;54892;55872;9585;990;3070;51514;8914;51659;23594</t>
  </si>
  <si>
    <t>PSMD11;NDC80;OIP5;BUB1;RNASEH2A;RECQL4;SMC2;CDK1;MTHFD2;RRM1;PPIF;RRM2;TTK;MCM5;MSH2;MCM2;KIF11;BLM;CSE1L;POLE2;CKS1B;MAD2L1;MCM6;GINS1;NCAPH;CDCA8;PDSS1;CENPU;NCAPG2;PBK;KIF20B;CDC6;HELLS;DTL;TIMELESS;GINS2;ORC6</t>
  </si>
  <si>
    <t>http://www.broadinstitute.org/gsea/msigdb/cards/GSE3982_MEMORY_CD4_TCELL_VS_TH1_DN.html</t>
  </si>
  <si>
    <t>GSE3982_EFF_MEMORY_CD4_TCELL_VS_TH2_DN</t>
  </si>
  <si>
    <t>5717;11339;10535;7298;983;203068;3015;7153;7374;1503;890;6240;995;10105;6241;4174;1058;5557;4670;5347;641;1434;1163;9493;9928;1994;1033;79866;54892;8438;9585;56992;8914;51659;65003;23594;10460</t>
  </si>
  <si>
    <t>PSMD11;OIP5;RNASEH2A;TYMS;CDK1;TUBB;H2AFZ;TOP2A;UNG;CTPS1;CCNA2;RRM1;CDC25C;PPIF;RRM2;MCM5;CENPA;PRIM1;HNRNPM;PLK1;BLM;CSE1L;CKS1B;AC027237.1;KIF14;ELAVL1;CDKN3;BORA;NCAPG2;RAD54L;KIF20B;KIF15;TIMELESS;GINS2;MRPL11;ORC6;TACC3</t>
  </si>
  <si>
    <t>http://www.broadinstitute.org/gsea/msigdb/cards/GSE3982_EFF_MEMORY_CD4_TCELL_VS_TH2_DN.html</t>
  </si>
  <si>
    <t>8317;11065;1111;6790;701;3161;11169;9133;7298;4605;7374;10797;891;1503;7283;898;4172;995;5984;2237;5983;1063;5557;3068;3832;5347;10376;1062;10036;9787;2146;1033;27338;10615;990;3833;22974</t>
  </si>
  <si>
    <t>CDC7;UBE2C;CHEK1;AURKA;BUB1B;HMMR;WDHD1;CCNB2;TYMS;MYBL2;UNG;MTHFD2;CCNB1;CTPS1;TUBG1;CCNE1;MCM3;CDC25C;RFC4;FEN1;RFC3;CENPF;PRIM1;HDGF;KIF11;PLK1;TUBA1B;CENPE;CHAF1A;DLGAP5;EZH2;CDKN3;UBE2S;SPAG5;CDC6;KIFC1;TPX2</t>
  </si>
  <si>
    <t>79733;1111;284403;699;3161;8318;7298;5111;995;7112;1763;641;5426;2305;9833;6491;23590;343099;63979;128239;146909;150468;25886;81930;55789;10635;55839;9585;83990;80119;29089;3619;26271;9156;51659;90417;23594</t>
  </si>
  <si>
    <t>E2F8;CHEK1;WDR62;BUB1;HMMR;CDC45;TYMS;PCNA;CDC25C;TMPO;DNA2;BLM;POLE;FOXM1;MELK;STIL;PDSS1;CCDC18;FIGNL1;IQGAP3;KIF18B;CKAP2L;POC1A;KIF18A;DEPDC1B;RAD51AP1;CENPN;KIF20B;BRIP1;PIF1;UBE2T;INCENP;FBXO5;EXO1;GINS2;KNSTRN;ORC6</t>
  </si>
  <si>
    <t>8317;10733;2175;11339;699;701;8318;9134;6240;898;1017;995;6241;7272;672;9775;5983;899;7112;23310;5557;5558;1763;4751;641;2305;9700;9833;9928;9787;6491;9824;10635;9585;10615;580;55215</t>
  </si>
  <si>
    <t>CDC7;PLK4;FANCA;OIP5;BUB1;BUB1B;CDC45;CCNE2;RRM1;CCNE1;CDK2;CDC25C;RRM2;TTK;BRCA1;EIF4A3;RFC3;CCNF;TMPO;NCAPD3;PRIM1;PRIM2;DNA2;NEK2;BLM;FOXM1;ESPL1;MELK;KIF14;DLGAP5;STIL;ARHGAP11A;RAD51AP1;KIF20B;SPAG5;BARD1;FANCI</t>
  </si>
  <si>
    <t>GSE36826_WT_VS_IL1R_KO_SKIN_STAPH_AUREUS_INF_UP</t>
  </si>
  <si>
    <t>79733;10212;5717;11065;10403;8318;9133;11130;10112;24137;7083;203068;891;7283;6240;993;4174;5984;7112;5902;4288;5557;4171;3838;55165;54892;55355;23234;83461;64151;55706;51203;29127;55215;29980;26271;22974</t>
  </si>
  <si>
    <t>E2F8;DDX39A;PSMD11;UBE2C;NDC80;CDC45;CCNB2;ZWINT;KIF20A;KIF4A;TK1;TUBB;CCNB1;TUBG1;RRM1;CDC25A;MCM5;RFC4;TMPO;RANBP1;MKI67;PRIM1;MCM2;KPNA2;CEP55;NCAPG2;HJURP;DNAJC9;CDCA3;NCAPG;NDC1;NUSAP1;RACGAP1;FANCI;DONSON;FBXO5;TPX2</t>
  </si>
  <si>
    <t>http://www.broadinstitute.org/gsea/msigdb/cards/GSE36826_WT_VS_IL1R_KO_SKIN_STAPH_AUREUS_INF_UP.html</t>
  </si>
  <si>
    <t>GSE14415_INDUCED_TREG_VS_FAILED_INDUCED_TREG_UP</t>
  </si>
  <si>
    <t>6790;332;10721;9133;7083;983;790;6241;4176;4521;5985;5983;5902;5557;5558;5427;1163;5888;9837;1033;27338;151648;729533;55388;147841;146956;9212;55839;55872;83461;79075;55723;55646;29893;26271;23594</t>
  </si>
  <si>
    <t>AURKA;BIRC5;POLQ;CCNB2;TK1;CDK1;CAD;RRM2;MCM7;NUDT1;RFC5;RFC3;RANBP1;PRIM1;PRIM2;POLE2;CKS1B;RAD51;GINS1;CDKN3;UBE2S;SGO1;FAM72A;MCM10;SPC24;EME1;AURKB;CENPN;PBK;CDCA3;DSCC1;ASF1B;LYAR;PSMC3IP;FBXO5;ORC6</t>
  </si>
  <si>
    <t>http://www.broadinstitute.org/gsea/msigdb/cards/GSE14415_INDUCED_TREG_VS_FAILED_INDUCED_TREG_UP.html</t>
  </si>
  <si>
    <t>GSE7568_IL4_VS_IL4_AND_DEXAMETHASONE_TREATED_MACROPHAGE_UP</t>
  </si>
  <si>
    <t>10733;1871;699;11169;7083;5982;7913;6878;9735;4751;4085;23649;9700;27338;151648;343099;729533;63979;54892;78995;2187;25886;55247;2491;113130;29128;580;84296;64785;79075;29127;29089;29893;8914;23594</t>
  </si>
  <si>
    <t>PLK4;E2F3;BUB1;WDHD1;TK1;RFC2;DEK;TAF6;KNTC1;NEK2;MAD2L1;POLA2;ESPL1;UBE2S;SGO1;CCDC18;FAM72A;FIGNL1;NCAPG2;C17orf53;FANCB;POC1A;NEIL3;CENPI;CDCA5;UHRF1;BARD1;GINS4;GINS3;DSCC1;RACGAP1;UBE2T;PSMC3IP;TIMELESS;ORC6</t>
  </si>
  <si>
    <t>http://www.broadinstitute.org/gsea/msigdb/cards/GSE7568_IL4_VS_IL4_AND_DEXAMETHASONE_TREATED_MACROPHAGE_UP.html</t>
  </si>
  <si>
    <t>11065;1111;701;22995;9133;24137;10592;7298;3015;5111;898;4172;4173;5984;23310;4171;3838;5347;1062;9700;9837;54892;8438;113130;84930;84991;29128;64785;55706;84057;55038;3070;79019;55723;51514;26271</t>
  </si>
  <si>
    <t>UBE2C;CHEK1;BUB1B;CEP152;CCNB2;KIF4A;SMC2;TYMS;H2AFZ;PCNA;CCNE1;MCM3;MCM4;RFC4;NCAPD3;MCM2;KPNA2;PLK1;CENPE;ESPL1;GINS1;NCAPG2;RAD54L;CDCA5;MASTL;RBM17;UHRF1;GINS3;NDC1;MND1;CDCA4;HELLS;CENPM;ASF1B;DTL;FBXO5</t>
  </si>
  <si>
    <t>8520;332;699;983;7153;1503;4001;7283;6240;1786;790;4174;5984;5982;672;5985;4288;5558;4171;1163;9493;991;8208;4085;23397;9768;2146;83903;26586;10635;64105;79902;51203;3619;23594;10460</t>
  </si>
  <si>
    <t>HAT1;BIRC5;BUB1;CDK1;TOP2A;CTPS1;LMNB1;TUBG1;RRM1;DNMT1;CAD;MCM5;RFC4;RFC2;BRCA1;RFC5;MKI67;PRIM2;MCM2;CKS1B;AC027237.1;CDC20;CHAF1B;MAD2L1;NCAPH;PCLAF;EZH2;HASPIN;CKAP2;RAD51AP1;CENPK;NUP85;NUSAP1;INCENP;ORC6;TACC3</t>
  </si>
  <si>
    <t>GSE24634_TREG_VS_TCONV_POST_DAY3_IL4_CONVERSION_UP</t>
  </si>
  <si>
    <t>10212;8318;10535;4605;1503;4691;1841;6240;5725;7112;23310;4288;1058;1063;9735;4670;5347;641;1163;5426;9837;54821;55143;79866;55388;54892;81930;580;64785;29127;81620;51514;10926;9156;11198;10460</t>
  </si>
  <si>
    <t>DDX39A;CDC45;RNASEH2A;MYBL2;CTPS1;NCL;DTYMK;RRM1;PTBP1;TMPO;NCAPD3;MKI67;CENPA;CENPF;KNTC1;HNRNPM;PLK1;BLM;CKS1B;POLE;GINS1;ERCC6L;CDCA8;BORA;MCM10;NCAPG2;KIF18A;BARD1;GINS3;RACGAP1;CDT1;DTL;DBF4;EXO1;SUPT16H;TACC3</t>
  </si>
  <si>
    <t>http://www.broadinstitute.org/gsea/msigdb/cards/GSE24634_TREG_VS_TCONV_POST_DAY3_IL4_CONVERSION_UP.html</t>
  </si>
  <si>
    <t>GSE24634_TREG_VS_TCONV_POST_DAY5_IL4_CONVERSION_UP</t>
  </si>
  <si>
    <t>10212;11339;10721;10535;4605;790;10105;7272;5984;5982;672;23310;4288;5557;8833;9735;4751;5347;5888;6749;9918;9319;2146;54821;80178;55355;55247;23234;83461;10293;81620;29980;10926;9156;65003;11198</t>
  </si>
  <si>
    <t>DDX39A;OIP5;POLQ;RNASEH2A;MYBL2;CAD;PPIF;TTK;RFC4;RFC2;BRCA1;NCAPD3;MKI67;PRIM1;GMPS;KNTC1;NEK2;PLK1;RAD51;SSRP1;NCAPD2;TRIP13;EZH2;ERCC6L;TEDC2;HJURP;NEIL3;DNAJC9;CDCA3;TRAIP;CDT1;DONSON;DBF4;EXO1;MRPL11;SUPT16H</t>
  </si>
  <si>
    <t>http://www.broadinstitute.org/gsea/msigdb/cards/GSE24634_TREG_VS_TCONV_POST_DAY5_IL4_CONVERSION_UP.html</t>
  </si>
  <si>
    <t>GSE3982_NKCELL_VS_TH1_DN</t>
  </si>
  <si>
    <t>79733;11065;6790;332;9401;9133;10592;9232;3015;7283;6240;993;6241;4174;4436;1058;5557;4751;4670;3838;3832;641;5427;1163;5888;9700;55635;54892;220134;9585;11004;64151;84296;3070;22974;51659</t>
  </si>
  <si>
    <t>E2F8;UBE2C;AURKA;BIRC5;RECQL4;CCNB2;SMC2;PTTG1;H2AFZ;TUBG1;RRM1;CDC25A;RRM2;MCM5;MSH2;CENPA;PRIM1;NEK2;HNRNPM;KPNA2;KIF11;BLM;POLE2;CKS1B;RAD51;ESPL1;DEPDC1;NCAPG2;SKA1;KIF20B;KIF2C;NCAPG;GINS4;HELLS;TPX2;GINS2</t>
  </si>
  <si>
    <t>http://www.broadinstitute.org/gsea/msigdb/cards/GSE3982_NKCELL_VS_TH1_DN.html</t>
  </si>
  <si>
    <t>GSE21546_WT_VS_ELK1_KO_ANTI_CD3_STIM_DP_THYMOCYTES_DN</t>
  </si>
  <si>
    <t>79733;6839;10721;8318;7374;7283;1841;6240;10105;4173;672;2237;4171;641;8208;4175;1994;55143;84722;63979;374393;79682;80178;90381;54892;146909;284992;93594;9212;80179;10615;79902;55038;55055;54069;6941</t>
  </si>
  <si>
    <t>E2F8;SUV39H1;POLQ;CDC45;UNG;TUBG1;DTYMK;RRM1;PPIF;MCM4;BRCA1;FEN1;MCM2;BLM;CHAF1B;MCM6;ELAVL1;CDCA8;PSRC1;FIGNL1;FAM111B;CENPU;TEDC2;TICRR;NCAPG2;KIF18B;CCDC150;TBC1D31;AURKB;MYO19;SPAG5;NUP85;CDCA4;ZWILCH;MIS18A;TCF19</t>
  </si>
  <si>
    <t>http://www.broadinstitute.org/gsea/msigdb/cards/GSE21546_WT_VS_ELK1_KO_ANTI_CD3_STIM_DP_THYMOCYTES_DN.html</t>
  </si>
  <si>
    <t>1871;284403;9401;9133;9232;7083;7298;983;4605;3148;6241;672;899;1869;2305;10024;9833;9768;55635;55355;80174;8438;79915;83461;9088;54478;10293;51203;64858;63967;79019;55723;51512;1789;9156;23594</t>
  </si>
  <si>
    <t>E2F3;WDR62;RECQL4;CCNB2;PTTG1;TK1;TYMS;CDK1;MYBL2;HMGB2;RRM2;BRCA1;CCNF;E2F1;FOXM1;TROAP;MELK;PCLAF;DEPDC1;HJURP;DBF4B;RAD54L;ATAD5;CDCA3;PKMYT1;PIMREG;TRAIP;NUSAP1;DCLRE1B;CLSPN;CENPM;ASF1B;GTSE1;DNMT3B;EXO1;ORC6</t>
  </si>
  <si>
    <t>GSE24574_BCL6_LOW_TFH_VS_TCONV_CD4_TCELL_DN</t>
  </si>
  <si>
    <t>8317;10733;6790;701;3161;11130;7298;4605;7153;7374;10797;7283;1017;4172;7272;4173;5984;1063;5557;4171;5347;641;1163;10036;4998;9700;9833;9837;9918;2146;8438;10635;9212;3833;10293;55215</t>
  </si>
  <si>
    <t>CDC7;PLK4;AURKA;BUB1B;HMMR;ZWINT;TYMS;MYBL2;TOP2A;UNG;MTHFD2;TUBG1;CDK2;MCM3;TTK;MCM4;RFC4;CENPF;PRIM1;MCM2;PLK1;BLM;CKS1B;CHAF1A;ORC1;ESPL1;MELK;GINS1;NCAPD2;EZH2;RAD54L;RAD51AP1;AURKB;KIFC1;TRAIP;FANCI</t>
  </si>
  <si>
    <t>http://www.broadinstitute.org/gsea/msigdb/cards/GSE24574_BCL6_LOW_TFH_VS_TCONV_CD4_TCELL_DN.html</t>
  </si>
  <si>
    <t>GSE20727_DNFB_ALLERGEN_VS_ROS_INH_AND_DNFB_ALLERGEN_TREATED_DC_DN</t>
  </si>
  <si>
    <t>10733;10112;7272;672;899;1058;1763;2305;9833;9837;9768;9319;348654;157570;729533;79866;55388;78995;79801;57650;26586;220134;55872;29128;11004;990;64105;79075;84057;51203;64946;1894;57405;51512;51514;51659</t>
  </si>
  <si>
    <t>PLK4;KIF20A;TTK;BRCA1;CCNF;CENPA;DNA2;FOXM1;MELK;GINS1;PCLAF;TRIP13;GEN1;ESCO2;FAM72A;BORA;MCM10;C17orf53;SHCBP1;CIP2A;CKAP2;SKA1;PBK;UHRF1;KIF2C;CDC6;CENPK;DSCC1;MND1;NUSAP1;CENPH;ECT2;SPC25;GTSE1;DTL;GINS2</t>
  </si>
  <si>
    <t>http://www.broadinstitute.org/gsea/msigdb/cards/GSE20727_DNFB_ALLERGEN_VS_ROS_INH_AND_DNFB_ALLERGEN_TREATED_DC_DN.html</t>
  </si>
  <si>
    <t>GSE15930_NAIVE_VS_24H_IN_VITRO_STIM_CD8_TCELL_DN</t>
  </si>
  <si>
    <t>10733;332;983;7153;10797;1503;4001;7283;6240;790;4174;5984;5982;4521;672;5985;4288;5558;4171;1163;9493;991;4085;23076;9319;2146;83903;26586;10635;64105;79902;51203;54443;23594;10460</t>
  </si>
  <si>
    <t>PLK4;BIRC5;CDK1;TOP2A;MTHFD2;CTPS1;LMNB1;TUBG1;RRM1;CAD;MCM5;RFC4;RFC2;NUDT1;BRCA1;RFC5;MKI67;PRIM2;MCM2;CKS1B;AC027237.1;CDC20;MAD2L1;RRP1B;TRIP13;EZH2;HASPIN;CKAP2;RAD51AP1;CENPK;NUP85;NUSAP1;ANLN;ORC6;TACC3</t>
  </si>
  <si>
    <t>http://www.broadinstitute.org/gsea/msigdb/cards/GSE15930_NAIVE_VS_24H_IN_VITRO_STIM_CD8_TCELL_DN.html</t>
  </si>
  <si>
    <t>GSE15930_NAIVE_VS_72H_IN_VITRO_STIM_IFNAB_CD8_TCELL_DN</t>
  </si>
  <si>
    <t>10733;1111;332;699;24137;983;7153;10797;1503;4001;7283;1786;4174;5984;5982;672;5985;4288;5558;4171;1163;9493;991;4085;23397;9768;2146;83903;26586;10635;10615;64105;51203;54443;10460</t>
  </si>
  <si>
    <t>PLK4;CHEK1;BIRC5;BUB1;KIF4A;CDK1;TOP2A;MTHFD2;CTPS1;LMNB1;TUBG1;DNMT1;MCM5;RFC4;RFC2;BRCA1;RFC5;MKI67;PRIM2;MCM2;CKS1B;AC027237.1;CDC20;MAD2L1;NCAPH;PCLAF;EZH2;HASPIN;CKAP2;RAD51AP1;SPAG5;CENPK;NUSAP1;ANLN;TACC3</t>
  </si>
  <si>
    <t>http://www.broadinstitute.org/gsea/msigdb/cards/GSE15930_NAIVE_VS_72H_IN_VITRO_STIM_IFNAB_CD8_TCELL_DN.html</t>
  </si>
  <si>
    <t>GSE2770_IL12_AND_TGFB_VS_IL4_TREATED_ACT_CD4_TCELL_6H_UP</t>
  </si>
  <si>
    <t>10733;8562;9055;24137;10592;7083;203068;200933;7153;1503;890;1017;5933;7272;5558;5347;1434;1870;9918;151648;343099;63979;55656;81930;23234;144455;9212;11004;54478;55055;57405;54443;55010;22974;23594</t>
  </si>
  <si>
    <t>PLK4;DENR;PRC1;KIF4A;SMC2;TK1;TUBB;FBXO45;TOP2A;CTPS1;CCNA2;CDK2;RBL1;TTK;PRIM2;PLK1;CSE1L;E2F2;NCAPD2;SGO1;CCDC18;FIGNL1;INTS8;KIF18A;DNAJC9;E2F7;AURKB;KIF2C;PIMREG;ZWILCH;SPC25;ANLN;PARPBP;TPX2;ORC6</t>
  </si>
  <si>
    <t>http://www.broadinstitute.org/gsea/msigdb/cards/GSE2770_IL12_AND_TGFB_VS_IL4_TREATED_ACT_CD4_TCELL_6H_UP.html</t>
  </si>
  <si>
    <t>284403;699;9134;898;1017;3148;7272;4176;5985;899;7112;3068;3838;1434;9493;8208;9928;6491;54821;157313;90381;146909;220042;147841;57082;93594;55771;10615;83990;2177;79000;81624;55646;51512;9156</t>
  </si>
  <si>
    <t>WDR62;BUB1;CCNE2;CCNE1;CDK2;HMGB2;TTK;MCM7;RFC5;CCNF;TMPO;HDGF;KPNA2;CSE1L;AC027237.1;CHAF1B;KIF14;STIL;ERCC6L;CDCA2;TICRR;KIF18B;DDIAS;SPC24;KNL1;TBC1D31;PRR11;SPAG5;BRIP1;FANCD2;AUNIP;DIAPH3;LYAR;GTSE1;EXO1</t>
  </si>
  <si>
    <t>79733;10403;11339;8318;11169;7398;9133;7298;7272;9775;4751;1062;9493;9928;9787;55165;220042;259266;2187;147841;150465;23165;8438;144455;93594;92092;11004;79902;10293;29127;64946;79000;55732;81624;55646</t>
  </si>
  <si>
    <t>E2F8;NDC80;OIP5;CDC45;WDHD1;USP1;CCNB2;TYMS;TTK;EIF4A3;NEK2;CENPE;AC027237.1;KIF14;DLGAP5;CEP55;DDIAS;ASPM;FANCB;SPC24;TTL;NUP205;RAD54L;E2F7;TBC1D31;ZC3HAV1L;KIF2C;NUP85;TRAIP;RACGAP1;CENPH;AUNIP;C1orf112;DIAPH3;LYAR</t>
  </si>
  <si>
    <t>11065;332;699;701;3161;8318;7398;9133;983;7153;890;3148;6241;4288;9735;1163;4175;9768;9787;9319;1033;27338;729533;150468;79801;93594;113130;55872;10615;83461;83540;29127;54443;3070;22974</t>
  </si>
  <si>
    <t>UBE2C;BIRC5;BUB1;BUB1B;HMMR;CDC45;USP1;CCNB2;CDK1;TOP2A;CCNA2;HMGB2;RRM2;MKI67;KNTC1;CKS1B;MCM6;PCLAF;DLGAP5;TRIP13;CDKN3;UBE2S;FAM72A;CKAP2L;SHCBP1;TBC1D31;CDCA5;PBK;SPAG5;CDCA3;NUF2;RACGAP1;ANLN;HELLS;TPX2</t>
  </si>
  <si>
    <t>GSE19941_UNSTIM_VS_LPS_STIM_IL10_KO_NFKBP50_KO_MACROPHAGE_UP</t>
  </si>
  <si>
    <t>699;701;9133;1471;7298;983;7153;7272;1063;3832;641;2305;4085;9837;23397;9768;6491;2146;157313;90381;150468;259266;147841;150465;55789;8438;144455;55839;84296;29127;64946;3619;79019;55010;11198</t>
  </si>
  <si>
    <t>BUB1;BUB1B;CCNB2;CST3;TYMS;CDK1;TOP2A;TTK;CENPF;KIF11;BLM;FOXM1;MAD2L1;GINS1;NCAPH;PCLAF;STIL;EZH2;CDCA2;TICRR;CKAP2L;ASPM;SPC24;TTL;DEPDC1B;RAD54L;E2F7;CENPN;GINS4;RACGAP1;CENPH;INCENP;CENPM;PARPBP;SUPT16H</t>
  </si>
  <si>
    <t>http://www.broadinstitute.org/gsea/msigdb/cards/GSE19941_UNSTIM_VS_LPS_STIM_IL10_KO_NFKBP50_KO_MACROPHAGE_UP.html</t>
  </si>
  <si>
    <t>11065;10403;6790;284403;9055;701;10592;3015;2237;4288;9735;3068;4751;5426;991;1870;9768;9928;1033;151648;9824;79866;253714;150468;55355;26586;23165;93594;83461;29127;64946;54443;55732;10926;22974</t>
  </si>
  <si>
    <t>UBE2C;NDC80;AURKA;WDR62;PRC1;BUB1B;SMC2;H2AFZ;FEN1;MKI67;KNTC1;HDGF;NEK2;POLE;CDC20;E2F2;PCLAF;KIF14;CDKN3;SGO1;ARHGAP11A;BORA;MMS22L;CKAP2L;HJURP;CKAP2;NUP205;TBC1D31;CDCA3;RACGAP1;CENPH;ANLN;C1orf112;DBF4;TPX2</t>
  </si>
  <si>
    <t>11065;6790;284403;8318;10112;10592;983;200933;995;7112;9735;3068;1163;6749;991;1870;54821;9824;79866;253714;79682;150468;259266;11073;9585;83461;10293;83990;51203;55055;54443;10051;55646;1789;10460</t>
  </si>
  <si>
    <t>UBE2C;AURKA;WDR62;CDC45;KIF20A;SMC2;CDK1;FBXO45;CDC25C;TMPO;KNTC1;HDGF;CKS1B;SSRP1;CDC20;E2F2;ERCC6L;ARHGAP11A;BORA;MMS22L;CENPU;CKAP2L;ASPM;TOPBP1;KIF20B;CDCA3;TRAIP;BRIP1;NUSAP1;ZWILCH;ANLN;SMC4;LYAR;DNMT3B;TACC3</t>
  </si>
  <si>
    <t>GSE13547_WT_VS_ZFX_KO_BCELL_ANTI_IGM_STIM_2H_UP</t>
  </si>
  <si>
    <t>79733;8317;10733;8520;332;9133;6240;4172;995;6241;4173;7112;8833;9493;5888;4085;9319;113115;63979;55388;147841;57082;9125;79915;83461;990;83990;29127;64946;79968;51514;9156;10460</t>
  </si>
  <si>
    <t>E2F8;CDC7;PLK4;HAT1;BIRC5;CCNB2;RRM1;MCM3;CDC25C;RRM2;MCM4;TMPO;GMPS;AC027237.1;RAD51;MAD2L1;TRIP13;MTFR2;FIGNL1;MCM10;SPC24;KNL1;CNOT9;ATAD5;CDCA3;CDC6;BRIP1;RACGAP1;CENPH;WDR76;DTL;EXO1;TACC3</t>
  </si>
  <si>
    <t>http://www.broadinstitute.org/gsea/msigdb/cards/GSE13547_WT_VS_ZFX_KO_BCELL_ANTI_IGM_STIM_2H_UP.html</t>
  </si>
  <si>
    <t>10733;332;9134;983;7153;10797;1503;4001;7283;6240;1786;790;4174;5984;5982;4521;672;5985;4288;5558;4171;1163;9493;4085;23076;9319;2146;83903;10635;64105;79902;54443;23594;10460</t>
  </si>
  <si>
    <t>PLK4;BIRC5;CCNE2;CDK1;TOP2A;MTHFD2;CTPS1;LMNB1;TUBG1;RRM1;DNMT1;CAD;MCM5;RFC4;RFC2;NUDT1;BRCA1;RFC5;MKI67;PRIM2;MCM2;CKS1B;AC027237.1;MAD2L1;RRP1B;TRIP13;EZH2;HASPIN;RAD51AP1;CENPK;NUP85;ANLN;ORC6;TACC3</t>
  </si>
  <si>
    <t>10733;6790;332;699;9133;24137;983;7153;4001;7283;1786;5933;5984;5982;672;5985;7112;4288;1058;5558;1163;9493;991;4085;23397;9768;2146;83903;26586;64105;51203;29127;54443;10460</t>
  </si>
  <si>
    <t>PLK4;AURKA;BIRC5;BUB1;CCNB2;KIF4A;CDK1;TOP2A;LMNB1;TUBG1;DNMT1;RBL1;RFC4;RFC2;BRCA1;RFC5;TMPO;MKI67;CENPA;PRIM2;CKS1B;AC027237.1;CDC20;MAD2L1;NCAPH;PCLAF;EZH2;HASPIN;CKAP2;CENPK;NUSAP1;RACGAP1;ANLN;TACC3</t>
  </si>
  <si>
    <t>5717;6790;2189;5496;332;5709;699;701;10535;9133;10592;9232;7298;203068;10797;6241;672;5902;1063;9735;4751;641;5427;1163;2305;9700;9787;81930;93594;55872;64151;8914;23594;25788</t>
  </si>
  <si>
    <t>PSMD11;AURKA;FANCG;PPM1G;BIRC5;PSMD3;BUB1;BUB1B;RNASEH2A;CCNB2;SMC2;PTTG1;TYMS;TUBB;MTHFD2;RRM2;BRCA1;RANBP1;CENPF;KNTC1;NEK2;BLM;POLE2;CKS1B;FOXM1;ESPL1;DLGAP5;KIF18A;TBC1D31;PBK;NCAPG;TIMELESS;ORC6;RAD54B</t>
  </si>
  <si>
    <t>10212;10733;1111;699;7398;9134;4172;7112;23310;4998;23649;9319;55165;157570;23590;55635;729533;113115;63979;79682;221150;81930;55247;57650;55872;79915;54478;80119;54443;55732;10051;29980;25788;10460</t>
  </si>
  <si>
    <t>DDX39A;PLK4;CHEK1;BUB1;USP1;CCNE2;MCM3;TMPO;NCAPD3;ORC1;POLA2;TRIP13;CEP55;ESCO2;PDSS1;DEPDC1;FAM72A;MTFR2;FIGNL1;CENPU;SKA3;KIF18A;NEIL3;CIP2A;PBK;ATAD5;PIMREG;PIF1;ANLN;C1orf112;SMC4;DONSON;RAD54B;TACC3</t>
  </si>
  <si>
    <t>9401;9134;4605;1503;672;1063;9493;9837;9787;348654;54821;55165;151648;729533;220042;150468;151188;147841;81930;57650;144455;146956;113130;84930;80179;55771;29128;83461;3833;2177;79000;3619;55732;10460</t>
  </si>
  <si>
    <t>RECQL4;CCNE2;MYBL2;CTPS1;BRCA1;CENPF;AC027237.1;GINS1;DLGAP5;GEN1;ERCC6L;CEP55;SGO1;FAM72A;DDIAS;CKAP2L;ARL6IP6;SPC24;KIF18A;CIP2A;E2F7;EME1;CDCA5;MASTL;MYO19;PRR11;UHRF1;CDCA3;KIFC1;FANCD2;AUNIP;INCENP;C1orf112;TACC3</t>
  </si>
  <si>
    <t>11339;8318;11169;983;7153;7374;891;898;1786;995;7272;4173;4174;5983;7112;4288;5557;3068;4751;84823;6749;10036;4998;9837;9768;9787;8438;9212;11004;990;3833;81620;55215;22974</t>
  </si>
  <si>
    <t>OIP5;CDC45;WDHD1;CDK1;TOP2A;UNG;CCNB1;CCNE1;DNMT1;CDC25C;TTK;MCM4;MCM5;RFC3;TMPO;MKI67;PRIM1;HDGF;NEK2;LMNB2;SSRP1;CHAF1A;ORC1;GINS1;PCLAF;DLGAP5;RAD54L;AURKB;KIF2C;CDC6;KIFC1;CDT1;FANCI;TPX2</t>
  </si>
  <si>
    <t>79733;284403;6839;11169;6241;4173;672;23310;1763;5347;5888;23649;9700;23397;9918;151246;157570;151648;29028;150468;91687;2491;146956;79915;29128;55706;29127;64946;80119;54443;3070;56992</t>
  </si>
  <si>
    <t>E2F8;WDR62;SUV39H1;WDHD1;RRM2;MCM4;BRCA1;NCAPD3;DNA2;PLK1;RAD51;POLA2;ESPL1;NCAPH;NCAPD2;SGO2;ESCO2;SGO1;ATAD2;CKAP2L;CENPL;CENPI;EME1;ATAD5;UHRF1;NDC1;RACGAP1;CENPH;PIF1;ANLN;HELLS;KIF15</t>
  </si>
  <si>
    <t>GSE29614_CTRL_VS_TIV_FLU_VACCINE_PBMC_2007_DN</t>
  </si>
  <si>
    <t>79733;6790;11339;701;3161;9133;11130;10112;10592;7298;983;891;7283;6241;4288;1063;4171;2305;9837;9768;9928;9787;1033;55165;147841;79801;92092;55872;10615;64151;83540;56992;51514</t>
  </si>
  <si>
    <t>E2F8;AURKA;OIP5;BUB1B;HMMR;CCNB2;ZWINT;KIF20A;SMC2;TYMS;CDK1;CCNB1;TUBG1;RRM2;MKI67;CENPF;MCM2;FOXM1;GINS1;PCLAF;KIF14;DLGAP5;CDKN3;CEP55;SPC24;SHCBP1;ZC3HAV1L;PBK;SPAG5;NCAPG;NUF2;KIF15;DTL</t>
  </si>
  <si>
    <t>http://www.broadinstitute.org/gsea/msigdb/cards/GSE29614_CTRL_VS_TIV_FLU_VACCINE_PBMC_2007_DN.html</t>
  </si>
  <si>
    <t>GSE2770_UNTREATED_VS_IL4_TREATED_ACT_CD4_TCELL_48H_DN</t>
  </si>
  <si>
    <t>11339;701;8318;9401;4605;7283;7272;1063;4751;2305;9700;9837;90381;89958;128239;57082;57650;26586;11073;9125;93594;27085;55839;9585;54478;10293;84057;83990;29089;79019;54069;10926;51659</t>
  </si>
  <si>
    <t>OIP5;BUB1B;CDC45;RECQL4;MYBL2;TUBG1;TTK;CENPF;NEK2;FOXM1;ESPL1;GINS1;TICRR;SAPCD2;IQGAP3;KNL1;CIP2A;CKAP2;TOPBP1;CNOT9;TBC1D31;MTBP;CENPN;KIF20B;PIMREG;TRAIP;MND1;BRIP1;UBE2T;CENPM;MIS18A;DBF4;GINS2</t>
  </si>
  <si>
    <t>http://www.broadinstitute.org/gsea/msigdb/cards/GSE2770_UNTREATED_VS_IL4_TREATED_ACT_CD4_TCELL_48H_DN.html</t>
  </si>
  <si>
    <t>GSE21670_IL6_VS_TGFB_AND_IL6_TREATED_STAT3_KO_CD4_TCELL_UP</t>
  </si>
  <si>
    <t>79733;10403;8520;6839;8318;7913;7112;10376;9493;5426;8208;23649;9837;9787;1994;729533;163786;253714;55656;221150;220042;201299;55789;23165;9585;84296;64105;79172;83990;2177;54443;81624;10926</t>
  </si>
  <si>
    <t>E2F8;NDC80;HAT1;SUV39H1;CDC45;DEK;TMPO;TUBA1B;AC027237.1;POLE;CHAF1B;POLA2;GINS1;DLGAP5;ELAVL1;FAM72A;SASS6;MMS22L;INTS8;SKA3;DDIAS;RDM1;DEPDC1B;NUP205;KIF20B;GINS4;CENPK;CENPO;BRIP1;FANCD2;ANLN;DIAPH3;DBF4</t>
  </si>
  <si>
    <t>http://www.broadinstitute.org/gsea/msigdb/cards/GSE21670_IL6_VS_TGFB_AND_IL6_TREATED_STAT3_KO_CD4_TCELL_UP.html</t>
  </si>
  <si>
    <t>332;9055;8318;9232;983;7153;4001;1841;1786;7272;4176;4521;5985;5902;4288;5557;4171;641;9493;6749;23397;9768;1994;2146;163786;259266;57650;113130;990;64105;54443;10051;55723</t>
  </si>
  <si>
    <t>BIRC5;PRC1;CDC45;PTTG1;CDK1;TOP2A;LMNB1;DTYMK;DNMT1;TTK;MCM7;NUDT1;RFC5;RANBP1;MKI67;PRIM1;MCM2;BLM;AC027237.1;SSRP1;NCAPH;PCLAF;ELAVL1;EZH2;SASS6;ASPM;CIP2A;CDCA5;CDC6;CENPK;ANLN;SMC4;ASF1B</t>
  </si>
  <si>
    <t>79733;10733;1111;9055;7298;890;898;5982;5985;5902;4751;3832;1163;5888;5426;4085;23649;113115;146909;221150;57650;83903;8438;146956;9212;55872;580;64946;80119;3619;54443;10926;10460</t>
  </si>
  <si>
    <t>E2F8;PLK4;CHEK1;PRC1;TYMS;CCNA2;CCNE1;RFC2;RFC5;RANBP1;NEK2;KIF11;CKS1B;RAD51;POLE;MAD2L1;POLA2;MTFR2;KIF18B;SKA3;CIP2A;HASPIN;RAD54L;EME1;AURKB;PBK;BARD1;CENPH;PIF1;INCENP;ANLN;DBF4;TACC3</t>
  </si>
  <si>
    <t>11065;8318;9133;10112;9232;7083;7298;983;7153;890;1841;6241;4288;4751;10024;991;1870;9833;1033;84722;146909;8438;9212;10615;83461;64151;64785;81620;79968;57405;22974;9156;51659</t>
  </si>
  <si>
    <t>UBE2C;CDC45;CCNB2;KIF20A;PTTG1;TK1;TYMS;CDK1;TOP2A;CCNA2;DTYMK;RRM2;MKI67;NEK2;TROAP;CDC20;E2F2;MELK;CDKN3;PSRC1;KIF18B;RAD54L;AURKB;SPAG5;CDCA3;NCAPG;GINS3;CDT1;WDR76;SPC25;TPX2;EXO1;GINS2</t>
  </si>
  <si>
    <t>10733;8562;9055;7398;11130;10592;203068;4605;5111;890;6240;3148;2237;4436;1062;991;8683;4085;4998;4175;9837;6491;9319;11073;55771;11004;55038;55732;54069;26271;8914;65003;23594</t>
  </si>
  <si>
    <t>PLK4;DENR;PRC1;USP1;ZWINT;SMC2;TUBB;MYBL2;PCNA;CCNA2;RRM1;HMGB2;FEN1;MSH2;CENPE;CDC20;SRSF9;MAD2L1;ORC1;MCM6;GINS1;STIL;TRIP13;TOPBP1;PRR11;KIF2C;CDCA4;C1orf112;MIS18A;FBXO5;TIMELESS;MRPL11;ORC6</t>
  </si>
  <si>
    <t>10733;332;983;7153;10797;1503;4001;7283;6240;790;4174;5984;5982;4521;672;5985;4288;5558;4171;1163;9493;991;4085;23076;9319;83903;26586;10635;64105;79902;54443;23594;10460</t>
  </si>
  <si>
    <t>PLK4;BIRC5;CDK1;TOP2A;MTHFD2;CTPS1;LMNB1;TUBG1;RRM1;CAD;MCM5;RFC4;RFC2;NUDT1;BRCA1;RFC5;MKI67;PRIM2;MCM2;CKS1B;AC027237.1;CDC20;MAD2L1;RRP1B;TRIP13;HASPIN;CKAP2;RAD51AP1;CENPK;NUP85;ANLN;ORC6;TACC3</t>
  </si>
  <si>
    <t>GSE17974_0H_VS_24H_IN_VITRO_ACT_CD4_TCELL_DN</t>
  </si>
  <si>
    <t>11065;23306;1111;6790;332;9055;10535;4605;1503;890;1841;898;993;641;1163;5888;8208;23649;9833;9319;1033;8438;113130;64151;64785;83990;79000;55055;79019;55646;22974;9156;6941</t>
  </si>
  <si>
    <t>UBE2C;NEMP1;CHEK1;AURKA;BIRC5;PRC1;RNASEH2A;MYBL2;CTPS1;CCNA2;DTYMK;CCNE1;CDC25A;BLM;CKS1B;RAD51;CHAF1B;POLA2;MELK;TRIP13;CDKN3;RAD54L;CDCA5;NCAPG;GINS3;BRIP1;AUNIP;ZWILCH;CENPM;LYAR;TPX2;EXO1;TCF19</t>
  </si>
  <si>
    <t>http://www.broadinstitute.org/gsea/msigdb/cards/GSE17974_0H_VS_24H_IN_VITRO_ACT_CD4_TCELL_DN.html</t>
  </si>
  <si>
    <t>8317;6790;332;9055;699;9133;10112;6241;4176;2237;5985;5983;9735;641;1163;1062;5888;991;4175;9700;9833;9837;2146;29028;55247;11004;51203;56992;55732;10051;55010;22974;9156</t>
  </si>
  <si>
    <t>CDC7;AURKA;BIRC5;PRC1;BUB1;CCNB2;KIF20A;RRM2;MCM7;FEN1;RFC5;RFC3;KNTC1;BLM;CKS1B;CENPE;RAD51;CDC20;MCM6;ESPL1;MELK;GINS1;EZH2;ATAD2;NEIL3;KIF2C;NUSAP1;KIF15;C1orf112;SMC4;PARPBP;TPX2;EXO1</t>
  </si>
  <si>
    <t>6790;332;5709;10721;8318;10535;9133;9232;7298;983;203068;7153;10797;1503;4172;6241;7272;5982;672;1063;641;5427;2305;6749;9700;9787;9319;27338;64151;3833;10051;55215;8914</t>
  </si>
  <si>
    <t>AURKA;BIRC5;PSMD3;POLQ;CDC45;RNASEH2A;CCNB2;PTTG1;TYMS;CDK1;TUBB;TOP2A;MTHFD2;CTPS1;MCM3;RRM2;TTK;RFC2;BRCA1;CENPF;BLM;POLE2;FOXM1;SSRP1;ESPL1;DLGAP5;TRIP13;UBE2S;NCAPG;KIFC1;SMC4;FANCI;TIMELESS</t>
  </si>
  <si>
    <t>http://www.broadinstitute.org/gsea/msigdb/cards/GSE3982_CENT_MEMORY_CD4_TCELL_VS_TH2_DN.html</t>
  </si>
  <si>
    <t>GSE19888_ADENOSINE_A3R_ACT_VS_A3R_ACT_WITH_A3R_INH_PRETREATMENT_IN_MAST_CELL_UP</t>
  </si>
  <si>
    <t>7398;10112;1841;790;995;9775;899;5902;9735;675;3838;5347;1869;1062;1870;157570;374393;89958;285753;84904;25886;147841;144455;10635;9585;580;79172;64858;79968;3619;29893;10926;51659</t>
  </si>
  <si>
    <t>USP1;KIF20A;DTYMK;CAD;CDC25C;EIF4A3;CCNF;RANBP1;KNTC1;BRCA2;KPNA2;PLK1;E2F1;CENPE;E2F2;ESCO2;FAM111B;SAPCD2;CEP57L1;ARHGEF39;POC1A;SPC24;E2F7;RAD51AP1;KIF20B;BARD1;CENPO;DCLRE1B;WDR76;INCENP;PSMC3IP;DBF4;GINS2</t>
  </si>
  <si>
    <t>http://www.broadinstitute.org/gsea/msigdb/cards/GSE19888_ADENOSINE_A3R_ACT_VS_A3R_ACT_WITH_A3R_INH_PRETREATMENT_IN_MAST_CELL_UP.html</t>
  </si>
  <si>
    <t>10733;1111;7398;9232;7153;890;6240;898;1786;6241;4288;1063;3832;5347;641;5888;8208;9700;6491;27338;79801;26586;8438;146956;220134;29128;64151;83540;64946;55723;51512;22974;65003</t>
  </si>
  <si>
    <t>PLK4;CHEK1;USP1;PTTG1;TOP2A;CCNA2;RRM1;CCNE1;DNMT1;RRM2;MKI67;CENPF;KIF11;PLK1;BLM;RAD51;CHAF1B;ESPL1;STIL;UBE2S;SHCBP1;CKAP2;RAD54L;EME1;SKA1;UHRF1;NCAPG;NUF2;CENPH;ASF1B;GTSE1;TPX2;MRPL11</t>
  </si>
  <si>
    <t>332;9055;11130;24137;7298;983;890;6240;1017;3148;6241;5985;4288;5557;5558;5347;5426;6502;9833;1033;55143;55388;195828;55355;10635;81610;79019;55723;54069;22974;6941;51659</t>
  </si>
  <si>
    <t>BIRC5;PRC1;ZWINT;KIF4A;TYMS;CDK1;CCNA2;RRM1;CDK2;HMGB2;RRM2;RFC5;MKI67;PRIM1;PRIM2;PLK1;POLE;SKP2;MELK;CDKN3;CDCA8;MCM10;ZNF367;HJURP;RAD51AP1;FAM83D;CENPM;ASF1B;MIS18A;TPX2;TCF19;GINS2</t>
  </si>
  <si>
    <t>79733;332;9055;8318;9133;24137;7298;983;203068;7153;4001;6240;3148;995;6241;4174;4521;4288;5558;3832;1163;991;23397;9768;9787;128239;113130;51203;29127;55723;6941;10460</t>
  </si>
  <si>
    <t>E2F8;BIRC5;PRC1;CDC45;CCNB2;KIF4A;TYMS;CDK1;TUBB;TOP2A;LMNB1;RRM1;HMGB2;CDC25C;RRM2;MCM5;NUDT1;MKI67;PRIM2;KIF11;CKS1B;CDC20;NCAPH;PCLAF;DLGAP5;IQGAP3;CDCA5;NUSAP1;RACGAP1;ASF1B;TCF19;TACC3</t>
  </si>
  <si>
    <t>http://www.broadinstitute.org/gsea/msigdb/cards/KAECH_DAY8_EFF_VS_DAY15_EFF_CD8_TCELL_UP.html</t>
  </si>
  <si>
    <t>10403;6790;701;10112;10592;9134;7298;7272;5982;672;2237;7112;1063;9918;2146;348654;54821;157570;84722;63979;29028;195828;89958;259266;10635;9212;9585;10615;990;54478;64946;22974</t>
  </si>
  <si>
    <t>NDC80;AURKA;BUB1B;KIF20A;SMC2;CCNE2;TYMS;TTK;RFC2;BRCA1;FEN1;TMPO;CENPF;NCAPD2;EZH2;GEN1;ERCC6L;ESCO2;PSRC1;FIGNL1;ATAD2;ZNF367;SAPCD2;ASPM;RAD51AP1;AURKB;KIF20B;SPAG5;CDC6;PIMREG;CENPH;TPX2</t>
  </si>
  <si>
    <t>11065;9055;701;10721;8318;10112;899;1763;9833;9918;79866;89958;147841;79801;201299;83903;10635;220134;64105;10293;84057;83990;64946;80119;79000;57405;55723;51512;51514;22974;9156;90417</t>
  </si>
  <si>
    <t>UBE2C;PRC1;BUB1B;POLQ;CDC45;KIF20A;CCNF;DNA2;MELK;NCAPD2;BORA;SAPCD2;SPC24;SHCBP1;RDM1;HASPIN;RAD51AP1;SKA1;CENPK;TRAIP;MND1;BRIP1;CENPH;PIF1;AUNIP;SPC25;ASF1B;GTSE1;DTL;TPX2;EXO1;KNSTRN</t>
  </si>
  <si>
    <t>10212;8317;1111;332;11339;1503;1841;4172;5725;7272;5982;7913;4521;5985;23310;5902;5557;84823;10036;8683;23397;9928;2146;84722;79801;81930;3833;54069;26271;65003;25788;10460</t>
  </si>
  <si>
    <t>DDX39A;CDC7;CHEK1;BIRC5;OIP5;CTPS1;DTYMK;MCM3;PTBP1;TTK;RFC2;DEK;NUDT1;RFC5;NCAPD3;RANBP1;PRIM1;LMNB2;CHAF1A;SRSF9;NCAPH;KIF14;EZH2;PSRC1;SHCBP1;KIF18A;KIFC1;MIS18A;FBXO5;MRPL11;RAD54B;TACC3</t>
  </si>
  <si>
    <t>6839;10535;10592;9134;10797;1503;898;993;5982;7913;2237;899;23310;1763;2956;8208;4085;23649;1994;163786;55345;162681;2187;284992;11073;146956;375444;11004;79075;83540;25788</t>
  </si>
  <si>
    <t>SUV39H1;RNASEH2A;SMC2;CCNE2;MTHFD2;CTPS1;CCNE1;CDC25A;RFC2;DEK;FEN1;CCNF;NCAPD3;DNA2;MSH6;CHAF1B;MAD2L1;POLA2;ELAVL1;SASS6;ZGRF1;C18orf54;FANCB;CCDC150;TOPBP1;EME1;C5orf34;KIF2C;DSCC1;NUF2;RAD54B</t>
  </si>
  <si>
    <t>79733;6790;332;9055;699;9133;983;7153;890;6240;898;1017;3148;995;7272;899;4288;5558;3838;1163;9493;23397;9768;55143;83903;113130;9212;83461;54443;51514;10460</t>
  </si>
  <si>
    <t>E2F8;AURKA;BIRC5;PRC1;BUB1;CCNB2;CDK1;TOP2A;CCNA2;RRM1;CCNE1;CDK2;HMGB2;CDC25C;TTK;CCNF;MKI67;PRIM2;KPNA2;CKS1B;AC027237.1;NCAPH;PCLAF;CDCA8;HASPIN;CDCA5;AURKB;CDCA3;ANLN;DTL;TACC3</t>
  </si>
  <si>
    <t>10403;701;10592;203068;891;6240;4521;5902;675;2956;1434;9493;5426;1479;9837;6491;1994;55247;23234;8438;10635;9212;55771;10293;29127;3070;55732;26271;8914;25788;10460</t>
  </si>
  <si>
    <t>NDC80;BUB1B;SMC2;TUBB;CCNB1;RRM1;NUDT1;RANBP1;BRCA2;MSH6;CSE1L;AC027237.1;POLE;CSTF3;GINS1;STIL;ELAVL1;NEIL3;DNAJC9;RAD54L;RAD51AP1;AURKB;PRR11;TRAIP;RACGAP1;HELLS;C1orf112;FBXO5;TIMELESS;RAD54B;TACC3</t>
  </si>
  <si>
    <t>GSE20715_0H_VS_48H_OZONE_LUNG_DN</t>
  </si>
  <si>
    <t>11065;8520;9055;699;10112;9134;7083;983;7153;1503;890;6240;6241;4174;4176;2237;5902;1058;5557;5427;5888;1479;9768;55165;55872;55706;51203;1894;57405;54443;55723</t>
  </si>
  <si>
    <t>UBE2C;HAT1;PRC1;BUB1;KIF20A;CCNE2;TK1;CDK1;TOP2A;CTPS1;CCNA2;RRM1;RRM2;MCM5;MCM7;FEN1;RANBP1;CENPA;PRIM1;POLE2;RAD51;CSTF3;PCLAF;CEP55;PBK;NDC1;NUSAP1;ECT2;SPC25;ANLN;ASF1B</t>
  </si>
  <si>
    <t>http://www.broadinstitute.org/gsea/msigdb/cards/GSE20715_0H_VS_48H_OZONE_LUNG_DN.html</t>
  </si>
  <si>
    <t>GSE22886_NAIVE_CD4_TCELL_VS_48H_ACT_TH1_DN</t>
  </si>
  <si>
    <t>8520;699;7398;9133;11130;203068;3015;10797;1503;6240;1017;4172;3148;4174;5983;899;9735;1163;5888;5426;1994;27338;79682;9088;54478;29127;10051;29980;9156;51659;23594</t>
  </si>
  <si>
    <t>HAT1;BUB1;USP1;CCNB2;ZWINT;TUBB;H2AFZ;MTHFD2;CTPS1;RRM1;CDK2;MCM3;HMGB2;MCM5;RFC3;CCNF;KNTC1;CKS1B;RAD51;POLE;ELAVL1;UBE2S;CENPU;PKMYT1;PIMREG;RACGAP1;SMC4;DONSON;EXO1;GINS2;ORC6</t>
  </si>
  <si>
    <t>http://www.broadinstitute.org/gsea/msigdb/cards/GSE22886_NAIVE_CD4_TCELL_VS_48H_ACT_TH1_DN.html</t>
  </si>
  <si>
    <t>6790;11339;701;8318;7298;4001;1786;4173;5557;4751;5426;9700;6491;54821;151648;157313;9824;195828;55345;147841;8438;10635;79915;990;79172;64946;11321;29089;3070;22974;90417</t>
  </si>
  <si>
    <t>AURKA;OIP5;BUB1B;CDC45;TYMS;LMNB1;DNMT1;MCM4;PRIM1;NEK2;POLE;ESPL1;STIL;ERCC6L;SGO1;CDCA2;ARHGAP11A;ZNF367;ZGRF1;SPC24;RAD54L;RAD51AP1;ATAD5;CDC6;CENPO;CENPH;GPN1;UBE2T;HELLS;TPX2;KNSTRN</t>
  </si>
  <si>
    <t>1111;6790;11339;8318;11130;891;7272;4173;5982;5983;641;5427;991;10036;9700;9768;9319;2146;84798;79682;220042;55839;29128;64785;55055;29089;3070;51514;51659;90417;23594</t>
  </si>
  <si>
    <t>CHEK1;AURKA;OIP5;CDC45;ZWINT;CCNB1;TTK;MCM4;RFC2;RFC3;BLM;POLE2;CDC20;CHAF1A;ESPL1;PCLAF;TRIP13;EZH2;C19orf48;CENPU;DDIAS;CENPN;UHRF1;GINS3;ZWILCH;UBE2T;HELLS;DTL;GINS2;KNSTRN;ORC6</t>
  </si>
  <si>
    <t>GSE16451_CTRL_VS_WEST_EQUINE_ENC_VIRUS_IMMATURE_NEURON_CELL_LINE_DN</t>
  </si>
  <si>
    <t>1111;6241;4521;1163;5888;5426;9837;23397;6491;151648;729533;84722;29028;55388;54892;79801;8438;113130;55872;990;64151;64105;79075;10293;83540;29127;57405;55215;55723;22974;6941</t>
  </si>
  <si>
    <t>CHEK1;RRM2;NUDT1;CKS1B;RAD51;POLE;GINS1;NCAPH;STIL;SGO1;FAM72A;PSRC1;ATAD2;MCM10;NCAPG2;SHCBP1;RAD54L;CDCA5;PBK;CDC6;NCAPG;CENPK;DSCC1;TRAIP;NUF2;RACGAP1;SPC25;FANCI;ASF1B;TPX2;TCF19</t>
  </si>
  <si>
    <t>http://www.broadinstitute.org/gsea/msigdb/cards/GSE16451_CTRL_VS_WEST_EQUINE_ENC_VIRUS_IMMATURE_NEURON_CELL_LINE_DN.html</t>
  </si>
  <si>
    <t>5717;10403;7298;5111;1503;790;993;9493;1870;9918;9787;54821;55165;387103;151648;23590;113115;79866;55345;91687;83903;55771;55872;3833;2177;83540;26271;8914;23594;25788;10460</t>
  </si>
  <si>
    <t>PSMD11;NDC80;TYMS;PCNA;CTPS1;CAD;CDC25A;AC027237.1;E2F2;NCAPD2;DLGAP5;ERCC6L;CEP55;CENPW;SGO1;PDSS1;MTFR2;BORA;ZGRF1;CENPL;HASPIN;PRR11;PBK;KIFC1;FANCD2;NUF2;FBXO5;TIMELESS;ORC6;RAD54B;TACC3</t>
  </si>
  <si>
    <t>1111;332;6839;1471;200933;7153;1503;6240;4174;4176;23310;4436;3832;1163;1062;5426;4175;2146;1033;348654;57082;23234;11073;8438;64151;79075;63967;56992;10051;65003</t>
  </si>
  <si>
    <t>CHEK1;BIRC5;SUV39H1;CST3;FBXO45;TOP2A;CTPS1;RRM1;MCM5;MCM7;NCAPD3;MSH2;KIF11;CKS1B;CENPE;POLE;MCM6;EZH2;CDKN3;GEN1;KNL1;DNAJC9;TOPBP1;RAD54L;NCAPG;DSCC1;CLSPN;KIF15;SMC4;MRPL11</t>
  </si>
  <si>
    <t>10403;6790;701;4172;4173;4176;5985;8833;4751;4670;1434;9833;23397;348654;113115;9824;221150;285753;81930;57650;9212;10615;83461;51203;54443;79019;8914;51659;25788;10460</t>
  </si>
  <si>
    <t>NDC80;AURKA;BUB1B;MCM3;MCM4;MCM7;RFC5;GMPS;NEK2;HNRNPM;CSE1L;MELK;NCAPH;GEN1;MTFR2;ARHGAP11A;SKA3;CEP57L1;KIF18A;CIP2A;AURKB;SPAG5;CDCA3;NUSAP1;ANLN;CENPM;TIMELESS;GINS2;RAD54B;TACC3</t>
  </si>
  <si>
    <t>6790;11339;9055;701;4001;5557;4751;1062;9700;6491;348654;55165;151648;157313;79682;128239;221150;147841;57650;83903;10635;220134;55771;54478;79172;64946;57405;29089;22974;90417</t>
  </si>
  <si>
    <t>AURKA;OIP5;PRC1;BUB1B;LMNB1;PRIM1;NEK2;CENPE;ESPL1;STIL;GEN1;CEP55;SGO1;CDCA2;CENPU;IQGAP3;SKA3;SPC24;CIP2A;HASPIN;RAD51AP1;SKA1;PRR11;PIMREG;CENPO;CENPH;SPC25;UBE2T;TPX2;KNSTRN</t>
  </si>
  <si>
    <t>GSE10240_CTRL_VS_IL17_AND_IL22_STIM_PRIMARY_BRONCHIAL_EPITHELIAL_CELLS_UP</t>
  </si>
  <si>
    <t>79733;11065;701;8318;10797;7272;991;9700;9833;23397;9787;348654;55143;157570;387103;55635;150468;147841;81930;55247;146956;220134;84930;10615;11004;55706;79098;79019;90417;10460</t>
  </si>
  <si>
    <t>E2F8;UBE2C;BUB1B;CDC45;MTHFD2;TTK;CDC20;ESPL1;MELK;NCAPH;DLGAP5;GEN1;CDCA8;ESCO2;CENPW;DEPDC1;CKAP2L;SPC24;KIF18A;NEIL3;EME1;SKA1;MASTL;SPAG5;KIF2C;NDC1;C1orf116;CENPM;KNSTRN;TACC3</t>
  </si>
  <si>
    <t>http://www.broadinstitute.org/gsea/msigdb/cards/GSE10240_CTRL_VS_IL17_AND_IL22_STIM_PRIMARY_BRONCHIAL_EPITHELIAL_CELLS_UP.html</t>
  </si>
  <si>
    <t>11065;6790;9055;699;9133;983;7153;5111;890;6240;3148;6241;4174;4288;1058;5557;3838;1163;5888;9768;163786;253714;113130;80829;64151;51203;55723;55646;22974;65003</t>
  </si>
  <si>
    <t>UBE2C;AURKA;PRC1;BUB1;CCNB2;CDK1;TOP2A;PCNA;CCNA2;RRM1;HMGB2;RRM2;MCM5;MKI67;CENPA;PRIM1;KPNA2;CKS1B;RAD51;PCLAF;SASS6;MMS22L;CDCA5;ZFP91;NCAPG;NUSAP1;ASF1B;LYAR;TPX2;MRPL11</t>
  </si>
  <si>
    <t>10733;6790;699;9134;7083;3015;7153;7283;4172;3148;5984;672;2956;5426;6502;23397;2146;55635;81930;23234;8438;8570;80179;79915;54478;10293;83990;64858;55055;57405</t>
  </si>
  <si>
    <t>PLK4;AURKA;BUB1;CCNE2;TK1;H2AFZ;TOP2A;TUBG1;MCM3;HMGB2;RFC4;BRCA1;MSH6;POLE;SKP2;NCAPH;EZH2;DEPDC1;KIF18A;DNAJC9;RAD54L;KHSRP;MYO19;ATAD5;PIMREG;TRAIP;BRIP1;DCLRE1B;ZWILCH;SPC25</t>
  </si>
  <si>
    <t>1111;332;9055;9133;983;4605;7153;5111;890;995;4176;4521;672;5985;5902;4171;1163;5888;6749;991;4085;9768;2146;55143;26586;83461;64105;51203;29127;54443</t>
  </si>
  <si>
    <t>CHEK1;BIRC5;PRC1;CCNB2;CDK1;MYBL2;TOP2A;PCNA;CCNA2;CDC25C;MCM7;NUDT1;BRCA1;RFC5;RANBP1;MCM2;CKS1B;RAD51;SSRP1;CDC20;MAD2L1;PCLAF;EZH2;CDCA8;CKAP2;CDCA3;CENPK;NUSAP1;RACGAP1;ANLN</t>
  </si>
  <si>
    <t>2189;6839;11169;10535;7083;10797;1503;7283;6240;993;6241;5985;23310;1763;5427;84823;151246;29028;163786;55388;162681;284992;146956;11004;55706;10293;83540;1894;79968;54069</t>
  </si>
  <si>
    <t>FANCG;SUV39H1;WDHD1;RNASEH2A;TK1;MTHFD2;CTPS1;TUBG1;RRM1;CDC25A;RRM2;RFC5;NCAPD3;DNA2;POLE2;LMNB2;SGO2;ATAD2;SASS6;MCM10;C18orf54;CCDC150;EME1;KIF2C;NDC1;TRAIP;NUF2;ECT2;WDR76;MIS18A</t>
  </si>
  <si>
    <t>79733;10733;332;10721;10592;86;983;7153;4001;3148;5983;1058;1063;3832;1163;6502;23397;9928;23590;79682;55355;79801;9212;11004;55706;29127;1894;56992;51512;10460</t>
  </si>
  <si>
    <t>E2F8;PLK4;BIRC5;POLQ;SMC2;ACTL6A;CDK1;TOP2A;LMNB1;HMGB2;RFC3;CENPA;CENPF;KIF11;CKS1B;SKP2;NCAPH;KIF14;PDSS1;CENPU;HJURP;SHCBP1;AURKB;KIF2C;NDC1;RACGAP1;ECT2;KIF15;GTSE1;TACC3</t>
  </si>
  <si>
    <t>1111;332;9055;1471;4176;23310;9735;1763;3832;1163;6415;1062;23397;2146;348654;157570;259266;57082;55872;9585;64151;2177;64946;54443;56992;10051;22974;10460</t>
  </si>
  <si>
    <t>CHEK1;BIRC5;PRC1;CST3;MCM7;NCAPD3;KNTC1;DNA2;KIF11;CKS1B;SELENOW;CENPE;NCAPH;EZH2;GEN1;ESCO2;ASPM;KNL1;PBK;KIF20B;NCAPG;FANCD2;CENPH;ANLN;KIF15;SMC4;TPX2;TACC3</t>
  </si>
  <si>
    <t>1111;332;9055;701;3161;10592;3015;5111;890;3148;7913;4288;3832;1062;5888;348654;157313;54892;91687;79801;57082;83461;64151;83540;3070;55723;51512;10460</t>
  </si>
  <si>
    <t>CHEK1;BIRC5;PRC1;BUB1B;HMMR;SMC2;H2AFZ;PCNA;CCNA2;HMGB2;DEK;MKI67;KIF11;CENPE;RAD51;GEN1;CDCA2;NCAPG2;CENPL;SHCBP1;KNL1;CDCA3;NCAPG;NUF2;HELLS;ASF1B;GTSE1;TACC3</t>
  </si>
  <si>
    <t>GSE8921_UNSTIM_0H_VS_TLR1_2_STIM_MONOCYTE_12H_UP</t>
  </si>
  <si>
    <t>10212;8520;284403;11339;701;22995;1017;4436;5558;1763;675;3832;1062;8208;4998;9700;9319;55388;2187;146956;79915;10615;64105;3833;79902;51203;79968;55732;55646</t>
  </si>
  <si>
    <t>DDX39A;HAT1;WDR62;OIP5;BUB1B;CEP152;CDK2;MSH2;PRIM2;DNA2;BRCA2;KIF11;CENPE;CHAF1B;ORC1;ESPL1;TRIP13;MCM10;FANCB;EME1;ATAD5;SPAG5;CENPK;KIFC1;NUP85;NUSAP1;WDR76;C1orf112;LYAR</t>
  </si>
  <si>
    <t>http://www.broadinstitute.org/gsea/msigdb/cards/GSE8921_UNSTIM_0H_VS_TLR1_2_STIM_MONOCYTE_12H_UP.html</t>
  </si>
  <si>
    <t>GSE17974_CTRL_VS_ACT_IL4_AND_ANTI_IL12_24H_CD4_TCELL_DN</t>
  </si>
  <si>
    <t>332;11169;10535;86;7083;1503;890;4001;1841;4174;5982;2237;5557;1163;8208;23649;2146;79676;80178;195828;259266;10635;92092;55706;83990;64858;55055;79019;22974</t>
  </si>
  <si>
    <t>BIRC5;WDHD1;RNASEH2A;ACTL6A;TK1;CTPS1;CCNA2;LMNB1;DTYMK;MCM5;RFC2;FEN1;PRIM1;CKS1B;CHAF1B;POLA2;EZH2;OGFOD2;TEDC2;ZNF367;ASPM;RAD51AP1;ZC3HAV1L;NDC1;BRIP1;DCLRE1B;ZWILCH;CENPM;TPX2</t>
  </si>
  <si>
    <t>http://www.broadinstitute.org/gsea/msigdb/cards/GSE17974_CTRL_VS_ACT_IL4_AND_ANTI_IL12_24H_CD4_TCELL_DN.html</t>
  </si>
  <si>
    <t>79733;1111;11339;699;701;3161;9133;24137;9232;983;891;6241;4288;991;9837;9768;9787;6491;9319;1033;348654;79801;2491;55872;10615;990;64151;83540;79019</t>
  </si>
  <si>
    <t>E2F8;CHEK1;OIP5;BUB1;BUB1B;HMMR;CCNB2;KIF4A;PTTG1;CDK1;CCNB1;RRM2;MKI67;CDC20;GINS1;PCLAF;DLGAP5;STIL;TRIP13;CDKN3;GEN1;SHCBP1;CENPI;PBK;SPAG5;CDC6;NCAPG;NUF2;CENPM</t>
  </si>
  <si>
    <t>332;11339;3161;10721;9133;10112;9232;7298;890;6240;5984;5983;1063;10024;4998;9787;9319;9824;29028;23234;55839;11004;84296;64785;57405;56992;55215;55723;11198</t>
  </si>
  <si>
    <t>BIRC5;OIP5;HMMR;POLQ;CCNB2;KIF20A;PTTG1;TYMS;CCNA2;RRM1;RFC4;RFC3;CENPF;TROAP;ORC1;DLGAP5;TRIP13;ARHGAP11A;ATAD2;DNAJC9;CENPN;KIF2C;GINS4;GINS3;SPC25;KIF15;FANCI;ASF1B;SUPT16H</t>
  </si>
  <si>
    <t>5709;10535;24137;7298;203068;3015;6240;995;6241;4174;672;9775;1058;4670;641;1434;1163;9493;6491;23590;54892;55771;10615;55038;51203;26271;22974;8914;23594</t>
  </si>
  <si>
    <t>PSMD3;RNASEH2A;KIF4A;TYMS;TUBB;H2AFZ;RRM1;CDC25C;RRM2;MCM5;BRCA1;EIF4A3;CENPA;HNRNPM;BLM;CSE1L;CKS1B;AC027237.1;STIL;PDSS1;NCAPG2;PRR11;SPAG5;CDCA4;NUSAP1;FBXO5;TPX2;TIMELESS;ORC6</t>
  </si>
  <si>
    <t>GSE8685_IL2_STARVED_VS_IL2_ACT_IL2_STARVED_CD4_TCELL_DN</t>
  </si>
  <si>
    <t>6581;7298;890;6240;1786;5558;4751;3838;1479;23649;3837;157570;343099;55635;157313;221150;150468;78995;2187;26586;146956;10615;29127;64858;55055;79019;55723;8914;25788</t>
  </si>
  <si>
    <t>SLC22A3;TYMS;CCNA2;RRM1;DNMT1;PRIM2;NEK2;KPNA2;CSTF3;POLA2;KPNB1;ESCO2;CCDC18;DEPDC1;CDCA2;SKA3;CKAP2L;C17orf53;FANCB;CKAP2;EME1;SPAG5;RACGAP1;DCLRE1B;ZWILCH;CENPM;ASF1B;TIMELESS;RAD54B</t>
  </si>
  <si>
    <t>http://www.broadinstitute.org/gsea/msigdb/cards/GSE8685_IL2_STARVED_VS_IL2_ACT_IL2_STARVED_CD4_TCELL_DN.html</t>
  </si>
  <si>
    <t>9133;983;7153;890;6241;4174;4288;1763;1163;5426;9837;23397;6491;151648;29028;146909;113130;55872;990;64105;10293;51203;83540;29127;57405;55215;55723;6941;90417</t>
  </si>
  <si>
    <t>CCNB2;CDK1;TOP2A;CCNA2;RRM2;MCM5;MKI67;DNA2;CKS1B;POLE;GINS1;NCAPH;STIL;SGO1;ATAD2;KIF18B;CDCA5;PBK;CDC6;CENPK;TRAIP;NUSAP1;NUF2;RACGAP1;SPC25;FANCI;ASF1B;TCF19;KNSTRN</t>
  </si>
  <si>
    <t>8317;9055;5111;7374;6241;4174;7112;23310;1763;641;10376;2146;9824;63979;29028;79682;285753;259266;55355;55789;146956;113130;9212;84296;81620;63967;3070;55010;54069</t>
  </si>
  <si>
    <t>CDC7;PRC1;PCNA;UNG;RRM2;MCM5;TMPO;NCAPD3;DNA2;BLM;TUBA1B;EZH2;ARHGAP11A;FIGNL1;ATAD2;CENPU;CEP57L1;ASPM;HJURP;DEPDC1B;EME1;CDCA5;AURKB;GINS4;CDT1;CLSPN;HELLS;PARPBP;MIS18A</t>
  </si>
  <si>
    <t>GSE7768_OVA_ALONE_VS_OVA_WITH_MPL_IMMUNIZED_MOUSE_WHOLE_SPLEEN_6H_UP</t>
  </si>
  <si>
    <t>6790;5496;701;7083;890;675;5347;1434;9493;10024;991;6502;23397;9918;2146;55143;157313;146909;78995;57082;23165;55839;79915;55038;81610;1894;54443;3070</t>
  </si>
  <si>
    <t>AURKA;PPM1G;BUB1B;TK1;CCNA2;BRCA2;PLK1;CSE1L;AC027237.1;TROAP;CDC20;SKP2;NCAPH;NCAPD2;EZH2;CDCA8;CDCA2;KIF18B;C17orf53;KNL1;NUP205;CENPN;ATAD5;CDCA4;FAM83D;ECT2;ANLN;HELLS</t>
  </si>
  <si>
    <t>http://www.broadinstitute.org/gsea/msigdb/cards/GSE7768_OVA_ALONE_VS_OVA_WITH_MPL_IMMUNIZED_MOUSE_WHOLE_SPLEEN_6H_UP.html</t>
  </si>
  <si>
    <t>6790;9232;4001;6240;4172;4173;4174;5983;4288;3832;1062;5888;4085;23397;55165;55143;151246;157570;54892;57082;55771;64151;64946;57405;55723;22974;23594;10460</t>
  </si>
  <si>
    <t>AURKA;PTTG1;LMNB1;RRM1;MCM3;MCM4;MCM5;RFC3;MKI67;KIF11;CENPE;RAD51;MAD2L1;NCAPH;CEP55;CDCA8;SGO2;ESCO2;NCAPG2;KNL1;PRR11;NCAPG;CENPH;SPC25;ASF1B;TPX2;ORC6;TACC3</t>
  </si>
  <si>
    <t>GSE7509_UNSTIM_VS_IFNA_STIM_IMMATURE_DC_UP</t>
  </si>
  <si>
    <t>983;3015;4605;4001;898;7112;4288;1058;4751;1869;8208;3837;23397;9787;55388;146909;150468;79801;9212;55771;83461;11004;29127;81610;54443;10926;22974</t>
  </si>
  <si>
    <t>CDK1;H2AFZ;MYBL2;LMNB1;CCNE1;TMPO;MKI67;CENPA;NEK2;E2F1;CHAF1B;KPNB1;NCAPH;DLGAP5;MCM10;KIF18B;CKAP2L;SHCBP1;AURKB;PRR11;CDCA3;KIF2C;RACGAP1;FAM83D;ANLN;DBF4;TPX2</t>
  </si>
  <si>
    <t>http://www.broadinstitute.org/gsea/msigdb/cards/GSE7509_UNSTIM_VS_IFNA_STIM_IMMATURE_DC_UP.html</t>
  </si>
  <si>
    <t>8317;10733;701;8318;10112;86;983;1017;3148;995;5985;899;1058;1063;9700;286826;157313;221150;55789;11073;9212;11004;64785;64946;54443;54069;1789;10926</t>
  </si>
  <si>
    <t>CDC7;PLK4;BUB1B;CDC45;KIF20A;ACTL6A;CDK1;CDK2;HMGB2;CDC25C;RFC5;CCNF;CENPA;CENPF;ESPL1;LIN9;CDCA2;SKA3;DEPDC1B;TOPBP1;AURKB;KIF2C;GINS3;CENPH;ANLN;MIS18A;DNMT3B;DBF4</t>
  </si>
  <si>
    <t>8317;9055;701;86;7083;200933;995;4173;5985;1058;1063;4171;9493;991;1870;23397;151246;286826;55789;2491;9212;64785;3833;55038;54443;55732;55723;54069</t>
  </si>
  <si>
    <t>CDC7;PRC1;BUB1B;ACTL6A;TK1;FBXO45;CDC25C;MCM4;RFC5;CENPA;CENPF;MCM2;AC027237.1;CDC20;E2F2;NCAPH;SGO2;LIN9;DEPDC1B;CENPI;AURKB;GINS3;KIFC1;CDCA4;ANLN;C1orf112;ASF1B;MIS18A</t>
  </si>
  <si>
    <t>GSE14350_TREG_VS_TEFF_IN_IL2RB_KO_DN</t>
  </si>
  <si>
    <t>79733;11339;7153;6240;898;1786;5557;9735;4751;3832;5426;991;8683;4085;9700;6491;9824;54892;221150;147841;8570;146956;113130;4796;29127;55732;55723;51659</t>
  </si>
  <si>
    <t>E2F8;OIP5;TOP2A;RRM1;CCNE1;DNMT1;PRIM1;KNTC1;NEK2;KIF11;POLE;CDC20;SRSF9;MAD2L1;ESPL1;STIL;ARHGAP11A;NCAPG2;SKA3;SPC24;KHSRP;EME1;CDCA5;TONSL;RACGAP1;C1orf112;ASF1B;GINS2</t>
  </si>
  <si>
    <t>http://www.broadinstitute.org/gsea/msigdb/cards/GSE14350_TREG_VS_TEFF_IN_IL2RB_KO_DN.html</t>
  </si>
  <si>
    <t>8520;9055;8318;10592;10797;1841;6240;3148;6241;7272;4176;899;7112;3838;3832;4085;23397;2146;27338;55388;259266;11073;990;1894;11321;29089;51514;65003</t>
  </si>
  <si>
    <t>HAT1;PRC1;CDC45;SMC2;MTHFD2;DTYMK;RRM1;HMGB2;RRM2;TTK;MCM7;CCNF;TMPO;KPNA2;KIF11;MAD2L1;NCAPH;EZH2;UBE2S;MCM10;ASPM;TOPBP1;CDC6;ECT2;GPN1;UBE2T;DTL;MRPL11</t>
  </si>
  <si>
    <t>http://www.broadinstitute.org/gsea/msigdb/cards/GSE15930_NAIVE_VS_48H_IN_VITRO_STIM_CD8_TCELL_DN.html</t>
  </si>
  <si>
    <t>79733;11065;8318;7083;7298;983;898;7272;4173;4288;10376;1869;9493;5888;2305;1870;9700;9833;9768;1033;79682;80178;113130;55839;10615;29128;84790;57405</t>
  </si>
  <si>
    <t>E2F8;UBE2C;CDC45;TK1;TYMS;CDK1;CCNE1;TTK;MCM4;MKI67;TUBA1B;E2F1;AC027237.1;RAD51;FOXM1;E2F2;ESPL1;MELK;PCLAF;CDKN3;CENPU;TEDC2;CDCA5;CENPN;SPAG5;UHRF1;TUBA1C;SPC25</t>
  </si>
  <si>
    <t>6790;332;8318;22995;1503;4001;4172;993;4436;5347;641;1163;2305;6749;9319;79866;29028;2491;93594;9585;10615;55706;79902;10051;54069;8914;65003;23594</t>
  </si>
  <si>
    <t>AURKA;BIRC5;CDC45;CEP152;CTPS1;LMNB1;MCM3;CDC25A;MSH2;PLK1;BLM;CKS1B;FOXM1;SSRP1;TRIP13;BORA;ATAD2;CENPI;TBC1D31;KIF20B;SPAG5;NDC1;NUP85;SMC4;MIS18A;TIMELESS;MRPL11;ORC6</t>
  </si>
  <si>
    <t>2189;9055;699;701;24137;9232;7298;1841;6240;993;10105;6241;3838;5347;2305;9787;55247;10615;11004;580;64151;55055;79968;63967;57405;3070;55723;51512</t>
  </si>
  <si>
    <t>FANCG;PRC1;BUB1;BUB1B;KIF4A;PTTG1;TYMS;DTYMK;RRM1;CDC25A;PPIF;RRM2;KPNA2;PLK1;FOXM1;DLGAP5;NEIL3;SPAG5;KIF2C;BARD1;NCAPG;ZWILCH;WDR76;CLSPN;SPC25;HELLS;ASF1B;GTSE1</t>
  </si>
  <si>
    <t>10733;10403;332;3161;1786;995;4174;2237;5985;899;5557;4171;1062;9493;2305;54821;387103;348793;150468;115004;83903;8438;93594;55771;10615;54478;51203;29127</t>
  </si>
  <si>
    <t>PLK4;NDC80;BIRC5;HMMR;DNMT1;CDC25C;MCM5;FEN1;RFC5;CCNF;PRIM1;MCM2;CENPE;AC027237.1;FOXM1;ERCC6L;CENPW;WDR53;CKAP2L;CGAS;HASPIN;RAD54L;TBC1D31;PRR11;SPAG5;PIMREG;NUSAP1;RACGAP1</t>
  </si>
  <si>
    <t>10733;8520;6790;699;10592;7083;7298;983;890;7272;4173;4176;5982;7913;899;1063;9787;55165;157570;63979;29028;54892;11073;146956;9212;10615;57405;22974</t>
  </si>
  <si>
    <t>PLK4;HAT1;AURKA;BUB1;SMC2;TK1;TYMS;CDK1;CCNA2;TTK;MCM4;MCM7;RFC2;DEK;CCNF;CENPF;DLGAP5;CEP55;ESCO2;FIGNL1;ATAD2;NCAPG2;TOPBP1;EME1;AURKB;SPAG5;SPC25;TPX2</t>
  </si>
  <si>
    <t>8317;10403;6839;983;3015;899;4436;4288;3832;9493;9700;23397;55143;151246;151648;163786;146909;221150;150468;147841;201299;55771;64151;3833;84057;83540;80119;10926</t>
  </si>
  <si>
    <t>CDC7;NDC80;SUV39H1;CDK1;H2AFZ;CCNF;MSH2;MKI67;KIF11;AC027237.1;ESPL1;NCAPH;CDCA8;SGO2;SGO1;SASS6;KIF18B;SKA3;CKAP2L;SPC24;RDM1;PRR11;NCAPG;KIFC1;MND1;NUF2;PIF1;DBF4</t>
  </si>
  <si>
    <t>GSE43863_TH1_VS_LY6C_INT_CXCR5POS_EFFECTOR_CD4_TCELL_UP</t>
  </si>
  <si>
    <t>790;5982;672;5985;1062;9493;5426;9837;151246;157313;63979;55388;128239;150468;259266;55789;23234;146956;10635;83540;1894;63967;54443;54069;51514;26271;90417;10460</t>
  </si>
  <si>
    <t>CAD;RFC2;BRCA1;RFC5;CENPE;AC027237.1;POLE;GINS1;SGO2;CDCA2;FIGNL1;MCM10;IQGAP3;CKAP2L;ASPM;DEPDC1B;DNAJC9;EME1;RAD51AP1;NUF2;ECT2;CLSPN;ANLN;MIS18A;DTL;FBXO5;KNSTRN;TACC3</t>
  </si>
  <si>
    <t>http://www.broadinstitute.org/gsea/msigdb/cards/GSE43863_TH1_VS_LY6C_INT_CXCR5POS_EFFECTOR_CD4_TCELL_UP.html</t>
  </si>
  <si>
    <t>GSE8921_UNSTIM_VS_TLR1_2_STIM_MONOCYTE_3H_UP</t>
  </si>
  <si>
    <t>11339;8318;11169;9401;7083;1841;1786;4751;1062;991;8208;9833;9918;54821;7444;150468;8438;10635;11004;64151;64105;3833;79902;79968;3070;55646;25788</t>
  </si>
  <si>
    <t>OIP5;CDC45;WDHD1;RECQL4;TK1;DTYMK;DNMT1;NEK2;CENPE;CDC20;CHAF1B;MELK;NCAPD2;ERCC6L;VRK2;CKAP2L;RAD54L;RAD51AP1;KIF2C;NCAPG;CENPK;KIFC1;NUP85;WDR76;HELLS;LYAR;RAD54B</t>
  </si>
  <si>
    <t>http://www.broadinstitute.org/gsea/msigdb/cards/GSE8921_UNSTIM_VS_TLR1_2_STIM_MONOCYTE_3H_UP.html</t>
  </si>
  <si>
    <t>9055;7398;22995;10112;7153;6929;3148;5985;9735;3832;9493;10024;9833;348654;9824;89958;146909;55345;150468;162681;201299;55839;29127;79968;57405;54443;81624</t>
  </si>
  <si>
    <t>PRC1;USP1;CEP152;KIF20A;TOP2A;TCF3;HMGB2;RFC5;KNTC1;KIF11;AC027237.1;TROAP;MELK;GEN1;ARHGAP11A;SAPCD2;KIF18B;ZGRF1;CKAP2L;C18orf54;RDM1;CENPN;RACGAP1;WDR76;SPC25;ANLN;DIAPH3</t>
  </si>
  <si>
    <t>79733;332;9055;9133;9232;7298;983;3015;7153;3148;995;6241;4288;3832;1163;991;23397;9787;1033;151648;83903;113130;11004;51203;29127;6941;10460</t>
  </si>
  <si>
    <t>E2F8;BIRC5;PRC1;CCNB2;PTTG1;TYMS;CDK1;H2AFZ;TOP2A;HMGB2;CDC25C;RRM2;MKI67;KIF11;CKS1B;CDC20;NCAPH;DLGAP5;CDKN3;SGO1;HASPIN;CDCA5;KIF2C;NUSAP1;RACGAP1;TCF19;TACC3</t>
  </si>
  <si>
    <t>GSE12845_NAIVE_VS_PRE_GC_TONSIL_BCELL_DN</t>
  </si>
  <si>
    <t>11065;8562;3161;24137;9232;3015;790;4176;7913;899;4670;2956;3832;4998;55143;55388;10615;580;990;3833;29127;57405;56992;55732;10051;51514;26271</t>
  </si>
  <si>
    <t>UBE2C;DENR;HMMR;KIF4A;PTTG1;H2AFZ;CAD;MCM7;DEK;CCNF;HNRNPM;MSH6;KIF11;ORC1;CDCA8;MCM10;SPAG5;BARD1;CDC6;KIFC1;RACGAP1;SPC25;KIF15;C1orf112;SMC4;DTL;FBXO5</t>
  </si>
  <si>
    <t>http://www.broadinstitute.org/gsea/msigdb/cards/GSE12845_NAIVE_VS_PRE_GC_TONSIL_BCELL_DN.html</t>
  </si>
  <si>
    <t>GSE1460_DP_THYMOCYTE_VS_NAIVE_CD4_TCELL_ADULT_BLOOD_UP</t>
  </si>
  <si>
    <t>79733;11065;8318;24137;10592;4001;4176;672;9775;1062;2305;991;23649;3837;6491;79682;146909;79801;3066;10615;54478;79075;57405;56992;55732;55215;54069</t>
  </si>
  <si>
    <t>E2F8;UBE2C;CDC45;KIF4A;SMC2;LMNB1;MCM7;BRCA1;EIF4A3;CENPE;FOXM1;CDC20;POLA2;KPNB1;STIL;CENPU;KIF18B;SHCBP1;HDAC2;SPAG5;PIMREG;DSCC1;SPC25;KIF15;C1orf112;FANCI;MIS18A</t>
  </si>
  <si>
    <t>http://www.broadinstitute.org/gsea/msigdb/cards/GSE1460_DP_THYMOCYTE_VS_NAIVE_CD4_TCELL_ADULT_BLOOD_UP.html</t>
  </si>
  <si>
    <t>GSE3039_CD4_TCELL_VS_NKT_CELL_DN</t>
  </si>
  <si>
    <t>5709;284403;6839;7398;22995;4173;5984;23310;6878;84823;5426;9768;2146;54821;387103;343099;219988;54892;64151;54478;84057;83990;3070;10051;29893;8914;9156</t>
  </si>
  <si>
    <t>PSMD3;WDR62;SUV39H1;USP1;CEP152;MCM4;RFC4;NCAPD3;TAF6;LMNB2;POLE;PCLAF;EZH2;ERCC6L;CENPW;CCDC18;PATL1;NCAPG2;NCAPG;PIMREG;MND1;BRIP1;HELLS;SMC4;PSMC3IP;TIMELESS;EXO1</t>
  </si>
  <si>
    <t>http://www.broadinstitute.org/gsea/msigdb/cards/GSE3039_CD4_TCELL_VS_NKT_CELL_DN.html</t>
  </si>
  <si>
    <t>11339;22995;9232;7298;6929;4176;5982;641;1163;1869;84823;2305;2146;55388;128239;55345;201299;10635;84930;9088;580;84057;83990;3070;9156;51659;25788</t>
  </si>
  <si>
    <t>OIP5;CEP152;PTTG1;TYMS;TCF3;MCM7;RFC2;BLM;CKS1B;E2F1;LMNB2;FOXM1;EZH2;MCM10;IQGAP3;ZGRF1;RDM1;RAD51AP1;MASTL;PKMYT1;BARD1;MND1;BRIP1;HELLS;EXO1;GINS2;RAD54B</t>
  </si>
  <si>
    <t>284403;6839;6581;1841;1786;2237;9493;4998;55165;151648;343099;80178;90381;128239;150468;84904;147841;83903;113130;55839;4796;29128;83461;9088;3833;80119;29893</t>
  </si>
  <si>
    <t>WDR62;SUV39H1;SLC22A3;DTYMK;DNMT1;FEN1;AC027237.1;ORC1;CEP55;SGO1;CCDC18;TEDC2;TICRR;IQGAP3;CKAP2L;ARHGEF39;SPC24;HASPIN;CDCA5;CENPN;TONSL;UHRF1;CDCA3;PKMYT1;KIFC1;PIF1;PSMC3IP</t>
  </si>
  <si>
    <t>http://www.broadinstitute.org/gsea/msigdb/cards/GSE7831_CPG_VS_INFLUENZA_STIM_PDC_4H_DN.html</t>
  </si>
  <si>
    <t>8318;1841;4173;2237;5902;9493;2305;2146;54821;151246;157570;23590;343099;286826;729533;128239;147841;57082;81930;83903;84930;55839;9088;79172;80119;55010;1789</t>
  </si>
  <si>
    <t>CDC45;DTYMK;MCM4;FEN1;RANBP1;AC027237.1;FOXM1;EZH2;ERCC6L;SGO2;ESCO2;PDSS1;CCDC18;LIN9;FAM72A;IQGAP3;SPC24;KNL1;KIF18A;HASPIN;MASTL;CENPN;PKMYT1;CENPO;PIF1;PARPBP;DNMT3B</t>
  </si>
  <si>
    <t>8520;6790;9055;701;9133;10592;983;890;4176;5984;5888;6502;9918;55165;157570;63979;29028;79682;54892;147841;11073;144455;9212;79915;64151;6941;90417</t>
  </si>
  <si>
    <t>HAT1;AURKA;PRC1;BUB1B;CCNB2;SMC2;CDK1;CCNA2;MCM7;RFC4;RAD51;SKP2;NCAPD2;CEP55;ESCO2;FIGNL1;ATAD2;CENPU;NCAPG2;SPC24;TOPBP1;E2F7;AURKB;ATAD5;NCAPG;TCF19;KNSTRN</t>
  </si>
  <si>
    <t>GSE19923_WT_VS_HEB_AND_E2A_KO_DP_THYMOCYTE_UP</t>
  </si>
  <si>
    <t>9055;10535;10112;7083;203068;7153;6240;1017;4174;4176;5982;672;899;7112;4436;6733;6749;4085;23397;9768;1033;9212;375444;990;55723;6941;10460</t>
  </si>
  <si>
    <t>PRC1;RNASEH2A;KIF20A;TK1;TUBB;TOP2A;RRM1;CDK2;MCM5;MCM7;RFC2;BRCA1;CCNF;TMPO;MSH2;SRPK2;SSRP1;MAD2L1;NCAPH;PCLAF;CDKN3;AURKB;C5orf34;CDC6;ASF1B;TCF19;TACC3</t>
  </si>
  <si>
    <t>http://www.broadinstitute.org/gsea/msigdb/cards/GSE19923_WT_VS_HEB_AND_E2A_KO_DP_THYMOCYTE_UP.html</t>
  </si>
  <si>
    <t>11065;10403;6790;701;9232;7083;7298;890;9775;4288;1062;23397;9768;9787;2146;26586;10615;83540;57405;10051;55010;51512;9156;6941;90417;11198;10460</t>
  </si>
  <si>
    <t>UBE2C;NDC80;AURKA;BUB1B;PTTG1;TK1;TYMS;CCNA2;EIF4A3;MKI67;CENPE;NCAPH;PCLAF;DLGAP5;EZH2;CKAP2;SPAG5;NUF2;SPC25;SMC4;PARPBP;GTSE1;EXO1;TCF19;KNSTRN;SUPT16H;TACC3</t>
  </si>
  <si>
    <t>6790;2189;11169;7298;203068;5111;890;5933;4751;10376;9493;5888;9700;9918;6491;2146;128239;54892;150468;55355;2491;55839;55872;83461;54069;26271;51659</t>
  </si>
  <si>
    <t>AURKA;FANCG;WDHD1;TYMS;TUBB;PCNA;CCNA2;RBL1;NEK2;TUBA1B;AC027237.1;RAD51;ESPL1;NCAPD2;STIL;EZH2;IQGAP3;NCAPG2;CKAP2L;HJURP;CENPI;CENPN;PBK;CDCA3;MIS18A;FBXO5;GINS2</t>
  </si>
  <si>
    <t>2175;5709;11169;10592;983;203068;5111;1841;10971;790;4173;4176;9775;675;5347;6749;8683;9837;9319;54821;253714;9125;79902;55055;57405;54069;9156</t>
  </si>
  <si>
    <t>FANCA;PSMD3;WDHD1;SMC2;CDK1;TUBB;PCNA;DTYMK;YWHAQ;CAD;MCM4;MCM7;EIF4A3;BRCA2;PLK1;SSRP1;SRSF9;GINS1;TRIP13;ERCC6L;MMS22L;CNOT9;NUP85;ZWILCH;SPC25;MIS18A;EXO1</t>
  </si>
  <si>
    <t>701;11169;3015;1841;5557;641;5427;84823;4085;9837;9787;157313;55388;128239;150468;57082;79915;11004;2177;83540;81539;81610;55723;51512;10926;9156</t>
  </si>
  <si>
    <t>BUB1B;WDHD1;H2AFZ;DTYMK;PRIM1;BLM;POLE2;LMNB2;MAD2L1;GINS1;DLGAP5;CDCA2;MCM10;IQGAP3;CKAP2L;KNL1;ATAD5;KIF2C;FANCD2;NUF2;SLC38A1;FAM83D;ASF1B;GTSE1;DBF4;EXO1</t>
  </si>
  <si>
    <t>GSE20727_CTRL_VS_ROS_INH_AND_DNFB_ALLERGEN_TREATED_DC_DN</t>
  </si>
  <si>
    <t>5709;9055;22995;11130;24137;9134;983;4605;7153;890;7283;3148;4288;1058;4751;3838;5347;9493;4085;1870;9837;23397;9787;55355;84057;54443</t>
  </si>
  <si>
    <t>PSMD3;PRC1;CEP152;ZWINT;KIF4A;CCNE2;CDK1;MYBL2;TOP2A;CCNA2;TUBG1;HMGB2;MKI67;CENPA;NEK2;KPNA2;PLK1;AC027237.1;MAD2L1;E2F2;GINS1;NCAPH;DLGAP5;HJURP;MND1;ANLN</t>
  </si>
  <si>
    <t>http://www.broadinstitute.org/gsea/msigdb/cards/GSE20727_CTRL_VS_ROS_INH_AND_DNFB_ALLERGEN_TREATED_DC_DN.html</t>
  </si>
  <si>
    <t>8520;6790;6839;7516;5111;1503;7283;1017;672;7112;8833;3838;9493;9837;63979;79801;57650;10635;132320;79075;55055;63967;3070;55215;8914;6941</t>
  </si>
  <si>
    <t>HAT1;AURKA;SUV39H1;XRCC2;PCNA;CTPS1;TUBG1;CDK2;BRCA1;TMPO;GMPS;KPNA2;AC027237.1;GINS1;FIGNL1;SHCBP1;CIP2A;RAD51AP1;SCLT1;DSCC1;ZWILCH;CLSPN;HELLS;FANCI;TIMELESS;TCF19</t>
  </si>
  <si>
    <t>79733;11065;10721;9133;9134;4605;1163;1062;9493;10024;23649;1870;9700;23397;55143;79682;150468;2187;83903;144455;84296;1894;63967;54443;10051;26271</t>
  </si>
  <si>
    <t>E2F8;UBE2C;POLQ;CCNB2;CCNE2;MYBL2;CKS1B;CENPE;AC027237.1;TROAP;POLA2;E2F2;ESPL1;NCAPH;CDCA8;CENPU;CKAP2L;FANCB;HASPIN;E2F7;GINS4;ECT2;CLSPN;ANLN;SMC4;FBXO5</t>
  </si>
  <si>
    <t>1111;332;9055;699;7398;10112;10592;6929;7283;993;7272;4176;23310;4171;3838;3832;1434;1869;1479;6996;4175;146909;259266;11073;11004;55732</t>
  </si>
  <si>
    <t>CHEK1;BIRC5;PRC1;BUB1;USP1;KIF20A;SMC2;TCF3;TUBG1;CDC25A;TTK;MCM7;NCAPD3;MCM2;KPNA2;KIF11;CSE1L;E2F1;CSTF3;TDG;MCM6;KIF18B;ASPM;TOPBP1;KIF2C;C1orf112</t>
  </si>
  <si>
    <t>8317;10721;8318;10592;898;5725;4173;5985;7112;23310;4288;8833;9735;641;2305;4085;9700;9833;8438;55839;56992;51514;9156;65003;11198;10460</t>
  </si>
  <si>
    <t>CDC7;POLQ;CDC45;SMC2;CCNE1;PTBP1;MCM4;RFC5;TMPO;NCAPD3;MKI67;GMPS;KNTC1;BLM;FOXM1;MAD2L1;ESPL1;MELK;RAD54L;CENPN;KIF15;DTL;EXO1;MRPL11;SUPT16H;TACC3</t>
  </si>
  <si>
    <t>79733;6790;1515;7398;203068;3015;200933;6240;7913;7112;4751;2956;5347;641;4085;9787;151246;157570;55635;55656;84904;144455;55872;51203;57405;10051</t>
  </si>
  <si>
    <t>E2F8;AURKA;CTSV;USP1;TUBB;H2AFZ;FBXO45;RRM1;DEK;TMPO;NEK2;MSH6;PLK1;BLM;MAD2L1;DLGAP5;SGO2;ESCO2;DEPDC1;INTS8;ARHGEF39;E2F7;PBK;NUSAP1;SPC25;SMC4</t>
  </si>
  <si>
    <t>701;3161;8318;22995;9232;7298;6240;993;6241;2956;5347;2305;9787;1033;9824;79682;2491;10615;11004;64151;64785;54478;57405;55732;55723;51659</t>
  </si>
  <si>
    <t>BUB1B;HMMR;CDC45;CEP152;PTTG1;TYMS;RRM1;CDC25A;RRM2;MSH6;PLK1;FOXM1;DLGAP5;CDKN3;ARHGAP11A;CENPU;CENPI;SPAG5;KIF2C;NCAPG;GINS3;PIMREG;SPC25;C1orf112;ASF1B;GINS2</t>
  </si>
  <si>
    <t>1871;6790;332;701;10112;7298;3015;890;7272;7112;1063;5347;5888;991;4085;9700;9918;9319;55165;63979;195828;128239;9212;79915;990;3619</t>
  </si>
  <si>
    <t>E2F3;AURKA;BIRC5;BUB1B;KIF20A;TYMS;H2AFZ;CCNA2;TTK;TMPO;CENPF;PLK1;RAD51;CDC20;MAD2L1;ESPL1;NCAPD2;TRIP13;CEP55;FIGNL1;ZNF367;IQGAP3;AURKB;ATAD5;CDC6;INCENP</t>
  </si>
  <si>
    <t>GSE22432_CDC_VS_COMMON_DC_PROGENITOR_DN</t>
  </si>
  <si>
    <t>6839;9055;8318;10112;86;3015;1503;890;10971;6241;5902;5558;9735;9493;151246;157570;29028;115004;10635;80179;55872;79915;29128;1894;29089;27339</t>
  </si>
  <si>
    <t>SUV39H1;PRC1;CDC45;KIF20A;ACTL6A;H2AFZ;CTPS1;CCNA2;YWHAQ;RRM2;RANBP1;PRIM2;KNTC1;AC027237.1;SGO2;ESCO2;ATAD2;CGAS;RAD51AP1;MYO19;PBK;ATAD5;UHRF1;ECT2;UBE2T;PRPF19</t>
  </si>
  <si>
    <t>http://www.broadinstitute.org/gsea/msigdb/cards/GSE22432_CDC_VS_COMMON_DC_PROGENITOR_DN.html</t>
  </si>
  <si>
    <t>10403;10721;3015;7153;890;4172;10971;7272;4176;5984;5983;3838;1163;8208;6502;9928;79801;220134;79915;83461;84296;64785;10293;83990;64858;55732</t>
  </si>
  <si>
    <t>NDC80;POLQ;H2AFZ;TOP2A;CCNA2;MCM3;YWHAQ;TTK;MCM7;RFC4;RFC3;KPNA2;CKS1B;CHAF1B;SKP2;KIF14;SHCBP1;SKA1;ATAD5;CDCA3;GINS4;GINS3;TRAIP;BRIP1;DCLRE1B;C1orf112</t>
  </si>
  <si>
    <t>1111;9133;10112;983;203068;4605;7153;890;995;4521;5902;4171;1163;10376;5888;991;23397;9768;2146;26586;83461;51203;29127;81624;9156;23594</t>
  </si>
  <si>
    <t>CHEK1;CCNB2;KIF20A;CDK1;TUBB;MYBL2;TOP2A;CCNA2;CDC25C;NUDT1;RANBP1;MCM2;CKS1B;TUBA1B;RAD51;CDC20;NCAPH;PCLAF;EZH2;CKAP2;CDCA3;NUSAP1;RACGAP1;DIAPH3;EXO1;ORC6</t>
  </si>
  <si>
    <t>10733;6790;1786;1058;5558;2956;3832;5427;6502;151246;9824;163786;253714;80178;55355;83903;55789;2491;146956;93594;55839;11004;55038;81624;10051;22974</t>
  </si>
  <si>
    <t>PLK4;AURKA;DNMT1;CENPA;PRIM2;MSH6;KIF11;POLE2;SKP2;SGO2;ARHGAP11A;SASS6;MMS22L;TEDC2;HJURP;HASPIN;DEPDC1B;CENPI;EME1;TBC1D31;CENPN;KIF2C;CDCA4;DIAPH3;SMC4;TPX2</t>
  </si>
  <si>
    <t>10733;701;9133;1786;790;4176;899;4288;1063;3832;5347;641;5888;10024;9787;128239;146909;78995;79801;57082;55872;11004;2177;83540;29127</t>
  </si>
  <si>
    <t>PLK4;BUB1B;CCNB2;DNMT1;CAD;MCM7;CCNF;MKI67;CENPF;KIF11;PLK1;BLM;RAD51;TROAP;DLGAP5;IQGAP3;KIF18B;C17orf53;SHCBP1;KNL1;PBK;KIF2C;FANCD2;NUF2;RACGAP1</t>
  </si>
  <si>
    <t>79733;9055;3161;9133;7153;890;995;899;4288;1763;3832;5347;1869;1062;6491;9319;63979;54892;55771;1894;54443;56992;51514;22974</t>
  </si>
  <si>
    <t>E2F8;PRC1;HMMR;CCNB2;TOP2A;CCNA2;CDC25C;CCNF;MKI67;DNA2;KIF11;PLK1;E2F1;CENPE;STIL;TRIP13;FIGNL1;NCAPG2;PRR11;ECT2;ANLN;KIF15;DTL;TPX2</t>
  </si>
  <si>
    <t>10733;7272;4173;7112;1058;8833;4751;9833;9928;2146;54821;157313;113115;29028;8438;55872;79915;990;29127;1894;55723;51514;9156;23594</t>
  </si>
  <si>
    <t>PLK4;TTK;MCM4;TMPO;CENPA;GMPS;NEK2;MELK;KIF14;EZH2;ERCC6L;CDCA2;MTFR2;ATAD2;RAD54L;PBK;ATAD5;CDC6;RACGAP1;ECT2;ASF1B;DTL;EXO1;ORC6</t>
  </si>
  <si>
    <t>GSE40225_WT_VS_RIP_B7X_DIABETIC_MOUSE_PANCREATIC_CD8_TCELL_DN</t>
  </si>
  <si>
    <t>10733;9055;1515;24137;9232;9134;3015;7283;3148;993;672;1058;9735;3068;4085;23397;27338;90381;147841;55247;2491;220134;92092;55038;1894</t>
  </si>
  <si>
    <t>PLK4;PRC1;CTSV;KIF4A;PTTG1;CCNE2;H2AFZ;TUBG1;HMGB2;CDC25A;BRCA1;CENPA;KNTC1;HDGF;MAD2L1;NCAPH;UBE2S;TICRR;SPC24;NEIL3;CENPI;SKA1;ZC3HAV1L;CDCA4;ECT2</t>
  </si>
  <si>
    <t>http://www.broadinstitute.org/gsea/msigdb/cards/GSE40225_WT_VS_RIP_B7X_DIABETIC_MOUSE_PANCREATIC_CD8_TCELL_DN.html</t>
  </si>
  <si>
    <t>GSE15930_NAIVE_VS_48H_IN_VITRO_STIM_IL12_CD8_TCELL_DN</t>
  </si>
  <si>
    <t>8317;699;10592;10797;1503;4001;6240;1017;1786;6241;7272;4176;4751;3838;4085;23397;27338;990;79902;55038;51203;1894;51514;9156;65003</t>
  </si>
  <si>
    <t>CDC7;BUB1;SMC2;MTHFD2;CTPS1;LMNB1;RRM1;CDK2;DNMT1;RRM2;TTK;MCM7;NEK2;KPNA2;MAD2L1;NCAPH;UBE2S;CDC6;NUP85;CDCA4;NUSAP1;ECT2;DTL;EXO1;MRPL11</t>
  </si>
  <si>
    <t>http://www.broadinstitute.org/gsea/msigdb/cards/GSE15930_NAIVE_VS_48H_IN_VITRO_STIM_IL12_CD8_TCELL_DN.html</t>
  </si>
  <si>
    <t>1111;6790;332;699;3161;10721;9133;9232;7298;6240;1058;1063;8208;4998;9787;29028;23234;55872;11004;84296;55038;55055;57405;27339;11198</t>
  </si>
  <si>
    <t>CHEK1;AURKA;BIRC5;BUB1;HMMR;POLQ;CCNB2;PTTG1;TYMS;RRM1;CENPA;CENPF;CHAF1B;ORC1;DLGAP5;ATAD2;DNAJC9;PBK;KIF2C;GINS4;CDCA4;ZWILCH;SPC25;PRPF19;SUPT16H</t>
  </si>
  <si>
    <t>79733;1871;2175;9055;7083;1841;6241;23310;4288;1163;6491;1033;55165;113115;55388;54892;79801;57650;144455;113130;51203;55055;54443;22974;90417</t>
  </si>
  <si>
    <t>E2F8;E2F3;FANCA;PRC1;TK1;DTYMK;RRM2;NCAPD3;MKI67;CKS1B;STIL;CDKN3;CEP55;MTFR2;MCM10;NCAPG2;SHCBP1;CIP2A;E2F7;CDCA5;NUSAP1;ZWILCH;ANLN;TPX2;KNSTRN</t>
  </si>
  <si>
    <t>GSE3039_B2_VS_B1_BCELL_DN</t>
  </si>
  <si>
    <t>1111;6839;701;898;5902;3838;5426;9768;54821;55143;729533;113115;84722;90381;128239;78995;147841;57082;8438;144455;11004;54478;63967;79019;55723</t>
  </si>
  <si>
    <t>CHEK1;SUV39H1;BUB1B;CCNE1;RANBP1;KPNA2;POLE;PCLAF;ERCC6L;CDCA8;FAM72A;MTFR2;PSRC1;TICRR;IQGAP3;C17orf53;SPC24;KNL1;RAD54L;E2F7;KIF2C;PIMREG;CLSPN;CENPM;ASF1B</t>
  </si>
  <si>
    <t>http://www.broadinstitute.org/gsea/msigdb/cards/GSE3039_B2_VS_B1_BCELL_DN.html</t>
  </si>
  <si>
    <t>284403;9055;699;11169;9134;10797;1503;672;1063;4751;3832;5888;9824;220042;25886;81930;57650;79915;64105;10293;2177;64946;1894;10926;22974</t>
  </si>
  <si>
    <t>WDR62;PRC1;BUB1;WDHD1;CCNE2;MTHFD2;CTPS1;BRCA1;CENPF;NEK2;KIF11;RAD51;ARHGAP11A;DDIAS;POC1A;KIF18A;CIP2A;ATAD5;CENPK;TRAIP;FANCD2;CENPH;ECT2;DBF4;TPX2</t>
  </si>
  <si>
    <t>GSE10273_LOW_IL7_VS_HIGH_IL7_AND_IRF4_IN_IRF4_8_NULL_PRE_BCELL_UP</t>
  </si>
  <si>
    <t>1111;10403;5496;6839;3148;5933;5984;5902;3068;84823;6749;8208;6469;54821;221150;220042;259266;146956;113130;3833;79000;54443;55732;10926;10460</t>
  </si>
  <si>
    <t>CHEK1;NDC80;PPM1G;SUV39H1;HMGB2;RBL1;RFC4;RANBP1;HDGF;LMNB2;SSRP1;CHAF1B;SHH;ERCC6L;SKA3;DDIAS;ASPM;EME1;CDCA5;KIFC1;AUNIP;ANLN;C1orf112;DBF4;TACC3</t>
  </si>
  <si>
    <t>http://www.broadinstitute.org/gsea/msigdb/cards/GSE10273_LOW_IL7_VS_HIGH_IL7_AND_IRF4_IN_IRF4_8_NULL_PRE_BCELL_UP.html</t>
  </si>
  <si>
    <t>10403;6790;24137;10592;9134;7083;4605;5933;4173;4176;672;899;5426;2146;348654;253714;195828;7444;150468;91687;55355;11073;55839;10615;2177</t>
  </si>
  <si>
    <t>NDC80;AURKA;KIF4A;SMC2;CCNE2;TK1;MYBL2;RBL1;MCM4;MCM7;BRCA1;CCNF;POLE;EZH2;GEN1;MMS22L;ZNF367;VRK2;CKAP2L;CENPL;HJURP;TOPBP1;CENPN;SPAG5;FANCD2</t>
  </si>
  <si>
    <t>5496;699;8318;4001;898;899;3068;3838;1434;6491;54821;157313;90381;91687;147841;57082;9585;79915;10615;83990;79000;55732;81624;55646;9156</t>
  </si>
  <si>
    <t>PPM1G;BUB1;CDC45;LMNB1;CCNE1;CCNF;HDGF;KPNA2;CSE1L;STIL;ERCC6L;CDCA2;TICRR;CENPL;SPC24;KNL1;KIF20B;ATAD5;SPAG5;BRIP1;AUNIP;C1orf112;DIAPH3;LYAR;EXO1</t>
  </si>
  <si>
    <t>79733;11065;11169;10112;983;1017;1786;7272;4176;5982;7112;1058;5557;4171;5347;6749;991;4175;9918;6491;9212;3619;55723;22974;23594</t>
  </si>
  <si>
    <t>E2F8;UBE2C;WDHD1;KIF20A;CDK1;CDK2;DNMT1;TTK;MCM7;RFC2;TMPO;CENPA;PRIM1;MCM2;PLK1;SSRP1;CDC20;MCM6;NCAPD2;STIL;AURKB;INCENP;ASF1B;TPX2;ORC6</t>
  </si>
  <si>
    <t>9055;7153;6929;890;6241;4173;7112;4436;3832;5427;6502;348654;151246;157570;151648;9824;63979;2187;144455;4796;64151;2177;57405</t>
  </si>
  <si>
    <t>PRC1;TOP2A;TCF3;CCNA2;RRM2;MCM4;TMPO;MSH2;KIF11;POLE2;SKP2;GEN1;SGO2;ESCO2;SGO1;ARHGAP11A;FIGNL1;FANCB;E2F7;TONSL;NCAPG;FANCD2;SPC25</t>
  </si>
  <si>
    <t>10733;11339;10721;8318;10535;10592;890;2237;3068;2956;1163;1062;2305;6749;9918;9928;79682;54892;11004;580;55732;54069;22974;9633</t>
  </si>
  <si>
    <t>PLK4;OIP5;POLQ;CDC45;RNASEH2A;SMC2;CCNA2;FEN1;HDGF;MSH6;CKS1B;CENPE;FOXM1;SSRP1;NCAPD2;KIF14;CENPU;NCAPG2;KIF2C;BARD1;C1orf112;MIS18A;TPX2;TESMIN</t>
  </si>
  <si>
    <t>GSE17974_CTRL_VS_ACT_IL4_AND_ANTI_IL12_48H_CD4_TCELL_DN</t>
  </si>
  <si>
    <t>23306;6790;9055;11169;22995;9232;1841;995;4174;2237;5557;1163;1479;2146;79676;84722;89958;147841;83461;83990;81610;80119;55055;55646</t>
  </si>
  <si>
    <t>NEMP1;AURKA;PRC1;WDHD1;CEP152;PTTG1;DTYMK;CDC25C;MCM5;FEN1;PRIM1;CKS1B;CSTF3;EZH2;OGFOD2;PSRC1;SAPCD2;SPC24;CDCA3;BRIP1;FAM83D;PIF1;ZWILCH;LYAR</t>
  </si>
  <si>
    <t>http://www.broadinstitute.org/gsea/msigdb/cards/GSE17974_CTRL_VS_ACT_IL4_AND_ANTI_IL12_48H_CD4_TCELL_DN.html</t>
  </si>
  <si>
    <t>5717;3015;1503;4172;3148;5725;23310;5557;8833;84823;10036;9918;6491;9319;1994;23165;79915;580;55706;3833;81620;55055;10051;10926</t>
  </si>
  <si>
    <t>PSMD11;H2AFZ;CTPS1;MCM3;HMGB2;PTBP1;NCAPD3;PRIM1;GMPS;LMNB2;CHAF1A;NCAPD2;STIL;TRIP13;ELAVL1;NUP205;ATAD5;BARD1;NDC1;KIFC1;CDT1;ZWILCH;SMC4;DBF4</t>
  </si>
  <si>
    <t>GSE22886_NAIVE_CD4_TCELL_VS_48H_ACT_TH2_DN</t>
  </si>
  <si>
    <t>8317;9055;9133;7298;7153;5111;10797;6240;4172;3148;5933;6241;899;9735;991;9700;1994;84722;55355;580;10051;55215;54069;11198</t>
  </si>
  <si>
    <t>CDC7;PRC1;CCNB2;TYMS;TOP2A;PCNA;MTHFD2;RRM1;MCM3;HMGB2;RBL1;RRM2;CCNF;KNTC1;CDC20;ESPL1;ELAVL1;PSRC1;HJURP;BARD1;SMC4;FANCI;MIS18A;SUPT16H</t>
  </si>
  <si>
    <t>http://www.broadinstitute.org/gsea/msigdb/cards/GSE22886_NAIVE_CD4_TCELL_VS_48H_ACT_TH2_DN.html</t>
  </si>
  <si>
    <t>GSE28237_FOLLICULAR_VS_EARLY_GC_BCELL_DN</t>
  </si>
  <si>
    <t>79733;1111;9134;3148;4176;7913;899;1058;3068;3838;10376;9768;9928;55165;259266;9125;23165;113130;55771;55872;9585;990;1894;55055</t>
  </si>
  <si>
    <t>E2F8;CHEK1;CCNE2;HMGB2;MCM7;DEK;CCNF;CENPA;HDGF;KPNA2;TUBA1B;PCLAF;KIF14;CEP55;ASPM;CNOT9;NUP205;CDCA5;PRR11;PBK;KIF20B;CDC6;ECT2;ZWILCH</t>
  </si>
  <si>
    <t>http://www.broadinstitute.org/gsea/msigdb/cards/GSE28237_FOLLICULAR_VS_EARLY_GC_BCELL_DN.html</t>
  </si>
  <si>
    <t>10733;6790;699;9401;672;1063;5557;8833;1763;2305;4175;9700;23397;9918;9787;2146;220042;79801;113130;29128;3833;10293;51203;6941</t>
  </si>
  <si>
    <t>PLK4;AURKA;BUB1;RECQL4;BRCA1;CENPF;PRIM1;GMPS;DNA2;FOXM1;MCM6;ESPL1;NCAPH;NCAPD2;DLGAP5;EZH2;DDIAS;SHCBP1;CDCA5;UHRF1;KIFC1;TRAIP;NUSAP1;TCF19</t>
  </si>
  <si>
    <t>GSE2405_0H_VS_24H_A_PHAGOCYTOPHILUM_STIM_NEUTROPHIL_DN</t>
  </si>
  <si>
    <t>79733;9232;898;1063;5558;1763;675;4751;1062;2305;6502;6491;151246;55635;57647;8438;10635;79915;11004;79172;55732;55010;51514;22974</t>
  </si>
  <si>
    <t>E2F8;PTTG1;CCNE1;CENPF;PRIM2;DNA2;BRCA2;NEK2;CENPE;FOXM1;SKP2;STIL;SGO2;DEPDC1;DHX37;RAD54L;RAD51AP1;ATAD5;KIF2C;CENPO;C1orf112;PARPBP;DTL;TPX2</t>
  </si>
  <si>
    <t>http://www.broadinstitute.org/gsea/msigdb/cards/GSE2405_0H_VS_24H_A_PHAGOCYTOPHILUM_STIM_NEUTROPHIL_DN.html</t>
  </si>
  <si>
    <t>GSE22601_CD4_SINGLE_POSITIVE_VS_CD8_SINGLE_POSITIVE_THYMOCYTE_UP</t>
  </si>
  <si>
    <t>8318;11169;10535;5111;898;7913;4521;2237;1058;4751;3838;10376;9493;9918;55355;201299;55247;57650;8570;27085;3833;83990;55215;51512</t>
  </si>
  <si>
    <t>CDC45;WDHD1;RNASEH2A;PCNA;CCNE1;DEK;NUDT1;FEN1;CENPA;NEK2;KPNA2;TUBA1B;AC027237.1;NCAPD2;HJURP;RDM1;NEIL3;CIP2A;KHSRP;MTBP;KIFC1;BRIP1;FANCI;GTSE1</t>
  </si>
  <si>
    <t>http://www.broadinstitute.org/gsea/msigdb/cards/GSE22601_CD4_SINGLE_POSITIVE_VS_CD8_SINGLE_POSITIVE_THYMOCYTE_UP.html</t>
  </si>
  <si>
    <t>GSE5542_IFNA_VS_IFNA_AND_IFNG_TREATED_EPITHELIAL_CELLS_24H_DN</t>
  </si>
  <si>
    <t>10403;983;7272;5984;1063;3838;9493;991;55143;157313;89958;146909;259266;84904;25886;83461;11004;64151;54478;55706;51203;29127;55010;22974</t>
  </si>
  <si>
    <t>NDC80;CDK1;TTK;RFC4;CENPF;KPNA2;AC027237.1;CDC20;CDCA8;CDCA2;SAPCD2;KIF18B;ASPM;ARHGEF39;POC1A;CDCA3;KIF2C;NCAPG;PIMREG;NDC1;NUSAP1;RACGAP1;PARPBP;TPX2</t>
  </si>
  <si>
    <t>http://www.broadinstitute.org/gsea/msigdb/cards/GSE5542_IFNA_VS_IFNA_AND_IFNG_TREATED_EPITHELIAL_CELLS_24H_DN.html</t>
  </si>
  <si>
    <t>7398;22995;7913;7112;5347;1479;9918;151246;387103;90381;221150;220042;259266;25886;55355;23234;23165;80829;9585;83990;81610;55732;11198;23594</t>
  </si>
  <si>
    <t>USP1;CEP152;DEK;TMPO;PLK1;CSTF3;NCAPD2;SGO2;CENPW;TICRR;SKA3;DDIAS;ASPM;POC1A;HJURP;DNAJC9;NUP205;ZFP91;KIF20B;BRIP1;FAM83D;C1orf112;SUPT16H;ORC6</t>
  </si>
  <si>
    <t>8520;9055;7153;898;4172;1786;993;4171;4751;6749;8208;4085;4175;9833;9787;54892;23165;11004;64785;83540;51514;10460</t>
  </si>
  <si>
    <t>HAT1;PRC1;TOP2A;CCNE1;MCM3;DNMT1;CDC25A;MCM2;NEK2;SSRP1;CHAF1B;MAD2L1;MCM6;MELK;DLGAP5;NCAPG2;NUP205;KIF2C;GINS3;NUF2;DTL;TACC3</t>
  </si>
  <si>
    <t>GSE40274_CTRL_VS_FOXP3_AND_XBP1_TRANSDUCED_ACTIVATED_CD4_TCELL_UP</t>
  </si>
  <si>
    <t>9133;899;5902;4288;5557;4171;6749;991;9700;23397;23590;157313;54892;23165;8438;146956;113130;80179;55872;132320;79019;9156</t>
  </si>
  <si>
    <t>CCNB2;CCNF;RANBP1;MKI67;PRIM1;MCM2;SSRP1;CDC20;ESPL1;NCAPH;PDSS1;CDCA2;NCAPG2;NUP205;RAD54L;EME1;CDCA5;MYO19;PBK;SCLT1;CENPM;EXO1</t>
  </si>
  <si>
    <t>http://www.broadinstitute.org/gsea/msigdb/cards/GSE40274_CTRL_VS_FOXP3_AND_XBP1_TRANSDUCED_ACTIVATED_CD4_TCELL_UP.html</t>
  </si>
  <si>
    <t>GSE12963_ENV_NEF_VS_ENV_NEF_AND_VPR_DEFICIENT_HIV1_INF_CD4_TCELL_DN</t>
  </si>
  <si>
    <t>10403;3161;6240;3148;7272;4173;4174;5902;3832;641;23649;151246;157570;63979;79801;2491;8438;990;1894;54443;9156</t>
  </si>
  <si>
    <t>NDC80;HMMR;RRM1;HMGB2;TTK;MCM4;MCM5;RANBP1;KIF11;BLM;POLA2;SGO2;ESCO2;FIGNL1;SHCBP1;CENPI;RAD54L;CDC6;ECT2;ANLN;EXO1</t>
  </si>
  <si>
    <t>http://www.broadinstitute.org/gsea/msigdb/cards/GSE12963_ENV_NEF_VS_ENV_NEF_AND_VPR_DEFICIENT_HIV1_INF_CD4_TCELL_DN.html</t>
  </si>
  <si>
    <t>8520;699;3015;5983;4288;5557;3832;5888;4085;9837;23397;9319;55143;63979;147841;55771;79075;64946;57405;56992;29893;10460</t>
  </si>
  <si>
    <t>HAT1;BUB1;H2AFZ;RFC3;MKI67;PRIM1;KIF11;RAD51;MAD2L1;GINS1;NCAPH;TRIP13;CDCA8;FIGNL1;SPC24;PRR11;DSCC1;CENPH;SPC25;KIF15;PSMC3IP;TACC3</t>
  </si>
  <si>
    <t>GSE32986_UNSTIM_VS_GMCSF_AND_CURDLAN_HIGHDOSE_STIM_DC_UP</t>
  </si>
  <si>
    <t>79733;9401;24137;10592;7374;1503;5985;2956;146909;55345;11073;23165;144455;146956;83461;9088;84790;10293;83540;79968;79019;26271;25788</t>
  </si>
  <si>
    <t>E2F8;RECQL4;KIF4A;SMC2;UNG;CTPS1;RFC5;MSH6;KIF18B;ZGRF1;TOPBP1;NUP205;E2F7;EME1;CDCA3;PKMYT1;TUBA1C;TRAIP;NUF2;WDR76;CENPM;FBXO5;RAD54B</t>
  </si>
  <si>
    <t>http://www.broadinstitute.org/gsea/msigdb/cards/GSE32986_UNSTIM_VS_GMCSF_AND_CURDLAN_HIGHDOSE_STIM_DC_UP.html</t>
  </si>
  <si>
    <t>8317;10733;1871;701;86;7298;983;1503;6240;4173;4174;2237;5985;5557;4171;991;8683;9837;55388;113130;9212;55055;51659</t>
  </si>
  <si>
    <t>CDC7;PLK4;E2F3;BUB1B;ACTL6A;TYMS;CDK1;CTPS1;RRM1;MCM4;MCM5;FEN1;RFC5;PRIM1;MCM2;CDC20;SRSF9;GINS1;MCM10;CDCA5;AURKB;ZWILCH;GINS2</t>
  </si>
  <si>
    <t>GSE22886_NAIVE_CD4_TCELL_VS_12H_ACT_TH1_DN</t>
  </si>
  <si>
    <t>5717;8317;9055;86;7298;5111;891;898;4176;5984;2237;5983;5902;1763;5888;991;10036;8208;4085;1994;8570;29127;11198</t>
  </si>
  <si>
    <t>PSMD11;CDC7;PRC1;ACTL6A;TYMS;PCNA;CCNB1;CCNE1;MCM7;RFC4;FEN1;RFC3;RANBP1;DNA2;RAD51;CDC20;CHAF1A;CHAF1B;MAD2L1;ELAVL1;KHSRP;RACGAP1;SUPT16H</t>
  </si>
  <si>
    <t>http://www.broadinstitute.org/gsea/msigdb/cards/GSE22886_NAIVE_CD4_TCELL_VS_12H_ACT_TH1_DN.html</t>
  </si>
  <si>
    <t>6790;24137;7083;3015;10797;890;6240;6241;7112;1058;4751;5347;4085;9768;23234;8438;220134;55872;84296;54478;79172;55723;29893</t>
  </si>
  <si>
    <t>AURKA;KIF4A;TK1;H2AFZ;MTHFD2;CCNA2;RRM1;RRM2;TMPO;CENPA;NEK2;PLK1;MAD2L1;PCLAF;DNAJC9;RAD54L;SKA1;PBK;GINS4;PIMREG;CENPO;ASF1B;PSMC3IP</t>
  </si>
  <si>
    <t>8520;86;5984;4521;672;2237;899;5557;1763;675;9837;6469;54821;151246;63979;25886;10635;990;64785;79075;64946;79968;23594</t>
  </si>
  <si>
    <t>HAT1;ACTL6A;RFC4;NUDT1;BRCA1;FEN1;CCNF;PRIM1;DNA2;BRCA2;GINS1;SHH;ERCC6L;SGO2;FIGNL1;POC1A;RAD51AP1;CDC6;GINS3;DSCC1;CENPH;WDR76;ORC6</t>
  </si>
  <si>
    <t>http://www.broadinstitute.org/gsea/msigdb/cards/GSE27786_NEUTROPHIL_VS_MONO_MAC_DN.html</t>
  </si>
  <si>
    <t>1871;1471;3015;200933;4605;1841;4174;5984;7112;4670;2956;2967;9837;54892;55872;79172;84057;64946;63967;55646;9156;51659;23594</t>
  </si>
  <si>
    <t>E2F3;CST3;H2AFZ;FBXO45;MYBL2;DTYMK;MCM5;RFC4;TMPO;HNRNPM;MSH6;GTF2H3;GINS1;NCAPG2;PBK;CENPO;MND1;CENPH;CLSPN;LYAR;EXO1;GINS2;ORC6</t>
  </si>
  <si>
    <t>6790;5496;332;5111;4001;5933;993;5983;4436;9735;5347;641;1434;2305;79682;54892;9585;10615;84296;55055;54069;22974;8914</t>
  </si>
  <si>
    <t>AURKA;PPM1G;BIRC5;PCNA;LMNB1;RBL1;CDC25A;RFC3;MSH2;KNTC1;PLK1;BLM;CSE1L;FOXM1;CENPU;NCAPG2;KIF20B;SPAG5;GINS4;ZWILCH;MIS18A;TPX2;TIMELESS</t>
  </si>
  <si>
    <t>1111;6790;7516;701;9134;7283;6240;10105;4436;5902;4751;641;5888;8208;79676;23234;10615;81539;55055;3070;54069;27339;65003</t>
  </si>
  <si>
    <t>CHEK1;AURKA;XRCC2;BUB1B;CCNE2;TUBG1;RRM1;PPIF;MSH2;RANBP1;NEK2;BLM;RAD51;CHAF1B;OGFOD2;DNAJC9;SPAG5;SLC38A1;ZWILCH;HELLS;MIS18A;PRPF19;MRPL11</t>
  </si>
  <si>
    <t>6790;10797;3068;10657;2305;9833;9837;6491;1994;1033;55143;343099;286826;157313;89958;150468;57082;81930;55789;55872;10615;84057;64946</t>
  </si>
  <si>
    <t>AURKA;MTHFD2;HDGF;KHDRBS1;FOXM1;MELK;GINS1;STIL;ELAVL1;CDKN3;CDCA8;CCDC18;LIN9;CDCA2;SAPCD2;CKAP2L;KNL1;KIF18A;DEPDC1B;PBK;SPAG5;MND1;CENPH</t>
  </si>
  <si>
    <t>9055;699;3161;7083;6240;4172;5933;7913;3838;9787;151246;729533;221150;146956;10635;220134;84930;84296;83540;64946;3070;81624;90417</t>
  </si>
  <si>
    <t>PRC1;BUB1;HMMR;TK1;RRM1;MCM3;RBL1;DEK;KPNA2;DLGAP5;SGO2;FAM72A;SKA3;EME1;RAD51AP1;SKA1;MASTL;GINS4;NUF2;CENPH;HELLS;DIAPH3;KNSTRN</t>
  </si>
  <si>
    <t>6790;7398;9133;5984;7112;675;641;1163;6415;4085;2146;27338;55143;387103;90381;146956;79915;83990;55038;54443;55010;55646;26271</t>
  </si>
  <si>
    <t>AURKA;USP1;CCNB2;RFC4;TMPO;BRCA2;BLM;CKS1B;SELENOW;MAD2L1;EZH2;UBE2S;CDCA8;CENPW;TICRR;EME1;ATAD5;BRIP1;CDCA4;ANLN;PARPBP;LYAR;FBXO5</t>
  </si>
  <si>
    <t>1111;6581;3015;4001;6241;9493;9700;23397;9319;55143;157313;55388;150468;113130;55839;10615;29128;83461;79098;55732;79019;8914;9156</t>
  </si>
  <si>
    <t>CHEK1;SLC22A3;H2AFZ;LMNB1;RRM2;AC027237.1;ESPL1;NCAPH;TRIP13;CDCA8;CDCA2;MCM10;CKAP2L;CDCA5;CENPN;SPAG5;UHRF1;CDCA3;C1orf116;C1orf112;CENPM;TIMELESS;EXO1</t>
  </si>
  <si>
    <t>GSE21670_IL6_VS_TGFB_AND_IL6_TREATED_CD4_TCELL_DN</t>
  </si>
  <si>
    <t>11065;10403;701;4172;4173;5558;8683;4175;9918;9319;27338;348654;54821;10635;55771;10615;64151;1894;79968;51512;51514;90417;10460</t>
  </si>
  <si>
    <t>UBE2C;NDC80;BUB1B;MCM3;MCM4;PRIM2;SRSF9;MCM6;NCAPD2;TRIP13;UBE2S;GEN1;ERCC6L;RAD51AP1;PRR11;SPAG5;NCAPG;ECT2;WDR76;GTSE1;DTL;KNSTRN;TACC3</t>
  </si>
  <si>
    <t>http://www.broadinstitute.org/gsea/msigdb/cards/GSE21670_IL6_VS_TGFB_AND_IL6_TREATED_CD4_TCELL_DN.html</t>
  </si>
  <si>
    <t>11065;2175;9133;9232;7374;7272;4173;4174;4436;1063;9735;1763;675;1062;1033;157570;157313;89958;150468;8438;54478;63967;57405</t>
  </si>
  <si>
    <t>UBE2C;FANCA;CCNB2;PTTG1;UNG;TTK;MCM4;MCM5;MSH2;CENPF;KNTC1;DNA2;BRCA2;CENPE;CDKN3;ESCO2;CDCA2;SAPCD2;CKAP2L;RAD54L;PIMREG;CLSPN;SPC25</t>
  </si>
  <si>
    <t>GSE22432_CONVENTIONAL_CDC_VS_PLASMACYTOID_PDC_UP</t>
  </si>
  <si>
    <t>1111;9055;3015;6929;1503;4172;790;4173;4174;4436;5902;5558;9735;9493;23076;84798;11073;8438;80179;9585;79915;81624;23594</t>
  </si>
  <si>
    <t>CHEK1;PRC1;H2AFZ;TCF3;CTPS1;MCM3;CAD;MCM4;MCM5;MSH2;RANBP1;PRIM2;KNTC1;AC027237.1;RRP1B;C19orf48;TOPBP1;RAD54L;MYO19;KIF20B;ATAD5;DIAPH3;ORC6</t>
  </si>
  <si>
    <t>http://www.broadinstitute.org/gsea/msigdb/cards/GSE22432_CONVENTIONAL_CDC_VS_PLASMACYTOID_PDC_UP.html</t>
  </si>
  <si>
    <t>6790;8318;203068;4605;6929;6240;1017;1786;995;2237;5557;5558;5427;1163;6415;23397;8438;10635;9212;3833;29127;6941;10460</t>
  </si>
  <si>
    <t>AURKA;CDC45;TUBB;MYBL2;TCF3;RRM1;CDK2;DNMT1;CDC25C;FEN1;PRIM1;PRIM2;POLE2;CKS1B;SELENOW;NCAPH;RAD54L;RAD51AP1;AURKB;KIFC1;RACGAP1;TCF19;TACC3</t>
  </si>
  <si>
    <t>10212;8317;332;8318;10592;4001;5933;4174;672;4171;5427;1163;4085;27338;253714;79801;10635;990;55038;79968;79019;55723;51514</t>
  </si>
  <si>
    <t>DDX39A;CDC7;BIRC5;CDC45;SMC2;LMNB1;RBL1;MCM5;BRCA1;MCM2;POLE2;CKS1B;MAD2L1;UBE2S;MMS22L;SHCBP1;RAD51AP1;CDC6;CDCA4;WDR76;CENPM;ASF1B;DTL</t>
  </si>
  <si>
    <t>11065;1111;2189;7083;983;10797;890;7272;5984;4521;1063;8833;3832;1434;5427;1163;9493;5426;2305;9837;23397;9319;11004</t>
  </si>
  <si>
    <t>UBE2C;CHEK1;FANCG;TK1;CDK1;MTHFD2;CCNA2;TTK;RFC4;NUDT1;CENPF;GMPS;KIF11;CSE1L;POLE2;CKS1B;AC027237.1;POLE;FOXM1;GINS1;NCAPH;TRIP13;KIF2C</t>
  </si>
  <si>
    <t>699;203068;7153;5111;4001;7272;4521;5985;4288;5557;4751;641;9493;23397;9768;2146;163786;84991;990;64105;29127;55723</t>
  </si>
  <si>
    <t>BUB1;TUBB;TOP2A;PCNA;LMNB1;TTK;NUDT1;RFC5;MKI67;PRIM1;NEK2;BLM;AC027237.1;NCAPH;PCLAF;EZH2;SASS6;RBM17;CDC6;CENPK;RACGAP1;ASF1B</t>
  </si>
  <si>
    <t>23306;2175;890;3148;10971;4174;23310;641;84823;10657;8208;4085;6502;115004;79801;144455;990;79968;79019;55723;9156;23594</t>
  </si>
  <si>
    <t>NEMP1;FANCA;CCNA2;HMGB2;YWHAQ;MCM5;NCAPD3;BLM;LMNB2;KHDRBS1;CHAF1B;MAD2L1;SKP2;CGAS;SHCBP1;E2F7;CDC6;WDR76;CENPM;ASF1B;EXO1;ORC6</t>
  </si>
  <si>
    <t>10403;6790;9055;9133;10112;9232;7083;203068;6241;5983;641;1163;991;9833;3837;9768;259266;11004;51203;3070;10051;22974</t>
  </si>
  <si>
    <t>NDC80;AURKA;PRC1;CCNB2;KIF20A;PTTG1;TK1;TUBB;RRM2;RFC3;BLM;CKS1B;CDC20;MELK;KPNB1;PCLAF;ASPM;KIF2C;NUSAP1;HELLS;SMC4;TPX2</t>
  </si>
  <si>
    <t>7283;790;5984;5982;7913;2237;5902;641;4175;9837;387103;23590;113115;29128;990;81620;64946;79000;3070;79019;8914;51659</t>
  </si>
  <si>
    <t>TUBG1;CAD;RFC4;RFC2;DEK;FEN1;RANBP1;BLM;MCM6;GINS1;CENPW;PDSS1;MTFR2;UHRF1;CDC6;CDT1;CENPH;AUNIP;HELLS;CENPM;TIMELESS;GINS2</t>
  </si>
  <si>
    <t>6790;701;3161;10721;9133;24137;891;890;6241;5982;4288;1058;5427;1062;4998;79801;10635;9088;55055;3619;55723;22974</t>
  </si>
  <si>
    <t>AURKA;BUB1B;HMMR;POLQ;CCNB2;KIF4A;CCNB1;CCNA2;RRM2;RFC2;MKI67;CENPA;POLE2;CENPE;ORC1;SHCBP1;RAD51AP1;PKMYT1;ZWILCH;INCENP;ASF1B;TPX2</t>
  </si>
  <si>
    <t>10733;8318;9134;3015;4521;672;1058;3838;2956;3832;9918;343099;79866;220042;84904;55247;93594;990;83990;55723;22974;10460</t>
  </si>
  <si>
    <t>PLK4;CDC45;CCNE2;H2AFZ;NUDT1;BRCA1;CENPA;KPNA2;MSH6;KIF11;NCAPD2;CCDC18;BORA;DDIAS;ARHGEF39;NEIL3;TBC1D31;CDC6;BRIP1;ASF1B;TPX2;TACC3</t>
  </si>
  <si>
    <t>GSE2585_CD80_HIGH_VS_LOW_AIRE_KO_MTEC_DN</t>
  </si>
  <si>
    <t>23306;6790;699;6581;9401;7083;4605;7153;672;4751;5888;1870;23397;4796;55872;10615;64946;1894;63967;22974;8914;9156</t>
  </si>
  <si>
    <t>NEMP1;AURKA;BUB1;SLC22A3;RECQL4;TK1;MYBL2;TOP2A;BRCA1;NEK2;RAD51;E2F2;NCAPH;TONSL;PBK;SPAG5;CENPH;ECT2;CLSPN;TPX2;TIMELESS;EXO1</t>
  </si>
  <si>
    <t>http://www.broadinstitute.org/gsea/msigdb/cards/GSE2585_CD80_HIGH_VS_LOW_AIRE_KO_MTEC_DN.html</t>
  </si>
  <si>
    <t>GSE5503_MLN_DC_VS_PLN_DC_ACTIVATED_ALLOGENIC_TCELL_UP</t>
  </si>
  <si>
    <t>701;890;9493;151246;157570;55635;157313;128239;146909;55247;55789;146956;220134;93594;84930;11004;54478;55706;29127;22974;90417;25788</t>
  </si>
  <si>
    <t>BUB1B;CCNA2;AC027237.1;SGO2;ESCO2;DEPDC1;CDCA2;IQGAP3;KIF18B;NEIL3;DEPDC1B;EME1;SKA1;TBC1D31;MASTL;KIF2C;PIMREG;NDC1;RACGAP1;TPX2;KNSTRN;RAD54B</t>
  </si>
  <si>
    <t>http://www.broadinstitute.org/gsea/msigdb/cards/GSE5503_MLN_DC_VS_PLN_DC_ACTIVATED_ALLOGENIC_TCELL_UP.html</t>
  </si>
  <si>
    <t>9133;24137;10592;3015;890;10105;5557;1062;151648;128239;146909;220042;150468;25886;57082;23165;144455;83461;580;79075;10051;90417</t>
  </si>
  <si>
    <t>CCNB2;KIF4A;SMC2;H2AFZ;CCNA2;PPIF;PRIM1;CENPE;SGO1;IQGAP3;KIF18B;DDIAS;CKAP2L;POC1A;KNL1;NUP205;E2F7;CDCA3;BARD1;DSCC1;SMC4;KNSTRN</t>
  </si>
  <si>
    <t>10403;11169;5111;7283;790;995;5557;8208;6502;4175;54821;151648;157313;79866;55345;83903;55872;79075;3619;23594;25788;10460</t>
  </si>
  <si>
    <t>NDC80;WDHD1;PCNA;TUBG1;CAD;CDC25C;PRIM1;CHAF1B;SKP2;MCM6;ERCC6L;SGO1;CDCA2;BORA;ZGRF1;HASPIN;PBK;DSCC1;INCENP;ORC6;RAD54B;TACC3</t>
  </si>
  <si>
    <t>GSE12963_UNINF_VS_ENV_AND_NEF_DEFICIENT_HIV1_INF_CD4_TCELL_DN</t>
  </si>
  <si>
    <t>10733;3161;7398;10592;672;3838;1434;63979;57082;9125;2491;8438;580;990;79075;1894;63967;54443;10926</t>
  </si>
  <si>
    <t>PLK4;HMMR;USP1;SMC2;BRCA1;KPNA2;CSE1L;FIGNL1;KNL1;CNOT9;CENPI;RAD54L;BARD1;CDC6;DSCC1;ECT2;CLSPN;ANLN;DBF4</t>
  </si>
  <si>
    <t>http://www.broadinstitute.org/gsea/msigdb/cards/GSE12963_UNINF_VS_ENV_AND_NEF_DEFICIENT_HIV1_INF_CD4_TCELL_DN.html</t>
  </si>
  <si>
    <t>GSE37532_VISCERAL_ADIPOSE_TISSUE_VS_LN_DERIVED_PPARG_KO_TCONV_CD4_TCELL_UP</t>
  </si>
  <si>
    <t>1111;9055;701;7153;1503;6240;1017;4172;4176;5983;5427;6749;4085;4175;9787;6491;23165;3066;84296;57405</t>
  </si>
  <si>
    <t>CHEK1;PRC1;BUB1B;TOP2A;CTPS1;RRM1;CDK2;MCM3;MCM7;RFC3;POLE2;SSRP1;MAD2L1;MCM6;DLGAP5;STIL;NUP205;HDAC2;GINS4;SPC25</t>
  </si>
  <si>
    <t>http://www.broadinstitute.org/gsea/msigdb/cards/GSE37532_VISCERAL_ADIPOSE_TISSUE_VS_LN_DERIVED_PPARG_KO_TCONV_CD4_TCELL_UP.html</t>
  </si>
  <si>
    <t>1111;5496;6839;10797;1503;4173;1163;5426;9319;2146;1033;348654;55388;147841;57082;23234;11073;84296;63967;51512</t>
  </si>
  <si>
    <t>CHEK1;PPM1G;SUV39H1;MTHFD2;CTPS1;MCM4;CKS1B;POLE;TRIP13;EZH2;CDKN3;GEN1;MCM10;SPC24;KNL1;DNAJC9;TOPBP1;GINS4;CLSPN;GTSE1</t>
  </si>
  <si>
    <t>GSE17974_0H_VS_72H_IN_VITRO_ACT_CD4_TCELL_DN</t>
  </si>
  <si>
    <t>23306;11169;9401;7083;890;1841;1786;993;4174;5982;2237;899;1063;641;8208;387103;195828;89958;221150;23234;9156</t>
  </si>
  <si>
    <t>NEMP1;WDHD1;RECQL4;TK1;CCNA2;DTYMK;DNMT1;CDC25A;MCM5;RFC2;FEN1;CCNF;CENPF;BLM;CHAF1B;CENPW;ZNF367;SAPCD2;SKA3;DNAJC9;EXO1</t>
  </si>
  <si>
    <t>http://www.broadinstitute.org/gsea/msigdb/cards/GSE17974_0H_VS_72H_IN_VITRO_ACT_CD4_TCELL_DN.html</t>
  </si>
  <si>
    <t>GSE27786_LIN_NEG_VS_NKTCELL_UP</t>
  </si>
  <si>
    <t>6790;5496;6839;9055;3161;9134;1017;993;9735;3068;9768;1994;286826;157313;54892;150468;9212;79000;55732;1789;23594</t>
  </si>
  <si>
    <t>AURKA;PPM1G;SUV39H1;PRC1;HMMR;CCNE2;CDK2;CDC25A;KNTC1;HDGF;PCLAF;ELAVL1;LIN9;CDCA2;NCAPG2;CKAP2L;AURKB;AUNIP;C1orf112;DNMT3B;ORC6</t>
  </si>
  <si>
    <t>http://www.broadinstitute.org/gsea/msigdb/cards/GSE27786_LIN_NEG_VS_NKTCELL_UP.html</t>
  </si>
  <si>
    <t>GSE31082_DP_VS_CD4_SP_THYMOCYTE_UP</t>
  </si>
  <si>
    <t>1471;203068;3015;7283;1841;3148;5984;9837;54821;157313;84722;220042;25886;26586;220134;29128;81539;3070;10051;55010;9156</t>
  </si>
  <si>
    <t>CST3;TUBB;H2AFZ;TUBG1;DTYMK;HMGB2;RFC4;GINS1;ERCC6L;CDCA2;PSRC1;DDIAS;POC1A;CKAP2;SKA1;UHRF1;SLC38A1;HELLS;SMC4;PARPBP;EXO1</t>
  </si>
  <si>
    <t>http://www.broadinstitute.org/gsea/msigdb/cards/GSE31082_DP_VS_CD4_SP_THYMOCYTE_UP.html</t>
  </si>
  <si>
    <t>5717;8317;10733;1871;3161;11169;7374;993;7913;1062;6502;54821;343099;79866;195828;7444;2491;113130;375444;79915;1789</t>
  </si>
  <si>
    <t>PSMD11;CDC7;PLK4;E2F3;HMMR;WDHD1;UNG;CDC25A;DEK;CENPE;SKP2;ERCC6L;CCDC18;BORA;ZNF367;VRK2;CENPI;CDCA5;C5orf34;ATAD5;DNMT3B</t>
  </si>
  <si>
    <t>GSE5542_IFNG_VS_IFNA_TREATED_EPITHELIAL_CELLS_24H_UP</t>
  </si>
  <si>
    <t>8317;5496;7398;22995;4605;4172;5983;899;1479;1994;221150;220042;84904;23234;23165;93594;80829;132320;10293;79000;51512</t>
  </si>
  <si>
    <t>CDC7;PPM1G;USP1;CEP152;MYBL2;MCM3;RFC3;CCNF;CSTF3;ELAVL1;SKA3;DDIAS;ARHGEF39;DNAJC9;NUP205;TBC1D31;ZFP91;SCLT1;TRAIP;AUNIP;GTSE1</t>
  </si>
  <si>
    <t>http://www.broadinstitute.org/gsea/msigdb/cards/GSE5542_IFNG_VS_IFNA_TREATED_EPITHELIAL_CELLS_24H_UP.html</t>
  </si>
  <si>
    <t>GSE10273_HIGH_IL7_VS_HIGH_IL7_AND_IRF4_IN_IRF4_8_NULL_PRE_BCELL_UP</t>
  </si>
  <si>
    <t>9055;8318;6929;1503;5982;9775;899;675;3068;4751;1434;1869;8208;9837;6469;1033;55771;79915;580;81624;10926</t>
  </si>
  <si>
    <t>PRC1;CDC45;TCF3;CTPS1;RFC2;EIF4A3;CCNF;BRCA2;HDGF;NEK2;CSE1L;E2F1;CHAF1B;GINS1;SHH;CDKN3;PRR11;ATAD5;BARD1;DIAPH3;DBF4</t>
  </si>
  <si>
    <t>http://www.broadinstitute.org/gsea/msigdb/cards/GSE10273_HIGH_IL7_VS_HIGH_IL7_AND_IRF4_IN_IRF4_8_NULL_PRE_BCELL_UP.html</t>
  </si>
  <si>
    <t>1111;699;7153;1058;1063;1062;23397;9319;2146;55165;253714;54892;2187;79801;220134;9212;83461;83540;57405;10926;8914</t>
  </si>
  <si>
    <t>CHEK1;BUB1;TOP2A;CENPA;CENPF;CENPE;NCAPH;TRIP13;EZH2;CEP55;MMS22L;NCAPG2;FANCB;SHCBP1;SKA1;AURKB;CDCA3;NUF2;SPC25;DBF4;TIMELESS</t>
  </si>
  <si>
    <t>GSE21670_STAT3_KO_VS_WT_CD4_TCELL_TGFB_TREATED_UP</t>
  </si>
  <si>
    <t>5717;1871;7516;7153;7374;10797;4176;9735;5426;23518;6491;55388;150468;144455;990;64105;79172;10293;57405;1789;25788</t>
  </si>
  <si>
    <t>PSMD11;E2F3;XRCC2;TOP2A;UNG;MTHFD2;MCM7;KNTC1;POLE;R3HDM1;STIL;MCM10;CKAP2L;E2F7;CDC6;CENPK;CENPO;TRAIP;SPC25;DNMT3B;RAD54B</t>
  </si>
  <si>
    <t>http://www.broadinstitute.org/gsea/msigdb/cards/GSE21670_STAT3_KO_VS_WT_CD4_TCELL_TGFB_TREATED_UP.html</t>
  </si>
  <si>
    <t>701;9232;6929;6241;4288;1062;6502;23397;55143;729533;89958;55355;201299;55839;55872;79172;55038;55723;22974;90417;11198</t>
  </si>
  <si>
    <t>BUB1B;PTTG1;TCF3;RRM2;MKI67;CENPE;SKP2;NCAPH;CDCA8;FAM72A;SAPCD2;HJURP;RDM1;CENPN;PBK;CENPO;CDCA4;ASF1B;TPX2;KNSTRN;SUPT16H</t>
  </si>
  <si>
    <t>332;890;6240;1786;7913;4171;4751;1163;6733;5888;10024;10036;6502;9928;57082;11073;580;81620;55723;26271;25788</t>
  </si>
  <si>
    <t>BIRC5;CCNA2;RRM1;DNMT1;DEK;MCM2;NEK2;CKS1B;SRPK2;RAD51;TROAP;CHAF1A;SKP2;KIF14;KNL1;TOPBP1;BARD1;CDT1;ASF1B;FBXO5;RAD54B</t>
  </si>
  <si>
    <t>79733;10212;10403;9401;890;4172;3148;2237;4288;1058;1062;8208;9928;6491;151648;84930;10615;580;2177;29127;3619</t>
  </si>
  <si>
    <t>E2F8;DDX39A;NDC80;RECQL4;CCNA2;MCM3;HMGB2;FEN1;MKI67;CENPA;CENPE;CHAF1B;KIF14;STIL;SGO1;MASTL;SPAG5;BARD1;FANCD2;RACGAP1;INCENP</t>
  </si>
  <si>
    <t>79733;10403;2189;701;1515;8318;9133;10112;9232;7083;7272;7112;4288;5427;1033;10635;93594;10615;64151;55215;25788</t>
  </si>
  <si>
    <t>E2F8;NDC80;FANCG;BUB1B;CTSV;CDC45;CCNB2;KIF20A;PTTG1;TK1;TTK;TMPO;MKI67;POLE2;CDKN3;RAD51AP1;TBC1D31;SPAG5;NCAPG;FANCI;RAD54B</t>
  </si>
  <si>
    <t>86;9134;6240;995;641;1163;6502;23518;79866;63979;29028;162681;147841;3066;64105;79172;79075;29089;55732;54069;29893</t>
  </si>
  <si>
    <t>ACTL6A;CCNE2;RRM1;CDC25C;BLM;CKS1B;SKP2;R3HDM1;BORA;FIGNL1;ATAD2;C18orf54;SPC24;HDAC2;CENPK;CENPO;DSCC1;UBE2T;C1orf112;MIS18A;PSMC3IP</t>
  </si>
  <si>
    <t>GSE37532_TREG_VS_TCONV_CD4_TCELL_FROM_VISCERAL_ADIPOSE_TISSUE_DN</t>
  </si>
  <si>
    <t>701;3161;7153;6240;5983;7112;5557;3832;5888;4085;9787;6491;9824;23165;3066;55872;64151;3619;54443</t>
  </si>
  <si>
    <t>BUB1B;HMMR;TOP2A;RRM1;RFC3;TMPO;PRIM1;KIF11;RAD51;MAD2L1;DLGAP5;STIL;ARHGAP11A;NUP205;HDAC2;PBK;NCAPG;INCENP;ANLN</t>
  </si>
  <si>
    <t>http://www.broadinstitute.org/gsea/msigdb/cards/GSE37532_TREG_VS_TCONV_CD4_TCELL_FROM_VISCERAL_ADIPOSE_TISSUE_DN.html</t>
  </si>
  <si>
    <t>2175;6839;200933;10105;5902;5557;5347;4998;63979;55388;219988;8570;10635;55839;55872;79172;79902;51514;1789;65003</t>
  </si>
  <si>
    <t>FANCA;SUV39H1;FBXO45;PPIF;RANBP1;PRIM1;PLK1;ORC1;FIGNL1;MCM10;PATL1;KHSRP;RAD51AP1;CENPN;PBK;CENPO;NUP85;DTL;DNMT3B;MRPL11</t>
  </si>
  <si>
    <t>GSE14308_TH2_VS_TH17_UP</t>
  </si>
  <si>
    <t>79733;22995;10592;2237;1063;4171;1062;9700;6491;54821;157313;89958;146909;220042;259266;115004;55771;990;10293;81624</t>
  </si>
  <si>
    <t>E2F8;CEP152;SMC2;FEN1;CENPF;MCM2;CENPE;ESPL1;STIL;ERCC6L;CDCA2;SAPCD2;KIF18B;DDIAS;ASPM;CGAS;PRR11;CDC6;TRAIP;DIAPH3</t>
  </si>
  <si>
    <t>http://www.broadinstitute.org/gsea/msigdb/cards/GSE14308_TH2_VS_TH17_UP.html</t>
  </si>
  <si>
    <t>GSE27786_LIN_NEG_VS_CD8_TCELL_UP</t>
  </si>
  <si>
    <t>5496;6839;11339;11130;86;1017;993;7272;4174;899;5426;157313;79682;90381;10635;64105;55706;55646;1789;10460</t>
  </si>
  <si>
    <t>PPM1G;SUV39H1;OIP5;ZWINT;ACTL6A;CDK2;CDC25A;TTK;MCM5;CCNF;POLE;CDCA2;CENPU;TICRR;RAD51AP1;CENPK;NDC1;LYAR;DNMT3B;TACC3</t>
  </si>
  <si>
    <t>http://www.broadinstitute.org/gsea/msigdb/cards/GSE27786_LIN_NEG_VS_CD8_TCELL_UP.html</t>
  </si>
  <si>
    <t>GSE3982_EOSINOPHIL_VS_TH2_DN</t>
  </si>
  <si>
    <t>2189;332;8318;9232;86;203068;1503;890;1786;790;5347;1434;1994;1033;146909;23165;9585;64151;51203;79000</t>
  </si>
  <si>
    <t>FANCG;BIRC5;CDC45;PTTG1;ACTL6A;TUBB;CTPS1;CCNA2;DNMT1;CAD;PLK1;CSE1L;ELAVL1;CDKN3;KIF18B;NUP205;KIF20B;NCAPG;NUSAP1;AUNIP</t>
  </si>
  <si>
    <t>http://www.broadinstitute.org/gsea/msigdb/cards/GSE3982_EOSINOPHIL_VS_TH2_DN.html</t>
  </si>
  <si>
    <t>332;7516;9055;3161;7083;203068;6240;9735;1434;9493;4998;54892;9088;84296;55038;51203;55055;63967;55723;8914</t>
  </si>
  <si>
    <t>BIRC5;XRCC2;PRC1;HMMR;TK1;TUBB;RRM1;KNTC1;CSE1L;AC027237.1;ORC1;NCAPG2;PKMYT1;GINS4;CDCA4;NUSAP1;ZWILCH;CLSPN;ASF1B;TIMELESS</t>
  </si>
  <si>
    <t>GSE2770_IL12_VS_IL4_TREATED_ACT_CD4_TCELL_48H_UP</t>
  </si>
  <si>
    <t>10403;6790;11339;8318;9401;11130;3015;995;5985;1870;79682;220042;83903;26586;10635;93594;55771;3833;54443;22974</t>
  </si>
  <si>
    <t>NDC80;AURKA;OIP5;CDC45;RECQL4;ZWINT;H2AFZ;CDC25C;RFC5;E2F2;CENPU;DDIAS;HASPIN;CKAP2;RAD51AP1;TBC1D31;PRR11;KIFC1;ANLN;TPX2</t>
  </si>
  <si>
    <t>http://www.broadinstitute.org/gsea/msigdb/cards/GSE2770_IL12_VS_IL4_TREATED_ACT_CD4_TCELL_48H_UP.html</t>
  </si>
  <si>
    <t>GSE4142_NAIVE_VS_GC_BCELL_DN</t>
  </si>
  <si>
    <t>10403;1503;898;790;4174;5983;5902;113115;63979;57647;55789;113130;83540;81539;81624;55646;27339;9156;65003;10460</t>
  </si>
  <si>
    <t>NDC80;CTPS1;CCNE1;CAD;MCM5;RFC3;RANBP1;MTFR2;FIGNL1;DHX37;DEPDC1B;CDCA5;NUF2;SLC38A1;DIAPH3;LYAR;PRPF19;EXO1;MRPL11;TACC3</t>
  </si>
  <si>
    <t>http://www.broadinstitute.org/gsea/msigdb/cards/GSE4142_NAIVE_VS_GC_BCELL_DN.html</t>
  </si>
  <si>
    <t>GSE5503_LIVER_DC_VS_MLN_DC_ACTIVATED_ALLOGENIC_TCELL_UP</t>
  </si>
  <si>
    <t>7516;699;3015;4001;1063;3068;4751;1869;9493;84823;8208;54821;57650;26586;79915;64151;10293;29127;3619;23594</t>
  </si>
  <si>
    <t>XRCC2;BUB1;H2AFZ;LMNB1;CENPF;HDGF;NEK2;E2F1;AC027237.1;LMNB2;CHAF1B;ERCC6L;CIP2A;CKAP2;ATAD5;NCAPG;TRAIP;RACGAP1;INCENP;ORC6</t>
  </si>
  <si>
    <t>http://www.broadinstitute.org/gsea/msigdb/cards/GSE5503_LIVER_DC_VS_MLN_DC_ACTIVATED_ALLOGENIC_TCELL_UP.html</t>
  </si>
  <si>
    <t>11065;3161;983;6929;1058;3832;1062;9918;9787;729533;84722;259266;91687;220134;11004;64151;51203;81624;26271;10460</t>
  </si>
  <si>
    <t>UBE2C;HMMR;CDK1;TCF3;CENPA;KIF11;CENPE;NCAPD2;DLGAP5;FAM72A;PSRC1;ASPM;CENPL;SKA1;KIF2C;NCAPG;NUSAP1;DIAPH3;FBXO5;TACC3</t>
  </si>
  <si>
    <t>11065;332;699;3161;9133;7083;983;3148;6241;4288;157570;387103;79866;54892;147841;79801;2491;83461;54443;22974</t>
  </si>
  <si>
    <t>UBE2C;BIRC5;BUB1;HMMR;CCNB2;TK1;CDK1;HMGB2;RRM2;MKI67;ESCO2;CENPW;BORA;NCAPG2;SPC24;SHCBP1;CENPI;CDCA3;ANLN;TPX2</t>
  </si>
  <si>
    <t>GSE19923_E2A_KO_VS_E2A_AND_HEB_KO_DP_THYMOCYTE_UP</t>
  </si>
  <si>
    <t>9055;11130;203068;5933;6241;4176;5982;1058;5558;4171;3832;5347;55143;9212;29128;990;81620;55723;9156;23594</t>
  </si>
  <si>
    <t>PRC1;ZWINT;TUBB;RBL1;RRM2;MCM7;RFC2;CENPA;PRIM2;MCM2;KIF11;PLK1;CDCA8;AURKB;UHRF1;CDC6;CDT1;ASF1B;EXO1;ORC6</t>
  </si>
  <si>
    <t>http://www.broadinstitute.org/gsea/msigdb/cards/GSE19923_E2A_KO_VS_E2A_AND_HEB_KO_DP_THYMOCYTE_UP.html</t>
  </si>
  <si>
    <t>79733;11169;7298;1503;898;1063;641;9787;54821;157313;9824;29028;284992;79801;9212;92092;10293;2177;79968;9156</t>
  </si>
  <si>
    <t>E2F8;WDHD1;TYMS;CTPS1;CCNE1;CENPF;BLM;DLGAP5;ERCC6L;CDCA2;ARHGAP11A;ATAD2;CCDC150;SHCBP1;AURKB;ZC3HAV1L;TRAIP;FANCD2;WDR76;EXO1</t>
  </si>
  <si>
    <t>GSE22432_MULTIPOTENT_PROGENITOR_VS_CDC_DN</t>
  </si>
  <si>
    <t>22995;3015;10971;790;993;4174;5902;9493;8683;151246;55635;79866;63979;84798;8438;80179;55872;29089;3070;23594</t>
  </si>
  <si>
    <t>CEP152;H2AFZ;YWHAQ;CAD;CDC25A;MCM5;RANBP1;AC027237.1;SRSF9;SGO2;DEPDC1;BORA;FIGNL1;C19orf48;RAD54L;MYO19;PBK;UBE2T;HELLS;ORC6</t>
  </si>
  <si>
    <t>http://www.broadinstitute.org/gsea/msigdb/cards/GSE22432_MULTIPOTENT_PROGENITOR_VS_CDC_DN.html</t>
  </si>
  <si>
    <t>GSE25088_WT_VS_STAT6_KO_MACROPHAGE_ROSIGLITAZONE_AND_IL4_STIM_UP</t>
  </si>
  <si>
    <t>79733;8318;983;5933;3068;3838;1062;5426;9768;113115;163786;253714;147841;11073;55872;83461;57405;10926;25788;10460</t>
  </si>
  <si>
    <t>E2F8;CDC45;CDK1;RBL1;HDGF;KPNA2;CENPE;POLE;PCLAF;MTFR2;SASS6;MMS22L;SPC24;TOPBP1;PBK;CDCA3;SPC25;DBF4;RAD54B;TACC3</t>
  </si>
  <si>
    <t>http://www.broadinstitute.org/gsea/msigdb/cards/GSE25088_WT_VS_STAT6_KO_MACROPHAGE_ROSIGLITAZONE_AND_IL4_STIM_UP.html</t>
  </si>
  <si>
    <t>6839;5933;4521;10024;9833;9787;54821;113115;163786;79801;10635;113130;55771;64105;79172;51203;81620;64946;81624;54069</t>
  </si>
  <si>
    <t>SUV39H1;RBL1;NUDT1;TROAP;MELK;DLGAP5;ERCC6L;MTFR2;SASS6;SHCBP1;RAD51AP1;CDCA5;PRR11;CENPK;CENPO;NUSAP1;CDT1;CENPH;DIAPH3;MIS18A</t>
  </si>
  <si>
    <t>11065;6790;9055;9133;983;203068;3015;890;8833;9735;1062;5888;1479;9768;55143;84722;150468;51203;29127;81624</t>
  </si>
  <si>
    <t>UBE2C;AURKA;PRC1;CCNB2;CDK1;TUBB;H2AFZ;CCNA2;GMPS;KNTC1;CENPE;RAD51;CSTF3;PCLAF;CDCA8;PSRC1;CKAP2L;NUSAP1;RACGAP1;DIAPH3</t>
  </si>
  <si>
    <t>10733;284403;6240;3148;10971;5933;4173;5985;9493;348654;54821;55165;55635;151188;147841;990;83540;3070;54069;8914</t>
  </si>
  <si>
    <t>PLK4;WDR62;RRM1;HMGB2;YWHAQ;RBL1;MCM4;RFC5;AC027237.1;GEN1;ERCC6L;CEP55;DEPDC1;ARL6IP6;SPC24;CDC6;NUF2;HELLS;MIS18A;TIMELESS</t>
  </si>
  <si>
    <t>6839;11339;11169;10112;983;5983;5558;1763;9833;79866;253714;89958;78995;147841;201299;55247;11073;79000;51512;51659</t>
  </si>
  <si>
    <t>SUV39H1;OIP5;WDHD1;KIF20A;CDK1;RFC3;PRIM2;DNA2;MELK;BORA;MMS22L;SAPCD2;C17orf53;SPC24;RDM1;NEIL3;TOPBP1;AUNIP;GTSE1;GINS2</t>
  </si>
  <si>
    <t>GSE41867_DAY8_EFFECTOR_VS_DAY30_EXHAUSTED_CD8_TCELL_LCMV_CLONE13_UP</t>
  </si>
  <si>
    <t>10733;23306;332;6839;9232;7298;6240;790;10376;8683;4998;2146;89958;128239;147841;79801;26586;55771;79902;55646</t>
  </si>
  <si>
    <t>PLK4;NEMP1;BIRC5;SUV39H1;PTTG1;TYMS;RRM1;CAD;TUBA1B;SRSF9;ORC1;EZH2;SAPCD2;IQGAP3;SPC24;SHCBP1;CKAP2;PRR11;NUP85;LYAR</t>
  </si>
  <si>
    <t>http://www.broadinstitute.org/gsea/msigdb/cards/GSE41867_DAY8_EFFECTOR_VS_DAY30_EXHAUSTED_CD8_TCELL_LCMV_CLONE13_UP.html</t>
  </si>
  <si>
    <t>GSE14415_ACT_VS_CTRL_NATURAL_TREG_UP</t>
  </si>
  <si>
    <t>6790;332;983;6241;5985;5902;3838;5427;991;9837;151648;729533;55872;83461;55723;55646;26271;23594</t>
  </si>
  <si>
    <t>AURKA;BIRC5;CDK1;RRM2;RFC5;RANBP1;KPNA2;POLE2;CDC20;GINS1;SGO1;FAM72A;PBK;CDCA3;ASF1B;LYAR;FBXO5;ORC6</t>
  </si>
  <si>
    <t>http://www.broadinstitute.org/gsea/msigdb/cards/GSE14415_ACT_VS_CTRL_NATURAL_TREG_UP.html</t>
  </si>
  <si>
    <t>11065;701;5111;1841;4173;4171;3838;5888;6502;9700;9837;343099;63979;147841;113130;84930;84790;55038;11198</t>
  </si>
  <si>
    <t>UBE2C;BUB1B;PCNA;DTYMK;MCM4;MCM2;KPNA2;RAD51;SKP2;ESPL1;GINS1;CCDC18;FIGNL1;SPC24;CDCA5;MASTL;TUBA1C;CDCA4;SUPT16H</t>
  </si>
  <si>
    <t>GSE13411_NAIVE_BCELL_VS_PLASMA_CELL_DN</t>
  </si>
  <si>
    <t>11065;9133;10112;7083;983;899;23649;146909;8438;9212;83461;9088;3833;81620;79968;57405;55723;22974;9156</t>
  </si>
  <si>
    <t>UBE2C;CCNB2;KIF20A;TK1;CDK1;CCNF;POLA2;KIF18B;RAD54L;AURKB;CDCA3;PKMYT1;KIFC1;CDT1;WDR76;SPC25;ASF1B;TPX2;EXO1</t>
  </si>
  <si>
    <t>http://www.broadinstitute.org/gsea/msigdb/cards/GSE13411_NAIVE_BCELL_VS_PLASMA_CELL_DN.html</t>
  </si>
  <si>
    <t>GSE15930_NAIVE_VS_48H_IN_VITRO_STIM_IFNAB_CD8_TCELL_DN</t>
  </si>
  <si>
    <t>1111;6790;699;10592;9134;10797;6241;4176;23076;23397;9319;2146;27338;26586;990;55038;9156;65003;23594</t>
  </si>
  <si>
    <t>CHEK1;AURKA;BUB1;SMC2;CCNE2;MTHFD2;RRM2;MCM7;RRP1B;NCAPH;TRIP13;EZH2;UBE2S;CKAP2;CDC6;CDCA4;EXO1;MRPL11;ORC6</t>
  </si>
  <si>
    <t>http://www.broadinstitute.org/gsea/msigdb/cards/GSE15930_NAIVE_VS_48H_IN_VITRO_STIM_IFNAB_CD8_TCELL_DN.html</t>
  </si>
  <si>
    <t>GSE17974_0.5H_VS_72H_IL4_AND_ANTI_IL12_ACT_CD4_TCELL_DN</t>
  </si>
  <si>
    <t>2175;10721;10535;203068;7374;891;23310;2956;84823;2305;23397;221150;146956;29128;54478;3833;10293;83990;81624</t>
  </si>
  <si>
    <t>FANCA;POLQ;RNASEH2A;TUBB;UNG;CCNB1;NCAPD3;MSH6;LMNB2;FOXM1;NCAPH;SKA3;EME1;UHRF1;PIMREG;KIFC1;TRAIP;BRIP1;DIAPH3</t>
  </si>
  <si>
    <t>http://www.broadinstitute.org/gsea/msigdb/cards/GSE17974_0.5H_VS_72H_IL4_AND_ANTI_IL12_ACT_CD4_TCELL_DN.html</t>
  </si>
  <si>
    <t>GSE17974_1.5H_VS_72H_IL4_AND_ANTI_IL12_ACT_CD4_TCELL_DN</t>
  </si>
  <si>
    <t>10721;1017;23310;1063;10024;9319;63979;221150;2491;93594;29128;64785;54478;83990;79968;79019;81624;55723;65003</t>
  </si>
  <si>
    <t>POLQ;CDK2;NCAPD3;CENPF;TROAP;TRIP13;FIGNL1;SKA3;CENPI;TBC1D31;UHRF1;GINS3;PIMREG;BRIP1;WDR76;CENPM;DIAPH3;ASF1B;MRPL11</t>
  </si>
  <si>
    <t>http://www.broadinstitute.org/gsea/msigdb/cards/GSE17974_1.5H_VS_72H_IL4_AND_ANTI_IL12_ACT_CD4_TCELL_DN.html</t>
  </si>
  <si>
    <t>GSE24634_NAIVE_CD4_TCELL_VS_DAY5_IL4_CONV_TREG_DN</t>
  </si>
  <si>
    <t>10212;10403;9134;790;672;7112;23310;8833;9735;3068;5427;1062;9833;3837;27338;55247;23234;8570;84296</t>
  </si>
  <si>
    <t>DDX39A;NDC80;CCNE2;CAD;BRCA1;TMPO;NCAPD3;GMPS;KNTC1;HDGF;POLE2;CENPE;MELK;KPNB1;UBE2S;NEIL3;DNAJC9;KHSRP;GINS4</t>
  </si>
  <si>
    <t>http://www.broadinstitute.org/gsea/msigdb/cards/GSE24634_NAIVE_CD4_TCELL_VS_DAY5_IL4_CONV_TREG_DN.html</t>
  </si>
  <si>
    <t>GSE411_WT_VS_SOCS3_KO_MACROPHAGE_UP</t>
  </si>
  <si>
    <t>1871;284403;11339;7083;7298;4173;23310;1063;8833;2956;9837;9787;89958;84904;57082;9125;54478;10293;84057</t>
  </si>
  <si>
    <t>E2F3;WDR62;OIP5;TK1;TYMS;MCM4;NCAPD3;CENPF;GMPS;MSH6;GINS1;DLGAP5;SAPCD2;ARHGEF39;KNL1;CNOT9;PIMREG;TRAIP;MND1</t>
  </si>
  <si>
    <t>http://www.broadinstitute.org/gsea/msigdb/cards/GSE411_WT_VS_SOCS3_KO_MACROPHAGE_UP.html</t>
  </si>
  <si>
    <t>5717;6839;11169;1503;8833;641;3837;220042;57082;11073;3066;55706;55038;81620;3070;1789;10926;22974;9156</t>
  </si>
  <si>
    <t>PSMD11;SUV39H1;WDHD1;CTPS1;GMPS;BLM;KPNB1;DDIAS;KNL1;TOPBP1;HDAC2;NDC1;CDCA4;CDT1;HELLS;DNMT3B;DBF4;TPX2;EXO1</t>
  </si>
  <si>
    <t>GSE2770_UNTREATED_VS_TGFB_AND_IL12_TREATED_ACT_CD4_TCELL_2H_DN</t>
  </si>
  <si>
    <t>332;9055;11169;9133;10592;7153;672;7112;3068;10376;55635;157313;221150;201299;8438;55872;11004;51203;22974</t>
  </si>
  <si>
    <t>BIRC5;PRC1;WDHD1;CCNB2;SMC2;TOP2A;BRCA1;TMPO;HDGF;TUBA1B;DEPDC1;CDCA2;SKA3;RDM1;RAD54L;PBK;KIF2C;NUSAP1;TPX2</t>
  </si>
  <si>
    <t>http://www.broadinstitute.org/gsea/msigdb/cards/GSE2770_UNTREATED_VS_TGFB_AND_IL12_TREATED_ACT_CD4_TCELL_2H_DN.html</t>
  </si>
  <si>
    <t>6790;332;9055;1515;11169;11130;7153;1786;3148;10105;4751;3838;10376;4085;9833;27338;55143;23234;55723</t>
  </si>
  <si>
    <t>AURKA;BIRC5;PRC1;CTSV;WDHD1;ZWINT;TOP2A;DNMT1;HMGB2;PPIF;NEK2;KPNA2;TUBA1B;MAD2L1;MELK;UBE2S;CDCA8;DNAJC9;ASF1B</t>
  </si>
  <si>
    <t>5984;7913;23310;4436;675;6415;5426;23649;9787;6491;2146;54821;151648;128239;259266;11073;55839;990;64151</t>
  </si>
  <si>
    <t>RFC4;DEK;NCAPD3;MSH2;BRCA2;SELENOW;POLE;POLA2;DLGAP5;STIL;EZH2;ERCC6L;SGO1;IQGAP3;ASPM;TOPBP1;CENPN;CDC6;NCAPG</t>
  </si>
  <si>
    <t>10403;332;6839;3161;7298;995;4176;4521;2237;899;10024;4085;4998;1033;91687;57650;83461;11004;90417</t>
  </si>
  <si>
    <t>NDC80;BIRC5;SUV39H1;HMMR;TYMS;CDC25C;MCM7;NUDT1;FEN1;CCNF;TROAP;MAD2L1;ORC1;CDKN3;CENPL;CIP2A;CDCA3;KIF2C;KNSTRN</t>
  </si>
  <si>
    <t>10733;6790;8318;890;5984;7913;5902;1869;1062;9493;6502;9787;29028;253714;128239;162681;2491;55706;83990</t>
  </si>
  <si>
    <t>PLK4;AURKA;CDC45;CCNA2;RFC4;DEK;RANBP1;E2F1;CENPE;AC027237.1;SKP2;DLGAP5;ATAD2;MMS22L;IQGAP3;C18orf54;CENPI;NDC1;BRIP1</t>
  </si>
  <si>
    <t>1111;10403;6839;3015;5111;5982;7112;5557;1869;9493;5426;23590;729533;9585;54478;10293;83990;2177;29127</t>
  </si>
  <si>
    <t>CHEK1;NDC80;SUV39H1;H2AFZ;PCNA;RFC2;TMPO;PRIM1;E2F1;AC027237.1;POLE;PDSS1;FAM72A;KIF20B;PIMREG;TRAIP;BRIP1;FANCD2;RACGAP1</t>
  </si>
  <si>
    <t>79733;5496;7283;4173;4176;5982;5557;23518;27338;29028;81930;55247;220134;64785;55055;56992;10051;27339;23594</t>
  </si>
  <si>
    <t>E2F8;PPM1G;TUBG1;MCM4;MCM7;RFC2;PRIM1;R3HDM1;UBE2S;ATAD2;KIF18A;NEIL3;SKA1;GINS3;ZWILCH;KIF15;SMC4;PRPF19;ORC6</t>
  </si>
  <si>
    <t>http://www.broadinstitute.org/gsea/msigdb/cards/GSE21927_SPLEEN_C57BL6_VS_EL4_TUMOR_BALBC_MONOCYTES_DN.html</t>
  </si>
  <si>
    <t>9134;203068;7374;1017;5982;1063;6878;1163;9493;23076;2146;157313;113115;84798;9212;9585;79075;81620;90417</t>
  </si>
  <si>
    <t>CCNE2;TUBB;UNG;CDK2;RFC2;CENPF;TAF6;CKS1B;AC027237.1;RRP1B;EZH2;CDCA2;MTFR2;C19orf48;AURKB;KIF20B;DSCC1;CDT1;KNSTRN</t>
  </si>
  <si>
    <t>GSE25123_ROSIGLITAZONE_VS_IL4_AND_ROSIGLITAZONE_STIM_PPARG_KO_MACROPHAGE_DAY10_UP</t>
  </si>
  <si>
    <t>10535;10797;4176;672;4436;9735;5426;6749;9768;1994;163786;115004;8438;93594;55839;83461;79019;54069;23594</t>
  </si>
  <si>
    <t>RNASEH2A;MTHFD2;MCM7;BRCA1;MSH2;KNTC1;POLE;SSRP1;PCLAF;ELAVL1;SASS6;CGAS;RAD54L;TBC1D31;CENPN;CDCA3;CENPM;MIS18A;ORC6</t>
  </si>
  <si>
    <t>http://www.broadinstitute.org/gsea/msigdb/cards/GSE25123_ROSIGLITAZONE_VS_IL4_AND_ROSIGLITAZONE_STIM_PPARG_KO_MACROPHAGE_DAY10_UP.html</t>
  </si>
  <si>
    <t>11169;5933;2237;5985;5558;4175;9787;54821;286826;147841;79801;93594;9212;55771;64105;81620;64946;29089;51512</t>
  </si>
  <si>
    <t>WDHD1;RBL1;FEN1;RFC5;PRIM2;MCM6;DLGAP5;ERCC6L;LIN9;SPC24;SHCBP1;TBC1D31;AURKB;PRR11;CENPK;CDT1;CENPH;UBE2T;GTSE1</t>
  </si>
  <si>
    <t>79733;10212;983;200933;1841;4174;4176;7913;675;10657;9768;9319;54821;113115;79902;57405;55215;54069;9156</t>
  </si>
  <si>
    <t>E2F8;DDX39A;CDK1;FBXO45;DTYMK;MCM5;MCM7;DEK;BRCA2;KHDRBS1;PCLAF;TRIP13;ERCC6L;MTFR2;NUP85;SPC25;FANCI;MIS18A;EXO1</t>
  </si>
  <si>
    <t>GSE40274_CTRL_VS_FOXP3_AND_HELIOS_TRANSDUCED_ACTIVATED_CD4_TCELL_DN</t>
  </si>
  <si>
    <t>701;5984;23310;3832;9837;23397;9918;1033;78995;57650;64105;79075;55055;57405;54443;55010;29893;9156;6941</t>
  </si>
  <si>
    <t>BUB1B;RFC4;NCAPD3;KIF11;GINS1;NCAPH;NCAPD2;CDKN3;C17orf53;CIP2A;CENPK;DSCC1;ZWILCH;SPC25;ANLN;PARPBP;PSMC3IP;EXO1;TCF19</t>
  </si>
  <si>
    <t>http://www.broadinstitute.org/gsea/msigdb/cards/GSE40274_CTRL_VS_FOXP3_AND_HELIOS_TRANSDUCED_ACTIVATED_CD4_TCELL_DN.html</t>
  </si>
  <si>
    <t>GSE15271_CXCR4_POS_VS_NEG_GC_BCELL_UP</t>
  </si>
  <si>
    <t>10212;2189;11130;10592;7153;10797;1786;5985;5558;5427;1479;6502;2146;8570;80179;55723;6941;25788</t>
  </si>
  <si>
    <t>DDX39A;FANCG;ZWINT;SMC2;TOP2A;MTHFD2;DNMT1;RFC5;PRIM2;POLE2;CSTF3;SKP2;EZH2;KHSRP;MYO19;ASF1B;TCF19;RAD54B</t>
  </si>
  <si>
    <t>http://www.broadinstitute.org/gsea/msigdb/cards/GSE15271_CXCR4_POS_VS_NEG_GC_BCELL_UP.html</t>
  </si>
  <si>
    <t>10212;6790;4521;5983;5902;5558;10024;27338;63979;144455;146956;10635;55872;79075;55723;29893;26271;23594</t>
  </si>
  <si>
    <t>DDX39A;AURKA;NUDT1;RFC3;RANBP1;PRIM2;TROAP;UBE2S;FIGNL1;E2F7;EME1;RAD51AP1;PBK;DSCC1;ASF1B;PSMC3IP;FBXO5;ORC6</t>
  </si>
  <si>
    <t>10733;7398;6240;4173;4174;5558;3838;2187;57082;8438;27085;64151;55706;63967;54443;10926;9156</t>
  </si>
  <si>
    <t>PLK4;USP1;RRM1;MCM4;MCM5;PRIM2;KPNA2;FANCB;KNL1;RAD54L;MTBP;NCAPG;NDC1;CLSPN;ANLN;DBF4;EXO1</t>
  </si>
  <si>
    <t>9232;7272;4173;672;1058;675;4751;8208;4175;9918;9928;2146;54821;113130;1894;63967;3619;25788</t>
  </si>
  <si>
    <t>PTTG1;TTK;MCM4;BRCA1;CENPA;BRCA2;NEK2;CHAF1B;MCM6;NCAPD2;KIF14;EZH2;ERCC6L;CDCA5;ECT2;CLSPN;INCENP;RAD54B</t>
  </si>
  <si>
    <t>GSE40274_CTRL_VS_XBP1_TRANSDUCED_ACTIVATED_CD4_TCELL_DN</t>
  </si>
  <si>
    <t>6790;11169;1503;7272;5347;3837;9918;23590;63979;146909;147841;84930;2177;64946;57405;55646;23594</t>
  </si>
  <si>
    <t>AURKA;WDHD1;CTPS1;TTK;PLK1;KPNB1;NCAPD2;PDSS1;FIGNL1;KIF18B;SPC24;MASTL;FANCD2;CENPH;SPC25;LYAR;ORC6</t>
  </si>
  <si>
    <t>http://www.broadinstitute.org/gsea/msigdb/cards/GSE40274_CTRL_VS_XBP1_TRANSDUCED_ACTIVATED_CD4_TCELL_DN.html</t>
  </si>
  <si>
    <t>GSE7509_UNSTIM_VS_FCGRIIB_STIM_DC_UP</t>
  </si>
  <si>
    <t>9055;9133;4605;899;4751;84823;9918;9787;55143;55388;150468;150465;83461;11004;29127;81610;10460</t>
  </si>
  <si>
    <t>PRC1;CCNB2;MYBL2;CCNF;NEK2;LMNB2;NCAPD2;DLGAP5;CDCA8;MCM10;CKAP2L;TTL;CDCA3;KIF2C;RACGAP1;FAM83D;TACC3</t>
  </si>
  <si>
    <t>http://www.broadinstitute.org/gsea/msigdb/cards/GSE7509_UNSTIM_VS_FCGRIIB_STIM_DC_UP.html</t>
  </si>
  <si>
    <t>GSE21670_STAT3_KO_VS_WT_CD4_TCELL_TGFB_TREATED_DN</t>
  </si>
  <si>
    <t>1871;7374;672;9735;84823;2305;9837;6469;9319;54821;9824;55388;144455;55872;79915;11004;57405;3619</t>
  </si>
  <si>
    <t>E2F3;UNG;BRCA1;KNTC1;LMNB2;FOXM1;GINS1;SHH;TRIP13;ERCC6L;ARHGAP11A;MCM10;E2F7;PBK;ATAD5;KIF2C;SPC25;INCENP</t>
  </si>
  <si>
    <t>http://www.broadinstitute.org/gsea/msigdb/cards/GSE21670_STAT3_KO_VS_WT_CD4_TCELL_TGFB_TREATED_DN.html</t>
  </si>
  <si>
    <t>8317;7083;790;995;5982;5983;1058;4751;5427;1869;84823;2305;8208;259266;91687;10615;83461;51512</t>
  </si>
  <si>
    <t>CDC7;TK1;CAD;CDC25C;RFC2;RFC3;CENPA;NEK2;POLE2;E2F1;LMNB2;FOXM1;CHAF1B;ASPM;CENPL;SPAG5;CDCA3;GTSE1</t>
  </si>
  <si>
    <t>GSE14769_UNSTIM_VS_240MIN_LPS_BMDM_UP</t>
  </si>
  <si>
    <t>6839;7374;7913;23310;1870;84722;253714;80178;83903;10615;990;79075;10293;80119;3070;9156;65003;23594</t>
  </si>
  <si>
    <t>SUV39H1;UNG;DEK;NCAPD3;E2F2;PSRC1;MMS22L;TEDC2;HASPIN;SPAG5;CDC6;DSCC1;TRAIP;PIF1;HELLS;EXO1;MRPL11;ORC6</t>
  </si>
  <si>
    <t>http://www.broadinstitute.org/gsea/msigdb/cards/GSE14769_UNSTIM_VS_240MIN_LPS_BMDM_UP.html</t>
  </si>
  <si>
    <t>GSE14769_UNSTIM_VS_360MIN_LPS_BMDM_UP</t>
  </si>
  <si>
    <t>7153;1503;7283;4173;5984;5888;23649;4175;6491;1994;2146;27338;147841;57082;83903;23165;55723;65003</t>
  </si>
  <si>
    <t>TOP2A;CTPS1;TUBG1;MCM4;RFC4;RAD51;POLA2;MCM6;STIL;ELAVL1;EZH2;UBE2S;SPC24;KNL1;HASPIN;NUP205;ASF1B;MRPL11</t>
  </si>
  <si>
    <t>http://www.broadinstitute.org/gsea/msigdb/cards/GSE14769_UNSTIM_VS_360MIN_LPS_BMDM_UP.html</t>
  </si>
  <si>
    <t>79733;8317;890;5933;2237;5985;4751;8208;54821;23590;157313;146909;220042;150468;10635;55723;6941;10460</t>
  </si>
  <si>
    <t>E2F8;CDC7;CCNA2;RBL1;FEN1;RFC5;NEK2;CHAF1B;ERCC6L;PDSS1;CDCA2;KIF18B;DDIAS;CKAP2L;RAD51AP1;ASF1B;TCF19;TACC3</t>
  </si>
  <si>
    <t>GSE27786_NKTCELL_VS_MONO_MAC_DN</t>
  </si>
  <si>
    <t>10403;9055;3161;10112;1017;672;9735;8683;54821;286826;128239;54892;150468;2187;25886;147841;93594;79915</t>
  </si>
  <si>
    <t>NDC80;PRC1;HMMR;KIF20A;CDK2;BRCA1;KNTC1;SRSF9;ERCC6L;LIN9;IQGAP3;NCAPG2;CKAP2L;FANCB;POC1A;SPC24;TBC1D31;ATAD5</t>
  </si>
  <si>
    <t>http://www.broadinstitute.org/gsea/msigdb/cards/GSE27786_NKTCELL_VS_MONO_MAC_DN.html</t>
  </si>
  <si>
    <t>332;10535;9232;9134;7298;203068;1786;9735;2305;23590;79682;55247;9585;10615;580;55723;27339;51659</t>
  </si>
  <si>
    <t>BIRC5;RNASEH2A;PTTG1;CCNE2;TYMS;TUBB;DNMT1;KNTC1;FOXM1;PDSS1;CENPU;NEIL3;KIF20B;SPAG5;BARD1;ASF1B;PRPF19;GINS2</t>
  </si>
  <si>
    <t>http://www.broadinstitute.org/gsea/msigdb/cards/GSE3982_EOSINOPHIL_VS_TH1_DN.html</t>
  </si>
  <si>
    <t>5717;332;9055;3161;203068;890;6240;4172;995;5982;1163;9493;4998;9918;29028;84296;56992;55723</t>
  </si>
  <si>
    <t>PSMD11;BIRC5;PRC1;HMMR;TUBB;CCNA2;RRM1;MCM3;CDC25C;RFC2;CKS1B;AC027237.1;ORC1;NCAPD2;ATAD2;GINS4;KIF15;ASF1B</t>
  </si>
  <si>
    <t>http://www.broadinstitute.org/gsea/msigdb/cards/GSE3982_MAC_VS_TH2_DN.html</t>
  </si>
  <si>
    <t>GSE1925_CTRL_VS_IFNG_PRIMED_MACROPHAGE_UP</t>
  </si>
  <si>
    <t>10403;8520;6790;8318;203068;10105;4174;4176;899;4288;6733;1869;1062;23397;11004;79902;8914;9156</t>
  </si>
  <si>
    <t>NDC80;HAT1;AURKA;CDC45;TUBB;PPIF;MCM5;MCM7;CCNF;MKI67;SRPK2;E2F1;CENPE;NCAPH;KIF2C;NUP85;TIMELESS;EXO1</t>
  </si>
  <si>
    <t>http://www.broadinstitute.org/gsea/msigdb/cards/GSE1925_CTRL_VS_IFNG_PRIMED_MACROPHAGE_UP.html</t>
  </si>
  <si>
    <t>1503;4172;4174;2237;5985;5902;5426;9319;54821;55388;57647;115004;23234;146956;55706;55646;9156;65003</t>
  </si>
  <si>
    <t>CTPS1;MCM3;MCM5;FEN1;RFC5;RANBP1;POLE;TRIP13;ERCC6L;MCM10;DHX37;CGAS;DNAJC9;EME1;NDC1;LYAR;EXO1;MRPL11</t>
  </si>
  <si>
    <t>6790;699;22995;7083;203068;6240;7272;1434;4175;9837;23397;259266;93594;84057;81620;57405;90417;10460</t>
  </si>
  <si>
    <t>AURKA;BUB1;CEP152;TK1;TUBB;RRM1;TTK;CSE1L;MCM6;GINS1;NCAPH;ASPM;TBC1D31;MND1;CDT1;SPC25;KNSTRN;TACC3</t>
  </si>
  <si>
    <t>GSE6674_UNSTIM_VS_ANTI_IGM_AND_CPG_STIM_BCELL_UP</t>
  </si>
  <si>
    <t>3797;6790;3161;10535;10112;899;146909;91687;79801;81930;220134;113130;84930;11004;84296;29089;6941;90417</t>
  </si>
  <si>
    <t>KIF3C;AURKA;HMMR;RNASEH2A;KIF20A;CCNF;KIF18B;CENPL;SHCBP1;KIF18A;SKA1;CDCA5;MASTL;KIF2C;GINS4;UBE2T;TCF19;KNSTRN</t>
  </si>
  <si>
    <t>http://www.broadinstitute.org/gsea/msigdb/cards/GSE6674_UNSTIM_VS_ANTI_IGM_AND_CPG_STIM_BCELL_UP.html</t>
  </si>
  <si>
    <t>9232;1063;5347;9493;84823;1870;9918;1033;151246;89958;55771;55872;29128;54478;57405;55010;51512;26271</t>
  </si>
  <si>
    <t>PTTG1;CENPF;PLK1;AC027237.1;LMNB2;E2F2;NCAPD2;CDKN3;SGO2;SAPCD2;PRR11;PBK;UHRF1;PIMREG;SPC25;PARPBP;GTSE1;FBXO5</t>
  </si>
  <si>
    <t>8520;9401;10592;7083;5725;5985;4288;5557;3068;4670;9928;54821;220134;9088;84296;54069;27339;65003</t>
  </si>
  <si>
    <t>HAT1;RECQL4;SMC2;TK1;PTBP1;RFC5;MKI67;PRIM1;HDGF;HNRNPM;KIF14;ERCC6L;SKA1;PKMYT1;GINS4;MIS18A;PRPF19;MRPL11</t>
  </si>
  <si>
    <t>http://www.broadinstitute.org/gsea/msigdb/cards/GSE21360_SECONDARY_VS_TERTIARY_MEMORY_CD8_TCELL_UP.html</t>
  </si>
  <si>
    <t>GSE23505_IL6_IL1_VS_IL6_IL1_TGFB_TREATED_CD4_TCELL_DN</t>
  </si>
  <si>
    <t>8317;1111;7083;4521;10376;5426;6749;4998;9787;6491;253714;79682;285753;23234;79915;79172;83990;64946</t>
  </si>
  <si>
    <t>CDC7;CHEK1;TK1;NUDT1;TUBA1B;POLE;SSRP1;ORC1;DLGAP5;STIL;MMS22L;CENPU;CEP57L1;DNAJC9;ATAD5;CENPO;BRIP1;CENPH</t>
  </si>
  <si>
    <t>http://www.broadinstitute.org/gsea/msigdb/cards/GSE23505_IL6_IL1_VS_IL6_IL1_TGFB_TREATED_CD4_TCELL_DN.html</t>
  </si>
  <si>
    <t>79733;10733;2189;9055;983;5933;5902;1063;5347;641;5426;1870;9918;220134;55839;1894;55055;56992</t>
  </si>
  <si>
    <t>E2F8;PLK4;FANCG;PRC1;CDK1;RBL1;RANBP1;CENPF;PLK1;BLM;POLE;E2F2;NCAPD2;SKA1;CENPN;ECT2;ZWILCH;KIF15</t>
  </si>
  <si>
    <t>GSE39022_LN_VS_SPLEEN_DC_UP</t>
  </si>
  <si>
    <t>1111;6839;4174;2237;899;3838;9493;8208;4998;9837;27338;90381;55771;79915;79000;54069;10926;9156</t>
  </si>
  <si>
    <t>CHEK1;SUV39H1;MCM5;FEN1;CCNF;KPNA2;AC027237.1;CHAF1B;ORC1;GINS1;UBE2S;TICRR;PRR11;ATAD5;AUNIP;MIS18A;DBF4;EXO1</t>
  </si>
  <si>
    <t>http://www.broadinstitute.org/gsea/msigdb/cards/GSE39022_LN_VS_SPLEEN_DC_UP.html</t>
  </si>
  <si>
    <t>6929;4001;4173;4174;641;5888;8208;151246;157570;259266;55247;146956;55771;55872;63967;55723;23594</t>
  </si>
  <si>
    <t>TCF3;LMNB1;MCM4;MCM5;BLM;RAD51;CHAF1B;SGO2;ESCO2;ASPM;NEIL3;EME1;PRR11;PBK;CLSPN;ASF1B;ORC6</t>
  </si>
  <si>
    <t>11169;1841;1786;4751;1163;991;348654;157570;55388;128239;147841;81930;9125;8438;144455;9585</t>
  </si>
  <si>
    <t>WDHD1;DTYMK;DNMT1;NEK2;CKS1B;CDC20;GEN1;ESCO2;MCM10;IQGAP3;SPC24;KIF18A;CNOT9;RAD54L;E2F7;KIF20B</t>
  </si>
  <si>
    <t>2175;701;7083;4172;4174;4176;1058;1434;9918;2146;55247;990;63967;55723;9156;6941</t>
  </si>
  <si>
    <t>FANCA;BUB1B;TK1;MCM3;MCM5;MCM7;CENPA;CSE1L;NCAPD2;EZH2;NEIL3;CDC6;CLSPN;ASF1B;EXO1;TCF19</t>
  </si>
  <si>
    <t>GSE20727_CTRL_VS_ROS_INHIBITOR_TREATED_DC_UP</t>
  </si>
  <si>
    <t>10733;6790;11130;9134;3068;4751;3838;23397;387103;147841;55355;55247;2491;9212;92092;29128;55010</t>
  </si>
  <si>
    <t>PLK4;AURKA;ZWINT;CCNE2;HDGF;NEK2;KPNA2;NCAPH;CENPW;SPC24;HJURP;NEIL3;CENPI;AURKB;ZC3HAV1L;UHRF1;PARPBP</t>
  </si>
  <si>
    <t>http://www.broadinstitute.org/gsea/msigdb/cards/GSE20727_CTRL_VS_ROS_INHIBITOR_TREATED_DC_UP.html</t>
  </si>
  <si>
    <t>GSE2770_UNTREATED_VS_IL4_TREATED_ACT_CD4_TCELL_2H_DN</t>
  </si>
  <si>
    <t>8317;11130;7283;1841;4436;6878;5426;1870;220042;91687;9125;4796;84057;29089;54069;8914;9633</t>
  </si>
  <si>
    <t>CDC7;ZWINT;TUBG1;DTYMK;MSH2;TAF6;POLE;E2F2;DDIAS;CENPL;CNOT9;TONSL;MND1;UBE2T;MIS18A;TIMELESS;TESMIN</t>
  </si>
  <si>
    <t>http://www.broadinstitute.org/gsea/msigdb/cards/GSE2770_UNTREATED_VS_IL4_TREATED_ACT_CD4_TCELL_2H_DN.html</t>
  </si>
  <si>
    <t>1871;1111;5709;7153;10797;898;10105;3838;641;10376;991;79682;220042;162681;150465;84790;51203</t>
  </si>
  <si>
    <t>E2F3;CHEK1;PSMD3;TOP2A;MTHFD2;CCNE1;PPIF;KPNA2;BLM;TUBA1B;CDC20;CENPU;DDIAS;C18orf54;TTL;TUBA1C;NUSAP1</t>
  </si>
  <si>
    <t>6790;332;701;10112;24137;4691;5982;4751;23397;9928;9787;151246;147841;55355;11004;54443;22974</t>
  </si>
  <si>
    <t>AURKA;BIRC5;BUB1B;KIF20A;KIF4A;NCL;RFC2;NEK2;NCAPH;KIF14;DLGAP5;SGO2;SPC24;HJURP;KIF2C;ANLN;TPX2</t>
  </si>
  <si>
    <t>6839;1503;1841;4176;5982;4288;4171;1763;1434;5427;1163;9319;27338;220134;9088;55055;25788</t>
  </si>
  <si>
    <t>SUV39H1;CTPS1;DTYMK;MCM7;RFC2;MKI67;MCM2;DNA2;CSE1L;POLE2;CKS1B;TRIP13;UBE2S;SKA1;PKMYT1;ZWILCH;RAD54B</t>
  </si>
  <si>
    <t>GSE1460_NAIVE_CD4_TCELL_ADULT_BLOOD_VS_THYMIC_STROMAL_CELL_DN</t>
  </si>
  <si>
    <t>10403;11339;24137;4171;1763;5888;4085;55165;55635;3066;10635;55839;990;54478;1894;1789;8914</t>
  </si>
  <si>
    <t>NDC80;OIP5;KIF4A;MCM2;DNA2;RAD51;MAD2L1;CEP55;DEPDC1;HDAC2;RAD51AP1;CENPN;CDC6;PIMREG;ECT2;DNMT3B;TIMELESS</t>
  </si>
  <si>
    <t>http://www.broadinstitute.org/gsea/msigdb/cards/GSE1460_NAIVE_CD4_TCELL_ADULT_BLOOD_VS_THYMIC_STROMAL_CELL_DN.html</t>
  </si>
  <si>
    <t>GSE17974_0H_VS_48H_IN_VITRO_ACT_CD4_TCELL_DN</t>
  </si>
  <si>
    <t>23306;9055;11169;9401;22995;10797;1017;899;1063;1479;163786;2187;375444;79915;3833;83990;9156</t>
  </si>
  <si>
    <t>NEMP1;PRC1;WDHD1;RECQL4;CEP152;MTHFD2;CDK2;CCNF;CENPF;CSTF3;SASS6;FANCB;C5orf34;ATAD5;KIFC1;BRIP1;EXO1</t>
  </si>
  <si>
    <t>http://www.broadinstitute.org/gsea/msigdb/cards/GSE17974_0H_VS_48H_IN_VITRO_ACT_CD4_TCELL_DN.html</t>
  </si>
  <si>
    <t>9401;9134;7374;890;993;4176;5985;2956;5427;84823;286826;151188;115004;2491;29128;29893;23594</t>
  </si>
  <si>
    <t>RECQL4;CCNE2;UNG;CCNA2;CDC25A;MCM7;RFC5;MSH6;POLE2;LMNB2;LIN9;ARL6IP6;CGAS;CENPI;UHRF1;PSMC3IP;ORC6</t>
  </si>
  <si>
    <t>6790;9401;9134;890;1786;3148;2237;899;6415;6491;54821;9824;151188;2491;580;79968;55723</t>
  </si>
  <si>
    <t>AURKA;RECQL4;CCNE2;CCNA2;DNMT1;HMGB2;FEN1;CCNF;SELENOW;STIL;ERCC6L;ARHGAP11A;ARL6IP6;CENPI;BARD1;WDR76;ASF1B</t>
  </si>
  <si>
    <t>GSE20715_0H_VS_48H_OZONE_TLR4_KO_LUNG_DN</t>
  </si>
  <si>
    <t>10212;699;9133;10112;7083;983;203068;5111;6241;7272;5902;3838;1163;5888;55165;55872;29128</t>
  </si>
  <si>
    <t>DDX39A;BUB1;CCNB2;KIF20A;TK1;CDK1;TUBB;PCNA;RRM2;TTK;RANBP1;KPNA2;CKS1B;RAD51;CEP55;PBK;UHRF1</t>
  </si>
  <si>
    <t>http://www.broadinstitute.org/gsea/msigdb/cards/GSE20715_0H_VS_48H_OZONE_TLR4_KO_LUNG_DN.html</t>
  </si>
  <si>
    <t>GSE22886_NAIVE_BCELL_VS_BLOOD_PLASMA_CELL_DN</t>
  </si>
  <si>
    <t>10403;9133;10592;7298;7153;6240;10105;4173;2237;3832;991;4085;23518;79682;79801;64151;55706</t>
  </si>
  <si>
    <t>NDC80;CCNB2;SMC2;TYMS;TOP2A;RRM1;PPIF;MCM4;FEN1;KIF11;CDC20;MAD2L1;R3HDM1;CENPU;SHCBP1;NCAPG;NDC1</t>
  </si>
  <si>
    <t>http://www.broadinstitute.org/gsea/msigdb/cards/GSE22886_NAIVE_BCELL_VS_BLOOD_PLASMA_CELL_DN.html</t>
  </si>
  <si>
    <t>6790;9133;10592;7298;1786;10105;5985;1163;8683;4085;9768;29128;11004;51203;11321;54443;23594</t>
  </si>
  <si>
    <t>AURKA;CCNB2;SMC2;TYMS;DNMT1;PPIF;RFC5;CKS1B;SRSF9;MAD2L1;PCLAF;UHRF1;KIF2C;NUSAP1;GPN1;ANLN;ORC6</t>
  </si>
  <si>
    <t>9232;983;1841;6240;4174;1058;3838;2956;1434;10376;5426;991;1994;84057;54069;1789;9156</t>
  </si>
  <si>
    <t>PTTG1;CDK1;DTYMK;RRM1;MCM5;CENPA;KPNA2;MSH6;CSE1L;TUBA1B;POLE;CDC20;ELAVL1;MND1;MIS18A;DNMT3B;EXO1</t>
  </si>
  <si>
    <t>79733;332;9232;983;898;3148;7272;5984;5558;9787;1033;151648;83903;9212;29127;51514;6941</t>
  </si>
  <si>
    <t>E2F8;BIRC5;PTTG1;CDK1;CCNE1;HMGB2;TTK;RFC4;PRIM2;DLGAP5;CDKN3;SGO1;HASPIN;AURKB;RACGAP1;DTL;TCF19</t>
  </si>
  <si>
    <t>7298;3015;10797;4001;1063;8833;2956;90381;89958;128239;57082;93594;10293;84057;64946;55646;54069</t>
  </si>
  <si>
    <t>TYMS;H2AFZ;MTHFD2;LMNB1;CENPF;GMPS;MSH6;TICRR;SAPCD2;IQGAP3;KNL1;TBC1D31;TRAIP;MND1;CENPH;LYAR;MIS18A</t>
  </si>
  <si>
    <t>11169;22995;1503;7272;5902;5558;4751;2956;10376;23649;9768;9918;387103;113115;150468;84057;83540</t>
  </si>
  <si>
    <t>WDHD1;CEP152;CTPS1;TTK;RANBP1;PRIM2;NEK2;MSH6;TUBA1B;POLA2;PCLAF;NCAPD2;CENPW;MTFR2;CKAP2L;MND1;NUF2</t>
  </si>
  <si>
    <t>11065;6790;332;11339;5111;6240;4173;4174;4176;4521;1062;5888;23397;55388;150468;55839;83461</t>
  </si>
  <si>
    <t>UBE2C;AURKA;BIRC5;OIP5;PCNA;RRM1;MCM4;MCM5;MCM7;NUDT1;CENPE;RAD51;NCAPH;MCM10;CKAP2L;CENPN;CDCA3</t>
  </si>
  <si>
    <t>6790;9055;10592;4605;5933;23310;10376;9493;9700;29028;128239;7444;147841;8438;55839;11321;10926</t>
  </si>
  <si>
    <t>AURKA;PRC1;SMC2;MYBL2;RBL1;NCAPD3;TUBA1B;AC027237.1;ESPL1;ATAD2;IQGAP3;VRK2;SPC24;RAD54L;CENPN;GPN1;DBF4</t>
  </si>
  <si>
    <t>6790;203068;4173;4436;10376;9700;151648;128239;7444;150468;84904;11073;10615;54478;55706;83990;54443</t>
  </si>
  <si>
    <t>AURKA;TUBB;MCM4;MSH2;TUBA1B;ESPL1;SGO1;IQGAP3;VRK2;CKAP2L;ARHGEF39;TOPBP1;SPAG5;PIMREG;NDC1;BRIP1;ANLN</t>
  </si>
  <si>
    <t>10403;11339;8318;7298;4171;1062;8683;1870;9700;1033;55165;79682;55872;54478;51203;51514;1789</t>
  </si>
  <si>
    <t>NDC80;OIP5;CDC45;TYMS;MCM2;CENPE;SRSF9;E2F2;ESPL1;CDKN3;CEP55;CENPU;PBK;PIMREG;NUSAP1;DTL;DNMT3B</t>
  </si>
  <si>
    <t>GSE16385_ROSIGLITAZONE_IL4_VS_ROSIGLITAZONE_ALONE_STIM_MACROPHAGE_DN</t>
  </si>
  <si>
    <t>7398;10797;7272;4176;641;8208;163786;253714;90381;150468;10635;55872;9585;990;79968;29089;23594</t>
  </si>
  <si>
    <t>USP1;MTHFD2;TTK;MCM7;BLM;CHAF1B;SASS6;MMS22L;TICRR;CKAP2L;RAD51AP1;PBK;KIF20B;CDC6;WDR76;UBE2T;ORC6</t>
  </si>
  <si>
    <t>http://www.broadinstitute.org/gsea/msigdb/cards/GSE16385_ROSIGLITAZONE_IL4_VS_ROSIGLITAZONE_ALONE_STIM_MACROPHAGE_DN.html</t>
  </si>
  <si>
    <t>11169;7398;24137;10592;3148;6241;7913;4288;1163;1062;5426;4085;9768;63979;54892;83461;6941</t>
  </si>
  <si>
    <t>WDHD1;USP1;KIF4A;SMC2;HMGB2;RRM2;DEK;MKI67;CKS1B;CENPE;POLE;MAD2L1;PCLAF;FIGNL1;NCAPG2;CDCA3;TCF19</t>
  </si>
  <si>
    <t>8562;3015;7153;10797;1503;6241;672;9768;157570;151648;57647;115004;79915;29128;1894;3070;9156</t>
  </si>
  <si>
    <t>DENR;H2AFZ;TOP2A;MTHFD2;CTPS1;RRM2;BRCA1;PCLAF;ESCO2;SGO1;DHX37;CGAS;ATAD5;UHRF1;ECT2;HELLS;EXO1</t>
  </si>
  <si>
    <t>GSE41867_NAIVE_VS_EFFECTOR_CD8_TCELL_UP</t>
  </si>
  <si>
    <t>10212;1871;9134;790;1869;4998;23076;9787;150468;79801;26586;55771;2177;79968;79019;55646;51514</t>
  </si>
  <si>
    <t>DDX39A;E2F3;CCNE2;CAD;E2F1;ORC1;RRP1B;DLGAP5;CKAP2L;SHCBP1;CKAP2;PRR11;FANCD2;WDR76;CENPM;LYAR;DTL</t>
  </si>
  <si>
    <t>http://www.broadinstitute.org/gsea/msigdb/cards/GSE41867_NAIVE_VS_EFFECTOR_CD8_TCELL_UP.html</t>
  </si>
  <si>
    <t>11065;332;890;5933;5557;9787;81930;55247;23234;146956;113130;84296;64105;79019;55723;8914;6941</t>
  </si>
  <si>
    <t>UBE2C;BIRC5;CCNA2;RBL1;PRIM1;DLGAP5;KIF18A;NEIL3;DNAJC9;EME1;CDCA5;GINS4;CENPK;CENPM;ASF1B;TIMELESS;TCF19</t>
  </si>
  <si>
    <t>10721;4605;898;4288;991;9787;9319;150468;144455;54443;51514;22974;9156;6941</t>
  </si>
  <si>
    <t>POLQ;MYBL2;CCNE1;MKI67;CDC20;DLGAP5;TRIP13;CKAP2L;E2F7;ANLN;DTL;TPX2;EXO1;TCF19</t>
  </si>
  <si>
    <t>332;699;3015;7153;4521;3832;9319;63979;147841;57082;9585;64151;1894;54443;8914</t>
  </si>
  <si>
    <t>BIRC5;BUB1;H2AFZ;TOP2A;NUDT1;KIF11;TRIP13;FIGNL1;SPC24;KNL1;KIF20B;NCAPG;ECT2;ANLN;TIMELESS</t>
  </si>
  <si>
    <t>GSE15624_CTRL_VS_3H_HALOFUGINONE_TREATED_CD4_TCELL_DN</t>
  </si>
  <si>
    <t>2175;7374;790;4174;4176;7112;5557;3832;1869;8208;23649;9918;11073;79019;51514</t>
  </si>
  <si>
    <t>FANCA;UNG;CAD;MCM5;MCM7;TMPO;PRIM1;KIF11;E2F1;CHAF1B;POLA2;NCAPD2;TOPBP1;CENPM;DTL</t>
  </si>
  <si>
    <t>http://www.broadinstitute.org/gsea/msigdb/cards/GSE15624_CTRL_VS_3H_HALOFUGINONE_TREATED_CD4_TCELL_DN.html</t>
  </si>
  <si>
    <t>2189;7083;4176;7112;23397;9918;2146;157570;57082;113130;83461;83540;79019;55723;10926</t>
  </si>
  <si>
    <t>FANCG;TK1;MCM7;TMPO;NCAPH;NCAPD2;EZH2;ESCO2;KNL1;CDCA5;CDCA3;NUF2;CENPM;ASF1B;DBF4</t>
  </si>
  <si>
    <t>79733;11065;24137;5558;9493;1870;9768;9928;115004;55771;11004;990;3833;55732;55723;23594</t>
  </si>
  <si>
    <t>E2F8;UBE2C;KIF4A;PRIM2;AC027237.1;E2F2;PCLAF;KIF14;CGAS;PRR11;KIF2C;CDC6;KIFC1;C1orf112;ASF1B;ORC6</t>
  </si>
  <si>
    <t>9055;3015;3148;995;4176;9775;5902;5557;991;23397;1994;2146;990;29127;29089;51512</t>
  </si>
  <si>
    <t>PRC1;H2AFZ;HMGB2;CDC25C;MCM7;EIF4A3;RANBP1;PRIM1;CDC20;NCAPH;ELAVL1;EZH2;CDC6;RACGAP1;UBE2T;GTSE1</t>
  </si>
  <si>
    <t>11065;332;8318;7083;983;993;5347;641;10024;146909;8438;10615;81620;55723;22974;9156</t>
  </si>
  <si>
    <t>UBE2C;BIRC5;CDC45;TK1;CDK1;CDC25A;PLK1;BLM;TROAP;KIF18B;RAD54L;SPAG5;CDT1;ASF1B;TPX2;EXO1</t>
  </si>
  <si>
    <t>332;7153;10797;7283;5984;5982;5985;4288;5558;1163;4085;83903;64105;51203;54443;10460</t>
  </si>
  <si>
    <t>BIRC5;TOP2A;MTHFD2;TUBG1;RFC4;RFC2;RFC5;MKI67;PRIM2;CKS1B;MAD2L1;HASPIN;CENPK;NUSAP1;ANLN;TACC3</t>
  </si>
  <si>
    <t>9133;10112;7083;7298;983;6240;4670;2956;5888;23649;23590;84722;11073;10635;57405;10051</t>
  </si>
  <si>
    <t>CCNB2;KIF20A;TK1;TYMS;CDK1;RRM1;HNRNPM;MSH6;RAD51;POLA2;PDSS1;PSRC1;TOPBP1;RAD51AP1;SPC25;SMC4</t>
  </si>
  <si>
    <t>1111;10105;4751;3832;1062;1033;55165;29028;79682;54892;55872;132320;81620;56992;22974;9633</t>
  </si>
  <si>
    <t>CHEK1;PPIF;NEK2;KIF11;CENPE;CDKN3;CEP55;ATAD2;CENPU;NCAPG2;PBK;SCLT1;CDT1;KIF15;TPX2;TESMIN</t>
  </si>
  <si>
    <t>GSE27786_LIN_NEG_VS_BCELL_UP</t>
  </si>
  <si>
    <t>284403;9055;701;4172;790;5933;899;84823;151246;79866;253714;55789;10635;81624;51512;23594</t>
  </si>
  <si>
    <t>WDR62;PRC1;BUB1B;MCM3;CAD;RBL1;CCNF;LMNB2;SGO2;BORA;MMS22L;DEPDC1B;RAD51AP1;DIAPH3;GTSE1;ORC6</t>
  </si>
  <si>
    <t>http://www.broadinstitute.org/gsea/msigdb/cards/GSE27786_LIN_NEG_VS_BCELL_UP.html</t>
  </si>
  <si>
    <t>9055;10797;4001;3148;7272;675;10376;1870;113115;79682;219988;113130;84930;55839;84790;55038</t>
  </si>
  <si>
    <t>PRC1;MTHFD2;LMNB1;HMGB2;TTK;BRCA2;TUBA1B;E2F2;MTFR2;CENPU;PATL1;CDCA5;MASTL;CENPN;TUBA1C;CDCA4</t>
  </si>
  <si>
    <t>GSE360_L_MAJOR_VS_T_GONDII_MAC_DN</t>
  </si>
  <si>
    <t>10733;9134;7298;3015;5111;891;6929;4691;4176;5984;4436;4171;2956;10036;4175;3833</t>
  </si>
  <si>
    <t>PLK4;CCNE2;TYMS;H2AFZ;PCNA;CCNB1;TCF3;NCL;MCM7;RFC4;MSH2;MCM2;MSH6;CHAF1A;MCM6;KIFC1</t>
  </si>
  <si>
    <t>http://www.broadinstitute.org/gsea/msigdb/cards/GSE360_L_MAJOR_VS_T_GONDII_MAC_DN.html</t>
  </si>
  <si>
    <t>11339;9401;4172;3838;5427;4175;55165;157570;286826;195828;54892;79075;55038;1894;3070;56241</t>
  </si>
  <si>
    <t>OIP5;RECQL4;MCM3;KPNA2;POLE2;MCM6;CEP55;ESCO2;LIN9;ZNF367;NCAPG2;DSCC1;CDCA4;ECT2;HELLS;SUSD2</t>
  </si>
  <si>
    <t>5496;6839;86;9134;10797;1503;1434;1062;2146;78995;25886;10635;55771;10293;80119;10926</t>
  </si>
  <si>
    <t>PPM1G;SUV39H1;ACTL6A;CCNE2;MTHFD2;CTPS1;CSE1L;CENPE;EZH2;C17orf53;POC1A;RAD51AP1;PRR11;TRAIP;PIF1;DBF4</t>
  </si>
  <si>
    <t>1871;6790;701;3015;1786;7272;7112;1063;54821;29028;128239;2491;9585;10615;55706;3619</t>
  </si>
  <si>
    <t>E2F3;AURKA;BUB1B;H2AFZ;DNMT1;TTK;TMPO;CENPF;ERCC6L;ATAD2;IQGAP3;CENPI;KIF20B;SPAG5;NDC1;INCENP</t>
  </si>
  <si>
    <t>10733;3015;995;7112;84823;9837;54821;79866;146909;147841;83903;10635;79172;3833;10051;55010</t>
  </si>
  <si>
    <t>PLK4;H2AFZ;CDC25C;TMPO;LMNB2;GINS1;ERCC6L;BORA;KIF18B;SPC24;HASPIN;RAD51AP1;CENPO;KIFC1;SMC4;PARPBP</t>
  </si>
  <si>
    <t>http://www.broadinstitute.org/gsea/msigdb/cards/GSE25085_FETAL_LIVER_VS_ADULT_BM_SP4_THYMIC_IMPLANT_UP.html</t>
  </si>
  <si>
    <t>8520;699;701;3148;6241;7112;4288;9768;157313;55247;55771;79915;64151;64105;84057;1894</t>
  </si>
  <si>
    <t>HAT1;BUB1;BUB1B;HMGB2;RRM2;TMPO;MKI67;PCLAF;CDCA2;NEIL3;PRR11;ATAD5;NCAPG;CENPK;MND1;ECT2</t>
  </si>
  <si>
    <t>GSE41867_LCMV_ARMSTRONG_VS_CLONE13_DAY6_EFFECTOR_CD8_TCELL_UP</t>
  </si>
  <si>
    <t>6839;1515;9232;7298;983;3015;9775;10376;4085;4998;2146;147841;57696;83903;220134;55646</t>
  </si>
  <si>
    <t>SUV39H1;CTSV;PTTG1;TYMS;CDK1;H2AFZ;EIF4A3;TUBA1B;MAD2L1;ORC1;EZH2;SPC24;DDX55;HASPIN;SKA1;LYAR</t>
  </si>
  <si>
    <t>http://www.broadinstitute.org/gsea/msigdb/cards/GSE41867_LCMV_ARMSTRONG_VS_CLONE13_DAY6_EFFECTOR_CD8_TCELL_UP.html</t>
  </si>
  <si>
    <t>6790;701;1471;3015;1058;9735;4085;1870;9928;2146;57082;83903;93594;63967;29980</t>
  </si>
  <si>
    <t>AURKA;BUB1B;CST3;H2AFZ;CENPA;KNTC1;MAD2L1;E2F2;KIF14;EZH2;KNL1;HASPIN;TBC1D31;CLSPN;DONSON</t>
  </si>
  <si>
    <t>9055;3832;5347;9493;8208;6491;55165;157570;259266;2491;84930;9585;83540;1894;55723</t>
  </si>
  <si>
    <t>PRC1;KIF11;PLK1;AC027237.1;CHAF1B;STIL;CEP55;ESCO2;ASPM;CENPI;MASTL;KIF20B;NUF2;ECT2;ASF1B</t>
  </si>
  <si>
    <t>2189;284403;4605;4001;1786;995;4085;23397;9319;55165;113130;81610;9156;6941</t>
  </si>
  <si>
    <t>FANCG;WDR62;MYBL2;LMNB1;DNMT1;CDC25C;MAD2L1;NCAPH;TRIP13;CEP55;CDCA5;FAM83D;EXO1;TCF19</t>
  </si>
  <si>
    <t>5496;1841;4174;5982;4436;5902;4670;1434;5426;1479;1994;27338;55635;10293;55038</t>
  </si>
  <si>
    <t>PPM1G;DTYMK;MCM5;RFC2;MSH2;RANBP1;HNRNPM;CSE1L;POLE;CSTF3;ELAVL1;UBE2S;DEPDC1;TRAIP;CDCA4</t>
  </si>
  <si>
    <t>GSE17974_CTRL_VS_ACT_IL4_AND_ANTI_IL12_72H_CD4_TCELL_DN</t>
  </si>
  <si>
    <t>23306;9401;22995;7083;4001;1017;993;23310;1063;5557;2146;83990;81610;81624;9156</t>
  </si>
  <si>
    <t>NEMP1;RECQL4;CEP152;TK1;LMNB1;CDK2;CDC25A;NCAPD3;CENPF;PRIM1;EZH2;BRIP1;FAM83D;DIAPH3;EXO1</t>
  </si>
  <si>
    <t>http://www.broadinstitute.org/gsea/msigdb/cards/GSE17974_CTRL_VS_ACT_IL4_AND_ANTI_IL12_72H_CD4_TCELL_DN.html</t>
  </si>
  <si>
    <t>10403;9055;699;983;9735;1763;63979;54892;10635;55839;51203;83540;64946;63967;54443</t>
  </si>
  <si>
    <t>NDC80;PRC1;BUB1;CDK1;KNTC1;DNA2;FIGNL1;NCAPG2;RAD51AP1;CENPN;NUSAP1;NUF2;CENPH;CLSPN;ANLN</t>
  </si>
  <si>
    <t>GSE27786_LSK_VS_CD8_TCELL_UP</t>
  </si>
  <si>
    <t>79733;6790;1841;1017;4174;899;157313;113115;80178;90381;128239;81930;64151;3619;10460</t>
  </si>
  <si>
    <t>E2F8;AURKA;DTYMK;CDK2;MCM5;CCNF;CDCA2;MTFR2;TEDC2;TICRR;IQGAP3;KIF18A;NCAPG;INCENP;TACC3</t>
  </si>
  <si>
    <t>http://www.broadinstitute.org/gsea/msigdb/cards/GSE27786_LSK_VS_CD8_TCELL_UP.html</t>
  </si>
  <si>
    <t>GSE27786_LSK_VS_NKTCELL_UP</t>
  </si>
  <si>
    <t>6790;3161;890;1017;790;4174;672;5347;5427;4998;23076;157313;78995;2187;9156</t>
  </si>
  <si>
    <t>AURKA;HMMR;CCNA2;CDK2;CAD;MCM5;BRCA1;PLK1;POLE2;ORC1;RRP1B;CDCA2;C17orf53;FANCB;EXO1</t>
  </si>
  <si>
    <t>http://www.broadinstitute.org/gsea/msigdb/cards/GSE27786_LSK_VS_NKTCELL_UP.html</t>
  </si>
  <si>
    <t>GSE27786_LIN_NEG_VS_CD4_TCELL_UP</t>
  </si>
  <si>
    <t>9133;1017;790;5933;993;7272;899;10376;8683;90381;55789;11073;79000;55732;10926</t>
  </si>
  <si>
    <t>CCNB2;CDK2;CAD;RBL1;CDC25A;TTK;CCNF;TUBA1B;SRSF9;TICRR;DEPDC1B;TOPBP1;AUNIP;C1orf112;DBF4</t>
  </si>
  <si>
    <t>http://www.broadinstitute.org/gsea/msigdb/cards/GSE27786_LIN_NEG_VS_CD4_TCELL_UP.html</t>
  </si>
  <si>
    <t>GSE27786_LIN_NEG_VS_ERYTHROBLAST_DN</t>
  </si>
  <si>
    <t>79733;10403;9055;983;890;5558;9735;27338;286826;57082;8438;10615;990;2177;81624</t>
  </si>
  <si>
    <t>E2F8;NDC80;PRC1;CDK1;CCNA2;PRIM2;KNTC1;UBE2S;LIN9;KNL1;RAD54L;SPAG5;CDC6;FANCD2;DIAPH3</t>
  </si>
  <si>
    <t>http://www.broadinstitute.org/gsea/msigdb/cards/GSE27786_LIN_NEG_VS_ERYTHROBLAST_DN.html</t>
  </si>
  <si>
    <t>3161;7298;1017;5933;672;675;10376;8683;79866;163786;25886;147841;55355;79019;9156</t>
  </si>
  <si>
    <t>HMMR;TYMS;CDK2;RBL1;BRCA1;BRCA2;TUBA1B;SRSF9;BORA;SASS6;POC1A;SPC24;HJURP;CENPM;EXO1</t>
  </si>
  <si>
    <t>GSE27786_NKCELL_VS_MONO_MAC_DN</t>
  </si>
  <si>
    <t>79733;10403;22995;995;9735;4751;54821;128239;259266;55355;57082;55789;79000;79019;10051</t>
  </si>
  <si>
    <t>E2F8;NDC80;CEP152;CDC25C;KNTC1;NEK2;ERCC6L;IQGAP3;ASPM;HJURP;KNL1;DEPDC1B;AUNIP;CENPM;SMC4</t>
  </si>
  <si>
    <t>http://www.broadinstitute.org/gsea/msigdb/cards/GSE27786_NKCELL_VS_MONO_MAC_DN.html</t>
  </si>
  <si>
    <t>9133;7153;3148;6241;5557;675;1163;1479;57650;990;84790;3833;51203;29127;3619</t>
  </si>
  <si>
    <t>CCNB2;TOP2A;HMGB2;RRM2;PRIM1;BRCA2;CKS1B;CSTF3;CIP2A;CDC6;TUBA1C;KIFC1;NUSAP1;RACGAP1;INCENP</t>
  </si>
  <si>
    <t>9232;4691;672;4751;1163;84823;2305;23518;79866;55247;26586;3066;3833;11321;3070</t>
  </si>
  <si>
    <t>PTTG1;NCL;BRCA1;NEK2;CKS1B;LMNB2;FOXM1;R3HDM1;BORA;NEIL3;CKAP2;HDAC2;KIFC1;GPN1;HELLS</t>
  </si>
  <si>
    <t>http://www.broadinstitute.org/gsea/msigdb/cards/GSE3982_NEUTROPHIL_VS_TH1_DN.html</t>
  </si>
  <si>
    <t>699;7398;10105;4174;4171;8833;10376;157570;286826;113130;990;3619;55723;51514;23594</t>
  </si>
  <si>
    <t>BUB1;USP1;PPIF;MCM5;MCM2;GMPS;TUBA1B;ESCO2;LIN9;CDCA5;CDC6;INCENP;ASF1B;DTL;ORC6</t>
  </si>
  <si>
    <t>1841;1017;5933;9768;6491;157570;57647;162681;57082;9125;27085;83461;83990;83540;80119</t>
  </si>
  <si>
    <t>DTYMK;CDK2;RBL1;PCLAF;STIL;ESCO2;DHX37;C18orf54;KNL1;CNOT9;MTBP;CDCA3;BRIP1;NUF2;PIF1</t>
  </si>
  <si>
    <t>10403;5496;1786;9493;1033;54821;55165;348793;115004;83903;9088;54478;79000;81624;10460</t>
  </si>
  <si>
    <t>NDC80;PPM1G;DNMT1;AC027237.1;CDKN3;ERCC6L;CEP55;WDR53;CGAS;HASPIN;PKMYT1;PIMREG;AUNIP;DIAPH3;TACC3</t>
  </si>
  <si>
    <t>GSE4811_CLASSSICALY_ACTIVATED_VS_TYPE_2_ACTIVATED_MACROPHAGE_UP</t>
  </si>
  <si>
    <t>790;995;5985;1163;348654;195828;83903;146956;113130;132320;84296;3619;51512;22974;23594</t>
  </si>
  <si>
    <t>CAD;CDC25C;RFC5;CKS1B;GEN1;ZNF367;HASPIN;EME1;CDCA5;SCLT1;GINS4;INCENP;GTSE1;TPX2;ORC6</t>
  </si>
  <si>
    <t>http://www.broadinstitute.org/gsea/msigdb/cards/GSE4811_CLASSSICALY_ACTIVATED_VS_TYPE_2_ACTIVATED_MACROPHAGE_UP.html</t>
  </si>
  <si>
    <t>10403;10112;675;79682;146909;79801;57082;144455;55771;83461;64151;2177;81610;81624;90417</t>
  </si>
  <si>
    <t>NDC80;KIF20A;BRCA2;CENPU;KIF18B;SHCBP1;KNL1;E2F7;PRR11;CDCA3;NCAPG;FANCD2;FAM83D;DIAPH3;KNSTRN</t>
  </si>
  <si>
    <t>332;699;9134;7153;1503;899;1869;9768;9918;63979;54892;55345;9212;55872;64946</t>
  </si>
  <si>
    <t>BIRC5;BUB1;CCNE2;TOP2A;CTPS1;CCNF;E2F1;PCLAF;NCAPD2;FIGNL1;NCAPG2;ZGRF1;AURKB;PBK;CENPH</t>
  </si>
  <si>
    <t>GSE6674_ANTI_IGM_VS_PL2_3_STIM_BCELL_UP</t>
  </si>
  <si>
    <t>11339;1515;10112;1058;4085;1033;55143;348793;91687;25886;220134;83461;11004;84296;54478</t>
  </si>
  <si>
    <t>OIP5;CTSV;KIF20A;CENPA;MAD2L1;CDKN3;CDCA8;WDR53;CENPL;POC1A;SKA1;CDCA3;KIF2C;GINS4;PIMREG</t>
  </si>
  <si>
    <t>http://www.broadinstitute.org/gsea/msigdb/cards/GSE6674_ANTI_IGM_VS_PL2_3_STIM_BCELL_UP.html</t>
  </si>
  <si>
    <t>993;672;23310;641;1479;54821;157570;55635;195828;57650;8438;84930;92092;29980;25788</t>
  </si>
  <si>
    <t>CDC25A;BRCA1;NCAPD3;BLM;CSTF3;ERCC6L;ESCO2;DEPDC1;ZNF367;CIP2A;RAD54L;MASTL;ZC3HAV1L;DONSON;RAD54B</t>
  </si>
  <si>
    <t>GSE10240_IL22_VS_IL17_STIM_PRIMARY_BRONCHIAL_EPITHELIAL_CELLS_DN</t>
  </si>
  <si>
    <t>8318;387103;343099;55635;221150;162681;78995;2187;55247;84930;10615;84057;29127;90417;25788</t>
  </si>
  <si>
    <t>CDC45;CENPW;CCDC18;DEPDC1;SKA3;C18orf54;C17orf53;FANCB;NEIL3;MASTL;SPAG5;MND1;RACGAP1;KNSTRN;RAD54B</t>
  </si>
  <si>
    <t>http://www.broadinstitute.org/gsea/msigdb/cards/GSE10240_IL22_VS_IL17_STIM_PRIMARY_BRONCHIAL_EPITHELIAL_CELLS_DN.html</t>
  </si>
  <si>
    <t>11339;10592;891;84823;6749;1479;4998;9700;9319;84798;80178;79019;55646;51514;51659</t>
  </si>
  <si>
    <t>OIP5;SMC2;CCNB1;LMNB2;SSRP1;CSTF3;ORC1;ESPL1;TRIP13;C19orf48;TEDC2;CENPM;LYAR;DTL;GINS2</t>
  </si>
  <si>
    <t>11065;701;7153;890;1063;5347;9493;1870;9918;1033;151246;83903;80119;55723;51512</t>
  </si>
  <si>
    <t>UBE2C;BUB1B;TOP2A;CCNA2;CENPF;PLK1;AC027237.1;E2F2;NCAPD2;CDKN3;SGO2;HASPIN;PIF1;ASF1B;GTSE1</t>
  </si>
  <si>
    <t>24137;10592;3015;4001;5985;23310;5557;29028;146909;81930;3833;57405;10051;10926;27339</t>
  </si>
  <si>
    <t>KIF4A;SMC2;H2AFZ;LMNB1;RFC5;NCAPD3;PRIM1;ATAD2;KIF18B;KIF18A;KIFC1;SPC25;SMC4;DBF4;PRPF19</t>
  </si>
  <si>
    <t>http://www.broadinstitute.org/gsea/msigdb/cards/GSE21927_GMCSF_IL6_VS_GMCSF_GCSF_TREATED_BONE_MARROW_DN.html</t>
  </si>
  <si>
    <t>86;9134;203068;4001;7283;790;675;6733;1870;9125;11004;580;54069;51659;9633</t>
  </si>
  <si>
    <t>ACTL6A;CCNE2;TUBB;LMNB1;TUBG1;CAD;BRCA2;SRPK2;E2F2;CNOT9;KIF2C;BARD1;MIS18A;GINS2;TESMIN</t>
  </si>
  <si>
    <t>5496;22995;890;1841;790;5426;8683;55165;8438;10635;79902;83990;79000;29089;23594</t>
  </si>
  <si>
    <t>PPM1G;CEP152;CCNA2;DTYMK;CAD;POLE;SRSF9;CEP55;RAD54L;RAD51AP1;NUP85;BRIP1;AUNIP;UBE2T;ORC6</t>
  </si>
  <si>
    <t>5496;3015;890;5557;5558;9735;55165;57082;144455;10635;9585;79902;55055;79968;29089</t>
  </si>
  <si>
    <t>PPM1G;H2AFZ;CCNA2;PRIM1;PRIM2;KNTC1;CEP55;KNL1;E2F7;RAD51AP1;KIF20B;NUP85;ZWILCH;WDR76;UBE2T</t>
  </si>
  <si>
    <t>GSE25123_CTRL_VS_IL4_STIM_PPARG_KO_MACROPHAGE_UP</t>
  </si>
  <si>
    <t>79733;11169;5902;1163;151648;113115;163786;55388;147841;10635;9088;11004;990;64105;10293</t>
  </si>
  <si>
    <t>E2F8;WDHD1;RANBP1;CKS1B;SGO1;MTFR2;SASS6;MCM10;SPC24;RAD51AP1;PKMYT1;KIF2C;CDC6;CENPK;TRAIP</t>
  </si>
  <si>
    <t>http://www.broadinstitute.org/gsea/msigdb/cards/GSE25123_CTRL_VS_IL4_STIM_PPARG_KO_MACROPHAGE_UP.html</t>
  </si>
  <si>
    <t>11065;6929;5557;9735;9319;89958;150468;25886;150465;11073;23165;93594;9088;51203;55723</t>
  </si>
  <si>
    <t>UBE2C;TCF3;PRIM1;KNTC1;TRIP13;SAPCD2;CKAP2L;POC1A;TTL;TOPBP1;NUP205;TBC1D31;PKMYT1;NUSAP1;ASF1B</t>
  </si>
  <si>
    <t>10212;5717;1871;1111;790;4174;5982;5902;2956;4085;9837;2146;387103;55706;55646</t>
  </si>
  <si>
    <t>DDX39A;PSMD11;E2F3;CHEK1;CAD;MCM5;RFC2;RANBP1;MSH6;MAD2L1;GINS1;EZH2;CENPW;NDC1;LYAR</t>
  </si>
  <si>
    <t>1871;1111;5709;1515;1503;4174;4176;675;2956;1163;84823;5888;8683;2146;55706</t>
  </si>
  <si>
    <t>E2F3;CHEK1;PSMD3;CTSV;CTPS1;MCM5;MCM7;BRCA2;MSH6;CKS1B;LMNB2;RAD51;SRSF9;EZH2;NDC1</t>
  </si>
  <si>
    <t>1871;11339;5985;1763;9833;729533;147841;55247;55839;80829;10615;84057;83990;6941;51659</t>
  </si>
  <si>
    <t>E2F3;OIP5;RFC5;DNA2;MELK;FAM72A;SPC24;NEIL3;CENPN;ZFP91;SPAG5;MND1;BRIP1;TCF19;GINS2</t>
  </si>
  <si>
    <t>8317;1503;5557;5558;4998;9700;23076;387103;84798;83903;83461;2177;55732;51512;25788</t>
  </si>
  <si>
    <t>CDC7;CTPS1;PRIM1;PRIM2;ORC1;ESPL1;RRP1B;CENPW;C19orf48;HASPIN;CDCA3;FANCD2;C1orf112;GTSE1;RAD54B</t>
  </si>
  <si>
    <t>1111;9134;995;7272;5985;5558;9833;23518;23590;79866;162681;23165;10635;79915;55723</t>
  </si>
  <si>
    <t>CHEK1;CCNE2;CDC25C;TTK;RFC5;PRIM2;MELK;R3HDM1;PDSS1;BORA;C18orf54;NUP205;RAD51AP1;ATAD5;ASF1B</t>
  </si>
  <si>
    <t>10212;5717;7398;4691;4436;5427;23590;29028;374393;55388;55355;80179;990;64785;79000</t>
  </si>
  <si>
    <t>DDX39A;PSMD11;USP1;NCL;MSH2;POLE2;PDSS1;ATAD2;FAM111B;MCM10;HJURP;MYO19;CDC6;GINS3;AUNIP</t>
  </si>
  <si>
    <t>5717;10592;672;9735;5426;9700;9918;9928;6491;29028;23165;8570;580;56992</t>
  </si>
  <si>
    <t>PSMD11;SMC2;BRCA1;KNTC1;POLE;ESPL1;NCAPD2;KIF14;STIL;ATAD2;NUP205;KHSRP;BARD1;KIF15</t>
  </si>
  <si>
    <t>GSE12003_MIR223_KO_VS_WT_BM_PROGENITOR_8D_CULTURE_DN</t>
  </si>
  <si>
    <t>701;995;23310;4751;9493;157570;151648;25886;83903;55839;83461;54478;1894</t>
  </si>
  <si>
    <t>BUB1B;CDC25C;NCAPD3;NEK2;AC027237.1;ESCO2;SGO1;POC1A;HASPIN;CENPN;CDCA3;PIMREG;ECT2</t>
  </si>
  <si>
    <t>http://www.broadinstitute.org/gsea/msigdb/cards/GSE12003_MIR223_KO_VS_WT_BM_PROGENITOR_8D_CULTURE_DN.html</t>
  </si>
  <si>
    <t>GSE45365_WT_VS_IFNAR_KO_CD11B_DC_DN</t>
  </si>
  <si>
    <t>6790;3161;9133;672;1062;9493;9928;1033;55165;55143;7444;220042;259266;11004</t>
  </si>
  <si>
    <t>AURKA;HMMR;CCNB2;BRCA1;CENPE;AC027237.1;KIF14;CDKN3;CEP55;CDCA8;VRK2;DDIAS;ASPM;KIF2C</t>
  </si>
  <si>
    <t>http://www.broadinstitute.org/gsea/msigdb/cards/GSE45365_WT_VS_IFNAR_KO_CD11B_DC_DN.html</t>
  </si>
  <si>
    <t>1111;898;10105;4171;3832;151648;150465;81930;55247;2491;29128;79075;55038;51203</t>
  </si>
  <si>
    <t>CHEK1;CCNE1;PPIF;MCM2;KIF11;SGO1;TTL;KIF18A;NEIL3;CENPI;UHRF1;DSCC1;CDCA4;NUSAP1</t>
  </si>
  <si>
    <t>1111;7298;7272;3068;1062;8683;23649;1033;55165;54892;55247;55872;54478;55215</t>
  </si>
  <si>
    <t>CHEK1;TYMS;TTK;HDGF;CENPE;SRSF9;POLA2;CDKN3;CEP55;NCAPG2;NEIL3;PBK;PIMREG;FANCI</t>
  </si>
  <si>
    <t>7153;5933;3832;9787;151246;151648;259266;51203;83540;1894;63967;54443;10926;26271</t>
  </si>
  <si>
    <t>TOP2A;RBL1;KIF11;DLGAP5;SGO2;SGO1;ASPM;NUSAP1;NUF2;ECT2;CLSPN;ANLN;DBF4;FBXO5</t>
  </si>
  <si>
    <t>9055;203068;4605;10797;4691;4001;10105;5347;10376;4085;4175;2146;26586;51203</t>
  </si>
  <si>
    <t>PRC1;TUBB;MYBL2;MTHFD2;NCL;LMNB1;PPIF;PLK1;TUBA1B;MAD2L1;MCM6;EZH2;CKAP2;NUSAP1</t>
  </si>
  <si>
    <t>GSE13411_SWITCHED_MEMORY_BCELL_VS_PLASMA_CELL_DN</t>
  </si>
  <si>
    <t>11065;983;993;672;84722;8438;10615;9088;3833;81620;55723;55010;22974;9156</t>
  </si>
  <si>
    <t>UBE2C;CDK1;CDC25A;BRCA1;PSRC1;RAD54L;SPAG5;PKMYT1;KIFC1;CDT1;ASF1B;PARPBP;TPX2;EXO1</t>
  </si>
  <si>
    <t>http://www.broadinstitute.org/gsea/msigdb/cards/GSE13411_SWITCHED_MEMORY_BCELL_VS_PLASMA_CELL_DN.html</t>
  </si>
  <si>
    <t>701;5111;3148;4174;4436;10036;4998;4175;2146;8438;93594;10293;51514;8914</t>
  </si>
  <si>
    <t>BUB1B;PCNA;HMGB2;MCM5;MSH2;CHAF1A;ORC1;MCM6;EZH2;RAD54L;TBC1D31;TRAIP;DTL;TIMELESS</t>
  </si>
  <si>
    <t>GSE1460_NAIVE_CD4_TCELL_CORD_BLOOD_VS_THYMIC_STROMAL_CELL_DN</t>
  </si>
  <si>
    <t>8317;10733;11339;10535;890;8833;9319;54821;54892;55355;55839;83461;83990;56992</t>
  </si>
  <si>
    <t>CDC7;PLK4;OIP5;RNASEH2A;CCNA2;GMPS;TRIP13;ERCC6L;NCAPG2;HJURP;CENPN;CDCA3;BRIP1;KIF15</t>
  </si>
  <si>
    <t>http://www.broadinstitute.org/gsea/msigdb/cards/GSE1460_NAIVE_CD4_TCELL_CORD_BLOOD_VS_THYMIC_STROMAL_CELL_DN.html</t>
  </si>
  <si>
    <t>1841;4173;5984;1869;5888;9833;23397;9918;84722;55247;9125;23165;64785;55723</t>
  </si>
  <si>
    <t>DTYMK;MCM4;RFC4;E2F1;RAD51;MELK;NCAPH;NCAPD2;PSRC1;NEIL3;CNOT9;NUP205;GINS3;ASF1B</t>
  </si>
  <si>
    <t>10112;7374;4001;1017;4174;4171;4670;3832;9787;55143;10635;3619;81624;55723</t>
  </si>
  <si>
    <t>KIF20A;UNG;LMNB1;CDK2;MCM5;MCM2;HNRNPM;KIF11;DLGAP5;CDCA8;RAD51AP1;INCENP;DIAPH3;ASF1B</t>
  </si>
  <si>
    <t>GSE24142_ADULT_VS_FETAL_EARLY_THYMIC_PROGENITOR_DN</t>
  </si>
  <si>
    <t>6790;6839;699;898;1058;1763;4085;9768;23590;79801;26586;580;54443;1789</t>
  </si>
  <si>
    <t>AURKA;SUV39H1;BUB1;CCNE1;CENPA;DNA2;MAD2L1;PCLAF;PDSS1;SHCBP1;CKAP2;BARD1;ANLN;DNMT3B</t>
  </si>
  <si>
    <t>http://www.broadinstitute.org/gsea/msigdb/cards/GSE24142_ADULT_VS_FETAL_EARLY_THYMIC_PROGENITOR_DN.html</t>
  </si>
  <si>
    <t>10403;10112;7298;1017;9928;54821;163786;25886;55355;146956;93594;84930;9585;80119</t>
  </si>
  <si>
    <t>NDC80;KIF20A;TYMS;CDK2;KIF14;ERCC6L;SASS6;POC1A;HJURP;EME1;TBC1D31;MASTL;KIF20B;PIF1</t>
  </si>
  <si>
    <t>6790;332;10112;203068;6240;5983;5902;1763;8683;4085;9768;64105;6941;23594</t>
  </si>
  <si>
    <t>AURKA;BIRC5;KIF20A;TUBB;RRM1;RFC3;RANBP1;DNA2;SRSF9;MAD2L1;PCLAF;CENPK;TCF19;ORC6</t>
  </si>
  <si>
    <t>6790;86;6240;790;10105;4436;641;1434;9700;26586;10615;51203;65003;23594</t>
  </si>
  <si>
    <t>AURKA;ACTL6A;RRM1;CAD;PPIF;MSH2;BLM;CSE1L;ESPL1;CKAP2;SPAG5;NUSAP1;MRPL11;ORC6</t>
  </si>
  <si>
    <t>5717;9134;1503;993;4174;2237;5985;1763;6502;3066;55706;79902;11321;9156</t>
  </si>
  <si>
    <t>PSMD11;CCNE2;CTPS1;CDC25A;MCM5;FEN1;RFC5;DNA2;SKP2;HDAC2;NDC1;NUP85;GPN1;EXO1</t>
  </si>
  <si>
    <t>5717;23306;6839;1017;7272;2237;5347;5888;151246;10635;79915;51203;55732;8914</t>
  </si>
  <si>
    <t>PSMD11;NEMP1;SUV39H1;CDK2;TTK;FEN1;PLK1;RAD51;SGO2;RAD51AP1;ATAD5;NUSAP1;C1orf112;TIMELESS</t>
  </si>
  <si>
    <t>8520;10592;1017;899;5888;9768;79676;150465;83461;9088;64105;51203;80119;10460</t>
  </si>
  <si>
    <t>HAT1;SMC2;CDK2;CCNF;RAD51;PCLAF;OGFOD2;TTL;CDCA3;PKMYT1;CENPK;NUSAP1;PIF1;TACC3</t>
  </si>
  <si>
    <t>11065;1471;983;890;4176;672;10376;5426;9768;55165;7444;84296;81620;54443</t>
  </si>
  <si>
    <t>UBE2C;CST3;CDK1;CCNA2;MCM7;BRCA1;TUBA1B;POLE;PCLAF;CEP55;VRK2;GINS4;CDT1;ANLN</t>
  </si>
  <si>
    <t>5496;332;699;7398;10112;7083;4172;4173;3832;8683;2146;147841;113130;10460</t>
  </si>
  <si>
    <t>PPM1G;BIRC5;BUB1;USP1;KIF20A;TK1;MCM3;MCM4;KIF11;SRSF9;EZH2;SPC24;CDCA5;TACC3</t>
  </si>
  <si>
    <t>9133;7913;9775;1163;9700;151246;23590;157313;163786;79801;26586;9088;51514;10926</t>
  </si>
  <si>
    <t>CCNB2;DEK;EIF4A3;CKS1B;ESPL1;SGO2;PDSS1;CDCA2;SASS6;SHCBP1;CKAP2;PKMYT1;DTL;DBF4</t>
  </si>
  <si>
    <t>GSE15330_MEGAKARYOCYTE_ERYTHROID_PROGENITOR_VS_PRO_BCELL_DN</t>
  </si>
  <si>
    <t>2189;200933;5111;4001;3148;10971;9775;5427;55656;128239;55247;23234;3066;8914</t>
  </si>
  <si>
    <t>FANCG;FBXO45;PCNA;LMNB1;HMGB2;YWHAQ;EIF4A3;POLE2;INTS8;IQGAP3;NEIL3;DNAJC9;HDAC2;TIMELESS</t>
  </si>
  <si>
    <t>http://www.broadinstitute.org/gsea/msigdb/cards/GSE15330_MEGAKARYOCYTE_ERYTHROID_PROGENITOR_VS_PRO_BCELL_DN.html</t>
  </si>
  <si>
    <t>5496;5709;6839;5982;5557;54821;81930;9125;220134;3833;10051;54069;27339;65003</t>
  </si>
  <si>
    <t>PPM1G;PSMD3;SUV39H1;RFC2;PRIM1;ERCC6L;KIF18A;CNOT9;SKA1;KIFC1;SMC4;MIS18A;PRPF19;MRPL11</t>
  </si>
  <si>
    <t>http://www.broadinstitute.org/gsea/msigdb/cards/GSE21927_BALBC_VS_C57BL6_MONOCYTE_TUMOR_UP.html</t>
  </si>
  <si>
    <t>10403;7516;9055;699;701;11169;7083;983;3148;9493;55165;9824;2491;1894</t>
  </si>
  <si>
    <t>NDC80;XRCC2;PRC1;BUB1;BUB1B;WDHD1;TK1;CDK1;HMGB2;AC027237.1;CEP55;ARHGAP11A;CENPI;ECT2</t>
  </si>
  <si>
    <t>332;9055;701;10535;7283;2237;5902;5347;23076;1994;79866;79075;79019;51659</t>
  </si>
  <si>
    <t>BIRC5;PRC1;BUB1B;RNASEH2A;TUBG1;FEN1;RANBP1;PLK1;RRP1B;ELAVL1;BORA;DSCC1;CENPM;GINS2</t>
  </si>
  <si>
    <t>http://www.broadinstitute.org/gsea/msigdb/cards/GSE20500_CTRL_VS_RARA_ANTAGONIST_TREATED_CD4_TCELL_DN.html</t>
  </si>
  <si>
    <t>GSE22103_LPS_VS_GMCSF_AND_IFNG_STIM_NEUTROPHIL_UP</t>
  </si>
  <si>
    <t>23306;6839;699;8318;983;4172;1786;8208;23649;2146;2491;55055;55732;81624</t>
  </si>
  <si>
    <t>NEMP1;SUV39H1;BUB1;CDC45;CDK1;MCM3;DNMT1;CHAF1B;POLA2;EZH2;CENPI;ZWILCH;C1orf112;DIAPH3</t>
  </si>
  <si>
    <t>http://www.broadinstitute.org/gsea/msigdb/cards/GSE22103_LPS_VS_GMCSF_AND_IFNG_STIM_NEUTROPHIL_UP.html</t>
  </si>
  <si>
    <t>983;4605;7153;10797;995;672;5558;6415;1479;9319;8438;9212;55723;8914</t>
  </si>
  <si>
    <t>CDK1;MYBL2;TOP2A;MTHFD2;CDC25C;BRCA1;PRIM2;SELENOW;CSTF3;TRIP13;RAD54L;AURKB;ASF1B;TIMELESS</t>
  </si>
  <si>
    <t>GSE33292_DN3_THYMOCYTE_VS_TCELL_LYMPHOMA_FROM_TCF1_KO_DN</t>
  </si>
  <si>
    <t>699;10592;995;7272;23310;1058;4751;9493;9928;9824;10635;9585;580;10051</t>
  </si>
  <si>
    <t>BUB1;SMC2;CDC25C;TTK;NCAPD3;CENPA;NEK2;AC027237.1;KIF14;ARHGAP11A;RAD51AP1;KIF20B;BARD1;SMC4</t>
  </si>
  <si>
    <t>http://www.broadinstitute.org/gsea/msigdb/cards/GSE33292_DN3_THYMOCYTE_VS_TCELL_LYMPHOMA_FROM_TCF1_KO_DN.html</t>
  </si>
  <si>
    <t>6839;4173;899;23310;5347;6502;1033;55143;146909;150468;91687;55706;51512</t>
  </si>
  <si>
    <t>SUV39H1;MCM4;CCNF;NCAPD3;PLK1;SKP2;CDKN3;CDCA8;KIF18B;CKAP2L;CENPL;NDC1;GTSE1</t>
  </si>
  <si>
    <t>GSE29164_CD8_TCELL_VS_CD8_TCELL_AND_IL12_TREATED_MELANOMA_DAY7_DN</t>
  </si>
  <si>
    <t>11339;11130;9232;7083;7298;4605;6241;1062;9768;9319;55355;113130;84930</t>
  </si>
  <si>
    <t>OIP5;ZWINT;PTTG1;TK1;TYMS;MYBL2;RRM2;CENPE;PCLAF;TRIP13;HJURP;CDCA5;MASTL</t>
  </si>
  <si>
    <t>http://www.broadinstitute.org/gsea/msigdb/cards/GSE29164_CD8_TCELL_VS_CD8_TCELL_AND_IL12_TREATED_MELANOMA_DAY7_DN.html</t>
  </si>
  <si>
    <t>6790;11130;10592;7298;6241;5985;4436;1434;9493;9837;7444;55872;55010</t>
  </si>
  <si>
    <t>AURKA;ZWINT;SMC2;TYMS;RRM2;RFC5;MSH2;CSE1L;AC027237.1;GINS1;VRK2;PBK;PARPBP</t>
  </si>
  <si>
    <t>3161;8318;7298;675;5427;9493;9787;55789;55872;11004;79098;57405;51514</t>
  </si>
  <si>
    <t>HMMR;CDC45;TYMS;BRCA2;POLE2;AC027237.1;DLGAP5;DEPDC1B;PBK;KIF2C;C1orf116;SPC25;DTL</t>
  </si>
  <si>
    <t>10403;7283;5426;6749;9928;220042;55355;93594;9585;84296;84057;55055;54443</t>
  </si>
  <si>
    <t>NDC80;TUBG1;POLE;SSRP1;KIF14;DDIAS;HJURP;TBC1D31;KIF20B;GINS4;MND1;ZWILCH;ANLN</t>
  </si>
  <si>
    <t>10212;5111;4172;6241;4176;2956;8683;23397;79676;128239;9125;3833;54443</t>
  </si>
  <si>
    <t>DDX39A;PCNA;MCM3;RRM2;MCM7;MSH6;SRSF9;NCAPH;OGFOD2;IQGAP3;CNOT9;KIFC1;ANLN</t>
  </si>
  <si>
    <t>http://www.broadinstitute.org/gsea/msigdb/cards/GSE17721_CTRL_VS_POLYIC_4H_BMDC_UP.html</t>
  </si>
  <si>
    <t>GSE17974_CTRL_VS_ACT_IL4_AND_ANTI_IL12_12H_CD4_TCELL_DN</t>
  </si>
  <si>
    <t>23306;11130;203068;4174;2237;641;1479;4085;1994;9824;55215;55646;6941</t>
  </si>
  <si>
    <t>NEMP1;ZWINT;TUBB;MCM5;FEN1;BLM;CSTF3;MAD2L1;ELAVL1;ARHGAP11A;FANCI;LYAR;TCF19</t>
  </si>
  <si>
    <t>http://www.broadinstitute.org/gsea/msigdb/cards/GSE17974_CTRL_VS_ACT_IL4_AND_ANTI_IL12_12H_CD4_TCELL_DN.html</t>
  </si>
  <si>
    <t>10403;1163;991;4175;90381;146909;113130;80829;29128;29127;81620;63967;79019</t>
  </si>
  <si>
    <t>NDC80;CKS1B;CDC20;MCM6;TICRR;KIF18B;CDCA5;ZFP91;UHRF1;RACGAP1;CDT1;CLSPN;CENPM</t>
  </si>
  <si>
    <t>11065;10535;7374;1017;5933;6241;8833;6733;6491;55165;7444;55732;9156</t>
  </si>
  <si>
    <t>UBE2C;RNASEH2A;UNG;CDK2;RBL1;RRM2;GMPS;SRPK2;STIL;CEP55;VRK2;C1orf112;EXO1</t>
  </si>
  <si>
    <t>8318;24137;7083;10797;890;23397;9768;201299;81930;3833;79019;55723;22974</t>
  </si>
  <si>
    <t>CDC45;KIF4A;TK1;MTHFD2;CCNA2;NCAPH;PCLAF;RDM1;KIF18A;KIFC1;CENPM;ASF1B;TPX2</t>
  </si>
  <si>
    <t>11339;699;7298;7153;6241;1063;3832;6491;1033;26586;10051;55215;51659</t>
  </si>
  <si>
    <t>OIP5;BUB1;TYMS;TOP2A;RRM2;CENPF;KIF11;STIL;CDKN3;CKAP2;SMC4;FANCI;GINS2</t>
  </si>
  <si>
    <t>79733;9055;10797;991;27338;163786;128239;259266;91687;55355;10635;9088;10460</t>
  </si>
  <si>
    <t>E2F8;PRC1;MTHFD2;CDC20;UBE2S;SASS6;IQGAP3;ASPM;CENPL;HJURP;RAD51AP1;PKMYT1;TACC3</t>
  </si>
  <si>
    <t>GSE360_L_DONOVANI_VS_T_GONDII_DC_DN</t>
  </si>
  <si>
    <t>6790;701;983;3015;5111;898;3148;4174;4436;2305;4085;23649;4175</t>
  </si>
  <si>
    <t>AURKA;BUB1B;CDK1;H2AFZ;PCNA;CCNE1;HMGB2;MCM5;MSH2;FOXM1;MAD2L1;POLA2;MCM6</t>
  </si>
  <si>
    <t>http://www.broadinstitute.org/gsea/msigdb/cards/GSE360_L_DONOVANI_VS_T_GONDII_DC_DN.html</t>
  </si>
  <si>
    <t>GSE360_T_GONDII_VS_M_TUBERCULOSIS_MAC_UP</t>
  </si>
  <si>
    <t>7298;4691;4001;4436;5902;5557;4171;2956;4175;2146;23234;8570;81620</t>
  </si>
  <si>
    <t>TYMS;NCL;LMNB1;MSH2;RANBP1;PRIM1;MCM2;MSH6;MCM6;EZH2;DNAJC9;KHSRP;CDT1</t>
  </si>
  <si>
    <t>http://www.broadinstitute.org/gsea/msigdb/cards/GSE360_T_GONDII_VS_M_TUBERCULOSIS_MAC_UP.html</t>
  </si>
  <si>
    <t>79733;2189;86;7153;6929;6240;898;4172;1786;790;3838;23165;29127</t>
  </si>
  <si>
    <t>E2F8;FANCG;ACTL6A;TOP2A;TCF3;RRM1;CCNE1;MCM3;DNMT1;CAD;KPNA2;NUP205;RACGAP1</t>
  </si>
  <si>
    <t>http://www.broadinstitute.org/gsea/msigdb/cards/GSE3982_EOSINOPHIL_VS_BCELL_DN.html</t>
  </si>
  <si>
    <t>23306;11339;1434;9493;6749;8208;23397;55388;2187;9088;79902;11321;29089</t>
  </si>
  <si>
    <t>NEMP1;OIP5;CSE1L;AC027237.1;SSRP1;CHAF1B;NCAPH;MCM10;FANCB;PKMYT1;NUP85;GPN1;UBE2T</t>
  </si>
  <si>
    <t>GSE7852_LN_VS_THYMUS_TREG_DN</t>
  </si>
  <si>
    <t>5111;10971;3838;6502;2146;55345;91687;84904;3833;51203;3070;55723;11198</t>
  </si>
  <si>
    <t>PCNA;YWHAQ;KPNA2;SKP2;EZH2;ZGRF1;CENPL;ARHGEF39;KIFC1;NUSAP1;HELLS;ASF1B;SUPT16H</t>
  </si>
  <si>
    <t>http://www.broadinstitute.org/gsea/msigdb/cards/GSE7852_LN_VS_THYMUS_TREG_DN.html</t>
  </si>
  <si>
    <t>GSE2405_HEAT_KILLED_VS_LIVE_A_PHAGOCYTOPHILUM_STIM_NEUTROPHIL_9H_DN</t>
  </si>
  <si>
    <t>8317;11339;11169;22995;3832;348654;23590;9824;57647;81930;132320;9585;79172</t>
  </si>
  <si>
    <t>CDC7;OIP5;WDHD1;CEP152;KIF11;GEN1;PDSS1;ARHGAP11A;DHX37;KIF18A;SCLT1;KIF20B;CENPO</t>
  </si>
  <si>
    <t>http://www.broadinstitute.org/gsea/msigdb/cards/GSE2405_HEAT_KILLED_VS_LIVE_A_PHAGOCYTOPHILUM_STIM_NEUTROPHIL_9H_DN.html</t>
  </si>
  <si>
    <t>GSE2585_AIRE_KO_VS_WT_CD80_HIGH_MTEC_UP</t>
  </si>
  <si>
    <t>2189;7374;1058;1763;2305;1994;150465;55789;55839;4796;2177;55010;6941</t>
  </si>
  <si>
    <t>FANCG;UNG;CENPA;DNA2;FOXM1;ELAVL1;TTL;DEPDC1B;CENPN;TONSL;FANCD2;PARPBP;TCF19</t>
  </si>
  <si>
    <t>http://www.broadinstitute.org/gsea/msigdb/cards/GSE2585_AIRE_KO_VS_WT_CD80_HIGH_MTEC_UP.html</t>
  </si>
  <si>
    <t>1111;11169;10797;898;10971;995;5558;5347;641;9493;83461;3619;81624</t>
  </si>
  <si>
    <t>CHEK1;WDHD1;MTHFD2;CCNE1;YWHAQ;CDC25C;PRIM2;PLK1;BLM;AC027237.1;CDCA3;INCENP;DIAPH3</t>
  </si>
  <si>
    <t>1786;7913;4288;1062;9918;55165;55247;10635;55771;54478;79172;29127;79968</t>
  </si>
  <si>
    <t>DNMT1;DEK;MKI67;CENPE;NCAPD2;CEP55;NEIL3;RAD51AP1;PRR11;PIMREG;CENPO;RACGAP1;WDR76</t>
  </si>
  <si>
    <t>GSE8621_UNSTIM_VS_LPS_PRIMED_AND_LPS_STIM_MACROPHAGE_UP</t>
  </si>
  <si>
    <t>6581;5347;9833;9787;55143;146909;150468;55247;83461;55706;144097;29127;90417</t>
  </si>
  <si>
    <t>SLC22A3;PLK1;MELK;DLGAP5;CDCA8;KIF18B;CKAP2L;NEIL3;CDCA3;NDC1;SPINDOC;RACGAP1;KNSTRN</t>
  </si>
  <si>
    <t>http://www.broadinstitute.org/gsea/msigdb/cards/GSE8621_UNSTIM_VS_LPS_PRIMED_AND_LPS_STIM_MACROPHAGE_UP.html</t>
  </si>
  <si>
    <t>24137;7283;5933;899;7112;6733;23397;6491;63979;259266;23234;54478;8914</t>
  </si>
  <si>
    <t>KIF4A;TUBG1;RBL1;CCNF;TMPO;SRPK2;NCAPH;STIL;FIGNL1;ASPM;DNAJC9;PIMREG;TIMELESS</t>
  </si>
  <si>
    <t>GSE21927_SPLEEN_VS_4T1_TUMOR_MONOCYTE_BALBC_DN</t>
  </si>
  <si>
    <t>79733;23306;22995;891;2237;5427;1062;55143;113115;4796;55706;3070;51512</t>
  </si>
  <si>
    <t>E2F8;NEMP1;CEP152;CCNB1;FEN1;POLE2;CENPE;CDCA8;MTFR2;TONSL;NDC1;HELLS;GTSE1</t>
  </si>
  <si>
    <t>http://www.broadinstitute.org/gsea/msigdb/cards/GSE21927_SPLEEN_VS_4T1_TUMOR_MONOCYTE_BALBC_DN.html</t>
  </si>
  <si>
    <t>6790;5496;7298;890;5557;5558;6878;9735;11073;113130;9585;79968;23594</t>
  </si>
  <si>
    <t>AURKA;PPM1G;TYMS;CCNA2;PRIM1;PRIM2;TAF6;KNTC1;TOPBP1;CDCA5;KIF20B;WDR76;ORC6</t>
  </si>
  <si>
    <t>http://www.broadinstitute.org/gsea/msigdb/cards/GSE22589_HEALTHY_VS_HIV_AND_SIV_INFECTED_DC_UP.html</t>
  </si>
  <si>
    <t>10592;9232;5111;10797;1786;4174;675;1434;84823;23165;4796;55646;29980</t>
  </si>
  <si>
    <t>SMC2;PTTG1;PCNA;MTHFD2;DNMT1;MCM5;BRCA2;CSE1L;LMNB2;NUP205;TONSL;LYAR;DONSON</t>
  </si>
  <si>
    <t>6790;7153;1017;1786;1058;2956;9493;4175;84798;54892;80829;375444;54069</t>
  </si>
  <si>
    <t>AURKA;TOP2A;CDK2;DNMT1;CENPA;MSH6;AC027237.1;MCM6;C19orf48;NCAPG2;ZFP91;C5orf34;MIS18A</t>
  </si>
  <si>
    <t>332;10535;24137;7298;983;6240;5888;10036;6502;9928;11073;580;81620</t>
  </si>
  <si>
    <t>BIRC5;RNASEH2A;KIF4A;TYMS;CDK1;RRM1;RAD51;CHAF1A;SKP2;KIF14;TOPBP1;BARD1;CDT1</t>
  </si>
  <si>
    <t>GSE40273_GATA1_KO_VS_WT_TREG_UP</t>
  </si>
  <si>
    <t>10403;4172;1058;1163;4085;78995;57650;84930;81624;55723;29893;9156;51659</t>
  </si>
  <si>
    <t>NDC80;MCM3;CENPA;CKS1B;MAD2L1;C17orf53;CIP2A;MASTL;DIAPH3;ASF1B;PSMC3IP;EXO1;GINS2</t>
  </si>
  <si>
    <t>http://www.broadinstitute.org/gsea/msigdb/cards/GSE40273_GATA1_KO_VS_WT_TREG_UP.html</t>
  </si>
  <si>
    <t>1471;6241;672;899;4288;151648;23590;79866;89958;150468;79075;1894;55010</t>
  </si>
  <si>
    <t>CST3;RRM2;BRCA1;CCNF;MKI67;SGO1;PDSS1;BORA;SAPCD2;CKAP2L;DSCC1;ECT2;PARPBP</t>
  </si>
  <si>
    <t>1503;5984;4521;4288;1163;6749;4175;23590;25886;55355;2177;55732;10460</t>
  </si>
  <si>
    <t>CTPS1;RFC4;NUDT1;MKI67;CKS1B;SSRP1;MCM6;PDSS1;POC1A;HJURP;FANCD2;C1orf112;TACC3</t>
  </si>
  <si>
    <t>79733;5933;5983;1063;4751;6415;5888;54821;55143;9824;115004;580;2177</t>
  </si>
  <si>
    <t>E2F8;RBL1;RFC3;CENPF;NEK2;SELENOW;RAD51;ERCC6L;CDCA8;ARHGAP11A;CGAS;BARD1;FANCD2</t>
  </si>
  <si>
    <t>10733;11065;11169;5933;9493;4085;55165;253714;55247;10615;64105;29127;55723</t>
  </si>
  <si>
    <t>PLK4;UBE2C;WDHD1;RBL1;AC027237.1;MAD2L1;CEP55;MMS22L;NEIL3;SPAG5;CENPK;RACGAP1;ASF1B</t>
  </si>
  <si>
    <t>24137;5111;4176;7913;4436;10376;4175;9768;23234;11073;3619;79019;55723</t>
  </si>
  <si>
    <t>KIF4A;PCNA;MCM7;DEK;MSH2;TUBA1B;MCM6;PCLAF;DNAJC9;TOPBP1;INCENP;CENPM;ASF1B</t>
  </si>
  <si>
    <t>http://www.broadinstitute.org/gsea/msigdb/cards/GSE41978_KLRG1_HIGH_VS_LOW_EFFECTOR_CD8_TCELL_DN.html</t>
  </si>
  <si>
    <t>GSE40274_CTRL_VS_FOXP3_AND_LEF1_TRANSDUCED_ACTIVATED_CD4_TCELL_DN</t>
  </si>
  <si>
    <t>5985;4288;3068;4751;6749;9928;55388;9125;55872;29128;990;55723</t>
  </si>
  <si>
    <t>RFC5;MKI67;HDGF;NEK2;SSRP1;KIF14;MCM10;CNOT9;PBK;UHRF1;CDC6;ASF1B</t>
  </si>
  <si>
    <t>http://www.broadinstitute.org/gsea/msigdb/cards/GSE40274_CTRL_VS_FOXP3_AND_LEF1_TRANSDUCED_ACTIVATED_CD4_TCELL_DN.html</t>
  </si>
  <si>
    <t>332;4001;4172;1786;672;23310;6749;55143;26586;144455;11004;22974</t>
  </si>
  <si>
    <t>BIRC5;LMNB1;MCM3;DNMT1;BRCA1;NCAPD3;SSRP1;CDCA8;CKAP2;E2F7;KIF2C;TPX2</t>
  </si>
  <si>
    <t>9055;995;1063;4171;6878;57082;146956;55872;9585;580;29127;3619</t>
  </si>
  <si>
    <t>PRC1;CDC25C;CENPF;MCM2;TAF6;KNL1;EME1;PBK;KIF20B;BARD1;RACGAP1;INCENP</t>
  </si>
  <si>
    <t>GSE12839_CTRL_VS_IL12_TREATED_PBMC_UP</t>
  </si>
  <si>
    <t>5933;672;5558;641;157570;63979;79801;1894;11321;54443;10926</t>
  </si>
  <si>
    <t>RBL1;BRCA1;PRIM2;BLM;ESCO2;FIGNL1;SHCBP1;ECT2;GPN1;ANLN;DBF4</t>
  </si>
  <si>
    <t>http://www.broadinstitute.org/gsea/msigdb/cards/GSE12839_CTRL_VS_IL12_TREATED_PBMC_UP.html</t>
  </si>
  <si>
    <t>GSE7509_UNSTIM_VS_TNFA_IL1B_IL6_PGE_STIM_DC_UP</t>
  </si>
  <si>
    <t>4172;790;4176;5983;5902;8208;4175;3837;54821;79801;9212;29127</t>
  </si>
  <si>
    <t>MCM3;CAD;MCM7;RFC3;RANBP1;CHAF1B;MCM6;KPNB1;ERCC6L;SHCBP1;AURKB;RACGAP1</t>
  </si>
  <si>
    <t>http://www.broadinstitute.org/gsea/msigdb/cards/GSE7509_UNSTIM_VS_TNFA_IL1B_IL6_PGE_STIM_DC_UP.html</t>
  </si>
  <si>
    <t>1871;2175;7516;4001;5985;23076;146956;29127;3619;8914</t>
  </si>
  <si>
    <t>E2F3;FANCA;XRCC2;LMNB1;RFC5;RRP1B;EME1;RACGAP1;INCENP;TIMELESS</t>
  </si>
  <si>
    <t>http://www.broadinstitute.org/gsea/msigdb/cards/GSE21033_3H_VS_24H_POLYIC_STIM_DC_DN.html</t>
  </si>
  <si>
    <t>GSE45739_NRAS_KO_VS_WT_ACD3_ACD28_STIM_CD4_TCELL_UP</t>
  </si>
  <si>
    <t>10212;891;4691;898;6241;23590;63979;195828;220042;990;79000;55646</t>
  </si>
  <si>
    <t>DDX39A;CCNB1;NCL;CCNE1;RRM2;PDSS1;FIGNL1;ZNF367;DDIAS;CDC6;AUNIP;LYAR</t>
  </si>
  <si>
    <t>http://www.broadinstitute.org/gsea/msigdb/cards/GSE45739_NRAS_KO_VS_WT_ACD3_ACD28_STIM_CD4_TCELL_UP.html</t>
  </si>
  <si>
    <t>8520;6790;9134;2237;5985;1434;151246;285753;57082;55055;55010;26271</t>
  </si>
  <si>
    <t>HAT1;AURKA;CCNE2;FEN1;RFC5;CSE1L;SGO2;CEP57L1;KNL1;ZWILCH;PARPBP;FBXO5</t>
  </si>
  <si>
    <t>10733;699;10535;7283;1841;5982;9775;3068;1434;4085;55247;9212</t>
  </si>
  <si>
    <t>PLK4;BUB1;RNASEH2A;TUBG1;DTYMK;RFC2;EIF4A3;HDGF;CSE1L;MAD2L1;NEIL3;AURKB</t>
  </si>
  <si>
    <t>23306;7298;200933;898;23518;343099;79866;79682;11073;79000;11321;9156</t>
  </si>
  <si>
    <t>NEMP1;TYMS;FBXO45;CCNE1;R3HDM1;CCDC18;BORA;CENPU;TOPBP1;AUNIP;GPN1;EXO1</t>
  </si>
  <si>
    <t>GSE15930_STIM_VS_STIM_AND_IL12_72H_CD8_T_CELL_UP</t>
  </si>
  <si>
    <t>3797;3148;4174;7913;8683;79676;55656;128239;23234;51203;54443;55723</t>
  </si>
  <si>
    <t>KIF3C;HMGB2;MCM5;DEK;SRSF9;OGFOD2;INTS8;IQGAP3;DNAJC9;NUSAP1;ANLN;ASF1B</t>
  </si>
  <si>
    <t>http://www.broadinstitute.org/gsea/msigdb/cards/GSE15930_STIM_VS_STIM_AND_IL12_72H_CD8_T_CELL_UP.html</t>
  </si>
  <si>
    <t>8520;332;10112;4172;993;4174;1063;641;3066;64946;54443;55215</t>
  </si>
  <si>
    <t>HAT1;BIRC5;KIF20A;MCM3;CDC25A;MCM5;CENPF;BLM;HDAC2;CENPH;ANLN;FANCI</t>
  </si>
  <si>
    <t>GSE17721_CTRL_VS_CPG_0.5H_BMDC_UP</t>
  </si>
  <si>
    <t>8317;9232;6240;9493;9768;9918;55656;79902;51203;55055;3619;65003</t>
  </si>
  <si>
    <t>CDC7;PTTG1;RRM1;AC027237.1;PCLAF;NCAPD2;INTS8;NUP85;NUSAP1;ZWILCH;INCENP;MRPL11</t>
  </si>
  <si>
    <t>http://www.broadinstitute.org/gsea/msigdb/cards/GSE17721_CTRL_VS_CPG_0.5H_BMDC_UP.html</t>
  </si>
  <si>
    <t>9133;10112;5111;890;898;1017;5888;79676;11073;64946;54443;65003</t>
  </si>
  <si>
    <t>CCNB2;KIF20A;PCNA;CCNA2;CCNE1;CDK2;RAD51;OGFOD2;TOPBP1;CENPH;ANLN;MRPL11</t>
  </si>
  <si>
    <t>9401;7083;10376;991;8683;54821;259266;23234;11073;79019;55646;11198</t>
  </si>
  <si>
    <t>RECQL4;TK1;TUBA1B;CDC20;SRSF9;ERCC6L;ASPM;DNAJC9;TOPBP1;CENPM;LYAR;SUPT16H</t>
  </si>
  <si>
    <t>701;3015;5902;3838;9833;9319;151246;729533;285753;144455;81610;63967</t>
  </si>
  <si>
    <t>BUB1B;H2AFZ;RANBP1;KPNA2;MELK;TRIP13;SGO2;FAM72A;CEP57L1;E2F7;FAM83D;CLSPN</t>
  </si>
  <si>
    <t>1503;790;10105;672;2237;4171;10376;10657;7444;132320;84790;8914</t>
  </si>
  <si>
    <t>CTPS1;CAD;PPIF;BRCA1;FEN1;MCM2;TUBA1B;KHDRBS1;VRK2;SCLT1;TUBA1C;TIMELESS</t>
  </si>
  <si>
    <t>GSE27786_LSK_VS_LIN_NEG_CELL_DN</t>
  </si>
  <si>
    <t>8520;5496;890;672;5985;1994;348654;259266;83903;83461;55646;65003</t>
  </si>
  <si>
    <t>HAT1;PPM1G;CCNA2;BRCA1;RFC5;ELAVL1;GEN1;ASPM;HASPIN;CDCA3;LYAR;MRPL11</t>
  </si>
  <si>
    <t>http://www.broadinstitute.org/gsea/msigdb/cards/GSE27786_LSK_VS_LIN_NEG_CELL_DN.html</t>
  </si>
  <si>
    <t>GSE27786_LSK_VS_CD4_TCELL_UP</t>
  </si>
  <si>
    <t>3161;7398;7298;899;5347;1434;9837;163786;128239;220042;11073;2177</t>
  </si>
  <si>
    <t>HMMR;USP1;TYMS;CCNF;PLK1;CSE1L;GINS1;SASS6;IQGAP3;DDIAS;TOPBP1;FANCD2</t>
  </si>
  <si>
    <t>http://www.broadinstitute.org/gsea/msigdb/cards/GSE27786_LSK_VS_CD4_TCELL_UP.html</t>
  </si>
  <si>
    <t>701;7083;2237;5558;4085;54821;147841;10635;80829;55872;79902;10460</t>
  </si>
  <si>
    <t>BUB1B;TK1;FEN1;PRIM2;MAD2L1;ERCC6L;SPC24;RAD51AP1;ZFP91;PBK;NUP85;TACC3</t>
  </si>
  <si>
    <t>24137;983;200933;890;7913;1062;27338;163786;221150;55771;54443;55732</t>
  </si>
  <si>
    <t>KIF4A;CDK1;FBXO45;CCNA2;DEK;CENPE;UBE2S;SASS6;SKA3;PRR11;ANLN;C1orf112</t>
  </si>
  <si>
    <t>GSE27786_ERYTHROBLAST_VS_MONO_MAC_UP</t>
  </si>
  <si>
    <t>898;672;899;9735;163786;25886;113130;80179;55771;55872;11004;81624</t>
  </si>
  <si>
    <t>CCNE1;BRCA1;CCNF;KNTC1;SASS6;POC1A;CDCA5;MYO19;PRR11;PBK;KIF2C;DIAPH3</t>
  </si>
  <si>
    <t>http://www.broadinstitute.org/gsea/msigdb/cards/GSE27786_ERYTHROBLAST_VS_MONO_MAC_UP.html</t>
  </si>
  <si>
    <t>11169;10535;4176;4171;991;23649;6491;286826;29128;79902;81620;29893</t>
  </si>
  <si>
    <t>WDHD1;RNASEH2A;MCM7;MCM2;CDC20;POLA2;STIL;LIN9;UHRF1;NUP85;CDT1;PSMC3IP</t>
  </si>
  <si>
    <t>GSE36476_YOUNG_VS_OLD_DONOR_MEMORY_CD4_TCELL_72H_TSST_ACT_UP</t>
  </si>
  <si>
    <t>9232;4691;4521;10036;8438;80179;9585;11004;3619;79019;1789;51659</t>
  </si>
  <si>
    <t>PTTG1;NCL;NUDT1;CHAF1A;RAD54L;MYO19;KIF20B;KIF2C;INCENP;CENPM;DNMT3B;GINS2</t>
  </si>
  <si>
    <t>http://www.broadinstitute.org/gsea/msigdb/cards/GSE36476_YOUNG_VS_OLD_DONOR_MEMORY_CD4_TCELL_72H_TSST_ACT_UP.html</t>
  </si>
  <si>
    <t>9055;11130;991;9768;9787;55165;146909;78995;79801;10635;3619;79019</t>
  </si>
  <si>
    <t>PRC1;ZWINT;CDC20;PCLAF;DLGAP5;CEP55;KIF18B;C17orf53;SHCBP1;RAD51AP1;INCENP;CENPM</t>
  </si>
  <si>
    <t>11169;7374;1841;1786;5985;7112;6502;7444;220042;9585;79019;1789</t>
  </si>
  <si>
    <t>WDHD1;UNG;DTYMK;DNMT1;RFC5;TMPO;SKP2;VRK2;DDIAS;KIF20B;CENPM;DNMT3B</t>
  </si>
  <si>
    <t>10105;5985;8833;55143;286826;11073;9125;23165;79172;55038;81539;10051</t>
  </si>
  <si>
    <t>PPIF;RFC5;GMPS;CDCA8;LIN9;TOPBP1;CNOT9;NUP205;CENPO;CDCA4;SLC38A1;SMC4</t>
  </si>
  <si>
    <t>6790;3161;995;8833;1062;81930;55247;26586;10635;55872;64105;57405</t>
  </si>
  <si>
    <t>AURKA;HMMR;CDC25C;GMPS;CENPE;KIF18A;NEIL3;CKAP2;RAD51AP1;PBK;CENPK;SPC25</t>
  </si>
  <si>
    <t>1515;203068;3015;5111;6241;4176;5983;4288;3838;6415;10376;9768</t>
  </si>
  <si>
    <t>CTSV;TUBB;H2AFZ;PCNA;RRM2;MCM7;RFC3;MKI67;KPNA2;SELENOW;TUBA1B;PCLAF</t>
  </si>
  <si>
    <t>http://www.broadinstitute.org/gsea/msigdb/cards/GSE2405_0H_VS_9H_A_PHAGOCYTOPHILUM_STIM_NEUTROPHIL_DN.html</t>
  </si>
  <si>
    <t>1163;9493;729533;128239;146909;79801;113130;54478;63967;3070;51514</t>
  </si>
  <si>
    <t>CKS1B;AC027237.1;FAM72A;IQGAP3;KIF18B;SHCBP1;CDCA5;PIMREG;CLSPN;HELLS;DTL</t>
  </si>
  <si>
    <t>10403;10112;899;146909;91687;78995;9212;84930;83461;11004;54478;29089</t>
  </si>
  <si>
    <t>NDC80;KIF20A;CCNF;KIF18B;CENPL;C17orf53;AURKB;MASTL;CDCA3;KIF2C;PIMREG;UBE2T</t>
  </si>
  <si>
    <t>332;7516;1033;27338;55143;55635;9824;79866;89958;79801;9212;57405</t>
  </si>
  <si>
    <t>BIRC5;XRCC2;CDKN3;UBE2S;CDCA8;DEPDC1;ARHGAP11A;BORA;SAPCD2;SHCBP1;AURKB;SPC25</t>
  </si>
  <si>
    <t>8318;3015;5985;5558;3068;8208;1994;157570;81930;146956;55706;23594</t>
  </si>
  <si>
    <t>CDC45;H2AFZ;RFC5;PRIM2;HDGF;CHAF1B;ELAVL1;ESCO2;KIF18A;EME1;NDC1;ORC6</t>
  </si>
  <si>
    <t>GSE12963_UNINF_VS_ENV_AND_NEF_AND_VPR_DEFICIENT_HIV1_INF_CD4_TCELL_DN</t>
  </si>
  <si>
    <t>790;7272;5902;3838;23649;8438;79075;1894;63967;54443</t>
  </si>
  <si>
    <t>CAD;TTK;RANBP1;KPNA2;POLA2;RAD54L;DSCC1;ECT2;CLSPN;ANLN</t>
  </si>
  <si>
    <t>http://www.broadinstitute.org/gsea/msigdb/cards/GSE12963_UNINF_VS_ENV_AND_NEF_AND_VPR_DEFICIENT_HIV1_INF_CD4_TCELL_DN.html</t>
  </si>
  <si>
    <t>5496;899;9735;675;5347;5426;84798;79682;55656;2177;55055;79019</t>
  </si>
  <si>
    <t>PPM1G;CCNF;KNTC1;BRCA2;PLK1;POLE;C19orf48;CENPU;INTS8;FANCD2;ZWILCH;CENPM</t>
  </si>
  <si>
    <t>8317;1871;11169;7374;1841;898;6502;93594;79075;11321;1789;8914</t>
  </si>
  <si>
    <t>CDC7;E2F3;WDHD1;UNG;DTYMK;CCNE1;SKP2;TBC1D31;DSCC1;GPN1;DNMT3B;TIMELESS</t>
  </si>
  <si>
    <t>11065;10535;9133;9232;995;23310;10024;991;1033;55143;80178;83461</t>
  </si>
  <si>
    <t>UBE2C;RNASEH2A;CCNB2;PTTG1;CDC25C;NCAPD3;TROAP;CDC20;CDKN3;CDCA8;TEDC2;CDCA3</t>
  </si>
  <si>
    <t>7516;86;5111;10797;3148;9493;9768;11073;2491;29127;1894;56992</t>
  </si>
  <si>
    <t>XRCC2;ACTL6A;PCNA;MTHFD2;HMGB2;AC027237.1;PCLAF;TOPBP1;CENPI;RACGAP1;ECT2;KIF15</t>
  </si>
  <si>
    <t>1871;332;3161;9133;4176;1058;3832;55143;8438;3066;22974;27339</t>
  </si>
  <si>
    <t>E2F3;BIRC5;HMMR;CCNB2;MCM7;CENPA;KIF11;CDCA8;RAD54L;HDAC2;TPX2;PRPF19</t>
  </si>
  <si>
    <t>9133;86;7083;1841;6240;4172;790;5557;4670;55247;27339;8914</t>
  </si>
  <si>
    <t>CCNB2;ACTL6A;TK1;DTYMK;RRM1;MCM3;CAD;PRIM1;HNRNPM;NEIL3;PRPF19;TIMELESS</t>
  </si>
  <si>
    <t>http://www.broadinstitute.org/gsea/msigdb/cards/GSE22033_UNTREATED_VS_ROSIGLITAZONE_TREATED_MEF_UP.html</t>
  </si>
  <si>
    <t>GSE21033_CTRL_VS_POLYIC_STIM_DC_3H_UP</t>
  </si>
  <si>
    <t>8317;7272;5557;3832;1434;4998;9787;1994;79682;9125;54069;23594</t>
  </si>
  <si>
    <t>CDC7;TTK;PRIM1;KIF11;CSE1L;ORC1;DLGAP5;ELAVL1;CENPU;CNOT9;MIS18A;ORC6</t>
  </si>
  <si>
    <t>http://www.broadinstitute.org/gsea/msigdb/cards/GSE21033_CTRL_VS_POLYIC_STIM_DC_3H_UP.html</t>
  </si>
  <si>
    <t>GSE22432_MULTIPOTENT_VS_COMMON_DC_PROGENITOR_UNTREATED_UP</t>
  </si>
  <si>
    <t>5111;10797;790;10105;9775;9319;23590;9125;23165;84991;11321;1789</t>
  </si>
  <si>
    <t>PCNA;MTHFD2;CAD;PPIF;EIF4A3;TRIP13;PDSS1;CNOT9;NUP205;RBM17;GPN1;DNMT3B</t>
  </si>
  <si>
    <t>http://www.broadinstitute.org/gsea/msigdb/cards/GSE22432_MULTIPOTENT_VS_COMMON_DC_PROGENITOR_UNTREATED_UP.html</t>
  </si>
  <si>
    <t>11169;5111;7374;6240;790;5984;5558;23649;55165;9125;64946;9156</t>
  </si>
  <si>
    <t>WDHD1;PCNA;UNG;RRM1;CAD;RFC4;PRIM2;POLA2;CEP55;CNOT9;CENPH;EXO1</t>
  </si>
  <si>
    <t>http://www.broadinstitute.org/gsea/msigdb/cards/GSE24210_CTRL_VS_IL35_TREATED_TCONV_CD4_TCELL_DN.html</t>
  </si>
  <si>
    <t>3015;993;6878;4751;1870;27338;79676;89958;7444;25886;55355;10460</t>
  </si>
  <si>
    <t>H2AFZ;CDC25A;TAF6;NEK2;E2F2;UBE2S;OGFOD2;SAPCD2;VRK2;POC1A;HJURP;TACC3</t>
  </si>
  <si>
    <t>GSE25088_CTRL_VS_ROSIGLITAZONE_STIM_MACROPHAGE_UP</t>
  </si>
  <si>
    <t>10797;5558;4670;3838;1869;991;9833;286826;729533;9212;79902;11321</t>
  </si>
  <si>
    <t>MTHFD2;PRIM2;HNRNPM;KPNA2;E2F1;CDC20;MELK;LIN9;FAM72A;AURKB;NUP85;GPN1</t>
  </si>
  <si>
    <t>http://www.broadinstitute.org/gsea/msigdb/cards/GSE25088_CTRL_VS_ROSIGLITAZONE_STIM_MACROPHAGE_UP.html</t>
  </si>
  <si>
    <t>6790;9133;1058;5347;1033;55165;157313;285753;57650;11004;54478;10051</t>
  </si>
  <si>
    <t>AURKA;CCNB2;CENPA;PLK1;CDKN3;CEP55;CDCA2;CEP57L1;CIP2A;KIF2C;PIMREG;SMC4</t>
  </si>
  <si>
    <t>7153;6929;1786;5984;1058;1869;1479;23397;9319;11073;9212;55723</t>
  </si>
  <si>
    <t>TOP2A;TCF3;DNMT1;RFC4;CENPA;E2F1;CSTF3;NCAPH;TRIP13;TOPBP1;AURKB;ASF1B</t>
  </si>
  <si>
    <t>1786;5933;899;7112;5557;9918;63979;259266;8438;144455;93594;79075</t>
  </si>
  <si>
    <t>DNMT1;RBL1;CCNF;TMPO;PRIM1;NCAPD2;FIGNL1;ASPM;RAD54L;E2F7;TBC1D31;DSCC1</t>
  </si>
  <si>
    <t>11065;6790;332;1515;4085;29128;81620;3619;27339;6941;65003;23594</t>
  </si>
  <si>
    <t>UBE2C;AURKA;BIRC5;CTSV;MAD2L1;UHRF1;CDT1;INCENP;PRPF19;TCF19;MRPL11;ORC6</t>
  </si>
  <si>
    <t>http://www.broadinstitute.org/gsea/msigdb/cards/GSE37605_FOXP3_FUSION_GFP_VS_IRES_GFP_TREG_NOD_UP.html</t>
  </si>
  <si>
    <t>10403;8520;1515;6240;4174;9787;1994;63979;163786;285753;64858;8914</t>
  </si>
  <si>
    <t>NDC80;HAT1;CTSV;RRM1;MCM5;DLGAP5;ELAVL1;FIGNL1;SASS6;CEP57L1;DCLRE1B;TIMELESS</t>
  </si>
  <si>
    <t>3015;898;6241;4171;6502;115004;79915;1894;3070;55723;51659;9633</t>
  </si>
  <si>
    <t>H2AFZ;CCNE1;RRM2;MCM2;SKP2;CGAS;ATAD5;ECT2;HELLS;ASF1B;GINS2;TESMIN</t>
  </si>
  <si>
    <t>GSE41867_DAY8_VS_DAY15_LCMV_CLONE13_EFFECTOR_CD8_TCELL_DN</t>
  </si>
  <si>
    <t>10733;8318;1841;995;150468;79801;57082;26586;146956;79968;79019;65003</t>
  </si>
  <si>
    <t>PLK4;CDC45;DTYMK;CDC25C;CKAP2L;SHCBP1;KNL1;CKAP2;EME1;WDR76;CENPM;MRPL11</t>
  </si>
  <si>
    <t>http://www.broadinstitute.org/gsea/msigdb/cards/GSE41867_DAY8_VS_DAY15_LCMV_CLONE13_EFFECTOR_CD8_TCELL_DN.html</t>
  </si>
  <si>
    <t>GSE41867_NAIVE_VS_DAY8_LCMV_EFFECTOR_CD8_TCELL_UP</t>
  </si>
  <si>
    <t>5709;7283;6415;10024;4998;23076;84904;2187;26586;79968;29089;55646</t>
  </si>
  <si>
    <t>PSMD3;TUBG1;SELENOW;TROAP;ORC1;RRP1B;ARHGEF39;FANCB;CKAP2;WDR76;UBE2T;LYAR</t>
  </si>
  <si>
    <t>http://www.broadinstitute.org/gsea/msigdb/cards/GSE41867_NAIVE_VS_DAY8_LCMV_EFFECTOR_CD8_TCELL_UP.html</t>
  </si>
  <si>
    <t>GSE46606_DAY1_VS_DAY3_CD40L_IL2_IL5_STIMULATED_IRF4_KO_BCELL_DN</t>
  </si>
  <si>
    <t>9055;9133;10112;55165;55635;113115;128239;162681;201299;83903;27085;57405</t>
  </si>
  <si>
    <t>PRC1;CCNB2;KIF20A;CEP55;DEPDC1;MTFR2;IQGAP3;C18orf54;RDM1;HASPIN;MTBP;SPC25</t>
  </si>
  <si>
    <t>http://www.broadinstitute.org/gsea/msigdb/cards/GSE46606_DAY1_VS_DAY3_CD40L_IL2_IL5_STIMULATED_IRF4_KO_BCELL_DN.html</t>
  </si>
  <si>
    <t>GSE46606_UNSTIM_VS_CD40L_IL2_IL5_DAY3_STIMULATED_BCELL_DN</t>
  </si>
  <si>
    <t>4691;6241;5983;4436;5888;4175;23590;220042;92092;990;64785;55038</t>
  </si>
  <si>
    <t>NCL;RRM2;RFC3;MSH2;RAD51;MCM6;PDSS1;DDIAS;ZC3HAV1L;CDC6;GINS3;CDCA4</t>
  </si>
  <si>
    <t>http://www.broadinstitute.org/gsea/msigdb/cards/GSE46606_UNSTIM_VS_CD40L_IL2_IL5_DAY3_STIMULATED_BCELL_DN.html</t>
  </si>
  <si>
    <t>GSE45365_NK_CELL_VS_CD11B_DC_MCMV_INFECTION_UP</t>
  </si>
  <si>
    <t>1503;4176;5983;4175;9837;9787;2146;89958;113130;55646;51512;29893</t>
  </si>
  <si>
    <t>CTPS1;MCM7;RFC3;MCM6;GINS1;DLGAP5;EZH2;SAPCD2;CDCA5;LYAR;GTSE1;PSMC3IP</t>
  </si>
  <si>
    <t>http://www.broadinstitute.org/gsea/msigdb/cards/GSE45365_NK_CELL_VS_CD11B_DC_MCMV_INFECTION_UP.html</t>
  </si>
  <si>
    <t>GSE9509_10MIN_VS_30MIN_LPS_AND_IL10_STIM_IL10_KO_MACROPHAGE_UP</t>
  </si>
  <si>
    <t>9055;8318;4001;5557;9493;10024;8438;55839;83461;81620;64858</t>
  </si>
  <si>
    <t>PRC1;CDC45;LMNB1;PRIM1;AC027237.1;TROAP;RAD54L;CENPN;CDCA3;CDT1;DCLRE1B</t>
  </si>
  <si>
    <t>http://www.broadinstitute.org/gsea/msigdb/cards/GSE9509_10MIN_VS_30MIN_LPS_AND_IL10_STIM_IL10_KO_MACROPHAGE_UP.html</t>
  </si>
  <si>
    <t>GSE9946_IMMATURE_VS_PROSTAGLANDINE2_TREATED_MATURE_DC_DN</t>
  </si>
  <si>
    <t>8520;11169;7272;675;641;79801;11073;64151;11321;56992</t>
  </si>
  <si>
    <t>HAT1;WDHD1;TTK;BRCA2;BLM;SHCBP1;TOPBP1;NCAPG;GPN1;KIF15</t>
  </si>
  <si>
    <t>http://www.broadinstitute.org/gsea/msigdb/cards/GSE9946_IMMATURE_VS_PROSTAGLANDINE2_TREATED_MATURE_DC_DN.html</t>
  </si>
  <si>
    <t>GSE40274_CTRL_VS_FOXP3_AND_GATA1_TRANSDUCED_ACTIVATED_CD4_TCELL_DN</t>
  </si>
  <si>
    <t>6790;890;7283;6240;4288;10024;151648;9125;990;51512</t>
  </si>
  <si>
    <t>AURKA;CCNA2;TUBG1;RRM1;MKI67;TROAP;SGO1;CNOT9;CDC6;GTSE1</t>
  </si>
  <si>
    <t>http://www.broadinstitute.org/gsea/msigdb/cards/GSE40274_CTRL_VS_FOXP3_AND_GATA1_TRANSDUCED_ACTIVATED_CD4_TCELL_DN.html</t>
  </si>
  <si>
    <t>3161;7083;7153;7913;3832;641;9700;9837;64434;79801</t>
  </si>
  <si>
    <t>HMMR;TK1;TOP2A;DEK;KIF11;BLM;ESPL1;GINS1;NOM1;SHCBP1</t>
  </si>
  <si>
    <t>2175;5111;4001;5888;157570;146909;2491;144455;55839;22974</t>
  </si>
  <si>
    <t>FANCA;PCNA;LMNB1;RAD51;ESCO2;KIF18B;CENPI;E2F7;CENPN;TPX2</t>
  </si>
  <si>
    <t>10733;10403;699;898;3838;1062;4175;2146;259266;55355;55771</t>
  </si>
  <si>
    <t>PLK4;NDC80;BUB1;CCNE1;KPNA2;CENPE;MCM6;EZH2;ASPM;HJURP;PRR11</t>
  </si>
  <si>
    <t>699;4605;7153;891;6241;1062;5888;157570;79682;259266;55771</t>
  </si>
  <si>
    <t>BUB1;MYBL2;TOP2A;CCNB1;RRM2;CENPE;RAD51;ESCO2;CENPU;ASPM;PRR11</t>
  </si>
  <si>
    <t>3161;11130;7298;10797;4436;4288;675;7444;10635;22974;8914</t>
  </si>
  <si>
    <t>HMMR;ZWINT;TYMS;MTHFD2;MSH2;MKI67;BRCA2;VRK2;RAD51AP1;TPX2;TIMELESS</t>
  </si>
  <si>
    <t>GSE14000_TRANSLATED_RNA_VS_MRNA_DC_UP</t>
  </si>
  <si>
    <t>10212;5717;11130;86;5983;4175;219988;2187;57696;51203;29127</t>
  </si>
  <si>
    <t>DDX39A;PSMD11;ZWINT;ACTL6A;RFC3;MCM6;PATL1;FANCB;DDX55;NUSAP1;RACGAP1</t>
  </si>
  <si>
    <t>http://www.broadinstitute.org/gsea/msigdb/cards/GSE14000_TRANSLATED_RNA_VS_MRNA_DC_UP.html</t>
  </si>
  <si>
    <t>1515;1841;4173;5984;6733;1869;5888;23649;55247;9125;79915</t>
  </si>
  <si>
    <t>CTSV;DTYMK;MCM4;RFC4;SRPK2;E2F1;RAD51;POLA2;NEIL3;CNOT9;ATAD5</t>
  </si>
  <si>
    <t>11065;332;3161;9133;6241;1763;55143;259266;150465;64105;57405</t>
  </si>
  <si>
    <t>UBE2C;BIRC5;HMMR;CCNB2;RRM2;DNA2;CDCA8;ASPM;TTL;CENPK;SPC25</t>
  </si>
  <si>
    <t>4605;6929;5933;9700;9918;348654;29028;54892;220134;55055;6941</t>
  </si>
  <si>
    <t>MYBL2;TCF3;RBL1;ESPL1;NCAPD2;GEN1;ATAD2;NCAPG2;SKA1;ZWILCH;TCF19</t>
  </si>
  <si>
    <t>983;5111;1017;1063;5888;4175;23397;9787;83903;26586;55055</t>
  </si>
  <si>
    <t>CDK1;PCNA;CDK2;CENPF;RAD51;MCM6;NCAPH;DLGAP5;HASPIN;CKAP2;ZWILCH</t>
  </si>
  <si>
    <t>699;10112;1017;3148;4176;1063;991;220134;57405;55723;11198</t>
  </si>
  <si>
    <t>BUB1;KIF20A;CDK2;HMGB2;MCM7;CENPF;CDC20;SKA1;SPC25;ASF1B;SUPT16H</t>
  </si>
  <si>
    <t>http://www.broadinstitute.org/gsea/msigdb/cards/GSE17721_CTRL_VS_GARDIQUIMOD_12H_BMDC_UP.html</t>
  </si>
  <si>
    <t>8520;7398;4176;6733;23590;113115;55388;7444;83903;113130;29127</t>
  </si>
  <si>
    <t>HAT1;USP1;MCM7;SRPK2;PDSS1;MTFR2;MCM10;VRK2;HASPIN;CDCA5;RACGAP1</t>
  </si>
  <si>
    <t>1871;11065;983;7374;4172;790;993;5558;4085;55165;65003</t>
  </si>
  <si>
    <t>E2F3;UBE2C;CDK1;UNG;MCM3;CAD;CDC25A;PRIM2;MAD2L1;CEP55;MRPL11</t>
  </si>
  <si>
    <t>332;983;672;4085;55165;55635;84722;51203;29127;55646;65003</t>
  </si>
  <si>
    <t>BIRC5;CDK1;BRCA1;MAD2L1;CEP55;DEPDC1;PSRC1;NUSAP1;RACGAP1;LYAR;MRPL11</t>
  </si>
  <si>
    <t>5557;4751;1434;84722;79866;163786;55656;348793;220042;2187;55355</t>
  </si>
  <si>
    <t>PRIM1;NEK2;CSE1L;PSRC1;BORA;SASS6;INTS8;WDR53;DDIAS;FANCB;HJURP</t>
  </si>
  <si>
    <t>86;7374;5985;5983;4436;5902;4670;84823;113115;55656;11073</t>
  </si>
  <si>
    <t>ACTL6A;UNG;RFC5;RFC3;MSH2;RANBP1;HNRNPM;LMNB2;MTFR2;INTS8;TOPBP1</t>
  </si>
  <si>
    <t>6929;6241;1058;2956;6996;9319;2146;57082;55247;146956;92092</t>
  </si>
  <si>
    <t>TCF3;RRM2;CENPA;MSH6;TDG;TRIP13;EZH2;KNL1;NEIL3;EME1;ZC3HAV1L</t>
  </si>
  <si>
    <t>701;5933;1763;55165;29028;128239;162681;57082;580;79172;55010</t>
  </si>
  <si>
    <t>BUB1B;RBL1;DNA2;CEP55;ATAD2;IQGAP3;C18orf54;KNL1;BARD1;CENPO;PARPBP</t>
  </si>
  <si>
    <t>79733;9232;200933;10797;899;5427;27338;7444;29089;3070;29980</t>
  </si>
  <si>
    <t>E2F8;PTTG1;FBXO45;MTHFD2;CCNF;POLE2;UBE2S;VRK2;UBE2T;HELLS;DONSON</t>
  </si>
  <si>
    <t>GSE27786_LIN_NEG_VS_NKCELL_UP</t>
  </si>
  <si>
    <t>6839;983;899;9735;9768;151246;284992;11073;64946;55732;81624</t>
  </si>
  <si>
    <t>SUV39H1;CDK1;CCNF;KNTC1;PCLAF;SGO2;CCDC150;TOPBP1;CENPH;C1orf112;DIAPH3</t>
  </si>
  <si>
    <t>http://www.broadinstitute.org/gsea/msigdb/cards/GSE27786_LIN_NEG_VS_NKCELL_UP.html</t>
  </si>
  <si>
    <t>79733;890;3148;1062;55143;163786;10635;84930;80179;55872;3619</t>
  </si>
  <si>
    <t>E2F8;CCNA2;HMGB2;CENPE;CDCA8;SASS6;RAD51AP1;MASTL;MYO19;PBK;INCENP</t>
  </si>
  <si>
    <t>2189;10592;9134;5558;9768;6491;55165;259266;81930;11073;113130</t>
  </si>
  <si>
    <t>FANCG;SMC2;CCNE2;PRIM2;PCLAF;STIL;CEP55;ASPM;KIF18A;TOPBP1;CDCA5</t>
  </si>
  <si>
    <t>10535;7083;983;4173;4174;5557;991;1479;9768;9212;3070</t>
  </si>
  <si>
    <t>RNASEH2A;TK1;CDK1;MCM4;MCM5;PRIM1;CDC20;CSTF3;PCLAF;AURKB;HELLS</t>
  </si>
  <si>
    <t>10535;7083;200933;6240;10105;4174;9775;5557;4171;79902;81620</t>
  </si>
  <si>
    <t>RNASEH2A;TK1;FBXO45;RRM1;PPIF;MCM5;EIF4A3;PRIM1;MCM2;NUP85;CDT1</t>
  </si>
  <si>
    <t>GSE360_L_DONOVANI_VS_T_GONDII_MAC_DN</t>
  </si>
  <si>
    <t>332;11130;7298;6929;5933;5984;2237;4171;3838;2146;23234</t>
  </si>
  <si>
    <t>BIRC5;ZWINT;TYMS;TCF3;RBL1;RFC4;FEN1;MCM2;KPNA2;EZH2;DNAJC9</t>
  </si>
  <si>
    <t>http://www.broadinstitute.org/gsea/msigdb/cards/GSE360_L_DONOVANI_VS_T_GONDII_MAC_DN.html</t>
  </si>
  <si>
    <t>79733;7153;10036;9768;1033;79682;146909;79801;55872;57405;51659</t>
  </si>
  <si>
    <t>E2F8;TOP2A;CHAF1A;PCLAF;CDKN3;CENPU;KIF18B;SHCBP1;PBK;SPC25;GINS2</t>
  </si>
  <si>
    <t>http://www.broadinstitute.org/gsea/msigdb/cards/GSE36476_YOUNG_VS_OLD_DONOR_MEMORY_CD4_TCELL_UP.html</t>
  </si>
  <si>
    <t>1515;9232;7153;890;6240;1434;23518;55247;26586;3066;79019</t>
  </si>
  <si>
    <t>CTSV;PTTG1;TOP2A;CCNA2;RRM1;CSE1L;R3HDM1;NEIL3;CKAP2;HDAC2;CENPM</t>
  </si>
  <si>
    <t>7083;203068;10797;6241;3832;4998;9768;79682;55839;84790;51659</t>
  </si>
  <si>
    <t>TK1;TUBB;MTHFD2;RRM2;KIF11;ORC1;PCLAF;CENPU;CENPN;TUBA1C;GINS2</t>
  </si>
  <si>
    <t>6929;6241;641;6502;54821;54892;57650;81610;55732;1789;9156</t>
  </si>
  <si>
    <t>TCF3;RRM2;BLM;SKP2;ERCC6L;NCAPG2;CIP2A;FAM83D;C1orf112;DNMT3B;EXO1</t>
  </si>
  <si>
    <t>24137;4691;1017;3148;5725;10105;8683;27338;11004;55038;81620</t>
  </si>
  <si>
    <t>KIF4A;NCL;CDK2;HMGB2;PTBP1;PPIF;SRSF9;UBE2S;KIF2C;CDCA4;CDT1</t>
  </si>
  <si>
    <t>GSE9037_WT_VS_IRAK4_KO_LPS_1H_STIM_BMDM_DN</t>
  </si>
  <si>
    <t>79733;10592;9232;7298;898;7272;1033;23234;55872;11004;55055</t>
  </si>
  <si>
    <t>E2F8;SMC2;PTTG1;TYMS;CCNE1;TTK;CDKN3;DNAJC9;PBK;KIF2C;ZWILCH</t>
  </si>
  <si>
    <t>http://www.broadinstitute.org/gsea/msigdb/cards/GSE9037_WT_VS_IRAK4_KO_LPS_1H_STIM_BMDM_DN.html</t>
  </si>
  <si>
    <t>10535;11130;203068;7913;1434;163786;79682;220042;9125;132320;54069</t>
  </si>
  <si>
    <t>RNASEH2A;ZWINT;TUBB;DEK;CSE1L;SASS6;CENPU;DDIAS;CNOT9;SCLT1;MIS18A</t>
  </si>
  <si>
    <t>7398;4751;3832;4085;157570;195828;162681;27085;83461;80119;1894</t>
  </si>
  <si>
    <t>USP1;NEK2;KIF11;MAD2L1;ESCO2;ZNF367;C18orf54;MTBP;CDCA3;PIF1;ECT2</t>
  </si>
  <si>
    <t>4001;5902;5426;4175;23165;8438;27085;55839;79172;81620;81539</t>
  </si>
  <si>
    <t>LMNB1;RANBP1;POLE;MCM6;NUP205;RAD54L;MTBP;CENPN;CENPO;CDT1;SLC38A1</t>
  </si>
  <si>
    <t>79733;2189;6839;9055;10592;1763;4751;2967;150468;55789;29127</t>
  </si>
  <si>
    <t>E2F8;FANCG;SUV39H1;PRC1;SMC2;DNA2;NEK2;GTF2H3;CKAP2L;DEPDC1B;RACGAP1</t>
  </si>
  <si>
    <t>22995;10592;7374;1063;9735;1763;675;8208;2967;1994;3619</t>
  </si>
  <si>
    <t>CEP152;SMC2;UNG;CENPF;KNTC1;DNA2;BRCA2;CHAF1B;GTF2H3;ELAVL1;INCENP</t>
  </si>
  <si>
    <t>10403;7153;4172;6241;5985;10376;5426;113115;23234;55706;27339</t>
  </si>
  <si>
    <t>NDC80;TOP2A;MCM3;RRM2;RFC5;TUBA1B;POLE;MTFR2;DNAJC9;NDC1;PRPF19</t>
  </si>
  <si>
    <t>1871;4172;4436;9735;3838;6491;29028;8438;10615;84296;29980</t>
  </si>
  <si>
    <t>E2F3;MCM3;MSH2;KNTC1;KPNA2;STIL;ATAD2;RAD54L;SPAG5;GINS4;DONSON</t>
  </si>
  <si>
    <t>6929;890;4176;5426;151246;221150;9212;55706;79172;3619;55646</t>
  </si>
  <si>
    <t>TCF3;CCNA2;MCM7;POLE;SGO2;SKA3;AURKB;NDC1;CENPO;INCENP;LYAR</t>
  </si>
  <si>
    <t>10535;4172;5982;4751;348654;83903;29127;11321;51514;22974</t>
  </si>
  <si>
    <t>RNASEH2A;MCM3;RFC2;NEK2;GEN1;HASPIN;RACGAP1;GPN1;DTL;TPX2</t>
  </si>
  <si>
    <t>7374;2237;157570;286826;79676;195828;220042;151188;2187;57696;29089</t>
  </si>
  <si>
    <t>UNG;FEN1;ESCO2;LIN9;OGFOD2;ZNF367;DDIAS;ARL6IP6;FANCB;DDX55;UBE2T</t>
  </si>
  <si>
    <t>1111;6581;9134;5902;4998;23518;9824;285753;92092;132320;8914</t>
  </si>
  <si>
    <t>CHEK1;SLC22A3;CCNE2;RANBP1;ORC1;R3HDM1;ARHGAP11A;CEP57L1;ZC3HAV1L;SCLT1;TIMELESS</t>
  </si>
  <si>
    <t>GSE15330_LYMPHOID_MULTIPOTENT_VS_GRANULOCYTE_MONOCYTE_PROGENITOR_UP</t>
  </si>
  <si>
    <t>5496;3161;10112;983;675;3832;63979;55388;55247;8438;83461</t>
  </si>
  <si>
    <t>PPM1G;HMMR;KIF20A;CDK1;BRCA2;KIF11;FIGNL1;MCM10;NEIL3;RAD54L;CDCA3</t>
  </si>
  <si>
    <t>http://www.broadinstitute.org/gsea/msigdb/cards/GSE15330_LYMPHOID_MULTIPOTENT_VS_GRANULOCYTE_MONOCYTE_PROGENITOR_UP.html</t>
  </si>
  <si>
    <t>GSE15330_GRANULOCYTE_MONOCYTE_PROGENITOR_VS_PRO_BCELL_UP</t>
  </si>
  <si>
    <t>4001;1017;10971;4998;55656;3066;27085;3833;29127;11321;90417</t>
  </si>
  <si>
    <t>LMNB1;CDK2;YWHAQ;ORC1;INTS8;HDAC2;MTBP;KIFC1;RACGAP1;GPN1;KNSTRN</t>
  </si>
  <si>
    <t>http://www.broadinstitute.org/gsea/msigdb/cards/GSE15330_GRANULOCYTE_MONOCYTE_PROGENITOR_VS_PRO_BCELL_UP.html</t>
  </si>
  <si>
    <t>7398;983;898;10105;2237;6733;2967;2146;54892;11073;79902</t>
  </si>
  <si>
    <t>USP1;CDK1;CCNE1;PPIF;FEN1;SRPK2;GTF2H3;EZH2;NCAPG2;TOPBP1;NUP85</t>
  </si>
  <si>
    <t>1515;4605;899;3838;57650;83903;9212;83461;54478;51203;57405</t>
  </si>
  <si>
    <t>CTSV;MYBL2;CCNF;KPNA2;CIP2A;HASPIN;AURKB;CDCA3;PIMREG;NUSAP1;SPC25</t>
  </si>
  <si>
    <t>GSE14908_RESTING_VS_HDM_STIM_CD4_TCELL_ATOPIC_PATIENT_UP</t>
  </si>
  <si>
    <t>6839;3015;4001;1017;7913;6749;57650;84930;9088;54478;54069</t>
  </si>
  <si>
    <t>SUV39H1;H2AFZ;LMNB1;CDK2;DEK;SSRP1;CIP2A;MASTL;PKMYT1;PIMREG;MIS18A</t>
  </si>
  <si>
    <t>http://www.broadinstitute.org/gsea/msigdb/cards/GSE14908_RESTING_VS_HDM_STIM_CD4_TCELL_ATOPIC_PATIENT_UP.html</t>
  </si>
  <si>
    <t>8318;7298;5558;1062;9837;23590;26586;23234;220134;79000;23594</t>
  </si>
  <si>
    <t>CDC45;TYMS;PRIM2;CENPE;GINS1;PDSS1;CKAP2;DNAJC9;SKA1;AUNIP;ORC6</t>
  </si>
  <si>
    <t>11065;6790;9133;9232;1063;10024;1033;9125;10615;9088;51512</t>
  </si>
  <si>
    <t>UBE2C;AURKA;CCNB2;PTTG1;CENPF;TROAP;CDKN3;CNOT9;SPAG5;PKMYT1;GTSE1</t>
  </si>
  <si>
    <t>332;11339;701;9133;7298;7283;5902;5557;4998;1994;580</t>
  </si>
  <si>
    <t>BIRC5;OIP5;BUB1B;CCNB2;TYMS;TUBG1;RANBP1;PRIM1;ORC1;ELAVL1;BARD1</t>
  </si>
  <si>
    <t>8317;203068;4288;6878;84823;157313;3066;92092;80829;57405;55010</t>
  </si>
  <si>
    <t>CDC7;TUBB;MKI67;TAF6;LMNB2;CDCA2;HDAC2;ZC3HAV1L;ZFP91;SPC25;PARPBP</t>
  </si>
  <si>
    <t>8317;675;10376;6733;84823;84722;79866;89958;54478;8914;90417</t>
  </si>
  <si>
    <t>CDC7;BRCA2;TUBA1B;SRPK2;LMNB2;PSRC1;BORA;SAPCD2;PIMREG;TIMELESS;KNSTRN</t>
  </si>
  <si>
    <t>79733;3797;991;1870;9833;157570;221150;151188;57082;11004;3833</t>
  </si>
  <si>
    <t>E2F8;KIF3C;CDC20;E2F2;MELK;ESCO2;SKA3;ARL6IP6;KNL1;KIF2C;KIFC1</t>
  </si>
  <si>
    <t>8318;983;6240;672;4436;4085;9833;387103;57082;55839;10926</t>
  </si>
  <si>
    <t>CDC45;CDK1;RRM1;BRCA1;MSH2;MAD2L1;MELK;CENPW;KNL1;CENPN;DBF4</t>
  </si>
  <si>
    <t>6790;11169;10797;995;5888;8683;113130;9212;11004;3619;9156</t>
  </si>
  <si>
    <t>AURKA;WDHD1;MTHFD2;CDC25C;RAD51;SRSF9;CDCA5;AURKB;KIF2C;INCENP;EXO1</t>
  </si>
  <si>
    <t>890;1063;9928;151246;343099;157313;113115;113130;83461</t>
  </si>
  <si>
    <t>CCNA2;CENPF;KIF14;SGO2;CCDC18;CDCA2;MTFR2;CDCA5;CDCA3</t>
  </si>
  <si>
    <t>5933;7272;5557;5888;2146;115004;55872;9585;580;64151;3619</t>
  </si>
  <si>
    <t>RBL1;TTK;PRIM1;RAD51;EZH2;CGAS;PBK;KIF20B;BARD1;NCAPG;INCENP</t>
  </si>
  <si>
    <t>GSE40655_FOXO1_KO_VS_WT_NTREG_DN</t>
  </si>
  <si>
    <t>79733;203068;5984;5558;6491;84722;128239;25886;147841;220134;64946</t>
  </si>
  <si>
    <t>E2F8;TUBB;RFC4;PRIM2;STIL;PSRC1;IQGAP3;POC1A;SPC24;SKA1;CENPH</t>
  </si>
  <si>
    <t>http://www.broadinstitute.org/gsea/msigdb/cards/GSE40655_FOXO1_KO_VS_WT_NTREG_DN.html</t>
  </si>
  <si>
    <t>GSE41867_LCMV_ARMSTRONG_VS_CLONE13_DAY6_EFFECTOR_CD8_TCELL_DN</t>
  </si>
  <si>
    <t>5717;5111;2237;5902;1434;9837;57647;9125;23165;79902;51659</t>
  </si>
  <si>
    <t>PSMD11;PCNA;FEN1;RANBP1;CSE1L;GINS1;DHX37;CNOT9;NUP205;NUP85;GINS2</t>
  </si>
  <si>
    <t>http://www.broadinstitute.org/gsea/msigdb/cards/GSE41867_LCMV_ARMSTRONG_VS_CLONE13_DAY6_EFFECTOR_CD8_TCELL_DN.html</t>
  </si>
  <si>
    <t>79733;23306;1841;4436;9837;348654;79866;80178;9585;64105;81620</t>
  </si>
  <si>
    <t>E2F8;NEMP1;DTYMK;MSH2;GINS1;GEN1;BORA;TEDC2;KIF20B;CENPK;CDT1</t>
  </si>
  <si>
    <t>4173;4176;4436;1058;3832;9837;81930;84057;81620;1894;54069</t>
  </si>
  <si>
    <t>MCM4;MCM7;MSH2;CENPA;KIF11;GINS1;KIF18A;MND1;CDT1;ECT2;MIS18A</t>
  </si>
  <si>
    <t>GSE46606_UNSTIM_VS_CD40L_IL2_IL5_DAY1_STIMULATED_BCELL_DN</t>
  </si>
  <si>
    <t>6241;4173;2956;6996;23590;55388;150465;92092;29128;990;64785</t>
  </si>
  <si>
    <t>RRM2;MCM4;MSH6;TDG;PDSS1;MCM10;TTL;ZC3HAV1L;UHRF1;CDC6;GINS3</t>
  </si>
  <si>
    <t>http://www.broadinstitute.org/gsea/msigdb/cards/GSE46606_UNSTIM_VS_CD40L_IL2_IL5_DAY1_STIMULATED_BCELL_DN.html</t>
  </si>
  <si>
    <t>4751;5347;9493;4998;6491;151246;9824;81930;2491;79000;55732</t>
  </si>
  <si>
    <t>NEK2;PLK1;AC027237.1;ORC1;STIL;SGO2;ARHGAP11A;KIF18A;CENPI;AUNIP;C1orf112</t>
  </si>
  <si>
    <t>11065;699;891;5982;23397;151246;146909;55355;54443;10926;11198</t>
  </si>
  <si>
    <t>UBE2C;BUB1;CCNB1;RFC2;NCAPH;SGO2;KIF18B;HJURP;ANLN;DBF4;SUPT16H</t>
  </si>
  <si>
    <t>701;890;4174;1062;9493;2146;55165;150468;55771;55706</t>
  </si>
  <si>
    <t>BUB1B;CCNA2;MCM5;CENPE;AC027237.1;EZH2;CEP55;CKAP2L;PRR11;NDC1</t>
  </si>
  <si>
    <t>http://www.broadinstitute.org/gsea/msigdb/cards/GSE6259_CD4_TCELL_VS_CD8_TCELL_UP.html</t>
  </si>
  <si>
    <t>9055;11169;10535;6929;23076;23234;2491;93594;9585</t>
  </si>
  <si>
    <t>PRC1;WDHD1;RNASEH2A;TCF3;RRP1B;DNAJC9;CENPI;TBC1D31;KIF20B</t>
  </si>
  <si>
    <t>http://www.broadinstitute.org/gsea/msigdb/cards/GSE6674_UNSTIM_VS_PL2_3_STIM_BCELL_UP.html</t>
  </si>
  <si>
    <t>10733;672;4998;147841;81930;55872;79915;3070;9156</t>
  </si>
  <si>
    <t>PLK4;BRCA1;ORC1;SPC24;KIF18A;PBK;ATAD5;HELLS;EXO1</t>
  </si>
  <si>
    <t>GSE40274_SATB1_VS_FOXP3_AND_SATB1_TRANSDUCED_ACTIVATED_CD4_TCELL_DN</t>
  </si>
  <si>
    <t>10592;151246;729533;55656;55247;132320;57405;29980</t>
  </si>
  <si>
    <t>SMC2;SGO2;FAM72A;INTS8;NEIL3;SCLT1;SPC25;DONSON</t>
  </si>
  <si>
    <t>http://www.broadinstitute.org/gsea/msigdb/cards/GSE40274_SATB1_VS_FOXP3_AND_SATB1_TRANSDUCED_ACTIVATED_CD4_TCELL_DN.html</t>
  </si>
  <si>
    <t>10403;5982;1163;991;55143;63979;8438;146956</t>
  </si>
  <si>
    <t>NDC80;RFC2;CKS1B;CDC20;CDCA8;FIGNL1;RAD54L;EME1</t>
  </si>
  <si>
    <t>1871;641;4085;151246;79682;150465;26586;93594;29128;26271</t>
  </si>
  <si>
    <t>E2F3;BLM;MAD2L1;SGO2;CENPU;TTL;CKAP2;TBC1D31;UHRF1;FBXO5</t>
  </si>
  <si>
    <t>203068;7153;1841;5427;10376;9493;2146;3066;84790;10051</t>
  </si>
  <si>
    <t>TUBB;TOP2A;DTYMK;POLE2;TUBA1B;AC027237.1;EZH2;HDAC2;TUBA1C;SMC4</t>
  </si>
  <si>
    <t>3161;10105;7112;3832;8683;9787;55165;55143;7444;55055</t>
  </si>
  <si>
    <t>HMMR;PPIF;TMPO;KIF11;SRSF9;DLGAP5;CEP55;CDCA8;VRK2;ZWILCH</t>
  </si>
  <si>
    <t>GSE11924_TFH_VS_TH2_CD4_TCELL_DN</t>
  </si>
  <si>
    <t>23306;8562;7398;729533;80178;55388;10635;79968;11321;29893</t>
  </si>
  <si>
    <t>NEMP1;DENR;USP1;FAM72A;TEDC2;MCM10;RAD51AP1;WDR76;GPN1;PSMC3IP</t>
  </si>
  <si>
    <t>http://www.broadinstitute.org/gsea/msigdb/cards/GSE11924_TFH_VS_TH2_CD4_TCELL_DN.html</t>
  </si>
  <si>
    <t>203068;10797;891;4691;898;6241;4085;4175;79801;9212</t>
  </si>
  <si>
    <t>TUBB;MTHFD2;CCNB1;NCL;CCNE1;RRM2;MAD2L1;MCM6;SHCBP1;AURKB</t>
  </si>
  <si>
    <t>GSE12845_NAIVE_VS_DARKZONE_GC_TONSIL_BCELL_DN</t>
  </si>
  <si>
    <t>1841;4670;1434;1994;2491;220134;11004;84790;3833;9156</t>
  </si>
  <si>
    <t>DTYMK;HNRNPM;CSE1L;ELAVL1;CENPI;SKA1;KIF2C;TUBA1C;KIFC1;EXO1</t>
  </si>
  <si>
    <t>http://www.broadinstitute.org/gsea/msigdb/cards/GSE12845_NAIVE_VS_DARKZONE_GC_TONSIL_BCELL_DN.html</t>
  </si>
  <si>
    <t>23306;701;203068;157313;84904;55355;10635;93594;9212;84930</t>
  </si>
  <si>
    <t>NEMP1;BUB1B;TUBB;CDCA2;ARHGEF39;HJURP;RAD51AP1;TBC1D31;AURKB;MASTL</t>
  </si>
  <si>
    <t>GSE14350_TREG_VS_TEFF_DN</t>
  </si>
  <si>
    <t>6839;6240;1869;6469;113115;253714;221150;55839;84296;29089</t>
  </si>
  <si>
    <t>SUV39H1;RRM1;E2F1;SHH;MTFR2;MMS22L;SKA3;CENPN;GINS4;UBE2T</t>
  </si>
  <si>
    <t>http://www.broadinstitute.org/gsea/msigdb/cards/GSE14350_TREG_VS_TEFF_DN.html</t>
  </si>
  <si>
    <t>9133;5984;9493;8208;27338;55355;79075;10293;55723;10926</t>
  </si>
  <si>
    <t>CCNB2;RFC4;AC027237.1;CHAF1B;UBE2S;HJURP;DSCC1;TRAIP;ASF1B;DBF4</t>
  </si>
  <si>
    <t>GSE15659_CD45RA_NEG_CD4_TCELL_VS_RESTING_TREG_UP</t>
  </si>
  <si>
    <t>1471;983;200933;899;1869;1062;55345;151188;23234;55839</t>
  </si>
  <si>
    <t>CST3;CDK1;FBXO45;CCNF;E2F1;CENPE;ZGRF1;ARL6IP6;DNAJC9;CENPN</t>
  </si>
  <si>
    <t>http://www.broadinstitute.org/gsea/msigdb/cards/GSE15659_CD45RA_NEG_CD4_TCELL_VS_RESTING_TREG_UP.html</t>
  </si>
  <si>
    <t>3797;3148;7913;79676;55656;23234;113130;51203;54443;55723</t>
  </si>
  <si>
    <t>KIF3C;HMGB2;DEK;OGFOD2;INTS8;DNAJC9;CDCA5;NUSAP1;ANLN;ASF1B</t>
  </si>
  <si>
    <t>GSE17721_CTRL_VS_LPS_2H_BMDC_UP</t>
  </si>
  <si>
    <t>6790;5496;898;2956;54821;11073;81620;55723;29893;8914</t>
  </si>
  <si>
    <t>AURKA;PPM1G;CCNE1;MSH6;ERCC6L;TOPBP1;CDT1;ASF1B;PSMC3IP;TIMELESS</t>
  </si>
  <si>
    <t>http://www.broadinstitute.org/gsea/msigdb/cards/GSE17721_CTRL_VS_LPS_2H_BMDC_UP.html</t>
  </si>
  <si>
    <t>5111;890;4176;1058;1063;23397;11073;83540;54443;65003</t>
  </si>
  <si>
    <t>PCNA;CCNA2;MCM7;CENPA;CENPF;NCAPH;TOPBP1;NUF2;ANLN;MRPL11</t>
  </si>
  <si>
    <t>http://www.broadinstitute.org/gsea/msigdb/cards/GSE17721_CTRL_VS_CPG_12H_BMDC_UP.html</t>
  </si>
  <si>
    <t>5496;1017;1786;993;6502;79676;63979;83903;8438;10926</t>
  </si>
  <si>
    <t>PPM1G;CDK2;DNMT1;CDC25A;SKP2;OGFOD2;FIGNL1;HASPIN;RAD54L;DBF4</t>
  </si>
  <si>
    <t>GSE17721_LPS_VS_CPG_16H_BMDC_DN</t>
  </si>
  <si>
    <t>10112;6241;1763;4751;5347;54892;8438;55839;55872;64105</t>
  </si>
  <si>
    <t>KIF20A;RRM2;DNA2;NEK2;PLK1;NCAPG2;RAD54L;CENPN;PBK;CENPK</t>
  </si>
  <si>
    <t>http://www.broadinstitute.org/gsea/msigdb/cards/GSE17721_LPS_VS_CPG_16H_BMDC_DN.html</t>
  </si>
  <si>
    <t>10592;983;4176;3838;1434;151648;11073;55872;55706;57405</t>
  </si>
  <si>
    <t>SMC2;CDK1;MCM7;KPNA2;CSE1L;SGO1;TOPBP1;PBK;NDC1;SPC25</t>
  </si>
  <si>
    <t>86;7083;983;5111;3068;9837;84798;80829;3833;55723</t>
  </si>
  <si>
    <t>ACTL6A;TK1;CDK1;PCNA;HDGF;GINS1;C19orf48;ZFP91;KIFC1;ASF1B</t>
  </si>
  <si>
    <t>23306;9401;10797;4174;2237;4175;6491;162681;55215;6941</t>
  </si>
  <si>
    <t>NEMP1;RECQL4;MTHFD2;MCM5;FEN1;MCM6;STIL;C18orf54;FANCI;TCF19</t>
  </si>
  <si>
    <t>http://www.broadinstitute.org/gsea/msigdb/cards/GSE17974_0H_VS_12H_IN_VITRO_ACT_CD4_TCELL_DN.html</t>
  </si>
  <si>
    <t>790;5933;4436;5557;1434;113115;79682;55656;348793;220042</t>
  </si>
  <si>
    <t>CAD;RBL1;MSH2;PRIM1;CSE1L;MTFR2;CENPU;INTS8;WDR53;DDIAS</t>
  </si>
  <si>
    <t>6790;6581;890;1841;1763;157570;79866;259266;91687;78995</t>
  </si>
  <si>
    <t>AURKA;SLC22A3;CCNA2;DTYMK;DNA2;ESCO2;BORA;ASPM;CENPL;C17orf53</t>
  </si>
  <si>
    <t>GSE22886_IGM_MEMORY_BCELL_VS_BLOOD_PLASMA_CELL_DN</t>
  </si>
  <si>
    <t>5717;8520;6929;6240;2956;23518;3066;10635;55706;26271</t>
  </si>
  <si>
    <t>PSMD11;HAT1;TCF3;RRM1;MSH6;R3HDM1;HDAC2;RAD51AP1;NDC1;FBXO5</t>
  </si>
  <si>
    <t>http://www.broadinstitute.org/gsea/msigdb/cards/GSE22886_IGM_MEMORY_BCELL_VS_BLOOD_PLASMA_CELL_DN.html</t>
  </si>
  <si>
    <t>11130;7374;898;1786;675;4175;23076;9837;23397;29980</t>
  </si>
  <si>
    <t>ZWINT;UNG;CCNE1;DNMT1;BRCA2;MCM6;RRP1B;GINS1;NCAPH;DONSON</t>
  </si>
  <si>
    <t>GSE22886_NAIVE_CD4_TCELL_VS_12H_ACT_TH2_DN</t>
  </si>
  <si>
    <t>11130;7298;5111;6240;1017;8683;1994;29127;81620;55215</t>
  </si>
  <si>
    <t>ZWINT;TYMS;PCNA;RRM1;CDK2;SRSF9;ELAVL1;RACGAP1;CDT1;FANCI</t>
  </si>
  <si>
    <t>http://www.broadinstitute.org/gsea/msigdb/cards/GSE22886_NAIVE_CD4_TCELL_VS_12H_ACT_TH2_DN.html</t>
  </si>
  <si>
    <t>GSE27786_LSK_VS_NKCELL_UP</t>
  </si>
  <si>
    <t>6839;7083;899;54892;11073;8438;144455;93594;64946;29089</t>
  </si>
  <si>
    <t>SUV39H1;TK1;CCNF;NCAPG2;TOPBP1;RAD54L;E2F7;TBC1D31;CENPH;UBE2T</t>
  </si>
  <si>
    <t>http://www.broadinstitute.org/gsea/msigdb/cards/GSE27786_LSK_VS_NKCELL_UP.html</t>
  </si>
  <si>
    <t>GSE339_CD4POS_VS_CD4CD8DN_DC_DN</t>
  </si>
  <si>
    <t>1111;790;7112;4171;128239;57650;80829;64105;54069;51512</t>
  </si>
  <si>
    <t>CHEK1;CAD;TMPO;MCM2;IQGAP3;CIP2A;ZFP91;CENPK;MIS18A;GTSE1</t>
  </si>
  <si>
    <t>http://www.broadinstitute.org/gsea/msigdb/cards/GSE339_CD4POS_VS_CD4CD8DN_DC_DN.html</t>
  </si>
  <si>
    <t>9133;10112;10592;983;993;4751;3066;51203;3070;6941</t>
  </si>
  <si>
    <t>CCNB2;KIF20A;SMC2;CDK1;CDC25A;NEK2;HDAC2;NUSAP1;HELLS;TCF19</t>
  </si>
  <si>
    <t>701;10592;6240;1479;1870;55635;7444;29127;55055;55215</t>
  </si>
  <si>
    <t>BUB1B;SMC2;RRM1;CSTF3;E2F2;DEPDC1;VRK2;RACGAP1;ZWILCH;FANCI</t>
  </si>
  <si>
    <t>9232;672;1063;1434;9700;2491;3066;51203;11321;56992</t>
  </si>
  <si>
    <t>PTTG1;BRCA1;CENPF;CSE1L;ESPL1;CENPI;HDAC2;NUSAP1;GPN1;KIF15</t>
  </si>
  <si>
    <t>699;10535;7398;4001;5983;4288;5558;6415;10635;81620</t>
  </si>
  <si>
    <t>BUB1;RNASEH2A;USP1;LMNB1;RFC3;MKI67;PRIM2;SELENOW;RAD51AP1;CDT1</t>
  </si>
  <si>
    <t>GSE7764_IL15_NK_CELL_24H_VS_SPLENOCYTE_UP</t>
  </si>
  <si>
    <t>8520;11130;993;2146;157313;23165;146956;27085;55055;51514</t>
  </si>
  <si>
    <t>HAT1;ZWINT;CDC25A;EZH2;CDCA2;NUP205;EME1;MTBP;ZWILCH;DTL</t>
  </si>
  <si>
    <t>http://www.broadinstitute.org/gsea/msigdb/cards/GSE7764_IL15_NK_CELL_24H_VS_SPLENOCYTE_UP.html</t>
  </si>
  <si>
    <t>6790;9133;890;4172;641;991;2146;259266;26586;64151</t>
  </si>
  <si>
    <t>AURKA;CCNB2;CCNA2;MCM3;BLM;CDC20;EZH2;ASPM;CKAP2;NCAPG</t>
  </si>
  <si>
    <t>GSE9650_GP33_VS_GP276_LCMV_SPECIFIC_EXHAUSTED_CD8_TCELL_DN</t>
  </si>
  <si>
    <t>5496;9232;4521;4436;5558;4670;23518;1994;55143;23234</t>
  </si>
  <si>
    <t>PPM1G;PTTG1;NUDT1;MSH2;PRIM2;HNRNPM;R3HDM1;ELAVL1;CDCA8;DNAJC9</t>
  </si>
  <si>
    <t>http://www.broadinstitute.org/gsea/msigdb/cards/GSE9650_GP33_VS_GP276_LCMV_SPECIFIC_EXHAUSTED_CD8_TCELL_DN.html</t>
  </si>
  <si>
    <t>9401;898;10971;5982;9125;4796;132320;54069;8914;11198</t>
  </si>
  <si>
    <t>RECQL4;CCNE1;YWHAQ;RFC2;CNOT9;TONSL;SCLT1;MIS18A;TIMELESS;SUPT16H</t>
  </si>
  <si>
    <t>GSE557_CIITA_KO_VS_I_AB_KO_DC_DN</t>
  </si>
  <si>
    <t>5709;11339;8833;4670;6749;1870;89958;3066;79172;27339</t>
  </si>
  <si>
    <t>PSMD3;OIP5;GMPS;HNRNPM;SSRP1;E2F2;SAPCD2;HDAC2;CENPO;PRPF19</t>
  </si>
  <si>
    <t>http://www.broadinstitute.org/gsea/msigdb/cards/GSE557_CIITA_KO_VS_I_AB_KO_DC_DN.html</t>
  </si>
  <si>
    <t>10212;332;203068;10797;1503;10105;4176;10376;81930;23234</t>
  </si>
  <si>
    <t>DDX39A;BIRC5;TUBB;MTHFD2;CTPS1;PPIF;MCM7;TUBA1B;KIF18A;DNAJC9</t>
  </si>
  <si>
    <t>9775;5427;1869;9493;8208;285753;580;55038;81620;55646</t>
  </si>
  <si>
    <t>EIF4A3;POLE2;E2F1;AC027237.1;CHAF1B;CEP57L1;BARD1;CDCA4;CDT1;LYAR</t>
  </si>
  <si>
    <t>699;9133;641;253714;57082;10635;55038;3619;3070;10926</t>
  </si>
  <si>
    <t>BUB1;CCNB2;BLM;MMS22L;KNL1;RAD51AP1;CDCA4;INCENP;HELLS;DBF4</t>
  </si>
  <si>
    <t>8520;6790;10797;995;3068;5347;9493;10615;81620;81624</t>
  </si>
  <si>
    <t>HAT1;AURKA;MTHFD2;CDC25C;HDGF;PLK1;AC027237.1;SPAG5;CDT1;DIAPH3</t>
  </si>
  <si>
    <t>6839;5111;993;2237;1870;9837;79866;115004;55247;25788</t>
  </si>
  <si>
    <t>SUV39H1;PCNA;CDC25A;FEN1;E2F2;GINS1;BORA;CGAS;NEIL3;RAD54B</t>
  </si>
  <si>
    <t>9232;9134;1017;1063;6415;9493;348654;55165;79801;57650</t>
  </si>
  <si>
    <t>PTTG1;CCNE2;CDK2;CENPF;SELENOW;AC027237.1;GEN1;CEP55;SHCBP1;CIP2A</t>
  </si>
  <si>
    <t>7516;9134;7083;4001;6241;4670;195828;89958;990;55038</t>
  </si>
  <si>
    <t>XRCC2;CCNE2;TK1;LMNB1;RRM2;HNRNPM;ZNF367;SAPCD2;CDC6;CDCA4</t>
  </si>
  <si>
    <t>3797;3015;7153;790;7913;1434;4998;3066;375444;10051</t>
  </si>
  <si>
    <t>KIF3C;H2AFZ;TOP2A;CAD;DEK;CSE1L;ORC1;HDAC2;C5orf34;SMC4</t>
  </si>
  <si>
    <t>332;7398;1503;2237;23649;9768;83903;81624;55646;23594</t>
  </si>
  <si>
    <t>BIRC5;USP1;CTPS1;FEN1;POLA2;PCLAF;HASPIN;DIAPH3;LYAR;ORC6</t>
  </si>
  <si>
    <t>5496;993;10105;4176;899;6415;1062;6749;113115;64858</t>
  </si>
  <si>
    <t>PPM1G;CDC25A;PPIF;MCM7;CCNF;SELENOW;CENPE;SSRP1;MTFR2;DCLRE1B</t>
  </si>
  <si>
    <t>3161;6929;672;6878;5426;1479;220042;2187;9088;54069</t>
  </si>
  <si>
    <t>HMMR;TCF3;BRCA1;TAF6;POLE;CSTF3;DDIAS;FANCB;PKMYT1;MIS18A</t>
  </si>
  <si>
    <t>203068;5347;146909;91687;55789;10635;79172;81610;79019;25788</t>
  </si>
  <si>
    <t>TUBB;PLK1;KIF18B;CENPL;DEPDC1B;RAD51AP1;CENPO;FAM83D;CENPM;RAD54B</t>
  </si>
  <si>
    <t>1111;898;3838;6502;26586;55872;29128;51203;3619;3070</t>
  </si>
  <si>
    <t>CHEK1;CCNE1;KPNA2;SKP2;CKAP2;PBK;UHRF1;NUSAP1;INCENP;HELLS</t>
  </si>
  <si>
    <t>5496;11130;5725;6749;8683;9768;29128;81539;51514;11198</t>
  </si>
  <si>
    <t>PPM1G;ZWINT;PTBP1;SSRP1;SRSF9;PCLAF;UHRF1;SLC38A1;DTL;SUPT16H</t>
  </si>
  <si>
    <t>GSE20152_SPHK1_KO_VS_WT_HTNFA_OVERXPRESS_ANKLE_DN</t>
  </si>
  <si>
    <t>9133;9232;7283;7272;1434;6749;1994;93594;580;54069</t>
  </si>
  <si>
    <t>CCNB2;PTTG1;TUBG1;TTK;CSE1L;SSRP1;ELAVL1;TBC1D31;BARD1;MIS18A</t>
  </si>
  <si>
    <t>http://www.broadinstitute.org/gsea/msigdb/cards/GSE20152_SPHK1_KO_VS_WT_HTNFA_OVERXPRESS_ANKLE_DN.html</t>
  </si>
  <si>
    <t>983;4171;3838;84823;6749;23397;253714;23234;11073;54069</t>
  </si>
  <si>
    <t>CDK1;MCM2;KPNA2;LMNB2;SSRP1;NCAPH;MMS22L;DNAJC9;TOPBP1;MIS18A</t>
  </si>
  <si>
    <t>203068;5111;4174;5984;10657;729533;57647;9125;23165;84991</t>
  </si>
  <si>
    <t>TUBB;PCNA;MCM5;RFC4;KHDRBS1;FAM72A;DHX37;CNOT9;NUP205;RBM17</t>
  </si>
  <si>
    <t>http://www.broadinstitute.org/gsea/msigdb/cards/GSE22432_PDC_VS_TGFB1_TREATEDCOMMON_DC_PROGENITOR_UP.html</t>
  </si>
  <si>
    <t>GSE24210_TCONV_VS_TREG_DN</t>
  </si>
  <si>
    <t>7298;890;993;3838;1033;220134;64105;144097;51203;64946</t>
  </si>
  <si>
    <t>TYMS;CCNA2;CDC25A;KPNA2;CDKN3;SKA1;CENPK;SPINDOC;NUSAP1;CENPH</t>
  </si>
  <si>
    <t>http://www.broadinstitute.org/gsea/msigdb/cards/GSE24210_TCONV_VS_TREG_DN.html</t>
  </si>
  <si>
    <t>GSE23505_UNTREATED_VS_4DAY_IL6_IL1_TREATED_CD4_TCELL_UP</t>
  </si>
  <si>
    <t>5933;4174;5557;5427;55656;285753;4796;3070;79019;51514</t>
  </si>
  <si>
    <t>RBL1;MCM5;PRIM1;POLE2;INTS8;CEP57L1;TONSL;HELLS;CENPM;DTL</t>
  </si>
  <si>
    <t>http://www.broadinstitute.org/gsea/msigdb/cards/GSE23505_UNTREATED_VS_4DAY_IL6_IL1_TREATED_CD4_TCELL_UP.html</t>
  </si>
  <si>
    <t>10733;10592;4085;23397;55165;729533;79682;89958;81930;1894</t>
  </si>
  <si>
    <t>PLK4;SMC2;MAD2L1;NCAPH;CEP55;FAM72A;CENPU;SAPCD2;KIF18A;ECT2</t>
  </si>
  <si>
    <t>701;24137;203068;4605;7153;8208;729533;10615;3833;55038</t>
  </si>
  <si>
    <t>BUB1B;KIF4A;TUBB;MYBL2;TOP2A;CHAF1B;FAM72A;SPAG5;KIFC1;CDCA4</t>
  </si>
  <si>
    <t>GSE16386_IL4_VS_IL4_AND_ROSIGLITAZONE_STIM_MACROPHAGE_6H_UP</t>
  </si>
  <si>
    <t>1111;701;10535;10592;5426;286826;163786;259266;11073;8438</t>
  </si>
  <si>
    <t>CHEK1;BUB1B;RNASEH2A;SMC2;POLE;LIN9;SASS6;ASPM;TOPBP1;RAD54L</t>
  </si>
  <si>
    <t>http://www.broadinstitute.org/gsea/msigdb/cards/GSE16386_IL4_VS_IL4_AND_ROSIGLITAZONE_STIM_MACROPHAGE_6H_UP.html</t>
  </si>
  <si>
    <t>5982;9735;1870;9833;9787;84722;55388;162681;81610;51659</t>
  </si>
  <si>
    <t>RFC2;KNTC1;E2F2;MELK;DLGAP5;PSRC1;MCM10;C18orf54;FAM83D;GINS2</t>
  </si>
  <si>
    <t>11065;9055;3161;790;9735;84823;9837;29128;81610;54443</t>
  </si>
  <si>
    <t>UBE2C;PRC1;HMMR;CAD;KNTC1;LMNB2;GINS1;UHRF1;FAM83D;ANLN</t>
  </si>
  <si>
    <t>4605;5557;1763;4085;23234;84991;9585;990;8914;9156</t>
  </si>
  <si>
    <t>MYBL2;PRIM1;DNA2;MAD2L1;DNAJC9;RBM17;KIF20B;CDC6;TIMELESS;EXO1</t>
  </si>
  <si>
    <t>8318;203068;4288;1063;5426;9700;9824;10293;51512;8914</t>
  </si>
  <si>
    <t>CDC45;TUBB;MKI67;CENPF;POLE;ESPL1;ARHGAP11A;TRAIP;GTSE1;TIMELESS</t>
  </si>
  <si>
    <t>699;5902;4670;10376;4085;6996;3837;1994;27338;55215</t>
  </si>
  <si>
    <t>BUB1;RANBP1;HNRNPM;TUBA1B;MAD2L1;TDG;KPNB1;ELAVL1;UBE2S;FANCI</t>
  </si>
  <si>
    <t>9134;3148;10971;27338;54821;55165;57696;84930;9088;3070</t>
  </si>
  <si>
    <t>CCNE2;HMGB2;YWHAQ;UBE2S;ERCC6L;CEP55;DDX55;MASTL;PKMYT1;HELLS</t>
  </si>
  <si>
    <t>http://www.broadinstitute.org/gsea/msigdb/cards/GSE26351_UNSTIM_VS_BMP_PATHWAY_STIM_HEMATOPOIETIC_PROGENITORS_DN.html</t>
  </si>
  <si>
    <t>6790;11169;10592;1786;6241;1058;4175;79676;29128;81620</t>
  </si>
  <si>
    <t>AURKA;WDHD1;SMC2;DNMT1;RRM2;CENPA;MCM6;OGFOD2;UHRF1;CDT1</t>
  </si>
  <si>
    <t>6790;9055;1017;5933;4173;5557;3832;8208;4175;23518</t>
  </si>
  <si>
    <t>AURKA;PRC1;CDK2;RBL1;MCM4;PRIM1;KIF11;CHAF1B;MCM6;R3HDM1</t>
  </si>
  <si>
    <t>284403;898;5557;1062;80179;79000;29089;55732;55215;9633</t>
  </si>
  <si>
    <t>WDR62;CCNE1;PRIM1;CENPE;MYO19;AUNIP;UBE2T;C1orf112;FANCI;TESMIN</t>
  </si>
  <si>
    <t>10403;9055;11130;9232;6929;9837;9768;6491;29128;64105</t>
  </si>
  <si>
    <t>NDC80;PRC1;ZWINT;PTTG1;TCF3;GINS1;PCLAF;STIL;UHRF1;CENPK</t>
  </si>
  <si>
    <t>10592;4605;4001;9735;4751;9928;2146;79866;64785;3833</t>
  </si>
  <si>
    <t>SMC2;MYBL2;LMNB1;KNTC1;NEK2;KIF14;EZH2;BORA;GINS3;KIFC1</t>
  </si>
  <si>
    <t>22995;10592;790;5982;5557;5558;9735;63979;54069;8914</t>
  </si>
  <si>
    <t>CEP152;SMC2;CAD;RFC2;PRIM1;PRIM2;KNTC1;FIGNL1;MIS18A;TIMELESS</t>
  </si>
  <si>
    <t>11130;5933;2237;5985;4175;79682;195828;55839;29128;55706</t>
  </si>
  <si>
    <t>ZWINT;RBL1;FEN1;RFC5;MCM6;CENPU;ZNF367;CENPN;UHRF1;NDC1</t>
  </si>
  <si>
    <t>7272;4171;5427;147841;10635;80179;55771;11004;79172;57405</t>
  </si>
  <si>
    <t>TTK;MCM2;POLE2;SPC24;RAD51AP1;MYO19;PRR11;KIF2C;CENPO;SPC25</t>
  </si>
  <si>
    <t>GSE13762_CTRL_VS_125_VITAMIND_DAY12_DC_DN</t>
  </si>
  <si>
    <t>7153;1017;84823;11073;64151;63967;56992;9156</t>
  </si>
  <si>
    <t>TOP2A;CDK2;LMNB2;TOPBP1;NCAPG;CLSPN;KIF15;EXO1</t>
  </si>
  <si>
    <t>http://www.broadinstitute.org/gsea/msigdb/cards/GSE13762_CTRL_VS_125_VITAMIND_DAY12_DC_DN.html</t>
  </si>
  <si>
    <t>8317;898;8833;113115;78995;55789;29128;79968;8914</t>
  </si>
  <si>
    <t>CDC7;CCNE1;GMPS;MTFR2;C17orf53;DEPDC1B;UHRF1;WDR76;TIMELESS</t>
  </si>
  <si>
    <t>GSE27241_WT_VS_RORGT_KO_TH17_POLARIZED_CD4_TCELL_DN</t>
  </si>
  <si>
    <t>7283;4521;5985;5983;5902;8208;9837;990;64858</t>
  </si>
  <si>
    <t>TUBG1;NUDT1;RFC5;RFC3;RANBP1;CHAF1B;GINS1;CDC6;DCLRE1B</t>
  </si>
  <si>
    <t>http://www.broadinstitute.org/gsea/msigdb/cards/GSE27241_WT_VS_RORGT_KO_TH17_POLARIZED_CD4_TCELL_DN.html</t>
  </si>
  <si>
    <t>10535;4176;5982;672;5983;5557;4175;348793;79968</t>
  </si>
  <si>
    <t>RNASEH2A;MCM7;RFC2;BRCA1;RFC3;PRIM1;MCM6;WDR53;WDR76</t>
  </si>
  <si>
    <t>1111;6240;4172;5983;6491;1033;55872;79968;54443</t>
  </si>
  <si>
    <t>CHEK1;RRM1;MCM3;RFC3;STIL;CDKN3;PBK;WDR76;ANLN</t>
  </si>
  <si>
    <t>GSE22611_NOD2_TRANSDUCED_VS_CTRL_HEK293T_STIMULATED_WITH_MDP_2H_DN</t>
  </si>
  <si>
    <t>10797;1786;790;4171;9735;1763;1869;5426;990</t>
  </si>
  <si>
    <t>MTHFD2;DNMT1;CAD;MCM2;KNTC1;DNA2;E2F1;POLE;CDC6</t>
  </si>
  <si>
    <t>http://www.broadinstitute.org/gsea/msigdb/cards/GSE22611_NOD2_TRANSDUCED_VS_CTRL_HEK293T_STIMULATED_WITH_MDP_2H_DN.html</t>
  </si>
  <si>
    <t>GSE7568_IL4_VS_IL4_AND_TGFB_TREATED_MACROPHAGE_24H_DN</t>
  </si>
  <si>
    <t>10212;8562;11130;5902;9319;55388;83903;10635;29128</t>
  </si>
  <si>
    <t>DDX39A;DENR;ZWINT;RANBP1;TRIP13;MCM10;HASPIN;RAD51AP1;UHRF1</t>
  </si>
  <si>
    <t>http://www.broadinstitute.org/gsea/msigdb/cards/GSE7568_IL4_VS_IL4_AND_TGFB_TREATED_MACROPHAGE_24H_DN.html</t>
  </si>
  <si>
    <t>GSE40274_FOXP3_VS_FOXP3_AND_XBP1_TRANSDUCED_ACTIVATED_CD4_TCELL_UP</t>
  </si>
  <si>
    <t>10403;995;9700;151246;157313;113115;284992;113130</t>
  </si>
  <si>
    <t>NDC80;CDC25C;ESPL1;SGO2;CDCA2;MTFR2;CCDC150;CDCA5</t>
  </si>
  <si>
    <t>http://www.broadinstitute.org/gsea/msigdb/cards/GSE40274_FOXP3_VS_FOXP3_AND_XBP1_TRANSDUCED_ACTIVATED_CD4_TCELL_UP.html</t>
  </si>
  <si>
    <t>GSE40274_CTRL_VS_FOXP3_AND_PBX1_TRANSDUCED_ACTIVATED_CD4_TCELL_DN</t>
  </si>
  <si>
    <t>8562;7374;1869;84823;4175;9833;84991;29893</t>
  </si>
  <si>
    <t>DENR;UNG;E2F1;LMNB2;MCM6;MELK;RBM17;PSMC3IP</t>
  </si>
  <si>
    <t>http://www.broadinstitute.org/gsea/msigdb/cards/GSE40274_CTRL_VS_FOXP3_AND_PBX1_TRANSDUCED_ACTIVATED_CD4_TCELL_DN.html</t>
  </si>
  <si>
    <t>GSE1740_MCSF_VS_MCSF_AND_IFNG_DAY2_DERIVED_MACROPHAGE_WITH_IFNA_STIM_DN</t>
  </si>
  <si>
    <t>2189;4173;5558;3832;9928;84722;79172;79968;29893</t>
  </si>
  <si>
    <t>FANCG;MCM4;PRIM2;KIF11;KIF14;PSRC1;CENPO;WDR76;PSMC3IP</t>
  </si>
  <si>
    <t>http://www.broadinstitute.org/gsea/msigdb/cards/GSE1740_MCSF_VS_MCSF_AND_IFNG_DAY2_DERIVED_MACROPHAGE_WITH_IFNA_STIM_DN.html</t>
  </si>
  <si>
    <t>GSE25088_CTRL_VS_IL4_AND_ROSIGLITAZONE_STIM_STAT6_KO_MACROPHAGE_DN</t>
  </si>
  <si>
    <t>7516;701;1017;4172;3838;9125;80179;81620;9633</t>
  </si>
  <si>
    <t>XRCC2;BUB1B;CDK2;MCM3;KPNA2;CNOT9;MYO19;CDT1;TESMIN</t>
  </si>
  <si>
    <t>http://www.broadinstitute.org/gsea/msigdb/cards/GSE25088_CTRL_VS_IL4_AND_ROSIGLITAZONE_STIM_STAT6_KO_MACROPHAGE_DN.html</t>
  </si>
  <si>
    <t>2175;24137;9232;10105;1062;7444;146909;2491;83461</t>
  </si>
  <si>
    <t>FANCA;KIF4A;PTTG1;PPIF;CENPE;VRK2;KIF18B;CENPI;CDCA3</t>
  </si>
  <si>
    <t>GSE11924_TFH_VS_TH1_CD4_TCELL_DN</t>
  </si>
  <si>
    <t>5717;8562;203068;5111;8208;6502;80178;150465;64858</t>
  </si>
  <si>
    <t>PSMD11;DENR;TUBB;PCNA;CHAF1B;SKP2;TEDC2;TTL;DCLRE1B</t>
  </si>
  <si>
    <t>http://www.broadinstitute.org/gsea/msigdb/cards/GSE11924_TFH_VS_TH1_CD4_TCELL_DN.html</t>
  </si>
  <si>
    <t>9134;6929;5725;5984;2146;79075;84057;63967;55646</t>
  </si>
  <si>
    <t>CCNE2;TCF3;PTBP1;RFC4;EZH2;DSCC1;MND1;CLSPN;LYAR</t>
  </si>
  <si>
    <t>5984;5985;5427;5426;11073;4796;132320;79075;10293</t>
  </si>
  <si>
    <t>RFC4;RFC5;POLE2;POLE;TOPBP1;TONSL;SCLT1;DSCC1;TRAIP</t>
  </si>
  <si>
    <t>6839;2237;5983;23310;79676;25886;64785;10926;10460</t>
  </si>
  <si>
    <t>SUV39H1;FEN1;RFC3;NCAPD3;OGFOD2;POC1A;GINS3;DBF4;TACC3</t>
  </si>
  <si>
    <t>GSE14308_TH1_VS_NAIVE_CD4_TCELL_UP</t>
  </si>
  <si>
    <t>284403;1471;5111;7283;55656;55355;81930;84296;55646</t>
  </si>
  <si>
    <t>WDR62;CST3;PCNA;TUBG1;INTS8;HJURP;KIF18A;GINS4;LYAR</t>
  </si>
  <si>
    <t>http://www.broadinstitute.org/gsea/msigdb/cards/GSE14308_TH1_VS_NAIVE_CD4_TCELL_UP.html</t>
  </si>
  <si>
    <t>4174;4176;5984;5985;7112;4436;8208;4175;1894</t>
  </si>
  <si>
    <t>MCM5;MCM7;RFC4;RFC5;TMPO;MSH2;CHAF1B;MCM6;ECT2</t>
  </si>
  <si>
    <t>6790;9133;7112;23310;8683;4175;6491;55706;26271</t>
  </si>
  <si>
    <t>AURKA;CCNB2;TMPO;NCAPD3;SRSF9;MCM6;STIL;NDC1;FBXO5</t>
  </si>
  <si>
    <t>GSE1460_DP_THYMOCYTE_VS_THYMIC_STROMAL_CELL_UP</t>
  </si>
  <si>
    <t>7516;701;4521;1063;55656;79915;580;3833;54069</t>
  </si>
  <si>
    <t>XRCC2;BUB1B;NUDT1;CENPF;INTS8;ATAD5;BARD1;KIFC1;MIS18A</t>
  </si>
  <si>
    <t>http://www.broadinstitute.org/gsea/msigdb/cards/GSE1460_DP_THYMOCYTE_VS_THYMIC_STROMAL_CELL_UP.html</t>
  </si>
  <si>
    <t>GSE1460_CD4_THYMOCYTE_VS_NAIVE_CD4_TCELL_ADULT_BLOOD_UP</t>
  </si>
  <si>
    <t>10971;4436;3068;3837;23518;55247;26586;3066;8914</t>
  </si>
  <si>
    <t>YWHAQ;MSH2;HDGF;KPNB1;R3HDM1;NEIL3;CKAP2;HDAC2;TIMELESS</t>
  </si>
  <si>
    <t>http://www.broadinstitute.org/gsea/msigdb/cards/GSE1460_CD4_THYMOCYTE_VS_NAIVE_CD4_TCELL_ADULT_BLOOD_UP.html</t>
  </si>
  <si>
    <t>GSE15930_STIM_VS_STIM_AND_IFNAB_72H_CD8_T_CELL_DN</t>
  </si>
  <si>
    <t>11169;7272;4174;7913;27338;79676;55656;113130;10615</t>
  </si>
  <si>
    <t>WDHD1;TTK;MCM5;DEK;UBE2S;OGFOD2;INTS8;CDCA5;SPAG5</t>
  </si>
  <si>
    <t>http://www.broadinstitute.org/gsea/msigdb/cards/GSE15930_STIM_VS_STIM_AND_IFNAB_72H_CD8_T_CELL_DN.html</t>
  </si>
  <si>
    <t>10112;10592;4172;4176;1063;54821;128239;11073;54443</t>
  </si>
  <si>
    <t>KIF20A;SMC2;MCM3;MCM7;CENPF;ERCC6L;IQGAP3;TOPBP1;ANLN</t>
  </si>
  <si>
    <t>79733;9133;86;10105;7444;55055;57405;3070;65003</t>
  </si>
  <si>
    <t>E2F8;CCNB2;ACTL6A;PPIF;VRK2;ZWILCH;SPC25;HELLS;MRPL11</t>
  </si>
  <si>
    <t>2189;10592;995;4176;2956;11073;220134;54478;55723</t>
  </si>
  <si>
    <t>FANCG;SMC2;CDC25C;MCM7;MSH6;TOPBP1;SKA1;PIMREG;ASF1B</t>
  </si>
  <si>
    <t>http://www.broadinstitute.org/gsea/msigdb/cards/GSE17721_CTRL_VS_POLYIC_12H_BMDC_UP.html</t>
  </si>
  <si>
    <t>7083;898;1017;790;1058;4670;7444;55355;64946</t>
  </si>
  <si>
    <t>TK1;CCNE1;CDK2;CAD;CENPA;HNRNPM;VRK2;HJURP;CENPH</t>
  </si>
  <si>
    <t>GSE17721_CTRL_VS_CPG_2H_BMDC_UP</t>
  </si>
  <si>
    <t>6581;10592;4176;84823;54821;23234;11073;9125;80829</t>
  </si>
  <si>
    <t>SLC22A3;SMC2;MCM7;LMNB2;ERCC6L;DNAJC9;TOPBP1;CNOT9;ZFP91</t>
  </si>
  <si>
    <t>http://www.broadinstitute.org/gsea/msigdb/cards/GSE17721_CTRL_VS_CPG_2H_BMDC_UP.html</t>
  </si>
  <si>
    <t>GSE17721_CTRL_VS_GARDIQUIMOD_4H_BMDC_UP</t>
  </si>
  <si>
    <t>8520;1017;1058;10376;991;9837;84798;83461;51514</t>
  </si>
  <si>
    <t>HAT1;CDK2;CENPA;TUBA1B;CDC20;GINS1;C19orf48;CDCA3;DTL</t>
  </si>
  <si>
    <t>http://www.broadinstitute.org/gsea/msigdb/cards/GSE17721_CTRL_VS_GARDIQUIMOD_4H_BMDC_UP.html</t>
  </si>
  <si>
    <t>9133;1017;3148;4176;1058;1062;84823;128239;83540</t>
  </si>
  <si>
    <t>CCNB2;CDK2;HMGB2;MCM7;CENPA;CENPE;LMNB2;IQGAP3;NUF2</t>
  </si>
  <si>
    <t>3797;10112;790;9918;54892;55355;3619;10051;56241</t>
  </si>
  <si>
    <t>KIF3C;KIF20A;CAD;NCAPD2;NCAPG2;HJURP;INCENP;SMC4;SUSD2</t>
  </si>
  <si>
    <t>22995;200933;4001;790;6878;79676;11073;84296;10051</t>
  </si>
  <si>
    <t>CEP152;FBXO45;LMNB1;CAD;TAF6;OGFOD2;TOPBP1;GINS4;SMC4</t>
  </si>
  <si>
    <t>4605;890;4171;991;8683;23076;6491;79902;55646</t>
  </si>
  <si>
    <t>MYBL2;CCNA2;MCM2;CDC20;SRSF9;RRP1B;STIL;NUP85;LYAR</t>
  </si>
  <si>
    <t>http://www.broadinstitute.org/gsea/msigdb/cards/GSE17721_0.5H_VS_24H_POLYIC_BMDC_UP.html</t>
  </si>
  <si>
    <t>GSE17974_2.5H_VS_72H_IL4_AND_ANTI_IL12_ACT_CD4_TCELL_DN</t>
  </si>
  <si>
    <t>10721;22995;4001;1017;285753;146956;29128;64785;79902</t>
  </si>
  <si>
    <t>POLQ;CEP152;LMNB1;CDK2;CEP57L1;EME1;UHRF1;GINS3;NUP85</t>
  </si>
  <si>
    <t>http://www.broadinstitute.org/gsea/msigdb/cards/GSE17974_2.5H_VS_72H_IL4_AND_ANTI_IL12_ACT_CD4_TCELL_DN.html</t>
  </si>
  <si>
    <t>GSE18791_CTRL_VS_NEWCASTLE_VIRUS_DC_6H_UP</t>
  </si>
  <si>
    <t>7374;1503;898;790;4436;8833;113115;348793;220042</t>
  </si>
  <si>
    <t>UNG;CTPS1;CCNE1;CAD;MSH2;GMPS;MTFR2;WDR53;DDIAS</t>
  </si>
  <si>
    <t>http://www.broadinstitute.org/gsea/msigdb/cards/GSE18791_CTRL_VS_NEWCASTLE_VIRUS_DC_6H_UP.html</t>
  </si>
  <si>
    <t>3068;3838;5888;9833;6469;55165;259266;55723;11198</t>
  </si>
  <si>
    <t>HDGF;KPNA2;RAD51;MELK;SHH;CEP55;ASPM;ASF1B;SUPT16H</t>
  </si>
  <si>
    <t>7374;8833;3068;2956;79801;23234;55706;79902;65003</t>
  </si>
  <si>
    <t>UNG;GMPS;HDGF;MSH6;SHCBP1;DNAJC9;NDC1;NUP85;MRPL11</t>
  </si>
  <si>
    <t>GSE27786_CD4_TCELL_VS_ERYTHTROBLAST_DN</t>
  </si>
  <si>
    <t>8520;9055;3838;9493;1870;79866;151188;64946;55732</t>
  </si>
  <si>
    <t>HAT1;PRC1;KPNA2;AC027237.1;E2F2;BORA;ARL6IP6;CENPH;C1orf112</t>
  </si>
  <si>
    <t>http://www.broadinstitute.org/gsea/msigdb/cards/GSE27786_CD4_TCELL_VS_ERYTHTROBLAST_DN.html</t>
  </si>
  <si>
    <t>GSE27786_NKCELL_VS_ERYTHROBLAST_DN</t>
  </si>
  <si>
    <t>10403;128239;80179;9585;79902;64946;1894;55732;25788</t>
  </si>
  <si>
    <t>NDC80;IQGAP3;MYO19;KIF20B;NUP85;CENPH;ECT2;C1orf112;RAD54B</t>
  </si>
  <si>
    <t>http://www.broadinstitute.org/gsea/msigdb/cards/GSE27786_NKCELL_VS_ERYTHROBLAST_DN.html</t>
  </si>
  <si>
    <t>GSE27786_NKTCELL_VS_ERYTHROBLAST_DN</t>
  </si>
  <si>
    <t>10403;284403;9493;128239;9585;79902;79968;55732;25788</t>
  </si>
  <si>
    <t>NDC80;WDR62;AC027237.1;IQGAP3;KIF20B;NUP85;WDR76;C1orf112;RAD54B</t>
  </si>
  <si>
    <t>http://www.broadinstitute.org/gsea/msigdb/cards/GSE27786_NKTCELL_VS_ERYTHROBLAST_DN.html</t>
  </si>
  <si>
    <t>7283;4670;1434;8683;9837;54821;84722;151188;79019</t>
  </si>
  <si>
    <t>TUBG1;HNRNPM;CSE1L;SRSF9;GINS1;ERCC6L;PSRC1;ARL6IP6;CENPM</t>
  </si>
  <si>
    <t>5709;5725;1763;1434;1870;9833;9918;151648;163786</t>
  </si>
  <si>
    <t>PSMD3;PTBP1;DNA2;CSE1L;E2F2;MELK;NCAPD2;SGO1;SASS6</t>
  </si>
  <si>
    <t>10212;11130;3015;5111;4691;2237;6878;9918;23234</t>
  </si>
  <si>
    <t>DDX39A;ZWINT;H2AFZ;PCNA;NCL;FEN1;TAF6;NCAPD2;DNAJC9</t>
  </si>
  <si>
    <t>11339;3161;10797;4670;2146;7444;9125;2491;10293</t>
  </si>
  <si>
    <t>OIP5;HMMR;MTHFD2;HNRNPM;EZH2;VRK2;CNOT9;CENPI;TRAIP</t>
  </si>
  <si>
    <t>8317;7516;7398;891;10105;4436;8833;9735;6749</t>
  </si>
  <si>
    <t>CDC7;XRCC2;USP1;CCNB1;PPIF;MSH2;GMPS;KNTC1;SSRP1</t>
  </si>
  <si>
    <t>7298;4174;4176;4436;4171;2956;6749;9768;29893</t>
  </si>
  <si>
    <t>TYMS;MCM5;MCM7;MSH2;MCM2;MSH6;SSRP1;PCLAF;PSMC3IP</t>
  </si>
  <si>
    <t>GSE3982_CTRL_VS_LPS_4H_MAC_UP</t>
  </si>
  <si>
    <t>3161;790;5983;1062;1870;23518;26586;9212;11004</t>
  </si>
  <si>
    <t>HMMR;CAD;RFC3;CENPE;E2F2;R3HDM1;CKAP2;AURKB;KIF2C</t>
  </si>
  <si>
    <t>http://www.broadinstitute.org/gsea/msigdb/cards/GSE3982_CTRL_VS_LPS_4H_MAC_UP.html</t>
  </si>
  <si>
    <t>1471;890;7283;6240;1434;1479;4998;23518;55839</t>
  </si>
  <si>
    <t>CST3;CCNA2;TUBG1;RRM1;CSE1L;CSTF3;ORC1;R3HDM1;CENPN</t>
  </si>
  <si>
    <t>701;3161;9775;9768;9787;55143;79682;79801;51203</t>
  </si>
  <si>
    <t>BUB1B;HMMR;EIF4A3;PCLAF;DLGAP5;CDCA8;CENPU;SHCBP1;NUSAP1</t>
  </si>
  <si>
    <t>7298;7153;899;4288;1063;4751;9493;147841;79801</t>
  </si>
  <si>
    <t>TYMS;TOP2A;CCNF;MKI67;CENPF;NEK2;AC027237.1;SPC24;SHCBP1</t>
  </si>
  <si>
    <t>GSE2770_IL4_ACT_VS_ACT_CD4_TCELL_2H_UP</t>
  </si>
  <si>
    <t>8317;7283;4521;348793;29128;29089;3619;3070;65003</t>
  </si>
  <si>
    <t>CDC7;TUBG1;NUDT1;WDR53;UHRF1;UBE2T;INCENP;HELLS;MRPL11</t>
  </si>
  <si>
    <t>http://www.broadinstitute.org/gsea/msigdb/cards/GSE2770_IL4_ACT_VS_ACT_CD4_TCELL_2H_UP.html</t>
  </si>
  <si>
    <t>7374;995;2237;675;79866;128239;115004;8570;144455</t>
  </si>
  <si>
    <t>UNG;CDC25C;FEN1;BRCA2;BORA;IQGAP3;CGAS;KHSRP;E2F7</t>
  </si>
  <si>
    <t>GSE4142_GC_BCELL_VS_MEMORY_BCELL_DN</t>
  </si>
  <si>
    <t>332;11339;11130;4670;29028;9212;84296;83540;64946</t>
  </si>
  <si>
    <t>BIRC5;OIP5;ZWINT;HNRNPM;ATAD2;AURKB;GINS4;NUF2;CENPH</t>
  </si>
  <si>
    <t>http://www.broadinstitute.org/gsea/msigdb/cards/GSE4142_GC_BCELL_VS_MEMORY_BCELL_DN.html</t>
  </si>
  <si>
    <t>GSE3039_ALPHABETA_CD8_TCELL_VS_B2_BCELL_DN</t>
  </si>
  <si>
    <t>6790;10376;1062;4175;9837;387103;2491;27085;10460</t>
  </si>
  <si>
    <t>AURKA;TUBA1B;CENPE;MCM6;GINS1;CENPW;CENPI;MTBP;TACC3</t>
  </si>
  <si>
    <t>http://www.broadinstitute.org/gsea/msigdb/cards/GSE3039_ALPHABETA_CD8_TCELL_VS_B2_BCELL_DN.html</t>
  </si>
  <si>
    <t>10733;699;1763;641;1479;54821;286826;151188;3070</t>
  </si>
  <si>
    <t>PLK4;BUB1;DNA2;BLM;CSTF3;ERCC6L;LIN9;ARL6IP6;HELLS</t>
  </si>
  <si>
    <t>6839;1503;286826;2187;55789;2177;29127;3619;54443</t>
  </si>
  <si>
    <t>SUV39H1;CTPS1;LIN9;FANCB;DEPDC1B;FANCD2;RACGAP1;INCENP;ANLN</t>
  </si>
  <si>
    <t>9232;4001;348654;151246;157570;146909;78995;2187;220134</t>
  </si>
  <si>
    <t>PTTG1;LMNB1;GEN1;SGO2;ESCO2;KIF18B;C17orf53;FANCB;SKA1</t>
  </si>
  <si>
    <t>GSE8685_IL2_STARVED_VS_IL15_ACT_IL2_STARVED_CD4_TCELL_DN</t>
  </si>
  <si>
    <t>7516;7398;1503;6749;157570;348793;78995;26586;9088</t>
  </si>
  <si>
    <t>XRCC2;USP1;CTPS1;SSRP1;ESCO2;WDR53;C17orf53;CKAP2;PKMYT1</t>
  </si>
  <si>
    <t>http://www.broadinstitute.org/gsea/msigdb/cards/GSE8685_IL2_STARVED_VS_IL15_ACT_IL2_STARVED_CD4_TCELL_DN.html</t>
  </si>
  <si>
    <t>GSE15330_MEGAKARYOCYTE_ERYTHROID_VS_GRANULOCYTE_MONOCYTE_PROGENITOR_IKAROS_KO_UP</t>
  </si>
  <si>
    <t>2189;3148;9775;1058;2967;285753;55247;3833;54069</t>
  </si>
  <si>
    <t>FANCG;HMGB2;EIF4A3;CENPA;GTF2H3;CEP57L1;NEIL3;KIFC1;MIS18A</t>
  </si>
  <si>
    <t>http://www.broadinstitute.org/gsea/msigdb/cards/GSE15330_MEGAKARYOCYTE_ERYTHROID_VS_GRANULOCYTE_MONOCYTE_PROGENITOR_IKAROS_KO_UP.html</t>
  </si>
  <si>
    <t>2189;7283;7913;4171;6733;6749;201299;11073;9125</t>
  </si>
  <si>
    <t>FANCG;TUBG1;DEK;MCM2;SRPK2;SSRP1;RDM1;TOPBP1;CNOT9</t>
  </si>
  <si>
    <t>8520;6581;10535;7374;2237;9837;284992;57650;55732</t>
  </si>
  <si>
    <t>HAT1;SLC22A3;RNASEH2A;UNG;FEN1;GINS1;CCDC150;CIP2A;C1orf112</t>
  </si>
  <si>
    <t>1871;332;9134;4288;9768;2146;54821;55143;3070</t>
  </si>
  <si>
    <t>E2F3;BIRC5;CCNE2;MKI67;PCLAF;EZH2;ERCC6L;CDCA8;HELLS</t>
  </si>
  <si>
    <t>200933;10971;5933;7112;1058;2146;163786;80829;10926</t>
  </si>
  <si>
    <t>FBXO45;YWHAQ;RBL1;TMPO;CENPA;EZH2;SASS6;ZFP91;DBF4</t>
  </si>
  <si>
    <t>http://www.broadinstitute.org/gsea/msigdb/cards/GSE16266_CTRL_VS_HEATSHOCK_AND_LPS_STIM_MEF_UP.html</t>
  </si>
  <si>
    <t>GSE16451_IMMATURE_VS_MATURE_NEURON_CELL_LINE_WEST_EQUINE_ENC_VIRUS_UP</t>
  </si>
  <si>
    <t>4751;1033;151648;285753;10635;10293;51203;57405;55215</t>
  </si>
  <si>
    <t>NEK2;CDKN3;SGO1;CEP57L1;RAD51AP1;TRAIP;NUSAP1;SPC25;FANCI</t>
  </si>
  <si>
    <t>http://www.broadinstitute.org/gsea/msigdb/cards/GSE16451_IMMATURE_VS_MATURE_NEURON_CELL_LINE_WEST_EQUINE_ENC_VIRUS_UP.html</t>
  </si>
  <si>
    <t>3797;790;899;1058;2956;1869;84823;2305;10460</t>
  </si>
  <si>
    <t>KIF3C;CAD;CCNF;CENPA;MSH6;E2F1;LMNB2;FOXM1;TACC3</t>
  </si>
  <si>
    <t>7153;890;7283;898;6749;55247;23165;8570;93594</t>
  </si>
  <si>
    <t>TOP2A;CCNA2;TUBG1;CCNE1;SSRP1;NEIL3;NUP205;KHSRP;TBC1D31</t>
  </si>
  <si>
    <t>890;7283;790;5557;2956;10024;23076;1994;55247</t>
  </si>
  <si>
    <t>CCNA2;TUBG1;CAD;PRIM1;MSH6;TROAP;RRP1B;ELAVL1;NEIL3</t>
  </si>
  <si>
    <t>79733;5982;5985;9768;147841;79801;83461;64151;64105</t>
  </si>
  <si>
    <t>E2F8;RFC2;RFC5;PCLAF;SPC24;SHCBP1;CDCA3;NCAPG;CENPK</t>
  </si>
  <si>
    <t>5558;4085;387103;151648;146556;162681;84904;132320;79000</t>
  </si>
  <si>
    <t>PRIM2;MAD2L1;CENPW;SGO1;C16orf89;C18orf54;ARHGEF39;SCLT1;AUNIP</t>
  </si>
  <si>
    <t>9055;3161;991;55165;729533;113115;84722;26586;1789</t>
  </si>
  <si>
    <t>PRC1;HMMR;CDC20;CEP55;FAM72A;MTFR2;PSRC1;CKAP2;DNMT3B</t>
  </si>
  <si>
    <t>701;24137;7153;672;4288;9735;9837;10615;51514</t>
  </si>
  <si>
    <t>BUB1B;KIF4A;TOP2A;BRCA1;MKI67;KNTC1;GINS1;SPAG5;DTL</t>
  </si>
  <si>
    <t>9232;10105;3068;5888;23518;23234;9125;84991;8914</t>
  </si>
  <si>
    <t>PTTG1;PPIF;HDGF;RAD51;R3HDM1;DNAJC9;CNOT9;RBM17;TIMELESS</t>
  </si>
  <si>
    <t>9134;4691;1017;10971;4288;1434;9833;9768;11321</t>
  </si>
  <si>
    <t>CCNE2;NCL;CDK2;YWHAQ;MKI67;CSE1L;MELK;PCLAF;GPN1</t>
  </si>
  <si>
    <t>890;6241;3832;9493;10657;3837;9319;27338;11073</t>
  </si>
  <si>
    <t>CCNA2;RRM2;KIF11;AC027237.1;KHDRBS1;KPNB1;TRIP13;UBE2S;TOPBP1</t>
  </si>
  <si>
    <t>7398;890;7272;5984;8438;220134;11004;55646;8914</t>
  </si>
  <si>
    <t>USP1;CCNA2;TTK;RFC4;RAD54L;SKA1;KIF2C;LYAR;TIMELESS</t>
  </si>
  <si>
    <t>8520;9232;5933;6415;10657;23590;729533;9824;115004</t>
  </si>
  <si>
    <t>HAT1;PTTG1;RBL1;SELENOW;KHDRBS1;PDSS1;FAM72A;ARHGAP11A;CGAS</t>
  </si>
  <si>
    <t>GSE37301_MULTIPOTENT_PROGENITOR_VS_COMMON_LYMPHOID_PROGENITOR_DN</t>
  </si>
  <si>
    <t>3797;7298;4001;1841;1017;6241;5983;2146;81620</t>
  </si>
  <si>
    <t>KIF3C;TYMS;LMNB1;DTYMK;CDK2;RRM2;RFC3;EZH2;CDT1</t>
  </si>
  <si>
    <t>http://www.broadinstitute.org/gsea/msigdb/cards/GSE37301_MULTIPOTENT_PROGENITOR_VS_COMMON_LYMPHOID_PROGENITOR_DN.html</t>
  </si>
  <si>
    <t>1841;4174;5985;5902;1163;55789;81539;1894;1789</t>
  </si>
  <si>
    <t>DTYMK;MCM5;RFC5;RANBP1;CKS1B;DEPDC1B;SLC38A1;ECT2;DNMT3B</t>
  </si>
  <si>
    <t>11339;7298;5982;5427;5888;1870;150468;115004;79019</t>
  </si>
  <si>
    <t>OIP5;TYMS;RFC2;POLE2;RAD51;E2F2;CKAP2L;CGAS;CENPM</t>
  </si>
  <si>
    <t>22995;11130;790;4175;195828;220042;29128;55706;10460</t>
  </si>
  <si>
    <t>CEP152;ZWINT;CAD;MCM6;ZNF367;DDIAS;UHRF1;NDC1;TACC3</t>
  </si>
  <si>
    <t>http://www.broadinstitute.org/gsea/msigdb/cards/GSE40666_UNTREATED_VS_IFNA_STIM_CD8_TCELL_90MIN_DN.html</t>
  </si>
  <si>
    <t>11065;332;4605;899;2305;157313;83903;26586;146956</t>
  </si>
  <si>
    <t>UBE2C;BIRC5;MYBL2;CCNF;FOXM1;CDCA2;HASPIN;CKAP2;EME1</t>
  </si>
  <si>
    <t>3148;7112;675;1163;23590;57650;84930;10615;79075</t>
  </si>
  <si>
    <t>HMGB2;TMPO;BRCA2;CKS1B;PDSS1;CIP2A;MASTL;SPAG5;DSCC1</t>
  </si>
  <si>
    <t>1515;3161;11130;10105;5427;150465;375444;55010;23594</t>
  </si>
  <si>
    <t>CTSV;HMMR;ZWINT;PPIF;POLE2;TTL;C5orf34;PARPBP;ORC6</t>
  </si>
  <si>
    <t>701;4174;4288;9768;54821;151648;150468;147841;22974</t>
  </si>
  <si>
    <t>BUB1B;MCM5;MKI67;PCLAF;ERCC6L;SGO1;CKAP2L;SPC24;TPX2</t>
  </si>
  <si>
    <t>11130;7153;4001;898;899;1870;259266;64785;81624</t>
  </si>
  <si>
    <t>ZWINT;TOP2A;LMNB1;CCNE1;CCNF;E2F2;ASPM;GINS3;DIAPH3</t>
  </si>
  <si>
    <t>10535;7374;10971;1163;10657;1033;91687;78995;54478</t>
  </si>
  <si>
    <t>RNASEH2A;UNG;YWHAQ;CKS1B;KHDRBS1;CDKN3;CENPL;C17orf53;PIMREG</t>
  </si>
  <si>
    <t>GSE41867_DAY8_EFFECTOR_VS_DAY30_MEMORY_CD8_TCELL_LCMV_ARMSTRONG_UP</t>
  </si>
  <si>
    <t>5709;4001;10971;4436;55165;79801;83903;3066;8570</t>
  </si>
  <si>
    <t>PSMD3;LMNB1;YWHAQ;MSH2;CEP55;SHCBP1;HASPIN;HDAC2;KHSRP</t>
  </si>
  <si>
    <t>http://www.broadinstitute.org/gsea/msigdb/cards/GSE41867_DAY8_EFFECTOR_VS_DAY30_MEMORY_CD8_TCELL_LCMV_ARMSTRONG_UP.html</t>
  </si>
  <si>
    <t>86;1017;3148;4171;2146;8570;27085;81610;10051</t>
  </si>
  <si>
    <t>ACTL6A;CDK2;HMGB2;MCM2;EZH2;KHSRP;MTBP;FAM83D;SMC4</t>
  </si>
  <si>
    <t>7153;5111;9775;55165;144455;9585;3619;10926</t>
  </si>
  <si>
    <t>TOP2A;PCNA;EIF4A3;CEP55;E2F7;KIF20B;INCENP;DBF4</t>
  </si>
  <si>
    <t>23306;7516;4001;5725;9787;151648;79801;55789</t>
  </si>
  <si>
    <t>NEMP1;XRCC2;LMNB1;PTBP1;DLGAP5;SGO1;SHCBP1;DEPDC1B</t>
  </si>
  <si>
    <t>699;9787;113130;580;83990;64946;55723</t>
  </si>
  <si>
    <t>BUB1;DLGAP5;CDCA5;BARD1;BRIP1;CENPH;ASF1B</t>
  </si>
  <si>
    <t>4605;1063;675;1062;92092;9585;79915</t>
  </si>
  <si>
    <t>MYBL2;CENPF;BRCA2;CENPE;ZC3HAV1L;KIF20B;ATAD5</t>
  </si>
  <si>
    <t>3161;7153;6240;1058;3832;79801;10615</t>
  </si>
  <si>
    <t>HMMR;TOP2A;RRM1;CENPA;KIF11;SHCBP1;SPAG5</t>
  </si>
  <si>
    <t>http://www.broadinstitute.org/gsea/msigdb/cards/GSE10500_ARTHRITIC_SYNOVIAL_FLUID_VS_HEALTHY_MACROPHAGE_UP.html</t>
  </si>
  <si>
    <t>9775;5557;6502;1994;79682;55656;375444;64105</t>
  </si>
  <si>
    <t>EIF4A3;PRIM1;SKP2;ELAVL1;CENPU;INTS8;C5orf34;CENPK</t>
  </si>
  <si>
    <t>GSE11864_CSF1_PAM3CYS_VS_CSF1_IFNG_PAM3CYS_IN_MAC_UP</t>
  </si>
  <si>
    <t>8562;203068;4691;5347;6749;6996;84991;55646</t>
  </si>
  <si>
    <t>DENR;TUBB;NCL;PLK1;SSRP1;TDG;RBM17;LYAR</t>
  </si>
  <si>
    <t>http://www.broadinstitute.org/gsea/msigdb/cards/GSE11864_CSF1_PAM3CYS_VS_CSF1_IFNG_PAM3CYS_IN_MAC_UP.html</t>
  </si>
  <si>
    <t>79733;86;80178;146956;10635;79075;63967;26271</t>
  </si>
  <si>
    <t>E2F8;ACTL6A;TEDC2;EME1;RAD51AP1;DSCC1;CLSPN;FBXO5</t>
  </si>
  <si>
    <t>http://www.broadinstitute.org/gsea/msigdb/cards/GSE11924_TFH_VS_TH17_CD4_TCELL_DN.html</t>
  </si>
  <si>
    <t>6790;10592;5985;9837;151246;7444;132320;55010</t>
  </si>
  <si>
    <t>AURKA;SMC2;RFC5;GINS1;SGO2;VRK2;SCLT1;PARPBP</t>
  </si>
  <si>
    <t>86;2237;5985;4436;2956;23076;57696;29127</t>
  </si>
  <si>
    <t>ACTL6A;FEN1;RFC5;MSH2;MSH6;RRP1B;DDX55;RACGAP1</t>
  </si>
  <si>
    <t>GSE14000_4H_VS_16H_LPS_DC_TRANSLATED_RNA_DN</t>
  </si>
  <si>
    <t>9055;3161;2237;6502;6491;55165;91687;23234</t>
  </si>
  <si>
    <t>PRC1;HMMR;FEN1;SKP2;STIL;CEP55;CENPL;DNAJC9</t>
  </si>
  <si>
    <t>http://www.broadinstitute.org/gsea/msigdb/cards/GSE14000_4H_VS_16H_LPS_DC_TRANSLATED_RNA_DN.html</t>
  </si>
  <si>
    <t>5111;1503;6749;8683;9928;54821;23165;84296</t>
  </si>
  <si>
    <t>PCNA;CTPS1;SSRP1;SRSF9;KIF14;ERCC6L;NUP205;GINS4</t>
  </si>
  <si>
    <t>GSE14308_TH17_VS_NATURAL_TREG_UP</t>
  </si>
  <si>
    <t>86;10797;3148;348793;221150;150465;10635;2177</t>
  </si>
  <si>
    <t>ACTL6A;MTHFD2;HMGB2;WDR53;SKA3;TTL;RAD51AP1;FANCD2</t>
  </si>
  <si>
    <t>http://www.broadinstitute.org/gsea/msigdb/cards/GSE14308_TH17_VS_NATURAL_TREG_UP.html</t>
  </si>
  <si>
    <t>9055;4171;79682;151188;79915;79172;79075;29089</t>
  </si>
  <si>
    <t>PRC1;MCM2;CENPU;ARL6IP6;ATAD5;CENPO;DSCC1;UBE2T</t>
  </si>
  <si>
    <t>5983;3068;23649;84904;26586;3833;29893;25788</t>
  </si>
  <si>
    <t>RFC3;HDGF;POLA2;ARHGEF39;CKAP2;KIFC1;PSMC3IP;RAD54B</t>
  </si>
  <si>
    <t>3797;3148;1058;79676;55656;128239;23234;54443</t>
  </si>
  <si>
    <t>KIF3C;HMGB2;CENPA;OGFOD2;INTS8;IQGAP3;DNAJC9;ANLN</t>
  </si>
  <si>
    <t>11169;7272;7913;8683;27338;79676;55656;51203</t>
  </si>
  <si>
    <t>WDHD1;TTK;DEK;SRSF9;UBE2S;OGFOD2;INTS8;NUSAP1</t>
  </si>
  <si>
    <t>4605;898;79676;84722;83903;54443;55723;22974</t>
  </si>
  <si>
    <t>MYBL2;CCNE1;OGFOD2;PSRC1;HASPIN;ANLN;ASF1B;TPX2</t>
  </si>
  <si>
    <t>4176;1063;84823;8683;23234;11073;65003;11198</t>
  </si>
  <si>
    <t>MCM7;CENPF;LMNB2;SRSF9;DNAJC9;TOPBP1;MRPL11;SUPT16H</t>
  </si>
  <si>
    <t>699;5111;4176;23397;23234;29127;54443;65003</t>
  </si>
  <si>
    <t>BUB1;PCNA;MCM7;NCAPH;DNAJC9;RACGAP1;ANLN;MRPL11</t>
  </si>
  <si>
    <t>7398;9133;983;1503;10376;84722;84798;128239</t>
  </si>
  <si>
    <t>USP1;CCNB2;CDK1;CTPS1;TUBA1B;PSRC1;C19orf48;IQGAP3</t>
  </si>
  <si>
    <t>983;3148;4176;5982;5558;9837;113115;27085</t>
  </si>
  <si>
    <t>CDK1;HMGB2;MCM7;RFC2;PRIM2;GINS1;MTFR2;MTBP</t>
  </si>
  <si>
    <t>9232;7374;6241;5982;54821;84798;81620;8914</t>
  </si>
  <si>
    <t>PTTG1;UNG;RRM2;RFC2;ERCC6L;C19orf48;CDT1;TIMELESS</t>
  </si>
  <si>
    <t>GSE17721_POLYIC_VS_PAM3CSK4_6H_BMDC_DN</t>
  </si>
  <si>
    <t>332;672;4288;6502;23518;1994;990;55646</t>
  </si>
  <si>
    <t>BIRC5;BRCA1;MKI67;SKP2;R3HDM1;ELAVL1;CDC6;LYAR</t>
  </si>
  <si>
    <t>http://www.broadinstitute.org/gsea/msigdb/cards/GSE17721_POLYIC_VS_PAM3CSK4_6H_BMDC_DN.html</t>
  </si>
  <si>
    <t>10592;7374;6733;6502;9918;23518;55355;990</t>
  </si>
  <si>
    <t>SMC2;UNG;SRPK2;SKP2;NCAPD2;R3HDM1;HJURP;CDC6</t>
  </si>
  <si>
    <t>6415;10376;6733;84722;285753;83903;580;81620</t>
  </si>
  <si>
    <t>SELENOW;TUBA1B;SRPK2;PSRC1;CEP57L1;HASPIN;BARD1;CDT1</t>
  </si>
  <si>
    <t>GSE17721_POLYIC_VS_CPG_24H_BMDC_DN</t>
  </si>
  <si>
    <t>8318;4605;4288;4085;63979;55706;11321;29089</t>
  </si>
  <si>
    <t>CDC45;MYBL2;MKI67;MAD2L1;FIGNL1;NDC1;GPN1;UBE2T</t>
  </si>
  <si>
    <t>http://www.broadinstitute.org/gsea/msigdb/cards/GSE17721_POLYIC_VS_CPG_24H_BMDC_DN.html</t>
  </si>
  <si>
    <t>6790;1515;86;5558;9768;7444;10635;9633</t>
  </si>
  <si>
    <t>AURKA;CTSV;ACTL6A;PRIM2;PCLAF;VRK2;RAD51AP1;TESMIN</t>
  </si>
  <si>
    <t>6733;9918;54892;83903;113130;29127;81539;8914</t>
  </si>
  <si>
    <t>SRPK2;NCAPD2;NCAPG2;HASPIN;CDCA5;RACGAP1;SLC38A1;TIMELESS</t>
  </si>
  <si>
    <t>8562;4172;6878;23518;1994;23234;64105;55646</t>
  </si>
  <si>
    <t>DENR;MCM3;TAF6;R3HDM1;ELAVL1;DNAJC9;CENPK;LYAR</t>
  </si>
  <si>
    <t>GSE17721_0.5H_VS_4H_LPS_BMDC_UP</t>
  </si>
  <si>
    <t>4176;4171;84823;23076;23234;11073;54443;11198</t>
  </si>
  <si>
    <t>MCM7;MCM2;LMNB2;RRP1B;DNAJC9;TOPBP1;ANLN;SUPT16H</t>
  </si>
  <si>
    <t>http://www.broadinstitute.org/gsea/msigdb/cards/GSE17721_0.5H_VS_4H_LPS_BMDC_UP.html</t>
  </si>
  <si>
    <t>6790;1786;6241;4173;6733;991;81930;9212</t>
  </si>
  <si>
    <t>AURKA;DNMT1;RRM2;MCM4;SRPK2;CDC20;KIF18A;AURKB</t>
  </si>
  <si>
    <t>2175;1994;55388;7444;201299;150465;9088;51203</t>
  </si>
  <si>
    <t>FANCA;ELAVL1;MCM10;VRK2;RDM1;TTL;PKMYT1;NUSAP1</t>
  </si>
  <si>
    <t>898;5984;5888;55656;11073;55732;55215;51659</t>
  </si>
  <si>
    <t>CCNE1;RFC4;RAD51;INTS8;TOPBP1;C1orf112;FANCI;GINS2</t>
  </si>
  <si>
    <t>GSE18791_CTRL_VS_NEWCASTLE_VIRUS_DC_8H_UP</t>
  </si>
  <si>
    <t>86;200933;7374;1503;898;113115;348793;220042</t>
  </si>
  <si>
    <t>ACTL6A;FBXO45;UNG;CTPS1;CCNE1;MTFR2;WDR53;DDIAS</t>
  </si>
  <si>
    <t>http://www.broadinstitute.org/gsea/msigdb/cards/GSE18791_CTRL_VS_NEWCASTLE_VIRUS_DC_8H_UP.html</t>
  </si>
  <si>
    <t>790;4436;23397;113115;63979;55656;348793;220042</t>
  </si>
  <si>
    <t>CAD;MSH2;NCAPH;MTFR2;FIGNL1;INTS8;WDR53;DDIAS</t>
  </si>
  <si>
    <t>10733;86;200933;7374;5985;150465;3066;11321</t>
  </si>
  <si>
    <t>PLK4;ACTL6A;FBXO45;UNG;RFC5;TTL;HDAC2;GPN1</t>
  </si>
  <si>
    <t>3161;10592;4751;1479;9824;150468;162681;29127</t>
  </si>
  <si>
    <t>HMMR;SMC2;NEK2;CSTF3;ARHGAP11A;CKAP2L;C18orf54;RACGAP1</t>
  </si>
  <si>
    <t>7398;7374;5933;4175;9837;990;79968;11198</t>
  </si>
  <si>
    <t>USP1;UNG;RBL1;MCM6;GINS1;CDC6;WDR76;SUPT16H</t>
  </si>
  <si>
    <t>10212;4691;4172;8833;4670;23234;79902;81539</t>
  </si>
  <si>
    <t>DDX39A;NCL;MCM3;GMPS;HNRNPM;DNAJC9;NUP85;SLC38A1</t>
  </si>
  <si>
    <t>11339;9837;55143;55247;81539;79000;79019;8914</t>
  </si>
  <si>
    <t>OIP5;GINS1;CDCA8;NEIL3;SLC38A1;AUNIP;CENPM;TIMELESS</t>
  </si>
  <si>
    <t>10212;5717;7516;11130;146956;1789;9156;10460</t>
  </si>
  <si>
    <t>DDX39A;PSMD11;XRCC2;ZWINT;EME1;DNMT3B;EXO1;TACC3</t>
  </si>
  <si>
    <t>11065;8520;6790;699;1786;5427;9918;9212</t>
  </si>
  <si>
    <t>UBE2C;HAT1;AURKA;BUB1;DNMT1;POLE2;NCAPD2;AURKB</t>
  </si>
  <si>
    <t>GSE27786_LSK_VS_BCELL_UP</t>
  </si>
  <si>
    <t>790;899;5557;5558;5427;128239;10635;1789</t>
  </si>
  <si>
    <t>CAD;CCNF;PRIM1;PRIM2;POLE2;IQGAP3;RAD51AP1;DNMT3B</t>
  </si>
  <si>
    <t>http://www.broadinstitute.org/gsea/msigdb/cards/GSE27786_LSK_VS_BCELL_UP.html</t>
  </si>
  <si>
    <t>1841;4172;4176;4751;5426;9837;79866;27339</t>
  </si>
  <si>
    <t>DTYMK;MCM3;MCM7;NEK2;POLE;GINS1;BORA;PRPF19</t>
  </si>
  <si>
    <t>5982;151188;57650;23165;144455;51203;54443;81624</t>
  </si>
  <si>
    <t>RFC2;ARL6IP6;CIP2A;NUP205;E2F7;NUSAP1;ANLN;DIAPH3</t>
  </si>
  <si>
    <t>GSE29617_CTRL_VS_TIV_FLU_VACCINE_PBMC_2008_DN</t>
  </si>
  <si>
    <t>11130;203068;5111;6241;7112;5557;220042;3066</t>
  </si>
  <si>
    <t>ZWINT;TUBB;PCNA;RRM2;TMPO;PRIM1;DDIAS;HDAC2</t>
  </si>
  <si>
    <t>http://www.broadinstitute.org/gsea/msigdb/cards/GSE29617_CTRL_VS_TIV_FLU_VACCINE_PBMC_2008_DN.html</t>
  </si>
  <si>
    <t>11065;7398;10592;6929;6878;4751;4085;11321</t>
  </si>
  <si>
    <t>UBE2C;USP1;SMC2;TCF3;TAF6;NEK2;MAD2L1;GPN1</t>
  </si>
  <si>
    <t>332;7283;6241;6878;641;6502;1033;9156</t>
  </si>
  <si>
    <t>BIRC5;TUBG1;RRM2;TAF6;BLM;SKP2;CDKN3;EXO1</t>
  </si>
  <si>
    <t>5496;898;5933;10105;7112;5347;84823;8570</t>
  </si>
  <si>
    <t>PPM1G;CCNE1;RBL1;PPIF;TMPO;PLK1;LMNB2;KHSRP</t>
  </si>
  <si>
    <t>5709;4670;3838;10376;6996;23076;2146;27338</t>
  </si>
  <si>
    <t>PSMD3;HNRNPM;KPNA2;TUBA1B;TDG;RRP1B;EZH2;UBE2S</t>
  </si>
  <si>
    <t>23306;3797;203068;4001;899;1058;5347;2146</t>
  </si>
  <si>
    <t>NEMP1;KIF3C;TUBB;LMNB1;CCNF;CENPA;PLK1;EZH2</t>
  </si>
  <si>
    <t>8317;5496;4001;1763;675;641;27338;9125</t>
  </si>
  <si>
    <t>CDC7;PPM1G;LMNB1;DNA2;BRCA2;BLM;UBE2S;CNOT9</t>
  </si>
  <si>
    <t>3797;3015;891;10105;8570;84991;57405;29893</t>
  </si>
  <si>
    <t>KIF3C;H2AFZ;CCNB1;PPIF;KHSRP;RBM17;SPC25;PSMC3IP</t>
  </si>
  <si>
    <t>http://www.broadinstitute.org/gsea/msigdb/cards/GSE360_HIGH_VS_LOW_DOSE_B_MALAYI_MAC_UP.html</t>
  </si>
  <si>
    <t>9055;5902;6996;55388;259266;55839;55055;65003</t>
  </si>
  <si>
    <t>PRC1;RANBP1;TDG;MCM10;ASPM;CENPN;ZWILCH;MRPL11</t>
  </si>
  <si>
    <t>79733;203068;5111;6240;4172;1786;1434;1994</t>
  </si>
  <si>
    <t>E2F8;TUBB;PCNA;RRM1;MCM3;DNMT1;CSE1L;ELAVL1</t>
  </si>
  <si>
    <t>http://www.broadinstitute.org/gsea/msigdb/cards/GSE3982_EOSINOPHIL_VS_MAST_CELL_DN.html</t>
  </si>
  <si>
    <t>GSE3982_EOSINOPHIL_VS_MAC_DN</t>
  </si>
  <si>
    <t>3161;86;1786;4173;1434;9493;259266;79019</t>
  </si>
  <si>
    <t>HMMR;ACTL6A;DNMT1;MCM4;CSE1L;AC027237.1;ASPM;CENPM</t>
  </si>
  <si>
    <t>http://www.broadinstitute.org/gsea/msigdb/cards/GSE3982_EOSINOPHIL_VS_MAC_DN.html</t>
  </si>
  <si>
    <t>7283;5984;23518;79075;79902;11321;10051;27339</t>
  </si>
  <si>
    <t>TUBG1;RFC4;R3HDM1;DSCC1;NUP85;GPN1;SMC4;PRPF19</t>
  </si>
  <si>
    <t>8318;993;1062;6502;79866;7444;11073;55732</t>
  </si>
  <si>
    <t>CDC45;CDC25A;CENPE;SKP2;BORA;VRK2;TOPBP1;C1orf112</t>
  </si>
  <si>
    <t>7398;23649;9319;150468;27085;10615;64946;27339</t>
  </si>
  <si>
    <t>USP1;POLA2;TRIP13;CKAP2L;MTBP;SPAG5;CENPH;PRPF19</t>
  </si>
  <si>
    <t>1058;3068;1062;387103;259266;201299;55771;81539</t>
  </si>
  <si>
    <t>CENPA;HDGF;CENPE;CENPW;ASPM;RDM1;PRR11;SLC38A1</t>
  </si>
  <si>
    <t>5725;4998;3837;2146;253714;90381;81539;10926</t>
  </si>
  <si>
    <t>PTBP1;ORC1;KPNB1;EZH2;MMS22L;TICRR;SLC38A1;DBF4</t>
  </si>
  <si>
    <t>11169;9232;7083;10036;9833;1033;64105;51203</t>
  </si>
  <si>
    <t>WDHD1;PTTG1;TK1;CHAF1A;MELK;CDKN3;CENPK;NUSAP1</t>
  </si>
  <si>
    <t>5725;4670;6749;8683;27338;55038;27339;10460</t>
  </si>
  <si>
    <t>PTBP1;HNRNPM;SSRP1;SRSF9;UBE2S;CDCA4;PRPF19;TACC3</t>
  </si>
  <si>
    <t>http://www.broadinstitute.org/gsea/msigdb/cards/GSE9006_TYPE_1_VS_TYPE_2_DIABETES_PBMC_AT_DX_UP.html</t>
  </si>
  <si>
    <t>203068;7374;4176;4288;5426;84798;115004;79915</t>
  </si>
  <si>
    <t>TUBB;UNG;MCM7;MKI67;POLE;C19orf48;CGAS;ATAD5</t>
  </si>
  <si>
    <t>GSE9988_LPS_VS_LOW_LPS_MONOCYTE_DN</t>
  </si>
  <si>
    <t>6790;6491;286826;79801;83903;990;57405;56992</t>
  </si>
  <si>
    <t>AURKA;STIL;LIN9;SHCBP1;HASPIN;CDC6;SPC25;KIF15</t>
  </si>
  <si>
    <t>http://www.broadinstitute.org/gsea/msigdb/cards/GSE9988_LPS_VS_LOW_LPS_MONOCYTE_DN.html</t>
  </si>
  <si>
    <t>1063;1062;9918;55355;79801;80119;57405;54443</t>
  </si>
  <si>
    <t>CENPF;CENPE;NCAPD2;HJURP;SHCBP1;PIF1;SPC25;ANLN</t>
  </si>
  <si>
    <t>11065;6839;4176;4175;1994;80178;9088;27339</t>
  </si>
  <si>
    <t>UBE2C;SUV39H1;MCM7;MCM6;ELAVL1;TEDC2;PKMYT1;PRPF19</t>
  </si>
  <si>
    <t>http://www.broadinstitute.org/gsea/msigdb/cards/GSE2770_IL12_ACT_VS_ACT_CD4_TCELL_6H_UP.html</t>
  </si>
  <si>
    <t>10733;1111;5111;6415;6733;147841;79172;64858</t>
  </si>
  <si>
    <t>PLK4;CHEK1;PCNA;SELENOW;SRPK2;SPC24;CENPO;DCLRE1B</t>
  </si>
  <si>
    <t>GSE2770_UNTREATED_VS_IL12_TREATED_ACT_CD4_TCELL_2H_DN</t>
  </si>
  <si>
    <t>7298;203068;7283;3838;10657;80178;348793;3619</t>
  </si>
  <si>
    <t>TYMS;TUBB;TUBG1;KPNA2;KHDRBS1;TEDC2;WDR53;INCENP</t>
  </si>
  <si>
    <t>http://www.broadinstitute.org/gsea/msigdb/cards/GSE2770_UNTREATED_VS_IL12_TREATED_ACT_CD4_TCELL_2H_DN.html</t>
  </si>
  <si>
    <t>1471;4605;5725;4521;2305;55143;80178;55839</t>
  </si>
  <si>
    <t>CST3;MYBL2;PTBP1;NUDT1;FOXM1;CDCA8;TEDC2;CENPN</t>
  </si>
  <si>
    <t>8520;2189;11169;4174;9493;990;79902;81624</t>
  </si>
  <si>
    <t>HAT1;FANCG;WDHD1;MCM5;AC027237.1;CDC6;NUP85;DIAPH3</t>
  </si>
  <si>
    <t>GSE8921_UNSTIM_0H_VS_TLR1_2_STIM_MONOCYTE_6H_UP</t>
  </si>
  <si>
    <t>10403;10797;9700;55143;387103;146956;83540;55732</t>
  </si>
  <si>
    <t>NDC80;MTHFD2;ESPL1;CDCA8;CENPW;EME1;NUF2;C1orf112</t>
  </si>
  <si>
    <t>http://www.broadinstitute.org/gsea/msigdb/cards/GSE8921_UNSTIM_0H_VS_TLR1_2_STIM_MONOCYTE_6H_UP.html</t>
  </si>
  <si>
    <t>11169;1471;10376;23397;9768;27338;78995;4796</t>
  </si>
  <si>
    <t>WDHD1;CST3;TUBA1B;NCAPH;PCLAF;UBE2S;C17orf53;TONSL</t>
  </si>
  <si>
    <t>1111;10112;27338;90381;64105;55055;81624;10926</t>
  </si>
  <si>
    <t>CHEK1;KIF20A;UBE2S;TICRR;CENPK;ZWILCH;DIAPH3;DBF4</t>
  </si>
  <si>
    <t>10971;993;4751;9493;55247;23234;9585;1894</t>
  </si>
  <si>
    <t>YWHAQ;CDC25A;NEK2;AC027237.1;NEIL3;DNAJC9;KIF20B;ECT2</t>
  </si>
  <si>
    <t>8520;11169;9232;10657;9837;3837;729533;65003</t>
  </si>
  <si>
    <t>HAT1;WDHD1;PTTG1;KHDRBS1;GINS1;KPNB1;FAM72A;MRPL11</t>
  </si>
  <si>
    <t>http://www.broadinstitute.org/gsea/msigdb/cards/GSE5589_UNSTIM_VS_45MIN_LPS_AND_IL10_STIM_MACROPHAGE_DN.html</t>
  </si>
  <si>
    <t>8562;790;157570;55635;253714;79682;57650;51514</t>
  </si>
  <si>
    <t>DENR;CAD;ESCO2;DEPDC1;MMS22L;CENPU;CIP2A;DTL</t>
  </si>
  <si>
    <t>10535;1471;4436;201299;55789;23234;29980;11198</t>
  </si>
  <si>
    <t>RNASEH2A;CST3;MSH2;RDM1;DEPDC1B;DNAJC9;DONSON;SUPT16H</t>
  </si>
  <si>
    <t>GSE6875_TCONV_VS_TREG_DN</t>
  </si>
  <si>
    <t>10721;10535;9134;993;899;79682;11073;10051</t>
  </si>
  <si>
    <t>POLQ;RNASEH2A;CCNE2;CDC25A;CCNF;CENPU;TOPBP1;SMC4</t>
  </si>
  <si>
    <t>http://www.broadinstitute.org/gsea/msigdb/cards/GSE6875_TCONV_VS_TREG_DN.html</t>
  </si>
  <si>
    <t>9133;286826;90381;259266;23234;64946;8914;6941</t>
  </si>
  <si>
    <t>CCNB2;LIN9;TICRR;ASPM;DNAJC9;CENPH;TIMELESS;TCF19</t>
  </si>
  <si>
    <t>GSE10240_CTRL_VS_IL17_STIM_PRIMARY_BRONCHIAL_EPITHELIAL_CELLS_UP</t>
  </si>
  <si>
    <t>1017;7112;675;84823;9088;79000;79019;9156</t>
  </si>
  <si>
    <t>CDK2;TMPO;BRCA2;LMNB2;PKMYT1;AUNIP;CENPM;EXO1</t>
  </si>
  <si>
    <t>http://www.broadinstitute.org/gsea/msigdb/cards/GSE10240_CTRL_VS_IL17_STIM_PRIMARY_BRONCHIAL_EPITHELIAL_CELLS_UP.html</t>
  </si>
  <si>
    <t>8318;3015;6241;9735;1763;151246;51514;10460</t>
  </si>
  <si>
    <t>CDC45;H2AFZ;RRM2;KNTC1;DNA2;SGO2;DTL;TACC3</t>
  </si>
  <si>
    <t>6790;4605;6415;29128;29127;55215;55723;54069</t>
  </si>
  <si>
    <t>AURKA;MYBL2;SELENOW;UHRF1;RACGAP1;FANCI;ASF1B;MIS18A</t>
  </si>
  <si>
    <t>203068;4174;3068;2146;27338;23590;115004;80179</t>
  </si>
  <si>
    <t>TUBB;MCM5;HDGF;EZH2;UBE2S;PDSS1;CGAS;MYO19</t>
  </si>
  <si>
    <t>GSE19923_WT_VS_HEB_KO_DP_THYMOCYTE_DN</t>
  </si>
  <si>
    <t>1871;86;1503;6241;6415;8683;23076;55038</t>
  </si>
  <si>
    <t>E2F3;ACTL6A;CTPS1;RRM2;SELENOW;SRSF9;RRP1B;CDCA4</t>
  </si>
  <si>
    <t>http://www.broadinstitute.org/gsea/msigdb/cards/GSE19923_WT_VS_HEB_KO_DP_THYMOCYTE_DN.html</t>
  </si>
  <si>
    <t>6839;890;4670;9768;115004;57696;56992;10460</t>
  </si>
  <si>
    <t>SUV39H1;CCNA2;HNRNPM;PCLAF;CGAS;DDX55;KIF15;TACC3</t>
  </si>
  <si>
    <t>1503;4001;1017;790;5982;5902;23165;3066</t>
  </si>
  <si>
    <t>CTPS1;LMNB1;CDK2;CAD;RFC2;RANBP1;NUP205;HDAC2</t>
  </si>
  <si>
    <t>GSE21380_TFH_VS_GERMINAL_CENTER_TFH_CD4_TCELL_DN</t>
  </si>
  <si>
    <t>10105;5347;1163;54821;25886;55771;29128;64151</t>
  </si>
  <si>
    <t>PPIF;PLK1;CKS1B;ERCC6L;POC1A;PRR11;UHRF1;NCAPG</t>
  </si>
  <si>
    <t>http://www.broadinstitute.org/gsea/msigdb/cards/GSE21380_TFH_VS_GERMINAL_CENTER_TFH_CD4_TCELL_DN.html</t>
  </si>
  <si>
    <t>9055;790;1063;146909;23165;54478;79902;55038</t>
  </si>
  <si>
    <t>PRC1;CAD;CENPF;KIF18B;NUP205;PIMREG;NUP85;CDCA4</t>
  </si>
  <si>
    <t>79733;9055;3148;7913;4175;9319;286826;54892</t>
  </si>
  <si>
    <t>E2F8;PRC1;HMGB2;DEK;MCM6;TRIP13;LIN9;NCAPG2</t>
  </si>
  <si>
    <t>4605;3148;84722;55388;10635;9088;11004;83540</t>
  </si>
  <si>
    <t>MYBL2;HMGB2;PSRC1;MCM10;RAD51AP1;PKMYT1;KIF2C;NUF2</t>
  </si>
  <si>
    <t>GSE22103_UNSTIM_VS_LPS_STIM_NEUTROPHIL_DN</t>
  </si>
  <si>
    <t>9232;9735;6733;991;84722;84930;10615;79019</t>
  </si>
  <si>
    <t>PTTG1;KNTC1;SRPK2;CDC20;PSRC1;MASTL;SPAG5;CENPM</t>
  </si>
  <si>
    <t>http://www.broadinstitute.org/gsea/msigdb/cards/GSE22103_UNSTIM_VS_LPS_STIM_NEUTROPHIL_DN.html</t>
  </si>
  <si>
    <t>8318;6502;3837;81930;375444;990;81539;9156</t>
  </si>
  <si>
    <t>CDC45;SKP2;KPNB1;KIF18A;C5orf34;CDC6;SLC38A1;EXO1</t>
  </si>
  <si>
    <t>GSE16386_IL4_VS_IL4_AND_ROSIGLITAZONE_STIM_MACROPHAGE_6H_DN</t>
  </si>
  <si>
    <t>9055;3161;983;991;157313;84722;26586;90417</t>
  </si>
  <si>
    <t>PRC1;HMMR;CDK1;CDC20;CDCA2;PSRC1;CKAP2;KNSTRN</t>
  </si>
  <si>
    <t>http://www.broadinstitute.org/gsea/msigdb/cards/GSE16386_IL4_VS_IL4_AND_ROSIGLITAZONE_STIM_MACROPHAGE_6H_DN.html</t>
  </si>
  <si>
    <t>GSE25088_CTRL_VS_ROSIGLITAZONE_STIM_MACROPHAGE_DN</t>
  </si>
  <si>
    <t>79733;10403;2237;3068;81930;2491;990;79019</t>
  </si>
  <si>
    <t>E2F8;NDC80;FEN1;HDGF;KIF18A;CENPI;CDC6;CENPM</t>
  </si>
  <si>
    <t>http://www.broadinstitute.org/gsea/msigdb/cards/GSE25088_CTRL_VS_ROSIGLITAZONE_STIM_MACROPHAGE_DN.html</t>
  </si>
  <si>
    <t>3797;10376;9700;79682;2491;55872;8914;51659</t>
  </si>
  <si>
    <t>KIF3C;TUBA1B;ESPL1;CENPU;CENPI;PBK;TIMELESS;GINS2</t>
  </si>
  <si>
    <t>1471;5111;9493;9837;84798;7444;23234;8438</t>
  </si>
  <si>
    <t>CST3;PCNA;AC027237.1;GINS1;C19orf48;VRK2;DNAJC9;RAD54L</t>
  </si>
  <si>
    <t>7083;7283;1434;9787;80178;8438;10615;81620</t>
  </si>
  <si>
    <t>TK1;TUBG1;CSE1L;DLGAP5;TEDC2;RAD54L;SPAG5;CDT1</t>
  </si>
  <si>
    <t>2237;4175;6469;79676;26586;220134;11004;9156</t>
  </si>
  <si>
    <t>FEN1;MCM6;SHH;OGFOD2;CKAP2;SKA1;KIF2C;EXO1</t>
  </si>
  <si>
    <t>GSE22611_UNSTIM_VS_2H_MDP_STIM_NOD2_TRANSDUCED_HEK293T_CELL_DN</t>
  </si>
  <si>
    <t>79733;10733;701;24137;1434;55165;55635;80174</t>
  </si>
  <si>
    <t>E2F8;PLK4;BUB1B;KIF4A;CSE1L;CEP55;DEPDC1;DBF4B</t>
  </si>
  <si>
    <t>http://www.broadinstitute.org/gsea/msigdb/cards/GSE22611_UNSTIM_VS_2H_MDP_STIM_NOD2_TRANSDUCED_HEK293T_CELL_DN.html</t>
  </si>
  <si>
    <t>GSE22611_NOD2_VS_CTRL_TRANSDUCED_HEK293T_CELL_UP</t>
  </si>
  <si>
    <t>3797;4172;4670;3838;1062;8208;9824;29127</t>
  </si>
  <si>
    <t>KIF3C;MCM3;HNRNPM;KPNA2;CENPE;CHAF1B;ARHGAP11A;RACGAP1</t>
  </si>
  <si>
    <t>http://www.broadinstitute.org/gsea/msigdb/cards/GSE22611_NOD2_VS_CTRL_TRANSDUCED_HEK293T_CELL_UP.html</t>
  </si>
  <si>
    <t>GSE22611_MUTANT_NOD2_VS_CTRL_TRANSDUCED_HEK293T_CELL_DN</t>
  </si>
  <si>
    <t>4605;1841;6749;79676;83990;63967;55732;9633</t>
  </si>
  <si>
    <t>MYBL2;DTYMK;SSRP1;OGFOD2;BRIP1;CLSPN;C1orf112;TESMIN</t>
  </si>
  <si>
    <t>http://www.broadinstitute.org/gsea/msigdb/cards/GSE22611_MUTANT_NOD2_VS_CTRL_TRANSDUCED_HEK293T_CELL_DN.html</t>
  </si>
  <si>
    <t>10403;3148;5933;5557;3832;29028;1894;10460</t>
  </si>
  <si>
    <t>NDC80;HMGB2;RBL1;PRIM1;KIF11;ATAD2;ECT2;TACC3</t>
  </si>
  <si>
    <t>9232;10657;1870;55388;115004;80179;10293;8914</t>
  </si>
  <si>
    <t>PTTG1;KHDRBS1;E2F2;MCM10;CGAS;MYO19;TRAIP;TIMELESS</t>
  </si>
  <si>
    <t>1786;4176;6733;9493;23518;157313;55388;26271</t>
  </si>
  <si>
    <t>DNMT1;MCM7;SRPK2;AC027237.1;R3HDM1;CDCA2;MCM10;FBXO5</t>
  </si>
  <si>
    <t>284403;699;10592;1786;5933;144455;93594;3619</t>
  </si>
  <si>
    <t>WDR62;BUB1;SMC2;DNMT1;RBL1;E2F7;TBC1D31;INCENP</t>
  </si>
  <si>
    <t>1763;6733;9493;6502;55355;375444;29089;26271</t>
  </si>
  <si>
    <t>DNA2;SRPK2;AC027237.1;SKP2;HJURP;C5orf34;UBE2T;FBXO5</t>
  </si>
  <si>
    <t>2956;6733;6491;151648;146556;9212;79902;10926</t>
  </si>
  <si>
    <t>MSH6;SRPK2;STIL;SGO1;C16orf89;AURKB;NUP85;DBF4</t>
  </si>
  <si>
    <t>79733;5427;9493;151648;84798;146556;55656;29128</t>
  </si>
  <si>
    <t>E2F8;POLE2;AC027237.1;SGO1;C19orf48;C16orf89;INTS8;UHRF1</t>
  </si>
  <si>
    <t>8317;1871;1111;1786;1869;10036;9787;79915</t>
  </si>
  <si>
    <t>CDC7;E2F3;CHEK1;DNMT1;E2F1;CHAF1A;DLGAP5;ATAD5</t>
  </si>
  <si>
    <t>GSE37532_TREG_VS_TCONV_PPARG_KO_CD4_TCELL_FROM_VISCERAL_ADIPOSE_TISSUE_UP</t>
  </si>
  <si>
    <t>1515;1503;991;55635;55247;29128;580;54478</t>
  </si>
  <si>
    <t>CTSV;CTPS1;CDC20;DEPDC1;NEIL3;UHRF1;BARD1;PIMREG</t>
  </si>
  <si>
    <t>http://www.broadinstitute.org/gsea/msigdb/cards/GSE37532_TREG_VS_TCONV_PPARG_KO_CD4_TCELL_FROM_VISCERAL_ADIPOSE_TISSUE_UP.html</t>
  </si>
  <si>
    <t>GSE37532_TREG_VS_TCONV_CD4_TCELL_FROM_LN_UP</t>
  </si>
  <si>
    <t>7374;1503;993;3068;23076;84798;990;9156</t>
  </si>
  <si>
    <t>UNG;CTPS1;CDC25A;HDGF;RRP1B;C19orf48;CDC6;EXO1</t>
  </si>
  <si>
    <t>http://www.broadinstitute.org/gsea/msigdb/cards/GSE37532_TREG_VS_TCONV_CD4_TCELL_FROM_LN_UP.html</t>
  </si>
  <si>
    <t>1111;4174;5902;1163;8683;23076;9319;63967</t>
  </si>
  <si>
    <t>CHEK1;MCM5;RANBP1;CKS1B;SRSF9;RRP1B;TRIP13;CLSPN</t>
  </si>
  <si>
    <t>10797;1503;7283;113115;89958;115004;9088;8914</t>
  </si>
  <si>
    <t>MTHFD2;CTPS1;TUBG1;MTFR2;SAPCD2;CGAS;PKMYT1;TIMELESS</t>
  </si>
  <si>
    <t>8520;7153;1503;5902;4288;10376;9125;81624</t>
  </si>
  <si>
    <t>HAT1;TOP2A;CTPS1;RANBP1;MKI67;TUBA1B;CNOT9;DIAPH3</t>
  </si>
  <si>
    <t>5725;790;5933;1434;113115;146956;55839;79172</t>
  </si>
  <si>
    <t>PTBP1;CAD;RBL1;CSE1L;MTFR2;EME1;CENPN;CENPO</t>
  </si>
  <si>
    <t>9401;7374;10971;4436;1434;163786;79968;79019</t>
  </si>
  <si>
    <t>RECQL4;UNG;YWHAQ;MSH2;CSE1L;SASS6;WDR76;CENPM</t>
  </si>
  <si>
    <t>11169;5902;3068;1434;1869;6469;84798;3070</t>
  </si>
  <si>
    <t>WDHD1;RANBP1;HDGF;CSE1L;E2F1;SHH;C19orf48;HELLS</t>
  </si>
  <si>
    <t>2237;641;10024;1870;8438;80179;22974;9156</t>
  </si>
  <si>
    <t>FEN1;BLM;TROAP;E2F2;RAD54L;MYO19;TPX2;EXO1</t>
  </si>
  <si>
    <t>GSE42021_CD24HI_VS_CD24LOW_TCONV_THYMUS_UP</t>
  </si>
  <si>
    <t>9133;3015;4605;891;5347;1869;55355;580</t>
  </si>
  <si>
    <t>CCNB2;H2AFZ;MYBL2;CCNB1;PLK1;E2F1;HJURP;BARD1</t>
  </si>
  <si>
    <t>http://www.broadinstitute.org/gsea/msigdb/cards/GSE42021_CD24HI_VS_CD24LOW_TCONV_THYMUS_UP.html</t>
  </si>
  <si>
    <t>5709;1017;5933;128239;8438;113130;29089;51512</t>
  </si>
  <si>
    <t>PSMD3;CDK2;RBL1;IQGAP3;RAD54L;CDCA5;UBE2T;GTSE1</t>
  </si>
  <si>
    <t>4605;899;1763;991;151648;63979;113130;11321</t>
  </si>
  <si>
    <t>MYBL2;CCNF;DNA2;CDC20;SGO1;FIGNL1;CDCA5;GPN1</t>
  </si>
  <si>
    <t>http://www.broadinstitute.org/gsea/msigdb/cards/GSE43955_1H_VS_42H_ACT_CD4_TCELL_DN.html</t>
  </si>
  <si>
    <t>1871;5709;4605;5933;23076;151648;128239;84790</t>
  </si>
  <si>
    <t>E2F3;PSMD3;MYBL2;RBL1;RRP1B;SGO1;IQGAP3;TUBA1C</t>
  </si>
  <si>
    <t>7374;898;4172;55839;79075;81620;51659;23594</t>
  </si>
  <si>
    <t>UNG;CCNE1;MCM3;CENPN;DSCC1;CDT1;GINS2;ORC6</t>
  </si>
  <si>
    <t>http://www.broadinstitute.org/gsea/msigdb/cards/GSE18804_SPLEEN_MACROPHAGE_VS_BRAIN_TUMORAL_MACROPHAGE_DN.html</t>
  </si>
  <si>
    <t>699;24137;7153;4751;151246;147841;11321;10926</t>
  </si>
  <si>
    <t>BUB1;KIF4A;TOP2A;NEK2;SGO2;SPC24;GPN1;DBF4</t>
  </si>
  <si>
    <t>5985;84823;1994;9125;3066;27085;81539</t>
  </si>
  <si>
    <t>RFC5;LMNB2;ELAVL1;CNOT9;HDAC2;MTBP;SLC38A1</t>
  </si>
  <si>
    <t>9055;898;54892;57647;55839;83461;22974</t>
  </si>
  <si>
    <t>PRC1;CCNE1;NCAPG2;DHX37;CENPN;CDCA3;TPX2</t>
  </si>
  <si>
    <t>6790;7153;5933;9493;157570;151648;220134</t>
  </si>
  <si>
    <t>AURKA;TOP2A;RBL1;AC027237.1;ESCO2;SGO1;SKA1</t>
  </si>
  <si>
    <t>2175;7398;1163;157313;63979;113130;55646</t>
  </si>
  <si>
    <t>FANCA;USP1;CKS1B;CDCA2;FIGNL1;CDCA5;LYAR</t>
  </si>
  <si>
    <t>5709;8562;8318;6929;790;3837;64858</t>
  </si>
  <si>
    <t>PSMD3;DENR;CDC45;TCF3;CAD;KPNB1;DCLRE1B</t>
  </si>
  <si>
    <t>5725;8833;1434;27338;92092;2177;55646</t>
  </si>
  <si>
    <t>PTBP1;GMPS;CSE1L;UBE2S;ZC3HAV1L;FANCD2;LYAR</t>
  </si>
  <si>
    <t>3161;11169;7398;3837;6491;55055;3070</t>
  </si>
  <si>
    <t>HMMR;WDHD1;USP1;KPNB1;STIL;ZWILCH;HELLS</t>
  </si>
  <si>
    <t>GSE4984_UNTREATED_VS_LPS_TREATED_DC_DN</t>
  </si>
  <si>
    <t>23306;2189;284403;1786;4173;150465;29893</t>
  </si>
  <si>
    <t>NEMP1;FANCG;WDR62;DNMT1;MCM4;TTL;PSMC3IP</t>
  </si>
  <si>
    <t>http://www.broadinstitute.org/gsea/msigdb/cards/GSE4984_UNTREATED_VS_LPS_TREATED_DC_DN.html</t>
  </si>
  <si>
    <t>8317;7398;5983;5557;3837;79676;55055</t>
  </si>
  <si>
    <t>CDC7;USP1;RFC3;PRIM1;KPNB1;OGFOD2;ZWILCH</t>
  </si>
  <si>
    <t>GSE7568_IL4_TGFB_DEXAMETHASONE_VS_IL4_TGFB_TREATED_MACROPHAGE_UP</t>
  </si>
  <si>
    <t>10212;8520;5496;5709;5982;4521;991</t>
  </si>
  <si>
    <t>DDX39A;HAT1;PPM1G;PSMD3;RFC2;NUDT1;CDC20</t>
  </si>
  <si>
    <t>http://www.broadinstitute.org/gsea/msigdb/cards/GSE7568_IL4_TGFB_DEXAMETHASONE_VS_IL4_TGFB_TREATED_MACROPHAGE_UP.html</t>
  </si>
  <si>
    <t>2175;6878;5347;26586;29128;10926;6941</t>
  </si>
  <si>
    <t>FANCA;TAF6;PLK1;CKAP2;UHRF1;DBF4;TCF19</t>
  </si>
  <si>
    <t>1111;983;4288;5426;1870;54821;10051</t>
  </si>
  <si>
    <t>CHEK1;CDK1;MKI67;POLE;E2F2;ERCC6L;SMC4</t>
  </si>
  <si>
    <t>790;4521;4171;55872;26271;8914;65003</t>
  </si>
  <si>
    <t>CAD;NUDT1;MCM2;PBK;FBXO5;TIMELESS;MRPL11</t>
  </si>
  <si>
    <t>11169;7398;5725;3070;10051;51514;56241</t>
  </si>
  <si>
    <t>WDHD1;USP1;PTBP1;HELLS;SMC4;DTL;SUSD2</t>
  </si>
  <si>
    <t>GSE7509_FCGRIIB_VS_TNFA_IL1B_IL6_PGE_STIM_DC_UP</t>
  </si>
  <si>
    <t>10535;1471;7283;5983;6415;3837;84296</t>
  </si>
  <si>
    <t>RNASEH2A;CST3;TUBG1;RFC3;SELENOW;KPNB1;GINS4</t>
  </si>
  <si>
    <t>http://www.broadinstitute.org/gsea/msigdb/cards/GSE7509_FCGRIIB_VS_TNFA_IL1B_IL6_PGE_STIM_DC_UP.html</t>
  </si>
  <si>
    <t>GSE25123_IL4_VS_IL4_AND_ROSIGLITAZONE_STIM_PPARG_KO_MACROPHAGE_DAY10_UP</t>
  </si>
  <si>
    <t>9055;9319;9824;146956;63967;10460</t>
  </si>
  <si>
    <t>PRC1;TRIP13;ARHGAP11A;EME1;CLSPN;TACC3</t>
  </si>
  <si>
    <t>http://www.broadinstitute.org/gsea/msigdb/cards/GSE25123_IL4_VS_IL4_AND_ROSIGLITAZONE_STIM_PPARG_KO_MACROPHAGE_DAY10_UP.html</t>
  </si>
  <si>
    <t>23306;7398;86;2146;286826;55038;10051</t>
  </si>
  <si>
    <t>NEMP1;USP1;ACTL6A;EZH2;LIN9;CDCA4;SMC4</t>
  </si>
  <si>
    <t>6929;4172;790;4176;5984;23234;9585</t>
  </si>
  <si>
    <t>TCF3;MCM3;CAD;MCM7;RFC4;DNAJC9;KIF20B</t>
  </si>
  <si>
    <t>5709;10797;5557;1763;1994;25886;27339</t>
  </si>
  <si>
    <t>PSMD3;MTHFD2;PRIM1;DNA2;ELAVL1;POC1A;PRPF19</t>
  </si>
  <si>
    <t>11130;3015;1786;9775;84790;79968;6941</t>
  </si>
  <si>
    <t>ZWINT;H2AFZ;DNMT1;EIF4A3;TUBA1C;WDR76;TCF19</t>
  </si>
  <si>
    <t>8520;5984;5985;5557;151246;286826;55010</t>
  </si>
  <si>
    <t>HAT1;RFC4;RFC5;PRIM1;SGO2;LIN9;PARPBP</t>
  </si>
  <si>
    <t>http://www.broadinstitute.org/gsea/msigdb/cards/GSE13485_DAY1_VS_DAY21_YF17D_VACCINE_PBMC_DN.html</t>
  </si>
  <si>
    <t>1503;9125;2491;4796;55771;81539;3070</t>
  </si>
  <si>
    <t>CTPS1;CNOT9;CENPI;TONSL;PRR11;SLC38A1;HELLS</t>
  </si>
  <si>
    <t>GSE14000_TRANSLATED_RNA_VS_MRNA_16H_LPS_DC_UP</t>
  </si>
  <si>
    <t>2189;11130;1503;1063;55656;29128;9156</t>
  </si>
  <si>
    <t>FANCG;ZWINT;CTPS1;CENPF;INTS8;UHRF1;EXO1</t>
  </si>
  <si>
    <t>http://www.broadinstitute.org/gsea/msigdb/cards/GSE14000_TRANSLATED_RNA_VS_MRNA_16H_LPS_DC_UP.html</t>
  </si>
  <si>
    <t>GSE14308_TH2_VS_NATURAL_TREG_UP</t>
  </si>
  <si>
    <t>5426;2305;54821;348793;79915;2177;54069</t>
  </si>
  <si>
    <t>POLE;FOXM1;ERCC6L;WDR53;ATAD5;FANCD2;MIS18A</t>
  </si>
  <si>
    <t>http://www.broadinstitute.org/gsea/msigdb/cards/GSE14308_TH2_VS_NATURAL_TREG_UP.html</t>
  </si>
  <si>
    <t>GSE14308_TH1_VS_NATURAL_TREG_UP</t>
  </si>
  <si>
    <t>3068;25886;84296;2177;80119;54069;25788</t>
  </si>
  <si>
    <t>HDGF;POC1A;GINS4;FANCD2;PIF1;MIS18A;RAD54B</t>
  </si>
  <si>
    <t>http://www.broadinstitute.org/gsea/msigdb/cards/GSE14308_TH1_VS_NATURAL_TREG_UP.html</t>
  </si>
  <si>
    <t>GSE1432_6H_VS_24H_IFNG_MICROGLIA_DN</t>
  </si>
  <si>
    <t>1786;5984;23310;1163;23076;55706;26271</t>
  </si>
  <si>
    <t>DNMT1;RFC4;NCAPD3;CKS1B;RRP1B;NDC1;FBXO5</t>
  </si>
  <si>
    <t>http://www.broadinstitute.org/gsea/msigdb/cards/GSE1432_6H_VS_24H_IFNG_MICROGLIA_DN.html</t>
  </si>
  <si>
    <t>23306;7516;8562;10971;4436;580;25788</t>
  </si>
  <si>
    <t>NEMP1;XRCC2;DENR;YWHAQ;MSH2;BARD1;RAD54B</t>
  </si>
  <si>
    <t>1786;672;4998;6491;84904;54443;55646</t>
  </si>
  <si>
    <t>DNMT1;BRCA1;ORC1;STIL;ARHGEF39;ANLN;LYAR</t>
  </si>
  <si>
    <t>GSE15659_NAIVE_CD4_TCELL_VS_RESTING_TREG_UP</t>
  </si>
  <si>
    <t>983;1063;1062;10036;84798;374393;55345</t>
  </si>
  <si>
    <t>CDK1;CENPF;CENPE;CHAF1A;C19orf48;FAM111B;ZGRF1</t>
  </si>
  <si>
    <t>http://www.broadinstitute.org/gsea/msigdb/cards/GSE15659_NAIVE_CD4_TCELL_VS_RESTING_TREG_UP.html</t>
  </si>
  <si>
    <t>8520;6839;1017;23076;113130;375444;55646</t>
  </si>
  <si>
    <t>HAT1;SUV39H1;CDK2;RRP1B;CDCA5;C5orf34;LYAR</t>
  </si>
  <si>
    <t>5717;86;8833;1434;4998;81539;1789</t>
  </si>
  <si>
    <t>PSMD11;ACTL6A;GMPS;CSE1L;ORC1;SLC38A1;DNMT3B</t>
  </si>
  <si>
    <t>3015;7283;4173;4174;672;5426;29128</t>
  </si>
  <si>
    <t>H2AFZ;TUBG1;MCM4;MCM5;BRCA1;POLE;UHRF1</t>
  </si>
  <si>
    <t>5496;8562;7374;1786;4521;80829;29128</t>
  </si>
  <si>
    <t>PPM1G;DENR;UNG;DNMT1;NUDT1;ZFP91;UHRF1</t>
  </si>
  <si>
    <t>8562;1471;898;10105;5902;23590;7444</t>
  </si>
  <si>
    <t>DENR;CST3;CCNE1;PPIF;RANBP1;PDSS1;VRK2</t>
  </si>
  <si>
    <t>332;4172;4174;4751;1994;3066;54443</t>
  </si>
  <si>
    <t>BIRC5;MCM3;MCM5;NEK2;ELAVL1;HDAC2;ANLN</t>
  </si>
  <si>
    <t>GSE17721_CTRL_VS_POLYIC_2H_BMDC_UP</t>
  </si>
  <si>
    <t>10212;7083;203068;6929;10971;84798;146556</t>
  </si>
  <si>
    <t>DDX39A;TK1;TUBB;TCF3;YWHAQ;C19orf48;C16orf89</t>
  </si>
  <si>
    <t>http://www.broadinstitute.org/gsea/msigdb/cards/GSE17721_CTRL_VS_POLYIC_2H_BMDC_UP.html</t>
  </si>
  <si>
    <t>890;1017;84823;201299;79902;57405;55723</t>
  </si>
  <si>
    <t>CCNA2;CDK2;LMNB2;RDM1;NUP85;SPC25;ASF1B</t>
  </si>
  <si>
    <t>http://www.broadinstitute.org/gsea/msigdb/cards/GSE17721_CTRL_VS_POLYIC_6H_BMDC_UP.html</t>
  </si>
  <si>
    <t>79733;8520;898;5902;6415;113115;7444</t>
  </si>
  <si>
    <t>E2F8;HAT1;CCNE1;RANBP1;SELENOW;MTFR2;VRK2</t>
  </si>
  <si>
    <t>GSE17721_CTRL_VS_PAM3CSK4_1H_BMDC_UP</t>
  </si>
  <si>
    <t>5496;8562;699;790;9837;84798;128239</t>
  </si>
  <si>
    <t>PPM1G;DENR;BUB1;CAD;GINS1;C19orf48;IQGAP3</t>
  </si>
  <si>
    <t>http://www.broadinstitute.org/gsea/msigdb/cards/GSE17721_CTRL_VS_PAM3CSK4_1H_BMDC_UP.html</t>
  </si>
  <si>
    <t>GSE17721_CTRL_VS_PAM3CSK4_12H_BMDC_UP</t>
  </si>
  <si>
    <t>983;890;4176;2956;5888;79676;54443</t>
  </si>
  <si>
    <t>CDK1;CCNA2;MCM7;MSH6;RAD51;OGFOD2;ANLN</t>
  </si>
  <si>
    <t>http://www.broadinstitute.org/gsea/msigdb/cards/GSE17721_CTRL_VS_PAM3CSK4_12H_BMDC_UP.html</t>
  </si>
  <si>
    <t>GSE17721_CTRL_VS_CPG_24H_BMDC_DN</t>
  </si>
  <si>
    <t>4172;5725;7272;4174;5427;8683;6469</t>
  </si>
  <si>
    <t>MCM3;PTBP1;TTK;MCM5;POLE2;SRSF9;SHH</t>
  </si>
  <si>
    <t>http://www.broadinstitute.org/gsea/msigdb/cards/GSE17721_CTRL_VS_CPG_24H_BMDC_DN.html</t>
  </si>
  <si>
    <t>7516;3148;5933;6878;63979;11198;10460</t>
  </si>
  <si>
    <t>XRCC2;HMGB2;RBL1;TAF6;FIGNL1;SUPT16H;TACC3</t>
  </si>
  <si>
    <t>24137;54821;79676;84798;54478;51514;8914</t>
  </si>
  <si>
    <t>KIF4A;ERCC6L;OGFOD2;C19orf48;PIMREG;DTL;TIMELESS</t>
  </si>
  <si>
    <t>http://www.broadinstitute.org/gsea/msigdb/cards/GSE17721_CTRL_VS_GARDIQUIMOD_2H_BMDC_UP.html</t>
  </si>
  <si>
    <t>6929;4001;993;23076;9319;79676;3066</t>
  </si>
  <si>
    <t>TCF3;LMNB1;CDC25A;RRP1B;TRIP13;OGFOD2;HDAC2</t>
  </si>
  <si>
    <t>4176;3838;55165;23234;29127;11321;23594</t>
  </si>
  <si>
    <t>MCM7;KPNA2;CEP55;DNAJC9;RACGAP1;GPN1;ORC6</t>
  </si>
  <si>
    <t>GSE17721_PAM3CSK4_VS_CPG_1H_BMDC_DN</t>
  </si>
  <si>
    <t>3797;10797;1017;7272;4288;286826;29127</t>
  </si>
  <si>
    <t>KIF3C;MTHFD2;CDK2;TTK;MKI67;LIN9;RACGAP1</t>
  </si>
  <si>
    <t>http://www.broadinstitute.org/gsea/msigdb/cards/GSE17721_PAM3CSK4_VS_CPG_1H_BMDC_DN.html</t>
  </si>
  <si>
    <t>2175;6839;8208;23590;163786;55388;84991</t>
  </si>
  <si>
    <t>FANCA;SUV39H1;CHAF1B;PDSS1;SASS6;MCM10;RBM17</t>
  </si>
  <si>
    <t>5725;7112;1479;286826;253714;128239;8914</t>
  </si>
  <si>
    <t>PTBP1;TMPO;CSTF3;LIN9;MMS22L;IQGAP3;TIMELESS</t>
  </si>
  <si>
    <t>5496;10592;790;3068;55165;253714;56241</t>
  </si>
  <si>
    <t>PPM1G;SMC2;CAD;HDGF;CEP55;MMS22L;SUSD2</t>
  </si>
  <si>
    <t>8520;7398;5111;3148;4085;146956;84057</t>
  </si>
  <si>
    <t>HAT1;USP1;PCNA;HMGB2;MAD2L1;EME1;MND1</t>
  </si>
  <si>
    <t>10212;3068;3838;10376;3837;9125;113130</t>
  </si>
  <si>
    <t>DDX39A;HDGF;KPNA2;TUBA1B;KPNB1;CNOT9;CDCA5</t>
  </si>
  <si>
    <t>332;983;993;4176;1163;285753;10051</t>
  </si>
  <si>
    <t>BIRC5;CDK1;CDC25A;MCM7;CKS1B;CEP57L1;SMC4</t>
  </si>
  <si>
    <t>http://www.broadinstitute.org/gsea/msigdb/cards/GSE17721_LPS_VS_PAM3CSK4_12H_BMDC_DN.html</t>
  </si>
  <si>
    <t>10112;1062;5888;8683;23397;9918;10051</t>
  </si>
  <si>
    <t>KIF20A;CENPE;RAD51;SRSF9;NCAPH;NCAPD2;SMC4</t>
  </si>
  <si>
    <t>332;699;995;10376;55355;64105;83540</t>
  </si>
  <si>
    <t>BIRC5;BUB1;CDC25C;TUBA1B;HJURP;CENPK;NUF2</t>
  </si>
  <si>
    <t>http://www.broadinstitute.org/gsea/msigdb/cards/GSE17721_POLYIC_VS_CPG_16H_BMDC_DN.html</t>
  </si>
  <si>
    <t>7083;7913;5558;1163;6733;27338;285753</t>
  </si>
  <si>
    <t>TK1;DEK;PRIM2;CKS1B;SRPK2;UBE2S;CEP57L1</t>
  </si>
  <si>
    <t>699;7272;641;55388;57405;10051;54069</t>
  </si>
  <si>
    <t>BUB1;TTK;BLM;MCM10;SPC25;SMC4;MIS18A</t>
  </si>
  <si>
    <t>5496;9134;1017;10971;993;63979;10926</t>
  </si>
  <si>
    <t>PPM1G;CCNE2;CDK2;YWHAQ;CDC25A;FIGNL1;DBF4</t>
  </si>
  <si>
    <t>6929;2237;1163;113130;55038;64858;57405</t>
  </si>
  <si>
    <t>TCF3;FEN1;CKS1B;CDCA5;CDCA4;DCLRE1B;SPC25</t>
  </si>
  <si>
    <t>22995;4174;1434;79676;990;55706;27339</t>
  </si>
  <si>
    <t>CEP152;MCM5;CSE1L;OGFOD2;CDC6;NDC1;PRPF19</t>
  </si>
  <si>
    <t>5709;10112;1503;4670;6415;79676;8914</t>
  </si>
  <si>
    <t>PSMD3;KIF20A;CTPS1;HNRNPM;SELENOW;OGFOD2;TIMELESS</t>
  </si>
  <si>
    <t>3797;7272;9768;11073;113130;11321;11198</t>
  </si>
  <si>
    <t>KIF3C;TTK;PCLAF;TOPBP1;CDCA5;GPN1;SUPT16H</t>
  </si>
  <si>
    <t>3161;3148;4176;5902;84798;163786;11198</t>
  </si>
  <si>
    <t>HMMR;HMGB2;MCM7;RANBP1;C19orf48;SASS6;SUPT16H</t>
  </si>
  <si>
    <t>203068;5984;5902;3838;5427;1479;55646</t>
  </si>
  <si>
    <t>TUBB;RFC4;RANBP1;KPNA2;POLE2;CSTF3;LYAR</t>
  </si>
  <si>
    <t>http://www.broadinstitute.org/gsea/msigdb/cards/GSE17974_0H_VS_6H_IN_VITRO_ACT_CD4_TCELL_DN.html</t>
  </si>
  <si>
    <t>GSE19825_NAIVE_VS_IL2RAHIGH_DAY3_EFF_CD8_TCELL_DN</t>
  </si>
  <si>
    <t>5717;7913;6878;8208;4175;26586;51512</t>
  </si>
  <si>
    <t>PSMD11;DEK;TAF6;CHAF1B;MCM6;CKAP2;GTSE1</t>
  </si>
  <si>
    <t>http://www.broadinstitute.org/gsea/msigdb/cards/GSE19825_NAIVE_VS_IL2RAHIGH_DAY3_EFF_CD8_TCELL_DN.html</t>
  </si>
  <si>
    <t>10592;4001;5557;4171;23165;8914;11198</t>
  </si>
  <si>
    <t>SMC2;LMNB1;PRIM1;MCM2;NUP205;TIMELESS;SUPT16H</t>
  </si>
  <si>
    <t>995;9493;201299;8438;84930;11004;79172</t>
  </si>
  <si>
    <t>CDC25C;AC027237.1;RDM1;RAD54L;MASTL;KIF2C;CENPO</t>
  </si>
  <si>
    <t>9134;1062;79682;57082;580;3070;51514</t>
  </si>
  <si>
    <t>CCNE2;CENPE;CENPU;KNL1;BARD1;HELLS;DTL</t>
  </si>
  <si>
    <t>79733;7298;5557;55872;2177;55055;29089</t>
  </si>
  <si>
    <t>E2F8;TYMS;PRIM1;PBK;FANCD2;ZWILCH;UBE2T</t>
  </si>
  <si>
    <t>GSE27786_LSK_VS_NEUTROPHIL_UP</t>
  </si>
  <si>
    <t>5496;10971;672;9837;10635;64946;9156</t>
  </si>
  <si>
    <t>PPM1G;YWHAQ;BRCA1;GINS1;RAD51AP1;CENPH;EXO1</t>
  </si>
  <si>
    <t>http://www.broadinstitute.org/gsea/msigdb/cards/GSE27786_LSK_VS_NEUTROPHIL_UP.html</t>
  </si>
  <si>
    <t>1471;1763;1434;84798;253714;9212;23594</t>
  </si>
  <si>
    <t>CST3;DNA2;CSE1L;C19orf48;MMS22L;AURKB;ORC6</t>
  </si>
  <si>
    <t>22995;7298;4176;348654;54821;284992;23234</t>
  </si>
  <si>
    <t>CEP152;TYMS;MCM7;GEN1;ERCC6L;CCDC150;DNAJC9</t>
  </si>
  <si>
    <t>10535;899;1763;2956;54821;253714;81620</t>
  </si>
  <si>
    <t>RNASEH2A;CCNF;DNA2;MSH6;ERCC6L;MMS22L;CDT1</t>
  </si>
  <si>
    <t>5496;4172;641;23165;10635;81620;55055</t>
  </si>
  <si>
    <t>PPM1G;MCM3;BLM;NUP205;RAD51AP1;CDT1;ZWILCH</t>
  </si>
  <si>
    <t>11339;11130;4172;6241;4176;641;54069</t>
  </si>
  <si>
    <t>OIP5;ZWINT;MCM3;RRM2;MCM7;BLM;MIS18A</t>
  </si>
  <si>
    <t>4172;4521;9775;23649;9928;150468;26586</t>
  </si>
  <si>
    <t>MCM3;NUDT1;EIF4A3;POLA2;KIF14;CKAP2L;CKAP2</t>
  </si>
  <si>
    <t>9232;55165;162681;2491;11321;10051;8914</t>
  </si>
  <si>
    <t>PTTG1;CEP55;C18orf54;CENPI;GPN1;SMC4;TIMELESS</t>
  </si>
  <si>
    <t>203068;7153;4288;6878;1869;6996;9319</t>
  </si>
  <si>
    <t>TUBB;TOP2A;MKI67;TAF6;E2F1;TDG;TRIP13</t>
  </si>
  <si>
    <t>8317;6839;7272;6415;90381;51514;10460</t>
  </si>
  <si>
    <t>CDC7;SUV39H1;TTK;SELENOW;TICRR;DTL;TACC3</t>
  </si>
  <si>
    <t>5496;10112;7153;1063;10376;1062;729533</t>
  </si>
  <si>
    <t>PPM1G;KIF20A;TOP2A;CENPF;TUBA1B;CENPE;FAM72A</t>
  </si>
  <si>
    <t>10797;1503;7283;10971;84823;84790;55055</t>
  </si>
  <si>
    <t>MTHFD2;CTPS1;TUBG1;YWHAQ;LMNB2;TUBA1C;ZWILCH</t>
  </si>
  <si>
    <t>203068;1503;7283;10376;6749;9837;84790</t>
  </si>
  <si>
    <t>TUBB;CTPS1;TUBG1;TUBA1B;SSRP1;GINS1;TUBA1C</t>
  </si>
  <si>
    <t>5725;1063;23397;9787;29028;10635;55872</t>
  </si>
  <si>
    <t>PTBP1;CENPF;NCAPH;DLGAP5;ATAD2;RAD51AP1;PBK</t>
  </si>
  <si>
    <t>7153;4172;7272;7913;4521;55656;55355</t>
  </si>
  <si>
    <t>TOP2A;MCM3;TTK;DEK;NUDT1;INTS8;HJURP</t>
  </si>
  <si>
    <t>http://www.broadinstitute.org/gsea/msigdb/cards/GSE3982_EOSINOPHIL_VS_CENT_MEMORY_CD4_TCELL_DN.html</t>
  </si>
  <si>
    <t>7283;6240;5902;3838;10657;23518;27339</t>
  </si>
  <si>
    <t>TUBG1;RRM1;RANBP1;KPNA2;KHDRBS1;R3HDM1;PRPF19</t>
  </si>
  <si>
    <t>890;6240;1017;23518;80178;55038;79019</t>
  </si>
  <si>
    <t>CCNA2;RRM1;CDK2;R3HDM1;TEDC2;CDCA4;CENPM</t>
  </si>
  <si>
    <t>5985;387103;3066;144097;29089;51659;23594</t>
  </si>
  <si>
    <t>RFC5;CENPW;HDAC2;SPINDOC;UBE2T;GINS2;ORC6</t>
  </si>
  <si>
    <t>http://www.broadinstitute.org/gsea/msigdb/cards/GSE39820_TGFBETA3_IL6_VS_TGFBETA3_IL6_IL23A_TREATED_CD4_TCELL_DN.html</t>
  </si>
  <si>
    <t>5427;57082;580;64151;64105;64858;29089</t>
  </si>
  <si>
    <t>POLE2;KNL1;BARD1;NCAPG;CENPK;DCLRE1B;UBE2T</t>
  </si>
  <si>
    <t>983;891;3068;23590;79682;144455;84991</t>
  </si>
  <si>
    <t>CDK1;CCNB1;HDGF;PDSS1;CENPU;E2F7;RBM17</t>
  </si>
  <si>
    <t>983;3068;2956;2146;23590;79682;144455</t>
  </si>
  <si>
    <t>CDK1;HDGF;MSH6;EZH2;PDSS1;CENPU;E2F7</t>
  </si>
  <si>
    <t>GSE9988_LPS_VS_LOW_LPS_MONOCYTE_UP</t>
  </si>
  <si>
    <t>79733;10733;54821;55143;81930;81624;55215</t>
  </si>
  <si>
    <t>E2F8;PLK4;ERCC6L;CDCA8;KIF18A;DIAPH3;FANCI</t>
  </si>
  <si>
    <t>http://www.broadinstitute.org/gsea/msigdb/cards/GSE9988_LPS_VS_LOW_LPS_MONOCYTE_UP.html</t>
  </si>
  <si>
    <t>23310;1062;9918;150468;26586;55839;55771</t>
  </si>
  <si>
    <t>NCAPD3;CENPE;NCAPD2;CKAP2L;CKAP2;CENPN;PRR11</t>
  </si>
  <si>
    <t>GSE2770_IL12_VS_TGFB_AND_IL12_TREATED_ACT_CD4_TCELL_48H_DN</t>
  </si>
  <si>
    <t>23076;151246;113115;150468;26586;132320;55706</t>
  </si>
  <si>
    <t>RRP1B;SGO2;MTFR2;CKAP2L;CKAP2;SCLT1;NDC1</t>
  </si>
  <si>
    <t>http://www.broadinstitute.org/gsea/msigdb/cards/GSE2770_IL12_VS_TGFB_AND_IL12_TREATED_ACT_CD4_TCELL_48H_DN.html</t>
  </si>
  <si>
    <t>284403;9134;7153;84904;55872;64151;84057</t>
  </si>
  <si>
    <t>WDR62;CCNE2;TOP2A;ARHGEF39;PBK;NCAPG;MND1</t>
  </si>
  <si>
    <t>2175;9232;10105;9768;285753;83903;51514</t>
  </si>
  <si>
    <t>FANCA;PTTG1;PPIF;PCLAF;CEP57L1;HASPIN;DTL</t>
  </si>
  <si>
    <t>4176;4085;285753;78995;113130;3070;10051</t>
  </si>
  <si>
    <t>MCM7;MAD2L1;CEP57L1;C17orf53;CDCA5;HELLS;SMC4</t>
  </si>
  <si>
    <t>7083;4172;790;1163;1869;4085;128239</t>
  </si>
  <si>
    <t>TK1;MCM3;CAD;CKS1B;E2F1;MAD2L1;IQGAP3</t>
  </si>
  <si>
    <t>10535;4173;2305;55839;84790;79019;1789</t>
  </si>
  <si>
    <t>RNASEH2A;MCM4;FOXM1;CENPN;TUBA1C;CENPM;DNMT3B</t>
  </si>
  <si>
    <t>GSE4142_PLASMA_CELL_VS_MEMORY_BCELL_DN</t>
  </si>
  <si>
    <t>7516;8562;4521;128239;84057;51659;11198</t>
  </si>
  <si>
    <t>XRCC2;DENR;NUDT1;IQGAP3;MND1;GINS2;SUPT16H</t>
  </si>
  <si>
    <t>http://www.broadinstitute.org/gsea/msigdb/cards/GSE4142_PLASMA_CELL_VS_MEMORY_BCELL_DN.html</t>
  </si>
  <si>
    <t>8317;11169;4172;993;23397;54892;55646</t>
  </si>
  <si>
    <t>CDC7;WDHD1;MCM3;CDC25A;NCAPH;NCAPG2;LYAR</t>
  </si>
  <si>
    <t>7374;7283;128239;221150;9212;83990;65003</t>
  </si>
  <si>
    <t>UNG;TUBG1;IQGAP3;SKA3;AURKB;BRIP1;MRPL11</t>
  </si>
  <si>
    <t>7913;2956;9833;27085;9585;64151;10051</t>
  </si>
  <si>
    <t>DEK;MSH6;MELK;MTBP;KIF20B;NCAPG;SMC4</t>
  </si>
  <si>
    <t>10403;890;23310;4751;79682;195828;1789</t>
  </si>
  <si>
    <t>NDC80;CCNA2;NCAPD3;NEK2;CENPU;ZNF367;DNMT3B</t>
  </si>
  <si>
    <t>GSE6259_DEC205_POS_DC_VS_CD4_TCELL_UP</t>
  </si>
  <si>
    <t>5933;7112;79682;83461;79000;10051;22974</t>
  </si>
  <si>
    <t>RBL1;TMPO;CENPU;CDCA3;AUNIP;SMC4;TPX2</t>
  </si>
  <si>
    <t>http://www.broadinstitute.org/gsea/msigdb/cards/GSE6259_DEC205_POS_DC_VS_CD4_TCELL_UP.html</t>
  </si>
  <si>
    <t>10212;7398;5558;8833;150465;10615;79075</t>
  </si>
  <si>
    <t>DDX39A;USP1;PRIM2;GMPS;TTL;SPAG5;DSCC1</t>
  </si>
  <si>
    <t>11339;675;10024;8208;4085;23234;10635</t>
  </si>
  <si>
    <t>OIP5;BRCA2;TROAP;CHAF1B;MAD2L1;DNAJC9;RAD51AP1</t>
  </si>
  <si>
    <t>79733;3148;5725;1763;55635;55038;1789</t>
  </si>
  <si>
    <t>E2F8;HMGB2;PTBP1;DNA2;DEPDC1;CDCA4;DNMT3B</t>
  </si>
  <si>
    <t>151246;55839;92092;81620;3619;8914;6941</t>
  </si>
  <si>
    <t>SGO2;CENPN;ZC3HAV1L;CDT1;INCENP;TIMELESS;TCF19</t>
  </si>
  <si>
    <t>GSE8621_UNSTIM_VS_LPS_STIM_MACROPHAGE_UP</t>
  </si>
  <si>
    <t>6581;4172;3068;8208;29128;79098;65003</t>
  </si>
  <si>
    <t>SLC22A3;MCM3;HDGF;CHAF1B;UHRF1;C1orf116;MRPL11</t>
  </si>
  <si>
    <t>http://www.broadinstitute.org/gsea/msigdb/cards/GSE8621_UNSTIM_VS_LPS_STIM_MACROPHAGE_UP.html</t>
  </si>
  <si>
    <t>GSE5503_LIVER_DC_VS_SPLEEN_DC_ACTIVATED_ALLOGENIC_TCELL_UP</t>
  </si>
  <si>
    <t>1017;675;3068;8208;1994;150468;79000</t>
  </si>
  <si>
    <t>CDK2;BRCA2;HDGF;CHAF1B;ELAVL1;CKAP2L;AUNIP</t>
  </si>
  <si>
    <t>http://www.broadinstitute.org/gsea/msigdb/cards/GSE5503_LIVER_DC_VS_SPLEEN_DC_ACTIVATED_ALLOGENIC_TCELL_UP.html</t>
  </si>
  <si>
    <t>2189;1515;23310;195828;55345;79915;990</t>
  </si>
  <si>
    <t>FANCG;CTSV;NCAPD3;ZNF367;ZGRF1;ATAD5;CDC6</t>
  </si>
  <si>
    <t>GSE7568_CTRL_VS_3H_TGFB_TREATED_MACROPHAGES_WITH_IL4_AND_DEXAMETHASONE_UP</t>
  </si>
  <si>
    <t>701;7153;1786;1033;79676;1789</t>
  </si>
  <si>
    <t>BUB1B;TOP2A;DNMT1;CDKN3;OGFOD2;DNMT3B</t>
  </si>
  <si>
    <t>http://www.broadinstitute.org/gsea/msigdb/cards/GSE7568_CTRL_VS_3H_TGFB_TREATED_MACROPHAGES_WITH_IL4_AND_DEXAMETHASONE_UP.html</t>
  </si>
  <si>
    <t>79733;7153;5888;4085;2146;990;6941</t>
  </si>
  <si>
    <t>E2F8;TOP2A;RAD51;MAD2L1;EZH2;CDC6;TCF19</t>
  </si>
  <si>
    <t>1111;7398;898;7913;3837;81620;23594</t>
  </si>
  <si>
    <t>CHEK1;USP1;CCNE1;DEK;KPNB1;CDT1;ORC6</t>
  </si>
  <si>
    <t>4172;5933;4173;23518;23590;7444;84057</t>
  </si>
  <si>
    <t>MCM3;RBL1;MCM4;R3HDM1;PDSS1;VRK2;MND1</t>
  </si>
  <si>
    <t>4605;201299;9212;990;54478;29127;57405</t>
  </si>
  <si>
    <t>MYBL2;RDM1;AURKB;CDC6;PIMREG;RACGAP1;SPC25</t>
  </si>
  <si>
    <t>2189;4001;7913;128239;7444;9125;10615</t>
  </si>
  <si>
    <t>FANCG;LMNB1;DEK;IQGAP3;VRK2;CNOT9;SPAG5</t>
  </si>
  <si>
    <t>3015;7153;4288;990;84790;55038;51514</t>
  </si>
  <si>
    <t>H2AFZ;TOP2A;MKI67;CDC6;TUBA1C;CDCA4;DTL</t>
  </si>
  <si>
    <t>5111;4001;6240;5557;675;23649;8914</t>
  </si>
  <si>
    <t>PCNA;LMNB1;RRM1;PRIM1;BRCA2;POLA2;TIMELESS</t>
  </si>
  <si>
    <t>2189;86;5984;4521;4751;1894;54443</t>
  </si>
  <si>
    <t>FANCG;ACTL6A;RFC4;NUDT1;NEK2;ECT2;ANLN</t>
  </si>
  <si>
    <t>http://www.broadinstitute.org/gsea/msigdb/cards/GSE18281_SUBCAPSULAR_CORTICAL_REGION_VS_WHOLE_CORTEX_THYMUS_UP.html</t>
  </si>
  <si>
    <t>5496;203068;8683;4175;55247;55038;11198</t>
  </si>
  <si>
    <t>PPM1G;TUBB;SRSF9;MCM6;NEIL3;CDCA4;SUPT16H</t>
  </si>
  <si>
    <t>1786;5725;5985;57082;55839;10293;55010</t>
  </si>
  <si>
    <t>DNMT1;PTBP1;RFC5;KNL1;CENPN;TRAIP;PARPBP</t>
  </si>
  <si>
    <t>GSE19772_HCMV_INFL_VS_HCMV_INF_MONOCYTES_AND_PI3K_INHIBITION_UP</t>
  </si>
  <si>
    <t>4605;4998;4175;23397;8438;10293;9156</t>
  </si>
  <si>
    <t>MYBL2;ORC1;MCM6;NCAPH;RAD54L;TRAIP;EXO1</t>
  </si>
  <si>
    <t>http://www.broadinstitute.org/gsea/msigdb/cards/GSE19772_HCMV_INFL_VS_HCMV_INF_MONOCYTES_AND_PI3K_INHIBITION_UP.html</t>
  </si>
  <si>
    <t>4436;8683;23076;23234;79902;55038;3070</t>
  </si>
  <si>
    <t>MSH2;SRSF9;RRP1B;DNAJC9;NUP85;CDCA4;HELLS</t>
  </si>
  <si>
    <t>701;22995;200933;81930;80179;10293;81624</t>
  </si>
  <si>
    <t>BUB1B;CEP152;FBXO45;KIF18A;MYO19;TRAIP;DIAPH3</t>
  </si>
  <si>
    <t>284403;5985;7112;5427;1994;78995;81620</t>
  </si>
  <si>
    <t>WDR62;RFC5;TMPO;POLE2;ELAVL1;C17orf53;CDT1</t>
  </si>
  <si>
    <t>79733;9134;983;200933;163786;115004;83990</t>
  </si>
  <si>
    <t>E2F8;CCNE2;CDK1;FBXO45;SASS6;CGAS;BRIP1</t>
  </si>
  <si>
    <t>4001;6241;9768;2146;29028;84930;84057</t>
  </si>
  <si>
    <t>LMNB1;RRM2;PCLAF;EZH2;ATAD2;MASTL;MND1</t>
  </si>
  <si>
    <t>1063;1870;163786;55872;51203;1894;55723</t>
  </si>
  <si>
    <t>CENPF;E2F2;SASS6;PBK;NUSAP1;ECT2;ASF1B</t>
  </si>
  <si>
    <t>9401;5347;641;1163;1870;220042;51514</t>
  </si>
  <si>
    <t>RECQL4;PLK1;BLM;CKS1B;E2F2;DDIAS;DTL</t>
  </si>
  <si>
    <t>GSE19401_PLN_VS_PEYERS_PATCH_FOLLICULAR_DC_DN</t>
  </si>
  <si>
    <t>5717;5709;22995;4605;7283;9775;580</t>
  </si>
  <si>
    <t>PSMD11;PSMD3;CEP152;MYBL2;TUBG1;EIF4A3;BARD1</t>
  </si>
  <si>
    <t>http://www.broadinstitute.org/gsea/msigdb/cards/GSE19401_PLN_VS_PEYERS_PATCH_FOLLICULAR_DC_DN.html</t>
  </si>
  <si>
    <t>4176;5982;23518;23234;79172;54069;1789</t>
  </si>
  <si>
    <t>MCM7;RFC2;R3HDM1;DNAJC9;CENPO;MIS18A;DNMT3B</t>
  </si>
  <si>
    <t>6929;4173;2237;4171;7444;79902;54069</t>
  </si>
  <si>
    <t>TCF3;MCM4;FEN1;MCM2;VRK2;NUP85;MIS18A</t>
  </si>
  <si>
    <t>1786;6878;23076;84798;195828;80179;3070</t>
  </si>
  <si>
    <t>DNMT1;TAF6;RRP1B;C19orf48;ZNF367;MYO19;HELLS</t>
  </si>
  <si>
    <t>5111;113115;84798;11321;1789;10926;27339</t>
  </si>
  <si>
    <t>PCNA;MTFR2;C19orf48;GPN1;DNMT3B;DBF4;PRPF19</t>
  </si>
  <si>
    <t>2189;6929;5982;5985;9787;1033;147841</t>
  </si>
  <si>
    <t>FANCG;TCF3;RFC2;RFC5;DLGAP5;CDKN3;SPC24</t>
  </si>
  <si>
    <t>898;6241;2237;6469;89958;65003;25788</t>
  </si>
  <si>
    <t>CCNE1;RRM2;FEN1;SHH;SAPCD2;MRPL11;RAD54B</t>
  </si>
  <si>
    <t>6839;84823;4175;259266;9212;84057;57405</t>
  </si>
  <si>
    <t>SUV39H1;LMNB2;MCM6;ASPM;AURKB;MND1;SPC25</t>
  </si>
  <si>
    <t>http://www.broadinstitute.org/gsea/msigdb/cards/GSE25088_WT_VS_STAT6_KO_MACROPHAGE_UP.html</t>
  </si>
  <si>
    <t>3797;11169;4174;5426;54821;132320;54069</t>
  </si>
  <si>
    <t>KIF3C;WDHD1;MCM5;POLE;ERCC6L;SCLT1;MIS18A</t>
  </si>
  <si>
    <t>8318;10105;9735;5427;55388;26271;51659</t>
  </si>
  <si>
    <t>CDC45;PPIF;KNTC1;POLE2;MCM10;FBXO5;GINS2</t>
  </si>
  <si>
    <t>GSE27092_WT_VS_HDAC7_PHOSPHO_DEFICIENT_CD8_TCELL_DN</t>
  </si>
  <si>
    <t>8318;983;7272;4174;55723;29893;6941</t>
  </si>
  <si>
    <t>CDC45;CDK1;TTK;MCM5;ASF1B;PSMC3IP;TCF19</t>
  </si>
  <si>
    <t>http://www.broadinstitute.org/gsea/msigdb/cards/GSE27092_WT_VS_HDAC7_PHOSPHO_DEFICIENT_CD8_TCELL_DN.html</t>
  </si>
  <si>
    <t>10212;5933;4670;79682;150468;285753;115004</t>
  </si>
  <si>
    <t>DDX39A;RBL1;HNRNPM;CENPU;CKAP2L;CEP57L1;CGAS</t>
  </si>
  <si>
    <t>11065;898;10105;3068;5427;9918;23518</t>
  </si>
  <si>
    <t>UBE2C;CCNE1;PPIF;HDGF;POLE2;NCAPD2;R3HDM1</t>
  </si>
  <si>
    <t>1503;5984;2237;4171;3838;23518;27338</t>
  </si>
  <si>
    <t>CTPS1;RFC4;FEN1;MCM2;KPNA2;R3HDM1;UBE2S</t>
  </si>
  <si>
    <t>10733;1017;1869;2305;23518;580;81620</t>
  </si>
  <si>
    <t>PLK4;CDK2;E2F1;FOXM1;R3HDM1;BARD1;CDT1</t>
  </si>
  <si>
    <t>9232;790;5984;9775;9824;10615;27339</t>
  </si>
  <si>
    <t>PTTG1;CAD;RFC4;EIF4A3;ARHGAP11A;SPAG5;PRPF19</t>
  </si>
  <si>
    <t>1871;1111;203068;1063;8438;990;10293</t>
  </si>
  <si>
    <t>E2F3;CHEK1;TUBB;CENPF;RAD54L;CDC6;TRAIP</t>
  </si>
  <si>
    <t>701;6240;9918;27338;23234;27085;23594</t>
  </si>
  <si>
    <t>BUB1B;RRM1;NCAPD2;UBE2S;DNAJC9;MTBP;ORC6</t>
  </si>
  <si>
    <t>6790;2189;5933;55839;80829;51203;2177</t>
  </si>
  <si>
    <t>AURKA;FANCG;RBL1;CENPN;ZFP91;NUSAP1;FANCD2</t>
  </si>
  <si>
    <t>1786;1763;3837;54892;83903;2491;375444</t>
  </si>
  <si>
    <t>DNMT1;DNA2;KPNB1;NCAPG2;HASPIN;CENPI;C5orf34</t>
  </si>
  <si>
    <t>8520;23310;2956;5427;23518;220042;144455</t>
  </si>
  <si>
    <t>HAT1;NCAPD3;MSH6;POLE2;R3HDM1;DDIAS;E2F7</t>
  </si>
  <si>
    <t>701;7112;10657;9768;253714;11073;9156</t>
  </si>
  <si>
    <t>BUB1B;TMPO;KHDRBS1;PCLAF;MMS22L;TOPBP1;EXO1</t>
  </si>
  <si>
    <t>1111;10797;5902;10376;150465;11321;55646</t>
  </si>
  <si>
    <t>CHEK1;MTHFD2;RANBP1;TUBA1B;TTL;GPN1;LYAR</t>
  </si>
  <si>
    <t>9055;9133;7283;1017;7112;3838;2956</t>
  </si>
  <si>
    <t>PRC1;CCNB2;TUBG1;CDK2;TMPO;KPNA2;MSH6</t>
  </si>
  <si>
    <t>5496;9232;9775;5902;5347;8683;57650</t>
  </si>
  <si>
    <t>PPM1G;PTTG1;EIF4A3;RANBP1;PLK1;SRSF9;CIP2A</t>
  </si>
  <si>
    <t>http://www.broadinstitute.org/gsea/msigdb/cards/GSE37301_GRANULOCYTE_MONOCYTE_PROGENITOR_VS_RAG2_KO_NK_CELL_DN.html</t>
  </si>
  <si>
    <t>2189;10797;4436;6415;84823;27338;146556</t>
  </si>
  <si>
    <t>FANCG;MTHFD2;MSH2;SELENOW;LMNB2;UBE2S;C16orf89</t>
  </si>
  <si>
    <t>8317;10733;1871;2189;86;1869;29028</t>
  </si>
  <si>
    <t>CDC7;PLK4;E2F3;FANCG;ACTL6A;E2F1;ATAD2</t>
  </si>
  <si>
    <t>GSE37301_HEMATOPOIETIC_STEM_CELL_VS_COMMON_LYMPHOID_PROGENITOR_UP</t>
  </si>
  <si>
    <t>10212;5717;7516;29028;93594;83461;79000</t>
  </si>
  <si>
    <t>DDX39A;PSMD11;XRCC2;ATAD2;TBC1D31;CDCA3;AUNIP</t>
  </si>
  <si>
    <t>http://www.broadinstitute.org/gsea/msigdb/cards/GSE37301_HEMATOPOIETIC_STEM_CELL_VS_COMMON_LYMPHOID_PROGENITOR_UP.html</t>
  </si>
  <si>
    <t>10403;10592;4605;899;9928;55215;10460</t>
  </si>
  <si>
    <t>NDC80;SMC2;MYBL2;CCNF;KIF14;FANCI;TACC3</t>
  </si>
  <si>
    <t>GSE37533_PPARG1_FOXP3_VS_FOXP3_TRANSDUCED_CD4_TCELL_UP</t>
  </si>
  <si>
    <t>10592;898;1763;8683;4085;144455;1894</t>
  </si>
  <si>
    <t>SMC2;CCNE1;DNA2;SRSF9;MAD2L1;E2F7;ECT2</t>
  </si>
  <si>
    <t>http://www.broadinstitute.org/gsea/msigdb/cards/GSE37533_PPARG1_FOXP3_VS_FOXP3_TRANSDUCED_CD4_TCELL_UP.html</t>
  </si>
  <si>
    <t>5717;10592;10797;4288;9833;9768;55635</t>
  </si>
  <si>
    <t>PSMD11;SMC2;MTHFD2;MKI67;MELK;PCLAF;DEPDC1</t>
  </si>
  <si>
    <t>10212;203068;1503;5902;8570;11321;55646</t>
  </si>
  <si>
    <t>DDX39A;TUBB;CTPS1;RANBP1;KHSRP;GPN1;LYAR</t>
  </si>
  <si>
    <t>3797;203068;5933;2956;285753;144097;10051</t>
  </si>
  <si>
    <t>KIF3C;TUBB;RBL1;MSH6;CEP57L1;SPINDOC;SMC4</t>
  </si>
  <si>
    <t>4174;8833;54892;57650;80829;54069;10460</t>
  </si>
  <si>
    <t>MCM5;GMPS;NCAPG2;CIP2A;ZFP91;MIS18A;TACC3</t>
  </si>
  <si>
    <t>6241;4288;5426;8208;55789;64151;9156</t>
  </si>
  <si>
    <t>RRM2;MKI67;POLE;CHAF1B;DEPDC1B;NCAPG;EXO1</t>
  </si>
  <si>
    <t>10733;10112;5933;5557;57650;11321;29089</t>
  </si>
  <si>
    <t>PLK4;KIF20A;RBL1;PRIM1;CIP2A;GPN1;UBE2T</t>
  </si>
  <si>
    <t>GSE11961_MEMORY_BCELL_DAY40_VS_GERMINAL_CENTER_BCELL_DAY40_UP</t>
  </si>
  <si>
    <t>701;890;8833;84722;84904;29893;90417</t>
  </si>
  <si>
    <t>BUB1B;CCNA2;GMPS;PSRC1;ARHGEF39;PSMC3IP;KNSTRN</t>
  </si>
  <si>
    <t>http://www.broadinstitute.org/gsea/msigdb/cards/GSE11961_MEMORY_BCELL_DAY40_VS_GERMINAL_CENTER_BCELL_DAY40_UP.html</t>
  </si>
  <si>
    <t>10212;4172;4171;4670;79682;80178;8914</t>
  </si>
  <si>
    <t>DDX39A;MCM3;MCM2;HNRNPM;CENPU;TEDC2;TIMELESS</t>
  </si>
  <si>
    <t>http://www.broadinstitute.org/gsea/msigdb/cards/GSE41867_DAY6_VS_DAY8_LCMV_ARMSTRONG_EFFECTOR_CD8_TCELL_DN.html</t>
  </si>
  <si>
    <t>GSE41867_NAIVE_VS_DAY30_LCMV_ARMSTRONG_MEMORY_CD8_TCELL_DN</t>
  </si>
  <si>
    <t>5725;4174;3068;55656;55388;2187;55055</t>
  </si>
  <si>
    <t>PTBP1;MCM5;HDGF;INTS8;MCM10;FANCB;ZWILCH</t>
  </si>
  <si>
    <t>http://www.broadinstitute.org/gsea/msigdb/cards/GSE41867_NAIVE_VS_DAY30_LCMV_ARMSTRONG_MEMORY_CD8_TCELL_DN.html</t>
  </si>
  <si>
    <t>GSE42021_CD24HI_VS_CD24LOW_TREG_THYMUS_UP</t>
  </si>
  <si>
    <t>8318;7398;898;995;2237;23397;8570</t>
  </si>
  <si>
    <t>CDC45;USP1;CCNE1;CDC25C;FEN1;NCAPH;KHSRP</t>
  </si>
  <si>
    <t>http://www.broadinstitute.org/gsea/msigdb/cards/GSE42021_CD24HI_VS_CD24LOW_TREG_THYMUS_UP.html</t>
  </si>
  <si>
    <t>GSE42021_TCONV_PLN_VS_CD24HI_TCONV_THYMUS_DN</t>
  </si>
  <si>
    <t>5888;9700;55355;79098;55215;55723;51512</t>
  </si>
  <si>
    <t>RAD51;ESPL1;HJURP;C1orf116;FANCI;ASF1B;GTSE1</t>
  </si>
  <si>
    <t>http://www.broadinstitute.org/gsea/msigdb/cards/GSE42021_TCONV_PLN_VS_CD24HI_TCONV_THYMUS_DN.html</t>
  </si>
  <si>
    <t>11065;1515;24137;983;6241;23397;9768</t>
  </si>
  <si>
    <t>UBE2C;CTSV;KIF4A;CDK1;RRM2;NCAPH;PCLAF</t>
  </si>
  <si>
    <t>4605;1503;3148;4175;259266;84991;11321</t>
  </si>
  <si>
    <t>MYBL2;CTPS1;HMGB2;MCM6;ASPM;RBM17;GPN1</t>
  </si>
  <si>
    <t>GSE43957_UNTREATED_VS_NACL_TREATED_ANTI_CD3_CD28_STIM_CD4_TCELL_UP</t>
  </si>
  <si>
    <t>7298;4605;5983;1763;10036;151648;63979</t>
  </si>
  <si>
    <t>TYMS;MYBL2;RFC3;DNA2;CHAF1A;SGO1;FIGNL1</t>
  </si>
  <si>
    <t>http://www.broadinstitute.org/gsea/msigdb/cards/GSE43957_UNTREATED_VS_NACL_TREATED_ANTI_CD3_CD28_STIM_CD4_TCELL_UP.html</t>
  </si>
  <si>
    <t>GSE43955_TH0_VS_TGFB_IL6_TH17_ACT_CD4_TCELL_60H_DN</t>
  </si>
  <si>
    <t>11169;1503;5983;4998;259266;84991;11321</t>
  </si>
  <si>
    <t>WDHD1;CTPS1;RFC3;ORC1;ASPM;RBM17;GPN1</t>
  </si>
  <si>
    <t>http://www.broadinstitute.org/gsea/msigdb/cards/GSE43955_TH0_VS_TGFB_IL6_TH17_ACT_CD4_TCELL_60H_DN.html</t>
  </si>
  <si>
    <t>9232;10797;1058;8208;3837;10635;10926</t>
  </si>
  <si>
    <t>PTTG1;MTHFD2;CENPA;CHAF1B;KPNB1;RAD51AP1;DBF4</t>
  </si>
  <si>
    <t>1871;699;5558;9768;64105;64946;3070</t>
  </si>
  <si>
    <t>E2F3;BUB1;PRIM2;PCLAF;CENPK;CENPH;HELLS</t>
  </si>
  <si>
    <t>GSE45382_UNTREATED_VS_TGFB_TREATED_MACROPHAGES_DN</t>
  </si>
  <si>
    <t>6790;4001;1017;7272;84823;9833;11004</t>
  </si>
  <si>
    <t>AURKA;LMNB1;CDK2;TTK;LMNB2;MELK;KIF2C</t>
  </si>
  <si>
    <t>http://www.broadinstitute.org/gsea/msigdb/cards/GSE45382_UNTREATED_VS_TGFB_TREATED_MACROPHAGES_DN.html</t>
  </si>
  <si>
    <t>6790;1017;7272;5982;6878;11004;144097</t>
  </si>
  <si>
    <t>AURKA;CDK2;TTK;RFC2;TAF6;KIF2C;SPINDOC</t>
  </si>
  <si>
    <t>23076;9319;79866;201299;150465;57696;9125</t>
  </si>
  <si>
    <t>RRP1B;TRIP13;BORA;RDM1;TTL;DDX55;CNOT9</t>
  </si>
  <si>
    <t>6839;4171;80178;57696;81539;29089;1789</t>
  </si>
  <si>
    <t>SUV39H1;MCM2;TEDC2;DDX55;SLC38A1;UBE2T;DNMT3B</t>
  </si>
  <si>
    <t>http://www.broadinstitute.org/gsea/msigdb/cards/GSE46606_IRF4HIGH_VS_IRF4MID_CD40L_IL2_IL5_DAY3_STIMULATED_BCELL_UP.html</t>
  </si>
  <si>
    <t>GSE42088_2H_VS_24H_LEISHMANIA_INF_DC_DN</t>
  </si>
  <si>
    <t>701;898;5558;991;4998;4796;84991</t>
  </si>
  <si>
    <t>BUB1B;CCNE1;PRIM2;CDC20;ORC1;TONSL;RBM17</t>
  </si>
  <si>
    <t>http://www.broadinstitute.org/gsea/msigdb/cards/GSE42088_2H_VS_24H_LEISHMANIA_INF_DC_DN.html</t>
  </si>
  <si>
    <t>7516;672;9493;4998;55143;9824;55771</t>
  </si>
  <si>
    <t>XRCC2;BRCA1;AC027237.1;ORC1;CDCA8;ARHGAP11A;PRR11</t>
  </si>
  <si>
    <t>GSE45365_NK_CELL_VS_CD8A_DC_MCMV_INFECTION_DN</t>
  </si>
  <si>
    <t>11339;890;4751;9833;348654;151246;79019</t>
  </si>
  <si>
    <t>OIP5;CCNA2;NEK2;MELK;GEN1;SGO2;CENPM</t>
  </si>
  <si>
    <t>http://www.broadinstitute.org/gsea/msigdb/cards/GSE45365_NK_CELL_VS_CD8A_DC_MCMV_INFECTION_DN.html</t>
  </si>
  <si>
    <t>699;1841;29028;374393;55656;284992;79075</t>
  </si>
  <si>
    <t>BUB1;DTYMK;ATAD2;FAM111B;INTS8;CCDC150;DSCC1</t>
  </si>
  <si>
    <t>GSE5589_WT_VS_IL10_KO_LPS_AND_IL10_STIM_MACROPHAGE_180MIN_UP</t>
  </si>
  <si>
    <t>9055;3068;2967;9837;81930;29127</t>
  </si>
  <si>
    <t>PRC1;HDGF;GTF2H3;GINS1;KIF18A;RACGAP1</t>
  </si>
  <si>
    <t>http://www.broadinstitute.org/gsea/msigdb/cards/GSE5589_WT_VS_IL10_KO_LPS_AND_IL10_STIM_MACROPHAGE_180MIN_UP.html</t>
  </si>
  <si>
    <t>9232;4605;10797;5933;9319;8914</t>
  </si>
  <si>
    <t>PTTG1;MYBL2;MTHFD2;RBL1;TRIP13;TIMELESS</t>
  </si>
  <si>
    <t>6790;3015;5982;157570;25886;220134</t>
  </si>
  <si>
    <t>AURKA;H2AFZ;RFC2;ESCO2;POC1A;SKA1</t>
  </si>
  <si>
    <t>7153;4174;4288;5427;4175;2146</t>
  </si>
  <si>
    <t>TOP2A;MCM5;MKI67;POLE2;MCM6;EZH2</t>
  </si>
  <si>
    <t>5496;8562;3015;4174;23590;64858</t>
  </si>
  <si>
    <t>PPM1G;DENR;H2AFZ;MCM5;PDSS1;DCLRE1B</t>
  </si>
  <si>
    <t>9232;9928;2146;54821;132320;54443</t>
  </si>
  <si>
    <t>PTTG1;KIF14;EZH2;ERCC6L;SCLT1;ANLN</t>
  </si>
  <si>
    <t>DODD_NASOPHARYNGEAL_CARCINOMA_UP</t>
  </si>
  <si>
    <t>643037;149069;134121;146177;389161;387885;132203;79740;730112;642987;11122;51364;7356;729;5858;3568;27239;2940;55815;164395;348807;221409;200403;80122;401551;127254;127003;168090;159686;345895;80133;254956;283726;90288;56964;161502;399949;133923;55259;60494;201625;222256;255101;165186;254173;152110;83539;339512;158798;257062;1262;160777;126820;84229;152206;54777;127795;93190;146845;158787;474354;149499;283518;80125;122046;144809;151651;79747;83894;84688;80217;26166;158248;123872;132851;26074;246176;161003;219670;92747;83657;403314;143241;133690;56171;150248;147744;83659;83853;90506;23205;149483;135138;92749;140870;51673;64518;83661;85452;1768;64446;83450;128602;221421;80157;80086;79645;139212;1770;27019;27285</t>
  </si>
  <si>
    <t>C11orf97;DCDC2B;C5orf49;VWA3A;ANKUB1;CFAP73;SNTN;ZBBX;FAM166B;TMEM232;PTPRT;ZMYND10;SCGB1A1;C6;PZP;IL5RA;GPR162;GSTA3;TSNAXIP1;TTLL9;CFAP100;SPATS1;VWA3B;MAP3K19;WDR38;ERICH3;C1orf194;C6orf118;CFAP58;RSPH4A;MROH9;MORN5;SAXO2;EFCAB12;WDR93;CFAP161;C11orf88;ZNF474;CASC1;CCDC81;DNAH12;CDHR3;CFAP65;TOGARAM2;TTLL10;NEK10;CHST9;CCDC190;AKAP14;CATSPERD;CNGA4;CCDC60;WDR63;DRC7;CCDC13;CFAP46;C1orf87;C1orf158;CFAP52;RIBC1;LRRC18;LRRC71;KCNRG;CCDC33;TEX26;FAM216B;EFHB;ADGB;TTC29;C9orf24;CFAP43;RGS22;TTC16;DNAAF1;SPATA4;CFAP61;GAS2L2;STOML3;ENKUR;BPIFB1;DYNLRB2;APOBEC4;DYDC1;CAPSL;DNAH7;C22orf15;TMEM190;TEKT1;ROPN1L;LRRC46;ACSBG1;CCDC17;PACRG;DRC1;WFDC6;TPPP3;TEKT3;MS4A8;CFAP74;DNAH6;DNAI2;DRC3;C20orf85;RSPH9;CWH43;TUBA4B;EFCAB1;PIH1D3;DNAH9;DNAI1;TEKT2</t>
  </si>
  <si>
    <t>http://www.broadinstitute.org/gsea/msigdb/cards/DODD_NASOPHARYNGEAL_CARCINOMA_UP.html</t>
  </si>
  <si>
    <t>SENGUPTA_NASOPHARYNGEAL_CARCINOMA_DN</t>
  </si>
  <si>
    <t>643037;134121;132203;79740;730112;51364;7356;2940;200403;80122;127254;127003;168090;345895;254956;283726;161502;399949;55259;60494;201625;222256;165186;83539;339512;158798;257062;126820;127795;146845;158787;283518;144809;151651;83894;84688;80217;123872;161003;219670;92747;83657;133690;56171;147744;83659;83853;149483;135138;92749;51673;83661;64446;83450;128602;221421;80086;79645;139212;1770;27019;27285</t>
  </si>
  <si>
    <t>C11orf97;C5orf49;SNTN;ZBBX;FAM166B;ZMYND10;SCGB1A1;GSTA3;VWA3B;MAP3K19;ERICH3;C1orf194;C6orf118;RSPH4A;MORN5;SAXO2;CFAP161;C11orf88;CASC1;CCDC81;DNAH12;CDHR3;TOGARAM2;CHST9;CCDC190;AKAP14;CATSPERD;WDR63;C1orf87;CFAP52;RIBC1;KCNRG;FAM216B;EFHB;TTC29;C9orf24;CFAP43;DNAAF1;STOML3;ENKUR;BPIFB1;DYNLRB2;CAPSL;DNAH7;TMEM190;TEKT1;ROPN1L;CCDC17;PACRG;DRC1;TPPP3;MS4A8;DNAI2;DRC3;C20orf85;RSPH9;TUBA4B;EFCAB1;PIH1D3;DNAH9;DNAI1;TEKT2</t>
  </si>
  <si>
    <t>http://www.broadinstitute.org/gsea/msigdb/cards/SENGUPTA_NASOPHARYNGEAL_CARCINOMA_DN.html</t>
  </si>
  <si>
    <t>134121;132203;79740;642987;51364;80122;401551;127003;345895;254956;283726;90288;55259;201625;165186;158798;126820;54777;93190;146845;158787;151651;79747;83894;84688;80217;123872;219670;83657;133690;56171;83659;83853;90506;92749;149465;51673;1768;83450;221421;139212;27019;27285</t>
  </si>
  <si>
    <t>C5orf49;SNTN;ZBBX;TMEM232;ZMYND10;MAP3K19;WDR38;C1orf194;RSPH4A;MORN5;SAXO2;EFCAB12;CASC1;DNAH12;TOGARAM2;AKAP14;WDR63;CFAP46;C1orf158;CFAP52;RIBC1;EFHB;ADGB;TTC29;C9orf24;CFAP43;DNAAF1;ENKUR;DYNLRB2;CAPSL;DNAH7;TEKT1;ROPN1L;LRRC46;DRC1;CFAP57;TPPP3;DNAH6;DRC3;RSPH9;PIH1D3;DNAI1;TEKT2</t>
  </si>
  <si>
    <t>NAKAMURA_BRONCHIAL_AND_BRONCHIOLAR_EPITHELIA</t>
  </si>
  <si>
    <t>7356;123872;64446;83450</t>
  </si>
  <si>
    <t>SCGB1A1;DNAAF1;DNAI2;DRC3</t>
  </si>
  <si>
    <t>http://www.broadinstitute.org/gsea/msigdb/cards/NAKAMURA_BRONCHIAL_AND_BRONCHIOLAR_EPITHELIA.html</t>
  </si>
  <si>
    <t>NAKAMURA_LUNG_CANCER_DIFFERENTIATION_MARKERS</t>
  </si>
  <si>
    <t>http://www.broadinstitute.org/gsea/msigdb/cards/NAKAMURA_LUNG_CANCER_DIFFERENTIATION_MARKERS.html</t>
  </si>
  <si>
    <t>387885;7356;2940;202500;168090;388701;255101;160777;84229;149499;123872;246176;92749;140870;51673;59285;83661;1768;83450;128602;23416</t>
  </si>
  <si>
    <t>CFAP73;SCGB1A1;GSTA3;TCTE1;C6orf118;C1orf189;CFAP65;CCDC60;DRC7;LRRC71;DNAAF1;GAS2L2;DRC1;WFDC6;TPPP3;CACNG6;MS4A8;DNAH6;DRC3;C20orf85;KCNH3</t>
  </si>
  <si>
    <t>55815;164395;401551;90288;400891;286187;126820;146845;151651;83657;51673;83450</t>
  </si>
  <si>
    <t>TSNAXIP1;TTLL9;WDR38;EFCAB12;LRRC74B;PPP1R42;WDR63;CFAP52;EFHB;DYNLRB2;TPPP3;DRC3</t>
  </si>
  <si>
    <t>MIF1_01</t>
  </si>
  <si>
    <t>200403;339145;160777;283518;158248;219670;403314;56171;90506;135138;128602;1770;27019;27285</t>
  </si>
  <si>
    <t>VWA3B;FAM92B;CCDC60;KCNRG;TTC16;ENKUR;APOBEC4;DNAH7;LRRC46;PACRG;C20orf85;DNAH9;DNAI1;TEKT2</t>
  </si>
  <si>
    <t>http://www.broadinstitute.org/gsea/msigdb/cards/MIF1_01.html</t>
  </si>
  <si>
    <t>11122;339145;160777;158787;80125;158248;83657;56171;90506;135138;1770;27019;27285</t>
  </si>
  <si>
    <t>PTPRT;FAM92B;CCDC60;RIBC1;CCDC33;TTC16;DYNLRB2;DNAH7;LRRC46;PACRG;DNAH9;DNAI1;TEKT2</t>
  </si>
  <si>
    <t>60494;158248;83657;56171;147744;90506;135138;51673;83450</t>
  </si>
  <si>
    <t>CCDC81;TTC16;DYNLRB2;DNAH7;TMEM190;LRRC46;PACRG;TPPP3;DRC3</t>
  </si>
  <si>
    <t>EFC_Q6</t>
  </si>
  <si>
    <t>27239;160777;152206;283518;158248;219670;403314;149465;1770</t>
  </si>
  <si>
    <t>GPR162;CCDC60;CCDC13;KCNRG;TTC16;ENKUR;APOBEC4;CFAP57;DNAH9</t>
  </si>
  <si>
    <t>http://www.broadinstitute.org/gsea/msigdb/cards/EFC_Q6.html</t>
  </si>
  <si>
    <t>GTCNYYATGR_UNKNOWN</t>
  </si>
  <si>
    <t>201625;93190;146845;122046;160492;51673</t>
  </si>
  <si>
    <t>DNAH12;C1orf158;CFAP52;TEX26;LMNTD1;TPPP3</t>
  </si>
  <si>
    <t>http://www.broadinstitute.org/gsea/msigdb/cards/GTCNYYATGR_UNKNOWN.html</t>
  </si>
  <si>
    <t>RYTGCNNRGNAAC_MIF1_01</t>
  </si>
  <si>
    <t>399949;160777;283518;56171;27019</t>
  </si>
  <si>
    <t>C11orf88;CCDC60;KCNRG;DNAH7;DNAI1</t>
  </si>
  <si>
    <t>http://www.broadinstitute.org/gsea/msigdb/cards/RYTGCNNRGNAAC_MIF1_01.html</t>
  </si>
  <si>
    <t>RFX1_02</t>
  </si>
  <si>
    <t>27239;55815;146845;158787;123872;219670;149465</t>
  </si>
  <si>
    <t>GPR162;TSNAXIP1;CFAP52;RIBC1;DNAAF1;ENKUR;CFAP57</t>
  </si>
  <si>
    <t>http://www.broadinstitute.org/gsea/msigdb/cards/RFX1_02.html</t>
  </si>
  <si>
    <t>GO_CILIUM</t>
  </si>
  <si>
    <t>132203;164395;159686;345895;201625;158798;257062;1262;84229;54777;123872;161003;219670;83657;56171;83659;83853;135138;92749;64518;85452;1768;64446;221421;1770;27019;27285</t>
  </si>
  <si>
    <t>SNTN;TTLL9;CFAP58;RSPH4A;DNAH12;AKAP14;CATSPERD;CNGA4;DRC7;CFAP46;DNAAF1;STOML3;ENKUR;DYNLRB2;DNAH7;TEKT1;ROPN1L;PACRG;DRC1;TEKT3;CFAP74;DNAH6;DNAI2;RSPH9;DNAH9;DNAI1;TEKT2</t>
  </si>
  <si>
    <t>http://www.broadinstitute.org/gsea/msigdb/cards/GO_CILIUM.html</t>
  </si>
  <si>
    <t>GO_MICROTUBULE_BUNDLE_FORMATION</t>
  </si>
  <si>
    <t>51364;345895;54777;123872;246176;56171;92749;51673;85452;64446;221421;139212;27019;27285</t>
  </si>
  <si>
    <t>ZMYND10;RSPH4A;CFAP46;DNAAF1;GAS2L2;DNAH7;DRC1;TPPP3;CFAP74;DNAI2;RSPH9;PIH1D3;DNAI1;TEKT2</t>
  </si>
  <si>
    <t>http://www.broadinstitute.org/gsea/msigdb/cards/GO_MICROTUBULE_BUNDLE_FORMATION.html</t>
  </si>
  <si>
    <t>GO_AXONEME_ASSEMBLY</t>
  </si>
  <si>
    <t>51364;345895;54777;123872;56171;92749;85452;64446;221421;139212;27019;27285</t>
  </si>
  <si>
    <t>ZMYND10;RSPH4A;CFAP46;DNAAF1;DNAH7;DRC1;CFAP74;DNAI2;RSPH9;PIH1D3;DNAI1;TEKT2</t>
  </si>
  <si>
    <t>http://www.broadinstitute.org/gsea/msigdb/cards/GO_AXONEME_ASSEMBLY.html</t>
  </si>
  <si>
    <t>51364;345895;201625;152110;152206;54777;123872;246176;83657;56171;83853;92749;51673;85452;1768;64446;221421;80086;139212;1770;27019;27285</t>
  </si>
  <si>
    <t>ZMYND10;RSPH4A;DNAH12;NEK10;CCDC13;CFAP46;DNAAF1;GAS2L2;DYNLRB2;DNAH7;ROPN1L;DRC1;TPPP3;CFAP74;DNAH6;DNAI2;RSPH9;TUBA4B;PIH1D3;DNAH9;DNAI1;TEKT2</t>
  </si>
  <si>
    <t>GO_CILIARY_PART</t>
  </si>
  <si>
    <t>345895;158798;257062;1262;54777;123872;219670;83657;56171;135138;92749;85452;1768;64446;221421;1770;27019</t>
  </si>
  <si>
    <t>RSPH4A;AKAP14;CATSPERD;CNGA4;CFAP46;DNAAF1;ENKUR;DYNLRB2;DNAH7;PACRG;DRC1;CFAP74;DNAH6;DNAI2;RSPH9;DNAH9;DNAI1</t>
  </si>
  <si>
    <t>http://www.broadinstitute.org/gsea/msigdb/cards/GO_CILIARY_PART.html</t>
  </si>
  <si>
    <t>GO_CILIARY_PLASM</t>
  </si>
  <si>
    <t>345895;54777;123872;56171;92749;85452;1768;64446;221421;1770;27019</t>
  </si>
  <si>
    <t>RSPH4A;CFAP46;DNAAF1;DNAH7;DRC1;CFAP74;DNAH6;DNAI2;RSPH9;DNAH9;DNAI1</t>
  </si>
  <si>
    <t>http://www.broadinstitute.org/gsea/msigdb/cards/GO_CILIARY_PLASM.html</t>
  </si>
  <si>
    <t>GO_AXONEMAL_DYNEIN_COMPLEX_ASSEMBLY</t>
  </si>
  <si>
    <t>51364;123872;56171;92749;64446;139212;27019;27285</t>
  </si>
  <si>
    <t>ZMYND10;DNAAF1;DNAH7;DRC1;DNAI2;PIH1D3;DNAI1;TEKT2</t>
  </si>
  <si>
    <t>http://www.broadinstitute.org/gsea/msigdb/cards/GO_AXONEMAL_DYNEIN_COMPLEX_ASSEMBLY.html</t>
  </si>
  <si>
    <t>GO_CILIUM_MORPHOGENESIS</t>
  </si>
  <si>
    <t>51364;345895;152206;54777;123872;56171;92749;64518;85452;64446;221421;139212;27019;27285</t>
  </si>
  <si>
    <t>ZMYND10;RSPH4A;CCDC13;CFAP46;DNAAF1;DNAH7;DRC1;TEKT3;CFAP74;DNAI2;RSPH9;PIH1D3;DNAI1;TEKT2</t>
  </si>
  <si>
    <t>http://www.broadinstitute.org/gsea/msigdb/cards/GO_CILIUM_MORPHOGENESIS.html</t>
  </si>
  <si>
    <t>GO_CILIUM_ORGANIZATION</t>
  </si>
  <si>
    <t>51364;345895;152206;54777;123872;56171;92749;85452;64446;221421;139212;27019;27285</t>
  </si>
  <si>
    <t>ZMYND10;RSPH4A;CCDC13;CFAP46;DNAAF1;DNAH7;DRC1;CFAP74;DNAI2;RSPH9;PIH1D3;DNAI1;TEKT2</t>
  </si>
  <si>
    <t>http://www.broadinstitute.org/gsea/msigdb/cards/GO_CILIUM_ORGANIZATION.html</t>
  </si>
  <si>
    <t>GO_MOTILE_CILIUM</t>
  </si>
  <si>
    <t>345895;158798;257062;84229;219670;83853;135138;64518;64446;221421;27285</t>
  </si>
  <si>
    <t>RSPH4A;AKAP14;CATSPERD;DRC7;ENKUR;ROPN1L;PACRG;TEKT3;DNAI2;RSPH9;TEKT2</t>
  </si>
  <si>
    <t>http://www.broadinstitute.org/gsea/msigdb/cards/GO_MOTILE_CILIUM.html</t>
  </si>
  <si>
    <t>132203;164395;159686;345895;201625;158798;257062;1262;84229;152206;54777;146845;80217;123872;161003;219670;83657;56171;83659;83853;135138;92749;64518;85452;1768;64446;83450;221421;1770;27019;27285</t>
  </si>
  <si>
    <t>SNTN;TTLL9;CFAP58;RSPH4A;DNAH12;AKAP14;CATSPERD;CNGA4;DRC7;CCDC13;CFAP46;CFAP52;CFAP43;DNAAF1;STOML3;ENKUR;DYNLRB2;DNAH7;TEKT1;ROPN1L;PACRG;DRC1;TEKT3;CFAP74;DNAH6;DNAI2;DRC3;RSPH9;DNAH9;DNAI1;TEKT2</t>
  </si>
  <si>
    <t>GO_CILIUM_MOVEMENT</t>
  </si>
  <si>
    <t>345895;54777;123872;56171;83853;64446;221421;27019</t>
  </si>
  <si>
    <t>RSPH4A;CFAP46;DNAAF1;DNAH7;ROPN1L;DNAI2;RSPH9;DNAI1</t>
  </si>
  <si>
    <t>http://www.broadinstitute.org/gsea/msigdb/cards/GO_CILIUM_MOVEMENT.html</t>
  </si>
  <si>
    <t>51364;345895;152206;54777;123872;246176;56171;92749;51673;85452;64446;221421;139212;27019;27285</t>
  </si>
  <si>
    <t>ZMYND10;RSPH4A;CCDC13;CFAP46;DNAAF1;GAS2L2;DNAH7;DRC1;TPPP3;CFAP74;DNAI2;RSPH9;PIH1D3;DNAI1;TEKT2</t>
  </si>
  <si>
    <t>345895;201625;54777;123872;83657;56171;83853;1768;64446;221421;1770;27019</t>
  </si>
  <si>
    <t>RSPH4A;DNAH12;CFAP46;DNAAF1;DYNLRB2;DNAH7;ROPN1L;DNAH6;DNAI2;RSPH9;DNAH9;DNAI1</t>
  </si>
  <si>
    <t>51364;164395;345895;60494;201625;152110;286187;347736;84229;152206;54777;160492;84688;123872;246176;83657;56171;83659;92749;51673;64518;85452;1768;64446;83450;221421;80086;1770;27019;27285</t>
  </si>
  <si>
    <t>ZMYND10;TTLL9;RSPH4A;CCDC81;DNAH12;NEK10;PPP1R42;NME9;DRC7;CCDC13;CFAP46;LMNTD1;C9orf24;DNAAF1;GAS2L2;DYNLRB2;DNAH7;TEKT1;DRC1;TPPP3;TEKT3;CFAP74;DNAH6;DNAI2;DRC3;RSPH9;TUBA4B;DNAH9;DNAI1;TEKT2</t>
  </si>
  <si>
    <t>GO_DYNEIN_COMPLEX</t>
  </si>
  <si>
    <t>201625;83657;56171;1768;64446;1770;27019</t>
  </si>
  <si>
    <t>DNAH12;DYNLRB2;DNAH7;DNAH6;DNAI2;DNAH9;DNAI1</t>
  </si>
  <si>
    <t>http://www.broadinstitute.org/gsea/msigdb/cards/GO_DYNEIN_COMPLEX.html</t>
  </si>
  <si>
    <t>164395;201625;246176;83657;56171;83659;51673;64518;1768;64446;80086;1770;27019;27285</t>
  </si>
  <si>
    <t>TTLL9;DNAH12;GAS2L2;DYNLRB2;DNAH7;TEKT1;TPPP3;TEKT3;DNAH6;DNAI2;TUBA4B;DNAH9;DNAI1;TEKT2</t>
  </si>
  <si>
    <t>51364;164395;60494;201625;152110;286187;152206;84688;123872;246176;83657;56171;83659;51673;64518;1768;64446;80086;1770;27019;27285</t>
  </si>
  <si>
    <t>ZMYND10;TTLL9;CCDC81;DNAH12;NEK10;PPP1R42;CCDC13;C9orf24;DNAAF1;GAS2L2;DYNLRB2;DNAH7;TEKT1;TPPP3;TEKT3;DNAH6;DNAI2;TUBA4B;DNAH9;DNAI1;TEKT2</t>
  </si>
  <si>
    <t>GO_CILIUM_OR_FLAGELLUM_DEPENDENT_CELL_MOTILITY</t>
  </si>
  <si>
    <t>54777;56171;92749;1768;221421</t>
  </si>
  <si>
    <t>CFAP46;DNAH7;DRC1;DNAH6;RSPH9</t>
  </si>
  <si>
    <t>http://www.broadinstitute.org/gsea/msigdb/cards/GO_CILIUM_OR_FLAGELLUM_DEPENDENT_CELL_MOTILITY.html</t>
  </si>
  <si>
    <t>51364;4974;345895;152206;54777;123872;56171;92749;64518;85452;64446;221421;139212;27019;27285</t>
  </si>
  <si>
    <t>ZMYND10;OMG;RSPH4A;CCDC13;CFAP46;DNAAF1;DNAH7;DRC1;TEKT3;CFAP74;DNAI2;RSPH9;PIH1D3;DNAI1;TEKT2</t>
  </si>
  <si>
    <t>GO_AXONEME_PART</t>
  </si>
  <si>
    <t>345895;56171;1768;64446;27019</t>
  </si>
  <si>
    <t>RSPH4A;DNAH7;DNAH6;DNAI2;DNAI1</t>
  </si>
  <si>
    <t>http://www.broadinstitute.org/gsea/msigdb/cards/GO_AXONEME_PART.html</t>
  </si>
  <si>
    <t>51364;164395;60494;201625;152110;286187;152206;160492;84688;123872;246176;83657;56171;83659;51673;64518;1768;64446;80086;1770;27019;27285</t>
  </si>
  <si>
    <t>ZMYND10;TTLL9;CCDC81;DNAH12;NEK10;PPP1R42;CCDC13;LMNTD1;C9orf24;DNAAF1;GAS2L2;DYNLRB2;DNAH7;TEKT1;TPPP3;TEKT3;DNAH6;DNAI2;TUBA4B;DNAH9;DNAI1;TEKT2</t>
  </si>
  <si>
    <t>164395;201625;160492;246176;83657;56171;83659;51673;64518;1768;64446;80086;1770;27019;27285</t>
  </si>
  <si>
    <t>TTLL9;DNAH12;LMNTD1;GAS2L2;DYNLRB2;DNAH7;TEKT1;TPPP3;TEKT3;DNAH6;DNAI2;TUBA4B;DNAH9;DNAI1;TEKT2</t>
  </si>
  <si>
    <t>GO_SPERM_FLAGELLUM</t>
  </si>
  <si>
    <t>158798;257062;219670;135138;64518;64446</t>
  </si>
  <si>
    <t>AKAP14;CATSPERD;ENKUR;PACRG;TEKT3;DNAI2</t>
  </si>
  <si>
    <t>http://www.broadinstitute.org/gsea/msigdb/cards/GO_SPERM_FLAGELLUM.html</t>
  </si>
  <si>
    <t>GO_INNER_DYNEIN_ARM_ASSEMBLY</t>
  </si>
  <si>
    <t>51364;123872;56171;27285</t>
  </si>
  <si>
    <t>ZMYND10;DNAAF1;DNAH7;TEKT2</t>
  </si>
  <si>
    <t>http://www.broadinstitute.org/gsea/msigdb/cards/GO_INNER_DYNEIN_ARM_ASSEMBLY.html</t>
  </si>
  <si>
    <t>51364;80122;345895;152206;54777;123872;246176;56171;92749;51673;85452;64446;221421;139212;27019;27285</t>
  </si>
  <si>
    <t>ZMYND10;MAP3K19;RSPH4A;CCDC13;CFAP46;DNAAF1;GAS2L2;DNAH7;DRC1;TPPP3;CFAP74;DNAI2;RSPH9;PIH1D3;DNAI1;TEKT2</t>
  </si>
  <si>
    <t>GO_CELL_PROJECTION_PART</t>
  </si>
  <si>
    <t>http://www.broadinstitute.org/gsea/msigdb/cards/GO_CELL_PROJECTION_PART.html</t>
  </si>
  <si>
    <t>GO_OUTER_DYNEIN_ARM_ASSEMBLY</t>
  </si>
  <si>
    <t>51364;123872;64446;27019</t>
  </si>
  <si>
    <t>ZMYND10;DNAAF1;DNAI2;DNAI1</t>
  </si>
  <si>
    <t>http://www.broadinstitute.org/gsea/msigdb/cards/GO_OUTER_DYNEIN_ARM_ASSEMBLY.html</t>
  </si>
  <si>
    <t>GO_AXONEMAL_DYNEIN_COMPLEX</t>
  </si>
  <si>
    <t>56171;1768;64446;27019</t>
  </si>
  <si>
    <t>DNAH7;DNAH6;DNAI2;DNAI1</t>
  </si>
  <si>
    <t>http://www.broadinstitute.org/gsea/msigdb/cards/GO_AXONEMAL_DYNEIN_COMPLEX.html</t>
  </si>
  <si>
    <t>51364;4974;345895;152206;54777;123872;56171;92749;64518;85452;64446;221421;139212;1770;27019;27285</t>
  </si>
  <si>
    <t>ZMYND10;OMG;RSPH4A;CCDC13;CFAP46;DNAAF1;DNAH7;DRC1;TEKT3;CFAP74;DNAI2;RSPH9;PIH1D3;DNAH9;DNAI1;TEKT2</t>
  </si>
  <si>
    <t>201625;83657;56171;1768;64446;1770</t>
  </si>
  <si>
    <t>DNAH12;DYNLRB2;DNAH7;DNAH6;DNAI2;DNAH9</t>
  </si>
  <si>
    <t>51364;84688;123872;56171;92749;51673;64446;139212;27019;27285</t>
  </si>
  <si>
    <t>ZMYND10;C9orf24;DNAAF1;DNAH7;DRC1;TPPP3;DNAI2;PIH1D3;DNAI1;TEKT2</t>
  </si>
  <si>
    <t>GO_SPERM_PART</t>
  </si>
  <si>
    <t>158798;257062;219670;147744;135138;64518;64446</t>
  </si>
  <si>
    <t>AKAP14;CATSPERD;ENKUR;TMEM190;PACRG;TEKT3;DNAI2</t>
  </si>
  <si>
    <t>http://www.broadinstitute.org/gsea/msigdb/cards/GO_SPERM_PART.html</t>
  </si>
  <si>
    <t>GO_SPERM_MOTILITY</t>
  </si>
  <si>
    <t>257062;64518;139212;27019;27285</t>
  </si>
  <si>
    <t>CATSPERD;TEKT3;PIH1D3;DNAI1;TEKT2</t>
  </si>
  <si>
    <t>http://www.broadinstitute.org/gsea/msigdb/cards/GO_SPERM_MOTILITY.html</t>
  </si>
  <si>
    <t>345895;201625;257062;54777;123872;83657;56171;83853;92749;64518;1768;64446;221421;139212;1770;27019;27285</t>
  </si>
  <si>
    <t>RSPH4A;DNAH12;CATSPERD;CFAP46;DNAAF1;DYNLRB2;DNAH7;ROPN1L;DRC1;TEKT3;DNAH6;DNAI2;RSPH9;PIH1D3;DNAH9;DNAI1;TEKT2</t>
  </si>
  <si>
    <t>GO_MOTILE_CILIUM_ASSEMBLY</t>
  </si>
  <si>
    <t>51364;123872;221421</t>
  </si>
  <si>
    <t>ZMYND10;DNAAF1;RSPH9</t>
  </si>
  <si>
    <t>http://www.broadinstitute.org/gsea/msigdb/cards/GO_MOTILE_CILIUM_ASSEMBLY.html</t>
  </si>
  <si>
    <t>chr11q12</t>
  </si>
  <si>
    <t>219990;81341;219965;219982;441608;10394</t>
  </si>
  <si>
    <t>OOSP2;OR10W1;OR5B17;OR5A1;OR5B3;PRG3</t>
  </si>
  <si>
    <t>http://www.broadinstitute.org/gsea/msigdb/cards/chr11q12.html</t>
  </si>
  <si>
    <t>chr9q33</t>
  </si>
  <si>
    <t>392390;254973;26735;26737</t>
  </si>
  <si>
    <t>OR1L6;OR1L4;OR1L3;OR1L1</t>
  </si>
  <si>
    <t>http://www.broadinstitute.org/gsea/msigdb/cards/chr9q33.html</t>
  </si>
  <si>
    <t>KEGG_OLFACTORY_TRANSDUCTION</t>
  </si>
  <si>
    <t>403284;135946;442361;346517;390882;81099;256148;219965;219982;283189;392390;254973;138804;286362;79310;81470;343173;441608;390260;26735;26737;26339;26531;144125;144124;390058;341416;442191;81797</t>
  </si>
  <si>
    <t>OR6C68;OR6B1;OR2A2;OR6V1;OR7G2;AC008977.1;OR4S1;OR5B17;OR5A1;OR9G4;OR1L6;OR1L4;OR13C4;OR13C9;OR5H2;OR2G2;OR2T3;OR5B3;OR6X1;OR1L3;OR1L1;OR5K1;OR11A1;OR2AG1;OR10A5;OR51B6;OR6C2;OR14J1;OR12D3</t>
  </si>
  <si>
    <t>http://www.broadinstitute.org/gsea/msigdb/cards/KEGG_OLFACTORY_TRANSDUCTION.html</t>
  </si>
  <si>
    <t>REACTOME_OLFACTORY_SIGNALING_PATHWAY</t>
  </si>
  <si>
    <t>135946;442361;346517;390882;81099;256148;81341;219965;219982;283189;392390;254973;79310;81470;343173;441608;390260;26735;26737;26339;26531;144125;144124;390058;341416;442191</t>
  </si>
  <si>
    <t>OR6B1;OR2A2;OR6V1;OR7G2;AC008977.1;OR4S1;OR10W1;OR5B17;OR5A1;OR9G4;OR1L6;OR1L4;OR5H2;OR2G2;OR2T3;OR5B3;OR6X1;OR1L3;OR1L1;OR5K1;OR11A1;OR2AG1;OR10A5;OR51B6;OR6C2;OR14J1</t>
  </si>
  <si>
    <t>http://www.broadinstitute.org/gsea/msigdb/cards/REACTOME_OLFACTORY_SIGNALING_PATHWAY.html</t>
  </si>
  <si>
    <t>135946;442361;346517;390882;81099;256148;81341;219965;219982;283189;392390;254973;79310;81470;343173;441608;390260;26735;26737;26339;26531;144125;144124;390058;341416;442191;10850</t>
  </si>
  <si>
    <t>OR6B1;OR2A2;OR6V1;OR7G2;AC008977.1;OR4S1;OR10W1;OR5B17;OR5A1;OR9G4;OR1L6;OR1L4;OR5H2;OR2G2;OR2T3;OR5B3;OR6X1;OR1L3;OR1L1;OR5K1;OR11A1;OR2AG1;OR10A5;OR51B6;OR6C2;OR14J1;CCL27</t>
  </si>
  <si>
    <t>GO_SENSORY_PERCEPTION_OF_CHEMICAL_STIMULUS</t>
  </si>
  <si>
    <t>403284;135946;259287;442361;346517;390882;81099;256148;121129;81341;219965;219982;283189;392390;254973;138804;286362;79310;81470;343173;441608;390260;26735;26737;26339;388761;26531;144125;144124;390058;50837;341416;442191;81797</t>
  </si>
  <si>
    <t>OR6C68;OR6B1;TAS2R41;OR2A2;OR6V1;OR7G2;AC008977.1;OR4S1;OR2AP1;OR10W1;OR5B17;OR5A1;OR9G4;OR1L6;OR1L4;OR13C4;OR13C9;OR5H2;OR2G2;OR2T3;OR5B3;OR6X1;OR1L3;OR1L1;OR5K1;OR14A2;OR11A1;OR2AG1;OR10A5;OR51B6;TAS2R7;OR6C2;OR14J1;OR12D3</t>
  </si>
  <si>
    <t>http://www.broadinstitute.org/gsea/msigdb/cards/GO_SENSORY_PERCEPTION_OF_CHEMICAL_STIMULUS.html</t>
  </si>
  <si>
    <t>GO_OLFACTORY_RECEPTOR_ACTIVITY</t>
  </si>
  <si>
    <t>403284;135946;442361;346517;390882;81099;256148;121129;81341;219965;219982;283189;392390;254973;138804;286362;79310;81470;343173;441608;390260;26735;26737;26339;388761;26531;144125;144124;390058;341416;442191;81797</t>
  </si>
  <si>
    <t>OR6C68;OR6B1;OR2A2;OR6V1;OR7G2;AC008977.1;OR4S1;OR2AP1;OR10W1;OR5B17;OR5A1;OR9G4;OR1L6;OR1L4;OR13C4;OR13C9;OR5H2;OR2G2;OR2T3;OR5B3;OR6X1;OR1L3;OR1L1;OR5K1;OR14A2;OR11A1;OR2AG1;OR10A5;OR51B6;OR6C2;OR14J1;OR12D3</t>
  </si>
  <si>
    <t>http://www.broadinstitute.org/gsea/msigdb/cards/GO_OLFACTORY_RECEPTOR_ACTIVITY.html</t>
  </si>
  <si>
    <t>GO_DETECTION_OF_STIMULUS</t>
  </si>
  <si>
    <t>http://www.broadinstitute.org/gsea/msigdb/cards/GO_DETECTION_OF_STIMULUS.html</t>
  </si>
  <si>
    <t>GO_SENSORY_PERCEPTION</t>
  </si>
  <si>
    <t>http://www.broadinstitute.org/gsea/msigdb/cards/GO_SENSORY_PERCEPTION.html</t>
  </si>
  <si>
    <t>GO_NEUROLOGICAL_SYSTEM_PROCESS</t>
  </si>
  <si>
    <t>http://www.broadinstitute.org/gsea/msigdb/cards/GO_NEUROLOGICAL_SYSTEM_PROCESS.html</t>
  </si>
  <si>
    <t>GO_SYSTEM_PROCESS</t>
  </si>
  <si>
    <t>http://www.broadinstitute.org/gsea/msigdb/cards/GO_SYSTEM_PROCESS.html</t>
  </si>
  <si>
    <t>GO_ODORANT_BINDING</t>
  </si>
  <si>
    <t>81341;219965;219982;283189;79310;441608;26339;388761;442191</t>
  </si>
  <si>
    <t>OR10W1;OR5B17;OR5A1;OR9G4;OR5H2;OR5B3;OR5K1;OR14A2;OR14J1</t>
  </si>
  <si>
    <t>http://www.broadinstitute.org/gsea/msigdb/cards/GO_ODORANT_BINDING.html</t>
  </si>
  <si>
    <t>HALLMARK_COAGULATION</t>
  </si>
  <si>
    <t>2159;2;2160;5175</t>
  </si>
  <si>
    <t>F10;A2M;F11;PECAM1</t>
  </si>
  <si>
    <t>http://www.broadinstitute.org/gsea/msigdb/cards/HALLMARK_COAGULATION.html</t>
  </si>
  <si>
    <t>6943;2277;11185;1580;5175;1901;1003;7075;94;4239;6332;7010;2273;8404;284;10203;255877;57381;64321;22918</t>
  </si>
  <si>
    <t>TCF21;VEGFD;INMT;CYP4B1;PECAM1;S1PR1;CDH5;TIE1;ACVRL1;MFAP4;SCN7A;TEK;FHL1;SPARCL1;ANGPT1;CALCRL;BCL6B;RHOJ;SOX17;CD93</t>
  </si>
  <si>
    <t>2277;6586;10351;125;2159;730;3082;5175;7075;94;6414;4239;2273;8404;79987;2327;27074;10186</t>
  </si>
  <si>
    <t>VEGFD;SLIT3;ABCA8;ADH1B;F10;C7;HGF;PECAM1;TIE1;ACVRL1;SELENOP;MFAP4;FHL1;SPARCL1;SVEP1;FMO2;LAMP3;LHFPL6</t>
  </si>
  <si>
    <t>22899;5175;1901;762;1003;7075;58494;7010;80177;51267;64321;51294;22918;53405</t>
  </si>
  <si>
    <t>ARHGEF15;PECAM1;S1PR1;CA4;CDH5;TIE1;JAM2;TEK;MYCT1;CLEC1A;SOX17;PCDH12;CD93;CLIC5</t>
  </si>
  <si>
    <t>9079;6943;22899;1580;1003;8516;58494;6332;7010;10203;153579;80177;51267;220965;116159;114905;64321;51294;53405;1879</t>
  </si>
  <si>
    <t>LDB2;TCF21;ARHGEF15;CYP4B1;CDH5;ITGA8;JAM2;SCN7A;TEK;CALCRL;BTNL9;MYCT1;CLEC1A;FAM13C;CYYR1;C1QTNF7;SOX17;PCDH12;CLIC5;EBF1</t>
  </si>
  <si>
    <t>2277;6586;2159;2;6440;3082;6441;4239;8404;284;79987;340419;729238;653509;203190;51267;55600;142683;114905;11095</t>
  </si>
  <si>
    <t>VEGFD;SLIT3;F10;A2M;SFTPC;HGF;SFTPD;MFAP4;SPARCL1;ANGPT1;SVEP1;RSPO2;SFTPA2;SFTPA1;LGI3;CLEC1A;ITLN1;ITLN2;C1QTNF7;ADAMTS8</t>
  </si>
  <si>
    <t>BOQUEST_STEM_CELL_UP</t>
  </si>
  <si>
    <t>2277;6586;10351;125;2159;730;443;2949;8516;4239;284;79987</t>
  </si>
  <si>
    <t>VEGFD;SLIT3;ABCA8;ADH1B;F10;C7;ASPA;GSTM5;ITGA8;MFAP4;ANGPT1;SVEP1</t>
  </si>
  <si>
    <t>http://www.broadinstitute.org/gsea/msigdb/cards/BOQUEST_STEM_CELL_UP.html</t>
  </si>
  <si>
    <t>10351;125;730;443;6414;361;58494;6332;2273;284;79987;200504;1879</t>
  </si>
  <si>
    <t>ABCA8;ADH1B;C7;ASPA;SELENOP;AQP4;JAM2;SCN7A;FHL1;ANGPT1;SVEP1;GKN2;EBF1</t>
  </si>
  <si>
    <t>2277;3082;5175;1901;7075;2324;7010;284;10203;54538</t>
  </si>
  <si>
    <t>VEGFD;HGF;PECAM1;S1PR1;TIE1;FLT4;TEK;ANGPT1;CALCRL;ROBO4</t>
  </si>
  <si>
    <t>10351;125;730;762;443;4239;58494;6332;120892;340419;220965</t>
  </si>
  <si>
    <t>ABCA8;ADH1B;C7;CA4;ASPA;MFAP4;JAM2;SCN7A;LRRK2;RSPO2;FAM13C</t>
  </si>
  <si>
    <t>6943;22899;125;730;3082;947;8516;6332;7010;2273;2615;2327;10186</t>
  </si>
  <si>
    <t>TCF21;ARHGEF15;ADH1B;C7;HGF;CD34;ITGA8;SCN7A;TEK;FHL1;LRRC32;FMO2;LHFPL6</t>
  </si>
  <si>
    <t>http://www.broadinstitute.org/gsea/msigdb/cards/WEST_ADRENOCORTICAL_TUMOR_DN.html</t>
  </si>
  <si>
    <t>BERTUCCI_INVASIVE_CARCINOMA_DUCTAL_VS_LOBULAR_DN</t>
  </si>
  <si>
    <t>5175;947;6414;4239;7010;8404</t>
  </si>
  <si>
    <t>PECAM1;CD34;SELENOP;MFAP4;TEK;SPARCL1</t>
  </si>
  <si>
    <t>http://www.broadinstitute.org/gsea/msigdb/cards/BERTUCCI_INVASIVE_CARCINOMA_DUCTAL_VS_LOBULAR_DN.html</t>
  </si>
  <si>
    <t>2277;2159;2;6440;3082;6441;284;729238;653509;51267;55600;142683;114905;11095</t>
  </si>
  <si>
    <t>VEGFD;F10;A2M;SFTPC;HGF;SFTPD;ANGPT1;SFTPA2;SFTPA1;CLEC1A;ITLN1;ITLN2;C1QTNF7;ADAMTS8</t>
  </si>
  <si>
    <t>6440;6441;729238;653509;51267;55600;142683;114905</t>
  </si>
  <si>
    <t>SFTPC;SFTPD;SFTPA2;SFTPA1;CLEC1A;ITLN1;ITLN2;C1QTNF7</t>
  </si>
  <si>
    <t>GUO_HEX_TARGETS_DN</t>
  </si>
  <si>
    <t>2159;1003;7075;2324;255877;22918</t>
  </si>
  <si>
    <t>F10;CDH5;TIE1;FLT4;BCL6B;CD93</t>
  </si>
  <si>
    <t>http://www.broadinstitute.org/gsea/msigdb/cards/GUO_HEX_TARGETS_DN.html</t>
  </si>
  <si>
    <t>10351;125;730;5175;33;7075;4239;2273;284;79987;2327;27074</t>
  </si>
  <si>
    <t>ABCA8;ADH1B;C7;PECAM1;ACADL;TIE1;MFAP4;FHL1;ANGPT1;SVEP1;FMO2;LAMP3</t>
  </si>
  <si>
    <t>9079;6943;11185;7010;2273;8404;10203;57381;22918;1879</t>
  </si>
  <si>
    <t>LDB2;TCF21;INMT;TEK;FHL1;SPARCL1;CALCRL;RHOJ;CD93;EBF1</t>
  </si>
  <si>
    <t>6586;1901;443;6414;58494;284;79987;340419;1879</t>
  </si>
  <si>
    <t>SLIT3;S1PR1;ASPA;SELENOP;JAM2;ANGPT1;SVEP1;RSPO2;EBF1</t>
  </si>
  <si>
    <t>NAKAYAMA_SOFT_TISSUE_TUMORS_PCA2_DN</t>
  </si>
  <si>
    <t>10351;125;762;443;284;79987</t>
  </si>
  <si>
    <t>ABCA8;ADH1B;CA4;ASPA;ANGPT1;SVEP1</t>
  </si>
  <si>
    <t>http://www.broadinstitute.org/gsea/msigdb/cards/NAKAYAMA_SOFT_TISSUE_TUMORS_PCA2_DN.html</t>
  </si>
  <si>
    <t>SMID_BREAST_CANCER_LUMINAL_A_UP</t>
  </si>
  <si>
    <t>10351;125;1580;4239;2273;79987</t>
  </si>
  <si>
    <t>ABCA8;ADH1B;CYP4B1;MFAP4;FHL1;SVEP1</t>
  </si>
  <si>
    <t>http://www.broadinstitute.org/gsea/msigdb/cards/SMID_BREAST_CANCER_LUMINAL_A_UP.html</t>
  </si>
  <si>
    <t>BAELDE_DIABETIC_NEPHROPATHY_UP</t>
  </si>
  <si>
    <t>22899;5175;947;7075;94;7010</t>
  </si>
  <si>
    <t>ARHGEF15;PECAM1;CD34;TIE1;ACVRL1;TEK</t>
  </si>
  <si>
    <t>http://www.broadinstitute.org/gsea/msigdb/cards/BAELDE_DIABETIC_NEPHROPATHY_UP.html</t>
  </si>
  <si>
    <t>ACEVEDO_FGFR1_TARGETS_IN_PROSTATE_CANCER_MODEL_DN</t>
  </si>
  <si>
    <t>6943;11185;2890;2273;203190;55600;2327;22918;53405</t>
  </si>
  <si>
    <t>TCF21;INMT;GRIA1;FHL1;LGI3;ITLN1;FMO2;CD93;CLIC5</t>
  </si>
  <si>
    <t>http://www.broadinstitute.org/gsea/msigdb/cards/ACEVEDO_FGFR1_TARGETS_IN_PROSTATE_CANCER_MODEL_DN.html</t>
  </si>
  <si>
    <t>LI_WILMS_TUMOR_VS_FETAL_KIDNEY_1_UP</t>
  </si>
  <si>
    <t>9079;6943;1003;6414;7010;2615;284</t>
  </si>
  <si>
    <t>LDB2;TCF21;CDH5;SELENOP;TEK;LRRC32;ANGPT1</t>
  </si>
  <si>
    <t>http://www.broadinstitute.org/gsea/msigdb/cards/LI_WILMS_TUMOR_VS_FETAL_KIDNEY_1_UP.html</t>
  </si>
  <si>
    <t>947;10203;22918;1879</t>
  </si>
  <si>
    <t>CD34;CALCRL;CD93;EBF1</t>
  </si>
  <si>
    <t>2;730;1003;94;4239;8404;22918</t>
  </si>
  <si>
    <t>A2M;C7;CDH5;ACVRL1;MFAP4;SPARCL1;CD93</t>
  </si>
  <si>
    <t>9079;2277;125;730;443;8516;79987</t>
  </si>
  <si>
    <t>LDB2;VEGFD;ADH1B;C7;ASPA;ITGA8;SVEP1</t>
  </si>
  <si>
    <t>5175;947;1003;8516;51208;58494</t>
  </si>
  <si>
    <t>PECAM1;CD34;CDH5;ITGA8;CLDN18;JAM2</t>
  </si>
  <si>
    <t>125;2159;2;1580;947;443;6414;4239;2327</t>
  </si>
  <si>
    <t>ADH1B;F10;A2M;CYP4B1;CD34;ASPA;SELENOP;MFAP4;FMO2</t>
  </si>
  <si>
    <t>9079;2890;4239;8404;340419;114905;57381;64321;11095</t>
  </si>
  <si>
    <t>LDB2;GRIA1;MFAP4;SPARCL1;RSPO2;C1QTNF7;RHOJ;SOX17;ADAMTS8</t>
  </si>
  <si>
    <t>SMID_BREAST_CANCER_BASAL_DN</t>
  </si>
  <si>
    <t>6586;10351;125;1580;3082;6532;443;6414;4239;8404;79987</t>
  </si>
  <si>
    <t>SLIT3;ABCA8;ADH1B;CYP4B1;HGF;SLC6A4;ASPA;SELENOP;MFAP4;SPARCL1;SVEP1</t>
  </si>
  <si>
    <t>http://www.broadinstitute.org/gsea/msigdb/cards/SMID_BREAST_CANCER_BASAL_DN.html</t>
  </si>
  <si>
    <t>6943;2;2160;33;2890;2828;4239;2273;2615;177;146894;153579;113612;157310;51294;53405;1879</t>
  </si>
  <si>
    <t>TCF21;A2M;F11;ACADL;GRIA1;GPR4;MFAP4;FHL1;LRRC32;AGER;CD300LG;BTNL9;CYP2U1;PEBP4;PCDH12;CLIC5;EBF1</t>
  </si>
  <si>
    <t>DELYS_THYROID_CANCER_DN</t>
  </si>
  <si>
    <t>9079;125;6886;762;7010;2273;2327</t>
  </si>
  <si>
    <t>LDB2;ADH1B;TAL1;CA4;TEK;FHL1;FMO2</t>
  </si>
  <si>
    <t>http://www.broadinstitute.org/gsea/msigdb/cards/DELYS_THYROID_CANCER_DN.html</t>
  </si>
  <si>
    <t>2277;2159;2;2160;3082;5175;58494;7010;284</t>
  </si>
  <si>
    <t>VEGFD;F10;A2M;F11;HGF;PECAM1;JAM2;TEK;ANGPT1</t>
  </si>
  <si>
    <t>SANA_TNF_SIGNALING_DN</t>
  </si>
  <si>
    <t>9079;5175;947;10203;57381</t>
  </si>
  <si>
    <t>LDB2;PECAM1;CD34;CALCRL;RHOJ</t>
  </si>
  <si>
    <t>http://www.broadinstitute.org/gsea/msigdb/cards/SANA_TNF_SIGNALING_DN.html</t>
  </si>
  <si>
    <t>10351;2;730;762;8516;58494;10203;6330</t>
  </si>
  <si>
    <t>ABCA8;A2M;C7;CA4;ITGA8;JAM2;CALCRL;SCN4B</t>
  </si>
  <si>
    <t>6943;6586;6440;6886;33;947;6344;340419;6330;203190;64321;53405;1879</t>
  </si>
  <si>
    <t>TCF21;SLIT3;SFTPC;TAL1;ACADL;CD34;SCTR;RSPO2;SCN4B;LGI3;SOX17;CLIC5;EBF1</t>
  </si>
  <si>
    <t>2159;947;7010;146894;80177;134265;22918;1879</t>
  </si>
  <si>
    <t>F10;CD34;TEK;CD300LG;MYCT1;AFAP1L1;CD93;EBF1</t>
  </si>
  <si>
    <t>INAMURA_LUNG_CANCER_SCC_DN</t>
  </si>
  <si>
    <t>10351;177;11095</t>
  </si>
  <si>
    <t>ABCA8;AGER;ADAMTS8</t>
  </si>
  <si>
    <t>http://www.broadinstitute.org/gsea/msigdb/cards/INAMURA_LUNG_CANCER_SCC_DN.html</t>
  </si>
  <si>
    <t>NABA_ECM_GLYCOPROTEINS</t>
  </si>
  <si>
    <t>6586;4239;8404;79987;340419;203190</t>
  </si>
  <si>
    <t>SLIT3;MFAP4;SPARCL1;SVEP1;RSPO2;LGI3</t>
  </si>
  <si>
    <t>http://www.broadinstitute.org/gsea/msigdb/cards/NABA_ECM_GLYCOPROTEINS.html</t>
  </si>
  <si>
    <t>REACTOME_INTRINSIC_PATHWAY</t>
  </si>
  <si>
    <t>2159;2;2160</t>
  </si>
  <si>
    <t>F10;A2M;F11</t>
  </si>
  <si>
    <t>http://www.broadinstitute.org/gsea/msigdb/cards/REACTOME_INTRINSIC_PATHWAY.html</t>
  </si>
  <si>
    <t>TONKS_TARGETS_OF_RUNX1_RUNX1T1_FUSION_GRANULOCYTE_UP</t>
  </si>
  <si>
    <t>6886;7075;2273;284</t>
  </si>
  <si>
    <t>TAL1;TIE1;FHL1;ANGPT1</t>
  </si>
  <si>
    <t>http://www.broadinstitute.org/gsea/msigdb/cards/TONKS_TARGETS_OF_RUNX1_RUNX1T1_FUSION_GRANULOCYTE_UP.html</t>
  </si>
  <si>
    <t>CERVERA_SDHB_TARGETS_1_UP</t>
  </si>
  <si>
    <t>6344;4239;58494;200373;6330</t>
  </si>
  <si>
    <t>SCTR;MFAP4;JAM2;CFAP221;SCN4B</t>
  </si>
  <si>
    <t>http://www.broadinstitute.org/gsea/msigdb/cards/CERVERA_SDHB_TARGETS_1_UP.html</t>
  </si>
  <si>
    <t>9079;7075;361;58494;8404;284;203190</t>
  </si>
  <si>
    <t>LDB2;TIE1;AQP4;JAM2;SPARCL1;ANGPT1;LGI3</t>
  </si>
  <si>
    <t>9079;2277;6586;762;6532;134265;22918;1879</t>
  </si>
  <si>
    <t>LDB2;VEGFD;SLIT3;CA4;SLC6A4;AFAP1L1;CD93;EBF1</t>
  </si>
  <si>
    <t>9079;2324;6414;10203;27074</t>
  </si>
  <si>
    <t>LDB2;FLT4;SELENOP;CALCRL;LAMP3</t>
  </si>
  <si>
    <t>2;730;3082;2273;8404;10186</t>
  </si>
  <si>
    <t>A2M;C7;HGF;FHL1;SPARCL1;LHFPL6</t>
  </si>
  <si>
    <t>VANHARANTA_UTERINE_FIBROID_DN</t>
  </si>
  <si>
    <t>10351;125;2949;64321</t>
  </si>
  <si>
    <t>ABCA8;ADH1B;GSTM5;SOX17</t>
  </si>
  <si>
    <t>http://www.broadinstitute.org/gsea/msigdb/cards/VANHARANTA_UTERINE_FIBROID_DN.html</t>
  </si>
  <si>
    <t>VART_KSHV_INFECTION_ANGIOGENIC_MARKERS_DN</t>
  </si>
  <si>
    <t>3082;1003;7075;2324;284</t>
  </si>
  <si>
    <t>HGF;CDH5;TIE1;FLT4;ANGPT1</t>
  </si>
  <si>
    <t>http://www.broadinstitute.org/gsea/msigdb/cards/VART_KSHV_INFECTION_ANGIOGENIC_MARKERS_DN.html</t>
  </si>
  <si>
    <t>REACTOME_BIOLOGICAL_OXIDATIONS</t>
  </si>
  <si>
    <t>125;1580;2949;113612;2327</t>
  </si>
  <si>
    <t>ADH1B;CYP4B1;GSTM5;CYP2U1;FMO2</t>
  </si>
  <si>
    <t>http://www.broadinstitute.org/gsea/msigdb/cards/REACTOME_BIOLOGICAL_OXIDATIONS.html</t>
  </si>
  <si>
    <t>2159;2;2160;730</t>
  </si>
  <si>
    <t>F10;A2M;F11;C7</t>
  </si>
  <si>
    <t>REACTOME_PHASE1_FUNCTIONALIZATION_OF_COMPOUNDS</t>
  </si>
  <si>
    <t>125;1580;113612;2327</t>
  </si>
  <si>
    <t>ADH1B;CYP4B1;CYP2U1;FMO2</t>
  </si>
  <si>
    <t>http://www.broadinstitute.org/gsea/msigdb/cards/REACTOME_PHASE1_FUNCTIONALIZATION_OF_COMPOUNDS.html</t>
  </si>
  <si>
    <t>6586;7075;58494;2273;79987;6330;57381;10186</t>
  </si>
  <si>
    <t>SLIT3;TIE1;JAM2;FHL1;SVEP1;SCN4B;RHOJ;LHFPL6</t>
  </si>
  <si>
    <t>125;730;8404</t>
  </si>
  <si>
    <t>ADH1B;C7;SPARCL1</t>
  </si>
  <si>
    <t>NABA_CORE_MATRISOME</t>
  </si>
  <si>
    <t>http://www.broadinstitute.org/gsea/msigdb/cards/NABA_CORE_MATRISOME.html</t>
  </si>
  <si>
    <t>REACTOME_FORMATION_OF_FIBRIN_CLOT_CLOTTING_CASCADE</t>
  </si>
  <si>
    <t>http://www.broadinstitute.org/gsea/msigdb/cards/REACTOME_FORMATION_OF_FIBRIN_CLOT_CLOTTING_CASCADE.html</t>
  </si>
  <si>
    <t>REACTOME_RESPONSE_TO_ELEVATED_PLATELET_CYTOSOLIC_CA2_</t>
  </si>
  <si>
    <t>2277;2;3082;5175</t>
  </si>
  <si>
    <t>VEGFD;A2M;HGF;PECAM1</t>
  </si>
  <si>
    <t>http://www.broadinstitute.org/gsea/msigdb/cards/REACTOME_RESPONSE_TO_ELEVATED_PLATELET_CYTOSOLIC_CA2_.html</t>
  </si>
  <si>
    <t>TANG_SENESCENCE_TP53_TARGETS_UP</t>
  </si>
  <si>
    <t>10351;2;730</t>
  </si>
  <si>
    <t>ABCA8;A2M;C7</t>
  </si>
  <si>
    <t>http://www.broadinstitute.org/gsea/msigdb/cards/TANG_SENESCENCE_TP53_TARGETS_UP.html</t>
  </si>
  <si>
    <t>5175;58494;7010;284</t>
  </si>
  <si>
    <t>PECAM1;JAM2;TEK;ANGPT1</t>
  </si>
  <si>
    <t>1901;762;8516;79987;340419;6330;134265;53405;1879;11095;10186</t>
  </si>
  <si>
    <t>S1PR1;CA4;ITGA8;SVEP1;RSPO2;SCN4B;AFAP1L1;CLIC5;EBF1;ADAMTS8;LHFPL6</t>
  </si>
  <si>
    <t>HUMMERICH_SKIN_CANCER_PROGRESSION_DN</t>
  </si>
  <si>
    <t>947;4239;2273;51294</t>
  </si>
  <si>
    <t>CD34;MFAP4;FHL1;PCDH12</t>
  </si>
  <si>
    <t>http://www.broadinstitute.org/gsea/msigdb/cards/HUMMERICH_SKIN_CANCER_PROGRESSION_DN.html</t>
  </si>
  <si>
    <t>SCHAEFFER_PROSTATE_DEVELOPMENT_AND_CANCER_BOX2_UP</t>
  </si>
  <si>
    <t>9079;8404</t>
  </si>
  <si>
    <t>LDB2;SPARCL1</t>
  </si>
  <si>
    <t>http://www.broadinstitute.org/gsea/msigdb/cards/SCHAEFFER_PROSTATE_DEVELOPMENT_AND_CANCER_BOX2_UP.html</t>
  </si>
  <si>
    <t>JAATINEN_HEMATOPOIETIC_STEM_CELL_UP</t>
  </si>
  <si>
    <t>947;6414;2273;284;80177;116159</t>
  </si>
  <si>
    <t>CD34;SELENOP;FHL1;ANGPT1;MYCT1;CYYR1</t>
  </si>
  <si>
    <t>http://www.broadinstitute.org/gsea/msigdb/cards/JAATINEN_HEMATOPOIETIC_STEM_CELL_UP.html</t>
  </si>
  <si>
    <t>1901;361;8404</t>
  </si>
  <si>
    <t>S1PR1;AQP4;SPARCL1</t>
  </si>
  <si>
    <t>KIM_LIVER_CANCER_POOR_SURVIVAL_DN</t>
  </si>
  <si>
    <t>125;2159;6440</t>
  </si>
  <si>
    <t>ADH1B;F10;SFTPC</t>
  </si>
  <si>
    <t>http://www.broadinstitute.org/gsea/msigdb/cards/KIM_LIVER_CANCER_POOR_SURVIVAL_DN.html</t>
  </si>
  <si>
    <t>PID_HNF3A_PATHWAY</t>
  </si>
  <si>
    <t>6441;729238;653509</t>
  </si>
  <si>
    <t>SFTPD;SFTPA2;SFTPA1</t>
  </si>
  <si>
    <t>http://www.broadinstitute.org/gsea/msigdb/cards/PID_HNF3A_PATHWAY.html</t>
  </si>
  <si>
    <t>CASTELLANO_HRAS_AND_NRAS_TARGETS_DN</t>
  </si>
  <si>
    <t>2273;10203</t>
  </si>
  <si>
    <t>FHL1;CALCRL</t>
  </si>
  <si>
    <t>http://www.broadinstitute.org/gsea/msigdb/cards/CASTELLANO_HRAS_AND_NRAS_TARGETS_DN.html</t>
  </si>
  <si>
    <t>GALIE_TUMOR_ANGIOGENESIS</t>
  </si>
  <si>
    <t>3082;284</t>
  </si>
  <si>
    <t>HGF;ANGPT1</t>
  </si>
  <si>
    <t>http://www.broadinstitute.org/gsea/msigdb/cards/GALIE_TUMOR_ANGIOGENESIS.html</t>
  </si>
  <si>
    <t>SCHAEFFER_PROSTATE_DEVELOPMENT_AND_CANCER_BOX6_UP</t>
  </si>
  <si>
    <t>http://www.broadinstitute.org/gsea/msigdb/cards/SCHAEFFER_PROSTATE_DEVELOPMENT_AND_CANCER_BOX6_UP.html</t>
  </si>
  <si>
    <t>5175;1003;51208;58494</t>
  </si>
  <si>
    <t>PECAM1;CDH5;CLDN18;JAM2</t>
  </si>
  <si>
    <t>MCDOWELL_ACUTE_LUNG_INJURY_DN</t>
  </si>
  <si>
    <t>6440;94;2273</t>
  </si>
  <si>
    <t>SFTPC;ACVRL1;FHL1</t>
  </si>
  <si>
    <t>http://www.broadinstitute.org/gsea/msigdb/cards/MCDOWELL_ACUTE_LUNG_INJURY_DN.html</t>
  </si>
  <si>
    <t>STOSSI_RESPONSE_TO_ESTRADIOL</t>
  </si>
  <si>
    <t>947;6414;8404</t>
  </si>
  <si>
    <t>CD34;SELENOP;SPARCL1</t>
  </si>
  <si>
    <t>http://www.broadinstitute.org/gsea/msigdb/cards/STOSSI_RESPONSE_TO_ESTRADIOL.html</t>
  </si>
  <si>
    <t>INGRAM_SHH_TARGETS_UP</t>
  </si>
  <si>
    <t>11185;2324;6414;7010</t>
  </si>
  <si>
    <t>INMT;FLT4;SELENOP;TEK</t>
  </si>
  <si>
    <t>http://www.broadinstitute.org/gsea/msigdb/cards/INGRAM_SHH_TARGETS_UP.html</t>
  </si>
  <si>
    <t>PID_VEGF_VEGFR_PATHWAY</t>
  </si>
  <si>
    <t>2277;2324</t>
  </si>
  <si>
    <t>VEGFD;FLT4</t>
  </si>
  <si>
    <t>http://www.broadinstitute.org/gsea/msigdb/cards/PID_VEGF_VEGFR_PATHWAY.html</t>
  </si>
  <si>
    <t>REACTOME_VEGF_LIGAND_RECEPTOR_INTERACTIONS</t>
  </si>
  <si>
    <t>http://www.broadinstitute.org/gsea/msigdb/cards/REACTOME_VEGF_LIGAND_RECEPTOR_INTERACTIONS.html</t>
  </si>
  <si>
    <t>2;1580;6414</t>
  </si>
  <si>
    <t>A2M;CYP4B1;SELENOP</t>
  </si>
  <si>
    <t>JU_AGING_TERC_TARGETS_UP</t>
  </si>
  <si>
    <t>2277;3082</t>
  </si>
  <si>
    <t>VEGFD;HGF</t>
  </si>
  <si>
    <t>http://www.broadinstitute.org/gsea/msigdb/cards/JU_AGING_TERC_TARGETS_UP.html</t>
  </si>
  <si>
    <t>BONOME_OVARIAN_CANCER_SURVIVAL_SUBOPTIMAL_DEBULKING</t>
  </si>
  <si>
    <t>10351;730;2949;6414;58494;8404;11095</t>
  </si>
  <si>
    <t>ABCA8;C7;GSTM5;SELENOP;JAM2;SPARCL1;ADAMTS8</t>
  </si>
  <si>
    <t>http://www.broadinstitute.org/gsea/msigdb/cards/BONOME_OVARIAN_CANCER_SURVIVAL_SUBOPTIMAL_DEBULKING.html</t>
  </si>
  <si>
    <t>ROVERSI_GLIOMA_COPY_NUMBER_DN</t>
  </si>
  <si>
    <t>http://www.broadinstitute.org/gsea/msigdb/cards/ROVERSI_GLIOMA_COPY_NUMBER_DN.html</t>
  </si>
  <si>
    <t>22899;1580;762;2324;94;2949;146894;22918;11095</t>
  </si>
  <si>
    <t>ARHGEF15;CYP4B1;CA4;FLT4;ACVRL1;GSTM5;CD300LG;CD93;ADAMTS8</t>
  </si>
  <si>
    <t>5175;947</t>
  </si>
  <si>
    <t>PECAM1;CD34</t>
  </si>
  <si>
    <t>MULLIGHAN_MLL_SIGNATURE_1_DN</t>
  </si>
  <si>
    <t>3082;6886;762;7075;361</t>
  </si>
  <si>
    <t>HGF;TAL1;CA4;TIE1;AQP4</t>
  </si>
  <si>
    <t>http://www.broadinstitute.org/gsea/msigdb/cards/MULLIGHAN_MLL_SIGNATURE_1_DN.html</t>
  </si>
  <si>
    <t>GYORFFY_DOXORUBICIN_RESISTANCE</t>
  </si>
  <si>
    <t>6943;284;2327</t>
  </si>
  <si>
    <t>TCF21;ANGPT1;FMO2</t>
  </si>
  <si>
    <t>http://www.broadinstitute.org/gsea/msigdb/cards/GYORFFY_DOXORUBICIN_RESISTANCE.html</t>
  </si>
  <si>
    <t>9079;2277;186;340419;22918</t>
  </si>
  <si>
    <t>LDB2;VEGFD;AGTR2;RSPO2;CD93</t>
  </si>
  <si>
    <t>BENPORATH_EED_TARGETS</t>
  </si>
  <si>
    <t>6943;10351;6886;947;6344;340419;6330;64321;53405;1879</t>
  </si>
  <si>
    <t>TCF21;ABCA8;TAL1;CD34;SCTR;RSPO2;SCN4B;SOX17;CLIC5;EBF1</t>
  </si>
  <si>
    <t>http://www.broadinstitute.org/gsea/msigdb/cards/BENPORATH_EED_TARGETS.html</t>
  </si>
  <si>
    <t>BEGUM_TARGETS_OF_PAX3_FOXO1_FUSION_UP</t>
  </si>
  <si>
    <t>6586;33;10203</t>
  </si>
  <si>
    <t>SLIT3;ACADL;CALCRL</t>
  </si>
  <si>
    <t>http://www.broadinstitute.org/gsea/msigdb/cards/BEGUM_TARGETS_OF_PAX3_FOXO1_FUSION_UP.html</t>
  </si>
  <si>
    <t>6943;340419;51267;116159;79742;22918</t>
  </si>
  <si>
    <t>TCF21;RSPO2;CLEC1A;CYYR1;DIPK2B;CD93</t>
  </si>
  <si>
    <t>RAMASWAMY_METASTASIS_DN</t>
  </si>
  <si>
    <t>2159;6886;443</t>
  </si>
  <si>
    <t>F10;TAL1;ASPA</t>
  </si>
  <si>
    <t>http://www.broadinstitute.org/gsea/msigdb/cards/RAMASWAMY_METASTASIS_DN.html</t>
  </si>
  <si>
    <t>9079;6440;1580;5175;6532;443;7010;22918;11095</t>
  </si>
  <si>
    <t>LDB2;SFTPC;CYP4B1;PECAM1;SLC6A4;ASPA;TEK;CD93;ADAMTS8</t>
  </si>
  <si>
    <t>JOSEPH_RESPONSE_TO_SODIUM_BUTYRATE_DN</t>
  </si>
  <si>
    <t>2159;2;730</t>
  </si>
  <si>
    <t>F10;A2M;C7</t>
  </si>
  <si>
    <t>http://www.broadinstitute.org/gsea/msigdb/cards/JOSEPH_RESPONSE_TO_SODIUM_BUTYRATE_DN.html</t>
  </si>
  <si>
    <t>6440;729238</t>
  </si>
  <si>
    <t>SFTPC;SFTPA2</t>
  </si>
  <si>
    <t>125;730;4239;6332;57381;11095;10186</t>
  </si>
  <si>
    <t>ADH1B;C7;MFAP4;SCN7A;RHOJ;ADAMTS8;LHFPL6</t>
  </si>
  <si>
    <t>1901;2890;6344;186;10203</t>
  </si>
  <si>
    <t>S1PR1;GRIA1;SCTR;AGTR2;CALCRL</t>
  </si>
  <si>
    <t>10351;11185;2;1003</t>
  </si>
  <si>
    <t>ABCA8;INMT;A2M;CDH5</t>
  </si>
  <si>
    <t>http://www.broadinstitute.org/gsea/msigdb/cards/NING_CHRONIC_OBSTRUCTIVE_PULMONARY_DISEASE_UP.html</t>
  </si>
  <si>
    <t>6943;6441;7075;4239;58494;6332;7010;2327</t>
  </si>
  <si>
    <t>TCF21;SFTPD;TIE1;MFAP4;JAM2;SCN7A;TEK;FMO2</t>
  </si>
  <si>
    <t>9079;2277;22899;3082;762;1003;2890;2273;10203;80177;220965;54538;57381;22918</t>
  </si>
  <si>
    <t>LDB2;VEGFD;ARHGEF15;HGF;CA4;CDH5;GRIA1;FHL1;CALCRL;MYCT1;FAM13C;ROBO4;RHOJ;CD93</t>
  </si>
  <si>
    <t>9079;6943;6586;11185;6886;1901;1003;2890;443;6414;186;51208;7010;8404;284;54538;114905;1879</t>
  </si>
  <si>
    <t>LDB2;TCF21;SLIT3;INMT;TAL1;S1PR1;CDH5;GRIA1;ASPA;SELENOP;AGTR2;CLDN18;TEK;SPARCL1;ANGPT1;ROBO4;C1QTNF7;EBF1</t>
  </si>
  <si>
    <t>9079;6586;3082;6886;1003;6441;443;186;8516;361;284;10203;200504;51267;79742;51294;1879</t>
  </si>
  <si>
    <t>LDB2;SLIT3;HGF;TAL1;CDH5;SFTPD;ASPA;AGTR2;ITGA8;AQP4;ANGPT1;CALCRL;GKN2;CLEC1A;DIPK2B;PCDH12;EBF1</t>
  </si>
  <si>
    <t>2324;186;7010;8404;79742;51294</t>
  </si>
  <si>
    <t>FLT4;AGTR2;TEK;SPARCL1;DIPK2B;PCDH12</t>
  </si>
  <si>
    <t>PAX_Q6</t>
  </si>
  <si>
    <t>6586;2;6440;6886;2890;1879</t>
  </si>
  <si>
    <t>SLIT3;A2M;SFTPC;TAL1;GRIA1;EBF1</t>
  </si>
  <si>
    <t>http://www.broadinstitute.org/gsea/msigdb/cards/PAX_Q6.html</t>
  </si>
  <si>
    <t>9079;22899;762;1003;284;80177</t>
  </si>
  <si>
    <t>LDB2;ARHGEF15;CA4;CDH5;ANGPT1;MYCT1</t>
  </si>
  <si>
    <t>9079;6943;186;114905;1879;10186</t>
  </si>
  <si>
    <t>LDB2;TCF21;AGTR2;C1QTNF7;EBF1;LHFPL6</t>
  </si>
  <si>
    <t>6247;6586;6532;284;2327</t>
  </si>
  <si>
    <t>RS1;SLIT3;SLC6A4;ANGPT1;FMO2</t>
  </si>
  <si>
    <t>LMO2COM_02</t>
  </si>
  <si>
    <t>6440;947;1003;94;284</t>
  </si>
  <si>
    <t>SFTPC;CD34;CDH5;ACVRL1;ANGPT1</t>
  </si>
  <si>
    <t>http://www.broadinstitute.org/gsea/msigdb/cards/LMO2COM_02.html</t>
  </si>
  <si>
    <t>1901;2890;8404;284;1879</t>
  </si>
  <si>
    <t>S1PR1;GRIA1;SPARCL1;ANGPT1;EBF1</t>
  </si>
  <si>
    <t>6886;7010;80177;51294;1879</t>
  </si>
  <si>
    <t>TAL1;TEK;MYCT1;PCDH12;EBF1</t>
  </si>
  <si>
    <t>22899;6886;1901;2828;53405</t>
  </si>
  <si>
    <t>ARHGEF15;TAL1;S1PR1;GPR4;CLIC5</t>
  </si>
  <si>
    <t>9079;947;7010;284;10044</t>
  </si>
  <si>
    <t>LDB2;CD34;TEK;ANGPT1;SH2D3C</t>
  </si>
  <si>
    <t>9079;6943;6586;2;6886;1003;6441;2890;361;2273;284;203190;220965;54538</t>
  </si>
  <si>
    <t>LDB2;TCF21;SLIT3;A2M;TAL1;CDH5;SFTPD;GRIA1;AQP4;FHL1;ANGPT1;LGI3;FAM13C;ROBO4</t>
  </si>
  <si>
    <t>6586;2890;8404;177;255877;10044;57381;53405;10186</t>
  </si>
  <si>
    <t>SLIT3;GRIA1;SPARCL1;AGER;BCL6B;SH2D3C;RHOJ;CLIC5;LHFPL6</t>
  </si>
  <si>
    <t>22899;762;7075;94;284;10044;57381</t>
  </si>
  <si>
    <t>ARHGEF15;CA4;TIE1;ACVRL1;ANGPT1;SH2D3C;RHOJ</t>
  </si>
  <si>
    <t>2890;8516;255877;51267;57381</t>
  </si>
  <si>
    <t>GRIA1;ITGA8;BCL6B;CLEC1A;RHOJ</t>
  </si>
  <si>
    <t>6943;6586;2;6440;220965;54538;64321;79742</t>
  </si>
  <si>
    <t>TCF21;SLIT3;A2M;SFTPC;FAM13C;ROBO4;SOX17;DIPK2B</t>
  </si>
  <si>
    <t>9079;125;730;6440;1580;5175;947;1003;6441;6414;4239;361;51208;7010;2615;177;284;10203;27074</t>
  </si>
  <si>
    <t>LDB2;ADH1B;C7;SFTPC;CYP4B1;PECAM1;CD34;CDH5;SFTPD;SELENOP;MFAP4;AQP4;CLDN18;TEK;LRRC32;AGER;ANGPT1;CALCRL;LAMP3</t>
  </si>
  <si>
    <t>125;2;730;1901;2949;6344;6414;361;2615;8404;284</t>
  </si>
  <si>
    <t>ADH1B;A2M;C7;S1PR1;GSTM5;SCTR;SELENOP;AQP4;LRRC32;SPARCL1;ANGPT1</t>
  </si>
  <si>
    <t>MODULE_47</t>
  </si>
  <si>
    <t>9079;5175;1901;947;1003;7075;6414;7010;2615</t>
  </si>
  <si>
    <t>LDB2;PECAM1;S1PR1;CD34;CDH5;TIE1;SELENOP;TEK;LRRC32</t>
  </si>
  <si>
    <t>http://www.broadinstitute.org/gsea/msigdb/cards/MODULE_47.html</t>
  </si>
  <si>
    <t>MODULE_2</t>
  </si>
  <si>
    <t>125;730;1580;5175;947;1003;6414;4239;284</t>
  </si>
  <si>
    <t>ADH1B;C7;CYP4B1;PECAM1;CD34;CDH5;SELENOP;MFAP4;ANGPT1</t>
  </si>
  <si>
    <t>http://www.broadinstitute.org/gsea/msigdb/cards/MODULE_2.html</t>
  </si>
  <si>
    <t>6247;2160;33;6532;1003;443;6414;186;361;22918;27074</t>
  </si>
  <si>
    <t>RS1;F11;ACADL;SLC6A4;CDH5;ASPA;SELENOP;AGTR2;AQP4;CD93;LAMP3</t>
  </si>
  <si>
    <t>125;2;730;6440;5175;762;6414;2615;27074</t>
  </si>
  <si>
    <t>ADH1B;A2M;C7;SFTPC;PECAM1;CA4;SELENOP;LRRC32;LAMP3</t>
  </si>
  <si>
    <t>125;730;1580;5175;947;6414;27074</t>
  </si>
  <si>
    <t>ADH1B;C7;CYP4B1;PECAM1;CD34;SELENOP;LAMP3</t>
  </si>
  <si>
    <t>6586;2159;762;1003;8404</t>
  </si>
  <si>
    <t>SLIT3;F10;CA4;CDH5;SPARCL1</t>
  </si>
  <si>
    <t>125;2159;730;6440;1580;762;2949;6414;2615;284</t>
  </si>
  <si>
    <t>ADH1B;F10;C7;SFTPC;CYP4B1;CA4;GSTM5;SELENOP;LRRC32;ANGPT1</t>
  </si>
  <si>
    <t>GCM_CDH5</t>
  </si>
  <si>
    <t>1003;177;10203</t>
  </si>
  <si>
    <t>CDH5;AGER;CALCRL</t>
  </si>
  <si>
    <t>http://www.broadinstitute.org/gsea/msigdb/cards/GCM_CDH5.html</t>
  </si>
  <si>
    <t>6440;1580;5175;947;1003;4239;2615</t>
  </si>
  <si>
    <t>SFTPC;CYP4B1;PECAM1;CD34;CDH5;MFAP4;LRRC32</t>
  </si>
  <si>
    <t>9079;6586;361;7010;2273;284</t>
  </si>
  <si>
    <t>LDB2;SLIT3;AQP4;TEK;FHL1;ANGPT1</t>
  </si>
  <si>
    <t>125;2159;730;6440;1580;762;2949;6414;2615</t>
  </si>
  <si>
    <t>ADH1B;F10;C7;SFTPC;CYP4B1;CA4;GSTM5;SELENOP;LRRC32</t>
  </si>
  <si>
    <t>MODULE_256</t>
  </si>
  <si>
    <t>5175;94;79742</t>
  </si>
  <si>
    <t>PECAM1;ACVRL1;DIPK2B</t>
  </si>
  <si>
    <t>http://www.broadinstitute.org/gsea/msigdb/cards/MODULE_256.html</t>
  </si>
  <si>
    <t>6943;2277;22899;5175;6886;1901;947;1003;7075;2324;94;2828;7010;284;10203;54538;57381;64321</t>
  </si>
  <si>
    <t>TCF21;VEGFD;ARHGEF15;PECAM1;TAL1;S1PR1;CD34;CDH5;TIE1;FLT4;ACVRL1;GPR4;TEK;ANGPT1;CALCRL;ROBO4;RHOJ;SOX17</t>
  </si>
  <si>
    <t>6943;2277;6886;1901;947;7075;2324;94;2828;7010;284;10203;54538;64321</t>
  </si>
  <si>
    <t>TCF21;VEGFD;TAL1;S1PR1;CD34;TIE1;FLT4;ACVRL1;GPR4;TEK;ANGPT1;CALCRL;ROBO4;SOX17</t>
  </si>
  <si>
    <t>6943;2277;22899;5175;6886;1901;947;1003;7075;2324;94;2828;186;7010;284;10203;54538;57381;64321</t>
  </si>
  <si>
    <t>TCF21;VEGFD;ARHGEF15;PECAM1;TAL1;S1PR1;CD34;CDH5;TIE1;FLT4;ACVRL1;GPR4;AGTR2;TEK;ANGPT1;CALCRL;ROBO4;RHOJ;SOX17</t>
  </si>
  <si>
    <t>7100;2159;730;1901;762;947;6532;7075;2324;94;2890;2828;6344;186;8516;361;58494;6332;7010;2615;177;10203;6330;51267;51294</t>
  </si>
  <si>
    <t>TLR5;F10;C7;S1PR1;CA4;CD34;SLC6A4;TIE1;FLT4;ACVRL1;GRIA1;GPR4;SCTR;AGTR2;ITGA8;AQP4;JAM2;SCN7A;TEK;LRRC32;AGER;CALCRL;SCN4B;CLEC1A;PCDH12</t>
  </si>
  <si>
    <t>GO_SECRETORY_VESICLE</t>
  </si>
  <si>
    <t>2277;2;6440;3082;5175;762;6441;2890;6414;120892;729238;653509;203190;27074</t>
  </si>
  <si>
    <t>VEGFD;A2M;SFTPC;HGF;PECAM1;CA4;SFTPD;GRIA1;SELENOP;LRRK2;SFTPA2;SFTPA1;LGI3;LAMP3</t>
  </si>
  <si>
    <t>http://www.broadinstitute.org/gsea/msigdb/cards/GO_SECRETORY_VESICLE.html</t>
  </si>
  <si>
    <t>6247;6943;2277;6886;1901;947;7075;2324;94;2828;8516;7010;284;10203;131405;54538;64321</t>
  </si>
  <si>
    <t>RS1;TCF21;VEGFD;TAL1;S1PR1;CD34;TIE1;FLT4;ACVRL1;GPR4;ITGA8;TEK;ANGPT1;CALCRL;TRIM71;ROBO4;SOX17</t>
  </si>
  <si>
    <t>22899;2160;3082;947;6532;6441;7075;94;2828;186;51208;7010;177;284;10203;340419;64321</t>
  </si>
  <si>
    <t>ARHGEF15;F11;HGF;CD34;SLC6A4;SFTPD;TIE1;ACVRL1;GPR4;AGTR2;CLDN18;TEK;AGER;ANGPT1;CALCRL;RSPO2;SOX17</t>
  </si>
  <si>
    <t>2277;6586;3082;6886;1901;6532;1003;6441;2324;94;186;7010;177;284;10203;131405;120892;200504;64321;11095</t>
  </si>
  <si>
    <t>VEGFD;SLIT3;HGF;TAL1;S1PR1;SLC6A4;CDH5;SFTPD;FLT4;ACVRL1;AGTR2;TEK;AGER;ANGPT1;CALCRL;TRIM71;LRRK2;GKN2;SOX17;ADAMTS8</t>
  </si>
  <si>
    <t>GO_SECRETORY_GRANULE</t>
  </si>
  <si>
    <t>2277;2;6440;3082;5175;762;6441;6414;729238;653509;27074</t>
  </si>
  <si>
    <t>VEGFD;A2M;SFTPC;HGF;PECAM1;CA4;SFTPD;SELENOP;SFTPA2;SFTPA1;LAMP3</t>
  </si>
  <si>
    <t>http://www.broadinstitute.org/gsea/msigdb/cards/GO_SECRETORY_GRANULE.html</t>
  </si>
  <si>
    <t>GO_RENAL_SYSTEM_VASCULATURE_DEVELOPMENT</t>
  </si>
  <si>
    <t>6943;5175;947;2828;284</t>
  </si>
  <si>
    <t>TCF21;PECAM1;CD34;GPR4;ANGPT1</t>
  </si>
  <si>
    <t>http://www.broadinstitute.org/gsea/msigdb/cards/GO_RENAL_SYSTEM_VASCULATURE_DEVELOPMENT.html</t>
  </si>
  <si>
    <t>GO_LAMELLAR_BODY</t>
  </si>
  <si>
    <t>6440;6441;729238;653509;27074</t>
  </si>
  <si>
    <t>SFTPC;SFTPD;SFTPA2;SFTPA1;LAMP3</t>
  </si>
  <si>
    <t>http://www.broadinstitute.org/gsea/msigdb/cards/GO_LAMELLAR_BODY.html</t>
  </si>
  <si>
    <t>6586;22899;3082;6886;1901;947;6532;1003;7075;94;2828;186;51208;7010;177;120892;340419;255877;64321</t>
  </si>
  <si>
    <t>SLIT3;ARHGEF15;HGF;TAL1;S1PR1;CD34;SLC6A4;CDH5;TIE1;ACVRL1;GPR4;AGTR2;CLDN18;TEK;AGER;LRRK2;RSPO2;BCL6B;SOX17</t>
  </si>
  <si>
    <t>GO_UROGENITAL_SYSTEM_DEVELOPMENT</t>
  </si>
  <si>
    <t>6943;5175;947;2828;186;8516;284;120892;64321</t>
  </si>
  <si>
    <t>TCF21;PECAM1;CD34;GPR4;AGTR2;ITGA8;ANGPT1;LRRK2;SOX17</t>
  </si>
  <si>
    <t>http://www.broadinstitute.org/gsea/msigdb/cards/GO_UROGENITAL_SYSTEM_DEVELOPMENT.html</t>
  </si>
  <si>
    <t>6247;2277;6586;2;2160;6440;3082;5175;6441;6414;8404;177;284;120892;200504;729238;653509</t>
  </si>
  <si>
    <t>RS1;VEGFD;SLIT3;A2M;F11;SFTPC;HGF;PECAM1;SFTPD;SELENOP;SPARCL1;AGER;ANGPT1;LRRK2;GKN2;SFTPA2;SFTPA1</t>
  </si>
  <si>
    <t>2159;1901;762;947;1003;94;2890;8516;361;7010;177;340419;22918</t>
  </si>
  <si>
    <t>F10;S1PR1;CA4;CD34;CDH5;ACVRL1;GRIA1;ITGA8;AQP4;TEK;AGER;RSPO2;CD93</t>
  </si>
  <si>
    <t>9079;2277;2159;3082;1901;7075;2324;94;186;7010;177;284;54538</t>
  </si>
  <si>
    <t>LDB2;VEGFD;F10;HGF;S1PR1;TIE1;FLT4;ACVRL1;AGTR2;TEK;AGER;ANGPT1;ROBO4</t>
  </si>
  <si>
    <t>GO_GLOMERULUS_DEVELOPMENT</t>
  </si>
  <si>
    <t>http://www.broadinstitute.org/gsea/msigdb/cards/GO_GLOMERULUS_DEVELOPMENT.html</t>
  </si>
  <si>
    <t>GO_ORGAN_MORPHOGENESIS</t>
  </si>
  <si>
    <t>6247;6943;6586;1901;6532;186;8516;7010;2273;120892;340419;64321;53405</t>
  </si>
  <si>
    <t>RS1;TCF21;SLIT3;S1PR1;SLC6A4;AGTR2;ITGA8;TEK;FHL1;LRRK2;RSPO2;SOX17;CLIC5</t>
  </si>
  <si>
    <t>http://www.broadinstitute.org/gsea/msigdb/cards/GO_ORGAN_MORPHOGENESIS.html</t>
  </si>
  <si>
    <t>6247;9079;6943;3082;5175;6886;1901;947;7075;94;2828;186;8516;131405;340419;64321;53405</t>
  </si>
  <si>
    <t>RS1;LDB2;TCF21;HGF;PECAM1;TAL1;S1PR1;CD34;TIE1;ACVRL1;GPR4;AGTR2;ITGA8;TRIM71;RSPO2;SOX17;CLIC5</t>
  </si>
  <si>
    <t>6586;3082;947;7075;2324;94;2828;186;7010;177;120892;340419;57381;64321</t>
  </si>
  <si>
    <t>SLIT3;HGF;CD34;TIE1;FLT4;ACVRL1;GPR4;AGTR2;TEK;AGER;LRRK2;RSPO2;RHOJ;SOX17</t>
  </si>
  <si>
    <t>6247;5175;1901;947;1003;8516;4239;51208;58494;7010;284;79987;51294;22918</t>
  </si>
  <si>
    <t>RS1;PECAM1;S1PR1;CD34;CDH5;ITGA8;MFAP4;CLDN18;JAM2;TEK;ANGPT1;SVEP1;PCDH12;CD93</t>
  </si>
  <si>
    <t>GO_REGULATION_OF_ENDOTHELIAL_CELL_MIGRATION</t>
  </si>
  <si>
    <t>2324;94;186;7010;177;284</t>
  </si>
  <si>
    <t>FLT4;ACVRL1;AGTR2;TEK;AGER;ANGPT1</t>
  </si>
  <si>
    <t>http://www.broadinstitute.org/gsea/msigdb/cards/GO_REGULATION_OF_ENDOTHELIAL_CELL_MIGRATION.html</t>
  </si>
  <si>
    <t>947;6441;729238;653509;51267;55600;142683;22918</t>
  </si>
  <si>
    <t>CD34;SFTPD;SFTPA2;SFTPA1;CLEC1A;ITLN1;ITLN2;CD93</t>
  </si>
  <si>
    <t>2277;2;6440;3082;5175;762;6441;2890;6414;120892;729238;653509;203190;22918;27074</t>
  </si>
  <si>
    <t>VEGFD;A2M;SFTPC;HGF;PECAM1;CA4;SFTPD;GRIA1;SELENOP;LRRK2;SFTPA2;SFTPA1;LGI3;CD93;LAMP3</t>
  </si>
  <si>
    <t>2277;6586;3082;5175;1901;947;6441;94;58494;7010;284;120892;64321;27074</t>
  </si>
  <si>
    <t>VEGFD;SLIT3;HGF;PECAM1;S1PR1;CD34;SFTPD;ACVRL1;JAM2;TEK;ANGPT1;LRRK2;SOX17;LAMP3</t>
  </si>
  <si>
    <t>5175;1901;762;947;6532;2890;8516;361;7010;177;284;120892;146894;55600</t>
  </si>
  <si>
    <t>PECAM1;S1PR1;CA4;CD34;SLC6A4;GRIA1;ITGA8;AQP4;TEK;AGER;ANGPT1;LRRK2;CD300LG;ITLN1</t>
  </si>
  <si>
    <t>6586;3082;5175;1901;947;6441;94;58494;7010;284;120892;64321</t>
  </si>
  <si>
    <t>SLIT3;HGF;PECAM1;S1PR1;CD34;SFTPD;ACVRL1;JAM2;TEK;ANGPT1;LRRK2;SOX17</t>
  </si>
  <si>
    <t>GO_ENDOTHELIUM_DEVELOPMENT</t>
  </si>
  <si>
    <t>5175;1901;947;94;64321</t>
  </si>
  <si>
    <t>PECAM1;S1PR1;CD34;ACVRL1;SOX17</t>
  </si>
  <si>
    <t>http://www.broadinstitute.org/gsea/msigdb/cards/GO_ENDOTHELIUM_DEVELOPMENT.html</t>
  </si>
  <si>
    <t>GO_REGULATION_OF_EPITHELIAL_CELL_MIGRATION</t>
  </si>
  <si>
    <t>http://www.broadinstitute.org/gsea/msigdb/cards/GO_REGULATION_OF_EPITHELIAL_CELL_MIGRATION.html</t>
  </si>
  <si>
    <t>2277;2;2160;730;3082;1901;947;7010;177;10203;120892;22918</t>
  </si>
  <si>
    <t>VEGFD;A2M;F11;C7;HGF;S1PR1;CD34;TEK;AGER;CALCRL;LRRK2;CD93</t>
  </si>
  <si>
    <t>5175;1901;947;6441;58494;7010;284</t>
  </si>
  <si>
    <t>PECAM1;S1PR1;CD34;SFTPD;JAM2;TEK;ANGPT1</t>
  </si>
  <si>
    <t>6586;3082;5175;1901;947;6441;94;58494;7010;284;200373;120892;6330;64321</t>
  </si>
  <si>
    <t>SLIT3;HGF;PECAM1;S1PR1;CD34;SFTPD;ACVRL1;JAM2;TEK;ANGPT1;CFAP221;LRRK2;SCN4B;SOX17</t>
  </si>
  <si>
    <t>2324;94;7010;177;284</t>
  </si>
  <si>
    <t>FLT4;ACVRL1;TEK;AGER;ANGPT1</t>
  </si>
  <si>
    <t>GO_SPROUTING_ANGIOGENESIS</t>
  </si>
  <si>
    <t>2324;94;7010;284</t>
  </si>
  <si>
    <t>FLT4;ACVRL1;TEK;ANGPT1</t>
  </si>
  <si>
    <t>http://www.broadinstitute.org/gsea/msigdb/cards/GO_SPROUTING_ANGIOGENESIS.html</t>
  </si>
  <si>
    <t>GO_RESPIRATORY_GASEOUS_EXCHANGE</t>
  </si>
  <si>
    <t>6440;6441;729238;653509</t>
  </si>
  <si>
    <t>SFTPC;SFTPD;SFTPA2;SFTPA1</t>
  </si>
  <si>
    <t>http://www.broadinstitute.org/gsea/msigdb/cards/GO_RESPIRATORY_GASEOUS_EXCHANGE.html</t>
  </si>
  <si>
    <t>GO_PLATELET_DEGRANULATION</t>
  </si>
  <si>
    <t>2277;2;3082;5175;6414</t>
  </si>
  <si>
    <t>VEGFD;A2M;HGF;PECAM1;SELENOP</t>
  </si>
  <si>
    <t>http://www.broadinstitute.org/gsea/msigdb/cards/GO_PLATELET_DEGRANULATION.html</t>
  </si>
  <si>
    <t>5175;1003;2890;8516;51208;58494;7010;2273;120892;6330;203190;134265;51294</t>
  </si>
  <si>
    <t>PECAM1;CDH5;GRIA1;ITGA8;CLDN18;JAM2;TEK;FHL1;LRRK2;SCN4B;LGI3;AFAP1L1;PCDH12</t>
  </si>
  <si>
    <t>GO_TISSUE_MORPHOGENESIS</t>
  </si>
  <si>
    <t>6247;6943;6886;1901;94;8516;131405;340419;64321</t>
  </si>
  <si>
    <t>RS1;TCF21;TAL1;S1PR1;ACVRL1;ITGA8;TRIM71;RSPO2;SOX17</t>
  </si>
  <si>
    <t>http://www.broadinstitute.org/gsea/msigdb/cards/GO_TISSUE_MORPHOGENESIS.html</t>
  </si>
  <si>
    <t>5175;1901;6532;7010;284;120892;55600</t>
  </si>
  <si>
    <t>PECAM1;S1PR1;SLC6A4;TEK;ANGPT1;LRRK2;ITLN1</t>
  </si>
  <si>
    <t>GO_BASAL_PART_OF_CELL</t>
  </si>
  <si>
    <t>947;7010;177;200504</t>
  </si>
  <si>
    <t>CD34;TEK;AGER;GKN2</t>
  </si>
  <si>
    <t>http://www.broadinstitute.org/gsea/msigdb/cards/GO_BASAL_PART_OF_CELL.html</t>
  </si>
  <si>
    <t>2;2160;730;3082;947;7010;177;10203</t>
  </si>
  <si>
    <t>A2M;F11;C7;HGF;CD34;TEK;AGER;CALCRL</t>
  </si>
  <si>
    <t>GO_RETINA_VASCULATURE_DEVELOPMENT_IN_CAMERA_TYPE_EYE</t>
  </si>
  <si>
    <t>22899;94;57381</t>
  </si>
  <si>
    <t>ARHGEF15;ACVRL1;RHOJ</t>
  </si>
  <si>
    <t>http://www.broadinstitute.org/gsea/msigdb/cards/GO_RETINA_VASCULATURE_DEVELOPMENT_IN_CAMERA_TYPE_EYE.html</t>
  </si>
  <si>
    <t>GO_NEPHRON_DEVELOPMENT</t>
  </si>
  <si>
    <t>http://www.broadinstitute.org/gsea/msigdb/cards/GO_NEPHRON_DEVELOPMENT.html</t>
  </si>
  <si>
    <t>6943;7100;730;5175;6886;1901;947;6441;361;58494;7010;177;284;146894;255877;22918;27074</t>
  </si>
  <si>
    <t>TCF21;TLR5;C7;PECAM1;TAL1;S1PR1;CD34;SFTPD;AQP4;JAM2;TEK;AGER;ANGPT1;CD300LG;BCL6B;CD93;LAMP3</t>
  </si>
  <si>
    <t>2277;2159;3082;1901;2324;7010;177;284</t>
  </si>
  <si>
    <t>VEGFD;F10;HGF;S1PR1;FLT4;TEK;AGER;ANGPT1</t>
  </si>
  <si>
    <t>22899;762;6532;94;2890;8516;6332;7010;177;284;200373;120892;203190;134265;55600;53405</t>
  </si>
  <si>
    <t>ARHGEF15;CA4;SLC6A4;ACVRL1;GRIA1;ITGA8;SCN7A;TEK;AGER;ANGPT1;CFAP221;LRRK2;LGI3;AFAP1L1;ITLN1;CLIC5</t>
  </si>
  <si>
    <t>2277;7100;3082;947;6441;2324;186;177;284</t>
  </si>
  <si>
    <t>VEGFD;TLR5;HGF;CD34;SFTPD;FLT4;AGTR2;AGER;ANGPT1</t>
  </si>
  <si>
    <t>GO_BLOOD_COAGULATION_INTRINSIC_PATHWAY</t>
  </si>
  <si>
    <t>http://www.broadinstitute.org/gsea/msigdb/cards/GO_BLOOD_COAGULATION_INTRINSIC_PATHWAY.html</t>
  </si>
  <si>
    <t>GO_BASOLATERAL_PLASMA_MEMBRANE</t>
  </si>
  <si>
    <t>762;947;361;7010;177;146894</t>
  </si>
  <si>
    <t>CA4;CD34;AQP4;TEK;AGER;CD300LG</t>
  </si>
  <si>
    <t>http://www.broadinstitute.org/gsea/msigdb/cards/GO_BASOLATERAL_PLASMA_MEMBRANE.html</t>
  </si>
  <si>
    <t>2277;2159;2;3082;5175;6441;2890;6414;10203;120892;146894;203190;22918</t>
  </si>
  <si>
    <t>VEGFD;F10;A2M;HGF;PECAM1;SFTPD;GRIA1;SELENOP;CALCRL;LRRK2;CD300LG;LGI3;CD93</t>
  </si>
  <si>
    <t>6943;6886;7075;94;8516;284;131405;340419;64321;51294;53405</t>
  </si>
  <si>
    <t>TCF21;TAL1;TIE1;ACVRL1;ITGA8;ANGPT1;TRIM71;RSPO2;SOX17;PCDH12;CLIC5</t>
  </si>
  <si>
    <t>7100;1901;7075;2324;94;2890;2828;6344;186;7010;177;10203;51267;54538;22918</t>
  </si>
  <si>
    <t>TLR5;S1PR1;TIE1;FLT4;ACVRL1;GRIA1;GPR4;SCTR;AGTR2;TEK;AGER;CALCRL;CLEC1A;ROBO4;CD93</t>
  </si>
  <si>
    <t>2277;2;3082;5175;762;2890;6414;120892;27074</t>
  </si>
  <si>
    <t>VEGFD;A2M;HGF;PECAM1;CA4;GRIA1;SELENOP;LRRK2;LAMP3</t>
  </si>
  <si>
    <t>3082;947;7075;94;2828;7010</t>
  </si>
  <si>
    <t>HGF;CD34;TIE1;ACVRL1;GPR4;TEK</t>
  </si>
  <si>
    <t>6586;2160;33;947;340419;11095</t>
  </si>
  <si>
    <t>SLIT3;F11;ACADL;CD34;RSPO2;ADAMTS8</t>
  </si>
  <si>
    <t>9079;6943;5175;1901;947;94;2828;131405;340419;64321;53405</t>
  </si>
  <si>
    <t>LDB2;TCF21;PECAM1;S1PR1;CD34;ACVRL1;GPR4;TRIM71;RSPO2;SOX17;CLIC5</t>
  </si>
  <si>
    <t>GO_NEGATIVE_REGULATION_OF_GROWTH</t>
  </si>
  <si>
    <t>6586;6532;94;186;2273;64321</t>
  </si>
  <si>
    <t>SLIT3;SLC6A4;ACVRL1;AGTR2;FHL1;SOX17</t>
  </si>
  <si>
    <t>http://www.broadinstitute.org/gsea/msigdb/cards/GO_NEGATIVE_REGULATION_OF_GROWTH.html</t>
  </si>
  <si>
    <t>2277;7100;2159;730;3082;1901;2324;94;186;8516;7010;177;284;120892;340419;10044</t>
  </si>
  <si>
    <t>VEGFD;TLR5;F10;C7;HGF;S1PR1;FLT4;ACVRL1;AGTR2;ITGA8;TEK;AGER;ANGPT1;LRRK2;RSPO2;SH2D3C</t>
  </si>
  <si>
    <t>GO_ENDOTHELIAL_CELL_PROLIFERATION</t>
  </si>
  <si>
    <t>947;94;7010</t>
  </si>
  <si>
    <t>CD34;ACVRL1;TEK</t>
  </si>
  <si>
    <t>http://www.broadinstitute.org/gsea/msigdb/cards/GO_ENDOTHELIAL_CELL_PROLIFERATION.html</t>
  </si>
  <si>
    <t>2159;1901;762;947;1003;361</t>
  </si>
  <si>
    <t>F10;S1PR1;CA4;CD34;CDH5;AQP4</t>
  </si>
  <si>
    <t>GO_PROTEINACEOUS_EXTRACELLULAR_MATRIX</t>
  </si>
  <si>
    <t>6586;6441;4239;8404;729238;653509;11095</t>
  </si>
  <si>
    <t>SLIT3;SFTPD;MFAP4;SPARCL1;SFTPA2;SFTPA1;ADAMTS8</t>
  </si>
  <si>
    <t>http://www.broadinstitute.org/gsea/msigdb/cards/GO_PROTEINACEOUS_EXTRACELLULAR_MATRIX.html</t>
  </si>
  <si>
    <t>GO_BLOOD_COAGULATION_FIBRIN_CLOT_FORMATION</t>
  </si>
  <si>
    <t>http://www.broadinstitute.org/gsea/msigdb/cards/GO_BLOOD_COAGULATION_FIBRIN_CLOT_FORMATION.html</t>
  </si>
  <si>
    <t>GO_PLATELET_ALPHA_GRANULE</t>
  </si>
  <si>
    <t>http://www.broadinstitute.org/gsea/msigdb/cards/GO_PLATELET_ALPHA_GRANULE.html</t>
  </si>
  <si>
    <t>947;6532;94;186;7010;284;6330</t>
  </si>
  <si>
    <t>CD34;SLC6A4;ACVRL1;AGTR2;TEK;ANGPT1;SCN4B</t>
  </si>
  <si>
    <t>2277;7100;3082;947;2324;186;177</t>
  </si>
  <si>
    <t>VEGFD;TLR5;HGF;CD34;FLT4;AGTR2;AGER</t>
  </si>
  <si>
    <t>2160;3082;947;7010;10203</t>
  </si>
  <si>
    <t>F11;HGF;CD34;TEK;CALCRL</t>
  </si>
  <si>
    <t>6440;1901;947;6532;6441;2890;10203;123745;120892;146894;157310;27074</t>
  </si>
  <si>
    <t>SFTPC;S1PR1;CD34;SLC6A4;SFTPD;GRIA1;CALCRL;PLA2G4E;LRRK2;CD300LG;PEBP4;LAMP3</t>
  </si>
  <si>
    <t>GO_METANEPHROS_DEVELOPMENT</t>
  </si>
  <si>
    <t>6943;947;186;8516</t>
  </si>
  <si>
    <t>TCF21;CD34;AGTR2;ITGA8</t>
  </si>
  <si>
    <t>http://www.broadinstitute.org/gsea/msigdb/cards/GO_METANEPHROS_DEVELOPMENT.html</t>
  </si>
  <si>
    <t>6247;1901;947;6532;94;2890;6344;186;8516;361;6332;7010;284;6330;53405</t>
  </si>
  <si>
    <t>RS1;S1PR1;CD34;SLC6A4;ACVRL1;GRIA1;SCTR;AGTR2;ITGA8;AQP4;SCN7A;TEK;ANGPT1;SCN4B;CLIC5</t>
  </si>
  <si>
    <t>GO_TRANSMEMBRANE_RECEPTOR_PROTEIN_KINASE_ACTIVITY</t>
  </si>
  <si>
    <t>7075;2324;94;7010</t>
  </si>
  <si>
    <t>TIE1;FLT4;ACVRL1;TEK</t>
  </si>
  <si>
    <t>http://www.broadinstitute.org/gsea/msigdb/cards/GO_TRANSMEMBRANE_RECEPTOR_PROTEIN_KINASE_ACTIVITY.html</t>
  </si>
  <si>
    <t>7100;1901;7075;2324;94;2890;2828;6344;186;7010;177;10203;51267</t>
  </si>
  <si>
    <t>TLR5;S1PR1;TIE1;FLT4;ACVRL1;GRIA1;GPR4;SCTR;AGTR2;TEK;AGER;CALCRL;CLEC1A</t>
  </si>
  <si>
    <t>GO_SECRETORY_GRANULE_LUMEN</t>
  </si>
  <si>
    <t>2277;2;3082;6414</t>
  </si>
  <si>
    <t>VEGFD;A2M;HGF;SELENOP</t>
  </si>
  <si>
    <t>http://www.broadinstitute.org/gsea/msigdb/cards/GO_SECRETORY_GRANULE_LUMEN.html</t>
  </si>
  <si>
    <t>GO_NEGATIVE_REGULATION_OF_CELL_GROWTH</t>
  </si>
  <si>
    <t>6586;94;186;2273;64321</t>
  </si>
  <si>
    <t>SLIT3;ACVRL1;AGTR2;FHL1;SOX17</t>
  </si>
  <si>
    <t>http://www.broadinstitute.org/gsea/msigdb/cards/GO_NEGATIVE_REGULATION_OF_CELL_GROWTH.html</t>
  </si>
  <si>
    <t>2160;3082;947;7010;10203;120892</t>
  </si>
  <si>
    <t>F11;HGF;CD34;TEK;CALCRL;LRRK2</t>
  </si>
  <si>
    <t>6441;729238;653509;114905</t>
  </si>
  <si>
    <t>SFTPD;SFTPA2;SFTPA1;C1QTNF7</t>
  </si>
  <si>
    <t>GO_BASAL_PLASMA_MEMBRANE</t>
  </si>
  <si>
    <t>947;7010;177</t>
  </si>
  <si>
    <t>CD34;TEK;AGER</t>
  </si>
  <si>
    <t>http://www.broadinstitute.org/gsea/msigdb/cards/GO_BASAL_PLASMA_MEMBRANE.html</t>
  </si>
  <si>
    <t>6943;6441;94;51208;177;131405;340419;64321</t>
  </si>
  <si>
    <t>TCF21;SFTPD;ACVRL1;CLDN18;AGER;TRIM71;RSPO2;SOX17</t>
  </si>
  <si>
    <t>GO_CELL_DIFFERENTIATION_INVOLVED_IN_KIDNEY_DEVELOPMENT</t>
  </si>
  <si>
    <t>6943;947;2828</t>
  </si>
  <si>
    <t>TCF21;CD34;GPR4</t>
  </si>
  <si>
    <t>http://www.broadinstitute.org/gsea/msigdb/cards/GO_CELL_DIFFERENTIATION_INVOLVED_IN_KIDNEY_DEVELOPMENT.html</t>
  </si>
  <si>
    <t>2;730;3082;7010;177;10203</t>
  </si>
  <si>
    <t>A2M;C7;HGF;TEK;AGER;CALCRL</t>
  </si>
  <si>
    <t>GO_POSITIVE_CHEMOTAXIS</t>
  </si>
  <si>
    <t>2277;3082;284</t>
  </si>
  <si>
    <t>VEGFD;HGF;ANGPT1</t>
  </si>
  <si>
    <t>http://www.broadinstitute.org/gsea/msigdb/cards/GO_POSITIVE_CHEMOTAXIS.html</t>
  </si>
  <si>
    <t>GO_EXTRACELLULAR_MATRIX</t>
  </si>
  <si>
    <t>http://www.broadinstitute.org/gsea/msigdb/cards/GO_EXTRACELLULAR_MATRIX.html</t>
  </si>
  <si>
    <t>2159;1901;762;947;1003;361;120892</t>
  </si>
  <si>
    <t>F10;S1PR1;CA4;CD34;CDH5;AQP4;LRRK2</t>
  </si>
  <si>
    <t>GO_STEM_CELL_DIFFERENTIATION</t>
  </si>
  <si>
    <t>6943;2;3082;6886;64321</t>
  </si>
  <si>
    <t>TCF21;A2M;HGF;TAL1;SOX17</t>
  </si>
  <si>
    <t>http://www.broadinstitute.org/gsea/msigdb/cards/GO_STEM_CELL_DIFFERENTIATION.html</t>
  </si>
  <si>
    <t>GO_MULTIVESICULAR_BODY</t>
  </si>
  <si>
    <t>6440;120892;146894</t>
  </si>
  <si>
    <t>SFTPC;LRRK2;CD300LG</t>
  </si>
  <si>
    <t>http://www.broadinstitute.org/gsea/msigdb/cards/GO_MULTIVESICULAR_BODY.html</t>
  </si>
  <si>
    <t>GO_ANATOMICAL_STRUCTURE_MATURATION</t>
  </si>
  <si>
    <t>1901;1003;94</t>
  </si>
  <si>
    <t>S1PR1;CDH5;ACVRL1</t>
  </si>
  <si>
    <t>http://www.broadinstitute.org/gsea/msigdb/cards/GO_ANATOMICAL_STRUCTURE_MATURATION.html</t>
  </si>
  <si>
    <t>GO_NEGATIVE_REGULATION_OF_ENDOTHELIAL_CELL_MIGRATION</t>
  </si>
  <si>
    <t>94;186;177</t>
  </si>
  <si>
    <t>ACVRL1;AGTR2;AGER</t>
  </si>
  <si>
    <t>http://www.broadinstitute.org/gsea/msigdb/cards/GO_NEGATIVE_REGULATION_OF_ENDOTHELIAL_CELL_MIGRATION.html</t>
  </si>
  <si>
    <t>762;947;2890;8516;361;7010;177;120892;146894;55600</t>
  </si>
  <si>
    <t>CA4;CD34;GRIA1;ITGA8;AQP4;TEK;AGER;LRRK2;CD300LG;ITLN1</t>
  </si>
  <si>
    <t>2277;2;3082;5175;6414;203190</t>
  </si>
  <si>
    <t>VEGFD;A2M;HGF;PECAM1;SELENOP;LGI3</t>
  </si>
  <si>
    <t>7100;1901;7075;2324;94;2890;2828;6344;186;7010;177;10203;120892;51267</t>
  </si>
  <si>
    <t>TLR5;S1PR1;TIE1;FLT4;ACVRL1;GRIA1;GPR4;SCTR;AGTR2;TEK;AGER;CALCRL;LRRK2;CLEC1A</t>
  </si>
  <si>
    <t>9079;6943;3082;6886;1901;947;6532;94;186;8516;177;64321;1879;27074</t>
  </si>
  <si>
    <t>LDB2;TCF21;HGF;TAL1;S1PR1;CD34;SLC6A4;ACVRL1;AGTR2;ITGA8;AGER;SOX17;EBF1;LAMP3</t>
  </si>
  <si>
    <t>GO_VESICLE_LUMEN</t>
  </si>
  <si>
    <t>http://www.broadinstitute.org/gsea/msigdb/cards/GO_VESICLE_LUMEN.html</t>
  </si>
  <si>
    <t>GO_REGULATION_OF_ENDOTHELIAL_CELL_APOPTOTIC_PROCESS</t>
  </si>
  <si>
    <t>7010;177;284</t>
  </si>
  <si>
    <t>TEK;AGER;ANGPT1</t>
  </si>
  <si>
    <t>http://www.broadinstitute.org/gsea/msigdb/cards/GO_REGULATION_OF_ENDOTHELIAL_CELL_APOPTOTIC_PROCESS.html</t>
  </si>
  <si>
    <t>GO_ION_CHANNEL_BINDING</t>
  </si>
  <si>
    <t>1003;2273;120892;6330</t>
  </si>
  <si>
    <t>CDH5;FHL1;LRRK2;SCN4B</t>
  </si>
  <si>
    <t>http://www.broadinstitute.org/gsea/msigdb/cards/GO_ION_CHANNEL_BINDING.html</t>
  </si>
  <si>
    <t>6943;6586;2;2160;3082;947;186;7010;284;10203;120892;64321</t>
  </si>
  <si>
    <t>TCF21;SLIT3;A2M;F11;HGF;CD34;AGTR2;TEK;ANGPT1;CALCRL;LRRK2;SOX17</t>
  </si>
  <si>
    <t>3082;947;6441;177;284</t>
  </si>
  <si>
    <t>HGF;CD34;SFTPD;AGER;ANGPT1</t>
  </si>
  <si>
    <t>3082;947;177</t>
  </si>
  <si>
    <t>HGF;CD34;AGER</t>
  </si>
  <si>
    <t>22899;6532;7075;94;2828;51208;7010;340419;64321</t>
  </si>
  <si>
    <t>ARHGEF15;SLC6A4;TIE1;ACVRL1;GPR4;CLDN18;TEK;RSPO2;SOX17</t>
  </si>
  <si>
    <t>2277;2;3082;5175;6414;186;203190</t>
  </si>
  <si>
    <t>VEGFD;A2M;HGF;PECAM1;SELENOP;AGTR2;LGI3</t>
  </si>
  <si>
    <t>2277;3082;1901;2324;94;186;7010;177;10203</t>
  </si>
  <si>
    <t>VEGFD;HGF;S1PR1;FLT4;ACVRL1;AGTR2;TEK;AGER;CALCRL</t>
  </si>
  <si>
    <t>6247;2277;7100;6586;3082;1901;6532;6441;177;284;120892;55600;22918;53405</t>
  </si>
  <si>
    <t>RS1;VEGFD;TLR5;SLIT3;HGF;S1PR1;SLC6A4;SFTPD;AGER;ANGPT1;LRRK2;ITLN1;CD93;CLIC5</t>
  </si>
  <si>
    <t>2277;7100;3082;6886;947;2324;94;186;7010;177;284;64321</t>
  </si>
  <si>
    <t>VEGFD;TLR5;HGF;TAL1;CD34;FLT4;ACVRL1;AGTR2;TEK;AGER;ANGPT1;SOX17</t>
  </si>
  <si>
    <t>6586;6532;1003;6441;94;186;177;11095</t>
  </si>
  <si>
    <t>SLIT3;SLC6A4;CDH5;SFTPD;ACVRL1;AGTR2;AGER;ADAMTS8</t>
  </si>
  <si>
    <t>2277;7100;2;730;6886;947;6441;51208;177;284;146894;22918</t>
  </si>
  <si>
    <t>VEGFD;TLR5;A2M;C7;TAL1;CD34;SFTPD;CLDN18;AGER;ANGPT1;CD300LG;CD93</t>
  </si>
  <si>
    <t>2277;6586;3082;6886;1901;6532;177;120892;340419;255877;51294;53405</t>
  </si>
  <si>
    <t>VEGFD;SLIT3;HGF;TAL1;S1PR1;SLC6A4;AGER;LRRK2;RSPO2;BCL6B;PCDH12;CLIC5</t>
  </si>
  <si>
    <t>6441;94;58494;177;284</t>
  </si>
  <si>
    <t>SFTPD;ACVRL1;JAM2;AGER;ANGPT1</t>
  </si>
  <si>
    <t>GO_GROWTH_FACTOR_BINDING</t>
  </si>
  <si>
    <t>2;2324;94;7010</t>
  </si>
  <si>
    <t>A2M;FLT4;ACVRL1;TEK</t>
  </si>
  <si>
    <t>http://www.broadinstitute.org/gsea/msigdb/cards/GO_GROWTH_FACTOR_BINDING.html</t>
  </si>
  <si>
    <t>GO_EPITHELIAL_CELL_DIFFERENTIATION</t>
  </si>
  <si>
    <t>6943;1901;947;94;2828;64321;53405</t>
  </si>
  <si>
    <t>TCF21;S1PR1;CD34;ACVRL1;GPR4;SOX17;CLIC5</t>
  </si>
  <si>
    <t>http://www.broadinstitute.org/gsea/msigdb/cards/GO_EPITHELIAL_CELL_DIFFERENTIATION.html</t>
  </si>
  <si>
    <t>7100;6586;3082;6532;1003;2324;94;186;361;51208;177;10203;131405;120892</t>
  </si>
  <si>
    <t>TLR5;SLIT3;HGF;SLC6A4;CDH5;FLT4;ACVRL1;AGTR2;AQP4;CLDN18;AGER;CALCRL;TRIM71;LRRK2</t>
  </si>
  <si>
    <t>GO_REGULATION_OF_BLOOD_VESSEL_ENDOTHELIAL_CELL_MIGRATION</t>
  </si>
  <si>
    <t>94;186;284</t>
  </si>
  <si>
    <t>ACVRL1;AGTR2;ANGPT1</t>
  </si>
  <si>
    <t>http://www.broadinstitute.org/gsea/msigdb/cards/GO_REGULATION_OF_BLOOD_VESSEL_ENDOTHELIAL_CELL_MIGRATION.html</t>
  </si>
  <si>
    <t>2159;6440;1580;762;6441;2890;8516;10203;120892;113612;729238;653509;2327</t>
  </si>
  <si>
    <t>F10;SFTPC;CYP4B1;CA4;SFTPD;GRIA1;ITGA8;CALCRL;LRRK2;CYP2U1;SFTPA2;SFTPA1;FMO2</t>
  </si>
  <si>
    <t>6586;3082;6886;6532;1003;51208;177;120892;255877</t>
  </si>
  <si>
    <t>SLIT3;HGF;TAL1;SLC6A4;CDH5;CLDN18;AGER;LRRK2;BCL6B</t>
  </si>
  <si>
    <t>6586;3082;6886;2828;186;8516;7010;177;120892;64321;51294;53405</t>
  </si>
  <si>
    <t>SLIT3;HGF;TAL1;GPR4;AGTR2;ITGA8;TEK;AGER;LRRK2;SOX17;PCDH12;CLIC5</t>
  </si>
  <si>
    <t>GO_REGULATION_OF_MORPHOGENESIS_OF_A_BRANCHING_STRUCTURE</t>
  </si>
  <si>
    <t>3082;186;120892</t>
  </si>
  <si>
    <t>HGF;AGTR2;LRRK2</t>
  </si>
  <si>
    <t>http://www.broadinstitute.org/gsea/msigdb/cards/GO_REGULATION_OF_MORPHOGENESIS_OF_A_BRANCHING_STRUCTURE.html</t>
  </si>
  <si>
    <t>7100;947;186</t>
  </si>
  <si>
    <t>TLR5;CD34;AGTR2</t>
  </si>
  <si>
    <t>GO_NEGATIVE_REGULATION_OF_EPITHELIAL_CELL_MIGRATION</t>
  </si>
  <si>
    <t>http://www.broadinstitute.org/gsea/msigdb/cards/GO_NEGATIVE_REGULATION_OF_EPITHELIAL_CELL_MIGRATION.html</t>
  </si>
  <si>
    <t>6440;6441;2890;729238;653509</t>
  </si>
  <si>
    <t>SFTPC;SFTPD;GRIA1;SFTPA2;SFTPA1</t>
  </si>
  <si>
    <t>3082;2324;94;186;7010;177;284;10203;120892;55600</t>
  </si>
  <si>
    <t>HGF;FLT4;ACVRL1;AGTR2;TEK;AGER;ANGPT1;CALCRL;LRRK2;ITLN1</t>
  </si>
  <si>
    <t>GO_RETINA_DEVELOPMENT_IN_CAMERA_TYPE_EYE</t>
  </si>
  <si>
    <t>6247;22899;94;57381</t>
  </si>
  <si>
    <t>RS1;ARHGEF15;ACVRL1;RHOJ</t>
  </si>
  <si>
    <t>http://www.broadinstitute.org/gsea/msigdb/cards/GO_RETINA_DEVELOPMENT_IN_CAMERA_TYPE_EYE.html</t>
  </si>
  <si>
    <t>GO_CELL_MORPHOGENESIS_INVOLVED_IN_DIFFERENTIATION</t>
  </si>
  <si>
    <t>6586;3082;6886;8516;7010;64321;53405</t>
  </si>
  <si>
    <t>SLIT3;HGF;TAL1;ITGA8;TEK;SOX17;CLIC5</t>
  </si>
  <si>
    <t>http://www.broadinstitute.org/gsea/msigdb/cards/GO_CELL_MORPHOGENESIS_INVOLVED_IN_DIFFERENTIATION.html</t>
  </si>
  <si>
    <t>3082;947;94;7010</t>
  </si>
  <si>
    <t>HGF;CD34;ACVRL1;TEK</t>
  </si>
  <si>
    <t>GO_REGULATION_OF_POSTSYNAPTIC_MEMBRANE_POTENTIAL</t>
  </si>
  <si>
    <t>6332;120892;6330</t>
  </si>
  <si>
    <t>SCN7A;LRRK2;SCN4B</t>
  </si>
  <si>
    <t>http://www.broadinstitute.org/gsea/msigdb/cards/GO_REGULATION_OF_POSTSYNAPTIC_MEMBRANE_POTENTIAL.html</t>
  </si>
  <si>
    <t>6886;6532;2890;6414;186;8516;120892</t>
  </si>
  <si>
    <t>TAL1;SLC6A4;GRIA1;SELENOP;AGTR2;ITGA8;LRRK2</t>
  </si>
  <si>
    <t>GO_PLATELET_ALPHA_GRANULE_LUMEN</t>
  </si>
  <si>
    <t>2277;2;3082</t>
  </si>
  <si>
    <t>VEGFD;A2M;HGF</t>
  </si>
  <si>
    <t>http://www.broadinstitute.org/gsea/msigdb/cards/GO_PLATELET_ALPHA_GRANULE_LUMEN.html</t>
  </si>
  <si>
    <t>GO_CELL_DIFFERENTIATION_INVOLVED_IN_METANEPHROS_DEVELOPMENT</t>
  </si>
  <si>
    <t>6943;947</t>
  </si>
  <si>
    <t>TCF21;CD34</t>
  </si>
  <si>
    <t>http://www.broadinstitute.org/gsea/msigdb/cards/GO_CELL_DIFFERENTIATION_INVOLVED_IN_METANEPHROS_DEVELOPMENT.html</t>
  </si>
  <si>
    <t>GO_LYMPHANGIOGENESIS</t>
  </si>
  <si>
    <t>2324;94</t>
  </si>
  <si>
    <t>FLT4;ACVRL1</t>
  </si>
  <si>
    <t>http://www.broadinstitute.org/gsea/msigdb/cards/GO_LYMPHANGIOGENESIS.html</t>
  </si>
  <si>
    <t>GO_REGULATION_OF_ORGAN_MORPHOGENESIS</t>
  </si>
  <si>
    <t>3082;947;186;340419;64321</t>
  </si>
  <si>
    <t>HGF;CD34;AGTR2;RSPO2;SOX17</t>
  </si>
  <si>
    <t>http://www.broadinstitute.org/gsea/msigdb/cards/GO_REGULATION_OF_ORGAN_MORPHOGENESIS.html</t>
  </si>
  <si>
    <t>2277;3082;1003;2324;94;7010;284;131405</t>
  </si>
  <si>
    <t>VEGFD;HGF;CDH5;FLT4;ACVRL1;TEK;ANGPT1;TRIM71</t>
  </si>
  <si>
    <t>7100;2;2160;730;3082;947;2324;7010;177;10203;120892;22918</t>
  </si>
  <si>
    <t>TLR5;A2M;F11;C7;HGF;CD34;FLT4;TEK;AGER;CALCRL;LRRK2;CD93</t>
  </si>
  <si>
    <t>947;6441;10203;123745;120892;157310;27074</t>
  </si>
  <si>
    <t>CD34;SFTPD;CALCRL;PLA2G4E;LRRK2;PEBP4;LAMP3</t>
  </si>
  <si>
    <t>6586;6886;1901;6532;6414;186;8516;177;120892</t>
  </si>
  <si>
    <t>SLIT3;TAL1;S1PR1;SLC6A4;SELENOP;AGTR2;ITGA8;AGER;LRRK2</t>
  </si>
  <si>
    <t>2277;6586;6886;1901;177;120892;340419;51294;53405</t>
  </si>
  <si>
    <t>VEGFD;SLIT3;TAL1;S1PR1;AGER;LRRK2;RSPO2;PCDH12;CLIC5</t>
  </si>
  <si>
    <t>6943;2277;7100;6586;2;3082;1901;1003;186;284;340419;11095</t>
  </si>
  <si>
    <t>TCF21;VEGFD;TLR5;SLIT3;A2M;HGF;S1PR1;CDH5;AGTR2;ANGPT1;RSPO2;ADAMTS8</t>
  </si>
  <si>
    <t>GO_REGULATION_OF_EPITHELIAL_CELL_APOPTOTIC_PROCESS</t>
  </si>
  <si>
    <t>http://www.broadinstitute.org/gsea/msigdb/cards/GO_REGULATION_OF_EPITHELIAL_CELL_APOPTOTIC_PROCESS.html</t>
  </si>
  <si>
    <t>1003;51208;58494;7010;6330;51294</t>
  </si>
  <si>
    <t>CDH5;CLDN18;JAM2;TEK;SCN4B;PCDH12</t>
  </si>
  <si>
    <t>1901;177;10203</t>
  </si>
  <si>
    <t>S1PR1;AGER;CALCRL</t>
  </si>
  <si>
    <t>6586;3082;6886;947;6532;1003;94;51208;177;120892;255877;64321</t>
  </si>
  <si>
    <t>SLIT3;HGF;TAL1;CD34;SLC6A4;CDH5;ACVRL1;CLDN18;AGER;LRRK2;BCL6B;SOX17</t>
  </si>
  <si>
    <t>GO_EMBRYONIC_MORPHOGENESIS</t>
  </si>
  <si>
    <t>6943;6886;8516;131405;340419;64321;53405</t>
  </si>
  <si>
    <t>TCF21;TAL1;ITGA8;TRIM71;RSPO2;SOX17;CLIC5</t>
  </si>
  <si>
    <t>http://www.broadinstitute.org/gsea/msigdb/cards/GO_EMBRYONIC_MORPHOGENESIS.html</t>
  </si>
  <si>
    <t>6586;1901;6532;6414;186;8516;177;120892</t>
  </si>
  <si>
    <t>SLIT3;S1PR1;SLC6A4;SELENOP;AGTR2;ITGA8;AGER;LRRK2</t>
  </si>
  <si>
    <t>2;3082;7010;10203</t>
  </si>
  <si>
    <t>A2M;HGF;TEK;CALCRL</t>
  </si>
  <si>
    <t>GO_NEGATIVE_REGULATION_OF_SYNAPTIC_TRANSMISSION</t>
  </si>
  <si>
    <t>6532;2890;120892</t>
  </si>
  <si>
    <t>SLC6A4;GRIA1;LRRK2</t>
  </si>
  <si>
    <t>http://www.broadinstitute.org/gsea/msigdb/cards/GO_NEGATIVE_REGULATION_OF_SYNAPTIC_TRANSMISSION.html</t>
  </si>
  <si>
    <t>1901;2324;51208</t>
  </si>
  <si>
    <t>S1PR1;FLT4;CLDN18</t>
  </si>
  <si>
    <t>3082;7010;284</t>
  </si>
  <si>
    <t>HGF;TEK;ANGPT1</t>
  </si>
  <si>
    <t>GO_LYMPH_VESSEL_MORPHOGENESIS</t>
  </si>
  <si>
    <t>http://www.broadinstitute.org/gsea/msigdb/cards/GO_LYMPH_VESSEL_MORPHOGENESIS.html</t>
  </si>
  <si>
    <t>6586;3082;6886;8516;7010;200373;120892;64321;53405</t>
  </si>
  <si>
    <t>SLIT3;HGF;TAL1;ITGA8;TEK;CFAP221;LRRK2;SOX17;CLIC5</t>
  </si>
  <si>
    <t>7100;947;186;284</t>
  </si>
  <si>
    <t>TLR5;CD34;AGTR2;ANGPT1</t>
  </si>
  <si>
    <t>GO_TRANSMEMBRANE_RECEPTOR_PROTEIN_TYROSINE_KINASE_ACTIVITY</t>
  </si>
  <si>
    <t>7075;2324;7010</t>
  </si>
  <si>
    <t>TIE1;FLT4;TEK</t>
  </si>
  <si>
    <t>http://www.broadinstitute.org/gsea/msigdb/cards/GO_TRANSMEMBRANE_RECEPTOR_PROTEIN_TYROSINE_KINASE_ACTIVITY.html</t>
  </si>
  <si>
    <t>7100;2159;3082;2324;94;186;8516;7010;284;120892;340419;10044</t>
  </si>
  <si>
    <t>TLR5;F10;HGF;FLT4;ACVRL1;AGTR2;ITGA8;TEK;ANGPT1;LRRK2;RSPO2;SH2D3C</t>
  </si>
  <si>
    <t>7100;947;186;177</t>
  </si>
  <si>
    <t>TLR5;CD34;AGTR2;AGER</t>
  </si>
  <si>
    <t>GO_ANGIOGENESIS_INVOLVED_IN_WOUND_HEALING</t>
  </si>
  <si>
    <t>947;2828</t>
  </si>
  <si>
    <t>CD34;GPR4</t>
  </si>
  <si>
    <t>http://www.broadinstitute.org/gsea/msigdb/cards/GO_ANGIOGENESIS_INVOLVED_IN_WOUND_HEALING.html</t>
  </si>
  <si>
    <t>GO_VOLTAGE_GATED_SODIUM_CHANNEL_COMPLEX</t>
  </si>
  <si>
    <t>6332;6330</t>
  </si>
  <si>
    <t>SCN7A;SCN4B</t>
  </si>
  <si>
    <t>http://www.broadinstitute.org/gsea/msigdb/cards/GO_VOLTAGE_GATED_SODIUM_CHANNEL_COMPLEX.html</t>
  </si>
  <si>
    <t>2159;2;2160;947;94;2828;177</t>
  </si>
  <si>
    <t>F10;A2M;F11;CD34;ACVRL1;GPR4;AGER</t>
  </si>
  <si>
    <t>6943;6886;8516;64321;51294;53405</t>
  </si>
  <si>
    <t>TCF21;TAL1;ITGA8;SOX17;PCDH12;CLIC5</t>
  </si>
  <si>
    <t>GO_POSITIVE_REGULATION_OF_ENDOTHELIAL_CELL_MIGRATION</t>
  </si>
  <si>
    <t>2324;7010;284</t>
  </si>
  <si>
    <t>FLT4;TEK;ANGPT1</t>
  </si>
  <si>
    <t>http://www.broadinstitute.org/gsea/msigdb/cards/GO_POSITIVE_REGULATION_OF_ENDOTHELIAL_CELL_MIGRATION.html</t>
  </si>
  <si>
    <t>GO_POSITIVE_REGULATION_OF_ENDOTHELIAL_CELL_DIFFERENTIATION</t>
  </si>
  <si>
    <t>1003;94</t>
  </si>
  <si>
    <t>CDH5;ACVRL1</t>
  </si>
  <si>
    <t>http://www.broadinstitute.org/gsea/msigdb/cards/GO_POSITIVE_REGULATION_OF_ENDOTHELIAL_CELL_DIFFERENTIATION.html</t>
  </si>
  <si>
    <t>9079;6886;1901;33;947;6441;186;361;6332;177;120892</t>
  </si>
  <si>
    <t>LDB2;TAL1;S1PR1;ACADL;CD34;SFTPD;AGTR2;AQP4;SCN7A;AGER;LRRK2</t>
  </si>
  <si>
    <t>GO_ORGAN_GROWTH</t>
  </si>
  <si>
    <t>1901;186;340419</t>
  </si>
  <si>
    <t>S1PR1;AGTR2;RSPO2</t>
  </si>
  <si>
    <t>http://www.broadinstitute.org/gsea/msigdb/cards/GO_ORGAN_GROWTH.html</t>
  </si>
  <si>
    <t>9079;33;947;6441;361</t>
  </si>
  <si>
    <t>LDB2;ACADL;CD34;SFTPD;AQP4</t>
  </si>
  <si>
    <t>GO_POSITIVE_REGULATION_OF_ENDOTHELIAL_CELL_PROLIFERATION</t>
  </si>
  <si>
    <t>2324;94;7010</t>
  </si>
  <si>
    <t>FLT4;ACVRL1;TEK</t>
  </si>
  <si>
    <t>http://www.broadinstitute.org/gsea/msigdb/cards/GO_POSITIVE_REGULATION_OF_ENDOTHELIAL_CELL_PROLIFERATION.html</t>
  </si>
  <si>
    <t>6586;2160;340419;11095</t>
  </si>
  <si>
    <t>SLIT3;F11;RSPO2;ADAMTS8</t>
  </si>
  <si>
    <t>11185;2159;3082;33;443;2949;186;284;10203;123745;120892;2327;53405</t>
  </si>
  <si>
    <t>INMT;F10;HGF;ACADL;ASPA;GSTM5;AGTR2;ANGPT1;CALCRL;PLA2G4E;LRRK2;FMO2;CLIC5</t>
  </si>
  <si>
    <t>http://www.broadinstitute.org/gsea/msigdb/cards/GO_ORGANONITROGEN_COMPOUND_METABOLIC_PROCESS.html</t>
  </si>
  <si>
    <t>7100;2;730;3082;7010;177;10203;22918</t>
  </si>
  <si>
    <t>TLR5;A2M;C7;HGF;TEK;AGER;CALCRL;CD93</t>
  </si>
  <si>
    <t>9079;6943;7100;3082;6886;1901;94;186;8516;177;10203;64321;1879</t>
  </si>
  <si>
    <t>LDB2;TCF21;TLR5;HGF;TAL1;S1PR1;ACVRL1;AGTR2;ITGA8;AGER;CALCRL;SOX17;EBF1</t>
  </si>
  <si>
    <t>GO_MORPHOGENESIS_OF_AN_ENDOTHELIUM</t>
  </si>
  <si>
    <t>94;64321</t>
  </si>
  <si>
    <t>ACVRL1;SOX17</t>
  </si>
  <si>
    <t>http://www.broadinstitute.org/gsea/msigdb/cards/GO_MORPHOGENESIS_OF_AN_ENDOTHELIUM.html</t>
  </si>
  <si>
    <t>7100;947;6441;186;6332;2273;177;284;120892;6330;203190;55600;53405</t>
  </si>
  <si>
    <t>TLR5;CD34;SFTPD;AGTR2;SCN7A;FHL1;AGER;ANGPT1;LRRK2;SCN4B;LGI3;ITLN1;CLIC5</t>
  </si>
  <si>
    <t>947;6441</t>
  </si>
  <si>
    <t>CD34;SFTPD</t>
  </si>
  <si>
    <t>6532;186;7010;284</t>
  </si>
  <si>
    <t>SLC6A4;AGTR2;TEK;ANGPT1</t>
  </si>
  <si>
    <t>GO_ENDOTHELIAL_CELL_DIFFERENTIATION</t>
  </si>
  <si>
    <t>1901;94;64321</t>
  </si>
  <si>
    <t>S1PR1;ACVRL1;SOX17</t>
  </si>
  <si>
    <t>http://www.broadinstitute.org/gsea/msigdb/cards/GO_ENDOTHELIAL_CELL_DIFFERENTIATION.html</t>
  </si>
  <si>
    <t>947;8516;7010;284</t>
  </si>
  <si>
    <t>CD34;ITGA8;TEK;ANGPT1</t>
  </si>
  <si>
    <t>3082;947;6532;2890;186;7010;120892;6330</t>
  </si>
  <si>
    <t>HGF;CD34;SLC6A4;GRIA1;AGTR2;TEK;LRRK2;SCN4B</t>
  </si>
  <si>
    <t>GO_REGULATION_OF_NEURAL_PRECURSOR_CELL_PROLIFERATION</t>
  </si>
  <si>
    <t>6532;131405;120892</t>
  </si>
  <si>
    <t>SLC6A4;TRIM71;LRRK2</t>
  </si>
  <si>
    <t>http://www.broadinstitute.org/gsea/msigdb/cards/GO_REGULATION_OF_NEURAL_PRECURSOR_CELL_PROLIFERATION.html</t>
  </si>
  <si>
    <t>6886;7010</t>
  </si>
  <si>
    <t>TAL1;TEK</t>
  </si>
  <si>
    <t>GO_PORE_COMPLEX</t>
  </si>
  <si>
    <t>730;947</t>
  </si>
  <si>
    <t>C7;CD34</t>
  </si>
  <si>
    <t>http://www.broadinstitute.org/gsea/msigdb/cards/GO_PORE_COMPLEX.html</t>
  </si>
  <si>
    <t>GO_SODIUM_CHANNEL_COMPLEX</t>
  </si>
  <si>
    <t>http://www.broadinstitute.org/gsea/msigdb/cards/GO_SODIUM_CHANNEL_COMPLEX.html</t>
  </si>
  <si>
    <t>GO_MICROVILLUS</t>
  </si>
  <si>
    <t>7010;284;120892</t>
  </si>
  <si>
    <t>TEK;ANGPT1;LRRK2</t>
  </si>
  <si>
    <t>http://www.broadinstitute.org/gsea/msigdb/cards/GO_MICROVILLUS.html</t>
  </si>
  <si>
    <t>GO_NEGATIVE_REGULATION_OF_RESPONSE_TO_REACTIVE_OXYGEN_SPECIES</t>
  </si>
  <si>
    <t>3082;120892</t>
  </si>
  <si>
    <t>HGF;LRRK2</t>
  </si>
  <si>
    <t>http://www.broadinstitute.org/gsea/msigdb/cards/GO_NEGATIVE_REGULATION_OF_RESPONSE_TO_REACTIVE_OXYGEN_SPECIES.html</t>
  </si>
  <si>
    <t>GO_SYNTAXIN_1_BINDING</t>
  </si>
  <si>
    <t>6532;120892</t>
  </si>
  <si>
    <t>SLC6A4;LRRK2</t>
  </si>
  <si>
    <t>http://www.broadinstitute.org/gsea/msigdb/cards/GO_SYNTAXIN_1_BINDING.html</t>
  </si>
  <si>
    <t>947;1003;8516;51208;58494;51294;22918</t>
  </si>
  <si>
    <t>CD34;CDH5;ITGA8;CLDN18;JAM2;PCDH12;CD93</t>
  </si>
  <si>
    <t>GO_SECRETORY_GRANULE_MEMBRANE</t>
  </si>
  <si>
    <t>5175;762;27074</t>
  </si>
  <si>
    <t>PECAM1;CA4;LAMP3</t>
  </si>
  <si>
    <t>http://www.broadinstitute.org/gsea/msigdb/cards/GO_SECRETORY_GRANULE_MEMBRANE.html</t>
  </si>
  <si>
    <t>6886;1901;186;51208;2273;120892</t>
  </si>
  <si>
    <t>TAL1;S1PR1;AGTR2;CLDN18;FHL1;LRRK2</t>
  </si>
  <si>
    <t>6440;1901;6532;2890;10203;120892;146894;27074</t>
  </si>
  <si>
    <t>SFTPC;S1PR1;SLC6A4;GRIA1;CALCRL;LRRK2;CD300LG;LAMP3</t>
  </si>
  <si>
    <t>GO_REGULATION_OF_HYDROGEN_PEROXIDE_INDUCED_CELL_DEATH</t>
  </si>
  <si>
    <t>http://www.broadinstitute.org/gsea/msigdb/cards/GO_REGULATION_OF_HYDROGEN_PEROXIDE_INDUCED_CELL_DEATH.html</t>
  </si>
  <si>
    <t>GO_GLOMERULAR_EPITHELIUM_DEVELOPMENT</t>
  </si>
  <si>
    <t>http://www.broadinstitute.org/gsea/msigdb/cards/GO_GLOMERULAR_EPITHELIUM_DEVELOPMENT.html</t>
  </si>
  <si>
    <t>7075;2828;7010</t>
  </si>
  <si>
    <t>TIE1;GPR4;TEK</t>
  </si>
  <si>
    <t>GO_EXTRACELLULAR_STRUCTURE_ORGANIZATION</t>
  </si>
  <si>
    <t>2;5175;8516;4239;58494</t>
  </si>
  <si>
    <t>A2M;PECAM1;ITGA8;MFAP4;JAM2</t>
  </si>
  <si>
    <t>http://www.broadinstitute.org/gsea/msigdb/cards/GO_EXTRACELLULAR_STRUCTURE_ORGANIZATION.html</t>
  </si>
  <si>
    <t>2159;7010;284</t>
  </si>
  <si>
    <t>F10;TEK;ANGPT1</t>
  </si>
  <si>
    <t>947;1003;8516;58494;7010;22918</t>
  </si>
  <si>
    <t>CD34;CDH5;ITGA8;JAM2;TEK;CD93</t>
  </si>
  <si>
    <t>GO_REGULATION_OF_PROTEIN_MATURATION</t>
  </si>
  <si>
    <t>2;730;120892</t>
  </si>
  <si>
    <t>A2M;C7;LRRK2</t>
  </si>
  <si>
    <t>http://www.broadinstitute.org/gsea/msigdb/cards/GO_REGULATION_OF_PROTEIN_MATURATION.html</t>
  </si>
  <si>
    <t>9079;6943;3082;6886;1901;94;8516;64321;1879</t>
  </si>
  <si>
    <t>LDB2;TCF21;HGF;TAL1;S1PR1;ACVRL1;ITGA8;SOX17;EBF1</t>
  </si>
  <si>
    <t>GO_KIDNEY_MORPHOGENESIS</t>
  </si>
  <si>
    <t>6943;186;120892</t>
  </si>
  <si>
    <t>TCF21;AGTR2;LRRK2</t>
  </si>
  <si>
    <t>http://www.broadinstitute.org/gsea/msigdb/cards/GO_KIDNEY_MORPHOGENESIS.html</t>
  </si>
  <si>
    <t>GO_LYMPH_VESSEL_DEVELOPMENT</t>
  </si>
  <si>
    <t>http://www.broadinstitute.org/gsea/msigdb/cards/GO_LYMPH_VESSEL_DEVELOPMENT.html</t>
  </si>
  <si>
    <t>GO_DENDRITE_MEMBRANE</t>
  </si>
  <si>
    <t>2890;8516</t>
  </si>
  <si>
    <t>GRIA1;ITGA8</t>
  </si>
  <si>
    <t>http://www.broadinstitute.org/gsea/msigdb/cards/GO_DENDRITE_MEMBRANE.html</t>
  </si>
  <si>
    <t>GO_ACTIN_BASED_CELL_PROJECTION</t>
  </si>
  <si>
    <t>7010;284;120892;53405</t>
  </si>
  <si>
    <t>TEK;ANGPT1;LRRK2;CLIC5</t>
  </si>
  <si>
    <t>http://www.broadinstitute.org/gsea/msigdb/cards/GO_ACTIN_BASED_CELL_PROJECTION.html</t>
  </si>
  <si>
    <t>GO_VOLTAGE_GATED_SODIUM_CHANNEL_ACTIVITY</t>
  </si>
  <si>
    <t>http://www.broadinstitute.org/gsea/msigdb/cards/GO_VOLTAGE_GATED_SODIUM_CHANNEL_ACTIVITY.html</t>
  </si>
  <si>
    <t>1901;6441;94;58494;7010;177;284</t>
  </si>
  <si>
    <t>S1PR1;SFTPD;ACVRL1;JAM2;TEK;AGER;ANGPT1</t>
  </si>
  <si>
    <t>7075;94;284;64321;51294</t>
  </si>
  <si>
    <t>TIE1;ACVRL1;ANGPT1;SOX17;PCDH12</t>
  </si>
  <si>
    <t>2277;6586;3082;1901;6441;284</t>
  </si>
  <si>
    <t>VEGFD;SLIT3;HGF;S1PR1;SFTPD;ANGPT1</t>
  </si>
  <si>
    <t>KRAS.KIDNEY_UP.V1_UP</t>
  </si>
  <si>
    <t>2;5175;443;6414;361;8404</t>
  </si>
  <si>
    <t>A2M;PECAM1;ASPA;SELENOP;AQP4;SPARCL1</t>
  </si>
  <si>
    <t>http://www.broadinstitute.org/gsea/msigdb/cards/KRAS.KIDNEY_UP.V1_UP.html</t>
  </si>
  <si>
    <t>ATF2_S_UP.V1_DN</t>
  </si>
  <si>
    <t>6943;6586;10351;125;2;79987</t>
  </si>
  <si>
    <t>TCF21;SLIT3;ABCA8;ADH1B;A2M;SVEP1</t>
  </si>
  <si>
    <t>http://www.broadinstitute.org/gsea/msigdb/cards/ATF2_S_UP.V1_DN.html</t>
  </si>
  <si>
    <t>2160;5175;1901;33;51208;7010</t>
  </si>
  <si>
    <t>F11;PECAM1;S1PR1;ACADL;CLDN18;TEK</t>
  </si>
  <si>
    <t>ATF2_UP.V1_DN</t>
  </si>
  <si>
    <t>6943;6586;10351;4239;79987</t>
  </si>
  <si>
    <t>TCF21;SLIT3;ABCA8;MFAP4;SVEP1</t>
  </si>
  <si>
    <t>http://www.broadinstitute.org/gsea/msigdb/cards/ATF2_UP.V1_DN.html</t>
  </si>
  <si>
    <t>125;2;2890;284</t>
  </si>
  <si>
    <t>ADH1B;A2M;GRIA1;ANGPT1</t>
  </si>
  <si>
    <t>ESC_J1_UP_LATE.V1_UP</t>
  </si>
  <si>
    <t>762;6414;200504;64321</t>
  </si>
  <si>
    <t>CA4;SELENOP;GKN2;SOX17</t>
  </si>
  <si>
    <t>http://www.broadinstitute.org/gsea/msigdb/cards/ESC_J1_UP_LATE.V1_UP.html</t>
  </si>
  <si>
    <t>ESC_V6.5_UP_LATE.V1_UP</t>
  </si>
  <si>
    <t>6586;762;6414;64321</t>
  </si>
  <si>
    <t>SLIT3;CA4;SELENOP;SOX17</t>
  </si>
  <si>
    <t>http://www.broadinstitute.org/gsea/msigdb/cards/ESC_V6.5_UP_LATE.V1_UP.html</t>
  </si>
  <si>
    <t>1003;186;58494;64321</t>
  </si>
  <si>
    <t>CDH5;AGTR2;JAM2;SOX17</t>
  </si>
  <si>
    <t>9079;1003;7075;2828;7010;2273;57381;10186</t>
  </si>
  <si>
    <t>LDB2;CDH5;TIE1;GPR4;TEK;FHL1;RHOJ;LHFPL6</t>
  </si>
  <si>
    <t>6886;58494;284;10203;80177;54538;116159</t>
  </si>
  <si>
    <t>TAL1;JAM2;ANGPT1;CALCRL;MYCT1;ROBO4;CYYR1</t>
  </si>
  <si>
    <t>762;33;6532;8516;10203;55600</t>
  </si>
  <si>
    <t>CA4;ACADL;SLC6A4;ITGA8;CALCRL;ITLN1</t>
  </si>
  <si>
    <t>9079;11185;762;443;10203;54538</t>
  </si>
  <si>
    <t>LDB2;INMT;CA4;ASPA;CALCRL;ROBO4</t>
  </si>
  <si>
    <t>GSE2770_TGFB_AND_IL4_VS_IL4_TREATED_ACT_CD4_TCELL_2H_DN</t>
  </si>
  <si>
    <t>2277;6586;6440;33;1003;22918</t>
  </si>
  <si>
    <t>VEGFD;SLIT3;SFTPC;ACADL;CDH5;CD93</t>
  </si>
  <si>
    <t>http://www.broadinstitute.org/gsea/msigdb/cards/GSE2770_TGFB_AND_IL4_VS_IL4_TREATED_ACT_CD4_TCELL_2H_DN.html</t>
  </si>
  <si>
    <t>GSE18281_SUBCAPSULAR_VS_PERIMEDULLARY_CORTICAL_REGION_OF_THYMUS_UP</t>
  </si>
  <si>
    <t>7075;2949;6414;2273;10203;64321</t>
  </si>
  <si>
    <t>TIE1;GSTM5;SELENOP;FHL1;CALCRL;SOX17</t>
  </si>
  <si>
    <t>http://www.broadinstitute.org/gsea/msigdb/cards/GSE18281_SUBCAPSULAR_VS_PERIMEDULLARY_CORTICAL_REGION_OF_THYMUS_UP.html</t>
  </si>
  <si>
    <t>2277;125;2160;6886;361;7010</t>
  </si>
  <si>
    <t>VEGFD;ADH1B;F11;TAL1;AQP4;TEK</t>
  </si>
  <si>
    <t>2277;11185;6440;947;2890;79987</t>
  </si>
  <si>
    <t>VEGFD;INMT;SFTPC;CD34;GRIA1;SVEP1</t>
  </si>
  <si>
    <t>HALLMARK_EPITHELIAL_MESENCHYMAL_TRANSITION</t>
  </si>
  <si>
    <t>5352;8038;6591;26585;1842;30008;1277;1281;2335;7070;1290;1634;7169;7057;1278;4313;3624;3678;6678;5159;1301;1292;1293;1462;7412;1289;633;3908;10398;1296;50509;4015;7058;2200;6387;1311;4323;4060;5396;2619;1009;59;2199;6876;5351;800;1307;4035;6695;11167;2191;8076;22795;10631;5118;4638;64175;6424;131578;6444;5654;115908;1303;25878;50863</t>
  </si>
  <si>
    <t>PLOD2;ADAM12;SNAI2;GREM1;ECM2;EFEMP2;COL1A1;COL3A1;FN1;THY1;COL5A2;DCN;TPM2;THBS1;COL1A2;MMP2;INHBA;ITGA5;SPARC;PDGFRB;COL11A1;COL6A2;COL6A3;VCAN;VCAM1;COL5A1;BGN;LAMA2;MYL9;COL8A2;COL5A3;LOX;THBS2;FBN1;CXCL12;COMP;MMP14;LUM;PRRX1;GAS1;CDH11;ACTA2;FBLN2;TAGLN;PLOD1;CALD1;COL16A1;LRP1;SPOCK1;FSTL1;FAP;MFAP5;NID2;POSTN;PCOLCE;MYLK;P3H1;SFRP4;LRRC15;SGCD;HTRA1;CTHRC1;COL12A1;MXRA5;NTM</t>
  </si>
  <si>
    <t>http://www.broadinstitute.org/gsea/msigdb/cards/HALLMARK_EPITHELIAL_MESENCHYMAL_TRANSITION.html</t>
  </si>
  <si>
    <t>HALLMARK_MYOGENESIS</t>
  </si>
  <si>
    <t>8038;1277;1281;7169;6678;1292;1293;3908;1346;1306;1012;6876;4638;3316;3490;165;6444;9260;8877</t>
  </si>
  <si>
    <t>ADAM12;COL1A1;COL3A1;TPM2;SPARC;COL6A2;COL6A3;LAMA2;COX7A1;COL15A1;CDH13;TAGLN;MYLK;HSPB2;IGFBP7;AEBP1;SGCD;PDLIM7;SPHK1</t>
  </si>
  <si>
    <t>http://www.broadinstitute.org/gsea/msigdb/cards/HALLMARK_MYOGENESIS.html</t>
  </si>
  <si>
    <t>2037;7070;4313;87;1462;7412;10398;2200;1009;72;1307;7216;6624;257194;83700;10000</t>
  </si>
  <si>
    <t>EPB41L2;THY1;MMP2;ACTN1;VCAN;VCAM1;MYL9;FBN1;CDH11;ACTG2;COL16A1;TRO;FSCN1;NEGR1;JAM3;AKT3</t>
  </si>
  <si>
    <t>2335;710;7057;4313;6678;716;4320;2200;1513;1311;4323;4035;5654</t>
  </si>
  <si>
    <t>FN1;SERPING1;THBS1;MMP2;SPARC;C1S;MMP11;FBN1;CTSK;COMP;MMP14;LRP1;HTRA1</t>
  </si>
  <si>
    <t>HALLMARK_ANGIOGENESIS</t>
  </si>
  <si>
    <t>1281;1290;1462;894;4060;11167;10631</t>
  </si>
  <si>
    <t>COL3A1;COL5A2;VCAN;CCND2;LUM;FSTL1;POSTN</t>
  </si>
  <si>
    <t>http://www.broadinstitute.org/gsea/msigdb/cards/HALLMARK_ANGIOGENESIS.html</t>
  </si>
  <si>
    <t>HALLMARK_UV_RESPONSE_DN</t>
  </si>
  <si>
    <t>6591;1277;1281;1290;1278;5159;1301;4052;10000</t>
  </si>
  <si>
    <t>SNAI2;COL1A1;COL3A1;COL5A2;COL1A2;PDGFRB;COL11A1;LTBP1;AKT3</t>
  </si>
  <si>
    <t>http://www.broadinstitute.org/gsea/msigdb/cards/HALLMARK_UV_RESPONSE_DN.html</t>
  </si>
  <si>
    <t>1634;4313;5159;7077;633;894;4060;9638;51176</t>
  </si>
  <si>
    <t>DCN;MMP2;PDGFRB;TIMP2;BGN;CCND2;LUM;FEZ1;LEF1</t>
  </si>
  <si>
    <t>2335;710;716;7077;6935;4323;1012;4035</t>
  </si>
  <si>
    <t>FN1;SERPING1;C1S;TIMP2;ZEB1;MMP14;CDH13;LRP1</t>
  </si>
  <si>
    <t>9945;9358;3624;4320;894;5396;25960;10418</t>
  </si>
  <si>
    <t>GFPT2;ITGBL1;INHBA;MMP11;CCND2;PRRX1;ADGRA2;SPON1</t>
  </si>
  <si>
    <t>3624;3678;5739;4323;7130;10630;8877</t>
  </si>
  <si>
    <t>INHBA;ITGA5;PTGIR;MMP14;TNFAIP6;PDPN;SPHK1</t>
  </si>
  <si>
    <t>HALLMARK_APICAL_SURFACE</t>
  </si>
  <si>
    <t>7070;2619;55959</t>
  </si>
  <si>
    <t>THY1;GAS1;SULF2</t>
  </si>
  <si>
    <t>http://www.broadinstitute.org/gsea/msigdb/cards/HALLMARK_APICAL_SURFACE.html</t>
  </si>
  <si>
    <t>HALLMARK_HYPOXIA</t>
  </si>
  <si>
    <t>1634;7043;1289;633;4015;8991</t>
  </si>
  <si>
    <t>DCN;TGFB3;COL5A1;BGN;LOX;SELENBP1</t>
  </si>
  <si>
    <t>http://www.broadinstitute.org/gsea/msigdb/cards/HALLMARK_HYPOXIA.html</t>
  </si>
  <si>
    <t>3671;8038;7041;6591;26585;8483;1842;9945;8840;9358;30008;8434;1277;1281;2335;7070;710;1290;1634;3912;1278;4313;3624;6678;5159;716;1301;1291;1292;1293;1462;6925;5156;1289;633;7292;4320;10398;1296;5350;4015;894;7058;2200;5176;6935;1306;1513;1311;953;4060;5396;2619;4237;1009;7130;2199;1300;800;1307;6695;11167;2191;8076;5311;22795;10631;3490;3910;25903;283298;165;23213;10234;131578;6444;5654;5919;83604;54587;84617;83700;54829;83716;80114;10418;50507;25878;8877;51339;9902;23452;29940;57493;6320;10000</t>
  </si>
  <si>
    <t>ISLR;ADAM12;TGFB1I1;SNAI2;GREM1;CILP;ECM2;GFPT2;CCN4;ITGBL1;EFEMP2;RECK;COL1A1;COL3A1;FN1;THY1;SERPING1;COL5A2;DCN;LAMB1;COL1A2;MMP2;INHBA;SPARC;PDGFRB;C1S;COL11A1;COL6A1;COL6A2;COL6A3;VCAN;TCF4;PDGFRA;COL5A1;BGN;TNFSF4;MMP11;MYL9;COL8A2;PLN;LOX;CCND2;THBS2;FBN1;SERPINF1;ZEB1;COL15A1;CTSK;COMP;ENTPD1;LUM;PRRX1;GAS1;MFAP2;CDH11;TNFAIP6;FBLN2;COL10A1;CALD1;COL16A1;SPOCK1;FSTL1;FAP;MFAP5;PKD2;NID2;POSTN;IGFBP7;LAMA4;OLFML2B;OLFML1;AEBP1;SULF1;LRRC17;LRRC15;SGCD;HTRA1;RARRES2;TMEM47;MXRA8;TUBB6;JAM3;ASPN;CRISPLD2;BICC1;SPON1;NOX4;MXRA5;SPHK1;DACT1;AC080038.1;ANGPTL2;DSE;HEG1;CLEC11A;AKT3</t>
  </si>
  <si>
    <t>ANASTASSIOU_MULTICANCER_INVASIVENESS_SIGNATURE</t>
  </si>
  <si>
    <t>8038;6591;26585;9358;1277;1281;2335;7070;1290;1634;1278;4313;3624;6678;5159;1301;1292;1293;1462;1289;633;4320;4015;7058;2200;5176;1513;1311;4060;5396;1009;59;7130;1300;6695;2191;8076;22795;10631;5118;25903;6424;165;23213;131578;54829;83716;83468;79783;50507;25878;50863</t>
  </si>
  <si>
    <t>ADAM12;SNAI2;GREM1;ITGBL1;COL1A1;COL3A1;FN1;THY1;COL5A2;DCN;COL1A2;MMP2;INHBA;SPARC;PDGFRB;COL11A1;COL6A2;COL6A3;VCAN;COL5A1;BGN;MMP11;LOX;THBS2;FBN1;SERPINF1;CTSK;COMP;LUM;PRRX1;CDH11;ACTA2;TNFAIP6;COL10A1;SPOCK1;FAP;MFAP5;NID2;POSTN;PCOLCE;OLFML2B;SFRP4;AEBP1;SULF1;LRRC15;ASPN;CRISPLD2;GLT8D2;SUGCT;NOX4;MXRA5;NTM</t>
  </si>
  <si>
    <t>http://www.broadinstitute.org/gsea/msigdb/cards/ANASTASSIOU_MULTICANCER_INVASIVENESS_SIGNATURE.html</t>
  </si>
  <si>
    <t>4211;3671;9242;8522;8483;1842;9945;9358;8434;1277;1281;1290;1634;1278;4313;3624;716;1291;1292;1293;1462;5156;1289;2252;3908;5350;4015;7058;2200;5176;1513;6387;4060;5549;5396;2619;4237;1009;7130;2326;1307;1805;4035;6695;7216;2191;8076;4053;5118;4921;27295;51334;25903;6424;283298;165;23460;10234;6444;5654;9638;4958;54587;83716;83468;80114;25878;9902;29940</t>
  </si>
  <si>
    <t>MEIS1;ISLR;MSC;AC005747.1;CILP;ECM2;GFPT2;ITGBL1;RECK;COL1A1;COL3A1;COL5A2;DCN;COL1A2;MMP2;INHBA;C1S;COL6A1;COL6A2;COL6A3;VCAN;PDGFRA;COL5A1;FGF7;LAMA2;PLN;LOX;THBS2;FBN1;SERPINF1;CTSK;CXCL12;LUM;PRELP;PRRX1;GAS1;MFAP2;CDH11;TNFAIP6;FMO1;COL16A1;DPT;LRP1;SPOCK1;TRO;FAP;MFAP5;LTBP2;PCOLCE;DDR2;PDLIM3;PRR16;OLFML2B;SFRP4;OLFML1;AEBP1;ABCA6;LRRC17;SGCD;HTRA1;FEZ1;OMD;MXRA8;CRISPLD2;GLT8D2;BICC1;MXRA5;AC080038.1;DSE</t>
  </si>
  <si>
    <t>5352;8038;26585;8483;1842;8840;9509;30008;1277;1281;2335;710;1290;1634;3912;7057;1278;4313;3624;6678;392617;7043;1301;1291;1292;1293;1462;7077;1289;2252;633;7292;3908;4320;1296;50509;4015;7058;2200;5176;1306;2668;1513;6387;1311;4323;6356;4060;5549;4237;81792;94031;7130;2199;3339;5351;1300;1307;1805;6695;11167;8076;22795;2621;4052;4053;10631;5118;3490;3910;64175;84624;6424;79883;84898;283208;127435;148113;165;55959;23213;5654;2259;115908;84628;6423;83872;1303;4958;54829;83716;64094;10418;25878;23452;6320;11117</t>
  </si>
  <si>
    <t>PLOD2;ADAM12;GREM1;CILP;ECM2;CCN4;ADAMTS2;EFEMP2;COL1A1;COL3A1;FN1;SERPING1;COL5A2;DCN;LAMB1;THBS1;COL1A2;MMP2;INHBA;SPARC;ELFN1;TGFB3;COL11A1;COL6A1;COL6A2;COL6A3;VCAN;TIMP2;COL5A1;FGF7;BGN;TNFSF4;LAMA2;MMP11;COL8A2;COL5A3;LOX;THBS2;FBN1;SERPINF1;COL15A1;GDNF;CTSK;CXCL12;COMP;MMP14;CCL11;LUM;PRELP;MFAP2;ADAMTS12;HTRA3;TNFAIP6;FBLN2;HSPG2;PLOD1;COL10A1;COL16A1;DPT;SPOCK1;FSTL1;MFAP5;NID2;GAS6;LTBP1;LTBP2;POSTN;PCOLCE;IGFBP7;LAMA4;P3H1;FNDC1;SFRP4;PODNL1;PLXDC2;P4HA3;PODN;CILP2;AEBP1;SULF2;SULF1;HTRA1;FGF14;CTHRC1;NTNG2;SFRP2;HMCN1;COL12A1;OMD;ASPN;CRISPLD2;SMOC2;SPON1;MXRA5;ANGPTL2;CLEC11A;EMILIN1</t>
  </si>
  <si>
    <t>389136;7041;6591;9509;8434;7070;710;1290;3912;7169;7057;4313;6678;1462;6925;1289;10398;25802;894;5176;1264;5396;1012;59;72;3339;6876;800;1307;4035;7216;5311;11245;10631;5118;4638;3316;3779;23090;64175;160428;340075;57616;79070;85360;127435;115557;10630;165;23213;253827;114757;5654;116535;91179;8642;25960;9638;1303;5919;84251;83604;84617;83700;79827;84168;9260;8877;55714;27122;23452;57493;10000;27254;10335</t>
  </si>
  <si>
    <t>VGLL3;TGFB1I1;SNAI2;ADAMTS2;RECK;THY1;SERPING1;COL5A2;LAMB1;TPM2;THBS1;MMP2;SPARC;VCAN;TCF4;COL5A1;MYL9;LMOD1;CCND2;SERPINF1;CNN1;PRRX1;CDH13;ACTA2;ACTG2;HSPG2;TAGLN;CALD1;COL16A1;LRP1;TRO;PKD2;GPR176;POSTN;PCOLCE;MYLK;HSPB2;KCNMB1;ZNF423;P3H1;ALDH1L2;ARSI;TSHZ3;POGLUT2;SYDE1;PODN;ARHGEF25;PDPN;AEBP1;SULF1;MSRB3;CYGB;HTRA1;MRGPRF;SCARF2;DCHS1;ADGRA2;FEZ1;COL12A1;RARRES2;SGIP1;TMEM47;TUBB6;JAM3;CLMP;ANTXR1;PDLIM7;SPHK1;TENM3;DKK3;ANGPTL2;HEG1;AKT3;CSDC2;MRVI1</t>
  </si>
  <si>
    <t>727936;134111;5352;8038;6591;9945;8840;9509;9358;1281;2335;1290;7057;1278;3624;6678;1301;1462;633;3908;4320;4015;7058;2200;1306;5549;5396;2619;1009;81792;7130;1300;800;6695;11167;2191;22795;4053;4921;23090;160428;84624;6424;84898;23213;115908;6423;122786;1303;84662;84168;50507;93166;50863;29940;10000</t>
  </si>
  <si>
    <t>GXYLT2;UBE2QL1;PLOD2;ADAM12;SNAI2;GFPT2;CCN4;ADAMTS2;ITGBL1;COL3A1;FN1;COL5A2;THBS1;COL1A2;INHBA;SPARC;COL11A1;VCAN;BGN;LAMA2;MMP11;LOX;THBS2;FBN1;COL15A1;PRELP;PRRX1;GAS1;CDH11;ADAMTS12;TNFAIP6;COL10A1;CALD1;SPOCK1;FSTL1;FAP;NID2;LTBP2;DDR2;ZNF423;ALDH1L2;FNDC1;SFRP4;PLXDC2;SULF1;CTHRC1;SFRP2;FRMD6;COL12A1;GLIS2;ANTXR1;NOX4;PRDM6;NTM;DSE;AKT3</t>
  </si>
  <si>
    <t>8483;1842;8840;30008;1277;1281;2335;1290;1634;3912;7057;1278;6678;1301;1291;1292;1293;1462;1289;633;3908;1296;50509;7058;2200;1306;1311;4060;5549;4237;7130;2199;3339;1300;1307;1805;6695;8076;22795;2621;4052;4053;10631;5118;3490;3910;84624;79883;127435;148113;165;115908;84628;83872;1303;4958;54829;83716;64094;10418;25878;11117</t>
  </si>
  <si>
    <t>CILP;ECM2;CCN4;EFEMP2;COL1A1;COL3A1;FN1;COL5A2;DCN;LAMB1;THBS1;COL1A2;SPARC;COL11A1;COL6A1;COL6A2;COL6A3;VCAN;COL5A1;BGN;LAMA2;COL8A2;COL5A3;THBS2;FBN1;COL15A1;COMP;LUM;PRELP;MFAP2;TNFAIP6;FBLN2;HSPG2;COL10A1;COL16A1;DPT;SPOCK1;MFAP5;NID2;GAS6;LTBP1;LTBP2;POSTN;PCOLCE;IGFBP7;LAMA4;FNDC1;PODNL1;PODN;CILP2;AEBP1;CTHRC1;NTNG2;HMCN1;COL12A1;OMD;ASPN;CRISPLD2;SMOC2;SPON1;MXRA5;EMILIN1</t>
  </si>
  <si>
    <t>389136;2037;8840;9509;9358;30008;1277;1281;2335;7070;710;1290;1634;7169;7057;1278;3678;6678;716;1291;1292;1123;7077;7412;1289;633;7292;10398;4015;25802;2200;5176;1306;4345;6387;3899;1264;59;72;6876;6695;2191;2621;4053;9697;10631;5118;4638;3910;151887;115701;89795;23213;253827;259232;117248;10234;6444;116535;115908;25960;83604;84617;9260;23452;57493;171024;10699;10335</t>
  </si>
  <si>
    <t>VGLL3;EPB41L2;CCN4;ADAMTS2;ITGBL1;EFEMP2;COL1A1;COL3A1;FN1;THY1;SERPING1;COL5A2;DCN;TPM2;THBS1;COL1A2;ITGA5;SPARC;C1S;COL6A1;COL6A2;CHN1;TIMP2;VCAM1;COL5A1;BGN;TNFSF4;MYL9;LOX;LMOD1;FBN1;SERPINF1;COL15A1;CD200;CXCL12;AFF3;CNN1;ACTA2;ACTG2;TAGLN;SPOCK1;FAP;GAS6;LTBP2;TRAM2;POSTN;PCOLCE;MYLK;LAMA4;CCDC80;ALPK2;NAV3;SULF1;MSRB3;NALCN;GALNT15;LRRC17;SGCD;MRGPRF;CTHRC1;ADGRA2;TMEM47;TUBB6;PDLIM7;ANGPTL2;HEG1;SYNPO2;CORIN;MRVI1</t>
  </si>
  <si>
    <t>ONDER_CDH1_TARGETS_2_UP</t>
  </si>
  <si>
    <t>5352;8825;8038;26585;9358;8434;1277;1281;2335;7070;1290;1634;1278;4313;6678;1291;1292;1293;1462;1123;1289;633;10398;4015;2200;5176;6935;5396;4237;1009;59;7130;6876;6695;22795;4052;4053;9697;10631;5118;3490;4921;51334;79633;219654;55068;4675;23208;83700;80114;90627</t>
  </si>
  <si>
    <t>PLOD2;LIN7A;ADAM12;GREM1;ITGBL1;RECK;COL1A1;COL3A1;FN1;THY1;COL5A2;DCN;COL1A2;MMP2;SPARC;COL6A1;COL6A2;COL6A3;VCAN;CHN1;COL5A1;BGN;MYL9;LOX;FBN1;SERPINF1;ZEB1;PRRX1;MFAP2;CDH11;ACTA2;TNFAIP6;TAGLN;SPOCK1;NID2;LTBP1;LTBP2;TRAM2;POSTN;PCOLCE;IGFBP7;DDR2;PRR16;FAT4;ZCCHC24;ENOX1;NAP1L3;SYT11;JAM3;BICC1;STARD13</t>
  </si>
  <si>
    <t>http://www.broadinstitute.org/gsea/msigdb/cards/ONDER_CDH1_TARGETS_2_UP.html</t>
  </si>
  <si>
    <t>LIU_PROSTATE_CANCER_DN</t>
  </si>
  <si>
    <t>134111;4211;7041;6591;30008;5241;3912;7169;1278;6678;716;7043;1291;1123;7077;4882;1289;10398;25802;894;2200;5176;5549;5396;59;72;3339;6876;800;1307;1805;7216;5311;2621;4052;4638;3910;4921;8639;9644;127435;165;253827;219699;116535;122786;25960;9638;5919;9843;84617;83716;10418;57124;9902;27122;23452;29940;171024;10335</t>
  </si>
  <si>
    <t>UBE2QL1;MEIS1;TGFB1I1;SNAI2;EFEMP2;PGR;LAMB1;TPM2;COL1A2;SPARC;C1S;TGFB3;COL6A1;CHN1;TIMP2;NPR2;COL5A1;MYL9;LMOD1;CCND2;FBN1;SERPINF1;PRELP;PRRX1;ACTA2;ACTG2;HSPG2;TAGLN;CALD1;COL16A1;DPT;TRO;PKD2;GAS6;LTBP1;MYLK;LAMA4;DDR2;AOC3;SH3PXD2A;PODN;AEBP1;MSRB3;UNC5B;MRGPRF;FRMD6;ADGRA2;FEZ1;RARRES2;HEPH;TUBB6;CRISPLD2;SPON1;CD248;AC080038.1;DKK3;ANGPTL2;DSE;SYNPO2;MRVI1</t>
  </si>
  <si>
    <t>http://www.broadinstitute.org/gsea/msigdb/cards/LIU_PROSTATE_CANCER_DN.html</t>
  </si>
  <si>
    <t>8038;8483;8840;1277;1281;2335;7070;1290;3912;1278;3624;6678;1301;1293;1462;1289;633;4015;7058;2200;6935;1311;5396;10631;84624;165;55959;23213;131578;115908;6423;1303;54829;25878</t>
  </si>
  <si>
    <t>ADAM12;CILP;CCN4;COL1A1;COL3A1;FN1;THY1;COL5A2;LAMB1;COL1A2;INHBA;SPARC;COL11A1;COL6A3;VCAN;COL5A1;BGN;LOX;THBS2;FBN1;ZEB1;COMP;PRRX1;POSTN;FNDC1;AEBP1;SULF2;SULF1;LRRC15;CTHRC1;SFRP2;COL12A1;ASPN;MXRA5</t>
  </si>
  <si>
    <t>TURASHVILI_BREAST_LOBULAR_CARCINOMA_VS_LOBULAR_NORMAL_DN</t>
  </si>
  <si>
    <t>8038;8840;1277;1281;2335;1290;3912;1278;4313;1301;1293;1462;1289;633;4320;4015;7058;2200;1311;5396;1300;10631;338773;84624;6424;165;55959;131578;115908;6423;1303;54829;25878</t>
  </si>
  <si>
    <t>ADAM12;CCN4;COL1A1;COL3A1;FN1;COL5A2;LAMB1;COL1A2;MMP2;COL11A1;COL6A3;VCAN;COL5A1;BGN;MMP11;LOX;THBS2;FBN1;COMP;PRRX1;COL10A1;POSTN;TMEM119;FNDC1;SFRP4;AEBP1;SULF2;LRRC15;CTHRC1;SFRP2;COL12A1;ASPN;MXRA5</t>
  </si>
  <si>
    <t>http://www.broadinstitute.org/gsea/msigdb/cards/TURASHVILI_BREAST_LOBULAR_CARCINOMA_VS_LOBULAR_NORMAL_DN.html</t>
  </si>
  <si>
    <t>8840;1277;1281;2335;7070;710;3912;1278;6678;716;1291;5156;7412;1346;10398;1296;2200;1306;6387;4060;5396;1009;59;3339;6876;800;11167;5118;4638;3490;3910;4921;151887;10630;23213;115908;1303;5919;64094;84168;25878;11117</t>
  </si>
  <si>
    <t>CCN4;COL1A1;COL3A1;FN1;THY1;SERPING1;LAMB1;COL1A2;SPARC;C1S;COL6A1;PDGFRA;VCAM1;COX7A1;MYL9;COL8A2;FBN1;COL15A1;CXCL12;LUM;PRRX1;CDH11;ACTA2;HSPG2;TAGLN;CALD1;FSTL1;PCOLCE;MYLK;IGFBP7;LAMA4;DDR2;CCDC80;PDPN;SULF1;CTHRC1;COL12A1;RARRES2;SMOC2;ANTXR1;MXRA5;EMILIN1</t>
  </si>
  <si>
    <t>727936;7041;2037;6591;9945;30008;3912;4313;3624;6678;716;1291;1292;1293;87;7077;1289;2200;6935;1009;81792;59;800;11167;22795;11245;4053;9697;4638;3490;6624;64175;51334;79633;54796;85360;115701;89795;253827;219654;164284;5654;84617;80114;79827;84168;9902;27122;29940;57493;10000</t>
  </si>
  <si>
    <t>GXYLT2;TGFB1I1;EPB41L2;SNAI2;GFPT2;EFEMP2;LAMB1;MMP2;INHBA;SPARC;C1S;COL6A1;COL6A2;COL6A3;ACTN1;TIMP2;COL5A1;FBN1;ZEB1;CDH11;ADAMTS12;ACTA2;CALD1;FSTL1;NID2;GPR176;LTBP2;TRAM2;MYLK;IGFBP7;FSCN1;P3H1;PRR16;FAT4;BNC2;SYDE1;ALPK2;NAV3;MSRB3;ZCCHC24;APCDD1L;HTRA1;TUBB6;BICC1;CLMP;ANTXR1;AC080038.1;DKK3;DSE;HEG1;AKT3</t>
  </si>
  <si>
    <t>2037;1842;710;1290;7169;1278;4313;6678;5159;716;1291;1292;1293;6925;7077;5156;7412;10398;7058;5176;1306;6387;953;4060;5396;59;72;94031;2199;1307;22795;10631;5118;4638;3490;3910;4921;8639;151887;10630;165;5919;83700;83716;27122;51176;23452;23024</t>
  </si>
  <si>
    <t>EPB41L2;ECM2;SERPING1;COL5A2;TPM2;COL1A2;MMP2;SPARC;PDGFRB;C1S;COL6A1;COL6A2;COL6A3;TCF4;TIMP2;PDGFRA;VCAM1;MYL9;THBS2;SERPINF1;COL15A1;CXCL12;ENTPD1;LUM;PRRX1;ACTA2;ACTG2;HTRA3;FBLN2;COL16A1;NID2;POSTN;PCOLCE;MYLK;IGFBP7;LAMA4;DDR2;AOC3;CCDC80;PDPN;AEBP1;RARRES2;JAM3;CRISPLD2;DKK3;LEF1;ANGPTL2;PDZRN3</t>
  </si>
  <si>
    <t>WANG_SMARCE1_TARGETS_UP</t>
  </si>
  <si>
    <t>5924;8840;1277;1281;2335;1634;4313;716;1293;1462;7077;1289;10398;1306;4345;4060;5396;59;6876;800;6695;2191;8076;22795;10631;4638;160428;84624;257194;55959;23213;219699;1734;115908;25925;83872;4675;1303;91653;84168;51339;57493</t>
  </si>
  <si>
    <t>RASGRF2;CCN4;COL1A1;COL3A1;FN1;DCN;MMP2;C1S;COL6A3;VCAN;TIMP2;COL5A1;MYL9;COL15A1;CD200;LUM;PRRX1;ACTA2;TAGLN;CALD1;SPOCK1;FAP;MFAP5;NID2;POSTN;MYLK;ALDH1L2;FNDC1;NEGR1;SULF2;SULF1;UNC5B;DIO2;CTHRC1;ZNF521;HMCN1;NAP1L3;COL12A1;BOC;ANTXR1;DACT1;HEG1</t>
  </si>
  <si>
    <t>http://www.broadinstitute.org/gsea/msigdb/cards/WANG_SMARCE1_TARGETS_UP.html</t>
  </si>
  <si>
    <t>8483;1842;8840;30008;2335;3912;7057;6678;3908;7058;2200;1311;4237;7130;2199;1805;8076;22795;2621;4052;4053;10631;5118;3490;3910;84624;148113;165;115908;84628;83872;83716;64094;10418;25878;11117</t>
  </si>
  <si>
    <t>CILP;ECM2;CCN4;EFEMP2;FN1;LAMB1;THBS1;SPARC;LAMA2;THBS2;FBN1;COMP;MFAP2;TNFAIP6;FBLN2;DPT;MFAP5;NID2;GAS6;LTBP1;LTBP2;POSTN;PCOLCE;IGFBP7;LAMA4;FNDC1;CILP2;AEBP1;CTHRC1;NTNG2;HMCN1;CRISPLD2;SMOC2;SPON1;MXRA5;EMILIN1</t>
  </si>
  <si>
    <t>REN_ALVEOLAR_RHABDOMYOSARCOMA_DN</t>
  </si>
  <si>
    <t>7041;9509;9358;30008;1277;2335;1290;7057;4313;3624;3678;5159;716;1291;1292;87;1462;7077;5156;1289;1296;4015;7058;2200;4323;5351;800;4035;11167;2191;5311;2621;11245;9697;5118;4638;3490;3910;64175;5654;9638;57124;8877;9902</t>
  </si>
  <si>
    <t>TGFB1I1;ADAMTS2;ITGBL1;EFEMP2;COL1A1;FN1;COL5A2;THBS1;MMP2;INHBA;ITGA5;PDGFRB;C1S;COL6A1;COL6A2;ACTN1;VCAN;TIMP2;PDGFRA;COL5A1;COL8A2;LOX;THBS2;FBN1;MMP14;PLOD1;CALD1;LRP1;FSTL1;FAP;PKD2;GAS6;GPR176;TRAM2;PCOLCE;MYLK;IGFBP7;LAMA4;P3H1;HTRA1;FEZ1;CD248;SPHK1;AC080038.1</t>
  </si>
  <si>
    <t>http://www.broadinstitute.org/gsea/msigdb/cards/REN_ALVEOLAR_RHABDOMYOSARCOMA_DN.html</t>
  </si>
  <si>
    <t>7041;9242;8633;9509;30008;1281;1290;7169;1292;7412;1289;633;10398;7058;2200;4323;781;2619;4237;59;3339;4920;6876;4035;2191;9697;4921;8639;27295;54796;165;25960;83604;54587;27122;23452;23024;11117</t>
  </si>
  <si>
    <t>TGFB1I1;MSC;UNC5C;ADAMTS2;EFEMP2;COL3A1;COL5A2;TPM2;COL6A2;VCAM1;COL5A1;BGN;MYL9;THBS2;FBN1;MMP14;CACNA2D1;GAS1;MFAP2;ACTA2;HSPG2;ROR2;TAGLN;LRP1;FAP;TRAM2;DDR2;AOC3;PDLIM3;BNC2;AEBP1;ADGRA2;TMEM47;MXRA8;DKK3;ANGPTL2;PDZRN3;EMILIN1</t>
  </si>
  <si>
    <t>BERTUCCI_MEDULLARY_VS_DUCTAL_BREAST_CANCER_DN</t>
  </si>
  <si>
    <t>8038;7041;6591;7169;87;4882;633;3908;10398;81792;59;72;3339;6876;800;6695;11167;2191;4638;3779;4921;8639;9644;89795;253827;219654;147906;54587;91653;90627;10335</t>
  </si>
  <si>
    <t>ADAM12;TGFB1I1;SNAI2;TPM2;ACTN1;NPR2;BGN;LAMA2;MYL9;ADAMTS12;ACTA2;ACTG2;HSPG2;TAGLN;CALD1;SPOCK1;FSTL1;FAP;MYLK;KCNMB1;DDR2;AOC3;SH3PXD2A;NAV3;MSRB3;ZCCHC24;DACT3;MXRA8;BOC;STARD13;MRVI1</t>
  </si>
  <si>
    <t>http://www.broadinstitute.org/gsea/msigdb/cards/BERTUCCI_MEDULLARY_VS_DUCTAL_BREAST_CANCER_DN.html</t>
  </si>
  <si>
    <t>4211;395;26585;8633;1277;2335;3912;7057;6678;1301;1291;87;6925;7412;633;3908;10398;5176;4345;6387;953;6356;781;7130;2199;6876;800;1805;11167;5311;22795;4052;4053;10631;4638;3490;8639;27295;84898;5654;25925;122786;4675;84617;84662;64094;10418;9254;55714;27122</t>
  </si>
  <si>
    <t>MEIS1;ARHGAP6;GREM1;UNC5C;COL1A1;FN1;LAMB1;THBS1;SPARC;COL11A1;COL6A1;ACTN1;TCF4;VCAM1;BGN;LAMA2;MYL9;SERPINF1;CD200;CXCL12;ENTPD1;CCL11;CACNA2D1;TNFAIP6;FBLN2;TAGLN;CALD1;DPT;FSTL1;PKD2;NID2;LTBP1;LTBP2;POSTN;MYLK;IGFBP7;AOC3;PDLIM3;PLXDC2;HTRA1;ZNF521;FRMD6;NAP1L3;TUBB6;GLIS2;SMOC2;SPON1;CACNA2D2;TENM3;DKK3</t>
  </si>
  <si>
    <t>3671;8522;30008;710;1634;4313;716;7043;1291;1462;5156;633;3908;1346;5350;25802;6387;4060;5549;2619;6876;800;1805;4035;8076;10631;4638;6424;283298;85360;165;5919;4958;9843;83700;54829;83716;10418;57124;25878;27122;23024;27254;11117</t>
  </si>
  <si>
    <t>ISLR;AC005747.1;EFEMP2;SERPING1;DCN;MMP2;C1S;TGFB3;COL6A1;VCAN;PDGFRA;BGN;LAMA2;COX7A1;PLN;LMOD1;CXCL12;LUM;PRELP;GAS1;TAGLN;CALD1;DPT;LRP1;MFAP5;POSTN;MYLK;SFRP4;OLFML1;SYDE1;AEBP1;RARRES2;OMD;HEPH;JAM3;ASPN;CRISPLD2;SPON1;CD248;MXRA5;DKK3;PDZRN3;CSDC2;EMILIN1</t>
  </si>
  <si>
    <t>2037;6591;8840;30008;1281;7070;1290;716;7043;1291;7077;7412;633;7058;2200;6387;4323;1009;1805;10631;5118;165;5654;2259;91179;25925;83604;50863;27122</t>
  </si>
  <si>
    <t>EPB41L2;SNAI2;CCN4;EFEMP2;COL3A1;THY1;COL5A2;C1S;TGFB3;COL6A1;TIMP2;VCAM1;BGN;THBS2;FBN1;CXCL12;MMP14;CDH11;DPT;POSTN;PCOLCE;AEBP1;HTRA1;FGF14;SCARF2;ZNF521;TMEM47;NTM;DKK3</t>
  </si>
  <si>
    <t>MIYAGAWA_TARGETS_OF_EWSR1_ETS_FUSIONS_DN</t>
  </si>
  <si>
    <t>389136;5352;8038;9945;8434;1281;1278;6678;1301;87;1462;1123;1289;2825;4323;3899;4060;5396;81792;72;22795;4052;51334;196051;151887;10234;164284;387758;83468;55714;22801;23024</t>
  </si>
  <si>
    <t>VGLL3;PLOD2;ADAM12;GFPT2;RECK;COL3A1;COL1A2;SPARC;COL11A1;ACTN1;VCAN;CHN1;COL5A1;GPR1;MMP14;AFF3;LUM;PRRX1;ADAMTS12;ACTG2;NID2;LTBP1;PRR16;PLPP4;CCDC80;LRRC17;APCDD1L;FIBIN;GLT8D2;TENM3;ITGA11;PDZRN3</t>
  </si>
  <si>
    <t>http://www.broadinstitute.org/gsea/msigdb/cards/MIYAGAWA_TARGETS_OF_EWSR1_ETS_FUSIONS_DN.html</t>
  </si>
  <si>
    <t>BERENJENO_TRANSFORMED_BY_RHOA_DN</t>
  </si>
  <si>
    <t>4211;3671;6591;8434;1277;1281;2335;1634;1278;5159;1291;1292;1293;6925;5156;1289;3908;4015;7058;6387;4323;4060;2619;5311;2621;10631;5118;3910;6624;8639;151887;115557;165;6423;56917;64094;9902;27122</t>
  </si>
  <si>
    <t>MEIS1;ISLR;SNAI2;RECK;COL1A1;COL3A1;FN1;DCN;COL1A2;PDGFRB;COL6A1;COL6A2;COL6A3;TCF4;PDGFRA;COL5A1;LAMA2;LOX;THBS2;CXCL12;MMP14;LUM;GAS1;PKD2;GAS6;POSTN;PCOLCE;LAMA4;FSCN1;AOC3;CCDC80;ARHGEF25;AEBP1;SFRP2;MEIS3;SMOC2;AC080038.1;DKK3</t>
  </si>
  <si>
    <t>http://www.broadinstitute.org/gsea/msigdb/cards/BERENJENO_TRANSFORMED_BY_RHOA_DN.html</t>
  </si>
  <si>
    <t>FARMER_BREAST_CANCER_CLUSTER_4</t>
  </si>
  <si>
    <t>8038;1281;1290;1278;6678;1289;7058;2200;5176;1513;1009;2191;22795;5118;165;5654;51339</t>
  </si>
  <si>
    <t>ADAM12;COL3A1;COL5A2;COL1A2;SPARC;COL5A1;THBS2;FBN1;SERPINF1;CTSK;CDH11;FAP;NID2;PCOLCE;AEBP1;HTRA1;DACT1</t>
  </si>
  <si>
    <t>http://www.broadinstitute.org/gsea/msigdb/cards/FARMER_BREAST_CANCER_CLUSTER_4.html</t>
  </si>
  <si>
    <t>727936;8038;1842;9945;8840;710;1634;716;1292;1462;5156;6387;5396;1300;3910;6424;54796;117248;164284;387758;116535;25925;9843;83468;63895;80114;10418;57493;23024</t>
  </si>
  <si>
    <t>GXYLT2;ADAM12;ECM2;GFPT2;CCN4;SERPING1;DCN;C1S;COL6A2;VCAN;PDGFRA;CXCL12;PRRX1;COL10A1;LAMA4;SFRP4;BNC2;GALNT15;APCDD1L;FIBIN;MRGPRF;ZNF521;HEPH;GLT8D2;PIEZO2;BICC1;SPON1;HEG1;PDZRN3</t>
  </si>
  <si>
    <t>REACTOME_EXTRACELLULAR_MATRIX_ORGANIZATION</t>
  </si>
  <si>
    <t>5352;9509;1277;1281;1290;1278;4313;1301;1291;1292;1293;7077;1289;4320;1296;50509;1306;4323;5351;1300;1307;5118;1303</t>
  </si>
  <si>
    <t>PLOD2;ADAMTS2;COL1A1;COL3A1;COL5A2;COL1A2;MMP2;COL11A1;COL6A1;COL6A2;COL6A3;TIMP2;COL5A1;MMP11;COL8A2;COL5A3;COL15A1;MMP14;PLOD1;COL10A1;COL16A1;PCOLCE;COL12A1</t>
  </si>
  <si>
    <t>http://www.broadinstitute.org/gsea/msigdb/cards/REACTOME_EXTRACELLULAR_MATRIX_ORGANIZATION.html</t>
  </si>
  <si>
    <t>284297;395;7041;6591;9242;8483;8434;710;1291;1292;7077;4882;1289;3908;4320;6387;953;6356;5549;4237;1012;94031;5351;1805;4035;4052;8639;6424;151887;10630;10350;165;253827;117248;119587;10234;5654;1734;8642;25925;5919;54587;83716;10418;23452;171024;10335</t>
  </si>
  <si>
    <t>SSC5D;ARHGAP6;TGFB1I1;SNAI2;MSC;CILP;RECK;SERPING1;COL6A1;COL6A2;TIMP2;NPR2;COL5A1;LAMA2;MMP11;CXCL12;ENTPD1;CCL11;PRELP;MFAP2;CDH13;HTRA3;PLOD1;DPT;LRP1;LTBP1;AOC3;SFRP4;CCDC80;PDPN;ABCA9;AEBP1;MSRB3;GALNT15;CPXM2;LRRC17;HTRA1;DIO2;DCHS1;ZNF521;RARRES2;MXRA8;CRISPLD2;SPON1;ANGPTL2;SYNPO2;MRVI1</t>
  </si>
  <si>
    <t>ZHU_CMV_24_HR_DN</t>
  </si>
  <si>
    <t>1277;1281;1290;7169;7057;1278;1292;1462;1123;5156;4015;7058;1306;6387;2619;1009;59;6876;9697;10631;4638;3910;4921</t>
  </si>
  <si>
    <t>COL1A1;COL3A1;COL5A2;TPM2;THBS1;COL1A2;COL6A2;VCAN;CHN1;PDGFRA;LOX;THBS2;COL15A1;CXCL12;GAS1;CDH11;ACTA2;TAGLN;TRAM2;POSTN;MYLK;LAMA4;DDR2</t>
  </si>
  <si>
    <t>http://www.broadinstitute.org/gsea/msigdb/cards/ZHU_CMV_24_HR_DN.html</t>
  </si>
  <si>
    <t>ZHU_CMV_ALL_DN</t>
  </si>
  <si>
    <t>1277;1281;1290;7169;7057;1278;1292;1462;1123;5156;2252;4015;7058;1306;6387;2619;1009;59;6876;9697;10631;4638;3910;4921;25925</t>
  </si>
  <si>
    <t>COL1A1;COL3A1;COL5A2;TPM2;THBS1;COL1A2;COL6A2;VCAN;CHN1;PDGFRA;FGF7;LOX;THBS2;COL15A1;CXCL12;GAS1;CDH11;ACTA2;TAGLN;TRAM2;POSTN;MYLK;LAMA4;DDR2;ZNF521</t>
  </si>
  <si>
    <t>http://www.broadinstitute.org/gsea/msigdb/cards/ZHU_CMV_ALL_DN.html</t>
  </si>
  <si>
    <t>7041;2037;9242;8840;9509;9358;30008;1277;1290;1278;4313;6678;5159;7043;1291;1293;1462;7412;1289;633;3908;4015;7058;2200;5739;1513;953;4060;4237;94031;7130;2199;1307;4052;4053;10631;5118;6624;338773;84898;151887;23213;219699;114757;5654;25925;122786;9843;54587;84617;64094;80114;84168;8877;29940;50944;11117</t>
  </si>
  <si>
    <t>TGFB1I1;EPB41L2;MSC;CCN4;ADAMTS2;ITGBL1;EFEMP2;COL1A1;COL5A2;COL1A2;MMP2;SPARC;PDGFRB;TGFB3;COL6A1;COL6A3;VCAN;VCAM1;COL5A1;BGN;LAMA2;LOX;THBS2;FBN1;PTGIR;CTSK;ENTPD1;LUM;MFAP2;HTRA3;TNFAIP6;FBLN2;COL16A1;LTBP1;LTBP2;POSTN;PCOLCE;FSCN1;TMEM119;PLXDC2;CCDC80;SULF1;UNC5B;CYGB;HTRA1;ZNF521;FRMD6;HEPH;MXRA8;TUBB6;SMOC2;BICC1;ANTXR1;SPHK1;DSE;SHANK1;EMILIN1</t>
  </si>
  <si>
    <t>727936;4211;3671;8840;9509;1277;1281;2335;1634;7043;1291;1292;1462;7412;3908;4320;1296;894;5176;1311;4060;4237;7130;2191;2621;10631;3910;343450;54796;151887;115908;91653;64084;84168;10418;6320</t>
  </si>
  <si>
    <t>GXYLT2;MEIS1;ISLR;CCN4;ADAMTS2;COL1A1;COL3A1;FN1;DCN;TGFB3;COL6A1;COL6A2;VCAN;VCAM1;LAMA2;MMP11;COL8A2;CCND2;SERPINF1;COMP;LUM;MFAP2;TNFAIP6;FAP;GAS6;POSTN;LAMA4;KCNT2;BNC2;CCDC80;CTHRC1;BOC;CLSTN2;ANTXR1;SPON1;CLEC11A</t>
  </si>
  <si>
    <t>3671;1277;1281;2335;710;1278;3624;716;1293;7077;7412;1289;4320;2200;1306;4060;1009;6876;6624;115701;114801;165;219654;387758;115908;84168;10418;27122</t>
  </si>
  <si>
    <t>ISLR;COL1A1;COL3A1;FN1;SERPING1;COL1A2;INHBA;C1S;COL6A3;TIMP2;VCAM1;COL5A1;MMP11;FBN1;COL15A1;LUM;CDH11;TAGLN;FSCN1;ALPK2;TMEM200A;AEBP1;ZCCHC24;FIBIN;CTHRC1;ANTXR1;SPON1;DKK3</t>
  </si>
  <si>
    <t>REACTOME_COLLAGEN_FORMATION</t>
  </si>
  <si>
    <t>5352;9509;1277;1281;1290;1278;1301;1291;1292;1293;1289;1296;50509;1306;5351;1300;1307;5118;1303</t>
  </si>
  <si>
    <t>PLOD2;ADAMTS2;COL1A1;COL3A1;COL5A2;COL1A2;COL11A1;COL6A1;COL6A2;COL6A3;COL5A1;COL8A2;COL5A3;COL15A1;PLOD1;COL10A1;COL16A1;PCOLCE;COL12A1</t>
  </si>
  <si>
    <t>http://www.broadinstitute.org/gsea/msigdb/cards/REACTOME_COLLAGEN_FORMATION.html</t>
  </si>
  <si>
    <t>PID_INTEGRIN1_PATHWAY</t>
  </si>
  <si>
    <t>1277;1281;2335;1290;3912;7057;1278;3678;1301;1291;1292;1293;7412;1289;3908;7058;2200;3910;22801</t>
  </si>
  <si>
    <t>COL1A1;COL3A1;FN1;COL5A2;LAMB1;THBS1;COL1A2;ITGA5;COL11A1;COL6A1;COL6A2;COL6A3;VCAM1;COL5A1;LAMA2;THBS2;FBN1;LAMA4;ITGA11</t>
  </si>
  <si>
    <t>http://www.broadinstitute.org/gsea/msigdb/cards/PID_INTEGRIN1_PATHWAY.html</t>
  </si>
  <si>
    <t>DURAND_STROMA_S_UP</t>
  </si>
  <si>
    <t>8038;6591;9509;1277;1281;1278;4313;5159;392617;1292;5156;4882;5176;6387;81792;94031;4920;22795;4053;10631;8639;79633;151887;55959;116535;6423;2846;83604;64094;57124</t>
  </si>
  <si>
    <t>ADAM12;SNAI2;ADAMTS2;COL1A1;COL3A1;COL1A2;MMP2;PDGFRB;ELFN1;COL6A2;PDGFRA;NPR2;SERPINF1;CXCL12;ADAMTS12;HTRA3;ROR2;NID2;LTBP2;POSTN;AOC3;FAT4;CCDC80;SULF2;MRGPRF;SFRP2;LPAR4;TMEM47;SMOC2;CD248</t>
  </si>
  <si>
    <t>http://www.broadinstitute.org/gsea/msigdb/cards/DURAND_STROMA_S_UP.html</t>
  </si>
  <si>
    <t>WONG_ENDMETRIUM_CANCER_DN</t>
  </si>
  <si>
    <t>389136;1842;1281;1634;5156;1346;25802;2200;6935;6387;7216;2621;57616;6424;56849;83716;83468;57124;171024;11117</t>
  </si>
  <si>
    <t>VGLL3;ECM2;COL3A1;DCN;PDGFRA;COX7A1;LMOD1;FBN1;ZEB1;CXCL12;TRO;GAS6;TSHZ3;SFRP4;TCEAL7;CRISPLD2;GLT8D2;CD248;SYNPO2;EMILIN1</t>
  </si>
  <si>
    <t>http://www.broadinstitute.org/gsea/msigdb/cards/WONG_ENDMETRIUM_CANCER_DN.html</t>
  </si>
  <si>
    <t>KEGG_FOCAL_ADHESION</t>
  </si>
  <si>
    <t>1277;1281;2335;1290;3912;7057;1278;3678;5159;1301;1291;1292;1293;87;5156;1289;3908;10398;50509;894;7058;1311;4638;3910;22801;10000</t>
  </si>
  <si>
    <t>COL1A1;COL3A1;FN1;COL5A2;LAMB1;THBS1;COL1A2;ITGA5;PDGFRB;COL11A1;COL6A1;COL6A2;COL6A3;ACTN1;PDGFRA;COL5A1;LAMA2;MYL9;COL5A3;CCND2;THBS2;COMP;MYLK;LAMA4;ITGA11;AKT3</t>
  </si>
  <si>
    <t>http://www.broadinstitute.org/gsea/msigdb/cards/KEGG_FOCAL_ADHESION.html</t>
  </si>
  <si>
    <t>KEGG_ECM_RECEPTOR_INTERACTION</t>
  </si>
  <si>
    <t>1277;1281;2335;1290;3912;7057;1278;3678;1301;1291;1292;1293;1289;3908;50509;7058;1311;3339;3910;22801</t>
  </si>
  <si>
    <t>COL1A1;COL3A1;FN1;COL5A2;LAMB1;THBS1;COL1A2;ITGA5;COL11A1;COL6A1;COL6A2;COL6A3;COL5A1;LAMA2;COL5A3;THBS2;COMP;HSPG2;LAMA4;ITGA11</t>
  </si>
  <si>
    <t>http://www.broadinstitute.org/gsea/msigdb/cards/KEGG_ECM_RECEPTOR_INTERACTION.html</t>
  </si>
  <si>
    <t>CLASPER_LYMPHATIC_VESSELS_DURING_METASTASIS_DN</t>
  </si>
  <si>
    <t>1281;1290;1278;1291;1292;1293;1462;1289;633;3908;4015;2200;1009;4052;4053;5118</t>
  </si>
  <si>
    <t>COL3A1;COL5A2;COL1A2;COL6A1;COL6A2;COL6A3;VCAN;COL5A1;BGN;LAMA2;LOX;FBN1;CDH11;LTBP1;LTBP2;PCOLCE</t>
  </si>
  <si>
    <t>http://www.broadinstitute.org/gsea/msigdb/cards/CLASPER_LYMPHATIC_VESSELS_DURING_METASTASIS_DN.html</t>
  </si>
  <si>
    <t>1281;7070;1290;3912;7169;1278;1301;1291;1292;1462;1123;6925;7077;4015;894;2200;1306;4060;1009;59;6876;5311;4053;10631;4921;165;10000</t>
  </si>
  <si>
    <t>COL3A1;THY1;COL5A2;LAMB1;TPM2;COL1A2;COL11A1;COL6A1;COL6A2;VCAN;CHN1;TCF4;TIMP2;LOX;CCND2;FBN1;COL15A1;LUM;CDH11;ACTA2;TAGLN;PKD2;LTBP2;POSTN;DDR2;AEBP1;AKT3</t>
  </si>
  <si>
    <t>SASAI_RESISTANCE_TO_NEOPLASTIC_TRANSFROMATION</t>
  </si>
  <si>
    <t>5352;7041;1277;1290;5159;7043;633;4320;50509;2200;6387;2199;6876;11167;4053;5118;64175</t>
  </si>
  <si>
    <t>PLOD2;TGFB1I1;COL1A1;COL5A2;PDGFRB;TGFB3;BGN;MMP11;COL5A3;FBN1;CXCL12;FBLN2;TAGLN;FSTL1;LTBP2;PCOLCE;P3H1</t>
  </si>
  <si>
    <t>http://www.broadinstitute.org/gsea/msigdb/cards/SASAI_RESISTANCE_TO_NEOPLASTIC_TRANSFROMATION.html</t>
  </si>
  <si>
    <t>727936;5352;5924;8825;26585;11248;9509;2335;3912;3678;392617;5156;1289;4015;1306;2668;6387;4323;2619;1012;2199;4920;5592;22795;3490;55083;9644;196051;79633;54796;127435;55959;219699;27319;5654;6423;1303;84617;54112;83716;64094;10418;57124;50507;9254;23194;51176;23024;10699</t>
  </si>
  <si>
    <t>GXYLT2;PLOD2;RASGRF2;LIN7A;GREM1;NXPH3;ADAMTS2;FN1;LAMB1;ITGA5;ELFN1;PDGFRA;COL5A1;LOX;COL15A1;GDNF;CXCL12;MMP14;GAS1;CDH13;FBLN2;ROR2;PRKG1;NID2;IGFBP7;KIF26B;SH3PXD2A;PLPP4;FAT4;BNC2;PODN;SULF2;UNC5B;BHLHE22;HTRA1;SFRP2;COL12A1;TUBB6;GPR88;CRISPLD2;SMOC2;SPON1;CD248;NOX4;CACNA2D2;FBXL7;LEF1;PDZRN3;CORIN</t>
  </si>
  <si>
    <t>1277;1281;1290;1634;7057;1278;6678;1292;1293;894;5176;1306;4060;4237;59;2199;2326;5311;22795;2621;10631;3910;23452</t>
  </si>
  <si>
    <t>COL1A1;COL3A1;COL5A2;DCN;THBS1;COL1A2;SPARC;COL6A2;COL6A3;CCND2;SERPINF1;COL15A1;LUM;MFAP2;ACTA2;FBLN2;FMO1;PKD2;NID2;GAS6;POSTN;LAMA4;ANGPTL2</t>
  </si>
  <si>
    <t>4211;8825;7041;26585;7057;3624;5159;7043;6925;5176;6356;5396;2619;4237;7130;5311;22795;4921;151887;257194;23213;119587;387758;81832;116535;25925;84662;84168;57124;9260;23194;22801;171024</t>
  </si>
  <si>
    <t>MEIS1;LIN7A;TGFB1I1;GREM1;THBS1;INHBA;PDGFRB;TGFB3;TCF4;SERPINF1;CCL11;PRRX1;GAS1;MFAP2;TNFAIP6;PKD2;NID2;DDR2;CCDC80;NEGR1;SULF1;CPXM2;FIBIN;NETO1;MRGPRF;ZNF521;GLIS2;ANTXR1;CD248;PDLIM7;FBXL7;ITGA11;SYNPO2</t>
  </si>
  <si>
    <t>LINDVALL_IMMORTALIZED_BY_TERT_DN</t>
  </si>
  <si>
    <t>5352;3671;8038;1281;2335;1462;1513;3339;1805;2191;4053;3910;84624;151887;10630;119587;131578;83604;84168</t>
  </si>
  <si>
    <t>PLOD2;ISLR;ADAM12;COL3A1;FN1;VCAN;CTSK;HSPG2;DPT;FAP;LTBP2;LAMA4;FNDC1;CCDC80;PDPN;CPXM2;LRRC15;TMEM47;ANTXR1</t>
  </si>
  <si>
    <t>http://www.broadinstitute.org/gsea/msigdb/cards/LINDVALL_IMMORTALIZED_BY_TERT_DN.html</t>
  </si>
  <si>
    <t>4211;2037;8434;1277;1281;710;1634;3912;1278;6678;5159;1292;6925;5156;2252;3908;1346;10398;4015;6387;4237;1009;59;2326;6876;1805;8076;5311;10631;5919;4958;9843;23452</t>
  </si>
  <si>
    <t>MEIS1;EPB41L2;RECK;COL1A1;COL3A1;SERPING1;DCN;LAMB1;COL1A2;SPARC;PDGFRB;COL6A2;TCF4;PDGFRA;FGF7;LAMA2;COX7A1;MYL9;LOX;CXCL12;MFAP2;CDH11;ACTA2;FMO1;TAGLN;DPT;MFAP5;PKD2;POSTN;RARRES2;OMD;HEPH;ANGPTL2</t>
  </si>
  <si>
    <t>9509;30008;1277;1281;1634;1278;6678;5156;7412;2200;1306;6387;4323;4060;4237;1805;4053;10631;10418</t>
  </si>
  <si>
    <t>ADAMTS2;EFEMP2;COL1A1;COL3A1;DCN;COL1A2;SPARC;PDGFRA;VCAM1;FBN1;COL15A1;CXCL12;MMP14;LUM;MFAP2;DPT;LTBP2;POSTN;SPON1</t>
  </si>
  <si>
    <t>PASINI_SUZ12_TARGETS_DN</t>
  </si>
  <si>
    <t>389136;5352;7041;8840;1277;1281;2335;7169;7057;1278;1301;87;1462;7077;1289;4323;1264;59;6876;800;27295;79070;23213;2846;83604;23208;84617;9260;55714</t>
  </si>
  <si>
    <t>VGLL3;PLOD2;TGFB1I1;CCN4;COL1A1;COL3A1;FN1;TPM2;THBS1;COL1A2;COL11A1;ACTN1;VCAN;TIMP2;COL5A1;MMP14;CNN1;ACTA2;TAGLN;CALD1;PDLIM3;POGLUT2;SULF1;LPAR4;TMEM47;SYT11;TUBB6;PDLIM7;TENM3</t>
  </si>
  <si>
    <t>http://www.broadinstitute.org/gsea/msigdb/cards/PASINI_SUZ12_TARGETS_DN.html</t>
  </si>
  <si>
    <t>1277;1281;2335;1290;1278;1301;1462;2200;4060;1300;10631;23213;219699;131578;6423;54829</t>
  </si>
  <si>
    <t>COL1A1;COL3A1;FN1;COL5A2;COL1A2;COL11A1;VCAN;FBN1;LUM;COL10A1;POSTN;SULF1;UNC5B;LRRC15;SFRP2;ASPN</t>
  </si>
  <si>
    <t>3671;1277;1281;1278;1293;1462;7077;1289;633;7292;10398;7058;6387;4060;343450;151887;165;23213;115908;54829;54112;25878;8877</t>
  </si>
  <si>
    <t>ISLR;COL1A1;COL3A1;COL1A2;COL6A3;VCAN;TIMP2;COL5A1;BGN;TNFSF4;MYL9;THBS2;CXCL12;LUM;KCNT2;CCDC80;AEBP1;SULF1;CTHRC1;ASPN;GPR88;MXRA5;SPHK1</t>
  </si>
  <si>
    <t>395;7041;9242;1842;9509;30008;2335;3912;3624;1301;1291;1292;3908;10398;4015;25802;7058;2978;2978;5739;6387;3339;6876;1307;2191;4053;10631;4921;23213;23460;6444;4675;57493;10000</t>
  </si>
  <si>
    <t>ARHGAP6;TGFB1I1;MSC;ECM2;ADAMTS2;EFEMP2;FN1;LAMB1;INHBA;COL11A1;COL6A1;COL6A2;LAMA2;MYL9;LOX;LMOD1;THBS2;GUCA1A;AL096814.2;PTGIR;CXCL12;HSPG2;TAGLN;COL16A1;FAP;LTBP2;POSTN;DDR2;SULF1;ABCA6;SGCD;NAP1L3;HEG1;AKT3</t>
  </si>
  <si>
    <t>YAO_TEMPORAL_RESPONSE_TO_PROGESTERONE_CLUSTER_16</t>
  </si>
  <si>
    <t>1277;1281;1278;6678;1291;1292;1293;87;1462;633;2200;1264;4237;5118;8639;9638;64094;9260</t>
  </si>
  <si>
    <t>COL1A1;COL3A1;COL1A2;SPARC;COL6A1;COL6A2;COL6A3;ACTN1;VCAN;BGN;FBN1;CNN1;MFAP2;PCOLCE;AOC3;FEZ1;SMOC2;PDLIM7</t>
  </si>
  <si>
    <t>http://www.broadinstitute.org/gsea/msigdb/cards/YAO_TEMPORAL_RESPONSE_TO_PROGESTERONE_CLUSTER_16.html</t>
  </si>
  <si>
    <t>SENESE_HDAC1_AND_HDAC2_TARGETS_DN</t>
  </si>
  <si>
    <t>727936;4211;9358;1277;1281;1290;6925;10398;4015;4060;6876;800;1307;11167;8076;5118;4638;3490;51334;54796;151887;115701;83468;51339;27254</t>
  </si>
  <si>
    <t>GXYLT2;MEIS1;ITGBL1;COL1A1;COL3A1;COL5A2;TCF4;MYL9;LOX;LUM;TAGLN;CALD1;COL16A1;FSTL1;MFAP5;PCOLCE;MYLK;IGFBP7;PRR16;BNC2;CCDC80;ALPK2;GLT8D2;DACT1;CSDC2</t>
  </si>
  <si>
    <t>http://www.broadinstitute.org/gsea/msigdb/cards/SENESE_HDAC1_AND_HDAC2_TARGETS_DN.html</t>
  </si>
  <si>
    <t>5352;30008;2335;3912;1291;1292;1289;894;4323;94031;6876;800;5118;4638;3490;3910;64175;115701;55959;10234;221091;122786;9638;91653;23452;57493</t>
  </si>
  <si>
    <t>PLOD2;EFEMP2;FN1;LAMB1;COL6A1;COL6A2;COL5A1;CCND2;MMP14;HTRA3;TAGLN;CALD1;PCOLCE;MYLK;IGFBP7;LAMA4;P3H1;ALPK2;SULF2;LRRC17;LRRN4CL;FRMD6;FEZ1;BOC;ANGPTL2;HEG1</t>
  </si>
  <si>
    <t>KINSEY_TARGETS_OF_EWSR1_FLII_FUSION_DN</t>
  </si>
  <si>
    <t>1277;1281;2335;1290;6678;7077;1289;4015;2200;6876;7216;11167;8991;10631;3490;3910;23090;151887;55959;219654;10234;147906;122786;83872;54587;91653;8877;23452</t>
  </si>
  <si>
    <t>COL1A1;COL3A1;FN1;COL5A2;SPARC;TIMP2;COL5A1;LOX;FBN1;TAGLN;TRO;FSTL1;SELENBP1;POSTN;IGFBP7;LAMA4;ZNF423;CCDC80;SULF2;ZCCHC24;LRRC17;DACT3;FRMD6;HMCN1;MXRA8;BOC;SPHK1;ANGPTL2</t>
  </si>
  <si>
    <t>http://www.broadinstitute.org/gsea/msigdb/cards/KINSEY_TARGETS_OF_EWSR1_FLII_FUSION_DN.html</t>
  </si>
  <si>
    <t>NABA_COLLAGENS</t>
  </si>
  <si>
    <t>1277;1281;1290;1278;1301;1291;1292;1293;1289;1296;50509;1306;1300;1307;1303</t>
  </si>
  <si>
    <t>COL1A1;COL3A1;COL5A2;COL1A2;COL11A1;COL6A1;COL6A2;COL6A3;COL5A1;COL8A2;COL5A3;COL15A1;COL10A1;COL16A1;COL12A1</t>
  </si>
  <si>
    <t>http://www.broadinstitute.org/gsea/msigdb/cards/NABA_COLLAGENS.html</t>
  </si>
  <si>
    <t>2037;30008;2335;1634;3912;3678;7077;5156;5396;94031;3339;4035;5118;4921;64175;25960;54587;9902;23452</t>
  </si>
  <si>
    <t>EPB41L2;EFEMP2;FN1;DCN;LAMB1;ITGA5;TIMP2;PDGFRA;PRRX1;HTRA3;HSPG2;LRP1;PCOLCE;DDR2;P3H1;ADGRA2;MXRA8;AC080038.1;ANGPTL2</t>
  </si>
  <si>
    <t>LIEN_BREAST_CARCINOMA_METAPLASTIC</t>
  </si>
  <si>
    <t>7057;6678;5156;7058;4060;5396;94031;1307;5311;10631;6424;6423;5919;54587</t>
  </si>
  <si>
    <t>THBS1;SPARC;PDGFRA;THBS2;LUM;PRRX1;HTRA3;COL16A1;PKD2;POSTN;SFRP4;SFRP2;RARRES2;MXRA8</t>
  </si>
  <si>
    <t>http://www.broadinstitute.org/gsea/msigdb/cards/LIEN_BREAST_CARCINOMA_METAPLASTIC.html</t>
  </si>
  <si>
    <t>3671;1277;1281;2335;710;1278;3624;716;87;1462;7077;7412;1289;4320;1296;894;2200;1306;1311;4060;1009;6876;6624;115701;165;55959;219654;387758;115908;84168;10418;27122</t>
  </si>
  <si>
    <t>ISLR;COL1A1;COL3A1;FN1;SERPING1;COL1A2;INHBA;C1S;ACTN1;VCAN;TIMP2;VCAM1;COL5A1;MMP11;COL8A2;CCND2;FBN1;COL15A1;COMP;LUM;CDH11;TAGLN;FSCN1;ALPK2;AEBP1;SULF2;ZCCHC24;FIBIN;CTHRC1;ANTXR1;SPON1;DKK3</t>
  </si>
  <si>
    <t>CROMER_TUMORIGENESIS_UP</t>
  </si>
  <si>
    <t>1277;1281;2335;7070;1290;1278;6678;1301;87;4320;4060;4237;2191;10631;10630;131578</t>
  </si>
  <si>
    <t>COL1A1;COL3A1;FN1;THY1;COL5A2;COL1A2;SPARC;COL11A1;ACTN1;MMP11;LUM;MFAP2;FAP;POSTN;PDPN;LRRC15</t>
  </si>
  <si>
    <t>http://www.broadinstitute.org/gsea/msigdb/cards/CROMER_TUMORIGENESIS_UP.html</t>
  </si>
  <si>
    <t>395;8038;26585;8522;8483;1842;2335;1634;7169;7057;3624;1301;7412;4015;5176;1306;1513;1311;5549;7130;2326;8991;8639;165;23213;23460;4958;50507;55714;23452</t>
  </si>
  <si>
    <t>ARHGAP6;ADAM12;GREM1;AC005747.1;CILP;ECM2;FN1;DCN;TPM2;THBS1;INHBA;COL11A1;VCAM1;LOX;SERPINF1;COL15A1;CTSK;COMP;PRELP;TNFAIP6;FMO1;SELENBP1;AOC3;AEBP1;SULF1;ABCA6;OMD;NOX4;TENM3;ANGPTL2</t>
  </si>
  <si>
    <t>ONDER_CDH1_SIGNALING_VIA_CTNNB1</t>
  </si>
  <si>
    <t>26585;1278;1293;1462;633;10398;2200;5396;4237;1009;59;6876;6695;4052;4053;10631;3490</t>
  </si>
  <si>
    <t>GREM1;COL1A2;COL6A3;VCAN;BGN;MYL9;FBN1;PRRX1;MFAP2;CDH11;ACTA2;TAGLN;SPOCK1;LTBP1;LTBP2;POSTN;IGFBP7</t>
  </si>
  <si>
    <t>http://www.broadinstitute.org/gsea/msigdb/cards/ONDER_CDH1_SIGNALING_VIA_CTNNB1.html</t>
  </si>
  <si>
    <t>KAAB_HEART_ATRIUM_VS_VENTRICLE_UP</t>
  </si>
  <si>
    <t>3671;7041;87;1462;5322;1311;5549;2619;59;2199;3339;4920;6876;1805;6695;4638;4921;165;219699;6910;9638;5919;9254;57493</t>
  </si>
  <si>
    <t>ISLR;TGFB1I1;ACTN1;VCAN;PLA2G5;COMP;PRELP;GAS1;ACTA2;FBLN2;HSPG2;ROR2;TAGLN;DPT;SPOCK1;MYLK;DDR2;AEBP1;UNC5B;TBX5;FEZ1;RARRES2;CACNA2D2;HEG1</t>
  </si>
  <si>
    <t>http://www.broadinstitute.org/gsea/msigdb/cards/KAAB_HEART_ATRIUM_VS_VENTRICLE_UP.html</t>
  </si>
  <si>
    <t>1281;1634;3912;4313;3624;6678;5159;1291;1292;5156;2619;3339;2326;5118;4921;5654</t>
  </si>
  <si>
    <t>COL3A1;DCN;LAMB1;MMP2;INHBA;SPARC;PDGFRB;COL6A1;COL6A2;PDGFRA;GAS1;HSPG2;FMO1;PCOLCE;DDR2;HTRA1</t>
  </si>
  <si>
    <t>IZADPANAH_STEM_CELL_ADIPOSE_VS_BONE_DN</t>
  </si>
  <si>
    <t>5352;710;1290;3912;6925;4015;2200;1009;8076;4053;10631;3910;151887;127435;10234;6423;54829;10335</t>
  </si>
  <si>
    <t>PLOD2;SERPING1;COL5A2;LAMB1;TCF4;LOX;FBN1;CDH11;MFAP5;LTBP2;POSTN;LAMA4;CCDC80;PODN;LRRC17;SFRP2;ASPN;MRVI1</t>
  </si>
  <si>
    <t>http://www.broadinstitute.org/gsea/msigdb/cards/IZADPANAH_STEM_CELL_ADIPOSE_VS_BONE_DN.html</t>
  </si>
  <si>
    <t>3671;4313;1291;1292;7058;4323;1300;10631;338773;151887;257194;10350;254228;344558;91179;6423;4958;54829;83468;64094;79827;9902;27122;23194;11117</t>
  </si>
  <si>
    <t>ISLR;MMP2;COL6A1;COL6A2;THBS2;MMP14;COL10A1;POSTN;TMEM119;CCDC80;NEGR1;ABCA9;CALHM5;SH3RF3;SCARF2;SFRP2;OMD;ASPN;GLT8D2;SMOC2;CLMP;AC080038.1;DKK3;FBXL7;EMILIN1</t>
  </si>
  <si>
    <t>SENESE_HDAC1_TARGETS_DN</t>
  </si>
  <si>
    <t>727936;4211;30008;1277;1281;1301;6925;1289;1264;1012;1307;7216;11167;5311;4638;3316;54796;4675;1303;84662;50507;9902;27122;27254</t>
  </si>
  <si>
    <t>GXYLT2;MEIS1;EFEMP2;COL1A1;COL3A1;COL11A1;TCF4;COL5A1;CNN1;CDH13;COL16A1;TRO;FSTL1;PKD2;MYLK;HSPB2;BNC2;NAP1L3;COL12A1;GLIS2;NOX4;AC080038.1;DKK3;CSDC2</t>
  </si>
  <si>
    <t>http://www.broadinstitute.org/gsea/msigdb/cards/SENESE_HDAC1_TARGETS_DN.html</t>
  </si>
  <si>
    <t>PID_AVB3_INTEGRIN_PATHWAY</t>
  </si>
  <si>
    <t>1277;1281;2335;1290;1278;1301;1291;1292;1293;1289;1296;1306;1300;1307;25960;1303</t>
  </si>
  <si>
    <t>COL1A1;COL3A1;FN1;COL5A2;COL1A2;COL11A1;COL6A1;COL6A2;COL6A3;COL5A1;COL8A2;COL15A1;COL10A1;COL16A1;ADGRA2;COL12A1</t>
  </si>
  <si>
    <t>http://www.broadinstitute.org/gsea/msigdb/cards/PID_AVB3_INTEGRIN_PATHWAY.html</t>
  </si>
  <si>
    <t>PID_SYNDECAN_1_PATHWAY</t>
  </si>
  <si>
    <t>1277;1281;1290;1278;1301;1291;1292;1293;1289;1296;1306;1300;1307;1303</t>
  </si>
  <si>
    <t>COL1A1;COL3A1;COL5A2;COL1A2;COL11A1;COL6A1;COL6A2;COL6A3;COL5A1;COL8A2;COL15A1;COL10A1;COL16A1;COL12A1</t>
  </si>
  <si>
    <t>http://www.broadinstitute.org/gsea/msigdb/cards/PID_SYNDECAN_1_PATHWAY.html</t>
  </si>
  <si>
    <t>5352;1277;2335;1290;4313;6678;5159;1462;4320;10398;5350;7058;2200;1513;953;4060;1264;7130;2199;800;2191;4052;10631;5118;4638;3910;23176</t>
  </si>
  <si>
    <t>PLOD2;COL1A1;FN1;COL5A2;MMP2;SPARC;PDGFRB;VCAN;MMP11;MYL9;PLN;THBS2;FBN1;CTSK;ENTPD1;LUM;CNN1;TNFAIP6;FBLN2;CALD1;FAP;LTBP1;POSTN;PCOLCE;MYLK;LAMA4;SEPT8</t>
  </si>
  <si>
    <t>9509;1277;1281;2335;7070;1290;3912;1278;3624;6678;1462;1123;1289;2200;1306;4345;1009;59;7130;800;10631;114801;23213;171024;10000</t>
  </si>
  <si>
    <t>ADAMTS2;COL1A1;COL3A1;FN1;THY1;COL5A2;LAMB1;COL1A2;INHBA;SPARC;VCAN;CHN1;COL5A1;FBN1;COL15A1;CD200;CDH11;ACTA2;TNFAIP6;CALD1;POSTN;TMEM200A;SULF1;SYNPO2;AKT3</t>
  </si>
  <si>
    <t>2037;6591;8434;1291;1292;800;1307;11167;5311;2621;165;114757;5654;25925;83604;84617;23024</t>
  </si>
  <si>
    <t>EPB41L2;SNAI2;RECK;COL6A1;COL6A2;CALD1;COL16A1;FSTL1;PKD2;GAS6;AEBP1;CYGB;HTRA1;ZNF521;TMEM47;TUBB6;PDZRN3</t>
  </si>
  <si>
    <t>WILCOX_RESPONSE_TO_PROGESTERONE_DN</t>
  </si>
  <si>
    <t>1277;2335;1290;7057;1278;4313;3624;1301;1291;1346;10398;1296;1307;9260;50863</t>
  </si>
  <si>
    <t>COL1A1;FN1;COL5A2;THBS1;COL1A2;MMP2;INHBA;COL11A1;COL6A1;COX7A1;MYL9;COL8A2;COL16A1;PDLIM7;NTM</t>
  </si>
  <si>
    <t>http://www.broadinstitute.org/gsea/msigdb/cards/WILCOX_RESPONSE_TO_PROGESTERONE_DN.html</t>
  </si>
  <si>
    <t>MCBRYAN_PUBERTAL_TGFB1_TARGETS_UP</t>
  </si>
  <si>
    <t>5352;2037;2335;7169;4313;1462;7077;4323;1264;1009;59;72;7130;3339;6876;800;1307;5118;5654;27122</t>
  </si>
  <si>
    <t>PLOD2;EPB41L2;FN1;TPM2;MMP2;VCAN;TIMP2;MMP14;CNN1;CDH11;ACTA2;ACTG2;TNFAIP6;HSPG2;TAGLN;CALD1;COL16A1;PCOLCE;HTRA1;DKK3</t>
  </si>
  <si>
    <t>http://www.broadinstitute.org/gsea/msigdb/cards/MCBRYAN_PUBERTAL_TGFB1_TARGETS_UP.html</t>
  </si>
  <si>
    <t>5352;3671;395;7041;6591;1842;9945;30008;710;1634;1278;4313;6678;5159;716;1292;1293;1462;7412;5225;633;3908;1296;2200;5322;2825;5549;5396;2619;6876;5351;800;4053;4638;3316;3910;4921;27295;6424;10630;165;2846;9638;5919;9843;57124;8877;9902;27122;23194;51176;23452;29940;10000</t>
  </si>
  <si>
    <t>PLOD2;ISLR;ARHGAP6;TGFB1I1;SNAI2;ECM2;GFPT2;EFEMP2;SERPING1;DCN;COL1A2;MMP2;SPARC;PDGFRB;C1S;COL6A2;COL6A3;VCAN;VCAM1;PGC;BGN;LAMA2;COL8A2;FBN1;PLA2G5;GPR1;PRELP;PRRX1;GAS1;TAGLN;PLOD1;CALD1;LTBP2;MYLK;HSPB2;LAMA4;DDR2;PDLIM3;SFRP4;PDPN;AEBP1;LPAR4;FEZ1;RARRES2;HEPH;CD248;SPHK1;AC080038.1;DKK3;FBXL7;LEF1;ANGPTL2;DSE;AKT3</t>
  </si>
  <si>
    <t>LANDIS_ERBB2_BREAST_TUMORS_324_DN</t>
  </si>
  <si>
    <t>1277;1281;3912;1291;1293;1289;10398;6387;6356;4060;59;1805;11167;2621;10631;151887;5654;9843;23452</t>
  </si>
  <si>
    <t>COL1A1;COL3A1;LAMB1;COL6A1;COL6A3;COL5A1;MYL9;CXCL12;CCL11;LUM;ACTA2;DPT;FSTL1;GAS6;POSTN;CCDC80;HTRA1;HEPH;ANGPTL2</t>
  </si>
  <si>
    <t>http://www.broadinstitute.org/gsea/msigdb/cards/LANDIS_ERBB2_BREAST_TUMORS_324_DN.html</t>
  </si>
  <si>
    <t>GU_PDEF_TARGETS_UP</t>
  </si>
  <si>
    <t>6591;1277;2335;1290;3678;1291;1292;1293;6925;1289;6935;1009;1307;27122;51176</t>
  </si>
  <si>
    <t>SNAI2;COL1A1;FN1;COL5A2;ITGA5;COL6A1;COL6A2;COL6A3;TCF4;COL5A1;ZEB1;CDH11;COL16A1;DKK3;LEF1</t>
  </si>
  <si>
    <t>http://www.broadinstitute.org/gsea/msigdb/cards/GU_PDEF_TARGETS_UP.html</t>
  </si>
  <si>
    <t>1277;1281;2335;1290;1278;3624;1301;1462;2200;1300;6424;23213;219699;131578;115908</t>
  </si>
  <si>
    <t>COL1A1;COL3A1;FN1;COL5A2;COL1A2;INHBA;COL11A1;VCAN;FBN1;COL10A1;SFRP4;SULF1;UNC5B;LRRC15;CTHRC1</t>
  </si>
  <si>
    <t>SENESE_HDAC2_TARGETS_DN</t>
  </si>
  <si>
    <t>727936;30008;1277;1281;1290;1301;10398;4015;4060;1009;6876;8076;3490;54796;115701;219654;23208;51339</t>
  </si>
  <si>
    <t>GXYLT2;EFEMP2;COL1A1;COL3A1;COL5A2;COL11A1;MYL9;LOX;LUM;CDH11;TAGLN;MFAP5;IGFBP7;BNC2;ALPK2;ZCCHC24;SYT11;DACT1</t>
  </si>
  <si>
    <t>http://www.broadinstitute.org/gsea/msigdb/cards/SENESE_HDAC2_TARGETS_DN.html</t>
  </si>
  <si>
    <t>WESTON_VEGFA_TARGETS_6HR</t>
  </si>
  <si>
    <t>7070;1278;4313;716;1291;1293;1462;7412;1289;633;4920;2191;22795;10631</t>
  </si>
  <si>
    <t>THY1;COL1A2;MMP2;C1S;COL6A1;COL6A3;VCAN;VCAM1;COL5A1;BGN;ROR2;FAP;NID2;POSTN</t>
  </si>
  <si>
    <t>http://www.broadinstitute.org/gsea/msigdb/cards/WESTON_VEGFA_TARGETS_6HR.html</t>
  </si>
  <si>
    <t>CROONQUIST_STROMAL_STIMULATION_UP</t>
  </si>
  <si>
    <t>7169;1278;6678;1291;1293;1462;4015;7058;4060;59;3490;3910;6624;23213</t>
  </si>
  <si>
    <t>TPM2;COL1A2;SPARC;COL6A1;COL6A3;VCAN;LOX;THBS2;LUM;ACTA2;IGFBP7;LAMA4;FSCN1;SULF1</t>
  </si>
  <si>
    <t>http://www.broadinstitute.org/gsea/msigdb/cards/CROONQUIST_STROMAL_STIMULATION_UP.html</t>
  </si>
  <si>
    <t>727936;7041;8434;7169;10398;25802;894;6356;5549;1264;781;2619;59;72;6876;800;1805;6695;4638;27295;151887;9260;171024;10335</t>
  </si>
  <si>
    <t>GXYLT2;TGFB1I1;RECK;TPM2;MYL9;LMOD1;CCND2;CCL11;PRELP;CNN1;CACNA2D1;GAS1;ACTA2;ACTG2;TAGLN;CALD1;DPT;SPOCK1;MYLK;PDLIM3;CCDC80;PDLIM7;SYNPO2;MRVI1</t>
  </si>
  <si>
    <t>5352;8038;26585;9509;710;4313;3624;392617;7043;7077;2252;7292;4320;4015;5176;2668;1513;6387;4323;6356;81792;94031;5351;11167;64175;6424;84898;283208;55959;23213;5654;2259;6423;23452;6320</t>
  </si>
  <si>
    <t>PLOD2;ADAM12;GREM1;ADAMTS2;SERPING1;MMP2;INHBA;ELFN1;TGFB3;TIMP2;FGF7;TNFSF4;MMP11;LOX;SERPINF1;GDNF;CTSK;CXCL12;MMP14;CCL11;ADAMTS12;HTRA3;PLOD1;FSTL1;P3H1;SFRP4;PLXDC2;P4HA3;SULF2;SULF1;HTRA1;FGF14;SFRP2;ANGPTL2;CLEC11A</t>
  </si>
  <si>
    <t>8038;26585;8840;1281;2335;1290;3624;1301;1293;1462;7412;1289;7292;4320;6356;1009;7130;1300;2191;22795;51334;23213;131578</t>
  </si>
  <si>
    <t>ADAM12;GREM1;CCN4;COL3A1;FN1;COL5A2;INHBA;COL11A1;COL6A3;VCAN;VCAM1;COL5A1;TNFSF4;MMP11;CCL11;CDH11;TNFAIP6;COL10A1;FAP;NID2;PRR16;SULF1;LRRC15</t>
  </si>
  <si>
    <t>ROY_WOUND_BLOOD_VESSEL_UP</t>
  </si>
  <si>
    <t>1281;7070;1290;1462;1123;50509;4060;22795;10631;23213;23194;23452;57493</t>
  </si>
  <si>
    <t>COL3A1;THY1;COL5A2;VCAN;CHN1;COL5A3;LUM;NID2;POSTN;SULF1;FBXL7;ANGPTL2;HEG1</t>
  </si>
  <si>
    <t>http://www.broadinstitute.org/gsea/msigdb/cards/ROY_WOUND_BLOOD_VESSEL_UP.html</t>
  </si>
  <si>
    <t>BROWNE_HCMV_INFECTION_18HR_DN</t>
  </si>
  <si>
    <t>8038;7041;26585;9242;8434;1281;7057;5159;1291;1292;1462;2621;11245;4638;10630;10234;6444;23452;11117</t>
  </si>
  <si>
    <t>ADAM12;TGFB1I1;GREM1;MSC;RECK;COL3A1;THBS1;PDGFRB;COL6A1;COL6A2;VCAN;GAS6;GPR176;MYLK;PDPN;LRRC17;SGCD;ANGPTL2;EMILIN1</t>
  </si>
  <si>
    <t>http://www.broadinstitute.org/gsea/msigdb/cards/BROWNE_HCMV_INFECTION_18HR_DN.html</t>
  </si>
  <si>
    <t>THUM_MIR21_TARGETS_HEART_DISEASE_UP</t>
  </si>
  <si>
    <t>1277;1290;1278;7043;633;4015;4060;4053;10631;54829</t>
  </si>
  <si>
    <t>COL1A1;COL5A2;COL1A2;TGFB3;BGN;LOX;LUM;LTBP2;POSTN;ASPN</t>
  </si>
  <si>
    <t>http://www.broadinstitute.org/gsea/msigdb/cards/THUM_MIR21_TARGETS_HEART_DISEASE_UP.html</t>
  </si>
  <si>
    <t>LANDIS_BREAST_CANCER_PROGRESSION_DN</t>
  </si>
  <si>
    <t>1277;1281;3912;1293;1289;6387;4060;1805;11167;2621;151887;5654;9843;23452</t>
  </si>
  <si>
    <t>COL1A1;COL3A1;LAMB1;COL6A3;COL5A1;CXCL12;LUM;DPT;FSTL1;GAS6;CCDC80;HTRA1;HEPH;ANGPTL2</t>
  </si>
  <si>
    <t>http://www.broadinstitute.org/gsea/msigdb/cards/LANDIS_BREAST_CANCER_PROGRESSION_DN.html</t>
  </si>
  <si>
    <t>ROZANOV_MMP14_TARGETS_SUBSET</t>
  </si>
  <si>
    <t>5352;2335;3912;1291;1292;1289;800;3910;64175;55959;23452</t>
  </si>
  <si>
    <t>PLOD2;FN1;LAMB1;COL6A1;COL6A2;COL5A1;CALD1;LAMA4;P3H1;SULF2;ANGPTL2</t>
  </si>
  <si>
    <t>http://www.broadinstitute.org/gsea/msigdb/cards/ROZANOV_MMP14_TARGETS_SUBSET.html</t>
  </si>
  <si>
    <t>BROWNE_HCMV_INFECTION_24HR_DN</t>
  </si>
  <si>
    <t>8434;1290;7169;7057;5159;1293;2200;1012;59;800;5592;2621;11245;3910;283298;9260;25878</t>
  </si>
  <si>
    <t>RECK;COL5A2;TPM2;THBS1;PDGFRB;COL6A3;FBN1;CDH13;ACTA2;CALD1;PRKG1;GAS6;GPR176;LAMA4;OLFML1;PDLIM7;MXRA5</t>
  </si>
  <si>
    <t>http://www.broadinstitute.org/gsea/msigdb/cards/BROWNE_HCMV_INFECTION_24HR_DN.html</t>
  </si>
  <si>
    <t>LINDGREN_BLADDER_CANCER_HIGH_RECURRENCE</t>
  </si>
  <si>
    <t>1290;1278;6678;1462;7412;10398;5396;94031;22795;4638;3910;165</t>
  </si>
  <si>
    <t>COL5A2;COL1A2;SPARC;VCAN;VCAM1;MYL9;PRRX1;HTRA3;NID2;MYLK;LAMA4;AEBP1</t>
  </si>
  <si>
    <t>http://www.broadinstitute.org/gsea/msigdb/cards/LINDGREN_BLADDER_CANCER_HIGH_RECURRENCE.html</t>
  </si>
  <si>
    <t>NABA_PROTEOGLYCANS</t>
  </si>
  <si>
    <t>1634;1462;633;4060;5549;3339;6695;79883;127435;4958;54829</t>
  </si>
  <si>
    <t>DCN;VCAN;BGN;LUM;PRELP;HSPG2;SPOCK1;PODNL1;PODN;OMD;ASPN</t>
  </si>
  <si>
    <t>http://www.broadinstitute.org/gsea/msigdb/cards/NABA_PROTEOGLYCANS.html</t>
  </si>
  <si>
    <t>1842;8840;1281;3624;5159;1291;5176;4060;72;10631;5118;283298;116535;54829;23452;11117</t>
  </si>
  <si>
    <t>ECM2;CCN4;COL3A1;INHBA;PDGFRB;COL6A1;SERPINF1;LUM;ACTG2;POSTN;PCOLCE;OLFML1;MRGPRF;ASPN;ANGPTL2;EMILIN1</t>
  </si>
  <si>
    <t>9509;1281;1634;633;7292;6387;4060;2191;4053;9697;10631;5118;4638;160428;54796;151887;23213;10234;131578;10699</t>
  </si>
  <si>
    <t>ADAMTS2;COL3A1;DCN;BGN;TNFSF4;CXCL12;LUM;FAP;LTBP2;TRAM2;POSTN;PCOLCE;MYLK;ALDH1L2;BNC2;CCDC80;SULF1;LRRC17;LRRC15;CORIN</t>
  </si>
  <si>
    <t>CUI_TCF21_TARGETS_UP</t>
  </si>
  <si>
    <t>3671;1281;1634;1291;1292;1462;1296;894;5176;4060;2191</t>
  </si>
  <si>
    <t>ISLR;COL3A1;DCN;COL6A1;COL6A2;VCAN;COL8A2;CCND2;SERPINF1;LUM;FAP</t>
  </si>
  <si>
    <t>http://www.broadinstitute.org/gsea/msigdb/cards/CUI_TCF21_TARGETS_UP.html</t>
  </si>
  <si>
    <t>26585;30008;1277;2335;1290;7169;1278;100127983;1301;1291;1293;6925;1289;10398;4015;894;7058;1264;59;11167;8076;22795;5118;3910;64175;84898;151887;10234;114757;6444;115908;84628;25960;1303;84617;54829;83716;64094;80114;27122</t>
  </si>
  <si>
    <t>GREM1;EFEMP2;COL1A1;FN1;COL5A2;TPM2;COL1A2;C8orf88;COL11A1;COL6A1;COL6A3;TCF4;COL5A1;MYL9;LOX;CCND2;THBS2;CNN1;ACTA2;FSTL1;MFAP5;NID2;PCOLCE;LAMA4;P3H1;PLXDC2;CCDC80;LRRC17;CYGB;SGCD;CTHRC1;NTNG2;ADGRA2;COL12A1;TUBB6;ASPN;CRISPLD2;SMOC2;BICC1;DKK3</t>
  </si>
  <si>
    <t>1277;1281;2335;7070;7057;1278;3624;6678;5159;1293;7077;5156;7412;1289;4015;2619;800;11167;10631;9260</t>
  </si>
  <si>
    <t>COL1A1;COL3A1;FN1;THY1;THBS1;COL1A2;INHBA;SPARC;PDGFRB;COL6A3;TIMP2;PDGFRA;VCAM1;COL5A1;LOX;GAS1;CALD1;FSTL1;POSTN;PDLIM7</t>
  </si>
  <si>
    <t>NABA_BASEMENT_MEMBRANES</t>
  </si>
  <si>
    <t>3912;1291;1292;1293;3908;1306;3339;22795;3910;84628;83872</t>
  </si>
  <si>
    <t>LAMB1;COL6A1;COL6A2;COL6A3;LAMA2;COL15A1;HSPG2;NID2;LAMA4;NTNG2;HMCN1</t>
  </si>
  <si>
    <t>http://www.broadinstitute.org/gsea/msigdb/cards/NABA_BASEMENT_MEMBRANES.html</t>
  </si>
  <si>
    <t>VERRECCHIA_EARLY_RESPONSE_TO_TGFB1</t>
  </si>
  <si>
    <t>1281;2335;1278;6678;1291;1293;1462;4323;3339;4035;3910;10234</t>
  </si>
  <si>
    <t>COL3A1;FN1;COL1A2;SPARC;COL6A1;COL6A3;VCAN;MMP14;HSPG2;LRP1;LAMA4;LRRC17</t>
  </si>
  <si>
    <t>http://www.broadinstitute.org/gsea/msigdb/cards/VERRECCHIA_EARLY_RESPONSE_TO_TGFB1.html</t>
  </si>
  <si>
    <t>3912;7169;1278;6678;1293;1462;7058;59;1307;10631;3490;3910;6624;23213</t>
  </si>
  <si>
    <t>LAMB1;TPM2;COL1A2;SPARC;COL6A3;VCAN;THBS2;ACTA2;COL16A1;POSTN;IGFBP7;LAMA4;FSCN1;SULF1</t>
  </si>
  <si>
    <t>NABA_ECM_REGULATORS</t>
  </si>
  <si>
    <t>5352;8038;9509;710;4313;7077;4320;4015;5176;1513;4323;81792;94031;5351;64175;283208;55959;23213;5654</t>
  </si>
  <si>
    <t>PLOD2;ADAM12;ADAMTS2;SERPING1;MMP2;TIMP2;MMP11;LOX;SERPINF1;CTSK;MMP14;ADAMTS12;HTRA3;PLOD1;P3H1;P4HA3;SULF2;SULF1;HTRA1</t>
  </si>
  <si>
    <t>http://www.broadinstitute.org/gsea/msigdb/cards/NABA_ECM_REGULATORS.html</t>
  </si>
  <si>
    <t>CHANDRAN_METASTASIS_DN</t>
  </si>
  <si>
    <t>30008;1296;781;5396;4638;4921;57616;29951;127435;116535;147906;84617;91653;83700;84662;83716;64094;25878;171024;90627;10335</t>
  </si>
  <si>
    <t>EFEMP2;COL8A2;CACNA2D1;PRRX1;MYLK;DDR2;TSHZ3;PDZRN4;PODN;MRGPRF;DACT3;TUBB6;BOC;JAM3;GLIS2;CRISPLD2;SMOC2;MXRA5;SYNPO2;STARD13;MRVI1</t>
  </si>
  <si>
    <t>http://www.broadinstitute.org/gsea/msigdb/cards/CHANDRAN_METASTASIS_DN.html</t>
  </si>
  <si>
    <t>GERHOLD_ADIPOGENESIS_DN</t>
  </si>
  <si>
    <t>8522;2335;7057;5159;1462;2252;894;7058;6387;4323;2619;2621</t>
  </si>
  <si>
    <t>AC005747.1;FN1;THBS1;PDGFRB;VCAN;FGF7;CCND2;THBS2;CXCL12;MMP14;GAS1;GAS6</t>
  </si>
  <si>
    <t>http://www.broadinstitute.org/gsea/msigdb/cards/GERHOLD_ADIPOGENESIS_DN.html</t>
  </si>
  <si>
    <t>GAUSSMANN_MLL_AF4_FUSION_TARGETS_F_UP</t>
  </si>
  <si>
    <t>9509;1281;7043;1291;1292;4015;1264;2619;4237;72;8076;2621;4053;84898;27319;9638;27122</t>
  </si>
  <si>
    <t>ADAMTS2;COL3A1;TGFB3;COL6A1;COL6A2;LOX;CNN1;GAS1;MFAP2;ACTG2;MFAP5;GAS6;LTBP2;PLXDC2;BHLHE22;FEZ1;DKK3</t>
  </si>
  <si>
    <t>http://www.broadinstitute.org/gsea/msigdb/cards/GAUSSMANN_MLL_AF4_FUSION_TARGETS_F_UP.html</t>
  </si>
  <si>
    <t>WESTON_VEGFA_TARGETS</t>
  </si>
  <si>
    <t>http://www.broadinstitute.org/gsea/msigdb/cards/WESTON_VEGFA_TARGETS.html</t>
  </si>
  <si>
    <t>SUNG_METASTASIS_STROMA_UP</t>
  </si>
  <si>
    <t>5352;6591;1281;7070;1290;6678;1462;1289;7058;2199;3339;5351;1303;83604</t>
  </si>
  <si>
    <t>PLOD2;SNAI2;COL3A1;THY1;COL5A2;SPARC;VCAN;COL5A1;THBS2;FBLN2;HSPG2;PLOD1;COL12A1;TMEM47</t>
  </si>
  <si>
    <t>http://www.broadinstitute.org/gsea/msigdb/cards/SUNG_METASTASIS_STROMA_UP.html</t>
  </si>
  <si>
    <t>YAGUE_PRETUMOR_DRUG_RESISTANCE_DN</t>
  </si>
  <si>
    <t>4313;1462;800;4053;9697;8642;50863;29940</t>
  </si>
  <si>
    <t>MMP2;VCAN;CALD1;LTBP2;TRAM2;DCHS1;NTM;DSE</t>
  </si>
  <si>
    <t>http://www.broadinstitute.org/gsea/msigdb/cards/YAGUE_PRETUMOR_DRUG_RESISTANCE_DN.html</t>
  </si>
  <si>
    <t>CAIRO_LIVER_DEVELOPMENT_UP</t>
  </si>
  <si>
    <t>5352;8840;8434;1290;5156;2619;4237;7216;23090;10630;2846;83604;9843;57124;23024;10000</t>
  </si>
  <si>
    <t>PLOD2;CCN4;RECK;COL5A2;PDGFRA;GAS1;MFAP2;TRO;ZNF423;PDPN;LPAR4;TMEM47;HEPH;CD248;PDZRN3;AKT3</t>
  </si>
  <si>
    <t>http://www.broadinstitute.org/gsea/msigdb/cards/CAIRO_LIVER_DEVELOPMENT_UP.html</t>
  </si>
  <si>
    <t>STEGER_ADIPOGENESIS_DN</t>
  </si>
  <si>
    <t>8840;4313;7077;4015;7058;1805;11167;10631;10630</t>
  </si>
  <si>
    <t>CCN4;MMP2;TIMP2;LOX;THBS2;DPT;FSTL1;POSTN;PDPN</t>
  </si>
  <si>
    <t>http://www.broadinstitute.org/gsea/msigdb/cards/STEGER_ADIPOGENESIS_DN.html</t>
  </si>
  <si>
    <t>3671;8038;1277;1281;2335;710;1290;1634;1278;6678;1301;1292;7412;633;10398;4060;4237;800;11167;5311;22795;4638;165;54551;10335</t>
  </si>
  <si>
    <t>ISLR;ADAM12;COL1A1;COL3A1;FN1;SERPING1;COL5A2;DCN;COL1A2;SPARC;COL11A1;COL6A2;VCAM1;BGN;MYL9;LUM;MFAP2;CALD1;FSTL1;PKD2;NID2;MYLK;AEBP1;MAGEL2;MRVI1</t>
  </si>
  <si>
    <t>RUIZ_TNC_TARGETS_UP</t>
  </si>
  <si>
    <t>4211;1281;1290;1278;5159;5156;7412;6387;1009;7216;8991;3490;25903;219654;51176</t>
  </si>
  <si>
    <t>MEIS1;COL3A1;COL5A2;COL1A2;PDGFRB;PDGFRA;VCAM1;CXCL12;CDH11;TRO;SELENBP1;IGFBP7;OLFML2B;ZCCHC24;LEF1</t>
  </si>
  <si>
    <t>http://www.broadinstitute.org/gsea/msigdb/cards/RUIZ_TNC_TARGETS_UP.html</t>
  </si>
  <si>
    <t>PID_INTEGRIN3_PATHWAY</t>
  </si>
  <si>
    <t>1277;2335;7070;3912;7057;1278;5159;2200;3910;8877</t>
  </si>
  <si>
    <t>COL1A1;FN1;THY1;LAMB1;THBS1;COL1A2;PDGFRB;FBN1;LAMA4;SPHK1</t>
  </si>
  <si>
    <t>http://www.broadinstitute.org/gsea/msigdb/cards/PID_INTEGRIN3_PATHWAY.html</t>
  </si>
  <si>
    <t>9358;1281;2335;7057;1278;4313;3624;1462;6925;1009;800;8076;22795;4052;3910;151887;114757;1303;27122</t>
  </si>
  <si>
    <t>ITGBL1;COL3A1;FN1;THBS1;COL1A2;MMP2;INHBA;VCAN;TCF4;CDH11;CALD1;MFAP5;NID2;LTBP1;LAMA4;CCDC80;CYGB;COL12A1;DKK3</t>
  </si>
  <si>
    <t>VANHARANTA_UTERINE_FIBROID_UP</t>
  </si>
  <si>
    <t>1277;1281;2335;1290;4320;4237;4053;23213;9843;90627</t>
  </si>
  <si>
    <t>COL1A1;COL3A1;FN1;COL5A2;MMP11;MFAP2;LTBP2;SULF1;HEPH;STARD13</t>
  </si>
  <si>
    <t>http://www.broadinstitute.org/gsea/msigdb/cards/VANHARANTA_UTERINE_FIBROID_UP.html</t>
  </si>
  <si>
    <t>SWEET_KRAS_TARGETS_UP</t>
  </si>
  <si>
    <t>9242;1277;6678;716;1289;10398;3339;6876;800;6695;3490;27122</t>
  </si>
  <si>
    <t>MSC;COL1A1;SPARC;C1S;COL5A1;MYL9;HSPG2;TAGLN;CALD1;SPOCK1;IGFBP7;DKK3</t>
  </si>
  <si>
    <t>http://www.broadinstitute.org/gsea/msigdb/cards/SWEET_KRAS_TARGETS_UP.html</t>
  </si>
  <si>
    <t>4211;6591;9242;8633;5241;3912;4313;5156;25802;7058;2200;2668;1311;94031;5592;4053;84624;25903;6424;257194;114784;127435;219699;27319;84628;25960;6910;9638;1303;5919;54112;64094;64084;10418;29767;51176</t>
  </si>
  <si>
    <t>MEIS1;SNAI2;MSC;UNC5C;PGR;LAMB1;MMP2;PDGFRA;LMOD1;THBS2;FBN1;GDNF;COMP;HTRA3;PRKG1;LTBP2;FNDC1;OLFML2B;SFRP4;NEGR1;CSMD2;PODN;UNC5B;BHLHE22;NTNG2;ADGRA2;TBX5;FEZ1;COL12A1;RARRES2;GPR88;SMOC2;CLSTN2;SPON1;TMOD2;LEF1</t>
  </si>
  <si>
    <t>2037;2335;7057;3678;5159;7077;5156;4882;1289;2252;4320;4015;5176;4323;2199;5351;800;1307;4035;64175;79070;23452;11117</t>
  </si>
  <si>
    <t>EPB41L2;FN1;THBS1;ITGA5;PDGFRB;TIMP2;PDGFRA;NPR2;COL5A1;FGF7;MMP11;LOX;SERPINF1;MMP14;FBLN2;PLOD1;CALD1;COL16A1;LRP1;P3H1;POGLUT2;ANGPTL2;EMILIN1</t>
  </si>
  <si>
    <t>4313;6678;7043;7077;5156;7058;5176;1306;6387;6356;6424;6423;8877;23452;57493</t>
  </si>
  <si>
    <t>MMP2;SPARC;TGFB3;TIMP2;PDGFRA;THBS2;SERPINF1;COL15A1;CXCL12;CCL11;SFRP4;SFRP2;SPHK1;ANGPTL2;HEG1</t>
  </si>
  <si>
    <t>8038;26585;9509;1277;1281;2335;7070;1290;3912;1278;3624;6678;1293;1462;1123;1289;633;7292;894;7058;2200;1306;4345;781;59;7130;1300;800;9697;10631;3910;6624;196051;79070;89795;23213;84251;83716;171024;10000</t>
  </si>
  <si>
    <t>ADAM12;GREM1;ADAMTS2;COL1A1;COL3A1;FN1;THY1;COL5A2;LAMB1;COL1A2;INHBA;SPARC;COL6A3;VCAN;CHN1;COL5A1;BGN;TNFSF4;CCND2;THBS2;FBN1;COL15A1;CD200;CACNA2D1;ACTA2;TNFAIP6;COL10A1;CALD1;TRAM2;POSTN;LAMA4;FSCN1;PLPP4;POGLUT2;NAV3;SULF1;SGIP1;CRISPLD2;SYNPO2;AKT3</t>
  </si>
  <si>
    <t>1634;716;6925;1513;2619;800;5311;3910;4921;283298;54796;151887;23213;5654;23194;29940</t>
  </si>
  <si>
    <t>DCN;C1S;TCF4;CTSK;GAS1;CALD1;PKD2;LAMA4;DDR2;OLFML1;BNC2;CCDC80;SULF1;HTRA1;FBXL7;DSE</t>
  </si>
  <si>
    <t>PETRETTO_CARDIAC_HYPERTROPHY</t>
  </si>
  <si>
    <t>2335;1290;2200;59;6876;11167;8076;27295;54829</t>
  </si>
  <si>
    <t>FN1;COL5A2;FBN1;ACTA2;TAGLN;FSTL1;MFAP5;PDLIM3;ASPN</t>
  </si>
  <si>
    <t>http://www.broadinstitute.org/gsea/msigdb/cards/PETRETTO_CARDIAC_HYPERTROPHY.html</t>
  </si>
  <si>
    <t>HOELZEL_NF1_TARGETS_DN</t>
  </si>
  <si>
    <t>1281;2335;5156;633;5176;4345;4237;11167;23090;8642;83872;91653;23194</t>
  </si>
  <si>
    <t>COL3A1;FN1;PDGFRA;BGN;SERPINF1;CD200;MFAP2;FSTL1;ZNF423;DCHS1;HMCN1;BOC;FBXL7</t>
  </si>
  <si>
    <t>http://www.broadinstitute.org/gsea/msigdb/cards/HOELZEL_NF1_TARGETS_DN.html</t>
  </si>
  <si>
    <t>2335;7057;7043;1462;7058;1264;2619;1009;59;72;7130;800;1307;2621;5654;91653;10418;27122</t>
  </si>
  <si>
    <t>FN1;THBS1;TGFB3;VCAN;THBS2;CNN1;GAS1;CDH11;ACTA2;ACTG2;TNFAIP6;CALD1;COL16A1;GAS6;HTRA1;BOC;SPON1;DKK3</t>
  </si>
  <si>
    <t>http://www.broadinstitute.org/gsea/msigdb/cards/MCBRYAN_PUBERTAL_BREAST_4_5WK_UP.html</t>
  </si>
  <si>
    <t>7041;9945;1277;1278;1289;6387;1264;1012;6876;22795;55959;219654;117248;164284;91179;6423;56917;5919;79827;9254;23452</t>
  </si>
  <si>
    <t>TGFB1I1;GFPT2;COL1A1;COL1A2;COL5A1;CXCL12;CNN1;CDH13;TAGLN;NID2;SULF2;ZCCHC24;GALNT15;APCDD1L;SCARF2;SFRP2;MEIS3;RARRES2;CLMP;CACNA2D2;ANGPTL2</t>
  </si>
  <si>
    <t>5924;395;8038;9242;8522;8633;5241;5156;4015;2200;2668;1311;1009;1012;5592;22795;4053;25903;127435;219699;164284;27319;5654;84628;91179;25960;6910;9638;54112;64084;10418;29767;51176;22801</t>
  </si>
  <si>
    <t>RASGRF2;ARHGAP6;ADAM12;MSC;AC005747.1;UNC5C;PGR;PDGFRA;LOX;FBN1;GDNF;COMP;CDH11;CDH13;PRKG1;NID2;LTBP2;OLFML2B;PODN;UNC5B;APCDD1L;BHLHE22;HTRA1;NTNG2;SCARF2;ADGRA2;TBX5;FEZ1;GPR88;CLSTN2;SPON1;TMOD2;LEF1;ITGA11</t>
  </si>
  <si>
    <t>LEE_NEURAL_CREST_STEM_CELL_UP</t>
  </si>
  <si>
    <t>6591;1281;1634;3912;1278;5156;633;4060;2191;10631;3490;219654;6444;51339</t>
  </si>
  <si>
    <t>SNAI2;COL3A1;DCN;LAMB1;COL1A2;PDGFRA;BGN;LUM;FAP;POSTN;IGFBP7;ZCCHC24;SGCD;DACT1</t>
  </si>
  <si>
    <t>http://www.broadinstitute.org/gsea/msigdb/cards/LEE_NEURAL_CREST_STEM_CELL_UP.html</t>
  </si>
  <si>
    <t>26585;2335;1290;7057;1289;894;1009;1012;800;6695;4052;10630;9638</t>
  </si>
  <si>
    <t>GREM1;FN1;COL5A2;THBS1;COL5A1;CCND2;CDH11;CDH13;CALD1;SPOCK1;LTBP1;PDPN;FEZ1</t>
  </si>
  <si>
    <t>8038;1277;1281;2335;1290;7057;3624;1301;1462;4320;894;7058;1311;953;4237;7130;1300;6695;2191;54587;50863;9902</t>
  </si>
  <si>
    <t>ADAM12;COL1A1;COL3A1;FN1;COL5A2;THBS1;INHBA;COL11A1;VCAN;MMP11;CCND2;THBS2;COMP;ENTPD1;MFAP2;TNFAIP6;COL10A1;SPOCK1;FAP;MXRA8;NTM;AC080038.1</t>
  </si>
  <si>
    <t>REACTOME_SIGNALING_BY_PDGF</t>
  </si>
  <si>
    <t>1277;1281;1290;7057;1278;5159;1291;1292;1293;5156;1289;7058;10000</t>
  </si>
  <si>
    <t>COL1A1;COL3A1;COL5A2;THBS1;COL1A2;PDGFRB;COL6A1;COL6A2;COL6A3;PDGFRA;COL5A1;THBS2;AKT3</t>
  </si>
  <si>
    <t>http://www.broadinstitute.org/gsea/msigdb/cards/REACTOME_SIGNALING_BY_PDGF.html</t>
  </si>
  <si>
    <t>NAKAMURA_ADIPOGENESIS_LATE_DN</t>
  </si>
  <si>
    <t>4015;7058;1306;6387;72;800;10631;83604;27122</t>
  </si>
  <si>
    <t>LOX;THBS2;COL15A1;CXCL12;ACTG2;CALD1;POSTN;TMEM47;DKK3</t>
  </si>
  <si>
    <t>http://www.broadinstitute.org/gsea/msigdb/cards/NAKAMURA_ADIPOGENESIS_LATE_DN.html</t>
  </si>
  <si>
    <t>DAVICIONI_MOLECULAR_ARMS_VS_ERMS_DN</t>
  </si>
  <si>
    <t>3671;30008;1290;4313;3908;4237;51334;283298;79633;89795;25960;83468;57124;54551;11117</t>
  </si>
  <si>
    <t>ISLR;EFEMP2;COL5A2;MMP2;LAMA2;MFAP2;PRR16;OLFML1;FAT4;NAV3;ADGRA2;GLT8D2;CD248;MAGEL2;EMILIN1</t>
  </si>
  <si>
    <t>http://www.broadinstitute.org/gsea/msigdb/cards/DAVICIONI_MOLECULAR_ARMS_VS_ERMS_DN.html</t>
  </si>
  <si>
    <t>8038;30008;1277;3912;7057;1278;3678;1289;1296;4015;4052;4053;54796;10630;9902;29940</t>
  </si>
  <si>
    <t>ADAM12;EFEMP2;COL1A1;LAMB1;THBS1;COL1A2;ITGA5;COL5A1;COL8A2;LOX;LTBP1;LTBP2;BNC2;PDPN;AC080038.1;DSE</t>
  </si>
  <si>
    <t>REACTOME_NCAM1_INTERACTIONS</t>
  </si>
  <si>
    <t>1277;1281;1290;1278;1291;1292;1293;1289;2668</t>
  </si>
  <si>
    <t>COL1A1;COL3A1;COL5A2;COL1A2;COL6A1;COL6A2;COL6A3;COL5A1;GDNF</t>
  </si>
  <si>
    <t>http://www.broadinstitute.org/gsea/msigdb/cards/REACTOME_NCAM1_INTERACTIONS.html</t>
  </si>
  <si>
    <t>DELACROIX_RARG_BOUND_MEF</t>
  </si>
  <si>
    <t>9358;1277;2335;7169;4313;7043;2199;4035;11167;22795;4052;5118;6624;165;23213;116535;84617;84662;9260;27254</t>
  </si>
  <si>
    <t>ITGBL1;COL1A1;FN1;TPM2;MMP2;TGFB3;FBLN2;LRP1;FSTL1;NID2;LTBP1;PCOLCE;FSCN1;AEBP1;SULF1;MRGPRF;TUBB6;GLIS2;PDLIM7;CSDC2</t>
  </si>
  <si>
    <t>http://www.broadinstitute.org/gsea/msigdb/cards/DELACROIX_RARG_BOUND_MEF.html</t>
  </si>
  <si>
    <t>CHARAFE_BREAST_CANCER_LUMINAL_VS_BASAL_DN</t>
  </si>
  <si>
    <t>6591;3624;716;87;4015;4323;2619;1012;800;11167;2191;3490;6624;151887;5654;122786;84617;80114;79827;84168;29940;10000</t>
  </si>
  <si>
    <t>SNAI2;INHBA;C1S;ACTN1;LOX;MMP14;GAS1;CDH13;CALD1;FSTL1;FAP;IGFBP7;FSCN1;CCDC80;HTRA1;FRMD6;TUBB6;BICC1;CLMP;ANTXR1;DSE;AKT3</t>
  </si>
  <si>
    <t>http://www.broadinstitute.org/gsea/msigdb/cards/CHARAFE_BREAST_CANCER_LUMINAL_VS_BASAL_DN.html</t>
  </si>
  <si>
    <t>1277;2335;3912;7057;1278;3678;7412;3908;2200;83700;22801</t>
  </si>
  <si>
    <t>COL1A1;FN1;LAMB1;THBS1;COL1A2;ITGA5;VCAM1;LAMA2;FBN1;JAM3;ITGA11</t>
  </si>
  <si>
    <t>HELLEBREKERS_SILENCED_DURING_TUMOR_ANGIOGENESIS</t>
  </si>
  <si>
    <t>3624;1291;1462;2200;6356;1264;6876;4035;3490;27295;27122</t>
  </si>
  <si>
    <t>INHBA;COL6A1;VCAN;FBN1;CCL11;CNN1;TAGLN;LRP1;IGFBP7;PDLIM3;DKK3</t>
  </si>
  <si>
    <t>http://www.broadinstitute.org/gsea/msigdb/cards/HELLEBREKERS_SILENCED_DURING_TUMOR_ANGIOGENESIS.html</t>
  </si>
  <si>
    <t>PETROVA_ENDOTHELIUM_LYMPHATIC_VS_BLOOD_DN</t>
  </si>
  <si>
    <t>5352;7169;1278;3678;1291;1462;633;4323;59;6876;5351;2191;4053;9697</t>
  </si>
  <si>
    <t>PLOD2;TPM2;COL1A2;ITGA5;COL6A1;VCAN;BGN;MMP14;ACTA2;TAGLN;PLOD1;FAP;LTBP2;TRAM2</t>
  </si>
  <si>
    <t>http://www.broadinstitute.org/gsea/msigdb/cards/PETROVA_ENDOTHELIUM_LYMPHATIC_VS_BLOOD_DN.html</t>
  </si>
  <si>
    <t>COWLING_MYCN_TARGETS</t>
  </si>
  <si>
    <t>26585;1301;1346;10398;1264;6876;3316;115701;119587</t>
  </si>
  <si>
    <t>GREM1;COL11A1;COX7A1;MYL9;CNN1;TAGLN;HSPB2;ALPK2;CPXM2</t>
  </si>
  <si>
    <t>http://www.broadinstitute.org/gsea/msigdb/cards/COWLING_MYCN_TARGETS.html</t>
  </si>
  <si>
    <t>2335;7070;7169;4313;1291;1292;7077;1289;633;7130;5351;1307;9697;9644;10234;27319;8642;25960;6910;84617;91653;27122;23452;50944</t>
  </si>
  <si>
    <t>FN1;THY1;TPM2;MMP2;COL6A1;COL6A2;TIMP2;COL5A1;BGN;TNFAIP6;PLOD1;COL16A1;TRAM2;SH3PXD2A;LRRC17;BHLHE22;DCHS1;ADGRA2;TBX5;TUBB6;BOC;DKK3;ANGPTL2;SHANK1</t>
  </si>
  <si>
    <t>BURTON_ADIPOGENESIS_PEAK_AT_0HR</t>
  </si>
  <si>
    <t>5159;7043;1301;5156;10398;7058;1513;2619;59;6423</t>
  </si>
  <si>
    <t>PDGFRB;TGFB3;COL11A1;PDGFRA;MYL9;THBS2;CTSK;GAS1;ACTA2;SFRP2</t>
  </si>
  <si>
    <t>http://www.broadinstitute.org/gsea/msigdb/cards/BURTON_ADIPOGENESIS_PEAK_AT_0HR.html</t>
  </si>
  <si>
    <t>JI_CARCINOGENESIS_BY_KRAS_AND_STK11_DN</t>
  </si>
  <si>
    <t>9358;2335;1634;4313;5159;7058;4060</t>
  </si>
  <si>
    <t>ITGBL1;FN1;DCN;MMP2;PDGFRB;THBS2;LUM</t>
  </si>
  <si>
    <t>http://www.broadinstitute.org/gsea/msigdb/cards/JI_CARCINOGENESIS_BY_KRAS_AND_STK11_DN.html</t>
  </si>
  <si>
    <t>HOLLERN_ADENOMYOEPITHELIAL_BREAST_TUMOR</t>
  </si>
  <si>
    <t>3671;10398;5176;5549;1264;59;4638</t>
  </si>
  <si>
    <t>ISLR;MYL9;SERPINF1;PRELP;CNN1;ACTA2;MYLK</t>
  </si>
  <si>
    <t>http://www.broadinstitute.org/gsea/msigdb/cards/HOLLERN_ADENOMYOEPITHELIAL_BREAST_TUMOR.html</t>
  </si>
  <si>
    <t>URS_ADIPOCYTE_DIFFERENTIATION_DN</t>
  </si>
  <si>
    <t>1281;2335;1634;6678;1293;4015;7058;4060</t>
  </si>
  <si>
    <t>COL3A1;FN1;DCN;SPARC;COL6A3;LOX;THBS2;LUM</t>
  </si>
  <si>
    <t>http://www.broadinstitute.org/gsea/msigdb/cards/URS_ADIPOCYTE_DIFFERENTIATION_DN.html</t>
  </si>
  <si>
    <t>2335;710;3912;1278;6678;1293;1346;10398;894;1513;4060;59;7130;2191;8991;3490;83604;6320</t>
  </si>
  <si>
    <t>FN1;SERPING1;LAMB1;COL1A2;SPARC;COL6A3;COX7A1;MYL9;CCND2;CTSK;LUM;ACTA2;TNFAIP6;FAP;SELENBP1;IGFBP7;TMEM47;CLEC11A</t>
  </si>
  <si>
    <t>MANALO_HYPOXIA_UP</t>
  </si>
  <si>
    <t>5352;3912;1278;4313;3624;1289;633;4015;4345;5351;6695;2621;5654;8642;27122</t>
  </si>
  <si>
    <t>PLOD2;LAMB1;COL1A2;MMP2;INHBA;COL5A1;BGN;LOX;CD200;PLOD1;SPOCK1;GAS6;HTRA1;DCHS1;DKK3</t>
  </si>
  <si>
    <t>http://www.broadinstitute.org/gsea/msigdb/cards/MANALO_HYPOXIA_UP.html</t>
  </si>
  <si>
    <t>8633;5156;7412;2252;4320;4060;5396;2619;3910;79633;254228;116535;25925;2846;23208;23194</t>
  </si>
  <si>
    <t>UNC5C;PDGFRA;VCAM1;FGF7;MMP11;LUM;PRRX1;GAS1;LAMA4;FAT4;CALHM5;MRGPRF;ZNF521;LPAR4;SYT11;FBXL7</t>
  </si>
  <si>
    <t>710;1634;716;3908;25802;6935;2621;4638;79633;23460;219654;5654;5919;10418;27122</t>
  </si>
  <si>
    <t>SERPING1;DCN;C1S;LAMA2;LMOD1;ZEB1;GAS6;MYLK;FAT4;ABCA6;ZCCHC24;HTRA1;RARRES2;SPON1;DKK3</t>
  </si>
  <si>
    <t>NIELSEN_LEIOMYOSARCOMA_CNN1_UP</t>
  </si>
  <si>
    <t>10398;25802;1264;59;6876;4638;3779</t>
  </si>
  <si>
    <t>MYL9;LMOD1;CNN1;ACTA2;TAGLN;MYLK;KCNMB1</t>
  </si>
  <si>
    <t>http://www.broadinstitute.org/gsea/msigdb/cards/NIELSEN_LEIOMYOSARCOMA_CNN1_UP.html</t>
  </si>
  <si>
    <t>CHIARADONNA_NEOPLASTIC_TRANSFORMATION_CDC25_UP</t>
  </si>
  <si>
    <t>7070;3912;7057;1462;7412;2252;4015;7058;4053;3910;10630;64094</t>
  </si>
  <si>
    <t>THY1;LAMB1;THBS1;VCAN;VCAM1;FGF7;LOX;THBS2;LTBP2;LAMA4;PDPN;SMOC2</t>
  </si>
  <si>
    <t>http://www.broadinstitute.org/gsea/msigdb/cards/CHIARADONNA_NEOPLASTIC_TRANSFORMATION_CDC25_UP.html</t>
  </si>
  <si>
    <t>CHEBOTAEV_GR_TARGETS_DN</t>
  </si>
  <si>
    <t>30008;1278;10398;7058;2668;6387;27295;340075;29951;254228;83716;6320</t>
  </si>
  <si>
    <t>EFEMP2;COL1A2;MYL9;THBS2;GDNF;CXCL12;PDLIM3;ARSI;PDZRN4;CALHM5;CRISPLD2;CLEC11A</t>
  </si>
  <si>
    <t>http://www.broadinstitute.org/gsea/msigdb/cards/CHEBOTAEV_GR_TARGETS_DN.html</t>
  </si>
  <si>
    <t>KAYO_CALORIE_RESTRICTION_MUSCLE_UP</t>
  </si>
  <si>
    <t>1277;1281;2335;1278;1293;3908;4060;2619;3339;4035;2191</t>
  </si>
  <si>
    <t>COL1A1;COL3A1;FN1;COL1A2;COL6A3;LAMA2;LUM;GAS1;HSPG2;LRP1;FAP</t>
  </si>
  <si>
    <t>http://www.broadinstitute.org/gsea/msigdb/cards/KAYO_CALORIE_RESTRICTION_MUSCLE_UP.html</t>
  </si>
  <si>
    <t>4211;8633;2335;25802;6387;3899;1264;1805;8076;4638;8639;114801;4675;54829;53345;29767;171024</t>
  </si>
  <si>
    <t>MEIS1;UNC5C;FN1;LMOD1;CXCL12;AFF3;CNN1;DPT;MFAP5;MYLK;AOC3;TMEM200A;NAP1L3;ASPN;TM6SF2;TMOD2;SYNPO2</t>
  </si>
  <si>
    <t>395;7041;6591;8483;1842;8434;1634;5156;25802;6935;1306;1012;6695;79633;219654;8642;9638;5919;83604;9843;83700;23024</t>
  </si>
  <si>
    <t>ARHGAP6;TGFB1I1;SNAI2;CILP;ECM2;RECK;DCN;PDGFRA;LMOD1;ZEB1;COL15A1;CDH13;SPOCK1;FAT4;ZCCHC24;DCHS1;FEZ1;RARRES2;TMEM47;HEPH;JAM3;PDZRN3</t>
  </si>
  <si>
    <t>DAVICIONI_TARGETS_OF_PAX_FOXO1_FUSIONS_UP</t>
  </si>
  <si>
    <t>7041;6591;7057;3624;1292;1289;894;5396;2619;4052;9697;23213;10234;83604;54551;57493</t>
  </si>
  <si>
    <t>TGFB1I1;SNAI2;THBS1;INHBA;COL6A2;COL5A1;CCND2;PRRX1;GAS1;LTBP1;TRAM2;SULF1;LRRC17;TMEM47;MAGEL2;HEG1</t>
  </si>
  <si>
    <t>http://www.broadinstitute.org/gsea/msigdb/cards/DAVICIONI_TARGETS_OF_PAX_FOXO1_FUSIONS_UP.html</t>
  </si>
  <si>
    <t>389136;9358;7057;716;1462;7412;6935;6387;953;5396;1805;4053;6424;115908;4958;83700;54829;50507;9260;27122</t>
  </si>
  <si>
    <t>VGLL3;ITGBL1;THBS1;C1S;VCAN;VCAM1;ZEB1;CXCL12;ENTPD1;PRRX1;DPT;LTBP2;SFRP4;CTHRC1;OMD;JAM3;ASPN;NOX4;PDLIM7;DKK3</t>
  </si>
  <si>
    <t>QI_PLASMACYTOMA_DN</t>
  </si>
  <si>
    <t>1277;1290;3912;4313;1292;5156;6356;4237;11167;165;10418</t>
  </si>
  <si>
    <t>COL1A1;COL5A2;LAMB1;MMP2;COL6A2;PDGFRA;CCL11;MFAP2;FSTL1;AEBP1;SPON1</t>
  </si>
  <si>
    <t>http://www.broadinstitute.org/gsea/msigdb/cards/QI_PLASMACYTOMA_DN.html</t>
  </si>
  <si>
    <t>9945;9358;7070;3624;1292;7412;633;7058;6935;2668;5396;72;1300;10631;5118;27295;164284;131578;114757;1734;9638;56849;25878</t>
  </si>
  <si>
    <t>GFPT2;ITGBL1;THY1;INHBA;COL6A2;VCAM1;BGN;THBS2;ZEB1;GDNF;PRRX1;ACTG2;COL10A1;POSTN;PCOLCE;PDLIM3;APCDD1L;LRRC15;CYGB;DIO2;FEZ1;TCEAL7;MXRA5</t>
  </si>
  <si>
    <t>710;1634;716;6925;5156;7412;4882;3908;25802;6935;6387;1264;59;1805;4638;3316;3910;8639;23460;51176;11117</t>
  </si>
  <si>
    <t>SERPING1;DCN;C1S;TCF4;PDGFRA;VCAM1;NPR2;LAMA2;LMOD1;ZEB1;CXCL12;CNN1;ACTA2;DPT;MYLK;HSPB2;LAMA4;AOC3;ABCA6;LEF1;EMILIN1</t>
  </si>
  <si>
    <t>LU_TUMOR_ENDOTHELIAL_MARKERS_UP</t>
  </si>
  <si>
    <t>8038;1462;1123;50509;7130;10631;25878</t>
  </si>
  <si>
    <t>ADAM12;VCAN;CHN1;COL5A3;TNFAIP6;POSTN;MXRA5</t>
  </si>
  <si>
    <t>http://www.broadinstitute.org/gsea/msigdb/cards/LU_TUMOR_ENDOTHELIAL_MARKERS_UP.html</t>
  </si>
  <si>
    <t>LANDIS_ERBB2_BREAST_TUMORS_65_DN</t>
  </si>
  <si>
    <t>1293;6387;6356;4060;59;1805;5654;9843</t>
  </si>
  <si>
    <t>COL6A3;CXCL12;CCL11;LUM;ACTA2;DPT;HTRA1;HEPH</t>
  </si>
  <si>
    <t>http://www.broadinstitute.org/gsea/msigdb/cards/LANDIS_ERBB2_BREAST_TUMORS_65_DN.html</t>
  </si>
  <si>
    <t>7412;4015;7058;1306;72;800;10631;83604</t>
  </si>
  <si>
    <t>VCAM1;LOX;THBS2;COL15A1;ACTG2;CALD1;POSTN;TMEM47</t>
  </si>
  <si>
    <t>1634;3908;5350;6387;2619;2326;4920;1805;1740;8639;6444;1734;9638;79953;90627</t>
  </si>
  <si>
    <t>DCN;LAMA2;PLN;CXCL12;GAS1;FMO1;ROR2;DPT;DLG2;AOC3;SGCD;DIO2;FEZ1;SYNDIG1;STARD13</t>
  </si>
  <si>
    <t>389136;7041;9358;1277;1281;1290;6678;100127983;1301;6925;10398;6876;7216;9697;5118;219654;344558;8642;84662;84168;29940;57493</t>
  </si>
  <si>
    <t>VGLL3;TGFB1I1;ITGBL1;COL1A1;COL3A1;COL5A2;SPARC;C8orf88;COL11A1;TCF4;MYL9;TAGLN;TRO;TRAM2;PCOLCE;ZCCHC24;SH3RF3;DCHS1;GLIS2;ANTXR1;DSE;HEG1</t>
  </si>
  <si>
    <t>5352;7041;26585;710;4313;633;1264;2619;2326;1805;5311;27295;84898;2259;91179;84662;23194;23452</t>
  </si>
  <si>
    <t>PLOD2;TGFB1I1;GREM1;SERPING1;MMP2;BGN;CNN1;GAS1;FMO1;DPT;PKD2;PDLIM3;PLXDC2;FGF14;SCARF2;GLIS2;FBXL7;ANGPTL2</t>
  </si>
  <si>
    <t>NEWMAN_ERCC6_TARGETS_DN</t>
  </si>
  <si>
    <t>9358;8434;1301;8076;151887;165;6444;171024</t>
  </si>
  <si>
    <t>ITGBL1;RECK;COL11A1;MFAP5;CCDC80;AEBP1;SGCD;SYNPO2</t>
  </si>
  <si>
    <t>http://www.broadinstitute.org/gsea/msigdb/cards/NEWMAN_ERCC6_TARGETS_DN.html</t>
  </si>
  <si>
    <t>727936;4313;6925;11167;23090;340527;115557;55068;1303;27254;11117;10335</t>
  </si>
  <si>
    <t>GXYLT2;MMP2;TCF4;FSTL1;ZNF423;NHSL2;ARHGEF25;ENOX1;COL12A1;CSDC2;EMILIN1;MRVI1</t>
  </si>
  <si>
    <t>5352;1277;1301;1292;2252;3908;894;5549;2619;2199;800;7216;4052;4053;5118;115557;219699;254228;6423;80114;10418;57124;29767</t>
  </si>
  <si>
    <t>PLOD2;COL1A1;COL11A1;COL6A2;FGF7;LAMA2;CCND2;PRELP;GAS1;FBLN2;CALD1;TRO;LTBP1;LTBP2;PCOLCE;ARHGEF25;UNC5B;CALHM5;SFRP2;BICC1;SPON1;CD248;TMOD2</t>
  </si>
  <si>
    <t>REACTOME_SMOOTH_MUSCLE_CONTRACTION</t>
  </si>
  <si>
    <t>7169;10398;25802;59;72;800;4638</t>
  </si>
  <si>
    <t>TPM2;MYL9;LMOD1;ACTA2;ACTG2;CALD1;MYLK</t>
  </si>
  <si>
    <t>http://www.broadinstitute.org/gsea/msigdb/cards/REACTOME_SMOOTH_MUSCLE_CONTRACTION.html</t>
  </si>
  <si>
    <t>VERRECCHIA_RESPONSE_TO_TGFB1_C2</t>
  </si>
  <si>
    <t>1281;2335;1278;1291;1293;4323;4035</t>
  </si>
  <si>
    <t>COL3A1;FN1;COL1A2;COL6A1;COL6A3;MMP14;LRP1</t>
  </si>
  <si>
    <t>http://www.broadinstitute.org/gsea/msigdb/cards/VERRECCHIA_RESPONSE_TO_TGFB1_C2.html</t>
  </si>
  <si>
    <t>CORRE_MULTIPLE_MYELOMA_DN</t>
  </si>
  <si>
    <t>8825;8840;1301;3908;6387;2619;8991;338773;55959</t>
  </si>
  <si>
    <t>LIN7A;CCN4;COL11A1;LAMA2;CXCL12;GAS1;SELENBP1;TMEM119;SULF2</t>
  </si>
  <si>
    <t>http://www.broadinstitute.org/gsea/msigdb/cards/CORRE_MULTIPLE_MYELOMA_DN.html</t>
  </si>
  <si>
    <t>CHIARADONNA_NEOPLASTIC_TRANSFORMATION_KRAS_DN</t>
  </si>
  <si>
    <t>8434;1277;1290;1278;1301;1289;2200;2619;11167;8076;5118;151887</t>
  </si>
  <si>
    <t>RECK;COL1A1;COL5A2;COL1A2;COL11A1;COL5A1;FBN1;GAS1;FSTL1;MFAP5;PCOLCE;CCDC80</t>
  </si>
  <si>
    <t>http://www.broadinstitute.org/gsea/msigdb/cards/CHIARADONNA_NEOPLASTIC_TRANSFORMATION_KRAS_DN.html</t>
  </si>
  <si>
    <t>PAPASPYRIDONOS_UNSTABLE_ATEROSCLEROTIC_PLAQUE_DN</t>
  </si>
  <si>
    <t>25802;5549;5311;4638;3779;387758;83700;171024</t>
  </si>
  <si>
    <t>LMOD1;PRELP;PKD2;MYLK;KCNMB1;FIBIN;JAM3;SYNPO2</t>
  </si>
  <si>
    <t>http://www.broadinstitute.org/gsea/msigdb/cards/PAPASPYRIDONOS_UNSTABLE_ATEROSCLEROTIC_PLAQUE_DN.html</t>
  </si>
  <si>
    <t>MIKKELSEN_NPC_HCP_WITH_H3K4ME3_AND_H3K27ME3</t>
  </si>
  <si>
    <t>11248;9509;392617;2668;6387;3899;1009;127435;27319;344558;54112;64094;93166;25769</t>
  </si>
  <si>
    <t>NXPH3;ADAMTS2;ELFN1;GDNF;CXCL12;AFF3;CDH11;PODN;BHLHE22;SH3RF3;GPR88;SMOC2;PRDM6;SLC24A2</t>
  </si>
  <si>
    <t>http://www.broadinstitute.org/gsea/msigdb/cards/MIKKELSEN_NPC_HCP_WITH_H3K4ME3_AND_H3K27ME3.html</t>
  </si>
  <si>
    <t>2037;710;1634;716;1462;5156;7412;6387;4323;5549;4237;72;2199;6876;800;1805;4052;4638;3316;6624;6424;10630</t>
  </si>
  <si>
    <t>EPB41L2;SERPING1;DCN;C1S;VCAN;PDGFRA;VCAM1;CXCL12;MMP14;PRELP;MFAP2;ACTG2;FBLN2;TAGLN;CALD1;DPT;LTBP1;MYLK;HSPB2;FSCN1;SFRP4;PDPN</t>
  </si>
  <si>
    <t>REACTOME_NCAM_SIGNALING_FOR_NEURITE_OUT_GROWTH</t>
  </si>
  <si>
    <t>http://www.broadinstitute.org/gsea/msigdb/cards/REACTOME_NCAM_SIGNALING_FOR_NEURITE_OUT_GROWTH.html</t>
  </si>
  <si>
    <t>KEGG_VASCULAR_SMOOTH_MUSCLE_CONTRACTION</t>
  </si>
  <si>
    <t>4882;10398;5322;5739;59;72;800;5592;4638;3779;10335</t>
  </si>
  <si>
    <t>NPR2;MYL9;PLA2G5;PTGIR;ACTA2;ACTG2;CALD1;PRKG1;MYLK;KCNMB1;MRVI1</t>
  </si>
  <si>
    <t>http://www.broadinstitute.org/gsea/msigdb/cards/KEGG_VASCULAR_SMOOTH_MUSCLE_CONTRACTION.html</t>
  </si>
  <si>
    <t>284297;2037;8522;8434;7043;1301;1291;1292;1293;7077;1513;781;94031;7130;1307;4052;5118;4638;84898;29951;257194;115557;165;89795;219699;5654;23208;83700;84662;9260;10000</t>
  </si>
  <si>
    <t>SSC5D;EPB41L2;AC005747.1;RECK;TGFB3;COL11A1;COL6A1;COL6A2;COL6A3;TIMP2;CTSK;CACNA2D1;HTRA3;TNFAIP6;COL16A1;LTBP1;PCOLCE;MYLK;PLXDC2;PDZRN4;NEGR1;ARHGEF25;AEBP1;NAV3;UNC5B;HTRA1;SYT11;JAM3;GLIS2;PDLIM7;AKT3</t>
  </si>
  <si>
    <t>LU_TUMOR_VASCULATURE_UP</t>
  </si>
  <si>
    <t>http://www.broadinstitute.org/gsea/msigdb/cards/LU_TUMOR_VASCULATURE_UP.html</t>
  </si>
  <si>
    <t>WATANABE_RECTAL_CANCER_RADIOTHERAPY_RESPONSIVE_DN</t>
  </si>
  <si>
    <t>1281;1290;1278;1293;87;7058;4060;1307;22795;5118</t>
  </si>
  <si>
    <t>COL3A1;COL5A2;COL1A2;COL6A3;ACTN1;THBS2;LUM;COL16A1;NID2;PCOLCE</t>
  </si>
  <si>
    <t>http://www.broadinstitute.org/gsea/msigdb/cards/WATANABE_RECTAL_CANCER_RADIOTHERAPY_RESPONSIVE_DN.html</t>
  </si>
  <si>
    <t>BAELDE_DIABETIC_NEPHROPATHY_DN</t>
  </si>
  <si>
    <t>5352;1842;1281;716;1462;10398;4015;4345;2619;800;6695;9697;10631;4638;3490;23213;5654;5919;54587</t>
  </si>
  <si>
    <t>PLOD2;ECM2;COL3A1;C1S;VCAN;MYL9;LOX;CD200;GAS1;CALD1;SPOCK1;TRAM2;POSTN;MYLK;IGFBP7;SULF1;HTRA1;RARRES2;MXRA8</t>
  </si>
  <si>
    <t>http://www.broadinstitute.org/gsea/msigdb/cards/BAELDE_DIABETIC_NEPHROPATHY_DN.html</t>
  </si>
  <si>
    <t>1277;1281;2335;1290;3624;7043;59;2199;3490</t>
  </si>
  <si>
    <t>COL1A1;COL3A1;FN1;COL5A2;INHBA;TGFB3;ACTA2;FBLN2;IGFBP7</t>
  </si>
  <si>
    <t>GAUSSMANN_MLL_AF4_FUSION_TARGETS_E_UP</t>
  </si>
  <si>
    <t>3671;716;5156;1009;10631;23213;115908;6423;54829;6320</t>
  </si>
  <si>
    <t>ISLR;C1S;PDGFRA;CDH11;POSTN;SULF1;CTHRC1;SFRP2;ASPN;CLEC11A</t>
  </si>
  <si>
    <t>http://www.broadinstitute.org/gsea/msigdb/cards/GAUSSMANN_MLL_AF4_FUSION_TARGETS_E_UP.html</t>
  </si>
  <si>
    <t>WESTON_VEGFA_TARGETS_12HR</t>
  </si>
  <si>
    <t>7070;1278;4313;1293;7412;1289;633</t>
  </si>
  <si>
    <t>THY1;COL1A2;MMP2;COL6A3;VCAM1;COL5A1;BGN</t>
  </si>
  <si>
    <t>http://www.broadinstitute.org/gsea/msigdb/cards/WESTON_VEGFA_TARGETS_12HR.html</t>
  </si>
  <si>
    <t>TSENG_IRS1_TARGETS_DN</t>
  </si>
  <si>
    <t>6591;1281;1291;1293;4323;94031;2326;8639;6423;122786;27122</t>
  </si>
  <si>
    <t>SNAI2;COL3A1;COL6A1;COL6A3;MMP14;HTRA3;FMO1;AOC3;SFRP2;FRMD6;DKK3</t>
  </si>
  <si>
    <t>http://www.broadinstitute.org/gsea/msigdb/cards/TSENG_IRS1_TARGETS_DN.html</t>
  </si>
  <si>
    <t>BRUECKNER_TARGETS_OF_MIRLET7A3_DN</t>
  </si>
  <si>
    <t>2037;2335;6678;1301;1289;800;6695;55959;1734</t>
  </si>
  <si>
    <t>EPB41L2;FN1;SPARC;COL11A1;COL5A1;CALD1;SPOCK1;SULF2;DIO2</t>
  </si>
  <si>
    <t>http://www.broadinstitute.org/gsea/msigdb/cards/BRUECKNER_TARGETS_OF_MIRLET7A3_DN.html</t>
  </si>
  <si>
    <t>8522;1277;7169;1278;1301;1293;4015;894;10631;3910</t>
  </si>
  <si>
    <t>AC005747.1;COL1A1;TPM2;COL1A2;COL11A1;COL6A3;LOX;CCND2;POSTN;LAMA4</t>
  </si>
  <si>
    <t>WEST_ADRENOCORTICAL_TUMOR_MARKERS_DN</t>
  </si>
  <si>
    <t>1634;5156;2619;8076;5919;10418</t>
  </si>
  <si>
    <t>DCN;PDGFRA;GAS1;MFAP5;RARRES2;SPON1</t>
  </si>
  <si>
    <t>http://www.broadinstitute.org/gsea/msigdb/cards/WEST_ADRENOCORTICAL_TUMOR_MARKERS_DN.html</t>
  </si>
  <si>
    <t>HAEGERSTRAND_RESPONSE_TO_IMATINIB</t>
  </si>
  <si>
    <t>1277;5159;1306;6387;165</t>
  </si>
  <si>
    <t>COL1A1;PDGFRB;COL15A1;CXCL12;AEBP1</t>
  </si>
  <si>
    <t>http://www.broadinstitute.org/gsea/msigdb/cards/HAEGERSTRAND_RESPONSE_TO_IMATINIB.html</t>
  </si>
  <si>
    <t>MCLACHLAN_DENTAL_CARIES_DN</t>
  </si>
  <si>
    <t>1296;50509;6695;4052;23090;283298;4675;4958;10418</t>
  </si>
  <si>
    <t>COL8A2;COL5A3;SPOCK1;LTBP1;ZNF423;OLFML1;NAP1L3;OMD;SPON1</t>
  </si>
  <si>
    <t>http://www.broadinstitute.org/gsea/msigdb/cards/MCLACHLAN_DENTAL_CARIES_DN.html</t>
  </si>
  <si>
    <t>REACTOME_AXON_GUIDANCE</t>
  </si>
  <si>
    <t>8633;1277;1281;1290;3912;1278;3678;1291;1292;1293;1289;10398;2668;219699</t>
  </si>
  <si>
    <t>UNC5C;COL1A1;COL3A1;COL5A2;LAMB1;COL1A2;ITGA5;COL6A1;COL6A2;COL6A3;COL5A1;MYL9;GDNF;UNC5B</t>
  </si>
  <si>
    <t>http://www.broadinstitute.org/gsea/msigdb/cards/REACTOME_AXON_GUIDANCE.html</t>
  </si>
  <si>
    <t>8483;5241;3908;25802;1805;6424;10234;4958;54829</t>
  </si>
  <si>
    <t>CILP;PGR;LAMA2;LMOD1;DPT;SFRP4;LRRC17;OMD;ASPN</t>
  </si>
  <si>
    <t>VERRECCHIA_DELAYED_RESPONSE_TO_TGFB1</t>
  </si>
  <si>
    <t>3912;7057;4313;3678;4320;7058;1307</t>
  </si>
  <si>
    <t>LAMB1;THBS1;MMP2;ITGA5;MMP11;THBS2;COL16A1</t>
  </si>
  <si>
    <t>http://www.broadinstitute.org/gsea/msigdb/cards/VERRECCHIA_DELAYED_RESPONSE_TO_TGFB1.html</t>
  </si>
  <si>
    <t>TOMLINS_PROSTATE_CANCER_DN</t>
  </si>
  <si>
    <t>4211;7041;7169;1264;2619;4638;3910</t>
  </si>
  <si>
    <t>MEIS1;TGFB1I1;TPM2;CNN1;GAS1;MYLK;LAMA4</t>
  </si>
  <si>
    <t>http://www.broadinstitute.org/gsea/msigdb/cards/TOMLINS_PROSTATE_CANCER_DN.html</t>
  </si>
  <si>
    <t>6591;9358;3912;6925;1513;4323;4060;1012</t>
  </si>
  <si>
    <t>SNAI2;ITGBL1;LAMB1;TCF4;CTSK;MMP14;LUM;CDH13</t>
  </si>
  <si>
    <t>REACTOME_DEVELOPMENTAL_BIOLOGY</t>
  </si>
  <si>
    <t>8633;1277;1281;1290;3912;1278;3678;1291;1292;1293;6925;1289;10398;2668;219699;91653;10000</t>
  </si>
  <si>
    <t>UNC5C;COL1A1;COL3A1;COL5A2;LAMB1;COL1A2;ITGA5;COL6A1;COL6A2;COL6A3;TCF4;COL5A1;MYL9;GDNF;UNC5B;BOC;AKT3</t>
  </si>
  <si>
    <t>http://www.broadinstitute.org/gsea/msigdb/cards/REACTOME_DEVELOPMENTAL_BIOLOGY.html</t>
  </si>
  <si>
    <t>WU_CELL_MIGRATION</t>
  </si>
  <si>
    <t>2037;6591;2335;7169;7057;1292;1462;3490;84617;80114;27122;29940</t>
  </si>
  <si>
    <t>EPB41L2;SNAI2;FN1;TPM2;THBS1;COL6A2;VCAN;IGFBP7;TUBB6;BICC1;DKK3;DSE</t>
  </si>
  <si>
    <t>http://www.broadinstitute.org/gsea/msigdb/cards/WU_CELL_MIGRATION.html</t>
  </si>
  <si>
    <t>8434;7412;1289;1346;10398;2200;4345;953;1009;1012;59;6876;114801;83872;27122</t>
  </si>
  <si>
    <t>RECK;VCAM1;COL5A1;COX7A1;MYL9;FBN1;CD200;ENTPD1;CDH11;CDH13;ACTA2;TAGLN;TMEM200A;HMCN1;DKK3</t>
  </si>
  <si>
    <t>1277;710;716;7043;1301;1123;7412;2200;6387;4035;11167;4053;5118;6624;4921;165;9638</t>
  </si>
  <si>
    <t>COL1A1;SERPING1;C1S;TGFB3;COL11A1;CHN1;VCAM1;FBN1;CXCL12;LRP1;FSTL1;LTBP2;PCOLCE;FSCN1;DDR2;AEBP1;FEZ1</t>
  </si>
  <si>
    <t>7057;3908;894;5176;6387;4060;5549;781;7130;2199;8076;4052;6624;23176;25925;5919;53345;64094;10418;9902;23452</t>
  </si>
  <si>
    <t>THBS1;LAMA2;CCND2;SERPINF1;CXCL12;LUM;PRELP;CACNA2D1;TNFAIP6;FBLN2;MFAP5;LTBP1;FSCN1;SEPT8;ZNF521;RARRES2;TM6SF2;SMOC2;SPON1;AC080038.1;ANGPTL2</t>
  </si>
  <si>
    <t>MISHRA_CARCINOMA_ASSOCIATED_FIBROBLAST_UP</t>
  </si>
  <si>
    <t>7070;5159;1291;1292;1513;115908</t>
  </si>
  <si>
    <t>THY1;PDGFRB;COL6A1;COL6A2;CTSK;CTHRC1</t>
  </si>
  <si>
    <t>http://www.broadinstitute.org/gsea/msigdb/cards/MISHRA_CARCINOMA_ASSOCIATED_FIBROBLAST_UP.html</t>
  </si>
  <si>
    <t>3671;26585;7070;710;3678;7412;4882;25802;5739;953;3899;1264;59;8991;5118;3316;340527;119587;115908;8642;80114;57124;9254;50863;27122;10000</t>
  </si>
  <si>
    <t>ISLR;GREM1;THY1;SERPING1;ITGA5;VCAM1;NPR2;LMOD1;PTGIR;ENTPD1;AFF3;CNN1;ACTA2;SELENBP1;PCOLCE;HSPB2;NHSL2;CPXM2;CTHRC1;DCHS1;BICC1;CD248;CACNA2D2;NTM;DKK3;AKT3</t>
  </si>
  <si>
    <t>1281;2335;7070;710;1290;6678;716;1293;4060;3490</t>
  </si>
  <si>
    <t>COL3A1;FN1;THY1;SERPING1;COL5A2;SPARC;C1S;COL6A3;LUM;IGFBP7</t>
  </si>
  <si>
    <t>8038;1842;1281;1290;2200;1513;25903;131578;83468;25878</t>
  </si>
  <si>
    <t>ADAM12;ECM2;COL3A1;COL5A2;FBN1;CTSK;OLFML2B;LRRC15;GLT8D2;MXRA5</t>
  </si>
  <si>
    <t>KEGG_DILATED_CARDIOMYOPATHY</t>
  </si>
  <si>
    <t>7169;3678;7043;3908;5350;781;6444;9254;22801</t>
  </si>
  <si>
    <t>TPM2;ITGA5;TGFB3;LAMA2;PLN;CACNA2D1;SGCD;CACNA2D2;ITGA11</t>
  </si>
  <si>
    <t>http://www.broadinstitute.org/gsea/msigdb/cards/KEGG_DILATED_CARDIOMYOPATHY.html</t>
  </si>
  <si>
    <t>4211;710;1289;7216;5311;3490;79070;257194;114801;253827;115908;25925;122786;4675;10000</t>
  </si>
  <si>
    <t>MEIS1;SERPING1;COL5A1;TRO;PKD2;IGFBP7;POGLUT2;NEGR1;TMEM200A;MSRB3;CTHRC1;ZNF521;FRMD6;NAP1L3;AKT3</t>
  </si>
  <si>
    <t>1277;7057;1292;2252;894;5176;4060;5549;781;2199;800;8076;5118;6624;254228;23176;5919;53345;10418;29767;9902;23452</t>
  </si>
  <si>
    <t>COL1A1;THBS1;COL6A2;FGF7;CCND2;SERPINF1;LUM;PRELP;CACNA2D1;FBLN2;CALD1;MFAP5;PCOLCE;FSCN1;CALHM5;SEPT8;RARRES2;TM6SF2;SPON1;TMOD2;AC080038.1;ANGPTL2</t>
  </si>
  <si>
    <t>TSENG_ADIPOGENIC_POTENTIAL_DN</t>
  </si>
  <si>
    <t>6591;1291;1293;2326;8639;6423;27122</t>
  </si>
  <si>
    <t>SNAI2;COL6A1;COL6A3;FMO1;AOC3;SFRP2;DKK3</t>
  </si>
  <si>
    <t>http://www.broadinstitute.org/gsea/msigdb/cards/TSENG_ADIPOGENIC_POTENTIAL_DN.html</t>
  </si>
  <si>
    <t>WINTER_HYPOXIA_METAGENE</t>
  </si>
  <si>
    <t>5352;2335;1290;7057;4313;3678;7043;1289;50509;4015;7058;800;4035</t>
  </si>
  <si>
    <t>PLOD2;FN1;COL5A2;THBS1;MMP2;ITGA5;TGFB3;COL5A1;COL5A3;LOX;THBS2;CALD1;LRP1</t>
  </si>
  <si>
    <t>http://www.broadinstitute.org/gsea/msigdb/cards/WINTER_HYPOXIA_METAGENE.html</t>
  </si>
  <si>
    <t>LY_AGING_MIDDLE_UP</t>
  </si>
  <si>
    <t>7058;1306;1311;1805;5654</t>
  </si>
  <si>
    <t>THBS2;COL15A1;COMP;DPT;HTRA1</t>
  </si>
  <si>
    <t>http://www.broadinstitute.org/gsea/msigdb/cards/LY_AGING_MIDDLE_UP.html</t>
  </si>
  <si>
    <t>REACTOME_MUSCLE_CONTRACTION</t>
  </si>
  <si>
    <t>http://www.broadinstitute.org/gsea/msigdb/cards/REACTOME_MUSCLE_CONTRACTION.html</t>
  </si>
  <si>
    <t>RICKMAN_HEAD_AND_NECK_CANCER_B</t>
  </si>
  <si>
    <t>1281;1301;1311;8076;6424;10234;4958</t>
  </si>
  <si>
    <t>COL3A1;COL11A1;COMP;MFAP5;SFRP4;LRRC17;OMD</t>
  </si>
  <si>
    <t>http://www.broadinstitute.org/gsea/msigdb/cards/RICKMAN_HEAD_AND_NECK_CANCER_B.html</t>
  </si>
  <si>
    <t>1281;710;7169;1292;5156;10398;1307;27295;165</t>
  </si>
  <si>
    <t>COL3A1;SERPING1;TPM2;COL6A2;PDGFRA;MYL9;COL16A1;PDLIM3;AEBP1</t>
  </si>
  <si>
    <t>NAKAYAMA_FGF2_TARGETS</t>
  </si>
  <si>
    <t>26585;1277;1290;5159;6387;59</t>
  </si>
  <si>
    <t>GREM1;COL1A1;COL5A2;PDGFRB;CXCL12;ACTA2</t>
  </si>
  <si>
    <t>http://www.broadinstitute.org/gsea/msigdb/cards/NAKAYAMA_FGF2_TARGETS.html</t>
  </si>
  <si>
    <t>7041;710;6678;894;5176;4345;5739;3339;3490;8642;10418;9254;29940</t>
  </si>
  <si>
    <t>TGFB1I1;SERPING1;SPARC;CCND2;SERPINF1;CD200;PTGIR;HSPG2;IGFBP7;DCHS1;SPON1;CACNA2D2;DSE</t>
  </si>
  <si>
    <t>7070;716;5156;5549;10418;27122;23452</t>
  </si>
  <si>
    <t>THY1;C1S;PDGFRA;PRELP;SPON1;DKK3;ANGPTL2</t>
  </si>
  <si>
    <t>MAHADEVAN_GIST_MORPHOLOGICAL_SWITCH</t>
  </si>
  <si>
    <t>7169;4313;1012;6695;6624</t>
  </si>
  <si>
    <t>TPM2;MMP2;CDH13;SPOCK1;FSCN1</t>
  </si>
  <si>
    <t>http://www.broadinstitute.org/gsea/msigdb/cards/MAHADEVAN_GIST_MORPHOLOGICAL_SWITCH.html</t>
  </si>
  <si>
    <t>CHANG_POU5F1_TARGETS_UP</t>
  </si>
  <si>
    <t>1281;2335;7043;1289;8639</t>
  </si>
  <si>
    <t>COL3A1;FN1;TGFB3;COL5A1;AOC3</t>
  </si>
  <si>
    <t>http://www.broadinstitute.org/gsea/msigdb/cards/CHANG_POU5F1_TARGETS_UP.html</t>
  </si>
  <si>
    <t>CHIARADONNA_NEOPLASTIC_TRANSFORMATION_KRAS_CDC25_DN</t>
  </si>
  <si>
    <t>1291;7412;4015;6387;4053;3910;151887</t>
  </si>
  <si>
    <t>COL6A1;VCAM1;LOX;CXCL12;LTBP2;LAMA4;CCDC80</t>
  </si>
  <si>
    <t>http://www.broadinstitute.org/gsea/msigdb/cards/CHIARADONNA_NEOPLASTIC_TRANSFORMATION_KRAS_CDC25_DN.html</t>
  </si>
  <si>
    <t>KEGG_ARRHYTHMOGENIC_RIGHT_VENTRICULAR_CARDIOMYOPATHY_ARVC</t>
  </si>
  <si>
    <t>3678;87;3908;781;6444;9254;51176;22801</t>
  </si>
  <si>
    <t>ITGA5;ACTN1;LAMA2;CACNA2D1;SGCD;CACNA2D2;LEF1;ITGA11</t>
  </si>
  <si>
    <t>http://www.broadinstitute.org/gsea/msigdb/cards/KEGG_ARRHYTHMOGENIC_RIGHT_VENTRICULAR_CARDIOMYOPATHY_ARVC.html</t>
  </si>
  <si>
    <t>9358;1634;7057;716;7058;4060;7130;2191</t>
  </si>
  <si>
    <t>ITGBL1;DCN;THBS1;C1S;THBS2;LUM;TNFAIP6;FAP</t>
  </si>
  <si>
    <t>4211;7169;87;5176;5739;4638;9644;84898;253827;4675;83700;11117</t>
  </si>
  <si>
    <t>MEIS1;TPM2;ACTN1;SERPINF1;PTGIR;MYLK;SH3PXD2A;PLXDC2;MSRB3;NAP1L3;JAM3;EMILIN1</t>
  </si>
  <si>
    <t>YAMAZAKI_TCEB3_TARGETS_UP</t>
  </si>
  <si>
    <t>5352;30008;710;3912;6678;894;2199;3339;5351;6695;22795</t>
  </si>
  <si>
    <t>PLOD2;EFEMP2;SERPING1;LAMB1;SPARC;CCND2;FBLN2;HSPG2;PLOD1;SPOCK1;NID2</t>
  </si>
  <si>
    <t>http://www.broadinstitute.org/gsea/msigdb/cards/YAMAZAKI_TCEB3_TARGETS_UP.html</t>
  </si>
  <si>
    <t>KIM_WT1_TARGETS_UP</t>
  </si>
  <si>
    <t>6591;9945;7057;3624;87;5156;6935;800;85360;8877;51176;27254</t>
  </si>
  <si>
    <t>SNAI2;GFPT2;THBS1;INHBA;ACTN1;PDGFRA;ZEB1;CALD1;SYDE1;SPHK1;LEF1;CSDC2</t>
  </si>
  <si>
    <t>http://www.broadinstitute.org/gsea/msigdb/cards/KIM_WT1_TARGETS_UP.html</t>
  </si>
  <si>
    <t>PID_SYNDECAN_4_PATHWAY</t>
  </si>
  <si>
    <t>8038;2335;7057;3678;87;6387</t>
  </si>
  <si>
    <t>ADAM12;FN1;THBS1;ITGA5;ACTN1;CXCL12</t>
  </si>
  <si>
    <t>http://www.broadinstitute.org/gsea/msigdb/cards/PID_SYNDECAN_4_PATHWAY.html</t>
  </si>
  <si>
    <t>7041;26585;1281;1290;3678;1291;1292;1293;3908;10398;50509;4015;7058;6935;781;59;7130;2199;1805;3779;84624;340527;79883;29951;257194;127435;115908;83872;84251;54829;63895;57124;50863;23194;51176;22801;11117</t>
  </si>
  <si>
    <t>TGFB1I1;GREM1;COL3A1;COL5A2;ITGA5;COL6A1;COL6A2;COL6A3;LAMA2;MYL9;COL5A3;LOX;THBS2;ZEB1;CACNA2D1;ACTA2;TNFAIP6;FBLN2;DPT;KCNMB1;FNDC1;NHSL2;PODNL1;PDZRN4;NEGR1;PODN;CTHRC1;HMCN1;SGIP1;ASPN;PIEZO2;CD248;NTM;FBXL7;LEF1;ITGA11;EMILIN1</t>
  </si>
  <si>
    <t>SCHRAETS_MLL_TARGETS_DN</t>
  </si>
  <si>
    <t>26585;1291;1292;1293;7058;2619</t>
  </si>
  <si>
    <t>GREM1;COL6A1;COL6A2;COL6A3;THBS2;GAS1</t>
  </si>
  <si>
    <t>http://www.broadinstitute.org/gsea/msigdb/cards/SCHRAETS_MLL_TARGETS_DN.html</t>
  </si>
  <si>
    <t>LEI_HOXC8_TARGETS_DN</t>
  </si>
  <si>
    <t>5176;1264;2619;59;6876</t>
  </si>
  <si>
    <t>SERPINF1;CNN1;GAS1;ACTA2;TAGLN</t>
  </si>
  <si>
    <t>http://www.broadinstitute.org/gsea/msigdb/cards/LEI_HOXC8_TARGETS_DN.html</t>
  </si>
  <si>
    <t>WU_SILENCED_BY_METHYLATION_IN_BLADDER_CANCER</t>
  </si>
  <si>
    <t>1290;1293;1462;3908;1264;1805;219654</t>
  </si>
  <si>
    <t>COL5A2;COL6A3;VCAN;LAMA2;CNN1;DPT;ZCCHC24</t>
  </si>
  <si>
    <t>http://www.broadinstitute.org/gsea/msigdb/cards/WU_SILENCED_BY_METHYLATION_IN_BLADDER_CANCER.html</t>
  </si>
  <si>
    <t>REACTOME_GLYCOSAMINOGLYCAN_METABOLISM</t>
  </si>
  <si>
    <t>727936;1634;1462;633;4060;5549;3339;4958;29940</t>
  </si>
  <si>
    <t>GXYLT2;DCN;VCAN;BGN;LUM;PRELP;HSPG2;OMD;DSE</t>
  </si>
  <si>
    <t>http://www.broadinstitute.org/gsea/msigdb/cards/REACTOME_GLYCOSAMINOGLYCAN_METABOLISM.html</t>
  </si>
  <si>
    <t>5352;3671;8434;7057;7412;2252;5396;4237;1009;4053;10631;6424;10630;83604;80114</t>
  </si>
  <si>
    <t>PLOD2;ISLR;RECK;THBS1;VCAM1;FGF7;PRRX1;MFAP2;CDH11;LTBP2;POSTN;SFRP4;PDPN;TMEM47;BICC1</t>
  </si>
  <si>
    <t>1291;1462;1123;7412;633;4323;800;2191;10418;25769</t>
  </si>
  <si>
    <t>COL6A1;VCAN;CHN1;VCAM1;BGN;MMP14;CALD1;FAP;SPON1;SLC24A2</t>
  </si>
  <si>
    <t>2335;4313;4015;2191;3490</t>
  </si>
  <si>
    <t>FN1;MMP2;LOX;FAP;IGFBP7</t>
  </si>
  <si>
    <t>1291;1292;5156;3908;50509;165;6444;6423;79827;23452</t>
  </si>
  <si>
    <t>COL6A1;COL6A2;PDGFRA;LAMA2;COL5A3;AEBP1;SGCD;SFRP2;CLMP;ANGPTL2</t>
  </si>
  <si>
    <t>KEGG_HYPERTROPHIC_CARDIOMYOPATHY_HCM</t>
  </si>
  <si>
    <t>7169;3678;7043;3908;781;6444;9254;22801</t>
  </si>
  <si>
    <t>TPM2;ITGA5;TGFB3;LAMA2;CACNA2D1;SGCD;CACNA2D2;ITGA11</t>
  </si>
  <si>
    <t>http://www.broadinstitute.org/gsea/msigdb/cards/KEGG_HYPERTROPHIC_CARDIOMYOPATHY_HCM.html</t>
  </si>
  <si>
    <t>4313;1291;87;1289;633;4015;6387;5549;59</t>
  </si>
  <si>
    <t>MMP2;COL6A1;ACTN1;COL5A1;BGN;LOX;CXCL12;PRELP;ACTA2</t>
  </si>
  <si>
    <t>NIELSEN_GIST_VS_SYNOVIAL_SARCOMA_UP</t>
  </si>
  <si>
    <t>8038;1278;1293;2619;5118</t>
  </si>
  <si>
    <t>ADAM12;COL1A2;COL6A3;GAS1;PCOLCE</t>
  </si>
  <si>
    <t>http://www.broadinstitute.org/gsea/msigdb/cards/NIELSEN_GIST_VS_SYNOVIAL_SARCOMA_UP.html</t>
  </si>
  <si>
    <t>134111;5225;3908;5350;6387;3899;1264;2619;1805;8076;160428;10234;4958;83604;171024</t>
  </si>
  <si>
    <t>UBE2QL1;PGC;LAMA2;PLN;CXCL12;AFF3;CNN1;GAS1;DPT;MFAP5;ALDH1L2;LRRC17;OMD;TMEM47;SYNPO2</t>
  </si>
  <si>
    <t>1277;1281;1278;716;1462;6925;4053</t>
  </si>
  <si>
    <t>COL1A1;COL3A1;COL1A2;C1S;VCAN;TCF4;LTBP2</t>
  </si>
  <si>
    <t>http://www.broadinstitute.org/gsea/msigdb/cards/POMEROY_MEDULLOBLASTOMA_DESMOPLASIC_VS_CLASSIC_DN.html</t>
  </si>
  <si>
    <t>BROWNE_HCMV_INFECTION_16HR_DN</t>
  </si>
  <si>
    <t>9509;1277;7057;1278;1123;4920;9697;9260</t>
  </si>
  <si>
    <t>ADAMTS2;COL1A1;THBS1;COL1A2;CHN1;ROR2;TRAM2;PDLIM7</t>
  </si>
  <si>
    <t>http://www.broadinstitute.org/gsea/msigdb/cards/BROWNE_HCMV_INFECTION_16HR_DN.html</t>
  </si>
  <si>
    <t>DASU_IL6_SIGNALING_UP</t>
  </si>
  <si>
    <t>1291;7130;1307;2621;10630;5654;11117</t>
  </si>
  <si>
    <t>COL6A1;TNFAIP6;COL16A1;GAS6;PDPN;HTRA1;EMILIN1</t>
  </si>
  <si>
    <t>http://www.broadinstitute.org/gsea/msigdb/cards/DASU_IL6_SIGNALING_UP.html</t>
  </si>
  <si>
    <t>8038;2037;4313;3624;6678;716;7077;5176;1513;953;7130;4053;6624;8877;10000;11117</t>
  </si>
  <si>
    <t>ADAM12;EPB41L2;MMP2;INHBA;SPARC;C1S;TIMP2;SERPINF1;CTSK;ENTPD1;TNFAIP6;LTBP2;FSCN1;SPHK1;AKT3;EMILIN1</t>
  </si>
  <si>
    <t>SMID_BREAST_CANCER_RELAPSE_IN_LUNG_DN</t>
  </si>
  <si>
    <t>8483;25802;1311;1805;6424;54829</t>
  </si>
  <si>
    <t>CILP;LMOD1;COMP;DPT;SFRP4;ASPN</t>
  </si>
  <si>
    <t>http://www.broadinstitute.org/gsea/msigdb/cards/SMID_BREAST_CANCER_RELAPSE_IN_LUNG_DN.html</t>
  </si>
  <si>
    <t>26585;8840;3624;1301;1009;4920;83468;51176</t>
  </si>
  <si>
    <t>GREM1;CCN4;INHBA;COL11A1;CDH11;ROR2;GLT8D2;LEF1</t>
  </si>
  <si>
    <t>HUMMERICH_SKIN_CANCER_PROGRESSION_UP</t>
  </si>
  <si>
    <t>1277;1290;1278;3678;1293;7412;7058;4323</t>
  </si>
  <si>
    <t>COL1A1;COL5A2;COL1A2;ITGA5;COL6A3;VCAM1;THBS2;MMP14</t>
  </si>
  <si>
    <t>http://www.broadinstitute.org/gsea/msigdb/cards/HUMMERICH_SKIN_CANCER_PROGRESSION_UP.html</t>
  </si>
  <si>
    <t>8825;8483;9358;5241;1634;6387;1311;1805;8991;8076;6424;89795;219654;10234;23176;4958;54829;64084;63895;9254;23194</t>
  </si>
  <si>
    <t>LIN7A;CILP;ITGBL1;PGR;DCN;CXCL12;COMP;DPT;SELENBP1;MFAP5;SFRP4;NAV3;ZCCHC24;LRRC17;SEPT8;OMD;ASPN;CLSTN2;PIEZO2;CACNA2D2;FBXL7</t>
  </si>
  <si>
    <t>MOROSETTI_FACIOSCAPULOHUMERAL_MUSCULAR_DISTROPHY_UP</t>
  </si>
  <si>
    <t>8840;1293;5156;7058;10631</t>
  </si>
  <si>
    <t>CCN4;COL6A3;PDGFRA;THBS2;POSTN</t>
  </si>
  <si>
    <t>http://www.broadinstitute.org/gsea/msigdb/cards/MOROSETTI_FACIOSCAPULOHUMERAL_MUSCULAR_DISTROPHY_UP.html</t>
  </si>
  <si>
    <t>NIELSEN_LEIOMYOSARCOMA_CNN1_DN</t>
  </si>
  <si>
    <t>7070;4313;6925;1009;10630</t>
  </si>
  <si>
    <t>THY1;MMP2;TCF4;CDH11;PDPN</t>
  </si>
  <si>
    <t>http://www.broadinstitute.org/gsea/msigdb/cards/NIELSEN_LEIOMYOSARCOMA_CNN1_DN.html</t>
  </si>
  <si>
    <t>1277;633;5176;1513;2199;4035;10631</t>
  </si>
  <si>
    <t>COL1A1;BGN;SERPINF1;CTSK;FBLN2;LRP1;POSTN</t>
  </si>
  <si>
    <t>4211;2335;7057;6935;3899;7130;6695;257194;114801;25925;25960</t>
  </si>
  <si>
    <t>MEIS1;FN1;THBS1;ZEB1;AFF3;TNFAIP6;SPOCK1;NEGR1;TMEM200A;ZNF521;ADGRA2</t>
  </si>
  <si>
    <t>1277;1281;7077;5156;4323;2619;8639;9644;151887</t>
  </si>
  <si>
    <t>COL1A1;COL3A1;TIMP2;PDGFRA;MMP14;GAS1;AOC3;SH3PXD2A;CCDC80</t>
  </si>
  <si>
    <t>http://www.broadinstitute.org/gsea/msigdb/cards/NING_CHRONIC_OBSTRUCTIVE_PULMONARY_DISEASE_DN.html</t>
  </si>
  <si>
    <t>7057;6678;1123;7077;4638;10234;9260;8877;27122;29940</t>
  </si>
  <si>
    <t>THBS1;SPARC;CHN1;TIMP2;MYLK;LRRC17;PDLIM7;SPHK1;DKK3;DSE</t>
  </si>
  <si>
    <t>5352;1277;1301;1292;2252;894;5549;2619;800;7216;4053;5118;115557;219699;254228;6423;80114;57124;29767</t>
  </si>
  <si>
    <t>PLOD2;COL1A1;COL11A1;COL6A2;FGF7;CCND2;PRELP;GAS1;CALD1;TRO;LTBP2;PCOLCE;ARHGEF25;UNC5B;CALHM5;SFRP2;BICC1;CD248;TMOD2</t>
  </si>
  <si>
    <t>WANG_NEOPLASTIC_TRANSFORMATION_BY_CCND1_MYC</t>
  </si>
  <si>
    <t>395;8038;50509;2846;64084</t>
  </si>
  <si>
    <t>ARHGAP6;ADAM12;COL5A3;LPAR4;CLSTN2</t>
  </si>
  <si>
    <t>http://www.broadinstitute.org/gsea/msigdb/cards/WANG_NEOPLASTIC_TRANSFORMATION_BY_CCND1_MYC.html</t>
  </si>
  <si>
    <t>INGRAM_SHH_TARGETS_DN</t>
  </si>
  <si>
    <t>1277;6678;1462;2621;8639;10234;6423</t>
  </si>
  <si>
    <t>COL1A1;SPARC;VCAN;GAS6;AOC3;LRRC17;SFRP2</t>
  </si>
  <si>
    <t>http://www.broadinstitute.org/gsea/msigdb/cards/INGRAM_SHH_TARGETS_DN.html</t>
  </si>
  <si>
    <t>LIU_SMARCA4_TARGETS</t>
  </si>
  <si>
    <t>1281;4313;6678;5350;6876;8076;9644</t>
  </si>
  <si>
    <t>COL3A1;MMP2;SPARC;PLN;TAGLN;MFAP5;SH3PXD2A</t>
  </si>
  <si>
    <t>http://www.broadinstitute.org/gsea/msigdb/cards/LIU_SMARCA4_TARGETS.html</t>
  </si>
  <si>
    <t>MIKKELSEN_MCV6_HCP_WITH_H3K27ME3</t>
  </si>
  <si>
    <t>9509;7077;1296;1306;2668;1311;3899;283208;165;344558;25960;6910;64084;79827;10418;9254</t>
  </si>
  <si>
    <t>ADAMTS2;TIMP2;COL8A2;COL15A1;GDNF;COMP;AFF3;P4HA3;AEBP1;SH3RF3;ADGRA2;TBX5;CLSTN2;CLMP;SPON1;CACNA2D2</t>
  </si>
  <si>
    <t>http://www.broadinstitute.org/gsea/msigdb/cards/MIKKELSEN_MCV6_HCP_WITH_H3K27ME3.html</t>
  </si>
  <si>
    <t>KIM_WT1_TARGETS_12HR_UP</t>
  </si>
  <si>
    <t>6591;7070;5156;10398;4638;219654;5654;50507;57493;27254</t>
  </si>
  <si>
    <t>SNAI2;THY1;PDGFRA;MYL9;MYLK;ZCCHC24;HTRA1;NOX4;HEG1;CSDC2</t>
  </si>
  <si>
    <t>http://www.broadinstitute.org/gsea/msigdb/cards/KIM_WT1_TARGETS_12HR_UP.html</t>
  </si>
  <si>
    <t>5924;9242;4313;6925;7058;953;781;2619;3910;23213;6423;9638;1303</t>
  </si>
  <si>
    <t>RASGRF2;MSC;MMP2;TCF4;THBS2;ENTPD1;CACNA2D1;GAS1;LAMA4;SULF1;SFRP2;FEZ1;COL12A1</t>
  </si>
  <si>
    <t>KONDO_EZH2_TARGETS</t>
  </si>
  <si>
    <t>8038;9358;1277;1281;6678;716;6935;7130;6695;4638;51334;257194</t>
  </si>
  <si>
    <t>ADAM12;ITGBL1;COL1A1;COL3A1;SPARC;C1S;ZEB1;TNFAIP6;SPOCK1;MYLK;PRR16;NEGR1</t>
  </si>
  <si>
    <t>http://www.broadinstitute.org/gsea/msigdb/cards/KONDO_EZH2_TARGETS.html</t>
  </si>
  <si>
    <t>ZHANG_TLX_TARGETS_60HR_UP</t>
  </si>
  <si>
    <t>1290;6678;7043;87;7077;5396;1012;3339;4035;3490;55959;54587;8877</t>
  </si>
  <si>
    <t>COL5A2;SPARC;TGFB3;ACTN1;TIMP2;PRRX1;CDH13;HSPG2;LRP1;IGFBP7;SULF2;MXRA8;SPHK1</t>
  </si>
  <si>
    <t>http://www.broadinstitute.org/gsea/msigdb/cards/ZHANG_TLX_TARGETS_60HR_UP.html</t>
  </si>
  <si>
    <t>MILI_PSEUDOPODIA_HAPTOTAXIS_DN</t>
  </si>
  <si>
    <t>3912;7057;1278;4313;3678;6678;5159;7077;2668;3339;4035;4052;4053;9697;5118;79070;25960;9902;23452;57493</t>
  </si>
  <si>
    <t>LAMB1;THBS1;COL1A2;MMP2;ITGA5;SPARC;PDGFRB;TIMP2;GDNF;HSPG2;LRP1;LTBP1;LTBP2;TRAM2;PCOLCE;POGLUT2;ADGRA2;AC080038.1;ANGPTL2;HEG1</t>
  </si>
  <si>
    <t>http://www.broadinstitute.org/gsea/msigdb/cards/MILI_PSEUDOPODIA_HAPTOTAXIS_DN.html</t>
  </si>
  <si>
    <t>1277;1634;1293;59;6876;1307;3316;165;6444;64084;9260</t>
  </si>
  <si>
    <t>COL1A1;DCN;COL6A3;ACTA2;TAGLN;COL16A1;HSPB2;AEBP1;SGCD;CLSTN2;PDLIM7</t>
  </si>
  <si>
    <t>5352;710;4313;1301;4345;6387;3779;25903;387758;23194</t>
  </si>
  <si>
    <t>PLOD2;SERPING1;MMP2;COL11A1;CD200;CXCL12;KCNMB1;OLFML2B;FIBIN;FBXL7</t>
  </si>
  <si>
    <t>8522;8434;5156;7058;6387;6424;23452</t>
  </si>
  <si>
    <t>AC005747.1;RECK;PDGFRA;THBS2;CXCL12;SFRP4;ANGPTL2</t>
  </si>
  <si>
    <t>8434;1281;1290;5159;633;50509;5549;11167;3490;91653;27122</t>
  </si>
  <si>
    <t>RECK;COL3A1;COL5A2;PDGFRB;BGN;COL5A3;PRELP;FSTL1;IGFBP7;BOC;DKK3</t>
  </si>
  <si>
    <t>MEISSNER_NPC_HCP_WITH_H3K4ME2_AND_H3K27ME3</t>
  </si>
  <si>
    <t>9242;11248;9509;2668;3899;1009;4053;51334;54796;127435;64094;64084;93166;9254</t>
  </si>
  <si>
    <t>MSC;NXPH3;ADAMTS2;GDNF;AFF3;CDH11;LTBP2;PRR16;BNC2;PODN;SMOC2;CLSTN2;PRDM6;CACNA2D2</t>
  </si>
  <si>
    <t>http://www.broadinstitute.org/gsea/msigdb/cards/MEISSNER_NPC_HCP_WITH_H3K4ME2_AND_H3K27ME3.html</t>
  </si>
  <si>
    <t>727936;1842;8434;1281;7057;100127983;6925;894;2200;1513;6387;781;59;6876;8991;4053;4638;3910;151887;91653;25878;10335</t>
  </si>
  <si>
    <t>GXYLT2;ECM2;RECK;COL3A1;THBS1;C8orf88;TCF4;CCND2;FBN1;CTSK;CXCL12;CACNA2D1;ACTA2;TAGLN;SELENBP1;LTBP2;MYLK;LAMA4;CCDC80;BOC;MXRA5;MRVI1</t>
  </si>
  <si>
    <t>BROWNE_HCMV_INFECTION_20HR_DN</t>
  </si>
  <si>
    <t>1278;4920;4052;9697;131578;23208;80114;10000</t>
  </si>
  <si>
    <t>COL1A2;ROR2;LTBP1;TRAM2;LRRC15;SYT11;BICC1;AKT3</t>
  </si>
  <si>
    <t>http://www.broadinstitute.org/gsea/msigdb/cards/BROWNE_HCMV_INFECTION_20HR_DN.html</t>
  </si>
  <si>
    <t>1842;5156;2252;7058;6387;10234;6910;10000</t>
  </si>
  <si>
    <t>ECM2;PDGFRA;FGF7;THBS2;CXCL12;LRRC17;TBX5;AKT3</t>
  </si>
  <si>
    <t>REACTOME_A_TETRASACCHARIDE_LINKER_SEQUENCE_IS_REQUIRED_FOR_GAG_SYNTHESIS</t>
  </si>
  <si>
    <t>727936;1634;1462;633;3339</t>
  </si>
  <si>
    <t>GXYLT2;DCN;VCAN;BGN;HSPG2</t>
  </si>
  <si>
    <t>http://www.broadinstitute.org/gsea/msigdb/cards/REACTOME_A_TETRASACCHARIDE_LINKER_SEQUENCE_IS_REQUIRED_FOR_GAG_SYNTHESIS.html</t>
  </si>
  <si>
    <t>PEREZ_TP63_TARGETS</t>
  </si>
  <si>
    <t>134111;9945;1277;392617;1296;57616;255189;219699;219654;114757;84662;83716;25878;23452</t>
  </si>
  <si>
    <t>UBE2QL1;GFPT2;COL1A1;ELFN1;COL8A2;TSHZ3;PLA2G4F;UNC5B;ZCCHC24;CYGB;GLIS2;CRISPLD2;MXRA5;ANGPTL2</t>
  </si>
  <si>
    <t>http://www.broadinstitute.org/gsea/msigdb/cards/PEREZ_TP63_TARGETS.html</t>
  </si>
  <si>
    <t>2037;1277;1290;1634;1278;6925;7077;5156;7412;5350;4323;5396;10631;147906;91179;84251;23452</t>
  </si>
  <si>
    <t>EPB41L2;COL1A1;COL5A2;DCN;COL1A2;TCF4;TIMP2;PDGFRA;VCAM1;PLN;MMP14;PRRX1;POSTN;DACT3;SCARF2;SGIP1;ANGPTL2</t>
  </si>
  <si>
    <t>LU_AGING_BRAIN_UP</t>
  </si>
  <si>
    <t>5352;1842;1462;800;4052;23090;27295;219654;5654;83604;9843;10418</t>
  </si>
  <si>
    <t>PLOD2;ECM2;VCAN;CALD1;LTBP1;ZNF423;PDLIM3;ZCCHC24;HTRA1;TMEM47;HEPH;SPON1</t>
  </si>
  <si>
    <t>http://www.broadinstitute.org/gsea/msigdb/cards/LU_AGING_BRAIN_UP.html</t>
  </si>
  <si>
    <t>7041;1293;6925;2200;2326;1307;165</t>
  </si>
  <si>
    <t>TGFB1I1;COL6A3;TCF4;FBN1;FMO1;COL16A1;AEBP1</t>
  </si>
  <si>
    <t>6591;5241;100127983;1289;6387;3899;4052;23213;219654;122786;83872;9638;1303;84617;83716;171024;90627</t>
  </si>
  <si>
    <t>SNAI2;PGR;C8orf88;COL5A1;CXCL12;AFF3;LTBP1;SULF1;ZCCHC24;FRMD6;HMCN1;FEZ1;COL12A1;TUBB6;CRISPLD2;SYNPO2;STARD13</t>
  </si>
  <si>
    <t>REACTOME_CHONDROITIN_SULFATE_DERMATAN_SULFATE_METABOLISM</t>
  </si>
  <si>
    <t>727936;1634;1462;633;3339;29940</t>
  </si>
  <si>
    <t>GXYLT2;DCN;VCAN;BGN;HSPG2;DSE</t>
  </si>
  <si>
    <t>http://www.broadinstitute.org/gsea/msigdb/cards/REACTOME_CHONDROITIN_SULFATE_DERMATAN_SULFATE_METABOLISM.html</t>
  </si>
  <si>
    <t>ASTON_MAJOR_DEPRESSIVE_DISORDER_UP</t>
  </si>
  <si>
    <t>7169;1311;800;4052;3490;23090</t>
  </si>
  <si>
    <t>TPM2;COMP;CALD1;LTBP1;IGFBP7;ZNF423</t>
  </si>
  <si>
    <t>http://www.broadinstitute.org/gsea/msigdb/cards/ASTON_MAJOR_DEPRESSIVE_DISORDER_UP.html</t>
  </si>
  <si>
    <t>30008;6678;1293;1346;5176;4345;5739;6387;6356;6624;219654;64084;10418;9902;6320</t>
  </si>
  <si>
    <t>EFEMP2;SPARC;COL6A3;COX7A1;SERPINF1;CD200;PTGIR;CXCL12;CCL11;FSCN1;ZCCHC24;CLSTN2;SPON1;AC080038.1;CLEC11A</t>
  </si>
  <si>
    <t>CHARAFE_BREAST_CANCER_BASAL_VS_MESENCHYMAL_DN</t>
  </si>
  <si>
    <t>9945;1292;6935;81792;115701;219654</t>
  </si>
  <si>
    <t>GFPT2;COL6A2;ZEB1;ADAMTS12;ALPK2;ZCCHC24</t>
  </si>
  <si>
    <t>http://www.broadinstitute.org/gsea/msigdb/cards/CHARAFE_BREAST_CANCER_BASAL_VS_MESENCHYMAL_DN.html</t>
  </si>
  <si>
    <t>EBAUER_MYOGENIC_TARGETS_OF_PAX3_FOXO1_FUSION</t>
  </si>
  <si>
    <t>1293;59;6876;165;6444;9260</t>
  </si>
  <si>
    <t>COL6A3;ACTA2;TAGLN;AEBP1;SGCD;PDLIM7</t>
  </si>
  <si>
    <t>http://www.broadinstitute.org/gsea/msigdb/cards/EBAUER_MYOGENIC_TARGETS_OF_PAX3_FOXO1_FUSION.html</t>
  </si>
  <si>
    <t>LI_WILMS_TUMOR_VS_FETAL_KIDNEY_2_DN</t>
  </si>
  <si>
    <t>1290;7057;3624;1289;1009;4921</t>
  </si>
  <si>
    <t>COL5A2;THBS1;INHBA;COL5A1;CDH11;DDR2</t>
  </si>
  <si>
    <t>http://www.broadinstitute.org/gsea/msigdb/cards/LI_WILMS_TUMOR_VS_FETAL_KIDNEY_2_DN.html</t>
  </si>
  <si>
    <t>BOYAULT_LIVER_CANCER_SUBCLASS_G3_DN</t>
  </si>
  <si>
    <t>710;1346;5176;8991;219654;5919</t>
  </si>
  <si>
    <t>SERPING1;COX7A1;SERPINF1;SELENBP1;ZCCHC24;RARRES2</t>
  </si>
  <si>
    <t>http://www.broadinstitute.org/gsea/msigdb/cards/BOYAULT_LIVER_CANCER_SUBCLASS_G3_DN.html</t>
  </si>
  <si>
    <t>BERENJENO_TRANSFORMED_BY_RHOA_REVERSIBLY_DN</t>
  </si>
  <si>
    <t>7070;7057;3624;72;6876</t>
  </si>
  <si>
    <t>THY1;THBS1;INHBA;ACTG2;TAGLN</t>
  </si>
  <si>
    <t>http://www.broadinstitute.org/gsea/msigdb/cards/BERENJENO_TRANSFORMED_BY_RHOA_REVERSIBLY_DN.html</t>
  </si>
  <si>
    <t>SCHLINGEMANN_SKIN_CARCINOGENESIS_TPA_DN</t>
  </si>
  <si>
    <t>1277;1278;6678;165;54587</t>
  </si>
  <si>
    <t>COL1A1;COL1A2;SPARC;AEBP1;MXRA8</t>
  </si>
  <si>
    <t>http://www.broadinstitute.org/gsea/msigdb/cards/SCHLINGEMANN_SKIN_CARCINOGENESIS_TPA_DN.html</t>
  </si>
  <si>
    <t>PYEON_CANCER_HEAD_AND_NECK_VS_CERVICAL_DN</t>
  </si>
  <si>
    <t>1634;1805;10630;131578;9638</t>
  </si>
  <si>
    <t>DCN;DPT;PDPN;LRRC15;FEZ1</t>
  </si>
  <si>
    <t>http://www.broadinstitute.org/gsea/msigdb/cards/PYEON_CANCER_HEAD_AND_NECK_VS_CERVICAL_DN.html</t>
  </si>
  <si>
    <t>4211;1301;6925;894;5549;1009;1740;3316;79633;27319;83872;5919;64084;51176;10699</t>
  </si>
  <si>
    <t>MEIS1;COL11A1;TCF4;CCND2;PRELP;CDH11;DLG2;HSPB2;FAT4;BHLHE22;HMCN1;RARRES2;CLSTN2;LEF1;CORIN</t>
  </si>
  <si>
    <t>5352;1301;3908;6387;2619;7130;7216;8076;4052;4053;115557;219699;6423;25925;64094;80114;57124</t>
  </si>
  <si>
    <t>PLOD2;COL11A1;LAMA2;CXCL12;GAS1;TNFAIP6;TRO;MFAP5;LTBP1;LTBP2;ARHGEF25;UNC5B;SFRP2;ZNF521;SMOC2;BICC1;CD248</t>
  </si>
  <si>
    <t>VERRECCHIA_RESPONSE_TO_TGFB1_C4</t>
  </si>
  <si>
    <t>3912;7057;7058;1307</t>
  </si>
  <si>
    <t>LAMB1;THBS1;THBS2;COL16A1</t>
  </si>
  <si>
    <t>http://www.broadinstitute.org/gsea/msigdb/cards/VERRECCHIA_RESPONSE_TO_TGFB1_C4.html</t>
  </si>
  <si>
    <t>2037;2335;1278;6678;7412;4060;5549;11167;83604;84617</t>
  </si>
  <si>
    <t>EPB41L2;FN1;COL1A2;SPARC;VCAM1;LUM;PRELP;FSTL1;TMEM47;TUBB6</t>
  </si>
  <si>
    <t>GILDEA_METASTASIS</t>
  </si>
  <si>
    <t>2335;1290;6678;10398;6876</t>
  </si>
  <si>
    <t>FN1;COL5A2;SPARC;MYL9;TAGLN</t>
  </si>
  <si>
    <t>http://www.broadinstitute.org/gsea/msigdb/cards/GILDEA_METASTASIS.html</t>
  </si>
  <si>
    <t>7041;8633;8840;3624;6678;7077;5156;50509;4323;1300;4035;165;6444;122786;54587;84168;23452</t>
  </si>
  <si>
    <t>TGFB1I1;UNC5C;CCN4;INHBA;SPARC;TIMP2;PDGFRA;COL5A3;MMP14;COL10A1;LRP1;AEBP1;SGCD;FRMD6;MXRA8;ANTXR1;ANGPTL2</t>
  </si>
  <si>
    <t>5924;3678;87;4638;23452;22801;10000</t>
  </si>
  <si>
    <t>RASGRF2;ITGA5;ACTN1;MYLK;ANGPTL2;ITGA11;AKT3</t>
  </si>
  <si>
    <t>1293;1462;5156;6387;6444;6423;64094;23452</t>
  </si>
  <si>
    <t>COL6A3;VCAN;PDGFRA;CXCL12;SGCD;SFRP2;SMOC2;ANGPTL2</t>
  </si>
  <si>
    <t>GAUSSMANN_MLL_AF4_FUSION_TARGETS_G_UP</t>
  </si>
  <si>
    <t>7057;59;4920;5592;257194;387758;116535;54587;23208;79827;93166</t>
  </si>
  <si>
    <t>THBS1;ACTA2;ROR2;PRKG1;NEGR1;FIBIN;MRGPRF;MXRA8;SYT11;CLMP;PRDM6</t>
  </si>
  <si>
    <t>http://www.broadinstitute.org/gsea/msigdb/cards/GAUSSMANN_MLL_AF4_FUSION_TARGETS_G_UP.html</t>
  </si>
  <si>
    <t>SIMBULAN_PARP1_TARGETS_UP</t>
  </si>
  <si>
    <t>1634;7077;2252;894;8076</t>
  </si>
  <si>
    <t>DCN;TIMP2;FGF7;CCND2;MFAP5</t>
  </si>
  <si>
    <t>http://www.broadinstitute.org/gsea/msigdb/cards/SIMBULAN_PARP1_TARGETS_UP.html</t>
  </si>
  <si>
    <t>9242;8633;5241;5156;4015;2668;6387;1311;5592;4053;3490;84624;25903;6424;127435;27319;5654;84628;6910;9638;1303;54112;64084;10418;29767</t>
  </si>
  <si>
    <t>MSC;UNC5C;PGR;PDGFRA;LOX;GDNF;CXCL12;COMP;PRKG1;LTBP2;IGFBP7;FNDC1;OLFML2B;SFRP4;PODN;BHLHE22;HTRA1;NTNG2;TBX5;FEZ1;COL12A1;GPR88;CLSTN2;SPON1;TMOD2</t>
  </si>
  <si>
    <t>ALFANO_MYC_TARGETS</t>
  </si>
  <si>
    <t>7041;26585;6678;7077;6935;1513;2621;4052;4638;10234;27122</t>
  </si>
  <si>
    <t>TGFB1I1;GREM1;SPARC;TIMP2;ZEB1;CTSK;GAS6;LTBP1;MYLK;LRRC17;DKK3</t>
  </si>
  <si>
    <t>http://www.broadinstitute.org/gsea/msigdb/cards/ALFANO_MYC_TARGETS.html</t>
  </si>
  <si>
    <t>KOKKINAKIS_METHIONINE_DEPRIVATION_96HR_UP</t>
  </si>
  <si>
    <t>1634;4313;5159;7077;5156;633;4060;3490</t>
  </si>
  <si>
    <t>DCN;MMP2;PDGFRB;TIMP2;PDGFRA;BGN;LUM;IGFBP7</t>
  </si>
  <si>
    <t>http://www.broadinstitute.org/gsea/msigdb/cards/KOKKINAKIS_METHIONINE_DEPRIVATION_96HR_UP.html</t>
  </si>
  <si>
    <t>5352;3671;30008;1634;1462;633;3908;1296;2200;800;3910;2846;51176;23452</t>
  </si>
  <si>
    <t>PLOD2;ISLR;EFEMP2;DCN;VCAN;BGN;LAMA2;COL8A2;FBN1;CALD1;LAMA4;LPAR4;LEF1;ANGPTL2</t>
  </si>
  <si>
    <t>KEGG_TGF_BETA_SIGNALING_PATHWAY</t>
  </si>
  <si>
    <t>1634;7057;3624;7043;7058;1311;4052</t>
  </si>
  <si>
    <t>DCN;THBS1;INHBA;TGFB3;THBS2;COMP;LTBP1</t>
  </si>
  <si>
    <t>http://www.broadinstitute.org/gsea/msigdb/cards/KEGG_TGF_BETA_SIGNALING_PATHWAY.html</t>
  </si>
  <si>
    <t>BURTON_ADIPOGENESIS_8</t>
  </si>
  <si>
    <t>7412;2252;4015;5176;59;10630;9260</t>
  </si>
  <si>
    <t>VCAM1;FGF7;LOX;SERPINF1;ACTA2;PDPN;PDLIM7</t>
  </si>
  <si>
    <t>http://www.broadinstitute.org/gsea/msigdb/cards/BURTON_ADIPOGENESIS_8.html</t>
  </si>
  <si>
    <t>DUTERTRE_ESTRADIOL_RESPONSE_24HR_DN</t>
  </si>
  <si>
    <t>134111;2037;6591;2335;3912;7043;2200;6876;800;9697;79633;253827;1734;122786;83716;29940</t>
  </si>
  <si>
    <t>UBE2QL1;EPB41L2;SNAI2;FN1;LAMB1;TGFB3;FBN1;TAGLN;CALD1;TRAM2;FAT4;MSRB3;DIO2;FRMD6;CRISPLD2;DSE</t>
  </si>
  <si>
    <t>http://www.broadinstitute.org/gsea/msigdb/cards/DUTERTRE_ESTRADIOL_RESPONSE_24HR_DN.html</t>
  </si>
  <si>
    <t>DELASERNA_MYOD_TARGETS_DN</t>
  </si>
  <si>
    <t>9509;4313;1301;6387;10631;25960</t>
  </si>
  <si>
    <t>ADAMTS2;MMP2;COL11A1;CXCL12;POSTN;ADGRA2</t>
  </si>
  <si>
    <t>http://www.broadinstitute.org/gsea/msigdb/cards/DELASERNA_MYOD_TARGETS_DN.html</t>
  </si>
  <si>
    <t>1277;6678;6876;2621;165;9843</t>
  </si>
  <si>
    <t>COL1A1;SPARC;TAGLN;GAS6;AEBP1;HEPH</t>
  </si>
  <si>
    <t>SMITH_TERT_TARGETS_DN</t>
  </si>
  <si>
    <t>7070;710;4313;6925;6876;22795;27122</t>
  </si>
  <si>
    <t>THY1;SERPING1;MMP2;TCF4;TAGLN;NID2;DKK3</t>
  </si>
  <si>
    <t>http://www.broadinstitute.org/gsea/msigdb/cards/SMITH_TERT_TARGETS_DN.html</t>
  </si>
  <si>
    <t>ST_WNT_BETA_CATENIN_PATHWAY</t>
  </si>
  <si>
    <t>4035;11167;51339;27122;10000</t>
  </si>
  <si>
    <t>LRP1;FSTL1;DACT1;DKK3;AKT3</t>
  </si>
  <si>
    <t>http://www.broadinstitute.org/gsea/msigdb/cards/ST_WNT_BETA_CATENIN_PATHWAY.html</t>
  </si>
  <si>
    <t>DURAND_STROMA_NS_UP</t>
  </si>
  <si>
    <t>26585;1634;10398;1513;11245;219699;344558;9638;50507</t>
  </si>
  <si>
    <t>GREM1;DCN;MYL9;CTSK;GPR176;UNC5B;SH3RF3;FEZ1;NOX4</t>
  </si>
  <si>
    <t>http://www.broadinstitute.org/gsea/msigdb/cards/DURAND_STROMA_NS_UP.html</t>
  </si>
  <si>
    <t>KANG_IMMORTALIZED_BY_TERT_UP</t>
  </si>
  <si>
    <t>3912;1292;7412;633;781;72;10631</t>
  </si>
  <si>
    <t>LAMB1;COL6A2;VCAM1;BGN;CACNA2D1;ACTG2;POSTN</t>
  </si>
  <si>
    <t>http://www.broadinstitute.org/gsea/msigdb/cards/KANG_IMMORTALIZED_BY_TERT_UP.html</t>
  </si>
  <si>
    <t>5352;2335;7077;894;1513;6356;4053</t>
  </si>
  <si>
    <t>PLOD2;FN1;TIMP2;CCND2;CTSK;CCL11;LTBP2</t>
  </si>
  <si>
    <t>MIKKELSEN_IPS_ICP_WITH_H3K4ME3_AND_H327ME3</t>
  </si>
  <si>
    <t>4211;3671;7043;1264;3910;387758;128218;25925</t>
  </si>
  <si>
    <t>MEIS1;ISLR;TGFB3;CNN1;LAMA4;FIBIN;TMEM125;ZNF521</t>
  </si>
  <si>
    <t>http://www.broadinstitute.org/gsea/msigdb/cards/MIKKELSEN_IPS_ICP_WITH_H3K4ME3_AND_H327ME3.html</t>
  </si>
  <si>
    <t>1634;2200;2326;3490;25903;6910;4958;64094</t>
  </si>
  <si>
    <t>DCN;FBN1;FMO1;IGFBP7;OLFML2B;TBX5;OMD;SMOC2</t>
  </si>
  <si>
    <t>1277;2335;710;7057;1278;3678;6678;7043;87;5739;5592;3779;83700;10000;10335</t>
  </si>
  <si>
    <t>COL1A1;FN1;SERPING1;THBS1;COL1A2;ITGA5;SPARC;TGFB3;ACTN1;PTGIR;PRKG1;KCNMB1;JAM3;AKT3;MRVI1</t>
  </si>
  <si>
    <t>2037;30008;2335;392617;6925;10398;2668;2199;800;196051;122786;50863;23194;6320</t>
  </si>
  <si>
    <t>EPB41L2;EFEMP2;FN1;ELFN1;TCF4;MYL9;GDNF;FBLN2;CALD1;PLPP4;FRMD6;NTM;FBXL7;CLEC11A</t>
  </si>
  <si>
    <t>KANG_AR_TARGETS_UP</t>
  </si>
  <si>
    <t>4313;7043;1291;1289</t>
  </si>
  <si>
    <t>MMP2;TGFB3;COL6A1;COL5A1</t>
  </si>
  <si>
    <t>http://www.broadinstitute.org/gsea/msigdb/cards/KANG_AR_TARGETS_UP.html</t>
  </si>
  <si>
    <t>QI_HYPOXIA_TARGETS_OF_HIF1A_AND_FOXA2</t>
  </si>
  <si>
    <t>5352;2335;3678;1292;6624</t>
  </si>
  <si>
    <t>PLOD2;FN1;ITGA5;COL6A2;FSCN1</t>
  </si>
  <si>
    <t>http://www.broadinstitute.org/gsea/msigdb/cards/QI_HYPOXIA_TARGETS_OF_HIF1A_AND_FOXA2.html</t>
  </si>
  <si>
    <t>BENPORATH_PRC2_TARGETS</t>
  </si>
  <si>
    <t>9242;8633;5241;5156;2668;1311;5592;4053;25903;127435;27319;84628;6910;9638;54112;64084;10418;29767</t>
  </si>
  <si>
    <t>MSC;UNC5C;PGR;PDGFRA;GDNF;COMP;PRKG1;LTBP2;OLFML2B;PODN;BHLHE22;NTNG2;TBX5;FEZ1;GPR88;CLSTN2;SPON1;TMOD2</t>
  </si>
  <si>
    <t>http://www.broadinstitute.org/gsea/msigdb/cards/BENPORATH_PRC2_TARGETS.html</t>
  </si>
  <si>
    <t>3678;1462;4323;2191;4053;9697</t>
  </si>
  <si>
    <t>ITGA5;VCAN;MMP14;FAP;LTBP2;TRAM2</t>
  </si>
  <si>
    <t>2335;3678;5159;87;5156;2252;10398;4638;2259;22801</t>
  </si>
  <si>
    <t>FN1;ITGA5;PDGFRB;ACTN1;PDGFRA;FGF7;MYL9;MYLK;FGF14;ITGA11</t>
  </si>
  <si>
    <t>1277;2335;6678;87;7077;7412;633;59</t>
  </si>
  <si>
    <t>COL1A1;FN1;SPARC;ACTN1;TIMP2;VCAM1;BGN;ACTA2</t>
  </si>
  <si>
    <t>http://www.broadinstitute.org/gsea/msigdb/cards/ZHONG_SECRETOME_OF_LUNG_CANCER_AND_FIBROBLAST.html</t>
  </si>
  <si>
    <t>5352;6591;5156;1009;115908</t>
  </si>
  <si>
    <t>PLOD2;SNAI2;PDGFRA;CDH11;CTHRC1</t>
  </si>
  <si>
    <t>NADERI_BREAST_CANCER_PROGNOSIS_DN</t>
  </si>
  <si>
    <t>1634;716;4958;64094</t>
  </si>
  <si>
    <t>DCN;C1S;OMD;SMOC2</t>
  </si>
  <si>
    <t>http://www.broadinstitute.org/gsea/msigdb/cards/NADERI_BREAST_CANCER_PROGNOSIS_DN.html</t>
  </si>
  <si>
    <t>NIELSEN_MALIGNAT_FIBROUS_HISTIOCYTOMA_UP</t>
  </si>
  <si>
    <t>1293;4015;7058;6424</t>
  </si>
  <si>
    <t>COL6A3;LOX;THBS2;SFRP4</t>
  </si>
  <si>
    <t>http://www.broadinstitute.org/gsea/msigdb/cards/NIELSEN_MALIGNAT_FIBROUS_HISTIOCYTOMA_UP.html</t>
  </si>
  <si>
    <t>395;1842;100127983;6925;1513;59;5592;3490;84624;219654;1734;25960;9638;83468;171024;90627</t>
  </si>
  <si>
    <t>ARHGAP6;ECM2;C8orf88;TCF4;CTSK;ACTA2;PRKG1;IGFBP7;FNDC1;ZCCHC24;DIO2;ADGRA2;FEZ1;GLT8D2;SYNPO2;STARD13</t>
  </si>
  <si>
    <t>4211;2335;7057;3899;4060;4052;257194;114801;25960</t>
  </si>
  <si>
    <t>MEIS1;FN1;THBS1;AFF3;LUM;LTBP1;NEGR1;TMEM200A;ADGRA2</t>
  </si>
  <si>
    <t>SCHAEFFER_PROSTATE_DEVELOPMENT_6HR_UP</t>
  </si>
  <si>
    <t>9509;7412;2191;8639;84624;10234;221091;5654;54829</t>
  </si>
  <si>
    <t>ADAMTS2;VCAM1;FAP;AOC3;FNDC1;LRRC17;LRRN4CL;HTRA1;ASPN</t>
  </si>
  <si>
    <t>http://www.broadinstitute.org/gsea/msigdb/cards/SCHAEFFER_PROSTATE_DEVELOPMENT_6HR_UP.html</t>
  </si>
  <si>
    <t>7057;894;5176;6387;4060;5549;781;7130;8076;6624;23176;25925;5919;53345;64094;9902;23452</t>
  </si>
  <si>
    <t>THBS1;CCND2;SERPINF1;CXCL12;LUM;PRELP;CACNA2D1;TNFAIP6;MFAP5;FSCN1;SEPT8;ZNF521;RARRES2;TM6SF2;SMOC2;AC080038.1;ANGPTL2</t>
  </si>
  <si>
    <t>VERRECCHIA_RESPONSE_TO_TGFB1_C1</t>
  </si>
  <si>
    <t>6678;1462;3339;10234</t>
  </si>
  <si>
    <t>SPARC;VCAN;HSPG2;LRRC17</t>
  </si>
  <si>
    <t>http://www.broadinstitute.org/gsea/msigdb/cards/VERRECCHIA_RESPONSE_TO_TGFB1_C1.html</t>
  </si>
  <si>
    <t>5924;9242;7058;781;3910;23213;6423;9638;1303</t>
  </si>
  <si>
    <t>RASGRF2;MSC;THBS2;CACNA2D1;LAMA4;SULF1;SFRP2;FEZ1;COL12A1</t>
  </si>
  <si>
    <t>1290;5159;87;7077;10398;1306;5396;94031;2199;22795;4638;3910;128218</t>
  </si>
  <si>
    <t>COL5A2;PDGFRB;ACTN1;TIMP2;MYL9;COL15A1;PRRX1;HTRA3;FBLN2;NID2;MYLK;LAMA4;TMEM125</t>
  </si>
  <si>
    <t>MEISSNER_NPC_HCP_WITH_H3K4ME2</t>
  </si>
  <si>
    <t>4882;4015;1311;2199;4920;1307;6695;2621;25903;115557;165;119587;1303;79827;57124</t>
  </si>
  <si>
    <t>NPR2;LOX;COMP;FBLN2;ROR2;COL16A1;SPOCK1;GAS6;OLFML2B;ARHGEF25;AEBP1;CPXM2;COL12A1;CLMP;CD248</t>
  </si>
  <si>
    <t>http://www.broadinstitute.org/gsea/msigdb/cards/MEISSNER_NPC_HCP_WITH_H3K4ME2.html</t>
  </si>
  <si>
    <t>TURASHVILI_BREAST_DUCTAL_CARCINOMA_VS_LOBULAR_NORMAL_DN</t>
  </si>
  <si>
    <t>1264;59;72;6876;4638;171024</t>
  </si>
  <si>
    <t>CNN1;ACTA2;ACTG2;TAGLN;MYLK;SYNPO2</t>
  </si>
  <si>
    <t>http://www.broadinstitute.org/gsea/msigdb/cards/TURASHVILI_BREAST_DUCTAL_CARCINOMA_VS_LOBULAR_NORMAL_DN.html</t>
  </si>
  <si>
    <t>CLASPER_LYMPHATIC_VESSELS_DURING_METASTASIS_UP</t>
  </si>
  <si>
    <t>7057;7043;4345;219699</t>
  </si>
  <si>
    <t>THBS1;TGFB3;CD200;UNC5B</t>
  </si>
  <si>
    <t>http://www.broadinstitute.org/gsea/msigdb/cards/CLASPER_LYMPHATIC_VESSELS_DURING_METASTASIS_UP.html</t>
  </si>
  <si>
    <t>MASRI_RESISTANCE_TO_TAMOXIFEN_AND_AROMATASE_INHIBITORS_DN</t>
  </si>
  <si>
    <t>6591;72;6876;800</t>
  </si>
  <si>
    <t>SNAI2;ACTG2;TAGLN;CALD1</t>
  </si>
  <si>
    <t>http://www.broadinstitute.org/gsea/msigdb/cards/MASRI_RESISTANCE_TO_TAMOXIFEN_AND_AROMATASE_INHIBITORS_DN.html</t>
  </si>
  <si>
    <t>8434;1281;1290;5159;633;50509;4015;2200;5549;5396;11167;4053;9697;3490;91653;27122</t>
  </si>
  <si>
    <t>RECK;COL3A1;COL5A2;PDGFRB;BGN;COL5A3;LOX;FBN1;PRELP;PRRX1;FSTL1;LTBP2;TRAM2;IGFBP7;BOC;DKK3</t>
  </si>
  <si>
    <t>CHEN_LVAD_SUPPORT_OF_FAILING_HEART_UP</t>
  </si>
  <si>
    <t>6591;3912;5322;1264;800;10631;27254</t>
  </si>
  <si>
    <t>SNAI2;LAMB1;PLA2G5;CNN1;CALD1;POSTN;CSDC2</t>
  </si>
  <si>
    <t>http://www.broadinstitute.org/gsea/msigdb/cards/CHEN_LVAD_SUPPORT_OF_FAILING_HEART_UP.html</t>
  </si>
  <si>
    <t>2335;3912;4313;5159;7043;5156;2252;3908;3910;2259;51176;10000</t>
  </si>
  <si>
    <t>FN1;LAMB1;MMP2;PDGFRB;TGFB3;PDGFRA;FGF7;LAMA2;LAMA4;FGF14;LEF1;AKT3</t>
  </si>
  <si>
    <t>MCGARVEY_SILENCED_BY_METHYLATION_IN_COLON_CANCER</t>
  </si>
  <si>
    <t>2199;6424;83700;27122;51176</t>
  </si>
  <si>
    <t>FBLN2;SFRP4;JAM3;DKK3;LEF1</t>
  </si>
  <si>
    <t>http://www.broadinstitute.org/gsea/msigdb/cards/MCGARVEY_SILENCED_BY_METHYLATION_IN_COLON_CANCER.html</t>
  </si>
  <si>
    <t>MEISSNER_NPC_HCP_WITH_H3K4ME3_AND_H3K27ME3</t>
  </si>
  <si>
    <t>26585;392617;6387;55083;27319;344558;54112;25769</t>
  </si>
  <si>
    <t>GREM1;ELFN1;CXCL12;KIF26B;BHLHE22;SH3RF3;GPR88;SLC24A2</t>
  </si>
  <si>
    <t>http://www.broadinstitute.org/gsea/msigdb/cards/MEISSNER_NPC_HCP_WITH_H3K4ME3_AND_H3K27ME3.html</t>
  </si>
  <si>
    <t>7041;1281;6678;1462;7292;4345;4237;59;11167</t>
  </si>
  <si>
    <t>TGFB1I1;COL3A1;SPARC;VCAN;TNFSF4;CD200;MFAP2;ACTA2;FSTL1</t>
  </si>
  <si>
    <t>SESTO_RESPONSE_TO_UV_C8</t>
  </si>
  <si>
    <t>1290;3912;894;7058;4052;23176</t>
  </si>
  <si>
    <t>COL5A2;LAMB1;CCND2;THBS2;LTBP1;SEPT8</t>
  </si>
  <si>
    <t>http://www.broadinstitute.org/gsea/msigdb/cards/SESTO_RESPONSE_TO_UV_C8.html</t>
  </si>
  <si>
    <t>1281;710;1278;633;59;4638;6423</t>
  </si>
  <si>
    <t>COL3A1;SERPING1;COL1A2;BGN;ACTA2;MYLK;SFRP2</t>
  </si>
  <si>
    <t>MIKKELSEN_NPC_ICP_WITH_H3K4ME3</t>
  </si>
  <si>
    <t>1277;6678;7043;7412;953;81792;7130;800;4035;4921;10350;89795;84814;2846</t>
  </si>
  <si>
    <t>COL1A1;SPARC;TGFB3;VCAM1;ENTPD1;ADAMTS12;TNFAIP6;CALD1;LRP1;DDR2;ABCA9;NAV3;PLPP7;LPAR4</t>
  </si>
  <si>
    <t>http://www.broadinstitute.org/gsea/msigdb/cards/MIKKELSEN_NPC_ICP_WITH_H3K4ME3.html</t>
  </si>
  <si>
    <t>26585;7070;1293;5156;2252;7058;1306;4060;5549;27122</t>
  </si>
  <si>
    <t>GREM1;THY1;COL6A3;PDGFRA;FGF7;THBS2;COL15A1;LUM;PRELP;DKK3</t>
  </si>
  <si>
    <t>5352;8038;2335;633;23213</t>
  </si>
  <si>
    <t>PLOD2;ADAM12;FN1;BGN;SULF1</t>
  </si>
  <si>
    <t>VANTVEER_BREAST_CANCER_BRCA1_DN</t>
  </si>
  <si>
    <t>9358;1513;1009;5592;27122</t>
  </si>
  <si>
    <t>ITGBL1;CTSK;CDH11;PRKG1;DKK3</t>
  </si>
  <si>
    <t>http://www.broadinstitute.org/gsea/msigdb/cards/VANTVEER_BREAST_CANCER_BRCA1_DN.html</t>
  </si>
  <si>
    <t>8038;2037;4313;3624;716;5176;7130;2621;4053;6624;10000;11117</t>
  </si>
  <si>
    <t>ADAM12;EPB41L2;MMP2;INHBA;C1S;SERPINF1;TNFAIP6;GAS6;LTBP2;FSCN1;AKT3;EMILIN1</t>
  </si>
  <si>
    <t>MIKKELSEN_DEDIFFERENTIATED_STATE_DN</t>
  </si>
  <si>
    <t>1292;2252;2619</t>
  </si>
  <si>
    <t>COL6A2;FGF7;GAS1</t>
  </si>
  <si>
    <t>http://www.broadinstitute.org/gsea/msigdb/cards/MIKKELSEN_DEDIFFERENTIATED_STATE_DN.html</t>
  </si>
  <si>
    <t>JOHANSSON_BRAIN_CANCER_EARLY_VS_LATE_DN</t>
  </si>
  <si>
    <t>1634;6678;1123;4035;27254</t>
  </si>
  <si>
    <t>DCN;SPARC;CHN1;LRP1;CSDC2</t>
  </si>
  <si>
    <t>http://www.broadinstitute.org/gsea/msigdb/cards/JOHANSSON_BRAIN_CANCER_EARLY_VS_LATE_DN.html</t>
  </si>
  <si>
    <t>9945;2335;1293;894;3899;5396;114801;89795;83700;8877</t>
  </si>
  <si>
    <t>GFPT2;FN1;COL6A3;CCND2;AFF3;PRRX1;TMEM200A;NAV3;JAM3;SPHK1</t>
  </si>
  <si>
    <t>8038;30008;2335;7057;6678;1462;10398;2200;6876;800;11245;9697;51334;79070;89795;84168;51176</t>
  </si>
  <si>
    <t>ADAM12;EFEMP2;FN1;THBS1;SPARC;VCAN;MYL9;FBN1;TAGLN;CALD1;GPR176;TRAM2;PRR16;POGLUT2;NAV3;ANTXR1;LEF1</t>
  </si>
  <si>
    <t>1805;23460;116535;4958;84617</t>
  </si>
  <si>
    <t>DPT;ABCA6;MRGPRF;OMD;TUBB6</t>
  </si>
  <si>
    <t>3624;7043;2252;7292;2668;6387;6356;11167;6424;2259;6423;23452</t>
  </si>
  <si>
    <t>INHBA;TGFB3;FGF7;TNFSF4;GDNF;CXCL12;CCL11;FSTL1;SFRP4;FGF14;SFRP2;ANGPTL2</t>
  </si>
  <si>
    <t>395;6387;4237;6423;79953</t>
  </si>
  <si>
    <t>ARHGAP6;CXCL12;MFAP2;SFRP2;SYNDIG1</t>
  </si>
  <si>
    <t>FRIDMAN_SENESCENCE_UP</t>
  </si>
  <si>
    <t>7041;2335;7057;1278;6678;3490</t>
  </si>
  <si>
    <t>TGFB1I1;FN1;THBS1;COL1A2;SPARC;IGFBP7</t>
  </si>
  <si>
    <t>http://www.broadinstitute.org/gsea/msigdb/cards/FRIDMAN_SENESCENCE_UP.html</t>
  </si>
  <si>
    <t>MURATA_VIRULENCE_OF_H_PILORI</t>
  </si>
  <si>
    <t>1291;1292;894;2621</t>
  </si>
  <si>
    <t>COL6A1;COL6A2;CCND2;GAS6</t>
  </si>
  <si>
    <t>http://www.broadinstitute.org/gsea/msigdb/cards/MURATA_VIRULENCE_OF_H_PILORI.html</t>
  </si>
  <si>
    <t>JEON_SMAD6_TARGETS_UP</t>
  </si>
  <si>
    <t>7057;7077;2200;27122</t>
  </si>
  <si>
    <t>THBS1;TIMP2;FBN1;DKK3</t>
  </si>
  <si>
    <t>http://www.broadinstitute.org/gsea/msigdb/cards/JEON_SMAD6_TARGETS_UP.html</t>
  </si>
  <si>
    <t>BERENJENO_ROCK_SIGNALING_NOT_VIA_RHOA_DN</t>
  </si>
  <si>
    <t>1290;6678;7412;59;9260</t>
  </si>
  <si>
    <t>COL5A2;SPARC;VCAM1;ACTA2;PDLIM7</t>
  </si>
  <si>
    <t>http://www.broadinstitute.org/gsea/msigdb/cards/BERENJENO_ROCK_SIGNALING_NOT_VIA_RHOA_DN.html</t>
  </si>
  <si>
    <t>NADELLA_PRKAR1A_TARGETS_DN</t>
  </si>
  <si>
    <t>6591;59;51176</t>
  </si>
  <si>
    <t>SNAI2;ACTA2;LEF1</t>
  </si>
  <si>
    <t>http://www.broadinstitute.org/gsea/msigdb/cards/NADELLA_PRKAR1A_TARGETS_DN.html</t>
  </si>
  <si>
    <t>5352;2037;7169;87;5156;4015;4323;5549;4237;72;800;4052;4638;3316;6624;10630;9843</t>
  </si>
  <si>
    <t>PLOD2;EPB41L2;TPM2;ACTN1;PDGFRA;LOX;MMP14;PRELP;MFAP2;ACTG2;CALD1;LTBP1;MYLK;HSPB2;FSCN1;PDPN;HEPH</t>
  </si>
  <si>
    <t>PLASARI_TGFB1_TARGETS_10HR_UP</t>
  </si>
  <si>
    <t>8038;9945;3624;3678;1296;1264;219699;83716;8877</t>
  </si>
  <si>
    <t>ADAM12;GFPT2;INHBA;ITGA5;COL8A2;CNN1;UNC5B;CRISPLD2;SPHK1</t>
  </si>
  <si>
    <t>http://www.broadinstitute.org/gsea/msigdb/cards/PLASARI_TGFB1_TARGETS_10HR_UP.html</t>
  </si>
  <si>
    <t>4211;8825;8522;1292;894;953;4060;3339;6624;165;9638;5919</t>
  </si>
  <si>
    <t>MEIS1;LIN7A;AC005747.1;COL6A2;CCND2;ENTPD1;LUM;HSPG2;FSCN1;AEBP1;FEZ1;RARRES2</t>
  </si>
  <si>
    <t>7169;7057;5156;2252;5322;5396;2619;1012;10630;219654;6444</t>
  </si>
  <si>
    <t>TPM2;THBS1;PDGFRA;FGF7;PLA2G5;PRRX1;GAS1;CDH13;PDPN;ZCCHC24;SGCD</t>
  </si>
  <si>
    <t>5352;1462;1264;59;72;6876</t>
  </si>
  <si>
    <t>PLOD2;VCAN;CNN1;ACTA2;ACTG2;TAGLN</t>
  </si>
  <si>
    <t>MARCHINI_TRABECTEDIN_RESISTANCE_DN</t>
  </si>
  <si>
    <t>1281;1012;59;11167;3490</t>
  </si>
  <si>
    <t>COL3A1;CDH13;ACTA2;FSTL1;IGFBP7</t>
  </si>
  <si>
    <t>http://www.broadinstitute.org/gsea/msigdb/cards/MARCHINI_TRABECTEDIN_RESISTANCE_DN.html</t>
  </si>
  <si>
    <t>7041;1277;710;6678;3908;50509;25802;2825;953;7130;800;4035;338773;23213;254228;84814;221091;128218</t>
  </si>
  <si>
    <t>TGFB1I1;COL1A1;SERPING1;SPARC;LAMA2;COL5A3;LMOD1;GPR1;ENTPD1;TNFAIP6;CALD1;LRP1;TMEM119;SULF1;CALHM5;PLPP7;LRRN4CL;TMEM125</t>
  </si>
  <si>
    <t>PID_BETA_CATENIN_NUC_PATHWAY</t>
  </si>
  <si>
    <t>6591;4313;1462;6925;894;51176</t>
  </si>
  <si>
    <t>SNAI2;MMP2;VCAN;TCF4;CCND2;LEF1</t>
  </si>
  <si>
    <t>http://www.broadinstitute.org/gsea/msigdb/cards/PID_BETA_CATENIN_NUC_PATHWAY.html</t>
  </si>
  <si>
    <t>PID_LYMPH_ANGIOGENESIS_PATHWAY</t>
  </si>
  <si>
    <t>1277;2335;1278;3678</t>
  </si>
  <si>
    <t>COL1A1;FN1;COL1A2;ITGA5</t>
  </si>
  <si>
    <t>http://www.broadinstitute.org/gsea/msigdb/cards/PID_LYMPH_ANGIOGENESIS_PATHWAY.html</t>
  </si>
  <si>
    <t>1301;1291;1292;1289</t>
  </si>
  <si>
    <t>COL11A1;COL6A1;COL6A2;COL5A1</t>
  </si>
  <si>
    <t>5352;2037;8522;8434;7057;8076</t>
  </si>
  <si>
    <t>PLOD2;EPB41L2;AC005747.1;RECK;THBS1;MFAP5</t>
  </si>
  <si>
    <t>7070;4313;87;7412;10398;6387;83700</t>
  </si>
  <si>
    <t>THY1;MMP2;ACTN1;VCAM1;MYL9;CXCL12;JAM3</t>
  </si>
  <si>
    <t>NAKAMURA_CANCER_MICROENVIRONMENT_UP</t>
  </si>
  <si>
    <t>1277;1281;1278;10631</t>
  </si>
  <si>
    <t>COL1A1;COL3A1;COL1A2;POSTN</t>
  </si>
  <si>
    <t>http://www.broadinstitute.org/gsea/msigdb/cards/NAKAMURA_CANCER_MICROENVIRONMENT_UP.html</t>
  </si>
  <si>
    <t>BURTON_ADIPOGENESIS_7</t>
  </si>
  <si>
    <t>7070;7077;7412;2200;2199</t>
  </si>
  <si>
    <t>THY1;TIMP2;VCAM1;FBN1;FBLN2</t>
  </si>
  <si>
    <t>http://www.broadinstitute.org/gsea/msigdb/cards/BURTON_ADIPOGENESIS_7.html</t>
  </si>
  <si>
    <t>MEISSNER_NPC_HCP_WITH_H3_UNMETHYLATED</t>
  </si>
  <si>
    <t>5924;7169;4313;1296;4323;94031;11245;340075;131578;114757;91179;83716;50507;27122;10699</t>
  </si>
  <si>
    <t>RASGRF2;TPM2;MMP2;COL8A2;MMP14;HTRA3;GPR176;ARSI;LRRC15;CYGB;SCARF2;CRISPLD2;NOX4;DKK3;CORIN</t>
  </si>
  <si>
    <t>http://www.broadinstitute.org/gsea/msigdb/cards/MEISSNER_NPC_HCP_WITH_H3_UNMETHYLATED.html</t>
  </si>
  <si>
    <t>ZWANG_CLASS_2_TRANSIENTLY_INDUCED_BY_EGF</t>
  </si>
  <si>
    <t>9945;3624;6876;11167;8877</t>
  </si>
  <si>
    <t>GFPT2;INHBA;TAGLN;FSTL1;SPHK1</t>
  </si>
  <si>
    <t>http://www.broadinstitute.org/gsea/msigdb/cards/ZWANG_CLASS_2_TRANSIENTLY_INDUCED_BY_EGF.html</t>
  </si>
  <si>
    <t>KARLSSON_TGFB1_TARGETS_DN</t>
  </si>
  <si>
    <t>1634;1291;87;5156;2619;22795;151887;6423;23208</t>
  </si>
  <si>
    <t>DCN;COL6A1;ACTN1;PDGFRA;GAS1;NID2;CCDC80;SFRP2;SYT11</t>
  </si>
  <si>
    <t>http://www.broadinstitute.org/gsea/msigdb/cards/KARLSSON_TGFB1_TARGETS_DN.html</t>
  </si>
  <si>
    <t>4211;9358;8434;1277;2335;7070;1123;6925;5176;2668;4323;3899;59;4035;1740;8639;84898;79633;151887;10630;89795;259232;84814;387758;1734;4675;83604;9843;83468;25878;29767;9902;57493</t>
  </si>
  <si>
    <t>MEIS1;ITGBL1;RECK;COL1A1;FN1;THY1;CHN1;TCF4;SERPINF1;GDNF;MMP14;AFF3;ACTA2;LRP1;DLG2;AOC3;PLXDC2;FAT4;CCDC80;PDPN;NAV3;NALCN;PLPP7;FIBIN;DIO2;NAP1L3;TMEM47;HEPH;GLT8D2;MXRA5;TMOD2;AC080038.1;HEG1</t>
  </si>
  <si>
    <t>1277;2335;710;7057;1278;6678;7043;87;10000</t>
  </si>
  <si>
    <t>COL1A1;FN1;SERPING1;THBS1;COL1A2;SPARC;TGFB3;ACTN1;AKT3</t>
  </si>
  <si>
    <t>REACTOME_HEPARAN_SULFATE_HEPARIN_HS_GAG_METABOLISM</t>
  </si>
  <si>
    <t>http://www.broadinstitute.org/gsea/msigdb/cards/REACTOME_HEPARAN_SULFATE_HEPARIN_HS_GAG_METABOLISM.html</t>
  </si>
  <si>
    <t>CHIBA_RESPONSE_TO_TSA_UP</t>
  </si>
  <si>
    <t>1278;5159;7077;4320;4060</t>
  </si>
  <si>
    <t>COL1A2;PDGFRB;TIMP2;MMP11;LUM</t>
  </si>
  <si>
    <t>http://www.broadinstitute.org/gsea/msigdb/cards/CHIBA_RESPONSE_TO_TSA_UP.html</t>
  </si>
  <si>
    <t>26585;2335;1301;5156;7412;1289;6935;4345;5351;4053;1734;10418</t>
  </si>
  <si>
    <t>GREM1;FN1;COL11A1;PDGFRA;VCAM1;COL5A1;ZEB1;CD200;PLOD1;LTBP2;DIO2;SPON1</t>
  </si>
  <si>
    <t>MANTOVANI_VIRAL_GPCR_SIGNALING_UP</t>
  </si>
  <si>
    <t>716;7412;6387;59;3490;257194</t>
  </si>
  <si>
    <t>C1S;VCAM1;CXCL12;ACTA2;IGFBP7;NEGR1</t>
  </si>
  <si>
    <t>http://www.broadinstitute.org/gsea/msigdb/cards/MANTOVANI_VIRAL_GPCR_SIGNALING_UP.html</t>
  </si>
  <si>
    <t>HUPER_BREAST_BASAL_VS_LUMINAL_UP</t>
  </si>
  <si>
    <t>8076;10631;10630;5654;9638</t>
  </si>
  <si>
    <t>MFAP5;POSTN;PDPN;HTRA1;FEZ1</t>
  </si>
  <si>
    <t>http://www.broadinstitute.org/gsea/msigdb/cards/HUPER_BREAST_BASAL_VS_LUMINAL_UP.html</t>
  </si>
  <si>
    <t>MCBRYAN_PUBERTAL_BREAST_3_4WK_UP</t>
  </si>
  <si>
    <t>2335;7043;4323;1264;2619;1307;6624;57124;9902</t>
  </si>
  <si>
    <t>FN1;TGFB3;MMP14;CNN1;GAS1;COL16A1;FSCN1;CD248;AC080038.1</t>
  </si>
  <si>
    <t>http://www.broadinstitute.org/gsea/msigdb/cards/MCBRYAN_PUBERTAL_BREAST_3_4WK_UP.html</t>
  </si>
  <si>
    <t>MAINA_VHL_TARGETS_UP</t>
  </si>
  <si>
    <t>10398;1264;6876</t>
  </si>
  <si>
    <t>MYL9;CNN1;TAGLN</t>
  </si>
  <si>
    <t>http://www.broadinstitute.org/gsea/msigdb/cards/MAINA_VHL_TARGETS_UP.html</t>
  </si>
  <si>
    <t>AFFAR_YY1_TARGETS_UP</t>
  </si>
  <si>
    <t>5352;4313;1300;22795;27295;55959;4675;23208;10335</t>
  </si>
  <si>
    <t>PLOD2;MMP2;COL10A1;NID2;PDLIM3;SULF2;NAP1L3;SYT11;MRVI1</t>
  </si>
  <si>
    <t>http://www.broadinstitute.org/gsea/msigdb/cards/AFFAR_YY1_TARGETS_UP.html</t>
  </si>
  <si>
    <t>SASSON_RESPONSE_TO_GONADOTROPHINS_DN</t>
  </si>
  <si>
    <t>7169;7057;87;59;72;27295</t>
  </si>
  <si>
    <t>TPM2;THBS1;ACTN1;ACTA2;ACTG2;PDLIM3</t>
  </si>
  <si>
    <t>http://www.broadinstitute.org/gsea/msigdb/cards/SASSON_RESPONSE_TO_GONADOTROPHINS_DN.html</t>
  </si>
  <si>
    <t>7412;7058;2668;4060;10630;84617;23452</t>
  </si>
  <si>
    <t>VCAM1;THBS2;GDNF;LUM;PDPN;TUBB6;ANGPTL2</t>
  </si>
  <si>
    <t>SCHLESINGER_METHYLATED_DE_NOVO_IN_CANCER</t>
  </si>
  <si>
    <t>5241;2200;6387;1012;5592;9638</t>
  </si>
  <si>
    <t>PGR;FBN1;CXCL12;CDH13;PRKG1;FEZ1</t>
  </si>
  <si>
    <t>http://www.broadinstitute.org/gsea/msigdb/cards/SCHLESINGER_METHYLATED_DE_NOVO_IN_CANCER.html</t>
  </si>
  <si>
    <t>SASSON_RESPONSE_TO_FORSKOLIN_DN</t>
  </si>
  <si>
    <t>http://www.broadinstitute.org/gsea/msigdb/cards/SASSON_RESPONSE_TO_FORSKOLIN_DN.html</t>
  </si>
  <si>
    <t>134111;395;8038;8483;8840;9509;1290;1291;1462;4320;1306;2668;3899;79883;219699;219654;115908;84662;83716;25878;9254;51339;57493;27254</t>
  </si>
  <si>
    <t>UBE2QL1;ARHGAP6;ADAM12;CILP;CCN4;ADAMTS2;COL5A2;COL6A1;VCAN;MMP11;COL15A1;GDNF;AFF3;PODNL1;UNC5B;ZCCHC24;CTHRC1;GLIS2;CRISPLD2;MXRA5;CACNA2D2;DACT1;HEG1;CSDC2</t>
  </si>
  <si>
    <t>REACTOME_DEGRADATION_OF_THE_EXTRACELLULAR_MATRIX</t>
  </si>
  <si>
    <t>4313;7077;4320;4323</t>
  </si>
  <si>
    <t>MMP2;TIMP2;MMP11;MMP14</t>
  </si>
  <si>
    <t>http://www.broadinstitute.org/gsea/msigdb/cards/REACTOME_DEGRADATION_OF_THE_EXTRACELLULAR_MATRIX.html</t>
  </si>
  <si>
    <t>5924;5159;7043;5156;2252;5322;781;2259;9254;10000</t>
  </si>
  <si>
    <t>RASGRF2;PDGFRB;TGFB3;PDGFRA;FGF7;PLA2G5;CACNA2D1;FGF14;CACNA2D2;AKT3</t>
  </si>
  <si>
    <t>2335;710;7057;6678;7043;87</t>
  </si>
  <si>
    <t>FN1;SERPING1;THBS1;SPARC;TGFB3;ACTN1</t>
  </si>
  <si>
    <t>HOQUE_METHYLATED_IN_CANCER</t>
  </si>
  <si>
    <t>1462;7077;894;1012;6424</t>
  </si>
  <si>
    <t>VCAN;TIMP2;CCND2;CDH13;SFRP4</t>
  </si>
  <si>
    <t>http://www.broadinstitute.org/gsea/msigdb/cards/HOQUE_METHYLATED_IN_CANCER.html</t>
  </si>
  <si>
    <t>AMIT_SERUM_RESPONSE_60_MCF10A</t>
  </si>
  <si>
    <t>389136;2335;3624;2619;800</t>
  </si>
  <si>
    <t>VGLL3;FN1;INHBA;GAS1;CALD1</t>
  </si>
  <si>
    <t>http://www.broadinstitute.org/gsea/msigdb/cards/AMIT_SERUM_RESPONSE_60_MCF10A.html</t>
  </si>
  <si>
    <t>6591;1281;2619;1009;5311</t>
  </si>
  <si>
    <t>SNAI2;COL3A1;GAS1;CDH11;PKD2</t>
  </si>
  <si>
    <t>WIEDERSCHAIN_TARGETS_OF_BMI1_AND_PCGF2</t>
  </si>
  <si>
    <t>3624;1289;151887;83716;50863</t>
  </si>
  <si>
    <t>INHBA;COL5A1;CCDC80;CRISPLD2;NTM</t>
  </si>
  <si>
    <t>http://www.broadinstitute.org/gsea/msigdb/cards/WIEDERSCHAIN_TARGETS_OF_BMI1_AND_PCGF2.html</t>
  </si>
  <si>
    <t>REACTOME_KERATAN_SULFATE_DEGRADATION</t>
  </si>
  <si>
    <t>4060;5549;4958</t>
  </si>
  <si>
    <t>LUM;PRELP;OMD</t>
  </si>
  <si>
    <t>http://www.broadinstitute.org/gsea/msigdb/cards/REACTOME_KERATAN_SULFATE_DEGRADATION.html</t>
  </si>
  <si>
    <t>8434;2252;894;3339;23090;10000</t>
  </si>
  <si>
    <t>RECK;FGF7;CCND2;HSPG2;ZNF423;AKT3</t>
  </si>
  <si>
    <t>1278;1301;1293;1462;115908;1303;50507;25878</t>
  </si>
  <si>
    <t>COL1A2;COL11A1;COL6A3;VCAN;CTHRC1;COL12A1;NOX4;MXRA5</t>
  </si>
  <si>
    <t>1277;2335;1462;6695;11245</t>
  </si>
  <si>
    <t>COL1A1;FN1;VCAN;SPOCK1;GPR176</t>
  </si>
  <si>
    <t>SANSOM_WNT_PATHWAY_REQUIRE_MYC</t>
  </si>
  <si>
    <t>8840;894;4323;4920;51176</t>
  </si>
  <si>
    <t>CCN4;CCND2;MMP14;ROR2;LEF1</t>
  </si>
  <si>
    <t>http://www.broadinstitute.org/gsea/msigdb/cards/SANSOM_WNT_PATHWAY_REQUIRE_MYC.html</t>
  </si>
  <si>
    <t>BURTON_ADIPOGENESIS_9</t>
  </si>
  <si>
    <t>8434;7057;7412;7058;6387;6423</t>
  </si>
  <si>
    <t>RECK;THBS1;VCAM1;THBS2;CXCL12;SFRP2</t>
  </si>
  <si>
    <t>http://www.broadinstitute.org/gsea/msigdb/cards/BURTON_ADIPOGENESIS_9.html</t>
  </si>
  <si>
    <t>1277;7057;6678;1293</t>
  </si>
  <si>
    <t>COL1A1;THBS1;SPARC;COL6A3</t>
  </si>
  <si>
    <t>LIANG_SILENCED_BY_METHYLATION_UP</t>
  </si>
  <si>
    <t>7292;1346;894;8076</t>
  </si>
  <si>
    <t>TNFSF4;COX7A1;CCND2;MFAP5</t>
  </si>
  <si>
    <t>http://www.broadinstitute.org/gsea/msigdb/cards/LIANG_SILENCED_BY_METHYLATION_UP.html</t>
  </si>
  <si>
    <t>TSAI_RESPONSE_TO_RADIATION_THERAPY</t>
  </si>
  <si>
    <t>7057;1291;1292;1293</t>
  </si>
  <si>
    <t>THBS1;COL6A1;COL6A2;COL6A3</t>
  </si>
  <si>
    <t>http://www.broadinstitute.org/gsea/msigdb/cards/TSAI_RESPONSE_TO_RADIATION_THERAPY.html</t>
  </si>
  <si>
    <t>REACTOME_CS_DS_DEGRADATION</t>
  </si>
  <si>
    <t>1634;1462;633</t>
  </si>
  <si>
    <t>DCN;VCAN;BGN</t>
  </si>
  <si>
    <t>http://www.broadinstitute.org/gsea/msigdb/cards/REACTOME_CS_DS_DEGRADATION.html</t>
  </si>
  <si>
    <t>CLAUS_PGR_POSITIVE_MENINGIOMA_DN</t>
  </si>
  <si>
    <t>5159;11167;57493</t>
  </si>
  <si>
    <t>PDGFRB;FSTL1;HEG1</t>
  </si>
  <si>
    <t>http://www.broadinstitute.org/gsea/msigdb/cards/CLAUS_PGR_POSITIVE_MENINGIOMA_DN.html</t>
  </si>
  <si>
    <t>2335;3624;1292;6925;4015;1009;94031;8991;3490;51334;54587;51176</t>
  </si>
  <si>
    <t>FN1;INHBA;COL6A2;TCF4;LOX;CDH11;HTRA3;SELENBP1;IGFBP7;PRR16;MXRA8;LEF1</t>
  </si>
  <si>
    <t>PID_INTEGRIN_A4B1_PATHWAY</t>
  </si>
  <si>
    <t>2335;7057;7412;7058</t>
  </si>
  <si>
    <t>FN1;THBS1;VCAM1;THBS2</t>
  </si>
  <si>
    <t>http://www.broadinstitute.org/gsea/msigdb/cards/PID_INTEGRIN_A4B1_PATHWAY.html</t>
  </si>
  <si>
    <t>GOZGIT_ESR1_TARGETS_DN</t>
  </si>
  <si>
    <t>134111;8825;1281;5241;7057;100127983;6925;7077;6387;3899;8991;4053;23213;115908;122786;83872;171024;23024</t>
  </si>
  <si>
    <t>UBE2QL1;LIN7A;COL3A1;PGR;THBS1;C8orf88;TCF4;TIMP2;CXCL12;AFF3;SELENBP1;LTBP2;SULF1;CTHRC1;FRMD6;HMCN1;SYNPO2;PDZRN3</t>
  </si>
  <si>
    <t>http://www.broadinstitute.org/gsea/msigdb/cards/GOZGIT_ESR1_TARGETS_DN.html</t>
  </si>
  <si>
    <t>SAMOLS_TARGETS_OF_KHSV_MIRNAS_DN</t>
  </si>
  <si>
    <t>2335;7057;3624;27319;27122</t>
  </si>
  <si>
    <t>FN1;THBS1;INHBA;BHLHE22;DKK3</t>
  </si>
  <si>
    <t>http://www.broadinstitute.org/gsea/msigdb/cards/SAMOLS_TARGETS_OF_KHSV_MIRNAS_DN.html</t>
  </si>
  <si>
    <t>7057;7292;4345;59;6624;8877;29940;10000</t>
  </si>
  <si>
    <t>THBS1;TNFSF4;CD200;ACTA2;FSCN1;SPHK1;DSE;AKT3</t>
  </si>
  <si>
    <t>FRIDMAN_IMMORTALIZATION_DN</t>
  </si>
  <si>
    <t>7041;6678;3490;5654</t>
  </si>
  <si>
    <t>TGFB1I1;SPARC;IGFBP7;HTRA1</t>
  </si>
  <si>
    <t>http://www.broadinstitute.org/gsea/msigdb/cards/FRIDMAN_IMMORTALIZATION_DN.html</t>
  </si>
  <si>
    <t>3671;8483;9945;8840;9509;1277;1291;1289;1346;4320;6356;1307;8639;340075;165904;84814;131578;5919;57124</t>
  </si>
  <si>
    <t>ISLR;CILP;GFPT2;CCN4;ADAMTS2;COL1A1;COL6A1;COL5A1;COX7A1;MMP11;CCL11;COL16A1;AOC3;ARSI;XIRP1;PLPP7;LRRC15;RARRES2;CD248</t>
  </si>
  <si>
    <t>MATZUK_EARLY_ANTRAL_FOLLICLE</t>
  </si>
  <si>
    <t>7057;894;4921</t>
  </si>
  <si>
    <t>THBS1;CCND2;DDR2</t>
  </si>
  <si>
    <t>http://www.broadinstitute.org/gsea/msigdb/cards/MATZUK_EARLY_ANTRAL_FOLLICLE.html</t>
  </si>
  <si>
    <t>9358;2335;716;1292;2200;5176;6624;4675;83604;23208;84617;83716;29940</t>
  </si>
  <si>
    <t>ITGBL1;FN1;C1S;COL6A2;FBN1;SERPINF1;FSCN1;NAP1L3;TMEM47;SYT11;TUBB6;CRISPLD2;DSE</t>
  </si>
  <si>
    <t>1293;1009;3339;11167;115701</t>
  </si>
  <si>
    <t>COL6A3;CDH11;HSPG2;FSTL1;ALPK2</t>
  </si>
  <si>
    <t>SIG_REGULATION_OF_THE_ACTIN_CYTOSKELETON_BY_RHO_GTPASES</t>
  </si>
  <si>
    <t>72;4638;6624;23452</t>
  </si>
  <si>
    <t>ACTG2;MYLK;FSCN1;ANGPTL2</t>
  </si>
  <si>
    <t>http://www.broadinstitute.org/gsea/msigdb/cards/SIG_REGULATION_OF_THE_ACTIN_CYTOSKELETON_BY_RHO_GTPASES.html</t>
  </si>
  <si>
    <t>OUELLET_CULTURED_OVARIAN_CANCER_INVASIVE_VS_LMP_DN</t>
  </si>
  <si>
    <t>4313;1301;165;10234</t>
  </si>
  <si>
    <t>MMP2;COL11A1;AEBP1;LRRC17</t>
  </si>
  <si>
    <t>http://www.broadinstitute.org/gsea/msigdb/cards/OUELLET_CULTURED_OVARIAN_CANCER_INVASIVE_VS_LMP_DN.html</t>
  </si>
  <si>
    <t>COLIN_PILOCYTIC_ASTROCYTOMA_VS_GLIOBLASTOMA_UP</t>
  </si>
  <si>
    <t>6695;5654;27122;23452</t>
  </si>
  <si>
    <t>SPOCK1;HTRA1;DKK3;ANGPTL2</t>
  </si>
  <si>
    <t>http://www.broadinstitute.org/gsea/msigdb/cards/COLIN_PILOCYTIC_ASTROCYTOMA_VS_GLIOBLASTOMA_UP.html</t>
  </si>
  <si>
    <t>HAN_JNK_SINGALING_UP</t>
  </si>
  <si>
    <t>4015;894;1805;23452</t>
  </si>
  <si>
    <t>LOX;CCND2;DPT;ANGPTL2</t>
  </si>
  <si>
    <t>http://www.broadinstitute.org/gsea/msigdb/cards/HAN_JNK_SINGALING_UP.html</t>
  </si>
  <si>
    <t>395;2037;6591;8434;1281;1290;1278;3678;5159;6925;5156;7412;633;4015;4345;5549;2326;11167;4052;4921;8639;25903;116535;25925;122786;4675;1303;91653;80114;8877;23024</t>
  </si>
  <si>
    <t>ARHGAP6;EPB41L2;SNAI2;RECK;COL3A1;COL5A2;COL1A2;ITGA5;PDGFRB;TCF4;PDGFRA;VCAM1;BGN;LOX;CD200;PRELP;FMO1;FSTL1;LTBP1;DDR2;AOC3;OLFML2B;MRGPRF;ZNF521;FRMD6;NAP1L3;COL12A1;BOC;BICC1;SPHK1;PDZRN3</t>
  </si>
  <si>
    <t>KOYAMA_SEMA3B_TARGETS_UP</t>
  </si>
  <si>
    <t>9358;7057;6678;4053;57616;114801;115908;84168;51176;57493</t>
  </si>
  <si>
    <t>ITGBL1;THBS1;SPARC;LTBP2;TSHZ3;TMEM200A;CTHRC1;ANTXR1;LEF1;HEG1</t>
  </si>
  <si>
    <t>http://www.broadinstitute.org/gsea/msigdb/cards/KOYAMA_SEMA3B_TARGETS_UP.html</t>
  </si>
  <si>
    <t>LABBE_TGFB1_TARGETS_UP</t>
  </si>
  <si>
    <t>6925;5156;4015;72;2199;9644</t>
  </si>
  <si>
    <t>TCF4;PDGFRA;LOX;ACTG2;FBLN2;SH3PXD2A</t>
  </si>
  <si>
    <t>http://www.broadinstitute.org/gsea/msigdb/cards/LABBE_TGFB1_TARGETS_UP.html</t>
  </si>
  <si>
    <t>4313;6678;716;7077;1513;953;7130;4053;3490;8877;10000;11117</t>
  </si>
  <si>
    <t>MMP2;SPARC;C1S;TIMP2;CTSK;ENTPD1;TNFAIP6;LTBP2;IGFBP7;SPHK1;AKT3;EMILIN1</t>
  </si>
  <si>
    <t>7058;6387;11245;3490;89795;5654;4675;64094</t>
  </si>
  <si>
    <t>THBS2;CXCL12;GPR176;IGFBP7;NAV3;HTRA1;NAP1L3;SMOC2</t>
  </si>
  <si>
    <t>DACOSTA_ERCC3_ALLELE_XPCS_VS_TTD_DN</t>
  </si>
  <si>
    <t>1278;1462;1264;80114</t>
  </si>
  <si>
    <t>COL1A2;VCAN;CNN1;BICC1</t>
  </si>
  <si>
    <t>http://www.broadinstitute.org/gsea/msigdb/cards/DACOSTA_ERCC3_ALLELE_XPCS_VS_TTD_DN.html</t>
  </si>
  <si>
    <t>ABBUD_LIF_SIGNALING_2_UP</t>
  </si>
  <si>
    <t>1634;1301;1734</t>
  </si>
  <si>
    <t>DCN;COL11A1;DIO2</t>
  </si>
  <si>
    <t>http://www.broadinstitute.org/gsea/msigdb/cards/ABBUD_LIF_SIGNALING_2_UP.html</t>
  </si>
  <si>
    <t>WEIGEL_OXIDATIVE_STRESS_BY_TBH_AND_H2O2</t>
  </si>
  <si>
    <t>7412;4320;1009;2326</t>
  </si>
  <si>
    <t>VCAM1;MMP11;CDH11;FMO1</t>
  </si>
  <si>
    <t>http://www.broadinstitute.org/gsea/msigdb/cards/WEIGEL_OXIDATIVE_STRESS_BY_TBH_AND_H2O2.html</t>
  </si>
  <si>
    <t>ZHONG_SECRETOME_OF_LUNG_CANCER_AND_ENDOTHELIUM</t>
  </si>
  <si>
    <t>1277;2335;7412;633;3490</t>
  </si>
  <si>
    <t>COL1A1;FN1;VCAM1;BGN;IGFBP7</t>
  </si>
  <si>
    <t>http://www.broadinstitute.org/gsea/msigdb/cards/ZHONG_SECRETOME_OF_LUNG_CANCER_AND_ENDOTHELIUM.html</t>
  </si>
  <si>
    <t>ALONSO_METASTASIS_EMT_UP</t>
  </si>
  <si>
    <t>4313;6678;1462;4060</t>
  </si>
  <si>
    <t>MMP2;SPARC;VCAN;LUM</t>
  </si>
  <si>
    <t>http://www.broadinstitute.org/gsea/msigdb/cards/ALONSO_METASTASIS_EMT_UP.html</t>
  </si>
  <si>
    <t>LEIN_CHOROID_PLEXUS_MARKERS</t>
  </si>
  <si>
    <t>1296;4060;22795;5118;23213;54587</t>
  </si>
  <si>
    <t>COL8A2;LUM;NID2;PCOLCE;SULF1;MXRA8</t>
  </si>
  <si>
    <t>http://www.broadinstitute.org/gsea/msigdb/cards/LEIN_CHOROID_PLEXUS_MARKERS.html</t>
  </si>
  <si>
    <t>1281;1278;2825;800;89795;23213;253827;29767;55714;10000</t>
  </si>
  <si>
    <t>COL3A1;COL1A2;GPR1;CALD1;NAV3;SULF1;MSRB3;TMOD2;TENM3;AKT3</t>
  </si>
  <si>
    <t>7169;7057;6678;6925;800;5654</t>
  </si>
  <si>
    <t>TPM2;THBS1;SPARC;TCF4;CALD1;HTRA1</t>
  </si>
  <si>
    <t>7041;4313;4345;5739;1805;22795;3316;6624;85360</t>
  </si>
  <si>
    <t>TGFB1I1;MMP2;CD200;PTGIR;DPT;NID2;HSPB2;FSCN1;SYDE1</t>
  </si>
  <si>
    <t>NAKAMURA_ADIPOGENESIS_LATE_UP</t>
  </si>
  <si>
    <t>1301;1293;1012;2621;338773;83468</t>
  </si>
  <si>
    <t>COL11A1;COL6A3;CDH13;GAS6;TMEM119;GLT8D2</t>
  </si>
  <si>
    <t>http://www.broadinstitute.org/gsea/msigdb/cards/NAKAMURA_ADIPOGENESIS_LATE_UP.html</t>
  </si>
  <si>
    <t>1281;2335;7043;6925;4015;5549;1264;2199</t>
  </si>
  <si>
    <t>COL3A1;FN1;TGFB3;TCF4;LOX;PRELP;CNN1;FBLN2</t>
  </si>
  <si>
    <t>REACTOME_METABOLISM_OF_CARBOHYDRATES</t>
  </si>
  <si>
    <t>http://www.broadinstitute.org/gsea/msigdb/cards/REACTOME_METABOLISM_OF_CARBOHYDRATES.html</t>
  </si>
  <si>
    <t>2037;5350;5396;11167;4052;51334;84898;387758;84251;83700</t>
  </si>
  <si>
    <t>EPB41L2;PLN;PRRX1;FSTL1;LTBP1;PRR16;PLXDC2;FIBIN;SGIP1;JAM3</t>
  </si>
  <si>
    <t>2037;7077;894;5549;5396;3910;6624;114757</t>
  </si>
  <si>
    <t>EPB41L2;TIMP2;CCND2;PRELP;PRRX1;LAMA4;FSCN1;CYGB</t>
  </si>
  <si>
    <t>1277;6678;165;219699;84617</t>
  </si>
  <si>
    <t>COL1A1;SPARC;AEBP1;UNC5B;TUBB6</t>
  </si>
  <si>
    <t>TAVAZOIE_METASTASIS</t>
  </si>
  <si>
    <t>1277;5156;5350;6387;1740;3910</t>
  </si>
  <si>
    <t>COL1A1;PDGFRA;PLN;CXCL12;DLG2;LAMA4</t>
  </si>
  <si>
    <t>http://www.broadinstitute.org/gsea/msigdb/cards/TAVAZOIE_METASTASIS.html</t>
  </si>
  <si>
    <t>134111;7043;7292;10398;894;6356;6695;22795;84624;83468;79827</t>
  </si>
  <si>
    <t>UBE2QL1;TGFB3;TNFSF4;MYL9;CCND2;CCL11;SPOCK1;NID2;FNDC1;GLT8D2;CLMP</t>
  </si>
  <si>
    <t>395;8434;7412;894;953;6624;2846;10418;11117</t>
  </si>
  <si>
    <t>ARHGAP6;RECK;VCAM1;CCND2;ENTPD1;FSCN1;LPAR4;SPON1;EMILIN1</t>
  </si>
  <si>
    <t>KEGG_MELANOMA</t>
  </si>
  <si>
    <t>5159;5156;2252;2259;10000</t>
  </si>
  <si>
    <t>PDGFRB;PDGFRA;FGF7;FGF14;AKT3</t>
  </si>
  <si>
    <t>http://www.broadinstitute.org/gsea/msigdb/cards/KEGG_MELANOMA.html</t>
  </si>
  <si>
    <t>CREIGHTON_ENDOCRINE_THERAPY_RESISTANCE_4</t>
  </si>
  <si>
    <t>5241;6678;1462;1123;1289;6387;27295;23213;84617;9902</t>
  </si>
  <si>
    <t>PGR;SPARC;VCAN;CHN1;COL5A1;CXCL12;PDLIM3;SULF1;TUBB6;AC080038.1</t>
  </si>
  <si>
    <t>http://www.broadinstitute.org/gsea/msigdb/cards/CREIGHTON_ENDOCRINE_THERAPY_RESISTANCE_4.html</t>
  </si>
  <si>
    <t>SUZUKI_AMPLIFIED_IN_ORAL_CANCER</t>
  </si>
  <si>
    <t>5241;894;2621</t>
  </si>
  <si>
    <t>PGR;CCND2;GAS6</t>
  </si>
  <si>
    <t>http://www.broadinstitute.org/gsea/msigdb/cards/SUZUKI_AMPLIFIED_IN_ORAL_CANCER.html</t>
  </si>
  <si>
    <t>DASU_IL6_SIGNALING_SCAR_DN</t>
  </si>
  <si>
    <t>7057;5156;23213</t>
  </si>
  <si>
    <t>THBS1;PDGFRA;SULF1</t>
  </si>
  <si>
    <t>http://www.broadinstitute.org/gsea/msigdb/cards/DASU_IL6_SIGNALING_SCAR_DN.html</t>
  </si>
  <si>
    <t>5352;1281;1278;6678;716;87;1462;7412;6935;6387;4060;1009;59;8991</t>
  </si>
  <si>
    <t>PLOD2;COL3A1;COL1A2;SPARC;C1S;ACTN1;VCAN;VCAM1;ZEB1;CXCL12;LUM;CDH11;ACTA2;SELENBP1</t>
  </si>
  <si>
    <t>1292;1462;6387;2619;11167;5311;10631;6423</t>
  </si>
  <si>
    <t>COL6A2;VCAN;CXCL12;GAS1;FSTL1;PKD2;POSTN;SFRP2</t>
  </si>
  <si>
    <t>7070;4313;4035;83700</t>
  </si>
  <si>
    <t>THY1;MMP2;LRP1;JAM3</t>
  </si>
  <si>
    <t>PID_INTEGRIN5_PATHWAY</t>
  </si>
  <si>
    <t>2335;7412;2200</t>
  </si>
  <si>
    <t>FN1;VCAM1;FBN1</t>
  </si>
  <si>
    <t>http://www.broadinstitute.org/gsea/msigdb/cards/PID_INTEGRIN5_PATHWAY.html</t>
  </si>
  <si>
    <t>PID_ANTHRAX_PATHWAY</t>
  </si>
  <si>
    <t>5241;7412;84168</t>
  </si>
  <si>
    <t>PGR;VCAM1;ANTXR1</t>
  </si>
  <si>
    <t>http://www.broadinstitute.org/gsea/msigdb/cards/PID_ANTHRAX_PATHWAY.html</t>
  </si>
  <si>
    <t>CORRE_MULTIPLE_MYELOMA_UP</t>
  </si>
  <si>
    <t>7292;4345;81792;343450;23460</t>
  </si>
  <si>
    <t>TNFSF4;CD200;ADAMTS12;KCNT2;ABCA6</t>
  </si>
  <si>
    <t>http://www.broadinstitute.org/gsea/msigdb/cards/CORRE_MULTIPLE_MYELOMA_UP.html</t>
  </si>
  <si>
    <t>TSENG_IRS1_TARGETS_UP</t>
  </si>
  <si>
    <t>8840;710;2191;3316;3910;55714</t>
  </si>
  <si>
    <t>CCN4;SERPING1;FAP;HSPB2;LAMA4;TENM3</t>
  </si>
  <si>
    <t>http://www.broadinstitute.org/gsea/msigdb/cards/TSENG_IRS1_TARGETS_UP.html</t>
  </si>
  <si>
    <t>LE_SKI_TARGETS_UP</t>
  </si>
  <si>
    <t>6591;1009;8877</t>
  </si>
  <si>
    <t>SNAI2;CDH11;SPHK1</t>
  </si>
  <si>
    <t>http://www.broadinstitute.org/gsea/msigdb/cards/LE_SKI_TARGETS_UP.html</t>
  </si>
  <si>
    <t>CERVERA_SDHB_TARGETS_2</t>
  </si>
  <si>
    <t>389136;7292;5396;2326;4053;3490</t>
  </si>
  <si>
    <t>VGLL3;TNFSF4;PRRX1;FMO1;LTBP2;IGFBP7</t>
  </si>
  <si>
    <t>http://www.broadinstitute.org/gsea/msigdb/cards/CERVERA_SDHB_TARGETS_2.html</t>
  </si>
  <si>
    <t>2335;3678;5159;4035</t>
  </si>
  <si>
    <t>FN1;ITGA5;PDGFRB;LRP1</t>
  </si>
  <si>
    <t>HOFFMANN_PRE_BI_TO_LARGE_PRE_BII_LYMPHOCYTE_DN</t>
  </si>
  <si>
    <t>7070;87;894;7130;122786</t>
  </si>
  <si>
    <t>THY1;ACTN1;CCND2;TNFAIP6;FRMD6</t>
  </si>
  <si>
    <t>http://www.broadinstitute.org/gsea/msigdb/cards/HOFFMANN_PRE_BI_TO_LARGE_PRE_BII_LYMPHOCYTE_DN.html</t>
  </si>
  <si>
    <t>MAHAJAN_RESPONSE_TO_IL1A_DN</t>
  </si>
  <si>
    <t>8434;1462;6935;10631;3910</t>
  </si>
  <si>
    <t>RECK;VCAN;ZEB1;POSTN;LAMA4</t>
  </si>
  <si>
    <t>http://www.broadinstitute.org/gsea/msigdb/cards/MAHAJAN_RESPONSE_TO_IL1A_DN.html</t>
  </si>
  <si>
    <t>MANTOVANI_NFKB_TARGETS_UP</t>
  </si>
  <si>
    <t>716;7412;6387;3490</t>
  </si>
  <si>
    <t>C1S;VCAM1;CXCL12;IGFBP7</t>
  </si>
  <si>
    <t>http://www.broadinstitute.org/gsea/msigdb/cards/MANTOVANI_NFKB_TARGETS_UP.html</t>
  </si>
  <si>
    <t>NIELSEN_SCHWANNOMA_DN</t>
  </si>
  <si>
    <t>6591;2619;4237</t>
  </si>
  <si>
    <t>SNAI2;GAS1;MFAP2</t>
  </si>
  <si>
    <t>http://www.broadinstitute.org/gsea/msigdb/cards/NIELSEN_SCHWANNOMA_DN.html</t>
  </si>
  <si>
    <t>1291;1346;5549;5118;117248;116535;23452</t>
  </si>
  <si>
    <t>COL6A1;COX7A1;PRELP;PCOLCE;GALNT15;MRGPRF;ANGPTL2</t>
  </si>
  <si>
    <t>CHEBOTAEV_GR_TARGETS_UP</t>
  </si>
  <si>
    <t>8434;7043;5156;55959;117248</t>
  </si>
  <si>
    <t>RECK;TGFB3;PDGFRA;SULF2;GALNT15</t>
  </si>
  <si>
    <t>http://www.broadinstitute.org/gsea/msigdb/cards/CHEBOTAEV_GR_TARGETS_UP.html</t>
  </si>
  <si>
    <t>8522;1277;5159;1123;5156;894;3899;5396;1009;4958</t>
  </si>
  <si>
    <t>AC005747.1;COL1A1;PDGFRB;CHN1;PDGFRA;CCND2;AFF3;PRRX1;CDH11;OMD</t>
  </si>
  <si>
    <t>1277;3624;11167;84898;5654;9638</t>
  </si>
  <si>
    <t>COL1A1;INHBA;FSTL1;PLXDC2;HTRA1;FEZ1</t>
  </si>
  <si>
    <t>HARRIS_BRAIN_CANCER_PROGENITORS</t>
  </si>
  <si>
    <t>395;1291;1292;633</t>
  </si>
  <si>
    <t>ARHGAP6;COL6A1;COL6A2;BGN</t>
  </si>
  <si>
    <t>http://www.broadinstitute.org/gsea/msigdb/cards/HARRIS_BRAIN_CANCER_PROGENITORS.html</t>
  </si>
  <si>
    <t>FORTSCHEGGER_PHF8_TARGETS_DN</t>
  </si>
  <si>
    <t>2335;6678;1291;50509;2200;1307;11167;9697;4638;3490;79070;1734;122786;25960;80114;27122;57493</t>
  </si>
  <si>
    <t>FN1;SPARC;COL6A1;COL5A3;FBN1;COL16A1;FSTL1;TRAM2;MYLK;IGFBP7;POGLUT2;DIO2;FRMD6;ADGRA2;BICC1;DKK3;HEG1</t>
  </si>
  <si>
    <t>http://www.broadinstitute.org/gsea/msigdb/cards/FORTSCHEGGER_PHF8_TARGETS_DN.html</t>
  </si>
  <si>
    <t>REACTOME_CGMP_EFFECTS</t>
  </si>
  <si>
    <t>5592;3779;10335</t>
  </si>
  <si>
    <t>PRKG1;KCNMB1;MRVI1</t>
  </si>
  <si>
    <t>http://www.broadinstitute.org/gsea/msigdb/cards/REACTOME_CGMP_EFFECTS.html</t>
  </si>
  <si>
    <t>BEGUM_TARGETS_OF_PAX3_FOXO1_FUSION_DN</t>
  </si>
  <si>
    <t>1289;7058;50863;27122</t>
  </si>
  <si>
    <t>COL5A1;THBS2;NTM;DKK3</t>
  </si>
  <si>
    <t>http://www.broadinstitute.org/gsea/msigdb/cards/BEGUM_TARGETS_OF_PAX3_FOXO1_FUSION_DN.html</t>
  </si>
  <si>
    <t>4211;3624;6925;25925</t>
  </si>
  <si>
    <t>MEIS1;INHBA;TCF4;ZNF521</t>
  </si>
  <si>
    <t>YAO_HOXA10_TARGETS_VIA_PROGESTERONE_UP</t>
  </si>
  <si>
    <t>4211;3908;2621;10630;5919</t>
  </si>
  <si>
    <t>MEIS1;LAMA2;GAS6;PDPN;RARRES2</t>
  </si>
  <si>
    <t>http://www.broadinstitute.org/gsea/msigdb/cards/YAO_HOXA10_TARGETS_VIA_PROGESTERONE_UP.html</t>
  </si>
  <si>
    <t>MCDOWELL_ACUTE_LUNG_INJURY_UP</t>
  </si>
  <si>
    <t>1281;4015;4052;8877</t>
  </si>
  <si>
    <t>COL3A1;LOX;LTBP1;SPHK1</t>
  </si>
  <si>
    <t>http://www.broadinstitute.org/gsea/msigdb/cards/MCDOWELL_ACUTE_LUNG_INJURY_UP.html</t>
  </si>
  <si>
    <t>LEE_AGING_MUSCLE_UP</t>
  </si>
  <si>
    <t>3671;7041;8076;5654</t>
  </si>
  <si>
    <t>ISLR;TGFB1I1;MFAP5;HTRA1</t>
  </si>
  <si>
    <t>http://www.broadinstitute.org/gsea/msigdb/cards/LEE_AGING_MUSCLE_UP.html</t>
  </si>
  <si>
    <t>KANG_AR_TARGETS_DN</t>
  </si>
  <si>
    <t>1277;1278;1513</t>
  </si>
  <si>
    <t>COL1A1;COL1A2;CTSK</t>
  </si>
  <si>
    <t>http://www.broadinstitute.org/gsea/msigdb/cards/KANG_AR_TARGETS_DN.html</t>
  </si>
  <si>
    <t>VERNOCHET_ADIPOGENESIS</t>
  </si>
  <si>
    <t>4060;8639;5919</t>
  </si>
  <si>
    <t>LUM;AOC3;RARRES2</t>
  </si>
  <si>
    <t>http://www.broadinstitute.org/gsea/msigdb/cards/VERNOCHET_ADIPOGENESIS.html</t>
  </si>
  <si>
    <t>7077;1289;7058;5176;54796</t>
  </si>
  <si>
    <t>TIMP2;COL5A1;THBS2;SERPINF1;BNC2</t>
  </si>
  <si>
    <t>3671;4323;2199;6423;54551</t>
  </si>
  <si>
    <t>ISLR;MMP14;FBLN2;SFRP2;MAGEL2</t>
  </si>
  <si>
    <t>HUANG_DASATINIB_RESISTANCE_UP</t>
  </si>
  <si>
    <t>6591;3678;1289;800;11167</t>
  </si>
  <si>
    <t>SNAI2;ITGA5;COL5A1;CALD1;FSTL1</t>
  </si>
  <si>
    <t>http://www.broadinstitute.org/gsea/msigdb/cards/HUANG_DASATINIB_RESISTANCE_UP.html</t>
  </si>
  <si>
    <t>26585;4313;1462;5396;4052;54796;10630;165;116535;84251;23024</t>
  </si>
  <si>
    <t>GREM1;MMP2;VCAN;PRRX1;LTBP1;BNC2;PDPN;AEBP1;MRGPRF;SGIP1;PDZRN3</t>
  </si>
  <si>
    <t>7130;8076;6424</t>
  </si>
  <si>
    <t>TNFAIP6;MFAP5;SFRP4</t>
  </si>
  <si>
    <t>ZHU_SKIL_TARGETS_UP</t>
  </si>
  <si>
    <t>1842;2335;1634</t>
  </si>
  <si>
    <t>ECM2;FN1;DCN</t>
  </si>
  <si>
    <t>http://www.broadinstitute.org/gsea/msigdb/cards/ZHU_SKIL_TARGETS_UP.html</t>
  </si>
  <si>
    <t>WOOD_EBV_EBNA1_TARGETS_DN</t>
  </si>
  <si>
    <t>6695;8076;4638;8877</t>
  </si>
  <si>
    <t>SPOCK1;MFAP5;MYLK;SPHK1</t>
  </si>
  <si>
    <t>http://www.broadinstitute.org/gsea/msigdb/cards/WOOD_EBV_EBNA1_TARGETS_DN.html</t>
  </si>
  <si>
    <t>1277;1278;6678;7412</t>
  </si>
  <si>
    <t>COL1A1;COL1A2;SPARC;VCAM1</t>
  </si>
  <si>
    <t>3624;716;7412;6356;115908</t>
  </si>
  <si>
    <t>INHBA;C1S;VCAM1;CCL11;CTHRC1</t>
  </si>
  <si>
    <t>1462;5156;4060;1009;7130;5118;11117</t>
  </si>
  <si>
    <t>VCAN;PDGFRA;LUM;CDH11;TNFAIP6;PCOLCE;EMILIN1</t>
  </si>
  <si>
    <t>ZHAN_MULTIPLE_MYELOMA_MS_UP</t>
  </si>
  <si>
    <t>25925;4675;83700;6320</t>
  </si>
  <si>
    <t>ZNF521;NAP1L3;JAM3;CLEC11A</t>
  </si>
  <si>
    <t>http://www.broadinstitute.org/gsea/msigdb/cards/ZHAN_MULTIPLE_MYELOMA_MS_UP.html</t>
  </si>
  <si>
    <t>GERY_CEBP_TARGETS</t>
  </si>
  <si>
    <t>1634;1462;2252;59;7130;10631</t>
  </si>
  <si>
    <t>DCN;VCAN;FGF7;ACTA2;TNFAIP6;POSTN</t>
  </si>
  <si>
    <t>http://www.broadinstitute.org/gsea/msigdb/cards/GERY_CEBP_TARGETS.html</t>
  </si>
  <si>
    <t>BRUINS_UVC_RESPONSE_VIA_TP53_GROUP_D</t>
  </si>
  <si>
    <t>134111;4052;55083;9644;25903;10630;131578;25960;91653</t>
  </si>
  <si>
    <t>UBE2QL1;LTBP1;KIF26B;SH3PXD2A;OLFML2B;PDPN;LRRC15;ADGRA2;BOC</t>
  </si>
  <si>
    <t>http://www.broadinstitute.org/gsea/msigdb/cards/BRUINS_UVC_RESPONSE_VIA_TP53_GROUP_D.html</t>
  </si>
  <si>
    <t>2335;3912;3908;3910;10000</t>
  </si>
  <si>
    <t>FN1;LAMB1;LAMA2;LAMA4;AKT3</t>
  </si>
  <si>
    <t>REACTOME_CHONDROITIN_SULFATE_BIOSYNTHESIS</t>
  </si>
  <si>
    <t>http://www.broadinstitute.org/gsea/msigdb/cards/REACTOME_CHONDROITIN_SULFATE_BIOSYNTHESIS.html</t>
  </si>
  <si>
    <t>ZIRN_TRETINOIN_RESPONSE_UP</t>
  </si>
  <si>
    <t>389136;22795;3910</t>
  </si>
  <si>
    <t>VGLL3;NID2;LAMA4</t>
  </si>
  <si>
    <t>http://www.broadinstitute.org/gsea/msigdb/cards/ZIRN_TRETINOIN_RESPONSE_UP.html</t>
  </si>
  <si>
    <t>VERRECCHIA_RESPONSE_TO_TGFB1_C5</t>
  </si>
  <si>
    <t>4313;3678;4320</t>
  </si>
  <si>
    <t>MMP2;ITGA5;MMP11</t>
  </si>
  <si>
    <t>http://www.broadinstitute.org/gsea/msigdb/cards/VERRECCHIA_RESPONSE_TO_TGFB1_C5.html</t>
  </si>
  <si>
    <t>MCCABE_HOXC6_TARGETS_DN</t>
  </si>
  <si>
    <t>1634;5156;7412</t>
  </si>
  <si>
    <t>DCN;PDGFRA;VCAM1</t>
  </si>
  <si>
    <t>http://www.broadinstitute.org/gsea/msigdb/cards/MCCABE_HOXC6_TARGETS_DN.html</t>
  </si>
  <si>
    <t>5159;1346;5118;255189;79883;23452;11117</t>
  </si>
  <si>
    <t>PDGFRB;COX7A1;PCOLCE;PLA2G4F;PODNL1;ANGPTL2;EMILIN1</t>
  </si>
  <si>
    <t>5924;7057;1462;800;8991;55959;83716;51176</t>
  </si>
  <si>
    <t>RASGRF2;THBS1;VCAN;CALD1;SELENBP1;SULF2;CRISPLD2;LEF1</t>
  </si>
  <si>
    <t>6678;7412;2200;5176;4345;1009;7130;6624;25903</t>
  </si>
  <si>
    <t>SPARC;VCAM1;FBN1;SERPINF1;CD200;CDH11;TNFAIP6;FSCN1;OLFML2B</t>
  </si>
  <si>
    <t>4211;2037;6591;6695;9644;219699;122786;25878</t>
  </si>
  <si>
    <t>MEIS1;EPB41L2;SNAI2;SPOCK1;SH3PXD2A;UNC5B;FRMD6;MXRA5</t>
  </si>
  <si>
    <t>http://www.broadinstitute.org/gsea/msigdb/cards/LINDGREN_BLADDER_CANCER_CLUSTER_3_DN.html</t>
  </si>
  <si>
    <t>5352;9945;2335;7057;3624;716;7043;1291;6925;1289;2252;4060;1009;1307;22795;2621;122786;83604;8877;29940</t>
  </si>
  <si>
    <t>PLOD2;GFPT2;FN1;THBS1;INHBA;C1S;TGFB3;COL6A1;TCF4;COL5A1;FGF7;LUM;CDH11;COL16A1;NID2;GAS6;FRMD6;TMEM47;SPHK1;DSE</t>
  </si>
  <si>
    <t>CHEN_NEUROBLASTOMA_COPY_NUMBER_GAINS</t>
  </si>
  <si>
    <t>2252;2200;1012;10335</t>
  </si>
  <si>
    <t>FGF7;FBN1;CDH13;MRVI1</t>
  </si>
  <si>
    <t>http://www.broadinstitute.org/gsea/msigdb/cards/CHEN_NEUROBLASTOMA_COPY_NUMBER_GAINS.html</t>
  </si>
  <si>
    <t>NOUSHMEHR_GBM_SILENCED_BY_METHYLATION</t>
  </si>
  <si>
    <t>9358;10630;115908;5919</t>
  </si>
  <si>
    <t>ITGBL1;PDPN;CTHRC1;RARRES2</t>
  </si>
  <si>
    <t>http://www.broadinstitute.org/gsea/msigdb/cards/NOUSHMEHR_GBM_SILENCED_BY_METHYLATION.html</t>
  </si>
  <si>
    <t>KIM_LIVER_CANCER_POOR_SURVIVAL_UP</t>
  </si>
  <si>
    <t>5352;3912;8877</t>
  </si>
  <si>
    <t>PLOD2;LAMB1;SPHK1</t>
  </si>
  <si>
    <t>http://www.broadinstitute.org/gsea/msigdb/cards/KIM_LIVER_CANCER_POOR_SURVIVAL_UP.html</t>
  </si>
  <si>
    <t>6591;7057;7077;2200;22795;122786;84617;9260;27122</t>
  </si>
  <si>
    <t>SNAI2;THBS1;TIMP2;FBN1;NID2;FRMD6;TUBB6;PDLIM7;DKK3</t>
  </si>
  <si>
    <t>BIOCARTA_RAC1_PATHWAY</t>
  </si>
  <si>
    <t>1123;5156;4638</t>
  </si>
  <si>
    <t>CHN1;PDGFRA;MYLK</t>
  </si>
  <si>
    <t>http://www.broadinstitute.org/gsea/msigdb/cards/BIOCARTA_RAC1_PATHWAY.html</t>
  </si>
  <si>
    <t>PID_CONE_PATHWAY</t>
  </si>
  <si>
    <t>2978;2978;25769</t>
  </si>
  <si>
    <t>GUCA1A;AL096814.2;SLC24A2</t>
  </si>
  <si>
    <t>http://www.broadinstitute.org/gsea/msigdb/cards/PID_CONE_PATHWAY.html</t>
  </si>
  <si>
    <t>MAHADEVAN_IMATINIB_RESISTANCE_UP</t>
  </si>
  <si>
    <t>26585;6695;27122</t>
  </si>
  <si>
    <t>GREM1;SPOCK1;DKK3</t>
  </si>
  <si>
    <t>http://www.broadinstitute.org/gsea/msigdb/cards/MAHADEVAN_IMATINIB_RESISTANCE_UP.html</t>
  </si>
  <si>
    <t>389136;9242;5322;4323;59;7130;4053;85360;131578;54587;9902</t>
  </si>
  <si>
    <t>VGLL3;MSC;PLA2G5;MMP14;ACTA2;TNFAIP6;LTBP2;SYDE1;LRRC15;MXRA8;AC080038.1</t>
  </si>
  <si>
    <t>SUZUKI_RESPONSE_TO_TSA_AND_DECITABINE_1A</t>
  </si>
  <si>
    <t>1293;7077;3908</t>
  </si>
  <si>
    <t>COL6A3;TIMP2;LAMA2</t>
  </si>
  <si>
    <t>http://www.broadinstitute.org/gsea/msigdb/cards/SUZUKI_RESPONSE_TO_TSA_AND_DECITABINE_1A.html</t>
  </si>
  <si>
    <t>SEKI_INFLAMMATORY_RESPONSE_LPS_DN</t>
  </si>
  <si>
    <t>4320;7058;8991</t>
  </si>
  <si>
    <t>MMP11;THBS2;SELENBP1</t>
  </si>
  <si>
    <t>http://www.broadinstitute.org/gsea/msigdb/cards/SEKI_INFLAMMATORY_RESPONSE_LPS_DN.html</t>
  </si>
  <si>
    <t>5352;6591;9358;7057;87;6925;1012;800;4053;9644;55959;122786;1303;84617;51339;27122;29940</t>
  </si>
  <si>
    <t>PLOD2;SNAI2;ITGBL1;THBS1;ACTN1;TCF4;CDH13;CALD1;LTBP2;SH3PXD2A;SULF2;FRMD6;COL12A1;TUBB6;DACT1;DKK3;DSE</t>
  </si>
  <si>
    <t>1278;5176;9697;4638;3490;54587;23024</t>
  </si>
  <si>
    <t>COL1A2;SERPINF1;TRAM2;MYLK;IGFBP7;MXRA8;PDZRN3</t>
  </si>
  <si>
    <t>OZANNE_AP1_TARGETS_DN</t>
  </si>
  <si>
    <t>2335;11167</t>
  </si>
  <si>
    <t>FN1;FSTL1</t>
  </si>
  <si>
    <t>http://www.broadinstitute.org/gsea/msigdb/cards/OZANNE_AP1_TARGETS_DN.html</t>
  </si>
  <si>
    <t>6925;1289;5311;22795;4638;23090;165;51339;51176</t>
  </si>
  <si>
    <t>TCF4;COL5A1;PKD2;NID2;MYLK;ZNF423;AEBP1;DACT1;LEF1</t>
  </si>
  <si>
    <t>1277;2335;1278;3678;83700</t>
  </si>
  <si>
    <t>COL1A1;FN1;COL1A2;ITGA5;JAM3</t>
  </si>
  <si>
    <t>LA_MEN1_TARGETS</t>
  </si>
  <si>
    <t>3678;1264;4921</t>
  </si>
  <si>
    <t>ITGA5;CNN1;DDR2</t>
  </si>
  <si>
    <t>http://www.broadinstitute.org/gsea/msigdb/cards/LA_MEN1_TARGETS.html</t>
  </si>
  <si>
    <t>OXFORD_RALA_OR_RALB_TARGETS_DN</t>
  </si>
  <si>
    <t>1264;800;6624</t>
  </si>
  <si>
    <t>CNN1;CALD1;FSCN1</t>
  </si>
  <si>
    <t>http://www.broadinstitute.org/gsea/msigdb/cards/OXFORD_RALA_OR_RALB_TARGETS_DN.html</t>
  </si>
  <si>
    <t>WANG_LSD1_TARGETS_UP</t>
  </si>
  <si>
    <t>2037;2621;9843</t>
  </si>
  <si>
    <t>EPB41L2;GAS6;HEPH</t>
  </si>
  <si>
    <t>http://www.broadinstitute.org/gsea/msigdb/cards/WANG_LSD1_TARGETS_UP.html</t>
  </si>
  <si>
    <t>MISHRA_CARCINOMA_ASSOCIATED_FIBROBLAST_DN</t>
  </si>
  <si>
    <t>716;6423;5919</t>
  </si>
  <si>
    <t>C1S;SFRP2;RARRES2</t>
  </si>
  <si>
    <t>http://www.broadinstitute.org/gsea/msigdb/cards/MISHRA_CARCINOMA_ASSOCIATED_FIBROBLAST_DN.html</t>
  </si>
  <si>
    <t>AZARE_STAT3_TARGETS</t>
  </si>
  <si>
    <t>2335;7057;894</t>
  </si>
  <si>
    <t>FN1;THBS1;CCND2</t>
  </si>
  <si>
    <t>http://www.broadinstitute.org/gsea/msigdb/cards/AZARE_STAT3_TARGETS.html</t>
  </si>
  <si>
    <t>DELACROIX_RAR_TARGETS_DN</t>
  </si>
  <si>
    <t>7169;11167;116535</t>
  </si>
  <si>
    <t>TPM2;FSTL1;MRGPRF</t>
  </si>
  <si>
    <t>http://www.broadinstitute.org/gsea/msigdb/cards/DELACROIX_RAR_TARGETS_DN.html</t>
  </si>
  <si>
    <t>PLASARI_TGFB1_SIGNALING_VIA_NFIC_10HR_UP</t>
  </si>
  <si>
    <t>8633;7412;2252;10335</t>
  </si>
  <si>
    <t>UNC5C;VCAM1;FGF7;MRVI1</t>
  </si>
  <si>
    <t>http://www.broadinstitute.org/gsea/msigdb/cards/PLASARI_TGFB1_SIGNALING_VIA_NFIC_10HR_UP.html</t>
  </si>
  <si>
    <t>3671;1278;7043;3910;387758;6444</t>
  </si>
  <si>
    <t>ISLR;COL1A2;TGFB3;LAMA4;FIBIN;SGCD</t>
  </si>
  <si>
    <t>4211;4345;6624;83700</t>
  </si>
  <si>
    <t>MEIS1;CD200;FSCN1;JAM3</t>
  </si>
  <si>
    <t>PID_INTEGRIN_A9B1_PATHWAY</t>
  </si>
  <si>
    <t>8038;2335;7412</t>
  </si>
  <si>
    <t>ADAM12;FN1;VCAM1</t>
  </si>
  <si>
    <t>http://www.broadinstitute.org/gsea/msigdb/cards/PID_INTEGRIN_A9B1_PATHWAY.html</t>
  </si>
  <si>
    <t>REACTOME_NITRIC_OXIDE_STIMULATES_GUANYLATE_CYCLASE</t>
  </si>
  <si>
    <t>http://www.broadinstitute.org/gsea/msigdb/cards/REACTOME_NITRIC_OXIDE_STIMULATES_GUANYLATE_CYCLASE.html</t>
  </si>
  <si>
    <t>1462;894;7130</t>
  </si>
  <si>
    <t>VCAN;CCND2;TNFAIP6</t>
  </si>
  <si>
    <t>4211;4313;3678;4060;4052;63895</t>
  </si>
  <si>
    <t>MEIS1;MMP2;ITGA5;LUM;LTBP1;PIEZO2</t>
  </si>
  <si>
    <t>7041;3624;6925;7292;4345</t>
  </si>
  <si>
    <t>TGFB1I1;INHBA;TCF4;TNFSF4;CD200</t>
  </si>
  <si>
    <t>8038;2037;3624;1462;5176;6695;2621;6624</t>
  </si>
  <si>
    <t>ADAM12;EPB41L2;INHBA;VCAN;SERPINF1;SPOCK1;GAS6;FSCN1</t>
  </si>
  <si>
    <t>TSAI_DNAJB4_TARGETS_DN</t>
  </si>
  <si>
    <t>6591;800</t>
  </si>
  <si>
    <t>SNAI2;CALD1</t>
  </si>
  <si>
    <t>http://www.broadinstitute.org/gsea/msigdb/cards/TSAI_DNAJB4_TARGETS_DN.html</t>
  </si>
  <si>
    <t>REACTOME_KERATAN_SULFATE_BIOSYNTHESIS</t>
  </si>
  <si>
    <t>http://www.broadinstitute.org/gsea/msigdb/cards/REACTOME_KERATAN_SULFATE_BIOSYNTHESIS.html</t>
  </si>
  <si>
    <t>GAUSSMANN_MLL_AF4_FUSION_TARGETS_B_UP</t>
  </si>
  <si>
    <t>8038;1301;4958</t>
  </si>
  <si>
    <t>ADAM12;COL11A1;OMD</t>
  </si>
  <si>
    <t>http://www.broadinstitute.org/gsea/msigdb/cards/GAUSSMANN_MLL_AF4_FUSION_TARGETS_B_UP.html</t>
  </si>
  <si>
    <t>ABRAHAM_ALPC_VS_MULTIPLE_MYELOMA_UP</t>
  </si>
  <si>
    <t>1634;5159;6387</t>
  </si>
  <si>
    <t>DCN;PDGFRB;CXCL12</t>
  </si>
  <si>
    <t>http://www.broadinstitute.org/gsea/msigdb/cards/ABRAHAM_ALPC_VS_MULTIPLE_MYELOMA_UP.html</t>
  </si>
  <si>
    <t>GYORFFY_MITOXANTRONE_RESISTANCE</t>
  </si>
  <si>
    <t>8825;2037;3908;6424</t>
  </si>
  <si>
    <t>LIN7A;EPB41L2;LAMA2;SFRP4</t>
  </si>
  <si>
    <t>http://www.broadinstitute.org/gsea/msigdb/cards/GYORFFY_MITOXANTRONE_RESISTANCE.html</t>
  </si>
  <si>
    <t>MOHANKUMAR_HOXA1_TARGETS_DN</t>
  </si>
  <si>
    <t>4237;6695;219699;54829;79953;27122;50944</t>
  </si>
  <si>
    <t>MFAP2;SPOCK1;UNC5B;ASPN;SYNDIG1;DKK3;SHANK1</t>
  </si>
  <si>
    <t>http://www.broadinstitute.org/gsea/msigdb/cards/MOHANKUMAR_HOXA1_TARGETS_DN.html</t>
  </si>
  <si>
    <t>2335;5156;894;55959</t>
  </si>
  <si>
    <t>FN1;PDGFRA;CCND2;SULF2</t>
  </si>
  <si>
    <t>ZHENG_GLIOBLASTOMA_PLASTICITY_DN</t>
  </si>
  <si>
    <t>7070;3678;1292;11117</t>
  </si>
  <si>
    <t>THY1;ITGA5;COL6A2;EMILIN1</t>
  </si>
  <si>
    <t>http://www.broadinstitute.org/gsea/msigdb/cards/ZHENG_GLIOBLASTOMA_PLASTICITY_DN.html</t>
  </si>
  <si>
    <t>8633;5156;894;2199;10630;27319;54587;27254</t>
  </si>
  <si>
    <t>UNC5C;PDGFRA;CCND2;FBLN2;PDPN;BHLHE22;MXRA8;CSDC2</t>
  </si>
  <si>
    <t>8825;87;6925;7077;114757;29767;50863</t>
  </si>
  <si>
    <t>LIN7A;ACTN1;TCF4;TIMP2;CYGB;TMOD2;NTM</t>
  </si>
  <si>
    <t>2037;5156;2621;4052;4638;57493</t>
  </si>
  <si>
    <t>EPB41L2;PDGFRA;GAS6;LTBP1;MYLK;HEG1</t>
  </si>
  <si>
    <t>134111;8038;9945;2335;4015;894;4323;11245;4053;89795;5654;10000</t>
  </si>
  <si>
    <t>UBE2QL1;ADAM12;GFPT2;FN1;LOX;CCND2;MMP14;GPR176;LTBP2;NAV3;HTRA1;AKT3</t>
  </si>
  <si>
    <t>MCBRYAN_PUBERTAL_BREAST_4_5WK_DN</t>
  </si>
  <si>
    <t>2037;1346;5549;3339;22795;3910;6624</t>
  </si>
  <si>
    <t>EPB41L2;COX7A1;PRELP;HSPG2;NID2;LAMA4;FSCN1</t>
  </si>
  <si>
    <t>http://www.broadinstitute.org/gsea/msigdb/cards/MCBRYAN_PUBERTAL_BREAST_4_5WK_DN.html</t>
  </si>
  <si>
    <t>TERAMOTO_OPN_TARGETS_CLUSTER_6</t>
  </si>
  <si>
    <t>5159;5176;151887</t>
  </si>
  <si>
    <t>PDGFRB;SERPINF1;CCDC80</t>
  </si>
  <si>
    <t>http://www.broadinstitute.org/gsea/msigdb/cards/TERAMOTO_OPN_TARGETS_CLUSTER_6.html</t>
  </si>
  <si>
    <t>OHM_METHYLATED_IN_ADULT_CANCERS</t>
  </si>
  <si>
    <t>7057;6424;6423</t>
  </si>
  <si>
    <t>THBS1;SFRP4;SFRP2</t>
  </si>
  <si>
    <t>http://www.broadinstitute.org/gsea/msigdb/cards/OHM_METHYLATED_IN_ADULT_CANCERS.html</t>
  </si>
  <si>
    <t>5241;953;10631;10350;23213;23460;54112</t>
  </si>
  <si>
    <t>PGR;ENTPD1;POSTN;ABCA9;SULF1;ABCA6;GPR88</t>
  </si>
  <si>
    <t>ZHANG_BREAST_CANCER_PROGENITORS_DN</t>
  </si>
  <si>
    <t>9945;11248;1277;4921;57616;165</t>
  </si>
  <si>
    <t>GFPT2;NXPH3;COL1A1;DDR2;TSHZ3;AEBP1</t>
  </si>
  <si>
    <t>http://www.broadinstitute.org/gsea/msigdb/cards/ZHANG_BREAST_CANCER_PROGENITORS_DN.html</t>
  </si>
  <si>
    <t>DAWSON_METHYLATED_IN_LYMPHOMA_TCL1</t>
  </si>
  <si>
    <t>2619;51334;57616;27319</t>
  </si>
  <si>
    <t>GAS1;PRR16;TSHZ3;BHLHE22</t>
  </si>
  <si>
    <t>http://www.broadinstitute.org/gsea/msigdb/cards/DAWSON_METHYLATED_IN_LYMPHOMA_TCL1.html</t>
  </si>
  <si>
    <t>MEISSNER_BRAIN_HCP_WITH_H3K4ME2_AND_H3K27ME3</t>
  </si>
  <si>
    <t>1311;94031;131578;8877</t>
  </si>
  <si>
    <t>COMP;HTRA3;LRRC15;SPHK1</t>
  </si>
  <si>
    <t>http://www.broadinstitute.org/gsea/msigdb/cards/MEISSNER_BRAIN_HCP_WITH_H3K4ME2_AND_H3K27ME3.html</t>
  </si>
  <si>
    <t>TURASHVILI_BREAST_DUCTAL_CARCINOMA_VS_DUCTAL_NORMAL_DN</t>
  </si>
  <si>
    <t>1264;59;72;6876;4638;27295;171024</t>
  </si>
  <si>
    <t>CNN1;ACTA2;ACTG2;TAGLN;MYLK;PDLIM3;SYNPO2</t>
  </si>
  <si>
    <t>http://www.broadinstitute.org/gsea/msigdb/cards/TURASHVILI_BREAST_DUCTAL_CARCINOMA_VS_DUCTAL_NORMAL_DN.html</t>
  </si>
  <si>
    <t>3624;7412;1306;6387;7130;6424;131578;23452</t>
  </si>
  <si>
    <t>INHBA;VCAM1;COL15A1;CXCL12;TNFAIP6;SFRP4;LRRC15;ANGPTL2</t>
  </si>
  <si>
    <t>5350;4052;4958;64084</t>
  </si>
  <si>
    <t>PLN;LTBP1;OMD;CLSTN2</t>
  </si>
  <si>
    <t>AMIT_EGF_RESPONSE_240_HELA</t>
  </si>
  <si>
    <t>9945;7057;6935;85360</t>
  </si>
  <si>
    <t>GFPT2;THBS1;ZEB1;SYDE1</t>
  </si>
  <si>
    <t>http://www.broadinstitute.org/gsea/msigdb/cards/AMIT_EGF_RESPONSE_240_HELA.html</t>
  </si>
  <si>
    <t>395;8434;6624;2846;10418</t>
  </si>
  <si>
    <t>ARHGAP6;RECK;FSCN1;LPAR4;SPON1</t>
  </si>
  <si>
    <t>5352;3912;3624;1292;10398;800;11167;4052;219654;84168;55714</t>
  </si>
  <si>
    <t>PLOD2;LAMB1;INHBA;COL6A2;MYL9;CALD1;FSTL1;LTBP1;ZCCHC24;ANTXR1;TENM3</t>
  </si>
  <si>
    <t>26585;1264;72;4638</t>
  </si>
  <si>
    <t>GREM1;CNN1;ACTG2;MYLK</t>
  </si>
  <si>
    <t>YAMASHITA_SILENCED_BY_METHYLATION</t>
  </si>
  <si>
    <t>2621;165</t>
  </si>
  <si>
    <t>GAS6;AEBP1</t>
  </si>
  <si>
    <t>http://www.broadinstitute.org/gsea/msigdb/cards/YAMASHITA_SILENCED_BY_METHYLATION.html</t>
  </si>
  <si>
    <t>LY_AGING_OLD_UP</t>
  </si>
  <si>
    <t>1311;5654</t>
  </si>
  <si>
    <t>COMP;HTRA1</t>
  </si>
  <si>
    <t>http://www.broadinstitute.org/gsea/msigdb/cards/LY_AGING_OLD_UP.html</t>
  </si>
  <si>
    <t>1277;2335;1634;4638;23213</t>
  </si>
  <si>
    <t>COL1A1;FN1;DCN;MYLK;SULF1</t>
  </si>
  <si>
    <t>7070;7412;83700</t>
  </si>
  <si>
    <t>THY1;VCAM1;JAM3</t>
  </si>
  <si>
    <t>WEINMANN_ADAPTATION_TO_HYPOXIA_UP</t>
  </si>
  <si>
    <t>1281;1306;3490</t>
  </si>
  <si>
    <t>COL3A1;COL15A1;IGFBP7</t>
  </si>
  <si>
    <t>http://www.broadinstitute.org/gsea/msigdb/cards/WEINMANN_ADAPTATION_TO_HYPOXIA_UP.html</t>
  </si>
  <si>
    <t>KORKOLA_YOLK_SAC_TUMOR</t>
  </si>
  <si>
    <t>1634;716;4060;4920</t>
  </si>
  <si>
    <t>DCN;C1S;LUM;ROR2</t>
  </si>
  <si>
    <t>http://www.broadinstitute.org/gsea/msigdb/cards/KORKOLA_YOLK_SAC_TUMOR.html</t>
  </si>
  <si>
    <t>LEE_LIVER_CANCER_E2F1_UP</t>
  </si>
  <si>
    <t>1277;1290;6678;72</t>
  </si>
  <si>
    <t>COL1A1;COL5A2;SPARC;ACTG2</t>
  </si>
  <si>
    <t>http://www.broadinstitute.org/gsea/msigdb/cards/LEE_LIVER_CANCER_E2F1_UP.html</t>
  </si>
  <si>
    <t>395;8434;1634;7043;6387;2619;79783;10699</t>
  </si>
  <si>
    <t>ARHGAP6;RECK;DCN;TGFB3;CXCL12;GAS1;SUGCT;CORIN</t>
  </si>
  <si>
    <t>KAAB_HEART_ATRIUM_VS_VENTRICLE_DN</t>
  </si>
  <si>
    <t>1123;3908;5350;894;1012;6444;1734;23024</t>
  </si>
  <si>
    <t>CHN1;LAMA2;PLN;CCND2;CDH13;SGCD;DIO2;PDZRN3</t>
  </si>
  <si>
    <t>http://www.broadinstitute.org/gsea/msigdb/cards/KAAB_HEART_ATRIUM_VS_VENTRICLE_DN.html</t>
  </si>
  <si>
    <t>5352;4211;3912;5311;9644;54796;5654;83604;64094;84168</t>
  </si>
  <si>
    <t>PLOD2;MEIS1;LAMB1;PKD2;SH3PXD2A;BNC2;HTRA1;TMEM47;SMOC2;ANTXR1</t>
  </si>
  <si>
    <t>1462;5176;10418;51176</t>
  </si>
  <si>
    <t>VCAN;SERPINF1;SPON1;LEF1</t>
  </si>
  <si>
    <t>JOHNSTONE_PARVB_TARGETS_1_DN</t>
  </si>
  <si>
    <t>1293;164284;80114;29940</t>
  </si>
  <si>
    <t>COL6A3;APCDD1L;BICC1;DSE</t>
  </si>
  <si>
    <t>http://www.broadinstitute.org/gsea/msigdb/cards/JOHNSTONE_PARVB_TARGETS_1_DN.html</t>
  </si>
  <si>
    <t>BROWNE_HCMV_INFECTION_8HR_UP</t>
  </si>
  <si>
    <t>26025;7130;1805;6695;23460</t>
  </si>
  <si>
    <t>PCDHGA12;TNFAIP6;DPT;SPOCK1;ABCA6</t>
  </si>
  <si>
    <t>http://www.broadinstitute.org/gsea/msigdb/cards/BROWNE_HCMV_INFECTION_8HR_UP.html</t>
  </si>
  <si>
    <t>REACTOME_KERATAN_SULFATE_KERATIN_METABOLISM</t>
  </si>
  <si>
    <t>http://www.broadinstitute.org/gsea/msigdb/cards/REACTOME_KERATAN_SULFATE_KERATIN_METABOLISM.html</t>
  </si>
  <si>
    <t>KIM_WT1_TARGETS_12HR_DN</t>
  </si>
  <si>
    <t>5352;9358;3912;7057;3624;800;3490</t>
  </si>
  <si>
    <t>PLOD2;ITGBL1;LAMB1;THBS1;INHBA;CALD1;IGFBP7</t>
  </si>
  <si>
    <t>http://www.broadinstitute.org/gsea/msigdb/cards/KIM_WT1_TARGETS_12HR_DN.html</t>
  </si>
  <si>
    <t>CHANG_CORE_SERUM_RESPONSE_DN</t>
  </si>
  <si>
    <t>710;716;7077;4060;219654;25960;23024</t>
  </si>
  <si>
    <t>SERPING1;C1S;TIMP2;LUM;ZCCHC24;ADGRA2;PDZRN3</t>
  </si>
  <si>
    <t>http://www.broadinstitute.org/gsea/msigdb/cards/CHANG_CORE_SERUM_RESPONSE_DN.html</t>
  </si>
  <si>
    <t>1277;7070;1278;6356</t>
  </si>
  <si>
    <t>COL1A1;THY1;COL1A2;CCL11</t>
  </si>
  <si>
    <t>1277;1278;10000</t>
  </si>
  <si>
    <t>COL1A1;COL1A2;AKT3</t>
  </si>
  <si>
    <t>BERENJENO_TRANSFORMED_BY_RHOA_FOREVER_DN</t>
  </si>
  <si>
    <t>1281;10631;151887</t>
  </si>
  <si>
    <t>COL3A1;POSTN;CCDC80</t>
  </si>
  <si>
    <t>http://www.broadinstitute.org/gsea/msigdb/cards/BERENJENO_TRANSFORMED_BY_RHOA_FOREVER_DN.html</t>
  </si>
  <si>
    <t>LUCAS_HNF4A_TARGETS_DN</t>
  </si>
  <si>
    <t>1462;2619</t>
  </si>
  <si>
    <t>VCAN;GAS1</t>
  </si>
  <si>
    <t>http://www.broadinstitute.org/gsea/msigdb/cards/LUCAS_HNF4A_TARGETS_DN.html</t>
  </si>
  <si>
    <t>OXFORD_RALB_TARGETS_UP</t>
  </si>
  <si>
    <t>1289;3339</t>
  </si>
  <si>
    <t>COL5A1;HSPG2</t>
  </si>
  <si>
    <t>http://www.broadinstitute.org/gsea/msigdb/cards/OXFORD_RALB_TARGETS_UP.html</t>
  </si>
  <si>
    <t>SIMBULAN_UV_RESPONSE_IMMORTALIZED_DN</t>
  </si>
  <si>
    <t>2335;7057;800</t>
  </si>
  <si>
    <t>FN1;THBS1;CALD1</t>
  </si>
  <si>
    <t>http://www.broadinstitute.org/gsea/msigdb/cards/SIMBULAN_UV_RESPONSE_IMMORTALIZED_DN.html</t>
  </si>
  <si>
    <t>BONOME_OVARIAN_CANCER_POOR_SURVIVAL_UP</t>
  </si>
  <si>
    <t>395;8434;79633</t>
  </si>
  <si>
    <t>ARHGAP6;RECK;FAT4</t>
  </si>
  <si>
    <t>http://www.broadinstitute.org/gsea/msigdb/cards/BONOME_OVARIAN_CANCER_POOR_SURVIVAL_UP.html</t>
  </si>
  <si>
    <t>VALK_AML_CLUSTER_15</t>
  </si>
  <si>
    <t>4211;2037;84617</t>
  </si>
  <si>
    <t>MEIS1;EPB41L2;TUBB6</t>
  </si>
  <si>
    <t>http://www.broadinstitute.org/gsea/msigdb/cards/VALK_AML_CLUSTER_15.html</t>
  </si>
  <si>
    <t>4211;7057;7130;6695;257194;25960</t>
  </si>
  <si>
    <t>MEIS1;THBS1;TNFAIP6;SPOCK1;NEGR1;ADGRA2</t>
  </si>
  <si>
    <t>1634;7169;3678;5311;148113;5919</t>
  </si>
  <si>
    <t>DCN;TPM2;ITGA5;PKD2;CILP2;RARRES2</t>
  </si>
  <si>
    <t>5159;22795;3779;6320</t>
  </si>
  <si>
    <t>PDGFRB;NID2;KCNMB1;CLEC11A</t>
  </si>
  <si>
    <t>WANG_PROSTATE_CANCER_ANDROGEN_INDEPENDENT</t>
  </si>
  <si>
    <t>2335;1306;1009;2326</t>
  </si>
  <si>
    <t>FN1;COL15A1;CDH11;FMO1</t>
  </si>
  <si>
    <t>http://www.broadinstitute.org/gsea/msigdb/cards/WANG_PROSTATE_CANCER_ANDROGEN_INDEPENDENT.html</t>
  </si>
  <si>
    <t>6678;5176;5739;3490</t>
  </si>
  <si>
    <t>SPARC;SERPINF1;PTGIR;IGFBP7</t>
  </si>
  <si>
    <t>395;26585;1346;1012;25903;1734;83604;23024;10000</t>
  </si>
  <si>
    <t>ARHGAP6;GREM1;COX7A1;CDH13;OLFML2B;DIO2;TMEM47;PDZRN3;AKT3</t>
  </si>
  <si>
    <t>8522;8434;710;716;1513;2825;7130;2621;9644;25903;57493</t>
  </si>
  <si>
    <t>AC005747.1;RECK;SERPING1;C1S;CTSK;GPR1;TNFAIP6;GAS6;SH3PXD2A;OLFML2B;HEG1</t>
  </si>
  <si>
    <t>3678;1462;4345;131578</t>
  </si>
  <si>
    <t>ITGA5;VCAN;CD200;LRRC15</t>
  </si>
  <si>
    <t>395;87;1346;5396;259232;6320</t>
  </si>
  <si>
    <t>ARHGAP6;ACTN1;COX7A1;PRRX1;NALCN;CLEC11A</t>
  </si>
  <si>
    <t>PID_SYNDECAN_2_PATHWAY</t>
  </si>
  <si>
    <t>2335;4313;3678</t>
  </si>
  <si>
    <t>FN1;MMP2;ITGA5</t>
  </si>
  <si>
    <t>http://www.broadinstitute.org/gsea/msigdb/cards/PID_SYNDECAN_2_PATHWAY.html</t>
  </si>
  <si>
    <t>3912;6678;716;6925;10631</t>
  </si>
  <si>
    <t>LAMB1;SPARC;C1S;TCF4;POSTN</t>
  </si>
  <si>
    <t>GHANDHI_DIRECT_IRRADIATION_DN</t>
  </si>
  <si>
    <t>25903;115557;93166</t>
  </si>
  <si>
    <t>OLFML2B;ARHGEF25;PRDM6</t>
  </si>
  <si>
    <t>http://www.broadinstitute.org/gsea/msigdb/cards/GHANDHI_DIRECT_IRRADIATION_DN.html</t>
  </si>
  <si>
    <t>4211;894;5176;2199;3779;84898;85360;151887;25925;4675;23208;84617;84662;90627</t>
  </si>
  <si>
    <t>MEIS1;CCND2;SERPINF1;FBLN2;KCNMB1;PLXDC2;SYDE1;CCDC80;ZNF521;NAP1L3;SYT11;TUBB6;GLIS2;STARD13</t>
  </si>
  <si>
    <t>9945;4313;1291;1292;1462;7412;800;85360;29940</t>
  </si>
  <si>
    <t>GFPT2;MMP2;COL6A1;COL6A2;VCAN;VCAM1;CALD1;SYDE1;DSE</t>
  </si>
  <si>
    <t>OXFORD_RALA_AND_RALB_TARGETS_DN</t>
  </si>
  <si>
    <t>http://www.broadinstitute.org/gsea/msigdb/cards/OXFORD_RALA_AND_RALB_TARGETS_DN.html</t>
  </si>
  <si>
    <t>COLLER_MYC_TARGETS_DN</t>
  </si>
  <si>
    <t>1281;5156</t>
  </si>
  <si>
    <t>COL3A1;PDGFRA</t>
  </si>
  <si>
    <t>http://www.broadinstitute.org/gsea/msigdb/cards/COLLER_MYC_TARGETS_DN.html</t>
  </si>
  <si>
    <t>ITO_PTTG1_TARGETS_DN</t>
  </si>
  <si>
    <t>3678;6624</t>
  </si>
  <si>
    <t>ITGA5;FSCN1</t>
  </si>
  <si>
    <t>http://www.broadinstitute.org/gsea/msigdb/cards/ITO_PTTG1_TARGETS_DN.html</t>
  </si>
  <si>
    <t>BYSTRYKH_HEMATOPOIESIS_STEM_CELL_IL3RA</t>
  </si>
  <si>
    <t>2978;2978</t>
  </si>
  <si>
    <t>GUCA1A;AL096814.2</t>
  </si>
  <si>
    <t>http://www.broadinstitute.org/gsea/msigdb/cards/BYSTRYKH_HEMATOPOIESIS_STEM_CELL_IL3RA.html</t>
  </si>
  <si>
    <t>5924;395;1123;85360;90627</t>
  </si>
  <si>
    <t>RASGRF2;ARHGAP6;CHN1;SYDE1;STARD13</t>
  </si>
  <si>
    <t>KIM_WT1_TARGETS_8HR_UP</t>
  </si>
  <si>
    <t>7041;6591;9945;87;8877;27254</t>
  </si>
  <si>
    <t>TGFB1I1;SNAI2;GFPT2;ACTN1;SPHK1;CSDC2</t>
  </si>
  <si>
    <t>http://www.broadinstitute.org/gsea/msigdb/cards/KIM_WT1_TARGETS_8HR_UP.html</t>
  </si>
  <si>
    <t>3624;894;7130;5311;2621</t>
  </si>
  <si>
    <t>INHBA;CCND2;TNFAIP6;PKD2;GAS6</t>
  </si>
  <si>
    <t>DOANE_BREAST_CANCER_CLASSES_DN</t>
  </si>
  <si>
    <t>5352;7077;6624</t>
  </si>
  <si>
    <t>PLOD2;TIMP2;FSCN1</t>
  </si>
  <si>
    <t>http://www.broadinstitute.org/gsea/msigdb/cards/DOANE_BREAST_CANCER_CLASSES_DN.html</t>
  </si>
  <si>
    <t>2335;7057;23213</t>
  </si>
  <si>
    <t>FN1;THBS1;SULF1</t>
  </si>
  <si>
    <t>7057;6678;7292;4638</t>
  </si>
  <si>
    <t>THBS1;SPARC;TNFSF4;MYLK</t>
  </si>
  <si>
    <t>9242;1281;1289;94031;10631;6624;4921;6910;63895;10418;50507;51176</t>
  </si>
  <si>
    <t>MSC;COL3A1;COL5A1;HTRA3;POSTN;FSCN1;DDR2;TBX5;PIEZO2;SPON1;NOX4;LEF1</t>
  </si>
  <si>
    <t>ZHANG_TLX_TARGETS_36HR_UP</t>
  </si>
  <si>
    <t>3678;7043;7077;894;1012;23176;8877</t>
  </si>
  <si>
    <t>ITGA5;TGFB3;TIMP2;CCND2;CDH13;SEPT8;SPHK1</t>
  </si>
  <si>
    <t>http://www.broadinstitute.org/gsea/msigdb/cards/ZHANG_TLX_TARGETS_36HR_UP.html</t>
  </si>
  <si>
    <t>MULLIGHAN_MLL_SIGNATURE_2_DN</t>
  </si>
  <si>
    <t>7041;4313;6678;4345;5739;1805;6624;89795</t>
  </si>
  <si>
    <t>TGFB1I1;MMP2;SPARC;CD200;PTGIR;DPT;FSCN1;NAV3</t>
  </si>
  <si>
    <t>http://www.broadinstitute.org/gsea/msigdb/cards/MULLIGHAN_MLL_SIGNATURE_2_DN.html</t>
  </si>
  <si>
    <t>5352;1462;6925;7412;7292;894;6624;84617;8877;10000</t>
  </si>
  <si>
    <t>PLOD2;VCAN;TCF4;VCAM1;TNFSF4;CCND2;FSCN1;TUBB6;SPHK1;AKT3</t>
  </si>
  <si>
    <t>SCHAEFFER_PROSTATE_DEVELOPMENT_12HR_UP</t>
  </si>
  <si>
    <t>1290;7412;27295;6423;54829</t>
  </si>
  <si>
    <t>COL5A2;VCAM1;PDLIM3;SFRP2;ASPN</t>
  </si>
  <si>
    <t>http://www.broadinstitute.org/gsea/msigdb/cards/SCHAEFFER_PROSTATE_DEVELOPMENT_12HR_UP.html</t>
  </si>
  <si>
    <t>9945;87;894;54796;10234</t>
  </si>
  <si>
    <t>GFPT2;ACTN1;CCND2;BNC2;LRRC17</t>
  </si>
  <si>
    <t>WANG_METHYLATED_IN_BREAST_CANCER</t>
  </si>
  <si>
    <t>7057;3624;8877</t>
  </si>
  <si>
    <t>THBS1;INHBA;SPHK1</t>
  </si>
  <si>
    <t>http://www.broadinstitute.org/gsea/msigdb/cards/WANG_METHYLATED_IN_BREAST_CANCER.html</t>
  </si>
  <si>
    <t>MODY_HIPPOCAMPUS_NEONATAL</t>
  </si>
  <si>
    <t>2335;4323;72</t>
  </si>
  <si>
    <t>FN1;MMP14;ACTG2</t>
  </si>
  <si>
    <t>http://www.broadinstitute.org/gsea/msigdb/cards/MODY_HIPPOCAMPUS_NEONATAL.html</t>
  </si>
  <si>
    <t>SCHRAETS_MLL_TARGETS_UP</t>
  </si>
  <si>
    <t>1277;1634;59</t>
  </si>
  <si>
    <t>COL1A1;DCN;ACTA2</t>
  </si>
  <si>
    <t>http://www.broadinstitute.org/gsea/msigdb/cards/SCHRAETS_MLL_TARGETS_UP.html</t>
  </si>
  <si>
    <t>4060;10631;9843</t>
  </si>
  <si>
    <t>LUM;POSTN;HEPH</t>
  </si>
  <si>
    <t>5352;30008;1123;4015;7130;3779;6624;57616;151887;115908;84617;84662;84168;8877;90627</t>
  </si>
  <si>
    <t>PLOD2;EFEMP2;CHN1;LOX;TNFAIP6;KCNMB1;FSCN1;TSHZ3;CCDC80;CTHRC1;TUBB6;GLIS2;ANTXR1;SPHK1;STARD13</t>
  </si>
  <si>
    <t>MCCOLLUM_GELDANAMYCIN_RESISTANCE_UP</t>
  </si>
  <si>
    <t>1009;55959</t>
  </si>
  <si>
    <t>CDH11;SULF2</t>
  </si>
  <si>
    <t>http://www.broadinstitute.org/gsea/msigdb/cards/MCCOLLUM_GELDANAMYCIN_RESISTANCE_UP.html</t>
  </si>
  <si>
    <t>LEE_NEURAL_CREST_STEM_CELL_DN</t>
  </si>
  <si>
    <t>2621;51334;89795;5654;10418</t>
  </si>
  <si>
    <t>GAS6;PRR16;NAV3;HTRA1;SPON1</t>
  </si>
  <si>
    <t>http://www.broadinstitute.org/gsea/msigdb/cards/LEE_NEURAL_CREST_STEM_CELL_DN.html</t>
  </si>
  <si>
    <t>8434;1281;3912;7057;800;11167;4638;115701;84168;57493</t>
  </si>
  <si>
    <t>RECK;COL3A1;LAMB1;THBS1;CALD1;FSTL1;MYLK;ALPK2;ANTXR1;HEG1</t>
  </si>
  <si>
    <t>1278;6695;51334;83716</t>
  </si>
  <si>
    <t>COL1A2;SPOCK1;PRR16;CRISPLD2</t>
  </si>
  <si>
    <t>LIU_CDX2_TARGETS_UP</t>
  </si>
  <si>
    <t>6343;5225;9843</t>
  </si>
  <si>
    <t>SCT;PGC;HEPH</t>
  </si>
  <si>
    <t>http://www.broadinstitute.org/gsea/msigdb/cards/LIU_CDX2_TARGETS_UP.html</t>
  </si>
  <si>
    <t>9242;1301;5322;8991;6624;4921;85360;165904;1303;10418;50944</t>
  </si>
  <si>
    <t>MSC;COL11A1;PLA2G5;SELENBP1;FSCN1;DDR2;SYDE1;XIRP1;COL12A1;SPON1;SHANK1</t>
  </si>
  <si>
    <t>JI_RESPONSE_TO_FSH_UP</t>
  </si>
  <si>
    <t>4211;1281;1307;3910</t>
  </si>
  <si>
    <t>MEIS1;COL3A1;COL16A1;LAMA4</t>
  </si>
  <si>
    <t>http://www.broadinstitute.org/gsea/msigdb/cards/JI_RESPONSE_TO_FSH_UP.html</t>
  </si>
  <si>
    <t>2335;1289;894;9638</t>
  </si>
  <si>
    <t>FN1;COL5A1;CCND2;FEZ1</t>
  </si>
  <si>
    <t>WANG_CISPLATIN_RESPONSE_AND_XPC_DN</t>
  </si>
  <si>
    <t>710;5156;7130;5592;3779;57124;22801</t>
  </si>
  <si>
    <t>SERPING1;PDGFRA;TNFAIP6;PRKG1;KCNMB1;CD248;ITGA11</t>
  </si>
  <si>
    <t>http://www.broadinstitute.org/gsea/msigdb/cards/WANG_CISPLATIN_RESPONSE_AND_XPC_DN.html</t>
  </si>
  <si>
    <t>IWANAGA_CARCINOGENESIS_BY_KRAS_DN</t>
  </si>
  <si>
    <t>6925;114801;23460;387758;10418</t>
  </si>
  <si>
    <t>TCF4;TMEM200A;ABCA6;FIBIN;SPON1</t>
  </si>
  <si>
    <t>http://www.broadinstitute.org/gsea/msigdb/cards/IWANAGA_CARCINOGENESIS_BY_KRAS_DN.html</t>
  </si>
  <si>
    <t>PID_FRA_PATHWAY</t>
  </si>
  <si>
    <t>1634;1278;4313</t>
  </si>
  <si>
    <t>DCN;COL1A2;MMP2</t>
  </si>
  <si>
    <t>http://www.broadinstitute.org/gsea/msigdb/cards/PID_FRA_PATHWAY.html</t>
  </si>
  <si>
    <t>GENTILE_UV_RESPONSE_CLUSTER_D6</t>
  </si>
  <si>
    <t>5156;6387;5396</t>
  </si>
  <si>
    <t>PDGFRA;CXCL12;PRRX1</t>
  </si>
  <si>
    <t>http://www.broadinstitute.org/gsea/msigdb/cards/GENTILE_UV_RESPONSE_CLUSTER_D6.html</t>
  </si>
  <si>
    <t>HOWLIN_CITED1_TARGETS_1_DN</t>
  </si>
  <si>
    <t>2037;7057;1009</t>
  </si>
  <si>
    <t>EPB41L2;THBS1;CDH11</t>
  </si>
  <si>
    <t>http://www.broadinstitute.org/gsea/msigdb/cards/HOWLIN_CITED1_TARGETS_1_DN.html</t>
  </si>
  <si>
    <t>1290;6678;87;1346;894;1300;8076;5311;1740;4958</t>
  </si>
  <si>
    <t>COL5A2;SPARC;ACTN1;COX7A1;CCND2;COL10A1;MFAP5;PKD2;DLG2;OMD</t>
  </si>
  <si>
    <t>YAO_TEMPORAL_RESPONSE_TO_PROGESTERONE_CLUSTER_0</t>
  </si>
  <si>
    <t>8434;4015;27122;23452</t>
  </si>
  <si>
    <t>RECK;LOX;DKK3;ANGPTL2</t>
  </si>
  <si>
    <t>http://www.broadinstitute.org/gsea/msigdb/cards/YAO_TEMPORAL_RESPONSE_TO_PROGESTERONE_CLUSTER_0.html</t>
  </si>
  <si>
    <t>PID_INTEGRIN4_PATHWAY</t>
  </si>
  <si>
    <t>3912;3908</t>
  </si>
  <si>
    <t>LAMB1;LAMA2</t>
  </si>
  <si>
    <t>http://www.broadinstitute.org/gsea/msigdb/cards/PID_INTEGRIN4_PATHWAY.html</t>
  </si>
  <si>
    <t>5924;1123;115557</t>
  </si>
  <si>
    <t>RASGRF2;CHN1;ARHGEF25</t>
  </si>
  <si>
    <t>SEMBA_FHIT_TARGETS_UP</t>
  </si>
  <si>
    <t>1277;8877</t>
  </si>
  <si>
    <t>COL1A1;SPHK1</t>
  </si>
  <si>
    <t>http://www.broadinstitute.org/gsea/msigdb/cards/SEMBA_FHIT_TARGETS_UP.html</t>
  </si>
  <si>
    <t>5156;894</t>
  </si>
  <si>
    <t>PDGFRA;CCND2</t>
  </si>
  <si>
    <t>KRASNOSELSKAYA_ILF3_TARGETS_UP</t>
  </si>
  <si>
    <t>2191;6910;4958</t>
  </si>
  <si>
    <t>FAP;TBX5;OMD</t>
  </si>
  <si>
    <t>http://www.broadinstitute.org/gsea/msigdb/cards/KRASNOSELSKAYA_ILF3_TARGETS_UP.html</t>
  </si>
  <si>
    <t>395;9945;7057;1462;5156</t>
  </si>
  <si>
    <t>ARHGAP6;GFPT2;THBS1;VCAN;PDGFRA</t>
  </si>
  <si>
    <t>9697;89795;23176;57493;56099</t>
  </si>
  <si>
    <t>TRAM2;NAV3;SEPT8;HEG1;PCDHGB7</t>
  </si>
  <si>
    <t>MARTORIATI_MDM4_TARGETS_NEUROEPITHELIUM_UP</t>
  </si>
  <si>
    <t>87;1462;894;800;84898;115908</t>
  </si>
  <si>
    <t>ACTN1;VCAN;CCND2;CALD1;PLXDC2;CTHRC1</t>
  </si>
  <si>
    <t>http://www.broadinstitute.org/gsea/msigdb/cards/MARTORIATI_MDM4_TARGETS_NEUROEPITHELIUM_UP.html</t>
  </si>
  <si>
    <t>2335;7077;7412;633</t>
  </si>
  <si>
    <t>FN1;TIMP2;VCAM1;BGN</t>
  </si>
  <si>
    <t>http://www.broadinstitute.org/gsea/msigdb/cards/ZHONG_SECRETOME_OF_LUNG_CANCER_AND_MACROPHAGE.html</t>
  </si>
  <si>
    <t>800;3490;51339;23024;90627</t>
  </si>
  <si>
    <t>CALD1;IGFBP7;DACT1;PDZRN3;STARD13</t>
  </si>
  <si>
    <t>6925;7412;894;5176;131578;9638</t>
  </si>
  <si>
    <t>TCF4;VCAM1;CCND2;SERPINF1;LRRC15;FEZ1</t>
  </si>
  <si>
    <t>REACTOME_PLATELET_HOMEOSTASIS</t>
  </si>
  <si>
    <t>5739;5592;3779;10335</t>
  </si>
  <si>
    <t>PTGIR;PRKG1;KCNMB1;MRVI1</t>
  </si>
  <si>
    <t>http://www.broadinstitute.org/gsea/msigdb/cards/REACTOME_PLATELET_HOMEOSTASIS.html</t>
  </si>
  <si>
    <t>HADDAD_T_LYMPHOCYTE_AND_NK_PROGENITOR_UP</t>
  </si>
  <si>
    <t>5352;1289;4015;7216</t>
  </si>
  <si>
    <t>PLOD2;COL5A1;LOX;TRO</t>
  </si>
  <si>
    <t>http://www.broadinstitute.org/gsea/msigdb/cards/HADDAD_T_LYMPHOCYTE_AND_NK_PROGENITOR_UP.html</t>
  </si>
  <si>
    <t>LINDVALL_IMMORTALIZED_BY_TERT_UP</t>
  </si>
  <si>
    <t>1306;4060;800;3490</t>
  </si>
  <si>
    <t>COL15A1;LUM;CALD1;IGFBP7</t>
  </si>
  <si>
    <t>http://www.broadinstitute.org/gsea/msigdb/cards/LINDVALL_IMMORTALIZED_BY_TERT_UP.html</t>
  </si>
  <si>
    <t>CONRAD_STEM_CELL</t>
  </si>
  <si>
    <t>5396;27122;10000</t>
  </si>
  <si>
    <t>PRRX1;DKK3;AKT3</t>
  </si>
  <si>
    <t>http://www.broadinstitute.org/gsea/msigdb/cards/CONRAD_STEM_CELL.html</t>
  </si>
  <si>
    <t>4211;894;3490;9638</t>
  </si>
  <si>
    <t>MEIS1;CCND2;IGFBP7;FEZ1</t>
  </si>
  <si>
    <t>VANDESLUIS_COMMD1_TARGETS_GROUP_3_DN</t>
  </si>
  <si>
    <t>7412;4237;9638</t>
  </si>
  <si>
    <t>VCAM1;MFAP2;FEZ1</t>
  </si>
  <si>
    <t>http://www.broadinstitute.org/gsea/msigdb/cards/VANDESLUIS_COMMD1_TARGETS_GROUP_3_DN.html</t>
  </si>
  <si>
    <t>1281;1278;7058</t>
  </si>
  <si>
    <t>COL3A1;COL1A2;THBS2</t>
  </si>
  <si>
    <t>1277;1278;1301;633;7058;6624</t>
  </si>
  <si>
    <t>COL1A1;COL1A2;COL11A1;BGN;THBS2;FSCN1</t>
  </si>
  <si>
    <t>http://www.broadinstitute.org/gsea/msigdb/cards/LI_AMPLIFIED_IN_LUNG_CANCER.html</t>
  </si>
  <si>
    <t>2619;3339;5592;9697;6624;57616;25903;55959;23024;90627</t>
  </si>
  <si>
    <t>GAS1;HSPG2;PRKG1;TRAM2;FSCN1;TSHZ3;OLFML2B;SULF2;PDZRN3;STARD13</t>
  </si>
  <si>
    <t>4313;2619;3910</t>
  </si>
  <si>
    <t>MMP2;GAS1;LAMA4</t>
  </si>
  <si>
    <t>LIAO_HAVE_SOX4_BINDING_SITES</t>
  </si>
  <si>
    <t>3912;1462;89795</t>
  </si>
  <si>
    <t>LAMB1;VCAN;NAV3</t>
  </si>
  <si>
    <t>http://www.broadinstitute.org/gsea/msigdb/cards/LIAO_HAVE_SOX4_BINDING_SITES.html</t>
  </si>
  <si>
    <t>REACTOME_PLATELET_ADHESION_TO_EXPOSED_COLLAGEN</t>
  </si>
  <si>
    <t>1277;1278</t>
  </si>
  <si>
    <t>COL1A1;COL1A2</t>
  </si>
  <si>
    <t>http://www.broadinstitute.org/gsea/msigdb/cards/REACTOME_PLATELET_ADHESION_TO_EXPOSED_COLLAGEN.html</t>
  </si>
  <si>
    <t>MOROSETTI_FACIOSCAPULOHUMERAL_MUSCULAR_DISTROPHY_DN</t>
  </si>
  <si>
    <t>27295;5919</t>
  </si>
  <si>
    <t>PDLIM3;RARRES2</t>
  </si>
  <si>
    <t>http://www.broadinstitute.org/gsea/msigdb/cards/MOROSETTI_FACIOSCAPULOHUMERAL_MUSCULAR_DISTROPHY_DN.html</t>
  </si>
  <si>
    <t>ITO_PTTG1_TARGETS_UP</t>
  </si>
  <si>
    <t>7057;27122</t>
  </si>
  <si>
    <t>THBS1;DKK3</t>
  </si>
  <si>
    <t>http://www.broadinstitute.org/gsea/msigdb/cards/ITO_PTTG1_TARGETS_UP.html</t>
  </si>
  <si>
    <t>MIZUKAMI_HYPOXIA_UP</t>
  </si>
  <si>
    <t>7043;6387</t>
  </si>
  <si>
    <t>TGFB3;CXCL12</t>
  </si>
  <si>
    <t>http://www.broadinstitute.org/gsea/msigdb/cards/MIZUKAMI_HYPOXIA_UP.html</t>
  </si>
  <si>
    <t>LOPEZ_MESOTHELIOMA_SURVIVAL_DN</t>
  </si>
  <si>
    <t>1462;1289</t>
  </si>
  <si>
    <t>VCAN;COL5A1</t>
  </si>
  <si>
    <t>http://www.broadinstitute.org/gsea/msigdb/cards/LOPEZ_MESOTHELIOMA_SURVIVAL_DN.html</t>
  </si>
  <si>
    <t>7169;1346;781;9254</t>
  </si>
  <si>
    <t>TPM2;COX7A1;CACNA2D1;CACNA2D2</t>
  </si>
  <si>
    <t>http://www.broadinstitute.org/gsea/msigdb/cards/KEGG_CARDIAC_MUSCLE_CONTRACTION.html</t>
  </si>
  <si>
    <t>1634;3912;55959;221091;25878</t>
  </si>
  <si>
    <t>DCN;LAMB1;SULF2;LRRN4CL;MXRA5</t>
  </si>
  <si>
    <t>389136;5352;4211;5924;395;8038;26585;8522;8483;8633;9509;2335;1634;7169;1278;3624;716;7043;1462;1123;6925;5156;2252;4015;25802;2668;1513;4323;3899;5549;1264;5396;3339;800;1307;11167;2191;4052;4053;1740;3490;4921;27295;6424;283298;29951;54796;151887;127435;115701;115557;89795;23213;221091;27319;387758;55068;6444;1734;2259;116535;128218;115908;84628;25925;6910;1303;4958;84251;54587;56849;84617;54829;84168;9902;23452;6320;10000;90627;27254</t>
  </si>
  <si>
    <t>VGLL3;PLOD2;MEIS1;RASGRF2;ARHGAP6;ADAM12;GREM1;AC005747.1;CILP;UNC5C;ADAMTS2;FN1;DCN;TPM2;COL1A2;INHBA;C1S;TGFB3;VCAN;CHN1;TCF4;PDGFRA;FGF7;LOX;LMOD1;GDNF;CTSK;MMP14;AFF3;PRELP;CNN1;PRRX1;HSPG2;CALD1;COL16A1;FSTL1;FAP;LTBP1;LTBP2;DLG2;IGFBP7;DDR2;PDLIM3;SFRP4;OLFML1;PDZRN4;BNC2;CCDC80;PODN;ALPK2;ARHGEF25;NAV3;SULF1;LRRN4CL;BHLHE22;FIBIN;ENOX1;SGCD;DIO2;FGF14;MRGPRF;TMEM125;CTHRC1;NTNG2;ZNF521;TBX5;COL12A1;OMD;SGIP1;MXRA8;TCEAL7;TUBB6;ASPN;ANTXR1;AC080038.1;ANGPTL2;CLEC11A;AKT3;STARD13;CSDC2</t>
  </si>
  <si>
    <t>389136;4211;395;9242;1842;11248;1277;2335;1634;1278;3624;5159;716;7043;1123;6925;5156;2252;7292;5350;4015;2978;2978;1513;6387;953;3899;1264;781;5396;1009;3339;1805;11167;8991;8076;1740;4638;3316;3910;27295;392490;84898;79633;29951;54796;151887;89795;55959;253827;23460;10234;221091;2259;116535;25925;83872;6910;4958;84251;54587;56849;64084;79827;10418;50507;9254;51339;9902;25769;10000;90627</t>
  </si>
  <si>
    <t>VGLL3;MEIS1;ARHGAP6;MSC;ECM2;NXPH3;COL1A1;FN1;DCN;COL1A2;INHBA;PDGFRB;C1S;TGFB3;CHN1;TCF4;PDGFRA;FGF7;TNFSF4;PLN;LOX;GUCA1A;AL096814.2;CTSK;CXCL12;ENTPD1;AFF3;CNN1;CACNA2D1;PRRX1;CDH11;HSPG2;DPT;FSTL1;SELENBP1;MFAP5;DLG2;MYLK;HSPB2;LAMA4;PDLIM3;NHSL2;PLXDC2;FAT4;PDZRN4;BNC2;CCDC80;NAV3;SULF2;MSRB3;ABCA6;LRRC17;LRRN4CL;FGF14;MRGPRF;ZNF521;HMCN1;TBX5;OMD;SGIP1;MXRA8;TCEAL7;CLSTN2;CLMP;SPON1;NOX4;CACNA2D2;DACT1;AC080038.1;SLC24A2;AKT3;STARD13</t>
  </si>
  <si>
    <t>7041;1277;7169;7057;1278;87;10398;5350;6935;5549;1264;81792;72;6876;800;4638;3779;27295;127435;116535;83604;57124;9260;90627</t>
  </si>
  <si>
    <t>TGFB1I1;COL1A1;TPM2;THBS1;COL1A2;ACTN1;MYL9;PLN;ZEB1;PRELP;CNN1;ADAMTS12;ACTG2;TAGLN;CALD1;MYLK;KCNMB1;PDLIM3;PODN;MRGPRF;TMEM47;CD248;PDLIM7;STARD13</t>
  </si>
  <si>
    <t>4211;7041;9945;7057;1278;87;10398;5350;1264;72;6876;800;4052;4638;3779;8639;116535;147906;83604;57124;9260;90627;10335</t>
  </si>
  <si>
    <t>MEIS1;TGFB1I1;GFPT2;THBS1;COL1A2;ACTN1;MYL9;PLN;CNN1;ACTG2;TAGLN;CALD1;LTBP1;MYLK;KCNMB1;AOC3;MRGPRF;DACT3;TMEM47;CD248;PDLIM7;STARD13;MRVI1</t>
  </si>
  <si>
    <t>4211;9945;11248;8840;9509;9358;1281;710;1634;7057;1278;4313;3624;6678;7043;1462;1123;6925;4015;6935;3899;4060;5396;1009;1012;3339;800;4035;4052;10631;1740;3910;4921;27295;84898;29951;54796;151887;10630;89795;27319;81832;6444;2259;116535;84628;25925;6910;83604;64084;79783;8877;51339;50863;25769;51176;10000;90627;10335</t>
  </si>
  <si>
    <t>MEIS1;GFPT2;NXPH3;CCN4;ADAMTS2;ITGBL1;COL3A1;SERPING1;DCN;THBS1;COL1A2;MMP2;INHBA;SPARC;TGFB3;VCAN;CHN1;TCF4;LOX;ZEB1;AFF3;LUM;PRRX1;CDH11;CDH13;HSPG2;CALD1;LRP1;LTBP1;POSTN;DLG2;LAMA4;DDR2;PDLIM3;PLXDC2;PDZRN4;BNC2;CCDC80;PDPN;NAV3;BHLHE22;NETO1;SGCD;FGF14;MRGPRF;NTNG2;ZNF521;TBX5;TMEM47;CLSTN2;SUGCT;SPHK1;DACT1;NTM;SLC24A2;LEF1;AKT3;STARD13;MRVI1</t>
  </si>
  <si>
    <t>389136;5924;8522;8483;11248;9509;7169;6343;7043;6925;2252;7292;50509;5350;894;2668;5739;2825;1012;72;4035;22795;4052;1740;4638;3316;3779;392490;283298;54796;165904;127435;115701;89795;219654;221091;2259;116535;128218;84628;25925;84251;64084;51339;51176;23452;90627;27254;10335</t>
  </si>
  <si>
    <t>VGLL3;RASGRF2;AC005747.1;CILP;NXPH3;ADAMTS2;TPM2;SCT;TGFB3;TCF4;FGF7;TNFSF4;COL5A3;PLN;CCND2;GDNF;PTGIR;GPR1;CDH13;ACTG2;LRP1;NID2;LTBP1;DLG2;MYLK;HSPB2;KCNMB1;NHSL2;OLFML1;BNC2;XIRP1;PODN;ALPK2;NAV3;ZCCHC24;LRRN4CL;FGF14;MRGPRF;TMEM125;NTNG2;ZNF521;SGIP1;CLSTN2;DACT1;LEF1;ANGPTL2;STARD13;CSDC2;MRVI1</t>
  </si>
  <si>
    <t>7041;1277;7169;7057;87;2252;10398;5350;1264;72;6876;800;4638;54796;127435;116535;83604;57124;9260;90627</t>
  </si>
  <si>
    <t>TGFB1I1;COL1A1;TPM2;THBS1;ACTN1;FGF7;MYL9;PLN;CNN1;ACTG2;TAGLN;CALD1;MYLK;BNC2;PODN;MRGPRF;TMEM47;CD248;PDLIM7;STARD13</t>
  </si>
  <si>
    <t>395;8038;7043;6925;5549;1264;72;800;2191;4053;10631;1740;3316;51334;343450;389558;29951;54796;127435;10350;89795;259232;119587;221091;6423;4675;4958;51339;54551;51176;27254;11117;10335</t>
  </si>
  <si>
    <t>ARHGAP6;ADAM12;TGFB3;TCF4;PRELP;CNN1;ACTG2;CALD1;FAP;LTBP2;POSTN;DLG2;HSPB2;PRR16;KCNT2;FAM180A;PDZRN4;BNC2;PODN;ABCA9;NAV3;NALCN;CPXM2;LRRN4CL;SFRP2;NAP1L3;OMD;DACT1;MAGEL2;LEF1;CSDC2;EMILIN1;MRVI1</t>
  </si>
  <si>
    <t>4211;8483;11248;30008;1277;1290;5241;7169;1278;4313;3678;6678;7043;1301;1462;6925;5225;2252;50509;894;2200;6935;2668;953;4323;5549;1264;4237;3339;6876;800;1805;4035;10631;5118;1740;4921;27295;51334;84898;54796;55959;81832;2259;128218;6423;8642;25925;1303;54587;23208;57124;9902;51176;22801;27254;50944;11117</t>
  </si>
  <si>
    <t>MEIS1;CILP;NXPH3;EFEMP2;COL1A1;COL5A2;PGR;TPM2;COL1A2;MMP2;ITGA5;SPARC;TGFB3;COL11A1;VCAN;TCF4;PGC;FGF7;COL5A3;CCND2;FBN1;ZEB1;GDNF;ENTPD1;MMP14;PRELP;CNN1;MFAP2;HSPG2;TAGLN;CALD1;DPT;LRP1;POSTN;PCOLCE;DLG2;DDR2;PDLIM3;PRR16;PLXDC2;BNC2;SULF2;NETO1;FGF14;TMEM125;SFRP2;DCHS1;ZNF521;COL12A1;MXRA8;SYT11;CD248;AC080038.1;LEF1;ITGA11;CSDC2;SHANK1;EMILIN1</t>
  </si>
  <si>
    <t>4211;395;8038;8522;9945;11248;1634;3624;716;1301;6925;1289;633;1306;2668;3899;5396;1012;81792;11245;1740;4921;51334;57616;10630;23213;114757;6444;2259;115908;6423;8642;25925;25960;83872;84251;64084;9254;51176;10335</t>
  </si>
  <si>
    <t>MEIS1;ARHGAP6;ADAM12;AC005747.1;GFPT2;NXPH3;DCN;INHBA;C1S;COL11A1;TCF4;COL5A1;BGN;COL15A1;GDNF;AFF3;PRRX1;CDH13;ADAMTS12;GPR176;DLG2;DDR2;PRR16;TSHZ3;PDPN;SULF1;CYGB;SGCD;FGF14;CTHRC1;SFRP2;DCHS1;ZNF521;ADGRA2;HMCN1;SGIP1;CLSTN2;CACNA2D2;LEF1;MRVI1</t>
  </si>
  <si>
    <t>389136;5352;4211;395;8522;1842;9945;8434;1277;1281;1301;1462;5156;50509;4015;1306;4323;3899;781;5396;4237;1009;81792;800;4035;2191;22795;3910;29951;54796;151887;89795;219654;10234;1734;115908;8642;25925;83872;1303;4958;84251;83604;54587;23208;83700;51339;29767;51176;23452;10000;90627</t>
  </si>
  <si>
    <t>VGLL3;PLOD2;MEIS1;ARHGAP6;AC005747.1;ECM2;GFPT2;RECK;COL1A1;COL3A1;COL11A1;VCAN;PDGFRA;COL5A3;LOX;COL15A1;MMP14;AFF3;CACNA2D1;PRRX1;MFAP2;CDH11;ADAMTS12;CALD1;LRP1;FAP;NID2;LAMA4;PDZRN4;BNC2;CCDC80;NAV3;ZCCHC24;LRRC17;DIO2;CTHRC1;DCHS1;ZNF521;HMCN1;COL12A1;OMD;SGIP1;TMEM47;MXRA8;SYT11;JAM3;DACT1;TMOD2;LEF1;ANGPTL2;AKT3;STARD13</t>
  </si>
  <si>
    <t>5352;5924;8038;9242;1277;1634;1278;7043;1462;5156;2252;4320;25802;6935;2668;5739;6387;3899;4060;5549;4237;1012;4052;4053;1740;4638;3910;27295;392490;54796;165904;257194;127435;23213;219699;221091;27319;1734;116535;128218;115908;84628;25925;25960;83872;1303;84251;54587;56849;23208;64094;9254;25769;54551;51176;22801;90627;50944</t>
  </si>
  <si>
    <t>PLOD2;RASGRF2;ADAM12;MSC;COL1A1;DCN;COL1A2;TGFB3;VCAN;PDGFRA;FGF7;MMP11;LMOD1;ZEB1;GDNF;PTGIR;CXCL12;AFF3;LUM;PRELP;MFAP2;CDH13;LTBP1;LTBP2;DLG2;MYLK;LAMA4;PDLIM3;NHSL2;BNC2;XIRP1;NEGR1;PODN;SULF1;UNC5B;LRRN4CL;BHLHE22;DIO2;MRGPRF;TMEM125;CTHRC1;NTNG2;ZNF521;ADGRA2;HMCN1;COL12A1;SGIP1;MXRA8;TCEAL7;SYT11;SMOC2;CACNA2D2;SLC24A2;MAGEL2;LEF1;ITGA11;STARD13;SHANK1</t>
  </si>
  <si>
    <t>7041;7169;7057;87;10398;4323;1264;72;6876;800;1740;4638;3779;54796;127435;116535;83604</t>
  </si>
  <si>
    <t>TGFB1I1;TPM2;THBS1;ACTN1;MYL9;MMP14;CNN1;ACTG2;TAGLN;CALD1;DLG2;MYLK;KCNMB1;BNC2;PODN;MRGPRF;TMEM47</t>
  </si>
  <si>
    <t>TATAAA_TATA_01</t>
  </si>
  <si>
    <t>389136;5352;4211;9242;1277;2335;7169;1278;3624;7043;6925;7412;5225;7058;2668;1264;72;1300;800;1805;10631;1740;4638;23090;27295;57616;29951;54796;89795;23213;164284;221091;27319;1734;2259;115908;4675;2846;83700</t>
  </si>
  <si>
    <t>VGLL3;PLOD2;MEIS1;MSC;COL1A1;FN1;TPM2;COL1A2;INHBA;TGFB3;TCF4;VCAM1;PGC;THBS2;GDNF;CNN1;ACTG2;COL10A1;CALD1;DPT;POSTN;DLG2;MYLK;ZNF423;PDLIM3;TSHZ3;PDZRN4;BNC2;NAV3;SULF1;APCDD1L;LRRN4CL;BHLHE22;DIO2;FGF14;CTHRC1;NAP1L3;LPAR4;JAM3</t>
  </si>
  <si>
    <t>http://www.broadinstitute.org/gsea/msigdb/cards/TATAAA_TATA_01.html</t>
  </si>
  <si>
    <t>CCAWWNAAGG_SRF_Q4</t>
  </si>
  <si>
    <t>7169;7057;6925;5350;72;6876;800;4638;127435;116535;83604;10335</t>
  </si>
  <si>
    <t>TPM2;THBS1;TCF4;PLN;ACTG2;TAGLN;CALD1;MYLK;PODN;MRGPRF;TMEM47;MRVI1</t>
  </si>
  <si>
    <t>http://www.broadinstitute.org/gsea/msigdb/cards/CCAWWNAAGG_SRF_Q4.html</t>
  </si>
  <si>
    <t>389136;4211;8038;26585;9242;1634;3624;7043;1462;6925;2668;3339;800;4035;11167;22795;4638;23090;27295;29951;54796;148113;23213;55068;2259;116535;25925;83872;54587;25769;90627;10335</t>
  </si>
  <si>
    <t>VGLL3;MEIS1;ADAM12;GREM1;MSC;DCN;INHBA;TGFB3;VCAN;TCF4;GDNF;HSPG2;CALD1;LRP1;FSTL1;NID2;MYLK;ZNF423;PDLIM3;PDZRN4;BNC2;CILP2;SULF1;ENOX1;FGF14;MRGPRF;ZNF521;HMCN1;MXRA8;SLC24A2;STARD13;MRVI1</t>
  </si>
  <si>
    <t>RP58_01</t>
  </si>
  <si>
    <t>8522;8483;9945;11248;9509;1281;7043;2252;1307;4052;5118;389558;283298;127435;116535;83468</t>
  </si>
  <si>
    <t>AC005747.1;CILP;GFPT2;NXPH3;ADAMTS2;COL3A1;TGFB3;FGF7;COL16A1;LTBP1;PCOLCE;FAM180A;OLFML1;PODN;MRGPRF;GLT8D2</t>
  </si>
  <si>
    <t>http://www.broadinstitute.org/gsea/msigdb/cards/RP58_01.html</t>
  </si>
  <si>
    <t>1634;7043;1123;4320;2825;800;11167;2191;392490;57616;54796;89795;116535;25925;83872;51176;10335</t>
  </si>
  <si>
    <t>DCN;TGFB3;CHN1;MMP11;GPR1;CALD1;FSTL1;FAP;NHSL2;TSHZ3;BNC2;NAV3;MRGPRF;ZNF521;HMCN1;LEF1;MRVI1</t>
  </si>
  <si>
    <t>1513;953;5396;8991;1740;84898;29951;89795;253827;221091;8642;6910;84251;54587;10418;50507</t>
  </si>
  <si>
    <t>CTSK;ENTPD1;PRRX1;SELENBP1;DLG2;PLXDC2;PDZRN4;NAV3;MSRB3;LRRN4CL;DCHS1;TBX5;SGIP1;MXRA8;SPON1;NOX4</t>
  </si>
  <si>
    <t>4211;395;1842;8840;9358;3624;7043;1293;6925;5156;25802;5176;2668;3899;5396;72;6876;2191;1740;392490;6424;283298;84898;54796;10630;219699;84628;83872;54829;23194;27254;10335</t>
  </si>
  <si>
    <t>MEIS1;ARHGAP6;ECM2;CCN4;ITGBL1;INHBA;TGFB3;COL6A3;TCF4;PDGFRA;LMOD1;SERPINF1;GDNF;AFF3;PRRX1;ACTG2;TAGLN;FAP;DLG2;NHSL2;SFRP4;OLFML1;PLXDC2;BNC2;PDPN;UNC5B;NTNG2;HMCN1;ASPN;FBXL7;CSDC2;MRVI1</t>
  </si>
  <si>
    <t>TAATTA_CHX10_01</t>
  </si>
  <si>
    <t>395;9358;1277;5241;1634;3912;5156;953;3899;5396;1300;800;2191;23090;29951;54796;115701;55959;23213;253827;219699;131578;84628;2846;1303;84617;64084;25769;90627</t>
  </si>
  <si>
    <t>ARHGAP6;ITGBL1;COL1A1;PGR;DCN;LAMB1;PDGFRA;ENTPD1;AFF3;PRRX1;COL10A1;CALD1;FAP;ZNF423;PDZRN4;BNC2;ALPK2;SULF2;SULF1;MSRB3;UNC5B;LRRC15;NTNG2;LPAR4;COL12A1;TUBB6;CLSTN2;SLC24A2;STARD13</t>
  </si>
  <si>
    <t>http://www.broadinstitute.org/gsea/msigdb/cards/TAATTA_CHX10_01.html</t>
  </si>
  <si>
    <t>TGGNNNNNNKCCAR_UNKNOWN</t>
  </si>
  <si>
    <t>5159;1293;4015;25802;2191;5118;4921;29951;127435;253827;10234;221091;6444;1734;115908;84628;6423;9260;54551;90627;10335</t>
  </si>
  <si>
    <t>PDGFRB;COL6A3;LOX;LMOD1;FAP;PCOLCE;DDR2;PDZRN4;PODN;MSRB3;LRRC17;LRRN4CL;SGCD;DIO2;CTHRC1;NTNG2;SFRP2;PDLIM7;MAGEL2;STARD13;MRVI1</t>
  </si>
  <si>
    <t>http://www.broadinstitute.org/gsea/msigdb/cards/TGGNNNNNNKCCAR_UNKNOWN.html</t>
  </si>
  <si>
    <t>5352;4211;8522;8633;9358;1293;5156;1264;81792;6876;800;4035;4052;1740;4638;51334;57616;29951;23213;253827;221091;25925;4675;54587;23452;90627</t>
  </si>
  <si>
    <t>PLOD2;MEIS1;AC005747.1;UNC5C;ITGBL1;COL6A3;PDGFRA;CNN1;ADAMTS12;TAGLN;CALD1;LRP1;LTBP1;DLG2;MYLK;PRR16;TSHZ3;PDZRN4;SULF1;MSRB3;LRRN4CL;ZNF521;NAP1L3;MXRA8;ANGPTL2;STARD13</t>
  </si>
  <si>
    <t>8038;1277;1281;1290;4313;5159;1301;1293;50509;894;2200;1306;5549;4237;1307;9644;79070;89795;1734;83872;4675;84662;10000</t>
  </si>
  <si>
    <t>ADAM12;COL1A1;COL3A1;COL5A2;MMP2;PDGFRB;COL11A1;COL6A3;COL5A3;CCND2;FBN1;COL15A1;PRELP;MFAP2;COL16A1;SH3PXD2A;POGLUT2;NAV3;DIO2;HMCN1;NAP1L3;GLIS2;AKT3</t>
  </si>
  <si>
    <t>395;9242;1277;1634;3678;6678;7043;1293;1462;6925;50509;894;6935;953;5549;5396;81792;3339;4035;22795;1740;3779;338773;255189;257194;127435;387758;91179;8642;25925;6910;5919;79827;8877;90627;11117</t>
  </si>
  <si>
    <t>ARHGAP6;MSC;COL1A1;DCN;ITGA5;SPARC;TGFB3;COL6A3;VCAN;TCF4;COL5A3;CCND2;ZEB1;ENTPD1;PRELP;PRRX1;ADAMTS12;HSPG2;LRP1;NID2;DLG2;KCNMB1;TMEM119;PLA2G4F;NEGR1;PODN;FIBIN;SCARF2;DCHS1;ZNF521;TBX5;RARRES2;CLMP;SPHK1;STARD13;EMILIN1</t>
  </si>
  <si>
    <t>4211;3624;6925;5156;5176;2825;3899;5549;800;11167;8991;4052;1740;4638;3316;392490;57616;389558;89795;10234;27319;2259;4958;83700;54829;10000</t>
  </si>
  <si>
    <t>MEIS1;INHBA;TCF4;PDGFRA;SERPINF1;GPR1;AFF3;PRELP;CALD1;FSTL1;SELENBP1;LTBP1;DLG2;MYLK;HSPB2;NHSL2;TSHZ3;FAM180A;NAV3;LRRC17;BHLHE22;FGF14;OMD;JAM3;ASPN;AKT3</t>
  </si>
  <si>
    <t>OCT1_02</t>
  </si>
  <si>
    <t>389136;4211;395;1634;6925;4015;953;3899;4052;1740;29951;54796;25925;83700</t>
  </si>
  <si>
    <t>VGLL3;MEIS1;ARHGAP6;DCN;TCF4;LOX;ENTPD1;AFF3;LTBP1;DLG2;PDZRN4;BNC2;ZNF521;JAM3</t>
  </si>
  <si>
    <t>http://www.broadinstitute.org/gsea/msigdb/cards/OCT1_02.html</t>
  </si>
  <si>
    <t>2335;3624;7043;1123;6925;4035;1740;4638;29951;54796;23460;8642;6910;84251;9902</t>
  </si>
  <si>
    <t>FN1;INHBA;TGFB3;CHN1;TCF4;LRP1;DLG2;MYLK;PDZRN4;BNC2;ABCA6;DCHS1;TBX5;SGIP1;AC080038.1</t>
  </si>
  <si>
    <t>AAANWWTGC_UNKNOWN</t>
  </si>
  <si>
    <t>4211;2335;3624;5159;2252;4015;7058;1012;1740;4638;54796;6444;6423</t>
  </si>
  <si>
    <t>MEIS1;FN1;INHBA;PDGFRB;FGF7;LOX;THBS2;CDH13;DLG2;MYLK;BNC2;SGCD;SFRP2</t>
  </si>
  <si>
    <t>http://www.broadinstitute.org/gsea/msigdb/cards/AAANWWTGC_UNKNOWN.html</t>
  </si>
  <si>
    <t>SRF_01</t>
  </si>
  <si>
    <t>7041;7057;87;72;800;3779;57124;10335</t>
  </si>
  <si>
    <t>TGFB1I1;THBS1;ACTN1;ACTG2;CALD1;KCNMB1;CD248;MRVI1</t>
  </si>
  <si>
    <t>http://www.broadinstitute.org/gsea/msigdb/cards/SRF_01.html</t>
  </si>
  <si>
    <t>1634;4313;1462;6925;7077;2252;800;1740;23090;392490;389558;84898;29951;54796;55068;114757;25925;83872;1303;84251;83604</t>
  </si>
  <si>
    <t>DCN;MMP2;VCAN;TCF4;TIMP2;FGF7;CALD1;DLG2;ZNF423;NHSL2;FAM180A;PLXDC2;PDZRN4;BNC2;ENOX1;CYGB;ZNF521;HMCN1;COL12A1;SGIP1;TMEM47</t>
  </si>
  <si>
    <t>1634;3678;6935;953;5549;5396;81792;4035;338773;23213;27319;8642;84251;50944</t>
  </si>
  <si>
    <t>DCN;ITGA5;ZEB1;ENTPD1;PRELP;PRRX1;ADAMTS12;LRP1;TMEM119;SULF1;BHLHE22;DCHS1;SGIP1;SHANK1</t>
  </si>
  <si>
    <t>4211;8633;1277;1306;1264;72;1307;3316;115557;27319;2259;57124;11117;10335</t>
  </si>
  <si>
    <t>MEIS1;UNC5C;COL1A1;COL15A1;CNN1;ACTG2;COL16A1;HSPB2;ARHGEF25;BHLHE22;FGF14;CD248;EMILIN1;MRVI1</t>
  </si>
  <si>
    <t>1277;1290;7169;7057;6678;5159;5156;50509;2668;3339;1307;4035;2191;4638;255189;389558;29951;165904;127435;165;221091;131578;116535;115908;2846;4958;9843;83468;10000;90627</t>
  </si>
  <si>
    <t>COL1A1;COL5A2;TPM2;THBS1;SPARC;PDGFRB;PDGFRA;COL5A3;GDNF;HSPG2;COL16A1;LRP1;FAP;MYLK;PLA2G4F;FAM180A;PDZRN4;XIRP1;PODN;AEBP1;LRRN4CL;LRRC15;MRGPRF;CTHRC1;LPAR4;OMD;HEPH;GLT8D2;AKT3;STARD13</t>
  </si>
  <si>
    <t>9242;3624;7043;4015;3339;800;29951;83872;9843;25769;51176</t>
  </si>
  <si>
    <t>MSC;INHBA;TGFB3;LOX;HSPG2;CALD1;PDZRN4;HMCN1;HEPH;SLC24A2;LEF1</t>
  </si>
  <si>
    <t>CEBP_01</t>
  </si>
  <si>
    <t>389136;395;7057;5549;1012;4052;1740;57616;389558;54796;115557;387758;84251;23452</t>
  </si>
  <si>
    <t>VGLL3;ARHGAP6;THBS1;PRELP;CDH13;LTBP1;DLG2;TSHZ3;FAM180A;BNC2;ARHGEF25;FIBIN;SGIP1;ANGPTL2</t>
  </si>
  <si>
    <t>http://www.broadinstitute.org/gsea/msigdb/cards/CEBP_01.html</t>
  </si>
  <si>
    <t>5352;395;8840;1281;7043;3339;1307;2191;4921;54796;23213;55068;116535</t>
  </si>
  <si>
    <t>PLOD2;ARHGAP6;CCN4;COL3A1;TGFB3;HSPG2;COL16A1;FAP;DDR2;BNC2;SULF1;ENOX1;MRGPRF</t>
  </si>
  <si>
    <t>9358;6925;25802;2191;4052;1740;3316;389558;29951;89795;25925;54829;79827</t>
  </si>
  <si>
    <t>ITGBL1;TCF4;LMOD1;FAP;LTBP1;DLG2;HSPB2;FAM180A;PDZRN4;NAV3;ZNF521;ASPN;CLMP</t>
  </si>
  <si>
    <t>FOX_Q2</t>
  </si>
  <si>
    <t>389136;9358;7043;894;2668;2825;11167;392490;57616;389558;115908;83872</t>
  </si>
  <si>
    <t>VGLL3;ITGBL1;TGFB3;CCND2;GDNF;GPR1;FSTL1;NHSL2;TSHZ3;FAM180A;CTHRC1;HMCN1</t>
  </si>
  <si>
    <t>http://www.broadinstitute.org/gsea/msigdb/cards/FOX_Q2.html</t>
  </si>
  <si>
    <t>WWTAAGGC_UNKNOWN</t>
  </si>
  <si>
    <t>4211;1281;10398;1264;72;1740;4638;54796;116535;9260</t>
  </si>
  <si>
    <t>MEIS1;COL3A1;MYL9;CNN1;ACTG2;DLG2;MYLK;BNC2;MRGPRF;PDLIM7</t>
  </si>
  <si>
    <t>http://www.broadinstitute.org/gsea/msigdb/cards/WWTAAGGC_UNKNOWN.html</t>
  </si>
  <si>
    <t>1634;7169;3678;716;5739;3899;4035;2191;1740;23213;23460;2259;84617</t>
  </si>
  <si>
    <t>DCN;TPM2;ITGA5;C1S;PTGIR;AFF3;LRP1;FAP;DLG2;SULF1;ABCA6;FGF14;TUBB6</t>
  </si>
  <si>
    <t>NKX25_02</t>
  </si>
  <si>
    <t>7169;3624;2252;1513;5396;4035;4052;23090;29951;23213;164284;131578;1303</t>
  </si>
  <si>
    <t>TPM2;INHBA;FGF7;CTSK;PRRX1;LRP1;LTBP1;ZNF423;PDZRN4;SULF1;APCDD1L;LRRC15;COL12A1</t>
  </si>
  <si>
    <t>http://www.broadinstitute.org/gsea/msigdb/cards/NKX25_02.html</t>
  </si>
  <si>
    <t>HOXA4_Q2</t>
  </si>
  <si>
    <t>26585;9358;4323;5396;1300;2191;4052;1740;57616;29951;115701;91653;50944</t>
  </si>
  <si>
    <t>GREM1;ITGBL1;MMP14;PRRX1;COL10A1;FAP;LTBP1;DLG2;TSHZ3;PDZRN4;ALPK2;BOC;SHANK1</t>
  </si>
  <si>
    <t>http://www.broadinstitute.org/gsea/msigdb/cards/HOXA4_Q2.html</t>
  </si>
  <si>
    <t>25802;894;5396;8076;1740;3316;221091;387758;116535;128218;84251;83700</t>
  </si>
  <si>
    <t>LMOD1;CCND2;PRRX1;MFAP5;DLG2;HSPB2;LRRN4CL;FIBIN;MRGPRF;TMEM125;SGIP1;JAM3</t>
  </si>
  <si>
    <t>4211;1277;710;716;7043;1462;6925;6935;3899;5549;800;4052;151887;128218;147906;25960;6910;9843</t>
  </si>
  <si>
    <t>MEIS1;COL1A1;SERPING1;C1S;TGFB3;VCAN;TCF4;ZEB1;AFF3;PRELP;CALD1;LTBP1;CCDC80;TMEM125;DACT3;ADGRA2;TBX5;HEPH</t>
  </si>
  <si>
    <t>9358;1278;7043;1123;7077;5156;3908;4015;1513;4323;5396;81792;1740;3316;29951;165904;6444;115908;84628;4958;51339</t>
  </si>
  <si>
    <t>ITGBL1;COL1A2;TGFB3;CHN1;TIMP2;PDGFRA;LAMA2;LOX;CTSK;MMP14;PRRX1;ADAMTS12;DLG2;HSPB2;PDZRN4;XIRP1;SGCD;CTHRC1;NTNG2;OMD;DACT1</t>
  </si>
  <si>
    <t>389136;4211;3624;2252;953;2191;1740;8642;25925;9638;54829;56099</t>
  </si>
  <si>
    <t>VGLL3;MEIS1;INHBA;FGF7;ENTPD1;FAP;DLG2;DCHS1;ZNF521;FEZ1;ASPN;PCDHGB7</t>
  </si>
  <si>
    <t>WGGAATGY_TEF1_Q6</t>
  </si>
  <si>
    <t>26585;3624;6678;5156;50509;25802;11167;3316;221091;116535;128218;91179;84251;64094;51339</t>
  </si>
  <si>
    <t>GREM1;INHBA;SPARC;PDGFRA;COL5A3;LMOD1;FSTL1;HSPB2;LRRN4CL;MRGPRF;TMEM125;SCARF2;SGIP1;SMOC2;DACT1</t>
  </si>
  <si>
    <t>http://www.broadinstitute.org/gsea/msigdb/cards/WGGAATGY_TEF1_Q6.html</t>
  </si>
  <si>
    <t>S8_01</t>
  </si>
  <si>
    <t>4211;3912;5396;2199;800;23090;29951;55959;1734;64084;25769;22801</t>
  </si>
  <si>
    <t>MEIS1;LAMB1;PRRX1;FBLN2;CALD1;ZNF423;PDZRN4;SULF2;DIO2;CLSTN2;SLC24A2;ITGA11</t>
  </si>
  <si>
    <t>http://www.broadinstitute.org/gsea/msigdb/cards/S8_01.html</t>
  </si>
  <si>
    <t>5924;26585;2335;1123;2252;2668;1012;151887;115701;2259;25925;4675;64084</t>
  </si>
  <si>
    <t>RASGRF2;GREM1;FN1;CHN1;FGF7;GDNF;CDH13;CCDC80;ALPK2;FGF14;ZNF521;NAP1L3;CLSTN2</t>
  </si>
  <si>
    <t>5924;7169;5156;6935;5739;11167;1740;23090;57616;54796;23213;27319;55068;1303;84251;91653;50863;56099</t>
  </si>
  <si>
    <t>RASGRF2;TPM2;PDGFRA;ZEB1;PTGIR;FSTL1;DLG2;ZNF423;TSHZ3;BNC2;SULF1;BHLHE22;ENOX1;COL12A1;SGIP1;BOC;NTM;PCDHGB7</t>
  </si>
  <si>
    <t>26585;9242;87;7412;7292;5739;4035;23090;343450;84898;29951;54796</t>
  </si>
  <si>
    <t>GREM1;MSC;ACTN1;VCAM1;TNFSF4;PTGIR;LRP1;ZNF423;KCNT2;PLXDC2;PDZRN4;BNC2</t>
  </si>
  <si>
    <t>9945;8633;1123;6925;25802;4323;800;4035;4052;1740;392490;221091;147906;64094;50507</t>
  </si>
  <si>
    <t>GFPT2;UNC5C;CHN1;TCF4;LMOD1;MMP14;CALD1;LRP1;LTBP1;DLG2;NHSL2;LRRN4CL;DACT3;SMOC2;NOX4</t>
  </si>
  <si>
    <t>9945;9358;2252;6935;1012;5118;23090;389558;165904;219654</t>
  </si>
  <si>
    <t>GFPT2;ITGBL1;FGF7;ZEB1;CDH13;PCOLCE;ZNF423;FAM180A;XIRP1;ZCCHC24</t>
  </si>
  <si>
    <t>7043;1462;5156;894;5176;4921;57616;54796;23213;2259;9902;22801</t>
  </si>
  <si>
    <t>TGFB3;VCAN;PDGFRA;CCND2;SERPINF1;DDR2;TSHZ3;BNC2;SULF1;FGF14;AC080038.1;ITGA11</t>
  </si>
  <si>
    <t>CP2_01</t>
  </si>
  <si>
    <t>7041;26585;30008;1277;1278;5549;1264;800;51334;392490;8642;64084</t>
  </si>
  <si>
    <t>TGFB1I1;GREM1;EFEMP2;COL1A1;COL1A2;PRELP;CNN1;CALD1;PRR16;NHSL2;DCHS1;CLSTN2</t>
  </si>
  <si>
    <t>http://www.broadinstitute.org/gsea/msigdb/cards/CP2_01.html</t>
  </si>
  <si>
    <t>1634;2252;4015;1012;72;23090;392490;25903;343450;29951;151887;6423</t>
  </si>
  <si>
    <t>DCN;FGF7;LOX;CDH13;ACTG2;ZNF423;NHSL2;OLFML2B;KCNT2;PDZRN4;CCDC80;SFRP2</t>
  </si>
  <si>
    <t>4211;3624;1123;6925;1264;3339;800;8076;1740;4638;84898;79633;54796;25925</t>
  </si>
  <si>
    <t>MEIS1;INHBA;CHN1;TCF4;CNN1;HSPG2;CALD1;MFAP5;DLG2;MYLK;PLXDC2;FAT4;BNC2;ZNF521</t>
  </si>
  <si>
    <t>HEB_Q6</t>
  </si>
  <si>
    <t>8522;7043;25802;894;2825;72;1307;1740;4638;116535;84628;23452</t>
  </si>
  <si>
    <t>AC005747.1;TGFB3;LMOD1;CCND2;GPR1;ACTG2;COL16A1;DLG2;MYLK;MRGPRF;NTNG2;ANGPTL2</t>
  </si>
  <si>
    <t>http://www.broadinstitute.org/gsea/msigdb/cards/HEB_Q6.html</t>
  </si>
  <si>
    <t>8522;7169;6678;5159;7043;1293;87;5156;4882;7292;7058;2668;5739;1513;4237;800;11167;392490;255189;29951;151887;131578;6444;25960;57124;90627</t>
  </si>
  <si>
    <t>AC005747.1;TPM2;SPARC;PDGFRB;TGFB3;COL6A3;ACTN1;PDGFRA;NPR2;TNFSF4;THBS2;GDNF;PTGIR;CTSK;MFAP2;CALD1;FSTL1;NHSL2;PLA2G4F;PDZRN4;CCDC80;LRRC15;SGCD;ADGRA2;CD248;STARD13</t>
  </si>
  <si>
    <t>6925;5156;1513;5592;23090;392490;57616;2259;6423;4958;22801</t>
  </si>
  <si>
    <t>TCF4;PDGFRA;CTSK;PRKG1;ZNF423;NHSL2;TSHZ3;FGF14;SFRP2;OMD;ITGA11</t>
  </si>
  <si>
    <t>CDPCR3HD_01</t>
  </si>
  <si>
    <t>4211;710;1012;1307;1740;257194;1734;147906;84628;64084;11117</t>
  </si>
  <si>
    <t>MEIS1;SERPING1;CDH13;COL16A1;DLG2;NEGR1;DIO2;DACT3;NTNG2;CLSTN2;EMILIN1</t>
  </si>
  <si>
    <t>http://www.broadinstitute.org/gsea/msigdb/cards/CDPCR3HD_01.html</t>
  </si>
  <si>
    <t>SMAD3_Q6</t>
  </si>
  <si>
    <t>4211;2252;4015;7058;2191;4052;57616;2259;83872;9902;50944</t>
  </si>
  <si>
    <t>MEIS1;FGF7;LOX;THBS2;FAP;LTBP1;TSHZ3;FGF14;HMCN1;AC080038.1;SHANK1</t>
  </si>
  <si>
    <t>http://www.broadinstitute.org/gsea/msigdb/cards/SMAD3_Q6.html</t>
  </si>
  <si>
    <t>POU6F1_01</t>
  </si>
  <si>
    <t>389136;4211;1278;1513;11167;1740;29951;54796;221091;131578;84628</t>
  </si>
  <si>
    <t>VGLL3;MEIS1;COL1A2;CTSK;FSTL1;DLG2;PDZRN4;BNC2;LRRN4CL;LRRC15;NTNG2</t>
  </si>
  <si>
    <t>http://www.broadinstitute.org/gsea/msigdb/cards/POU6F1_01.html</t>
  </si>
  <si>
    <t>NKX62_Q2</t>
  </si>
  <si>
    <t>26585;5241;7043;5156;800;1740;29951;54796;253827;219699;6910</t>
  </si>
  <si>
    <t>GREM1;PGR;TGFB3;PDGFRA;CALD1;DLG2;PDZRN4;BNC2;MSRB3;UNC5B;TBX5</t>
  </si>
  <si>
    <t>http://www.broadinstitute.org/gsea/msigdb/cards/NKX62_Q2.html</t>
  </si>
  <si>
    <t>SMAD4_Q6</t>
  </si>
  <si>
    <t>11248;1278;6925;5156;4320;1012;800;4638;54796;23213;6910</t>
  </si>
  <si>
    <t>NXPH3;COL1A2;TCF4;PDGFRA;MMP11;CDH13;CALD1;MYLK;BNC2;SULF1;TBX5</t>
  </si>
  <si>
    <t>http://www.broadinstitute.org/gsea/msigdb/cards/SMAD4_Q6.html</t>
  </si>
  <si>
    <t>4323;5549;800;3910;392490;55068;10000</t>
  </si>
  <si>
    <t>MMP14;PRELP;CALD1;LAMA4;NHSL2;ENOX1;AKT3</t>
  </si>
  <si>
    <t>GATA3_01</t>
  </si>
  <si>
    <t>5739;5396;3339;2326;4035;54796;127435;1734;6910;84251;27254</t>
  </si>
  <si>
    <t>PTGIR;PRRX1;HSPG2;FMO1;LRP1;BNC2;PODN;DIO2;TBX5;SGIP1;CSDC2</t>
  </si>
  <si>
    <t>http://www.broadinstitute.org/gsea/msigdb/cards/GATA3_01.html</t>
  </si>
  <si>
    <t>1281;4313;7043;6925;894;5396;1307;4638;54796;2259;84251</t>
  </si>
  <si>
    <t>COL3A1;MMP2;TGFB3;TCF4;CCND2;PRRX1;COL16A1;MYLK;BNC2;FGF14;SGIP1</t>
  </si>
  <si>
    <t>TAL1BETAE47_01</t>
  </si>
  <si>
    <t>9358;710;4882;2252;3899;2191;4052;23213;27319;51176;90627</t>
  </si>
  <si>
    <t>ITGBL1;SERPING1;NPR2;FGF7;AFF3;FAP;LTBP1;SULF1;BHLHE22;LEF1;STARD13</t>
  </si>
  <si>
    <t>http://www.broadinstitute.org/gsea/msigdb/cards/TAL1BETAE47_01.html</t>
  </si>
  <si>
    <t>11248;9358;7043;4882;2252;3899;2191;4052;89795;23213;90627</t>
  </si>
  <si>
    <t>NXPH3;ITGBL1;TGFB3;NPR2;FGF7;AFF3;FAP;LTBP1;NAV3;SULF1;STARD13</t>
  </si>
  <si>
    <t>11248;7043;7292;4015;781;84898;29951;116535;25925;83872;54587</t>
  </si>
  <si>
    <t>NXPH3;TGFB3;TNFSF4;LOX;CACNA2D1;PLXDC2;PDZRN4;MRGPRF;ZNF521;HMCN1;MXRA8</t>
  </si>
  <si>
    <t>TAL1BETAITF2_01</t>
  </si>
  <si>
    <t>11248;9358;4882;3899;2191;4052;23213;27319;91179;51176;90627</t>
  </si>
  <si>
    <t>NXPH3;ITGBL1;NPR2;AFF3;FAP;LTBP1;SULF1;BHLHE22;SCARF2;LEF1;STARD13</t>
  </si>
  <si>
    <t>http://www.broadinstitute.org/gsea/msigdb/cards/TAL1BETAITF2_01.html</t>
  </si>
  <si>
    <t>AMEF2_Q6</t>
  </si>
  <si>
    <t>7169;7043;3899;5396;1740;29951;54796;165904;23460;27319;25769</t>
  </si>
  <si>
    <t>TPM2;TGFB3;AFF3;PRRX1;DLG2;PDZRN4;BNC2;XIRP1;ABCA6;BHLHE22;SLC24A2</t>
  </si>
  <si>
    <t>http://www.broadinstitute.org/gsea/msigdb/cards/AMEF2_Q6.html</t>
  </si>
  <si>
    <t>8434;2335;6935;3899;1009;4035;8076;9644;85360;257194;89795;23213;219654;84251;51339</t>
  </si>
  <si>
    <t>RECK;FN1;ZEB1;AFF3;CDH11;LRP1;MFAP5;SH3PXD2A;SYDE1;NEGR1;NAV3;SULF1;ZCCHC24;SGIP1;DACT1</t>
  </si>
  <si>
    <t>1634;4015;2668;1513;3316;27319;2846;84251;56849;90627;56099</t>
  </si>
  <si>
    <t>DCN;LOX;GDNF;CTSK;HSPB2;BHLHE22;LPAR4;SGIP1;TCEAL7;STARD13;PCDHGB7</t>
  </si>
  <si>
    <t>CTAWWWATA_RSRFC4_Q2</t>
  </si>
  <si>
    <t>7169;7077;7058;5396;1300;2191;1740;29951;54796;165904;115701;6444;2846</t>
  </si>
  <si>
    <t>TPM2;TIMP2;THBS2;PRRX1;COL10A1;FAP;DLG2;PDZRN4;BNC2;XIRP1;ALPK2;SGCD;LPAR4</t>
  </si>
  <si>
    <t>http://www.broadinstitute.org/gsea/msigdb/cards/CTAWWWATA_RSRFC4_Q2.html</t>
  </si>
  <si>
    <t>GFI1_01</t>
  </si>
  <si>
    <t>4211;26585;6925;1012;1740;4921;54796;116535;25925;56849;6320</t>
  </si>
  <si>
    <t>MEIS1;GREM1;TCF4;CDH13;DLG2;DDR2;BNC2;MRGPRF;ZNF521;TCEAL7;CLEC11A</t>
  </si>
  <si>
    <t>http://www.broadinstitute.org/gsea/msigdb/cards/GFI1_01.html</t>
  </si>
  <si>
    <t>5156;3899;5396;1012;2199;800;29951;55959;23213;56849;22801</t>
  </si>
  <si>
    <t>PDGFRA;AFF3;PRRX1;CDH13;FBLN2;CALD1;PDZRN4;SULF2;SULF1;TCEAL7;ITGA11</t>
  </si>
  <si>
    <t>XBP1_01</t>
  </si>
  <si>
    <t>6925;4323;5396;51334;392490;23213;128218;54551</t>
  </si>
  <si>
    <t>TCF4;MMP14;PRRX1;PRR16;NHSL2;SULF1;TMEM125;MAGEL2</t>
  </si>
  <si>
    <t>http://www.broadinstitute.org/gsea/msigdb/cards/XBP1_01.html</t>
  </si>
  <si>
    <t>OCT1_B</t>
  </si>
  <si>
    <t>389136;2978;2978;5396;1012;5592;1740;23090;2259;6423;29767</t>
  </si>
  <si>
    <t>VGLL3;GUCA1A;AL096814.2;PRRX1;CDH13;PRKG1;DLG2;ZNF423;FGF14;SFRP2;TMOD2</t>
  </si>
  <si>
    <t>http://www.broadinstitute.org/gsea/msigdb/cards/OCT1_B.html</t>
  </si>
  <si>
    <t>4211;2252;7292;953;5396;4052;54796;27319;2259;79827;23452</t>
  </si>
  <si>
    <t>MEIS1;FGF7;TNFSF4;ENTPD1;PRRX1;LTBP1;BNC2;BHLHE22;FGF14;CLMP;ANGPTL2</t>
  </si>
  <si>
    <t>AAAYRNCTG_UNKNOWN</t>
  </si>
  <si>
    <t>4211;8038;1278;5156;2668;5549;4052;29951;89795;221091;6444;25925;1303</t>
  </si>
  <si>
    <t>MEIS1;ADAM12;COL1A2;PDGFRA;GDNF;PRELP;LTBP1;PDZRN4;NAV3;LRRN4CL;SGCD;ZNF521;COL12A1</t>
  </si>
  <si>
    <t>http://www.broadinstitute.org/gsea/msigdb/cards/AAAYRNCTG_UNKNOWN.html</t>
  </si>
  <si>
    <t>1842;8633;1306;5592;257194;23213;2259;23208;25769;90627</t>
  </si>
  <si>
    <t>ECM2;UNC5C;COL15A1;PRKG1;NEGR1;SULF1;FGF14;SYT11;SLC24A2;STARD13</t>
  </si>
  <si>
    <t>AP2REP_01</t>
  </si>
  <si>
    <t>395;5176;800;1307;389558;29951;27319;83872;10335</t>
  </si>
  <si>
    <t>ARHGAP6;SERPINF1;CALD1;COL16A1;FAM180A;PDZRN4;BHLHE22;HMCN1;MRVI1</t>
  </si>
  <si>
    <t>http://www.broadinstitute.org/gsea/msigdb/cards/AP2REP_01.html</t>
  </si>
  <si>
    <t>5156;5396;800;1740;23090;29951;54796;253827;81832;131578</t>
  </si>
  <si>
    <t>PDGFRA;PRRX1;CALD1;DLG2;ZNF423;PDZRN4;BNC2;MSRB3;NETO1;LRRC15</t>
  </si>
  <si>
    <t>LEF1_Q2</t>
  </si>
  <si>
    <t>8038;1301;5396;1740;4921;10630;8642;83872;84251;10335</t>
  </si>
  <si>
    <t>ADAM12;COL11A1;PRRX1;DLG2;DDR2;PDPN;DCHS1;HMCN1;SGIP1;MRVI1</t>
  </si>
  <si>
    <t>http://www.broadinstitute.org/gsea/msigdb/cards/LEF1_Q2.html</t>
  </si>
  <si>
    <t>CCCNNNNNNAAGWT_UNKNOWN</t>
  </si>
  <si>
    <t>3624;3678;87;5156;3339;5351;3316</t>
  </si>
  <si>
    <t>INHBA;ITGA5;ACTN1;PDGFRA;HSPG2;PLOD1;HSPB2</t>
  </si>
  <si>
    <t>http://www.broadinstitute.org/gsea/msigdb/cards/CCCNNNNNNAAGWT_UNKNOWN.html</t>
  </si>
  <si>
    <t>5352;4211;8633;7057;5156;4052;27295;57616;29951;23213;51339</t>
  </si>
  <si>
    <t>PLOD2;MEIS1;UNC5C;THBS1;PDGFRA;LTBP1;PDLIM3;TSHZ3;PDZRN4;SULF1;DACT1</t>
  </si>
  <si>
    <t>5352;9945;2335;1462;5156;6935;22795;83468;10000</t>
  </si>
  <si>
    <t>PLOD2;GFPT2;FN1;VCAN;PDGFRA;ZEB1;NID2;GLT8D2;AKT3</t>
  </si>
  <si>
    <t>YTAATTAA_LHX3_01</t>
  </si>
  <si>
    <t>5396;23090;29951;54796;55959;23213;131578;1303;25769</t>
  </si>
  <si>
    <t>PRRX1;ZNF423;PDZRN4;BNC2;SULF2;SULF1;LRRC15;COL12A1;SLC24A2</t>
  </si>
  <si>
    <t>http://www.broadinstitute.org/gsea/msigdb/cards/YTAATTAA_LHX3_01.html</t>
  </si>
  <si>
    <t>26585;30008;5241;7412;894;5396;1740;4638;9902;50944</t>
  </si>
  <si>
    <t>GREM1;EFEMP2;PGR;VCAM1;CCND2;PRRX1;DLG2;MYLK;AC080038.1;SHANK1</t>
  </si>
  <si>
    <t>GCAAGGA_MIR502</t>
  </si>
  <si>
    <t>6444;1734;84251;84662;51176;10000</t>
  </si>
  <si>
    <t>SGCD;DIO2;SGIP1;GLIS2;LEF1;AKT3</t>
  </si>
  <si>
    <t>http://www.broadinstitute.org/gsea/msigdb/cards/GCAAGGA_MIR502.html</t>
  </si>
  <si>
    <t>TATA_C</t>
  </si>
  <si>
    <t>1277;5159;7043;6925;4015;25802;6876;4052;4638;89795;1734</t>
  </si>
  <si>
    <t>COL1A1;PDGFRB;TGFB3;TCF4;LOX;LMOD1;TAGLN;LTBP1;MYLK;NAV3;DIO2</t>
  </si>
  <si>
    <t>http://www.broadinstitute.org/gsea/msigdb/cards/TATA_C.html</t>
  </si>
  <si>
    <t>395;9509;7169;1293;5351;4035;2191;3316;84898;54796;83700;9254;90627;50944</t>
  </si>
  <si>
    <t>ARHGAP6;ADAMTS2;TPM2;COL6A3;PLOD1;LRP1;FAP;HSPB2;PLXDC2;BNC2;JAM3;CACNA2D2;STARD13;SHANK1</t>
  </si>
  <si>
    <t>4211;395;87;4323;4052;23090;114784;219654;83604;50863;90627</t>
  </si>
  <si>
    <t>MEIS1;ARHGAP6;ACTN1;MMP14;LTBP1;ZNF423;CSMD2;ZCCHC24;TMEM47;NTM;STARD13</t>
  </si>
  <si>
    <t>8522;1277;1281;1290;1278;5396;117248;10234;6444;6910;56917;23208;27122</t>
  </si>
  <si>
    <t>AC005747.1;COL1A1;COL3A1;COL5A2;COL1A2;PRRX1;GALNT15;LRRC17;SGCD;TBX5;MEIS3;SYT11;DKK3</t>
  </si>
  <si>
    <t>4211;26585;8840;7169;7043;1301;5156;1513;953;800;57616;29951;54796;89795;117248;1734;128218;6910;84251;64084</t>
  </si>
  <si>
    <t>MEIS1;GREM1;CCN4;TPM2;TGFB3;COL11A1;PDGFRA;CTSK;ENTPD1;CALD1;TSHZ3;PDZRN4;BNC2;NAV3;GALNT15;DIO2;TMEM125;TBX5;SGIP1;CLSTN2</t>
  </si>
  <si>
    <t>EN1_01</t>
  </si>
  <si>
    <t>395;26585;6925;5156;4323;1740;57616</t>
  </si>
  <si>
    <t>ARHGAP6;GREM1;TCF4;PDGFRA;MMP14;DLG2;TSHZ3</t>
  </si>
  <si>
    <t>http://www.broadinstitute.org/gsea/msigdb/cards/EN1_01.html</t>
  </si>
  <si>
    <t>9358;3678;894;5176;5739;23090;57616;27319;84251;23208</t>
  </si>
  <si>
    <t>ITGBL1;ITGA5;CCND2;SERPINF1;PTGIR;ZNF423;TSHZ3;BHLHE22;SGIP1;SYT11</t>
  </si>
  <si>
    <t>395;26585;9945;7169;6343;2252;1264;1012;11167;8076;1740;4638;54796;84628;8642;25960;6910;84251;91653;83716;51339;27254;10335</t>
  </si>
  <si>
    <t>ARHGAP6;GREM1;GFPT2;TPM2;SCT;FGF7;CNN1;CDH13;FSTL1;MFAP5;DLG2;MYLK;BNC2;NTNG2;DCHS1;ADGRA2;TBX5;SGIP1;BOC;CRISPLD2;DACT1;CSDC2;MRVI1</t>
  </si>
  <si>
    <t>GATA1_03</t>
  </si>
  <si>
    <t>26585;6935;1264;4052;5118;54796;165904;151887;6910;27254</t>
  </si>
  <si>
    <t>GREM1;ZEB1;CNN1;LTBP1;PCOLCE;BNC2;XIRP1;CCDC80;TBX5;CSDC2</t>
  </si>
  <si>
    <t>http://www.broadinstitute.org/gsea/msigdb/cards/GATA1_03.html</t>
  </si>
  <si>
    <t>11248;5159;7043;781;29951;116535;25925;83872;4958;90627</t>
  </si>
  <si>
    <t>NXPH3;PDGFRB;TGFB3;CACNA2D1;PDZRN4;MRGPRF;ZNF521;HMCN1;OMD;STARD13</t>
  </si>
  <si>
    <t>8633;2335;6678;4237;800;4035;11167;4638;23213;221091</t>
  </si>
  <si>
    <t>UNC5C;FN1;SPARC;MFAP2;CALD1;LRP1;FSTL1;MYLK;SULF1;LRRN4CL</t>
  </si>
  <si>
    <t>HSF2_01</t>
  </si>
  <si>
    <t>9509;7169;25802;5351;1307;3316;54796;6910;9254;50944</t>
  </si>
  <si>
    <t>ADAMTS2;TPM2;LMOD1;PLOD1;COL16A1;HSPB2;BNC2;TBX5;CACNA2D2;SHANK1</t>
  </si>
  <si>
    <t>http://www.broadinstitute.org/gsea/msigdb/cards/HSF2_01.html</t>
  </si>
  <si>
    <t>6343;894;800;4052;1740;29951;54796;9638;51176;10335</t>
  </si>
  <si>
    <t>SCT;CCND2;CALD1;LTBP1;DLG2;PDZRN4;BNC2;FEZ1;LEF1;MRVI1</t>
  </si>
  <si>
    <t>OCT1_05</t>
  </si>
  <si>
    <t>389136;1634;5396;23090;343450;54796;27319;2259;1303;29767</t>
  </si>
  <si>
    <t>VGLL3;DCN;PRRX1;ZNF423;KCNT2;BNC2;BHLHE22;FGF14;COL12A1;TMOD2</t>
  </si>
  <si>
    <t>http://www.broadinstitute.org/gsea/msigdb/cards/OCT1_05.html</t>
  </si>
  <si>
    <t>1842;1123;4015;1306;5592;23213;56849;23208;9902;25769</t>
  </si>
  <si>
    <t>ECM2;CHN1;LOX;COL15A1;PRKG1;SULF1;TCEAL7;SYT11;AC080038.1;SLC24A2</t>
  </si>
  <si>
    <t>4211;1842;4015;22795;1740;29951;54796;89795;8642;6910</t>
  </si>
  <si>
    <t>MEIS1;ECM2;LOX;NID2;DLG2;PDZRN4;BNC2;NAV3;DCHS1;TBX5</t>
  </si>
  <si>
    <t>4211;8434;50509;4015;4237;800;22795;3316;23090;89795;23452</t>
  </si>
  <si>
    <t>MEIS1;RECK;COL5A3;LOX;MFAP2;CALD1;NID2;HSPB2;ZNF423;NAV3;ANGPTL2</t>
  </si>
  <si>
    <t>30008;1513;4035;11167;3316;257194;23213;116535;25925;23452</t>
  </si>
  <si>
    <t>EFEMP2;CTSK;LRP1;FSTL1;HSPB2;NEGR1;SULF1;MRGPRF;ZNF521;ANGPTL2</t>
  </si>
  <si>
    <t>TEF_Q6</t>
  </si>
  <si>
    <t>9358;2252;5350;4015;1740;23090;27295;54796;83872;91653</t>
  </si>
  <si>
    <t>ITGBL1;FGF7;PLN;LOX;DLG2;ZNF423;PDLIM3;BNC2;HMCN1;BOC</t>
  </si>
  <si>
    <t>http://www.broadinstitute.org/gsea/msigdb/cards/TEF_Q6.html</t>
  </si>
  <si>
    <t>4211;1278;6925;2252;50509;25802;894;11245;4638;29951;54796;151887;84628;83468;50944</t>
  </si>
  <si>
    <t>MEIS1;COL1A2;TCF4;FGF7;COL5A3;LMOD1;CCND2;GPR176;MYLK;PDZRN4;BNC2;CCDC80;NTNG2;GLT8D2;SHANK1</t>
  </si>
  <si>
    <t>8840;1293;5350;1264;6876;4052;27295;221091;1734;116535;84251;54587;23452;90627;27254</t>
  </si>
  <si>
    <t>CCN4;COL6A3;PLN;CNN1;TAGLN;LTBP1;PDLIM3;LRRN4CL;DIO2;MRGPRF;SGIP1;MXRA8;ANGPTL2;STARD13;CSDC2</t>
  </si>
  <si>
    <t>8038;7057;1462;6925;6935;5549;4052;4921;165904;8642</t>
  </si>
  <si>
    <t>ADAM12;THBS1;VCAN;TCF4;ZEB1;PRELP;LTBP1;DDR2;XIRP1;DCHS1</t>
  </si>
  <si>
    <t>8522;8633;1277;87;5156;7412;1012;54796;257194;10000</t>
  </si>
  <si>
    <t>AC005747.1;UNC5C;COL1A1;ACTN1;PDGFRA;VCAM1;CDH13;BNC2;NEGR1;AKT3</t>
  </si>
  <si>
    <t>8038;26585;3624;7043;800;55068;116535;25925;4675;10335</t>
  </si>
  <si>
    <t>ADAM12;GREM1;INHBA;TGFB3;CALD1;ENOX1;MRGPRF;ZNF521;NAP1L3;MRVI1</t>
  </si>
  <si>
    <t>11248;8633;30008;7169;4035;3316;84898;257194;148113;51176</t>
  </si>
  <si>
    <t>NXPH3;UNC5C;EFEMP2;TPM2;LRP1;HSPB2;PLXDC2;NEGR1;CILP2;LEF1</t>
  </si>
  <si>
    <t>1301;6935;1012;4035;4052;1740;392490;115701;89795;23452</t>
  </si>
  <si>
    <t>COL11A1;ZEB1;CDH13;LRP1;LTBP1;DLG2;NHSL2;ALPK2;NAV3;ANGPTL2</t>
  </si>
  <si>
    <t>7292;1513;953;4323;29951;89795;253827;6910;84251;51339</t>
  </si>
  <si>
    <t>TNFSF4;CTSK;ENTPD1;MMP14;PDZRN4;NAV3;MSRB3;TBX5;SGIP1;DACT1</t>
  </si>
  <si>
    <t>LMO2COM_01</t>
  </si>
  <si>
    <t>8038;7043;2252;894;1740;54796;27319;25925;1303;90627</t>
  </si>
  <si>
    <t>ADAM12;TGFB3;FGF7;CCND2;DLG2;BNC2;BHLHE22;ZNF521;COL12A1;STARD13</t>
  </si>
  <si>
    <t>http://www.broadinstitute.org/gsea/msigdb/cards/LMO2COM_01.html</t>
  </si>
  <si>
    <t>395;26585;1462;2252;7292;4015;6935;5396;4052;4053;1740;4638;23090;57616;6424;54796;55959;23213;54112;10418;22801</t>
  </si>
  <si>
    <t>ARHGAP6;GREM1;VCAN;FGF7;TNFSF4;LOX;ZEB1;PRRX1;LTBP1;LTBP2;DLG2;MYLK;ZNF423;TSHZ3;SFRP4;BNC2;SULF2;SULF1;GPR88;SPON1;ITGA11</t>
  </si>
  <si>
    <t>TTAYRTAA_E4BP4_01</t>
  </si>
  <si>
    <t>8633;1306;5592;4638;257194;23213;253827;2259;25769;90627</t>
  </si>
  <si>
    <t>UNC5C;COL15A1;PRKG1;MYLK;NEGR1;SULF1;MSRB3;FGF14;SLC24A2;STARD13</t>
  </si>
  <si>
    <t>http://www.broadinstitute.org/gsea/msigdb/cards/TTAYRTAA_E4BP4_01.html</t>
  </si>
  <si>
    <t>OCT1_01</t>
  </si>
  <si>
    <t>389136;5159;6925;2978;2978;72;5592;23090;29951;6423</t>
  </si>
  <si>
    <t>VGLL3;PDGFRB;TCF4;GUCA1A;AL096814.2;ACTG2;PRKG1;ZNF423;PDZRN4;SFRP2</t>
  </si>
  <si>
    <t>http://www.broadinstitute.org/gsea/msigdb/cards/OCT1_01.html</t>
  </si>
  <si>
    <t>NFAT_Q4_01</t>
  </si>
  <si>
    <t>5352;8522;1513;3339;57616;29951;54796;6444;2259;116535</t>
  </si>
  <si>
    <t>PLOD2;AC005747.1;CTSK;HSPG2;TSHZ3;PDZRN4;BNC2;SGCD;FGF14;MRGPRF</t>
  </si>
  <si>
    <t>http://www.broadinstitute.org/gsea/msigdb/cards/NFAT_Q4_01.html</t>
  </si>
  <si>
    <t>395;9509;7169;2191;57616;84898;54796;83700;9254;50944</t>
  </si>
  <si>
    <t>ARHGAP6;ADAMTS2;TPM2;FAP;TSHZ3;PLXDC2;BNC2;JAM3;CACNA2D2;SHANK1</t>
  </si>
  <si>
    <t>NCX_01</t>
  </si>
  <si>
    <t>395;4323;1740;29951;253827;387758;2846;9254</t>
  </si>
  <si>
    <t>ARHGAP6;MMP14;DLG2;PDZRN4;MSRB3;FIBIN;LPAR4;CACNA2D2</t>
  </si>
  <si>
    <t>http://www.broadinstitute.org/gsea/msigdb/cards/NCX_01.html</t>
  </si>
  <si>
    <t>CACCCBINDINGFACTOR_Q6</t>
  </si>
  <si>
    <t>4211;30008;3678;716;6876;4035;23213;91653;54551;27254</t>
  </si>
  <si>
    <t>MEIS1;EFEMP2;ITGA5;C1S;TAGLN;LRP1;SULF1;BOC;MAGEL2;CSDC2</t>
  </si>
  <si>
    <t>http://www.broadinstitute.org/gsea/msigdb/cards/CACCCBINDINGFACTOR_Q6.html</t>
  </si>
  <si>
    <t>1281;7057;800;1740;389558;29951;54796;151887;259232;219654;27319;90627</t>
  </si>
  <si>
    <t>COL3A1;THBS1;CALD1;DLG2;FAM180A;PDZRN4;BNC2;CCDC80;NALCN;ZCCHC24;BHLHE22;STARD13</t>
  </si>
  <si>
    <t>GR_Q6</t>
  </si>
  <si>
    <t>3912;4015;2668;3899;5396;1740;23090;54796;257194;84168</t>
  </si>
  <si>
    <t>LAMB1;LOX;GDNF;AFF3;PRRX1;DLG2;ZNF423;BNC2;NEGR1;ANTXR1</t>
  </si>
  <si>
    <t>http://www.broadinstitute.org/gsea/msigdb/cards/GR_Q6.html</t>
  </si>
  <si>
    <t>HNF3B_01</t>
  </si>
  <si>
    <t>389136;3624;3899;800;57616;29951;55959;91179;25925</t>
  </si>
  <si>
    <t>VGLL3;INHBA;AFF3;CALD1;TSHZ3;PDZRN4;SULF2;SCARF2;ZNF521</t>
  </si>
  <si>
    <t>http://www.broadinstitute.org/gsea/msigdb/cards/HNF3B_01.html</t>
  </si>
  <si>
    <t>7292;4052;29951;89795;23213;114757;6910;84251;91653;51339</t>
  </si>
  <si>
    <t>TNFSF4;LTBP1;PDZRN4;NAV3;SULF1;CYGB;TBX5;SGIP1;BOC;DACT1</t>
  </si>
  <si>
    <t>26585;27295;51334;114784;6444;1734;83872;54112;23194</t>
  </si>
  <si>
    <t>GREM1;PDLIM3;PRR16;CSMD2;SGCD;DIO2;HMCN1;GPR88;FBXL7</t>
  </si>
  <si>
    <t>LHX3_01</t>
  </si>
  <si>
    <t>5396;2199;5592;57616;29951;55959;23213;219699;131578</t>
  </si>
  <si>
    <t>PRRX1;FBLN2;PRKG1;TSHZ3;PDZRN4;SULF2;SULF1;UNC5B;LRRC15</t>
  </si>
  <si>
    <t>http://www.broadinstitute.org/gsea/msigdb/cards/LHX3_01.html</t>
  </si>
  <si>
    <t>AP1_Q2_01</t>
  </si>
  <si>
    <t>1278;6925;2191;4921;389558;165904;116535;83872;10000;90627</t>
  </si>
  <si>
    <t>COL1A2;TCF4;FAP;DDR2;FAM180A;XIRP1;MRGPRF;HMCN1;AKT3;STARD13</t>
  </si>
  <si>
    <t>http://www.broadinstitute.org/gsea/msigdb/cards/AP1_Q2_01.html</t>
  </si>
  <si>
    <t>RNGTGGGC_UNKNOWN</t>
  </si>
  <si>
    <t>7041;11248;9509;30008;5159;894;5396;800;4035;11245;4053;5118;1740;392490;116535;6910;27254;50944</t>
  </si>
  <si>
    <t>TGFB1I1;NXPH3;ADAMTS2;EFEMP2;PDGFRB;CCND2;PRRX1;CALD1;LRP1;GPR176;LTBP2;PCOLCE;DLG2;NHSL2;MRGPRF;TBX5;CSDC2;SHANK1</t>
  </si>
  <si>
    <t>http://www.broadinstitute.org/gsea/msigdb/cards/RNGTGGGC_UNKNOWN.html</t>
  </si>
  <si>
    <t>8633;1306;5592;257194;23213;2259;23208;90627</t>
  </si>
  <si>
    <t>UNC5C;COL15A1;PRKG1;NEGR1;SULF1;FGF14;SYT11;STARD13</t>
  </si>
  <si>
    <t>1634;6925;5156;2191;5592;4053;4638;23090;56849</t>
  </si>
  <si>
    <t>DCN;TCF4;PDGFRA;FAP;PRKG1;LTBP2;MYLK;ZNF423;TCEAL7</t>
  </si>
  <si>
    <t>4211;2978;2978;3316;392490;2259;9638;84251;90627</t>
  </si>
  <si>
    <t>MEIS1;GUCA1A;AL096814.2;HSPB2;NHSL2;FGF14;FEZ1;SGIP1;STARD13</t>
  </si>
  <si>
    <t>NKX61_01</t>
  </si>
  <si>
    <t>6925;5156;2252;894;5396;29951;84628;6910;91653</t>
  </si>
  <si>
    <t>TCF4;PDGFRA;FGF7;CCND2;PRRX1;PDZRN4;NTNG2;TBX5;BOC</t>
  </si>
  <si>
    <t>http://www.broadinstitute.org/gsea/msigdb/cards/NKX61_01.html</t>
  </si>
  <si>
    <t>6925;2252;1300;4052;3490;23090;8642;6910;9638</t>
  </si>
  <si>
    <t>TCF4;FGF7;COL10A1;LTBP1;IGFBP7;ZNF423;DCHS1;TBX5;FEZ1</t>
  </si>
  <si>
    <t>MEF2_03</t>
  </si>
  <si>
    <t>7169;7077;7058;5396;1740;4638;54796;165904;115701</t>
  </si>
  <si>
    <t>TPM2;TIMP2;THBS2;PRRX1;DLG2;MYLK;BNC2;XIRP1;ALPK2</t>
  </si>
  <si>
    <t>http://www.broadinstitute.org/gsea/msigdb/cards/MEF2_03.html</t>
  </si>
  <si>
    <t>11248;8840;7043;3899;1012;800;2259;25925;90627</t>
  </si>
  <si>
    <t>NXPH3;CCN4;TGFB3;AFF3;CDH13;CALD1;FGF14;ZNF521;STARD13</t>
  </si>
  <si>
    <t>GATA1_04</t>
  </si>
  <si>
    <t>5156;1264;2326;800;54796;165904;151887;55068;6910</t>
  </si>
  <si>
    <t>PDGFRA;CNN1;FMO1;CALD1;BNC2;XIRP1;CCDC80;ENOX1;TBX5</t>
  </si>
  <si>
    <t>http://www.broadinstitute.org/gsea/msigdb/cards/GATA1_04.html</t>
  </si>
  <si>
    <t>TBP_01</t>
  </si>
  <si>
    <t>4211;9242;7169;1278;7058;1300;1740;54796;2846</t>
  </si>
  <si>
    <t>MEIS1;MSC;TPM2;COL1A2;THBS2;COL10A1;DLG2;BNC2;LPAR4</t>
  </si>
  <si>
    <t>http://www.broadinstitute.org/gsea/msigdb/cards/TBP_01.html</t>
  </si>
  <si>
    <t>5352;3678;5156;894;4345;1300;4052;9644;219654;54829</t>
  </si>
  <si>
    <t>PLOD2;ITGA5;PDGFRA;CCND2;CD200;COL10A1;LTBP1;SH3PXD2A;ZCCHC24;ASPN</t>
  </si>
  <si>
    <t>PAX8_B</t>
  </si>
  <si>
    <t>87;800;1740;54796;27319;1734</t>
  </si>
  <si>
    <t>ACTN1;CALD1;DLG2;BNC2;BHLHE22;DIO2</t>
  </si>
  <si>
    <t>http://www.broadinstitute.org/gsea/msigdb/cards/PAX8_B.html</t>
  </si>
  <si>
    <t>4211;8522;7292;5739;3339;22795;8639;84898;9902</t>
  </si>
  <si>
    <t>MEIS1;AC005747.1;TNFSF4;PTGIR;HSPG2;NID2;AOC3;PLXDC2;AC080038.1</t>
  </si>
  <si>
    <t>YATGNWAAT_OCT_C</t>
  </si>
  <si>
    <t>1634;6925;2668;5396;72;1740;343450;29951;151887;55068;6423</t>
  </si>
  <si>
    <t>DCN;TCF4;GDNF;PRRX1;ACTG2;DLG2;KCNT2;PDZRN4;CCDC80;ENOX1;SFRP2</t>
  </si>
  <si>
    <t>http://www.broadinstitute.org/gsea/msigdb/cards/YATGNWAAT_OCT_C.html</t>
  </si>
  <si>
    <t>YTAAYNGCT_UNKNOWN</t>
  </si>
  <si>
    <t>2252;894;1012;2191;23090;54796;1734</t>
  </si>
  <si>
    <t>FGF7;CCND2;CDH13;FAP;ZNF423;BNC2;DIO2</t>
  </si>
  <si>
    <t>http://www.broadinstitute.org/gsea/msigdb/cards/YTAAYNGCT_UNKNOWN.html</t>
  </si>
  <si>
    <t>4211;1634;5156;11167;1740;4921;2259;91653</t>
  </si>
  <si>
    <t>MEIS1;DCN;PDGFRA;FSTL1;DLG2;DDR2;FGF14;BOC</t>
  </si>
  <si>
    <t>HFH4_01</t>
  </si>
  <si>
    <t>389136;5156;1300;11167;23090;29951;23460;2259</t>
  </si>
  <si>
    <t>VGLL3;PDGFRA;COL10A1;FSTL1;ZNF423;PDZRN4;ABCA6;FGF14</t>
  </si>
  <si>
    <t>http://www.broadinstitute.org/gsea/msigdb/cards/HFH4_01.html</t>
  </si>
  <si>
    <t>389136;8825;2252;5396;1740;257194;1303;83604</t>
  </si>
  <si>
    <t>VGLL3;LIN7A;FGF7;PRRX1;DLG2;NEGR1;COL12A1;TMEM47</t>
  </si>
  <si>
    <t>1277;7169;800;57616;29951;6423;25925;4958;83468;25769;90627</t>
  </si>
  <si>
    <t>COL1A1;TPM2;CALD1;TSHZ3;PDZRN4;SFRP2;ZNF521;OMD;GLT8D2;SLC24A2;STARD13</t>
  </si>
  <si>
    <t>9358;6925;800;11167;89795;259232;83872;10418;90627</t>
  </si>
  <si>
    <t>ITGBL1;TCF4;CALD1;FSTL1;NAV3;NALCN;HMCN1;SPON1;STARD13</t>
  </si>
  <si>
    <t>HTF_01</t>
  </si>
  <si>
    <t>1278;5396;392490;57616;23208</t>
  </si>
  <si>
    <t>COL1A2;PRRX1;NHSL2;TSHZ3;SYT11</t>
  </si>
  <si>
    <t>http://www.broadinstitute.org/gsea/msigdb/cards/HTF_01.html</t>
  </si>
  <si>
    <t>PITX2_Q2</t>
  </si>
  <si>
    <t>2668;1009;4052;4638;283298;54796;23213;131578;9260</t>
  </si>
  <si>
    <t>GDNF;CDH11;LTBP1;MYLK;OLFML1;BNC2;SULF1;LRRC15;PDLIM7</t>
  </si>
  <si>
    <t>http://www.broadinstitute.org/gsea/msigdb/cards/PITX2_Q2.html</t>
  </si>
  <si>
    <t>4211;11248;5396;11167;3316;54796;27319;128218;50863</t>
  </si>
  <si>
    <t>MEIS1;NXPH3;PRRX1;FSTL1;HSPB2;BNC2;BHLHE22;TMEM125;NTM</t>
  </si>
  <si>
    <t>11248;7043;894;5396;4035;114757;2259;9902</t>
  </si>
  <si>
    <t>NXPH3;TGFB3;CCND2;PRRX1;LRP1;CYGB;FGF14;AC080038.1</t>
  </si>
  <si>
    <t>26585;5159;4060;5549;3339;1805;1740;3779;338773</t>
  </si>
  <si>
    <t>GREM1;PDGFRB;LUM;PRELP;HSPG2;DPT;DLG2;KCNMB1;TMEM119</t>
  </si>
  <si>
    <t>4211;1277;7043;2252;3899;800;22795;343450;90627</t>
  </si>
  <si>
    <t>MEIS1;COL1A1;TGFB3;FGF7;AFF3;CALD1;NID2;KCNT2;STARD13</t>
  </si>
  <si>
    <t>26585;1278;7043;2668;1740;3910;54796;128218;57124</t>
  </si>
  <si>
    <t>GREM1;COL1A2;TGFB3;GDNF;DLG2;LAMA4;BNC2;TMEM125;CD248</t>
  </si>
  <si>
    <t>389136;7043;3899;800;57616;89795;83872;10000</t>
  </si>
  <si>
    <t>VGLL3;TGFB3;AFF3;CALD1;TSHZ3;NAV3;HMCN1;AKT3</t>
  </si>
  <si>
    <t>5159;2200;1306;5396;11167;22795;6444;1734;115908;122786;1303;29940;90627</t>
  </si>
  <si>
    <t>PDGFRB;FBN1;COL15A1;PRRX1;FSTL1;NID2;SGCD;DIO2;CTHRC1;FRMD6;COL12A1;DSE;STARD13</t>
  </si>
  <si>
    <t>COMP1_01</t>
  </si>
  <si>
    <t>1277;800;1740;89795;147906;90627</t>
  </si>
  <si>
    <t>COL1A1;CALD1;DLG2;NAV3;DACT3;STARD13</t>
  </si>
  <si>
    <t>http://www.broadinstitute.org/gsea/msigdb/cards/COMP1_01.html</t>
  </si>
  <si>
    <t>7058;1740;3910;54796;1734;6910;4958;9843;9254</t>
  </si>
  <si>
    <t>THBS2;DLG2;LAMA4;BNC2;DIO2;TBX5;OMD;HEPH;CACNA2D2</t>
  </si>
  <si>
    <t>LYF1_01</t>
  </si>
  <si>
    <t>4211;5159;6925;1012;800;1740;54796;27254;50944</t>
  </si>
  <si>
    <t>MEIS1;PDGFRB;TCF4;CDH13;CALD1;DLG2;BNC2;CSDC2;SHANK1</t>
  </si>
  <si>
    <t>http://www.broadinstitute.org/gsea/msigdb/cards/LYF1_01.html</t>
  </si>
  <si>
    <t>CCCNNGGGAR_OLF1_01</t>
  </si>
  <si>
    <t>26585;1842;5396;4035;84898;29951;6423;57124;54551;90627</t>
  </si>
  <si>
    <t>GREM1;ECM2;PRRX1;LRP1;PLXDC2;PDZRN4;SFRP2;CD248;MAGEL2;STARD13</t>
  </si>
  <si>
    <t>http://www.broadinstitute.org/gsea/msigdb/cards/CCCNNGGGAR_OLF1_01.html</t>
  </si>
  <si>
    <t>3624;6925;11167;1740;4638;29951;54796;83700;9902</t>
  </si>
  <si>
    <t>INHBA;TCF4;FSTL1;DLG2;MYLK;PDZRN4;BNC2;JAM3;AC080038.1</t>
  </si>
  <si>
    <t>STAT5A_03</t>
  </si>
  <si>
    <t>389136;2335;87;6925;7058;3339;4035;84898;9843</t>
  </si>
  <si>
    <t>VGLL3;FN1;ACTN1;TCF4;THBS2;HSPG2;LRP1;PLXDC2;HEPH</t>
  </si>
  <si>
    <t>http://www.broadinstitute.org/gsea/msigdb/cards/STAT5A_03.html</t>
  </si>
  <si>
    <t>IK2_01</t>
  </si>
  <si>
    <t>87;6935;4035;4052;3316;6444;1303;54587;91653</t>
  </si>
  <si>
    <t>ACTN1;ZEB1;LRP1;LTBP1;HSPB2;SGCD;COL12A1;MXRA8;BOC</t>
  </si>
  <si>
    <t>http://www.broadinstitute.org/gsea/msigdb/cards/IK2_01.html</t>
  </si>
  <si>
    <t>CEBP_Q2_01</t>
  </si>
  <si>
    <t>9509;1634;800;5592;1740;57616;54796;23213;2259</t>
  </si>
  <si>
    <t>ADAMTS2;DCN;CALD1;PRKG1;DLG2;TSHZ3;BNC2;SULF1;FGF14</t>
  </si>
  <si>
    <t>http://www.broadinstitute.org/gsea/msigdb/cards/CEBP_Q2_01.html</t>
  </si>
  <si>
    <t>ARP1_01</t>
  </si>
  <si>
    <t>6678;7043;1307;1740;29951;25960;4958</t>
  </si>
  <si>
    <t>SPARC;TGFB3;COL16A1;DLG2;PDZRN4;ADGRA2;OMD</t>
  </si>
  <si>
    <t>http://www.broadinstitute.org/gsea/msigdb/cards/ARP1_01.html</t>
  </si>
  <si>
    <t>TAAWWATAG_RSRFC4_Q2</t>
  </si>
  <si>
    <t>1277;6925;5156;165904;115701;2846;56849</t>
  </si>
  <si>
    <t>COL1A1;TCF4;PDGFRA;XIRP1;ALPK2;LPAR4;TCEAL7</t>
  </si>
  <si>
    <t>http://www.broadinstitute.org/gsea/msigdb/cards/TAAWWATAG_RSRFC4_Q2.html</t>
  </si>
  <si>
    <t>AREB6_01</t>
  </si>
  <si>
    <t>5924;3899;1012;55068;128218;115908;6423;25960;9843</t>
  </si>
  <si>
    <t>RASGRF2;AFF3;CDH13;ENOX1;TMEM125;CTHRC1;SFRP2;ADGRA2;HEPH</t>
  </si>
  <si>
    <t>http://www.broadinstitute.org/gsea/msigdb/cards/AREB6_01.html</t>
  </si>
  <si>
    <t>ARGGGTTAA_UNKNOWN</t>
  </si>
  <si>
    <t>7041;8522;7412;392490;151887;128218</t>
  </si>
  <si>
    <t>TGFB1I1;AC005747.1;VCAM1;NHSL2;CCDC80;TMEM125</t>
  </si>
  <si>
    <t>http://www.broadinstitute.org/gsea/msigdb/cards/ARGGGTTAA_UNKNOWN.html</t>
  </si>
  <si>
    <t>1462;4882;85360;27319;84251</t>
  </si>
  <si>
    <t>VCAN;NPR2;SYDE1;BHLHE22;SGIP1</t>
  </si>
  <si>
    <t>4211;7043;6925;800;4638;29951;2259;25925</t>
  </si>
  <si>
    <t>MEIS1;TGFB3;TCF4;CALD1;MYLK;PDZRN4;FGF14;ZNF521</t>
  </si>
  <si>
    <t>8633;5396;800;219699</t>
  </si>
  <si>
    <t>UNC5C;PRRX1;CALD1;UNC5B</t>
  </si>
  <si>
    <t>7043;894;800;4052;27295;116535;23208;27254</t>
  </si>
  <si>
    <t>TGFB3;CCND2;CALD1;LTBP1;PDLIM3;MRGPRF;SYT11;CSDC2</t>
  </si>
  <si>
    <t>395;8522;3624;894;6695;1740;257194;25769;23452;10000</t>
  </si>
  <si>
    <t>ARHGAP6;AC005747.1;INHBA;CCND2;SPOCK1;DLG2;NEGR1;SLC24A2;ANGPTL2;AKT3</t>
  </si>
  <si>
    <t>389136;2335;6678;57616;10350</t>
  </si>
  <si>
    <t>VGLL3;FN1;SPARC;TSHZ3;ABCA9</t>
  </si>
  <si>
    <t>716;87;6935;5396;283298;54796;1734;79783</t>
  </si>
  <si>
    <t>C1S;ACTN1;ZEB1;PRRX1;OLFML1;BNC2;DIO2;SUGCT</t>
  </si>
  <si>
    <t>5924;8522;11248;7292;4638;283298;128218;90627</t>
  </si>
  <si>
    <t>RASGRF2;AC005747.1;NXPH3;TNFSF4;MYLK;OLFML1;TMEM125;STARD13</t>
  </si>
  <si>
    <t>5156;894;57616;29951;54796;55959;84251;64084</t>
  </si>
  <si>
    <t>PDGFRA;CCND2;TSHZ3;PDZRN4;BNC2;SULF2;SGIP1;CLSTN2</t>
  </si>
  <si>
    <t>26585;9242;894;3339;54796;151887</t>
  </si>
  <si>
    <t>GREM1;MSC;CCND2;HSPG2;BNC2;CCDC80</t>
  </si>
  <si>
    <t>6925;2668;3910;29951;23213;2259;1303;64094</t>
  </si>
  <si>
    <t>TCF4;GDNF;LAMA4;PDZRN4;SULF1;FGF14;COL12A1;SMOC2</t>
  </si>
  <si>
    <t>3912;6925;2191;29951;6444;84628;6910;22801</t>
  </si>
  <si>
    <t>LAMB1;TCF4;FAP;PDZRN4;SGCD;NTNG2;TBX5;ITGA11</t>
  </si>
  <si>
    <t>2335;6925;4015;2978;2978;953;1740;23090;392490;57616;89795;27319;83604;54112</t>
  </si>
  <si>
    <t>FN1;TCF4;LOX;GUCA1A;AL096814.2;ENTPD1;DLG2;ZNF423;NHSL2;TSHZ3;NAV3;BHLHE22;TMEM47;GPR88</t>
  </si>
  <si>
    <t>4211;1293;5176;29951;2259;6423;84251;64094</t>
  </si>
  <si>
    <t>MEIS1;COL6A3;SERPINF1;PDZRN4;FGF14;SFRP2;SGIP1;SMOC2</t>
  </si>
  <si>
    <t>3624;7058;23090;338773;29951;54796;1734;54112</t>
  </si>
  <si>
    <t>INHBA;THBS2;ZNF423;TMEM119;PDZRN4;BNC2;DIO2;GPR88</t>
  </si>
  <si>
    <t>389136;4211;26585;2200;6935;6387;6695;1740;23090;9644;57616</t>
  </si>
  <si>
    <t>VGLL3;MEIS1;GREM1;FBN1;ZEB1;CXCL12;SPOCK1;DLG2;ZNF423;SH3PXD2A;TSHZ3</t>
  </si>
  <si>
    <t>894;5396;9697;257194;89795;219654;6444;1303;84617;63895;9254;22801;10000</t>
  </si>
  <si>
    <t>CCND2;PRRX1;TRAM2;NEGR1;NAV3;ZCCHC24;SGCD;COL12A1;TUBB6;PIEZO2;CACNA2D2;ITGA11;AKT3</t>
  </si>
  <si>
    <t>OCT1_04</t>
  </si>
  <si>
    <t>389136;4211;1012;1740;29951;54796;4958;83700</t>
  </si>
  <si>
    <t>VGLL3;MEIS1;CDH13;DLG2;PDZRN4;BNC2;OMD;JAM3</t>
  </si>
  <si>
    <t>http://www.broadinstitute.org/gsea/msigdb/cards/OCT1_04.html</t>
  </si>
  <si>
    <t>4211;9509;7070;5159;5176;1012;1805;1740;57616;131578;6444;1734;2259;84251;23452;90627</t>
  </si>
  <si>
    <t>MEIS1;ADAMTS2;THY1;PDGFRB;SERPINF1;CDH13;DPT;DLG2;TSHZ3;LRRC15;SGCD;DIO2;FGF14;SGIP1;ANGPTL2;STARD13</t>
  </si>
  <si>
    <t>11248;1634;5396;4035;257194;8642;25925;79827</t>
  </si>
  <si>
    <t>NXPH3;DCN;PRRX1;LRP1;NEGR1;DCHS1;ZNF521;CLMP</t>
  </si>
  <si>
    <t>8038;1842;7057;5159;219654;27319;1734;83872</t>
  </si>
  <si>
    <t>ADAM12;ECM2;THBS1;PDGFRB;ZCCHC24;BHLHE22;DIO2;HMCN1</t>
  </si>
  <si>
    <t>4211;8038;9242;1842;6935;4921;89795</t>
  </si>
  <si>
    <t>MEIS1;ADAM12;MSC;ECM2;ZEB1;DDR2;NAV3</t>
  </si>
  <si>
    <t>HFH1_01</t>
  </si>
  <si>
    <t>3624;11167;1740;29951;83872;4958;83604;54587</t>
  </si>
  <si>
    <t>INHBA;FSTL1;DLG2;PDZRN4;HMCN1;OMD;TMEM47;MXRA8</t>
  </si>
  <si>
    <t>http://www.broadinstitute.org/gsea/msigdb/cards/HFH1_01.html</t>
  </si>
  <si>
    <t>FOXO4_01</t>
  </si>
  <si>
    <t>8038;9242;3624;7292;11167;2259;25925;9254</t>
  </si>
  <si>
    <t>ADAM12;MSC;INHBA;TNFSF4;FSTL1;FGF14;ZNF521;CACNA2D2</t>
  </si>
  <si>
    <t>http://www.broadinstitute.org/gsea/msigdb/cards/FOXO4_01.html</t>
  </si>
  <si>
    <t>87;6925;72;800;343450;29951;54796;81832</t>
  </si>
  <si>
    <t>ACTN1;TCF4;ACTG2;CALD1;KCNT2;PDZRN4;BNC2;NETO1</t>
  </si>
  <si>
    <t>1281;7043;4035;11167;283298;54796;1734;83872</t>
  </si>
  <si>
    <t>COL3A1;TGFB3;LRP1;FSTL1;OLFML1;BNC2;DIO2;HMCN1</t>
  </si>
  <si>
    <t>GCANCTGNY_MYOD_Q6</t>
  </si>
  <si>
    <t>8038;7169;5350;894;6935;1012;1740;392490;54796;165904;257194;115701;55068;25925;1303;51339;51176;27254</t>
  </si>
  <si>
    <t>ADAM12;TPM2;PLN;CCND2;ZEB1;CDH13;DLG2;NHSL2;BNC2;XIRP1;NEGR1;ALPK2;ENOX1;ZNF521;COL12A1;DACT1;LEF1;CSDC2</t>
  </si>
  <si>
    <t>http://www.broadinstitute.org/gsea/msigdb/cards/GCANCTGNY_MYOD_Q6.html</t>
  </si>
  <si>
    <t>389136;7043;1301;5396;89795;147906;115908;64094;9254;51176;23024</t>
  </si>
  <si>
    <t>VGLL3;TGFB3;COL11A1;PRRX1;NAV3;DACT3;CTHRC1;SMOC2;CACNA2D2;LEF1;PDZRN3</t>
  </si>
  <si>
    <t>389136;9358;7043;4015;4053;54796;81832;1734</t>
  </si>
  <si>
    <t>VGLL3;ITGBL1;TGFB3;LOX;LTBP2;BNC2;NETO1;DIO2</t>
  </si>
  <si>
    <t>FREAC7_01</t>
  </si>
  <si>
    <t>1740;57616;54796;83872;9638;54587;56849</t>
  </si>
  <si>
    <t>DLG2;TSHZ3;BNC2;HMCN1;FEZ1;MXRA8;TCEAL7</t>
  </si>
  <si>
    <t>http://www.broadinstitute.org/gsea/msigdb/cards/FREAC7_01.html</t>
  </si>
  <si>
    <t>T3R_Q6</t>
  </si>
  <si>
    <t>6343;2978;2978;338773;54796;6910;83716;9254</t>
  </si>
  <si>
    <t>SCT;GUCA1A;AL096814.2;TMEM119;BNC2;TBX5;CRISPLD2;CACNA2D2</t>
  </si>
  <si>
    <t>http://www.broadinstitute.org/gsea/msigdb/cards/T3R_Q6.html</t>
  </si>
  <si>
    <t>8522;6925;7292;6935;57616;25925;83700;51176</t>
  </si>
  <si>
    <t>AC005747.1;TCF4;TNFSF4;ZEB1;TSHZ3;ZNF521;JAM3;LEF1</t>
  </si>
  <si>
    <t>8522;1277;1281;1278;5156;10234</t>
  </si>
  <si>
    <t>AC005747.1;COL1A1;COL3A1;COL1A2;PDGFRA;LRRC17</t>
  </si>
  <si>
    <t>9945;1278;3678;2200;9697;9644;1303;79953;50507</t>
  </si>
  <si>
    <t>GFPT2;COL1A2;ITGA5;FBN1;TRAM2;SH3PXD2A;COL12A1;SYNDIG1;NOX4</t>
  </si>
  <si>
    <t>1842;7057;7043;894;1513;1740;151887;84251</t>
  </si>
  <si>
    <t>ECM2;THBS1;TGFB3;CCND2;CTSK;DLG2;CCDC80;SGIP1</t>
  </si>
  <si>
    <t>87;4320;800;4052;127435;148113;83604;90627</t>
  </si>
  <si>
    <t>ACTN1;MMP11;CALD1;LTBP1;PODN;CILP2;TMEM47;STARD13</t>
  </si>
  <si>
    <t>GATA_Q6</t>
  </si>
  <si>
    <t>5156;1264;2326;6910;84251;79953;27254</t>
  </si>
  <si>
    <t>PDGFRA;CNN1;FMO1;TBX5;SGIP1;SYNDIG1;CSDC2</t>
  </si>
  <si>
    <t>http://www.broadinstitute.org/gsea/msigdb/cards/GATA_Q6.html</t>
  </si>
  <si>
    <t>4015;5396;23090;29951;54796</t>
  </si>
  <si>
    <t>LOX;PRRX1;ZNF423;PDZRN4;BNC2</t>
  </si>
  <si>
    <t>TATA_01</t>
  </si>
  <si>
    <t>8483;1277;1264;1300;3316;27319;1734;9260</t>
  </si>
  <si>
    <t>CILP;COL1A1;CNN1;COL10A1;HSPB2;BHLHE22;DIO2;PDLIM7</t>
  </si>
  <si>
    <t>http://www.broadinstitute.org/gsea/msigdb/cards/TATA_01.html</t>
  </si>
  <si>
    <t>MYOGENIN_Q6</t>
  </si>
  <si>
    <t>1277;7043;25802;257194;127435;219654;128218;84251</t>
  </si>
  <si>
    <t>COL1A1;TGFB3;LMOD1;NEGR1;PODN;ZCCHC24;TMEM125;SGIP1</t>
  </si>
  <si>
    <t>http://www.broadinstitute.org/gsea/msigdb/cards/MYOGENIN_Q6.html</t>
  </si>
  <si>
    <t>2668;953;6876;800;4052;6444;8642;23208</t>
  </si>
  <si>
    <t>GDNF;ENTPD1;TAGLN;CALD1;LTBP1;SGCD;DCHS1;SYT11</t>
  </si>
  <si>
    <t>8522;7043;894;1740;4638;54796;115701;27254</t>
  </si>
  <si>
    <t>AC005747.1;TGFB3;CCND2;DLG2;MYLK;BNC2;ALPK2;CSDC2</t>
  </si>
  <si>
    <t>1301;5739;5592;83604</t>
  </si>
  <si>
    <t>COL11A1;PTGIR;PRKG1;TMEM47</t>
  </si>
  <si>
    <t>CDC5_01</t>
  </si>
  <si>
    <t>8825;7043;5396;800;1307;1740;29951;11117</t>
  </si>
  <si>
    <t>LIN7A;TGFB3;PRRX1;CALD1;COL16A1;DLG2;PDZRN4;EMILIN1</t>
  </si>
  <si>
    <t>http://www.broadinstitute.org/gsea/msigdb/cards/CDC5_01.html</t>
  </si>
  <si>
    <t>PAX2_02</t>
  </si>
  <si>
    <t>6925;4015;1300;11167;23460;6910;83468;9254</t>
  </si>
  <si>
    <t>TCF4;LOX;COL10A1;FSTL1;ABCA6;TBX5;GLT8D2;CACNA2D2</t>
  </si>
  <si>
    <t>http://www.broadinstitute.org/gsea/msigdb/cards/PAX2_02.html</t>
  </si>
  <si>
    <t>8434;2335;5549;84624;219654;23208;10699</t>
  </si>
  <si>
    <t>RECK;FN1;PRELP;FNDC1;ZCCHC24;SYT11;CORIN</t>
  </si>
  <si>
    <t>8840;4052;27295;1734;116535;84251;23208;27254</t>
  </si>
  <si>
    <t>CCN4;LTBP1;PDLIM3;DIO2;MRGPRF;SGIP1;SYT11;CSDC2</t>
  </si>
  <si>
    <t>TTCCGTT_MIR191</t>
  </si>
  <si>
    <t>894;219654;29767</t>
  </si>
  <si>
    <t>CCND2;ZCCHC24;TMOD2</t>
  </si>
  <si>
    <t>http://www.broadinstitute.org/gsea/msigdb/cards/TTCCGTT_MIR191.html</t>
  </si>
  <si>
    <t>389136;7077;5156;4323;800;5311;9644;54796;122786;64094;10000</t>
  </si>
  <si>
    <t>VGLL3;TIMP2;PDGFRA;MMP14;CALD1;PKD2;SH3PXD2A;BNC2;FRMD6;SMOC2;AKT3</t>
  </si>
  <si>
    <t>GATA2_01</t>
  </si>
  <si>
    <t>26585;11248;87;5156;4035</t>
  </si>
  <si>
    <t>GREM1;NXPH3;ACTN1;PDGFRA;LRP1</t>
  </si>
  <si>
    <t>http://www.broadinstitute.org/gsea/msigdb/cards/GATA2_01.html</t>
  </si>
  <si>
    <t>GR_01</t>
  </si>
  <si>
    <t>395;4015;2668;5396;10234;27319;11117</t>
  </si>
  <si>
    <t>ARHGAP6;LOX;GDNF;PRRX1;LRRC17;BHLHE22;EMILIN1</t>
  </si>
  <si>
    <t>http://www.broadinstitute.org/gsea/msigdb/cards/GR_01.html</t>
  </si>
  <si>
    <t>YAATNRNNNYNATT_UNKNOWN</t>
  </si>
  <si>
    <t>5176;1012;23090;54796;23213</t>
  </si>
  <si>
    <t>SERPINF1;CDH13;ZNF423;BNC2;SULF1</t>
  </si>
  <si>
    <t>http://www.broadinstitute.org/gsea/msigdb/cards/YAATNRNNNYNATT_UNKNOWN.html</t>
  </si>
  <si>
    <t>TTF1_Q6</t>
  </si>
  <si>
    <t>9945;7169;7057;6925;50509;54796;25925;57124</t>
  </si>
  <si>
    <t>GFPT2;TPM2;THBS1;TCF4;COL5A3;BNC2;ZNF521;CD248</t>
  </si>
  <si>
    <t>http://www.broadinstitute.org/gsea/msigdb/cards/TTF1_Q6.html</t>
  </si>
  <si>
    <t>389136;8522;2335;87;6925;7058;3339;84898</t>
  </si>
  <si>
    <t>VGLL3;AC005747.1;FN1;ACTN1;TCF4;THBS2;HSPG2;PLXDC2</t>
  </si>
  <si>
    <t>3624;1123;6925;25802;4323;5396;164284;6910</t>
  </si>
  <si>
    <t>INHBA;CHN1;TCF4;LMOD1;MMP14;PRRX1;APCDD1L;TBX5</t>
  </si>
  <si>
    <t>4211;395;6935;4035;4052;23090;23213</t>
  </si>
  <si>
    <t>MEIS1;ARHGAP6;ZEB1;LRP1;LTBP1;ZNF423;SULF1</t>
  </si>
  <si>
    <t>GGGYGTGNY_UNKNOWN</t>
  </si>
  <si>
    <t>7041;1278;6343;1293;6935;1012;51334;127435;2846;91653;83716;9260;54551;6320</t>
  </si>
  <si>
    <t>TGFB1I1;COL1A2;SCT;COL6A3;ZEB1;CDH13;PRR16;PODN;LPAR4;BOC;CRISPLD2;PDLIM7;MAGEL2;CLEC11A</t>
  </si>
  <si>
    <t>http://www.broadinstitute.org/gsea/msigdb/cards/GGGYGTGNY_UNKNOWN.html</t>
  </si>
  <si>
    <t>GATA_C</t>
  </si>
  <si>
    <t>1634;3678;1264;115701;2259;9843;79953;23194</t>
  </si>
  <si>
    <t>DCN;ITGA5;CNN1;ALPK2;FGF14;HEPH;SYNDIG1;FBXL7</t>
  </si>
  <si>
    <t>http://www.broadinstitute.org/gsea/msigdb/cards/GATA_C.html</t>
  </si>
  <si>
    <t>1513;27295;54796;23213;114757;6910;84251;91653</t>
  </si>
  <si>
    <t>CTSK;PDLIM3;BNC2;SULF1;CYGB;TBX5;SGIP1;BOC</t>
  </si>
  <si>
    <t>PR_Q2</t>
  </si>
  <si>
    <t>9358;5156;4015;5396;2326;29951;27319;9254</t>
  </si>
  <si>
    <t>ITGBL1;PDGFRA;LOX;PRRX1;FMO1;PDZRN4;BHLHE22;CACNA2D2</t>
  </si>
  <si>
    <t>http://www.broadinstitute.org/gsea/msigdb/cards/PR_Q2.html</t>
  </si>
  <si>
    <t>7077;5156;894;5396;800;5311;51334;9644;57616;54796;122786;64094;10000</t>
  </si>
  <si>
    <t>TIMP2;PDGFRA;CCND2;PRRX1;CALD1;PKD2;PRR16;SH3PXD2A;TSHZ3;BNC2;FRMD6;SMOC2;AKT3</t>
  </si>
  <si>
    <t>CDP_02</t>
  </si>
  <si>
    <t>4211;6925;894;29951;27319</t>
  </si>
  <si>
    <t>MEIS1;TCF4;CCND2;PDZRN4;BHLHE22</t>
  </si>
  <si>
    <t>http://www.broadinstitute.org/gsea/msigdb/cards/CDP_02.html</t>
  </si>
  <si>
    <t>HNF4_01</t>
  </si>
  <si>
    <t>6343;5176;1306;4035;84628;25960;6910;9260</t>
  </si>
  <si>
    <t>SCT;SERPINF1;COL15A1;LRP1;NTNG2;ADGRA2;TBX5;PDLIM7</t>
  </si>
  <si>
    <t>http://www.broadinstitute.org/gsea/msigdb/cards/HNF4_01.html</t>
  </si>
  <si>
    <t>26585;1462;1740;79883;2259;84628;91653;57124</t>
  </si>
  <si>
    <t>GREM1;VCAN;DLG2;PODNL1;FGF14;NTNG2;BOC;CD248</t>
  </si>
  <si>
    <t>OCT1_Q6</t>
  </si>
  <si>
    <t>389136;6925;5396;1740;2259;1303;83700;29767</t>
  </si>
  <si>
    <t>VGLL3;TCF4;PRRX1;DLG2;FGF14;COL12A1;JAM3;TMOD2</t>
  </si>
  <si>
    <t>http://www.broadinstitute.org/gsea/msigdb/cards/OCT1_Q6.html</t>
  </si>
  <si>
    <t>57616;54796;84251;83604;10000</t>
  </si>
  <si>
    <t>TSHZ3;BNC2;SGIP1;TMEM47;AKT3</t>
  </si>
  <si>
    <t>9945;4015;1300;1740;117248;2846;6320;10335</t>
  </si>
  <si>
    <t>GFPT2;LOX;COL10A1;DLG2;GALNT15;LPAR4;CLEC11A;MRVI1</t>
  </si>
  <si>
    <t>8483;87;6935;4035;4052;6444;1303;90627</t>
  </si>
  <si>
    <t>CILP;ACTN1;ZEB1;LRP1;LTBP1;SGCD;COL12A1;STARD13</t>
  </si>
  <si>
    <t>4320;4015;4323;3899;800;1740;23090;11117</t>
  </si>
  <si>
    <t>MMP11;LOX;MMP14;AFF3;CALD1;DLG2;ZNF423;EMILIN1</t>
  </si>
  <si>
    <t>5159;2668;3899;2199;1740;89795;6910</t>
  </si>
  <si>
    <t>PDGFRB;GDNF;AFF3;FBLN2;DLG2;NAV3;TBX5</t>
  </si>
  <si>
    <t>8522;1301;6387;4035;10699</t>
  </si>
  <si>
    <t>AC005747.1;COL11A1;CXCL12;LRP1;CORIN</t>
  </si>
  <si>
    <t>CHX10_01</t>
  </si>
  <si>
    <t>3899;5396;1740;23090;29951;2846;25769</t>
  </si>
  <si>
    <t>AFF3;PRRX1;DLG2;ZNF423;PDZRN4;LPAR4;SLC24A2</t>
  </si>
  <si>
    <t>http://www.broadinstitute.org/gsea/msigdb/cards/CHX10_01.html</t>
  </si>
  <si>
    <t>26585;7043;4323;4035;84898;147906;8642</t>
  </si>
  <si>
    <t>GREM1;TGFB3;MMP14;LRP1;PLXDC2;DACT3;DCHS1</t>
  </si>
  <si>
    <t>CAGNYGKNAAA_UNKNOWN</t>
  </si>
  <si>
    <t>3899;54796;64084;9254</t>
  </si>
  <si>
    <t>AFF3;BNC2;CLSTN2;CACNA2D2</t>
  </si>
  <si>
    <t>http://www.broadinstitute.org/gsea/msigdb/cards/CAGNYGKNAAA_UNKNOWN.html</t>
  </si>
  <si>
    <t>4211;6678;7043;2191;1740;54796;1734</t>
  </si>
  <si>
    <t>MEIS1;SPARC;TGFB3;FAP;DLG2;BNC2;DIO2</t>
  </si>
  <si>
    <t>MSX1_01</t>
  </si>
  <si>
    <t>3624;1293;7412;3899;10631;1740</t>
  </si>
  <si>
    <t>INHBA;COL6A3;VCAM1;AFF3;POSTN;DLG2</t>
  </si>
  <si>
    <t>http://www.broadinstitute.org/gsea/msigdb/cards/MSX1_01.html</t>
  </si>
  <si>
    <t>8840;4052;27295;1734;116535;84251;27254</t>
  </si>
  <si>
    <t>CCN4;LTBP1;PDLIM3;DIO2;MRGPRF;SGIP1;CSDC2</t>
  </si>
  <si>
    <t>GATAAGR_GATA_C</t>
  </si>
  <si>
    <t>2252;5350;2326;151887;6910;84251;9843;27254</t>
  </si>
  <si>
    <t>FGF7;PLN;FMO1;CCDC80;TBX5;SGIP1;HEPH;CSDC2</t>
  </si>
  <si>
    <t>http://www.broadinstitute.org/gsea/msigdb/cards/GATAAGR_GATA_C.html</t>
  </si>
  <si>
    <t>AR_Q2</t>
  </si>
  <si>
    <t>3624;4035;23090;57616;2259</t>
  </si>
  <si>
    <t>INHBA;LRP1;ZNF423;TSHZ3;FGF14</t>
  </si>
  <si>
    <t>http://www.broadinstitute.org/gsea/msigdb/cards/AR_Q2.html</t>
  </si>
  <si>
    <t>894;3899;800;257194;114757;83604;10000</t>
  </si>
  <si>
    <t>CCND2;AFF3;CALD1;NEGR1;CYGB;TMEM47;AKT3</t>
  </si>
  <si>
    <t>4320;894;1306;800;22795;90627</t>
  </si>
  <si>
    <t>MMP11;CCND2;COL15A1;CALD1;NID2;STARD13</t>
  </si>
  <si>
    <t>11248;4035;3316;127435;6910;1303;9260</t>
  </si>
  <si>
    <t>NXPH3;LRP1;HSPB2;PODN;TBX5;COL12A1;PDLIM7</t>
  </si>
  <si>
    <t>EVI1_04</t>
  </si>
  <si>
    <t>395;7292;4015;4035;1740;3316;29951</t>
  </si>
  <si>
    <t>ARHGAP6;TNFSF4;LOX;LRP1;DLG2;HSPB2;PDZRN4</t>
  </si>
  <si>
    <t>http://www.broadinstitute.org/gsea/msigdb/cards/EVI1_04.html</t>
  </si>
  <si>
    <t>8840;1301;1513;29951;116535;9843;57124</t>
  </si>
  <si>
    <t>CCN4;COL11A1;CTSK;PDZRN4;MRGPRF;HEPH;CD248</t>
  </si>
  <si>
    <t>9945;1462;1289;894;5396;4920;9697;4638;9644;257194;219654;4675;79827;51339</t>
  </si>
  <si>
    <t>GFPT2;VCAN;COL5A1;CCND2;PRRX1;ROR2;TRAM2;MYLK;SH3PXD2A;NEGR1;ZCCHC24;NAP1L3;CLMP;DACT1</t>
  </si>
  <si>
    <t>5156;2326;54796;10630;6910;84251;27254</t>
  </si>
  <si>
    <t>PDGFRA;FMO1;BNC2;PDPN;TBX5;SGIP1;CSDC2</t>
  </si>
  <si>
    <t>MEF2_Q6_01</t>
  </si>
  <si>
    <t>1277;7169;5156;81792;1740;54796;165904</t>
  </si>
  <si>
    <t>COL1A1;TPM2;PDGFRA;ADAMTS12;DLG2;BNC2;XIRP1</t>
  </si>
  <si>
    <t>http://www.broadinstitute.org/gsea/msigdb/cards/MEF2_Q6_01.html</t>
  </si>
  <si>
    <t>RSRFC4_01</t>
  </si>
  <si>
    <t>7077;5156;7058;1740;115701;56849;50944</t>
  </si>
  <si>
    <t>TIMP2;PDGFRA;THBS2;DLG2;ALPK2;TCEAL7;SHANK1</t>
  </si>
  <si>
    <t>http://www.broadinstitute.org/gsea/msigdb/cards/RSRFC4_01.html</t>
  </si>
  <si>
    <t>FOXO1_01</t>
  </si>
  <si>
    <t>3624;11167;3316;84898;2259;83872;54587</t>
  </si>
  <si>
    <t>INHBA;FSTL1;HSPB2;PLXDC2;FGF14;HMCN1;MXRA8</t>
  </si>
  <si>
    <t>http://www.broadinstitute.org/gsea/msigdb/cards/FOXO1_01.html</t>
  </si>
  <si>
    <t>7041;26585;4323;3339;1740;3779;338773</t>
  </si>
  <si>
    <t>TGFB1I1;GREM1;MMP14;HSPG2;DLG2;KCNMB1;TMEM119</t>
  </si>
  <si>
    <t>54796;55068;1734;6910;84251;90627;27254</t>
  </si>
  <si>
    <t>BNC2;ENOX1;DIO2;TBX5;SGIP1;STARD13;CSDC2</t>
  </si>
  <si>
    <t>7169;6925;5322;5396;4052;4921;151887;89795;23213;55068;56849;23452</t>
  </si>
  <si>
    <t>TPM2;TCF4;PLA2G5;PRRX1;LTBP1;DDR2;CCDC80;NAV3;SULF1;ENOX1;TCEAL7;ANGPTL2</t>
  </si>
  <si>
    <t>4211;8633;7057;83872;1303;9843;9254</t>
  </si>
  <si>
    <t>MEIS1;UNC5C;THBS1;HMCN1;COL12A1;HEPH;CACNA2D2</t>
  </si>
  <si>
    <t>CTGYNNCTYTAA_UNKNOWN</t>
  </si>
  <si>
    <t>84898;10630;387758;10335</t>
  </si>
  <si>
    <t>PLXDC2;PDPN;FIBIN;MRVI1</t>
  </si>
  <si>
    <t>http://www.broadinstitute.org/gsea/msigdb/cards/CTGYNNCTYTAA_UNKNOWN.html</t>
  </si>
  <si>
    <t>7043;7412;57616;255189;57124;22801;90627</t>
  </si>
  <si>
    <t>TGFB3;VCAM1;TSHZ3;PLA2G4F;CD248;ITGA11;STARD13</t>
  </si>
  <si>
    <t>TTTNNANAGCYR_UNKNOWN</t>
  </si>
  <si>
    <t>4211;6925;1264;1805;90627</t>
  </si>
  <si>
    <t>MEIS1;TCF4;CNN1;DPT;STARD13</t>
  </si>
  <si>
    <t>http://www.broadinstitute.org/gsea/msigdb/cards/TTTNNANAGCYR_UNKNOWN.html</t>
  </si>
  <si>
    <t>1842;7057;953;1740;1734;83872;84617</t>
  </si>
  <si>
    <t>ECM2;THBS1;ENTPD1;DLG2;DIO2;HMCN1;TUBB6</t>
  </si>
  <si>
    <t>4211;87;1306;1740;3316;54796;25925</t>
  </si>
  <si>
    <t>MEIS1;ACTN1;COL15A1;DLG2;HSPB2;BNC2;ZNF521</t>
  </si>
  <si>
    <t>1740;23090;29951;91179;64094;10418</t>
  </si>
  <si>
    <t>DLG2;ZNF423;PDZRN4;SCARF2;SMOC2;SPON1</t>
  </si>
  <si>
    <t>E47_02</t>
  </si>
  <si>
    <t>8038;7169;3899;5549;54796;219699;83872</t>
  </si>
  <si>
    <t>ADAM12;TPM2;AFF3;PRELP;BNC2;UNC5B;HMCN1</t>
  </si>
  <si>
    <t>http://www.broadinstitute.org/gsea/msigdb/cards/E47_02.html</t>
  </si>
  <si>
    <t>3899;1009;1012;9697;1740;27319;84168;23024</t>
  </si>
  <si>
    <t>AFF3;CDH11;CDH13;TRAM2;DLG2;BHLHE22;ANTXR1;PDZRN3</t>
  </si>
  <si>
    <t>26585;9242;87;7412;1307;343450;54796</t>
  </si>
  <si>
    <t>GREM1;MSC;ACTN1;VCAM1;COL16A1;KCNT2;BNC2</t>
  </si>
  <si>
    <t>STAT5A_01</t>
  </si>
  <si>
    <t>710;3908;2191;5118;23090;283298;84251</t>
  </si>
  <si>
    <t>SERPING1;LAMA2;FAP;PCOLCE;ZNF423;OLFML1;SGIP1</t>
  </si>
  <si>
    <t>http://www.broadinstitute.org/gsea/msigdb/cards/STAT5A_01.html</t>
  </si>
  <si>
    <t>1281;7043;894;1734;2259;9638;23208</t>
  </si>
  <si>
    <t>COL3A1;TGFB3;CCND2;DIO2;FGF14;FEZ1;SYT11</t>
  </si>
  <si>
    <t>9242;3678;7043;1462;4323;81792;4035</t>
  </si>
  <si>
    <t>MSC;ITGA5;TGFB3;VCAN;MMP14;ADAMTS12;LRP1</t>
  </si>
  <si>
    <t>HNF1_Q6</t>
  </si>
  <si>
    <t>5924;5156;894;6424;29951;55959;387758</t>
  </si>
  <si>
    <t>RASGRF2;PDGFRA;CCND2;SFRP4;PDZRN4;SULF2;FIBIN</t>
  </si>
  <si>
    <t>http://www.broadinstitute.org/gsea/msigdb/cards/HNF1_Q6.html</t>
  </si>
  <si>
    <t>GCAAGAC_MIR431</t>
  </si>
  <si>
    <t>81832;1303;9260</t>
  </si>
  <si>
    <t>NETO1;COL12A1;PDLIM7</t>
  </si>
  <si>
    <t>http://www.broadinstitute.org/gsea/msigdb/cards/GCAAGAC_MIR431.html</t>
  </si>
  <si>
    <t>6935;5549;343450;219654;8642;23208</t>
  </si>
  <si>
    <t>ZEB1;PRELP;KCNT2;ZCCHC24;DCHS1;SYT11</t>
  </si>
  <si>
    <t>7043;7292;5396;4035;4052;1740;6910</t>
  </si>
  <si>
    <t>TGFB3;TNFSF4;PRRX1;LRP1;LTBP1;DLG2;TBX5</t>
  </si>
  <si>
    <t>4211;395;7041;8522;9945;11248;9509;9358;30008;8434;1277;5241;7169;1278;87;1462;6925;50509;25802;2668;4323;1264;5396;4035;5118;3316;3490;64175;165904;219699;219654;81832;114757;116535;6910;1303;84251;64084;9260</t>
  </si>
  <si>
    <t>MEIS1;ARHGAP6;TGFB1I1;AC005747.1;GFPT2;NXPH3;ADAMTS2;ITGBL1;EFEMP2;RECK;COL1A1;PGR;TPM2;COL1A2;ACTN1;VCAN;TCF4;COL5A3;LMOD1;GDNF;MMP14;CNN1;PRRX1;LRP1;PCOLCE;HSPB2;IGFBP7;P3H1;XIRP1;UNC5B;ZCCHC24;NETO1;CYGB;MRGPRF;TBX5;COL12A1;SGIP1;CLSTN2;PDLIM7</t>
  </si>
  <si>
    <t>1281;5156;953;1740;29951;89795;27319</t>
  </si>
  <si>
    <t>COL3A1;PDGFRA;ENTPD1;DLG2;PDZRN4;NAV3;BHLHE22</t>
  </si>
  <si>
    <t>DBP_Q6</t>
  </si>
  <si>
    <t>3899;1264;800;1740;4638;57616;8642</t>
  </si>
  <si>
    <t>AFF3;CNN1;CALD1;DLG2;MYLK;TSHZ3;DCHS1</t>
  </si>
  <si>
    <t>http://www.broadinstitute.org/gsea/msigdb/cards/DBP_Q6.html</t>
  </si>
  <si>
    <t>MYOD_Q6_01</t>
  </si>
  <si>
    <t>392490;84251;54587;56849;64084;51176;22801</t>
  </si>
  <si>
    <t>NHSL2;SGIP1;MXRA8;TCEAL7;CLSTN2;LEF1;ITGA11</t>
  </si>
  <si>
    <t>http://www.broadinstitute.org/gsea/msigdb/cards/MYOD_Q6_01.html</t>
  </si>
  <si>
    <t>8522;11248;30008;3490;51334;6423;23452</t>
  </si>
  <si>
    <t>AC005747.1;NXPH3;EFEMP2;IGFBP7;PRR16;SFRP2;ANGPTL2</t>
  </si>
  <si>
    <t>AREB6_03</t>
  </si>
  <si>
    <t>8038;6935;1740;392490;1734;83872;90627</t>
  </si>
  <si>
    <t>ADAM12;ZEB1;DLG2;NHSL2;DIO2;HMCN1;STARD13</t>
  </si>
  <si>
    <t>http://www.broadinstitute.org/gsea/msigdb/cards/AREB6_03.html</t>
  </si>
  <si>
    <t>4052;23090;165904;221091;2259;116535;27254</t>
  </si>
  <si>
    <t>LTBP1;ZNF423;XIRP1;LRRN4CL;FGF14;MRGPRF;CSDC2</t>
  </si>
  <si>
    <t>710;3624;7043;5396;1740;2259;50863</t>
  </si>
  <si>
    <t>SERPING1;INHBA;TGFB3;PRRX1;DLG2;FGF14;NTM</t>
  </si>
  <si>
    <t>25802;4638;3779;389558;54796;27319;23452</t>
  </si>
  <si>
    <t>LMOD1;MYLK;KCNMB1;FAM180A;BNC2;BHLHE22;ANGPTL2</t>
  </si>
  <si>
    <t>NF1_Q6</t>
  </si>
  <si>
    <t>7412;72;23090;29951;84628;54829;54551</t>
  </si>
  <si>
    <t>VCAM1;ACTG2;ZNF423;PDZRN4;NTNG2;ASPN;MAGEL2</t>
  </si>
  <si>
    <t>http://www.broadinstitute.org/gsea/msigdb/cards/NF1_Q6.html</t>
  </si>
  <si>
    <t>395;8522;25802;3316;283298;10234;81832;54587</t>
  </si>
  <si>
    <t>ARHGAP6;AC005747.1;LMOD1;HSPB2;OLFML1;LRRC17;NETO1;MXRA8</t>
  </si>
  <si>
    <t>4052;392490;54796;89795;115908;6910;84251</t>
  </si>
  <si>
    <t>LTBP1;NHSL2;BNC2;NAV3;CTHRC1;TBX5;SGIP1</t>
  </si>
  <si>
    <t>8840;50509;4052;84251;51339;9902;27254</t>
  </si>
  <si>
    <t>CCN4;COL5A3;LTBP1;SGIP1;DACT1;AC080038.1;CSDC2</t>
  </si>
  <si>
    <t>BACH1_01</t>
  </si>
  <si>
    <t>6678;2668;2191;389558;131578;116535;10000</t>
  </si>
  <si>
    <t>SPARC;GDNF;FAP;FAM180A;LRRC15;MRGPRF;AKT3</t>
  </si>
  <si>
    <t>http://www.broadinstitute.org/gsea/msigdb/cards/BACH1_01.html</t>
  </si>
  <si>
    <t>HSF_Q6</t>
  </si>
  <si>
    <t>8522;5351;4052;3316;54587;57124</t>
  </si>
  <si>
    <t>AC005747.1;PLOD1;LTBP1;HSPB2;MXRA8;CD248</t>
  </si>
  <si>
    <t>http://www.broadinstitute.org/gsea/msigdb/cards/HSF_Q6.html</t>
  </si>
  <si>
    <t>HNF4_Q6</t>
  </si>
  <si>
    <t>3678;716;57616;23460;10234;6423;53345</t>
  </si>
  <si>
    <t>ITGA5;C1S;TSHZ3;ABCA6;LRRC17;SFRP2;TM6SF2</t>
  </si>
  <si>
    <t>http://www.broadinstitute.org/gsea/msigdb/cards/HNF4_Q6.html</t>
  </si>
  <si>
    <t>1277;87;5156;5592;1740;89795;6444;6423;63895</t>
  </si>
  <si>
    <t>COL1A1;ACTN1;PDGFRA;PRKG1;DLG2;NAV3;SGCD;SFRP2;PIEZO2</t>
  </si>
  <si>
    <t>MEIS1BHOXA9_01</t>
  </si>
  <si>
    <t>8633;7169;1012;392490;84251</t>
  </si>
  <si>
    <t>UNC5C;TPM2;CDH13;NHSL2;SGIP1</t>
  </si>
  <si>
    <t>http://www.broadinstitute.org/gsea/msigdb/cards/MEIS1BHOXA9_01.html</t>
  </si>
  <si>
    <t>3624;11167;27295;83872;54587;90627</t>
  </si>
  <si>
    <t>INHBA;FSTL1;PDLIM3;HMCN1;MXRA8;STARD13</t>
  </si>
  <si>
    <t>GATA6_01</t>
  </si>
  <si>
    <t>5156;5396;2326;4921;6910;84251;79953</t>
  </si>
  <si>
    <t>PDGFRA;PRRX1;FMO1;DDR2;TBX5;SGIP1;SYNDIG1</t>
  </si>
  <si>
    <t>http://www.broadinstitute.org/gsea/msigdb/cards/GATA6_01.html</t>
  </si>
  <si>
    <t>OCT_Q6</t>
  </si>
  <si>
    <t>389136;5396;1740;23090;2259;6423;29767</t>
  </si>
  <si>
    <t>VGLL3;PRRX1;DLG2;ZNF423;FGF14;SFRP2;TMOD2</t>
  </si>
  <si>
    <t>http://www.broadinstitute.org/gsea/msigdb/cards/OCT_Q6.html</t>
  </si>
  <si>
    <t>4015;6935;1513;5396;1740;29951;55959</t>
  </si>
  <si>
    <t>LOX;ZEB1;CTSK;PRRX1;DLG2;PDZRN4;SULF2</t>
  </si>
  <si>
    <t>4211;8483;6925;5396</t>
  </si>
  <si>
    <t>MEIS1;CILP;TCF4;PRRX1</t>
  </si>
  <si>
    <t>OCT_C</t>
  </si>
  <si>
    <t>5396;1740;343450;2259;6423;29767;29940</t>
  </si>
  <si>
    <t>PRRX1;DLG2;KCNT2;FGF14;SFRP2;TMOD2;DSE</t>
  </si>
  <si>
    <t>http://www.broadinstitute.org/gsea/msigdb/cards/OCT_C.html</t>
  </si>
  <si>
    <t>NF1_Q6_01</t>
  </si>
  <si>
    <t>4015;781;10631;29951;84628;6423;54829</t>
  </si>
  <si>
    <t>LOX;CACNA2D1;POSTN;PDZRN4;NTNG2;SFRP2;ASPN</t>
  </si>
  <si>
    <t>http://www.broadinstitute.org/gsea/msigdb/cards/NF1_Q6_01.html</t>
  </si>
  <si>
    <t>389136;87;1123;25802;4060;72;4921;29951;56849;64094</t>
  </si>
  <si>
    <t>VGLL3;ACTN1;CHN1;LMOD1;LUM;ACTG2;DDR2;PDZRN4;TCEAL7;SMOC2</t>
  </si>
  <si>
    <t>8522;3339;800;1740;117248;27319;10335</t>
  </si>
  <si>
    <t>AC005747.1;HSPG2;CALD1;DLG2;GALNT15;BHLHE22;MRVI1</t>
  </si>
  <si>
    <t>5156;11167;1740;83604;64084</t>
  </si>
  <si>
    <t>PDGFRA;FSTL1;DLG2;TMEM47;CLSTN2</t>
  </si>
  <si>
    <t>AP1_Q4</t>
  </si>
  <si>
    <t>5159;2191;389558;165904;131578;8642;10000</t>
  </si>
  <si>
    <t>PDGFRB;FAP;FAM180A;XIRP1;LRRC15;DCHS1;AKT3</t>
  </si>
  <si>
    <t>http://www.broadinstitute.org/gsea/msigdb/cards/AP1_Q4.html</t>
  </si>
  <si>
    <t>1634;5156;2668;151887;127435;51339;29767</t>
  </si>
  <si>
    <t>DCN;PDGFRA;GDNF;CCDC80;PODN;DACT1;TMOD2</t>
  </si>
  <si>
    <t>OCT1_Q5_01</t>
  </si>
  <si>
    <t>http://www.broadinstitute.org/gsea/msigdb/cards/OCT1_Q5_01.html</t>
  </si>
  <si>
    <t>6678;5739;392490;255189;115908;57124;90627</t>
  </si>
  <si>
    <t>SPARC;PTGIR;NHSL2;PLA2G4F;CTHRC1;CD248;STARD13</t>
  </si>
  <si>
    <t>AP1_C</t>
  </si>
  <si>
    <t>5159;2668;1307;11167;165904;221091;9843</t>
  </si>
  <si>
    <t>PDGFRB;GDNF;COL16A1;FSTL1;XIRP1;LRRN4CL;HEPH</t>
  </si>
  <si>
    <t>http://www.broadinstitute.org/gsea/msigdb/cards/AP1_C.html</t>
  </si>
  <si>
    <t>EGR_Q6</t>
  </si>
  <si>
    <t>7041;8633;30008;3316;165904;81832;90627</t>
  </si>
  <si>
    <t>TGFB1I1;UNC5C;EFEMP2;HSPB2;XIRP1;NETO1;STARD13</t>
  </si>
  <si>
    <t>http://www.broadinstitute.org/gsea/msigdb/cards/EGR_Q6.html</t>
  </si>
  <si>
    <t>RTTTNNNYTGGM_UNKNOWN</t>
  </si>
  <si>
    <t>800;4035;23090;151887;89795</t>
  </si>
  <si>
    <t>CALD1;LRP1;ZNF423;CCDC80;NAV3</t>
  </si>
  <si>
    <t>http://www.broadinstitute.org/gsea/msigdb/cards/RTTTNNNYTGGM_UNKNOWN.html</t>
  </si>
  <si>
    <t>395;4323;72;800;115701;1303;51339</t>
  </si>
  <si>
    <t>ARHGAP6;MMP14;ACTG2;CALD1;ALPK2;COL12A1;DACT1</t>
  </si>
  <si>
    <t>ACCTGTTG_UNKNOWN</t>
  </si>
  <si>
    <t>3624;5396;3910;117248;9902</t>
  </si>
  <si>
    <t>INHBA;PRRX1;LAMA4;GALNT15;AC080038.1</t>
  </si>
  <si>
    <t>http://www.broadinstitute.org/gsea/msigdb/cards/ACCTGTTG_UNKNOWN.html</t>
  </si>
  <si>
    <t>RSRFC4_Q2</t>
  </si>
  <si>
    <t>7169;7043;5156;7058;1740;54796</t>
  </si>
  <si>
    <t>TPM2;TGFB3;PDGFRA;THBS2;DLG2;BNC2</t>
  </si>
  <si>
    <t>http://www.broadinstitute.org/gsea/msigdb/cards/RSRFC4_Q2.html</t>
  </si>
  <si>
    <t>PAX6_01</t>
  </si>
  <si>
    <t>6925;5156;27319;50507</t>
  </si>
  <si>
    <t>TCF4;PDGFRA;BHLHE22;NOX4</t>
  </si>
  <si>
    <t>http://www.broadinstitute.org/gsea/msigdb/cards/PAX6_01.html</t>
  </si>
  <si>
    <t>5156;5351;89795;81832;84628;1303;51176</t>
  </si>
  <si>
    <t>PDGFRA;PLOD1;NAV3;NETO1;NTNG2;COL12A1;LEF1</t>
  </si>
  <si>
    <t>9644;23213;6444;83872;27254</t>
  </si>
  <si>
    <t>SH3PXD2A;SULF1;SGCD;HMCN1;CSDC2</t>
  </si>
  <si>
    <t>3624;1123;1009;4035;1740</t>
  </si>
  <si>
    <t>INHBA;CHN1;CDH11;LRP1;DLG2</t>
  </si>
  <si>
    <t>5156;3899;23090;63895;9260</t>
  </si>
  <si>
    <t>PDGFRA;AFF3;ZNF423;PIEZO2;PDLIM7</t>
  </si>
  <si>
    <t>5156;89795;81832;1303;63895;9254</t>
  </si>
  <si>
    <t>PDGFRA;NAV3;NETO1;COL12A1;PIEZO2;CACNA2D2</t>
  </si>
  <si>
    <t>1462;953;338773;219654;81832;2259</t>
  </si>
  <si>
    <t>VCAN;ENTPD1;TMEM119;ZCCHC24;NETO1;FGF14</t>
  </si>
  <si>
    <t>8633;3899;23024</t>
  </si>
  <si>
    <t>UNC5C;AFF3;PDZRN3</t>
  </si>
  <si>
    <t>800;4052;27295;2259;84251;51339;9902</t>
  </si>
  <si>
    <t>CALD1;LTBP1;PDLIM3;FGF14;SGIP1;DACT1;AC080038.1</t>
  </si>
  <si>
    <t>9945;8633;2191;9644;54796;219654;1734;122786;25960;83604;29767</t>
  </si>
  <si>
    <t>GFPT2;UNC5C;FAP;SH3PXD2A;BNC2;ZCCHC24;DIO2;FRMD6;ADGRA2;TMEM47;TMOD2</t>
  </si>
  <si>
    <t>AGTTCTC_MIR146A_MIR146B</t>
  </si>
  <si>
    <t>395;131578;53345</t>
  </si>
  <si>
    <t>ARHGAP6;LRRC15;TM6SF2</t>
  </si>
  <si>
    <t>http://www.broadinstitute.org/gsea/msigdb/cards/AGTTCTC_MIR146A_MIR146B.html</t>
  </si>
  <si>
    <t>GTGGGTGK_UNKNOWN</t>
  </si>
  <si>
    <t>395;11248;1634;6678;5396;4035;11167</t>
  </si>
  <si>
    <t>ARHGAP6;NXPH3;DCN;SPARC;PRRX1;LRP1;FSTL1</t>
  </si>
  <si>
    <t>http://www.broadinstitute.org/gsea/msigdb/cards/GTGGGTGK_UNKNOWN.html</t>
  </si>
  <si>
    <t>MEF2_02</t>
  </si>
  <si>
    <t>7169;7077;81792;1740;54796;115701</t>
  </si>
  <si>
    <t>TPM2;TIMP2;ADAMTS12;DLG2;BNC2;ALPK2</t>
  </si>
  <si>
    <t>http://www.broadinstitute.org/gsea/msigdb/cards/MEF2_02.html</t>
  </si>
  <si>
    <t>4211;23090;57616;1303</t>
  </si>
  <si>
    <t>MEIS1;ZNF423;TSHZ3;COL12A1</t>
  </si>
  <si>
    <t>ATF1_Q6</t>
  </si>
  <si>
    <t>8840;1277;2668;800;11245;1740</t>
  </si>
  <si>
    <t>CCN4;COL1A1;GDNF;CALD1;GPR176;DLG2</t>
  </si>
  <si>
    <t>http://www.broadinstitute.org/gsea/msigdb/cards/ATF1_Q6.html</t>
  </si>
  <si>
    <t>RYTAAWNNNTGAY_UNKNOWN</t>
  </si>
  <si>
    <t>1307;55959;259232</t>
  </si>
  <si>
    <t>COL16A1;SULF2;NALCN</t>
  </si>
  <si>
    <t>http://www.broadinstitute.org/gsea/msigdb/cards/RYTAAWNNNTGAY_UNKNOWN.html</t>
  </si>
  <si>
    <t>3671;1277;1281;2335;7070;710;1290;3912;7057;1278;4313;3624;6678;5159;716;1291;1292;1293;87;1462;6925;5156;633;4320;10398;4015;7058;2200;5176;6935;1306;1513;6387;4060;5549;1264;2619;4237;1009;59;72;7130;2199;6876;5351;800;1307;4035;6695;2191;2621;4052;4053;10631;5118;4638;3490;4921;51334;115701;10630;165;5654;25925;1303;5919;83604;83700;83716;10418;25878;9902;27122</t>
  </si>
  <si>
    <t>ISLR;COL1A1;COL3A1;FN1;THY1;SERPING1;COL5A2;LAMB1;THBS1;COL1A2;MMP2;INHBA;SPARC;PDGFRB;C1S;COL6A1;COL6A2;COL6A3;ACTN1;VCAN;TCF4;PDGFRA;BGN;MMP11;MYL9;LOX;THBS2;FBN1;SERPINF1;ZEB1;COL15A1;CTSK;CXCL12;LUM;PRELP;CNN1;GAS1;MFAP2;CDH11;ACTA2;ACTG2;TNFAIP6;FBLN2;TAGLN;PLOD1;CALD1;COL16A1;LRP1;SPOCK1;FAP;GAS6;LTBP1;LTBP2;POSTN;PCOLCE;MYLK;IGFBP7;DDR2;PRR16;ALPK2;PDPN;AEBP1;HTRA1;ZNF521;COL12A1;RARRES2;TMEM47;JAM3;CRISPLD2;SPON1;MXRA5;AC080038.1;DKK3</t>
  </si>
  <si>
    <t>MODULE_1</t>
  </si>
  <si>
    <t>1842;9945;1277;1281;2335;7070;1290;3912;7169;1278;5159;716;1291;1292;1293;87;7077;5156;1346;10398;25802;894;7058;2200;1306;4345;1513;6387;4060;1264;2619;4237;1009;72;3339;4920;800;1307;4035;7216;22795;4052;4053;9697;5118;4638;3316;3779;4921;8639;27295;10630;165;5919;83604;10418;9260;25878;23194;23452;57493;23024;11117</t>
  </si>
  <si>
    <t>ECM2;GFPT2;COL1A1;COL3A1;FN1;THY1;COL5A2;LAMB1;TPM2;COL1A2;PDGFRB;C1S;COL6A1;COL6A2;COL6A3;ACTN1;TIMP2;PDGFRA;COX7A1;MYL9;LMOD1;CCND2;THBS2;FBN1;COL15A1;CD200;CTSK;CXCL12;LUM;CNN1;GAS1;MFAP2;CDH11;ACTG2;HSPG2;ROR2;CALD1;COL16A1;LRP1;TRO;NID2;LTBP1;LTBP2;TRAM2;PCOLCE;MYLK;HSPB2;KCNMB1;DDR2;AOC3;PDLIM3;PDPN;AEBP1;RARRES2;TMEM47;SPON1;PDLIM7;MXRA5;FBXL7;ANGPTL2;HEG1;PDZRN3;EMILIN1</t>
  </si>
  <si>
    <t>http://www.broadinstitute.org/gsea/msigdb/cards/MODULE_1.html</t>
  </si>
  <si>
    <t>3671;8038;1842;9358;30008;1277;1281;2335;1290;3912;3678;1301;1291;1292;1293;7412;1289;633;3908;7058;2200;6387;1311;6356;5549;1012;1307;6695;8076;10631;3910;4921;8639;165;1303;4958</t>
  </si>
  <si>
    <t>ISLR;ADAM12;ECM2;ITGBL1;EFEMP2;COL1A1;COL3A1;FN1;COL5A2;LAMB1;ITGA5;COL11A1;COL6A1;COL6A2;COL6A3;VCAM1;COL5A1;BGN;LAMA2;THBS2;FBN1;CXCL12;COMP;CCL11;PRELP;CDH13;COL16A1;SPOCK1;MFAP5;POSTN;LAMA4;DDR2;AOC3;AEBP1;COL12A1;OMD</t>
  </si>
  <si>
    <t>2037;8522;1842;1281;2335;7070;3912;7169;1278;5159;716;1291;1292;1293;87;1346;10398;894;7058;2200;6935;1306;4345;6387;4060;1264;72;2199;3339;4035;4052;4053;5118;4638;3316;3910;8639;165;5919;83604;23208</t>
  </si>
  <si>
    <t>EPB41L2;AC005747.1;ECM2;COL3A1;FN1;THY1;LAMB1;TPM2;COL1A2;PDGFRB;C1S;COL6A1;COL6A2;COL6A3;ACTN1;COX7A1;MYL9;CCND2;THBS2;FBN1;ZEB1;COL15A1;CD200;CXCL12;LUM;CNN1;ACTG2;FBLN2;HSPG2;LRP1;LTBP1;LTBP2;PCOLCE;MYLK;HSPB2;LAMA4;AOC3;AEBP1;RARRES2;TMEM47;SYT11</t>
  </si>
  <si>
    <t>2037;1842;9945;1277;1281;2335;1290;1278;716;1301;1291;1292;1293;1462;5156;10398;4015;894;7058;6935;1306;2619;4237;3339;1307;4035;7216;10631;5118;4638;165;9638;5919;83604;23208;23194</t>
  </si>
  <si>
    <t>EPB41L2;ECM2;GFPT2;COL1A1;COL3A1;FN1;COL5A2;COL1A2;C1S;COL11A1;COL6A1;COL6A2;COL6A3;VCAN;PDGFRA;MYL9;LOX;CCND2;THBS2;ZEB1;COL15A1;GAS1;MFAP2;HSPG2;COL16A1;LRP1;TRO;POSTN;PCOLCE;MYLK;AEBP1;FEZ1;RARRES2;TMEM47;SYT11;FBXL7</t>
  </si>
  <si>
    <t>GNF2_PTX3</t>
  </si>
  <si>
    <t>5352;9945;1277;1281;1290;3912;1278;1289;4015;7058;2200;1009;5351;11167;2191;10234</t>
  </si>
  <si>
    <t>PLOD2;GFPT2;COL1A1;COL3A1;COL5A2;LAMB1;COL1A2;COL5A1;LOX;THBS2;FBN1;CDH11;PLOD1;FSTL1;FAP;LRRC17</t>
  </si>
  <si>
    <t>http://www.broadinstitute.org/gsea/msigdb/cards/GNF2_PTX3.html</t>
  </si>
  <si>
    <t>1277;1281;2335;1290;7169;1278;4313;3678;5159;1291;1292;1293;7077;5156;4320;10398;1306;2619;4237;72;2199;3339;4920;1805;4035;4052;4053;9697;5118;4638;3316;10630;5919;57493</t>
  </si>
  <si>
    <t>COL1A1;COL3A1;FN1;COL5A2;TPM2;COL1A2;MMP2;ITGA5;PDGFRB;COL6A1;COL6A2;COL6A3;TIMP2;PDGFRA;MMP11;MYL9;COL15A1;GAS1;MFAP2;ACTG2;FBLN2;HSPG2;ROR2;DPT;LRP1;LTBP1;LTBP2;TRAM2;PCOLCE;MYLK;HSPB2;PDPN;RARRES2;HEG1</t>
  </si>
  <si>
    <t>GNF2_CDH11</t>
  </si>
  <si>
    <t>9945;1277;1281;2335;1290;3912;1278;1291;1292;1289;7058;2200;1009;11167</t>
  </si>
  <si>
    <t>GFPT2;COL1A1;COL3A1;FN1;COL5A2;LAMB1;COL1A2;COL6A1;COL6A2;COL5A1;THBS2;FBN1;CDH11;FSTL1</t>
  </si>
  <si>
    <t>http://www.broadinstitute.org/gsea/msigdb/cards/GNF2_CDH11.html</t>
  </si>
  <si>
    <t>1281;2335;7169;7057;1278;5159;716;1291;1292;1293;87;1462;7077;5156;5225;1346;10398;4060;1009;3339;800;4053;10631;5118;4638;8639;5919;9254;57493;11117</t>
  </si>
  <si>
    <t>COL3A1;FN1;TPM2;THBS1;COL1A2;PDGFRB;C1S;COL6A1;COL6A2;COL6A3;ACTN1;VCAN;TIMP2;PDGFRA;PGC;COX7A1;MYL9;LUM;CDH11;HSPG2;CALD1;LTBP2;POSTN;PCOLCE;MYLK;AOC3;RARRES2;CACNA2D2;HEG1;EMILIN1</t>
  </si>
  <si>
    <t>11248;2335;7057;4313;6678;5159;7077;5156;7412;894;6387;6356;1012;7130;2191;2621;4638</t>
  </si>
  <si>
    <t>NXPH3;FN1;THBS1;MMP2;SPARC;PDGFRB;TIMP2;PDGFRA;VCAM1;CCND2;CXCL12;CCL11;CDH13;TNFAIP6;FAP;GAS6;MYLK</t>
  </si>
  <si>
    <t>MODULE_6</t>
  </si>
  <si>
    <t>1842;2335;7169;1278;5159;716;7043;1291;1292;1293;87;1346;10398;4060;1264;2619;72;2199;3339;4035;4052;5118;4638;3779;165;5919;25878</t>
  </si>
  <si>
    <t>ECM2;FN1;TPM2;COL1A2;PDGFRB;C1S;TGFB3;COL6A1;COL6A2;COL6A3;ACTN1;COX7A1;MYL9;LUM;CNN1;GAS1;ACTG2;FBLN2;HSPG2;LRP1;LTBP1;PCOLCE;MYLK;KCNMB1;AEBP1;RARRES2;MXRA5</t>
  </si>
  <si>
    <t>http://www.broadinstitute.org/gsea/msigdb/cards/MODULE_6.html</t>
  </si>
  <si>
    <t>1842;7169;1278;5159;716;1291;1292;1462;5156;1346;10398;894;1306;4060;3339;4920;11167;5118;3316;4921;8639;5919;25878;23194</t>
  </si>
  <si>
    <t>ECM2;TPM2;COL1A2;PDGFRB;C1S;COL6A1;COL6A2;VCAN;PDGFRA;COX7A1;MYL9;CCND2;COL15A1;LUM;HSPG2;ROR2;FSTL1;PCOLCE;HSPB2;DDR2;AOC3;RARRES2;MXRA5;FBXL7</t>
  </si>
  <si>
    <t>5352;7169;7057;3678;6678;1291;5156;1346;10398;6387;1311;781;5396;4237;59;7130;2199;3339;6876;800;4035;6695;4052;5118;3779;9638</t>
  </si>
  <si>
    <t>PLOD2;TPM2;THBS1;ITGA5;SPARC;COL6A1;PDGFRA;COX7A1;MYL9;CXCL12;COMP;CACNA2D1;PRRX1;MFAP2;ACTA2;TNFAIP6;FBLN2;HSPG2;TAGLN;CALD1;LRP1;SPOCK1;LTBP1;PCOLCE;KCNMB1;FEZ1</t>
  </si>
  <si>
    <t>9945;2335;710;1278;716;1291;1292;1293;87;1462;7077;5156;7412;1346;10398;894;6387;1311;6356;2619;4237;59;7130;3339;6876;5118;3490;25903;165;5919</t>
  </si>
  <si>
    <t>GFPT2;FN1;SERPING1;COL1A2;C1S;COL6A1;COL6A2;COL6A3;ACTN1;VCAN;TIMP2;PDGFRA;VCAM1;COX7A1;MYL9;CCND2;CXCL12;COMP;CCL11;GAS1;MFAP2;ACTA2;TNFAIP6;HSPG2;TAGLN;PCOLCE;IGFBP7;OLFML2B;AEBP1;RARRES2</t>
  </si>
  <si>
    <t>8038;6591;26585;1277;5159;1301;1293;5156;2252;3908;4320;2200;5176;4060;59;72;4920;5351;800;6695;4921;165;6910;9638</t>
  </si>
  <si>
    <t>ADAM12;SNAI2;GREM1;COL1A1;PDGFRB;COL11A1;COL6A3;PDGFRA;FGF7;LAMA2;MMP11;FBN1;SERPINF1;LUM;ACTA2;ACTG2;ROR2;PLOD1;CALD1;SPOCK1;DDR2;AEBP1;TBX5;FEZ1</t>
  </si>
  <si>
    <t>26585;1842;9945;1277;1281;2335;1290;7169;1278;4313;3678;716;1291;1292;1293;87;5156;5225;1346;4320;10398;894;6387;2619;4237;3339;4035;5118;4638;3779;165;6910;5919;23194</t>
  </si>
  <si>
    <t>GREM1;ECM2;GFPT2;COL1A1;COL3A1;FN1;COL5A2;TPM2;COL1A2;MMP2;ITGA5;C1S;COL6A1;COL6A2;COL6A3;ACTN1;PDGFRA;PGC;COX7A1;MMP11;MYL9;CCND2;CXCL12;GAS1;MFAP2;HSPG2;LRP1;PCOLCE;MYLK;KCNMB1;AEBP1;TBX5;RARRES2;FBXL7</t>
  </si>
  <si>
    <t>MODULE_234</t>
  </si>
  <si>
    <t>1277;3624;6678;1301;2200;1311;4060;5549;1300;10631;165;1303</t>
  </si>
  <si>
    <t>COL1A1;INHBA;SPARC;COL11A1;FBN1;COMP;LUM;PRELP;COL10A1;POSTN;AEBP1;COL12A1</t>
  </si>
  <si>
    <t>http://www.broadinstitute.org/gsea/msigdb/cards/MODULE_234.html</t>
  </si>
  <si>
    <t>30008;4313;6678;716;7058;2200;1311;4323;1012;2199;4035;11167;2621;4052;4053</t>
  </si>
  <si>
    <t>EFEMP2;MMP2;SPARC;C1S;THBS2;FBN1;COMP;MMP14;CDH13;FBLN2;LRP1;FSTL1;GAS6;LTBP1;LTBP2</t>
  </si>
  <si>
    <t>26585;1842;9945;1277;1281;2335;1290;7169;1278;4313;3678;716;1291;1292;1293;87;5156;5225;1346;10398;894;2619;4237;2199;3339;5118;4638;3779;165;6910;5919;23194</t>
  </si>
  <si>
    <t>GREM1;ECM2;GFPT2;COL1A1;COL3A1;FN1;COL5A2;TPM2;COL1A2;MMP2;ITGA5;C1S;COL6A1;COL6A2;COL6A3;ACTN1;PDGFRA;PGC;COX7A1;MYL9;CCND2;GAS1;MFAP2;FBLN2;HSPG2;PCOLCE;MYLK;KCNMB1;AEBP1;TBX5;RARRES2;FBXL7</t>
  </si>
  <si>
    <t>2335;7169;1278;5159;1291;1292;5156;1346;10398;894;1306;2619;2199;3339;4920;5118;3316;3779;6910;9638;5919</t>
  </si>
  <si>
    <t>FN1;TPM2;COL1A2;PDGFRB;COL6A1;COL6A2;PDGFRA;COX7A1;MYL9;CCND2;COL15A1;GAS1;FBLN2;HSPG2;ROR2;PCOLCE;HSPB2;KCNMB1;TBX5;FEZ1;RARRES2</t>
  </si>
  <si>
    <t>GNF2_MMP1</t>
  </si>
  <si>
    <t>5352;26585;9945;7058;2200;7130;5351;10234</t>
  </si>
  <si>
    <t>PLOD2;GREM1;GFPT2;THBS2;FBN1;TNFAIP6;PLOD1;LRRC17</t>
  </si>
  <si>
    <t>http://www.broadinstitute.org/gsea/msigdb/cards/GNF2_MMP1.html</t>
  </si>
  <si>
    <t>26585;1277;1281;2335;1290;1278;3678;716;1291;1292;1293;87;5156;4320;4237;3339;1805;4035;5118;3316;5919</t>
  </si>
  <si>
    <t>GREM1;COL1A1;COL3A1;FN1;COL5A2;COL1A2;ITGA5;C1S;COL6A1;COL6A2;COL6A3;ACTN1;PDGFRA;MMP11;MFAP2;HSPG2;DPT;LRP1;PCOLCE;HSPB2;RARRES2</t>
  </si>
  <si>
    <t>26585;9358;1277;2335;3678;716;1291;7077;5156;4320;10398;3339;4920;1805;4035;5118;3316;165;8642;6910;5919;23194</t>
  </si>
  <si>
    <t>GREM1;ITGBL1;COL1A1;FN1;ITGA5;C1S;COL6A1;TIMP2;PDGFRA;MMP11;MYL9;HSPG2;ROR2;DPT;LRP1;PCOLCE;HSPB2;AEBP1;DCHS1;TBX5;RARRES2;FBXL7</t>
  </si>
  <si>
    <t>MODULE_387</t>
  </si>
  <si>
    <t>8038;1293;3908;5350;59;72;800;165</t>
  </si>
  <si>
    <t>ADAM12;COL6A3;LAMA2;PLN;ACTA2;ACTG2;CALD1;AEBP1</t>
  </si>
  <si>
    <t>http://www.broadinstitute.org/gsea/msigdb/cards/MODULE_387.html</t>
  </si>
  <si>
    <t>MODULE_329</t>
  </si>
  <si>
    <t>http://www.broadinstitute.org/gsea/msigdb/cards/MODULE_329.html</t>
  </si>
  <si>
    <t>1281;1290;3912;6678;1293;1462;7058;1306;1311;4060;2619;59;8991</t>
  </si>
  <si>
    <t>COL3A1;COL5A2;LAMB1;SPARC;COL6A3;VCAN;THBS2;COL15A1;COMP;LUM;GAS1;ACTA2;SELENBP1</t>
  </si>
  <si>
    <t>5352;9945;2335;1290;3912;7169;7057;4313;87;5156;4015;894;2619;4237;3339;1300;800;25903</t>
  </si>
  <si>
    <t>PLOD2;GFPT2;FN1;COL5A2;LAMB1;TPM2;THBS1;MMP2;ACTN1;PDGFRA;LOX;CCND2;GAS1;MFAP2;HSPG2;COL10A1;CALD1;OLFML2B</t>
  </si>
  <si>
    <t>4313;716;5225;4320;1513;4323;2191;165;5654</t>
  </si>
  <si>
    <t>MMP2;C1S;PGC;MMP11;CTSK;MMP14;FAP;AEBP1;HTRA1</t>
  </si>
  <si>
    <t>5352;2335;1290;3912;7169;7057;87;7077;5156;4015;7058;2619;4237;3339;800;6695;9697;5118</t>
  </si>
  <si>
    <t>PLOD2;FN1;COL5A2;LAMB1;TPM2;THBS1;ACTN1;TIMP2;PDGFRA;LOX;THBS2;GAS1;MFAP2;HSPG2;CALD1;SPOCK1;TRAM2;PCOLCE</t>
  </si>
  <si>
    <t>2335;1278;716;1291;1292;1293;87;7412;1346;6387;2619;3339;1805;11167;51176</t>
  </si>
  <si>
    <t>FN1;COL1A2;C1S;COL6A1;COL6A2;COL6A3;ACTN1;VCAM1;COX7A1;CXCL12;GAS1;HSPG2;DPT;FSTL1;LEF1</t>
  </si>
  <si>
    <t>2335;1278;10398;5396;1009;5351;10631;4638</t>
  </si>
  <si>
    <t>FN1;COL1A2;MYL9;PRRX1;CDH11;PLOD1;POSTN;MYLK</t>
  </si>
  <si>
    <t>MODULE_100</t>
  </si>
  <si>
    <t>9945;1292;1462;5156;3908;1346;894;7058;1009;6695;7216;22795;4638;5654;4675;9638;83604;9254;23194</t>
  </si>
  <si>
    <t>GFPT2;COL6A2;VCAN;PDGFRA;LAMA2;COX7A1;CCND2;THBS2;CDH11;SPOCK1;TRO;NID2;MYLK;HTRA1;NAP1L3;FEZ1;TMEM47;CACNA2D2;FBXL7</t>
  </si>
  <si>
    <t>http://www.broadinstitute.org/gsea/msigdb/cards/MODULE_100.html</t>
  </si>
  <si>
    <t>MODULE_137</t>
  </si>
  <si>
    <t>http://www.broadinstitute.org/gsea/msigdb/cards/MODULE_137.html</t>
  </si>
  <si>
    <t>MODULE_66</t>
  </si>
  <si>
    <t>http://www.broadinstitute.org/gsea/msigdb/cards/MODULE_66.html</t>
  </si>
  <si>
    <t>7169;1278;5159;716;1292;1123;10398;1306;4237;2199;9697;5118;4638;165</t>
  </si>
  <si>
    <t>TPM2;COL1A2;PDGFRB;C1S;COL6A2;CHN1;MYL9;COL15A1;MFAP2;FBLN2;TRAM2;PCOLCE;MYLK;AEBP1</t>
  </si>
  <si>
    <t>MODULE_138</t>
  </si>
  <si>
    <t>5156;10398;1264;1009;2326;4920;2191;4638</t>
  </si>
  <si>
    <t>PDGFRA;MYL9;CNN1;CDH11;FMO1;ROR2;FAP;MYLK</t>
  </si>
  <si>
    <t>http://www.broadinstitute.org/gsea/msigdb/cards/MODULE_138.html</t>
  </si>
  <si>
    <t>MODULE_512</t>
  </si>
  <si>
    <t>8038;1293;5350;59;72;800</t>
  </si>
  <si>
    <t>ADAM12;COL6A3;PLN;ACTA2;ACTG2;CALD1</t>
  </si>
  <si>
    <t>http://www.broadinstitute.org/gsea/msigdb/cards/MODULE_512.html</t>
  </si>
  <si>
    <t>MODULE_562</t>
  </si>
  <si>
    <t>8038;4313;7077;4320;4323</t>
  </si>
  <si>
    <t>ADAM12;MMP2;TIMP2;MMP11;MMP14</t>
  </si>
  <si>
    <t>http://www.broadinstitute.org/gsea/msigdb/cards/MODULE_562.html</t>
  </si>
  <si>
    <t>5352;2335;3912;7169;7057;3678;87;4015;4237;3339;800;11167;4053;9697;9260</t>
  </si>
  <si>
    <t>PLOD2;FN1;LAMB1;TPM2;THBS1;ITGA5;ACTN1;LOX;MFAP2;HSPG2;CALD1;FSTL1;LTBP2;TRAM2;PDLIM7</t>
  </si>
  <si>
    <t>2335;1278;10398;5396;1009;5351;10631</t>
  </si>
  <si>
    <t>FN1;COL1A2;MYL9;PRRX1;CDH11;PLOD1;POSTN</t>
  </si>
  <si>
    <t>4313;716;5225;4320;1513;4323;2191;165</t>
  </si>
  <si>
    <t>MMP2;C1S;PGC;MMP11;CTSK;MMP14;FAP;AEBP1</t>
  </si>
  <si>
    <t>5352;2335;3912;7169;87;7077;5156;7058;2619;4237;9697;5118;3316;165;51176;57493</t>
  </si>
  <si>
    <t>PLOD2;FN1;LAMB1;TPM2;ACTN1;TIMP2;PDGFRA;THBS2;GAS1;MFAP2;TRAM2;PCOLCE;HSPB2;AEBP1;LEF1;HEG1</t>
  </si>
  <si>
    <t>1281;710;1290;7057;716;1346;7058;1306;1513;4060;2619;8076</t>
  </si>
  <si>
    <t>COL3A1;SERPING1;COL5A2;THBS1;C1S;COX7A1;THBS2;COL15A1;CTSK;LUM;GAS1;MFAP5</t>
  </si>
  <si>
    <t>MODULE_99</t>
  </si>
  <si>
    <t>9509;2335;1301;2252;3908;1346;7058;1311;4323;3910;27295;4675;4958;23194</t>
  </si>
  <si>
    <t>ADAMTS2;FN1;COL11A1;FGF7;LAMA2;COX7A1;THBS2;COMP;MMP14;LAMA4;PDLIM3;NAP1L3;OMD;FBXL7</t>
  </si>
  <si>
    <t>http://www.broadinstitute.org/gsea/msigdb/cards/MODULE_99.html</t>
  </si>
  <si>
    <t>MODULE_210</t>
  </si>
  <si>
    <t>8038;4313;4320;4323;165</t>
  </si>
  <si>
    <t>ADAM12;MMP2;MMP11;MMP14;AEBP1</t>
  </si>
  <si>
    <t>http://www.broadinstitute.org/gsea/msigdb/cards/MODULE_210.html</t>
  </si>
  <si>
    <t>1281;710;1290;716;1346;7058;1306;1513;4060;2619;8076</t>
  </si>
  <si>
    <t>COL3A1;SERPING1;COL5A2;C1S;COX7A1;THBS2;COL15A1;CTSK;LUM;GAS1;MFAP5</t>
  </si>
  <si>
    <t>2335;710;716;7043;5156;2252;5176;6935;6387;953;6356;4035;6695;2621</t>
  </si>
  <si>
    <t>FN1;SERPING1;C1S;TGFB3;PDGFRA;FGF7;SERPINF1;ZEB1;CXCL12;ENTPD1;CCL11;LRP1;SPOCK1;GAS6</t>
  </si>
  <si>
    <t>4313;716;5225;1513;4323;2191;165</t>
  </si>
  <si>
    <t>MMP2;C1S;PGC;CTSK;MMP14;FAP;AEBP1</t>
  </si>
  <si>
    <t>MODULE_11</t>
  </si>
  <si>
    <t>9945;1462;5156;1346;894;7058;4345;1009;6695;7216;4638;4675;9638;83604;9254;23194</t>
  </si>
  <si>
    <t>GFPT2;VCAN;PDGFRA;COX7A1;CCND2;THBS2;CD200;CDH11;SPOCK1;TRO;MYLK;NAP1L3;FEZ1;TMEM47;CACNA2D2;FBXL7</t>
  </si>
  <si>
    <t>http://www.broadinstitute.org/gsea/msigdb/cards/MODULE_11.html</t>
  </si>
  <si>
    <t>7043;5156;2252;6935;4035;6695;2621</t>
  </si>
  <si>
    <t>TGFB3;PDGFRA;FGF7;ZEB1;LRP1;SPOCK1;GAS6</t>
  </si>
  <si>
    <t>MODULE_493</t>
  </si>
  <si>
    <t>3912;6925;4052;3910;23176;9260</t>
  </si>
  <si>
    <t>LAMB1;TCF4;LTBP1;LAMA4;SEPT8;PDLIM7</t>
  </si>
  <si>
    <t>http://www.broadinstitute.org/gsea/msigdb/cards/MODULE_493.html</t>
  </si>
  <si>
    <t>3624;7043;5225;2252;5739;6387;6356;4053</t>
  </si>
  <si>
    <t>INHBA;TGFB3;PGC;FGF7;PTGIR;CXCL12;CCL11;LTBP2</t>
  </si>
  <si>
    <t>2335;710;716;5156;2252;5176;6935;6387;6356;4035;6695;2621;4638</t>
  </si>
  <si>
    <t>FN1;SERPING1;C1S;PDGFRA;FGF7;SERPINF1;ZEB1;CXCL12;CCL11;LRP1;SPOCK1;GAS6;MYLK</t>
  </si>
  <si>
    <t>8483;1842;3624;5156;2252;7292;5739;6387;4323;6356;4920;4638;4921;6424;10630</t>
  </si>
  <si>
    <t>CILP;ECM2;INHBA;PDGFRA;FGF7;TNFSF4;PTGIR;CXCL12;MMP14;CCL11;ROR2;MYLK;DDR2;SFRP4;PDPN</t>
  </si>
  <si>
    <t>1842;9358;2825;781;4920;1805;6424;10630;6444;84628;6910;2846;9843</t>
  </si>
  <si>
    <t>ECM2;ITGBL1;GPR1;CACNA2D1;ROR2;DPT;SFRP4;PDPN;SGCD;NTNG2;TBX5;LPAR4;HEPH</t>
  </si>
  <si>
    <t>8825;1301;4882;2200;4060;27295;5654</t>
  </si>
  <si>
    <t>LIN7A;COL11A1;NPR2;FBN1;LUM;PDLIM3;HTRA1</t>
  </si>
  <si>
    <t>5159;5156;4920;4638;4921</t>
  </si>
  <si>
    <t>PDGFRB;PDGFRA;ROR2;MYLK;DDR2</t>
  </si>
  <si>
    <t>MORF_SUPT3H</t>
  </si>
  <si>
    <t>1842;9358;2825;781;4920;6424;10630;6444;84628;9843;56099</t>
  </si>
  <si>
    <t>ECM2;ITGBL1;GPR1;CACNA2D1;ROR2;SFRP4;PDPN;SGCD;NTNG2;HEPH;PCDHGB7</t>
  </si>
  <si>
    <t>http://www.broadinstitute.org/gsea/msigdb/cards/MORF_SUPT3H.html</t>
  </si>
  <si>
    <t>MODULE_190</t>
  </si>
  <si>
    <t>4052;3490;5654</t>
  </si>
  <si>
    <t>LTBP1;IGFBP7;HTRA1</t>
  </si>
  <si>
    <t>http://www.broadinstitute.org/gsea/msigdb/cards/MODULE_190.html</t>
  </si>
  <si>
    <t>MODULE_120</t>
  </si>
  <si>
    <t>5352;1009;11245;4052;4638</t>
  </si>
  <si>
    <t>PLOD2;CDH11;GPR176;LTBP1;MYLK</t>
  </si>
  <si>
    <t>http://www.broadinstitute.org/gsea/msigdb/cards/MODULE_120.html</t>
  </si>
  <si>
    <t>MODULE_321</t>
  </si>
  <si>
    <t>6591;3678;894;72;5351;4052</t>
  </si>
  <si>
    <t>SNAI2;ITGA5;CCND2;ACTG2;PLOD1;LTBP1</t>
  </si>
  <si>
    <t>http://www.broadinstitute.org/gsea/msigdb/cards/MODULE_321.html</t>
  </si>
  <si>
    <t>MODULE_474</t>
  </si>
  <si>
    <t>http://www.broadinstitute.org/gsea/msigdb/cards/MODULE_474.html</t>
  </si>
  <si>
    <t>MORF_MAGEA8</t>
  </si>
  <si>
    <t>9358;2825;781;4920;6444;84628;2846;9843;56099</t>
  </si>
  <si>
    <t>ITGBL1;GPR1;CACNA2D1;ROR2;SGCD;NTNG2;LPAR4;HEPH;PCDHGB7</t>
  </si>
  <si>
    <t>http://www.broadinstitute.org/gsea/msigdb/cards/MORF_MAGEA8.html</t>
  </si>
  <si>
    <t>MODULE_280</t>
  </si>
  <si>
    <t>8038;4313;4320;4323</t>
  </si>
  <si>
    <t>ADAM12;MMP2;MMP11;MMP14</t>
  </si>
  <si>
    <t>http://www.broadinstitute.org/gsea/msigdb/cards/MODULE_280.html</t>
  </si>
  <si>
    <t>7169;1301;2252;7058;2619;7216;4638;4675</t>
  </si>
  <si>
    <t>TPM2;COL11A1;FGF7;THBS2;GAS1;TRO;MYLK;NAP1L3</t>
  </si>
  <si>
    <t>5159;5156;4638;4921</t>
  </si>
  <si>
    <t>PDGFRB;PDGFRA;MYLK;DDR2</t>
  </si>
  <si>
    <t>MODULE_201</t>
  </si>
  <si>
    <t>5350;800;5592;3779</t>
  </si>
  <si>
    <t>PLN;CALD1;PRKG1;KCNMB1</t>
  </si>
  <si>
    <t>http://www.broadinstitute.org/gsea/msigdb/cards/MODULE_201.html</t>
  </si>
  <si>
    <t>5159;5156;4920;4921</t>
  </si>
  <si>
    <t>PDGFRB;PDGFRA;ROR2;DDR2</t>
  </si>
  <si>
    <t>8483;30008;3678;5159;5156;4882;4920;4035;4921;6424</t>
  </si>
  <si>
    <t>CILP;EFEMP2;ITGA5;PDGFRB;PDGFRA;NPR2;ROR2;LRP1;DDR2;SFRP4</t>
  </si>
  <si>
    <t>5352;5351;11245;4052</t>
  </si>
  <si>
    <t>PLOD2;PLOD1;GPR176;LTBP1</t>
  </si>
  <si>
    <t>5156;5176;6935;4035;6695;2621</t>
  </si>
  <si>
    <t>PDGFRA;SERPINF1;ZEB1;LRP1;SPOCK1;GAS6</t>
  </si>
  <si>
    <t>MODULE_371</t>
  </si>
  <si>
    <t>4313;4323;3316</t>
  </si>
  <si>
    <t>MMP2;MMP14;HSPB2</t>
  </si>
  <si>
    <t>http://www.broadinstitute.org/gsea/msigdb/cards/MODULE_371.html</t>
  </si>
  <si>
    <t>87;4060;81792;3316;84898;115557;114801;259232;117248;6910;54587;83468;50507</t>
  </si>
  <si>
    <t>ACTN1;LUM;ADAMTS12;HSPB2;PLXDC2;ARHGEF25;TMEM200A;NALCN;GALNT15;TBX5;MXRA8;GLT8D2;NOX4</t>
  </si>
  <si>
    <t>MODULE_200</t>
  </si>
  <si>
    <t>5159;5156;4921</t>
  </si>
  <si>
    <t>PDGFRB;PDGFRA;DDR2</t>
  </si>
  <si>
    <t>http://www.broadinstitute.org/gsea/msigdb/cards/MODULE_200.html</t>
  </si>
  <si>
    <t>MODULE_330</t>
  </si>
  <si>
    <t>5350;6387;800</t>
  </si>
  <si>
    <t>PLN;CXCL12;CALD1</t>
  </si>
  <si>
    <t>http://www.broadinstitute.org/gsea/msigdb/cards/MODULE_330.html</t>
  </si>
  <si>
    <t>MODULE_385</t>
  </si>
  <si>
    <t>2335;7058;11167</t>
  </si>
  <si>
    <t>FN1;THBS2;FSTL1</t>
  </si>
  <si>
    <t>http://www.broadinstitute.org/gsea/msigdb/cards/MODULE_385.html</t>
  </si>
  <si>
    <t>MODULE_164</t>
  </si>
  <si>
    <t>710;1293;7077;5176</t>
  </si>
  <si>
    <t>SERPING1;COL6A3;TIMP2;SERPINF1</t>
  </si>
  <si>
    <t>http://www.broadinstitute.org/gsea/msigdb/cards/MODULE_164.html</t>
  </si>
  <si>
    <t>MODULE_433</t>
  </si>
  <si>
    <t>3624;7043;2252;6387</t>
  </si>
  <si>
    <t>INHBA;TGFB3;FGF7;CXCL12</t>
  </si>
  <si>
    <t>http://www.broadinstitute.org/gsea/msigdb/cards/MODULE_433.html</t>
  </si>
  <si>
    <t>9945;3678;87;1462;5156;894;1311;4237;7130;1805;5118;25903;57493</t>
  </si>
  <si>
    <t>GFPT2;ITGA5;ACTN1;VCAN;PDGFRA;CCND2;COMP;MFAP2;TNFAIP6;DPT;PCOLCE;OLFML2B;HEG1</t>
  </si>
  <si>
    <t>8825;8483;1462;7412;2252;5322;1264;6695;8076;5592;27295;23460;4958;9843;51176</t>
  </si>
  <si>
    <t>LIN7A;CILP;VCAN;VCAM1;FGF7;PLA2G5;CNN1;SPOCK1;MFAP5;PRKG1;PDLIM3;ABCA6;OMD;HEPH;LEF1</t>
  </si>
  <si>
    <t>9242;9945;1277;5156;5225;4320;4237;1300;1805;9638;54587;6320</t>
  </si>
  <si>
    <t>MSC;GFPT2;COL1A1;PDGFRA;PGC;MMP11;MFAP2;COL10A1;DPT;FEZ1;MXRA8;CLEC11A</t>
  </si>
  <si>
    <t>MORF_IFNA1</t>
  </si>
  <si>
    <t>9358;2825;781;4920;6444;84628;9843</t>
  </si>
  <si>
    <t>ITGBL1;GPR1;CACNA2D1;ROR2;SGCD;NTNG2;HEPH</t>
  </si>
  <si>
    <t>http://www.broadinstitute.org/gsea/msigdb/cards/MORF_IFNA1.html</t>
  </si>
  <si>
    <t>MORF_RAD51L3</t>
  </si>
  <si>
    <t>1842;9358;2825;781;4920;10630;6444;84628;2846;9843</t>
  </si>
  <si>
    <t>ECM2;ITGBL1;GPR1;CACNA2D1;ROR2;PDPN;SGCD;NTNG2;LPAR4;HEPH</t>
  </si>
  <si>
    <t>http://www.broadinstitute.org/gsea/msigdb/cards/MORF_RAD51L3.html</t>
  </si>
  <si>
    <t>MORF_PAX7</t>
  </si>
  <si>
    <t>1842;2825;953;4920;1805;6424;84628;6910</t>
  </si>
  <si>
    <t>ECM2;GPR1;ENTPD1;ROR2;DPT;SFRP4;NTNG2;TBX5</t>
  </si>
  <si>
    <t>http://www.broadinstitute.org/gsea/msigdb/cards/MORF_PAX7.html</t>
  </si>
  <si>
    <t>MODULE_80</t>
  </si>
  <si>
    <t>http://www.broadinstitute.org/gsea/msigdb/cards/MODULE_80.html</t>
  </si>
  <si>
    <t>MODULE_153</t>
  </si>
  <si>
    <t>6591;1277;5351</t>
  </si>
  <si>
    <t>SNAI2;COL1A1;PLOD1</t>
  </si>
  <si>
    <t>http://www.broadinstitute.org/gsea/msigdb/cards/MODULE_153.html</t>
  </si>
  <si>
    <t>MORF_MDM2</t>
  </si>
  <si>
    <t>1842;9358;2825;781;4920;1805;84628;6910</t>
  </si>
  <si>
    <t>ECM2;ITGBL1;GPR1;CACNA2D1;ROR2;DPT;NTNG2;TBX5</t>
  </si>
  <si>
    <t>http://www.broadinstitute.org/gsea/msigdb/cards/MORF_MDM2.html</t>
  </si>
  <si>
    <t>MORF_FSHR</t>
  </si>
  <si>
    <t>1842;9358;2825;781;6444;84628;9843;56099</t>
  </si>
  <si>
    <t>ECM2;ITGBL1;GPR1;CACNA2D1;SGCD;NTNG2;HEPH;PCDHGB7</t>
  </si>
  <si>
    <t>http://www.broadinstitute.org/gsea/msigdb/cards/MORF_FSHR.html</t>
  </si>
  <si>
    <t>GNF2_IGFBP1</t>
  </si>
  <si>
    <t>8038;7077;4320</t>
  </si>
  <si>
    <t>ADAM12;TIMP2;MMP11</t>
  </si>
  <si>
    <t>http://www.broadinstitute.org/gsea/msigdb/cards/GNF2_IGFBP1.html</t>
  </si>
  <si>
    <t>284297;7041;8483;1842;8840;9509;30008;1277;1281;2335;1290;1634;3912;7057;1278;4313;6678;7043;1301;1291;1292;1293;1462;7077;1289;633;3908;4320;1296;50509;4015;7058;2200;5176;1306;1311;4323;4060;5549;4237;81792;2199;3339;1300;1307;1805;6695;8076;22795;4052;4053;10631;5118;3490;3910;64175;79883;151887;127435;148113;165;119587;5654;115908;6423;83872;1303;5919;4958;54829;83716;64094;10418;57124;11117</t>
  </si>
  <si>
    <t>SSC5D;TGFB1I1;CILP;ECM2;CCN4;ADAMTS2;EFEMP2;COL1A1;COL3A1;FN1;COL5A2;DCN;LAMB1;THBS1;COL1A2;MMP2;SPARC;TGFB3;COL11A1;COL6A1;COL6A2;COL6A3;VCAN;TIMP2;COL5A1;BGN;LAMA2;MMP11;COL8A2;COL5A3;LOX;THBS2;FBN1;SERPINF1;COL15A1;COMP;MMP14;LUM;PRELP;MFAP2;ADAMTS12;FBLN2;HSPG2;COL10A1;COL16A1;DPT;SPOCK1;MFAP5;NID2;LTBP1;LTBP2;POSTN;PCOLCE;IGFBP7;LAMA4;P3H1;PODNL1;CCDC80;PODN;CILP2;AEBP1;CPXM2;HTRA1;CTHRC1;SFRP2;HMCN1;COL12A1;RARRES2;OMD;ASPN;CRISPLD2;SMOC2;SPON1;CD248;EMILIN1</t>
  </si>
  <si>
    <t>8483;1842;8840;9509;30008;1277;1281;2335;1290;1634;3912;1278;4313;6678;1301;1291;1292;1293;1462;7077;1289;633;3908;4320;1296;50509;4015;7058;2200;5176;1306;1311;4060;5549;4237;81792;2199;3339;1300;1307;1805;6695;8076;22795;4052;4053;10631;3910;64175;79883;151887;127435;148113;115908;83872;1303;4958;54829;83716;64094;10418;57124;11117</t>
  </si>
  <si>
    <t>CILP;ECM2;CCN4;ADAMTS2;EFEMP2;COL1A1;COL3A1;FN1;COL5A2;DCN;LAMB1;COL1A2;MMP2;SPARC;COL11A1;COL6A1;COL6A2;COL6A3;VCAN;TIMP2;COL5A1;BGN;LAMA2;MMP11;COL8A2;COL5A3;LOX;THBS2;FBN1;SERPINF1;COL15A1;COMP;LUM;PRELP;MFAP2;ADAMTS12;FBLN2;HSPG2;COL10A1;COL16A1;DPT;SPOCK1;MFAP5;NID2;LTBP1;LTBP2;POSTN;LAMA4;P3H1;PODNL1;CCDC80;PODN;CILP2;CTHRC1;HMCN1;COL12A1;OMD;ASPN;CRISPLD2;SMOC2;SPON1;CD248;EMILIN1</t>
  </si>
  <si>
    <t>26585;1842;9509;8434;1277;1281;2335;1290;1634;3912;7057;1278;4313;3678;6678;1301;1291;1292;1293;1462;7077;7412;1289;633;3908;4320;1296;50509;4015;2200;1513;1311;4323;4060;4237;3339;1300;1307;1805;8076;22795;2621;4053;10631;3910;4921;151887;55959;23213;5654;6423;1303;83700;83716;64094;22801</t>
  </si>
  <si>
    <t>GREM1;ECM2;ADAMTS2;RECK;COL1A1;COL3A1;FN1;COL5A2;DCN;LAMB1;THBS1;COL1A2;MMP2;ITGA5;SPARC;COL11A1;COL6A1;COL6A2;COL6A3;VCAN;TIMP2;VCAM1;COL5A1;BGN;LAMA2;MMP11;COL8A2;COL5A3;LOX;FBN1;CTSK;COMP;MMP14;LUM;MFAP2;HSPG2;COL10A1;COL16A1;DPT;MFAP5;NID2;GAS6;LTBP2;POSTN;LAMA4;DDR2;CCDC80;SULF2;SULF1;HTRA1;SFRP2;COL12A1;JAM3;CRISPLD2;SMOC2;ITGA11</t>
  </si>
  <si>
    <t>3671;395;8038;7041;26025;1842;8840;9358;1281;2335;7070;3912;7057;3678;1291;1292;1293;87;1462;5156;7412;1289;7292;3908;10398;1296;50509;7058;1306;4345;6387;1311;953;6356;1009;1012;81792;7130;1307;1805;6695;7216;2191;22795;2621;10631;3490;3910;4921;8639;79633;257194;10630;131578;91179;8642;9638;1303;4958;83604;91653;83700;64084;84168;10418;57091;50863;55714;51176;22801;56099;11117</t>
  </si>
  <si>
    <t>ISLR;ARHGAP6;ADAM12;TGFB1I1;PCDHGA12;ECM2;CCN4;ITGBL1;COL3A1;FN1;THY1;LAMB1;THBS1;ITGA5;COL6A1;COL6A2;COL6A3;ACTN1;VCAN;PDGFRA;VCAM1;COL5A1;TNFSF4;LAMA2;MYL9;COL8A2;COL5A3;THBS2;COL15A1;CD200;CXCL12;COMP;ENTPD1;CCL11;CDH11;CDH13;ADAMTS12;TNFAIP6;COL16A1;DPT;SPOCK1;TRO;FAP;NID2;GAS6;POSTN;IGFBP7;LAMA4;DDR2;AOC3;FAT4;NEGR1;PDPN;LRRC15;SCARF2;DCHS1;FEZ1;COL12A1;OMD;TMEM47;BOC;JAM3;CLSTN2;ANTXR1;SPON1;CASS4;NTM;TENM3;LEF1;ITGA11;PCDHGB7;EMILIN1</t>
  </si>
  <si>
    <t>GO_EXTRACELLULAR_MATRIX_COMPONENT</t>
  </si>
  <si>
    <t>30008;1277;1281;2335;1290;1634;3912;1278;6678;1301;1291;1293;1289;3908;1296;50509;7058;2200;5176;1306;4060;4237;3339;8076;22795;4052;3910;151887;83872;1303;64094</t>
  </si>
  <si>
    <t>EFEMP2;COL1A1;COL3A1;FN1;COL5A2;DCN;LAMB1;COL1A2;SPARC;COL11A1;COL6A1;COL6A3;COL5A1;LAMA2;COL8A2;COL5A3;THBS2;FBN1;SERPINF1;COL15A1;LUM;MFAP2;HSPG2;MFAP5;NID2;LTBP1;LAMA4;CCDC80;HMCN1;COL12A1;SMOC2</t>
  </si>
  <si>
    <t>http://www.broadinstitute.org/gsea/msigdb/cards/GO_EXTRACELLULAR_MATRIX_COMPONENT.html</t>
  </si>
  <si>
    <t>284297;26585;8483;1842;8840;1277;1281;2335;710;1634;3912;7057;1278;4313;3624;6678;6343;716;7043;1292;1293;87;1462;7077;7412;5225;2252;7292;4015;2200;5176;1306;1513;6387;1311;6356;4060;5549;1012;59;72;3339;1805;6695;11167;2191;8991;2621;4053;10631;5118;3490;6424;127435;165;55959;23213;119587;10234;55068;5654;115908;6423;1303;4958;83700;10418;27122;23452;6320</t>
  </si>
  <si>
    <t>SSC5D;GREM1;CILP;ECM2;CCN4;COL1A1;COL3A1;FN1;SERPING1;DCN;LAMB1;THBS1;COL1A2;MMP2;INHBA;SPARC;SCT;C1S;TGFB3;COL6A2;COL6A3;ACTN1;VCAN;TIMP2;VCAM1;PGC;FGF7;TNFSF4;LOX;FBN1;SERPINF1;COL15A1;CTSK;CXCL12;COMP;CCL11;LUM;PRELP;CDH13;ACTA2;ACTG2;HSPG2;DPT;SPOCK1;FSTL1;FAP;SELENBP1;GAS6;LTBP2;POSTN;PCOLCE;IGFBP7;SFRP4;PODN;AEBP1;SULF2;SULF1;CPXM2;LRRC17;ENOX1;HTRA1;CTHRC1;SFRP2;COL12A1;OMD;JAM3;SPON1;DKK3;ANGPTL2;CLEC11A</t>
  </si>
  <si>
    <t>4211;6591;26585;8434;1277;1281;2335;7070;7057;1278;4313;3678;6678;5159;1301;5156;1289;1296;5350;4015;2200;1306;4323;5396;1012;59;3339;4035;2191;5311;4052;4638;27295;79633;165904;10630;219699;6444;6423;8642;25960;6910;83700;80114;50507;8877;51176;57493</t>
  </si>
  <si>
    <t>MEIS1;SNAI2;GREM1;RECK;COL1A1;COL3A1;FN1;THY1;THBS1;COL1A2;MMP2;ITGA5;SPARC;PDGFRB;COL11A1;PDGFRA;COL5A1;COL8A2;PLN;LOX;FBN1;COL15A1;MMP14;PRRX1;CDH13;ACTA2;HSPG2;LRP1;FAP;PKD2;LTBP1;MYLK;PDLIM3;FAT4;XIRP1;PDPN;UNC5B;SGCD;SFRP2;DCHS1;ADGRA2;TBX5;JAM3;BICC1;NOX4;SPHK1;LEF1;HEG1</t>
  </si>
  <si>
    <t>GO_MULTICELLULAR_ORGANISMAL_MACROMOLECULE_METABOLIC_PROCESS</t>
  </si>
  <si>
    <t>9509;1277;1281;1290;1278;4313;1301;1291;1292;1293;1289;4320;1296;50509;1306;1513;4323;1300;9697;64175;1303;9902</t>
  </si>
  <si>
    <t>ADAMTS2;COL1A1;COL3A1;COL5A2;COL1A2;MMP2;COL11A1;COL6A1;COL6A2;COL6A3;COL5A1;MMP11;COL8A2;COL5A3;COL15A1;CTSK;MMP14;COL10A1;TRAM2;P3H1;COL12A1;AC080038.1</t>
  </si>
  <si>
    <t>http://www.broadinstitute.org/gsea/msigdb/cards/GO_MULTICELLULAR_ORGANISMAL_MACROMOLECULE_METABOLIC_PROCESS.html</t>
  </si>
  <si>
    <t>GO_EXTRACELLULAR_MATRIX_STRUCTURAL_CONSTITUENT</t>
  </si>
  <si>
    <t>30008;1277;1281;1290;3912;1278;1301;1462;1289;633;1296;50509;2200;1306;1311;4060;5549;2199;8076;3910;1303</t>
  </si>
  <si>
    <t>EFEMP2;COL1A1;COL3A1;COL5A2;LAMB1;COL1A2;COL11A1;VCAN;COL5A1;BGN;COL8A2;COL5A3;FBN1;COL15A1;COMP;LUM;PRELP;FBLN2;MFAP5;LAMA4;COL12A1</t>
  </si>
  <si>
    <t>http://www.broadinstitute.org/gsea/msigdb/cards/GO_EXTRACELLULAR_MATRIX_STRUCTURAL_CONSTITUENT.html</t>
  </si>
  <si>
    <t>GO_MULTICELLULAR_ORGANISM_METABOLIC_PROCESS</t>
  </si>
  <si>
    <t>http://www.broadinstitute.org/gsea/msigdb/cards/GO_MULTICELLULAR_ORGANISM_METABOLIC_PROCESS.html</t>
  </si>
  <si>
    <t>6591;26585;8633;8434;1277;1281;2335;7070;1634;3912;7057;3678;6678;5159;87;5156;2252;3908;5350;5176;6387;4323;6356;1012;4920;4035;2621;10631;4638;3910;4921;127435;10630;23213;131578;114757;6423;25960;6910;5919;83700;50507;8877;51176;90627</t>
  </si>
  <si>
    <t>SNAI2;GREM1;UNC5C;RECK;COL1A1;COL3A1;FN1;THY1;DCN;LAMB1;THBS1;ITGA5;SPARC;PDGFRB;ACTN1;PDGFRA;FGF7;LAMA2;PLN;SERPINF1;CXCL12;MMP14;CCL11;CDH13;ROR2;LRP1;GAS6;POSTN;MYLK;LAMA4;DDR2;PODN;PDPN;SULF1;LRRC15;CYGB;SFRP2;ADGRA2;TBX5;RARRES2;JAM3;NOX4;SPHK1;LEF1;STARD13</t>
  </si>
  <si>
    <t>4211;26585;8434;1277;1281;2335;7070;7057;1278;4313;3678;5159;5156;1289;1296;4015;1306;4323;5396;1012;59;3339;4035;2191;5311;4052;4638;10630;219699;6423;25960;6910;83700;8877;51176;57493</t>
  </si>
  <si>
    <t>MEIS1;GREM1;RECK;COL1A1;COL3A1;FN1;THY1;THBS1;COL1A2;MMP2;ITGA5;PDGFRB;PDGFRA;COL5A1;COL8A2;LOX;COL15A1;MMP14;PRRX1;CDH13;ACTA2;HSPG2;LRP1;FAP;PKD2;LTBP1;MYLK;PDPN;UNC5B;SFRP2;ADGRA2;TBX5;JAM3;SPHK1;LEF1;HEG1</t>
  </si>
  <si>
    <t>GO_COLLAGEN_BINDING</t>
  </si>
  <si>
    <t>1842;2335;1634;7057;6678;50509;1513;1311;4060;22795;5118;4921;64175;127435;131578;54829;84168;9902;22801</t>
  </si>
  <si>
    <t>ECM2;FN1;DCN;THBS1;SPARC;COL5A3;CTSK;COMP;LUM;NID2;PCOLCE;DDR2;P3H1;PODN;LRRC15;ASPN;ANTXR1;AC080038.1;ITGA11</t>
  </si>
  <si>
    <t>http://www.broadinstitute.org/gsea/msigdb/cards/GO_COLLAGEN_BINDING.html</t>
  </si>
  <si>
    <t>GO_CALCIUM_ION_BINDING</t>
  </si>
  <si>
    <t>26025;30008;7057;6678;716;87;1462;4320;10398;7058;2200;5322;2978;2978;1311;4323;1009;1012;2199;3339;4035;6695;11167;5311;22795;2621;4052;4053;8639;79633;55959;23213;8642;83872;23208;54829;64094;64084;57124;25769;57493;56099</t>
  </si>
  <si>
    <t>PCDHGA12;EFEMP2;THBS1;SPARC;C1S;ACTN1;VCAN;MMP11;MYL9;THBS2;FBN1;PLA2G5;GUCA1A;AL096814.2;COMP;MMP14;CDH11;CDH13;FBLN2;HSPG2;LRP1;SPOCK1;FSTL1;PKD2;NID2;GAS6;LTBP1;LTBP2;AOC3;FAT4;SULF2;SULF1;DCHS1;HMCN1;SYT11;ASPN;SMOC2;CLSTN2;CD248;SLC24A2;HEG1;PCDHGB7</t>
  </si>
  <si>
    <t>http://www.broadinstitute.org/gsea/msigdb/cards/GO_CALCIUM_ION_BINDING.html</t>
  </si>
  <si>
    <t>1277;1281;1290;1634;1278;1301;1291;1292;1293;1289;1296;50509;4015;1306;4060;1300;1307;115908;1303;11117</t>
  </si>
  <si>
    <t>COL1A1;COL3A1;COL5A2;DCN;COL1A2;COL11A1;COL6A1;COL6A2;COL6A3;COL5A1;COL8A2;COL5A3;LOX;COL15A1;LUM;COL10A1;COL16A1;CTHRC1;COL12A1;EMILIN1</t>
  </si>
  <si>
    <t>GO_COLLAGEN_FIBRIL_ORGANIZATION</t>
  </si>
  <si>
    <t>26585;9509;1277;1281;1290;1278;1301;1289;4320;50509;4015;4060;1805;4921;6423;1303</t>
  </si>
  <si>
    <t>GREM1;ADAMTS2;COL1A1;COL3A1;COL5A2;COL1A2;COL11A1;COL5A1;MMP11;COL5A3;LOX;LUM;DPT;DDR2;SFRP2;COL12A1</t>
  </si>
  <si>
    <t>http://www.broadinstitute.org/gsea/msigdb/cards/GO_COLLAGEN_FIBRIL_ORGANIZATION.html</t>
  </si>
  <si>
    <t>4211;7041;6591;26585;1277;1281;2335;7070;1290;1634;7057;3624;3678;6678;5159;7043;1123;6925;7077;1289;2252;7292;3908;7058;5176;6935;2668;6387;4323;6356;5396;81792;4920;4035;6695;2621;3910;4921;338773;6424;79633;257194;55959;23213;10234;147906;115908;6423;25960;6910;9638;4958;54829;64084;79953;8877;51339;55714;51176;90627;50944</t>
  </si>
  <si>
    <t>MEIS1;TGFB1I1;SNAI2;GREM1;COL1A1;COL3A1;FN1;THY1;COL5A2;DCN;THBS1;INHBA;ITGA5;SPARC;PDGFRB;TGFB3;CHN1;TCF4;TIMP2;COL5A1;FGF7;TNFSF4;LAMA2;THBS2;SERPINF1;ZEB1;GDNF;CXCL12;MMP14;CCL11;PRRX1;ADAMTS12;ROR2;LRP1;SPOCK1;GAS6;LAMA4;DDR2;TMEM119;SFRP4;FAT4;NEGR1;SULF2;SULF1;LRRC17;DACT3;CTHRC1;SFRP2;ADGRA2;TBX5;FEZ1;OMD;ASPN;CLSTN2;SYNDIG1;SPHK1;DACT1;TENM3;LEF1;STARD13;SHANK1</t>
  </si>
  <si>
    <t>7041;6591;26585;9242;1277;1281;2335;7070;1634;3912;4313;3624;3678;5159;1301;1291;5156;1289;2252;5350;6935;2668;1311;4323;6356;4060;5396;59;72;4920;6876;5351;1300;5311;10631;4638;4921;55083;338773;79633;54796;55959;23213;10234;6444;115908;6423;8642;122786;6910;1303;54829;50507;51339;51176;57493;90627</t>
  </si>
  <si>
    <t>TGFB1I1;SNAI2;GREM1;MSC;COL1A1;COL3A1;FN1;THY1;DCN;LAMB1;MMP2;INHBA;ITGA5;PDGFRB;COL11A1;COL6A1;PDGFRA;COL5A1;FGF7;PLN;ZEB1;GDNF;COMP;MMP14;CCL11;LUM;PRRX1;ACTA2;ACTG2;ROR2;TAGLN;PLOD1;COL10A1;PKD2;POSTN;MYLK;DDR2;KIF26B;TMEM119;FAT4;BNC2;SULF2;SULF1;LRRC17;SGCD;CTHRC1;SFRP2;DCHS1;FRMD6;TBX5;COL12A1;ASPN;NOX4;DACT1;LEF1;HEG1;STARD13</t>
  </si>
  <si>
    <t>4211;6591;26585;1277;1281;7070;1290;1634;3912;1278;4313;3624;5159;7043;1301;5156;1289;2252;1296;2200;6935;2668;1311;4323;6356;5396;4237;59;72;4920;1300;5311;4638;55083;79633;5654;115908;6423;8642;6910;55714;51176;57493</t>
  </si>
  <si>
    <t>MEIS1;SNAI2;GREM1;COL1A1;COL3A1;THY1;COL5A2;DCN;LAMB1;COL1A2;MMP2;INHBA;PDGFRB;TGFB3;COL11A1;PDGFRA;COL5A1;FGF7;COL8A2;FBN1;ZEB1;GDNF;COMP;MMP14;CCL11;PRRX1;MFAP2;ACTA2;ACTG2;ROR2;COL10A1;PKD2;MYLK;KIF26B;FAT4;HTRA1;CTHRC1;SFRP2;DCHS1;TBX5;TENM3;LEF1;HEG1</t>
  </si>
  <si>
    <t>GO_SKELETAL_SYSTEM_DEVELOPMENT</t>
  </si>
  <si>
    <t>4211;6591;1277;1281;1290;1278;4313;6678;7043;1301;1462;5156;4882;2200;6935;1311;4323;4060;5549;5396;1009;4920;1300;10631;64175;79633;165;55959;23213;10234;6423;8642;1303</t>
  </si>
  <si>
    <t>MEIS1;SNAI2;COL1A1;COL3A1;COL5A2;COL1A2;MMP2;SPARC;TGFB3;COL11A1;VCAN;PDGFRA;NPR2;FBN1;ZEB1;COMP;MMP14;LUM;PRELP;PRRX1;CDH11;ROR2;COL10A1;POSTN;P3H1;FAT4;AEBP1;SULF2;SULF1;LRRC17;SFRP2;DCHS1;COL12A1</t>
  </si>
  <si>
    <t>http://www.broadinstitute.org/gsea/msigdb/cards/GO_SKELETAL_SYSTEM_DEVELOPMENT.html</t>
  </si>
  <si>
    <t>GO_OSSIFICATION</t>
  </si>
  <si>
    <t>6591;1277;1290;4313;6678;7043;1301;1291;1462;4882;1513;4323;1009;1300;4921;338773;79633;10234;115908;8642;54829;9260;9902;51176;22801</t>
  </si>
  <si>
    <t>SNAI2;COL1A1;COL5A2;MMP2;SPARC;TGFB3;COL11A1;COL6A1;VCAN;NPR2;CTSK;MMP14;CDH11;COL10A1;DDR2;TMEM119;FAT4;LRRC17;CTHRC1;DCHS1;ASPN;PDLIM7;AC080038.1;LEF1;ITGA11</t>
  </si>
  <si>
    <t>http://www.broadinstitute.org/gsea/msigdb/cards/GO_OSSIFICATION.html</t>
  </si>
  <si>
    <t>GO_ENDOPLASMIC_RETICULUM_LUMEN</t>
  </si>
  <si>
    <t>1277;1281;1290;7057;1278;1301;1291;1292;1293;1289;1296;50509;1306;2326;1300;1307;2621;64175;340075;79070;283208;1303;10418</t>
  </si>
  <si>
    <t>COL1A1;COL3A1;COL5A2;THBS1;COL1A2;COL11A1;COL6A1;COL6A2;COL6A3;COL5A1;COL8A2;COL5A3;COL15A1;FMO1;COL10A1;COL16A1;GAS6;P3H1;ARSI;POGLUT2;P4HA3;COL12A1;SPON1</t>
  </si>
  <si>
    <t>http://www.broadinstitute.org/gsea/msigdb/cards/GO_ENDOPLASMIC_RETICULUM_LUMEN.html</t>
  </si>
  <si>
    <t>1842;8840;2335;1634;7057;1462;1289;2252;633;50509;7058;5322;1311;5549;7130;11167;4053;10631;5118;151887;2259;83716;64094</t>
  </si>
  <si>
    <t>ECM2;CCN4;FN1;DCN;THBS1;VCAN;COL5A1;FGF7;BGN;COL5A3;THBS2;PLA2G5;COMP;PRELP;TNFAIP6;FSTL1;LTBP2;POSTN;PCOLCE;CCDC80;FGF14;CRISPLD2;SMOC2</t>
  </si>
  <si>
    <t>GO_BASEMENT_MEMBRANE</t>
  </si>
  <si>
    <t>30008;2335;3912;6678;1289;3908;1296;7058;2200;5176;1306;3339;22795;3910;151887;83872;64094</t>
  </si>
  <si>
    <t>EFEMP2;FN1;LAMB1;SPARC;COL5A1;LAMA2;COL8A2;THBS2;FBN1;SERPINF1;COL15A1;HSPG2;NID2;LAMA4;CCDC80;HMCN1;SMOC2</t>
  </si>
  <si>
    <t>http://www.broadinstitute.org/gsea/msigdb/cards/GO_BASEMENT_MEMBRANE.html</t>
  </si>
  <si>
    <t>4211;26585;1281;2335;7070;7057;4313;3678;5159;5156;1296;1306;4323;5396;1012;3339;4035;2191;5311;4638;219699;6423;25960;6910;83700;51176;57493</t>
  </si>
  <si>
    <t>MEIS1;GREM1;COL3A1;FN1;THY1;THBS1;MMP2;ITGA5;PDGFRB;PDGFRA;COL8A2;COL15A1;MMP14;PRRX1;CDH13;HSPG2;LRP1;FAP;PKD2;MYLK;UNC5B;SFRP2;ADGRA2;TBX5;JAM3;LEF1;HEG1</t>
  </si>
  <si>
    <t>7041;6591;26585;8483;1281;7070;710;1634;7057;7043;7077;5156;633;7292;2200;5176;2668;5739;6387;4323;81792;94031;7130;4920;4035;5311;5592;2621;4052;6424;79883;127435;55959;23213;219699;131578;5654;147906;115908;6423;25960;56917;9638;54829;84662;80114;51339;27122;51176</t>
  </si>
  <si>
    <t>TGFB1I1;SNAI2;GREM1;CILP;COL3A1;THY1;SERPING1;DCN;THBS1;TGFB3;TIMP2;PDGFRA;BGN;TNFSF4;FBN1;SERPINF1;GDNF;PTGIR;CXCL12;MMP14;ADAMTS12;HTRA3;TNFAIP6;ROR2;LRP1;PKD2;PRKG1;GAS6;LTBP1;SFRP4;PODNL1;PODN;SULF2;SULF1;UNC5B;LRRC15;HTRA1;DACT3;CTHRC1;SFRP2;ADGRA2;MEIS3;FEZ1;ASPN;GLIS2;BICC1;DACT1;DKK3;LEF1</t>
  </si>
  <si>
    <t>4211;7041;6591;26585;1277;1281;2335;7070;1290;3624;7043;1123;6925;7077;5156;4882;1289;7292;4320;5176;6935;2668;6387;4323;5396;81792;4035;6695;2621;10631;4921;338773;6424;79633;257194;10234;84814;147906;115908;6423;25960;6910;9638;5919;91653;93166;9260;8877;55714;51176;50944</t>
  </si>
  <si>
    <t>MEIS1;TGFB1I1;SNAI2;GREM1;COL1A1;COL3A1;FN1;THY1;COL5A2;INHBA;TGFB3;CHN1;TCF4;TIMP2;PDGFRA;NPR2;COL5A1;TNFSF4;MMP11;SERPINF1;ZEB1;GDNF;CXCL12;MMP14;PRRX1;ADAMTS12;LRP1;SPOCK1;GAS6;POSTN;DDR2;TMEM119;SFRP4;FAT4;NEGR1;LRRC17;PLPP7;DACT3;CTHRC1;SFRP2;ADGRA2;TBX5;FEZ1;RARRES2;BOC;PRDM6;PDLIM7;SPHK1;TENM3;LEF1;SHANK1</t>
  </si>
  <si>
    <t>GO_INTEGRIN_BINDING</t>
  </si>
  <si>
    <t>1842;8840;1281;2335;7070;7057;3678;87;7077;7412;1289;2200;4323;1307;2191;6423;83700</t>
  </si>
  <si>
    <t>ECM2;CCN4;COL3A1;FN1;THY1;THBS1;ITGA5;ACTN1;TIMP2;VCAM1;COL5A1;FBN1;MMP14;COL16A1;FAP;SFRP2;JAM3</t>
  </si>
  <si>
    <t>http://www.broadinstitute.org/gsea/msigdb/cards/GO_INTEGRIN_BINDING.html</t>
  </si>
  <si>
    <t>7041;6591;26585;8483;7070;1634;7057;3624;7043;7077;633;2200;2668;5739;6387;4323;81792;94031;4920;4035;5311;2621;4052;6424;79883;127435;55959;23213;219699;131578;5654;147906;115908;6423;25960;56917;9638;23208;54829;84662;80114;51339;27122;25769;51176</t>
  </si>
  <si>
    <t>TGFB1I1;SNAI2;GREM1;CILP;THY1;DCN;THBS1;INHBA;TGFB3;TIMP2;BGN;FBN1;GDNF;PTGIR;CXCL12;MMP14;ADAMTS12;HTRA3;ROR2;LRP1;PKD2;GAS6;LTBP1;SFRP4;PODNL1;PODN;SULF2;SULF1;UNC5B;LRRC15;HTRA1;DACT3;CTHRC1;SFRP2;ADGRA2;MEIS3;FEZ1;SYT11;ASPN;GLIS2;BICC1;DACT1;DKK3;SLC24A2;LEF1</t>
  </si>
  <si>
    <t>4211;8038;6591;26585;1277;2335;7070;3912;7057;4313;3624;3678;5159;1301;1291;87;5156;1296;25802;1306;2668;4323;1012;3339;4920;2191;55083;9644;10630;219699;5654;115908;6423;8642;25960;6910;1303;83700;29767;51176</t>
  </si>
  <si>
    <t>MEIS1;ADAM12;SNAI2;GREM1;COL1A1;FN1;THY1;LAMB1;THBS1;MMP2;INHBA;ITGA5;PDGFRB;COL11A1;COL6A1;ACTN1;PDGFRA;COL8A2;LMOD1;COL15A1;GDNF;MMP14;CDH13;HSPG2;ROR2;FAP;KIF26B;SH3PXD2A;PDPN;UNC5B;HTRA1;CTHRC1;SFRP2;DCHS1;ADGRA2;TBX5;COL12A1;JAM3;TMOD2;LEF1</t>
  </si>
  <si>
    <t>6591;26585;8633;1277;2335;3912;7057;1278;3678;5159;1462;1123;5156;7412;1289;2252;3908;2668;6387;4323;6356;1012;81792;6695;2191;5592;2621;6624;55083;10630;219699;115908;8642;25960;6910;9638;5919;91653;83700;57124;51176;22801;90627</t>
  </si>
  <si>
    <t>SNAI2;GREM1;UNC5C;COL1A1;FN1;LAMB1;THBS1;COL1A2;ITGA5;PDGFRB;VCAN;CHN1;PDGFRA;VCAM1;COL5A1;FGF7;LAMA2;GDNF;CXCL12;MMP14;CCL11;CDH13;ADAMTS12;SPOCK1;FAP;PRKG1;GAS6;FSCN1;KIF26B;PDPN;UNC5B;CTHRC1;DCHS1;ADGRA2;TBX5;FEZ1;RARRES2;BOC;JAM3;CD248;LEF1;ITGA11;STARD13</t>
  </si>
  <si>
    <t>1842;8840;2335;7057;1289;2252;50509;7058;5322;1311;5549;11167;4053;10631;5118;151887;2259;83716;64094</t>
  </si>
  <si>
    <t>ECM2;CCN4;FN1;THBS1;COL5A1;FGF7;COL5A3;THBS2;PLA2G5;COMP;PRELP;FSTL1;LTBP2;POSTN;PCOLCE;CCDC80;FGF14;CRISPLD2;SMOC2</t>
  </si>
  <si>
    <t>1842;8840;1281;2335;7070;7057;3678;87;7077;7412;1289;2200;4345;4323;1012;1307;2191;10631;6423;83700</t>
  </si>
  <si>
    <t>ECM2;CCN4;COL3A1;FN1;THY1;THBS1;ITGA5;ACTN1;TIMP2;VCAM1;COL5A1;FBN1;CD200;MMP14;CDH13;COL16A1;FAP;POSTN;SFRP2;JAM3</t>
  </si>
  <si>
    <t>4211;1842;8633;1281;2335;7070;3912;3624;1462;1123;6925;7077;3908;5176;6935;2668;6387;4323;4060;5549;5396;1009;4035;6695;5592;2621;10631;55083;79633;257194;219699;27319;115908;84628;6423;8642;25925;9638;4958;54587;91653;83700;93166;8877;50863;55714;51176;50944</t>
  </si>
  <si>
    <t>MEIS1;ECM2;UNC5C;COL3A1;FN1;THY1;LAMB1;INHBA;VCAN;CHN1;TCF4;TIMP2;LAMA2;SERPINF1;ZEB1;GDNF;CXCL12;MMP14;LUM;PRELP;PRRX1;CDH11;LRP1;SPOCK1;PRKG1;GAS6;POSTN;KIF26B;FAT4;NEGR1;UNC5B;BHLHE22;CTHRC1;NTNG2;SFRP2;DCHS1;ZNF521;FEZ1;OMD;MXRA8;BOC;JAM3;PRDM6;SPHK1;NTM;TENM3;LEF1;SHANK1</t>
  </si>
  <si>
    <t>GO_COMPLEX_OF_COLLAGEN_TRIMERS</t>
  </si>
  <si>
    <t>1277;1281;1290;1634;1278;1301;1291;1293;1289;50509;4060</t>
  </si>
  <si>
    <t>COL1A1;COL3A1;COL5A2;DCN;COL1A2;COL11A1;COL6A1;COL6A3;COL5A1;COL5A3;LUM</t>
  </si>
  <si>
    <t>http://www.broadinstitute.org/gsea/msigdb/cards/GO_COMPLEX_OF_COLLAGEN_TRIMERS.html</t>
  </si>
  <si>
    <t>7041;26585;1842;11248;8840;1281;2335;7070;5241;7057;3624;3678;5159;6343;7043;87;1123;7077;5156;7412;1289;2252;7292;3908;2200;2668;4345;6387;4323;6356;4920;1307;4035;2191;5311;2621;1740;3910;81832;2259;115908;6423;5919;83700;79953;51176;23452;6320;50944</t>
  </si>
  <si>
    <t>TGFB1I1;GREM1;ECM2;NXPH3;CCN4;COL3A1;FN1;THY1;PGR;THBS1;INHBA;ITGA5;PDGFRB;SCT;TGFB3;ACTN1;CHN1;TIMP2;PDGFRA;VCAM1;COL5A1;FGF7;TNFSF4;LAMA2;FBN1;GDNF;CD200;CXCL12;MMP14;CCL11;ROR2;COL16A1;LRP1;FAP;PKD2;GAS6;DLG2;LAMA4;NETO1;FGF14;CTHRC1;SFRP2;RARRES2;JAM3;SYNDIG1;LEF1;ANGPTL2;CLEC11A;SHANK1</t>
  </si>
  <si>
    <t>6591;26585;8633;1277;2335;3912;7169;7057;1278;3678;5159;1462;1123;5156;7412;1289;3908;2668;6387;4323;6356;781;1012;81792;800;6695;2191;5592;2621;6624;55083;10630;219699;115908;8642;122786;25960;6910;9638;91653;83700;57124;51176;22801;90627</t>
  </si>
  <si>
    <t>SNAI2;GREM1;UNC5C;COL1A1;FN1;LAMB1;TPM2;THBS1;COL1A2;ITGA5;PDGFRB;VCAN;CHN1;PDGFRA;VCAM1;COL5A1;LAMA2;GDNF;CXCL12;MMP14;CCL11;CACNA2D1;CDH13;ADAMTS12;CALD1;SPOCK1;FAP;PRKG1;GAS6;FSCN1;KIF26B;PDPN;UNC5B;CTHRC1;DCHS1;FRMD6;ADGRA2;TBX5;FEZ1;BOC;JAM3;CD248;LEF1;ITGA11;STARD13</t>
  </si>
  <si>
    <t>1842;8840;1281;2335;7070;1634;7057;3678;6678;87;7077;7412;1289;50509;2200;1513;1311;4323;4060;1307;4035;2191;22795;5118;6624;4921;55083;64175;127435;131578;6423;84251;83700;54829;84168;9902;22801;50944</t>
  </si>
  <si>
    <t>ECM2;CCN4;COL3A1;FN1;THY1;DCN;THBS1;ITGA5;SPARC;ACTN1;TIMP2;VCAM1;COL5A1;COL5A3;FBN1;CTSK;COMP;MMP14;LUM;COL16A1;LRP1;FAP;NID2;PCOLCE;FSCN1;DDR2;KIF26B;P3H1;PODN;LRRC15;SFRP2;SGIP1;JAM3;ASPN;ANTXR1;AC080038.1;ITGA11;SHANK1</t>
  </si>
  <si>
    <t>7041;6591;26585;1277;2335;1634;7057;3624;3678;5159;7043;6925;7077;2252;7292;7058;5176;6935;2668;6387;4323;6356;2621;4921;338773;6424;257194;115908;6423;6910;9638;5919;91653;64084;79953;9260;9254;8877;55714;51176;50944</t>
  </si>
  <si>
    <t>TGFB1I1;SNAI2;GREM1;COL1A1;FN1;DCN;THBS1;INHBA;ITGA5;PDGFRB;TGFB3;TCF4;TIMP2;FGF7;TNFSF4;THBS2;SERPINF1;ZEB1;GDNF;CXCL12;MMP14;CCL11;GAS6;DDR2;TMEM119;SFRP4;NEGR1;CTHRC1;SFRP2;TBX5;FEZ1;RARRES2;BOC;CLSTN2;SYNDIG1;PDLIM7;CACNA2D2;SPHK1;TENM3;LEF1;SHANK1</t>
  </si>
  <si>
    <t>4211;6591;26585;1842;8633;2335;7070;3912;3624;5159;1301;87;1123;5156;3908;25802;2668;6387;4060;5549;1009;59;5592;10631;55083;79633;55959;23213;219699;6444;115908;84628;6423;122786;9638;4958;54587;91653;83700;84168;9254;29767;50863;51176;57493;50944</t>
  </si>
  <si>
    <t>MEIS1;SNAI2;GREM1;ECM2;UNC5C;FN1;THY1;LAMB1;INHBA;PDGFRB;COL11A1;ACTN1;CHN1;PDGFRA;LAMA2;LMOD1;GDNF;CXCL12;LUM;PRELP;CDH11;ACTA2;PRKG1;POSTN;KIF26B;FAT4;SULF2;SULF1;UNC5B;SGCD;CTHRC1;NTNG2;SFRP2;FRMD6;FEZ1;OMD;MXRA8;BOC;JAM3;ANTXR1;CACNA2D2;TMOD2;NTM;LEF1;HEG1;SHANK1</t>
  </si>
  <si>
    <t>7041;26585;1277;2335;7057;3624;3678;6678;5159;6343;7043;6925;7077;2252;7292;7058;5176;6935;2668;6387;4323;6356;4060;2621;10631;4921;338773;6424;257194;55959;23213;115908;6423;25960;6910;9638;64084;79953;9260;9254;8877;55714;51176;57493;50944</t>
  </si>
  <si>
    <t>TGFB1I1;GREM1;COL1A1;FN1;THBS1;INHBA;ITGA5;SPARC;PDGFRB;SCT;TGFB3;TCF4;TIMP2;FGF7;TNFSF4;THBS2;SERPINF1;ZEB1;GDNF;CXCL12;MMP14;CCL11;LUM;GAS6;POSTN;DDR2;TMEM119;SFRP4;NEGR1;SULF2;SULF1;CTHRC1;SFRP2;ADGRA2;TBX5;FEZ1;CLSTN2;SYNDIG1;PDLIM7;CACNA2D2;SPHK1;TENM3;LEF1;HEG1;SHANK1</t>
  </si>
  <si>
    <t>4211;6591;1842;8840;1281;2335;7070;1634;7057;3678;6678;87;7077;7412;1289;50509;2200;6935;1513;1311;4323;4060;1012;1307;4035;2191;22795;5118;6624;4921;55083;64175;57616;127435;131578;6423;56917;84251;83700;54829;84168;9902;51176;22801;50944</t>
  </si>
  <si>
    <t>MEIS1;SNAI2;ECM2;CCN4;COL3A1;FN1;THY1;DCN;THBS1;ITGA5;SPARC;ACTN1;TIMP2;VCAM1;COL5A1;COL5A3;FBN1;ZEB1;CTSK;COMP;MMP14;LUM;CDH13;COL16A1;LRP1;FAP;NID2;PCOLCE;FSCN1;DDR2;KIF26B;P3H1;TSHZ3;PODN;LRRC15;SFRP2;MEIS3;SGIP1;JAM3;ASPN;ANTXR1;AC080038.1;LEF1;ITGA11;SHANK1</t>
  </si>
  <si>
    <t>6591;1277;2335;3912;7057;3678;6678;5159;5156;2252;6387;4323;6356;1012;4920;2621;10631;4638;4921;131578;25960;5919;50507;8877;51176</t>
  </si>
  <si>
    <t>SNAI2;COL1A1;FN1;LAMB1;THBS1;ITGA5;SPARC;PDGFRB;PDGFRA;FGF7;CXCL12;MMP14;CCL11;CDH13;ROR2;GAS6;POSTN;MYLK;DDR2;LRRC15;ADGRA2;RARRES2;NOX4;SPHK1;LEF1</t>
  </si>
  <si>
    <t>26585;9509;1281;6678;6343;7043;5156;2252;4015;6935;2668;4323;6356;5311;55083;79633;10630;115908;6423;8642;6910;5919;83716;79827;51339;51176;57493;90627</t>
  </si>
  <si>
    <t>GREM1;ADAMTS2;COL3A1;SPARC;SCT;TGFB3;PDGFRA;FGF7;LOX;ZEB1;GDNF;MMP14;CCL11;PKD2;KIF26B;FAT4;PDPN;CTHRC1;SFRP2;DCHS1;TBX5;RARRES2;CRISPLD2;CLMP;DACT1;LEF1;HEG1;STARD13</t>
  </si>
  <si>
    <t>6591;26585;1277;2335;3912;7057;1278;3678;5159;1462;5156;7412;1289;2668;6387;4323;6356;1012;81792;6695;2191;5592;2621;6624;10630;115908;8642;25960;6910;83700;57124;51176;22801;90627</t>
  </si>
  <si>
    <t>SNAI2;GREM1;COL1A1;FN1;LAMB1;THBS1;COL1A2;ITGA5;PDGFRB;VCAN;PDGFRA;VCAM1;COL5A1;GDNF;CXCL12;MMP14;CCL11;CDH13;ADAMTS12;SPOCK1;FAP;PRKG1;GAS6;FSCN1;PDPN;CTHRC1;DCHS1;ADGRA2;TBX5;JAM3;CD248;LEF1;ITGA11;STARD13</t>
  </si>
  <si>
    <t>8825;7041;2037;26025;8633;7070;3678;5159;87;4345;4323;1264;1012;3339;4035;2191;5311;1740;6624;4921;9644;165904;81832;91179;122786;83872;83604;23208;83700;79827;79953;50507;57091;9260;51339;9902;22801;57493;171024;50944</t>
  </si>
  <si>
    <t>LIN7A;TGFB1I1;EPB41L2;PCDHGA12;UNC5C;THY1;ITGA5;PDGFRB;ACTN1;CD200;MMP14;CNN1;CDH13;HSPG2;LRP1;FAP;PKD2;DLG2;FSCN1;DDR2;SH3PXD2A;XIRP1;NETO1;SCARF2;FRMD6;HMCN1;TMEM47;SYT11;JAM3;CLMP;SYNDIG1;NOX4;CASS4;PDLIM7;DACT1;AC080038.1;ITGA11;HEG1;SYNPO2;SHANK1</t>
  </si>
  <si>
    <t>4211;7041;6591;26585;1281;7070;1290;1634;7057;3624;6678;4882;1289;7292;4320;7058;5176;6935;81792;4035;6695;2621;10631;23213;10234;84814;147906;6423;6910;54829;93166;51176;90627</t>
  </si>
  <si>
    <t>MEIS1;TGFB1I1;SNAI2;GREM1;COL3A1;THY1;COL5A2;DCN;THBS1;INHBA;SPARC;NPR2;COL5A1;TNFSF4;MMP11;THBS2;SERPINF1;ZEB1;ADAMTS12;LRP1;SPOCK1;GAS6;POSTN;SULF1;LRRC17;PLPP7;DACT3;SFRP2;TBX5;ASPN;PRDM6;LEF1;STARD13</t>
  </si>
  <si>
    <t>GO_REGULATION_OF_CELLULAR_RESPONSE_TO_GROWTH_FACTOR_STIMULUS</t>
  </si>
  <si>
    <t>7041;26585;1634;7057;3678;7043;2200;6935;81792;94031;4052;23090;55959;23213;5654;6423;25960;54829;27122</t>
  </si>
  <si>
    <t>TGFB1I1;GREM1;DCN;THBS1;ITGA5;TGFB3;FBN1;ZEB1;ADAMTS12;HTRA3;LTBP1;ZNF423;SULF2;SULF1;HTRA1;SFRP2;ADGRA2;ASPN;DKK3</t>
  </si>
  <si>
    <t>http://www.broadinstitute.org/gsea/msigdb/cards/GO_REGULATION_OF_CELLULAR_RESPONSE_TO_GROWTH_FACTOR_STIMULUS.html</t>
  </si>
  <si>
    <t>GO_NEGATIVE_REGULATION_OF_CELLULAR_RESPONSE_TO_GROWTH_FACTOR_STIMULUS</t>
  </si>
  <si>
    <t>7041;26585;1634;7057;7043;2200;81792;94031;4052;55959;23213;5654;6423;25960;54829</t>
  </si>
  <si>
    <t>TGFB1I1;GREM1;DCN;THBS1;TGFB3;FBN1;ADAMTS12;HTRA3;LTBP1;SULF2;SULF1;HTRA1;SFRP2;ADGRA2;ASPN</t>
  </si>
  <si>
    <t>http://www.broadinstitute.org/gsea/msigdb/cards/GO_NEGATIVE_REGULATION_OF_CELLULAR_RESPONSE_TO_GROWTH_FACTOR_STIMULUS.html</t>
  </si>
  <si>
    <t>7041;26585;8434;2335;3912;4313;3624;3678;7043;1301;1291;5156;2200;6935;2668;4323;3899;5396;4237;4920;5311;115908;6423;6910;1303;51339;51176</t>
  </si>
  <si>
    <t>TGFB1I1;GREM1;RECK;FN1;LAMB1;MMP2;INHBA;ITGA5;TGFB3;COL11A1;COL6A1;PDGFRA;FBN1;ZEB1;GDNF;MMP14;AFF3;PRRX1;MFAP2;ROR2;PKD2;CTHRC1;SFRP2;TBX5;COL12A1;DACT1;LEF1</t>
  </si>
  <si>
    <t>8840;1277;1281;7057;1278;5159;7043;1291;5156;1289;94031;4052;4053;3490;5654</t>
  </si>
  <si>
    <t>CCN4;COL1A1;COL3A1;THBS1;COL1A2;PDGFRB;TGFB3;COL6A1;PDGFRA;COL5A1;HTRA3;LTBP1;LTBP2;IGFBP7;HTRA1</t>
  </si>
  <si>
    <t>284297;4211;6591;26585;1281;2335;7070;710;1290;1634;7057;3624;6678;6343;7043;5156;4882;1289;7292;5350;7058;5176;81792;4035;6695;5592;2621;23213;10234;114757;147906;6423;6910;54829;51176;90627</t>
  </si>
  <si>
    <t>SSC5D;MEIS1;SNAI2;GREM1;COL3A1;FN1;THY1;SERPING1;COL5A2;DCN;THBS1;INHBA;SPARC;SCT;TGFB3;PDGFRA;NPR2;COL5A1;TNFSF4;PLN;THBS2;SERPINF1;ADAMTS12;LRP1;SPOCK1;PRKG1;GAS6;SULF1;LRRC17;CYGB;DACT3;SFRP2;TBX5;ASPN;LEF1;STARD13</t>
  </si>
  <si>
    <t>7041;6591;26585;2335;3912;7057;3624;6678;5159;7043;7077;5156;7412;2252;7292;5176;6935;2668;5739;6387;6356;5396;1012;4920;1805;2191;5311;2621;3490;4921;64175;338773;6424;127435;55959;23213;5654;115908;6423;6910;57124;50507;8877;51176;6320</t>
  </si>
  <si>
    <t>TGFB1I1;SNAI2;GREM1;FN1;LAMB1;THBS1;INHBA;SPARC;PDGFRB;TGFB3;TIMP2;PDGFRA;VCAM1;FGF7;TNFSF4;SERPINF1;ZEB1;GDNF;PTGIR;CXCL12;CCL11;PRRX1;CDH13;ROR2;DPT;FAP;PKD2;GAS6;IGFBP7;DDR2;P3H1;TMEM119;SFRP4;PODN;SULF2;SULF1;HTRA1;CTHRC1;SFRP2;TBX5;CD248;NOX4;SPHK1;LEF1;CLEC11A</t>
  </si>
  <si>
    <t>7041;26585;8434;1277;2335;3912;4313;3624;3678;6343;7043;1301;1291;5156;2200;6935;2668;4323;3899;5396;4237;4920;5311;55959;23213;115908;6423;8642;6910;1303;5919;51339;51176;57493</t>
  </si>
  <si>
    <t>TGFB1I1;GREM1;RECK;COL1A1;FN1;LAMB1;MMP2;INHBA;ITGA5;SCT;TGFB3;COL11A1;COL6A1;PDGFRA;FBN1;ZEB1;GDNF;MMP14;AFF3;PRRX1;MFAP2;ROR2;PKD2;SULF2;SULF1;CTHRC1;SFRP2;DCHS1;TBX5;COL12A1;RARRES2;DACT1;LEF1;HEG1</t>
  </si>
  <si>
    <t>GO_BANDED_COLLAGEN_FIBRIL</t>
  </si>
  <si>
    <t>1277;1281;1290;1278;1301;1289;50509;4060</t>
  </si>
  <si>
    <t>COL1A1;COL3A1;COL5A2;COL1A2;COL11A1;COL5A1;COL5A3;LUM</t>
  </si>
  <si>
    <t>http://www.broadinstitute.org/gsea/msigdb/cards/GO_BANDED_COLLAGEN_FIBRIL.html</t>
  </si>
  <si>
    <t>6591;1277;1281;2335;1278;6678;5159;7043;5156;7412;2252;2200;4060;2619;81792;4920;11167;2621;4053;10631;2259;9638;50507;8877;51176</t>
  </si>
  <si>
    <t>SNAI2;COL1A1;COL3A1;FN1;COL1A2;SPARC;PDGFRB;TGFB3;PDGFRA;VCAM1;FGF7;FBN1;LUM;GAS1;ADAMTS12;ROR2;FSTL1;GAS6;LTBP2;POSTN;FGF14;FEZ1;NOX4;SPHK1;LEF1</t>
  </si>
  <si>
    <t>GO_SINGLE_ORGANISM_CATABOLIC_PROCESS</t>
  </si>
  <si>
    <t>5352;9509;1277;1281;1290;1634;1278;4313;1301;1291;1292;1293;1462;1289;633;4320;1296;50509;1306;5322;1513;4323;4060;5549;1300;5592;4638;160428;255189;6424;1303;4958;91653;8877;9902</t>
  </si>
  <si>
    <t>PLOD2;ADAMTS2;COL1A1;COL3A1;COL5A2;DCN;COL1A2;MMP2;COL11A1;COL6A1;COL6A2;COL6A3;VCAN;COL5A1;BGN;MMP11;COL8A2;COL5A3;COL15A1;PLA2G5;CTSK;MMP14;LUM;PRELP;COL10A1;PRKG1;MYLK;ALDH1L2;PLA2G4F;SFRP4;COL12A1;OMD;BOC;SPHK1;AC080038.1</t>
  </si>
  <si>
    <t>http://www.broadinstitute.org/gsea/msigdb/cards/GO_SINGLE_ORGANISM_CATABOLIC_PROCESS.html</t>
  </si>
  <si>
    <t>7041;6591;26585;1277;2335;7070;1290;1634;7057;3678;6678;7043;1123;1289;2252;7058;5176;2668;6387;6356;81792;4920;10631;10630;55959;23213;147906;115908;6423;25960;6910;54829;8877;51339;51176;90627</t>
  </si>
  <si>
    <t>TGFB1I1;SNAI2;GREM1;COL1A1;FN1;THY1;COL5A2;DCN;THBS1;ITGA5;SPARC;TGFB3;CHN1;COL5A1;FGF7;THBS2;SERPINF1;GDNF;CXCL12;CCL11;ADAMTS12;ROR2;POSTN;PDPN;SULF2;SULF1;DACT3;CTHRC1;SFRP2;ADGRA2;TBX5;ASPN;SPHK1;DACT1;LEF1;STARD13</t>
  </si>
  <si>
    <t>395;1842;1281;2335;7070;3912;3678;87;7412;50509;81792;22795;2621;83700;84168;22801</t>
  </si>
  <si>
    <t>ARHGAP6;ECM2;COL3A1;FN1;THY1;LAMB1;ITGA5;ACTN1;VCAM1;COL5A3;ADAMTS12;NID2;GAS6;JAM3;ANTXR1;ITGA11</t>
  </si>
  <si>
    <t>7041;6591;26585;1281;7070;3624;3678;1301;1289;2252;2668;4323;6356;59;72;5311;4638;55083;79633;115908;6423;8642;6910;51176;57493;90627</t>
  </si>
  <si>
    <t>TGFB1I1;SNAI2;GREM1;COL3A1;THY1;INHBA;ITGA5;COL11A1;COL5A1;FGF7;GDNF;MMP14;CCL11;ACTA2;ACTG2;PKD2;MYLK;KIF26B;FAT4;CTHRC1;SFRP2;DCHS1;TBX5;LEF1;HEG1;STARD13</t>
  </si>
  <si>
    <t>4211;26585;2335;7070;7057;4313;3678;5159;5156;1296;1306;4323;1012;3339;2191;219699;6423;25960;83700;51176</t>
  </si>
  <si>
    <t>MEIS1;GREM1;FN1;THY1;THBS1;MMP2;ITGA5;PDGFRB;PDGFRA;COL8A2;COL15A1;MMP14;CDH13;HSPG2;FAP;UNC5B;SFRP2;ADGRA2;JAM3;LEF1</t>
  </si>
  <si>
    <t>6591;26585;1842;8633;2335;3912;87;1123;3908;2668;6387;4060;5549;1009;55083;219699;84628;122786;9638;4958;91653;84168;51176;57493;50944</t>
  </si>
  <si>
    <t>SNAI2;GREM1;ECM2;UNC5C;FN1;LAMB1;ACTN1;CHN1;LAMA2;GDNF;CXCL12;LUM;PRELP;CDH11;KIF26B;UNC5B;NTNG2;FRMD6;FEZ1;OMD;BOC;ANTXR1;LEF1;HEG1;SHANK1</t>
  </si>
  <si>
    <t>5352;5924;1277;1281;7070;1290;7057;1278;3678;1301;1291;1292;1293;7412;1289;1296;50509;5350;1306;781;2326;5351;1300;1307;5311;2621;9697;8639;64175;338773;340075;79070;283208;55959;23213;253827;84814;387758;1303;53345;64084;10418;50507;29940;10335</t>
  </si>
  <si>
    <t>PLOD2;RASGRF2;COL1A1;COL3A1;THY1;COL5A2;THBS1;COL1A2;ITGA5;COL11A1;COL6A1;COL6A2;COL6A3;VCAM1;COL5A1;COL8A2;COL5A3;PLN;COL15A1;CACNA2D1;FMO1;PLOD1;COL10A1;COL16A1;PKD2;GAS6;TRAM2;AOC3;P3H1;TMEM119;ARSI;POGLUT2;P4HA3;SULF2;SULF1;MSRB3;PLPP7;FIBIN;COL12A1;TM6SF2;CLSTN2;SPON1;NOX4;DSE;MRVI1</t>
  </si>
  <si>
    <t>5352;7041;6591;1277;1281;2335;1290;5241;7057;1278;4313;3624;6678;5159;7043;1291;7077;7412;2252;7292;5350;4015;2200;5176;6935;5322;6387;4323;1012;81792;4920;5351;1307;11167;5311;4053;10631;6424;2259;50507;8877;51176</t>
  </si>
  <si>
    <t>PLOD2;TGFB1I1;SNAI2;COL1A1;COL3A1;FN1;COL5A2;PGR;THBS1;COL1A2;MMP2;INHBA;SPARC;PDGFRB;TGFB3;COL6A1;TIMP2;VCAM1;FGF7;TNFSF4;PLN;LOX;FBN1;SERPINF1;ZEB1;PLA2G5;CXCL12;MMP14;CDH13;ADAMTS12;ROR2;PLOD1;COL16A1;FSTL1;PKD2;LTBP2;POSTN;SFRP4;FGF14;NOX4;SPHK1;LEF1</t>
  </si>
  <si>
    <t>4211;1277;6678;7043;4882;1311;4323;1300;64175;79633;55959;23213;10234;6423;8642</t>
  </si>
  <si>
    <t>MEIS1;COL1A1;SPARC;TGFB3;NPR2;COMP;MMP14;COL10A1;P3H1;FAT4;SULF2;SULF1;LRRC17;SFRP2;DCHS1</t>
  </si>
  <si>
    <t>7041;6591;26585;1277;2335;3624;7043;6925;7077;7292;5176;6935;2668;6387;4323;2621;4921;338773;6424;257194;115908;6423;6910;9638;5919;91653;9260;8877;55714;51176;50944</t>
  </si>
  <si>
    <t>TGFB1I1;SNAI2;GREM1;COL1A1;FN1;INHBA;TGFB3;TCF4;TIMP2;TNFSF4;SERPINF1;ZEB1;GDNF;CXCL12;MMP14;GAS6;DDR2;TMEM119;SFRP4;NEGR1;CTHRC1;SFRP2;TBX5;FEZ1;RARRES2;BOC;PDLIM7;SPHK1;TENM3;LEF1;SHANK1</t>
  </si>
  <si>
    <t>395;6591;26585;1842;1277;2335;7070;7057;3678;7412;7292;3908;6935;6387;4323;1012;2199;1307;6695;5592;10631;3910;55083;151887;6423;64094;51176</t>
  </si>
  <si>
    <t>ARHGAP6;SNAI2;GREM1;ECM2;COL1A1;FN1;THY1;THBS1;ITGA5;VCAM1;TNFSF4;LAMA2;ZEB1;CXCL12;MMP14;CDH13;FBLN2;COL16A1;SPOCK1;PRKG1;POSTN;LAMA4;KIF26B;CCDC80;SFRP2;SMOC2;LEF1</t>
  </si>
  <si>
    <t>GO_SENSORY_ORGAN_DEVELOPMENT</t>
  </si>
  <si>
    <t>4211;8825;7070;1290;3624;6678;5159;7043;1301;5156;1289;1296;2200;5176;6935;5396;4237;4920;79633;54796;115908;8642;55714;51176</t>
  </si>
  <si>
    <t>MEIS1;LIN7A;THY1;COL5A2;INHBA;SPARC;PDGFRB;TGFB3;COL11A1;PDGFRA;COL5A1;COL8A2;FBN1;SERPINF1;ZEB1;PRRX1;MFAP2;ROR2;FAT4;BNC2;CTHRC1;DCHS1;TENM3;LEF1</t>
  </si>
  <si>
    <t>http://www.broadinstitute.org/gsea/msigdb/cards/GO_SENSORY_ORGAN_DEVELOPMENT.html</t>
  </si>
  <si>
    <t>6591;26585;1842;8633;2335;3912;5159;87;1123;5156;3908;25802;2668;6387;4060;5549;1009;10631;55083;10630;219699;84628;122786;9638;4958;91653;84168;50507;29767;51176;57493;50944</t>
  </si>
  <si>
    <t>SNAI2;GREM1;ECM2;UNC5C;FN1;LAMB1;PDGFRB;ACTN1;CHN1;PDGFRA;LAMA2;LMOD1;GDNF;CXCL12;LUM;PRELP;CDH11;POSTN;KIF26B;PDPN;UNC5B;NTNG2;FRMD6;FEZ1;OMD;BOC;ANTXR1;NOX4;TMOD2;LEF1;HEG1;SHANK1</t>
  </si>
  <si>
    <t>6591;26585;1281;6678;5159;1301;5156;1289;5350;4015;2200;5311;4052;27295;79633;165904;6444;6423;8642;6910;80114;50507;57493</t>
  </si>
  <si>
    <t>SNAI2;GREM1;COL3A1;SPARC;PDGFRB;COL11A1;PDGFRA;COL5A1;PLN;LOX;FBN1;PKD2;LTBP1;PDLIM3;FAT4;XIRP1;SGCD;SFRP2;DCHS1;TBX5;BICC1;NOX4;HEG1</t>
  </si>
  <si>
    <t>GO_PLATELET_DERIVED_GROWTH_FACTOR_BINDING</t>
  </si>
  <si>
    <t>1277;1281;1278;5159;1291;5156;1289</t>
  </si>
  <si>
    <t>COL1A1;COL3A1;COL1A2;PDGFRB;COL6A1;PDGFRA;COL5A1</t>
  </si>
  <si>
    <t>http://www.broadinstitute.org/gsea/msigdb/cards/GO_PLATELET_DERIVED_GROWTH_FACTOR_BINDING.html</t>
  </si>
  <si>
    <t>GO_MUSCLE_STRUCTURE_DEVELOPMENT</t>
  </si>
  <si>
    <t>8038;26585;9242;1281;1634;5159;1301;1293;5156;3908;25802;6876;4638;165;6444;6910;50507;9254;29767;51176;22801;57493</t>
  </si>
  <si>
    <t>ADAM12;GREM1;MSC;COL3A1;DCN;PDGFRB;COL11A1;COL6A3;PDGFRA;LAMA2;LMOD1;TAGLN;MYLK;AEBP1;SGCD;TBX5;NOX4;CACNA2D2;TMOD2;LEF1;ITGA11;HEG1</t>
  </si>
  <si>
    <t>http://www.broadinstitute.org/gsea/msigdb/cards/GO_MUSCLE_STRUCTURE_DEVELOPMENT.html</t>
  </si>
  <si>
    <t>395;26585;1842;1277;2335;7057;3678;4323;1012;2199;1307;6695;10631;151887;64094</t>
  </si>
  <si>
    <t>ARHGAP6;GREM1;ECM2;COL1A1;FN1;THBS1;ITGA5;MMP14;CDH13;FBLN2;COL16A1;SPOCK1;POSTN;CCDC80;SMOC2</t>
  </si>
  <si>
    <t>5352;7041;6591;1277;1281;2335;1290;5241;1634;1278;4313;3624;6678;5159;7043;1291;5156;7412;4882;2252;633;7292;2200;5176;6935;6387;6356;2619;1012;81792;4920;5351;1307;11167;2621;4053;10631;255189;79883;127435;131578;2259;9638;54829;50507;8877;51176</t>
  </si>
  <si>
    <t>PLOD2;TGFB1I1;SNAI2;COL1A1;COL3A1;FN1;COL5A2;PGR;DCN;COL1A2;MMP2;INHBA;SPARC;PDGFRB;TGFB3;COL6A1;PDGFRA;VCAM1;NPR2;FGF7;BGN;TNFSF4;FBN1;SERPINF1;ZEB1;CXCL12;CCL11;GAS1;CDH13;ADAMTS12;ROR2;PLOD1;COL16A1;FSTL1;GAS6;LTBP2;POSTN;PLA2G4F;PODNL1;PODN;LRRC15;FGF14;FEZ1;ASPN;NOX4;SPHK1;LEF1</t>
  </si>
  <si>
    <t>GO_REGULATION_OF_TRANSMEMBRANE_RECEPTOR_PROTEIN_SERINE_THREONINE_KINASE_SIGNALING_PATHWAY</t>
  </si>
  <si>
    <t>7041;26585;7057;3624;7043;2200;6935;94031;4052;23090;23213;5654;6423;54829;51339;27122</t>
  </si>
  <si>
    <t>TGFB1I1;GREM1;THBS1;INHBA;TGFB3;FBN1;ZEB1;HTRA3;LTBP1;ZNF423;SULF1;HTRA1;SFRP2;ASPN;DACT1;DKK3</t>
  </si>
  <si>
    <t>http://www.broadinstitute.org/gsea/msigdb/cards/GO_REGULATION_OF_TRANSMEMBRANE_RECEPTOR_PROTEIN_SERINE_THREONINE_KINASE_SIGNALING_PATHWAY.html</t>
  </si>
  <si>
    <t>4211;7041;26585;1277;1281;2335;7070;7043;1123;6925;7077;4882;5176;6935;2668;6387;5396;4035;6695;10631;257194;147906;6423;25960;6910;9638;8877;55714;51176;50944</t>
  </si>
  <si>
    <t>MEIS1;TGFB1I1;GREM1;COL1A1;COL3A1;FN1;THY1;TGFB3;CHN1;TCF4;TIMP2;NPR2;SERPINF1;ZEB1;GDNF;CXCL12;PRRX1;LRP1;SPOCK1;POSTN;NEGR1;DACT3;SFRP2;ADGRA2;TBX5;FEZ1;SPHK1;TENM3;LEF1;SHANK1</t>
  </si>
  <si>
    <t>2037;30008;1277;1281;1290;3912;7169;1278;1301;1462;1289;633;3908;10398;1296;50509;2200;1306;1311;4060;5549;2199;8076;3910;27295;1303;84617;50944</t>
  </si>
  <si>
    <t>EPB41L2;EFEMP2;COL1A1;COL3A1;COL5A2;LAMB1;TPM2;COL1A2;COL11A1;VCAN;COL5A1;BGN;LAMA2;MYL9;COL8A2;COL5A3;FBN1;COL15A1;COMP;LUM;PRELP;FBLN2;MFAP5;LAMA4;PDLIM3;COL12A1;TUBB6;SHANK1</t>
  </si>
  <si>
    <t>http://www.broadinstitute.org/gsea/msigdb/cards/GO_STRUCTURAL_MOLECULE_ACTIVITY.html</t>
  </si>
  <si>
    <t>GO_ENDODERMAL_CELL_DIFFERENTIATION</t>
  </si>
  <si>
    <t>2335;3912;4313;3624;3678;1301;1291;4323;1303</t>
  </si>
  <si>
    <t>FN1;LAMB1;MMP2;INHBA;ITGA5;COL11A1;COL6A1;MMP14;COL12A1</t>
  </si>
  <si>
    <t>http://www.broadinstitute.org/gsea/msigdb/cards/GO_ENDODERMAL_CELL_DIFFERENTIATION.html</t>
  </si>
  <si>
    <t>26025;7070;3912;3678;87;5156;7412;7292;10398;1296;4345;1009;1012;7216;2621;79633;257194;10630;8642;83604;83700;64084;55714;51176;56099</t>
  </si>
  <si>
    <t>PCDHGA12;THY1;LAMB1;ITGA5;ACTN1;PDGFRA;VCAM1;TNFSF4;MYL9;COL8A2;CD200;CDH11;CDH13;TRO;GAS6;FAT4;NEGR1;PDPN;DCHS1;TMEM47;JAM3;CLSTN2;TENM3;LEF1;PCDHGB7</t>
  </si>
  <si>
    <t>395;7041;26585;1277;1281;2335;7070;710;1634;7057;4313;3624;3678;5159;716;7043;1123;7077;5156;5225;7292;5322;5739;1513;6387;6356;5396;1012;4920;5311;2621;4638;23090;196051;6424;55959;23213;219699;81832;6423;56917;5919;50507;8877;51339;29767;50944</t>
  </si>
  <si>
    <t>ARHGAP6;TGFB1I1;GREM1;COL1A1;COL3A1;FN1;THY1;SERPING1;DCN;THBS1;MMP2;INHBA;ITGA5;PDGFRB;C1S;TGFB3;CHN1;TIMP2;PDGFRA;PGC;TNFSF4;PLA2G5;PTGIR;CTSK;CXCL12;CCL11;PRRX1;CDH13;ROR2;PKD2;GAS6;MYLK;ZNF423;PLPP4;SFRP4;SULF2;SULF1;UNC5B;NETO1;SFRP2;MEIS3;RARRES2;NOX4;SPHK1;DACT1;TMOD2;SHANK1</t>
  </si>
  <si>
    <t>GO_CONNECTIVE_TISSUE_DEVELOPMENT</t>
  </si>
  <si>
    <t>6591;1277;5159;1301;1289;6935;1311;4060;5396;59;4920;1300;55959;23213;6423</t>
  </si>
  <si>
    <t>SNAI2;COL1A1;PDGFRB;COL11A1;COL5A1;ZEB1;COMP;LUM;PRRX1;ACTA2;ROR2;COL10A1;SULF2;SULF1;SFRP2</t>
  </si>
  <si>
    <t>http://www.broadinstitute.org/gsea/msigdb/cards/GO_CONNECTIVE_TISSUE_DEVELOPMENT.html</t>
  </si>
  <si>
    <t>5924;395;26585;8434;2335;7070;710;1634;5159;392617;1293;1123;7077;5156;2252;633;5350;5176;2668;2978;2978;5739;4323;6695;5592;2621;5118;3316;3779;79883;85360;127435;115557;131578;6423;54829;51176;90627</t>
  </si>
  <si>
    <t>RASGRF2;ARHGAP6;GREM1;RECK;FN1;THY1;SERPING1;DCN;PDGFRB;ELFN1;COL6A3;CHN1;TIMP2;PDGFRA;FGF7;BGN;PLN;SERPINF1;GDNF;GUCA1A;AL096814.2;PTGIR;MMP14;SPOCK1;PRKG1;GAS6;PCOLCE;HSPB2;KCNMB1;PODNL1;SYDE1;PODN;ARHGEF25;LRRC15;SFRP2;ASPN;LEF1;STARD13</t>
  </si>
  <si>
    <t>7041;2037;7070;3678;5159;87;4323;1264;1012;3339;4035;2191;4921;91179;50507;57091;9260;9902;22801;171024</t>
  </si>
  <si>
    <t>TGFB1I1;EPB41L2;THY1;ITGA5;PDGFRB;ACTN1;MMP14;CNN1;CDH13;HSPG2;LRP1;FAP;DDR2;SCARF2;NOX4;CASS4;PDLIM7;AC080038.1;ITGA11;SYNPO2</t>
  </si>
  <si>
    <t>7041;2037;7070;3678;5159;87;4345;4323;1264;1012;3339;4035;2191;4921;91179;83700;50507;57091;9260;9902;22801;171024</t>
  </si>
  <si>
    <t>TGFB1I1;EPB41L2;THY1;ITGA5;PDGFRB;ACTN1;CD200;MMP14;CNN1;CDH13;HSPG2;LRP1;FAP;DDR2;SCARF2;JAM3;NOX4;CASS4;PDLIM7;AC080038.1;ITGA11;SYNPO2</t>
  </si>
  <si>
    <t>6591;1277;710;7169;1278;3624;3678;6343;1301;4882;10398;5350;25802;5176;2668;2978;2978;6387;4060;781;59;72;800;5592;2621;10631;1740;4638;57616;55959;23213;143503;81832;6444;83872;83700;54112;63895;29767;25769;51176;57493;50944;10699</t>
  </si>
  <si>
    <t>SNAI2;COL1A1;SERPING1;TPM2;COL1A2;INHBA;ITGA5;SCT;COL11A1;NPR2;MYL9;PLN;LMOD1;SERPINF1;GDNF;GUCA1A;AL096814.2;CXCL12;LUM;CACNA2D1;ACTA2;ACTG2;CALD1;PRKG1;GAS6;POSTN;DLG2;MYLK;TSHZ3;SULF2;SULF1;OR51E1;NETO1;SGCD;HMCN1;JAM3;GPR88;PIEZO2;TMOD2;SLC24A2;LEF1;HEG1;SHANK1;CORIN</t>
  </si>
  <si>
    <t>395;1842;1281;2335;7070;87;7412;50509;81792;22795;83700;22801</t>
  </si>
  <si>
    <t>ARHGAP6;ECM2;COL3A1;FN1;THY1;ACTN1;VCAM1;COL5A3;ADAMTS12;NID2;JAM3;ITGA11</t>
  </si>
  <si>
    <t>GO_ENDODERM_FORMATION</t>
  </si>
  <si>
    <t>http://www.broadinstitute.org/gsea/msigdb/cards/GO_ENDODERM_FORMATION.html</t>
  </si>
  <si>
    <t>6591;26585;2335;710;1634;7057;5159;5156;5225;2252;7292;5176;2978;2978;1513;6387;6356;1012;81792;7130;2191;5592;2621;4638;5654;2259;25960;9638;5919;83700</t>
  </si>
  <si>
    <t>SNAI2;GREM1;FN1;SERPING1;DCN;THBS1;PDGFRB;PDGFRA;PGC;FGF7;TNFSF4;SERPINF1;GUCA1A;AL096814.2;CTSK;CXCL12;CCL11;CDH13;ADAMTS12;TNFAIP6;FAP;PRKG1;GAS6;MYLK;HTRA1;FGF14;ADGRA2;FEZ1;RARRES2;JAM3</t>
  </si>
  <si>
    <t>GO_ENDOPLASMIC_RETICULUM_PART</t>
  </si>
  <si>
    <t>5352;5924;1277;1281;1290;7057;1278;1301;1291;1292;1293;1289;1296;50509;5350;1306;2326;5351;1300;1307;5311;2621;64175;338773;340075;79070;283208;84814;1303;53345;64084;10418;50507;10335</t>
  </si>
  <si>
    <t>PLOD2;RASGRF2;COL1A1;COL3A1;COL5A2;THBS1;COL1A2;COL11A1;COL6A1;COL6A2;COL6A3;COL5A1;COL8A2;COL5A3;PLN;COL15A1;FMO1;PLOD1;COL10A1;COL16A1;PKD2;GAS6;P3H1;TMEM119;ARSI;POGLUT2;P4HA3;PLPP7;COL12A1;TM6SF2;CLSTN2;SPON1;NOX4;MRVI1</t>
  </si>
  <si>
    <t>http://www.broadinstitute.org/gsea/msigdb/cards/GO_ENDOPLASMIC_RETICULUM_PART.html</t>
  </si>
  <si>
    <t>GO_EXTRACELLULAR_MATRIX_BINDING</t>
  </si>
  <si>
    <t>284297;1634;7057;6678;1301;633;2199;131578;57124</t>
  </si>
  <si>
    <t>SSC5D;DCN;THBS1;SPARC;COL11A1;BGN;FBLN2;LRRC15;CD248</t>
  </si>
  <si>
    <t>http://www.broadinstitute.org/gsea/msigdb/cards/GO_EXTRACELLULAR_MATRIX_BINDING.html</t>
  </si>
  <si>
    <t>1842;8633;7070;3912;3624;1123;3908;2668;6387;4060;5549;5396;1009;6695;5592;10631;55083;79633;219699;115908;84628;25925;9638;4958;91653;83700;50863;51176;50944</t>
  </si>
  <si>
    <t>ECM2;UNC5C;THY1;LAMB1;INHBA;CHN1;LAMA2;GDNF;CXCL12;LUM;PRELP;PRRX1;CDH11;SPOCK1;PRKG1;POSTN;KIF26B;FAT4;UNC5B;CTHRC1;NTNG2;ZNF521;FEZ1;OMD;BOC;JAM3;NTM;LEF1;SHANK1</t>
  </si>
  <si>
    <t>GO_EXTRACELLULAR_MATRIX_DISASSEMBLY</t>
  </si>
  <si>
    <t>2335;1634;4313;7077;4320;2200;1513;4323;3339;5654</t>
  </si>
  <si>
    <t>FN1;DCN;MMP2;TIMP2;MMP11;FBN1;CTSK;MMP14;HSPG2;HTRA1</t>
  </si>
  <si>
    <t>http://www.broadinstitute.org/gsea/msigdb/cards/GO_EXTRACELLULAR_MATRIX_DISASSEMBLY.html</t>
  </si>
  <si>
    <t>395;7041;26585;1277;1281;1634;7057;3624;3678;5159;6343;7043;1123;7077;5156;3908;5322;5739;6356;5396;1012;4920;5311;2621;23090;6424;55959;23213;219699;81832;6423;56917;64084;50507;8877;51339;29767;25769;50944</t>
  </si>
  <si>
    <t>ARHGAP6;TGFB1I1;GREM1;COL1A1;COL3A1;DCN;THBS1;INHBA;ITGA5;PDGFRB;SCT;TGFB3;CHN1;TIMP2;PDGFRA;LAMA2;PLA2G5;PTGIR;CCL11;PRRX1;CDH13;ROR2;PKD2;GAS6;ZNF423;SFRP4;SULF2;SULF1;UNC5B;NETO1;SFRP2;MEIS3;CLSTN2;NOX4;SPHK1;DACT1;TMOD2;SLC24A2;SHANK1</t>
  </si>
  <si>
    <t>7041;6591;26585;7057;3624;6678;7043;7077;5176;6935;5739;1012;4920;1805;2191;5311;3490;64175;6424;127435;23213;6423;6910;50507</t>
  </si>
  <si>
    <t>TGFB1I1;SNAI2;GREM1;THBS1;INHBA;SPARC;TGFB3;TIMP2;SERPINF1;ZEB1;PTGIR;CDH13;ROR2;DPT;FAP;PKD2;IGFBP7;P3H1;SFRP4;PODN;SULF1;SFRP2;TBX5;NOX4</t>
  </si>
  <si>
    <t>395;2037;7169;5159;87;5156;2252;25802;6356;1264;781;5592;6624;27295;165904;122786;84168;9260;29767;54551</t>
  </si>
  <si>
    <t>ARHGAP6;EPB41L2;TPM2;PDGFRB;ACTN1;PDGFRA;FGF7;LMOD1;CCL11;CNN1;CACNA2D1;PRKG1;FSCN1;PDLIM3;XIRP1;FRMD6;ANTXR1;PDLIM7;TMOD2;MAGEL2</t>
  </si>
  <si>
    <t>26585;7070;7057;3678;6678;7043;7077;7412;633;7292;6387;1012;2191;4638;8639;6424;10630;55959;23213;25960;54587;64084;79827;84168;57493;10699</t>
  </si>
  <si>
    <t>GREM1;THY1;THBS1;ITGA5;SPARC;TGFB3;TIMP2;VCAM1;BGN;TNFSF4;CXCL12;CDH13;FAP;MYLK;AOC3;SFRP4;PDPN;SULF2;SULF1;ADGRA2;MXRA8;CLSTN2;CLMP;ANTXR1;HEG1;CORIN</t>
  </si>
  <si>
    <t>4211;7041;6591;26585;1281;7070;1290;3624;4882;1289;7292;4320;6935;81792;4035;6695;10631;10234;84814;147906;6423;6910;93166</t>
  </si>
  <si>
    <t>MEIS1;TGFB1I1;SNAI2;GREM1;COL3A1;THY1;COL5A2;INHBA;NPR2;COL5A1;TNFSF4;MMP11;ZEB1;ADAMTS12;LRP1;SPOCK1;POSTN;LRRC17;PLPP7;DACT3;SFRP2;TBX5;PRDM6</t>
  </si>
  <si>
    <t>1277;1281;2335;710;1634;1278;3678;6678;5159;7043;87;5156;1289;2252;10398;4015;953;2621;10631;10630;55959;83700</t>
  </si>
  <si>
    <t>COL1A1;COL3A1;FN1;SERPING1;DCN;COL1A2;ITGA5;SPARC;PDGFRB;TGFB3;ACTN1;PDGFRA;COL5A1;FGF7;MYL9;LOX;ENTPD1;GAS6;POSTN;PDPN;SULF2;JAM3</t>
  </si>
  <si>
    <t>5352;7041;6591;1277;1281;2335;1290;5241;1278;4313;3624;5159;7043;1291;2252;7292;2200;5176;6935;1012;81792;4920;5351;1307;11167;4053;10631;2259;50507;51176</t>
  </si>
  <si>
    <t>PLOD2;TGFB1I1;SNAI2;COL1A1;COL3A1;FN1;COL5A2;PGR;COL1A2;MMP2;INHBA;PDGFRB;TGFB3;COL6A1;FGF7;TNFSF4;FBN1;SERPINF1;ZEB1;CDH13;ADAMTS12;ROR2;PLOD1;COL16A1;FSTL1;LTBP2;POSTN;FGF14;NOX4;LEF1</t>
  </si>
  <si>
    <t>26585;5159;5156;2668;59;5311;55083;79633;55959;23213;8642</t>
  </si>
  <si>
    <t>GREM1;PDGFRB;PDGFRA;GDNF;ACTA2;PKD2;KIF26B;FAT4;SULF2;SULF1;DCHS1</t>
  </si>
  <si>
    <t>1277;1281;2335;710;1634;1278;3678;6678;5159;7043;87;5156;1289;2252;10398;4015;953;2621;10631;10630</t>
  </si>
  <si>
    <t>COL1A1;COL3A1;FN1;SERPING1;DCN;COL1A2;ITGA5;SPARC;PDGFRB;TGFB3;ACTN1;PDGFRA;COL5A1;FGF7;MYL9;LOX;ENTPD1;GAS6;POSTN;PDPN</t>
  </si>
  <si>
    <t>GO_CARTILAGE_DEVELOPMENT</t>
  </si>
  <si>
    <t>6591;1277;1301;6935;1311;4060;5396;4920;1300;55959;23213;6423</t>
  </si>
  <si>
    <t>SNAI2;COL1A1;COL11A1;ZEB1;COMP;LUM;PRRX1;ROR2;COL10A1;SULF2;SULF1;SFRP2</t>
  </si>
  <si>
    <t>http://www.broadinstitute.org/gsea/msigdb/cards/GO_CARTILAGE_DEVELOPMENT.html</t>
  </si>
  <si>
    <t>395;26585;8434;2335;7070;710;1634;392617;1293;1123;7077;633;5350;5176;2978;2978;4323;6695;2621;5118;3316;79883;85360;127435;131578;6423;54829;51176;90627</t>
  </si>
  <si>
    <t>ARHGAP6;GREM1;RECK;FN1;THY1;SERPING1;DCN;ELFN1;COL6A3;CHN1;TIMP2;BGN;PLN;SERPINF1;GUCA1A;AL096814.2;MMP14;SPOCK1;GAS6;PCOLCE;HSPB2;PODNL1;SYDE1;PODN;LRRC15;SFRP2;ASPN;LEF1;STARD13</t>
  </si>
  <si>
    <t>1842;8633;7070;3912;1123;3908;2668;6387;4060;5549;1009;5592;10631;55083;79633;219699;115908;84628;9638;4958;91653;83700;50863;50944</t>
  </si>
  <si>
    <t>ECM2;UNC5C;THY1;LAMB1;CHN1;LAMA2;GDNF;CXCL12;LUM;PRELP;CDH11;PRKG1;POSTN;KIF26B;FAT4;UNC5B;CTHRC1;NTNG2;FEZ1;OMD;BOC;JAM3;NTM;SHANK1</t>
  </si>
  <si>
    <t>GO_GOLGI_LUMEN</t>
  </si>
  <si>
    <t>1634;1462;633;4320;4323;4060;5549;3339;2621;4958</t>
  </si>
  <si>
    <t>DCN;VCAN;BGN;MMP11;MMP14;LUM;PRELP;HSPG2;GAS6;OMD</t>
  </si>
  <si>
    <t>http://www.broadinstitute.org/gsea/msigdb/cards/GO_GOLGI_LUMEN.html</t>
  </si>
  <si>
    <t>26585;8434;1281;7070;1634;7057;5176;6387;4035;127435;23213;114757;6423;6910;90627</t>
  </si>
  <si>
    <t>GREM1;RECK;COL3A1;THY1;DCN;THBS1;SERPINF1;CXCL12;LRP1;PODN;SULF1;CYGB;SFRP2;TBX5;STARD13</t>
  </si>
  <si>
    <t>GO_ENDODERM_DEVELOPMENT</t>
  </si>
  <si>
    <t>http://www.broadinstitute.org/gsea/msigdb/cards/GO_ENDODERM_DEVELOPMENT.html</t>
  </si>
  <si>
    <t>5352;7041;9509;1277;1281;1290;1634;1278;4313;1301;1291;1292;1293;1462;5225;1289;633;4320;1296;50509;1306;5322;1513;4323;4060;5549;81792;3339;1300;2191;5592;4638;160428;255189;6424;1303;4958;91653;8877;9902;23194</t>
  </si>
  <si>
    <t>PLOD2;TGFB1I1;ADAMTS2;COL1A1;COL3A1;COL5A2;DCN;COL1A2;MMP2;COL11A1;COL6A1;COL6A2;COL6A3;VCAN;PGC;COL5A1;BGN;MMP11;COL8A2;COL5A3;COL15A1;PLA2G5;CTSK;MMP14;LUM;PRELP;ADAMTS12;HSPG2;COL10A1;FAP;PRKG1;MYLK;ALDH1L2;PLA2G4F;SFRP4;COL12A1;OMD;BOC;SPHK1;AC080038.1;FBXL7</t>
  </si>
  <si>
    <t>GO_ACTIN_CYTOSKELETON</t>
  </si>
  <si>
    <t>395;2037;7169;87;7412;10398;25802;59;72;800;5311;4638;6624;27295;9644;50507;9260;29767;171024</t>
  </si>
  <si>
    <t>ARHGAP6;EPB41L2;TPM2;ACTN1;VCAM1;MYL9;LMOD1;ACTA2;ACTG2;CALD1;PKD2;MYLK;FSCN1;PDLIM3;SH3PXD2A;NOX4;PDLIM7;TMOD2;SYNPO2</t>
  </si>
  <si>
    <t>http://www.broadinstitute.org/gsea/msigdb/cards/GO_ACTIN_CYTOSKELETON.html</t>
  </si>
  <si>
    <t>8825;8633;7070;3678;392617;87;7077;7412;3908;5176;2978;2978;2825;1012;59;72;4035;6695;2191;5311;1740;4638;6624;8639;9644;57616;255189;10630;114757;84628;25960;9638;91653;64084;84168;79953;9260;8877;29767;55714;50944</t>
  </si>
  <si>
    <t>LIN7A;UNC5C;THY1;ITGA5;ELFN1;ACTN1;TIMP2;VCAM1;LAMA2;SERPINF1;GUCA1A;AL096814.2;GPR1;CDH13;ACTA2;ACTG2;LRP1;SPOCK1;FAP;PKD2;DLG2;MYLK;FSCN1;AOC3;SH3PXD2A;TSHZ3;PLA2G4F;PDPN;CYGB;NTNG2;ADGRA2;FEZ1;BOC;CLSTN2;ANTXR1;SYNDIG1;PDLIM7;SPHK1;TMOD2;TENM3;SHANK1</t>
  </si>
  <si>
    <t>GO_REGULATION_OF_CELLULAR_RESPONSE_TO_TRANSFORMING_GROWTH_FACTOR_BETA_STIMULUS</t>
  </si>
  <si>
    <t>7041;7057;7043;2200;6935;94031;4052;5654;54829;27122</t>
  </si>
  <si>
    <t>TGFB1I1;THBS1;TGFB3;FBN1;ZEB1;HTRA3;LTBP1;HTRA1;ASPN;DKK3</t>
  </si>
  <si>
    <t>http://www.broadinstitute.org/gsea/msigdb/cards/GO_REGULATION_OF_CELLULAR_RESPONSE_TO_TRANSFORMING_GROWTH_FACTOR_BETA_STIMULUS.html</t>
  </si>
  <si>
    <t>3671;2335;710;7057;6678;7043;87;7058;2621</t>
  </si>
  <si>
    <t>ISLR;FN1;SERPING1;THBS1;SPARC;TGFB3;ACTN1;THBS2;GAS6</t>
  </si>
  <si>
    <t>GO_CELLULAR_RESPONSE_TO_AMINO_ACID_STIMULUS</t>
  </si>
  <si>
    <t>1277;1281;1290;1278;4313;1291;6935;1307</t>
  </si>
  <si>
    <t>COL1A1;COL3A1;COL5A2;COL1A2;MMP2;COL6A1;ZEB1;COL16A1</t>
  </si>
  <si>
    <t>http://www.broadinstitute.org/gsea/msigdb/cards/GO_CELLULAR_RESPONSE_TO_AMINO_ACID_STIMULUS.html</t>
  </si>
  <si>
    <t>5352;7041;6591;1277;1281;1634;7057;4313;6678;5159;7043;1301;7412;5176;2978;2978;6387;4323;6356;2326;5351;5311;10631;4638;81832;114757;6423;63895;50507</t>
  </si>
  <si>
    <t>PLOD2;TGFB1I1;SNAI2;COL1A1;COL3A1;DCN;THBS1;MMP2;SPARC;PDGFRB;TGFB3;COL11A1;VCAM1;SERPINF1;GUCA1A;AL096814.2;CXCL12;MMP14;CCL11;FMO1;PLOD1;PKD2;POSTN;MYLK;NETO1;CYGB;SFRP2;PIEZO2;NOX4</t>
  </si>
  <si>
    <t>3671;2335;710;7057;6678;7043;87;2621</t>
  </si>
  <si>
    <t>ISLR;FN1;SERPING1;THBS1;SPARC;TGFB3;ACTN1;GAS6</t>
  </si>
  <si>
    <t>GO_FORMATION_OF_PRIMARY_GERM_LAYER</t>
  </si>
  <si>
    <t>2335;3912;4313;3624;3678;1301;1291;4323;1303;51176</t>
  </si>
  <si>
    <t>FN1;LAMB1;MMP2;INHBA;ITGA5;COL11A1;COL6A1;MMP14;COL12A1;LEF1</t>
  </si>
  <si>
    <t>http://www.broadinstitute.org/gsea/msigdb/cards/GO_FORMATION_OF_PRIMARY_GERM_LAYER.html</t>
  </si>
  <si>
    <t>GO_CELLULAR_RESPONSE_TO_ACID_CHEMICAL</t>
  </si>
  <si>
    <t>1277;1281;2335;1290;1278;4313;1291;7292;5176;6935;1307;5311</t>
  </si>
  <si>
    <t>COL1A1;COL3A1;FN1;COL5A2;COL1A2;MMP2;COL6A1;TNFSF4;SERPINF1;ZEB1;COL16A1;PKD2</t>
  </si>
  <si>
    <t>http://www.broadinstitute.org/gsea/msigdb/cards/GO_CELLULAR_RESPONSE_TO_ACID_CHEMICAL.html</t>
  </si>
  <si>
    <t>GO_REGULATION_OF_STEM_CELL_DIFFERENTIATION</t>
  </si>
  <si>
    <t>7041;26585;1277;7043;5156;2668;147906;6423;6910;51176</t>
  </si>
  <si>
    <t>TGFB1I1;GREM1;COL1A1;TGFB3;PDGFRA;GDNF;DACT3;SFRP2;TBX5;LEF1</t>
  </si>
  <si>
    <t>http://www.broadinstitute.org/gsea/msigdb/cards/GO_REGULATION_OF_STEM_CELL_DIFFERENTIATION.html</t>
  </si>
  <si>
    <t>3671;2335;710;7057;6678;7043;87;2621;5919</t>
  </si>
  <si>
    <t>ISLR;FN1;SERPING1;THBS1;SPARC;TGFB3;ACTN1;GAS6;RARRES2</t>
  </si>
  <si>
    <t>26585;1634;5159;5156;2200;5176;2668;59;5311;55083;79633;55959;23213;8642;51176</t>
  </si>
  <si>
    <t>GREM1;DCN;PDGFRB;PDGFRA;FBN1;SERPINF1;GDNF;ACTA2;PKD2;KIF26B;FAT4;SULF2;SULF1;DCHS1;LEF1</t>
  </si>
  <si>
    <t>5924;395;8434;2335;7070;710;7169;7057;5159;392617;1293;1123;7077;5156;2252;5350;5176;5322;2668;5739;4323;6356;4035;6695;5592;2621;5118;1740;85360;115557;6423;51176;90627</t>
  </si>
  <si>
    <t>RASGRF2;ARHGAP6;RECK;FN1;THY1;SERPING1;TPM2;THBS1;PDGFRB;ELFN1;COL6A3;CHN1;TIMP2;PDGFRA;FGF7;PLN;SERPINF1;PLA2G5;GDNF;PTGIR;MMP14;CCL11;LRP1;SPOCK1;PRKG1;GAS6;PCOLCE;DLG2;SYDE1;ARHGEF25;SFRP2;LEF1;STARD13</t>
  </si>
  <si>
    <t>1842;8633;3912;1123;3908;2668;6387;4060;5549;1009;5592;10631;55083;219699;84628;9638;4958;91653;83700;50944</t>
  </si>
  <si>
    <t>ECM2;UNC5C;LAMB1;CHN1;LAMA2;GDNF;CXCL12;LUM;PRELP;CDH11;PRKG1;POSTN;KIF26B;UNC5B;NTNG2;FEZ1;OMD;BOC;JAM3;SHANK1</t>
  </si>
  <si>
    <t>GO_AORTA_DEVELOPMENT</t>
  </si>
  <si>
    <t>1281;5159;4015;4035;5311;4052;4638</t>
  </si>
  <si>
    <t>COL3A1;PDGFRB;LOX;LRP1;PKD2;LTBP1;MYLK</t>
  </si>
  <si>
    <t>http://www.broadinstitute.org/gsea/msigdb/cards/GO_AORTA_DEVELOPMENT.html</t>
  </si>
  <si>
    <t>GO_LYSOSOMAL_LUMEN</t>
  </si>
  <si>
    <t>1634;5159;1462;633;1513;4060;5549;3339;4958</t>
  </si>
  <si>
    <t>DCN;PDGFRB;VCAN;BGN;CTSK;LUM;PRELP;HSPG2;OMD</t>
  </si>
  <si>
    <t>http://www.broadinstitute.org/gsea/msigdb/cards/GO_LYSOSOMAL_LUMEN.html</t>
  </si>
  <si>
    <t>1277;1281;2335;1634;6678;7077;7412;4882;633;7292;5322;6387;6356;3899;81792;2621;10631;79883;127435;131578;54829;8877;51176</t>
  </si>
  <si>
    <t>COL1A1;COL3A1;FN1;DCN;SPARC;TIMP2;VCAM1;NPR2;BGN;TNFSF4;PLA2G5;CXCL12;CCL11;AFF3;ADAMTS12;GAS6;POSTN;PODNL1;PODN;LRRC15;ASPN;SPHK1;LEF1</t>
  </si>
  <si>
    <t>GO_MORPHOGENESIS_OF_AN_EPITHELIUM</t>
  </si>
  <si>
    <t>7041;26585;3678;1289;2252;2668;4323;6356;5311;55083;79633;115908;6423;8642;6910;51176;90627</t>
  </si>
  <si>
    <t>TGFB1I1;GREM1;ITGA5;COL5A1;FGF7;GDNF;MMP14;CCL11;PKD2;KIF26B;FAT4;CTHRC1;SFRP2;DCHS1;TBX5;LEF1;STARD13</t>
  </si>
  <si>
    <t>http://www.broadinstitute.org/gsea/msigdb/cards/GO_MORPHOGENESIS_OF_AN_EPITHELIUM.html</t>
  </si>
  <si>
    <t>6591;26585;1277;4920;4035;6424;55959;23213;147906;115908;6423;80114;51339;27122;51176</t>
  </si>
  <si>
    <t>SNAI2;GREM1;COL1A1;ROR2;LRP1;SFRP4;SULF2;SULF1;DACT3;CTHRC1;SFRP2;BICC1;DACT1;DKK3;LEF1</t>
  </si>
  <si>
    <t>395;5159;5156;5350;25802;6387;6356;4035;6624;122786;83700;50507;29767;54551;50944</t>
  </si>
  <si>
    <t>ARHGAP6;PDGFRB;PDGFRA;PLN;LMOD1;CXCL12;CCL11;LRP1;FSCN1;FRMD6;JAM3;NOX4;TMOD2;MAGEL2;SHANK1</t>
  </si>
  <si>
    <t>7041;6591;26585;1277;2335;1634;5159;7043;7058;5176;2668;1513;6387;6356;1307;2621;6624;4921;6424;257194;9638;84251;64084;79953;50507;8877;55714;54551;51176;50944</t>
  </si>
  <si>
    <t>TGFB1I1;SNAI2;GREM1;COL1A1;FN1;DCN;PDGFRB;TGFB3;THBS2;SERPINF1;GDNF;CTSK;CXCL12;CCL11;COL16A1;GAS6;FSCN1;DDR2;SFRP4;NEGR1;FEZ1;SGIP1;CLSTN2;SYNDIG1;NOX4;SPHK1;TENM3;MAGEL2;LEF1;SHANK1</t>
  </si>
  <si>
    <t>GO_REGULATION_OF_EPITHELIAL_TO_MESENCHYMAL_TRANSITION</t>
  </si>
  <si>
    <t>7041;26585;1277;7043;147906;6423;6910;51176</t>
  </si>
  <si>
    <t>TGFB1I1;GREM1;COL1A1;TGFB3;DACT3;SFRP2;TBX5;LEF1</t>
  </si>
  <si>
    <t>http://www.broadinstitute.org/gsea/msigdb/cards/GO_REGULATION_OF_EPITHELIAL_TO_MESENCHYMAL_TRANSITION.html</t>
  </si>
  <si>
    <t>26585;1634;7057;3678;6678;7058;5176;6356;23213;6423;25960;8877;90627</t>
  </si>
  <si>
    <t>GREM1;DCN;THBS1;ITGA5;SPARC;THBS2;SERPINF1;CCL11;SULF1;SFRP2;ADGRA2;SPHK1;STARD13</t>
  </si>
  <si>
    <t>GO_REGULATION_OF_CANONICAL_WNT_SIGNALING_PATHWAY</t>
  </si>
  <si>
    <t>6591;26585;1277;4920;6424;55959;147906;115908;6423;80114;51339;27122;51176</t>
  </si>
  <si>
    <t>SNAI2;GREM1;COL1A1;ROR2;SFRP4;SULF2;DACT3;CTHRC1;SFRP2;BICC1;DACT1;DKK3;LEF1</t>
  </si>
  <si>
    <t>http://www.broadinstitute.org/gsea/msigdb/cards/GO_REGULATION_OF_CANONICAL_WNT_SIGNALING_PATHWAY.html</t>
  </si>
  <si>
    <t>GO_RESPIRATORY_SYSTEM_DEVELOPMENT</t>
  </si>
  <si>
    <t>9242;9509;6678;7043;2252;4015;4323;10630;6910;83716;51176;57493</t>
  </si>
  <si>
    <t>MSC;ADAMTS2;SPARC;TGFB3;FGF7;LOX;MMP14;PDPN;TBX5;CRISPLD2;LEF1;HEG1</t>
  </si>
  <si>
    <t>http://www.broadinstitute.org/gsea/msigdb/cards/GO_RESPIRATORY_SYSTEM_DEVELOPMENT.html</t>
  </si>
  <si>
    <t>GO_NEGATIVE_REGULATION_OF_WNT_SIGNALING_PATHWAY</t>
  </si>
  <si>
    <t>6591;26585;4920;4035;6424;147906;115908;6423;80114;51339;27122;51176</t>
  </si>
  <si>
    <t>SNAI2;GREM1;ROR2;LRP1;SFRP4;DACT3;CTHRC1;SFRP2;BICC1;DACT1;DKK3;LEF1</t>
  </si>
  <si>
    <t>http://www.broadinstitute.org/gsea/msigdb/cards/GO_NEGATIVE_REGULATION_OF_WNT_SIGNALING_PATHWAY.html</t>
  </si>
  <si>
    <t>26585;5156;6935;2668;4323;6356;5311;55083;79633;115908;6423;8642;51339;51176;90627</t>
  </si>
  <si>
    <t>GREM1;PDGFRA;ZEB1;GDNF;MMP14;CCL11;PKD2;KIF26B;FAT4;CTHRC1;SFRP2;DCHS1;DACT1;LEF1;STARD13</t>
  </si>
  <si>
    <t>5924;395;6591;26585;1281;2335;1634;7057;3624;5159;7043;1123;7077;5156;2252;633;5350;5322;5739;6387;6356;1012;5311;2621;79883;85360;127435;115557;219699;131578;6423;56917;54829;50507;8877;51339;90627</t>
  </si>
  <si>
    <t>RASGRF2;ARHGAP6;SNAI2;GREM1;COL3A1;FN1;DCN;THBS1;INHBA;PDGFRB;TGFB3;CHN1;TIMP2;PDGFRA;FGF7;BGN;PLN;PLA2G5;PTGIR;CXCL12;CCL11;CDH13;PKD2;GAS6;PODNL1;SYDE1;PODN;ARHGEF25;UNC5B;LRRC15;SFRP2;MEIS3;ASPN;NOX4;SPHK1;DACT1;STARD13</t>
  </si>
  <si>
    <t>GO_NEGATIVE_REGULATION_OF_CANONICAL_WNT_SIGNALING_PATHWAY</t>
  </si>
  <si>
    <t>6591;26585;4920;6424;147906;115908;6423;80114;51339;27122;51176</t>
  </si>
  <si>
    <t>SNAI2;GREM1;ROR2;SFRP4;DACT3;CTHRC1;SFRP2;BICC1;DACT1;DKK3;LEF1</t>
  </si>
  <si>
    <t>http://www.broadinstitute.org/gsea/msigdb/cards/GO_NEGATIVE_REGULATION_OF_CANONICAL_WNT_SIGNALING_PATHWAY.html</t>
  </si>
  <si>
    <t>GO_SENSORY_ORGAN_MORPHOGENESIS</t>
  </si>
  <si>
    <t>4211;7070;1290;1301;1289;1296;2200;6935;5396;4237;4920;115908;55714</t>
  </si>
  <si>
    <t>MEIS1;THY1;COL5A2;COL11A1;COL5A1;COL8A2;FBN1;ZEB1;PRRX1;MFAP2;ROR2;CTHRC1;TENM3</t>
  </si>
  <si>
    <t>http://www.broadinstitute.org/gsea/msigdb/cards/GO_SENSORY_ORGAN_MORPHOGENESIS.html</t>
  </si>
  <si>
    <t>7041;26585;1281;1278;4313;3624;5159;7043;1123;5156;4882;2252;4920;11167;2621;4052;4053;4921;55959;23213;2259;51176</t>
  </si>
  <si>
    <t>TGFB1I1;GREM1;COL3A1;COL1A2;MMP2;INHBA;PDGFRB;TGFB3;CHN1;PDGFRA;NPR2;FGF7;ROR2;FSTL1;GAS6;LTBP1;LTBP2;DDR2;SULF2;SULF1;FGF14;LEF1</t>
  </si>
  <si>
    <t>GO_MUSCLE_SYSTEM_PROCESS</t>
  </si>
  <si>
    <t>7169;10398;5350;25802;2668;781;59;72;800;5592;4638;55959;23213;29767</t>
  </si>
  <si>
    <t>TPM2;MYL9;PLN;LMOD1;GDNF;CACNA2D1;ACTA2;ACTG2;CALD1;PRKG1;MYLK;SULF2;SULF1;TMOD2</t>
  </si>
  <si>
    <t>http://www.broadinstitute.org/gsea/msigdb/cards/GO_MUSCLE_SYSTEM_PROCESS.html</t>
  </si>
  <si>
    <t>GO_FIBRONECTIN_BINDING</t>
  </si>
  <si>
    <t>284297;7057;1513;151887;131578;6423</t>
  </si>
  <si>
    <t>SSC5D;THBS1;CTSK;CCDC80;LRRC15;SFRP2</t>
  </si>
  <si>
    <t>http://www.broadinstitute.org/gsea/msigdb/cards/GO_FIBRONECTIN_BINDING.html</t>
  </si>
  <si>
    <t>GO_SKELETAL_SYSTEM_MORPHOGENESIS</t>
  </si>
  <si>
    <t>1277;4313;7043;1301;5156;6935;1311;4323;5396;4920;1300;6423</t>
  </si>
  <si>
    <t>COL1A1;MMP2;TGFB3;COL11A1;PDGFRA;ZEB1;COMP;MMP14;PRRX1;ROR2;COL10A1;SFRP2</t>
  </si>
  <si>
    <t>http://www.broadinstitute.org/gsea/msigdb/cards/GO_SKELETAL_SYSTEM_MORPHOGENESIS.html</t>
  </si>
  <si>
    <t>6591;26585;7043;2252;2668;4920;55959;23213;115908;6423;6910;54829;51339</t>
  </si>
  <si>
    <t>SNAI2;GREM1;TGFB3;FGF7;GDNF;ROR2;SULF2;SULF1;CTHRC1;SFRP2;TBX5;ASPN;DACT1</t>
  </si>
  <si>
    <t>GO_ENZYME_INHIBITOR_ACTIVITY</t>
  </si>
  <si>
    <t>8434;710;1634;392617;1293;7077;633;5350;5176;6695;2621;79883;127435;131578;54829;51176</t>
  </si>
  <si>
    <t>RECK;SERPING1;DCN;ELFN1;COL6A3;TIMP2;BGN;PLN;SERPINF1;SPOCK1;GAS6;PODNL1;PODN;LRRC15;ASPN;LEF1</t>
  </si>
  <si>
    <t>http://www.broadinstitute.org/gsea/msigdb/cards/GO_ENZYME_INHIBITOR_ACTIVITY.html</t>
  </si>
  <si>
    <t>26585;2335;3912;5159;5156;7412;2252;7292;2668;6387;6356;5396;1012;2621;4921;338773;5654;115908;6423;6910;57124;8877;51176;6320</t>
  </si>
  <si>
    <t>GREM1;FN1;LAMB1;PDGFRB;PDGFRA;VCAM1;FGF7;TNFSF4;GDNF;CXCL12;CCL11;PRRX1;CDH13;GAS6;DDR2;TMEM119;HTRA1;CTHRC1;SFRP2;TBX5;CD248;SPHK1;LEF1;CLEC11A</t>
  </si>
  <si>
    <t>284297;8633;1277;1281;2335;1634;6678;5159;1301;1123;5156;7412;2252;7292;3908;2978;2978;5739;6387;4323;6356;59;2326;11167;5311;2621;10631;4638;55083;219699;2259;6423;9638;5919;91653;63895;8877;51176;50944</t>
  </si>
  <si>
    <t>SSC5D;UNC5C;COL1A1;COL3A1;FN1;DCN;SPARC;PDGFRB;COL11A1;CHN1;PDGFRA;VCAM1;FGF7;TNFSF4;LAMA2;GUCA1A;AL096814.2;PTGIR;CXCL12;MMP14;CCL11;ACTA2;FMO1;FSTL1;PKD2;GAS6;POSTN;MYLK;KIF26B;UNC5B;FGF14;SFRP2;FEZ1;RARRES2;BOC;PIEZO2;SPHK1;LEF1;SHANK1</t>
  </si>
  <si>
    <t>GO_CELL_CELL_ADHESION_VIA_PLASMA_MEMBRANE_ADHESION_MOLECULES</t>
  </si>
  <si>
    <t>26025;3678;7412;4345;1009;1012;7216;79633;8642;64084;55714;56099</t>
  </si>
  <si>
    <t>PCDHGA12;ITGA5;VCAM1;CD200;CDH11;CDH13;TRO;FAT4;DCHS1;CLSTN2;TENM3;PCDHGB7</t>
  </si>
  <si>
    <t>http://www.broadinstitute.org/gsea/msigdb/cards/GO_CELL_CELL_ADHESION_VIA_PLASMA_MEMBRANE_ADHESION_MOLECULES.html</t>
  </si>
  <si>
    <t>GO_NEGATIVE_REGULATION_OF_TRANSMEMBRANE_RECEPTOR_PROTEIN_SERINE_THREONINE_KINASE_SIGNALING_PATHWAY</t>
  </si>
  <si>
    <t>7041;26585;7043;2200;94031;4052;5654;6423;54829</t>
  </si>
  <si>
    <t>TGFB1I1;GREM1;TGFB3;FBN1;HTRA3;LTBP1;HTRA1;SFRP2;ASPN</t>
  </si>
  <si>
    <t>http://www.broadinstitute.org/gsea/msigdb/cards/GO_NEGATIVE_REGULATION_OF_TRANSMEMBRANE_RECEPTOR_PROTEIN_SERINE_THREONINE_KINASE_SIGNALING_PATHWAY.html</t>
  </si>
  <si>
    <t>7041;6591;26585;3624;3678;1289;2252;2668;4323;6356;59;4920;6876;5351;5311;55083;79633;115908;6423;8642;122786;6910;51339;51176;57493;90627</t>
  </si>
  <si>
    <t>TGFB1I1;SNAI2;GREM1;INHBA;ITGA5;COL5A1;FGF7;GDNF;MMP14;CCL11;ACTA2;ROR2;TAGLN;PLOD1;PKD2;KIF26B;FAT4;CTHRC1;SFRP2;DCHS1;FRMD6;TBX5;DACT1;LEF1;HEG1;STARD13</t>
  </si>
  <si>
    <t>GO_ARTERY_DEVELOPMENT</t>
  </si>
  <si>
    <t>1281;5159;4015;5396;4035;5311;4052;4638</t>
  </si>
  <si>
    <t>COL3A1;PDGFRB;LOX;PRRX1;LRP1;PKD2;LTBP1;MYLK</t>
  </si>
  <si>
    <t>http://www.broadinstitute.org/gsea/msigdb/cards/GO_ARTERY_DEVELOPMENT.html</t>
  </si>
  <si>
    <t>GO_PEPTIDASE_REGULATOR_ACTIVITY</t>
  </si>
  <si>
    <t>8434;2335;710;1293;7077;5176;4323;6695;2621;5118;6423;51176</t>
  </si>
  <si>
    <t>RECK;FN1;SERPING1;COL6A3;TIMP2;SERPINF1;MMP14;SPOCK1;GAS6;PCOLCE;SFRP2;LEF1</t>
  </si>
  <si>
    <t>http://www.broadinstitute.org/gsea/msigdb/cards/GO_PEPTIDASE_REGULATOR_ACTIVITY.html</t>
  </si>
  <si>
    <t>GO_AMINOGLYCAN_BIOSYNTHETIC_PROCESS</t>
  </si>
  <si>
    <t>1634;5159;1462;633;4060;5549;3339;4958;29940</t>
  </si>
  <si>
    <t>DCN;PDGFRB;VCAN;BGN;LUM;PRELP;HSPG2;OMD;DSE</t>
  </si>
  <si>
    <t>http://www.broadinstitute.org/gsea/msigdb/cards/GO_AMINOGLYCAN_BIOSYNTHETIC_PROCESS.html</t>
  </si>
  <si>
    <t>GO_METANEPHRIC_NEPHRON_DEVELOPMENT</t>
  </si>
  <si>
    <t>26585;5159;5156;2668;5311;55083</t>
  </si>
  <si>
    <t>GREM1;PDGFRB;PDGFRA;GDNF;PKD2;KIF26B</t>
  </si>
  <si>
    <t>http://www.broadinstitute.org/gsea/msigdb/cards/GO_METANEPHRIC_NEPHRON_DEVELOPMENT.html</t>
  </si>
  <si>
    <t>1842;8633;3912;1123;3908;2668;6387;4060;5549;1009;1012;5592;10631;4638;6624;55083;79633;219699;115908;84628;9638;4958;91653;83700;50944</t>
  </si>
  <si>
    <t>ECM2;UNC5C;LAMB1;CHN1;LAMA2;GDNF;CXCL12;LUM;PRELP;CDH11;CDH13;PRKG1;POSTN;MYLK;FSCN1;KIF26B;FAT4;UNC5B;CTHRC1;NTNG2;FEZ1;OMD;BOC;JAM3;SHANK1</t>
  </si>
  <si>
    <t>7070;3678;5159;5156;7292;4345;5739;2825;953;4323;2619;4920;4035;7216;5311;11245;1740;3779;4921;196051;343450;10630;254228;81832;116535;84628;2846;23208;91653;54112;79953;50507;25769;22801;50944;10699</t>
  </si>
  <si>
    <t>THY1;ITGA5;PDGFRB;PDGFRA;TNFSF4;CD200;PTGIR;GPR1;ENTPD1;MMP14;GAS1;ROR2;LRP1;TRO;PKD2;GPR176;DLG2;KCNMB1;DDR2;PLPP4;KCNT2;PDPN;CALHM5;NETO1;MRGPRF;NTNG2;LPAR4;SYT11;BOC;GPR88;SYNDIG1;NOX4;SLC24A2;ITGA11;SHANK1;CORIN</t>
  </si>
  <si>
    <t>GO_NEURON_PROJECTION_MORPHOGENESIS</t>
  </si>
  <si>
    <t>1842;8633;1123;3908;6387;4060;5549;1009;10631;55083;219699;84628;9638;4958;91653;50944</t>
  </si>
  <si>
    <t>ECM2;UNC5C;CHN1;LAMA2;CXCL12;LUM;PRELP;CDH11;POSTN;KIF26B;UNC5B;NTNG2;FEZ1;OMD;BOC;SHANK1</t>
  </si>
  <si>
    <t>http://www.broadinstitute.org/gsea/msigdb/cards/GO_NEURON_PROJECTION_MORPHOGENESIS.html</t>
  </si>
  <si>
    <t>26585;2335;7057;5159;5156;6387;1012;2621;25960;5919;83700</t>
  </si>
  <si>
    <t>GREM1;FN1;THBS1;PDGFRB;PDGFRA;CXCL12;CDH13;GAS6;ADGRA2;RARRES2;JAM3</t>
  </si>
  <si>
    <t>284297;6591;26585;2335;7070;7057;3624;5159;6343;7043;7292;5350;2668;1513;6387;781;2619;1012;4035;5311;2621;10631;4638;64175;6424;55959;259232;2259;147906;6423;5919;84251;23208;9254;8877;51339;50944;10699</t>
  </si>
  <si>
    <t>SSC5D;SNAI2;GREM1;FN1;THY1;THBS1;INHBA;PDGFRB;SCT;TGFB3;TNFSF4;PLN;GDNF;CTSK;CXCL12;CACNA2D1;GAS1;CDH13;LRP1;PKD2;GAS6;POSTN;MYLK;P3H1;SFRP4;SULF2;NALCN;FGF14;DACT3;SFRP2;RARRES2;SGIP1;SYT11;CACNA2D2;SPHK1;DACT1;SHANK1;CORIN</t>
  </si>
  <si>
    <t>395;6591;1277;7057;7292;6387;4323;1012;6695;5592;10631;51176</t>
  </si>
  <si>
    <t>ARHGAP6;SNAI2;COL1A1;THBS1;TNFSF4;CXCL12;MMP14;CDH13;SPOCK1;PRKG1;POSTN;LEF1</t>
  </si>
  <si>
    <t>GO_PROTEOGLYCAN_METABOLIC_PROCESS</t>
  </si>
  <si>
    <t>1634;1301;1462;633;81792;55959;23213;29940</t>
  </si>
  <si>
    <t>DCN;COL11A1;VCAN;BGN;ADAMTS12;SULF2;SULF1;DSE</t>
  </si>
  <si>
    <t>http://www.broadinstitute.org/gsea/msigdb/cards/GO_PROTEOGLYCAN_METABOLIC_PROCESS.html</t>
  </si>
  <si>
    <t>GO_CELL_JUNCTION_ORGANIZATION</t>
  </si>
  <si>
    <t>395;6591;2335;7070;3678;7043;87;1009;1012;6624;57493</t>
  </si>
  <si>
    <t>ARHGAP6;SNAI2;FN1;THY1;ITGA5;TGFB3;ACTN1;CDH11;CDH13;FSCN1;HEG1</t>
  </si>
  <si>
    <t>http://www.broadinstitute.org/gsea/msigdb/cards/GO_CELL_JUNCTION_ORGANIZATION.html</t>
  </si>
  <si>
    <t>GO_DIGESTIVE_SYSTEM_DEVELOPMENT</t>
  </si>
  <si>
    <t>1281;6343;7043;5156;79633;6423;8642;5919;79827;51339</t>
  </si>
  <si>
    <t>COL3A1;SCT;TGFB3;PDGFRA;FAT4;SFRP2;DCHS1;RARRES2;CLMP;DACT1</t>
  </si>
  <si>
    <t>http://www.broadinstitute.org/gsea/msigdb/cards/GO_DIGESTIVE_SYSTEM_DEVELOPMENT.html</t>
  </si>
  <si>
    <t>4211;1281;2335;7070;1123;6925;7077;7058;5176;6935;6387;5396;4035;6695;257194;6423;9638;64084;79953;8877;55714;50944</t>
  </si>
  <si>
    <t>MEIS1;COL3A1;FN1;THY1;CHN1;TCF4;TIMP2;THBS2;SERPINF1;ZEB1;CXCL12;PRRX1;LRP1;SPOCK1;NEGR1;SFRP2;FEZ1;CLSTN2;SYNDIG1;SPHK1;TENM3;SHANK1</t>
  </si>
  <si>
    <t>GO_RESPONSE_TO_ACID_CHEMICAL</t>
  </si>
  <si>
    <t>1277;1281;2335;1290;1278;4313;6678;5159;1291;7292;5176;6935;1307;5311</t>
  </si>
  <si>
    <t>COL1A1;COL3A1;FN1;COL5A2;COL1A2;MMP2;SPARC;PDGFRB;COL6A1;TNFSF4;SERPINF1;ZEB1;COL16A1;PKD2</t>
  </si>
  <si>
    <t>http://www.broadinstitute.org/gsea/msigdb/cards/GO_RESPONSE_TO_ACID_CHEMICAL.html</t>
  </si>
  <si>
    <t>GO_MESENCHYME_DEVELOPMENT</t>
  </si>
  <si>
    <t>6591;5159;2668;59;72;5311;54796;6423;8642;6910;51176</t>
  </si>
  <si>
    <t>SNAI2;PDGFRB;GDNF;ACTA2;ACTG2;PKD2;BNC2;SFRP2;DCHS1;TBX5;LEF1</t>
  </si>
  <si>
    <t>http://www.broadinstitute.org/gsea/msigdb/cards/GO_MESENCHYME_DEVELOPMENT.html</t>
  </si>
  <si>
    <t>GO_CELL_MORPHOGENESIS_INVOLVED_IN_NEURON_DIFFERENTIATION</t>
  </si>
  <si>
    <t>1842;8633;1123;3908;6387;4060;5549;1009;55083;219699;84628;9638;4958;91653;50944</t>
  </si>
  <si>
    <t>ECM2;UNC5C;CHN1;LAMA2;CXCL12;LUM;PRELP;CDH11;KIF26B;UNC5B;NTNG2;FEZ1;OMD;BOC;SHANK1</t>
  </si>
  <si>
    <t>http://www.broadinstitute.org/gsea/msigdb/cards/GO_CELL_MORPHOGENESIS_INVOLVED_IN_NEURON_DIFFERENTIATION.html</t>
  </si>
  <si>
    <t>GO_MUSCLE_TISSUE_DEVELOPMENT</t>
  </si>
  <si>
    <t>9242;1281;1634;5159;1301;5156;5350;5311;4638;6444;6910;50507;57493</t>
  </si>
  <si>
    <t>MSC;COL3A1;DCN;PDGFRB;COL11A1;PDGFRA;PLN;PKD2;MYLK;SGCD;TBX5;NOX4;HEG1</t>
  </si>
  <si>
    <t>http://www.broadinstitute.org/gsea/msigdb/cards/GO_MUSCLE_TISSUE_DEVELOPMENT.html</t>
  </si>
  <si>
    <t>GO_HOMOPHILIC_CELL_ADHESION_VIA_PLASMA_MEMBRANE_ADHESION_MOLECULES</t>
  </si>
  <si>
    <t>26025;4345;1009;1012;7216;79633;8642;64084;55714;56099</t>
  </si>
  <si>
    <t>PCDHGA12;CD200;CDH11;CDH13;TRO;FAT4;DCHS1;CLSTN2;TENM3;PCDHGB7</t>
  </si>
  <si>
    <t>http://www.broadinstitute.org/gsea/msigdb/cards/GO_HOMOPHILIC_CELL_ADHESION_VIA_PLASMA_MEMBRANE_ADHESION_MOLECULES.html</t>
  </si>
  <si>
    <t>GO_MUSCLE_CONTRACTION</t>
  </si>
  <si>
    <t>7169;10398;25802;2668;781;59;72;800;4638;55959;23213;29767</t>
  </si>
  <si>
    <t>TPM2;MYL9;LMOD1;GDNF;CACNA2D1;ACTA2;ACTG2;CALD1;MYLK;SULF2;SULF1;TMOD2</t>
  </si>
  <si>
    <t>http://www.broadinstitute.org/gsea/msigdb/cards/GO_MUSCLE_CONTRACTION.html</t>
  </si>
  <si>
    <t>GO_GASTRULATION</t>
  </si>
  <si>
    <t>http://www.broadinstitute.org/gsea/msigdb/cards/GO_GASTRULATION.html</t>
  </si>
  <si>
    <t>GO_EAR_DEVELOPMENT</t>
  </si>
  <si>
    <t>8825;6678;5159;7043;1301;6935;5396;4920;79633;115908;8642</t>
  </si>
  <si>
    <t>LIN7A;SPARC;PDGFRB;TGFB3;COL11A1;ZEB1;PRRX1;ROR2;FAT4;CTHRC1;DCHS1</t>
  </si>
  <si>
    <t>http://www.broadinstitute.org/gsea/msigdb/cards/GO_EAR_DEVELOPMENT.html</t>
  </si>
  <si>
    <t>1842;2335;7070;3678;7412;7292;6387;1012;2199;1307;55083;151887;6423;64094;51176</t>
  </si>
  <si>
    <t>ECM2;FN1;THY1;ITGA5;VCAM1;TNFSF4;CXCL12;CDH13;FBLN2;COL16A1;KIF26B;CCDC80;SFRP2;SMOC2;LEF1</t>
  </si>
  <si>
    <t>GO_EMBRYONIC_SKELETAL_SYSTEM_DEVELOPMENT</t>
  </si>
  <si>
    <t>1277;7043;1301;5156;6935;4323;5396;55959;23213</t>
  </si>
  <si>
    <t>COL1A1;TGFB3;COL11A1;PDGFRA;ZEB1;MMP14;PRRX1;SULF2;SULF1</t>
  </si>
  <si>
    <t>http://www.broadinstitute.org/gsea/msigdb/cards/GO_EMBRYONIC_SKELETAL_SYSTEM_DEVELOPMENT.html</t>
  </si>
  <si>
    <t>GO_SULFUR_COMPOUND_CATABOLIC_PROCESS</t>
  </si>
  <si>
    <t>1634;1462;633;4060;5549;4958</t>
  </si>
  <si>
    <t>DCN;VCAN;BGN;LUM;PRELP;OMD</t>
  </si>
  <si>
    <t>http://www.broadinstitute.org/gsea/msigdb/cards/GO_SULFUR_COMPOUND_CATABOLIC_PROCESS.html</t>
  </si>
  <si>
    <t>GO_METANEPHRIC_NEPHRON_MORPHOGENESIS</t>
  </si>
  <si>
    <t>26585;5159;2668;5311;55083</t>
  </si>
  <si>
    <t>GREM1;PDGFRB;GDNF;PKD2;KIF26B</t>
  </si>
  <si>
    <t>http://www.broadinstitute.org/gsea/msigdb/cards/GO_METANEPHRIC_NEPHRON_MORPHOGENESIS.html</t>
  </si>
  <si>
    <t>6591;3912;7057;6678;2252;5176;6387;6356;1012;55959;23213;5654;6423</t>
  </si>
  <si>
    <t>SNAI2;LAMB1;THBS1;SPARC;FGF7;SERPINF1;CXCL12;CCL11;CDH13;SULF2;SULF1;HTRA1;SFRP2</t>
  </si>
  <si>
    <t>GO_SARCOLEMMA</t>
  </si>
  <si>
    <t>7043;1291;1292;1293;7412;633;3908;781;6444</t>
  </si>
  <si>
    <t>TGFB3;COL6A1;COL6A2;COL6A3;VCAM1;BGN;LAMA2;CACNA2D1;SGCD</t>
  </si>
  <si>
    <t>http://www.broadinstitute.org/gsea/msigdb/cards/GO_SARCOLEMMA.html</t>
  </si>
  <si>
    <t>GO_OSTEOBLAST_DIFFERENTIATION</t>
  </si>
  <si>
    <t>6591;1277;1291;1462;338773;10234;9902;51176;22801</t>
  </si>
  <si>
    <t>SNAI2;COL1A1;COL6A1;VCAN;TMEM119;LRRC17;AC080038.1;LEF1;ITGA11</t>
  </si>
  <si>
    <t>http://www.broadinstitute.org/gsea/msigdb/cards/GO_OSTEOBLAST_DIFFERENTIATION.html</t>
  </si>
  <si>
    <t>GO_REGULATION_OF_CELL_MORPHOGENESIS_INVOLVED_IN_DIFFERENTIATION</t>
  </si>
  <si>
    <t>7041;26585;1277;2335;7070;7043;1123;2668;6387;10631;147906;6423;6910;51176</t>
  </si>
  <si>
    <t>TGFB1I1;GREM1;COL1A1;FN1;THY1;TGFB3;CHN1;GDNF;CXCL12;POSTN;DACT3;SFRP2;TBX5;LEF1</t>
  </si>
  <si>
    <t>http://www.broadinstitute.org/gsea/msigdb/cards/GO_REGULATION_OF_CELL_MORPHOGENESIS_INVOLVED_IN_DIFFERENTIATION.html</t>
  </si>
  <si>
    <t>1277;1281;2335;1290;1634;7057;1278;4313;3624;6678;5159;7043;1291;1292;5156;7412;7292;5350;2200;5176;6935;5322;5739;6387;2326;1307;5311;2621;10631;50507;8877</t>
  </si>
  <si>
    <t>COL1A1;COL3A1;FN1;COL5A2;DCN;THBS1;COL1A2;MMP2;INHBA;SPARC;PDGFRB;TGFB3;COL6A1;COL6A2;PDGFRA;VCAM1;TNFSF4;PLN;FBN1;SERPINF1;ZEB1;PLA2G5;PTGIR;CXCL12;FMO1;COL16A1;PKD2;GAS6;POSTN;NOX4;SPHK1</t>
  </si>
  <si>
    <t>GO_NEGATIVE_REGULATION_OF_TRANSFORMING_GROWTH_FACTOR_BETA_RECEPTOR_SIGNALING_PATHWAY</t>
  </si>
  <si>
    <t>7041;7043;2200;94031;4052;5654;54829</t>
  </si>
  <si>
    <t>TGFB1I1;TGFB3;FBN1;HTRA3;LTBP1;HTRA1;ASPN</t>
  </si>
  <si>
    <t>http://www.broadinstitute.org/gsea/msigdb/cards/GO_NEGATIVE_REGULATION_OF_TRANSFORMING_GROWTH_FACTOR_BETA_RECEPTOR_SIGNALING_PATHWAY.html</t>
  </si>
  <si>
    <t>8825;395;26585;9509;1277;1281;2335;1290;1278;1301;1291;1292;87;1289;4320;50509;5350;4015;25802;6356;4060;1307;1805;6624;4921;27295;6423;4675;1303;29767;54551;51176;50944</t>
  </si>
  <si>
    <t>LIN7A;ARHGAP6;GREM1;ADAMTS2;COL1A1;COL3A1;FN1;COL5A2;COL1A2;COL11A1;COL6A1;COL6A2;ACTN1;COL5A1;MMP11;COL5A3;PLN;LOX;LMOD1;CCL11;LUM;COL16A1;DPT;FSCN1;DDR2;PDLIM3;SFRP2;NAP1L3;COL12A1;TMOD2;MAGEL2;LEF1;SHANK1</t>
  </si>
  <si>
    <t>GO_REGULATION_OF_CELL_GROWTH</t>
  </si>
  <si>
    <t>26585;8840;2335;3624;6387;4323;94031;6695;7216;3490;5654;147906;6423;8877;51176</t>
  </si>
  <si>
    <t>GREM1;CCN4;FN1;INHBA;CXCL12;MMP14;HTRA3;SPOCK1;TRO;IGFBP7;HTRA1;DACT3;SFRP2;SPHK1;LEF1</t>
  </si>
  <si>
    <t>http://www.broadinstitute.org/gsea/msigdb/cards/GO_REGULATION_OF_CELL_GROWTH.html</t>
  </si>
  <si>
    <t>1277;7043;1301;5156;6935;4323;5396;4920;5311;55959;23213;115908;6423;8642;5919;51339;51176;57493</t>
  </si>
  <si>
    <t>COL1A1;TGFB3;COL11A1;PDGFRA;ZEB1;MMP14;PRRX1;ROR2;PKD2;SULF2;SULF1;CTHRC1;SFRP2;DCHS1;RARRES2;DACT1;LEF1;HEG1</t>
  </si>
  <si>
    <t>4211;2335;7070;1123;6925;7077;5176;6935;6387;5396;4035;6695;257194;6423;9638;8877;55714;50944</t>
  </si>
  <si>
    <t>MEIS1;FN1;THY1;CHN1;TCF4;TIMP2;SERPINF1;ZEB1;CXCL12;PRRX1;LRP1;SPOCK1;NEGR1;SFRP2;FEZ1;SPHK1;TENM3;SHANK1</t>
  </si>
  <si>
    <t>GO_MORPHOGENESIS_OF_A_BRANCHING_STRUCTURE</t>
  </si>
  <si>
    <t>26585;2252;2668;4323;6356;5311;79633;6423;8642;51176</t>
  </si>
  <si>
    <t>GREM1;FGF7;GDNF;MMP14;CCL11;PKD2;FAT4;SFRP2;DCHS1;LEF1</t>
  </si>
  <si>
    <t>http://www.broadinstitute.org/gsea/msigdb/cards/GO_MORPHOGENESIS_OF_A_BRANCHING_STRUCTURE.html</t>
  </si>
  <si>
    <t>GO_AMINOGLYCAN_CATABOLIC_PROCESS</t>
  </si>
  <si>
    <t>1634;1462;633;4060;5549;3339;4958</t>
  </si>
  <si>
    <t>DCN;VCAN;BGN;LUM;PRELP;HSPG2;OMD</t>
  </si>
  <si>
    <t>http://www.broadinstitute.org/gsea/msigdb/cards/GO_AMINOGLYCAN_CATABOLIC_PROCESS.html</t>
  </si>
  <si>
    <t>GO_BRANCHING_MORPHOGENESIS_OF_AN_EPITHELIAL_TUBE</t>
  </si>
  <si>
    <t>26585;2668;4323;6356;5311;79633;6423;8642;51176</t>
  </si>
  <si>
    <t>GREM1;GDNF;MMP14;CCL11;PKD2;FAT4;SFRP2;DCHS1;LEF1</t>
  </si>
  <si>
    <t>http://www.broadinstitute.org/gsea/msigdb/cards/GO_BRANCHING_MORPHOGENESIS_OF_AN_EPITHELIAL_TUBE.html</t>
  </si>
  <si>
    <t>26585;2335;7070;1634;7057;3624;3678;5159;6343;392617;7043;7077;5156;2252;633;894;5322;2978;2978;5739;6356;5311;2621;1740;4921;79883;127435;131578;6423;5919;54829;50507;8877;51339</t>
  </si>
  <si>
    <t>GREM1;FN1;THY1;DCN;THBS1;INHBA;ITGA5;PDGFRB;SCT;ELFN1;TGFB3;TIMP2;PDGFRA;FGF7;BGN;CCND2;PLA2G5;GUCA1A;AL096814.2;PTGIR;CCL11;PKD2;GAS6;DLG2;DDR2;PODNL1;PODN;LRRC15;SFRP2;RARRES2;ASPN;NOX4;SPHK1;DACT1</t>
  </si>
  <si>
    <t>GO_NEGATIVE_REGULATION_OF_STAT_CASCADE</t>
  </si>
  <si>
    <t>1634;633;79883;127435;131578;54829</t>
  </si>
  <si>
    <t>DCN;BGN;PODNL1;PODN;LRRC15;ASPN</t>
  </si>
  <si>
    <t>http://www.broadinstitute.org/gsea/msigdb/cards/GO_NEGATIVE_REGULATION_OF_STAT_CASCADE.html</t>
  </si>
  <si>
    <t>1842;2335;3678;1012;2199;1307;151887;64094</t>
  </si>
  <si>
    <t>ECM2;FN1;ITGA5;CDH13;FBLN2;COL16A1;CCDC80;SMOC2</t>
  </si>
  <si>
    <t>GO_CONTRACTILE_FIBER</t>
  </si>
  <si>
    <t>7169;4313;87;10398;25802;59;800;27295;115557;29767;171024</t>
  </si>
  <si>
    <t>TPM2;MMP2;ACTN1;MYL9;LMOD1;ACTA2;CALD1;PDLIM3;ARHGEF25;TMOD2;SYNPO2</t>
  </si>
  <si>
    <t>http://www.broadinstitute.org/gsea/msigdb/cards/GO_CONTRACTILE_FIBER.html</t>
  </si>
  <si>
    <t>26585;7070;3624;5159;6343;7043;7292;2668;1513;6387;781;4035;5311;2621;10631;4638;6424;55959;2259;6423;5919;84251;8877;51339</t>
  </si>
  <si>
    <t>GREM1;THY1;INHBA;PDGFRB;SCT;TGFB3;TNFSF4;GDNF;CTSK;CXCL12;CACNA2D1;LRP1;PKD2;GAS6;POSTN;MYLK;SFRP4;SULF2;FGF14;SFRP2;RARRES2;SGIP1;SPHK1;DACT1</t>
  </si>
  <si>
    <t>GO_EYE_MORPHOGENESIS</t>
  </si>
  <si>
    <t>4211;7070;1290;1289;1296;2200;6935;4237;55714</t>
  </si>
  <si>
    <t>MEIS1;THY1;COL5A2;COL5A1;COL8A2;FBN1;ZEB1;MFAP2;TENM3</t>
  </si>
  <si>
    <t>http://www.broadinstitute.org/gsea/msigdb/cards/GO_EYE_MORPHOGENESIS.html</t>
  </si>
  <si>
    <t>2335;7070;3912;3678;87;5156;7412;7292;10398;1296;2621;257194;10630;83700;84168;51176</t>
  </si>
  <si>
    <t>FN1;THY1;LAMB1;ITGA5;ACTN1;PDGFRA;VCAM1;TNFSF4;MYL9;COL8A2;GAS6;NEGR1;PDPN;JAM3;ANTXR1;LEF1</t>
  </si>
  <si>
    <t>8434;7070;710;1634;7057;392617;1293;7077;633;7292;5350;5176;6695;5311;2621;1740;6424;79883;127435;131578;6423;56849;54829;84662;51339;51176</t>
  </si>
  <si>
    <t>RECK;THY1;SERPING1;DCN;THBS1;ELFN1;COL6A3;TIMP2;BGN;TNFSF4;PLN;SERPINF1;SPOCK1;PKD2;GAS6;DLG2;SFRP4;PODNL1;PODN;LRRC15;SFRP2;TCEAL7;ASPN;GLIS2;DACT1;LEF1</t>
  </si>
  <si>
    <t>8633;5159;1123;5156;7412;2252;3908;6387;6356;2621;55083;219699;9638;5919;91653;51176</t>
  </si>
  <si>
    <t>UNC5C;PDGFRB;CHN1;PDGFRA;VCAM1;FGF7;LAMA2;CXCL12;CCL11;GAS6;KIF26B;UNC5B;FEZ1;RARRES2;BOC;LEF1</t>
  </si>
  <si>
    <t>5352;1277;7057;4313;5159;7043;7412;6387;4323;5351;10631;114757;50507</t>
  </si>
  <si>
    <t>PLOD2;COL1A1;THBS1;MMP2;PDGFRB;TGFB3;VCAM1;CXCL12;MMP14;PLOD1;POSTN;CYGB;NOX4</t>
  </si>
  <si>
    <t>26585;7043;2621;4921;338773;4958;54829</t>
  </si>
  <si>
    <t>GREM1;TGFB3;GAS6;DDR2;TMEM119;OMD;ASPN</t>
  </si>
  <si>
    <t>GO_REGULATION_OF_CATENIN_IMPORT_INTO_NUCLEUS</t>
  </si>
  <si>
    <t>6591;55959;147906;6423;51339</t>
  </si>
  <si>
    <t>SNAI2;SULF2;DACT3;SFRP2;DACT1</t>
  </si>
  <si>
    <t>http://www.broadinstitute.org/gsea/msigdb/cards/GO_REGULATION_OF_CATENIN_IMPORT_INTO_NUCLEUS.html</t>
  </si>
  <si>
    <t>5352;7041;1277;2335;5241;7057;3624;6678;5159;7043;7077;7292;5350;4015;2200;5176;6387;4323;5351;10631;6424;8877;51176</t>
  </si>
  <si>
    <t>PLOD2;TGFB1I1;COL1A1;FN1;PGR;THBS1;INHBA;SPARC;PDGFRB;TGFB3;TIMP2;TNFSF4;PLN;LOX;FBN1;SERPINF1;CXCL12;MMP14;PLOD1;POSTN;SFRP4;SPHK1;LEF1</t>
  </si>
  <si>
    <t>GO_POSITIVE_REGULATION_OF_CELL_DEVELOPMENT</t>
  </si>
  <si>
    <t>7041;1277;2335;7043;6925;7077;5176;6935;2668;6387;257194;9638;8877;55714;51176;50944</t>
  </si>
  <si>
    <t>TGFB1I1;COL1A1;FN1;TGFB3;TCF4;TIMP2;SERPINF1;ZEB1;GDNF;CXCL12;NEGR1;FEZ1;SPHK1;TENM3;LEF1;SHANK1</t>
  </si>
  <si>
    <t>http://www.broadinstitute.org/gsea/msigdb/cards/GO_POSITIVE_REGULATION_OF_CELL_DEVELOPMENT.html</t>
  </si>
  <si>
    <t>6591;26585;7043;5311;2621;55959;147906;6423;8877;51339</t>
  </si>
  <si>
    <t>SNAI2;GREM1;TGFB3;PKD2;GAS6;SULF2;DACT3;SFRP2;SPHK1;DACT1</t>
  </si>
  <si>
    <t>GO_RESPONSE_TO_TRANSFORMING_GROWTH_FACTOR_BETA</t>
  </si>
  <si>
    <t>1277;1281;2335;1278;7043;2200;4053;10631;50507</t>
  </si>
  <si>
    <t>COL1A1;COL3A1;FN1;COL1A2;TGFB3;FBN1;LTBP2;POSTN;NOX4</t>
  </si>
  <si>
    <t>http://www.broadinstitute.org/gsea/msigdb/cards/GO_RESPONSE_TO_TRANSFORMING_GROWTH_FACTOR_BETA.html</t>
  </si>
  <si>
    <t>GO_REGULATION_OF_BMP_SIGNALING_PATHWAY</t>
  </si>
  <si>
    <t>26585;2200;94031;23090;23213;5654;6423</t>
  </si>
  <si>
    <t>GREM1;FBN1;HTRA3;ZNF423;SULF1;HTRA1;SFRP2</t>
  </si>
  <si>
    <t>http://www.broadinstitute.org/gsea/msigdb/cards/GO_REGULATION_OF_BMP_SIGNALING_PATHWAY.html</t>
  </si>
  <si>
    <t>GO_METANEPHROS_MORPHOGENESIS</t>
  </si>
  <si>
    <t>http://www.broadinstitute.org/gsea/msigdb/cards/GO_METANEPHROS_MORPHOGENESIS.html</t>
  </si>
  <si>
    <t>GO_ARTERY_MORPHOGENESIS</t>
  </si>
  <si>
    <t>1281;5159;5396;4035;5311;4638</t>
  </si>
  <si>
    <t>COL3A1;PDGFRB;PRRX1;LRP1;PKD2;MYLK</t>
  </si>
  <si>
    <t>http://www.broadinstitute.org/gsea/msigdb/cards/GO_ARTERY_MORPHOGENESIS.html</t>
  </si>
  <si>
    <t>GO_MUSCLE_ORGAN_DEVELOPMENT</t>
  </si>
  <si>
    <t>9242;1281;1634;1301;1293;3908;6876;4638;165;6444;22801;57493</t>
  </si>
  <si>
    <t>MSC;COL3A1;DCN;COL11A1;COL6A3;LAMA2;TAGLN;MYLK;AEBP1;SGCD;ITGA11;HEG1</t>
  </si>
  <si>
    <t>http://www.broadinstitute.org/gsea/msigdb/cards/GO_MUSCLE_ORGAN_DEVELOPMENT.html</t>
  </si>
  <si>
    <t>GO_EYE_DEVELOPMENT</t>
  </si>
  <si>
    <t>4211;7070;1290;3624;5159;5156;1289;1296;2200;5176;6935;4237;55714</t>
  </si>
  <si>
    <t>MEIS1;THY1;COL5A2;INHBA;PDGFRB;PDGFRA;COL5A1;COL8A2;FBN1;SERPINF1;ZEB1;MFAP2;TENM3</t>
  </si>
  <si>
    <t>http://www.broadinstitute.org/gsea/msigdb/cards/GO_EYE_DEVELOPMENT.html</t>
  </si>
  <si>
    <t>GO_RESPONSE_TO_AMINO_ACID</t>
  </si>
  <si>
    <t>http://www.broadinstitute.org/gsea/msigdb/cards/GO_RESPONSE_TO_AMINO_ACID.html</t>
  </si>
  <si>
    <t>1634;7057;6678;7058;5176;23213;90627</t>
  </si>
  <si>
    <t>DCN;THBS1;SPARC;THBS2;SERPINF1;SULF1;STARD13</t>
  </si>
  <si>
    <t>GO_DERMATAN_SULFATE_METABOLIC_PROCESS</t>
  </si>
  <si>
    <t>1634;1462;633;29940</t>
  </si>
  <si>
    <t>DCN;VCAN;BGN;DSE</t>
  </si>
  <si>
    <t>http://www.broadinstitute.org/gsea/msigdb/cards/GO_DERMATAN_SULFATE_METABOLIC_PROCESS.html</t>
  </si>
  <si>
    <t>GO_EXTRACELLULAR_FIBRIL_ORGANIZATION</t>
  </si>
  <si>
    <t>1281;1289;8076;4053</t>
  </si>
  <si>
    <t>COL3A1;COL5A1;MFAP5;LTBP2</t>
  </si>
  <si>
    <t>http://www.broadinstitute.org/gsea/msigdb/cards/GO_EXTRACELLULAR_FIBRIL_ORGANIZATION.html</t>
  </si>
  <si>
    <t>GO_TRANSMEMBRANE_RECEPTOR_PROTEIN_SERINE_THREONINE_KINASE_SIGNALING_PATHWAY</t>
  </si>
  <si>
    <t>7041;1281;1278;3624;7043;4920;11167;4052;4053;51176</t>
  </si>
  <si>
    <t>TGFB1I1;COL3A1;COL1A2;INHBA;TGFB3;ROR2;FSTL1;LTBP1;LTBP2;LEF1</t>
  </si>
  <si>
    <t>http://www.broadinstitute.org/gsea/msigdb/cards/GO_TRANSMEMBRANE_RECEPTOR_PROTEIN_SERINE_THREONINE_KINASE_SIGNALING_PATHWAY.html</t>
  </si>
  <si>
    <t>26585;5159;5156;2200;2668;5311;55083</t>
  </si>
  <si>
    <t>GREM1;PDGFRB;PDGFRA;FBN1;GDNF;PKD2;KIF26B</t>
  </si>
  <si>
    <t>4211;26585;1277;1281;7070;710;7057;1278;4313;3624;716;7043;7412;5225;2252;7292;6935;4345;1513;6387;4323;2621;4638;196051;10234;5654;2259;5919;83700;51176</t>
  </si>
  <si>
    <t>MEIS1;GREM1;COL1A1;COL3A1;THY1;SERPING1;THBS1;COL1A2;MMP2;INHBA;C1S;TGFB3;VCAM1;PGC;FGF7;TNFSF4;ZEB1;CD200;CTSK;CXCL12;MMP14;GAS6;MYLK;PLPP4;LRRC17;HTRA1;FGF14;RARRES2;JAM3;LEF1</t>
  </si>
  <si>
    <t>GO_CELLULAR_RESPONSE_TO_VASCULAR_ENDOTHELIAL_GROWTH_FACTOR_STIMULUS</t>
  </si>
  <si>
    <t>2335;5159;5156;7412;2619</t>
  </si>
  <si>
    <t>FN1;PDGFRB;PDGFRA;VCAM1;GAS1</t>
  </si>
  <si>
    <t>http://www.broadinstitute.org/gsea/msigdb/cards/GO_CELLULAR_RESPONSE_TO_VASCULAR_ENDOTHELIAL_GROWTH_FACTOR_STIMULUS.html</t>
  </si>
  <si>
    <t>GO_PROTEOGLYCAN_BINDING</t>
  </si>
  <si>
    <t>7057;1289;50509;1513;1311</t>
  </si>
  <si>
    <t>THBS1;COL5A1;COL5A3;CTSK;COMP</t>
  </si>
  <si>
    <t>http://www.broadinstitute.org/gsea/msigdb/cards/GO_PROTEOGLYCAN_BINDING.html</t>
  </si>
  <si>
    <t>GO_NEGATIVE_REGULATION_OF_CELL_SUBSTRATE_ADHESION</t>
  </si>
  <si>
    <t>395;1277;7057;4323;6695;10631</t>
  </si>
  <si>
    <t>ARHGAP6;COL1A1;THBS1;MMP14;SPOCK1;POSTN</t>
  </si>
  <si>
    <t>http://www.broadinstitute.org/gsea/msigdb/cards/GO_NEGATIVE_REGULATION_OF_CELL_SUBSTRATE_ADHESION.html</t>
  </si>
  <si>
    <t>GO_MESONEPHRIC_TUBULE_MORPHOGENESIS</t>
  </si>
  <si>
    <t>26585;2668;5311;55083;79633;8642</t>
  </si>
  <si>
    <t>GREM1;GDNF;PKD2;KIF26B;FAT4;DCHS1</t>
  </si>
  <si>
    <t>http://www.broadinstitute.org/gsea/msigdb/cards/GO_MESONEPHRIC_TUBULE_MORPHOGENESIS.html</t>
  </si>
  <si>
    <t>GO_NEURON_PART</t>
  </si>
  <si>
    <t>8825;8633;7070;392617;7043;7077;3908;5176;2978;2978;2825;1012;4035;6695;1740;6624;57616;114757;84628;9638;23208;91653;64084;79953;8877;29767;55714;50944</t>
  </si>
  <si>
    <t>LIN7A;UNC5C;THY1;ELFN1;TGFB3;TIMP2;LAMA2;SERPINF1;GUCA1A;AL096814.2;GPR1;CDH13;LRP1;SPOCK1;DLG2;FSCN1;TSHZ3;CYGB;NTNG2;FEZ1;SYT11;BOC;CLSTN2;SYNDIG1;SPHK1;TMOD2;TENM3;SHANK1</t>
  </si>
  <si>
    <t>http://www.broadinstitute.org/gsea/msigdb/cards/GO_NEURON_PART.html</t>
  </si>
  <si>
    <t>26585;5159;2668;5311;55083;79633;8642</t>
  </si>
  <si>
    <t>GREM1;PDGFRB;GDNF;PKD2;KIF26B;FAT4;DCHS1</t>
  </si>
  <si>
    <t>GO_MUSCLE_CELL_DIFFERENTIATION</t>
  </si>
  <si>
    <t>8038;26585;5159;5156;25802;6444;6910;50507;9254;29767;51176</t>
  </si>
  <si>
    <t>ADAM12;GREM1;PDGFRB;PDGFRA;LMOD1;SGCD;TBX5;NOX4;CACNA2D2;TMOD2;LEF1</t>
  </si>
  <si>
    <t>http://www.broadinstitute.org/gsea/msigdb/cards/GO_MUSCLE_CELL_DIFFERENTIATION.html</t>
  </si>
  <si>
    <t>7041;26585;1277;2335;7070;6678;7043;1123;2668;6387;6356;10631;10630;147906;6423;6910;51176</t>
  </si>
  <si>
    <t>TGFB1I1;GREM1;COL1A1;FN1;THY1;SPARC;TGFB3;CHN1;GDNF;CXCL12;CCL11;POSTN;PDPN;DACT3;SFRP2;TBX5;LEF1</t>
  </si>
  <si>
    <t>GO_CELL_MIGRATION_INVOLVED_IN_HEART_DEVELOPMENT</t>
  </si>
  <si>
    <t>6591;5159;8642;6910</t>
  </si>
  <si>
    <t>SNAI2;PDGFRB;DCHS1;TBX5</t>
  </si>
  <si>
    <t>http://www.broadinstitute.org/gsea/msigdb/cards/GO_CELL_MIGRATION_INVOLVED_IN_HEART_DEVELOPMENT.html</t>
  </si>
  <si>
    <t>5924;395;26585;2335;7070;7057;5159;7043;1123;7077;5156;2252;894;5322;2668;2978;2978;5739;4323;6356;781;5311;2621;5118;3316;4921;85360;115557;2259;115908;6423;50507;8877;51339;90627</t>
  </si>
  <si>
    <t>RASGRF2;ARHGAP6;GREM1;FN1;THY1;THBS1;PDGFRB;TGFB3;CHN1;TIMP2;PDGFRA;FGF7;CCND2;PLA2G5;GDNF;GUCA1A;AL096814.2;PTGIR;MMP14;CCL11;CACNA2D1;PKD2;GAS6;PCOLCE;HSPB2;DDR2;SYDE1;ARHGEF25;FGF14;CTHRC1;SFRP2;NOX4;SPHK1;DACT1;STARD13</t>
  </si>
  <si>
    <t>GO_PROTEIN_HETEROTRIMERIZATION</t>
  </si>
  <si>
    <t>1277;1278;1291;1292</t>
  </si>
  <si>
    <t>COL1A1;COL1A2;COL6A1;COL6A2</t>
  </si>
  <si>
    <t>http://www.broadinstitute.org/gsea/msigdb/cards/GO_PROTEIN_HETEROTRIMERIZATION.html</t>
  </si>
  <si>
    <t>GO_FIBRIL</t>
  </si>
  <si>
    <t>2200;4237;8076;4052</t>
  </si>
  <si>
    <t>FBN1;MFAP2;MFAP5;LTBP1</t>
  </si>
  <si>
    <t>http://www.broadinstitute.org/gsea/msigdb/cards/GO_FIBRIL.html</t>
  </si>
  <si>
    <t>GO_TISSUE_MIGRATION</t>
  </si>
  <si>
    <t>26585;1012;59;72;2191;25960;90627</t>
  </si>
  <si>
    <t>GREM1;CDH13;ACTA2;ACTG2;FAP;ADGRA2;STARD13</t>
  </si>
  <si>
    <t>http://www.broadinstitute.org/gsea/msigdb/cards/GO_TISSUE_MIGRATION.html</t>
  </si>
  <si>
    <t>4313;716;4320;1513;4323;94031;2191;165;119587;5654;10699</t>
  </si>
  <si>
    <t>MMP2;C1S;MMP11;CTSK;MMP14;HTRA3;FAP;AEBP1;CPXM2;HTRA1;CORIN</t>
  </si>
  <si>
    <t>GO_PALATE_DEVELOPMENT</t>
  </si>
  <si>
    <t>6591;9242;3624;7043;5396;54796;51176</t>
  </si>
  <si>
    <t>SNAI2;MSC;INHBA;TGFB3;PRRX1;BNC2;LEF1</t>
  </si>
  <si>
    <t>http://www.broadinstitute.org/gsea/msigdb/cards/GO_PALATE_DEVELOPMENT.html</t>
  </si>
  <si>
    <t>4211;7041;26585;1277;5241;1634;7057;3624;5159;6343;7043;6925;7077;5156;2252;6935;2668;2978;2978;5739;4060;5396;1012;4920;5311;4921;23090;51334;6423;6910;56917;84662;50507;8877;51176</t>
  </si>
  <si>
    <t>MEIS1;TGFB1I1;GREM1;COL1A1;PGR;DCN;THBS1;INHBA;PDGFRB;SCT;TGFB3;TCF4;TIMP2;PDGFRA;FGF7;ZEB1;GDNF;GUCA1A;AL096814.2;PTGIR;LUM;PRRX1;CDH13;ROR2;PKD2;DDR2;ZNF423;PRR16;SFRP2;TBX5;MEIS3;GLIS2;NOX4;SPHK1;LEF1</t>
  </si>
  <si>
    <t>GO_NEURON_PROJECTION</t>
  </si>
  <si>
    <t>8825;8633;7070;392617;7077;3908;5176;2825;1012;4035;6695;1740;6624;57616;114757;84628;9638;91653;79953;8877;29767;55714;50944</t>
  </si>
  <si>
    <t>LIN7A;UNC5C;THY1;ELFN1;TIMP2;LAMA2;SERPINF1;GPR1;CDH13;LRP1;SPOCK1;DLG2;FSCN1;TSHZ3;CYGB;NTNG2;FEZ1;BOC;SYNDIG1;SPHK1;TMOD2;TENM3;SHANK1</t>
  </si>
  <si>
    <t>http://www.broadinstitute.org/gsea/msigdb/cards/GO_NEURON_PROJECTION.html</t>
  </si>
  <si>
    <t>GO_ACTIN_FILAMENT_BUNDLE</t>
  </si>
  <si>
    <t>87;10398;4638;6624;50507;9260</t>
  </si>
  <si>
    <t>ACTN1;MYL9;MYLK;FSCN1;NOX4;PDLIM7</t>
  </si>
  <si>
    <t>http://www.broadinstitute.org/gsea/msigdb/cards/GO_ACTIN_FILAMENT_BUNDLE.html</t>
  </si>
  <si>
    <t>26585;8434;7070;710;1634;7057;3624;392617;100127983;1293;7077;633;5176;2619;6695;2621;1740;64175;79883;127435;131578;6423;54829;51339;51176</t>
  </si>
  <si>
    <t>GREM1;RECK;THY1;SERPING1;DCN;THBS1;INHBA;ELFN1;C8orf88;COL6A3;TIMP2;BGN;SERPINF1;GAS1;SPOCK1;GAS6;DLG2;P3H1;PODNL1;PODN;LRRC15;SFRP2;ASPN;DACT1;LEF1</t>
  </si>
  <si>
    <t>26585;8840;2335;3624;6387;4323;94031;6695;7216;2621;3490;5654;147906;6423;6910;9254;8877;51176</t>
  </si>
  <si>
    <t>GREM1;CCN4;FN1;INHBA;CXCL12;MMP14;HTRA3;SPOCK1;TRO;GAS6;IGFBP7;HTRA1;DACT3;SFRP2;TBX5;CACNA2D2;SPHK1;LEF1</t>
  </si>
  <si>
    <t>5352;6591;2335;1634;4313;7077;4320;2200;1513;4323;3339;5592;4638;6424;5654;91653</t>
  </si>
  <si>
    <t>PLOD2;SNAI2;FN1;DCN;MMP2;TIMP2;MMP11;FBN1;CTSK;MMP14;HSPG2;PRKG1;MYLK;SFRP4;HTRA1;BOC</t>
  </si>
  <si>
    <t>GO_DERMATAN_SULFATE_PROTEOGLYCAN_METABOLIC_PROCESS</t>
  </si>
  <si>
    <t>http://www.broadinstitute.org/gsea/msigdb/cards/GO_DERMATAN_SULFATE_PROTEOGLYCAN_METABOLIC_PROCESS.html</t>
  </si>
  <si>
    <t>395;26585;7057;4323;1012;1307;10631</t>
  </si>
  <si>
    <t>ARHGAP6;GREM1;THBS1;MMP14;CDH13;COL16A1;POSTN</t>
  </si>
  <si>
    <t>6343;7043;1301;5156;2200;6935;4323;5396;4237;4920;5311;115908;5919;51176</t>
  </si>
  <si>
    <t>SCT;TGFB3;COL11A1;PDGFRA;FBN1;ZEB1;MMP14;PRRX1;MFAP2;ROR2;PKD2;CTHRC1;RARRES2;LEF1</t>
  </si>
  <si>
    <t>GO_AMINOGLYCAN_METABOLIC_PROCESS</t>
  </si>
  <si>
    <t>http://www.broadinstitute.org/gsea/msigdb/cards/GO_AMINOGLYCAN_METABOLIC_PROCESS.html</t>
  </si>
  <si>
    <t>1277;4313;7043;83716;51176</t>
  </si>
  <si>
    <t>COL1A1;MMP2;TGFB3;CRISPLD2;LEF1</t>
  </si>
  <si>
    <t>GO_SKIN_DEVELOPMENT</t>
  </si>
  <si>
    <t>9509;1277;1281;1290;1278;3624;1289;2252;50509;51176</t>
  </si>
  <si>
    <t>ADAMTS2;COL1A1;COL3A1;COL5A2;COL1A2;INHBA;COL5A1;FGF7;COL5A3;LEF1</t>
  </si>
  <si>
    <t>http://www.broadinstitute.org/gsea/msigdb/cards/GO_SKIN_DEVELOPMENT.html</t>
  </si>
  <si>
    <t>GO_ACTOMYOSIN</t>
  </si>
  <si>
    <t>http://www.broadinstitute.org/gsea/msigdb/cards/GO_ACTOMYOSIN.html</t>
  </si>
  <si>
    <t>26585;8434;1311;3899;5396;4920;6423;6910;51176</t>
  </si>
  <si>
    <t>GREM1;RECK;COMP;AFF3;PRRX1;ROR2;SFRP2;TBX5;LEF1</t>
  </si>
  <si>
    <t>GO_FILOPODIUM</t>
  </si>
  <si>
    <t>7412;59;72;6624;10630;25960;84168</t>
  </si>
  <si>
    <t>VCAM1;ACTA2;ACTG2;FSCN1;PDPN;ADGRA2;ANTXR1</t>
  </si>
  <si>
    <t>http://www.broadinstitute.org/gsea/msigdb/cards/GO_FILOPODIUM.html</t>
  </si>
  <si>
    <t>3671;8825;2335;710;7057;3624;6678;6343;7043;87;2252;5322;2621;4053;255189;5919;23208</t>
  </si>
  <si>
    <t>ISLR;LIN7A;FN1;SERPING1;THBS1;INHBA;SPARC;SCT;TGFB3;ACTN1;FGF7;PLA2G5;GAS6;LTBP2;PLA2G4F;RARRES2;SYT11</t>
  </si>
  <si>
    <t>727936;9945;1634;7057;5159;1301;1462;4882;633;5322;4060;5549;81792;3339;1740;340075;255189;79070;55959;23213;117248;4958;10418;29940</t>
  </si>
  <si>
    <t>GXYLT2;GFPT2;DCN;THBS1;PDGFRB;COL11A1;VCAN;NPR2;BGN;PLA2G5;LUM;PRELP;ADAMTS12;HSPG2;DLG2;ARSI;PLA2G4F;POGLUT2;SULF2;SULF1;GALNT15;OMD;SPON1;DSE</t>
  </si>
  <si>
    <t>http://www.broadinstitute.org/gsea/msigdb/cards/GO_CARBOHYDRATE_DERIVATIVE_METABOLIC_PROCESS.html</t>
  </si>
  <si>
    <t>GO_MESENCHYME_MORPHOGENESIS</t>
  </si>
  <si>
    <t>6591;59;72;8642;51176</t>
  </si>
  <si>
    <t>SNAI2;ACTA2;ACTG2;DCHS1;LEF1</t>
  </si>
  <si>
    <t>http://www.broadinstitute.org/gsea/msigdb/cards/GO_MESENCHYME_MORPHOGENESIS.html</t>
  </si>
  <si>
    <t>GO_STRIATED_MUSCLE_CELL_DIFFERENTIATION</t>
  </si>
  <si>
    <t>8038;5159;5156;25802;6910;50507;9254;29767;51176</t>
  </si>
  <si>
    <t>ADAM12;PDGFRB;PDGFRA;LMOD1;TBX5;NOX4;CACNA2D2;TMOD2;LEF1</t>
  </si>
  <si>
    <t>http://www.broadinstitute.org/gsea/msigdb/cards/GO_STRIATED_MUSCLE_CELL_DIFFERENTIATION.html</t>
  </si>
  <si>
    <t>710;1278;4882;5350;6387;781;59;5592;2621;10631;6444;57493;10699</t>
  </si>
  <si>
    <t>SERPING1;COL1A2;NPR2;PLN;CXCL12;CACNA2D1;ACTA2;PRKG1;GAS6;POSTN;SGCD;HEG1;CORIN</t>
  </si>
  <si>
    <t>1277;2335;7057;6678;5159;7412;7292;5350;5176;2978;2978;5311;3779;8877;51176</t>
  </si>
  <si>
    <t>COL1A1;FN1;THBS1;SPARC;PDGFRB;VCAM1;TNFSF4;PLN;SERPINF1;GUCA1A;AL096814.2;PKD2;KCNMB1;SPHK1;LEF1</t>
  </si>
  <si>
    <t>6591;26585;7070;7043;5350;1513;2619;5311;2621;55959;2259;147906;6423;8877;51339</t>
  </si>
  <si>
    <t>SNAI2;GREM1;THY1;TGFB3;PLN;CTSK;GAS1;PKD2;GAS6;SULF2;FGF14;DACT3;SFRP2;SPHK1;DACT1</t>
  </si>
  <si>
    <t>284297;6591;26585;2335;7070;3624;6343;7043;7292;5350;2668;1513;6387;2619;5311;2621;10631;64175;55959;131578;2259;147906;6423;23208;9254;8877;51339</t>
  </si>
  <si>
    <t>SSC5D;SNAI2;GREM1;FN1;THY1;INHBA;SCT;TGFB3;TNFSF4;PLN;GDNF;CTSK;CXCL12;GAS1;PKD2;GAS6;POSTN;P3H1;SULF2;LRRC15;FGF14;DACT3;SFRP2;SYT11;CACNA2D2;SPHK1;DACT1</t>
  </si>
  <si>
    <t>8825;2335;7070;3678;5159;2978;2978;1012;4035;2191;5311;1740;6624;255189;10630;23213;219699;81832;84251;9843;64084;84168;79953;50507;50944</t>
  </si>
  <si>
    <t>LIN7A;FN1;THY1;ITGA5;PDGFRB;GUCA1A;AL096814.2;CDH13;LRP1;FAP;PKD2;DLG2;FSCN1;PLA2G4F;PDPN;SULF1;UNC5B;NETO1;SGIP1;HEPH;CLSTN2;ANTXR1;SYNDIG1;NOX4;SHANK1</t>
  </si>
  <si>
    <t>GO_FIBRIL_ORGANIZATION</t>
  </si>
  <si>
    <t>http://www.broadinstitute.org/gsea/msigdb/cards/GO_FIBRIL_ORGANIZATION.html</t>
  </si>
  <si>
    <t>5159;5156;59;5311</t>
  </si>
  <si>
    <t>PDGFRB;PDGFRA;ACTA2;PKD2</t>
  </si>
  <si>
    <t>6591;26585;7043;4921;338773;115908;6423;4958;9260</t>
  </si>
  <si>
    <t>SNAI2;GREM1;TGFB3;DDR2;TMEM119;CTHRC1;SFRP2;OMD;PDLIM7</t>
  </si>
  <si>
    <t>1277;2335;1634;7412;4882;633;7292;6387;6356;81792;2621;10631;79883;127435;131578;54829;51176</t>
  </si>
  <si>
    <t>COL1A1;FN1;DCN;VCAM1;NPR2;BGN;TNFSF4;CXCL12;CCL11;ADAMTS12;GAS6;POSTN;PODNL1;PODN;LRRC15;ASPN;LEF1</t>
  </si>
  <si>
    <t>3671;2335;710;7057;6678;7043;87;2621;5919;23208</t>
  </si>
  <si>
    <t>ISLR;FN1;SERPING1;THBS1;SPARC;TGFB3;ACTN1;GAS6;RARRES2;SYT11</t>
  </si>
  <si>
    <t>395;6591;26585;7057;4323;1307</t>
  </si>
  <si>
    <t>ARHGAP6;SNAI2;GREM1;THBS1;MMP14;COL16A1</t>
  </si>
  <si>
    <t>5159;2252;7292;1296;5176;6935;4323;1012;4035;2191;2621;6624;4921;10630;10234;6423;23194;51176</t>
  </si>
  <si>
    <t>PDGFRB;FGF7;TNFSF4;COL8A2;SERPINF1;ZEB1;MMP14;CDH13;LRP1;FAP;GAS6;FSCN1;DDR2;PDPN;LRRC17;SFRP2;FBXL7;LEF1</t>
  </si>
  <si>
    <t>GO_CELL_SUBSTRATE_JUNCTION_ASSEMBLY</t>
  </si>
  <si>
    <t>395;2335;7070;3678;87</t>
  </si>
  <si>
    <t>ARHGAP6;FN1;THY1;ITGA5;ACTN1</t>
  </si>
  <si>
    <t>http://www.broadinstitute.org/gsea/msigdb/cards/GO_CELL_SUBSTRATE_JUNCTION_ASSEMBLY.html</t>
  </si>
  <si>
    <t>GO_CARDIAC_MUSCLE_TISSUE_DEVELOPMENT</t>
  </si>
  <si>
    <t>5159;1301;5156;5350;6444;6910;50507;57493</t>
  </si>
  <si>
    <t>PDGFRB;COL11A1;PDGFRA;PLN;SGCD;TBX5;NOX4;HEG1</t>
  </si>
  <si>
    <t>http://www.broadinstitute.org/gsea/msigdb/cards/GO_CARDIAC_MUSCLE_TISSUE_DEVELOPMENT.html</t>
  </si>
  <si>
    <t>GO_RESPONSE_TO_KETONE</t>
  </si>
  <si>
    <t>2335;7057;7043;7292;5350;5176;2621;10631;8877</t>
  </si>
  <si>
    <t>FN1;THBS1;TGFB3;TNFSF4;PLN;SERPINF1;GAS6;POSTN;SPHK1</t>
  </si>
  <si>
    <t>http://www.broadinstitute.org/gsea/msigdb/cards/GO_RESPONSE_TO_KETONE.html</t>
  </si>
  <si>
    <t>5924;395;26585;2335;7070;7057;5159;7043;1123;7077;5156;2252;894;5322;2668;2978;2978;5739;4323;6356;5311;2621;5118;3316;4921;85360;115557;6423;50507;90627</t>
  </si>
  <si>
    <t>RASGRF2;ARHGAP6;GREM1;FN1;THY1;THBS1;PDGFRB;TGFB3;CHN1;TIMP2;PDGFRA;FGF7;CCND2;PLA2G5;GDNF;GUCA1A;AL096814.2;PTGIR;MMP14;CCL11;PKD2;GAS6;PCOLCE;HSPB2;DDR2;SYDE1;ARHGEF25;SFRP2;NOX4;STARD13</t>
  </si>
  <si>
    <t>GO_POSITIVE_REGULATION_OF_NERVOUS_SYSTEM_DEVELOPMENT</t>
  </si>
  <si>
    <t>2335;6925;7077;7058;5176;6935;6387;257194;9638;64084;79953;8877;55714;50944</t>
  </si>
  <si>
    <t>FN1;TCF4;TIMP2;THBS2;SERPINF1;ZEB1;CXCL12;NEGR1;FEZ1;CLSTN2;SYNDIG1;SPHK1;TENM3;SHANK1</t>
  </si>
  <si>
    <t>http://www.broadinstitute.org/gsea/msigdb/cards/GO_POSITIVE_REGULATION_OF_NERVOUS_SYSTEM_DEVELOPMENT.html</t>
  </si>
  <si>
    <t>GO_NEGATIVE_REGULATION_OF_BMP_SIGNALING_PATHWAY</t>
  </si>
  <si>
    <t>26585;2200;94031;5654;6423</t>
  </si>
  <si>
    <t>GREM1;FBN1;HTRA3;HTRA1;SFRP2</t>
  </si>
  <si>
    <t>http://www.broadinstitute.org/gsea/msigdb/cards/GO_NEGATIVE_REGULATION_OF_BMP_SIGNALING_PATHWAY.html</t>
  </si>
  <si>
    <t>7041;1277;2335;5241;7057;6678;5159;7043;5350;4015;5176;4323;10631;8877;51176</t>
  </si>
  <si>
    <t>TGFB1I1;COL1A1;FN1;PGR;THBS1;SPARC;PDGFRB;TGFB3;PLN;LOX;SERPINF1;MMP14;POSTN;SPHK1;LEF1</t>
  </si>
  <si>
    <t>1277;1281;1278;87;5156;10398;2621;10630</t>
  </si>
  <si>
    <t>COL1A1;COL3A1;COL1A2;ACTN1;PDGFRA;MYL9;GAS6;PDPN</t>
  </si>
  <si>
    <t>GO_EMBRYONIC_ORGAN_MORPHOGENESIS</t>
  </si>
  <si>
    <t>7043;1301;5156;2200;6935;4323;5396;4237;4920;5311;115908</t>
  </si>
  <si>
    <t>TGFB3;COL11A1;PDGFRA;FBN1;ZEB1;MMP14;PRRX1;MFAP2;ROR2;PKD2;CTHRC1</t>
  </si>
  <si>
    <t>http://www.broadinstitute.org/gsea/msigdb/cards/GO_EMBRYONIC_ORGAN_MORPHOGENESIS.html</t>
  </si>
  <si>
    <t>GO_CHONDROCYTE_DEVELOPMENT</t>
  </si>
  <si>
    <t>1301;55959;23213;6423</t>
  </si>
  <si>
    <t>COL11A1;SULF2;SULF1;SFRP2</t>
  </si>
  <si>
    <t>http://www.broadinstitute.org/gsea/msigdb/cards/GO_CHONDROCYTE_DEVELOPMENT.html</t>
  </si>
  <si>
    <t>GO_ODONTOGENESIS</t>
  </si>
  <si>
    <t>1277;3912;1278;3624;7043;5654;51176</t>
  </si>
  <si>
    <t>COL1A1;LAMB1;COL1A2;INHBA;TGFB3;HTRA1;LEF1</t>
  </si>
  <si>
    <t>http://www.broadinstitute.org/gsea/msigdb/cards/GO_ODONTOGENESIS.html</t>
  </si>
  <si>
    <t>GO_BASAL_LAMINA</t>
  </si>
  <si>
    <t>2335;3912;3908;3910</t>
  </si>
  <si>
    <t>FN1;LAMB1;LAMA2;LAMA4</t>
  </si>
  <si>
    <t>http://www.broadinstitute.org/gsea/msigdb/cards/GO_BASAL_LAMINA.html</t>
  </si>
  <si>
    <t>GO_L_ASCORBIC_ACID_BINDING</t>
  </si>
  <si>
    <t>5352;5351;64175;283208</t>
  </si>
  <si>
    <t>PLOD2;PLOD1;P3H1;P4HA3</t>
  </si>
  <si>
    <t>http://www.broadinstitute.org/gsea/msigdb/cards/GO_L_ASCORBIC_ACID_BINDING.html</t>
  </si>
  <si>
    <t>7070;5159;6387;781;5311;4638;2259</t>
  </si>
  <si>
    <t>THY1;PDGFRB;CXCL12;CACNA2D1;PKD2;MYLK;FGF14</t>
  </si>
  <si>
    <t>GO_METALLOPEPTIDASE_ACTIVITY</t>
  </si>
  <si>
    <t>8038;9509;4313;4320;4323;81792;2191;165;119587</t>
  </si>
  <si>
    <t>ADAM12;ADAMTS2;MMP2;MMP11;MMP14;ADAMTS12;FAP;AEBP1;CPXM2</t>
  </si>
  <si>
    <t>http://www.broadinstitute.org/gsea/msigdb/cards/GO_METALLOPEPTIDASE_ACTIVITY.html</t>
  </si>
  <si>
    <t>7041;1277;2335;5241;1634;7057;3624;6678;5159;7043;7412;7292;5350;4015;5176;5739;4323;2326;10631;8877;51176</t>
  </si>
  <si>
    <t>TGFB1I1;COL1A1;FN1;PGR;DCN;THBS1;INHBA;SPARC;PDGFRB;TGFB3;VCAM1;TNFSF4;PLN;LOX;SERPINF1;PTGIR;MMP14;FMO1;POSTN;SPHK1;LEF1</t>
  </si>
  <si>
    <t>GO_BODY_MORPHOGENESIS</t>
  </si>
  <si>
    <t>http://www.broadinstitute.org/gsea/msigdb/cards/GO_BODY_MORPHOGENESIS.html</t>
  </si>
  <si>
    <t>GO_BRANCHING_INVOLVED_IN_URETERIC_BUD_MORPHOGENESIS</t>
  </si>
  <si>
    <t>26585;2668;5311;79633;8642</t>
  </si>
  <si>
    <t>GREM1;GDNF;PKD2;FAT4;DCHS1</t>
  </si>
  <si>
    <t>http://www.broadinstitute.org/gsea/msigdb/cards/GO_BRANCHING_INVOLVED_IN_URETERIC_BUD_MORPHOGENESIS.html</t>
  </si>
  <si>
    <t>1277;1281;710;7057;1278;6343;87;5156;10398;953;2191;5592;2621;10630;57493</t>
  </si>
  <si>
    <t>COL1A1;COL3A1;SERPING1;THBS1;COL1A2;SCT;ACTN1;PDGFRA;MYL9;ENTPD1;FAP;PRKG1;GAS6;PDPN;HEG1</t>
  </si>
  <si>
    <t>GO_REGULATION_OF_PEPTIDASE_ACTIVITY</t>
  </si>
  <si>
    <t>8434;2335;710;7057;1293;7077;5176;4323;6695;2621;5118;6423;51176</t>
  </si>
  <si>
    <t>RECK;FN1;SERPING1;THBS1;COL6A3;TIMP2;SERPINF1;MMP14;SPOCK1;GAS6;PCOLCE;SFRP2;LEF1</t>
  </si>
  <si>
    <t>http://www.broadinstitute.org/gsea/msigdb/cards/GO_REGULATION_OF_PEPTIDASE_ACTIVITY.html</t>
  </si>
  <si>
    <t>GO_AORTA_MORPHOGENESIS</t>
  </si>
  <si>
    <t>1281;5159;4035;4638</t>
  </si>
  <si>
    <t>COL3A1;PDGFRB;LRP1;MYLK</t>
  </si>
  <si>
    <t>http://www.broadinstitute.org/gsea/msigdb/cards/GO_AORTA_MORPHOGENESIS.html</t>
  </si>
  <si>
    <t>GO_MUCOPOLYSACCHARIDE_METABOLIC_PROCESS</t>
  </si>
  <si>
    <t>1634;1462;633;4060;5549;4958;29940</t>
  </si>
  <si>
    <t>DCN;VCAN;BGN;LUM;PRELP;OMD;DSE</t>
  </si>
  <si>
    <t>http://www.broadinstitute.org/gsea/msigdb/cards/GO_MUCOPOLYSACCHARIDE_METABOLIC_PROCESS.html</t>
  </si>
  <si>
    <t>2037;7169;87;25802;1264;6876;800;4638;6624;165904;84168;29767;171024</t>
  </si>
  <si>
    <t>EPB41L2;TPM2;ACTN1;LMOD1;CNN1;TAGLN;CALD1;MYLK;FSCN1;XIRP1;ANTXR1;TMOD2;SYNPO2</t>
  </si>
  <si>
    <t>26585;7057;1012;25960;51176</t>
  </si>
  <si>
    <t>GREM1;THBS1;CDH13;ADGRA2;LEF1</t>
  </si>
  <si>
    <t>GO_SMOOTH_MUSCLE_CONTRACTION</t>
  </si>
  <si>
    <t>2668;59;4638;55959;23213</t>
  </si>
  <si>
    <t>GDNF;ACTA2;MYLK;SULF2;SULF1</t>
  </si>
  <si>
    <t>http://www.broadinstitute.org/gsea/msigdb/cards/GO_SMOOTH_MUSCLE_CONTRACTION.html</t>
  </si>
  <si>
    <t>3678;7412;4345;79633;8642</t>
  </si>
  <si>
    <t>ITGA5;VCAM1;CD200;FAT4;DCHS1</t>
  </si>
  <si>
    <t>5924;6591;26585;8633;8840;2335;7057;3624;3678;5159;7043;87;5176;2668;6387;1311;2619;4035;2191;2621;6424;219699;6423;6910;56917;57124;50507;8877;51176</t>
  </si>
  <si>
    <t>RASGRF2;SNAI2;GREM1;UNC5C;CCN4;FN1;THBS1;INHBA;ITGA5;PDGFRB;TGFB3;ACTN1;SERPINF1;GDNF;CXCL12;COMP;GAS1;LRP1;FAP;GAS6;SFRP4;UNC5B;SFRP2;TBX5;MEIS3;CD248;NOX4;SPHK1;LEF1</t>
  </si>
  <si>
    <t>8434;7070;710;1634;7057;392617;1293;7077;633;5350;5176;6695;2621;1740;79883;127435;131578;6423;54829;51176</t>
  </si>
  <si>
    <t>RECK;THY1;SERPING1;DCN;THBS1;ELFN1;COL6A3;TIMP2;BGN;PLN;SERPINF1;SPOCK1;GAS6;DLG2;PODNL1;PODN;LRRC15;SFRP2;ASPN;LEF1</t>
  </si>
  <si>
    <t>26585;7057;3624;3678;5159;6343;7043;7077;5156;2252;894;5322;2978;2978;5739;6356;5311;2621;4921;6423;5919;50507;8877</t>
  </si>
  <si>
    <t>GREM1;THBS1;INHBA;ITGA5;PDGFRB;SCT;TGFB3;TIMP2;PDGFRA;FGF7;CCND2;PLA2G5;GUCA1A;AL096814.2;PTGIR;CCL11;PKD2;GAS6;DDR2;SFRP2;RARRES2;NOX4;SPHK1</t>
  </si>
  <si>
    <t>5352;8038;7041;9509;2335;5241;4313;4320;4015;6935;4323;81792;5351;8639;64175;27295;29951;283208;165;253827;219654;119587;344558;114757;9843;9260;25769;23024</t>
  </si>
  <si>
    <t>PLOD2;ADAM12;TGFB1I1;ADAMTS2;FN1;PGR;MMP2;MMP11;LOX;ZEB1;MMP14;ADAMTS12;PLOD1;AOC3;P3H1;PDLIM3;PDZRN4;P4HA3;AEBP1;MSRB3;ZCCHC24;CPXM2;SH3RF3;CYGB;HEPH;PDLIM7;SLC24A2;PDZRN3</t>
  </si>
  <si>
    <t>GO_NEGATIVE_REGULATION_OF_HYDROLASE_ACTIVITY</t>
  </si>
  <si>
    <t>8434;710;7057;392617;1293;7077;5350;5176;6695;2621;1740;6423;51176</t>
  </si>
  <si>
    <t>RECK;SERPING1;THBS1;ELFN1;COL6A3;TIMP2;PLN;SERPINF1;SPOCK1;GAS6;DLG2;SFRP2;LEF1</t>
  </si>
  <si>
    <t>http://www.broadinstitute.org/gsea/msigdb/cards/GO_NEGATIVE_REGULATION_OF_HYDROLASE_ACTIVITY.html</t>
  </si>
  <si>
    <t>6591;26585;2335;7070;1634;7057;3624;3678;5159;392617;7043;7077;5156;2252;633;894;5322;6356;5311;2621;1740;4921;64175;79883;127435;131578;6423;5919;54829;50507;8877;51339</t>
  </si>
  <si>
    <t>SNAI2;GREM1;FN1;THY1;DCN;THBS1;INHBA;ITGA5;PDGFRB;ELFN1;TGFB3;TIMP2;PDGFRA;FGF7;BGN;CCND2;PLA2G5;CCL11;PKD2;GAS6;DLG2;DDR2;P3H1;PODNL1;PODN;LRRC15;SFRP2;RARRES2;ASPN;NOX4;SPHK1;DACT1</t>
  </si>
  <si>
    <t>395;6591;26585;7057;7043;25802;7058;4323;6356;1307;6624;9638;64084;79953;50507;51339;29767;54551;50944</t>
  </si>
  <si>
    <t>ARHGAP6;SNAI2;GREM1;THBS1;TGFB3;LMOD1;THBS2;MMP14;CCL11;COL16A1;FSCN1;FEZ1;CLSTN2;SYNDIG1;NOX4;DACT1;TMOD2;MAGEL2;SHANK1</t>
  </si>
  <si>
    <t>395;2037;7070;5159;87;5156;2252;25802;6356;1264;5311;5592;6624;27295;165904;84168;9260;29767;54551;50944</t>
  </si>
  <si>
    <t>ARHGAP6;EPB41L2;THY1;PDGFRB;ACTN1;PDGFRA;FGF7;LMOD1;CCL11;CNN1;PKD2;PRKG1;FSCN1;PDLIM3;XIRP1;ANTXR1;PDLIM7;TMOD2;MAGEL2;SHANK1</t>
  </si>
  <si>
    <t>GO_METALLOENDOPEPTIDASE_ACTIVITY</t>
  </si>
  <si>
    <t>8038;9509;4313;4320;4323;81792;2191</t>
  </si>
  <si>
    <t>ADAM12;ADAMTS2;MMP2;MMP11;MMP14;ADAMTS12;FAP</t>
  </si>
  <si>
    <t>http://www.broadinstitute.org/gsea/msigdb/cards/GO_METALLOENDOPEPTIDASE_ACTIVITY.html</t>
  </si>
  <si>
    <t>GO_NEGATIVE_REGULATION_OF_PEPTIDASE_ACTIVITY</t>
  </si>
  <si>
    <t>8434;710;7057;1293;7077;5176;6695;2621;6423;51176</t>
  </si>
  <si>
    <t>RECK;SERPING1;THBS1;COL6A3;TIMP2;SERPINF1;SPOCK1;GAS6;SFRP2;LEF1</t>
  </si>
  <si>
    <t>http://www.broadinstitute.org/gsea/msigdb/cards/GO_NEGATIVE_REGULATION_OF_PEPTIDASE_ACTIVITY.html</t>
  </si>
  <si>
    <t>2335;1634;7057;5159;5225;7292;6387;6356;1012;2621;5919</t>
  </si>
  <si>
    <t>FN1;DCN;THBS1;PDGFRB;PGC;TNFSF4;CXCL12;CCL11;CDH13;GAS6;RARRES2</t>
  </si>
  <si>
    <t>GO_RENAL_TUBULE_DEVELOPMENT</t>
  </si>
  <si>
    <t>http://www.broadinstitute.org/gsea/msigdb/cards/GO_RENAL_TUBULE_DEVELOPMENT.html</t>
  </si>
  <si>
    <t>1290;1289;3908;2668;3910;23213;6423</t>
  </si>
  <si>
    <t>COL5A2;COL5A1;LAMA2;GDNF;LAMA4;SULF1;SFRP2</t>
  </si>
  <si>
    <t>3678;87;59;72;2191;5311;4638;6624;255189;10630;84168;9260</t>
  </si>
  <si>
    <t>ITGA5;ACTN1;ACTA2;ACTG2;FAP;PKD2;MYLK;FSCN1;PLA2G4F;PDPN;ANTXR1;PDLIM7</t>
  </si>
  <si>
    <t>4211;7041;26585;1277;2335;5241;1634;7057;3624;7043;6925;2252;6935;2668;4060;5396;1012;59;72;4920;5311;2621;4921;23090;51334;6424;6423;6910;56917;84662;8877;51176</t>
  </si>
  <si>
    <t>MEIS1;TGFB1I1;GREM1;COL1A1;FN1;PGR;DCN;THBS1;INHBA;TGFB3;TCF4;FGF7;ZEB1;GDNF;LUM;PRRX1;CDH13;ACTA2;ACTG2;ROR2;PKD2;GAS6;DDR2;ZNF423;PRR16;SFRP4;SFRP2;TBX5;MEIS3;GLIS2;SPHK1;LEF1</t>
  </si>
  <si>
    <t>7041;1277;2335;5241;7057;3624;6678;5159;7043;7412;5350;4015;5176;5322;4323;4060;10631;255189;50507;8877;51176</t>
  </si>
  <si>
    <t>TGFB1I1;COL1A1;FN1;PGR;THBS1;INHBA;SPARC;PDGFRB;TGFB3;VCAM1;PLN;LOX;SERPINF1;PLA2G5;MMP14;LUM;POSTN;PLA2G4F;NOX4;SPHK1;LEF1</t>
  </si>
  <si>
    <t>GO_BONE_MORPHOGENESIS</t>
  </si>
  <si>
    <t>1277;7043;1311;4323;1300;6423</t>
  </si>
  <si>
    <t>COL1A1;TGFB3;COMP;MMP14;COL10A1;SFRP2</t>
  </si>
  <si>
    <t>http://www.broadinstitute.org/gsea/msigdb/cards/GO_BONE_MORPHOGENESIS.html</t>
  </si>
  <si>
    <t>GO_REGULATION_OF_NEURON_PROJECTION_DEVELOPMENT</t>
  </si>
  <si>
    <t>2335;7070;1123;5176;6387;5396;4035;6695;257194;9638;8877;55714;50944</t>
  </si>
  <si>
    <t>FN1;THY1;CHN1;SERPINF1;CXCL12;PRRX1;LRP1;SPOCK1;NEGR1;FEZ1;SPHK1;TENM3;SHANK1</t>
  </si>
  <si>
    <t>http://www.broadinstitute.org/gsea/msigdb/cards/GO_REGULATION_OF_NEURON_PROJECTION_DEVELOPMENT.html</t>
  </si>
  <si>
    <t>GO_GLYCOPROTEIN_METABOLIC_PROCESS</t>
  </si>
  <si>
    <t>727936;1634;7057;1301;1462;633;81792;55959;23213;117248;10418;29940</t>
  </si>
  <si>
    <t>GXYLT2;DCN;THBS1;COL11A1;VCAN;BGN;ADAMTS12;SULF2;SULF1;GALNT15;SPON1;DSE</t>
  </si>
  <si>
    <t>http://www.broadinstitute.org/gsea/msigdb/cards/GO_GLYCOPROTEIN_METABOLIC_PROCESS.html</t>
  </si>
  <si>
    <t>5159;5156;59;55959;23213</t>
  </si>
  <si>
    <t>PDGFRB;PDGFRA;ACTA2;SULF2;SULF1</t>
  </si>
  <si>
    <t>GO_CHONDROITIN_SULFATE_BIOSYNTHETIC_PROCESS</t>
  </si>
  <si>
    <t>http://www.broadinstitute.org/gsea/msigdb/cards/GO_CHONDROITIN_SULFATE_BIOSYNTHETIC_PROCESS.html</t>
  </si>
  <si>
    <t>GO_INSULIN_LIKE_GROWTH_FACTOR_BINDING</t>
  </si>
  <si>
    <t>8840;94031;3490;5654</t>
  </si>
  <si>
    <t>CCN4;HTRA3;IGFBP7;HTRA1</t>
  </si>
  <si>
    <t>http://www.broadinstitute.org/gsea/msigdb/cards/GO_INSULIN_LIKE_GROWTH_FACTOR_BINDING.html</t>
  </si>
  <si>
    <t>1277;2335;7057;1278;3624;716;7043;87;6925;5156;4882;5350;2668;4345;1012;5351;2191;5311;8639;147906;83700;79953;93166;55714;50944</t>
  </si>
  <si>
    <t>COL1A1;FN1;THBS1;COL1A2;INHBA;C1S;TGFB3;ACTN1;TCF4;PDGFRA;NPR2;PLN;GDNF;CD200;CDH13;PLOD1;FAP;PKD2;AOC3;DACT3;JAM3;SYNDIG1;PRDM6;TENM3;SHANK1</t>
  </si>
  <si>
    <t>395;26585;2335;7070;1123;2978;2978;4323;2621;5118;3316;85360;6423;90627</t>
  </si>
  <si>
    <t>ARHGAP6;GREM1;FN1;THY1;CHN1;GUCA1A;AL096814.2;MMP14;GAS6;PCOLCE;HSPB2;SYDE1;SFRP2;STARD13</t>
  </si>
  <si>
    <t>395;26585;7057;4323;1307</t>
  </si>
  <si>
    <t>ARHGAP6;GREM1;THBS1;MMP14;COL16A1</t>
  </si>
  <si>
    <t>GO_POSITIVE_REGULATION_OF_STEM_CELL_DIFFERENTIATION</t>
  </si>
  <si>
    <t>7041;1277;7043;6910;51176</t>
  </si>
  <si>
    <t>TGFB1I1;COL1A1;TGFB3;TBX5;LEF1</t>
  </si>
  <si>
    <t>http://www.broadinstitute.org/gsea/msigdb/cards/GO_POSITIVE_REGULATION_OF_STEM_CELL_DIFFERENTIATION.html</t>
  </si>
  <si>
    <t>8825;2335;7070;3678;5159;2978;2978;1012;2191;5311;1740;6624;255189;10630;81832;9843;64084;84168;79953;50507;50944</t>
  </si>
  <si>
    <t>LIN7A;FN1;THY1;ITGA5;PDGFRB;GUCA1A;AL096814.2;CDH13;FAP;PKD2;DLG2;FSCN1;PLA2G4F;PDPN;NETO1;HEPH;CLSTN2;ANTXR1;SYNDIG1;NOX4;SHANK1</t>
  </si>
  <si>
    <t>GO_NEGATIVE_REGULATION_OF_EMBRYONIC_DEVELOPMENT</t>
  </si>
  <si>
    <t>1290;1289;23213;6423</t>
  </si>
  <si>
    <t>COL5A2;COL5A1;SULF1;SFRP2</t>
  </si>
  <si>
    <t>http://www.broadinstitute.org/gsea/msigdb/cards/GO_NEGATIVE_REGULATION_OF_EMBRYONIC_DEVELOPMENT.html</t>
  </si>
  <si>
    <t>2335;6925;7077;5176;6935;6387;257194;9638;8877;55714;50944</t>
  </si>
  <si>
    <t>FN1;TCF4;TIMP2;SERPINF1;ZEB1;CXCL12;NEGR1;FEZ1;SPHK1;TENM3;SHANK1</t>
  </si>
  <si>
    <t>1277;1634;3678;1462;7412;2252;633;4320;5322;4323;4060;5549;3339;5592;2621;10631;8639;55959;23213;117248;387758;9638;4958;83700;83468;64084;29940;10000</t>
  </si>
  <si>
    <t>COL1A1;DCN;ITGA5;VCAN;VCAM1;FGF7;BGN;MMP11;PLA2G5;MMP14;LUM;PRELP;HSPG2;PRKG1;GAS6;POSTN;AOC3;SULF2;SULF1;GALNT15;FIBIN;FEZ1;OMD;JAM3;GLT8D2;CLSTN2;DSE;AKT3</t>
  </si>
  <si>
    <t>6591;26585;7043;1513;5311;2621;55959;147906;6423;8877;51339</t>
  </si>
  <si>
    <t>SNAI2;GREM1;TGFB3;CTSK;PKD2;GAS6;SULF2;DACT3;SFRP2;SPHK1;DACT1</t>
  </si>
  <si>
    <t>2335;7057;5159;6387;1012;2621;5919</t>
  </si>
  <si>
    <t>FN1;THBS1;PDGFRB;CXCL12;CDH13;GAS6;RARRES2</t>
  </si>
  <si>
    <t>1277;1281;2335;1290;1278;4313;3624;1291;5156;7292;2200;5176;6935;1307;5311;2621;10631;50507;8877</t>
  </si>
  <si>
    <t>COL1A1;COL3A1;FN1;COL5A2;COL1A2;MMP2;INHBA;COL6A1;PDGFRA;TNFSF4;FBN1;SERPINF1;ZEB1;COL16A1;PKD2;GAS6;POSTN;NOX4;SPHK1</t>
  </si>
  <si>
    <t>26585;7043;2621;55959;6423;8877;51339</t>
  </si>
  <si>
    <t>GREM1;TGFB3;GAS6;SULF2;SFRP2;SPHK1;DACT1</t>
  </si>
  <si>
    <t>GO_POSITIVE_REGULATION_OF_OSSIFICATION</t>
  </si>
  <si>
    <t>7043;4921;338773;115908;6423;9260</t>
  </si>
  <si>
    <t>TGFB3;DDR2;TMEM119;CTHRC1;SFRP2;PDLIM7</t>
  </si>
  <si>
    <t>http://www.broadinstitute.org/gsea/msigdb/cards/GO_POSITIVE_REGULATION_OF_OSSIFICATION.html</t>
  </si>
  <si>
    <t>3671;8825;2335;710;7057;6678;7043;87;2621;5919;23208</t>
  </si>
  <si>
    <t>ISLR;LIN7A;FN1;SERPING1;THBS1;SPARC;TGFB3;ACTN1;GAS6;RARRES2;SYT11</t>
  </si>
  <si>
    <t>1277;1281;1634;1301;6387;4323;5311;10631;63895</t>
  </si>
  <si>
    <t>COL1A1;COL3A1;DCN;COL11A1;CXCL12;MMP14;PKD2;POSTN;PIEZO2</t>
  </si>
  <si>
    <t>6591;26585;2252;2668;23213</t>
  </si>
  <si>
    <t>SNAI2;GREM1;FGF7;GDNF;SULF1</t>
  </si>
  <si>
    <t>2335;5156;2621;4921;8877</t>
  </si>
  <si>
    <t>FN1;PDGFRA;GAS6;DDR2;SPHK1</t>
  </si>
  <si>
    <t>7070;3678;7077;3908;5176;2978;2978;6695;2191;5311;1740;6624;57616;255189;10630;91653;64084;84168;79953;29767;50944</t>
  </si>
  <si>
    <t>THY1;ITGA5;TIMP2;LAMA2;SERPINF1;GUCA1A;AL096814.2;SPOCK1;FAP;PKD2;DLG2;FSCN1;TSHZ3;PLA2G4F;PDPN;BOC;CLSTN2;ANTXR1;SYNDIG1;TMOD2;SHANK1</t>
  </si>
  <si>
    <t>6591;1301;1289;5311;79633;6423;8642;6910;57493</t>
  </si>
  <si>
    <t>SNAI2;COL11A1;COL5A1;PKD2;FAT4;SFRP2;DCHS1;TBX5;HEG1</t>
  </si>
  <si>
    <t>3671;8825;2335;710;7057;3624;6678;7043;87;2252;2621;4053;5919;23208</t>
  </si>
  <si>
    <t>ISLR;LIN7A;FN1;SERPING1;THBS1;INHBA;SPARC;TGFB3;ACTN1;FGF7;GAS6;LTBP2;RARRES2;SYT11</t>
  </si>
  <si>
    <t>1281;710;1634;7043;7077;7412;5176;5549;4035;50507</t>
  </si>
  <si>
    <t>COL3A1;SERPING1;DCN;TGFB3;TIMP2;VCAM1;SERPINF1;PRELP;LRP1;NOX4</t>
  </si>
  <si>
    <t>GO_TISSUE_REMODELING</t>
  </si>
  <si>
    <t>7043;633;1513;4323;115908;50507</t>
  </si>
  <si>
    <t>TGFB3;BGN;CTSK;MMP14;CTHRC1;NOX4</t>
  </si>
  <si>
    <t>http://www.broadinstitute.org/gsea/msigdb/cards/GO_TISSUE_REMODELING.html</t>
  </si>
  <si>
    <t>4211;26585;1281;7070;710;7057;3624;7043;7292;6387;10234;5654</t>
  </si>
  <si>
    <t>MEIS1;GREM1;COL3A1;THY1;SERPING1;THBS1;INHBA;TGFB3;TNFSF4;CXCL12;LRRC17;HTRA1</t>
  </si>
  <si>
    <t>395;7070;7057;25802;4323;4035;6695;2191;10631;131578;147906;6423;6910;9638;51339;29767;50944</t>
  </si>
  <si>
    <t>ARHGAP6;THY1;THBS1;LMOD1;MMP14;LRP1;SPOCK1;FAP;POSTN;LRRC15;DACT3;SFRP2;TBX5;FEZ1;DACT1;TMOD2;SHANK1</t>
  </si>
  <si>
    <t>2037;7169;87;10398;25802;1264;6876;800;5311;4638;6624;55083;27295;165904;9638;84251;84168;29767;171024</t>
  </si>
  <si>
    <t>EPB41L2;TPM2;ACTN1;MYL9;LMOD1;CNN1;TAGLN;CALD1;PKD2;MYLK;FSCN1;KIF26B;PDLIM3;XIRP1;FEZ1;SGIP1;ANTXR1;TMOD2;SYNPO2</t>
  </si>
  <si>
    <t>GO_KINASE_INHIBITOR_ACTIVITY</t>
  </si>
  <si>
    <t>http://www.broadinstitute.org/gsea/msigdb/cards/GO_KINASE_INHIBITOR_ACTIVITY.html</t>
  </si>
  <si>
    <t>GO_PEPTIDE_CROSS_LINKING</t>
  </si>
  <si>
    <t>1281;2335;1634;7057;633</t>
  </si>
  <si>
    <t>COL3A1;FN1;DCN;THBS1;BGN</t>
  </si>
  <si>
    <t>http://www.broadinstitute.org/gsea/msigdb/cards/GO_PEPTIDE_CROSS_LINKING.html</t>
  </si>
  <si>
    <t>2335;7070;7043;1123;5176;6387;5396;4035;6695;6624;257194;9638;8877;55714;50944</t>
  </si>
  <si>
    <t>FN1;THY1;TGFB3;CHN1;SERPINF1;CXCL12;PRRX1;LRP1;SPOCK1;FSCN1;NEGR1;FEZ1;SPHK1;TENM3;SHANK1</t>
  </si>
  <si>
    <t>GO_MUSCLE_CELL_DEVELOPMENT</t>
  </si>
  <si>
    <t>5159;5156;25802;6444;9254;29767;51176</t>
  </si>
  <si>
    <t>PDGFRB;PDGFRA;LMOD1;SGCD;CACNA2D2;TMOD2;LEF1</t>
  </si>
  <si>
    <t>http://www.broadinstitute.org/gsea/msigdb/cards/GO_MUSCLE_CELL_DEVELOPMENT.html</t>
  </si>
  <si>
    <t>6591;1634;7057;7077;633;6387;5311;79883;127435;131578;6423;54829;51339</t>
  </si>
  <si>
    <t>SNAI2;DCN;THBS1;TIMP2;BGN;CXCL12;PKD2;PODNL1;PODN;LRRC15;SFRP2;ASPN;DACT1</t>
  </si>
  <si>
    <t>59;72;2191;5311;4638;6624;10630;84168</t>
  </si>
  <si>
    <t>ACTA2;ACTG2;FAP;PKD2;MYLK;FSCN1;PDPN;ANTXR1</t>
  </si>
  <si>
    <t>GO_MESONEPHROS_DEVELOPMENT</t>
  </si>
  <si>
    <t>http://www.broadinstitute.org/gsea/msigdb/cards/GO_MESONEPHROS_DEVELOPMENT.html</t>
  </si>
  <si>
    <t>GO_CELL_JUNCTION_ASSEMBLY</t>
  </si>
  <si>
    <t>395;2335;7070;3678;87;6624;57493</t>
  </si>
  <si>
    <t>ARHGAP6;FN1;THY1;ITGA5;ACTN1;FSCN1;HEG1</t>
  </si>
  <si>
    <t>http://www.broadinstitute.org/gsea/msigdb/cards/GO_CELL_JUNCTION_ASSEMBLY.html</t>
  </si>
  <si>
    <t>GO_ENDOTHELIAL_CELL_MIGRATION</t>
  </si>
  <si>
    <t>26585;1012;2191;25960;90627</t>
  </si>
  <si>
    <t>GREM1;CDH13;FAP;ADGRA2;STARD13</t>
  </si>
  <si>
    <t>http://www.broadinstitute.org/gsea/msigdb/cards/GO_ENDOTHELIAL_CELL_MIGRATION.html</t>
  </si>
  <si>
    <t>GO_CHONDROITIN_SULFATE_PROTEOGLYCAN_BIOSYNTHETIC_PROCESS</t>
  </si>
  <si>
    <t>http://www.broadinstitute.org/gsea/msigdb/cards/GO_CHONDROITIN_SULFATE_PROTEOGLYCAN_BIOSYNTHETIC_PROCESS.html</t>
  </si>
  <si>
    <t>GO_NEGATIVE_REGULATION_OF_CELL_MATRIX_ADHESION</t>
  </si>
  <si>
    <t>395;7057;4323;10631</t>
  </si>
  <si>
    <t>ARHGAP6;THBS1;MMP14;POSTN</t>
  </si>
  <si>
    <t>http://www.broadinstitute.org/gsea/msigdb/cards/GO_NEGATIVE_REGULATION_OF_CELL_MATRIX_ADHESION.html</t>
  </si>
  <si>
    <t>284297;6591;2335;7057;3624;7043;7292;4060;2621;10631;55959;23213;8877;51176;57493</t>
  </si>
  <si>
    <t>SSC5D;SNAI2;FN1;THBS1;INHBA;TGFB3;TNFSF4;LUM;GAS6;POSTN;SULF2;SULF1;SPHK1;LEF1;HEG1</t>
  </si>
  <si>
    <t>GO_NEGATIVE_REGULATION_OF_FIBROBLAST_GROWTH_FACTOR_RECEPTOR_SIGNALING_PATHWAY</t>
  </si>
  <si>
    <t>7057;55959;23213</t>
  </si>
  <si>
    <t>THBS1;SULF2;SULF1</t>
  </si>
  <si>
    <t>http://www.broadinstitute.org/gsea/msigdb/cards/GO_NEGATIVE_REGULATION_OF_FIBROBLAST_GROWTH_FACTOR_RECEPTOR_SIGNALING_PATHWAY.html</t>
  </si>
  <si>
    <t>GO_METANEPHRIC_RENAL_VESICLE_MORPHOGENESIS</t>
  </si>
  <si>
    <t>26585;2668;55083</t>
  </si>
  <si>
    <t>GREM1;GDNF;KIF26B</t>
  </si>
  <si>
    <t>http://www.broadinstitute.org/gsea/msigdb/cards/GO_METANEPHRIC_RENAL_VESICLE_MORPHOGENESIS.html</t>
  </si>
  <si>
    <t>GO_CARBOHYDRATE_DERIVATIVE_CATABOLIC_PROCESS</t>
  </si>
  <si>
    <t>1634;1462;633;4060;5549;81792;3339;4958</t>
  </si>
  <si>
    <t>DCN;VCAN;BGN;LUM;PRELP;ADAMTS12;HSPG2;OMD</t>
  </si>
  <si>
    <t>http://www.broadinstitute.org/gsea/msigdb/cards/GO_CARBOHYDRATE_DERIVATIVE_CATABOLIC_PROCESS.html</t>
  </si>
  <si>
    <t>395;87;25802;6356;6624;27295;29767;54551</t>
  </si>
  <si>
    <t>ARHGAP6;ACTN1;LMOD1;CCL11;FSCN1;PDLIM3;TMOD2;MAGEL2</t>
  </si>
  <si>
    <t>8825;26025;3678;87;4345;5311;6624;122786;83604;83700;79827;57493</t>
  </si>
  <si>
    <t>LIN7A;PCDHGA12;ITGA5;ACTN1;CD200;PKD2;FSCN1;FRMD6;TMEM47;JAM3;CLMP;HEG1</t>
  </si>
  <si>
    <t>6591;26585;710;7057;5156;5176;7130;5592;5654;9638</t>
  </si>
  <si>
    <t>SNAI2;GREM1;SERPING1;THBS1;PDGFRA;SERPINF1;TNFAIP6;PRKG1;HTRA1;FEZ1</t>
  </si>
  <si>
    <t>8434;710;7057;1293;7077;5176;2619;6695;2621;6423;51176</t>
  </si>
  <si>
    <t>RECK;SERPING1;THBS1;COL6A3;TIMP2;SERPINF1;GAS1;SPOCK1;GAS6;SFRP2;LEF1</t>
  </si>
  <si>
    <t>GO_WNT_PROTEIN_BINDING</t>
  </si>
  <si>
    <t>4920;6424;115908;6423</t>
  </si>
  <si>
    <t>ROR2;SFRP4;CTHRC1;SFRP2</t>
  </si>
  <si>
    <t>http://www.broadinstitute.org/gsea/msigdb/cards/GO_WNT_PROTEIN_BINDING.html</t>
  </si>
  <si>
    <t>GO_EMBRYONIC_SKELETAL_SYSTEM_MORPHOGENESIS</t>
  </si>
  <si>
    <t>7043;1301;5156;6935;4323;5396</t>
  </si>
  <si>
    <t>TGFB3;COL11A1;PDGFRA;ZEB1;MMP14;PRRX1</t>
  </si>
  <si>
    <t>http://www.broadinstitute.org/gsea/msigdb/cards/GO_EMBRYONIC_SKELETAL_SYSTEM_MORPHOGENESIS.html</t>
  </si>
  <si>
    <t>GO_NEPHRON_EPITHELIUM_DEVELOPMENT</t>
  </si>
  <si>
    <t>http://www.broadinstitute.org/gsea/msigdb/cards/GO_NEPHRON_EPITHELIUM_DEVELOPMENT.html</t>
  </si>
  <si>
    <t>GO_PEPTIDASE_INHIBITOR_ACTIVITY</t>
  </si>
  <si>
    <t>8434;710;1293;7077;5176;6695;2621;51176</t>
  </si>
  <si>
    <t>RECK;SERPING1;COL6A3;TIMP2;SERPINF1;SPOCK1;GAS6;LEF1</t>
  </si>
  <si>
    <t>http://www.broadinstitute.org/gsea/msigdb/cards/GO_PEPTIDASE_INHIBITOR_ACTIVITY.html</t>
  </si>
  <si>
    <t>5352;9945;1462;5351;64175;283208;117248;57124;9902;6320</t>
  </si>
  <si>
    <t>PLOD2;GFPT2;VCAN;PLOD1;P3H1;P4HA3;GALNT15;CD248;AC080038.1;CLEC11A</t>
  </si>
  <si>
    <t>GO_ENDOPEPTIDASE_ACTIVITY</t>
  </si>
  <si>
    <t>8038;9509;4313;716;5225;4320;1513;4323;81792;94031;2191;5654;10699</t>
  </si>
  <si>
    <t>ADAM12;ADAMTS2;MMP2;C1S;PGC;MMP11;CTSK;MMP14;ADAMTS12;HTRA3;FAP;HTRA1;CORIN</t>
  </si>
  <si>
    <t>http://www.broadinstitute.org/gsea/msigdb/cards/GO_ENDOPEPTIDASE_ACTIVITY.html</t>
  </si>
  <si>
    <t>2335;7057;6678;7412;5350;5176;2978;2978;3779;8877;51176</t>
  </si>
  <si>
    <t>FN1;THBS1;SPARC;VCAM1;PLN;SERPINF1;GUCA1A;AL096814.2;KCNMB1;SPHK1;LEF1</t>
  </si>
  <si>
    <t>GO_POSITIVE_REGULATION_OF_OSTEOBLAST_DIFFERENTIATION</t>
  </si>
  <si>
    <t>4921;338773;115908;6423;9260</t>
  </si>
  <si>
    <t>DDR2;TMEM119;CTHRC1;SFRP2;PDLIM7</t>
  </si>
  <si>
    <t>http://www.broadinstitute.org/gsea/msigdb/cards/GO_POSITIVE_REGULATION_OF_OSTEOBLAST_DIFFERENTIATION.html</t>
  </si>
  <si>
    <t>GO_KERATAN_SULFATE_CATABOLIC_PROCESS</t>
  </si>
  <si>
    <t>http://www.broadinstitute.org/gsea/msigdb/cards/GO_KERATAN_SULFATE_CATABOLIC_PROCESS.html</t>
  </si>
  <si>
    <t>GO_REGULATION_OF_CELLULAR_RESPONSE_TO_VASCULAR_ENDOTHELIAL_GROWTH_FACTOR_STIMULUS</t>
  </si>
  <si>
    <t>1634;81792;25960</t>
  </si>
  <si>
    <t>DCN;ADAMTS12;ADGRA2</t>
  </si>
  <si>
    <t>http://www.broadinstitute.org/gsea/msigdb/cards/GO_REGULATION_OF_CELLULAR_RESPONSE_TO_VASCULAR_ENDOTHELIAL_GROWTH_FACTOR_STIMULUS.html</t>
  </si>
  <si>
    <t>GO_POSITIVE_REGULATION_OF_CATENIN_IMPORT_INTO_NUCLEUS</t>
  </si>
  <si>
    <t>55959;6423;51339</t>
  </si>
  <si>
    <t>SULF2;SFRP2;DACT1</t>
  </si>
  <si>
    <t>http://www.broadinstitute.org/gsea/msigdb/cards/GO_POSITIVE_REGULATION_OF_CATENIN_IMPORT_INTO_NUCLEUS.html</t>
  </si>
  <si>
    <t>GO_CELL_ADHESION_MEDIATED_BY_INTEGRIN</t>
  </si>
  <si>
    <t>3678;1307;22801</t>
  </si>
  <si>
    <t>ITGA5;COL16A1;ITGA11</t>
  </si>
  <si>
    <t>http://www.broadinstitute.org/gsea/msigdb/cards/GO_CELL_ADHESION_MEDIATED_BY_INTEGRIN.html</t>
  </si>
  <si>
    <t>GO_ARYLSULFATASE_ACTIVITY</t>
  </si>
  <si>
    <t>340075;55959;23213</t>
  </si>
  <si>
    <t>ARSI;SULF2;SULF1</t>
  </si>
  <si>
    <t>http://www.broadinstitute.org/gsea/msigdb/cards/GO_ARYLSULFATASE_ACTIVITY.html</t>
  </si>
  <si>
    <t>26585;7070;1634;7057;5159;7043;5156;633;894;5311;2621;4921;79883;127435;131578;6423;54829;50507</t>
  </si>
  <si>
    <t>GREM1;THY1;DCN;THBS1;PDGFRB;TGFB3;PDGFRA;BGN;CCND2;PKD2;GAS6;DDR2;PODNL1;PODN;LRRC15;SFRP2;ASPN;NOX4</t>
  </si>
  <si>
    <t>7412;59;72;6624;8639;10630;25960;84168</t>
  </si>
  <si>
    <t>VCAM1;ACTA2;ACTG2;FSCN1;AOC3;PDPN;ADGRA2;ANTXR1</t>
  </si>
  <si>
    <t>26585;7057;6387;2621;5919;83700</t>
  </si>
  <si>
    <t>GREM1;THBS1;CXCL12;GAS6;RARRES2;JAM3</t>
  </si>
  <si>
    <t>26585;7070;7043;1513;5311;2621;55959;6423;8877;51339</t>
  </si>
  <si>
    <t>GREM1;THY1;TGFB3;CTSK;PKD2;GAS6;SULF2;SFRP2;SPHK1;DACT1</t>
  </si>
  <si>
    <t>284297;6591;2335;7057;3624;6343;7292;5350;5311;2621;6424;147906;23208</t>
  </si>
  <si>
    <t>SSC5D;SNAI2;FN1;THBS1;INHBA;SCT;TNFSF4;PLN;PKD2;GAS6;SFRP4;DACT3;SYT11</t>
  </si>
  <si>
    <t>7057;6678;6387;6356;1012;23213</t>
  </si>
  <si>
    <t>THBS1;SPARC;CXCL12;CCL11;CDH13;SULF1</t>
  </si>
  <si>
    <t>GO_POSITIVE_REGULATION_OF_EPITHELIAL_TO_MESENCHYMAL_TRANSITION</t>
  </si>
  <si>
    <t>7041;1277;7043;51176</t>
  </si>
  <si>
    <t>TGFB1I1;COL1A1;TGFB3;LEF1</t>
  </si>
  <si>
    <t>http://www.broadinstitute.org/gsea/msigdb/cards/GO_POSITIVE_REGULATION_OF_EPITHELIAL_TO_MESENCHYMAL_TRANSITION.html</t>
  </si>
  <si>
    <t>3671;1277;2335;710;7057;6678;7043;87;7058;2621;5919;23208;8877</t>
  </si>
  <si>
    <t>ISLR;COL1A1;FN1;SERPING1;THBS1;SPARC;TGFB3;ACTN1;THBS2;GAS6;RARRES2;SYT11;SPHK1</t>
  </si>
  <si>
    <t>26585;1634;633;2621;79883;127435;131578;54829</t>
  </si>
  <si>
    <t>GREM1;DCN;BGN;GAS6;PODNL1;PODN;LRRC15;ASPN</t>
  </si>
  <si>
    <t>395;5159;5156;5322;4035</t>
  </si>
  <si>
    <t>ARHGAP6;PDGFRB;PDGFRA;PLA2G5;LRP1</t>
  </si>
  <si>
    <t>GO_POSITIVE_REGULATION_OF_TRANSMEMBRANE_RECEPTOR_PROTEIN_SERINE_THREONINE_KINASE_SIGNALING_PATHWAY</t>
  </si>
  <si>
    <t>7041;7057;3624;7043;23090;23213</t>
  </si>
  <si>
    <t>TGFB1I1;THBS1;INHBA;TGFB3;ZNF423;SULF1</t>
  </si>
  <si>
    <t>http://www.broadinstitute.org/gsea/msigdb/cards/GO_POSITIVE_REGULATION_OF_TRANSMEMBRANE_RECEPTOR_PROTEIN_SERINE_THREONINE_KINASE_SIGNALING_PATHWAY.html</t>
  </si>
  <si>
    <t>GO_BONE_REMODELING</t>
  </si>
  <si>
    <t>7043;1513;115908;50507</t>
  </si>
  <si>
    <t>TGFB3;CTSK;CTHRC1;NOX4</t>
  </si>
  <si>
    <t>http://www.broadinstitute.org/gsea/msigdb/cards/GO_BONE_REMODELING.html</t>
  </si>
  <si>
    <t>4211;6591;26585;9242;5241;1634;3624;7043;6925;2200;6935;2668;4060;5396;1012;94031;4920;11167;5311;23090;165;23213;27319;5654;6423;6910;56917;56849;84662;51339;51176</t>
  </si>
  <si>
    <t>MEIS1;SNAI2;GREM1;MSC;PGR;DCN;INHBA;TGFB3;TCF4;FBN1;ZEB1;GDNF;LUM;PRRX1;CDH13;HTRA3;ROR2;FSTL1;PKD2;ZNF423;AEBP1;SULF1;BHLHE22;HTRA1;SFRP2;TBX5;MEIS3;TCEAL7;GLIS2;DACT1;LEF1</t>
  </si>
  <si>
    <t>GO_CARBOHYDRATE_DERIVATIVE_BIOSYNTHETIC_PROCESS</t>
  </si>
  <si>
    <t>727936;9945;1634;7057;5159;1462;4882;633;4060;5549;3339;117248;4958;10418;29940</t>
  </si>
  <si>
    <t>GXYLT2;GFPT2;DCN;THBS1;PDGFRB;VCAN;NPR2;BGN;LUM;PRELP;HSPG2;GALNT15;OMD;SPON1;DSE</t>
  </si>
  <si>
    <t>http://www.broadinstitute.org/gsea/msigdb/cards/GO_CARBOHYDRATE_DERIVATIVE_BIOSYNTHETIC_PROCESS.html</t>
  </si>
  <si>
    <t>GO_RENAL_VESICLE_DEVELOPMENT</t>
  </si>
  <si>
    <t>http://www.broadinstitute.org/gsea/msigdb/cards/GO_RENAL_VESICLE_DEVELOPMENT.html</t>
  </si>
  <si>
    <t>GO_CHONDROITIN_SULFATE_CATABOLIC_PROCESS</t>
  </si>
  <si>
    <t>http://www.broadinstitute.org/gsea/msigdb/cards/GO_CHONDROITIN_SULFATE_CATABOLIC_PROCESS.html</t>
  </si>
  <si>
    <t>GO_REGULATION_OF_EXTRACELLULAR_MATRIX_DISASSEMBLY</t>
  </si>
  <si>
    <t>2191;6624;4921</t>
  </si>
  <si>
    <t>FAP;FSCN1;DDR2</t>
  </si>
  <si>
    <t>http://www.broadinstitute.org/gsea/msigdb/cards/GO_REGULATION_OF_EXTRACELLULAR_MATRIX_DISASSEMBLY.html</t>
  </si>
  <si>
    <t>GO_INTERSTITIAL_MATRIX</t>
  </si>
  <si>
    <t>1842;151887;64094</t>
  </si>
  <si>
    <t>ECM2;CCDC80;SMOC2</t>
  </si>
  <si>
    <t>http://www.broadinstitute.org/gsea/msigdb/cards/GO_INTERSTITIAL_MATRIX.html</t>
  </si>
  <si>
    <t>GO_TROPOMYOSIN_BINDING</t>
  </si>
  <si>
    <t>25802;800;29767</t>
  </si>
  <si>
    <t>LMOD1;CALD1;TMOD2</t>
  </si>
  <si>
    <t>http://www.broadinstitute.org/gsea/msigdb/cards/GO_TROPOMYOSIN_BINDING.html</t>
  </si>
  <si>
    <t>GO_METALLOENDOPEPTIDASE_INHIBITOR_ACTIVITY</t>
  </si>
  <si>
    <t>8434;7077;6695</t>
  </si>
  <si>
    <t>RECK;TIMP2;SPOCK1</t>
  </si>
  <si>
    <t>http://www.broadinstitute.org/gsea/msigdb/cards/GO_METALLOENDOPEPTIDASE_INHIBITOR_ACTIVITY.html</t>
  </si>
  <si>
    <t>7041;6591;8840;4920;6424;147906;115908;6423;51339;27122;51176</t>
  </si>
  <si>
    <t>TGFB1I1;SNAI2;CCN4;ROR2;SFRP4;DACT3;CTHRC1;SFRP2;DACT1;DKK3;LEF1</t>
  </si>
  <si>
    <t>6591;26585;8840;2335;7057;3678;5159;7043;5176;2668;6387;1311;4035;2621;219699;6423;56917;8877;51176</t>
  </si>
  <si>
    <t>SNAI2;GREM1;CCN4;FN1;THBS1;ITGA5;PDGFRB;TGFB3;SERPINF1;GDNF;CXCL12;COMP;LRP1;GAS6;UNC5B;SFRP2;MEIS3;SPHK1;LEF1</t>
  </si>
  <si>
    <t>8633;1281;3912;3624;6343;1462;7077;6935;6387;1009;4035;6695;5311;5592;79633;6423;25960;8877;51176</t>
  </si>
  <si>
    <t>UNC5C;COL3A1;LAMB1;INHBA;SCT;VCAN;TIMP2;ZEB1;CXCL12;CDH11;LRP1;SPOCK1;PKD2;PRKG1;FAT4;SFRP2;ADGRA2;SPHK1;LEF1</t>
  </si>
  <si>
    <t>3624;7043;2252;1311;6356;2619;10631;4921;55083;54796;6423;57493</t>
  </si>
  <si>
    <t>INHBA;TGFB3;FGF7;COMP;CCL11;GAS1;POSTN;DDR2;KIF26B;BNC2;SFRP2;HEG1</t>
  </si>
  <si>
    <t>3671;1277;2335;710;7057;6678;7043;87;7058;2621;5919</t>
  </si>
  <si>
    <t>ISLR;COL1A1;FN1;SERPING1;THBS1;SPARC;TGFB3;ACTN1;THBS2;GAS6;RARRES2</t>
  </si>
  <si>
    <t>26585;7043;55959;6423;8877;51339</t>
  </si>
  <si>
    <t>GREM1;TGFB3;SULF2;SFRP2;SPHK1;DACT1</t>
  </si>
  <si>
    <t>GO_GLIAL_CELL_MIGRATION</t>
  </si>
  <si>
    <t>2335;3912;1462;4323</t>
  </si>
  <si>
    <t>FN1;LAMB1;VCAN;MMP14</t>
  </si>
  <si>
    <t>http://www.broadinstitute.org/gsea/msigdb/cards/GO_GLIAL_CELL_MIGRATION.html</t>
  </si>
  <si>
    <t>GO_GLUTAMATE_RECEPTOR_BINDING</t>
  </si>
  <si>
    <t>1740;81832;79953;50944</t>
  </si>
  <si>
    <t>DLG2;NETO1;SYNDIG1;SHANK1</t>
  </si>
  <si>
    <t>http://www.broadinstitute.org/gsea/msigdb/cards/GO_GLUTAMATE_RECEPTOR_BINDING.html</t>
  </si>
  <si>
    <t>2252;1311;4921;54796;57493</t>
  </si>
  <si>
    <t>FGF7;COMP;DDR2;BNC2;HEG1</t>
  </si>
  <si>
    <t>GO_SARCOPLASM</t>
  </si>
  <si>
    <t>7057;5350;781;6695;10335</t>
  </si>
  <si>
    <t>THBS1;PLN;CACNA2D1;SPOCK1;MRVI1</t>
  </si>
  <si>
    <t>http://www.broadinstitute.org/gsea/msigdb/cards/GO_SARCOPLASM.html</t>
  </si>
  <si>
    <t>GO_CHRONIC_INFLAMMATORY_RESPONSE</t>
  </si>
  <si>
    <t>7057;7412;6356</t>
  </si>
  <si>
    <t>THBS1;VCAM1;CCL11</t>
  </si>
  <si>
    <t>http://www.broadinstitute.org/gsea/msigdb/cards/GO_CHRONIC_INFLAMMATORY_RESPONSE.html</t>
  </si>
  <si>
    <t>GO_MODULATION_OF_SYNAPTIC_TRANSMISSION</t>
  </si>
  <si>
    <t>3908;2668;81832;2259;23208;64084;9254;8877;25769;50944</t>
  </si>
  <si>
    <t>LAMA2;GDNF;NETO1;FGF14;SYT11;CLSTN2;CACNA2D2;SPHK1;SLC24A2;SHANK1</t>
  </si>
  <si>
    <t>http://www.broadinstitute.org/gsea/msigdb/cards/GO_MODULATION_OF_SYNAPTIC_TRANSMISSION.html</t>
  </si>
  <si>
    <t>GO_OXIDOREDUCTASE_ACTIVITY_ACTING_ON_THE_CH_NH2_GROUP_OF_DONORS_OXYGEN_AS_ACCEPTOR</t>
  </si>
  <si>
    <t>7412;4015;8639</t>
  </si>
  <si>
    <t>VCAM1;LOX;AOC3</t>
  </si>
  <si>
    <t>http://www.broadinstitute.org/gsea/msigdb/cards/GO_OXIDOREDUCTASE_ACTIVITY_ACTING_ON_THE_CH_NH2_GROUP_OF_DONORS_OXYGEN_AS_ACCEPTOR.html</t>
  </si>
  <si>
    <t>GO_PLATELET_DERIVED_GROWTH_FACTOR_RECEPTOR_BINDING</t>
  </si>
  <si>
    <t>3678;5159;5156</t>
  </si>
  <si>
    <t>ITGA5;PDGFRB;PDGFRA</t>
  </si>
  <si>
    <t>http://www.broadinstitute.org/gsea/msigdb/cards/GO_PLATELET_DERIVED_GROWTH_FACTOR_RECEPTOR_BINDING.html</t>
  </si>
  <si>
    <t>GO_REGULATION_OF_MULTICELLULAR_ORGANISMAL_METABOLIC_PROCESS</t>
  </si>
  <si>
    <t>5159;7043;2191;114757</t>
  </si>
  <si>
    <t>PDGFRB;TGFB3;FAP;CYGB</t>
  </si>
  <si>
    <t>http://www.broadinstitute.org/gsea/msigdb/cards/GO_REGULATION_OF_MULTICELLULAR_ORGANISMAL_METABOLIC_PROCESS.html</t>
  </si>
  <si>
    <t>GO_PEPTIDASE_ACTIVATOR_ACTIVITY</t>
  </si>
  <si>
    <t>2335;4323;5118;6423</t>
  </si>
  <si>
    <t>FN1;MMP14;PCOLCE;SFRP2</t>
  </si>
  <si>
    <t>http://www.broadinstitute.org/gsea/msigdb/cards/GO_PEPTIDASE_ACTIVATOR_ACTIVITY.html</t>
  </si>
  <si>
    <t>GO_EXCITATORY_SYNAPSE</t>
  </si>
  <si>
    <t>8825;392617;6695;1740;81832;64084;79953;50944</t>
  </si>
  <si>
    <t>LIN7A;ELFN1;SPOCK1;DLG2;NETO1;CLSTN2;SYNDIG1;SHANK1</t>
  </si>
  <si>
    <t>http://www.broadinstitute.org/gsea/msigdb/cards/GO_EXCITATORY_SYNAPSE.html</t>
  </si>
  <si>
    <t>GO_NEGATIVE_REGULATION_OF_CELL_DEVELOPMENT</t>
  </si>
  <si>
    <t>4211;1281;7070;4882;4035;6695;10631;147906;6423;6910</t>
  </si>
  <si>
    <t>MEIS1;COL3A1;THY1;NPR2;LRP1;SPOCK1;POSTN;DACT3;SFRP2;TBX5</t>
  </si>
  <si>
    <t>http://www.broadinstitute.org/gsea/msigdb/cards/GO_NEGATIVE_REGULATION_OF_CELL_DEVELOPMENT.html</t>
  </si>
  <si>
    <t>2335;7043;5176;6387;6624;257194;9638;8877;55714;50944</t>
  </si>
  <si>
    <t>FN1;TGFB3;SERPINF1;CXCL12;FSCN1;NEGR1;FEZ1;SPHK1;TENM3;SHANK1</t>
  </si>
  <si>
    <t>8434;4313;79633;8642</t>
  </si>
  <si>
    <t>RECK;MMP2;FAT4;DCHS1</t>
  </si>
  <si>
    <t>GO_POSITIVE_REGULATION_OF_WNT_SIGNALING_PATHWAY</t>
  </si>
  <si>
    <t>1277;4920;6424;55959;23213;6423;51339</t>
  </si>
  <si>
    <t>COL1A1;ROR2;SFRP4;SULF2;SULF1;SFRP2;DACT1</t>
  </si>
  <si>
    <t>http://www.broadinstitute.org/gsea/msigdb/cards/GO_POSITIVE_REGULATION_OF_WNT_SIGNALING_PATHWAY.html</t>
  </si>
  <si>
    <t>1634;7057;5176;90627</t>
  </si>
  <si>
    <t>DCN;THBS1;SERPINF1;STARD13</t>
  </si>
  <si>
    <t>87;5156;10398;2621</t>
  </si>
  <si>
    <t>ACTN1;PDGFRA;MYL9;GAS6</t>
  </si>
  <si>
    <t>8434;7070;2619;1012;257194;84628;50863</t>
  </si>
  <si>
    <t>RECK;THY1;GAS1;CDH13;NEGR1;NTNG2;NTM</t>
  </si>
  <si>
    <t>GO_ADHERENS_JUNCTION_ORGANIZATION</t>
  </si>
  <si>
    <t>395;7070;87;1009;1012</t>
  </si>
  <si>
    <t>ARHGAP6;THY1;ACTN1;CDH11;CDH13</t>
  </si>
  <si>
    <t>http://www.broadinstitute.org/gsea/msigdb/cards/GO_ADHERENS_JUNCTION_ORGANIZATION.html</t>
  </si>
  <si>
    <t>GO_NEGATIVE_REGULATION_OF_ADHERENS_JUNCTION_ORGANIZATION</t>
  </si>
  <si>
    <t>395;7057;4323</t>
  </si>
  <si>
    <t>ARHGAP6;THBS1;MMP14</t>
  </si>
  <si>
    <t>http://www.broadinstitute.org/gsea/msigdb/cards/GO_NEGATIVE_REGULATION_OF_ADHERENS_JUNCTION_ORGANIZATION.html</t>
  </si>
  <si>
    <t>GO_PROTEIN_LOCALIZATION_TO_SYNAPSE</t>
  </si>
  <si>
    <t>1740;81832;50944</t>
  </si>
  <si>
    <t>DLG2;NETO1;SHANK1</t>
  </si>
  <si>
    <t>http://www.broadinstitute.org/gsea/msigdb/cards/GO_PROTEIN_LOCALIZATION_TO_SYNAPSE.html</t>
  </si>
  <si>
    <t>GO_TRANSFORMING_GROWTH_FACTOR_BETA_BINDING</t>
  </si>
  <si>
    <t>7057;7043;4052</t>
  </si>
  <si>
    <t>THBS1;TGFB3;LTBP1</t>
  </si>
  <si>
    <t>http://www.broadinstitute.org/gsea/msigdb/cards/GO_TRANSFORMING_GROWTH_FACTOR_BETA_BINDING.html</t>
  </si>
  <si>
    <t>GO_RECEPTOR_AGONIST_ACTIVITY</t>
  </si>
  <si>
    <t>26585;2621;6423</t>
  </si>
  <si>
    <t>GREM1;GAS6;SFRP2</t>
  </si>
  <si>
    <t>http://www.broadinstitute.org/gsea/msigdb/cards/GO_RECEPTOR_AGONIST_ACTIVITY.html</t>
  </si>
  <si>
    <t>GO_POSITIVE_REGULATION_OF_SYNAPTIC_TRANSMISSION</t>
  </si>
  <si>
    <t>3908;81832;64084;8877;25769;50944</t>
  </si>
  <si>
    <t>LAMA2;NETO1;CLSTN2;SPHK1;SLC24A2;SHANK1</t>
  </si>
  <si>
    <t>http://www.broadinstitute.org/gsea/msigdb/cards/GO_POSITIVE_REGULATION_OF_SYNAPTIC_TRANSMISSION.html</t>
  </si>
  <si>
    <t>8522;7057;3624;2619;2191;5311;2621</t>
  </si>
  <si>
    <t>AC005747.1;THBS1;INHBA;GAS1;FAP;PKD2;GAS6</t>
  </si>
  <si>
    <t>GO_AMEBOIDAL_TYPE_CELL_MIGRATION</t>
  </si>
  <si>
    <t>26585;2668;1012;2191;25960;51176;90627</t>
  </si>
  <si>
    <t>GREM1;GDNF;CDH13;FAP;ADGRA2;LEF1;STARD13</t>
  </si>
  <si>
    <t>http://www.broadinstitute.org/gsea/msigdb/cards/GO_AMEBOIDAL_TYPE_CELL_MIGRATION.html</t>
  </si>
  <si>
    <t>GO_PROTEIN_TRIMERIZATION</t>
  </si>
  <si>
    <t>http://www.broadinstitute.org/gsea/msigdb/cards/GO_PROTEIN_TRIMERIZATION.html</t>
  </si>
  <si>
    <t>7057;6343;7077;2978;2978;5739;5311</t>
  </si>
  <si>
    <t>THBS1;SCT;TIMP2;GUCA1A;AL096814.2;PTGIR;PKD2</t>
  </si>
  <si>
    <t>1277;1281;710;1278;87;5156;10398;953;2621;10630</t>
  </si>
  <si>
    <t>COL1A1;COL3A1;SERPING1;COL1A2;ACTN1;PDGFRA;MYL9;ENTPD1;GAS6;PDPN</t>
  </si>
  <si>
    <t>GO_CELLULAR_RESPONSE_TO_KETONE</t>
  </si>
  <si>
    <t>2335;7292;5176;2621;10631</t>
  </si>
  <si>
    <t>FN1;TNFSF4;SERPINF1;GAS6;POSTN</t>
  </si>
  <si>
    <t>http://www.broadinstitute.org/gsea/msigdb/cards/GO_CELLULAR_RESPONSE_TO_KETONE.html</t>
  </si>
  <si>
    <t>3678;87;2191;6624;255189;10630;9260</t>
  </si>
  <si>
    <t>ITGA5;ACTN1;FAP;FSCN1;PLA2G4F;PDPN;PDLIM7</t>
  </si>
  <si>
    <t>GO_REGULATION_OF_OSTEOBLAST_DIFFERENTIATION</t>
  </si>
  <si>
    <t>6591;4921;338773;115908;6423;9260</t>
  </si>
  <si>
    <t>SNAI2;DDR2;TMEM119;CTHRC1;SFRP2;PDLIM7</t>
  </si>
  <si>
    <t>http://www.broadinstitute.org/gsea/msigdb/cards/GO_REGULATION_OF_OSTEOBLAST_DIFFERENTIATION.html</t>
  </si>
  <si>
    <t>GO_NEURON_PROJECTION_GUIDANCE</t>
  </si>
  <si>
    <t>8633;1123;3908;6387;55083;219699;9638;91653</t>
  </si>
  <si>
    <t>UNC5C;CHN1;LAMA2;CXCL12;KIF26B;UNC5B;FEZ1;BOC</t>
  </si>
  <si>
    <t>http://www.broadinstitute.org/gsea/msigdb/cards/GO_NEURON_PROJECTION_GUIDANCE.html</t>
  </si>
  <si>
    <t>GO_OVULATION_CYCLE</t>
  </si>
  <si>
    <t>3624;7043;5156;2252;5176;4323</t>
  </si>
  <si>
    <t>INHBA;TGFB3;PDGFRA;FGF7;SERPINF1;MMP14</t>
  </si>
  <si>
    <t>http://www.broadinstitute.org/gsea/msigdb/cards/GO_OVULATION_CYCLE.html</t>
  </si>
  <si>
    <t>GO_SULFURIC_ESTER_HYDROLASE_ACTIVITY</t>
  </si>
  <si>
    <t>http://www.broadinstitute.org/gsea/msigdb/cards/GO_SULFURIC_ESTER_HYDROLASE_ACTIVITY.html</t>
  </si>
  <si>
    <t>8825;26585;8840;5241;3624;2252;5739;2825;7130;11245;1740;3779;2259;6423;6910;23208;29767</t>
  </si>
  <si>
    <t>LIN7A;GREM1;CCN4;PGR;INHBA;FGF7;PTGIR;GPR1;TNFAIP6;GPR176;DLG2;KCNMB1;FGF14;SFRP2;TBX5;SYT11;TMOD2</t>
  </si>
  <si>
    <t>1634;7057;6678;5176;25960;90627</t>
  </si>
  <si>
    <t>DCN;THBS1;SPARC;SERPINF1;ADGRA2;STARD13</t>
  </si>
  <si>
    <t>GO_EPITHELIAL_CELL_MORPHOGENESIS</t>
  </si>
  <si>
    <t>26585;2668;122786;57493</t>
  </si>
  <si>
    <t>GREM1;GDNF;FRMD6;HEG1</t>
  </si>
  <si>
    <t>http://www.broadinstitute.org/gsea/msigdb/cards/GO_EPITHELIAL_CELL_MORPHOGENESIS.html</t>
  </si>
  <si>
    <t>GO_VOLTAGE_GATED_CALCIUM_CHANNEL_ACTIVITY</t>
  </si>
  <si>
    <t>781;5311;2621;9254</t>
  </si>
  <si>
    <t>CACNA2D1;PKD2;GAS6;CACNA2D2</t>
  </si>
  <si>
    <t>http://www.broadinstitute.org/gsea/msigdb/cards/GO_VOLTAGE_GATED_CALCIUM_CHANNEL_ACTIVITY.html</t>
  </si>
  <si>
    <t>GO_NEGATIVE_REGULATION_OF_EPITHELIAL_CELL_PROLIFERATION</t>
  </si>
  <si>
    <t>6591;7057;6678;5176;23213;6423</t>
  </si>
  <si>
    <t>SNAI2;THBS1;SPARC;SERPINF1;SULF1;SFRP2</t>
  </si>
  <si>
    <t>http://www.broadinstitute.org/gsea/msigdb/cards/GO_NEGATIVE_REGULATION_OF_EPITHELIAL_CELL_PROLIFERATION.html</t>
  </si>
  <si>
    <t>7070;5159;5350;6387;781;5311;4638;2259</t>
  </si>
  <si>
    <t>THY1;PDGFRB;PLN;CXCL12;CACNA2D1;PKD2;MYLK;FGF14</t>
  </si>
  <si>
    <t>284297;6591;2335;7292;5311;2621;131578;147906</t>
  </si>
  <si>
    <t>SSC5D;SNAI2;FN1;TNFSF4;PKD2;GAS6;LRRC15;DACT3</t>
  </si>
  <si>
    <t>GO_GROWTH_FACTOR_ACTIVITY</t>
  </si>
  <si>
    <t>3624;7043;2252;2668;6387;2259;6320</t>
  </si>
  <si>
    <t>INHBA;TGFB3;FGF7;GDNF;CXCL12;FGF14;CLEC11A</t>
  </si>
  <si>
    <t>http://www.broadinstitute.org/gsea/msigdb/cards/GO_GROWTH_FACTOR_ACTIVITY.html</t>
  </si>
  <si>
    <t>395;5159;5156;25802;6387;6356;4035;6624;83700;50507;29767;54551;50944</t>
  </si>
  <si>
    <t>ARHGAP6;PDGFRB;PDGFRA;LMOD1;CXCL12;CCL11;LRP1;FSCN1;JAM3;NOX4;TMOD2;MAGEL2;SHANK1</t>
  </si>
  <si>
    <t>GO_CHONDROITIN_SULFATE_PROTEOGLYCAN_METABOLIC_PROCESS</t>
  </si>
  <si>
    <t>http://www.broadinstitute.org/gsea/msigdb/cards/GO_CHONDROITIN_SULFATE_PROTEOGLYCAN_METABOLIC_PROCESS.html</t>
  </si>
  <si>
    <t>284297;2335;7057;3624;7043;7292;2621;51176</t>
  </si>
  <si>
    <t>SSC5D;FN1;THBS1;INHBA;TGFB3;TNFSF4;GAS6;LEF1</t>
  </si>
  <si>
    <t>GO_SMOOTH_MUSCLE_TISSUE_DEVELOPMENT</t>
  </si>
  <si>
    <t>1281;5311;4638</t>
  </si>
  <si>
    <t>COL3A1;PKD2;MYLK</t>
  </si>
  <si>
    <t>http://www.broadinstitute.org/gsea/msigdb/cards/GO_SMOOTH_MUSCLE_TISSUE_DEVELOPMENT.html</t>
  </si>
  <si>
    <t>GO_PROTEIN_HYDROXYLATION</t>
  </si>
  <si>
    <t>5351;64175;283208</t>
  </si>
  <si>
    <t>PLOD1;P3H1;P4HA3</t>
  </si>
  <si>
    <t>http://www.broadinstitute.org/gsea/msigdb/cards/GO_PROTEIN_HYDROXYLATION.html</t>
  </si>
  <si>
    <t>5159;5156;7412;6387;6356;2621;51176</t>
  </si>
  <si>
    <t>PDGFRB;PDGFRA;VCAM1;CXCL12;CCL11;GAS6;LEF1</t>
  </si>
  <si>
    <t>GO_POSITIVE_REGULATION_OF_CELL_MORPHOGENESIS_INVOLVED_IN_DIFFERENTIATION</t>
  </si>
  <si>
    <t>7041;1277;2335;7043;2668;6387;51176</t>
  </si>
  <si>
    <t>TGFB1I1;COL1A1;FN1;TGFB3;GDNF;CXCL12;LEF1</t>
  </si>
  <si>
    <t>http://www.broadinstitute.org/gsea/msigdb/cards/GO_POSITIVE_REGULATION_OF_CELL_MORPHOGENESIS_INVOLVED_IN_DIFFERENTIATION.html</t>
  </si>
  <si>
    <t>GO_ACTOMYOSIN_STRUCTURE_ORGANIZATION</t>
  </si>
  <si>
    <t>5159;5156;25802;1264;29767</t>
  </si>
  <si>
    <t>PDGFRB;PDGFRA;LMOD1;CNN1;TMOD2</t>
  </si>
  <si>
    <t>http://www.broadinstitute.org/gsea/msigdb/cards/GO_ACTOMYOSIN_STRUCTURE_ORGANIZATION.html</t>
  </si>
  <si>
    <t>GO_REGULATION_OF_SYSTEM_PROCESS</t>
  </si>
  <si>
    <t>3624;6343;4882;10398;5350;1264;781;5592;2621;57616;9254;8877;10699</t>
  </si>
  <si>
    <t>INHBA;SCT;NPR2;MYL9;PLN;CNN1;CACNA2D1;PRKG1;GAS6;TSHZ3;CACNA2D2;SPHK1;CORIN</t>
  </si>
  <si>
    <t>http://www.broadinstitute.org/gsea/msigdb/cards/GO_REGULATION_OF_SYSTEM_PROCESS.html</t>
  </si>
  <si>
    <t>8633;1277;1281;3912;4313;3624;6343;7043;6387;4035;5592;79633;6423;83716;8877;51176</t>
  </si>
  <si>
    <t>UNC5C;COL1A1;COL3A1;LAMB1;MMP2;INHBA;SCT;TGFB3;CXCL12;LRP1;PRKG1;FAT4;SFRP2;CRISPLD2;SPHK1;LEF1</t>
  </si>
  <si>
    <t>3678;7412;781;1740;3779;343450;81832;6444;84251;50507;9254;22801;50944</t>
  </si>
  <si>
    <t>ITGA5;VCAM1;CACNA2D1;DLG2;KCNMB1;KCNT2;NETO1;SGCD;SGIP1;NOX4;CACNA2D2;ITGA11;SHANK1</t>
  </si>
  <si>
    <t>1634;7057;6678;2252;5176;25960;90627</t>
  </si>
  <si>
    <t>DCN;THBS1;SPARC;FGF7;SERPINF1;ADGRA2;STARD13</t>
  </si>
  <si>
    <t>GO_ENDOCHONDRAL_BONE_MORPHOGENESIS</t>
  </si>
  <si>
    <t>1277;1311;4323;1300</t>
  </si>
  <si>
    <t>COL1A1;COMP;MMP14;COL10A1</t>
  </si>
  <si>
    <t>http://www.broadinstitute.org/gsea/msigdb/cards/GO_ENDOCHONDRAL_BONE_MORPHOGENESIS.html</t>
  </si>
  <si>
    <t>GO_LAMELLIPODIUM_MEMBRANE</t>
  </si>
  <si>
    <t>2191;10630;84168</t>
  </si>
  <si>
    <t>FAP;PDPN;ANTXR1</t>
  </si>
  <si>
    <t>http://www.broadinstitute.org/gsea/msigdb/cards/GO_LAMELLIPODIUM_MEMBRANE.html</t>
  </si>
  <si>
    <t>GO_OXIDOREDUCTASE_ACTIVITY_ACTING_ON_THE_CH_NH2_GROUP_OF_DONORS</t>
  </si>
  <si>
    <t>http://www.broadinstitute.org/gsea/msigdb/cards/GO_OXIDOREDUCTASE_ACTIVITY_ACTING_ON_THE_CH_NH2_GROUP_OF_DONORS.html</t>
  </si>
  <si>
    <t>5352;7412;1346;4015;2326;5351;8639;64175;160428;283208;253827;55068;114757;1734;9843;50507</t>
  </si>
  <si>
    <t>PLOD2;VCAM1;COX7A1;LOX;FMO1;PLOD1;AOC3;P3H1;ALDH1L2;P4HA3;MSRB3;ENOX1;CYGB;DIO2;HEPH;NOX4</t>
  </si>
  <si>
    <t>http://www.broadinstitute.org/gsea/msigdb/cards/GO_OXIDOREDUCTASE_ACTIVITY.html</t>
  </si>
  <si>
    <t>2335;7057;6678;1292;5176;2621;50507</t>
  </si>
  <si>
    <t>FN1;THBS1;SPARC;COL6A2;SERPINF1;GAS6;NOX4</t>
  </si>
  <si>
    <t>GO_REGULATION_OF_EXTRINSIC_APOPTOTIC_SIGNALING_PATHWAY_IN_ABSENCE_OF_LIGAND</t>
  </si>
  <si>
    <t>6591;3624;2668;219699</t>
  </si>
  <si>
    <t>SNAI2;INHBA;GDNF;UNC5B</t>
  </si>
  <si>
    <t>http://www.broadinstitute.org/gsea/msigdb/cards/GO_REGULATION_OF_EXTRINSIC_APOPTOTIC_SIGNALING_PATHWAY_IN_ABSENCE_OF_LIGAND.html</t>
  </si>
  <si>
    <t>284297;2335;7292;2621</t>
  </si>
  <si>
    <t>SSC5D;FN1;TNFSF4;GAS6</t>
  </si>
  <si>
    <t>GO_EMBRYONIC_CRANIAL_SKELETON_MORPHOGENESIS</t>
  </si>
  <si>
    <t>7043;5156;4323;5396</t>
  </si>
  <si>
    <t>TGFB3;PDGFRA;MMP14;PRRX1</t>
  </si>
  <si>
    <t>http://www.broadinstitute.org/gsea/msigdb/cards/GO_EMBRYONIC_CRANIAL_SKELETON_MORPHOGENESIS.html</t>
  </si>
  <si>
    <t>GO_REGULATION_OF_FIBROBLAST_PROLIFERATION</t>
  </si>
  <si>
    <t>http://www.broadinstitute.org/gsea/msigdb/cards/GO_REGULATION_OF_FIBROBLAST_PROLIFERATION.html</t>
  </si>
  <si>
    <t>5159;5156;4920;4052;4921</t>
  </si>
  <si>
    <t>PDGFRB;PDGFRA;ROR2;LTBP1;DDR2</t>
  </si>
  <si>
    <t>GO_NEGATIVE_REGULATION_OF_BIOMINERAL_TISSUE_DEVELOPMENT</t>
  </si>
  <si>
    <t>26585;2621;54829</t>
  </si>
  <si>
    <t>GREM1;GAS6;ASPN</t>
  </si>
  <si>
    <t>http://www.broadinstitute.org/gsea/msigdb/cards/GO_NEGATIVE_REGULATION_OF_BIOMINERAL_TISSUE_DEVELOPMENT.html</t>
  </si>
  <si>
    <t>GO_NEGATIVE_REGULATION_OF_CELL_JUNCTION_ASSEMBLY</t>
  </si>
  <si>
    <t>http://www.broadinstitute.org/gsea/msigdb/cards/GO_NEGATIVE_REGULATION_OF_CELL_JUNCTION_ASSEMBLY.html</t>
  </si>
  <si>
    <t>GO_BONE_GROWTH</t>
  </si>
  <si>
    <t>1311;4921;54796</t>
  </si>
  <si>
    <t>COMP;DDR2;BNC2</t>
  </si>
  <si>
    <t>http://www.broadinstitute.org/gsea/msigdb/cards/GO_BONE_GROWTH.html</t>
  </si>
  <si>
    <t>GO_NEGATIVE_REGULATION_OF_CHONDROCYTE_DIFFERENTIATION</t>
  </si>
  <si>
    <t>6591;26585;81792</t>
  </si>
  <si>
    <t>SNAI2;GREM1;ADAMTS12</t>
  </si>
  <si>
    <t>http://www.broadinstitute.org/gsea/msigdb/cards/GO_NEGATIVE_REGULATION_OF_CHONDROCYTE_DIFFERENTIATION.html</t>
  </si>
  <si>
    <t>2252;1311;6356;2619;10631;4921;55083;54796;6423;57493</t>
  </si>
  <si>
    <t>FGF7;COMP;CCL11;GAS1;POSTN;DDR2;KIF26B;BNC2;SFRP2;HEG1</t>
  </si>
  <si>
    <t>GO_MONOCARBOXYLIC_ACID_BIOSYNTHETIC_PROCESS</t>
  </si>
  <si>
    <t>1634;1462;633;5322;255189;8877;29940</t>
  </si>
  <si>
    <t>DCN;VCAN;BGN;PLA2G5;PLA2G4F;SPHK1;DSE</t>
  </si>
  <si>
    <t>http://www.broadinstitute.org/gsea/msigdb/cards/GO_MONOCARBOXYLIC_ACID_BIOSYNTHETIC_PROCESS.html</t>
  </si>
  <si>
    <t>GO_KIDNEY_EPITHELIUM_DEVELOPMENT</t>
  </si>
  <si>
    <t>http://www.broadinstitute.org/gsea/msigdb/cards/GO_KIDNEY_EPITHELIUM_DEVELOPMENT.html</t>
  </si>
  <si>
    <t>7070;7057;5159;5350;2668;6387;781;5311;4638;6424;259232;2259;9254;50944</t>
  </si>
  <si>
    <t>THY1;THBS1;PDGFRB;PLN;GDNF;CXCL12;CACNA2D1;PKD2;MYLK;SFRP4;NALCN;FGF14;CACNA2D2;SHANK1</t>
  </si>
  <si>
    <t>GO_MYOFIBRIL_ASSEMBLY</t>
  </si>
  <si>
    <t>5159;5156;25802;29767</t>
  </si>
  <si>
    <t>PDGFRB;PDGFRA;LMOD1;TMOD2</t>
  </si>
  <si>
    <t>http://www.broadinstitute.org/gsea/msigdb/cards/GO_MYOFIBRIL_ASSEMBLY.html</t>
  </si>
  <si>
    <t>284297;6591;26585;2335;7043;7292;1513;4035;5311;2621;10631;64175;55959;131578;147906;6423;9254;8877;51339</t>
  </si>
  <si>
    <t>SSC5D;SNAI2;GREM1;FN1;TGFB3;TNFSF4;CTSK;LRP1;PKD2;GAS6;POSTN;P3H1;SULF2;LRRC15;DACT3;SFRP2;CACNA2D2;SPHK1;DACT1</t>
  </si>
  <si>
    <t>26585;1281;1634;7057;5159;7043;7077;5156;5322;5739;6356;1012;5311;2621;219699;56917;50507;8877</t>
  </si>
  <si>
    <t>GREM1;COL3A1;DCN;THBS1;PDGFRB;TGFB3;TIMP2;PDGFRA;PLA2G5;PTGIR;CCL11;CDH13;PKD2;GAS6;UNC5B;MEIS3;NOX4;SPHK1</t>
  </si>
  <si>
    <t>395;1278;1301;1123;1296;2621;6624</t>
  </si>
  <si>
    <t>ARHGAP6;COL1A2;COL11A1;CHN1;COL8A2;GAS6;FSCN1</t>
  </si>
  <si>
    <t>710;7057;5156;2191;5592;4638</t>
  </si>
  <si>
    <t>SERPING1;THBS1;PDGFRA;FAP;PRKG1;MYLK</t>
  </si>
  <si>
    <t>GO_PEPTIDASE_ACTIVITY</t>
  </si>
  <si>
    <t>8038;9509;4313;716;5225;4320;1513;4323;81792;94031;2191;165;119587;5654;10699</t>
  </si>
  <si>
    <t>ADAM12;ADAMTS2;MMP2;C1S;PGC;MMP11;CTSK;MMP14;ADAMTS12;HTRA3;FAP;AEBP1;CPXM2;HTRA1;CORIN</t>
  </si>
  <si>
    <t>http://www.broadinstitute.org/gsea/msigdb/cards/GO_PEPTIDASE_ACTIVITY.html</t>
  </si>
  <si>
    <t>3671;1277;2335;710;7057;3678;6678;5159;7043;87;633;7058;5176;4323;4920;4035;2621;117248;5919;84251;23208;83716;8877</t>
  </si>
  <si>
    <t>ISLR;COL1A1;FN1;SERPING1;THBS1;ITGA5;SPARC;PDGFRB;TGFB3;ACTN1;BGN;THBS2;SERPINF1;MMP14;ROR2;LRP1;GAS6;GALNT15;RARRES2;SGIP1;SYT11;CRISPLD2;SPHK1</t>
  </si>
  <si>
    <t>GO_ORGANIC_ACID_METABOLIC_PROCESS</t>
  </si>
  <si>
    <t>9945;1634;1462;633;5322;4060;5549;2326;5351;160428;255189;10630;55959;23213;114757;4958;50507;8877;29940</t>
  </si>
  <si>
    <t>GFPT2;DCN;VCAN;BGN;PLA2G5;LUM;PRELP;FMO1;PLOD1;ALDH1L2;PLA2G4F;PDPN;SULF2;SULF1;CYGB;OMD;NOX4;SPHK1;DSE</t>
  </si>
  <si>
    <t>http://www.broadinstitute.org/gsea/msigdb/cards/GO_ORGANIC_ACID_METABOLIC_PROCESS.html</t>
  </si>
  <si>
    <t>GO_GLIOGENESIS</t>
  </si>
  <si>
    <t>2335;3912;1462;3908;4323;54587;51176</t>
  </si>
  <si>
    <t>FN1;LAMB1;VCAN;LAMA2;MMP14;MXRA8;LEF1</t>
  </si>
  <si>
    <t>http://www.broadinstitute.org/gsea/msigdb/cards/GO_GLIOGENESIS.html</t>
  </si>
  <si>
    <t>GO_REGULATION_OF_SMOOTH_MUSCLE_CELL_MIGRATION</t>
  </si>
  <si>
    <t>5159;4035;10631;50507</t>
  </si>
  <si>
    <t>PDGFRB;LRP1;POSTN;NOX4</t>
  </si>
  <si>
    <t>http://www.broadinstitute.org/gsea/msigdb/cards/GO_REGULATION_OF_SMOOTH_MUSCLE_CELL_MIGRATION.html</t>
  </si>
  <si>
    <t>GO_GROWTH_FACTOR_RECEPTOR_BINDING</t>
  </si>
  <si>
    <t>26585;3678;5159;5156;2252;2259</t>
  </si>
  <si>
    <t>GREM1;ITGA5;PDGFRB;PDGFRA;FGF7;FGF14</t>
  </si>
  <si>
    <t>http://www.broadinstitute.org/gsea/msigdb/cards/GO_GROWTH_FACTOR_RECEPTOR_BINDING.html</t>
  </si>
  <si>
    <t>GO_POSITIVE_REGULATION_OF_TRANSMEMBRANE_TRANSPORT</t>
  </si>
  <si>
    <t>7070;5159;6387;781;5311;2259</t>
  </si>
  <si>
    <t>THY1;PDGFRB;CXCL12;CACNA2D1;PKD2;FGF14</t>
  </si>
  <si>
    <t>http://www.broadinstitute.org/gsea/msigdb/cards/GO_POSITIVE_REGULATION_OF_TRANSMEMBRANE_TRANSPORT.html</t>
  </si>
  <si>
    <t>2335;5176;6387;257194;9638;8877;55714;50944</t>
  </si>
  <si>
    <t>FN1;SERPINF1;CXCL12;NEGR1;FEZ1;SPHK1;TENM3;SHANK1</t>
  </si>
  <si>
    <t>710;7057;5156;2191;5592</t>
  </si>
  <si>
    <t>SERPING1;THBS1;PDGFRA;FAP;PRKG1</t>
  </si>
  <si>
    <t>GO_OVULATION_CYCLE_PROCESS</t>
  </si>
  <si>
    <t>3624;7043;5156;2252;4323</t>
  </si>
  <si>
    <t>INHBA;TGFB3;PDGFRA;FGF7;MMP14</t>
  </si>
  <si>
    <t>http://www.broadinstitute.org/gsea/msigdb/cards/GO_OVULATION_CYCLE_PROCESS.html</t>
  </si>
  <si>
    <t>5352;5351;64175;283208;114757</t>
  </si>
  <si>
    <t>PLOD2;PLOD1;P3H1;P4HA3;CYGB</t>
  </si>
  <si>
    <t>26585;7070;1634;3624;392617;633;1740;79883;127435;131578;6423;54829;51339</t>
  </si>
  <si>
    <t>GREM1;THY1;DCN;INHBA;ELFN1;BGN;DLG2;PODNL1;PODN;LRRC15;SFRP2;ASPN;DACT1</t>
  </si>
  <si>
    <t>GO_NEGATIVE_REGULATION_OF_EPITHELIAL_TO_MESENCHYMAL_TRANSITION</t>
  </si>
  <si>
    <t>147906;6423;6910</t>
  </si>
  <si>
    <t>DACT3;SFRP2;TBX5</t>
  </si>
  <si>
    <t>http://www.broadinstitute.org/gsea/msigdb/cards/GO_NEGATIVE_REGULATION_OF_EPITHELIAL_TO_MESENCHYMAL_TRANSITION.html</t>
  </si>
  <si>
    <t>GO_REGULATION_OF_OSTEOBLAST_PROLIFERATION</t>
  </si>
  <si>
    <t>26585;338773;115908</t>
  </si>
  <si>
    <t>GREM1;TMEM119;CTHRC1</t>
  </si>
  <si>
    <t>http://www.broadinstitute.org/gsea/msigdb/cards/GO_REGULATION_OF_OSTEOBLAST_PROLIFERATION.html</t>
  </si>
  <si>
    <t>GO_REGULATION_OF_METANEPHROS_DEVELOPMENT</t>
  </si>
  <si>
    <t>5159;2668;79633</t>
  </si>
  <si>
    <t>PDGFRB;GDNF;FAT4</t>
  </si>
  <si>
    <t>http://www.broadinstitute.org/gsea/msigdb/cards/GO_REGULATION_OF_METANEPHROS_DEVELOPMENT.html</t>
  </si>
  <si>
    <t>GO_PODOSOME</t>
  </si>
  <si>
    <t>7412;6624;9644</t>
  </si>
  <si>
    <t>VCAM1;FSCN1;SH3PXD2A</t>
  </si>
  <si>
    <t>http://www.broadinstitute.org/gsea/msigdb/cards/GO_PODOSOME.html</t>
  </si>
  <si>
    <t>GO_IONOTROPIC_GLUTAMATE_RECEPTOR_BINDING</t>
  </si>
  <si>
    <t>http://www.broadinstitute.org/gsea/msigdb/cards/GO_IONOTROPIC_GLUTAMATE_RECEPTOR_BINDING.html</t>
  </si>
  <si>
    <t>26585;7057;3678;6356;6423;8877</t>
  </si>
  <si>
    <t>GREM1;THBS1;ITGA5;CCL11;SFRP2;SPHK1</t>
  </si>
  <si>
    <t>710;7057;5156;7292;5176;6356;81792;7130;2191;5592;4638</t>
  </si>
  <si>
    <t>SERPING1;THBS1;PDGFRA;TNFSF4;SERPINF1;CCL11;ADAMTS12;TNFAIP6;FAP;PRKG1;MYLK</t>
  </si>
  <si>
    <t>GO_SYNAPSE</t>
  </si>
  <si>
    <t>8825;8633;3678;392617;3908;6695;10631;1740;81832;23208;64084;79953;8877;51339;23024;50944</t>
  </si>
  <si>
    <t>LIN7A;UNC5C;ITGA5;ELFN1;LAMA2;SPOCK1;POSTN;DLG2;NETO1;SYT11;CLSTN2;SYNDIG1;SPHK1;DACT1;PDZRN3;SHANK1</t>
  </si>
  <si>
    <t>http://www.broadinstitute.org/gsea/msigdb/cards/GO_SYNAPSE.html</t>
  </si>
  <si>
    <t>1277;2335;5159;5156;4323;5311;253827;114757;50507;8877</t>
  </si>
  <si>
    <t>COL1A1;FN1;PDGFRB;PDGFRA;MMP14;PKD2;MSRB3;CYGB;NOX4;SPHK1</t>
  </si>
  <si>
    <t>7070;5159;2668;6387;781;5311;4638;2259</t>
  </si>
  <si>
    <t>THY1;PDGFRB;GDNF;CXCL12;CACNA2D1;PKD2;MYLK;FGF14</t>
  </si>
  <si>
    <t>395;5159;5156;5322</t>
  </si>
  <si>
    <t>ARHGAP6;PDGFRB;PDGFRA;PLA2G5</t>
  </si>
  <si>
    <t>5924;395;2335;7070;5159;1123;5156;2252;5322;2668;5739;4323;6356;5118;85360;115557;6423;90627</t>
  </si>
  <si>
    <t>RASGRF2;ARHGAP6;FN1;THY1;PDGFRB;CHN1;PDGFRA;FGF7;PLA2G5;GDNF;PTGIR;MMP14;CCL11;PCOLCE;SYDE1;ARHGEF25;SFRP2;STARD13</t>
  </si>
  <si>
    <t>GO_POSITIVE_REGULATION_OF_GROWTH</t>
  </si>
  <si>
    <t>2335;6387;4323;6423;6910;9254;8877;51176</t>
  </si>
  <si>
    <t>FN1;CXCL12;MMP14;SFRP2;TBX5;CACNA2D2;SPHK1;LEF1</t>
  </si>
  <si>
    <t>http://www.broadinstitute.org/gsea/msigdb/cards/GO_POSITIVE_REGULATION_OF_GROWTH.html</t>
  </si>
  <si>
    <t>7070;7057;3678;7412;6387;1012;10630;57493</t>
  </si>
  <si>
    <t>THY1;THBS1;ITGA5;VCAM1;CXCL12;CDH13;PDPN;HEG1</t>
  </si>
  <si>
    <t>GO_POSITIVE_REGULATION_OF_EPITHELIAL_CELL_APOPTOTIC_PROCESS</t>
  </si>
  <si>
    <t>7057;6424;57124</t>
  </si>
  <si>
    <t>THBS1;SFRP4;CD248</t>
  </si>
  <si>
    <t>http://www.broadinstitute.org/gsea/msigdb/cards/GO_POSITIVE_REGULATION_OF_EPITHELIAL_CELL_APOPTOTIC_PROCESS.html</t>
  </si>
  <si>
    <t>GO_CELL_SUBSTRATE_ADHERENS_JUNCTION_ASSEMBLY</t>
  </si>
  <si>
    <t>395;7070;87</t>
  </si>
  <si>
    <t>ARHGAP6;THY1;ACTN1</t>
  </si>
  <si>
    <t>http://www.broadinstitute.org/gsea/msigdb/cards/GO_CELL_SUBSTRATE_ADHERENS_JUNCTION_ASSEMBLY.html</t>
  </si>
  <si>
    <t>GO_MYOFILAMENT</t>
  </si>
  <si>
    <t>7169;25802;29767</t>
  </si>
  <si>
    <t>TPM2;LMOD1;TMOD2</t>
  </si>
  <si>
    <t>http://www.broadinstitute.org/gsea/msigdb/cards/GO_MYOFILAMENT.html</t>
  </si>
  <si>
    <t>9509;8434;1634;4313;3624;7043;5156;4882;2252;5176;4323;4920;1307;7216;5311;338773;5654;6423;83700;84168;8877;51176;10699</t>
  </si>
  <si>
    <t>ADAMTS2;RECK;DCN;MMP2;INHBA;TGFB3;PDGFRA;NPR2;FGF7;SERPINF1;MMP14;ROR2;COL16A1;TRO;PKD2;TMEM119;HTRA1;SFRP2;JAM3;ANTXR1;SPHK1;LEF1;CORIN</t>
  </si>
  <si>
    <t>GO_INNER_EAR_MORPHOGENESIS</t>
  </si>
  <si>
    <t>1301;6935;5396;4920;115908</t>
  </si>
  <si>
    <t>COL11A1;ZEB1;PRRX1;ROR2;CTHRC1</t>
  </si>
  <si>
    <t>http://www.broadinstitute.org/gsea/msigdb/cards/GO_INNER_EAR_MORPHOGENESIS.html</t>
  </si>
  <si>
    <t>7070;5159;6387;5311</t>
  </si>
  <si>
    <t>THY1;PDGFRB;CXCL12;PKD2</t>
  </si>
  <si>
    <t>3678;2978;2978;2191;5311;6624;255189;10630;84168</t>
  </si>
  <si>
    <t>ITGA5;GUCA1A;AL096814.2;FAP;PKD2;FSCN1;PLA2G4F;PDPN;ANTXR1</t>
  </si>
  <si>
    <t>GO_CATION_CHANNEL_ACTIVITY</t>
  </si>
  <si>
    <t>781;5311;2621;3779;343450;259232;254228;9254;25769</t>
  </si>
  <si>
    <t>CACNA2D1;PKD2;GAS6;KCNMB1;KCNT2;NALCN;CALHM5;CACNA2D2;SLC24A2</t>
  </si>
  <si>
    <t>http://www.broadinstitute.org/gsea/msigdb/cards/GO_CATION_CHANNEL_ACTIVITY.html</t>
  </si>
  <si>
    <t>GO_SULFUR_COMPOUND_METABOLIC_PROCESS</t>
  </si>
  <si>
    <t>1634;1462;633;4060;5549;55959;23213;4958;50507;29940</t>
  </si>
  <si>
    <t>DCN;VCAN;BGN;LUM;PRELP;SULF2;SULF1;OMD;NOX4;DSE</t>
  </si>
  <si>
    <t>http://www.broadinstitute.org/gsea/msigdb/cards/GO_SULFUR_COMPOUND_METABOLIC_PROCESS.html</t>
  </si>
  <si>
    <t>GO_NEGATIVE_REGULATION_OF_PHOSPHORYLATION</t>
  </si>
  <si>
    <t>26585;7070;1634;3624;633;79883;127435;131578;6423;54829;51339</t>
  </si>
  <si>
    <t>GREM1;THY1;DCN;INHBA;BGN;PODNL1;PODN;LRRC15;SFRP2;ASPN;DACT1</t>
  </si>
  <si>
    <t>http://www.broadinstitute.org/gsea/msigdb/cards/GO_NEGATIVE_REGULATION_OF_PHOSPHORYLATION.html</t>
  </si>
  <si>
    <t>GO_REGULATION_OF_KIDNEY_DEVELOPMENT</t>
  </si>
  <si>
    <t>26585;5159;2668;79633</t>
  </si>
  <si>
    <t>GREM1;PDGFRB;GDNF;FAT4</t>
  </si>
  <si>
    <t>http://www.broadinstitute.org/gsea/msigdb/cards/GO_REGULATION_OF_KIDNEY_DEVELOPMENT.html</t>
  </si>
  <si>
    <t>GO_CRANIAL_SKELETAL_SYSTEM_DEVELOPMENT</t>
  </si>
  <si>
    <t>http://www.broadinstitute.org/gsea/msigdb/cards/GO_CRANIAL_SKELETAL_SYSTEM_DEVELOPMENT.html</t>
  </si>
  <si>
    <t>GO_REGULATION_OF_FIBROBLAST_GROWTH_FACTOR_RECEPTOR_SIGNALING_PATHWAY</t>
  </si>
  <si>
    <t>http://www.broadinstitute.org/gsea/msigdb/cards/GO_REGULATION_OF_FIBROBLAST_GROWTH_FACTOR_RECEPTOR_SIGNALING_PATHWAY.html</t>
  </si>
  <si>
    <t>6591;26585;710;1634;7057;4313;5156;5225;2252;7292;5176;1513;6387;6356;5396;81792;7130;2191;5592;4638;5654;2259;6423;9638;51339</t>
  </si>
  <si>
    <t>SNAI2;GREM1;SERPING1;DCN;THBS1;MMP2;PDGFRA;PGC;FGF7;TNFSF4;SERPINF1;CTSK;CXCL12;CCL11;PRRX1;ADAMTS12;TNFAIP6;FAP;PRKG1;MYLK;HTRA1;FGF14;SFRP2;FEZ1;DACT1</t>
  </si>
  <si>
    <t>GO_RESPONSE_TO_BMP</t>
  </si>
  <si>
    <t>2335;81792;4920;11167;51176</t>
  </si>
  <si>
    <t>FN1;ADAMTS12;ROR2;FSTL1;LEF1</t>
  </si>
  <si>
    <t>http://www.broadinstitute.org/gsea/msigdb/cards/GO_RESPONSE_TO_BMP.html</t>
  </si>
  <si>
    <t>284297;2335;3624;6343;7043;7292;2668;6387;2621;10631;64175;23208;9254;8877;10699</t>
  </si>
  <si>
    <t>SSC5D;FN1;INHBA;SCT;TGFB3;TNFSF4;GDNF;CXCL12;GAS6;POSTN;P3H1;SYT11;CACNA2D2;SPHK1;CORIN</t>
  </si>
  <si>
    <t>7070;7057;5159;5350;6387;781;5311;259232;2259;9254;50944</t>
  </si>
  <si>
    <t>THY1;THBS1;PDGFRB;PLN;CXCL12;CACNA2D1;PKD2;NALCN;FGF14;CACNA2D2;SHANK1</t>
  </si>
  <si>
    <t>GO_SERINE_TYPE_ENDOPEPTIDASE_INHIBITOR_ACTIVITY</t>
  </si>
  <si>
    <t>8434;710;1293;5176;6695</t>
  </si>
  <si>
    <t>RECK;SERPING1;COL6A3;SERPINF1;SPOCK1</t>
  </si>
  <si>
    <t>http://www.broadinstitute.org/gsea/msigdb/cards/GO_SERINE_TYPE_ENDOPEPTIDASE_INHIBITOR_ACTIVITY.html</t>
  </si>
  <si>
    <t>1277;2335;5159;5156;5311;50507;8877</t>
  </si>
  <si>
    <t>COL1A1;FN1;PDGFRB;PDGFRA;PKD2;NOX4;SPHK1</t>
  </si>
  <si>
    <t>GO_CARDIOCYTE_DIFFERENTIATION</t>
  </si>
  <si>
    <t>26585;5159;5156;6910;50507</t>
  </si>
  <si>
    <t>GREM1;PDGFRB;PDGFRA;TBX5;NOX4</t>
  </si>
  <si>
    <t>http://www.broadinstitute.org/gsea/msigdb/cards/GO_CARDIOCYTE_DIFFERENTIATION.html</t>
  </si>
  <si>
    <t>GO_REPLACEMENT_OSSIFICATION</t>
  </si>
  <si>
    <t>1277;4323;1300</t>
  </si>
  <si>
    <t>COL1A1;MMP14;COL10A1</t>
  </si>
  <si>
    <t>http://www.broadinstitute.org/gsea/msigdb/cards/GO_REPLACEMENT_OSSIFICATION.html</t>
  </si>
  <si>
    <t>GO_NEGATIVE_REGULATION_OF_CARTILAGE_DEVELOPMENT</t>
  </si>
  <si>
    <t>http://www.broadinstitute.org/gsea/msigdb/cards/GO_NEGATIVE_REGULATION_OF_CARTILAGE_DEVELOPMENT.html</t>
  </si>
  <si>
    <t>GO_CELLULAR_RESPONSE_TO_VITAMIN</t>
  </si>
  <si>
    <t>1277;2621;10631</t>
  </si>
  <si>
    <t>COL1A1;GAS6;POSTN</t>
  </si>
  <si>
    <t>http://www.broadinstitute.org/gsea/msigdb/cards/GO_CELLULAR_RESPONSE_TO_VITAMIN.html</t>
  </si>
  <si>
    <t>284297;8633;5241;3678;5159;5156;4882;4345;5739;2825;4920;4035;5311;11245;4052;4921;6424;143503;116535;6423;25960;2846;54112;84168;8877;51176;22801</t>
  </si>
  <si>
    <t>SSC5D;UNC5C;PGR;ITGA5;PDGFRB;PDGFRA;NPR2;CD200;PTGIR;GPR1;ROR2;LRP1;PKD2;GPR176;LTBP1;DDR2;SFRP4;OR51E1;MRGPRF;SFRP2;ADGRA2;LPAR4;GPR88;ANTXR1;SPHK1;LEF1;ITGA11</t>
  </si>
  <si>
    <t>GO_PROTEOGLYCAN_BIOSYNTHETIC_PROCESS</t>
  </si>
  <si>
    <t>http://www.broadinstitute.org/gsea/msigdb/cards/GO_PROTEOGLYCAN_BIOSYNTHETIC_PROCESS.html</t>
  </si>
  <si>
    <t>GO_NEGATIVE_REGULATION_OF_KINASE_ACTIVITY</t>
  </si>
  <si>
    <t>7070;1634;633;79883;127435;131578;6423;54829</t>
  </si>
  <si>
    <t>THY1;DCN;BGN;PODNL1;PODN;LRRC15;SFRP2;ASPN</t>
  </si>
  <si>
    <t>http://www.broadinstitute.org/gsea/msigdb/cards/GO_NEGATIVE_REGULATION_OF_KINASE_ACTIVITY.html</t>
  </si>
  <si>
    <t>GO_MEMORY</t>
  </si>
  <si>
    <t>3678;5176;81832;25769;50944</t>
  </si>
  <si>
    <t>ITGA5;SERPINF1;NETO1;SLC24A2;SHANK1</t>
  </si>
  <si>
    <t>http://www.broadinstitute.org/gsea/msigdb/cards/GO_MEMORY.html</t>
  </si>
  <si>
    <t>GO_NEGATIVE_REGULATION_OF_EXTRINSIC_APOPTOTIC_SIGNALING_PATHWAY</t>
  </si>
  <si>
    <t>6591;7057;2668;219699;6423</t>
  </si>
  <si>
    <t>SNAI2;THBS1;GDNF;UNC5B;SFRP2</t>
  </si>
  <si>
    <t>http://www.broadinstitute.org/gsea/msigdb/cards/GO_NEGATIVE_REGULATION_OF_EXTRINSIC_APOPTOTIC_SIGNALING_PATHWAY.html</t>
  </si>
  <si>
    <t>1277;1281;1290;1278;4313;6678;1291;7412;7292;5350;2200;6935;5322;6387;1307;50507;8877</t>
  </si>
  <si>
    <t>COL1A1;COL3A1;COL5A2;COL1A2;MMP2;SPARC;COL6A1;VCAM1;TNFSF4;PLN;FBN1;ZEB1;PLA2G5;CXCL12;COL16A1;NOX4;SPHK1</t>
  </si>
  <si>
    <t>GO_APOPTOTIC_CELL_CLEARANCE</t>
  </si>
  <si>
    <t>7057;4035;2621</t>
  </si>
  <si>
    <t>THBS1;LRP1;GAS6</t>
  </si>
  <si>
    <t>http://www.broadinstitute.org/gsea/msigdb/cards/GO_APOPTOTIC_CELL_CLEARANCE.html</t>
  </si>
  <si>
    <t>GO_NEGATIVE_REGULATION_OF_INTRINSIC_APOPTOTIC_SIGNALING_PATHWAY_IN_RESPONSE_TO_DNA_DAMAGE</t>
  </si>
  <si>
    <t>6591;6387;6423</t>
  </si>
  <si>
    <t>SNAI2;CXCL12;SFRP2</t>
  </si>
  <si>
    <t>http://www.broadinstitute.org/gsea/msigdb/cards/GO_NEGATIVE_REGULATION_OF_INTRINSIC_APOPTOTIC_SIGNALING_PATHWAY_IN_RESPONSE_TO_DNA_DAMAGE.html</t>
  </si>
  <si>
    <t>GO_PROSTANOID_METABOLIC_PROCESS</t>
  </si>
  <si>
    <t>255189;10630;8877</t>
  </si>
  <si>
    <t>PLA2G4F;PDPN;SPHK1</t>
  </si>
  <si>
    <t>http://www.broadinstitute.org/gsea/msigdb/cards/GO_PROSTANOID_METABOLIC_PROCESS.html</t>
  </si>
  <si>
    <t>6591;26585;2335;7057;3624;3678;5159;7043;7077;5156;2252;894;5322;4323;6356;5311;2621;5118;4921;51334;6423;5919;50507;8877;51339</t>
  </si>
  <si>
    <t>SNAI2;GREM1;FN1;THBS1;INHBA;ITGA5;PDGFRB;TGFB3;TIMP2;PDGFRA;FGF7;CCND2;PLA2G5;MMP14;CCL11;PKD2;GAS6;PCOLCE;DDR2;PRR16;SFRP2;RARRES2;NOX4;SPHK1;DACT1</t>
  </si>
  <si>
    <t>7057;2621;6424;57124</t>
  </si>
  <si>
    <t>THBS1;GAS6;SFRP4;CD248</t>
  </si>
  <si>
    <t>6591;26585;9242;710;5241;7057;100127983;7292;5176;6935;5396;2619;2621;23090;57616;6424;165;6423;56849;84662;93166;51339;27122;54551;51176</t>
  </si>
  <si>
    <t>SNAI2;GREM1;MSC;SERPING1;PGR;THBS1;C8orf88;TNFSF4;SERPINF1;ZEB1;PRRX1;GAS1;GAS6;ZNF423;TSHZ3;SFRP4;AEBP1;SFRP2;TCEAL7;GLIS2;PRDM6;DACT1;DKK3;MAGEL2;LEF1</t>
  </si>
  <si>
    <t>GO_POSITIVE_REGULATION_OF_CALCIUM_ION_TRANSMEMBRANE_TRANSPORT</t>
  </si>
  <si>
    <t>7070;781;5311;2259</t>
  </si>
  <si>
    <t>THY1;CACNA2D1;PKD2;FGF14</t>
  </si>
  <si>
    <t>http://www.broadinstitute.org/gsea/msigdb/cards/GO_POSITIVE_REGULATION_OF_CALCIUM_ION_TRANSMEMBRANE_TRANSPORT.html</t>
  </si>
  <si>
    <t>GO_CHONDROCYTE_DIFFERENTIATION</t>
  </si>
  <si>
    <t>http://www.broadinstitute.org/gsea/msigdb/cards/GO_CHONDROCYTE_DIFFERENTIATION.html</t>
  </si>
  <si>
    <t>GO_REGULATION_OF_FIBROBLAST_MIGRATION</t>
  </si>
  <si>
    <t>7057;4921;114757</t>
  </si>
  <si>
    <t>THBS1;DDR2;CYGB</t>
  </si>
  <si>
    <t>http://www.broadinstitute.org/gsea/msigdb/cards/GO_REGULATION_OF_FIBROBLAST_MIGRATION.html</t>
  </si>
  <si>
    <t>GO_HEPARAN_SULFATE_PROTEOGLYCAN_METABOLIC_PROCESS</t>
  </si>
  <si>
    <t>55959;23213;29940</t>
  </si>
  <si>
    <t>SULF2;SULF1;DSE</t>
  </si>
  <si>
    <t>http://www.broadinstitute.org/gsea/msigdb/cards/GO_HEPARAN_SULFATE_PROTEOGLYCAN_METABOLIC_PROCESS.html</t>
  </si>
  <si>
    <t>GO_KERATAN_SULFATE_BIOSYNTHETIC_PROCESS</t>
  </si>
  <si>
    <t>http://www.broadinstitute.org/gsea/msigdb/cards/GO_KERATAN_SULFATE_BIOSYNTHETIC_PROCESS.html</t>
  </si>
  <si>
    <t>GO_CAMERA_TYPE_EYE_MORPHOGENESIS</t>
  </si>
  <si>
    <t>4211;7070;1296;6935;55714</t>
  </si>
  <si>
    <t>MEIS1;THY1;COL8A2;ZEB1;TENM3</t>
  </si>
  <si>
    <t>http://www.broadinstitute.org/gsea/msigdb/cards/GO_CAMERA_TYPE_EYE_MORPHOGENESIS.html</t>
  </si>
  <si>
    <t>GO_POSITIVE_REGULATION_OF_CELL_GROWTH</t>
  </si>
  <si>
    <t>2335;6387;4323;6423;8877;51176</t>
  </si>
  <si>
    <t>FN1;CXCL12;MMP14;SFRP2;SPHK1;LEF1</t>
  </si>
  <si>
    <t>http://www.broadinstitute.org/gsea/msigdb/cards/GO_POSITIVE_REGULATION_OF_CELL_GROWTH.html</t>
  </si>
  <si>
    <t>284297;2335;3624;6343;7292;2621;23208</t>
  </si>
  <si>
    <t>SSC5D;FN1;INHBA;SCT;TNFSF4;GAS6;SYT11</t>
  </si>
  <si>
    <t>GO_NEGATIVE_REGULATION_OF_APOPTOTIC_SIGNALING_PATHWAY</t>
  </si>
  <si>
    <t>6591;7057;2668;6387;219699;6423;56917</t>
  </si>
  <si>
    <t>SNAI2;THBS1;GDNF;CXCL12;UNC5B;SFRP2;MEIS3</t>
  </si>
  <si>
    <t>http://www.broadinstitute.org/gsea/msigdb/cards/GO_NEGATIVE_REGULATION_OF_APOPTOTIC_SIGNALING_PATHWAY.html</t>
  </si>
  <si>
    <t>7070;7077;6624;57616;91653;29767</t>
  </si>
  <si>
    <t>THY1;TIMP2;FSCN1;TSHZ3;BOC;TMOD2</t>
  </si>
  <si>
    <t>GO_POSITIVE_REGULATION_OF_INTRACELLULAR_PROTEIN_TRANSPORT</t>
  </si>
  <si>
    <t>26585;7043;1513;2621;55959;6423;8877;51339</t>
  </si>
  <si>
    <t>GREM1;TGFB3;CTSK;GAS6;SULF2;SFRP2;SPHK1;DACT1</t>
  </si>
  <si>
    <t>http://www.broadinstitute.org/gsea/msigdb/cards/GO_POSITIVE_REGULATION_OF_INTRACELLULAR_PROTEIN_TRANSPORT.html</t>
  </si>
  <si>
    <t>1277;2335;1278;3678;7412;6356;2621;83700</t>
  </si>
  <si>
    <t>COL1A1;FN1;COL1A2;ITGA5;VCAM1;CCL11;GAS6;JAM3</t>
  </si>
  <si>
    <t>GO_SULFUR_COMPOUND_BIOSYNTHETIC_PROCESS</t>
  </si>
  <si>
    <t>http://www.broadinstitute.org/gsea/msigdb/cards/GO_SULFUR_COMPOUND_BIOSYNTHETIC_PROCESS.html</t>
  </si>
  <si>
    <t>GO_REGULATION_OF_EXTRACELLULAR_MATRIX_ORGANIZATION</t>
  </si>
  <si>
    <t>http://www.broadinstitute.org/gsea/msigdb/cards/GO_REGULATION_OF_EXTRACELLULAR_MATRIX_ORGANIZATION.html</t>
  </si>
  <si>
    <t>7070;5159;5350;6387;5311</t>
  </si>
  <si>
    <t>THY1;PDGFRB;PLN;CXCL12;PKD2</t>
  </si>
  <si>
    <t>GO_CARDIAC_VENTRICLE_MORPHOGENESIS</t>
  </si>
  <si>
    <t>1301;6423;6910;57493</t>
  </si>
  <si>
    <t>COL11A1;SFRP2;TBX5;HEG1</t>
  </si>
  <si>
    <t>http://www.broadinstitute.org/gsea/msigdb/cards/GO_CARDIAC_VENTRICLE_MORPHOGENESIS.html</t>
  </si>
  <si>
    <t>GO_REGULATION_OF_CGMP_METABOLIC_PROCESS</t>
  </si>
  <si>
    <t>7057;2978;2978</t>
  </si>
  <si>
    <t>THBS1;GUCA1A;AL096814.2</t>
  </si>
  <si>
    <t>http://www.broadinstitute.org/gsea/msigdb/cards/GO_REGULATION_OF_CGMP_METABOLIC_PROCESS.html</t>
  </si>
  <si>
    <t>1634;5159;5156;219699</t>
  </si>
  <si>
    <t>DCN;PDGFRB;PDGFRA;UNC5B</t>
  </si>
  <si>
    <t>4211;7057;3678;5176;2668;6387;257194;81832;54112;29767;25769;50944</t>
  </si>
  <si>
    <t>MEIS1;THBS1;ITGA5;SERPINF1;GDNF;CXCL12;NEGR1;NETO1;GPR88;TMOD2;SLC24A2;SHANK1</t>
  </si>
  <si>
    <t>GO_PROTEASE_BINDING</t>
  </si>
  <si>
    <t>2335;7077;1311;4035;2191</t>
  </si>
  <si>
    <t>FN1;TIMP2;COMP;LRP1;FAP</t>
  </si>
  <si>
    <t>http://www.broadinstitute.org/gsea/msigdb/cards/GO_PROTEASE_BINDING.html</t>
  </si>
  <si>
    <t>GO_REGULATION_OF_MUSCLE_CELL_DIFFERENTIATION</t>
  </si>
  <si>
    <t>26585;6935;4323;84814;91653;93166</t>
  </si>
  <si>
    <t>GREM1;ZEB1;MMP14;PLPP7;BOC;PRDM6</t>
  </si>
  <si>
    <t>http://www.broadinstitute.org/gsea/msigdb/cards/GO_REGULATION_OF_MUSCLE_CELL_DIFFERENTIATION.html</t>
  </si>
  <si>
    <t>26585;2335;7057;3624;5159;7043;7077;5156;5322;6356;2621;6423;50507;51339</t>
  </si>
  <si>
    <t>GREM1;FN1;THBS1;INHBA;PDGFRB;TGFB3;TIMP2;PDGFRA;PLA2G5;CCL11;GAS6;SFRP2;NOX4;DACT1</t>
  </si>
  <si>
    <t>6591;7057;3624;2668;219699;6423</t>
  </si>
  <si>
    <t>SNAI2;THBS1;INHBA;GDNF;UNC5B;SFRP2</t>
  </si>
  <si>
    <t>5159;10631;50507</t>
  </si>
  <si>
    <t>PDGFRB;POSTN;NOX4</t>
  </si>
  <si>
    <t>GO_LAMININ_BINDING</t>
  </si>
  <si>
    <t>284297;7057;131578</t>
  </si>
  <si>
    <t>SSC5D;THBS1;LRRC15</t>
  </si>
  <si>
    <t>http://www.broadinstitute.org/gsea/msigdb/cards/GO_LAMININ_BINDING.html</t>
  </si>
  <si>
    <t>GO_POSITIVE_REGULATION_OF_EPITHELIAL_CELL_PROLIFERATION</t>
  </si>
  <si>
    <t>3912;2252;6387;6356;1012;5654</t>
  </si>
  <si>
    <t>LAMB1;FGF7;CXCL12;CCL11;CDH13;HTRA1</t>
  </si>
  <si>
    <t>http://www.broadinstitute.org/gsea/msigdb/cards/GO_POSITIVE_REGULATION_OF_EPITHELIAL_CELL_PROLIFERATION.html</t>
  </si>
  <si>
    <t>GO_REGULATION_OF_FAT_CELL_DIFFERENTIATION</t>
  </si>
  <si>
    <t>7041;6591;4320;6423;5919</t>
  </si>
  <si>
    <t>TGFB1I1;SNAI2;MMP11;SFRP2;RARRES2</t>
  </si>
  <si>
    <t>http://www.broadinstitute.org/gsea/msigdb/cards/GO_REGULATION_OF_FAT_CELL_DIFFERENTIATION.html</t>
  </si>
  <si>
    <t>1301;4052;6423;6910;57493</t>
  </si>
  <si>
    <t>COL11A1;LTBP1;SFRP2;TBX5;HEG1</t>
  </si>
  <si>
    <t>2335;7057;7412;7292;6356;7130;8639;5919;83700;50507;8877</t>
  </si>
  <si>
    <t>FN1;THBS1;VCAM1;TNFSF4;CCL11;TNFAIP6;AOC3;RARRES2;JAM3;NOX4;SPHK1</t>
  </si>
  <si>
    <t>GO_OXIDOREDUCTASE_ACTIVITY_ACTING_ON_PAIRED_DONORS_WITH_INCORPORATION_OR_REDUCTION_OF_MOLECULAR_OXYGEN</t>
  </si>
  <si>
    <t>5352;2326;5351;64175;283208;114757</t>
  </si>
  <si>
    <t>PLOD2;FMO1;PLOD1;P3H1;P4HA3;CYGB</t>
  </si>
  <si>
    <t>http://www.broadinstitute.org/gsea/msigdb/cards/GO_OXIDOREDUCTASE_ACTIVITY_ACTING_ON_PAIRED_DONORS_WITH_INCORPORATION_OR_REDUCTION_OF_MOLECULAR_OXYGEN.html</t>
  </si>
  <si>
    <t>GO_ORGANIC_ACID_BINDING</t>
  </si>
  <si>
    <t>5352;7057;5351;2621;64175;283208;2846</t>
  </si>
  <si>
    <t>PLOD2;THBS1;PLOD1;GAS6;P3H1;P4HA3;LPAR4</t>
  </si>
  <si>
    <t>http://www.broadinstitute.org/gsea/msigdb/cards/GO_ORGANIC_ACID_BINDING.html</t>
  </si>
  <si>
    <t>GO_POSITIVE_REGULATION_OF_CALCIUM_ION_TRANSMEMBRANE_TRANSPORTER_ACTIVITY</t>
  </si>
  <si>
    <t>781;5311;2259</t>
  </si>
  <si>
    <t>CACNA2D1;PKD2;FGF14</t>
  </si>
  <si>
    <t>http://www.broadinstitute.org/gsea/msigdb/cards/GO_POSITIVE_REGULATION_OF_CALCIUM_ION_TRANSMEMBRANE_TRANSPORTER_ACTIVITY.html</t>
  </si>
  <si>
    <t>1634;5159;1291;1462;633;1513;4060;5549;3339;4035;255189;4958</t>
  </si>
  <si>
    <t>DCN;PDGFRB;COL6A1;VCAN;BGN;CTSK;LUM;PRELP;HSPG2;LRP1;PLA2G4F;OMD</t>
  </si>
  <si>
    <t>6343;7077;2978;2978;5739</t>
  </si>
  <si>
    <t>SCT;TIMP2;GUCA1A;AL096814.2;PTGIR</t>
  </si>
  <si>
    <t>GO_SENSORY_PERCEPTION_OF_LIGHT_STIMULUS</t>
  </si>
  <si>
    <t>1277;1301;2978;2978;4060;83872;25769</t>
  </si>
  <si>
    <t>COL1A1;COL11A1;GUCA1A;AL096814.2;LUM;HMCN1;SLC24A2</t>
  </si>
  <si>
    <t>http://www.broadinstitute.org/gsea/msigdb/cards/GO_SENSORY_PERCEPTION_OF_LIGHT_STIMULUS.html</t>
  </si>
  <si>
    <t>395;7041;2037;7169;87;7412;10398;25802;1264;59;72;800;5311;4638;6624;55083;27295;9644;23176;6444;122786;9638;84617;79827;50507;57091;9260;29767;23194;171024</t>
  </si>
  <si>
    <t>ARHGAP6;TGFB1I1;EPB41L2;TPM2;ACTN1;VCAM1;MYL9;LMOD1;CNN1;ACTA2;ACTG2;CALD1;PKD2;MYLK;FSCN1;KIF26B;PDLIM3;SH3PXD2A;SEPT8;SGCD;FRMD6;FEZ1;TUBB6;CLMP;NOX4;CASS4;PDLIM7;TMOD2;FBXL7;SYNPO2</t>
  </si>
  <si>
    <t>GO_ORGANIC_ACID_BIOSYNTHETIC_PROCESS</t>
  </si>
  <si>
    <t>1634;1462;633;5322;5351;255189;8877;29940</t>
  </si>
  <si>
    <t>DCN;VCAN;BGN;PLA2G5;PLOD1;PLA2G4F;SPHK1;DSE</t>
  </si>
  <si>
    <t>http://www.broadinstitute.org/gsea/msigdb/cards/GO_ORGANIC_ACID_BIOSYNTHETIC_PROCESS.html</t>
  </si>
  <si>
    <t>9945;1634;5159;1462;7412;4882;2252;633;5322;4060;5549;3339;2326;5351;2621;1740;8639;160428;340075;255189;165;119587;1734;4958;50507;8877;29940;10699</t>
  </si>
  <si>
    <t>GFPT2;DCN;PDGFRB;VCAN;VCAM1;NPR2;FGF7;BGN;PLA2G5;LUM;PRELP;HSPG2;FMO1;PLOD1;GAS6;DLG2;AOC3;ALDH1L2;ARSI;PLA2G4F;AEBP1;CPXM2;DIO2;OMD;NOX4;SPHK1;DSE;CORIN</t>
  </si>
  <si>
    <t>5924;395;7070;5159;1123;5156;2252;2668;5739;6356;5592;85360;115557;90627</t>
  </si>
  <si>
    <t>RASGRF2;ARHGAP6;THY1;PDGFRB;CHN1;PDGFRA;FGF7;GDNF;PTGIR;CCL11;PRKG1;SYDE1;ARHGEF25;STARD13</t>
  </si>
  <si>
    <t>3671;2335;710;7057;6678;7043;87;4920;4035;2621;5919;84251;23208</t>
  </si>
  <si>
    <t>ISLR;FN1;SERPING1;THBS1;SPARC;TGFB3;ACTN1;ROR2;LRP1;GAS6;RARRES2;SGIP1;SYT11</t>
  </si>
  <si>
    <t>GO_ENDOCARDIAL_CUSHION_DEVELOPMENT</t>
  </si>
  <si>
    <t>6591;8642;6910</t>
  </si>
  <si>
    <t>SNAI2;DCHS1;TBX5</t>
  </si>
  <si>
    <t>http://www.broadinstitute.org/gsea/msigdb/cards/GO_ENDOCARDIAL_CUSHION_DEVELOPMENT.html</t>
  </si>
  <si>
    <t>GO_REGULATION_OF_ORGAN_FORMATION</t>
  </si>
  <si>
    <t>2668;23213;6910</t>
  </si>
  <si>
    <t>GDNF;SULF1;TBX5</t>
  </si>
  <si>
    <t>http://www.broadinstitute.org/gsea/msigdb/cards/GO_REGULATION_OF_ORGAN_FORMATION.html</t>
  </si>
  <si>
    <t>GO_MULTI_MULTICELLULAR_ORGANISM_PROCESS</t>
  </si>
  <si>
    <t>8434;4313;7043;1307;7216;8877;10699</t>
  </si>
  <si>
    <t>RECK;MMP2;TGFB3;COL16A1;TRO;SPHK1;CORIN</t>
  </si>
  <si>
    <t>http://www.broadinstitute.org/gsea/msigdb/cards/GO_MULTI_MULTICELLULAR_ORGANISM_PROCESS.html</t>
  </si>
  <si>
    <t>GO_NEGATIVE_REGULATION_OF_ENDOTHELIAL_CELL_PROLIFERATION</t>
  </si>
  <si>
    <t>7057;6678;23213</t>
  </si>
  <si>
    <t>THBS1;SPARC;SULF1</t>
  </si>
  <si>
    <t>http://www.broadinstitute.org/gsea/msigdb/cards/GO_NEGATIVE_REGULATION_OF_ENDOTHELIAL_CELL_PROLIFERATION.html</t>
  </si>
  <si>
    <t>GO_NEGATIVE_REGULATION_OF_SIGNAL_TRANSDUCTION_IN_ABSENCE_OF_LIGAND</t>
  </si>
  <si>
    <t>6591;2668;219699</t>
  </si>
  <si>
    <t>SNAI2;GDNF;UNC5B</t>
  </si>
  <si>
    <t>http://www.broadinstitute.org/gsea/msigdb/cards/GO_NEGATIVE_REGULATION_OF_SIGNAL_TRANSDUCTION_IN_ABSENCE_OF_LIGAND.html</t>
  </si>
  <si>
    <t>GO_RECEPTOR_ACTIVATOR_ACTIVITY</t>
  </si>
  <si>
    <t>http://www.broadinstitute.org/gsea/msigdb/cards/GO_RECEPTOR_ACTIVATOR_ACTIVITY.html</t>
  </si>
  <si>
    <t>6591;26585;7057;3624;3678;5159;7043;7077;5156;2252;894;5322;6356;5311;2621;4921;6423;5919;50507;8877</t>
  </si>
  <si>
    <t>SNAI2;GREM1;THBS1;INHBA;ITGA5;PDGFRB;TGFB3;TIMP2;PDGFRA;FGF7;CCND2;PLA2G5;CCL11;PKD2;GAS6;DDR2;SFRP2;RARRES2;NOX4;SPHK1</t>
  </si>
  <si>
    <t>781;5311;2621;3779;343450;10630;259232;254228;63895;9254;25769</t>
  </si>
  <si>
    <t>CACNA2D1;PKD2;GAS6;KCNMB1;KCNT2;PDPN;NALCN;CALHM5;PIEZO2;CACNA2D2;SLC24A2</t>
  </si>
  <si>
    <t>6387;2621;10631;55959;83700;51176</t>
  </si>
  <si>
    <t>CXCL12;GAS6;POSTN;SULF2;JAM3;LEF1</t>
  </si>
  <si>
    <t>GO_KERATAN_SULFATE_METABOLIC_PROCESS</t>
  </si>
  <si>
    <t>http://www.broadinstitute.org/gsea/msigdb/cards/GO_KERATAN_SULFATE_METABOLIC_PROCESS.html</t>
  </si>
  <si>
    <t>GO_EMBRYONIC_DIGESTIVE_TRACT_DEVELOPMENT</t>
  </si>
  <si>
    <t>6343;5156;5919</t>
  </si>
  <si>
    <t>SCT;PDGFRA;RARRES2</t>
  </si>
  <si>
    <t>http://www.broadinstitute.org/gsea/msigdb/cards/GO_EMBRYONIC_DIGESTIVE_TRACT_DEVELOPMENT.html</t>
  </si>
  <si>
    <t>GO_EAR_MORPHOGENESIS</t>
  </si>
  <si>
    <t>http://www.broadinstitute.org/gsea/msigdb/cards/GO_EAR_MORPHOGENESIS.html</t>
  </si>
  <si>
    <t>GO_EMBRYONIC_EYE_MORPHOGENESIS</t>
  </si>
  <si>
    <t>2200;6935;4237</t>
  </si>
  <si>
    <t>FBN1;ZEB1;MFAP2</t>
  </si>
  <si>
    <t>http://www.broadinstitute.org/gsea/msigdb/cards/GO_EMBRYONIC_EYE_MORPHOGENESIS.html</t>
  </si>
  <si>
    <t>GO_IRON_ION_BINDING</t>
  </si>
  <si>
    <t>5352;5351;64175;283208;114757;9843</t>
  </si>
  <si>
    <t>PLOD2;PLOD1;P3H1;P4HA3;CYGB;HEPH</t>
  </si>
  <si>
    <t>http://www.broadinstitute.org/gsea/msigdb/cards/GO_IRON_ION_BINDING.html</t>
  </si>
  <si>
    <t>8633;5241;5159;5156;4882;5739;2825;4920;5311;11245;4052;4921;6424;143503;116535;6423;25960;2846;54112;84168;8877;51176;22801</t>
  </si>
  <si>
    <t>UNC5C;PGR;PDGFRB;PDGFRA;NPR2;PTGIR;GPR1;ROR2;PKD2;GPR176;LTBP1;DDR2;SFRP4;OR51E1;MRGPRF;SFRP2;ADGRA2;LPAR4;GPR88;ANTXR1;SPHK1;LEF1;ITGA11</t>
  </si>
  <si>
    <t>4211;9242;3624;7043;87;6925;5156;2668;4345;1012;5351;2191;5311;8639;27319;83700;79953;93166;55714;25769</t>
  </si>
  <si>
    <t>MEIS1;MSC;INHBA;TGFB3;ACTN1;TCF4;PDGFRA;GDNF;CD200;CDH13;PLOD1;FAP;PKD2;AOC3;BHLHE22;JAM3;SYNDIG1;PRDM6;TENM3;SLC24A2</t>
  </si>
  <si>
    <t>5924;395;1281;1123;7077;85360;115557;90627</t>
  </si>
  <si>
    <t>RASGRF2;ARHGAP6;COL3A1;CHN1;TIMP2;SYDE1;ARHGEF25;STARD13</t>
  </si>
  <si>
    <t>5159;7043;5311</t>
  </si>
  <si>
    <t>PDGFRB;TGFB3;PKD2</t>
  </si>
  <si>
    <t>GO_ADHERENS_JUNCTION_ASSEMBLY</t>
  </si>
  <si>
    <t>http://www.broadinstitute.org/gsea/msigdb/cards/GO_ADHERENS_JUNCTION_ASSEMBLY.html</t>
  </si>
  <si>
    <t>GO_MUSCLE_ORGAN_MORPHOGENESIS</t>
  </si>
  <si>
    <t>1281;1301;4638;57493</t>
  </si>
  <si>
    <t>COL3A1;COL11A1;MYLK;HEG1</t>
  </si>
  <si>
    <t>http://www.broadinstitute.org/gsea/msigdb/cards/GO_MUSCLE_ORGAN_MORPHOGENESIS.html</t>
  </si>
  <si>
    <t>http://www.broadinstitute.org/gsea/msigdb/cards/GO_REGULATION_OF_INTRINSIC_APOPTOTIC_SIGNALING_PATHWAY_IN_RESPONSE_TO_DNA_DAMAGE.html</t>
  </si>
  <si>
    <t>GO_REGULATION_OF_CALCIUM_ION_TRANSMEMBRANE_TRANSPORTER_ACTIVITY</t>
  </si>
  <si>
    <t>5350;781;5311;2259</t>
  </si>
  <si>
    <t>PLN;CACNA2D1;PKD2;FGF14</t>
  </si>
  <si>
    <t>http://www.broadinstitute.org/gsea/msigdb/cards/GO_REGULATION_OF_CALCIUM_ION_TRANSMEMBRANE_TRANSPORTER_ACTIVITY.html</t>
  </si>
  <si>
    <t>26585;7070;1634;392617;633;1740;64175;79883;127435;131578;6423;54829;51339</t>
  </si>
  <si>
    <t>GREM1;THY1;DCN;ELFN1;BGN;DLG2;P3H1;PODNL1;PODN;LRRC15;SFRP2;ASPN;DACT1</t>
  </si>
  <si>
    <t>GO_RESPONSE_TO_CALCIUM_ION</t>
  </si>
  <si>
    <t>7057;6678;2978;2978;3779</t>
  </si>
  <si>
    <t>THBS1;SPARC;GUCA1A;AL096814.2;KCNMB1</t>
  </si>
  <si>
    <t>http://www.broadinstitute.org/gsea/msigdb/cards/GO_RESPONSE_TO_CALCIUM_ION.html</t>
  </si>
  <si>
    <t>1634;3624;5156;2252;4323;4920;5311;5654;6423;51176</t>
  </si>
  <si>
    <t>DCN;INHBA;PDGFRA;FGF7;MMP14;ROR2;PKD2;HTRA1;SFRP2;LEF1</t>
  </si>
  <si>
    <t>GO_REGULATION_OF_MEMBRANE_POTENTIAL</t>
  </si>
  <si>
    <t>1634;5350;781;5311;259232;81832;2259;54112;50944</t>
  </si>
  <si>
    <t>DCN;PLN;CACNA2D1;PKD2;NALCN;NETO1;FGF14;GPR88;SHANK1</t>
  </si>
  <si>
    <t>http://www.broadinstitute.org/gsea/msigdb/cards/GO_REGULATION_OF_MEMBRANE_POTENTIAL.html</t>
  </si>
  <si>
    <t>GO_ORGANONITROGEN_COMPOUND_CATABOLIC_PROCESS</t>
  </si>
  <si>
    <t>1634;1462;633;4060;5549;3339;160428;4958;8877</t>
  </si>
  <si>
    <t>DCN;VCAN;BGN;LUM;PRELP;HSPG2;ALDH1L2;OMD;SPHK1</t>
  </si>
  <si>
    <t>http://www.broadinstitute.org/gsea/msigdb/cards/GO_ORGANONITROGEN_COMPOUND_CATABOLIC_PROCESS.html</t>
  </si>
  <si>
    <t>6591;5311;2621;147906</t>
  </si>
  <si>
    <t>SNAI2;PKD2;GAS6;DACT3</t>
  </si>
  <si>
    <t>7070;5350;781;5311;2259</t>
  </si>
  <si>
    <t>THY1;PLN;CACNA2D1;PKD2;FGF14</t>
  </si>
  <si>
    <t>GO_RESPONSE_TO_FIBROBLAST_GROWTH_FACTOR</t>
  </si>
  <si>
    <t>6591;1277;2252;10631;2259</t>
  </si>
  <si>
    <t>SNAI2;COL1A1;FGF7;POSTN;FGF14</t>
  </si>
  <si>
    <t>http://www.broadinstitute.org/gsea/msigdb/cards/GO_RESPONSE_TO_FIBROBLAST_GROWTH_FACTOR.html</t>
  </si>
  <si>
    <t>3624;7292;2621</t>
  </si>
  <si>
    <t>INHBA;TNFSF4;GAS6</t>
  </si>
  <si>
    <t>GO_REGULATION_OF_GASTRULATION</t>
  </si>
  <si>
    <t>1290;1289;6423</t>
  </si>
  <si>
    <t>COL5A2;COL5A1;SFRP2</t>
  </si>
  <si>
    <t>http://www.broadinstitute.org/gsea/msigdb/cards/GO_REGULATION_OF_GASTRULATION.html</t>
  </si>
  <si>
    <t>GO_NEGATIVE_REGULATION_OF_PROTEIN_MATURATION</t>
  </si>
  <si>
    <t>710;7057;2619</t>
  </si>
  <si>
    <t>SERPING1;THBS1;GAS1</t>
  </si>
  <si>
    <t>http://www.broadinstitute.org/gsea/msigdb/cards/GO_NEGATIVE_REGULATION_OF_PROTEIN_MATURATION.html</t>
  </si>
  <si>
    <t>5350;781;5311;2621;259232;9254;25769</t>
  </si>
  <si>
    <t>PLN;CACNA2D1;PKD2;GAS6;NALCN;CACNA2D2;SLC24A2</t>
  </si>
  <si>
    <t>1634;5159;1291;1462;633;1513;4060;5549;3339;4035;255189;4958;84168;79953</t>
  </si>
  <si>
    <t>DCN;PDGFRB;COL6A1;VCAN;BGN;CTSK;LUM;PRELP;HSPG2;LRP1;PLA2G4F;OMD;ANTXR1;SYNDIG1</t>
  </si>
  <si>
    <t>7041;1281;1290;1278</t>
  </si>
  <si>
    <t>TGFB1I1;COL3A1;COL5A2;COL1A2</t>
  </si>
  <si>
    <t>6591;5350;5311;2621;147906</t>
  </si>
  <si>
    <t>SNAI2;PLN;PKD2;GAS6;DACT3</t>
  </si>
  <si>
    <t>GO_NEGATIVE_REGULATION_OF_CELL_MORPHOGENESIS_INVOLVED_IN_DIFFERENTIATION</t>
  </si>
  <si>
    <t>7070;10631;147906;6423;6910</t>
  </si>
  <si>
    <t>THY1;POSTN;DACT3;SFRP2;TBX5</t>
  </si>
  <si>
    <t>http://www.broadinstitute.org/gsea/msigdb/cards/GO_NEGATIVE_REGULATION_OF_CELL_MORPHOGENESIS_INVOLVED_IN_DIFFERENTIATION.html</t>
  </si>
  <si>
    <t>GO_DETECTION_OF_ABIOTIC_STIMULUS</t>
  </si>
  <si>
    <t>1301;2978;2978;5311;63895</t>
  </si>
  <si>
    <t>COL11A1;GUCA1A;AL096814.2;PKD2;PIEZO2</t>
  </si>
  <si>
    <t>http://www.broadinstitute.org/gsea/msigdb/cards/GO_DETECTION_OF_ABIOTIC_STIMULUS.html</t>
  </si>
  <si>
    <t>6591;1281;7412;2978;2978;6387;6356;81832;6423;50507</t>
  </si>
  <si>
    <t>SNAI2;COL3A1;VCAM1;GUCA1A;AL096814.2;CXCL12;CCL11;NETO1;SFRP2;NOX4</t>
  </si>
  <si>
    <t>4211;26585;5241;1634;3624;7043;6925;6935;2668;4060;5396;1012;5311;6423;6910;56917;84662;51176</t>
  </si>
  <si>
    <t>MEIS1;GREM1;PGR;DCN;INHBA;TGFB3;TCF4;ZEB1;GDNF;LUM;PRRX1;CDH13;PKD2;SFRP2;TBX5;MEIS3;GLIS2;LEF1</t>
  </si>
  <si>
    <t>GO_REGULATION_OF_BLOOD_PRESSURE</t>
  </si>
  <si>
    <t>1278;4882;59;2621;10631;10699</t>
  </si>
  <si>
    <t>COL1A2;NPR2;ACTA2;GAS6;POSTN;CORIN</t>
  </si>
  <si>
    <t>http://www.broadinstitute.org/gsea/msigdb/cards/GO_REGULATION_OF_BLOOD_PRESSURE.html</t>
  </si>
  <si>
    <t>6591;26585;7043;1513;5311;2621;55959;131578;147906;6423;8877;51339</t>
  </si>
  <si>
    <t>SNAI2;GREM1;TGFB3;CTSK;PKD2;GAS6;SULF2;LRRC15;DACT3;SFRP2;SPHK1;DACT1</t>
  </si>
  <si>
    <t>7070;7057;3624;5156;7412;7292;6935;4323;5592;2621;114757</t>
  </si>
  <si>
    <t>THY1;THBS1;INHBA;PDGFRA;VCAM1;TNFSF4;ZEB1;MMP14;PRKG1;GAS6;CYGB</t>
  </si>
  <si>
    <t>GO_POSITIVE_REGULATION_OF_CANONICAL_WNT_SIGNALING_PATHWAY</t>
  </si>
  <si>
    <t>1277;4920;6424;55959;6423</t>
  </si>
  <si>
    <t>COL1A1;ROR2;SFRP4;SULF2;SFRP2</t>
  </si>
  <si>
    <t>http://www.broadinstitute.org/gsea/msigdb/cards/GO_POSITIVE_REGULATION_OF_CANONICAL_WNT_SIGNALING_PATHWAY.html</t>
  </si>
  <si>
    <t>2335;5176;2621;50507</t>
  </si>
  <si>
    <t>FN1;SERPINF1;GAS6;NOX4</t>
  </si>
  <si>
    <t>GO_CARDIAC_MUSCLE_CELL_DIFFERENTIATION</t>
  </si>
  <si>
    <t>5159;5156;6910;50507</t>
  </si>
  <si>
    <t>PDGFRB;PDGFRA;TBX5;NOX4</t>
  </si>
  <si>
    <t>http://www.broadinstitute.org/gsea/msigdb/cards/GO_CARDIAC_MUSCLE_CELL_DIFFERENTIATION.html</t>
  </si>
  <si>
    <t>GO_TELENCEPHALON_DEVELOPMENT</t>
  </si>
  <si>
    <t>1281;3912;3624;6387;4035;79633;51176</t>
  </si>
  <si>
    <t>COL3A1;LAMB1;INHBA;CXCL12;LRP1;FAT4;LEF1</t>
  </si>
  <si>
    <t>http://www.broadinstitute.org/gsea/msigdb/cards/GO_TELENCEPHALON_DEVELOPMENT.html</t>
  </si>
  <si>
    <t>5159;5156;5322;6356;2621;50507</t>
  </si>
  <si>
    <t>PDGFRB;PDGFRA;PLA2G5;CCL11;GAS6;NOX4</t>
  </si>
  <si>
    <t>GO_CORONARY_VASCULATURE_DEVELOPMENT</t>
  </si>
  <si>
    <t>5159;4052;6910</t>
  </si>
  <si>
    <t>PDGFRB;LTBP1;TBX5</t>
  </si>
  <si>
    <t>http://www.broadinstitute.org/gsea/msigdb/cards/GO_CORONARY_VASCULATURE_DEVELOPMENT.html</t>
  </si>
  <si>
    <t>GO_POSITIVE_REGULATION_OF_CATION_CHANNEL_ACTIVITY</t>
  </si>
  <si>
    <t>http://www.broadinstitute.org/gsea/msigdb/cards/GO_POSITIVE_REGULATION_OF_CATION_CHANNEL_ACTIVITY.html</t>
  </si>
  <si>
    <t>GO_ESTABLISHMENT_OR_MAINTENANCE_OF_BIPOLAR_CELL_POLARITY</t>
  </si>
  <si>
    <t>8825;1740;6624</t>
  </si>
  <si>
    <t>LIN7A;DLG2;FSCN1</t>
  </si>
  <si>
    <t>http://www.broadinstitute.org/gsea/msigdb/cards/GO_ESTABLISHMENT_OR_MAINTENANCE_OF_BIPOLAR_CELL_POLARITY.html</t>
  </si>
  <si>
    <t>GO_BIOMINERAL_TISSUE_DEVELOPMENT</t>
  </si>
  <si>
    <t>1277;4921;338773;54829</t>
  </si>
  <si>
    <t>COL1A1;DDR2;TMEM119;ASPN</t>
  </si>
  <si>
    <t>http://www.broadinstitute.org/gsea/msigdb/cards/GO_BIOMINERAL_TISSUE_DEVELOPMENT.html</t>
  </si>
  <si>
    <t>7412;6624;8639;10630</t>
  </si>
  <si>
    <t>VCAM1;FSCN1;AOC3;PDPN</t>
  </si>
  <si>
    <t>7041;1277;1281;1278;3624;1301;7077;633;4015;5176;2199;6876;800;1307;2191;5118;3490;151887;165;5654;84617</t>
  </si>
  <si>
    <t>TGFB1I1;COL1A1;COL3A1;COL1A2;INHBA;COL11A1;TIMP2;BGN;LOX;SERPINF1;FBLN2;TAGLN;CALD1;COL16A1;FAP;PCOLCE;IGFBP7;CCDC80;AEBP1;HTRA1;TUBB6</t>
  </si>
  <si>
    <t>1277;1278;1291;1292;1289;633;2200;5176;1009;72;2199;6876;1307;11167;5118;338773;116535;80114;57124</t>
  </si>
  <si>
    <t>COL1A1;COL1A2;COL6A1;COL6A2;COL5A1;BGN;FBN1;SERPINF1;CDH11;ACTG2;FBLN2;TAGLN;COL16A1;FSTL1;PCOLCE;TMEM119;MRGPRF;BICC1;CD248</t>
  </si>
  <si>
    <t>9358;710;1289;4015;1264;59;6876;4053;165;254228;4958;54587;50507</t>
  </si>
  <si>
    <t>ITGBL1;SERPING1;COL5A1;LOX;CNN1;ACTA2;TAGLN;LTBP2;AEBP1;CALHM5;OMD;MXRA8;NOX4</t>
  </si>
  <si>
    <t>9358;710;1301;7412;2252;3908;5350;1306;1311;6356;2619;7130;2199;1307;27295;6424</t>
  </si>
  <si>
    <t>ITGBL1;SERPING1;COL11A1;VCAM1;FGF7;LAMA2;PLN;COL15A1;COMP;CCL11;GAS1;TNFAIP6;FBLN2;COL16A1;PDLIM3;SFRP4</t>
  </si>
  <si>
    <t>AKT_UP.V1_DN</t>
  </si>
  <si>
    <t>3671;9358;30008;8434;716;5156;6935;2619;1805;27295;5654;6423;57124;23024;27254</t>
  </si>
  <si>
    <t>ISLR;ITGBL1;EFEMP2;RECK;C1S;PDGFRA;ZEB1;GAS1;DPT;PDLIM3;HTRA1;SFRP2;CD248;PDZRN3;CSDC2</t>
  </si>
  <si>
    <t>http://www.broadinstitute.org/gsea/msigdb/cards/AKT_UP.V1_DN.html</t>
  </si>
  <si>
    <t>8840;9358;7412;2252;5350;4345;6387;1311;6356;2619;1012;2199;27295;6424;10630</t>
  </si>
  <si>
    <t>CCN4;ITGBL1;VCAM1;FGF7;PLN;CD200;CXCL12;COMP;CCL11;GAS1;CDH13;FBLN2;PDLIM3;SFRP4;PDPN</t>
  </si>
  <si>
    <t>CSR_LATE_UP.V1_DN</t>
  </si>
  <si>
    <t>1296;6356;2619;800;5592;2621;338773;23460;387758;116535;84251;56849;83468;23452</t>
  </si>
  <si>
    <t>COL8A2;CCL11;GAS1;CALD1;PRKG1;GAS6;TMEM119;ABCA6;FIBIN;MRGPRF;SGIP1;TCEAL7;GLT8D2;ANGPTL2</t>
  </si>
  <si>
    <t>http://www.broadinstitute.org/gsea/msigdb/cards/CSR_LATE_UP.V1_DN.html</t>
  </si>
  <si>
    <t>8038;26585;9945;3624;3678;1012;7130;6876;1307;2191;131578;83716;50863</t>
  </si>
  <si>
    <t>ADAM12;GREM1;GFPT2;INHBA;ITGA5;CDH13;TNFAIP6;TAGLN;COL16A1;FAP;LRRC15;CRISPLD2;NTM</t>
  </si>
  <si>
    <t>8038;26585;9945;3624;3678;59;7130;6876;1307;2191;8076;131578;83716</t>
  </si>
  <si>
    <t>ADAM12;GREM1;GFPT2;INHBA;ITGA5;ACTA2;TNFAIP6;TAGLN;COL16A1;FAP;MFAP5;LRRC15;CRISPLD2</t>
  </si>
  <si>
    <t>8038;26585;9945;8840;3624;3678;1012;7130;1307;2191;83716;50863</t>
  </si>
  <si>
    <t>ADAM12;GREM1;GFPT2;CCN4;INHBA;ITGA5;CDH13;TNFAIP6;COL16A1;FAP;CRISPLD2;NTM</t>
  </si>
  <si>
    <t>710;1290;10398;50509;2668;2619;1805;8991;3779;5919;9843;54587;79953;57124</t>
  </si>
  <si>
    <t>SERPING1;COL5A2;MYL9;COL5A3;GDNF;GAS1;DPT;SELENBP1;KCNMB1;RARRES2;HEPH;MXRA8;SYNDIG1;CD248</t>
  </si>
  <si>
    <t>8825;5350;25802;7058;6387;3899;2619;25903;23213;23208;9254</t>
  </si>
  <si>
    <t>LIN7A;PLN;LMOD1;THBS2;CXCL12;AFF3;GAS1;OLFML2B;SULF1;SYT11;CACNA2D2</t>
  </si>
  <si>
    <t>KRAS.LUNG.BREAST_UP.V1_DN</t>
  </si>
  <si>
    <t>1290;10398;2668;1805;3779;5919;54587;79953;57124</t>
  </si>
  <si>
    <t>COL5A2;MYL9;GDNF;DPT;KCNMB1;RARRES2;MXRA8;SYNDIG1;CD248</t>
  </si>
  <si>
    <t>http://www.broadinstitute.org/gsea/msigdb/cards/KRAS.LUNG.BREAST_UP.V1_DN.html</t>
  </si>
  <si>
    <t>9242;5241;7412;1306;6695;51334;4675;83700;54829;83468</t>
  </si>
  <si>
    <t>MSC;PGR;VCAM1;COL15A1;SPOCK1;PRR16;NAP1L3;JAM3;ASPN;GLT8D2</t>
  </si>
  <si>
    <t>CRX_DN.V1_DN</t>
  </si>
  <si>
    <t>5352;710;1307;5118;122786;84617;83700;64094</t>
  </si>
  <si>
    <t>PLOD2;SERPING1;COL16A1;PCOLCE;FRMD6;TUBB6;JAM3;SMOC2</t>
  </si>
  <si>
    <t>http://www.broadinstitute.org/gsea/msigdb/cards/CRX_DN.V1_DN.html</t>
  </si>
  <si>
    <t>E2F1_UP.V1_DN</t>
  </si>
  <si>
    <t>7041;1281;7043;1301;1462;6925;5156;894;3910</t>
  </si>
  <si>
    <t>TGFB1I1;COL3A1;TGFB3;COL11A1;VCAN;TCF4;PDGFRA;CCND2;LAMA4</t>
  </si>
  <si>
    <t>http://www.broadinstitute.org/gsea/msigdb/cards/E2F1_UP.V1_DN.html</t>
  </si>
  <si>
    <t>5352;8434;2619;4237;10631;27295;219699;25925;23024</t>
  </si>
  <si>
    <t>PLOD2;RECK;GAS1;MFAP2;POSTN;PDLIM3;UNC5B;ZNF521;PDZRN3</t>
  </si>
  <si>
    <t>389136;710;10398;72;6876;1805;3779;79883;54587;57124;27254</t>
  </si>
  <si>
    <t>VGLL3;SERPING1;MYL9;ACTG2;TAGLN;DPT;KCNMB1;PODNL1;MXRA8;CD248;CSDC2</t>
  </si>
  <si>
    <t>7070;4313;10398;25802;6876;1740;3779;219654;11117</t>
  </si>
  <si>
    <t>THY1;MMP2;MYL9;LMOD1;TAGLN;DLG2;KCNMB1;ZCCHC24;EMILIN1</t>
  </si>
  <si>
    <t>2335;1291;10398;894;4237;4920;4053;3490;83604</t>
  </si>
  <si>
    <t>FN1;COL6A1;MYL9;CCND2;MFAP2;ROR2;LTBP2;IGFBP7;TMEM47</t>
  </si>
  <si>
    <t>7057;11167;2621;6624;80114</t>
  </si>
  <si>
    <t>THBS1;FSTL1;GAS6;FSCN1;BICC1</t>
  </si>
  <si>
    <t>RAPA_EARLY_UP.V1_UP</t>
  </si>
  <si>
    <t>1290;3678;1291;7077;5322;5739;6624;165</t>
  </si>
  <si>
    <t>COL5A2;ITGA5;COL6A1;TIMP2;PLA2G5;PTGIR;FSCN1;AEBP1</t>
  </si>
  <si>
    <t>http://www.broadinstitute.org/gsea/msigdb/cards/RAPA_EARLY_UP.V1_UP.html</t>
  </si>
  <si>
    <t>AKT_UP_MTOR_DN.V1_DN</t>
  </si>
  <si>
    <t>1290;1462;2200;4345;2619;1805;57124;23024</t>
  </si>
  <si>
    <t>COL5A2;VCAN;FBN1;CD200;GAS1;DPT;CD248;PDZRN3</t>
  </si>
  <si>
    <t>http://www.broadinstitute.org/gsea/msigdb/cards/AKT_UP_MTOR_DN.V1_DN.html</t>
  </si>
  <si>
    <t>8038;7041;6591;9509;2668;5592;4638;51339</t>
  </si>
  <si>
    <t>ADAM12;TGFB1I1;SNAI2;ADAMTS2;GDNF;PRKG1;MYLK;DACT1</t>
  </si>
  <si>
    <t>10398;72;6876;1805;79883;54587;27254</t>
  </si>
  <si>
    <t>MYL9;ACTG2;TAGLN;DPT;PODNL1;MXRA8;CSDC2</t>
  </si>
  <si>
    <t>11248;4320;6935;131578;9638;5919;171024</t>
  </si>
  <si>
    <t>NXPH3;MMP11;ZEB1;LRRC15;FEZ1;RARRES2;SYNPO2</t>
  </si>
  <si>
    <t>KRAS.DF.V1_UP</t>
  </si>
  <si>
    <t>26585;9945;3624;1293;1462;10630;79783;10000</t>
  </si>
  <si>
    <t>GREM1;GFPT2;INHBA;COL6A3;VCAN;PDPN;SUGCT;AKT3</t>
  </si>
  <si>
    <t>http://www.broadinstitute.org/gsea/msigdb/cards/KRAS.DF.V1_UP.html</t>
  </si>
  <si>
    <t>MEL18_DN.V1_DN</t>
  </si>
  <si>
    <t>8522;8633;5350;23213;219654;1734;54112</t>
  </si>
  <si>
    <t>AC005747.1;UNC5C;PLN;SULF1;ZCCHC24;DIO2;GPR88</t>
  </si>
  <si>
    <t>http://www.broadinstitute.org/gsea/msigdb/cards/MEL18_DN.V1_DN.html</t>
  </si>
  <si>
    <t>134111;7077;894;11167;9644;23208;50863;10000</t>
  </si>
  <si>
    <t>UBE2QL1;TIMP2;CCND2;FSTL1;SH3PXD2A;SYT11;NTM;AKT3</t>
  </si>
  <si>
    <t>716;7043;1306;4323;2619;84624;6423</t>
  </si>
  <si>
    <t>C1S;TGFB3;COL15A1;MMP14;GAS1;FNDC1;SFRP2</t>
  </si>
  <si>
    <t>MTOR_UP.V1_DN</t>
  </si>
  <si>
    <t>30008;4237;4052;8639;27295;5654;27254</t>
  </si>
  <si>
    <t>EFEMP2;MFAP2;LTBP1;AOC3;PDLIM3;HTRA1;CSDC2</t>
  </si>
  <si>
    <t>http://www.broadinstitute.org/gsea/msigdb/cards/MTOR_UP.V1_DN.html</t>
  </si>
  <si>
    <t>ESC_V6.5_UP_LATE.V1_DN</t>
  </si>
  <si>
    <t>9242;3624;633;4015;2199;5118;23090</t>
  </si>
  <si>
    <t>MSC;INHBA;BGN;LOX;FBLN2;PCOLCE;ZNF423</t>
  </si>
  <si>
    <t>http://www.broadinstitute.org/gsea/msigdb/cards/ESC_V6.5_UP_LATE.V1_DN.html</t>
  </si>
  <si>
    <t>8522;8840;8991;4638;115701;171024</t>
  </si>
  <si>
    <t>AC005747.1;CCN4;SELENBP1;MYLK;ALPK2;SYNPO2</t>
  </si>
  <si>
    <t>9945;1293;6935;3899;1009;59;29951</t>
  </si>
  <si>
    <t>GFPT2;COL6A3;ZEB1;AFF3;CDH11;ACTA2;PDZRN4</t>
  </si>
  <si>
    <t>8038;6591;1842;716;7292;22795;90627</t>
  </si>
  <si>
    <t>ADAM12;SNAI2;ECM2;C1S;TNFSF4;NID2;STARD13</t>
  </si>
  <si>
    <t>3912;5156;633;6695;219699;5654;80114</t>
  </si>
  <si>
    <t>LAMB1;PDGFRA;BGN;SPOCK1;UNC5B;HTRA1;BICC1</t>
  </si>
  <si>
    <t>TGFB_UP.V1_UP</t>
  </si>
  <si>
    <t>3678;6876;1307;4053;79633;8877;51339</t>
  </si>
  <si>
    <t>ITGA5;TAGLN;COL16A1;LTBP2;FAT4;SPHK1;DACT1</t>
  </si>
  <si>
    <t>http://www.broadinstitute.org/gsea/msigdb/cards/TGFB_UP.V1_UP.html</t>
  </si>
  <si>
    <t>P53_DN.V1_UP</t>
  </si>
  <si>
    <t>1281;1278;1009;1012;2199;4052;23213</t>
  </si>
  <si>
    <t>COL3A1;COL1A2;CDH11;CDH13;FBLN2;LTBP1;SULF1</t>
  </si>
  <si>
    <t>http://www.broadinstitute.org/gsea/msigdb/cards/P53_DN.V1_UP.html</t>
  </si>
  <si>
    <t>710;1290;10398;1805;8991;79953</t>
  </si>
  <si>
    <t>SERPING1;COL5A2;MYL9;DPT;SELENBP1;SYNDIG1</t>
  </si>
  <si>
    <t>KRAS.LUNG_UP.V1_DN</t>
  </si>
  <si>
    <t>2668;2619;10631;6444;54587;57124</t>
  </si>
  <si>
    <t>GDNF;GAS1;POSTN;SGCD;MXRA8;CD248</t>
  </si>
  <si>
    <t>http://www.broadinstitute.org/gsea/msigdb/cards/KRAS.LUNG_UP.V1_DN.html</t>
  </si>
  <si>
    <t>SNF5_DN.V1_DN</t>
  </si>
  <si>
    <t>25802;2668;7216;4638;1734;10335</t>
  </si>
  <si>
    <t>LMOD1;GDNF;TRO;MYLK;DIO2;MRVI1</t>
  </si>
  <si>
    <t>http://www.broadinstitute.org/gsea/msigdb/cards/SNF5_DN.V1_DN.html</t>
  </si>
  <si>
    <t>HINATA_NFKB_MATRIX</t>
  </si>
  <si>
    <t>2335;4323</t>
  </si>
  <si>
    <t>FN1;MMP14</t>
  </si>
  <si>
    <t>http://www.broadinstitute.org/gsea/msigdb/cards/HINATA_NFKB_MATRIX.html</t>
  </si>
  <si>
    <t>9358;3624;4320;6935;89795;25960;64084;50863</t>
  </si>
  <si>
    <t>ITGBL1;INHBA;MMP11;ZEB1;NAV3;ADGRA2;CLSTN2;NTM</t>
  </si>
  <si>
    <t>3671;7041;5176;4237;94031;10631</t>
  </si>
  <si>
    <t>ISLR;TGFB1I1;SERPINF1;MFAP2;HTRA3;POSTN</t>
  </si>
  <si>
    <t>CRX_NRL_DN.V1_DN</t>
  </si>
  <si>
    <t>5924;84628;122786;25960;83700</t>
  </si>
  <si>
    <t>RASGRF2;NTNG2;FRMD6;ADGRA2;JAM3</t>
  </si>
  <si>
    <t>http://www.broadinstitute.org/gsea/msigdb/cards/CRX_NRL_DN.V1_DN.html</t>
  </si>
  <si>
    <t>8825;4060;1009;23460;79783;55714</t>
  </si>
  <si>
    <t>LIN7A;LUM;CDH11;ABCA6;SUGCT;TENM3</t>
  </si>
  <si>
    <t>CYCLIN_D1_KE_.V1_UP</t>
  </si>
  <si>
    <t>7070;1290;4882;1346;3339;5351</t>
  </si>
  <si>
    <t>THY1;COL5A2;NPR2;COX7A1;HSPG2;PLOD1</t>
  </si>
  <si>
    <t>http://www.broadinstitute.org/gsea/msigdb/cards/CYCLIN_D1_KE_.V1_UP.html</t>
  </si>
  <si>
    <t>3912;7169;3624;10398;2825;6356</t>
  </si>
  <si>
    <t>LAMB1;TPM2;INHBA;MYL9;GPR1;CCL11</t>
  </si>
  <si>
    <t>8522;1462;1513;59;3490;89795</t>
  </si>
  <si>
    <t>AC005747.1;VCAN;CTSK;ACTA2;IGFBP7;NAV3</t>
  </si>
  <si>
    <t>8825;25802;6387;3899;11245;27254</t>
  </si>
  <si>
    <t>LIN7A;LMOD1;CXCL12;AFF3;GPR176;CSDC2</t>
  </si>
  <si>
    <t>7070;710;4313;10398;6356;7216</t>
  </si>
  <si>
    <t>THY1;SERPING1;MMP2;MYL9;CCL11;TRO</t>
  </si>
  <si>
    <t>IL21_UP.V1_UP</t>
  </si>
  <si>
    <t>1306;6387;4920;11245;23460;57493</t>
  </si>
  <si>
    <t>COL15A1;CXCL12;ROR2;GPR176;ABCA6;HEG1</t>
  </si>
  <si>
    <t>http://www.broadinstitute.org/gsea/msigdb/cards/IL21_UP.V1_UP.html</t>
  </si>
  <si>
    <t>PRC2_EZH2_UP.V1_UP</t>
  </si>
  <si>
    <t>9945;1012;7130;1300;54829;23452</t>
  </si>
  <si>
    <t>GFPT2;CDH13;TNFAIP6;COL10A1;ASPN;ANGPTL2</t>
  </si>
  <si>
    <t>http://www.broadinstitute.org/gsea/msigdb/cards/PRC2_EZH2_UP.V1_UP.html</t>
  </si>
  <si>
    <t>2037;5241;1123;4052;27295;55714</t>
  </si>
  <si>
    <t>EPB41L2;PGR;CHN1;LTBP1;PDLIM3;TENM3</t>
  </si>
  <si>
    <t>8483;7058;1012;23090;50944</t>
  </si>
  <si>
    <t>CILP;THBS2;CDH13;ZNF423;SHANK1</t>
  </si>
  <si>
    <t>6695;22795;54796;89795;6910</t>
  </si>
  <si>
    <t>SPOCK1;NID2;BNC2;NAV3;TBX5</t>
  </si>
  <si>
    <t>BMI1_DN_MEL18_DN.V1_DN</t>
  </si>
  <si>
    <t>8522;8633;23090;54112;25878</t>
  </si>
  <si>
    <t>AC005747.1;UNC5C;ZNF423;GPR88;MXRA5</t>
  </si>
  <si>
    <t>http://www.broadinstitute.org/gsea/msigdb/cards/BMI1_DN_MEL18_DN.V1_DN.html</t>
  </si>
  <si>
    <t>CSR_EARLY_UP.V1_DN</t>
  </si>
  <si>
    <t>1277;2200;3339;160428;23213</t>
  </si>
  <si>
    <t>COL1A1;FBN1;HSPG2;ALDH1L2;SULF1</t>
  </si>
  <si>
    <t>http://www.broadinstitute.org/gsea/msigdb/cards/CSR_EARLY_UP.V1_DN.html</t>
  </si>
  <si>
    <t>CAHOY_OLIGODENDROCUTIC</t>
  </si>
  <si>
    <t>11167;55714;27122;27254</t>
  </si>
  <si>
    <t>FSTL1;TENM3;DKK3;CSDC2</t>
  </si>
  <si>
    <t>http://www.broadinstitute.org/gsea/msigdb/cards/CAHOY_OLIGODENDROCUTIC.html</t>
  </si>
  <si>
    <t>1281;710;1290;3624;5156;2200;6387;2619;1009;11167;10631;219699;27319;122786;80114;57124;27122;23452;90627</t>
  </si>
  <si>
    <t>COL3A1;SERPING1;COL5A2;INHBA;PDGFRA;FBN1;CXCL12;GAS1;CDH11;FSTL1;POSTN;UNC5B;BHLHE22;FRMD6;BICC1;CD248;DKK3;ANGPTL2;STARD13</t>
  </si>
  <si>
    <t>284297;8038;9509;30008;1281;710;1290;1634;1291;4060;5118;3910;85360;5919;10418;9902</t>
  </si>
  <si>
    <t>SSC5D;ADAM12;ADAMTS2;EFEMP2;COL3A1;SERPING1;COL5A2;DCN;COL6A1;LUM;PCOLCE;LAMA4;SYDE1;RARRES2;SPON1;AC080038.1</t>
  </si>
  <si>
    <t>8038;9509;30008;5176;2619;7130;6876;800;11167;4053;5118;4921;54796;83700;9260</t>
  </si>
  <si>
    <t>ADAM12;ADAMTS2;EFEMP2;SERPINF1;GAS1;TNFAIP6;TAGLN;CALD1;FSTL1;LTBP2;PCOLCE;DDR2;BNC2;JAM3;PDLIM7</t>
  </si>
  <si>
    <t>GSE1460_CD4_THYMOCYTE_VS_THYMIC_STROMAL_CELL_DN</t>
  </si>
  <si>
    <t>8434;1277;1292;87;1513;2619;8076;4052;54796;219654;131578;83468;79953;51339;11117</t>
  </si>
  <si>
    <t>RECK;COL1A1;COL6A2;ACTN1;CTSK;GAS1;MFAP5;LTBP1;BNC2;ZCCHC24;LRRC15;GLT8D2;SYNDIG1;DACT1;EMILIN1</t>
  </si>
  <si>
    <t>http://www.broadinstitute.org/gsea/msigdb/cards/GSE1460_CD4_THYMOCYTE_VS_THYMIC_STROMAL_CELL_DN.html</t>
  </si>
  <si>
    <t>5924;710;5241;5156;2668;1513;6356;1805;6695;7216;11167;5654;6423;9260;54551</t>
  </si>
  <si>
    <t>RASGRF2;SERPING1;PGR;PDGFRA;GDNF;CTSK;CCL11;DPT;SPOCK1;TRO;FSTL1;HTRA1;SFRP2;PDLIM7;MAGEL2</t>
  </si>
  <si>
    <t>9242;710;1278;4313;1293;633;72;1805;4053;1740;3490;283298;10630;5654;91653</t>
  </si>
  <si>
    <t>MSC;SERPING1;COL1A2;MMP2;COL6A3;BGN;ACTG2;DPT;LTBP2;DLG2;IGFBP7;OLFML1;PDPN;HTRA1;BOC</t>
  </si>
  <si>
    <t>6591;1290;1634;1278;2200;1513;781;6876;1300;4921;8639;165;122786;84251;9843</t>
  </si>
  <si>
    <t>SNAI2;COL5A2;DCN;COL1A2;FBN1;CTSK;CACNA2D1;TAGLN;COL10A1;DDR2;AOC3;AEBP1;FRMD6;SGIP1;HEPH</t>
  </si>
  <si>
    <t>GSE37605_FOXP3_FUSION_GFP_VS_IRES_GFP_TREG_C57BL6_DN</t>
  </si>
  <si>
    <t>1842;7057;6678;87;4015;781;2619;6876;2621;338773;151887;83700;29940</t>
  </si>
  <si>
    <t>ECM2;THBS1;SPARC;ACTN1;LOX;CACNA2D1;GAS1;TAGLN;GAS6;TMEM119;CCDC80;JAM3;DSE</t>
  </si>
  <si>
    <t>http://www.broadinstitute.org/gsea/msigdb/cards/GSE37605_FOXP3_FUSION_GFP_VS_IRES_GFP_TREG_C57BL6_DN.html</t>
  </si>
  <si>
    <t>8038;8633;9358;1290;1291;87;7058;5176;1513;196051;115557;387758;64084</t>
  </si>
  <si>
    <t>ADAM12;UNC5C;ITGBL1;COL5A2;COL6A1;ACTN1;THBS2;SERPINF1;CTSK;PLPP4;ARHGEF25;FIBIN;CLSTN2</t>
  </si>
  <si>
    <t>710;5241;4313;6678;1291;6925;953;4035;4053;165;23213;23176;57091</t>
  </si>
  <si>
    <t>SERPING1;PGR;MMP2;SPARC;COL6A1;TCF4;ENTPD1;LRP1;LTBP2;AEBP1;SULF1;SEPT8;CASS4</t>
  </si>
  <si>
    <t>1281;1278;5549;3339;6876;3316;25903;6424;283298;151887;5919;93166;8877</t>
  </si>
  <si>
    <t>COL3A1;COL1A2;PRELP;HSPG2;TAGLN;HSPB2;OLFML2B;SFRP4;OLFML1;CCDC80;RARRES2;PRDM6;SPHK1</t>
  </si>
  <si>
    <t>3671;3912;5159;4320;2668;2199;4921;340527;6423;23208;84617;23452;6320</t>
  </si>
  <si>
    <t>ISLR;LAMB1;PDGFRB;MMP11;GDNF;FBLN2;DDR2;NHSL2;SFRP2;SYT11;TUBB6;ANGPTL2;CLEC11A</t>
  </si>
  <si>
    <t>GSE26488_WT_VS_HDAC7_DELTAP_TG_OT2_THYMOCYTE_WITH_PEPTIDE_INJECTION_DN</t>
  </si>
  <si>
    <t>2037;7057;7043;1292;633;2199;2326;11167;22795;2621;10631;119587;84617</t>
  </si>
  <si>
    <t>EPB41L2;THBS1;TGFB3;COL6A2;BGN;FBLN2;FMO1;FSTL1;NID2;GAS6;POSTN;CPXM2;TUBB6</t>
  </si>
  <si>
    <t>http://www.broadinstitute.org/gsea/msigdb/cards/GSE26488_WT_VS_HDAC7_DELTAP_TG_OT2_THYMOCYTE_WITH_PEPTIDE_INJECTION_DN.html</t>
  </si>
  <si>
    <t>1277;5241;7077;633;4320;2326;6876;6695;5311;3910;10630;8642;9902</t>
  </si>
  <si>
    <t>COL1A1;PGR;TIMP2;BGN;MMP11;FMO1;TAGLN;SPOCK1;PKD2;LAMA4;PDPN;DCHS1;AC080038.1</t>
  </si>
  <si>
    <t>GSE11961_FOLLICULAR_BCELL_VS_MEMORY_BCELL_DAY40_DN</t>
  </si>
  <si>
    <t>8825;9945;8840;7057;4313;2252;3316;196051;85360;91653;84662;80114;84168</t>
  </si>
  <si>
    <t>LIN7A;GFPT2;CCN4;THBS1;MMP2;FGF7;HSPB2;PLPP4;SYDE1;BOC;GLIS2;BICC1;ANTXR1</t>
  </si>
  <si>
    <t>http://www.broadinstitute.org/gsea/msigdb/cards/GSE11961_FOLLICULAR_BCELL_VS_MEMORY_BCELL_DAY40_DN.html</t>
  </si>
  <si>
    <t>9945;8840;1277;1278;6678;1293;633;4015;1513;2199;11167;23208;8877</t>
  </si>
  <si>
    <t>GFPT2;CCN4;COL1A1;COL1A2;SPARC;COL6A3;BGN;LOX;CTSK;FBLN2;FSTL1;SYT11;SPHK1</t>
  </si>
  <si>
    <t>8038;1277;7070;6678;1291;1289;2978;2978;4237;11245;6624;64175;27122</t>
  </si>
  <si>
    <t>ADAM12;COL1A1;THY1;SPARC;COL6A1;COL5A1;GUCA1A;AL096814.2;MFAP2;GPR176;FSCN1;P3H1;DKK3</t>
  </si>
  <si>
    <t>GSE1460_INTRATHYMIC_T_PROGENITOR_VS_THYMIC_STROMAL_CELL_DN</t>
  </si>
  <si>
    <t>7057;3678;1292;7412;5311;4052;219654;84617;83716;83468;79953;11117</t>
  </si>
  <si>
    <t>THBS1;ITGA5;COL6A2;VCAM1;PKD2;LTBP1;ZCCHC24;TUBB6;CRISPLD2;GLT8D2;SYNDIG1;EMILIN1</t>
  </si>
  <si>
    <t>http://www.broadinstitute.org/gsea/msigdb/cards/GSE1460_INTRATHYMIC_T_PROGENITOR_VS_THYMIC_STROMAL_CELL_DN.html</t>
  </si>
  <si>
    <t>3912;5156;2252;2619;8076;11245;3490;57616;79633;253827;83604;171024</t>
  </si>
  <si>
    <t>LAMB1;PDGFRA;FGF7;GAS1;MFAP5;GPR176;IGFBP7;TSHZ3;FAT4;MSRB3;TMEM47;SYNPO2</t>
  </si>
  <si>
    <t>GSE26488_CTRL_VS_PEPTIDE_INJECTION_HDAC7_DELTAP_TG_OT2_THYMOCYTE_UP</t>
  </si>
  <si>
    <t>710;6678;6343;1293;2668;2326;7216;151887;5654;1734;5919;54551</t>
  </si>
  <si>
    <t>SERPING1;SPARC;SCT;COL6A3;GDNF;FMO1;TRO;CCDC80;HTRA1;DIO2;RARRES2;MAGEL2</t>
  </si>
  <si>
    <t>http://www.broadinstitute.org/gsea/msigdb/cards/GSE26488_CTRL_VS_PEPTIDE_INJECTION_HDAC7_DELTAP_TG_OT2_THYMOCYTE_UP.html</t>
  </si>
  <si>
    <t>9242;2335;3678;1291;1293;1462;1346;7058;219654;2846;23208;23024</t>
  </si>
  <si>
    <t>MSC;FN1;ITGA5;COL6A1;COL6A3;VCAN;COX7A1;THBS2;ZCCHC24;LPAR4;SYT11;PDZRN3</t>
  </si>
  <si>
    <t>3624;25802;5549;1012;6695;4638;55083;340527;9644;6444;4958;10335</t>
  </si>
  <si>
    <t>INHBA;LMOD1;PRELP;CDH13;SPOCK1;MYLK;KIF26B;NHSL2;SH3PXD2A;SGCD;OMD;MRVI1</t>
  </si>
  <si>
    <t>4313;3678;5159;1289;4015;894;4345;11167;3316;338773;84168</t>
  </si>
  <si>
    <t>MMP2;ITGA5;PDGFRB;COL5A1;LOX;CCND2;CD200;FSTL1;HSPB2;TMEM119;ANTXR1</t>
  </si>
  <si>
    <t>GSE18148_CBFB_KO_VS_WT_TREG_DN</t>
  </si>
  <si>
    <t>284297;8825;1292;2200;6695;4052;165904;89795;344558;57124;90627</t>
  </si>
  <si>
    <t>SSC5D;LIN7A;COL6A2;FBN1;SPOCK1;LTBP1;XIRP1;NAV3;SH3RF3;CD248;STARD13</t>
  </si>
  <si>
    <t>http://www.broadinstitute.org/gsea/msigdb/cards/GSE18148_CBFB_KO_VS_WT_TREG_DN.html</t>
  </si>
  <si>
    <t>2037;2335;633;10398;5176;1306;5549;1307;10631;5654;10000</t>
  </si>
  <si>
    <t>EPB41L2;FN1;BGN;MYL9;SERPINF1;COL15A1;PRELP;COL16A1;POSTN;HTRA1;AKT3</t>
  </si>
  <si>
    <t>2037;7169;716;6925;5176;5351;2621;6624;25903;84617;63895</t>
  </si>
  <si>
    <t>EPB41L2;TPM2;C1S;TCF4;SERPINF1;PLOD1;GAS6;FSCN1;OLFML2B;TUBB6;PIEZO2</t>
  </si>
  <si>
    <t>GSE27786_CD8_TCELL_VS_ERYTHROBLAST_DN</t>
  </si>
  <si>
    <t>11248;2252;7292;50509;2619;5592;196051;89795;128218;23194;171024</t>
  </si>
  <si>
    <t>NXPH3;FGF7;TNFSF4;COL5A3;GAS1;PRKG1;PLPP4;NAV3;TMEM125;FBXL7;SYNPO2</t>
  </si>
  <si>
    <t>http://www.broadinstitute.org/gsea/msigdb/cards/GSE27786_CD8_TCELL_VS_ERYTHROBLAST_DN.html</t>
  </si>
  <si>
    <t>3671;1842;4320;2978;2978;2825;72;4920;7216;219699;5654</t>
  </si>
  <si>
    <t>ISLR;ECM2;MMP11;GUCA1A;AL096814.2;GPR1;ACTG2;ROR2;TRO;UNC5B;HTRA1</t>
  </si>
  <si>
    <t>9242;87;2252;5350;1009;72;7130;5118;10630;4958;27254</t>
  </si>
  <si>
    <t>MSC;ACTN1;FGF7;PLN;CDH11;ACTG2;TNFAIP6;PCOLCE;PDPN;OMD;CSDC2</t>
  </si>
  <si>
    <t>8633;1277;1281;1634;1278;4313;1289;4060;160428;338773;84168</t>
  </si>
  <si>
    <t>UNC5C;COL1A1;COL3A1;DCN;COL1A2;MMP2;COL5A1;LUM;ALDH1L2;TMEM119;ANTXR1</t>
  </si>
  <si>
    <t>1634;716;1293;1462;4345;11245;10631;3316;54796;55068;84168</t>
  </si>
  <si>
    <t>DCN;C1S;COL6A3;VCAN;CD200;GPR176;POSTN;HSPB2;BNC2;ENOX1;ANTXR1</t>
  </si>
  <si>
    <t>GSE8921_UNSTIM_0H_VS_TLR1_2_STIM_MONOCYTE_24H_UP</t>
  </si>
  <si>
    <t>1277;6678;1301;7058;94031;1805;11167;343450;23460;115908;54829</t>
  </si>
  <si>
    <t>COL1A1;SPARC;COL11A1;THBS2;HTRA3;DPT;FSTL1;KCNT2;ABCA6;CTHRC1;ASPN</t>
  </si>
  <si>
    <t>http://www.broadinstitute.org/gsea/msigdb/cards/GSE8921_UNSTIM_0H_VS_TLR1_2_STIM_MONOCYTE_24H_UP.html</t>
  </si>
  <si>
    <t>GSE7218_UNSTIM_VS_ANTIGEN_STIM_THROUGH_IGM_BCELL_UP</t>
  </si>
  <si>
    <t>2978;2978;160428;196051;84814;6444;56917;80114;9260</t>
  </si>
  <si>
    <t>GUCA1A;AL096814.2;ALDH1L2;PLPP4;PLPP7;SGCD;MEIS3;BICC1;PDLIM7</t>
  </si>
  <si>
    <t>http://www.broadinstitute.org/gsea/msigdb/cards/GSE7218_UNSTIM_VS_ANTIGEN_STIM_THROUGH_IGM_BCELL_UP.html</t>
  </si>
  <si>
    <t>7041;8522;8840;3624;6678;2200;4345;4323;6876;54112;27122</t>
  </si>
  <si>
    <t>TGFB1I1;AC005747.1;CCN4;INHBA;SPARC;FBN1;CD200;MMP14;TAGLN;GPR88;DKK3</t>
  </si>
  <si>
    <t>8633;2335;1290;1634;1278;633;2199;4053;122786;84617;27122</t>
  </si>
  <si>
    <t>UNC5C;FN1;COL5A2;DCN;COL1A2;BGN;FBLN2;LTBP2;FRMD6;TUBB6;DKK3</t>
  </si>
  <si>
    <t>87;1462;50509;4345;2978;2978;4323;1012;115701;122786</t>
  </si>
  <si>
    <t>ACTN1;VCAN;COL5A3;CD200;GUCA1A;AL096814.2;MMP14;CDH13;ALPK2;FRMD6</t>
  </si>
  <si>
    <t>GSE17721_POLYIC_VS_CPG_0.5H_BMDC_UP</t>
  </si>
  <si>
    <t>4211;1281;7169;5225;5322;5592;3316;4921;387758;6444</t>
  </si>
  <si>
    <t>MEIS1;COL3A1;TPM2;PGC;PLA2G5;PRKG1;HSPB2;DDR2;FIBIN;SGCD</t>
  </si>
  <si>
    <t>http://www.broadinstitute.org/gsea/msigdb/cards/GSE17721_POLYIC_VS_CPG_0.5H_BMDC_UP.html</t>
  </si>
  <si>
    <t>7058;1264;781;9697;255189;151887;387758;23176;4958;80114</t>
  </si>
  <si>
    <t>THBS2;CNN1;CACNA2D1;TRAM2;PLA2G4F;CCDC80;FIBIN;SEPT8;OMD;BICC1</t>
  </si>
  <si>
    <t>GSE29618_PRE_VS_DAY7_POST_TIV_FLU_VACCINE_BCELL_UP</t>
  </si>
  <si>
    <t>3671;9242;8840;5241;633;2621;79633;55714;25769;90627</t>
  </si>
  <si>
    <t>ISLR;MSC;CCN4;PGR;BGN;GAS6;FAT4;TENM3;SLC24A2;STARD13</t>
  </si>
  <si>
    <t>http://www.broadinstitute.org/gsea/msigdb/cards/GSE29618_PRE_VS_DAY7_POST_TIV_FLU_VACCINE_BCELL_UP.html</t>
  </si>
  <si>
    <t>26025;11248;9509;716;87;6695;3910;10234;23208;25878</t>
  </si>
  <si>
    <t>PCDHGA12;NXPH3;ADAMTS2;C1S;ACTN1;SPOCK1;LAMA4;LRRC17;SYT11;MXRA5</t>
  </si>
  <si>
    <t>26585;9242;87;5350;5549;72;7130;10630;89795;57493</t>
  </si>
  <si>
    <t>GREM1;MSC;ACTN1;PLN;PRELP;ACTG2;TNFAIP6;PDPN;NAV3;HEG1</t>
  </si>
  <si>
    <t>4211;50509;4015;1300;3910;219654;5654;84168;57124;9902</t>
  </si>
  <si>
    <t>MEIS1;COL5A3;LOX;COL10A1;LAMA4;ZCCHC24;HTRA1;ANTXR1;CD248;AC080038.1</t>
  </si>
  <si>
    <t>710;5241;6678;6356;1009;3910;51334;23176;1734;57091</t>
  </si>
  <si>
    <t>SERPING1;PGR;SPARC;CCL11;CDH11;LAMA4;PRR16;SEPT8;DIO2;CASS4</t>
  </si>
  <si>
    <t>4313;3908;1300;23213;143503;50863;9902;23194;171024;23024</t>
  </si>
  <si>
    <t>MMP2;LAMA2;COL10A1;SULF1;OR51E1;NTM;AC080038.1;FBXL7;SYNPO2;PDZRN3</t>
  </si>
  <si>
    <t>389136;8633;1277;1634;894;11167;3490;160428;338773;128218</t>
  </si>
  <si>
    <t>VGLL3;UNC5C;COL1A1;DCN;CCND2;FSTL1;IGFBP7;ALDH1L2;TMEM119;TMEM125</t>
  </si>
  <si>
    <t>GSE4748_CTRL_VS_LPS_AND_CYANOBACTERIUM_LPSLIKE_STIM_DC_3H_UP</t>
  </si>
  <si>
    <t>3671;7041;26585;9945;6387;72;6876;3910;84898;25960</t>
  </si>
  <si>
    <t>ISLR;TGFB1I1;GREM1;GFPT2;CXCL12;ACTG2;TAGLN;LAMA4;PLXDC2;ADGRA2</t>
  </si>
  <si>
    <t>http://www.broadinstitute.org/gsea/msigdb/cards/GSE4748_CTRL_VS_LPS_AND_CYANOBACTERIUM_LPSLIKE_STIM_DC_3H_UP.html</t>
  </si>
  <si>
    <t>1634;5156;2619;6876;2621;8639;5654;1734;122786;5919</t>
  </si>
  <si>
    <t>DCN;PDGFRA;GAS1;TAGLN;GAS6;AOC3;HTRA1;DIO2;FRMD6;RARRES2</t>
  </si>
  <si>
    <t>395;2335;5592;2621;11245;55083;23176;122786;56849;8877</t>
  </si>
  <si>
    <t>ARHGAP6;FN1;PRKG1;GAS6;GPR176;KIF26B;SEPT8;FRMD6;TCEAL7;SPHK1</t>
  </si>
  <si>
    <t>8840;7057;5350;4060;6695;4053;4921;25903;5654;90627</t>
  </si>
  <si>
    <t>CCN4;THBS1;PLN;LUM;SPOCK1;LTBP2;DDR2;OLFML2B;HTRA1;STARD13</t>
  </si>
  <si>
    <t>GSE21380_TFH_VS_GERMINAL_CENTER_TFH_CD4_TCELL_UP</t>
  </si>
  <si>
    <t>4313;87;50509;5322;6876;4035;5311;4638;338773;6320</t>
  </si>
  <si>
    <t>MMP2;ACTN1;COL5A3;PLA2G5;TAGLN;LRP1;PKD2;MYLK;TMEM119;CLEC11A</t>
  </si>
  <si>
    <t>http://www.broadinstitute.org/gsea/msigdb/cards/GSE21380_TFH_VS_GERMINAL_CENTER_TFH_CD4_TCELL_UP.html</t>
  </si>
  <si>
    <t>GSE22935_WT_VS_MYD88_KO_MACROPHAGE_48H_MBOVIS_BCG_STIM_UP</t>
  </si>
  <si>
    <t>5924;7169;4882;3908;2825;3316;6444;56849;91653;51339</t>
  </si>
  <si>
    <t>RASGRF2;TPM2;NPR2;LAMA2;GPR1;HSPB2;SGCD;TCEAL7;BOC;DACT1</t>
  </si>
  <si>
    <t>http://www.broadinstitute.org/gsea/msigdb/cards/GSE22935_WT_VS_MYD88_KO_MACROPHAGE_48H_MBOVIS_BCG_STIM_UP.html</t>
  </si>
  <si>
    <t>GSE23502_BM_VS_COLON_TUMOR_HDC_KO_MYELOID_DERIVED_SUPPRESSOR_CELL_UP</t>
  </si>
  <si>
    <t>7058;5549;6695;2191;23460;27319;2259;50863;25769;23194</t>
  </si>
  <si>
    <t>THBS2;PRELP;SPOCK1;FAP;ABCA6;BHLHE22;FGF14;NTM;SLC24A2;FBXL7</t>
  </si>
  <si>
    <t>http://www.broadinstitute.org/gsea/msigdb/cards/GSE23502_BM_VS_COLON_TUMOR_HDC_KO_MYELOID_DERIVED_SUPPRESSOR_CELL_UP.html</t>
  </si>
  <si>
    <t>GSE22443_NAIVE_VS_ACT_AND_IL2_TREATED_CD8_TCELL_DN</t>
  </si>
  <si>
    <t>4211;2335;5159;7043;1293;2619;7216;151887;119587;23208</t>
  </si>
  <si>
    <t>MEIS1;FN1;PDGFRB;TGFB3;COL6A3;GAS1;TRO;CCDC80;CPXM2;SYT11</t>
  </si>
  <si>
    <t>http://www.broadinstitute.org/gsea/msigdb/cards/GSE22443_NAIVE_VS_ACT_AND_IL2_TREATED_CD8_TCELL_DN.html</t>
  </si>
  <si>
    <t>GSE32533_WT_VS_MIR17_OVEREXPRESS_ACT_CD4_TCELL_DN</t>
  </si>
  <si>
    <t>8825;710;3908;5592;3316;127435;115701;115557;122786;171024</t>
  </si>
  <si>
    <t>LIN7A;SERPING1;LAMA2;PRKG1;HSPB2;PODN;ALPK2;ARHGEF25;FRMD6;SYNPO2</t>
  </si>
  <si>
    <t>http://www.broadinstitute.org/gsea/msigdb/cards/GSE32533_WT_VS_MIR17_OVEREXPRESS_ACT_CD4_TCELL_DN.html</t>
  </si>
  <si>
    <t>3671;5159;6387;1264;338773;165904;55068;1734;93166;9902</t>
  </si>
  <si>
    <t>ISLR;PDGFRB;CXCL12;CNN1;TMEM119;XIRP1;ENOX1;DIO2;PRDM6;AC080038.1</t>
  </si>
  <si>
    <t>3678;1462;7077;1289;2978;2978;953;84624;9260;23452</t>
  </si>
  <si>
    <t>ITGA5;VCAN;TIMP2;COL5A1;GUCA1A;AL096814.2;ENTPD1;FNDC1;PDLIM7;ANGPTL2</t>
  </si>
  <si>
    <t>5924;87;7077;6935;4345;5739;3899;9644;55959;51176</t>
  </si>
  <si>
    <t>RASGRF2;ACTN1;TIMP2;ZEB1;CD200;PTGIR;AFF3;SH3PXD2A;SULF2;LEF1</t>
  </si>
  <si>
    <t>GSE40685_NAIVE_CD4_TCELL_VS_FOXP3_KO_TREG_PRECURSOR_DN</t>
  </si>
  <si>
    <t>6678;1291;1292;4320;72;4035;4921;257194;164284;116535</t>
  </si>
  <si>
    <t>SPARC;COL6A1;COL6A2;MMP11;ACTG2;LRP1;DDR2;NEGR1;APCDD1L;MRGPRF</t>
  </si>
  <si>
    <t>http://www.broadinstitute.org/gsea/msigdb/cards/GSE40685_NAIVE_CD4_TCELL_VS_FOXP3_KO_TREG_PRECURSOR_DN.html</t>
  </si>
  <si>
    <t>8434;710;3678;87;7292;894;4638;9260;9902;10000</t>
  </si>
  <si>
    <t>RECK;SERPING1;ITGA5;ACTN1;TNFSF4;CCND2;MYLK;PDLIM7;AC080038.1;AKT3</t>
  </si>
  <si>
    <t>4211;2200;1264;7130;5311;84624;10630;165;9843;27122</t>
  </si>
  <si>
    <t>MEIS1;FBN1;CNN1;TNFAIP6;PKD2;FNDC1;PDPN;AEBP1;HEPH;DKK3</t>
  </si>
  <si>
    <t>8434;1277;1278;3624;7412;7058;6935;6876;165;55714</t>
  </si>
  <si>
    <t>RECK;COL1A1;COL1A2;INHBA;VCAM1;THBS2;ZEB1;TAGLN;AEBP1;TENM3</t>
  </si>
  <si>
    <t>GSE46606_DAY1_VS_DAY3_CD40L_IL2_IL5_STIMULATED_IRF4_KO_BCELL_UP</t>
  </si>
  <si>
    <t>7057;2252;1296;1264;4035;340527;283298;283208;114801;84168</t>
  </si>
  <si>
    <t>THBS1;FGF7;COL8A2;CNN1;LRP1;NHSL2;OLFML1;P4HA3;TMEM200A;ANTXR1</t>
  </si>
  <si>
    <t>http://www.broadinstitute.org/gsea/msigdb/cards/GSE46606_DAY1_VS_DAY3_CD40L_IL2_IL5_STIMULATED_IRF4_KO_BCELL_UP.html</t>
  </si>
  <si>
    <t>GSE46606_UNSTIM_VS_CD40L_IL2_IL5_3DAY_STIMULATED_IRF4HIGH_SORTED_BCELL_DN</t>
  </si>
  <si>
    <t>1281;2252;1009;6424;54796;165;114757;9638;51176;90627</t>
  </si>
  <si>
    <t>COL3A1;FGF7;CDH11;SFRP4;BNC2;AEBP1;CYGB;FEZ1;LEF1;STARD13</t>
  </si>
  <si>
    <t>http://www.broadinstitute.org/gsea/msigdb/cards/GSE46606_UNSTIM_VS_CD40L_IL2_IL5_3DAY_STIMULATED_IRF4HIGH_SORTED_BCELL_DN.html</t>
  </si>
  <si>
    <t>GSE45365_CTRL_VS_MCMV_INFECTION_NK_CELL_UP</t>
  </si>
  <si>
    <t>5924;4882;4320;1740;283298;10234;116535;84662;57124;23452</t>
  </si>
  <si>
    <t>RASGRF2;NPR2;MMP11;DLG2;OLFML1;LRRC17;MRGPRF;GLIS2;CD248;ANGPTL2</t>
  </si>
  <si>
    <t>http://www.broadinstitute.org/gsea/msigdb/cards/GSE45365_CTRL_VS_MCMV_INFECTION_NK_CELL_UP.html</t>
  </si>
  <si>
    <t>GSE38697_LIGHT_ZONE_VS_DARK_ZONE_BCELL_DN</t>
  </si>
  <si>
    <t>51334;257194;115701;10630;91653;64084;50507;8877</t>
  </si>
  <si>
    <t>PRR16;NEGR1;ALPK2;PDPN;BOC;CLSTN2;NOX4;SPHK1</t>
  </si>
  <si>
    <t>http://www.broadinstitute.org/gsea/msigdb/cards/GSE38697_LIGHT_ZONE_VS_DARK_ZONE_BCELL_DN.html</t>
  </si>
  <si>
    <t>4313;5225;2199;1805;3316;55083;219699;219654;23024</t>
  </si>
  <si>
    <t>MMP2;PGC;FBLN2;DPT;HSPB2;KIF26B;UNC5B;ZCCHC24;PDZRN3</t>
  </si>
  <si>
    <t>http://www.broadinstitute.org/gsea/msigdb/cards/GSE10325_BCELL_VS_LUPUS_BCELL_UP.html</t>
  </si>
  <si>
    <t>710;7057;4882;894;6876;9644;115557;116535;122786</t>
  </si>
  <si>
    <t>SERPING1;THBS1;NPR2;CCND2;TAGLN;SH3PXD2A;ARHGEF25;MRGPRF;FRMD6</t>
  </si>
  <si>
    <t>GSE13411_NAIVE_VS_MEMORY_BCELL_UP</t>
  </si>
  <si>
    <t>389136;6591;1281;633;29951;89795;23460;23208;10699</t>
  </si>
  <si>
    <t>VGLL3;SNAI2;COL3A1;BGN;PDZRN4;NAV3;ABCA6;SYT11;CORIN</t>
  </si>
  <si>
    <t>http://www.broadinstitute.org/gsea/msigdb/cards/GSE13411_NAIVE_VS_MEMORY_BCELL_UP.html</t>
  </si>
  <si>
    <t>389136;4313;6678;1291;1346;3490;23213;57493;10000</t>
  </si>
  <si>
    <t>VGLL3;MMP2;SPARC;COL6A1;COX7A1;IGFBP7;SULF1;HEG1;AKT3</t>
  </si>
  <si>
    <t>1513;7216;79070;165;4675;2846;84617;50863;11117</t>
  </si>
  <si>
    <t>CTSK;TRO;POGLUT2;AEBP1;NAP1L3;LPAR4;TUBB6;NTM;EMILIN1</t>
  </si>
  <si>
    <t>8434;7057;1292;2619;4052;165;219654;131578;83716</t>
  </si>
  <si>
    <t>RECK;THBS1;COL6A2;GAS1;LTBP1;AEBP1;ZCCHC24;LRRC15;CRISPLD2</t>
  </si>
  <si>
    <t>87;5225;894;4345;2978;2978;6876;5118;255189</t>
  </si>
  <si>
    <t>ACTN1;PGC;CCND2;CD200;GUCA1A;AL096814.2;TAGLN;PCOLCE;PLA2G4F</t>
  </si>
  <si>
    <t>4211;8522;1462;4345;2978;2978;1513;6624;10000</t>
  </si>
  <si>
    <t>MEIS1;AC005747.1;VCAN;CD200;GUCA1A;AL096814.2;CTSK;FSCN1;AKT3</t>
  </si>
  <si>
    <t>GSE19825_NAIVE_VS_DAY3_EFF_CD8_TCELL_UP</t>
  </si>
  <si>
    <t>389136;1290;1278;1513;2619;94031;51334;147906;27254</t>
  </si>
  <si>
    <t>VGLL3;COL5A2;COL1A2;CTSK;GAS1;HTRA3;PRR16;DACT3;CSDC2</t>
  </si>
  <si>
    <t>http://www.broadinstitute.org/gsea/msigdb/cards/GSE19825_NAIVE_VS_DAY3_EFF_CD8_TCELL_UP.html</t>
  </si>
  <si>
    <t>GSE20715_0H_VS_24H_OZONE_TLR4_KO_LUNG_DN</t>
  </si>
  <si>
    <t>7057;87;3908;4015;4323;4237;8991;4053;84617</t>
  </si>
  <si>
    <t>THBS1;ACTN1;LAMA2;LOX;MMP14;MFAP2;SELENBP1;LTBP2;TUBB6</t>
  </si>
  <si>
    <t>http://www.broadinstitute.org/gsea/msigdb/cards/GSE20715_0H_VS_24H_OZONE_TLR4_KO_LUNG_DN.html</t>
  </si>
  <si>
    <t>3908;1012;2621;10631;3316;3910;338773;84624;50507</t>
  </si>
  <si>
    <t>LAMA2;CDH13;GAS6;POSTN;HSPB2;LAMA4;TMEM119;FNDC1;NOX4</t>
  </si>
  <si>
    <t>GSE26495_NAIVE_VS_PD1HIGH_CD8_TCELL_UP</t>
  </si>
  <si>
    <t>2037;87;2199;165;344558;8642;57124;51176;6320</t>
  </si>
  <si>
    <t>EPB41L2;ACTN1;FBLN2;AEBP1;SH3RF3;DCHS1;CD248;LEF1;CLEC11A</t>
  </si>
  <si>
    <t>http://www.broadinstitute.org/gsea/msigdb/cards/GSE26495_NAIVE_VS_PD1HIGH_CD8_TCELL_UP.html</t>
  </si>
  <si>
    <t>2037;2335;716;5322;1009;72;2621;5118;6624</t>
  </si>
  <si>
    <t>EPB41L2;FN1;C1S;PLA2G5;CDH11;ACTG2;GAS6;PCOLCE;FSCN1</t>
  </si>
  <si>
    <t>8038;11248;1513;6387;4035;23460;219654;10418;25878</t>
  </si>
  <si>
    <t>ADAM12;NXPH3;CTSK;CXCL12;LRP1;ABCA6;ZCCHC24;SPON1;MXRA5</t>
  </si>
  <si>
    <t>7070;87;5350;5396;59;7130;10630;1734;57493</t>
  </si>
  <si>
    <t>THY1;ACTN1;PLN;PRRX1;ACTA2;TNFAIP6;PDPN;DIO2;HEG1</t>
  </si>
  <si>
    <t>7169;716;1301;1123;4882;2619;1300;8642;9902</t>
  </si>
  <si>
    <t>TPM2;C1S;COL11A1;CHN1;NPR2;GAS1;COL10A1;DCHS1;AC080038.1</t>
  </si>
  <si>
    <t>7070;1462;6925;4320;10398;953;1012;219654;83468</t>
  </si>
  <si>
    <t>THY1;VCAN;TCF4;MMP11;MYL9;ENTPD1;CDH13;ZCCHC24;GLT8D2</t>
  </si>
  <si>
    <t>8522;6356;4060;79070;84898;56917;79827;27122;11117</t>
  </si>
  <si>
    <t>AC005747.1;CCL11;LUM;POGLUT2;PLXDC2;MEIS3;CLMP;DKK3;EMILIN1</t>
  </si>
  <si>
    <t>2037;26585;4882;1306;4920;51334;151887;115701;23194</t>
  </si>
  <si>
    <t>EPB41L2;GREM1;NPR2;COL15A1;ROR2;PRR16;CCDC80;ALPK2;FBXL7</t>
  </si>
  <si>
    <t>1634;7412;2252;4015;2199;5118;8639;84898;9902</t>
  </si>
  <si>
    <t>DCN;VCAM1;FGF7;LOX;FBLN2;PCOLCE;AOC3;PLXDC2;AC080038.1</t>
  </si>
  <si>
    <t>395;2335;3678;7077;4323;10631;10630;122786;8877</t>
  </si>
  <si>
    <t>ARHGAP6;FN1;ITGA5;TIMP2;MMP14;POSTN;PDPN;FRMD6;SPHK1</t>
  </si>
  <si>
    <t>GSE6092_UNSTIM_VS_IFNG_STIM_AND_B_BURGDORFERI_INF_ENDOTHELIAL_CELL_DN</t>
  </si>
  <si>
    <t>2200;6356;2621;10630;10234;143503;81832;63895;93166</t>
  </si>
  <si>
    <t>FBN1;CCL11;GAS6;PDPN;LRRC17;OR51E1;NETO1;PIEZO2;PRDM6</t>
  </si>
  <si>
    <t>http://www.broadinstitute.org/gsea/msigdb/cards/GSE6092_UNSTIM_VS_IFNG_STIM_AND_B_BURGDORFERI_INF_ENDOTHELIAL_CELL_DN.html</t>
  </si>
  <si>
    <t>284297;3671;8840;4320;4921;114801;221091;143503;64084</t>
  </si>
  <si>
    <t>SSC5D;ISLR;CCN4;MMP11;DDR2;TMEM200A;LRRN4CL;OR51E1;CLSTN2</t>
  </si>
  <si>
    <t>GSE12003_4D_VS_8D_CULTURE_MIR223_KO_BM_PROGENITOR_UP</t>
  </si>
  <si>
    <t>26585;2978;2978;257194;89795;64084;84168;29767</t>
  </si>
  <si>
    <t>GREM1;GUCA1A;AL096814.2;NEGR1;NAV3;CLSTN2;ANTXR1;TMOD2</t>
  </si>
  <si>
    <t>http://www.broadinstitute.org/gsea/msigdb/cards/GSE12003_4D_VS_8D_CULTURE_MIR223_KO_BM_PROGENITOR_UP.html</t>
  </si>
  <si>
    <t>5352;2037;8434;7077;55959;25925;54587;84168;23452</t>
  </si>
  <si>
    <t>PLOD2;EPB41L2;RECK;TIMP2;SULF2;ZNF521;MXRA8;ANTXR1;ANGPTL2</t>
  </si>
  <si>
    <t>727936;284297;7041;30008;2978;2978;2621;25903;115557</t>
  </si>
  <si>
    <t>GXYLT2;SSC5D;TGFB1I1;EFEMP2;GUCA1A;AL096814.2;GAS6;OLFML2B;ARHGEF25</t>
  </si>
  <si>
    <t>8483;9358;2978;2978;84624;79633;10630;79827;10000</t>
  </si>
  <si>
    <t>CILP;ITGBL1;GUCA1A;AL096814.2;FNDC1;FAT4;PDPN;CLMP;AKT3</t>
  </si>
  <si>
    <t>GSE21670_UNTREATED_VS_TGFB_TREATED_CD4_TCELL_DN</t>
  </si>
  <si>
    <t>4882;4345;953;11167;5592;1740;84898;85360;4675</t>
  </si>
  <si>
    <t>NPR2;CD200;ENTPD1;FSTL1;PRKG1;DLG2;PLXDC2;SYDE1;NAP1L3</t>
  </si>
  <si>
    <t>http://www.broadinstitute.org/gsea/msigdb/cards/GSE21670_UNTREATED_VS_TGFB_TREATED_CD4_TCELL_DN.html</t>
  </si>
  <si>
    <t>4211;395;4313;953;11167;84898;1734;84617;6320</t>
  </si>
  <si>
    <t>MEIS1;ARHGAP6;MMP2;ENTPD1;FSTL1;PLXDC2;DIO2;TUBB6;CLEC11A</t>
  </si>
  <si>
    <t>7070;633;2978;2978;6624;338773;340527;25960;6320</t>
  </si>
  <si>
    <t>THY1;BGN;GUCA1A;AL096814.2;FSCN1;TMEM119;NHSL2;ADGRA2;CLEC11A</t>
  </si>
  <si>
    <t>26585;2335;3678;4882;2252;127435;79827;57091;10335</t>
  </si>
  <si>
    <t>GREM1;FN1;ITGA5;NPR2;FGF7;PODN;CLMP;CASS4;MRVI1</t>
  </si>
  <si>
    <t>9242;7057;7077;1513;4053;25903;5654;57493;6320</t>
  </si>
  <si>
    <t>MSC;THBS1;TIMP2;CTSK;LTBP2;OLFML2B;HTRA1;HEG1;CLEC11A</t>
  </si>
  <si>
    <t>30008;2335;7057;1306;1513;6624;25903;5654;6320</t>
  </si>
  <si>
    <t>EFEMP2;FN1;THBS1;COL15A1;CTSK;FSCN1;OLFML2B;HTRA1;CLEC11A</t>
  </si>
  <si>
    <t>7041;9242;4313;3678;1307;11167;9697;23213;5654</t>
  </si>
  <si>
    <t>TGFB1I1;MSC;MMP2;ITGA5;COL16A1;FSTL1;TRAM2;SULF1;HTRA1</t>
  </si>
  <si>
    <t>GSE22935_WT_VS_MYD88_KO_MACROPHAGE_12H_MBOVIS_BCG_STIM_UP</t>
  </si>
  <si>
    <t>7057;2200;94031;2199;10630;1734;64084;84168;9260</t>
  </si>
  <si>
    <t>THBS1;FBN1;HTRA3;FBLN2;PDPN;DIO2;CLSTN2;ANTXR1;PDLIM7</t>
  </si>
  <si>
    <t>http://www.broadinstitute.org/gsea/msigdb/cards/GSE22935_WT_VS_MYD88_KO_MACROPHAGE_12H_MBOVIS_BCG_STIM_UP.html</t>
  </si>
  <si>
    <t>5924;1290;1634;4313;1462;6387;4060;6424;114757</t>
  </si>
  <si>
    <t>RASGRF2;COL5A2;DCN;MMP2;VCAN;CXCL12;LUM;SFRP4;CYGB</t>
  </si>
  <si>
    <t>1634;4313;3678;5322;1009;3779;83716;79953;6320</t>
  </si>
  <si>
    <t>DCN;MMP2;ITGA5;PLA2G5;CDH11;KCNMB1;CRISPLD2;SYNDIG1;CLEC11A</t>
  </si>
  <si>
    <t>1278;87;1462;3908;4060;4052;3490;3910;9644</t>
  </si>
  <si>
    <t>COL1A2;ACTN1;VCAN;LAMA2;LUM;LTBP1;IGFBP7;LAMA4;SH3PXD2A</t>
  </si>
  <si>
    <t>3678;87;7412;4345;4323;10630;122786;84617;171024</t>
  </si>
  <si>
    <t>ITGA5;ACTN1;VCAM1;CD200;MMP14;PDPN;FRMD6;TUBB6;SYNPO2</t>
  </si>
  <si>
    <t>8434;710;3678;87;7292;4638;3490;131578;23208</t>
  </si>
  <si>
    <t>RECK;SERPING1;ITGA5;ACTN1;TNFSF4;MYLK;IGFBP7;LRRC15;SYT11</t>
  </si>
  <si>
    <t>GSE41978_WT_VS_ID2_KO_KLRG1_LOW_EFFECTOR_CD8_TCELL_UP</t>
  </si>
  <si>
    <t>716;87;3908;2200;119587;91653;55714;10000;90627</t>
  </si>
  <si>
    <t>C1S;ACTN1;LAMA2;FBN1;CPXM2;BOC;TENM3;AKT3;STARD13</t>
  </si>
  <si>
    <t>http://www.broadinstitute.org/gsea/msigdb/cards/GSE41978_WT_VS_ID2_KO_KLRG1_LOW_EFFECTOR_CD8_TCELL_UP.html</t>
  </si>
  <si>
    <t>GSE42021_CD24INT_TREG_VS_CD24INT_TCONV_THYMUS_DN</t>
  </si>
  <si>
    <t>5241;7043;1291;2978;2978;2191;4921;165904;5919</t>
  </si>
  <si>
    <t>PGR;TGFB3;COL6A1;GUCA1A;AL096814.2;FAP;DDR2;XIRP1;RARRES2</t>
  </si>
  <si>
    <t>http://www.broadinstitute.org/gsea/msigdb/cards/GSE42021_CD24INT_TREG_VS_CD24INT_TCONV_THYMUS_DN.html</t>
  </si>
  <si>
    <t>4211;87;7130;10631;255189;4958;9843;8877;27122</t>
  </si>
  <si>
    <t>MEIS1;ACTN1;TNFAIP6;POSTN;PLA2G4F;OMD;HEPH;SPHK1;DKK3</t>
  </si>
  <si>
    <t>1462;5156;2200;781;4237;94031;2621;55714;9902</t>
  </si>
  <si>
    <t>VCAN;PDGFRA;FBN1;CACNA2D1;MFAP2;HTRA3;GAS6;TENM3;AC080038.1</t>
  </si>
  <si>
    <t>1277;1290;87;633;1513;6876;6444;84617;23452</t>
  </si>
  <si>
    <t>COL1A1;COL5A2;ACTN1;BGN;CTSK;TAGLN;SGCD;TUBB6;ANGPTL2</t>
  </si>
  <si>
    <t>GSE43955_1H_VS_60H_ACT_CD4_TCELL_WITH_TGFB_IL6_DN</t>
  </si>
  <si>
    <t>1277;2335;3678;7412;5176;2668;22795;10631;122786</t>
  </si>
  <si>
    <t>COL1A1;FN1;ITGA5;VCAM1;SERPINF1;GDNF;NID2;POSTN;FRMD6</t>
  </si>
  <si>
    <t>http://www.broadinstitute.org/gsea/msigdb/cards/GSE43955_1H_VS_60H_ACT_CD4_TCELL_WITH_TGFB_IL6_DN.html</t>
  </si>
  <si>
    <t>8522;6925;79633;54796;9638;57124;9254;8877;27122</t>
  </si>
  <si>
    <t>AC005747.1;TCF4;FAT4;BNC2;FEZ1;CD248;CACNA2D2;SPHK1;DKK3</t>
  </si>
  <si>
    <t>26585;2335;3624;4323;4053;6624;51334;25903;10630</t>
  </si>
  <si>
    <t>GREM1;FN1;INHBA;MMP14;LTBP2;FSCN1;PRR16;OLFML2B;PDPN</t>
  </si>
  <si>
    <t>1278;7077;1289;8076;23090;340527;114801;63895;23452</t>
  </si>
  <si>
    <t>COL1A2;TIMP2;COL5A1;MFAP5;ZNF423;NHSL2;TMEM200A;PIEZO2;ANGPTL2</t>
  </si>
  <si>
    <t>134111;6591;2335;1290;5241;5396;6624;114801;9254</t>
  </si>
  <si>
    <t>UBE2QL1;SNAI2;FN1;COL5A2;PGR;PRRX1;FSCN1;TMEM200A;CACNA2D2</t>
  </si>
  <si>
    <t>134111;2335;1123;5396;6695;114801;254228;387758;56849</t>
  </si>
  <si>
    <t>UBE2QL1;FN1;CHN1;PRRX1;SPOCK1;TMEM200A;CALHM5;FIBIN;TCEAL7</t>
  </si>
  <si>
    <t>5352;1277;1290;1634;3908;81792;2199;11167</t>
  </si>
  <si>
    <t>PLOD2;COL1A1;COL5A2;DCN;LAMA2;ADAMTS12;FBLN2;FSTL1</t>
  </si>
  <si>
    <t>87;1123;4345;1311;3899;10234;51176;29940</t>
  </si>
  <si>
    <t>ACTN1;CHN1;CD200;COMP;AFF3;LRRC17;LEF1;DSE</t>
  </si>
  <si>
    <t>7057;3908;1346;894;5351;2621;10630;10418</t>
  </si>
  <si>
    <t>THBS1;LAMA2;COX7A1;CCND2;PLOD1;GAS6;PDPN;SPON1</t>
  </si>
  <si>
    <t>3624;1462;3908;4323;3490;6624;84168;57493</t>
  </si>
  <si>
    <t>INHBA;VCAN;LAMA2;MMP14;IGFBP7;FSCN1;ANTXR1;HEG1</t>
  </si>
  <si>
    <t>3678;1462;3908;4323;3490;10630;84168;57493</t>
  </si>
  <si>
    <t>ITGA5;VCAN;LAMA2;MMP14;IGFBP7;PDPN;ANTXR1;HEG1</t>
  </si>
  <si>
    <t>GSE15324_NAIVE_VS_ACTIVATED_ELF4_KO_CD8_TCELL_UP</t>
  </si>
  <si>
    <t>8038;30008;6925;340527;9644;56917;4958;9260</t>
  </si>
  <si>
    <t>ADAM12;EFEMP2;TCF4;NHSL2;SH3PXD2A;MEIS3;OMD;PDLIM7</t>
  </si>
  <si>
    <t>http://www.broadinstitute.org/gsea/msigdb/cards/GSE15324_NAIVE_VS_ACTIVATED_ELF4_KO_CD8_TCELL_UP.html</t>
  </si>
  <si>
    <t>5159;1012;3339;1805;3910;340527;4958;10335</t>
  </si>
  <si>
    <t>PDGFRB;CDH13;HSPG2;DPT;LAMA4;NHSL2;OMD;MRVI1</t>
  </si>
  <si>
    <t>1462;5156;4920;6624;115701;148113;122786;10418</t>
  </si>
  <si>
    <t>VCAN;PDGFRA;ROR2;FSCN1;ALPK2;CILP2;FRMD6;SPON1</t>
  </si>
  <si>
    <t>3912;4313;87;6935;1513;4323;6624;122786</t>
  </si>
  <si>
    <t>LAMB1;MMP2;ACTN1;ZEB1;CTSK;MMP14;FSCN1;FRMD6</t>
  </si>
  <si>
    <t>GSE17721_LPS_VS_POLYIC_0.5H_BMDC_DN</t>
  </si>
  <si>
    <t>5241;7412;7292;3908;10398;7130;8991;340527</t>
  </si>
  <si>
    <t>PGR;VCAM1;TNFSF4;LAMA2;MYL9;TNFAIP6;SELENBP1;NHSL2</t>
  </si>
  <si>
    <t>http://www.broadinstitute.org/gsea/msigdb/cards/GSE17721_LPS_VS_POLYIC_0.5H_BMDC_DN.html</t>
  </si>
  <si>
    <t>2037;5159;7412;894;11167;165904;115701;122786</t>
  </si>
  <si>
    <t>EPB41L2;PDGFRB;VCAM1;CCND2;FSTL1;XIRP1;ALPK2;FRMD6</t>
  </si>
  <si>
    <t>7070;7077;2619;6876;4052;27319;1734;10000</t>
  </si>
  <si>
    <t>THY1;TIMP2;GAS1;TAGLN;LTBP1;BHLHE22;DIO2;AKT3</t>
  </si>
  <si>
    <t>8522;710;87;1462;4015;4345;10630;5654</t>
  </si>
  <si>
    <t>AC005747.1;SERPING1;ACTN1;VCAN;LOX;CD200;PDPN;HTRA1</t>
  </si>
  <si>
    <t>1293;4882;2668;2978;2978;1513;6356;79070</t>
  </si>
  <si>
    <t>COL6A3;NPR2;GDNF;GUCA1A;AL096814.2;CTSK;CCL11;POGLUT2</t>
  </si>
  <si>
    <t>http://www.broadinstitute.org/gsea/msigdb/cards/GSE17721_0.5H_VS_4H_POLYIC_BMDC_UP.html</t>
  </si>
  <si>
    <t>GSE19825_NAIVE_VS_IL2RALOW_DAY3_EFF_CD8_TCELL_UP</t>
  </si>
  <si>
    <t>8038;9358;1291;1513;4237;1009;94031;9644</t>
  </si>
  <si>
    <t>ADAM12;ITGBL1;COL6A1;CTSK;MFAP2;CDH11;HTRA3;SH3PXD2A</t>
  </si>
  <si>
    <t>http://www.broadinstitute.org/gsea/msigdb/cards/GSE19825_NAIVE_VS_IL2RALOW_DAY3_EFF_CD8_TCELL_UP.html</t>
  </si>
  <si>
    <t>5159;1292;2619;5311;79783;57124;9254;27254</t>
  </si>
  <si>
    <t>PDGFRB;COL6A2;GAS1;PKD2;SUGCT;CD248;CACNA2D2;CSDC2</t>
  </si>
  <si>
    <t>7070;1293;7077;1513;5549;27319;1303;6320</t>
  </si>
  <si>
    <t>THY1;COL6A3;TIMP2;CTSK;PRELP;BHLHE22;COL12A1;CLEC11A</t>
  </si>
  <si>
    <t>GSE26495_NAIVE_VS_PD1LOW_CD8_TCELL_UP</t>
  </si>
  <si>
    <t>1293;87;2199;344558;8642;57124;51176;6320</t>
  </si>
  <si>
    <t>COL6A3;ACTN1;FBLN2;SH3RF3;DCHS1;CD248;LEF1;CLEC11A</t>
  </si>
  <si>
    <t>http://www.broadinstitute.org/gsea/msigdb/cards/GSE26495_NAIVE_VS_PD1LOW_CD8_TCELL_UP.html</t>
  </si>
  <si>
    <t>GSE26928_CENTR_MEMORY_VS_CXCR5_POS_CD4_TCELL_UP</t>
  </si>
  <si>
    <t>727936;4920;8991;10631;338773;283208;148113;9902</t>
  </si>
  <si>
    <t>GXYLT2;ROR2;SELENBP1;POSTN;TMEM119;P4HA3;CILP2;AC080038.1</t>
  </si>
  <si>
    <t>http://www.broadinstitute.org/gsea/msigdb/cards/GSE26928_CENTR_MEMORY_VS_CXCR5_POS_CD4_TCELL_UP.html</t>
  </si>
  <si>
    <t>8633;1462;4345;5739;7130;160428;9638;83716</t>
  </si>
  <si>
    <t>UNC5C;VCAN;CD200;PTGIR;TNFAIP6;ALDH1L2;FEZ1;CRISPLD2</t>
  </si>
  <si>
    <t>GSE27786_BCELL_VS_ERYTHROBLAST_DN</t>
  </si>
  <si>
    <t>8522;11248;1462;4237;8076;340527;89795;29767</t>
  </si>
  <si>
    <t>AC005747.1;NXPH3;VCAN;MFAP2;MFAP5;NHSL2;NAV3;TMOD2</t>
  </si>
  <si>
    <t>http://www.broadinstitute.org/gsea/msigdb/cards/GSE27786_BCELL_VS_ERYTHROBLAST_DN.html</t>
  </si>
  <si>
    <t>8522;11248;1293;1462;89795;117248;29767;23194</t>
  </si>
  <si>
    <t>AC005747.1;NXPH3;COL6A3;VCAN;NAV3;GALNT15;TMOD2;FBXL7</t>
  </si>
  <si>
    <t>7169;6343;6925;6935;3899;2621;165;51339</t>
  </si>
  <si>
    <t>TPM2;SCT;TCF4;ZEB1;AFF3;GAS6;AEBP1;DACT1</t>
  </si>
  <si>
    <t>6678;1462;7077;1513;3490;5654;10000;11117</t>
  </si>
  <si>
    <t>SPARC;VCAN;TIMP2;CTSK;IGFBP7;HTRA1;AKT3;EMILIN1</t>
  </si>
  <si>
    <t>3671;26585;3624;4320;7130;8991;6624;219699</t>
  </si>
  <si>
    <t>ISLR;GREM1;INHBA;MMP11;TNFAIP6;SELENBP1;FSCN1;UNC5B</t>
  </si>
  <si>
    <t>8038;4035;6695;3910;23460;219654;10418;11117</t>
  </si>
  <si>
    <t>ADAM12;LRP1;SPOCK1;LAMA4;ABCA6;ZCCHC24;SPON1;EMILIN1</t>
  </si>
  <si>
    <t>8522;1281;1634;953;4060;1805;5311;57091</t>
  </si>
  <si>
    <t>AC005747.1;COL3A1;DCN;ENTPD1;LUM;DPT;PKD2;CASS4</t>
  </si>
  <si>
    <t>395;1277;7169;3678;79070;387758;29940;10335</t>
  </si>
  <si>
    <t>ARHGAP6;COL1A1;TPM2;ITGA5;POGLUT2;FIBIN;DSE;MRVI1</t>
  </si>
  <si>
    <t>GSE2770_UNTREATED_VS_TGFB_AND_IL12_TREATED_ACT_CD4_TCELL_6H_DN</t>
  </si>
  <si>
    <t>5352;4015;5322;2619;2326;340075;27319;344558</t>
  </si>
  <si>
    <t>PLOD2;LOX;PLA2G5;GAS1;FMO1;ARSI;BHLHE22;SH3RF3</t>
  </si>
  <si>
    <t>http://www.broadinstitute.org/gsea/msigdb/cards/GSE2770_UNTREATED_VS_TGFB_AND_IL12_TREATED_ACT_CD4_TCELL_6H_DN.html</t>
  </si>
  <si>
    <t>GSE2770_IL12_VS_TGFB_AND_IL12_TREATED_ACT_CD4_TCELL_6H_UP</t>
  </si>
  <si>
    <t>9509;1278;5159;6356;7216;85360;53345;55714</t>
  </si>
  <si>
    <t>ADAMTS2;COL1A2;PDGFRB;CCL11;TRO;SYDE1;TM6SF2;TENM3</t>
  </si>
  <si>
    <t>http://www.broadinstitute.org/gsea/msigdb/cards/GSE2770_IL12_VS_TGFB_AND_IL12_TREATED_ACT_CD4_TCELL_6H_UP.html</t>
  </si>
  <si>
    <t>1291;2252;1311;2619;253827;55068;84617;57124</t>
  </si>
  <si>
    <t>COL6A1;FGF7;COMP;GAS1;MSRB3;ENOX1;TUBB6;CD248</t>
  </si>
  <si>
    <t>1281;87;7412;343450;84898;344558;4675;50507</t>
  </si>
  <si>
    <t>COL3A1;ACTN1;VCAM1;KCNT2;PLXDC2;SH3RF3;NAP1L3;NOX4</t>
  </si>
  <si>
    <t>2335;7169;72;6876;4035;6624;5654;23452</t>
  </si>
  <si>
    <t>FN1;TPM2;ACTG2;TAGLN;LRP1;FSCN1;HTRA1;ANGPTL2</t>
  </si>
  <si>
    <t>79070;84898;259232;91179;79783;10418;50863;11117</t>
  </si>
  <si>
    <t>POGLUT2;PLXDC2;NALCN;SCARF2;SUGCT;SPON1;NTM;EMILIN1</t>
  </si>
  <si>
    <t>7412;7292;2978;2978;255189;6424;54829;10418</t>
  </si>
  <si>
    <t>VCAM1;TNFSF4;GUCA1A;AL096814.2;PLA2G4F;SFRP4;ASPN;SPON1</t>
  </si>
  <si>
    <t>26585;8840;7169;894;11167;27319;25960;79827</t>
  </si>
  <si>
    <t>GREM1;CCN4;TPM2;CCND2;FSTL1;BHLHE22;ADGRA2;CLMP</t>
  </si>
  <si>
    <t>http://www.broadinstitute.org/gsea/msigdb/cards/GSE4748_CTRL_VS_CYANOBACTERIUM_LPSLIKE_STIM_DC_1H_UP.html</t>
  </si>
  <si>
    <t>GSE3203_INFLUENZA_INF_VS_IFNB_TREATED_LN_BCELL_UP</t>
  </si>
  <si>
    <t>4882;11167;2191;4052;165;259232;119587;143503</t>
  </si>
  <si>
    <t>NPR2;FSTL1;FAP;LTBP1;AEBP1;NALCN;CPXM2;OR51E1</t>
  </si>
  <si>
    <t>http://www.broadinstitute.org/gsea/msigdb/cards/GSE3203_INFLUENZA_INF_VS_IFNB_TREATED_LN_BCELL_UP.html</t>
  </si>
  <si>
    <t>GSE3203_WT_VS_IFNAR1_KO_INFLUENZA_INFECTED_LN_BCELL_DN</t>
  </si>
  <si>
    <t>1306;2978;2978;9697;115908;91179;57124;9902</t>
  </si>
  <si>
    <t>COL15A1;GUCA1A;AL096814.2;TRAM2;CTHRC1;SCARF2;CD248;AC080038.1</t>
  </si>
  <si>
    <t>http://www.broadinstitute.org/gsea/msigdb/cards/GSE3203_WT_VS_IFNAR1_KO_INFLUENZA_INFECTED_LN_BCELL_DN.html</t>
  </si>
  <si>
    <t>6925;1289;6876;5311;4638;114757;51339;51176</t>
  </si>
  <si>
    <t>TCF4;COL5A1;TAGLN;PKD2;MYLK;CYGB;DACT1;LEF1</t>
  </si>
  <si>
    <t>3678;1289;5311;4638;8639;23090;114757;51176</t>
  </si>
  <si>
    <t>ITGA5;COL5A1;PKD2;MYLK;AOC3;ZNF423;CYGB;LEF1</t>
  </si>
  <si>
    <t>3671;3678;4882;5176;387758;23176;4675;9843</t>
  </si>
  <si>
    <t>ISLR;ITGA5;NPR2;SERPINF1;FIBIN;SEPT8;NAP1L3;HEPH</t>
  </si>
  <si>
    <t>3671;4882;1307;5311;2621;4638;219654;23176</t>
  </si>
  <si>
    <t>ISLR;NPR2;COL16A1;PKD2;GAS6;MYLK;ZCCHC24;SEPT8</t>
  </si>
  <si>
    <t>GSE12003_MIR223_KO_VS_WT_BM_PROGENITOR_4D_CULTURE_DN</t>
  </si>
  <si>
    <t>8038;8633;710;50509;4345;4060;3316;10699</t>
  </si>
  <si>
    <t>ADAM12;UNC5C;SERPING1;COL5A3;CD200;LUM;HSPB2;CORIN</t>
  </si>
  <si>
    <t>http://www.broadinstitute.org/gsea/msigdb/cards/GSE12003_MIR223_KO_VS_WT_BM_PROGENITOR_4D_CULTURE_DN.html</t>
  </si>
  <si>
    <t>7043;7077;4345;5739;84898;55959;23176;23452</t>
  </si>
  <si>
    <t>TGFB3;TIMP2;CD200;PTGIR;PLXDC2;SULF2;SEPT8;ANGPTL2</t>
  </si>
  <si>
    <t>7043;87;7077;5739;4323;51176;23452;10335</t>
  </si>
  <si>
    <t>TGFB3;ACTN1;TIMP2;PTGIR;MMP14;LEF1;ANGPTL2;MRVI1</t>
  </si>
  <si>
    <t>7169;4035;6624;79070;55959;84617;83716;10000</t>
  </si>
  <si>
    <t>TPM2;LRP1;FSCN1;POGLUT2;SULF2;TUBB6;CRISPLD2;AKT3</t>
  </si>
  <si>
    <t>4313;2200;2199;79633;81832;344558;50507;50863</t>
  </si>
  <si>
    <t>MMP2;FBN1;FBLN2;FAT4;NETO1;SH3RF3;NOX4;NTM</t>
  </si>
  <si>
    <t>894;4323;8991;84624;9644;259232;23176;29767</t>
  </si>
  <si>
    <t>CCND2;MMP14;SELENBP1;FNDC1;SH3PXD2A;NALCN;SEPT8;TMOD2</t>
  </si>
  <si>
    <t>5924;894;2668;5351;55083;84898;119587;23452</t>
  </si>
  <si>
    <t>RASGRF2;CCND2;GDNF;PLOD1;KIF26B;PLXDC2;CPXM2;ANGPTL2</t>
  </si>
  <si>
    <t>GSE21379_TFH_VS_NON_TFH_CD4_TCELL_DN</t>
  </si>
  <si>
    <t>395;2978;2978;7130;4921;221091;344558;79953</t>
  </si>
  <si>
    <t>ARHGAP6;GUCA1A;AL096814.2;TNFAIP6;DDR2;LRRN4CL;SH3RF3;SYNDIG1</t>
  </si>
  <si>
    <t>http://www.broadinstitute.org/gsea/msigdb/cards/GSE21379_TFH_VS_NON_TFH_CD4_TCELL_DN.html</t>
  </si>
  <si>
    <t>2335;7169;3624;1306;4323;72;84662;10699</t>
  </si>
  <si>
    <t>FN1;TPM2;INHBA;COL15A1;MMP14;ACTG2;GLIS2;CORIN</t>
  </si>
  <si>
    <t>9945;1301;4052;10631;1740;3316;6424;23208</t>
  </si>
  <si>
    <t>GFPT2;COL11A1;LTBP1;POSTN;DLG2;HSPB2;SFRP4;SYT11</t>
  </si>
  <si>
    <t>5241;7130;4920;51334;57616;254228;5654;53345</t>
  </si>
  <si>
    <t>PGR;TNFAIP6;ROR2;PRR16;TSHZ3;CALHM5;HTRA1;TM6SF2</t>
  </si>
  <si>
    <t>1278;1291;1462;2668;4052;4921;340527;23452</t>
  </si>
  <si>
    <t>COL1A2;COL6A1;VCAN;GDNF;LTBP1;DDR2;NHSL2;ANGPTL2</t>
  </si>
  <si>
    <t>GSE34156_NOD2_LIGAND_VS_NOD2_AND_TLR1_TLR2_LIGAND_24H_TREATED_MONOCYTE_UP</t>
  </si>
  <si>
    <t>1009;10631;4638;160428;53345;50507;25769;10000</t>
  </si>
  <si>
    <t>CDH11;POSTN;MYLK;ALDH1L2;TM6SF2;NOX4;SLC24A2;AKT3</t>
  </si>
  <si>
    <t>http://www.broadinstitute.org/gsea/msigdb/cards/GSE34156_NOD2_LIGAND_VS_NOD2_AND_TLR1_TLR2_LIGAND_24H_TREATED_MONOCYTE_UP.html</t>
  </si>
  <si>
    <t>1281;2200;22795;2621;10631;151887;9843;84617</t>
  </si>
  <si>
    <t>COL3A1;FBN1;NID2;GAS6;POSTN;CCDC80;HEPH;TUBB6</t>
  </si>
  <si>
    <t>2037;9242;3624;87;6624;10630;84617;57493</t>
  </si>
  <si>
    <t>EPB41L2;MSC;INHBA;ACTN1;FSCN1;PDPN;TUBB6;HEG1</t>
  </si>
  <si>
    <t>30008;87;7077;894;5351;2191;25960;9254</t>
  </si>
  <si>
    <t>EFEMP2;ACTN1;TIMP2;CCND2;PLOD1;FAP;ADGRA2;CACNA2D2</t>
  </si>
  <si>
    <t>GSE39152_SPLEEN_CD103_NEG_VS_BRAIN_CD103_POS_MEMORY_CD8_TCELL_DN</t>
  </si>
  <si>
    <t>1277;4320;5322;781;4035;4053;6423;9638</t>
  </si>
  <si>
    <t>COL1A1;MMP11;PLA2G5;CACNA2D1;LRP1;LTBP2;SFRP2;FEZ1</t>
  </si>
  <si>
    <t>http://www.broadinstitute.org/gsea/msigdb/cards/GSE39152_SPLEEN_CD103_NEG_VS_BRAIN_CD103_POS_MEMORY_CD8_TCELL_DN.html</t>
  </si>
  <si>
    <t>1289;3908;1346;953;94031;7130;22801</t>
  </si>
  <si>
    <t>COL5A1;LAMA2;COX7A1;ENTPD1;HTRA3;TNFAIP6;ITGA11</t>
  </si>
  <si>
    <t>2037;6925;4320;1306;5739;9644;255189;83468</t>
  </si>
  <si>
    <t>EPB41L2;TCF4;MMP11;COL15A1;PTGIR;SH3PXD2A;PLA2G4F;GLT8D2</t>
  </si>
  <si>
    <t>3624;1462;5739;4323;2191;5311;114801;128218</t>
  </si>
  <si>
    <t>INHBA;VCAN;PTGIR;MMP14;FAP;PKD2;TMEM200A;TMEM125</t>
  </si>
  <si>
    <t>87;7292;894;22795;4638;3490;23090;6320</t>
  </si>
  <si>
    <t>ACTN1;TNFSF4;CCND2;NID2;MYLK;IGFBP7;ZNF423;CLEC11A</t>
  </si>
  <si>
    <t>8522;5176;5322;3899;219654;1734;9260;9902</t>
  </si>
  <si>
    <t>AC005747.1;SERPINF1;PLA2G5;AFF3;ZCCHC24;DIO2;PDLIM7;AC080038.1</t>
  </si>
  <si>
    <t>7041;6591;1278;1513;11167;8991;22795;6424</t>
  </si>
  <si>
    <t>TGFB1I1;SNAI2;COL1A2;CTSK;FSTL1;SELENBP1;NID2;SFRP4</t>
  </si>
  <si>
    <t>2335;1301;1292;2200;1009;4053;255189;122786</t>
  </si>
  <si>
    <t>FN1;COL11A1;COL6A2;FBN1;CDH11;LTBP2;PLA2G4F;FRMD6</t>
  </si>
  <si>
    <t>1290;633;2619;5118;6444;5654;6423;84251</t>
  </si>
  <si>
    <t>COL5A2;BGN;GAS1;PCOLCE;SGCD;HTRA1;SFRP2;SGIP1</t>
  </si>
  <si>
    <t>6591;3624;3678;4882;7216;6624;9260;54551</t>
  </si>
  <si>
    <t>SNAI2;INHBA;ITGA5;NPR2;TRO;FSCN1;PDLIM7;MAGEL2</t>
  </si>
  <si>
    <t>GSE18804_SPLEEN_MACROPHAGE_VS_BRAIN_TUMORAL_MACROPHAGE_UP</t>
  </si>
  <si>
    <t>134111;5924;8825;6591;5241;5396;6695;56849</t>
  </si>
  <si>
    <t>UBE2QL1;RASGRF2;LIN7A;SNAI2;PGR;PRRX1;SPOCK1;TCEAL7</t>
  </si>
  <si>
    <t>http://www.broadinstitute.org/gsea/msigdb/cards/GSE18804_SPLEEN_MACROPHAGE_VS_BRAIN_TUMORAL_MACROPHAGE_UP.html</t>
  </si>
  <si>
    <t>8434;894;5322;1300;2846;84662;51176</t>
  </si>
  <si>
    <t>RECK;CCND2;PLA2G5;COL10A1;LPAR4;GLIS2;LEF1</t>
  </si>
  <si>
    <t>GSE37533_UNTREATED_VS_PIOGLIZATONE_TREATED_CD4_TCELL_FOXP3_TRASDUCED_CD4_TCELL_UP</t>
  </si>
  <si>
    <t>5352;6925;7292;50509;7058;6695;8877</t>
  </si>
  <si>
    <t>PLOD2;TCF4;TNFSF4;COL5A3;THBS2;SPOCK1;SPHK1</t>
  </si>
  <si>
    <t>http://www.broadinstitute.org/gsea/msigdb/cards/GSE37533_UNTREATED_VS_PIOGLIZATONE_TREATED_CD4_TCELL_FOXP3_TRASDUCED_CD4_TCELL_UP.html</t>
  </si>
  <si>
    <t>8840;5156;4015;2199;800;7216;9644</t>
  </si>
  <si>
    <t>CCN4;PDGFRA;LOX;FBLN2;CALD1;TRO;SH3PXD2A</t>
  </si>
  <si>
    <t>http://www.broadinstitute.org/gsea/msigdb/cards/GSE6269_FLU_VS_E_COLI_INF_PBMC_DN.html</t>
  </si>
  <si>
    <t>GSE13173_UNTREATED_VS_IL12_TREATED_ACT_CD8_TCELL_UP</t>
  </si>
  <si>
    <t>3671;25802;4921;219699;8877;6320</t>
  </si>
  <si>
    <t>ISLR;LMOD1;DDR2;UNC5B;SPHK1;CLEC11A</t>
  </si>
  <si>
    <t>http://www.broadinstitute.org/gsea/msigdb/cards/GSE13173_UNTREATED_VS_IL12_TREATED_ACT_CD8_TCELL_UP.html</t>
  </si>
  <si>
    <t>5739;221091;91179;25960;54551;23194;27254</t>
  </si>
  <si>
    <t>PTGIR;LRRN4CL;SCARF2;ADGRA2;MAGEL2;FBXL7;CSDC2</t>
  </si>
  <si>
    <t>8522;4313;716;5176;5351;10350;29940</t>
  </si>
  <si>
    <t>AC005747.1;MMP2;C1S;SERPINF1;PLOD1;ABCA9;DSE</t>
  </si>
  <si>
    <t>8522;7077;7412;5351;10350;54587;29940</t>
  </si>
  <si>
    <t>AC005747.1;TIMP2;VCAM1;PLOD1;ABCA9;MXRA8;DSE</t>
  </si>
  <si>
    <t>1301;1306;800;115908;1303;10335</t>
  </si>
  <si>
    <t>COL11A1;COL15A1;CALD1;CTHRC1;COL12A1;MRVI1</t>
  </si>
  <si>
    <t>7041;5159;6343;894;6624;344558;79953</t>
  </si>
  <si>
    <t>TGFB1I1;PDGFRB;SCT;CCND2;FSCN1;SH3RF3;SYNDIG1</t>
  </si>
  <si>
    <t>http://www.broadinstitute.org/gsea/msigdb/cards/GSE10239_MEMORY_VS_KLRG1INT_EFF_CD8_TCELL_UP.html</t>
  </si>
  <si>
    <t>5176;953;4035;3779;5654;84617;29940</t>
  </si>
  <si>
    <t>SERPINF1;ENTPD1;LRP1;KCNMB1;HTRA1;TUBB6;DSE</t>
  </si>
  <si>
    <t>3678;1462;5351;4035;3779;219654;83716</t>
  </si>
  <si>
    <t>ITGA5;VCAN;PLOD1;LRP1;KCNMB1;ZCCHC24;CRISPLD2</t>
  </si>
  <si>
    <t>7041;9358;4345;953;1012;6876;4958</t>
  </si>
  <si>
    <t>TGFB1I1;ITGBL1;CD200;ENTPD1;CDH13;TAGLN;OMD</t>
  </si>
  <si>
    <t>6925;2191;115701;122786;23208;83716;57493</t>
  </si>
  <si>
    <t>TCF4;FAP;ALPK2;FRMD6;SYT11;CRISPLD2;HEG1</t>
  </si>
  <si>
    <t>GSE13411_IGM_VS_SWITCHED_MEMORY_BCELL_UP</t>
  </si>
  <si>
    <t>1634;2252;50509;1306;1805;165;64084</t>
  </si>
  <si>
    <t>DCN;FGF7;COL5A3;COL15A1;DPT;AEBP1;CLSTN2</t>
  </si>
  <si>
    <t>http://www.broadinstitute.org/gsea/msigdb/cards/GSE13411_IGM_VS_SWITCHED_MEMORY_BCELL_UP.html</t>
  </si>
  <si>
    <t>GSE13485_DAY1_VS_DAY7_YF17D_VACCINE_PBMC_UP</t>
  </si>
  <si>
    <t>7070;4313;114757;1734;4958;64094;56099</t>
  </si>
  <si>
    <t>THY1;MMP2;CYGB;DIO2;OMD;SMOC2;PCDHGB7</t>
  </si>
  <si>
    <t>http://www.broadinstitute.org/gsea/msigdb/cards/GSE13485_DAY1_VS_DAY7_YF17D_VACCINE_PBMC_UP.html</t>
  </si>
  <si>
    <t>4313;1291;4053;25903;54796;23213;5654</t>
  </si>
  <si>
    <t>MMP2;COL6A1;LTBP2;OLFML2B;BNC2;SULF1;HTRA1</t>
  </si>
  <si>
    <t>1293;87;4345;8642;10418;9254;23452</t>
  </si>
  <si>
    <t>COL6A3;ACTN1;CD200;DCHS1;SPON1;CACNA2D2;ANGPTL2</t>
  </si>
  <si>
    <t>894;1513;4921;64175;219654;50863;11117</t>
  </si>
  <si>
    <t>CCND2;CTSK;DDR2;P3H1;ZCCHC24;NTM;EMILIN1</t>
  </si>
  <si>
    <t>1634;7292;4015;6935;9697;151887;2846</t>
  </si>
  <si>
    <t>DCN;TNFSF4;LOX;ZEB1;TRAM2;CCDC80;LPAR4</t>
  </si>
  <si>
    <t>1634;6935;9697;3910;81832;2846;29940</t>
  </si>
  <si>
    <t>DCN;ZEB1;TRAM2;LAMA4;NETO1;LPAR4;DSE</t>
  </si>
  <si>
    <t>8434;1291;1292;7077;2978;2978;115557</t>
  </si>
  <si>
    <t>RECK;COL6A1;COL6A2;TIMP2;GUCA1A;AL096814.2;ARHGEF25</t>
  </si>
  <si>
    <t>GSE17721_CTRL_VS_LPS_4H_BMDC_DN</t>
  </si>
  <si>
    <t>87;6925;4882;1289;4323;2326;122786</t>
  </si>
  <si>
    <t>ACTN1;TCF4;NPR2;COL5A1;MMP14;FMO1;FRMD6</t>
  </si>
  <si>
    <t>http://www.broadinstitute.org/gsea/msigdb/cards/GSE17721_CTRL_VS_LPS_4H_BMDC_DN.html</t>
  </si>
  <si>
    <t>9945;87;1462;1513;6624;4921;10418</t>
  </si>
  <si>
    <t>GFPT2;ACTN1;VCAN;CTSK;FSCN1;DDR2;SPON1</t>
  </si>
  <si>
    <t>894;4345;1740;6624;148113;116535;6910</t>
  </si>
  <si>
    <t>CCND2;CD200;DLG2;FSCN1;CILP2;MRGPRF;TBX5</t>
  </si>
  <si>
    <t>GSE17721_CTRL_VS_GARDIQUIMOD_6H_BMDC_DN</t>
  </si>
  <si>
    <t>87;4345;4323;122786;83604;54112;10699</t>
  </si>
  <si>
    <t>ACTN1;CD200;MMP14;FRMD6;TMEM47;GPR88;CORIN</t>
  </si>
  <si>
    <t>http://www.broadinstitute.org/gsea/msigdb/cards/GSE17721_CTRL_VS_GARDIQUIMOD_6H_BMDC_DN.html</t>
  </si>
  <si>
    <t>8038;8522;1301;7412;3908;4345;10630</t>
  </si>
  <si>
    <t>ADAM12;AC005747.1;COL11A1;VCAM1;LAMA2;CD200;PDPN</t>
  </si>
  <si>
    <t>2037;26585;3624;7077;2200;953;6624</t>
  </si>
  <si>
    <t>EPB41L2;GREM1;INHBA;TIMP2;FBN1;ENTPD1;FSCN1</t>
  </si>
  <si>
    <t>7169;1278;894;4345;1513;2191;151887</t>
  </si>
  <si>
    <t>TPM2;COL1A2;CCND2;CD200;CTSK;FAP;CCDC80</t>
  </si>
  <si>
    <t>10398;1311;3339;4921;338773;54112;50507</t>
  </si>
  <si>
    <t>MYL9;COMP;HSPG2;DDR2;TMEM119;GPR88;NOX4</t>
  </si>
  <si>
    <t>395;6925;953;3316;3779;10630;25925</t>
  </si>
  <si>
    <t>ARHGAP6;TCF4;ENTPD1;HSPB2;KCNMB1;PDPN;ZNF521</t>
  </si>
  <si>
    <t>1634;716;6925;7412;2978;2978;23024</t>
  </si>
  <si>
    <t>DCN;C1S;TCF4;VCAM1;GUCA1A;AL096814.2;PDZRN3</t>
  </si>
  <si>
    <t>395;50509;151887;122786;54112;80114;9902</t>
  </si>
  <si>
    <t>ARHGAP6;COL5A3;CCDC80;FRMD6;GPR88;BICC1;AC080038.1</t>
  </si>
  <si>
    <t>389136;160428;259232;23460;23208;9254;51176</t>
  </si>
  <si>
    <t>VGLL3;ALDH1L2;NALCN;ABCA6;SYT11;CACNA2D2;LEF1</t>
  </si>
  <si>
    <t>6591;633;55959;54587;54829;50507;23452</t>
  </si>
  <si>
    <t>SNAI2;BGN;SULF2;MXRA8;ASPN;NOX4;ANGPTL2</t>
  </si>
  <si>
    <t>GSE20715_WT_VS_TLR4_KO_48H_OZONE_LUNG_UP</t>
  </si>
  <si>
    <t>5549;5351;10631;64084;50507;23452;10000</t>
  </si>
  <si>
    <t>PRELP;PLOD1;POSTN;CLSTN2;NOX4;ANGPTL2;AKT3</t>
  </si>
  <si>
    <t>http://www.broadinstitute.org/gsea/msigdb/cards/GSE20715_WT_VS_TLR4_KO_48H_OZONE_LUNG_UP.html</t>
  </si>
  <si>
    <t>633;3339;1307;11167;22795;122786;6910</t>
  </si>
  <si>
    <t>BGN;HSPG2;COL16A1;FSTL1;NID2;FRMD6;TBX5</t>
  </si>
  <si>
    <t>5159;1291;87;5176;9638;63895;9254</t>
  </si>
  <si>
    <t>PDGFRB;COL6A1;ACTN1;SERPINF1;FEZ1;PIEZO2;CACNA2D2</t>
  </si>
  <si>
    <t>5241;6925;2252;7292;4345;953;6695</t>
  </si>
  <si>
    <t>PGR;TCF4;FGF7;TNFSF4;CD200;ENTPD1;SPOCK1</t>
  </si>
  <si>
    <t>GSE22886_IL2_VS_IL15_STIM_NKCELL_UP</t>
  </si>
  <si>
    <t>8038;1290;7057;716;7058;5118;9644</t>
  </si>
  <si>
    <t>ADAM12;COL5A2;THBS1;C1S;THBS2;PCOLCE;SH3PXD2A</t>
  </si>
  <si>
    <t>http://www.broadinstitute.org/gsea/msigdb/cards/GSE22886_IL2_VS_IL15_STIM_NKCELL_UP.html</t>
  </si>
  <si>
    <t>2037;2335;1123;1306;2621;9697;51339</t>
  </si>
  <si>
    <t>EPB41L2;FN1;CHN1;COL15A1;GAS6;TRAM2;DACT1</t>
  </si>
  <si>
    <t>26585;710;3624;1296;7130;84617;29940</t>
  </si>
  <si>
    <t>GREM1;SERPING1;INHBA;COL8A2;TNFAIP6;TUBB6;DSE</t>
  </si>
  <si>
    <t>727936;8483;87;54796;283208;55068;10000</t>
  </si>
  <si>
    <t>GXYLT2;CILP;ACTN1;BNC2;P4HA3;ENOX1;AKT3</t>
  </si>
  <si>
    <t>1293;1462;2252;2619;2199;6624;171024</t>
  </si>
  <si>
    <t>COL6A3;VCAN;FGF7;GAS1;FBLN2;FSCN1;SYNPO2</t>
  </si>
  <si>
    <t>7169;6343;6925;5176;3899;2621;165</t>
  </si>
  <si>
    <t>TPM2;SCT;TCF4;SERPINF1;AFF3;GAS6;AEBP1</t>
  </si>
  <si>
    <t>7169;6343;6925;5176;2621;165;51339</t>
  </si>
  <si>
    <t>TPM2;SCT;TCF4;SERPINF1;GAS6;AEBP1;DACT1</t>
  </si>
  <si>
    <t>GSE30083_SP1_VS_SP2_THYMOCYTE_UP</t>
  </si>
  <si>
    <t>5159;6925;2252;781;2199;84898;23452</t>
  </si>
  <si>
    <t>PDGFRB;TCF4;FGF7;CACNA2D1;FBLN2;PLXDC2;ANGPTL2</t>
  </si>
  <si>
    <t>http://www.broadinstitute.org/gsea/msigdb/cards/GSE30083_SP1_VS_SP2_THYMOCYTE_UP.html</t>
  </si>
  <si>
    <t>7169;5159;1462;7412;1009;23452;10335</t>
  </si>
  <si>
    <t>TPM2;PDGFRB;VCAN;VCAM1;CDH11;ANGPTL2;MRVI1</t>
  </si>
  <si>
    <t>GSE360_CTRL_VS_B_MALAYI_HIGH_DOSE_DC_DN</t>
  </si>
  <si>
    <t>1278;1346;4323;4920;4052;23213;10418</t>
  </si>
  <si>
    <t>COL1A2;COX7A1;MMP14;ROR2;LTBP1;SULF1;SPON1</t>
  </si>
  <si>
    <t>http://www.broadinstitute.org/gsea/msigdb/cards/GSE360_CTRL_VS_B_MALAYI_HIGH_DOSE_DC_DN.html</t>
  </si>
  <si>
    <t>30008;1278;1346;4323;4237;6876;23213</t>
  </si>
  <si>
    <t>EFEMP2;COL1A2;COX7A1;MMP14;MFAP2;TAGLN;SULF1</t>
  </si>
  <si>
    <t>26585;9242;1290;1462;6624;10630;4958</t>
  </si>
  <si>
    <t>GREM1;MSC;COL5A2;VCAN;FSCN1;PDPN;OMD</t>
  </si>
  <si>
    <t>6678;1292;1462;5739;1513;6624;11117</t>
  </si>
  <si>
    <t>SPARC;COL6A2;VCAN;PTGIR;CTSK;FSCN1;EMILIN1</t>
  </si>
  <si>
    <t>5352;6678;1462;1012;1740;25903;8642</t>
  </si>
  <si>
    <t>PLOD2;SPARC;VCAN;CDH13;DLG2;OLFML2B;DCHS1</t>
  </si>
  <si>
    <t>710;1462;1009;4920;6624;25903;5654</t>
  </si>
  <si>
    <t>SERPING1;VCAN;CDH11;ROR2;FSCN1;OLFML2B;HTRA1</t>
  </si>
  <si>
    <t>GSE360_HIGH_VS_LOW_DOSE_B_MALAYI_DC_UP</t>
  </si>
  <si>
    <t>8038;7292;1311;59;4052;219654;90627</t>
  </si>
  <si>
    <t>ADAM12;TNFSF4;COMP;ACTA2;LTBP1;ZCCHC24;STARD13</t>
  </si>
  <si>
    <t>http://www.broadinstitute.org/gsea/msigdb/cards/GSE360_HIGH_VS_LOW_DOSE_B_MALAYI_DC_UP.html</t>
  </si>
  <si>
    <t>1293;1346;6876;4053;23213;9638;25878</t>
  </si>
  <si>
    <t>COL6A3;COX7A1;TAGLN;LTBP2;SULF1;FEZ1;MXRA5</t>
  </si>
  <si>
    <t>1462;953;9697;5118;10630;8642;4958</t>
  </si>
  <si>
    <t>VCAN;ENTPD1;TRAM2;PCOLCE;PDPN;DCHS1;OMD</t>
  </si>
  <si>
    <t>6678;87;7077;7412;5396;7130;23213</t>
  </si>
  <si>
    <t>SPARC;ACTN1;TIMP2;VCAM1;PRRX1;TNFAIP6;SULF1</t>
  </si>
  <si>
    <t>5352;9242;1462;4323;7130;3490;5654</t>
  </si>
  <si>
    <t>PLOD2;MSC;VCAN;MMP14;TNFAIP6;IGFBP7;HTRA1</t>
  </si>
  <si>
    <t>5352;1307;51334;283298;83700;63895;50507</t>
  </si>
  <si>
    <t>PLOD2;COL16A1;PRR16;OLFML1;JAM3;PIEZO2;NOX4</t>
  </si>
  <si>
    <t>GSE36476_YOUNG_VS_OLD_DONOR_MEMORY_CD4_TCELL_DN</t>
  </si>
  <si>
    <t>8840;5176;3899;4638;27295;54112;9260</t>
  </si>
  <si>
    <t>CCN4;SERPINF1;AFF3;MYLK;PDLIM3;GPR88;PDLIM7</t>
  </si>
  <si>
    <t>http://www.broadinstitute.org/gsea/msigdb/cards/GSE36476_YOUNG_VS_OLD_DONOR_MEMORY_CD4_TCELL_DN.html</t>
  </si>
  <si>
    <t>9945;1281;1462;4052;9697;9638;29767</t>
  </si>
  <si>
    <t>GFPT2;COL3A1;VCAN;LTBP1;TRAM2;FEZ1;TMOD2</t>
  </si>
  <si>
    <t>710;3624;1123;4345;6624;83716;57493</t>
  </si>
  <si>
    <t>SERPING1;INHBA;CHN1;CD200;FSCN1;CRISPLD2;HEG1</t>
  </si>
  <si>
    <t>5176;4345;1740;115701;10630;2259;83716</t>
  </si>
  <si>
    <t>SERPINF1;CD200;DLG2;ALPK2;PDPN;FGF14;CRISPLD2</t>
  </si>
  <si>
    <t>395;4313;716;4345;2199;3910;9260</t>
  </si>
  <si>
    <t>ARHGAP6;MMP2;C1S;CD200;FBLN2;LAMA4;PDLIM7</t>
  </si>
  <si>
    <t>8522;716;2252;894;7058;2619;1303</t>
  </si>
  <si>
    <t>AC005747.1;C1S;FGF7;CCND2;THBS2;GAS1;COL12A1</t>
  </si>
  <si>
    <t>1292;87;3899;4921;23460;25925;27254</t>
  </si>
  <si>
    <t>COL6A2;ACTN1;AFF3;DDR2;ABCA6;ZNF521;CSDC2</t>
  </si>
  <si>
    <t>7169;1301;25903;79070;10350;83872;55714</t>
  </si>
  <si>
    <t>TPM2;COL11A1;OLFML2B;POGLUT2;ABCA9;HMCN1;TENM3</t>
  </si>
  <si>
    <t>9509;4313;5159;4345;94031;5118;10350</t>
  </si>
  <si>
    <t>ADAMTS2;MMP2;PDGFRB;CD200;HTRA3;PCOLCE;ABCA9</t>
  </si>
  <si>
    <t>8483;716;1296;781;1805;64084;57091</t>
  </si>
  <si>
    <t>CILP;C1S;COL8A2;CACNA2D1;DPT;CLSTN2;CASS4</t>
  </si>
  <si>
    <t>1634;4313;50509;3899;4060;7130;54796</t>
  </si>
  <si>
    <t>DCN;MMP2;COL5A3;AFF3;LUM;TNFAIP6;BNC2</t>
  </si>
  <si>
    <t>GSE2585_CD80_HIGH_VS_LOW_MTEC_UP</t>
  </si>
  <si>
    <t>6343;4015;5592;160428;27319;143503;2846</t>
  </si>
  <si>
    <t>SCT;LOX;PRKG1;ALDH1L2;BHLHE22;OR51E1;LPAR4</t>
  </si>
  <si>
    <t>http://www.broadinstitute.org/gsea/msigdb/cards/GSE2585_CD80_HIGH_VS_LOW_MTEC_UP.html</t>
  </si>
  <si>
    <t>GSE4142_NAIVE_VS_MEMORY_BCELL_DN</t>
  </si>
  <si>
    <t>7412;1289;51334;147906;54587;54112;25769</t>
  </si>
  <si>
    <t>VCAM1;COL5A1;PRR16;DACT3;MXRA8;GPR88;SLC24A2</t>
  </si>
  <si>
    <t>http://www.broadinstitute.org/gsea/msigdb/cards/GSE4142_NAIVE_VS_MEMORY_BCELL_DN.html</t>
  </si>
  <si>
    <t>GSE8921_UNSTIM_0H_VS_TLR1_2_STIM_MONOCYTE_3H_DN</t>
  </si>
  <si>
    <t>710;4015;338773;116535;25925;4958;29767</t>
  </si>
  <si>
    <t>SERPING1;LOX;TMEM119;MRGPRF;ZNF521;OMD;TMOD2</t>
  </si>
  <si>
    <t>http://www.broadinstitute.org/gsea/msigdb/cards/GSE8921_UNSTIM_0H_VS_TLR1_2_STIM_MONOCYTE_3H_DN.html</t>
  </si>
  <si>
    <t>7077;1513;4060;11167;5118;23213;8877</t>
  </si>
  <si>
    <t>TIMP2;CTSK;LUM;FSTL1;PCOLCE;SULF1;SPHK1</t>
  </si>
  <si>
    <t>94031;7130;2191;84898;151887;9260;8877</t>
  </si>
  <si>
    <t>HTRA3;TNFAIP6;FAP;PLXDC2;CCDC80;PDLIM7;SPHK1</t>
  </si>
  <si>
    <t>1281;5311;10631;4921;340075;25903;84898</t>
  </si>
  <si>
    <t>COL3A1;PKD2;POSTN;DDR2;ARSI;OLFML2B;PLXDC2</t>
  </si>
  <si>
    <t>GSE4811_CLASSSICALY_ACTIVATED_VS_TYPE_2_ACTIVATED_MACROPHAGE_DN</t>
  </si>
  <si>
    <t>11248;6695;151887;10350;344558;54829;50863</t>
  </si>
  <si>
    <t>NXPH3;SPOCK1;CCDC80;ABCA9;SH3RF3;ASPN;NTM</t>
  </si>
  <si>
    <t>http://www.broadinstitute.org/gsea/msigdb/cards/GSE4811_CLASSSICALY_ACTIVATED_VS_TYPE_2_ACTIVATED_MACROPHAGE_DN.html</t>
  </si>
  <si>
    <t>5924;4320;5739;122786;83468;10000;10335</t>
  </si>
  <si>
    <t>RASGRF2;MMP11;PTGIR;FRMD6;GLT8D2;AKT3;MRVI1</t>
  </si>
  <si>
    <t>7057;5350;79883;253827;6444;5919;51176</t>
  </si>
  <si>
    <t>THBS1;PLN;PODNL1;MSRB3;SGCD;RARRES2;LEF1</t>
  </si>
  <si>
    <t>727936;2037;8522;1293;165;254228;10699</t>
  </si>
  <si>
    <t>GXYLT2;EPB41L2;AC005747.1;COL6A3;AEBP1;CALHM5;CORIN</t>
  </si>
  <si>
    <t>395;7077;5739;781;219654;23208;10000</t>
  </si>
  <si>
    <t>ARHGAP6;TIMP2;PTGIR;CACNA2D1;ZCCHC24;SYT11;AKT3</t>
  </si>
  <si>
    <t>GSE5589_WT_VS_IL10_KO_LPS_AND_IL6_STIM_MACROPHAGE_45MIN_UP</t>
  </si>
  <si>
    <t>134111;8483;9945;1307;143503;10418;50507</t>
  </si>
  <si>
    <t>UBE2QL1;CILP;GFPT2;COL16A1;OR51E1;SPON1;NOX4</t>
  </si>
  <si>
    <t>http://www.broadinstitute.org/gsea/msigdb/cards/GSE5589_WT_VS_IL10_KO_LPS_AND_IL6_STIM_MACROPHAGE_45MIN_UP.html</t>
  </si>
  <si>
    <t>1513;4035;4921;221091;54587;27122</t>
  </si>
  <si>
    <t>CTSK;LRP1;DDR2;LRRN4CL;MXRA8;DKK3</t>
  </si>
  <si>
    <t>1291;4320;10398;4345;115908;9902;10000</t>
  </si>
  <si>
    <t>COL6A1;MMP11;MYL9;CD200;CTHRC1;AC080038.1;AKT3</t>
  </si>
  <si>
    <t>7058;6695;148113;122786;84617;51339;23452</t>
  </si>
  <si>
    <t>THBS2;SPOCK1;CILP2;FRMD6;TUBB6;DACT1;ANGPTL2</t>
  </si>
  <si>
    <t>9945;5159;1291;1346;4921;84617;27122</t>
  </si>
  <si>
    <t>GFPT2;PDGFRB;COL6A1;COX7A1;DDR2;TUBB6;DKK3</t>
  </si>
  <si>
    <t>GSE7831_1H_VS_4H_INFLUENZA_STIM_PDC_UP</t>
  </si>
  <si>
    <t>7070;4882;4323;1307;11167;6624;84898</t>
  </si>
  <si>
    <t>THY1;NPR2;MMP14;COL16A1;FSTL1;FSCN1;PLXDC2</t>
  </si>
  <si>
    <t>http://www.broadinstitute.org/gsea/msigdb/cards/GSE7831_1H_VS_4H_INFLUENZA_STIM_PDC_UP.html</t>
  </si>
  <si>
    <t>395;7070;633;1307;5592;1734;9260</t>
  </si>
  <si>
    <t>ARHGAP6;THY1;BGN;COL16A1;PRKG1;DIO2;PDLIM7</t>
  </si>
  <si>
    <t>284297;7070;11245;338773;219654;23452;27254</t>
  </si>
  <si>
    <t>SSC5D;THY1;GPR176;TMEM119;ZCCHC24;ANGPTL2;CSDC2</t>
  </si>
  <si>
    <t>GSE11818_WT_VS_DICER_KO_TREG_UP</t>
  </si>
  <si>
    <t>6678;2668;3339;55083;340075;91179</t>
  </si>
  <si>
    <t>SPARC;GDNF;HSPG2;KIF26B;ARSI;SCARF2</t>
  </si>
  <si>
    <t>http://www.broadinstitute.org/gsea/msigdb/cards/GSE11818_WT_VS_DICER_KO_TREG_UP.html</t>
  </si>
  <si>
    <t>7057;1278;1291;3339;9697;90627</t>
  </si>
  <si>
    <t>THBS1;COL1A2;COL6A1;HSPG2;TRAM2;STARD13</t>
  </si>
  <si>
    <t>7057;79883;81832;131578;84617;54829</t>
  </si>
  <si>
    <t>THBS1;PODNL1;NETO1;LRRC15;TUBB6;ASPN</t>
  </si>
  <si>
    <t>716;7077;894;5592;3490;81832;6423</t>
  </si>
  <si>
    <t>C1S;TIMP2;CCND2;PRKG1;IGFBP7;NETO1;SFRP2</t>
  </si>
  <si>
    <t>GSE9960_HEALTHY_VS_GRAM_NEG_AND_POS_SEPSIS_PBMC_UP</t>
  </si>
  <si>
    <t>2668;3899;5396;81792;27319;53345;23024</t>
  </si>
  <si>
    <t>GDNF;AFF3;PRRX1;ADAMTS12;BHLHE22;TM6SF2;PDZRN3</t>
  </si>
  <si>
    <t>http://www.broadinstitute.org/gsea/msigdb/cards/GSE9960_HEALTHY_VS_GRAM_NEG_AND_POS_SEPSIS_PBMC_UP.html</t>
  </si>
  <si>
    <t>5352;4313;84898;54796;143503;5654;9260</t>
  </si>
  <si>
    <t>PLOD2;MMP2;PLXDC2;BNC2;OR51E1;HTRA1;PDLIM7</t>
  </si>
  <si>
    <t>GSE19198_1H_VS_6H_IL21_TREATED_TCELL_UP</t>
  </si>
  <si>
    <t>26585;7412;10350;55959;27319;84628;27254</t>
  </si>
  <si>
    <t>GREM1;VCAM1;ABCA9;SULF2;BHLHE22;NTNG2;CSDC2</t>
  </si>
  <si>
    <t>http://www.broadinstitute.org/gsea/msigdb/cards/GSE19198_1H_VS_6H_IL21_TREATED_TCELL_UP.html</t>
  </si>
  <si>
    <t>7057;3678;4015;894;2191;84617;10000</t>
  </si>
  <si>
    <t>THBS1;ITGA5;LOX;CCND2;FAP;TUBB6;AKT3</t>
  </si>
  <si>
    <t>GSE18281_PERIMEDULLARY_CORTICAL_REGION_VS_WHOLE_MEDULLA_THYMUS_DN</t>
  </si>
  <si>
    <t>1281;953;781;4638;3910;27319;6423</t>
  </si>
  <si>
    <t>COL3A1;ENTPD1;CACNA2D1;MYLK;LAMA4;BHLHE22;SFRP2</t>
  </si>
  <si>
    <t>http://www.broadinstitute.org/gsea/msigdb/cards/GSE18281_PERIMEDULLARY_CORTICAL_REGION_VS_WHOLE_MEDULLA_THYMUS_DN.html</t>
  </si>
  <si>
    <t>8038;9242;4320;953;7130;8076;165</t>
  </si>
  <si>
    <t>ADAM12;MSC;MMP11;ENTPD1;TNFAIP6;MFAP5;AEBP1</t>
  </si>
  <si>
    <t>1346;4320;5739;1012;148113;165;6423</t>
  </si>
  <si>
    <t>COX7A1;MMP11;PTGIR;CDH13;CILP2;AEBP1;SFRP2</t>
  </si>
  <si>
    <t>http://www.broadinstitute.org/gsea/msigdb/cards/GSE19923_WT_VS_E2A_KO_DP_THYMOCYTE_UP.html</t>
  </si>
  <si>
    <t>GSE19888_ADENOSINE_A3R_INH_VS_ACT_WITH_INHIBITOR_PRETREATMENT_IN_MAST_CELL_DN</t>
  </si>
  <si>
    <t>2335;5156;84624;115557;84814;54112;9260</t>
  </si>
  <si>
    <t>FN1;PDGFRA;FNDC1;ARHGEF25;PLPP7;GPR88;PDLIM7</t>
  </si>
  <si>
    <t>http://www.broadinstitute.org/gsea/msigdb/cards/GSE19888_ADENOSINE_A3R_INH_VS_ACT_WITH_INHIBITOR_PRETREATMENT_IN_MAST_CELL_DN.html</t>
  </si>
  <si>
    <t>GSE21380_NON_TFH_VS_GERMINAL_CENTER_TFH_CD4_TCELL_UP</t>
  </si>
  <si>
    <t>1278;6343;87;4052;84624;2259;9843</t>
  </si>
  <si>
    <t>COL1A2;SCT;ACTN1;LTBP1;FNDC1;FGF14;HEPH</t>
  </si>
  <si>
    <t>http://www.broadinstitute.org/gsea/msigdb/cards/GSE21380_NON_TFH_VS_GERMINAL_CENTER_TFH_CD4_TCELL_UP.html</t>
  </si>
  <si>
    <t>4313;6925;894;3899;11167;4638;25960</t>
  </si>
  <si>
    <t>MMP2;TCF4;CCND2;AFF3;FSTL1;MYLK;ADGRA2</t>
  </si>
  <si>
    <t>GSE21546_WT_VS_SAP1A_KO_AND_ELK1_KO_ANTI_CD3_STIM_DP_THYMOCYTES_UP</t>
  </si>
  <si>
    <t>1277;25802;72;6876;11167;4052;4675</t>
  </si>
  <si>
    <t>COL1A1;LMOD1;ACTG2;TAGLN;FSTL1;LTBP1;NAP1L3</t>
  </si>
  <si>
    <t>http://www.broadinstitute.org/gsea/msigdb/cards/GSE21546_WT_VS_SAP1A_KO_AND_ELK1_KO_ANTI_CD3_STIM_DP_THYMOCYTES_UP.html</t>
  </si>
  <si>
    <t>GSE21927_SPLENIC_C26GM_TUMOROUS_VS_BONE_MARROW_MONOCYTES_UP</t>
  </si>
  <si>
    <t>4313;10398;781;94031;1307;27319;93166</t>
  </si>
  <si>
    <t>MMP2;MYL9;CACNA2D1;HTRA3;COL16A1;BHLHE22;PRDM6</t>
  </si>
  <si>
    <t>http://www.broadinstitute.org/gsea/msigdb/cards/GSE21927_SPLENIC_C26GM_TUMOROUS_VS_BONE_MARROW_MONOCYTES_UP.html</t>
  </si>
  <si>
    <t>2335;7057;7077;1513;25903;10630;6320</t>
  </si>
  <si>
    <t>FN1;THBS1;TIMP2;CTSK;OLFML2B;PDPN;CLEC11A</t>
  </si>
  <si>
    <t>1281;1805;11167;5311;165;115908;84168</t>
  </si>
  <si>
    <t>COL3A1;DPT;FSTL1;PKD2;AEBP1;CTHRC1;ANTXR1</t>
  </si>
  <si>
    <t>11248;8633;4060;94031;2326;143503;57124</t>
  </si>
  <si>
    <t>NXPH3;UNC5C;LUM;HTRA3;FMO1;OR51E1;CD248</t>
  </si>
  <si>
    <t>11248;1307;79070;283298;143503;5654;79827</t>
  </si>
  <si>
    <t>NXPH3;COL16A1;POGLUT2;OLFML1;OR51E1;HTRA1;CLMP</t>
  </si>
  <si>
    <t>GSE16385_ROSIGLITAZONE_IL4_VS_ROSIGLITAZONE_ALONE_STIM_MACROPHAGE_UP</t>
  </si>
  <si>
    <t>1292;94031;10631;23090;343450;4675;83468</t>
  </si>
  <si>
    <t>COL6A2;HTRA3;POSTN;ZNF423;KCNT2;NAP1L3;GLT8D2</t>
  </si>
  <si>
    <t>http://www.broadinstitute.org/gsea/msigdb/cards/GSE16385_ROSIGLITAZONE_IL4_VS_ROSIGLITAZONE_ALONE_STIM_MACROPHAGE_UP.html</t>
  </si>
  <si>
    <t>GSE16385_IFNG_TNF_VS_ROSIGLITAZONE_STIM_MACROPHAGE_DN</t>
  </si>
  <si>
    <t>134111;8840;4638;5654;6910;9638;23194</t>
  </si>
  <si>
    <t>UBE2QL1;CCN4;MYLK;HTRA1;TBX5;FEZ1;FBXL7</t>
  </si>
  <si>
    <t>http://www.broadinstitute.org/gsea/msigdb/cards/GSE16385_IFNG_TNF_VS_ROSIGLITAZONE_STIM_MACROPHAGE_DN.html</t>
  </si>
  <si>
    <t>395;3624;1462;84898;84617;79827;55714</t>
  </si>
  <si>
    <t>ARHGAP6;INHBA;VCAN;PLXDC2;TUBB6;CLMP;TENM3</t>
  </si>
  <si>
    <t>GSE23502_WT_VS_HDC_KO_MYELOID_DERIVED_SUPPRESSOR_CELL_COLON_TUMOR_DN</t>
  </si>
  <si>
    <t>9945;1290;4313;1296;23460;128218;54551</t>
  </si>
  <si>
    <t>GFPT2;COL5A2;MMP2;COL8A2;ABCA6;TMEM125;MAGEL2</t>
  </si>
  <si>
    <t>http://www.broadinstitute.org/gsea/msigdb/cards/GSE23502_WT_VS_HDC_KO_MYELOID_DERIVED_SUPPRESSOR_CELL_COLON_TUMOR_DN.html</t>
  </si>
  <si>
    <t>1842;9945;10398;5176;4035;7216;64094</t>
  </si>
  <si>
    <t>ECM2;GFPT2;MYL9;SERPINF1;LRP1;TRO;SMOC2</t>
  </si>
  <si>
    <t>26585;1634;3624;5159;10398;1307;89795</t>
  </si>
  <si>
    <t>GREM1;DCN;INHBA;PDGFRB;MYL9;COL16A1;NAV3</t>
  </si>
  <si>
    <t>GSE26912_TUMORICIDAL_VS_CTRL_MACROPHAGE_UP</t>
  </si>
  <si>
    <t>9242;2335;6678;2668;2199;5311;151887</t>
  </si>
  <si>
    <t>MSC;FN1;SPARC;GDNF;FBLN2;PKD2;CCDC80</t>
  </si>
  <si>
    <t>http://www.broadinstitute.org/gsea/msigdb/cards/GSE26912_TUMORICIDAL_VS_CTRL_MACROPHAGE_UP.html</t>
  </si>
  <si>
    <t>GSE27670_CTRL_VS_BLIMP1_TRANSDUCED_GC_BCELL_DN</t>
  </si>
  <si>
    <t>9242;1290;3912;6678;7043;7058;4345</t>
  </si>
  <si>
    <t>MSC;COL5A2;LAMB1;SPARC;TGFB3;THBS2;CD200</t>
  </si>
  <si>
    <t>http://www.broadinstitute.org/gsea/msigdb/cards/GSE27670_CTRL_VS_BLIMP1_TRANSDUCED_GC_BCELL_DN.html</t>
  </si>
  <si>
    <t>7169;3678;5176;1513;9697;1734;54587</t>
  </si>
  <si>
    <t>TPM2;ITGA5;SERPINF1;CTSK;TRAM2;DIO2;MXRA8</t>
  </si>
  <si>
    <t>4211;8522;1462;6925;2252;2191;23090</t>
  </si>
  <si>
    <t>MEIS1;AC005747.1;VCAN;TCF4;FGF7;FAP;ZNF423</t>
  </si>
  <si>
    <t>3671;3908;3899;5396;2326;9697;4638</t>
  </si>
  <si>
    <t>ISLR;LAMA2;AFF3;PRRX1;FMO1;TRAM2;MYLK</t>
  </si>
  <si>
    <t>5352;7070;1306;800;1307;23090;9902</t>
  </si>
  <si>
    <t>PLOD2;THY1;COL15A1;CALD1;COL16A1;ZNF423;AC080038.1</t>
  </si>
  <si>
    <t>GSE26559_TCF1_KO_VS_WT_LIN_NEG_CELL_DN</t>
  </si>
  <si>
    <t>8038;9945;3624;6695;11245;3779;6424</t>
  </si>
  <si>
    <t>ADAM12;GFPT2;INHBA;SPOCK1;GPR176;KCNMB1;SFRP4</t>
  </si>
  <si>
    <t>http://www.broadinstitute.org/gsea/msigdb/cards/GSE26559_TCF1_KO_VS_WT_LIN_NEG_CELL_DN.html</t>
  </si>
  <si>
    <t>GSE31622_WT_VS_KLF3_KO_BCELL_UP</t>
  </si>
  <si>
    <t>710;2326;3316;127435;119587;9254;23024</t>
  </si>
  <si>
    <t>SERPING1;FMO1;HSPB2;PODN;CPXM2;CACNA2D2;PDZRN3</t>
  </si>
  <si>
    <t>http://www.broadinstitute.org/gsea/msigdb/cards/GSE31622_WT_VS_KLF3_KO_BCELL_UP.html</t>
  </si>
  <si>
    <t>8633;1278;50509;4053;115701;115557;63895</t>
  </si>
  <si>
    <t>UNC5C;COL1A2;COL5A3;LTBP2;ALPK2;ARHGEF25;PIEZO2</t>
  </si>
  <si>
    <t>8434;7070;87;894;3490;9644;23452</t>
  </si>
  <si>
    <t>RECK;THY1;ACTN1;CCND2;IGFBP7;SH3PXD2A;ANGPTL2</t>
  </si>
  <si>
    <t>8434;7070;1278;2200;9644;165;122786</t>
  </si>
  <si>
    <t>RECK;THY1;COL1A2;FBN1;SH3PXD2A;AEBP1;FRMD6</t>
  </si>
  <si>
    <t>3624;87;1462;7412;2199;6424;84898</t>
  </si>
  <si>
    <t>INHBA;ACTN1;VCAN;VCAM1;FBLN2;SFRP4;PLXDC2</t>
  </si>
  <si>
    <t>8825;1462;6925;7077;55959;80114;29940</t>
  </si>
  <si>
    <t>LIN7A;VCAN;TCF4;TIMP2;SULF2;BICC1;DSE</t>
  </si>
  <si>
    <t>8825;87;57616;84898;219654;164284;83716</t>
  </si>
  <si>
    <t>LIN7A;ACTN1;TSHZ3;PLXDC2;ZCCHC24;APCDD1L;CRISPLD2</t>
  </si>
  <si>
    <t>1277;710;1291;1292;2200;2621;151887</t>
  </si>
  <si>
    <t>COL1A1;SERPING1;COL6A1;COL6A2;FBN1;GAS6;CCDC80</t>
  </si>
  <si>
    <t>2335;4060;6695;114801;10630;27319;5654</t>
  </si>
  <si>
    <t>FN1;LUM;SPOCK1;TMEM200A;PDPN;BHLHE22;HTRA1</t>
  </si>
  <si>
    <t>6591;7077;953;1012;23208;57091;23452</t>
  </si>
  <si>
    <t>SNAI2;TIMP2;ENTPD1;CDH13;SYT11;CASS4;ANGPTL2</t>
  </si>
  <si>
    <t>2037;6925;4320;4345;9644;255189;50944</t>
  </si>
  <si>
    <t>EPB41L2;TCF4;MMP11;CD200;SH3PXD2A;PLA2G4F;SHANK1</t>
  </si>
  <si>
    <t>2037;4320;5739;9697;122786;9254;51176</t>
  </si>
  <si>
    <t>EPB41L2;MMP11;PTGIR;TRAM2;FRMD6;CACNA2D2;LEF1</t>
  </si>
  <si>
    <t>GSE11961_MARGINAL_ZONE_BCELL_VS_MEMORY_BCELL_DAY7_DN</t>
  </si>
  <si>
    <t>284297;1292;8076;3779;283298;165904;283208</t>
  </si>
  <si>
    <t>SSC5D;COL6A2;MFAP5;KCNMB1;OLFML1;XIRP1;P4HA3</t>
  </si>
  <si>
    <t>http://www.broadinstitute.org/gsea/msigdb/cards/GSE11961_MARGINAL_ZONE_BCELL_VS_MEMORY_BCELL_DAY7_DN.html</t>
  </si>
  <si>
    <t>395;9242;2200;94031;2191;91653;171024</t>
  </si>
  <si>
    <t>ARHGAP6;MSC;FBN1;HTRA3;FAP;BOC;SYNPO2</t>
  </si>
  <si>
    <t>5924;9509;1301;6356;4638;338773;115908</t>
  </si>
  <si>
    <t>RASGRF2;ADAMTS2;COL11A1;CCL11;MYLK;TMEM119;CTHRC1</t>
  </si>
  <si>
    <t>2037;5156;7130;11167;3490;6624;23176</t>
  </si>
  <si>
    <t>EPB41L2;PDGFRA;TNFAIP6;FSTL1;IGFBP7;FSCN1;SEPT8</t>
  </si>
  <si>
    <t>GSE41978_KLRG1_HIGH_VS_LOW_EFFECTOR_CD8_TCELL_UP</t>
  </si>
  <si>
    <t>716;2200;8076;83700;80114;29767;23024</t>
  </si>
  <si>
    <t>C1S;FBN1;MFAP5;JAM3;BICC1;TMOD2;PDZRN3</t>
  </si>
  <si>
    <t>http://www.broadinstitute.org/gsea/msigdb/cards/GSE41978_KLRG1_HIGH_VS_LOW_EFFECTOR_CD8_TCELL_UP.html</t>
  </si>
  <si>
    <t>2335;1291;633;894;4323;2199;23452</t>
  </si>
  <si>
    <t>FN1;COL6A1;BGN;CCND2;MMP14;FBLN2;ANGPTL2</t>
  </si>
  <si>
    <t>26585;1290;3678;633;115557;84617;27122</t>
  </si>
  <si>
    <t>GREM1;COL5A2;ITGA5;BGN;ARHGEF25;TUBB6;DKK3</t>
  </si>
  <si>
    <t>7043;633;72;6876;10631;9638;27122</t>
  </si>
  <si>
    <t>TGFB3;BGN;ACTG2;TAGLN;POSTN;FEZ1;DKK3</t>
  </si>
  <si>
    <t>3671;1277;1291;6935;4920;4958;55714</t>
  </si>
  <si>
    <t>ISLR;COL1A1;COL6A1;ZEB1;ROR2;OMD;TENM3</t>
  </si>
  <si>
    <t>GSE43863_NAIVE_VS_MEMORY_TH1_CD4_TCELL_D150_LCMV_DN</t>
  </si>
  <si>
    <t>6591;781;6424;91179;4958;84251;54112</t>
  </si>
  <si>
    <t>SNAI2;CACNA2D1;SFRP4;SCARF2;OMD;SGIP1;GPR88</t>
  </si>
  <si>
    <t>http://www.broadinstitute.org/gsea/msigdb/cards/GSE43863_NAIVE_VS_MEMORY_TH1_CD4_TCELL_D150_LCMV_DN.html</t>
  </si>
  <si>
    <t>4313;7043;1292;1264;5351;7216;165</t>
  </si>
  <si>
    <t>MMP2;TGFB3;COL6A2;CNN1;PLOD1;TRO;AEBP1</t>
  </si>
  <si>
    <t>7070;4313;87;4345;7130;23090;6444</t>
  </si>
  <si>
    <t>THY1;MMP2;ACTN1;CD200;TNFAIP6;ZNF423;SGCD</t>
  </si>
  <si>
    <t>894;4345;6624;255189;27319;5654;8877</t>
  </si>
  <si>
    <t>CCND2;CD200;FSCN1;PLA2G4F;BHLHE22;HTRA1;SPHK1</t>
  </si>
  <si>
    <t>4345;5739;7130;11167;6624;55068;29767</t>
  </si>
  <si>
    <t>CD200;PTGIR;TNFAIP6;FSTL1;FSCN1;ENOX1;TMOD2</t>
  </si>
  <si>
    <t>GSE46606_UNSTIM_VS_CD40L_IL2_IL5_1DAY_STIMULATED_IRF4MID_SORTED_BCELL_DN</t>
  </si>
  <si>
    <t>7041;5225;4320;5549;23208;27254;10699</t>
  </si>
  <si>
    <t>TGFB1I1;PGC;MMP11;PRELP;SYT11;CSDC2;CORIN</t>
  </si>
  <si>
    <t>http://www.broadinstitute.org/gsea/msigdb/cards/GSE46606_UNSTIM_VS_CD40L_IL2_IL5_1DAY_STIMULATED_IRF4MID_SORTED_BCELL_DN.html</t>
  </si>
  <si>
    <t>6591;4882;10398;894;1300;143503;84617</t>
  </si>
  <si>
    <t>SNAI2;NPR2;MYL9;CCND2;COL10A1;OR51E1;TUBB6</t>
  </si>
  <si>
    <t>392617;7043;894;10631;253827;219654;10000</t>
  </si>
  <si>
    <t>ELFN1;TGFB3;CCND2;POSTN;MSRB3;ZCCHC24;AKT3</t>
  </si>
  <si>
    <t>7292;1306;6387;27319;122786;29767;57493</t>
  </si>
  <si>
    <t>TNFSF4;COL15A1;CXCL12;BHLHE22;FRMD6;TMOD2;HEG1</t>
  </si>
  <si>
    <t>GSE42088_UNINF_VS_LEISHMANIA_INF_DC_8H_DN</t>
  </si>
  <si>
    <t>8633;2335;5176;1300;9697;89795;5919</t>
  </si>
  <si>
    <t>UNC5C;FN1;SERPINF1;COL10A1;TRAM2;NAV3;RARRES2</t>
  </si>
  <si>
    <t>http://www.broadinstitute.org/gsea/msigdb/cards/GSE42088_UNINF_VS_LEISHMANIA_INF_DC_8H_DN.html</t>
  </si>
  <si>
    <t>GSE41176_UNSTIM_VS_ANTI_IGM_STIM_TAK1_KO_BCELL_3H_DN</t>
  </si>
  <si>
    <t>3908;781;1012;255189;29951;51339;23024</t>
  </si>
  <si>
    <t>LAMA2;CACNA2D1;CDH13;PLA2G4F;PDZRN4;DACT1;PDZRN3</t>
  </si>
  <si>
    <t>http://www.broadinstitute.org/gsea/msigdb/cards/GSE41176_UNSTIM_VS_ANTI_IGM_STIM_TAK1_KO_BCELL_3H_DN.html</t>
  </si>
  <si>
    <t>134111;6591;1290;5241;5396;6624;114801</t>
  </si>
  <si>
    <t>UBE2QL1;SNAI2;COL5A2;PGR;PRRX1;FSCN1;TMEM200A</t>
  </si>
  <si>
    <t>GSE37336_LY6C_POS_VS_NEG_NAIVE_CD4_TCELL_UP</t>
  </si>
  <si>
    <t>389136;2252;5396;9644;259232;56849;83716</t>
  </si>
  <si>
    <t>VGLL3;FGF7;PRRX1;SH3PXD2A;NALCN;TCEAL7;CRISPLD2</t>
  </si>
  <si>
    <t>http://www.broadinstitute.org/gsea/msigdb/cards/GSE37336_LY6C_POS_VS_NEG_NAIVE_CD4_TCELL_UP.html</t>
  </si>
  <si>
    <t>1462;953;9697;84898;23208;57493</t>
  </si>
  <si>
    <t>VCAN;ENTPD1;TRAM2;PLXDC2;SYT11;HEG1</t>
  </si>
  <si>
    <t>395;8434;1301;8076;259232;57493</t>
  </si>
  <si>
    <t>ARHGAP6;RECK;COL11A1;MFAP5;NALCN;HEG1</t>
  </si>
  <si>
    <t>7057;953;5592;11245;55959;4958</t>
  </si>
  <si>
    <t>THBS1;ENTPD1;PRKG1;GPR176;SULF2;OMD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</si>
</sst>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42" Type="http://schemas.openxmlformats.org/officeDocument/2006/relationships/hyperlink" Target="http://www.broadinstitute.org/gsea/msigdb/cards/GSE37532_TREG_VS_TCONV_PPARG_KO_CD4_TCELL_FROM_VISCERAL_ADIPOSE_TISSUE_DN.html" TargetMode="External"/><Relationship Id="rId143" Type="http://schemas.openxmlformats.org/officeDocument/2006/relationships/hyperlink" Target="http://www.broadinstitute.org/gsea/msigdb/cards/GSE40225_WT_VS_RIP_B7X_DIABETIC_MOUSE_PANCREATIC_CD8_TCELL_UP.html" TargetMode="External"/><Relationship Id="rId144" Type="http://schemas.openxmlformats.org/officeDocument/2006/relationships/hyperlink" Target="http://www.broadinstitute.org/gsea/msigdb/cards/GSE37534_PIOGLITAZONE_VS_ROSIGLITAZONE_TREATED_CD4_TCELL_PPARG1_FOXP3_TRANSDUCED_DN.html" TargetMode="External"/><Relationship Id="rId145" Type="http://schemas.openxmlformats.org/officeDocument/2006/relationships/hyperlink" Target="http://www.broadinstitute.org/gsea/msigdb/cards/GSE7509_UNSTIM_VS_FCGRIIB_STIM_MONOCYTE_DN.html" TargetMode="External"/><Relationship Id="rId146" Type="http://schemas.openxmlformats.org/officeDocument/2006/relationships/hyperlink" Target="http://www.broadinstitute.org/gsea/msigdb/cards/GSE10856_CTRL_VS_TNFRSF6B_IN_MACROPHAGE_UP.html" TargetMode="External"/><Relationship Id="rId147" Type="http://schemas.openxmlformats.org/officeDocument/2006/relationships/hyperlink" Target="http://www.broadinstitute.org/gsea/msigdb/cards/GSE11924_TFH_VS_TH2_CD4_TCELL_UP.html" TargetMode="External"/><Relationship Id="rId148" Type="http://schemas.openxmlformats.org/officeDocument/2006/relationships/hyperlink" Target="http://www.broadinstitute.org/gsea/msigdb/cards/GSE12845_NAIVE_VS_DARKZONE_GC_TONSIL_BCELL_UP.html" TargetMode="External"/><Relationship Id="rId149" Type="http://schemas.openxmlformats.org/officeDocument/2006/relationships/hyperlink" Target="http://www.broadinstitute.org/gsea/msigdb/cards/GSE13485_DAY3_VS_DAY7_YF17D_VACCINE_PBMC_UP.html" TargetMode="External"/><Relationship Id="rId180" Type="http://schemas.openxmlformats.org/officeDocument/2006/relationships/hyperlink" Target="http://www.broadinstitute.org/gsea/msigdb/cards/GSE4142_PLASMA_CELL_VS_GC_BCELL_UP.html" TargetMode="External"/><Relationship Id="rId181" Type="http://schemas.openxmlformats.org/officeDocument/2006/relationships/hyperlink" Target="http://www.broadinstitute.org/gsea/msigdb/cards/GSE8921_UNSTIM_0H_VS_TLR1_2_STIM_MONOCYTE_12H_DN.html" TargetMode="External"/><Relationship Id="rId182" Type="http://schemas.openxmlformats.org/officeDocument/2006/relationships/hyperlink" Target="http://www.broadinstitute.org/gsea/msigdb/cards/GSE5542_IFNG_VS_IFNA_AND_IFNG_TREATED_EPITHELIAL_CELLS_6H_DN.html" TargetMode="External"/><Relationship Id="rId40" Type="http://schemas.openxmlformats.org/officeDocument/2006/relationships/hyperlink" Target="http://www.broadinstitute.org/gsea/msigdb/cards/WANG_RESPONSE_TO_GSK3_INHIBITOR_SB216763_UP.html" TargetMode="External"/><Relationship Id="rId41" Type="http://schemas.openxmlformats.org/officeDocument/2006/relationships/hyperlink" Target="http://www.broadinstitute.org/gsea/msigdb/cards/PYEON_HPV_POSITIVE_TUMORS_UP.html" TargetMode="External"/><Relationship Id="rId42" Type="http://schemas.openxmlformats.org/officeDocument/2006/relationships/hyperlink" Target="http://www.broadinstitute.org/gsea/msigdb/cards/SENGUPTA_NASOPHARYNGEAL_CARCINOMA_WITH_LMP1_UP.html" TargetMode="External"/><Relationship Id="rId43" Type="http://schemas.openxmlformats.org/officeDocument/2006/relationships/hyperlink" Target="http://www.broadinstitute.org/gsea/msigdb/cards/OSMAN_BLADDER_CANCER_DN.html" TargetMode="External"/><Relationship Id="rId44" Type="http://schemas.openxmlformats.org/officeDocument/2006/relationships/hyperlink" Target="http://www.broadinstitute.org/gsea/msigdb/cards/MARTENS_TRETINOIN_RESPONSE_DN.html" TargetMode="External"/><Relationship Id="rId45" Type="http://schemas.openxmlformats.org/officeDocument/2006/relationships/hyperlink" Target="http://www.broadinstitute.org/gsea/msigdb/cards/HADDAD_B_LYMPHOCYTE_PROGENITOR.html" TargetMode="External"/><Relationship Id="rId46" Type="http://schemas.openxmlformats.org/officeDocument/2006/relationships/hyperlink" Target="http://www.broadinstitute.org/gsea/msigdb/cards/GRAESSMANN_APOPTOSIS_BY_DOXORUBICIN_DN.html" TargetMode="External"/><Relationship Id="rId47" Type="http://schemas.openxmlformats.org/officeDocument/2006/relationships/hyperlink" Target="http://www.broadinstitute.org/gsea/msigdb/cards/PYEON_CANCER_HEAD_AND_NECK_VS_CERVICAL_UP.html" TargetMode="External"/><Relationship Id="rId48" Type="http://schemas.openxmlformats.org/officeDocument/2006/relationships/hyperlink" Target="http://www.broadinstitute.org/gsea/msigdb/cards/STARK_PREFRONTAL_CORTEX_22Q11_DELETION_UP.html" TargetMode="External"/><Relationship Id="rId49" Type="http://schemas.openxmlformats.org/officeDocument/2006/relationships/hyperlink" Target="http://www.broadinstitute.org/gsea/msigdb/cards/LEE_DIFFERENTIATING_T_LYMPHOCYTE.html" TargetMode="External"/><Relationship Id="rId183" Type="http://schemas.openxmlformats.org/officeDocument/2006/relationships/hyperlink" Target="http://www.broadinstitute.org/gsea/msigdb/cards/GSE5679_CTRL_VS_RARA_AGONIST_AM580_TREATED_DC_DN.html" TargetMode="External"/><Relationship Id="rId184" Type="http://schemas.openxmlformats.org/officeDocument/2006/relationships/hyperlink" Target="http://www.broadinstitute.org/gsea/msigdb/cards/GSE3920_UNTREATED_VS_IFNG_TREATED_FIBROBLAST_DN.html" TargetMode="External"/><Relationship Id="rId185" Type="http://schemas.openxmlformats.org/officeDocument/2006/relationships/hyperlink" Target="http://www.broadinstitute.org/gsea/msigdb/cards/GSE10240_CTRL_VS_IL17_AND_IL22_STIM_PRIMARY_BRONCHIAL_EPITHELIAL_CELLS_DN.html" TargetMode="External"/><Relationship Id="rId186" Type="http://schemas.openxmlformats.org/officeDocument/2006/relationships/hyperlink" Target="http://www.broadinstitute.org/gsea/msigdb/cards/GSE19888_ADENOSINE_A3R_INH_PRETREAT_AND_ACT_BY_A3R_VS_A3R_INH_AND_TCELL_MEMBRANES_ACT_MAST_CELL_DN.html" TargetMode="External"/><Relationship Id="rId187" Type="http://schemas.openxmlformats.org/officeDocument/2006/relationships/hyperlink" Target="http://www.broadinstitute.org/gsea/msigdb/cards/GSE21546_ELK1_KO_VS_SAP1A_KO_AND_ELK1_KO_ANTI_CD3_STIM_DP_THYMOCYTES_UP.html" TargetMode="External"/><Relationship Id="rId188" Type="http://schemas.openxmlformats.org/officeDocument/2006/relationships/hyperlink" Target="http://www.broadinstitute.org/gsea/msigdb/cards/GSE22935_24H_VS_48H_MBOVIS_BCG_STIM_MACROPHAGE_DN.html" TargetMode="External"/><Relationship Id="rId189" Type="http://schemas.openxmlformats.org/officeDocument/2006/relationships/hyperlink" Target="http://www.broadinstitute.org/gsea/msigdb/cards/GSE25123_WT_VS_PPARG_KO_MACROPHAGE_IL4_AND_ROSIGLITAZONE_STIM_DN.html" TargetMode="External"/><Relationship Id="rId80" Type="http://schemas.openxmlformats.org/officeDocument/2006/relationships/hyperlink" Target="http://www.broadinstitute.org/gsea/msigdb/cards/GO_RNA_BINDING.html" TargetMode="External"/><Relationship Id="rId81" Type="http://schemas.openxmlformats.org/officeDocument/2006/relationships/hyperlink" Target="http://www.broadinstitute.org/gsea/msigdb/cards/GO_NUCLEOPLASM_PART.html" TargetMode="External"/><Relationship Id="rId82" Type="http://schemas.openxmlformats.org/officeDocument/2006/relationships/hyperlink" Target="http://www.broadinstitute.org/gsea/msigdb/cards/GO_POLY_A_RNA_BINDING.html" TargetMode="External"/><Relationship Id="rId83" Type="http://schemas.openxmlformats.org/officeDocument/2006/relationships/hyperlink" Target="http://www.broadinstitute.org/gsea/msigdb/cards/GO_MRNA_SPLICE_SITE_SELECTION.html" TargetMode="External"/><Relationship Id="rId84" Type="http://schemas.openxmlformats.org/officeDocument/2006/relationships/hyperlink" Target="http://www.broadinstitute.org/gsea/msigdb/cards/GO_TRANSCRIPTION_EXPORT_COMPLEX.html" TargetMode="External"/><Relationship Id="rId85" Type="http://schemas.openxmlformats.org/officeDocument/2006/relationships/hyperlink" Target="http://www.broadinstitute.org/gsea/msigdb/cards/GO_U2_TYPE_PRESPLICEOSOME.html" TargetMode="External"/><Relationship Id="rId86" Type="http://schemas.openxmlformats.org/officeDocument/2006/relationships/hyperlink" Target="http://www.broadinstitute.org/gsea/msigdb/cards/GO_U1_SNRNP.html" TargetMode="External"/><Relationship Id="rId87" Type="http://schemas.openxmlformats.org/officeDocument/2006/relationships/hyperlink" Target="http://www.broadinstitute.org/gsea/msigdb/cards/GO_RIBONUCLEOPROTEIN_COMPLEX_SUBUNIT_ORGANIZATION.html" TargetMode="External"/><Relationship Id="rId88" Type="http://schemas.openxmlformats.org/officeDocument/2006/relationships/hyperlink" Target="http://www.broadinstitute.org/gsea/msigdb/cards/GO_SMALL_NUCLEAR_RIBONUCLEOPROTEIN_COMPLEX.html" TargetMode="External"/><Relationship Id="rId89" Type="http://schemas.openxmlformats.org/officeDocument/2006/relationships/hyperlink" Target="http://www.broadinstitute.org/gsea/msigdb/cards/GO_REGULATION_OF_MRNA_SPLICING_VIA_SPLICEOSOME.html" TargetMode="External"/><Relationship Id="rId110" Type="http://schemas.openxmlformats.org/officeDocument/2006/relationships/hyperlink" Target="http://www.broadinstitute.org/gsea/msigdb/cards/GSE22886_NAIVE_CD4_TCELL_VS_12H_ACT_TH2_UP.html" TargetMode="External"/><Relationship Id="rId111" Type="http://schemas.openxmlformats.org/officeDocument/2006/relationships/hyperlink" Target="http://www.broadinstitute.org/gsea/msigdb/cards/GSE22886_UNSTIM_VS_IL15_STIM_NKCELL_UP.html" TargetMode="External"/><Relationship Id="rId112" Type="http://schemas.openxmlformats.org/officeDocument/2006/relationships/hyperlink" Target="http://www.broadinstitute.org/gsea/msigdb/cards/GSE2706_UNSTIM_VS_2H_LPS_AND_R848_DC_UP.html" TargetMode="External"/><Relationship Id="rId113" Type="http://schemas.openxmlformats.org/officeDocument/2006/relationships/hyperlink" Target="http://www.broadinstitute.org/gsea/msigdb/cards/GSE19888_CTRL_VS_A3R_ACTIVATION_MAST_CELL_UP.html" TargetMode="External"/><Relationship Id="rId114" Type="http://schemas.openxmlformats.org/officeDocument/2006/relationships/hyperlink" Target="http://www.broadinstitute.org/gsea/msigdb/cards/GSE24671_CTRL_VS_SENDAI_VIRUS_INFECTED_MOUSE_SPLENOCYTES_DN.html" TargetMode="External"/><Relationship Id="rId115" Type="http://schemas.openxmlformats.org/officeDocument/2006/relationships/hyperlink" Target="http://www.broadinstitute.org/gsea/msigdb/cards/GSE41867_DAY6_EFFECTOR_VS_DAY30_MEMORY_CD8_TCELL_LCMV_ARMSTRONG_DN.html" TargetMode="External"/><Relationship Id="rId116" Type="http://schemas.openxmlformats.org/officeDocument/2006/relationships/hyperlink" Target="http://www.broadinstitute.org/gsea/msigdb/cards/GSE22886_DAY1_VS_DAY7_MONOCYTE_IN_CULTURE_UP.html" TargetMode="External"/><Relationship Id="rId117" Type="http://schemas.openxmlformats.org/officeDocument/2006/relationships/hyperlink" Target="http://www.broadinstitute.org/gsea/msigdb/cards/GSE29618_LAIV_VS_TIV_FLU_VACCINE_DAY7_PDC_UP.html" TargetMode="External"/><Relationship Id="rId118" Type="http://schemas.openxmlformats.org/officeDocument/2006/relationships/hyperlink" Target="http://www.broadinstitute.org/gsea/msigdb/cards/GSE3982_EOSINOPHIL_VS_MAC_UP.html" TargetMode="External"/><Relationship Id="rId119" Type="http://schemas.openxmlformats.org/officeDocument/2006/relationships/hyperlink" Target="http://www.broadinstitute.org/gsea/msigdb/cards/GSE22601_IMMATURE_CD4_SINGLE_POSITIVE_VS_CD4_SINGLE_POSITIVE_THYMOCYTE_UP.html" TargetMode="External"/><Relationship Id="rId150" Type="http://schemas.openxmlformats.org/officeDocument/2006/relationships/hyperlink" Target="http://www.broadinstitute.org/gsea/msigdb/cards/GSE13493_DP_VS_CD4INTCD8POS_THYMOCYTE_UP.html" TargetMode="External"/><Relationship Id="rId151" Type="http://schemas.openxmlformats.org/officeDocument/2006/relationships/hyperlink" Target="http://www.broadinstitute.org/gsea/msigdb/cards/GSE13738_RESTING_VS_TCR_ACTIVATED_CD4_TCELL_UP.html" TargetMode="External"/><Relationship Id="rId152" Type="http://schemas.openxmlformats.org/officeDocument/2006/relationships/hyperlink" Target="http://www.broadinstitute.org/gsea/msigdb/cards/GSE14308_NAIVE_CD4_TCELL_VS_INDUCED_TREG_UP.html" TargetMode="External"/><Relationship Id="rId10" Type="http://schemas.openxmlformats.org/officeDocument/2006/relationships/hyperlink" Target="http://www.broadinstitute.org/gsea/msigdb/cards/YAO_TEMPORAL_RESPONSE_TO_PROGESTERONE_CLUSTER_2.html" TargetMode="External"/><Relationship Id="rId11" Type="http://schemas.openxmlformats.org/officeDocument/2006/relationships/hyperlink" Target="http://www.broadinstitute.org/gsea/msigdb/cards/MITSIADES_RESPONSE_TO_APLIDIN_UP.html" TargetMode="External"/><Relationship Id="rId12" Type="http://schemas.openxmlformats.org/officeDocument/2006/relationships/hyperlink" Target="http://www.broadinstitute.org/gsea/msigdb/cards/ACEVEDO_NORMAL_TISSUE_ADJACENT_TO_LIVER_TUMOR_UP.html" TargetMode="External"/><Relationship Id="rId13" Type="http://schemas.openxmlformats.org/officeDocument/2006/relationships/hyperlink" Target="http://www.broadinstitute.org/gsea/msigdb/cards/GINESTIER_BREAST_CANCER_20Q13_AMPLIFICATION_DN.html" TargetMode="External"/><Relationship Id="rId14" Type="http://schemas.openxmlformats.org/officeDocument/2006/relationships/hyperlink" Target="http://www.broadinstitute.org/gsea/msigdb/cards/STEARMAN_LUNG_CANCER_EARLY_VS_LATE_UP.html" TargetMode="External"/><Relationship Id="rId15" Type="http://schemas.openxmlformats.org/officeDocument/2006/relationships/hyperlink" Target="http://www.broadinstitute.org/gsea/msigdb/cards/NAKAMURA_TUMOR_ZONE_PERIPHERAL_VS_CENTRAL_DN.html" TargetMode="External"/><Relationship Id="rId16" Type="http://schemas.openxmlformats.org/officeDocument/2006/relationships/hyperlink" Target="http://www.broadinstitute.org/gsea/msigdb/cards/BUYTAERT_PHOTODYNAMIC_THERAPY_STRESS_UP.html" TargetMode="External"/><Relationship Id="rId17" Type="http://schemas.openxmlformats.org/officeDocument/2006/relationships/hyperlink" Target="http://www.broadinstitute.org/gsea/msigdb/cards/PUJANA_ATM_PCC_NETWORK.html" TargetMode="External"/><Relationship Id="rId18" Type="http://schemas.openxmlformats.org/officeDocument/2006/relationships/hyperlink" Target="http://www.broadinstitute.org/gsea/msigdb/cards/TOYOTA_TARGETS_OF_MIR34B_AND_MIR34C.html" TargetMode="External"/><Relationship Id="rId19" Type="http://schemas.openxmlformats.org/officeDocument/2006/relationships/hyperlink" Target="http://www.broadinstitute.org/gsea/msigdb/cards/JISON_SICKLE_CELL_DISEASE_DN.html" TargetMode="External"/><Relationship Id="rId153" Type="http://schemas.openxmlformats.org/officeDocument/2006/relationships/hyperlink" Target="http://www.broadinstitute.org/gsea/msigdb/cards/GSE14308_INDUCED_VS_NATURAL_TREG_DN.html" TargetMode="External"/><Relationship Id="rId154" Type="http://schemas.openxmlformats.org/officeDocument/2006/relationships/hyperlink" Target="http://www.broadinstitute.org/gsea/msigdb/cards/GSE14769_UNSTIM_VS_40MIN_LPS_BMDM_UP.html" TargetMode="External"/><Relationship Id="rId155" Type="http://schemas.openxmlformats.org/officeDocument/2006/relationships/hyperlink" Target="http://www.broadinstitute.org/gsea/msigdb/cards/GSE15750_DAY6_VS_DAY10_TRAF6KO_EFF_CD8_TCELL_DN.html" TargetMode="External"/><Relationship Id="rId156" Type="http://schemas.openxmlformats.org/officeDocument/2006/relationships/hyperlink" Target="http://www.broadinstitute.org/gsea/msigdb/cards/GSE17721_LPS_VS_POLYIC_1H_BMDC_DN.html" TargetMode="External"/><Relationship Id="rId157" Type="http://schemas.openxmlformats.org/officeDocument/2006/relationships/hyperlink" Target="http://www.broadinstitute.org/gsea/msigdb/cards/GSE17721_0.5H_VS_12H_GARDIQUIMOD_BMDC_DN.html" TargetMode="External"/><Relationship Id="rId158" Type="http://schemas.openxmlformats.org/officeDocument/2006/relationships/hyperlink" Target="http://www.broadinstitute.org/gsea/msigdb/cards/GSE17974_0.5H_VS_72H_UNTREATED_IN_VITRO_CD4_TCELL_UP.html" TargetMode="External"/><Relationship Id="rId159" Type="http://schemas.openxmlformats.org/officeDocument/2006/relationships/hyperlink" Target="http://www.broadinstitute.org/gsea/msigdb/cards/GSE22886_CD8_VS_CD4_NAIVE_TCELL_DN.html" TargetMode="External"/><Relationship Id="rId190" Type="http://schemas.openxmlformats.org/officeDocument/2006/relationships/hyperlink" Target="http://www.broadinstitute.org/gsea/msigdb/cards/GSE24574_BCL6_HIGH_VS_LOW_TFH_CD4_TCELL_UP.html" TargetMode="External"/><Relationship Id="rId191" Type="http://schemas.openxmlformats.org/officeDocument/2006/relationships/hyperlink" Target="http://www.broadinstitute.org/gsea/msigdb/cards/GSE23568_ID3_TRANSDUCED_VS_ID3_KO_CD8_TCELL_DN.html" TargetMode="External"/><Relationship Id="rId192" Type="http://schemas.openxmlformats.org/officeDocument/2006/relationships/hyperlink" Target="http://www.broadinstitute.org/gsea/msigdb/cards/GSE27859_CD11C_INT_F480_HI_MACROPHAGE_VS_CD11C_ING_F480_INT_DC_DN.html" TargetMode="External"/><Relationship Id="rId50" Type="http://schemas.openxmlformats.org/officeDocument/2006/relationships/hyperlink" Target="http://www.broadinstitute.org/gsea/msigdb/cards/BENPORATH_SOX2_TARGETS.html" TargetMode="External"/><Relationship Id="rId51" Type="http://schemas.openxmlformats.org/officeDocument/2006/relationships/hyperlink" Target="http://www.broadinstitute.org/gsea/msigdb/cards/GCCATNTTG_YY1_Q6.html" TargetMode="External"/><Relationship Id="rId52" Type="http://schemas.openxmlformats.org/officeDocument/2006/relationships/hyperlink" Target="http://www.broadinstitute.org/gsea/msigdb/cards/NFMUE1_Q6.html" TargetMode="External"/><Relationship Id="rId53" Type="http://schemas.openxmlformats.org/officeDocument/2006/relationships/hyperlink" Target="http://www.broadinstitute.org/gsea/msigdb/cards/KCCGNSWTTT_UNKNOWN.html" TargetMode="External"/><Relationship Id="rId54" Type="http://schemas.openxmlformats.org/officeDocument/2006/relationships/hyperlink" Target="http://www.broadinstitute.org/gsea/msigdb/cards/SMTTTTGT_UNKNOWN.html" TargetMode="External"/><Relationship Id="rId55" Type="http://schemas.openxmlformats.org/officeDocument/2006/relationships/hyperlink" Target="http://www.broadinstitute.org/gsea/msigdb/cards/TGCGCANK_UNKNOWN.html" TargetMode="External"/><Relationship Id="rId56" Type="http://schemas.openxmlformats.org/officeDocument/2006/relationships/hyperlink" Target="http://www.broadinstitute.org/gsea/msigdb/cards/TTTGTAG_MIR520D.html" TargetMode="External"/><Relationship Id="rId57" Type="http://schemas.openxmlformats.org/officeDocument/2006/relationships/hyperlink" Target="http://www.broadinstitute.org/gsea/msigdb/cards/TCCAGAT_MIR5165P.html" TargetMode="External"/><Relationship Id="rId58" Type="http://schemas.openxmlformats.org/officeDocument/2006/relationships/hyperlink" Target="http://www.broadinstitute.org/gsea/msigdb/cards/GCM_MLL.html" TargetMode="External"/><Relationship Id="rId59" Type="http://schemas.openxmlformats.org/officeDocument/2006/relationships/hyperlink" Target="http://www.broadinstitute.org/gsea/msigdb/cards/MODULE_486.html" TargetMode="External"/><Relationship Id="rId193" Type="http://schemas.openxmlformats.org/officeDocument/2006/relationships/hyperlink" Target="http://www.broadinstitute.org/gsea/msigdb/cards/GSE34156_NOD2_LIGAND_VS_NOD2_AND_TLR1_TLR2_LIGAND_24H_TREATED_MONOCYTE_DN.html" TargetMode="External"/><Relationship Id="rId194" Type="http://schemas.openxmlformats.org/officeDocument/2006/relationships/hyperlink" Target="http://www.broadinstitute.org/gsea/msigdb/cards/GSE34156_NOD2_LIGAND_VS_TLR1_TLR2_LIGAND_24H_TREATED_MONOCYTE_DN.html" TargetMode="External"/><Relationship Id="rId195" Type="http://schemas.openxmlformats.org/officeDocument/2006/relationships/hyperlink" Target="http://www.broadinstitute.org/gsea/msigdb/cards/GSE34156_NOD2_LIGAND_VS_NOD2_AND_TLR1_TLR2_LIGAND_6H_TREATED_MONOCYTE_UP.html" TargetMode="External"/><Relationship Id="rId196" Type="http://schemas.openxmlformats.org/officeDocument/2006/relationships/hyperlink" Target="http://www.broadinstitute.org/gsea/msigdb/cards/GSE36009_UNSTIM_VS_LPS_STIM_NLRP10_KO_DC_DN.html" TargetMode="External"/><Relationship Id="rId197" Type="http://schemas.openxmlformats.org/officeDocument/2006/relationships/hyperlink" Target="http://www.broadinstitute.org/gsea/msigdb/cards/GSE36009_UNSTIM_VS_LPS_STIM_DC_DN.html" TargetMode="External"/><Relationship Id="rId198" Type="http://schemas.openxmlformats.org/officeDocument/2006/relationships/hyperlink" Target="http://www.broadinstitute.org/gsea/msigdb/cards/GSE38696_LIGHT_ZONE_VS_DARK_ZONE_BCELL_UP.html" TargetMode="External"/><Relationship Id="rId199" Type="http://schemas.openxmlformats.org/officeDocument/2006/relationships/hyperlink" Target="http://www.broadinstitute.org/gsea/msigdb/cards/GSE32034_UNTREATED_VS_ROSIGLIZATONE_TREATED_LY6C_HIGH_MONOCYTE_DN.html" TargetMode="External"/><Relationship Id="rId90" Type="http://schemas.openxmlformats.org/officeDocument/2006/relationships/hyperlink" Target="http://www.broadinstitute.org/gsea/msigdb/cards/GO_PRESPLICEOSOME.html" TargetMode="External"/><Relationship Id="rId91" Type="http://schemas.openxmlformats.org/officeDocument/2006/relationships/hyperlink" Target="http://www.broadinstitute.org/gsea/msigdb/cards/GO_RIBONUCLEOPROTEIN_COMPLEX.html" TargetMode="External"/><Relationship Id="rId92" Type="http://schemas.openxmlformats.org/officeDocument/2006/relationships/hyperlink" Target="http://www.broadinstitute.org/gsea/msigdb/cards/GO_MRNA_3_END_PROCESSING.html" TargetMode="External"/><Relationship Id="rId93" Type="http://schemas.openxmlformats.org/officeDocument/2006/relationships/hyperlink" Target="http://www.broadinstitute.org/gsea/msigdb/cards/GO_MRNA_BINDING.html" TargetMode="External"/><Relationship Id="rId94" Type="http://schemas.openxmlformats.org/officeDocument/2006/relationships/hyperlink" Target="http://www.broadinstitute.org/gsea/msigdb/cards/GO_U2_TYPE_SPLICEOSOMAL_COMPLEX.html" TargetMode="External"/><Relationship Id="rId95" Type="http://schemas.openxmlformats.org/officeDocument/2006/relationships/hyperlink" Target="http://www.broadinstitute.org/gsea/msigdb/cards/GO_REGULATION_OF_ALTERNATIVE_MRNA_SPLICING_VIA_SPLICEOSOME.html" TargetMode="External"/><Relationship Id="rId96" Type="http://schemas.openxmlformats.org/officeDocument/2006/relationships/hyperlink" Target="http://www.broadinstitute.org/gsea/msigdb/cards/JAK2_DN.V1_DN.html" TargetMode="External"/><Relationship Id="rId97" Type="http://schemas.openxmlformats.org/officeDocument/2006/relationships/hyperlink" Target="http://www.broadinstitute.org/gsea/msigdb/cards/MTOR_UP.N4.V1_DN.html" TargetMode="External"/><Relationship Id="rId98" Type="http://schemas.openxmlformats.org/officeDocument/2006/relationships/hyperlink" Target="http://www.broadinstitute.org/gsea/msigdb/cards/GSE21927_SPLENIC_VS_TUMOR_MONOCYTES_FROM_C26GM_TUMOROUS_MICE_BALBC_DN.html" TargetMode="External"/><Relationship Id="rId99" Type="http://schemas.openxmlformats.org/officeDocument/2006/relationships/hyperlink" Target="http://www.broadinstitute.org/gsea/msigdb/cards/GSE21927_SPLEEN_C57BL6_VS_EL4_TUMOR_BALBC_MONOCYTES_UP.html" TargetMode="External"/><Relationship Id="rId120" Type="http://schemas.openxmlformats.org/officeDocument/2006/relationships/hyperlink" Target="http://www.broadinstitute.org/gsea/msigdb/cards/GSE8921_UNSTIM_0H_VS_TLR1_2_STIM_MONOCYTE_24H_DN.html" TargetMode="External"/><Relationship Id="rId121" Type="http://schemas.openxmlformats.org/officeDocument/2006/relationships/hyperlink" Target="http://www.broadinstitute.org/gsea/msigdb/cards/GSE5679_CTRL_VS_PPARG_LIGAND_ROSIGLITAZONE_TREATED_DC_DN.html" TargetMode="External"/><Relationship Id="rId122" Type="http://schemas.openxmlformats.org/officeDocument/2006/relationships/hyperlink" Target="http://www.broadinstitute.org/gsea/msigdb/cards/GSE21927_C26GM_VS_4T1_TUMOR_MONOCYTE_BALBC_DN.html" TargetMode="External"/><Relationship Id="rId123" Type="http://schemas.openxmlformats.org/officeDocument/2006/relationships/hyperlink" Target="http://www.broadinstitute.org/gsea/msigdb/cards/GSE28726_ACT_CD4_TCELL_VS_ACT_NKTCELL_DN.html" TargetMode="External"/><Relationship Id="rId124" Type="http://schemas.openxmlformats.org/officeDocument/2006/relationships/hyperlink" Target="http://www.broadinstitute.org/gsea/msigdb/cards/GSE32986_UNSTIM_VS_GMCSF_AND_CURDLAN_HIGHDOSE_STIM_DC_DN.html" TargetMode="External"/><Relationship Id="rId125" Type="http://schemas.openxmlformats.org/officeDocument/2006/relationships/hyperlink" Target="http://www.broadinstitute.org/gsea/msigdb/cards/GSE41867_NAIVE_VS_DAY15_LCMV_EFFECTOR_CD8_TCELL_DN.html" TargetMode="External"/><Relationship Id="rId126" Type="http://schemas.openxmlformats.org/officeDocument/2006/relationships/hyperlink" Target="http://www.broadinstitute.org/gsea/msigdb/cards/GSE6092_CTRL_VS_BORRELIA_BIRGDOFERI_INF_ENDOTHELIAL_CELL_DN.html" TargetMode="External"/><Relationship Id="rId127" Type="http://schemas.openxmlformats.org/officeDocument/2006/relationships/hyperlink" Target="http://www.broadinstitute.org/gsea/msigdb/cards/GSE3920_UNTREATED_VS_IFNA_TREATED_FIBROBLAST_UP.html" TargetMode="External"/><Relationship Id="rId128" Type="http://schemas.openxmlformats.org/officeDocument/2006/relationships/hyperlink" Target="http://www.broadinstitute.org/gsea/msigdb/cards/GSE13485_DAY1_VS_DAY21_YF17D_VACCINE_PBMC_UP.html" TargetMode="External"/><Relationship Id="rId129" Type="http://schemas.openxmlformats.org/officeDocument/2006/relationships/hyperlink" Target="http://www.broadinstitute.org/gsea/msigdb/cards/GSE14350_TREG_VS_TEFF_IN_IL2RB_KO_UP.html" TargetMode="External"/><Relationship Id="rId160" Type="http://schemas.openxmlformats.org/officeDocument/2006/relationships/hyperlink" Target="http://www.broadinstitute.org/gsea/msigdb/cards/GSE22886_UNSTIM_VS_IL2_STIM_NKCELL_UP.html" TargetMode="External"/><Relationship Id="rId161" Type="http://schemas.openxmlformats.org/officeDocument/2006/relationships/hyperlink" Target="http://www.broadinstitute.org/gsea/msigdb/cards/GSE25087_FETAL_VS_ADULT_TCONV_DN.html" TargetMode="External"/><Relationship Id="rId162" Type="http://schemas.openxmlformats.org/officeDocument/2006/relationships/hyperlink" Target="http://www.broadinstitute.org/gsea/msigdb/cards/GSE2706_UNSTIM_VS_2H_R848_DC_UP.html" TargetMode="External"/><Relationship Id="rId20" Type="http://schemas.openxmlformats.org/officeDocument/2006/relationships/hyperlink" Target="http://www.broadinstitute.org/gsea/msigdb/cards/OSWALD_HEMATOPOIETIC_STEM_CELL_IN_COLLAGEN_GEL_DN.html" TargetMode="External"/><Relationship Id="rId21" Type="http://schemas.openxmlformats.org/officeDocument/2006/relationships/hyperlink" Target="http://www.broadinstitute.org/gsea/msigdb/cards/NUYTTEN_NIPP1_TARGETS_UP.html" TargetMode="External"/><Relationship Id="rId22" Type="http://schemas.openxmlformats.org/officeDocument/2006/relationships/hyperlink" Target="http://www.broadinstitute.org/gsea/msigdb/cards/KEGG_SPLICEOSOME.html" TargetMode="External"/><Relationship Id="rId23" Type="http://schemas.openxmlformats.org/officeDocument/2006/relationships/hyperlink" Target="http://www.broadinstitute.org/gsea/msigdb/cards/WANG_TUMOR_INVASIVENESS_DN.html" TargetMode="External"/><Relationship Id="rId24" Type="http://schemas.openxmlformats.org/officeDocument/2006/relationships/hyperlink" Target="http://www.broadinstitute.org/gsea/msigdb/cards/DEURIG_T_CELL_PROLYMPHOCYTIC_LEUKEMIA_DN.html" TargetMode="External"/><Relationship Id="rId25" Type="http://schemas.openxmlformats.org/officeDocument/2006/relationships/hyperlink" Target="http://www.broadinstitute.org/gsea/msigdb/cards/AMUNDSON_RESPONSE_TO_ARSENITE.html" TargetMode="External"/><Relationship Id="rId26" Type="http://schemas.openxmlformats.org/officeDocument/2006/relationships/hyperlink" Target="http://www.broadinstitute.org/gsea/msigdb/cards/REACTOME_PROCESSING_OF_CAPPED_INTRON_CONTAINING_PRE_MRNA.html" TargetMode="External"/><Relationship Id="rId27" Type="http://schemas.openxmlformats.org/officeDocument/2006/relationships/hyperlink" Target="http://www.broadinstitute.org/gsea/msigdb/cards/KIM_WT1_TARGETS_DN.html" TargetMode="External"/><Relationship Id="rId28" Type="http://schemas.openxmlformats.org/officeDocument/2006/relationships/hyperlink" Target="http://www.broadinstitute.org/gsea/msigdb/cards/XU_HGF_TARGETS_INDUCED_BY_AKT1_48HR_DN.html" TargetMode="External"/><Relationship Id="rId29" Type="http://schemas.openxmlformats.org/officeDocument/2006/relationships/hyperlink" Target="http://www.broadinstitute.org/gsea/msigdb/cards/RICKMAN_TUMOR_DIFFERENTIATED_WELL_VS_POORLY_UP.html" TargetMode="External"/><Relationship Id="rId163" Type="http://schemas.openxmlformats.org/officeDocument/2006/relationships/hyperlink" Target="http://www.broadinstitute.org/gsea/msigdb/cards/GSE2706_UNSTIM_VS_2H_LPS_DC_UP.html" TargetMode="External"/><Relationship Id="rId164" Type="http://schemas.openxmlformats.org/officeDocument/2006/relationships/hyperlink" Target="http://www.broadinstitute.org/gsea/msigdb/cards/GSE27786_BCELL_VS_NEUTROPHIL_UP.html" TargetMode="External"/><Relationship Id="rId165" Type="http://schemas.openxmlformats.org/officeDocument/2006/relationships/hyperlink" Target="http://www.broadinstitute.org/gsea/msigdb/cards/GSE27786_CD4_TCELL_VS_NEUTROPHIL_UP.html" TargetMode="External"/><Relationship Id="rId166" Type="http://schemas.openxmlformats.org/officeDocument/2006/relationships/hyperlink" Target="http://www.broadinstitute.org/gsea/msigdb/cards/GSE29617_CTRL_VS_DAY3_TIV_FLU_VACCINE_PBMC_2008_UP.html" TargetMode="External"/><Relationship Id="rId167" Type="http://schemas.openxmlformats.org/officeDocument/2006/relationships/hyperlink" Target="http://www.broadinstitute.org/gsea/msigdb/cards/GSE36392_MAC_VS_NEUTROPHIL_IL25_TREATED_LUNG_UP.html" TargetMode="External"/><Relationship Id="rId168" Type="http://schemas.openxmlformats.org/officeDocument/2006/relationships/hyperlink" Target="http://www.broadinstitute.org/gsea/msigdb/cards/GSE37416_0H_VS_3H_F_TULARENSIS_LVS_NEUTROPHIL_UP.html" TargetMode="External"/><Relationship Id="rId169" Type="http://schemas.openxmlformats.org/officeDocument/2006/relationships/hyperlink" Target="http://www.broadinstitute.org/gsea/msigdb/cards/GSE3982_MEMORY_CD4_TCELL_VS_TH1_UP.html" TargetMode="External"/><Relationship Id="rId200" Type="http://schemas.openxmlformats.org/officeDocument/2006/relationships/hyperlink" Target="http://www.broadinstitute.org/gsea/msigdb/cards/GSE41867_NAIVE_VS_DAY30_LCMV_CLONE13_EXHAUSTED_CD8_TCELL_DN.html" TargetMode="External"/><Relationship Id="rId201" Type="http://schemas.openxmlformats.org/officeDocument/2006/relationships/hyperlink" Target="http://www.broadinstitute.org/gsea/msigdb/cards/GSE43863_NAIVE_VS_LY6C_LOW_CXCR5NEG_CD4_EFF_TCELL_D6_LCMV_UP.html" TargetMode="External"/><Relationship Id="rId202" Type="http://schemas.openxmlformats.org/officeDocument/2006/relationships/hyperlink" Target="http://www.broadinstitute.org/gsea/msigdb/cards/GSE46606_IRF4MID_VS_WT_CD40L_IL2_IL5_DAY1_STIMULATED_BCELL_UP.html" TargetMode="External"/><Relationship Id="rId203" Type="http://schemas.openxmlformats.org/officeDocument/2006/relationships/hyperlink" Target="http://www.broadinstitute.org/gsea/msigdb/cards/GSE45739_UNSTIM_VS_ACD3_ACD28_STIM_NRAS_KO_CD4_TCELL_UP.html" TargetMode="External"/><Relationship Id="rId60" Type="http://schemas.openxmlformats.org/officeDocument/2006/relationships/hyperlink" Target="http://www.broadinstitute.org/gsea/msigdb/cards/GNF2_DDX5.html" TargetMode="External"/><Relationship Id="rId61" Type="http://schemas.openxmlformats.org/officeDocument/2006/relationships/hyperlink" Target="http://www.broadinstitute.org/gsea/msigdb/cards/GCM_ZNF198.html" TargetMode="External"/><Relationship Id="rId62" Type="http://schemas.openxmlformats.org/officeDocument/2006/relationships/hyperlink" Target="http://www.broadinstitute.org/gsea/msigdb/cards/MORF_SNRP70.html" TargetMode="External"/><Relationship Id="rId63" Type="http://schemas.openxmlformats.org/officeDocument/2006/relationships/hyperlink" Target="http://www.broadinstitute.org/gsea/msigdb/cards/GCM_DDX5.html" TargetMode="External"/><Relationship Id="rId64" Type="http://schemas.openxmlformats.org/officeDocument/2006/relationships/hyperlink" Target="http://www.broadinstitute.org/gsea/msigdb/cards/MODULE_183.html" TargetMode="External"/><Relationship Id="rId65" Type="http://schemas.openxmlformats.org/officeDocument/2006/relationships/hyperlink" Target="http://www.broadinstitute.org/gsea/msigdb/cards/GCM_FANCL.html" TargetMode="External"/><Relationship Id="rId66" Type="http://schemas.openxmlformats.org/officeDocument/2006/relationships/hyperlink" Target="http://www.broadinstitute.org/gsea/msigdb/cards/GCM_UBE2N.html" TargetMode="External"/><Relationship Id="rId67" Type="http://schemas.openxmlformats.org/officeDocument/2006/relationships/hyperlink" Target="http://www.broadinstitute.org/gsea/msigdb/cards/GNF2_ATM.html" TargetMode="External"/><Relationship Id="rId68" Type="http://schemas.openxmlformats.org/officeDocument/2006/relationships/hyperlink" Target="http://www.broadinstitute.org/gsea/msigdb/cards/GCM_GSPT1.html" TargetMode="External"/><Relationship Id="rId69" Type="http://schemas.openxmlformats.org/officeDocument/2006/relationships/hyperlink" Target="http://www.broadinstitute.org/gsea/msigdb/cards/GCM_MYST2.html" TargetMode="External"/><Relationship Id="rId204" Type="http://schemas.openxmlformats.org/officeDocument/2006/relationships/hyperlink" Target="http://www.broadinstitute.org/gsea/msigdb/cards/GSE45881_CXCR6HI_VS_CXCR1LO_COLONIC_LAMINA_PROPRIA_UP.html" TargetMode="External"/><Relationship Id="rId205" Type="http://schemas.openxmlformats.org/officeDocument/2006/relationships/hyperlink" Target="http://www.broadinstitute.org/gsea/msigdb/cards/GSE3720_LPS_VS_PMA_STIM_VD2_GAMMADELTA_TCELL_UP.html" TargetMode="External"/><Relationship Id="rId130" Type="http://schemas.openxmlformats.org/officeDocument/2006/relationships/hyperlink" Target="http://www.broadinstitute.org/gsea/msigdb/cards/GSE22886_IGG_IGA_MEMORY_BCELL_VS_BM_PLASMA_CELL_UP.html" TargetMode="External"/><Relationship Id="rId131" Type="http://schemas.openxmlformats.org/officeDocument/2006/relationships/hyperlink" Target="http://www.broadinstitute.org/gsea/msigdb/cards/GSE339_CD4POS_VS_CD8POS_DC_IN_CULTURE_UP.html" TargetMode="External"/><Relationship Id="rId132" Type="http://schemas.openxmlformats.org/officeDocument/2006/relationships/hyperlink" Target="http://www.broadinstitute.org/gsea/msigdb/cards/GSE36476_CTRL_VS_TSST_ACT_72H_MEMORY_CD4_TCELL_YOUNG_UP.html" TargetMode="External"/><Relationship Id="rId133" Type="http://schemas.openxmlformats.org/officeDocument/2006/relationships/hyperlink" Target="http://www.broadinstitute.org/gsea/msigdb/cards/GSE36476_YOUNG_VS_OLD_DONOR_MEMORY_CD4_TCELL_16H_TSST_ACT_DN.html" TargetMode="External"/><Relationship Id="rId134" Type="http://schemas.openxmlformats.org/officeDocument/2006/relationships/hyperlink" Target="http://www.broadinstitute.org/gsea/msigdb/cards/GSE3982_MEMORY_CD4_TCELL_VS_TH2_UP.html" TargetMode="External"/><Relationship Id="rId135" Type="http://schemas.openxmlformats.org/officeDocument/2006/relationships/hyperlink" Target="http://www.broadinstitute.org/gsea/msigdb/cards/GSE2405_S_AUREUS_VS_A_PHAGOCYTOPHILUM_NEUTROPHIL_DN.html" TargetMode="External"/><Relationship Id="rId136" Type="http://schemas.openxmlformats.org/officeDocument/2006/relationships/hyperlink" Target="http://www.broadinstitute.org/gsea/msigdb/cards/GSE4748_CTRL_VS_CYANOBACTERIUM_LPSLIKE_STIM_DC_1H_DN.html" TargetMode="External"/><Relationship Id="rId137" Type="http://schemas.openxmlformats.org/officeDocument/2006/relationships/hyperlink" Target="http://www.broadinstitute.org/gsea/msigdb/cards/GSE19888_ADENOSINE_A3R_ACT_VS_TCELL_MEMBRANES_ACT_AND_A3R_INH_PRETREAT_IN_MAST_CELL_DN.html" TargetMode="External"/><Relationship Id="rId138" Type="http://schemas.openxmlformats.org/officeDocument/2006/relationships/hyperlink" Target="http://www.broadinstitute.org/gsea/msigdb/cards/GSE21927_SPLEEN_MONOCYTE_VS_GMCSF_GCSF_BONE_MARROW_UP.html" TargetMode="External"/><Relationship Id="rId139" Type="http://schemas.openxmlformats.org/officeDocument/2006/relationships/hyperlink" Target="http://www.broadinstitute.org/gsea/msigdb/cards/GSE25123_IL4_VS_IL4_AND_ROSIGLITAZONE_STIM_MACROPHAGE_DAY10_DN.html" TargetMode="External"/><Relationship Id="rId170" Type="http://schemas.openxmlformats.org/officeDocument/2006/relationships/hyperlink" Target="http://www.broadinstitute.org/gsea/msigdb/cards/GSE3982_CENT_MEMORY_CD4_TCELL_VS_TH1_UP.html" TargetMode="External"/><Relationship Id="rId171" Type="http://schemas.openxmlformats.org/officeDocument/2006/relationships/hyperlink" Target="http://www.broadinstitute.org/gsea/msigdb/cards/GSE39820_CTRL_VS_TGFBETA1_IL6_IL23A_CD4_TCELL_UP.html" TargetMode="External"/><Relationship Id="rId172" Type="http://schemas.openxmlformats.org/officeDocument/2006/relationships/hyperlink" Target="http://www.broadinstitute.org/gsea/msigdb/cards/GSE7460_TCONV_VS_TREG_THYMUS_UP.html" TargetMode="External"/><Relationship Id="rId30" Type="http://schemas.openxmlformats.org/officeDocument/2006/relationships/hyperlink" Target="http://www.broadinstitute.org/gsea/msigdb/cards/PECE_MAMMARY_STEM_CELL_DN.html" TargetMode="External"/><Relationship Id="rId31" Type="http://schemas.openxmlformats.org/officeDocument/2006/relationships/hyperlink" Target="http://www.broadinstitute.org/gsea/msigdb/cards/THUM_SYSTOLIC_HEART_FAILURE_DN.html" TargetMode="External"/><Relationship Id="rId32" Type="http://schemas.openxmlformats.org/officeDocument/2006/relationships/hyperlink" Target="http://www.broadinstitute.org/gsea/msigdb/cards/BROWNE_HCMV_INFECTION_14HR_UP.html" TargetMode="External"/><Relationship Id="rId33" Type="http://schemas.openxmlformats.org/officeDocument/2006/relationships/hyperlink" Target="http://www.broadinstitute.org/gsea/msigdb/cards/REACTOME_MRNA_PROCESSING.html" TargetMode="External"/><Relationship Id="rId34" Type="http://schemas.openxmlformats.org/officeDocument/2006/relationships/hyperlink" Target="http://www.broadinstitute.org/gsea/msigdb/cards/LAIHO_COLORECTAL_CANCER_SERRATED_DN.html" TargetMode="External"/><Relationship Id="rId35" Type="http://schemas.openxmlformats.org/officeDocument/2006/relationships/hyperlink" Target="http://www.broadinstitute.org/gsea/msigdb/cards/WANG_LMO4_TARGETS_UP.html" TargetMode="External"/><Relationship Id="rId36" Type="http://schemas.openxmlformats.org/officeDocument/2006/relationships/hyperlink" Target="http://www.broadinstitute.org/gsea/msigdb/cards/WHITFIELD_CELL_CYCLE_S.html" TargetMode="External"/><Relationship Id="rId37" Type="http://schemas.openxmlformats.org/officeDocument/2006/relationships/hyperlink" Target="http://www.broadinstitute.org/gsea/msigdb/cards/BENPORATH_CYCLING_GENES.html" TargetMode="External"/><Relationship Id="rId38" Type="http://schemas.openxmlformats.org/officeDocument/2006/relationships/hyperlink" Target="http://www.broadinstitute.org/gsea/msigdb/cards/MARTORIATI_MDM4_TARGETS_FETAL_LIVER_DN.html" TargetMode="External"/><Relationship Id="rId39" Type="http://schemas.openxmlformats.org/officeDocument/2006/relationships/hyperlink" Target="http://www.broadinstitute.org/gsea/msigdb/cards/BURTON_ADIPOGENESIS_12.html" TargetMode="External"/><Relationship Id="rId173" Type="http://schemas.openxmlformats.org/officeDocument/2006/relationships/hyperlink" Target="http://www.broadinstitute.org/gsea/msigdb/cards/GSE7460_CD8_TCELL_VS_TREG_ACT_UP.html" TargetMode="External"/><Relationship Id="rId174" Type="http://schemas.openxmlformats.org/officeDocument/2006/relationships/hyperlink" Target="http://www.broadinstitute.org/gsea/msigdb/cards/GSE7852_THYMUS_VS_FAT_TCONV_UP.html" TargetMode="External"/><Relationship Id="rId175" Type="http://schemas.openxmlformats.org/officeDocument/2006/relationships/hyperlink" Target="http://www.broadinstitute.org/gsea/msigdb/cards/GSE369_IFNG_KO_VS_WT_LIVER_UP.html" TargetMode="External"/><Relationship Id="rId176" Type="http://schemas.openxmlformats.org/officeDocument/2006/relationships/hyperlink" Target="http://www.broadinstitute.org/gsea/msigdb/cards/GSE2770_UNTREATED_VS_ACT_CD4_TCELL_48H_DN.html" TargetMode="External"/><Relationship Id="rId177" Type="http://schemas.openxmlformats.org/officeDocument/2006/relationships/hyperlink" Target="http://www.broadinstitute.org/gsea/msigdb/cards/GSE2770_TGFB_AND_IL4_VS_IL4_TREATED_ACT_CD4_TCELL_6H_UP.html" TargetMode="External"/><Relationship Id="rId178" Type="http://schemas.openxmlformats.org/officeDocument/2006/relationships/hyperlink" Target="http://www.broadinstitute.org/gsea/msigdb/cards/GSE1791_CTRL_VS_NEUROMEDINU_IN_T_CELL_LINE_6H_DN.html" TargetMode="External"/><Relationship Id="rId179" Type="http://schemas.openxmlformats.org/officeDocument/2006/relationships/hyperlink" Target="http://www.broadinstitute.org/gsea/msigdb/cards/GSE3691_IFN_PRODUCING_KILLER_DC_VS_CONVENTIONAL_DC_SPLEEN_UP.html" TargetMode="External"/><Relationship Id="rId70" Type="http://schemas.openxmlformats.org/officeDocument/2006/relationships/hyperlink" Target="http://www.broadinstitute.org/gsea/msigdb/cards/GO_NUCLEAR_SPECK.html" TargetMode="External"/><Relationship Id="rId71" Type="http://schemas.openxmlformats.org/officeDocument/2006/relationships/hyperlink" Target="http://www.broadinstitute.org/gsea/msigdb/cards/GO_MRNA_PROCESSING.html" TargetMode="External"/><Relationship Id="rId72" Type="http://schemas.openxmlformats.org/officeDocument/2006/relationships/hyperlink" Target="http://www.broadinstitute.org/gsea/msigdb/cards/GO_RNA_SPLICING.html" TargetMode="External"/><Relationship Id="rId73" Type="http://schemas.openxmlformats.org/officeDocument/2006/relationships/hyperlink" Target="http://www.broadinstitute.org/gsea/msigdb/cards/GO_RNA_PROCESSING.html" TargetMode="External"/><Relationship Id="rId74" Type="http://schemas.openxmlformats.org/officeDocument/2006/relationships/hyperlink" Target="http://www.broadinstitute.org/gsea/msigdb/cards/GO_NUCLEAR_BODY.html" TargetMode="External"/><Relationship Id="rId75" Type="http://schemas.openxmlformats.org/officeDocument/2006/relationships/hyperlink" Target="http://www.broadinstitute.org/gsea/msigdb/cards/GO_SPLICEOSOMAL_COMPLEX.html" TargetMode="External"/><Relationship Id="rId76" Type="http://schemas.openxmlformats.org/officeDocument/2006/relationships/hyperlink" Target="http://www.broadinstitute.org/gsea/msigdb/cards/GO_MRNA_METABOLIC_PROCESS.html" TargetMode="External"/><Relationship Id="rId77" Type="http://schemas.openxmlformats.org/officeDocument/2006/relationships/hyperlink" Target="http://www.broadinstitute.org/gsea/msigdb/cards/GO_RNA_SPLICING_VIA_TRANSESTERIFICATION_REACTIONS.html" TargetMode="External"/><Relationship Id="rId78" Type="http://schemas.openxmlformats.org/officeDocument/2006/relationships/hyperlink" Target="http://www.broadinstitute.org/gsea/msigdb/cards/GO_SPLICEOSOMAL_COMPLEX_ASSEMBLY.html" TargetMode="External"/><Relationship Id="rId79" Type="http://schemas.openxmlformats.org/officeDocument/2006/relationships/hyperlink" Target="http://www.broadinstitute.org/gsea/msigdb/cards/GO_REGULATION_OF_RNA_SPLICING.html" TargetMode="External"/><Relationship Id="rId1" Type="http://schemas.openxmlformats.org/officeDocument/2006/relationships/hyperlink" Target="http://www.broadinstitute.org/gsea/msigdb/cards/chr19p13.html" TargetMode="External"/><Relationship Id="rId2" Type="http://schemas.openxmlformats.org/officeDocument/2006/relationships/hyperlink" Target="http://www.broadinstitute.org/gsea/msigdb/cards/chr19p12.html" TargetMode="External"/><Relationship Id="rId3" Type="http://schemas.openxmlformats.org/officeDocument/2006/relationships/hyperlink" Target="http://www.broadinstitute.org/gsea/msigdb/cards/chr5q35.html" TargetMode="External"/><Relationship Id="rId4" Type="http://schemas.openxmlformats.org/officeDocument/2006/relationships/hyperlink" Target="http://www.broadinstitute.org/gsea/msigdb/cards/WHITFIELD_CELL_CYCLE_G1_S.html" TargetMode="External"/><Relationship Id="rId100" Type="http://schemas.openxmlformats.org/officeDocument/2006/relationships/hyperlink" Target="http://www.broadinstitute.org/gsea/msigdb/cards/GSE25146_UNSTIM_VS_HELIOBACTER_PYLORI_LPS_STIM_AGS_CELL_DN.html" TargetMode="External"/><Relationship Id="rId101" Type="http://schemas.openxmlformats.org/officeDocument/2006/relationships/hyperlink" Target="http://www.broadinstitute.org/gsea/msigdb/cards/GSE18791_UNSTIM_VS_NEWCATSLE_VIRUS_DC_2H_DN.html" TargetMode="External"/><Relationship Id="rId102" Type="http://schemas.openxmlformats.org/officeDocument/2006/relationships/hyperlink" Target="http://www.broadinstitute.org/gsea/msigdb/cards/GSE22886_DAY0_VS_DAY7_MONOCYTE_IN_CULTURE_UP.html" TargetMode="External"/><Relationship Id="rId103" Type="http://schemas.openxmlformats.org/officeDocument/2006/relationships/hyperlink" Target="http://www.broadinstitute.org/gsea/msigdb/cards/GSE22886_NAIVE_CD4_TCELL_VS_48H_ACT_TH1_UP.html" TargetMode="External"/><Relationship Id="rId104" Type="http://schemas.openxmlformats.org/officeDocument/2006/relationships/hyperlink" Target="http://www.broadinstitute.org/gsea/msigdb/cards/GSE29617_DAY3_VS_DAY7_TIV_FLU_VACCINE_PBMC_2008_DN.html" TargetMode="External"/><Relationship Id="rId105" Type="http://schemas.openxmlformats.org/officeDocument/2006/relationships/hyperlink" Target="http://www.broadinstitute.org/gsea/msigdb/cards/GSE3920_IFNA_VS_IFNG_TREATED_ENDOTHELIAL_CELL_UP.html" TargetMode="External"/><Relationship Id="rId106" Type="http://schemas.openxmlformats.org/officeDocument/2006/relationships/hyperlink" Target="http://www.broadinstitute.org/gsea/msigdb/cards/GSE36476_YOUNG_VS_OLD_DONOR_MEMORY_CD4_TCELL_72H_TSST_ACT_DN.html" TargetMode="External"/><Relationship Id="rId107" Type="http://schemas.openxmlformats.org/officeDocument/2006/relationships/hyperlink" Target="http://www.broadinstitute.org/gsea/msigdb/cards/GSE7509_FCGRIIB_VS_TNFA_IL1B_IL6_PGE_STIM_DC_DN.html" TargetMode="External"/><Relationship Id="rId108" Type="http://schemas.openxmlformats.org/officeDocument/2006/relationships/hyperlink" Target="http://www.broadinstitute.org/gsea/msigdb/cards/GSE37301_MULTIPOTENT_PROGENITOR_VS_LYMPHOID_PRIMED_MPP_UP.html" TargetMode="External"/><Relationship Id="rId109" Type="http://schemas.openxmlformats.org/officeDocument/2006/relationships/hyperlink" Target="http://www.broadinstitute.org/gsea/msigdb/cards/GSE22886_NAIVE_CD4_TCELL_VS_12H_ACT_TH1_UP.html" TargetMode="External"/><Relationship Id="rId5" Type="http://schemas.openxmlformats.org/officeDocument/2006/relationships/hyperlink" Target="http://www.broadinstitute.org/gsea/msigdb/cards/CHEN_HOXA5_TARGETS_9HR_UP.html" TargetMode="External"/><Relationship Id="rId6" Type="http://schemas.openxmlformats.org/officeDocument/2006/relationships/hyperlink" Target="http://www.broadinstitute.org/gsea/msigdb/cards/REACTOME_GENERIC_TRANSCRIPTION_PATHWAY.html" TargetMode="External"/><Relationship Id="rId7" Type="http://schemas.openxmlformats.org/officeDocument/2006/relationships/hyperlink" Target="http://www.broadinstitute.org/gsea/msigdb/cards/ZWANG_DOWN_BY_2ND_EGF_PULSE.html" TargetMode="External"/><Relationship Id="rId8" Type="http://schemas.openxmlformats.org/officeDocument/2006/relationships/hyperlink" Target="http://www.broadinstitute.org/gsea/msigdb/cards/GINESTIER_BREAST_CANCER_ZNF217_AMPLIFIED_DN.html" TargetMode="External"/><Relationship Id="rId9" Type="http://schemas.openxmlformats.org/officeDocument/2006/relationships/hyperlink" Target="http://www.broadinstitute.org/gsea/msigdb/cards/BILBAN_B_CLL_LPL_DN.html" TargetMode="External"/><Relationship Id="rId140" Type="http://schemas.openxmlformats.org/officeDocument/2006/relationships/hyperlink" Target="http://www.broadinstitute.org/gsea/msigdb/cards/GSE27291_0H_VS_6H_STIM_GAMMADELTA_TCELL_UP.html" TargetMode="External"/><Relationship Id="rId141" Type="http://schemas.openxmlformats.org/officeDocument/2006/relationships/hyperlink" Target="http://www.broadinstitute.org/gsea/msigdb/cards/GSE34156_UNTREATED_VS_24H_TLR1_TLR2_LIGAND_TREATED_MONOCYTE_DN.html" TargetMode="External"/></Relationships>
</file>

<file path=xl/worksheets/_rels/sheet3.xml.rels><?xml version="1.0" encoding="UTF-8" standalone="yes"?>
<Relationships xmlns="http://schemas.openxmlformats.org/package/2006/relationships"><Relationship Id="rId971" Type="http://schemas.openxmlformats.org/officeDocument/2006/relationships/hyperlink" Target="http://www.broadinstitute.org/gsea/msigdb/cards/MODULE_172.html" TargetMode="External"/><Relationship Id="rId4030" Type="http://schemas.openxmlformats.org/officeDocument/2006/relationships/hyperlink" Target="http://www.broadinstitute.org/gsea/msigdb/cards/GSE42021_CD24INT_VS_CD24LOW_TREG_THYMUS_DN.html" TargetMode="External"/><Relationship Id="rId4031" Type="http://schemas.openxmlformats.org/officeDocument/2006/relationships/hyperlink" Target="http://www.broadinstitute.org/gsea/msigdb/cards/GSE42021_CD24INT_TREG_VS_CD24INT_TCONV_THYMUS_UP.html" TargetMode="External"/><Relationship Id="rId4032" Type="http://schemas.openxmlformats.org/officeDocument/2006/relationships/hyperlink" Target="http://www.broadinstitute.org/gsea/msigdb/cards/GSE43955_TH0_VS_TGFB_IL6_TH17_ACT_CD4_TCELL_30H_DN.html" TargetMode="External"/><Relationship Id="rId4033" Type="http://schemas.openxmlformats.org/officeDocument/2006/relationships/hyperlink" Target="http://www.broadinstitute.org/gsea/msigdb/cards/GSE43955_TGFB_IL6_VS_TGFB_IL6_IL23_TH17_ACT_CD4_TCELL_60H_UP.html" TargetMode="External"/><Relationship Id="rId4034" Type="http://schemas.openxmlformats.org/officeDocument/2006/relationships/hyperlink" Target="http://www.broadinstitute.org/gsea/msigdb/cards/GSE43955_1H_VS_42H_ACT_CD4_TCELL_WITH_TGFB_IL6_UP.html" TargetMode="External"/><Relationship Id="rId4035" Type="http://schemas.openxmlformats.org/officeDocument/2006/relationships/hyperlink" Target="http://www.broadinstitute.org/gsea/msigdb/cards/GSE43955_10H_VS_60H_ACT_CD4_TCELL_DN.html" TargetMode="External"/><Relationship Id="rId4036" Type="http://schemas.openxmlformats.org/officeDocument/2006/relationships/hyperlink" Target="http://www.broadinstitute.org/gsea/msigdb/cards/GSE43955_10H_VS_30H_ACT_CD4_TCELL_WITH_TGFB_IL6_UP.html" TargetMode="External"/><Relationship Id="rId4037" Type="http://schemas.openxmlformats.org/officeDocument/2006/relationships/hyperlink" Target="http://www.broadinstitute.org/gsea/msigdb/cards/GSE44955_MCSF_VS_MCSF_AND_IL27_STIM_MACROPHAGE_DN.html" TargetMode="External"/><Relationship Id="rId4038" Type="http://schemas.openxmlformats.org/officeDocument/2006/relationships/hyperlink" Target="http://www.broadinstitute.org/gsea/msigdb/cards/GSE46606_DAY1_VS_DAY3_CD40L_IL2_IL5_STIMULATED_IRF4MID_BCELL_UP.html" TargetMode="External"/><Relationship Id="rId4039" Type="http://schemas.openxmlformats.org/officeDocument/2006/relationships/hyperlink" Target="http://www.broadinstitute.org/gsea/msigdb/cards/GSE45739_NRAS_KO_VS_WT_UNSTIM_CD4_TCELL_UP.html" TargetMode="External"/><Relationship Id="rId972" Type="http://schemas.openxmlformats.org/officeDocument/2006/relationships/hyperlink" Target="http://www.broadinstitute.org/gsea/msigdb/cards/MODULE_532.html" TargetMode="External"/><Relationship Id="rId973" Type="http://schemas.openxmlformats.org/officeDocument/2006/relationships/hyperlink" Target="http://www.broadinstitute.org/gsea/msigdb/cards/GNF2_PAK2.html" TargetMode="External"/><Relationship Id="rId974" Type="http://schemas.openxmlformats.org/officeDocument/2006/relationships/hyperlink" Target="http://www.broadinstitute.org/gsea/msigdb/cards/MODULE_358.html" TargetMode="External"/><Relationship Id="rId975" Type="http://schemas.openxmlformats.org/officeDocument/2006/relationships/hyperlink" Target="http://www.broadinstitute.org/gsea/msigdb/cards/MODULE_24.html" TargetMode="External"/><Relationship Id="rId976" Type="http://schemas.openxmlformats.org/officeDocument/2006/relationships/hyperlink" Target="http://www.broadinstitute.org/gsea/msigdb/cards/MODULE_488.html" TargetMode="External"/><Relationship Id="rId977" Type="http://schemas.openxmlformats.org/officeDocument/2006/relationships/hyperlink" Target="http://www.broadinstitute.org/gsea/msigdb/cards/GNF2_ATM.html" TargetMode="External"/><Relationship Id="rId978" Type="http://schemas.openxmlformats.org/officeDocument/2006/relationships/hyperlink" Target="http://www.broadinstitute.org/gsea/msigdb/cards/MODULE_324.html" TargetMode="External"/><Relationship Id="rId979" Type="http://schemas.openxmlformats.org/officeDocument/2006/relationships/hyperlink" Target="http://www.broadinstitute.org/gsea/msigdb/cards/MODULE_209.html" TargetMode="External"/><Relationship Id="rId2580" Type="http://schemas.openxmlformats.org/officeDocument/2006/relationships/hyperlink" Target="http://www.broadinstitute.org/gsea/msigdb/cards/GSE40274_CTRL_VS_FOXP3_TRANSDUCED_ACTIVATED_CD4_TCELL_DN.html" TargetMode="External"/><Relationship Id="rId2581" Type="http://schemas.openxmlformats.org/officeDocument/2006/relationships/hyperlink" Target="http://www.broadinstitute.org/gsea/msigdb/cards/GSE40274_HELIOS_VS_FOXP3_AND_HELIOS_TRANSDUCED_ACTIVATED_CD4_TCELL_UP.html" TargetMode="External"/><Relationship Id="rId2582" Type="http://schemas.openxmlformats.org/officeDocument/2006/relationships/hyperlink" Target="http://www.broadinstitute.org/gsea/msigdb/cards/GSE36078_WT_VS_IL1R_KO_LUNG_DC_DN.html" TargetMode="External"/><Relationship Id="rId2583" Type="http://schemas.openxmlformats.org/officeDocument/2006/relationships/hyperlink" Target="http://www.broadinstitute.org/gsea/msigdb/cards/GSE11961_FOLLICULAR_BCELL_VS_GERMINAL_CENTER_BCELL_DAY40_DN.html" TargetMode="External"/><Relationship Id="rId2584" Type="http://schemas.openxmlformats.org/officeDocument/2006/relationships/hyperlink" Target="http://www.broadinstitute.org/gsea/msigdb/cards/GSE42021_CD24HI_VS_CD24INT_TCONV_THYMUS_DN.html" TargetMode="External"/><Relationship Id="rId2585" Type="http://schemas.openxmlformats.org/officeDocument/2006/relationships/hyperlink" Target="http://www.broadinstitute.org/gsea/msigdb/cards/GSE43955_1H_VS_60H_ACT_CD4_TCELL_UP.html" TargetMode="External"/><Relationship Id="rId2586" Type="http://schemas.openxmlformats.org/officeDocument/2006/relationships/hyperlink" Target="http://www.broadinstitute.org/gsea/msigdb/cards/GSE43863_NAIVE_VS_MEMORY_LY6C_INT_CXCR5POS_CD4_TCELL_D150_LCMV_UP.html" TargetMode="External"/><Relationship Id="rId2587" Type="http://schemas.openxmlformats.org/officeDocument/2006/relationships/hyperlink" Target="http://www.broadinstitute.org/gsea/msigdb/cards/GSE41176_WT_VS_TAK1_KO_ANTI_IGM_STIM_BCELL_6H_DN.html" TargetMode="External"/><Relationship Id="rId2588" Type="http://schemas.openxmlformats.org/officeDocument/2006/relationships/hyperlink" Target="http://www.broadinstitute.org/gsea/msigdb/cards/GSE45365_NK_CELL_VS_CD8_TCELL_MCMV_INFECTION_DN.html" TargetMode="External"/><Relationship Id="rId2589" Type="http://schemas.openxmlformats.org/officeDocument/2006/relationships/hyperlink" Target="http://www.broadinstitute.org/gsea/msigdb/cards/GSE37301_HEMATOPOIETIC_STEM_CELL_VS_RAG2_KO_NK_CELL_DN.html" TargetMode="External"/><Relationship Id="rId240" Type="http://schemas.openxmlformats.org/officeDocument/2006/relationships/hyperlink" Target="http://www.broadinstitute.org/gsea/msigdb/cards/PID_IL4_2PATHWAY.html" TargetMode="External"/><Relationship Id="rId241" Type="http://schemas.openxmlformats.org/officeDocument/2006/relationships/hyperlink" Target="http://www.broadinstitute.org/gsea/msigdb/cards/VERHAAK_AML_WITH_NPM1_MUTATED_DN.html" TargetMode="External"/><Relationship Id="rId242" Type="http://schemas.openxmlformats.org/officeDocument/2006/relationships/hyperlink" Target="http://www.broadinstitute.org/gsea/msigdb/cards/GRAHAM_NORMAL_QUIESCENT_VS_NORMAL_DIVIDING_UP.html" TargetMode="External"/><Relationship Id="rId243" Type="http://schemas.openxmlformats.org/officeDocument/2006/relationships/hyperlink" Target="http://www.broadinstitute.org/gsea/msigdb/cards/FEVR_CTNNB1_TARGETS_UP.html" TargetMode="External"/><Relationship Id="rId244" Type="http://schemas.openxmlformats.org/officeDocument/2006/relationships/hyperlink" Target="http://www.broadinstitute.org/gsea/msigdb/cards/WIKMAN_ASBESTOS_LUNG_CANCER_DN.html" TargetMode="External"/><Relationship Id="rId245" Type="http://schemas.openxmlformats.org/officeDocument/2006/relationships/hyperlink" Target="http://www.broadinstitute.org/gsea/msigdb/cards/PENG_RAPAMYCIN_RESPONSE_UP.html" TargetMode="External"/><Relationship Id="rId246" Type="http://schemas.openxmlformats.org/officeDocument/2006/relationships/hyperlink" Target="http://www.broadinstitute.org/gsea/msigdb/cards/NABA_MATRISOME.html" TargetMode="External"/><Relationship Id="rId247" Type="http://schemas.openxmlformats.org/officeDocument/2006/relationships/hyperlink" Target="http://www.broadinstitute.org/gsea/msigdb/cards/MARSON_FOXP3_CORE_DIRECT_TARGETS.html" TargetMode="External"/><Relationship Id="rId248" Type="http://schemas.openxmlformats.org/officeDocument/2006/relationships/hyperlink" Target="http://www.broadinstitute.org/gsea/msigdb/cards/ZHAN_MULTIPLE_MYELOMA_DN.html" TargetMode="External"/><Relationship Id="rId249" Type="http://schemas.openxmlformats.org/officeDocument/2006/relationships/hyperlink" Target="http://www.broadinstitute.org/gsea/msigdb/cards/CROONQUIST_NRAS_VS_STROMAL_STIMULATION_UP.html" TargetMode="External"/><Relationship Id="rId1490" Type="http://schemas.openxmlformats.org/officeDocument/2006/relationships/hyperlink" Target="http://www.broadinstitute.org/gsea/msigdb/cards/GO_POSITIVE_REGULATION_OF_INTRACELLULAR_TRANSPORT.html" TargetMode="External"/><Relationship Id="rId1491" Type="http://schemas.openxmlformats.org/officeDocument/2006/relationships/hyperlink" Target="http://www.broadinstitute.org/gsea/msigdb/cards/GO_POSITIVE_REGULATION_OF_PRODUCTION_OF_MOLECULAR_MEDIATOR_OF_IMMUNE_RESPONSE.html" TargetMode="External"/><Relationship Id="rId1492" Type="http://schemas.openxmlformats.org/officeDocument/2006/relationships/hyperlink" Target="http://www.broadinstitute.org/gsea/msigdb/cards/GO_MYELOID_DENDRITIC_CELL_DIFFERENTIATION.html" TargetMode="External"/><Relationship Id="rId1493" Type="http://schemas.openxmlformats.org/officeDocument/2006/relationships/hyperlink" Target="http://www.broadinstitute.org/gsea/msigdb/cards/GO_REGULATION_OF_MONOCYTE_CHEMOTAXIS.html" TargetMode="External"/><Relationship Id="rId1494" Type="http://schemas.openxmlformats.org/officeDocument/2006/relationships/hyperlink" Target="http://www.broadinstitute.org/gsea/msigdb/cards/GO_NEGATIVE_REGULATION_OF_SECRETION.html" TargetMode="External"/><Relationship Id="rId1495" Type="http://schemas.openxmlformats.org/officeDocument/2006/relationships/hyperlink" Target="http://www.broadinstitute.org/gsea/msigdb/cards/GO_RAS_GUANYL_NUCLEOTIDE_EXCHANGE_FACTOR_ACTIVITY.html" TargetMode="External"/><Relationship Id="rId1496" Type="http://schemas.openxmlformats.org/officeDocument/2006/relationships/hyperlink" Target="http://www.broadinstitute.org/gsea/msigdb/cards/GO_NEGATIVE_REGULATION_OF_HEMOPOIESIS.html" TargetMode="External"/><Relationship Id="rId1497" Type="http://schemas.openxmlformats.org/officeDocument/2006/relationships/hyperlink" Target="http://www.broadinstitute.org/gsea/msigdb/cards/GO_POSITIVE_REGULATION_OF_CALCIUM_ION_TRANSPORT.html" TargetMode="External"/><Relationship Id="rId1498" Type="http://schemas.openxmlformats.org/officeDocument/2006/relationships/hyperlink" Target="http://www.broadinstitute.org/gsea/msigdb/cards/GO_LIPOPOLYSACCHARIDE_BINDING.html" TargetMode="External"/><Relationship Id="rId1499" Type="http://schemas.openxmlformats.org/officeDocument/2006/relationships/hyperlink" Target="http://www.broadinstitute.org/gsea/msigdb/cards/GO_POSITIVE_REGULATION_OF_CHEMOKINE_PRODUCTION.html" TargetMode="External"/><Relationship Id="rId4770" Type="http://schemas.openxmlformats.org/officeDocument/2006/relationships/hyperlink" Target="http://www.broadinstitute.org/gsea/msigdb/cards/GSE3982_MAST_CELL_VS_EFF_MEMORY_CD4_TCELL_UP.html" TargetMode="External"/><Relationship Id="rId4771" Type="http://schemas.openxmlformats.org/officeDocument/2006/relationships/hyperlink" Target="http://www.broadinstitute.org/gsea/msigdb/cards/GSE3982_BCELL_VS_CENT_MEMORY_CD4_TCELL_DN.html" TargetMode="External"/><Relationship Id="rId4772" Type="http://schemas.openxmlformats.org/officeDocument/2006/relationships/hyperlink" Target="http://www.broadinstitute.org/gsea/msigdb/cards/GSE3982_BCELL_VS_TH2_DN.html" TargetMode="External"/><Relationship Id="rId4773" Type="http://schemas.openxmlformats.org/officeDocument/2006/relationships/hyperlink" Target="http://www.broadinstitute.org/gsea/msigdb/cards/GSE3982_BASOPHIL_VS_CENT_MEMORY_CD4_TCELL_DN.html" TargetMode="External"/><Relationship Id="rId4774" Type="http://schemas.openxmlformats.org/officeDocument/2006/relationships/hyperlink" Target="http://www.broadinstitute.org/gsea/msigdb/cards/GSE3982_EFF_MEMORY_CD4_TCELL_VS_TH1_DN.html" TargetMode="External"/><Relationship Id="rId4775" Type="http://schemas.openxmlformats.org/officeDocument/2006/relationships/hyperlink" Target="http://www.broadinstitute.org/gsea/msigdb/cards/GSE3982_CENT_MEMORY_CD4_TCELL_VS_NKCELL_UP.html" TargetMode="External"/><Relationship Id="rId4776" Type="http://schemas.openxmlformats.org/officeDocument/2006/relationships/hyperlink" Target="http://www.broadinstitute.org/gsea/msigdb/cards/GSE39820_CTRL_VS_TGFBETA1_IL6_IL23A_CD4_TCELL_UP.html" TargetMode="External"/><Relationship Id="rId4777" Type="http://schemas.openxmlformats.org/officeDocument/2006/relationships/hyperlink" Target="http://www.broadinstitute.org/gsea/msigdb/cards/GSE6269_FLU_VS_E_COLI_INF_PBMC_UP.html" TargetMode="External"/><Relationship Id="rId4778" Type="http://schemas.openxmlformats.org/officeDocument/2006/relationships/hyperlink" Target="http://www.broadinstitute.org/gsea/msigdb/cards/GSE7460_CTRL_VS_TGFB_TREATED_ACT_TREG_UP.html" TargetMode="External"/><Relationship Id="rId4779" Type="http://schemas.openxmlformats.org/officeDocument/2006/relationships/hyperlink" Target="http://www.broadinstitute.org/gsea/msigdb/cards/GSE7460_CD8_TCELL_VS_CD4_TCELL_ACT_DN.html" TargetMode="External"/><Relationship Id="rId5130" Type="http://schemas.openxmlformats.org/officeDocument/2006/relationships/hyperlink" Target="http://www.broadinstitute.org/gsea/msigdb/cards/GSE7460_WT_VS_FOXP3_HET_ACT_WITH_TGFB_TCONV_DN.html" TargetMode="External"/><Relationship Id="rId5131" Type="http://schemas.openxmlformats.org/officeDocument/2006/relationships/hyperlink" Target="http://www.broadinstitute.org/gsea/msigdb/cards/GSE7460_CTRL_VS_FOXP3_OVEREXPR_TCONV_1_UP.html" TargetMode="External"/><Relationship Id="rId5132" Type="http://schemas.openxmlformats.org/officeDocument/2006/relationships/hyperlink" Target="http://www.broadinstitute.org/gsea/msigdb/cards/GSE7852_TREG_VS_TCONV_THYMUS_DN.html" TargetMode="External"/><Relationship Id="rId5133" Type="http://schemas.openxmlformats.org/officeDocument/2006/relationships/hyperlink" Target="http://www.broadinstitute.org/gsea/msigdb/cards/GSE7852_THYMUS_VS_FAT_TREG_UP.html" TargetMode="External"/><Relationship Id="rId5134" Type="http://schemas.openxmlformats.org/officeDocument/2006/relationships/hyperlink" Target="http://www.broadinstitute.org/gsea/msigdb/cards/GSE8384_CTRL_VS_B_ABORTUS_4H_MAC_CELL_LINE_UP.html" TargetMode="External"/><Relationship Id="rId5135" Type="http://schemas.openxmlformats.org/officeDocument/2006/relationships/hyperlink" Target="http://www.broadinstitute.org/gsea/msigdb/cards/GSE9006_HEALTHY_VS_TYPE_1_DIABETES_PBMC_AT_DX_UP.html" TargetMode="External"/><Relationship Id="rId5136" Type="http://schemas.openxmlformats.org/officeDocument/2006/relationships/hyperlink" Target="http://www.broadinstitute.org/gsea/msigdb/cards/GSE9037_CTRL_VS_LPS_1H_STIM_BMDM_UP.html" TargetMode="External"/><Relationship Id="rId5137" Type="http://schemas.openxmlformats.org/officeDocument/2006/relationships/hyperlink" Target="http://www.broadinstitute.org/gsea/msigdb/cards/GSE9037_WT_VS_IRAK4_KO_LPS_4H_STIM_BMDM_UP.html" TargetMode="External"/><Relationship Id="rId5138" Type="http://schemas.openxmlformats.org/officeDocument/2006/relationships/hyperlink" Target="http://www.broadinstitute.org/gsea/msigdb/cards/GSE9650_EFFECTOR_VS_EXHAUSTED_CD8_TCELL_DN.html" TargetMode="External"/><Relationship Id="rId5139" Type="http://schemas.openxmlformats.org/officeDocument/2006/relationships/hyperlink" Target="http://www.broadinstitute.org/gsea/msigdb/cards/GSE369_IFNG_KO_VS_WT_LIVER_DN.html" TargetMode="External"/><Relationship Id="rId3680" Type="http://schemas.openxmlformats.org/officeDocument/2006/relationships/hyperlink" Target="http://www.broadinstitute.org/gsea/msigdb/cards/GSE22886_NAIVE_CD4_TCELL_VS_NKCELL_UP.html" TargetMode="External"/><Relationship Id="rId3681" Type="http://schemas.openxmlformats.org/officeDocument/2006/relationships/hyperlink" Target="http://www.broadinstitute.org/gsea/msigdb/cards/GSE22886_NAIVE_BCELL_VS_MONOCYTE_UP.html" TargetMode="External"/><Relationship Id="rId3682" Type="http://schemas.openxmlformats.org/officeDocument/2006/relationships/hyperlink" Target="http://www.broadinstitute.org/gsea/msigdb/cards/GSE24634_NAIVE_CD4_TCELL_VS_DAY7_IL4_CONV_TREG_DN.html" TargetMode="External"/><Relationship Id="rId3683" Type="http://schemas.openxmlformats.org/officeDocument/2006/relationships/hyperlink" Target="http://www.broadinstitute.org/gsea/msigdb/cards/GSE24634_IL4_VS_CTRL_TREATED_NAIVE_CD4_TCELL_DAY3_UP.html" TargetMode="External"/><Relationship Id="rId3684" Type="http://schemas.openxmlformats.org/officeDocument/2006/relationships/hyperlink" Target="http://www.broadinstitute.org/gsea/msigdb/cards/GSE2706_UNSTIM_VS_8H_R848_DC_UP.html" TargetMode="External"/><Relationship Id="rId3685" Type="http://schemas.openxmlformats.org/officeDocument/2006/relationships/hyperlink" Target="http://www.broadinstitute.org/gsea/msigdb/cards/GSE2706_R848_VS_LPS_8H_STIM_DC_DN.html" TargetMode="External"/><Relationship Id="rId3686" Type="http://schemas.openxmlformats.org/officeDocument/2006/relationships/hyperlink" Target="http://www.broadinstitute.org/gsea/msigdb/cards/GSE27786_LIN_NEG_VS_BCELL_DN.html" TargetMode="External"/><Relationship Id="rId3687" Type="http://schemas.openxmlformats.org/officeDocument/2006/relationships/hyperlink" Target="http://www.broadinstitute.org/gsea/msigdb/cards/GSE27786_CD4_VS_CD8_TCELL_DN.html" TargetMode="External"/><Relationship Id="rId3688" Type="http://schemas.openxmlformats.org/officeDocument/2006/relationships/hyperlink" Target="http://www.broadinstitute.org/gsea/msigdb/cards/GSE27786_CD4_TCELL_VS_NKTCELL_DN.html" TargetMode="External"/><Relationship Id="rId3689" Type="http://schemas.openxmlformats.org/officeDocument/2006/relationships/hyperlink" Target="http://www.broadinstitute.org/gsea/msigdb/cards/GSE2826_XID_VS_BTK_KO_BCELL_UP.html" TargetMode="External"/><Relationship Id="rId980" Type="http://schemas.openxmlformats.org/officeDocument/2006/relationships/hyperlink" Target="http://www.broadinstitute.org/gsea/msigdb/cards/MODULE_478.html" TargetMode="External"/><Relationship Id="rId981" Type="http://schemas.openxmlformats.org/officeDocument/2006/relationships/hyperlink" Target="http://www.broadinstitute.org/gsea/msigdb/cards/MODULE_123.html" TargetMode="External"/><Relationship Id="rId4040" Type="http://schemas.openxmlformats.org/officeDocument/2006/relationships/hyperlink" Target="http://www.broadinstitute.org/gsea/msigdb/cards/GSE45739_NRAS_KO_VS_WT_UNSTIM_CD4_TCELL_DN.html" TargetMode="External"/><Relationship Id="rId4041" Type="http://schemas.openxmlformats.org/officeDocument/2006/relationships/hyperlink" Target="http://www.broadinstitute.org/gsea/msigdb/cards/GSE42088_UNINF_VS_LEISHMANIA_INF_DC_4H_UP.html" TargetMode="External"/><Relationship Id="rId4042" Type="http://schemas.openxmlformats.org/officeDocument/2006/relationships/hyperlink" Target="http://www.broadinstitute.org/gsea/msigdb/cards/GSE45365_NK_CELL_VS_CD8A_DC_UP.html" TargetMode="External"/><Relationship Id="rId4043" Type="http://schemas.openxmlformats.org/officeDocument/2006/relationships/hyperlink" Target="http://www.broadinstitute.org/gsea/msigdb/cards/GSE7348_LPS_VS_TOLERIZED_AND_LPS_STIM_MACROPHAGE_DN.html" TargetMode="External"/><Relationship Id="rId4044" Type="http://schemas.openxmlformats.org/officeDocument/2006/relationships/hyperlink" Target="http://www.broadinstitute.org/gsea/msigdb/cards/GSE35825_UNTREATED_VS_IFNA_STIM_MACROPHAGE_UP.html" TargetMode="External"/><Relationship Id="rId4045" Type="http://schemas.openxmlformats.org/officeDocument/2006/relationships/hyperlink" Target="http://www.broadinstitute.org/gsea/msigdb/cards/GSE6259_FLT3L_INDUCED_DEC205_POS_DC_VS_CD8_TCELL_UP.html" TargetMode="External"/><Relationship Id="rId4046" Type="http://schemas.openxmlformats.org/officeDocument/2006/relationships/hyperlink" Target="http://www.broadinstitute.org/gsea/msigdb/cards/GSE13547_2H_VS_12_H_ANTI_IGM_STIM_BCELL_UP.html" TargetMode="External"/><Relationship Id="rId4047" Type="http://schemas.openxmlformats.org/officeDocument/2006/relationships/hyperlink" Target="http://www.broadinstitute.org/gsea/msigdb/cards/GSE3920_UNTREATED_VS_IFNB_TREATED_ENDOTHELIAL_CELL_DN.html" TargetMode="External"/><Relationship Id="rId4048" Type="http://schemas.openxmlformats.org/officeDocument/2006/relationships/hyperlink" Target="http://www.broadinstitute.org/gsea/msigdb/cards/GSE8685_IL2_ACT_IL2_STARVED_VS_IL21_ACT_IL2_STARVED_CD4_TCELL_UP.html" TargetMode="External"/><Relationship Id="rId4049" Type="http://schemas.openxmlformats.org/officeDocument/2006/relationships/hyperlink" Target="http://www.broadinstitute.org/gsea/msigdb/cards/GSE37532_WT_VS_PPARG_KO_LN_TREG_UP.html" TargetMode="External"/><Relationship Id="rId982" Type="http://schemas.openxmlformats.org/officeDocument/2006/relationships/hyperlink" Target="http://www.broadinstitute.org/gsea/msigdb/cards/GNF2_RAP1B.html" TargetMode="External"/><Relationship Id="rId983" Type="http://schemas.openxmlformats.org/officeDocument/2006/relationships/hyperlink" Target="http://www.broadinstitute.org/gsea/msigdb/cards/MODULE_175.html" TargetMode="External"/><Relationship Id="rId984" Type="http://schemas.openxmlformats.org/officeDocument/2006/relationships/hyperlink" Target="http://www.broadinstitute.org/gsea/msigdb/cards/MODULE_92.html" TargetMode="External"/><Relationship Id="rId985" Type="http://schemas.openxmlformats.org/officeDocument/2006/relationships/hyperlink" Target="http://www.broadinstitute.org/gsea/msigdb/cards/MODULE_261.html" TargetMode="External"/><Relationship Id="rId986" Type="http://schemas.openxmlformats.org/officeDocument/2006/relationships/hyperlink" Target="http://www.broadinstitute.org/gsea/msigdb/cards/MODULE_7.html" TargetMode="External"/><Relationship Id="rId987" Type="http://schemas.openxmlformats.org/officeDocument/2006/relationships/hyperlink" Target="http://www.broadinstitute.org/gsea/msigdb/cards/MODULE_107.html" TargetMode="External"/><Relationship Id="rId988" Type="http://schemas.openxmlformats.org/officeDocument/2006/relationships/hyperlink" Target="http://www.broadinstitute.org/gsea/msigdb/cards/MODULE_293.html" TargetMode="External"/><Relationship Id="rId989" Type="http://schemas.openxmlformats.org/officeDocument/2006/relationships/hyperlink" Target="http://www.broadinstitute.org/gsea/msigdb/cards/MODULE_412.html" TargetMode="External"/><Relationship Id="rId2590" Type="http://schemas.openxmlformats.org/officeDocument/2006/relationships/hyperlink" Target="http://www.broadinstitute.org/gsea/msigdb/cards/GSE40274_CTRL_VS_FOXP3_AND_PBX1_TRANSDUCED_ACTIVATED_CD4_TCELL_UP.html" TargetMode="External"/><Relationship Id="rId2591" Type="http://schemas.openxmlformats.org/officeDocument/2006/relationships/hyperlink" Target="http://www.broadinstitute.org/gsea/msigdb/cards/GSE27859_MACROPHAGE_VS_DC_UP.html" TargetMode="External"/><Relationship Id="rId2592" Type="http://schemas.openxmlformats.org/officeDocument/2006/relationships/hyperlink" Target="http://www.broadinstitute.org/gsea/msigdb/cards/GSE6269_FLU_VS_STAPH_AUREUS_INF_PBMC_DN.html" TargetMode="External"/><Relationship Id="rId2593" Type="http://schemas.openxmlformats.org/officeDocument/2006/relationships/hyperlink" Target="http://www.broadinstitute.org/gsea/msigdb/cards/GSE7219_UNSTIM_VS_LPS_AND_ANTI_CD40_STIM_DC_DN.html" TargetMode="External"/><Relationship Id="rId2594" Type="http://schemas.openxmlformats.org/officeDocument/2006/relationships/hyperlink" Target="http://www.broadinstitute.org/gsea/msigdb/cards/GSE22611_NOD2_TRANSDUCED_VS_CTRL_HEK293T_STIMULATED_WITH_MDP_2H_UP.html" TargetMode="External"/><Relationship Id="rId2595" Type="http://schemas.openxmlformats.org/officeDocument/2006/relationships/hyperlink" Target="http://www.broadinstitute.org/gsea/msigdb/cards/GSE4984_UNTREATED_VS_GALECTIN1_TREATED_DC_UP.html" TargetMode="External"/><Relationship Id="rId2596" Type="http://schemas.openxmlformats.org/officeDocument/2006/relationships/hyperlink" Target="http://www.broadinstitute.org/gsea/msigdb/cards/KAECH_NAIVE_VS_DAY8_EFF_CD8_TCELL_DN.html" TargetMode="External"/><Relationship Id="rId2597" Type="http://schemas.openxmlformats.org/officeDocument/2006/relationships/hyperlink" Target="http://www.broadinstitute.org/gsea/msigdb/cards/GSE13484_3H_UNSTIM_VS_YF17D_VACCINE_STIM_PBMC_DN.html" TargetMode="External"/><Relationship Id="rId2598" Type="http://schemas.openxmlformats.org/officeDocument/2006/relationships/hyperlink" Target="http://www.broadinstitute.org/gsea/msigdb/cards/GSE14769_UNSTIM_VS_80MIN_LPS_BMDM_DN.html" TargetMode="External"/><Relationship Id="rId2599" Type="http://schemas.openxmlformats.org/officeDocument/2006/relationships/hyperlink" Target="http://www.broadinstitute.org/gsea/msigdb/cards/GSE17580_UNINFECTED_VS_S_MANSONI_INF_TEFF_DN.html" TargetMode="External"/><Relationship Id="rId250" Type="http://schemas.openxmlformats.org/officeDocument/2006/relationships/hyperlink" Target="http://www.broadinstitute.org/gsea/msigdb/cards/PARK_TRETINOIN_RESPONSE_AND_PML_RARA_FUSION.html" TargetMode="External"/><Relationship Id="rId251" Type="http://schemas.openxmlformats.org/officeDocument/2006/relationships/hyperlink" Target="http://www.broadinstitute.org/gsea/msigdb/cards/VILIMAS_NOTCH1_TARGETS_DN.html" TargetMode="External"/><Relationship Id="rId252" Type="http://schemas.openxmlformats.org/officeDocument/2006/relationships/hyperlink" Target="http://www.broadinstitute.org/gsea/msigdb/cards/MARTINEZ_RB1_AND_TP53_TARGETS_UP.html" TargetMode="External"/><Relationship Id="rId253" Type="http://schemas.openxmlformats.org/officeDocument/2006/relationships/hyperlink" Target="http://www.broadinstitute.org/gsea/msigdb/cards/PASQUALUCCI_LYMPHOMA_BY_GC_STAGE_DN.html" TargetMode="External"/><Relationship Id="rId254" Type="http://schemas.openxmlformats.org/officeDocument/2006/relationships/hyperlink" Target="http://www.broadinstitute.org/gsea/msigdb/cards/ACEVEDO_METHYLATED_IN_LIVER_CANCER_DN.html" TargetMode="External"/><Relationship Id="rId255" Type="http://schemas.openxmlformats.org/officeDocument/2006/relationships/hyperlink" Target="http://www.broadinstitute.org/gsea/msigdb/cards/KEEN_RESPONSE_TO_ROSIGLITAZONE_DN.html" TargetMode="External"/><Relationship Id="rId256" Type="http://schemas.openxmlformats.org/officeDocument/2006/relationships/hyperlink" Target="http://www.broadinstitute.org/gsea/msigdb/cards/HOFFMANN_IMMATURE_TO_MATURE_B_LYMPHOCYTE_UP.html" TargetMode="External"/><Relationship Id="rId257" Type="http://schemas.openxmlformats.org/officeDocument/2006/relationships/hyperlink" Target="http://www.broadinstitute.org/gsea/msigdb/cards/LEE_EARLY_T_LYMPHOCYTE_DN.html" TargetMode="External"/><Relationship Id="rId258" Type="http://schemas.openxmlformats.org/officeDocument/2006/relationships/hyperlink" Target="http://www.broadinstitute.org/gsea/msigdb/cards/FERRANDO_TAL1_NEIGHBORS.html" TargetMode="External"/><Relationship Id="rId259" Type="http://schemas.openxmlformats.org/officeDocument/2006/relationships/hyperlink" Target="http://www.broadinstitute.org/gsea/msigdb/cards/YAGI_AML_FAB_MARKERS.html" TargetMode="External"/><Relationship Id="rId4780" Type="http://schemas.openxmlformats.org/officeDocument/2006/relationships/hyperlink" Target="http://www.broadinstitute.org/gsea/msigdb/cards/GSE9006_HEALTHY_VS_TYPE_2_DIABETES_PBMC_AT_DX_DN.html" TargetMode="External"/><Relationship Id="rId4781" Type="http://schemas.openxmlformats.org/officeDocument/2006/relationships/hyperlink" Target="http://www.broadinstitute.org/gsea/msigdb/cards/GSE9037_CTRL_VS_LPS_4H_STIM_IRAK4_KO_BMDM_DN.html" TargetMode="External"/><Relationship Id="rId4782" Type="http://schemas.openxmlformats.org/officeDocument/2006/relationships/hyperlink" Target="http://www.broadinstitute.org/gsea/msigdb/cards/GSE9037_WT_VS_IRAK4_KO_BMDM_DN.html" TargetMode="External"/><Relationship Id="rId4783" Type="http://schemas.openxmlformats.org/officeDocument/2006/relationships/hyperlink" Target="http://www.broadinstitute.org/gsea/msigdb/cards/GSE9650_NAIVE_VS_EFF_CD8_TCELL_UP.html" TargetMode="External"/><Relationship Id="rId4784" Type="http://schemas.openxmlformats.org/officeDocument/2006/relationships/hyperlink" Target="http://www.broadinstitute.org/gsea/msigdb/cards/GSE369_SOCS3_KO_VS_WT_LIVER_POST_IL6_INJECTION_UP.html" TargetMode="External"/><Relationship Id="rId4785" Type="http://schemas.openxmlformats.org/officeDocument/2006/relationships/hyperlink" Target="http://www.broadinstitute.org/gsea/msigdb/cards/GSE369_IFNG_KO_VS_WT_LIVER_UP.html" TargetMode="External"/><Relationship Id="rId4786" Type="http://schemas.openxmlformats.org/officeDocument/2006/relationships/hyperlink" Target="http://www.broadinstitute.org/gsea/msigdb/cards/GSE369_PRE_VS_POST_IL6_INJECTION_IFNG_KO_LIVER_DN.html" TargetMode="External"/><Relationship Id="rId4787" Type="http://schemas.openxmlformats.org/officeDocument/2006/relationships/hyperlink" Target="http://www.broadinstitute.org/gsea/msigdb/cards/GSE369_PRE_VS_POST_IL6_INJECTION_IFNG_WT_LIVER_UP.html" TargetMode="External"/><Relationship Id="rId4788" Type="http://schemas.openxmlformats.org/officeDocument/2006/relationships/hyperlink" Target="http://www.broadinstitute.org/gsea/msigdb/cards/GSE411_WT_VS_SOCS3_KO_MACROPHAGE_IL6_STIM_100MIN_UP.html" TargetMode="External"/><Relationship Id="rId4789" Type="http://schemas.openxmlformats.org/officeDocument/2006/relationships/hyperlink" Target="http://www.broadinstitute.org/gsea/msigdb/cards/GSE411_WT_VS_SOCS3_KO_MACROPHAGE_IL6_STIM_100MIN_DN.html" TargetMode="External"/><Relationship Id="rId5140" Type="http://schemas.openxmlformats.org/officeDocument/2006/relationships/hyperlink" Target="http://www.broadinstitute.org/gsea/msigdb/cards/GSE411_100MIN_VS_400MIN_IL6_STIM_MACROPHAGE_UP.html" TargetMode="External"/><Relationship Id="rId5141" Type="http://schemas.openxmlformats.org/officeDocument/2006/relationships/hyperlink" Target="http://www.broadinstitute.org/gsea/msigdb/cards/GSE411_UNSTIM_VS_100MIN_IL6_STIM_SOCS3_KO_MACROPHAGE_UP.html" TargetMode="External"/><Relationship Id="rId5142" Type="http://schemas.openxmlformats.org/officeDocument/2006/relationships/hyperlink" Target="http://www.broadinstitute.org/gsea/msigdb/cards/GSE411_100MIN_VS_400MIN_IL6_STIM_SOCS3_KO_MACROPHAGE_UP.html" TargetMode="External"/><Relationship Id="rId5143" Type="http://schemas.openxmlformats.org/officeDocument/2006/relationships/hyperlink" Target="http://www.broadinstitute.org/gsea/msigdb/cards/GSE557_WT_VS_I_AB_KO_DC_UP.html" TargetMode="External"/><Relationship Id="rId5144" Type="http://schemas.openxmlformats.org/officeDocument/2006/relationships/hyperlink" Target="http://www.broadinstitute.org/gsea/msigdb/cards/GSE2770_UNTREATED_VS_TGFB_AND_IL12_TREATED_ACT_CD4_TCELL_2H_UP.html" TargetMode="External"/><Relationship Id="rId5145" Type="http://schemas.openxmlformats.org/officeDocument/2006/relationships/hyperlink" Target="http://www.broadinstitute.org/gsea/msigdb/cards/GSE2770_UNTREATED_VS_TGFB_AND_IL12_TREATED_ACT_CD4_TCELL_48H_UP.html" TargetMode="External"/><Relationship Id="rId5146" Type="http://schemas.openxmlformats.org/officeDocument/2006/relationships/hyperlink" Target="http://www.broadinstitute.org/gsea/msigdb/cards/GSE2770_IL12_VS_TGFB_AND_IL12_TREATED_ACT_CD4_TCELL_6H_DN.html" TargetMode="External"/><Relationship Id="rId5147" Type="http://schemas.openxmlformats.org/officeDocument/2006/relationships/hyperlink" Target="http://www.broadinstitute.org/gsea/msigdb/cards/GSE2770_IL12_ACT_VS_ACT_CD4_TCELL_6H_DN.html" TargetMode="External"/><Relationship Id="rId5148" Type="http://schemas.openxmlformats.org/officeDocument/2006/relationships/hyperlink" Target="http://www.broadinstitute.org/gsea/msigdb/cards/GSE2770_TGFB_AND_IL4_VS_IL12_TREATED_ACT_CD4_TCELL_2H_UP.html" TargetMode="External"/><Relationship Id="rId5149" Type="http://schemas.openxmlformats.org/officeDocument/2006/relationships/hyperlink" Target="http://www.broadinstitute.org/gsea/msigdb/cards/GSE2770_TGFB_AND_IL4_VS_IL4_TREATED_ACT_CD4_TCELL_48H_DN.html" TargetMode="External"/><Relationship Id="rId3690" Type="http://schemas.openxmlformats.org/officeDocument/2006/relationships/hyperlink" Target="http://www.broadinstitute.org/gsea/msigdb/cards/GSE29617_CTRL_VS_DAY7_TIV_FLU_VACCINE_PBMC_2008_UP.html" TargetMode="External"/><Relationship Id="rId3691" Type="http://schemas.openxmlformats.org/officeDocument/2006/relationships/hyperlink" Target="http://www.broadinstitute.org/gsea/msigdb/cards/GSE29618_MONOCYTE_VS_PDC_DAY7_FLU_VACCINE_DN.html" TargetMode="External"/><Relationship Id="rId3692" Type="http://schemas.openxmlformats.org/officeDocument/2006/relationships/hyperlink" Target="http://www.broadinstitute.org/gsea/msigdb/cards/GSE29618_PRE_VS_DAY7_POST_LAIV_FLU_VACCINE_BCELL_UP.html" TargetMode="External"/><Relationship Id="rId3693" Type="http://schemas.openxmlformats.org/officeDocument/2006/relationships/hyperlink" Target="http://www.broadinstitute.org/gsea/msigdb/cards/GSE29618_LAIV_VS_TIV_FLU_VACCINE_DAY7_MONOCYTE_DN.html" TargetMode="External"/><Relationship Id="rId3694" Type="http://schemas.openxmlformats.org/officeDocument/2006/relationships/hyperlink" Target="http://www.broadinstitute.org/gsea/msigdb/cards/GSE30962_ACUTE_VS_CHRONIC_LCMV_SECONDARY_INF_CD8_TCELL_DN.html" TargetMode="External"/><Relationship Id="rId3695" Type="http://schemas.openxmlformats.org/officeDocument/2006/relationships/hyperlink" Target="http://www.broadinstitute.org/gsea/msigdb/cards/GSE339_CD4POS_VS_CD4CD8DN_DC_UP.html" TargetMode="External"/><Relationship Id="rId3696" Type="http://schemas.openxmlformats.org/officeDocument/2006/relationships/hyperlink" Target="http://www.broadinstitute.org/gsea/msigdb/cards/GSE339_CD4POS_VS_CD8POS_DC_IN_CULTURE_DN.html" TargetMode="External"/><Relationship Id="rId3697" Type="http://schemas.openxmlformats.org/officeDocument/2006/relationships/hyperlink" Target="http://www.broadinstitute.org/gsea/msigdb/cards/GSE339_EX_VIVO_VS_IN_CULTURE_CD8POS_DC_UP.html" TargetMode="External"/><Relationship Id="rId3698" Type="http://schemas.openxmlformats.org/officeDocument/2006/relationships/hyperlink" Target="http://www.broadinstitute.org/gsea/msigdb/cards/GSE339_EX_VIVO_VS_IN_CULTURE_CD4CD8DN_DC_UP.html" TargetMode="External"/><Relationship Id="rId3699" Type="http://schemas.openxmlformats.org/officeDocument/2006/relationships/hyperlink" Target="http://www.broadinstitute.org/gsea/msigdb/cards/GSE360_CTRL_VS_M_TUBERCULOSIS_MAC_UP.html" TargetMode="External"/><Relationship Id="rId990" Type="http://schemas.openxmlformats.org/officeDocument/2006/relationships/hyperlink" Target="http://www.broadinstitute.org/gsea/msigdb/cards/MODULE_157.html" TargetMode="External"/><Relationship Id="rId991" Type="http://schemas.openxmlformats.org/officeDocument/2006/relationships/hyperlink" Target="http://www.broadinstitute.org/gsea/msigdb/cards/MODULE_204.html" TargetMode="External"/><Relationship Id="rId4050" Type="http://schemas.openxmlformats.org/officeDocument/2006/relationships/hyperlink" Target="http://www.broadinstitute.org/gsea/msigdb/cards/GSE27859_CD11C_INT_F480_HI_MACROPHAGE_VS_CD11C_ING_F480_INT_DC_UP.html" TargetMode="External"/><Relationship Id="rId4051" Type="http://schemas.openxmlformats.org/officeDocument/2006/relationships/hyperlink" Target="http://www.broadinstitute.org/gsea/msigdb/cards/GSE3920_UNTREATED_VS_IFNG_TREATED_FIBROBLAST_DN.html" TargetMode="External"/><Relationship Id="rId4052" Type="http://schemas.openxmlformats.org/officeDocument/2006/relationships/hyperlink" Target="http://www.broadinstitute.org/gsea/msigdb/cards/GSE25146_UNSTIM_VS_HELIOBACTER_PYLORI_LPS_STIM_AGS_CELL_UP.html" TargetMode="External"/><Relationship Id="rId4053" Type="http://schemas.openxmlformats.org/officeDocument/2006/relationships/hyperlink" Target="http://www.broadinstitute.org/gsea/msigdb/cards/GSE13547_WT_VS_ZFX_KO_BCELL_ANTI_IGM_STIM_12H_DN.html" TargetMode="External"/><Relationship Id="rId4054" Type="http://schemas.openxmlformats.org/officeDocument/2006/relationships/hyperlink" Target="http://www.broadinstitute.org/gsea/msigdb/cards/GSE14415_NATURAL_TREG_VS_FOXP3_KO_NATURAL_TREG_DN.html" TargetMode="External"/><Relationship Id="rId4055" Type="http://schemas.openxmlformats.org/officeDocument/2006/relationships/hyperlink" Target="http://www.broadinstitute.org/gsea/msigdb/cards/GSE14415_INDUCED_VS_NATURAL_TREG_UP.html" TargetMode="External"/><Relationship Id="rId4056" Type="http://schemas.openxmlformats.org/officeDocument/2006/relationships/hyperlink" Target="http://www.broadinstitute.org/gsea/msigdb/cards/GSE35825_UNTREATED_VS_IFNG_STIM_MACROPHAGE_DN.html" TargetMode="External"/><Relationship Id="rId4057" Type="http://schemas.openxmlformats.org/officeDocument/2006/relationships/hyperlink" Target="http://www.broadinstitute.org/gsea/msigdb/cards/GSE3920_UNTREATED_VS_IFNG_TREATED_ENDOTHELIAL_CELL_UP.html" TargetMode="External"/><Relationship Id="rId4058" Type="http://schemas.openxmlformats.org/officeDocument/2006/relationships/hyperlink" Target="http://www.broadinstitute.org/gsea/msigdb/cards/GSE3920_IFNA_VS_IFNG_TREATED_FIBROBLAST_DN.html" TargetMode="External"/><Relationship Id="rId4059" Type="http://schemas.openxmlformats.org/officeDocument/2006/relationships/hyperlink" Target="http://www.broadinstitute.org/gsea/msigdb/cards/GSE37301_HEMATOPOIETIC_STEM_CELL_VS_GRAN_MONO_PROGENITOR_UP.html" TargetMode="External"/><Relationship Id="rId992" Type="http://schemas.openxmlformats.org/officeDocument/2006/relationships/hyperlink" Target="http://www.broadinstitute.org/gsea/msigdb/cards/MODULE_112.html" TargetMode="External"/><Relationship Id="rId993" Type="http://schemas.openxmlformats.org/officeDocument/2006/relationships/hyperlink" Target="http://www.broadinstitute.org/gsea/msigdb/cards/GNF2_CBFB.html" TargetMode="External"/><Relationship Id="rId994" Type="http://schemas.openxmlformats.org/officeDocument/2006/relationships/hyperlink" Target="http://www.broadinstitute.org/gsea/msigdb/cards/MODULE_275.html" TargetMode="External"/><Relationship Id="rId995" Type="http://schemas.openxmlformats.org/officeDocument/2006/relationships/hyperlink" Target="http://www.broadinstitute.org/gsea/msigdb/cards/GNF2_TYK2.html" TargetMode="External"/><Relationship Id="rId996" Type="http://schemas.openxmlformats.org/officeDocument/2006/relationships/hyperlink" Target="http://www.broadinstitute.org/gsea/msigdb/cards/MODULE_522.html" TargetMode="External"/><Relationship Id="rId997" Type="http://schemas.openxmlformats.org/officeDocument/2006/relationships/hyperlink" Target="http://www.broadinstitute.org/gsea/msigdb/cards/MODULE_129.html" TargetMode="External"/><Relationship Id="rId998" Type="http://schemas.openxmlformats.org/officeDocument/2006/relationships/hyperlink" Target="http://www.broadinstitute.org/gsea/msigdb/cards/MODULE_51.html" TargetMode="External"/><Relationship Id="rId999" Type="http://schemas.openxmlformats.org/officeDocument/2006/relationships/hyperlink" Target="http://www.broadinstitute.org/gsea/msigdb/cards/MODULE_12.html" TargetMode="External"/><Relationship Id="rId260" Type="http://schemas.openxmlformats.org/officeDocument/2006/relationships/hyperlink" Target="http://www.broadinstitute.org/gsea/msigdb/cards/AMUNDSON_POOR_SURVIVAL_AFTER_GAMMA_RADIATION_2G.html" TargetMode="External"/><Relationship Id="rId261" Type="http://schemas.openxmlformats.org/officeDocument/2006/relationships/hyperlink" Target="http://www.broadinstitute.org/gsea/msigdb/cards/KLEIN_TARGETS_OF_BCR_ABL1_FUSION.html" TargetMode="External"/><Relationship Id="rId262" Type="http://schemas.openxmlformats.org/officeDocument/2006/relationships/hyperlink" Target="http://www.broadinstitute.org/gsea/msigdb/cards/KONDO_PROSTATE_CANCER_WITH_H3K27ME3.html" TargetMode="External"/><Relationship Id="rId263" Type="http://schemas.openxmlformats.org/officeDocument/2006/relationships/hyperlink" Target="http://www.broadinstitute.org/gsea/msigdb/cards/PID_NFAT_TFPATHWAY.html" TargetMode="External"/><Relationship Id="rId264" Type="http://schemas.openxmlformats.org/officeDocument/2006/relationships/hyperlink" Target="http://www.broadinstitute.org/gsea/msigdb/cards/GRAHAM_CML_QUIESCENT_VS_NORMAL_QUIESCENT_DN.html" TargetMode="External"/><Relationship Id="rId265" Type="http://schemas.openxmlformats.org/officeDocument/2006/relationships/hyperlink" Target="http://www.broadinstitute.org/gsea/msigdb/cards/HOEBEKE_LYMPHOID_STEM_CELL_UP.html" TargetMode="External"/><Relationship Id="rId266" Type="http://schemas.openxmlformats.org/officeDocument/2006/relationships/hyperlink" Target="http://www.broadinstitute.org/gsea/msigdb/cards/BOYLAN_MULTIPLE_MYELOMA_D_DN.html" TargetMode="External"/><Relationship Id="rId267" Type="http://schemas.openxmlformats.org/officeDocument/2006/relationships/hyperlink" Target="http://www.broadinstitute.org/gsea/msigdb/cards/THEILGAARD_NEUTROPHIL_AT_SKIN_WOUND_DN.html" TargetMode="External"/><Relationship Id="rId268" Type="http://schemas.openxmlformats.org/officeDocument/2006/relationships/hyperlink" Target="http://www.broadinstitute.org/gsea/msigdb/cards/MARZEC_IL2_SIGNALING_UP.html" TargetMode="External"/><Relationship Id="rId269" Type="http://schemas.openxmlformats.org/officeDocument/2006/relationships/hyperlink" Target="http://www.broadinstitute.org/gsea/msigdb/cards/WEST_ADRENOCORTICAL_CARCINOMA_VS_ADENOMA_DN.html" TargetMode="External"/><Relationship Id="rId4790" Type="http://schemas.openxmlformats.org/officeDocument/2006/relationships/hyperlink" Target="http://www.broadinstitute.org/gsea/msigdb/cards/GSE411_UNSTIM_VS_400MIN_IL6_STIM_SOCS3_KO_MACROPHAGE_UP.html" TargetMode="External"/><Relationship Id="rId4791" Type="http://schemas.openxmlformats.org/officeDocument/2006/relationships/hyperlink" Target="http://www.broadinstitute.org/gsea/msigdb/cards/GSE411_UNSTIM_VS_400MIN_IL6_STIM_SOCS3_KO_MACROPHAGE_DN.html" TargetMode="External"/><Relationship Id="rId4792" Type="http://schemas.openxmlformats.org/officeDocument/2006/relationships/hyperlink" Target="http://www.broadinstitute.org/gsea/msigdb/cards/GSE2770_UNTREATED_VS_TGFB_AND_IL4_TREATED_ACT_CD4_TCELL_2H_UP.html" TargetMode="External"/><Relationship Id="rId4793" Type="http://schemas.openxmlformats.org/officeDocument/2006/relationships/hyperlink" Target="http://www.broadinstitute.org/gsea/msigdb/cards/GSE2770_TGFB_AND_IL4_VS_IL4_TREATED_ACT_CD4_TCELL_6H_UP.html" TargetMode="External"/><Relationship Id="rId4794" Type="http://schemas.openxmlformats.org/officeDocument/2006/relationships/hyperlink" Target="http://www.broadinstitute.org/gsea/msigdb/cards/GSE1112_OT1_VS_HY_CD8AB_THYMOCYTE_RTOC_CULTURE_DN.html" TargetMode="External"/><Relationship Id="rId4795" Type="http://schemas.openxmlformats.org/officeDocument/2006/relationships/hyperlink" Target="http://www.broadinstitute.org/gsea/msigdb/cards/GSE1791_CTRL_VS_NEUROMEDINU_IN_T_CELL_LINE_0.8H_UP.html" TargetMode="External"/><Relationship Id="rId4796" Type="http://schemas.openxmlformats.org/officeDocument/2006/relationships/hyperlink" Target="http://www.broadinstitute.org/gsea/msigdb/cards/GSE2128_C57BL6_VS_NOD_THYMOCYTE_DN.html" TargetMode="External"/><Relationship Id="rId4797" Type="http://schemas.openxmlformats.org/officeDocument/2006/relationships/hyperlink" Target="http://www.broadinstitute.org/gsea/msigdb/cards/GSE8835_CD4_VS_CD8_TCELL_DN.html" TargetMode="External"/><Relationship Id="rId4798" Type="http://schemas.openxmlformats.org/officeDocument/2006/relationships/hyperlink" Target="http://www.broadinstitute.org/gsea/msigdb/cards/GSE8835_HEALTHY_VS_CLL_CD4_TCELL_UP.html" TargetMode="External"/><Relationship Id="rId4799" Type="http://schemas.openxmlformats.org/officeDocument/2006/relationships/hyperlink" Target="http://www.broadinstitute.org/gsea/msigdb/cards/GSE2585_AIRE_KO_VS_WT_CD80_HIGH_MTEC_DN.html" TargetMode="External"/><Relationship Id="rId5150" Type="http://schemas.openxmlformats.org/officeDocument/2006/relationships/hyperlink" Target="http://www.broadinstitute.org/gsea/msigdb/cards/GSE2770_TGFB_AND_IL4_VS_IL12_TREATED_ACT_CD4_TCELL_48H_UP.html" TargetMode="External"/><Relationship Id="rId5151" Type="http://schemas.openxmlformats.org/officeDocument/2006/relationships/hyperlink" Target="http://www.broadinstitute.org/gsea/msigdb/cards/GSE2770_IL12_AND_TGFB_ACT_VS_ACT_CD4_TCELL_2H_UP.html" TargetMode="External"/><Relationship Id="rId5152" Type="http://schemas.openxmlformats.org/officeDocument/2006/relationships/hyperlink" Target="http://www.broadinstitute.org/gsea/msigdb/cards/GSE1791_CTRL_VS_NEUROMEDINU_IN_T_CELL_LINE_12H_UP.html" TargetMode="External"/><Relationship Id="rId5153" Type="http://schemas.openxmlformats.org/officeDocument/2006/relationships/hyperlink" Target="http://www.broadinstitute.org/gsea/msigdb/cards/GSE1791_CTRL_VS_NEUROMEDINU_IN_T_CELL_LINE_6H_DN.html" TargetMode="External"/><Relationship Id="rId5154" Type="http://schemas.openxmlformats.org/officeDocument/2006/relationships/hyperlink" Target="http://www.broadinstitute.org/gsea/msigdb/cards/GSE2128_C57BL6_VS_NOD_CD4CD8_DP_THYMOCYTE_DN.html" TargetMode="External"/><Relationship Id="rId5155" Type="http://schemas.openxmlformats.org/officeDocument/2006/relationships/hyperlink" Target="http://www.broadinstitute.org/gsea/msigdb/cards/GSE2124_CTRL_VS_LYMPHOTOXIN_BETA_TREATED_MLN_UP.html" TargetMode="External"/><Relationship Id="rId5156" Type="http://schemas.openxmlformats.org/officeDocument/2006/relationships/hyperlink" Target="http://www.broadinstitute.org/gsea/msigdb/cards/GSE8835_HEALTHY_VS_CLL_CD4_TCELL_DN.html" TargetMode="External"/><Relationship Id="rId5157" Type="http://schemas.openxmlformats.org/officeDocument/2006/relationships/hyperlink" Target="http://www.broadinstitute.org/gsea/msigdb/cards/GSE1925_CTRL_VS_24H_IFNG_STIM_MACROPHAGE_UP.html" TargetMode="External"/><Relationship Id="rId5158" Type="http://schemas.openxmlformats.org/officeDocument/2006/relationships/hyperlink" Target="http://www.broadinstitute.org/gsea/msigdb/cards/GSE1925_CTRL_VS_3H_IFNG_STIM_IFNG_PRIMED_MACROPHAGE_UP.html" TargetMode="External"/><Relationship Id="rId5159" Type="http://schemas.openxmlformats.org/officeDocument/2006/relationships/hyperlink" Target="http://www.broadinstitute.org/gsea/msigdb/cards/GSE1925_CTRL_VS_3H_IFNG_STIM_IFNG_PRIMED_MACROPHAGE_DN.html" TargetMode="External"/><Relationship Id="rId4060" Type="http://schemas.openxmlformats.org/officeDocument/2006/relationships/hyperlink" Target="http://www.broadinstitute.org/gsea/msigdb/cards/GSE7596_AKT_TRANSD_VS_CTRL_CD4_TCONV_WITH_TGFB_UP.html" TargetMode="External"/><Relationship Id="rId4061" Type="http://schemas.openxmlformats.org/officeDocument/2006/relationships/hyperlink" Target="http://www.broadinstitute.org/gsea/msigdb/cards/GSE13522_CTRL_VS_T_CRUZI_Y_STRAIN_INF_SKIN_BALBC_MOUSE_DN.html" TargetMode="External"/><Relationship Id="rId4062" Type="http://schemas.openxmlformats.org/officeDocument/2006/relationships/hyperlink" Target="http://www.broadinstitute.org/gsea/msigdb/cards/GSE8685_IL15_ACT_IL2_STARVED_VS_IL21_ACT_IL2_STARVED_CD4_TCELL_DN.html" TargetMode="External"/><Relationship Id="rId4063" Type="http://schemas.openxmlformats.org/officeDocument/2006/relationships/hyperlink" Target="http://www.broadinstitute.org/gsea/msigdb/cards/GSE1566_WT_VS_EZH2_KO_LN_TCELL_UP.html" TargetMode="External"/><Relationship Id="rId4064" Type="http://schemas.openxmlformats.org/officeDocument/2006/relationships/hyperlink" Target="http://www.broadinstitute.org/gsea/msigdb/cards/GSE6269_HEALTHY_VS_STAPH_PNEUMO_INF_PBMC_UP.html" TargetMode="External"/><Relationship Id="rId4065" Type="http://schemas.openxmlformats.org/officeDocument/2006/relationships/hyperlink" Target="http://www.broadinstitute.org/gsea/msigdb/cards/GSE37605_C57BL6_VS_NOD_FOXP3_IRES_GFP_TCONV_DN.html" TargetMode="External"/><Relationship Id="rId4066" Type="http://schemas.openxmlformats.org/officeDocument/2006/relationships/hyperlink" Target="http://www.broadinstitute.org/gsea/msigdb/cards/GSE3920_UNTREATED_VS_IFNA_TREATED_ENDOTHELIAL_CELL_DN.html" TargetMode="External"/><Relationship Id="rId4067" Type="http://schemas.openxmlformats.org/officeDocument/2006/relationships/hyperlink" Target="http://www.broadinstitute.org/gsea/msigdb/cards/GSE4984_LPS_VS_VEHICLE_CTRL_TREATED_DC_UP.html" TargetMode="External"/><Relationship Id="rId4068" Type="http://schemas.openxmlformats.org/officeDocument/2006/relationships/hyperlink" Target="http://www.broadinstitute.org/gsea/msigdb/cards/GSE5542_UNTREATED_VS_IFNA_AND_IFNG_TREATED_EPITHELIAL_CELLS_6H_UP.html" TargetMode="External"/><Relationship Id="rId4069" Type="http://schemas.openxmlformats.org/officeDocument/2006/relationships/hyperlink" Target="http://www.broadinstitute.org/gsea/msigdb/cards/GSE3920_UNTREATED_VS_IFNA_TREATED_FIBROBLAST_UP.html" TargetMode="External"/><Relationship Id="rId270" Type="http://schemas.openxmlformats.org/officeDocument/2006/relationships/hyperlink" Target="http://www.broadinstitute.org/gsea/msigdb/cards/LI_INDUCED_T_TO_NATURAL_KILLER_DN.html" TargetMode="External"/><Relationship Id="rId271" Type="http://schemas.openxmlformats.org/officeDocument/2006/relationships/hyperlink" Target="http://www.broadinstitute.org/gsea/msigdb/cards/ACOSTA_PROLIFERATION_INDEPENDENT_MYC_TARGETS_DN.html" TargetMode="External"/><Relationship Id="rId272" Type="http://schemas.openxmlformats.org/officeDocument/2006/relationships/hyperlink" Target="http://www.broadinstitute.org/gsea/msigdb/cards/PID_PI3KCI_PATHWAY.html" TargetMode="External"/><Relationship Id="rId273" Type="http://schemas.openxmlformats.org/officeDocument/2006/relationships/hyperlink" Target="http://www.broadinstitute.org/gsea/msigdb/cards/HAHTOLA_SEZARY_SYNDROM_UP.html" TargetMode="External"/><Relationship Id="rId274" Type="http://schemas.openxmlformats.org/officeDocument/2006/relationships/hyperlink" Target="http://www.broadinstitute.org/gsea/msigdb/cards/STEARMAN_TUMOR_FIELD_EFFECT_UP.html" TargetMode="External"/><Relationship Id="rId275" Type="http://schemas.openxmlformats.org/officeDocument/2006/relationships/hyperlink" Target="http://www.broadinstitute.org/gsea/msigdb/cards/COATES_MACROPHAGE_M1_VS_M2_UP.html" TargetMode="External"/><Relationship Id="rId276" Type="http://schemas.openxmlformats.org/officeDocument/2006/relationships/hyperlink" Target="http://www.broadinstitute.org/gsea/msigdb/cards/OKAMOTO_LIVER_CANCER_MULTICENTRIC_OCCURRENCE_UP.html" TargetMode="External"/><Relationship Id="rId277" Type="http://schemas.openxmlformats.org/officeDocument/2006/relationships/hyperlink" Target="http://www.broadinstitute.org/gsea/msigdb/cards/REACTOME_PLATELET_ACTIVATION_SIGNALING_AND_AGGREGATION.html" TargetMode="External"/><Relationship Id="rId278" Type="http://schemas.openxmlformats.org/officeDocument/2006/relationships/hyperlink" Target="http://www.broadinstitute.org/gsea/msigdb/cards/MARSON_FOXP3_TARGETS_UP.html" TargetMode="External"/><Relationship Id="rId279" Type="http://schemas.openxmlformats.org/officeDocument/2006/relationships/hyperlink" Target="http://www.broadinstitute.org/gsea/msigdb/cards/PID_IL27_PATHWAY.html" TargetMode="External"/><Relationship Id="rId5160" Type="http://schemas.openxmlformats.org/officeDocument/2006/relationships/hyperlink" Target="http://www.broadinstitute.org/gsea/msigdb/cards/GSE3720_VD1_VS_VD2_GAMMADELTA_TCELL_WITH_LPS_STIM_UP.html" TargetMode="External"/><Relationship Id="rId5161" Type="http://schemas.openxmlformats.org/officeDocument/2006/relationships/hyperlink" Target="http://www.broadinstitute.org/gsea/msigdb/cards/GSE3720_VD1_VS_VD2_GAMMADELTA_TCELL_DN.html" TargetMode="External"/><Relationship Id="rId5162" Type="http://schemas.openxmlformats.org/officeDocument/2006/relationships/hyperlink" Target="http://www.broadinstitute.org/gsea/msigdb/cards/GSE3720_VD1_VS_VD2_GAMMADELTA_TCELL_WITH_PMA_STIM_DN.html" TargetMode="External"/><Relationship Id="rId5163" Type="http://schemas.openxmlformats.org/officeDocument/2006/relationships/hyperlink" Target="http://www.broadinstitute.org/gsea/msigdb/cards/GSE3691_IFN_PRODUCING_KILLER_DC_VS_PLASMACYTOID_DC_SPLEEN_DN.html" TargetMode="External"/><Relationship Id="rId5164" Type="http://schemas.openxmlformats.org/officeDocument/2006/relationships/hyperlink" Target="http://www.broadinstitute.org/gsea/msigdb/cards/GSE3994_WT_VS_PAC1_KO_ACTIVATED_MAST_CELL_UP.html" TargetMode="External"/><Relationship Id="rId5165" Type="http://schemas.openxmlformats.org/officeDocument/2006/relationships/hyperlink" Target="http://www.broadinstitute.org/gsea/msigdb/cards/GSE4142_NAIVE_BCELL_VS_PLASMA_CELL_UP.html" TargetMode="External"/><Relationship Id="rId5166" Type="http://schemas.openxmlformats.org/officeDocument/2006/relationships/hyperlink" Target="http://www.broadinstitute.org/gsea/msigdb/cards/GSE4142_NAIVE_VS_MEMORY_BCELL_UP.html" TargetMode="External"/><Relationship Id="rId5167" Type="http://schemas.openxmlformats.org/officeDocument/2006/relationships/hyperlink" Target="http://www.broadinstitute.org/gsea/msigdb/cards/GSE8921_UNSTIM_0H_VS_TLR1_2_STIM_MONOCYTE_24H_DN.html" TargetMode="External"/><Relationship Id="rId5168" Type="http://schemas.openxmlformats.org/officeDocument/2006/relationships/hyperlink" Target="http://www.broadinstitute.org/gsea/msigdb/cards/GSE4984_GALECTIN1_VS_VEHICLE_CTRL_TREATED_DC_UP.html" TargetMode="External"/><Relationship Id="rId5169" Type="http://schemas.openxmlformats.org/officeDocument/2006/relationships/hyperlink" Target="http://www.broadinstitute.org/gsea/msigdb/cards/GSE5542_IFNA_VS_IFNA_AND_IFNG_TREATED_EPITHELIAL_CELLS_6H_UP.html" TargetMode="External"/><Relationship Id="rId4070" Type="http://schemas.openxmlformats.org/officeDocument/2006/relationships/hyperlink" Target="http://www.broadinstitute.org/gsea/msigdb/cards/GSE2405_HEAT_KILLED_VS_LIVE_A_PHAGOCYTOPHILUM_STIM_NEUTROPHIL_24H_UP.html" TargetMode="External"/><Relationship Id="rId4071" Type="http://schemas.openxmlformats.org/officeDocument/2006/relationships/hyperlink" Target="http://www.broadinstitute.org/gsea/msigdb/cards/GSE27291_0H_VS_7D_STIM_GAMMADELTA_TCELL_UP.html" TargetMode="External"/><Relationship Id="rId4072" Type="http://schemas.openxmlformats.org/officeDocument/2006/relationships/hyperlink" Target="http://www.broadinstitute.org/gsea/msigdb/cards/GSE27896_HDAC6_KO_VS_WT_TREG_DN.html" TargetMode="External"/><Relationship Id="rId4073" Type="http://schemas.openxmlformats.org/officeDocument/2006/relationships/hyperlink" Target="http://www.broadinstitute.org/gsea/msigdb/cards/GSE21546_UNSTIM_VS_ANTI_CD3_STIM_SAP1A_KO_AND_ELK1_KO_DP_THYMOCYTES_DN.html" TargetMode="External"/><Relationship Id="rId4074" Type="http://schemas.openxmlformats.org/officeDocument/2006/relationships/hyperlink" Target="http://www.broadinstitute.org/gsea/msigdb/cards/GSE11884_WT_VS_FURIN_KO_NAIVE_CD4_TCELL_UP.html" TargetMode="External"/><Relationship Id="rId4075" Type="http://schemas.openxmlformats.org/officeDocument/2006/relationships/hyperlink" Target="http://www.broadinstitute.org/gsea/msigdb/cards/GSE18281_MEDULLARY_THYMOCYTE_VS_WHOLE_MEDULLA_THYMUS_UP.html" TargetMode="External"/><Relationship Id="rId4076" Type="http://schemas.openxmlformats.org/officeDocument/2006/relationships/hyperlink" Target="http://www.broadinstitute.org/gsea/msigdb/cards/GSE18281_MEDULLARY_THYMOCYTE_VS_WHOLE_MEDULLA_THYMUS_DN.html" TargetMode="External"/><Relationship Id="rId4077" Type="http://schemas.openxmlformats.org/officeDocument/2006/relationships/hyperlink" Target="http://www.broadinstitute.org/gsea/msigdb/cards/KAECH_NAIVE_VS_DAY15_EFF_CD8_TCELL_UP.html" TargetMode="External"/><Relationship Id="rId4078" Type="http://schemas.openxmlformats.org/officeDocument/2006/relationships/hyperlink" Target="http://www.broadinstitute.org/gsea/msigdb/cards/GSE10239_NAIVE_VS_KLRG1INT_EFF_CD8_TCELL_UP.html" TargetMode="External"/><Relationship Id="rId4079" Type="http://schemas.openxmlformats.org/officeDocument/2006/relationships/hyperlink" Target="http://www.broadinstitute.org/gsea/msigdb/cards/GSE10325_CD4_TCELL_VS_LUPUS_CD4_TCELL_UP.html" TargetMode="External"/><Relationship Id="rId280" Type="http://schemas.openxmlformats.org/officeDocument/2006/relationships/hyperlink" Target="http://www.broadinstitute.org/gsea/msigdb/cards/FINAK_BREAST_CANCER_SDPP_SIGNATURE.html" TargetMode="External"/><Relationship Id="rId281" Type="http://schemas.openxmlformats.org/officeDocument/2006/relationships/hyperlink" Target="http://www.broadinstitute.org/gsea/msigdb/cards/BIOCARTA_IL2RB_PATHWAY.html" TargetMode="External"/><Relationship Id="rId282" Type="http://schemas.openxmlformats.org/officeDocument/2006/relationships/hyperlink" Target="http://www.broadinstitute.org/gsea/msigdb/cards/TARTE_PLASMA_CELL_VS_B_LYMPHOCYTE_DN.html" TargetMode="External"/><Relationship Id="rId283" Type="http://schemas.openxmlformats.org/officeDocument/2006/relationships/hyperlink" Target="http://www.broadinstitute.org/gsea/msigdb/cards/RICKMAN_METASTASIS_DN.html" TargetMode="External"/><Relationship Id="rId284" Type="http://schemas.openxmlformats.org/officeDocument/2006/relationships/hyperlink" Target="http://www.broadinstitute.org/gsea/msigdb/cards/ROSS_AML_WITH_CBFB_MYH11_FUSION.html" TargetMode="External"/><Relationship Id="rId285" Type="http://schemas.openxmlformats.org/officeDocument/2006/relationships/hyperlink" Target="http://www.broadinstitute.org/gsea/msigdb/cards/SWEET_LUNG_CANCER_KRAS_UP.html" TargetMode="External"/><Relationship Id="rId286" Type="http://schemas.openxmlformats.org/officeDocument/2006/relationships/hyperlink" Target="http://www.broadinstitute.org/gsea/msigdb/cards/SABATES_COLORECTAL_ADENOMA_DN.html" TargetMode="External"/><Relationship Id="rId287" Type="http://schemas.openxmlformats.org/officeDocument/2006/relationships/hyperlink" Target="http://www.broadinstitute.org/gsea/msigdb/cards/BIOCARTA_IL17_PATHWAY.html" TargetMode="External"/><Relationship Id="rId288" Type="http://schemas.openxmlformats.org/officeDocument/2006/relationships/hyperlink" Target="http://www.broadinstitute.org/gsea/msigdb/cards/BIOCARTA_IL7_PATHWAY.html" TargetMode="External"/><Relationship Id="rId289" Type="http://schemas.openxmlformats.org/officeDocument/2006/relationships/hyperlink" Target="http://www.broadinstitute.org/gsea/msigdb/cards/HOFFMANN_SMALL_PRE_BII_TO_IMMATURE_B_LYMPHOCYTE_UP.html" TargetMode="External"/><Relationship Id="rId5170" Type="http://schemas.openxmlformats.org/officeDocument/2006/relationships/hyperlink" Target="http://www.broadinstitute.org/gsea/msigdb/cards/GSE5099_UNSTIM_VS_MCSF_TREATED_MONOCYTE_DAY3_UP.html" TargetMode="External"/><Relationship Id="rId5171" Type="http://schemas.openxmlformats.org/officeDocument/2006/relationships/hyperlink" Target="http://www.broadinstitute.org/gsea/msigdb/cards/GSE5099_MONOCYTE_VS_CLASSICAL_M1_MACROPHAGE_DN.html" TargetMode="External"/><Relationship Id="rId5172" Type="http://schemas.openxmlformats.org/officeDocument/2006/relationships/hyperlink" Target="http://www.broadinstitute.org/gsea/msigdb/cards/GSE5099_DAY3_VS_DAY7_MCSF_TREATED_MACROPHAGE_DN.html" TargetMode="External"/><Relationship Id="rId5173" Type="http://schemas.openxmlformats.org/officeDocument/2006/relationships/hyperlink" Target="http://www.broadinstitute.org/gsea/msigdb/cards/GSE5099_CLASSICAL_M1_VS_ALTERNATIVE_M2_MACROPHAGE_DN.html" TargetMode="External"/><Relationship Id="rId5174" Type="http://schemas.openxmlformats.org/officeDocument/2006/relationships/hyperlink" Target="http://www.broadinstitute.org/gsea/msigdb/cards/GSE5589_UNSTIM_VS_45MIN_LPS_AND_IL10_STIM_MACROPHAGE_UP.html" TargetMode="External"/><Relationship Id="rId5175" Type="http://schemas.openxmlformats.org/officeDocument/2006/relationships/hyperlink" Target="http://www.broadinstitute.org/gsea/msigdb/cards/GSE5589_LPS_VS_LPS_AND_IL10_STIM_IL6_KO_MACROPHAGE_180MIN_UP.html" TargetMode="External"/><Relationship Id="rId5176" Type="http://schemas.openxmlformats.org/officeDocument/2006/relationships/hyperlink" Target="http://www.broadinstitute.org/gsea/msigdb/cards/GSE5589_LPS_VS_LPS_AND_IL10_STIM_IL10_KO_MACROPHAGE_180MIN_UP.html" TargetMode="External"/><Relationship Id="rId5177" Type="http://schemas.openxmlformats.org/officeDocument/2006/relationships/hyperlink" Target="http://www.broadinstitute.org/gsea/msigdb/cards/GSE5589_IL6_KO_VS_IL10_KO_LPS_AND_IL10_STIM_MACROPHAGE_45MIN_DN.html" TargetMode="External"/><Relationship Id="rId5178" Type="http://schemas.openxmlformats.org/officeDocument/2006/relationships/hyperlink" Target="http://www.broadinstitute.org/gsea/msigdb/cards/GSE6259_BCELL_VS_CD4_TCELL_DN.html" TargetMode="External"/><Relationship Id="rId5179" Type="http://schemas.openxmlformats.org/officeDocument/2006/relationships/hyperlink" Target="http://www.broadinstitute.org/gsea/msigdb/cards/GSE6259_BCELL_VS_CD8_TCELL_UP.html" TargetMode="External"/><Relationship Id="rId4080" Type="http://schemas.openxmlformats.org/officeDocument/2006/relationships/hyperlink" Target="http://www.broadinstitute.org/gsea/msigdb/cards/GSE11057_NAIVE_CD4_VS_PBMC_CD4_TCELL_UP.html" TargetMode="External"/><Relationship Id="rId4081" Type="http://schemas.openxmlformats.org/officeDocument/2006/relationships/hyperlink" Target="http://www.broadinstitute.org/gsea/msigdb/cards/GSE12366_NAIVE_VS_MEMORY_BCELL_UP.html" TargetMode="External"/><Relationship Id="rId4082" Type="http://schemas.openxmlformats.org/officeDocument/2006/relationships/hyperlink" Target="http://www.broadinstitute.org/gsea/msigdb/cards/GSE12845_IGD_POS_BLOOD_VS_NAIVE_TONSIL_BCELL_UP.html" TargetMode="External"/><Relationship Id="rId4083" Type="http://schemas.openxmlformats.org/officeDocument/2006/relationships/hyperlink" Target="http://www.broadinstitute.org/gsea/msigdb/cards/GSE12845_NAIVE_VS_DARKZONE_GC_TONSIL_BCELL_UP.html" TargetMode="External"/><Relationship Id="rId4084" Type="http://schemas.openxmlformats.org/officeDocument/2006/relationships/hyperlink" Target="http://www.broadinstitute.org/gsea/msigdb/cards/GSE13229_IMM_VS_INTMATURE_NKCELL_DN.html" TargetMode="External"/><Relationship Id="rId4085" Type="http://schemas.openxmlformats.org/officeDocument/2006/relationships/hyperlink" Target="http://www.broadinstitute.org/gsea/msigdb/cards/GSE13229_MATURE_VS_INTMATURE_NKCELL_DN.html" TargetMode="External"/><Relationship Id="rId4086" Type="http://schemas.openxmlformats.org/officeDocument/2006/relationships/hyperlink" Target="http://www.broadinstitute.org/gsea/msigdb/cards/GSE13484_UNSTIM_VS_12H_YF17D_VACCINE_STIM_PBMC_DN.html" TargetMode="External"/><Relationship Id="rId4087" Type="http://schemas.openxmlformats.org/officeDocument/2006/relationships/hyperlink" Target="http://www.broadinstitute.org/gsea/msigdb/cards/GSE13484_12H_VS_3H_YF17D_VACCINE_STIM_PBMC_UP.html" TargetMode="External"/><Relationship Id="rId4088" Type="http://schemas.openxmlformats.org/officeDocument/2006/relationships/hyperlink" Target="http://www.broadinstitute.org/gsea/msigdb/cards/GSE13485_DAY1_VS_DAY3_YF17D_VACCINE_PBMC_DN.html" TargetMode="External"/><Relationship Id="rId4089" Type="http://schemas.openxmlformats.org/officeDocument/2006/relationships/hyperlink" Target="http://www.broadinstitute.org/gsea/msigdb/cards/GSE13493_DP_VS_CD8POS_THYMOCYTE_DN.html" TargetMode="External"/><Relationship Id="rId290" Type="http://schemas.openxmlformats.org/officeDocument/2006/relationships/hyperlink" Target="http://www.broadinstitute.org/gsea/msigdb/cards/REACTOME_THE_ROLE_OF_NEF_IN_HIV1_REPLICATION_AND_DISEASE_PATHOGENESIS.html" TargetMode="External"/><Relationship Id="rId291" Type="http://schemas.openxmlformats.org/officeDocument/2006/relationships/hyperlink" Target="http://www.broadinstitute.org/gsea/msigdb/cards/FLORIO_NEOCORTEX_BASAL_RADIAL_GLIA_UP.html" TargetMode="External"/><Relationship Id="rId292" Type="http://schemas.openxmlformats.org/officeDocument/2006/relationships/hyperlink" Target="http://www.broadinstitute.org/gsea/msigdb/cards/REACTOME_SIGNALING_BY_ILS.html" TargetMode="External"/><Relationship Id="rId293" Type="http://schemas.openxmlformats.org/officeDocument/2006/relationships/hyperlink" Target="http://www.broadinstitute.org/gsea/msigdb/cards/MARTINEZ_TP53_TARGETS_UP.html" TargetMode="External"/><Relationship Id="rId294" Type="http://schemas.openxmlformats.org/officeDocument/2006/relationships/hyperlink" Target="http://www.broadinstitute.org/gsea/msigdb/cards/REACTOME_MHC_CLASS_II_ANTIGEN_PRESENTATION.html" TargetMode="External"/><Relationship Id="rId295" Type="http://schemas.openxmlformats.org/officeDocument/2006/relationships/hyperlink" Target="http://www.broadinstitute.org/gsea/msigdb/cards/HINATA_NFKB_TARGETS_KERATINOCYTE_UP.html" TargetMode="External"/><Relationship Id="rId296" Type="http://schemas.openxmlformats.org/officeDocument/2006/relationships/hyperlink" Target="http://www.broadinstitute.org/gsea/msigdb/cards/VECCHI_GASTRIC_CANCER_ADVANCED_VS_EARLY_UP.html" TargetMode="External"/><Relationship Id="rId297" Type="http://schemas.openxmlformats.org/officeDocument/2006/relationships/hyperlink" Target="http://www.broadinstitute.org/gsea/msigdb/cards/WORSCHECH_TUMOR_EVASION_AND_TOLEROGENICITY_UP.html" TargetMode="External"/><Relationship Id="rId298" Type="http://schemas.openxmlformats.org/officeDocument/2006/relationships/hyperlink" Target="http://www.broadinstitute.org/gsea/msigdb/cards/KLEIN_PRIMARY_EFFUSION_LYMPHOMA_DN.html" TargetMode="External"/><Relationship Id="rId299" Type="http://schemas.openxmlformats.org/officeDocument/2006/relationships/hyperlink" Target="http://www.broadinstitute.org/gsea/msigdb/cards/WUNDER_INFLAMMATORY_RESPONSE_AND_CHOLESTEROL_UP.html" TargetMode="External"/><Relationship Id="rId5180" Type="http://schemas.openxmlformats.org/officeDocument/2006/relationships/hyperlink" Target="http://www.broadinstitute.org/gsea/msigdb/cards/GSE6259_FLT3L_INDUCED_33D1_POS_DC_VS_BCELL_UP.html" TargetMode="External"/><Relationship Id="rId5181" Type="http://schemas.openxmlformats.org/officeDocument/2006/relationships/hyperlink" Target="http://www.broadinstitute.org/gsea/msigdb/cards/GSE6259_FLT3L_INDUCED_DEC205_POS_DC_VS_CD4_TCELL_UP.html" TargetMode="External"/><Relationship Id="rId5182" Type="http://schemas.openxmlformats.org/officeDocument/2006/relationships/hyperlink" Target="http://www.broadinstitute.org/gsea/msigdb/cards/GSE3203_UNTREATED_VS_IFNB_TREATED_LN_BCELL_DN.html" TargetMode="External"/><Relationship Id="rId5183" Type="http://schemas.openxmlformats.org/officeDocument/2006/relationships/hyperlink" Target="http://www.broadinstitute.org/gsea/msigdb/cards/GSE3203_UNTREATED_VS_IFNB_TREATED_LN_BCELL_UP.html" TargetMode="External"/><Relationship Id="rId5184" Type="http://schemas.openxmlformats.org/officeDocument/2006/relationships/hyperlink" Target="http://www.broadinstitute.org/gsea/msigdb/cards/GSE7548_DAY7_VS_DAY28_PCC_IMMUNIZATION_CD4_TCELL_UP.html" TargetMode="External"/><Relationship Id="rId5185" Type="http://schemas.openxmlformats.org/officeDocument/2006/relationships/hyperlink" Target="http://www.broadinstitute.org/gsea/msigdb/cards/GSE9509_10MIN_VS_30MIN_LPS_STIM_IL10_KO_MACROPHAGE_DN.html" TargetMode="External"/><Relationship Id="rId5186" Type="http://schemas.openxmlformats.org/officeDocument/2006/relationships/hyperlink" Target="http://www.broadinstitute.org/gsea/msigdb/cards/GSE6674_ANTI_IGM_VS_PL2_3_STIM_BCELL_DN.html" TargetMode="External"/><Relationship Id="rId5187" Type="http://schemas.openxmlformats.org/officeDocument/2006/relationships/hyperlink" Target="http://www.broadinstitute.org/gsea/msigdb/cards/GSE8621_LPS_PRIMED_UNSTIM_VS_LPS_PRIMED_AND_LPS_STIM_MACROPHAGE_UP.html" TargetMode="External"/><Relationship Id="rId5188" Type="http://schemas.openxmlformats.org/officeDocument/2006/relationships/hyperlink" Target="http://www.broadinstitute.org/gsea/msigdb/cards/GSE5503_PLN_DC_VS_SPLEEN_DC_ACTIVATED_ALLOGENIC_TCELL_UP.html" TargetMode="External"/><Relationship Id="rId5189" Type="http://schemas.openxmlformats.org/officeDocument/2006/relationships/hyperlink" Target="http://www.broadinstitute.org/gsea/msigdb/cards/GSE10273_LOW_IL7_VS_HIGH_IL7_AND_IRF4_IN_IRF4_8_NULL_PRE_BCELL_DN.html" TargetMode="External"/><Relationship Id="rId4090" Type="http://schemas.openxmlformats.org/officeDocument/2006/relationships/hyperlink" Target="http://www.broadinstitute.org/gsea/msigdb/cards/GSE14000_UNSTIM_VS_16H_LPS_DC_UP.html" TargetMode="External"/><Relationship Id="rId4091" Type="http://schemas.openxmlformats.org/officeDocument/2006/relationships/hyperlink" Target="http://www.broadinstitute.org/gsea/msigdb/cards/GSE14308_TH2_VS_TH1_DN.html" TargetMode="External"/><Relationship Id="rId4092" Type="http://schemas.openxmlformats.org/officeDocument/2006/relationships/hyperlink" Target="http://www.broadinstitute.org/gsea/msigdb/cards/GSE14308_TH17_VS_NAIVE_CD4_TCELL_DN.html" TargetMode="External"/><Relationship Id="rId4093" Type="http://schemas.openxmlformats.org/officeDocument/2006/relationships/hyperlink" Target="http://www.broadinstitute.org/gsea/msigdb/cards/GSE14350_TREG_VS_TEFF_UP.html" TargetMode="External"/><Relationship Id="rId4094" Type="http://schemas.openxmlformats.org/officeDocument/2006/relationships/hyperlink" Target="http://www.broadinstitute.org/gsea/msigdb/cards/GSE14350_TREG_VS_TEFF_IN_IL2RB_KO_UP.html" TargetMode="External"/><Relationship Id="rId4095" Type="http://schemas.openxmlformats.org/officeDocument/2006/relationships/hyperlink" Target="http://www.broadinstitute.org/gsea/msigdb/cards/GSE1460_DP_THYMOCYTE_VS_NAIVE_CD4_TCELL_CORD_BLOOD_DN.html" TargetMode="External"/><Relationship Id="rId4096" Type="http://schemas.openxmlformats.org/officeDocument/2006/relationships/hyperlink" Target="http://www.broadinstitute.org/gsea/msigdb/cards/GSE14769_UNSTIM_VS_20MIN_LPS_BMDM_DN.html" TargetMode="External"/><Relationship Id="rId4097" Type="http://schemas.openxmlformats.org/officeDocument/2006/relationships/hyperlink" Target="http://www.broadinstitute.org/gsea/msigdb/cards/GSE14769_40MIN_VS_360MIN_LPS_BMDM_DN.html" TargetMode="External"/><Relationship Id="rId4098" Type="http://schemas.openxmlformats.org/officeDocument/2006/relationships/hyperlink" Target="http://www.broadinstitute.org/gsea/msigdb/cards/GSE15733_BM_VS_SPLEEN_MEMORY_CD4_TCELL_DN.html" TargetMode="External"/><Relationship Id="rId4099" Type="http://schemas.openxmlformats.org/officeDocument/2006/relationships/hyperlink" Target="http://www.broadinstitute.org/gsea/msigdb/cards/GSE15750_DAY6_VS_DAY10_TRAF6KO_EFF_CD8_TCELL_DN.html" TargetMode="External"/><Relationship Id="rId5190" Type="http://schemas.openxmlformats.org/officeDocument/2006/relationships/hyperlink" Target="http://www.broadinstitute.org/gsea/msigdb/cards/GSE8685_IL2_STARVED_VS_IL15_ACT_IL2_STARVED_CD4_TCELL_UP.html" TargetMode="External"/><Relationship Id="rId5191" Type="http://schemas.openxmlformats.org/officeDocument/2006/relationships/hyperlink" Target="http://www.broadinstitute.org/gsea/msigdb/cards/GSE11884_WT_VS_FURIN_KO_NAIVE_CD4_TCELL_DN.html" TargetMode="External"/><Relationship Id="rId5192" Type="http://schemas.openxmlformats.org/officeDocument/2006/relationships/hyperlink" Target="http://www.broadinstitute.org/gsea/msigdb/cards/GSE9946_IMMATURE_VS_LISTERIA_INF_MATURE_DC_DN.html" TargetMode="External"/><Relationship Id="rId5193" Type="http://schemas.openxmlformats.org/officeDocument/2006/relationships/hyperlink" Target="http://www.broadinstitute.org/gsea/msigdb/cards/GSE12707_AT16L1_HYPOMORPH_VS_WT_THYMUS_UP.html" TargetMode="External"/><Relationship Id="rId5194" Type="http://schemas.openxmlformats.org/officeDocument/2006/relationships/hyperlink" Target="http://www.broadinstitute.org/gsea/msigdb/cards/GSE14413_UNSTIM_VS_IFNB_STIM_RAW264_CELLS_UP.html" TargetMode="External"/><Relationship Id="rId5195" Type="http://schemas.openxmlformats.org/officeDocument/2006/relationships/hyperlink" Target="http://www.broadinstitute.org/gsea/msigdb/cards/GSE13522_CTRL_VS_T_CRUZI_G_STRAIN_INF_SKIN_UP.html" TargetMode="External"/><Relationship Id="rId5196" Type="http://schemas.openxmlformats.org/officeDocument/2006/relationships/hyperlink" Target="http://www.broadinstitute.org/gsea/msigdb/cards/GSE15330_LYMPHOID_MULTIPOTENT_VS_PRO_BCELL_DN.html" TargetMode="External"/><Relationship Id="rId5197" Type="http://schemas.openxmlformats.org/officeDocument/2006/relationships/hyperlink" Target="http://www.broadinstitute.org/gsea/msigdb/cards/GSE15330_WT_VS_IKAROS_KO_LYMPHOID_MULTIPOTENT_PROGENITOR_UP.html" TargetMode="External"/><Relationship Id="rId5198" Type="http://schemas.openxmlformats.org/officeDocument/2006/relationships/hyperlink" Target="http://www.broadinstitute.org/gsea/msigdb/cards/GSE15330_LYMPHOID_MULTIPOTENT_VS_GRANULOCYTE_MONOCYTE_PROGENITOR_IKAROS_KO_DN.html" TargetMode="External"/><Relationship Id="rId5199" Type="http://schemas.openxmlformats.org/officeDocument/2006/relationships/hyperlink" Target="http://www.broadinstitute.org/gsea/msigdb/cards/GSE12198_LOW_IL2_STIM_NK_CELL_VS_HIGH_IL2_STIM_NK_CELL_UP.html" TargetMode="External"/><Relationship Id="rId1300" Type="http://schemas.openxmlformats.org/officeDocument/2006/relationships/hyperlink" Target="http://www.broadinstitute.org/gsea/msigdb/cards/GO_REGULATION_OF_ALPHA_BETA_T_CELL_PROLIFERATION.html" TargetMode="External"/><Relationship Id="rId1301" Type="http://schemas.openxmlformats.org/officeDocument/2006/relationships/hyperlink" Target="http://www.broadinstitute.org/gsea/msigdb/cards/GO_THYMOCYTE_AGGREGATION.html" TargetMode="External"/><Relationship Id="rId1302" Type="http://schemas.openxmlformats.org/officeDocument/2006/relationships/hyperlink" Target="http://www.broadinstitute.org/gsea/msigdb/cards/GO_NEGATIVE_REGULATION_OF_DEFENSE_RESPONSE.html" TargetMode="External"/><Relationship Id="rId1303" Type="http://schemas.openxmlformats.org/officeDocument/2006/relationships/hyperlink" Target="http://www.broadinstitute.org/gsea/msigdb/cards/GO_NEGATIVE_REGULATION_OF_INTERLEUKIN_12_PRODUCTION.html" TargetMode="External"/><Relationship Id="rId1304" Type="http://schemas.openxmlformats.org/officeDocument/2006/relationships/hyperlink" Target="http://www.broadinstitute.org/gsea/msigdb/cards/GO_REGULATION_OF_CALCIUM_ION_TRANSPORT.html" TargetMode="External"/><Relationship Id="rId1305" Type="http://schemas.openxmlformats.org/officeDocument/2006/relationships/hyperlink" Target="http://www.broadinstitute.org/gsea/msigdb/cards/GO_REGULATION_OF_PROTEIN_LOCALIZATION.html" TargetMode="External"/><Relationship Id="rId1306" Type="http://schemas.openxmlformats.org/officeDocument/2006/relationships/hyperlink" Target="http://www.broadinstitute.org/gsea/msigdb/cards/GO_REGULATION_OF_I_KAPPAB_KINASE_NF_KAPPAB_SIGNALING.html" TargetMode="External"/><Relationship Id="rId1307" Type="http://schemas.openxmlformats.org/officeDocument/2006/relationships/hyperlink" Target="http://www.broadinstitute.org/gsea/msigdb/cards/GO_LEUKOCYTE_HOMEOSTASIS.html" TargetMode="External"/><Relationship Id="rId1308" Type="http://schemas.openxmlformats.org/officeDocument/2006/relationships/hyperlink" Target="http://www.broadinstitute.org/gsea/msigdb/cards/GO_REGULATION_OF_NATURAL_KILLER_CELL_MEDIATED_IMMUNITY.html" TargetMode="External"/><Relationship Id="rId1309" Type="http://schemas.openxmlformats.org/officeDocument/2006/relationships/hyperlink" Target="http://www.broadinstitute.org/gsea/msigdb/cards/GO_CELL_RECOGNITION.html" TargetMode="External"/><Relationship Id="rId2400" Type="http://schemas.openxmlformats.org/officeDocument/2006/relationships/hyperlink" Target="http://www.broadinstitute.org/gsea/msigdb/cards/GSE1432_CTRL_VS_IFNG_24H_MICROGLIA_DN.html" TargetMode="External"/><Relationship Id="rId2401" Type="http://schemas.openxmlformats.org/officeDocument/2006/relationships/hyperlink" Target="http://www.broadinstitute.org/gsea/msigdb/cards/GSE24142_EARLY_THYMIC_PROGENITOR_VS_DN2_THYMOCYTE_ADULT_DN.html" TargetMode="External"/><Relationship Id="rId2402" Type="http://schemas.openxmlformats.org/officeDocument/2006/relationships/hyperlink" Target="http://www.broadinstitute.org/gsea/msigdb/cards/GSE24142_EARLY_THYMIC_PROGENITOR_VS_DN3_THYMOCYTE_ADULT_UP.html" TargetMode="External"/><Relationship Id="rId2403" Type="http://schemas.openxmlformats.org/officeDocument/2006/relationships/hyperlink" Target="http://www.broadinstitute.org/gsea/msigdb/cards/GSE29618_MONOCYTE_VS_MDC_DAY7_FLU_VACCINE_DN.html" TargetMode="External"/><Relationship Id="rId2404" Type="http://schemas.openxmlformats.org/officeDocument/2006/relationships/hyperlink" Target="http://www.broadinstitute.org/gsea/msigdb/cards/GSE9988_ANTI_TREM1_VS_CTRL_TREATED_MONOCYTES_DN.html" TargetMode="External"/><Relationship Id="rId2405" Type="http://schemas.openxmlformats.org/officeDocument/2006/relationships/hyperlink" Target="http://www.broadinstitute.org/gsea/msigdb/cards/GSE9988_LPS_VS_LPS_AND_ANTI_TREM1_MONOCYTE_UP.html" TargetMode="External"/><Relationship Id="rId2406" Type="http://schemas.openxmlformats.org/officeDocument/2006/relationships/hyperlink" Target="http://www.broadinstitute.org/gsea/msigdb/cards/GSE2405_S_AUREUS_VS_A_PHAGOCYTOPHILUM_NEUTROPHIL_UP.html" TargetMode="External"/><Relationship Id="rId2407" Type="http://schemas.openxmlformats.org/officeDocument/2006/relationships/hyperlink" Target="http://www.broadinstitute.org/gsea/msigdb/cards/GSE7831_1H_VS_4H_INFLUENZA_STIM_PDC_DN.html" TargetMode="External"/><Relationship Id="rId2408" Type="http://schemas.openxmlformats.org/officeDocument/2006/relationships/hyperlink" Target="http://www.broadinstitute.org/gsea/msigdb/cards/GSE8621_LPS_STIM_VS_LPS_PRIMED_AND_LPS_STIM_MACROPHAGE_DN.html" TargetMode="External"/><Relationship Id="rId2409" Type="http://schemas.openxmlformats.org/officeDocument/2006/relationships/hyperlink" Target="http://www.broadinstitute.org/gsea/msigdb/cards/GSE13522_WT_VS_IFNAR_KO_SKING_T_CRUZI_Y_STRAIN_INF_UP.html" TargetMode="External"/><Relationship Id="rId1310" Type="http://schemas.openxmlformats.org/officeDocument/2006/relationships/hyperlink" Target="http://www.broadinstitute.org/gsea/msigdb/cards/GO_DENDRITIC_CELL_CHEMOTAXIS.html" TargetMode="External"/><Relationship Id="rId1311" Type="http://schemas.openxmlformats.org/officeDocument/2006/relationships/hyperlink" Target="http://www.broadinstitute.org/gsea/msigdb/cards/GO_REGULATION_OF_BODY_FLUID_LEVELS.html" TargetMode="External"/><Relationship Id="rId1312" Type="http://schemas.openxmlformats.org/officeDocument/2006/relationships/hyperlink" Target="http://www.broadinstitute.org/gsea/msigdb/cards/GO_CLATHRIN_COATED_ENDOCYTIC_VESICLE_MEMBRANE.html" TargetMode="External"/><Relationship Id="rId1313" Type="http://schemas.openxmlformats.org/officeDocument/2006/relationships/hyperlink" Target="http://www.broadinstitute.org/gsea/msigdb/cards/GO_LYMPHOCYTE_MIGRATION.html" TargetMode="External"/><Relationship Id="rId1314" Type="http://schemas.openxmlformats.org/officeDocument/2006/relationships/hyperlink" Target="http://www.broadinstitute.org/gsea/msigdb/cards/GO_REGULATION_OF_OSTEOCLAST_DIFFERENTIATION.html" TargetMode="External"/><Relationship Id="rId1315" Type="http://schemas.openxmlformats.org/officeDocument/2006/relationships/hyperlink" Target="http://www.broadinstitute.org/gsea/msigdb/cards/GO_MYELOID_DENDRITIC_CELL_ACTIVATION.html" TargetMode="External"/><Relationship Id="rId1316" Type="http://schemas.openxmlformats.org/officeDocument/2006/relationships/hyperlink" Target="http://www.broadinstitute.org/gsea/msigdb/cards/GO_POSITIVE_REGULATION_OF_ALPHA_BETA_T_CELL_DIFFERENTIATION.html" TargetMode="External"/><Relationship Id="rId1317" Type="http://schemas.openxmlformats.org/officeDocument/2006/relationships/hyperlink" Target="http://www.broadinstitute.org/gsea/msigdb/cards/GO_B_CELL_PROLIFERATION.html" TargetMode="External"/><Relationship Id="rId1318" Type="http://schemas.openxmlformats.org/officeDocument/2006/relationships/hyperlink" Target="http://www.broadinstitute.org/gsea/msigdb/cards/GO_CORECEPTOR_ACTIVITY.html" TargetMode="External"/><Relationship Id="rId1319" Type="http://schemas.openxmlformats.org/officeDocument/2006/relationships/hyperlink" Target="http://www.broadinstitute.org/gsea/msigdb/cards/GO_CLATHRIN_COATED_ENDOCYTIC_VESICLE.html" TargetMode="External"/><Relationship Id="rId3500" Type="http://schemas.openxmlformats.org/officeDocument/2006/relationships/hyperlink" Target="http://www.broadinstitute.org/gsea/msigdb/cards/GSE37416_CTRL_VS_3H_F_TULARENSIS_LVS_NEUTROPHIL_UP.html" TargetMode="External"/><Relationship Id="rId3501" Type="http://schemas.openxmlformats.org/officeDocument/2006/relationships/hyperlink" Target="http://www.broadinstitute.org/gsea/msigdb/cards/GSE37416_0H_VS_3H_F_TULARENSIS_LVS_NEUTROPHIL_UP.html" TargetMode="External"/><Relationship Id="rId3502" Type="http://schemas.openxmlformats.org/officeDocument/2006/relationships/hyperlink" Target="http://www.broadinstitute.org/gsea/msigdb/cards/GSE37416_0H_VS_6H_F_TULARENSIS_LVS_NEUTROPHIL_UP.html" TargetMode="External"/><Relationship Id="rId3503" Type="http://schemas.openxmlformats.org/officeDocument/2006/relationships/hyperlink" Target="http://www.broadinstitute.org/gsea/msigdb/cards/GSE3982_EOSINOPHIL_VS_NEUTROPHIL_DN.html" TargetMode="External"/><Relationship Id="rId3504" Type="http://schemas.openxmlformats.org/officeDocument/2006/relationships/hyperlink" Target="http://www.broadinstitute.org/gsea/msigdb/cards/GSE3982_EOSINOPHIL_VS_BASOPHIL_UP.html" TargetMode="External"/><Relationship Id="rId3505" Type="http://schemas.openxmlformats.org/officeDocument/2006/relationships/hyperlink" Target="http://www.broadinstitute.org/gsea/msigdb/cards/GSE3982_EOSINOPHIL_VS_NKCELL_UP.html" TargetMode="External"/><Relationship Id="rId3506" Type="http://schemas.openxmlformats.org/officeDocument/2006/relationships/hyperlink" Target="http://www.broadinstitute.org/gsea/msigdb/cards/GSE3982_MAST_CELL_VS_CENT_MEMORY_CD4_TCELL_UP.html" TargetMode="External"/><Relationship Id="rId3507" Type="http://schemas.openxmlformats.org/officeDocument/2006/relationships/hyperlink" Target="http://www.broadinstitute.org/gsea/msigdb/cards/GSE3982_DC_VS_NEUTROPHIL_DN.html" TargetMode="External"/><Relationship Id="rId3508" Type="http://schemas.openxmlformats.org/officeDocument/2006/relationships/hyperlink" Target="http://www.broadinstitute.org/gsea/msigdb/cards/GSE3982_DC_VS_BASOPHIL_DN.html" TargetMode="External"/><Relationship Id="rId3509" Type="http://schemas.openxmlformats.org/officeDocument/2006/relationships/hyperlink" Target="http://www.broadinstitute.org/gsea/msigdb/cards/GSE3982_DC_VS_NKCELL_DN.html" TargetMode="External"/><Relationship Id="rId800" Type="http://schemas.openxmlformats.org/officeDocument/2006/relationships/hyperlink" Target="http://www.broadinstitute.org/gsea/msigdb/cards/PEA3_Q6.html" TargetMode="External"/><Relationship Id="rId801" Type="http://schemas.openxmlformats.org/officeDocument/2006/relationships/hyperlink" Target="http://www.broadinstitute.org/gsea/msigdb/cards/ELF1_Q6.html" TargetMode="External"/><Relationship Id="rId802" Type="http://schemas.openxmlformats.org/officeDocument/2006/relationships/hyperlink" Target="http://www.broadinstitute.org/gsea/msigdb/cards/IRF_Q6.html" TargetMode="External"/><Relationship Id="rId803" Type="http://schemas.openxmlformats.org/officeDocument/2006/relationships/hyperlink" Target="http://www.broadinstitute.org/gsea/msigdb/cards/PU1_Q6.html" TargetMode="External"/><Relationship Id="rId804" Type="http://schemas.openxmlformats.org/officeDocument/2006/relationships/hyperlink" Target="http://www.broadinstitute.org/gsea/msigdb/cards/STTTCRNTTT_IRF_Q6.html" TargetMode="External"/><Relationship Id="rId805" Type="http://schemas.openxmlformats.org/officeDocument/2006/relationships/hyperlink" Target="http://www.broadinstitute.org/gsea/msigdb/cards/MGGAAGTG_GABP_B.html" TargetMode="External"/><Relationship Id="rId806" Type="http://schemas.openxmlformats.org/officeDocument/2006/relationships/hyperlink" Target="http://www.broadinstitute.org/gsea/msigdb/cards/ETS_Q4.html" TargetMode="External"/><Relationship Id="rId807" Type="http://schemas.openxmlformats.org/officeDocument/2006/relationships/hyperlink" Target="http://www.broadinstitute.org/gsea/msigdb/cards/TGANTCA_AP1_C.html" TargetMode="External"/><Relationship Id="rId808" Type="http://schemas.openxmlformats.org/officeDocument/2006/relationships/hyperlink" Target="http://www.broadinstitute.org/gsea/msigdb/cards/COREBINDINGFACTOR_Q6.html" TargetMode="External"/><Relationship Id="rId809" Type="http://schemas.openxmlformats.org/officeDocument/2006/relationships/hyperlink" Target="http://www.broadinstitute.org/gsea/msigdb/cards/NFKAPPAB_01.html" TargetMode="External"/><Relationship Id="rId2410" Type="http://schemas.openxmlformats.org/officeDocument/2006/relationships/hyperlink" Target="http://www.broadinstitute.org/gsea/msigdb/cards/GSE23502_BM_VS_COLON_TUMOR_MYELOID_DERIVED_SUPPRESSOR_CELL_UP.html" TargetMode="External"/><Relationship Id="rId2411" Type="http://schemas.openxmlformats.org/officeDocument/2006/relationships/hyperlink" Target="http://www.broadinstitute.org/gsea/msigdb/cards/GSE26290_CTRL_VS_AKT_INHIBITOR_TREATED_ANTI_CD3_AND_IL2_STIM_CD8_TCELL_DN.html" TargetMode="External"/><Relationship Id="rId2412" Type="http://schemas.openxmlformats.org/officeDocument/2006/relationships/hyperlink" Target="http://www.broadinstitute.org/gsea/msigdb/cards/GSE33374_CD8_ALPHAALPHA_VS_ALPHABETA_CD161_HIGH_TCELL_DN.html" TargetMode="External"/><Relationship Id="rId2413" Type="http://schemas.openxmlformats.org/officeDocument/2006/relationships/hyperlink" Target="http://www.broadinstitute.org/gsea/msigdb/cards/GSE32986_CURDLAN_LOWDOSE_VS_CURDLAN_HIGHDOSE_STIM_DC_UP.html" TargetMode="External"/><Relationship Id="rId2414" Type="http://schemas.openxmlformats.org/officeDocument/2006/relationships/hyperlink" Target="http://www.broadinstitute.org/gsea/msigdb/cards/GSE34392_ST2_KO_VS_WT_DAY8_LCMV_EFFECTOR_CD8_TCELL_DN.html" TargetMode="External"/><Relationship Id="rId2415" Type="http://schemas.openxmlformats.org/officeDocument/2006/relationships/hyperlink" Target="http://www.broadinstitute.org/gsea/msigdb/cards/GSE30971_WBP7_HET_VS_KO_MACROPHAGE_DN.html" TargetMode="External"/><Relationship Id="rId2416" Type="http://schemas.openxmlformats.org/officeDocument/2006/relationships/hyperlink" Target="http://www.broadinstitute.org/gsea/msigdb/cards/GSE42724_MEMORY_VS_B1_BCELL_DN.html" TargetMode="External"/><Relationship Id="rId2417" Type="http://schemas.openxmlformats.org/officeDocument/2006/relationships/hyperlink" Target="http://www.broadinstitute.org/gsea/msigdb/cards/GSE46606_UNSTIM_VS_CD40L_IL2_IL5_1DAY_STIMULATED_IRF4_KO_BCELL_UP.html" TargetMode="External"/><Relationship Id="rId2418" Type="http://schemas.openxmlformats.org/officeDocument/2006/relationships/hyperlink" Target="http://www.broadinstitute.org/gsea/msigdb/cards/GSE21033_CTRL_VS_POLYIC_STIM_DC_24H_UP.html" TargetMode="External"/><Relationship Id="rId2419" Type="http://schemas.openxmlformats.org/officeDocument/2006/relationships/hyperlink" Target="http://www.broadinstitute.org/gsea/msigdb/cards/GSE21360_NAIVE_VS_PRIMARY_MEMORY_CD8_TCELL_UP.html" TargetMode="External"/><Relationship Id="rId1320" Type="http://schemas.openxmlformats.org/officeDocument/2006/relationships/hyperlink" Target="http://www.broadinstitute.org/gsea/msigdb/cards/GO_POSITIVE_REGULATION_OF_CD4_POSITIVE_ALPHA_BETA_T_CELL_ACTIVATION.html" TargetMode="External"/><Relationship Id="rId1321" Type="http://schemas.openxmlformats.org/officeDocument/2006/relationships/hyperlink" Target="http://www.broadinstitute.org/gsea/msigdb/cards/GO_PHOSPHATE_CONTAINING_COMPOUND_METABOLIC_PROCESS.html" TargetMode="External"/><Relationship Id="rId1322" Type="http://schemas.openxmlformats.org/officeDocument/2006/relationships/hyperlink" Target="http://www.broadinstitute.org/gsea/msigdb/cards/GO_B_CELL_MEDIATED_IMMUNITY.html" TargetMode="External"/><Relationship Id="rId1323" Type="http://schemas.openxmlformats.org/officeDocument/2006/relationships/hyperlink" Target="http://www.broadinstitute.org/gsea/msigdb/cards/GO_NEGATIVE_REGULATION_OF_T_CELL_PROLIFERATION.html" TargetMode="External"/><Relationship Id="rId1324" Type="http://schemas.openxmlformats.org/officeDocument/2006/relationships/hyperlink" Target="http://www.broadinstitute.org/gsea/msigdb/cards/GO_MEMBRANE_REGION.html" TargetMode="External"/><Relationship Id="rId1325" Type="http://schemas.openxmlformats.org/officeDocument/2006/relationships/hyperlink" Target="http://www.broadinstitute.org/gsea/msigdb/cards/GO_IMMUNOLOGICAL_SYNAPSE_FORMATION.html" TargetMode="External"/><Relationship Id="rId1326" Type="http://schemas.openxmlformats.org/officeDocument/2006/relationships/hyperlink" Target="http://www.broadinstitute.org/gsea/msigdb/cards/GO_POSITIVE_REGULATION_OF_MAPK_CASCADE.html" TargetMode="External"/><Relationship Id="rId1327" Type="http://schemas.openxmlformats.org/officeDocument/2006/relationships/hyperlink" Target="http://www.broadinstitute.org/gsea/msigdb/cards/GO_GUANYL_NUCLEOTIDE_EXCHANGE_FACTOR_ACTIVITY.html" TargetMode="External"/><Relationship Id="rId1328" Type="http://schemas.openxmlformats.org/officeDocument/2006/relationships/hyperlink" Target="http://www.broadinstitute.org/gsea/msigdb/cards/GO_THYMIC_T_CELL_SELECTION.html" TargetMode="External"/><Relationship Id="rId1329" Type="http://schemas.openxmlformats.org/officeDocument/2006/relationships/hyperlink" Target="http://www.broadinstitute.org/gsea/msigdb/cards/GO_POSITIVE_REGULATION_OF_ALPHA_BETA_T_CELL_PROLIFERATION.html" TargetMode="External"/><Relationship Id="rId4600" Type="http://schemas.openxmlformats.org/officeDocument/2006/relationships/hyperlink" Target="http://www.broadinstitute.org/gsea/msigdb/cards/GSE33292_WT_VS_TCF1_KO_DN3_THYMOCYTE_UP.html" TargetMode="External"/><Relationship Id="rId4601" Type="http://schemas.openxmlformats.org/officeDocument/2006/relationships/hyperlink" Target="http://www.broadinstitute.org/gsea/msigdb/cards/GSE24671_CTRL_VS_SENDAI_VIRUS_INFECTED_MOUSE_SPLENOCYTES_DN.html" TargetMode="External"/><Relationship Id="rId4602" Type="http://schemas.openxmlformats.org/officeDocument/2006/relationships/hyperlink" Target="http://www.broadinstitute.org/gsea/msigdb/cards/GSE41867_DAY8_VS_DAY15_LCMV_CLONE13_EFFECTOR_CD8_TCELL_UP.html" TargetMode="External"/><Relationship Id="rId4603" Type="http://schemas.openxmlformats.org/officeDocument/2006/relationships/hyperlink" Target="http://www.broadinstitute.org/gsea/msigdb/cards/GSE41867_NAIVE_VS_DAY8_LCMV_EFFECTOR_CD8_TCELL_DN.html" TargetMode="External"/><Relationship Id="rId4604" Type="http://schemas.openxmlformats.org/officeDocument/2006/relationships/hyperlink" Target="http://www.broadinstitute.org/gsea/msigdb/cards/GSE41867_LCMV_ARMSTRONG_VS_CLONE13_DAY8_EFFECTOR_CD8_TCELL_UP.html" TargetMode="External"/><Relationship Id="rId4605" Type="http://schemas.openxmlformats.org/officeDocument/2006/relationships/hyperlink" Target="http://www.broadinstitute.org/gsea/msigdb/cards/GSE35435_RESTING_VS_IL4_TREATED_MACROPHAGE_UP.html" TargetMode="External"/><Relationship Id="rId4606" Type="http://schemas.openxmlformats.org/officeDocument/2006/relationships/hyperlink" Target="http://www.broadinstitute.org/gsea/msigdb/cards/GSE41978_ID2_KO_VS_ID2_KO_AND_BIM_KO_KLRG1_LOW_EFFECTOR_CD8_TCELL_DN.html" TargetMode="External"/><Relationship Id="rId4607" Type="http://schemas.openxmlformats.org/officeDocument/2006/relationships/hyperlink" Target="http://www.broadinstitute.org/gsea/msigdb/cards/GSE42021_CD24HI_VS_CD24LOW_TREG_THYMUS_DN.html" TargetMode="External"/><Relationship Id="rId4608" Type="http://schemas.openxmlformats.org/officeDocument/2006/relationships/hyperlink" Target="http://www.broadinstitute.org/gsea/msigdb/cards/GSE43957_UNTREATED_VS_NACL_TREATED_ANTI_CD3_CD28_STIM_CD4_TCELL_DN.html" TargetMode="External"/><Relationship Id="rId4609" Type="http://schemas.openxmlformats.org/officeDocument/2006/relationships/hyperlink" Target="http://www.broadinstitute.org/gsea/msigdb/cards/GSE43955_TH0_VS_TGFB_IL6_TH17_ACT_CD4_TCELL_52H_DN.html" TargetMode="External"/><Relationship Id="rId3510" Type="http://schemas.openxmlformats.org/officeDocument/2006/relationships/hyperlink" Target="http://www.broadinstitute.org/gsea/msigdb/cards/GSE3982_DC_VS_TH1_DN.html" TargetMode="External"/><Relationship Id="rId3511" Type="http://schemas.openxmlformats.org/officeDocument/2006/relationships/hyperlink" Target="http://www.broadinstitute.org/gsea/msigdb/cards/GSE3982_DC_VS_TH2_DN.html" TargetMode="External"/><Relationship Id="rId3512" Type="http://schemas.openxmlformats.org/officeDocument/2006/relationships/hyperlink" Target="http://www.broadinstitute.org/gsea/msigdb/cards/GSE3982_MAC_VS_BCELL_UP.html" TargetMode="External"/><Relationship Id="rId3513" Type="http://schemas.openxmlformats.org/officeDocument/2006/relationships/hyperlink" Target="http://www.broadinstitute.org/gsea/msigdb/cards/GSE3982_NEUTROPHIL_VS_BCELL_UP.html" TargetMode="External"/><Relationship Id="rId3514" Type="http://schemas.openxmlformats.org/officeDocument/2006/relationships/hyperlink" Target="http://www.broadinstitute.org/gsea/msigdb/cards/GSE3982_BCELL_VS_EFF_MEMORY_CD4_TCELL_DN.html" TargetMode="External"/><Relationship Id="rId3515" Type="http://schemas.openxmlformats.org/officeDocument/2006/relationships/hyperlink" Target="http://www.broadinstitute.org/gsea/msigdb/cards/GSE3982_BCELL_VS_TH1_DN.html" TargetMode="External"/><Relationship Id="rId3516" Type="http://schemas.openxmlformats.org/officeDocument/2006/relationships/hyperlink" Target="http://www.broadinstitute.org/gsea/msigdb/cards/GSE3982_CENT_MEMORY_CD4_TCELL_VS_TH1_DN.html" TargetMode="External"/><Relationship Id="rId3517" Type="http://schemas.openxmlformats.org/officeDocument/2006/relationships/hyperlink" Target="http://www.broadinstitute.org/gsea/msigdb/cards/GSE7460_CTRL_VS_TGFB_TREATED_ACT_CD8_TCELL_UP.html" TargetMode="External"/><Relationship Id="rId3518" Type="http://schemas.openxmlformats.org/officeDocument/2006/relationships/hyperlink" Target="http://www.broadinstitute.org/gsea/msigdb/cards/GSE7460_CTRL_VS_TGFB_TREATED_ACT_CD8_TCELL_DN.html" TargetMode="External"/><Relationship Id="rId3519" Type="http://schemas.openxmlformats.org/officeDocument/2006/relationships/hyperlink" Target="http://www.broadinstitute.org/gsea/msigdb/cards/GSE7460_WT_VS_FOXP3_HET_ACT_TCONV_UP.html" TargetMode="External"/><Relationship Id="rId810" Type="http://schemas.openxmlformats.org/officeDocument/2006/relationships/hyperlink" Target="http://www.broadinstitute.org/gsea/msigdb/cards/CREL_01.html" TargetMode="External"/><Relationship Id="rId811" Type="http://schemas.openxmlformats.org/officeDocument/2006/relationships/hyperlink" Target="http://www.broadinstitute.org/gsea/msigdb/cards/STAT6_02.html" TargetMode="External"/><Relationship Id="rId812" Type="http://schemas.openxmlformats.org/officeDocument/2006/relationships/hyperlink" Target="http://www.broadinstitute.org/gsea/msigdb/cards/IRF1_Q6.html" TargetMode="External"/><Relationship Id="rId813" Type="http://schemas.openxmlformats.org/officeDocument/2006/relationships/hyperlink" Target="http://www.broadinstitute.org/gsea/msigdb/cards/AML_Q6.html" TargetMode="External"/><Relationship Id="rId814" Type="http://schemas.openxmlformats.org/officeDocument/2006/relationships/hyperlink" Target="http://www.broadinstitute.org/gsea/msigdb/cards/GGGNNTTTCC_NFKB_Q6_01.html" TargetMode="External"/><Relationship Id="rId815" Type="http://schemas.openxmlformats.org/officeDocument/2006/relationships/hyperlink" Target="http://www.broadinstitute.org/gsea/msigdb/cards/IRF1_01.html" TargetMode="External"/><Relationship Id="rId816" Type="http://schemas.openxmlformats.org/officeDocument/2006/relationships/hyperlink" Target="http://www.broadinstitute.org/gsea/msigdb/cards/NFKB_Q6_01.html" TargetMode="External"/><Relationship Id="rId817" Type="http://schemas.openxmlformats.org/officeDocument/2006/relationships/hyperlink" Target="http://www.broadinstitute.org/gsea/msigdb/cards/NFKAPPAB65_01.html" TargetMode="External"/><Relationship Id="rId818" Type="http://schemas.openxmlformats.org/officeDocument/2006/relationships/hyperlink" Target="http://www.broadinstitute.org/gsea/msigdb/cards/ISRE_01.html" TargetMode="External"/><Relationship Id="rId819" Type="http://schemas.openxmlformats.org/officeDocument/2006/relationships/hyperlink" Target="http://www.broadinstitute.org/gsea/msigdb/cards/ICSBP_Q6.html" TargetMode="External"/><Relationship Id="rId2420" Type="http://schemas.openxmlformats.org/officeDocument/2006/relationships/hyperlink" Target="http://www.broadinstitute.org/gsea/msigdb/cards/GSE27241_CTRL_VS_DIGOXIN_TREATED_RORGT_KO_CD4_TCELL_IN_TH17_POLARIZING_CONDITIONS_DN.html" TargetMode="External"/><Relationship Id="rId2421" Type="http://schemas.openxmlformats.org/officeDocument/2006/relationships/hyperlink" Target="http://www.broadinstitute.org/gsea/msigdb/cards/GSE16450_IMMATURE_VS_MATURE_NEURON_CELL_LINE_UP.html" TargetMode="External"/><Relationship Id="rId2422" Type="http://schemas.openxmlformats.org/officeDocument/2006/relationships/hyperlink" Target="http://www.broadinstitute.org/gsea/msigdb/cards/GSE11057_NAIVE_CD4_VS_PBMC_CD4_TCELL_DN.html" TargetMode="External"/><Relationship Id="rId2423" Type="http://schemas.openxmlformats.org/officeDocument/2006/relationships/hyperlink" Target="http://www.broadinstitute.org/gsea/msigdb/cards/GSE11864_CSF1_PAM3CYS_VS_CSF1_IFNG_PAM3CYS_IN_MAC_DN.html" TargetMode="External"/><Relationship Id="rId2424" Type="http://schemas.openxmlformats.org/officeDocument/2006/relationships/hyperlink" Target="http://www.broadinstitute.org/gsea/msigdb/cards/GSE14000_UNSTIM_VS_4H_LPS_DC_DN.html" TargetMode="External"/><Relationship Id="rId2425" Type="http://schemas.openxmlformats.org/officeDocument/2006/relationships/hyperlink" Target="http://www.broadinstitute.org/gsea/msigdb/cards/GSE1432_1H_VS_24H_IFNG_MICROGLIA_DN.html" TargetMode="External"/><Relationship Id="rId2426" Type="http://schemas.openxmlformats.org/officeDocument/2006/relationships/hyperlink" Target="http://www.broadinstitute.org/gsea/msigdb/cards/GSE15733_BM_VS_SPLEEN_MEMORY_CD4_TCELL_UP.html" TargetMode="External"/><Relationship Id="rId2427" Type="http://schemas.openxmlformats.org/officeDocument/2006/relationships/hyperlink" Target="http://www.broadinstitute.org/gsea/msigdb/cards/GSE15930_STIM_VS_STIM_AND_IFNAB_48H_CD8_T_CELL_DN.html" TargetMode="External"/><Relationship Id="rId2428" Type="http://schemas.openxmlformats.org/officeDocument/2006/relationships/hyperlink" Target="http://www.broadinstitute.org/gsea/msigdb/cards/GSE18791_UNSTIM_VS_NEWCATSLE_VIRUS_DC_6H_DN.html" TargetMode="External"/><Relationship Id="rId2429" Type="http://schemas.openxmlformats.org/officeDocument/2006/relationships/hyperlink" Target="http://www.broadinstitute.org/gsea/msigdb/cards/GSE20366_TREG_VS_NAIVE_CD4_TCELL_DN.html" TargetMode="External"/><Relationship Id="rId1330" Type="http://schemas.openxmlformats.org/officeDocument/2006/relationships/hyperlink" Target="http://www.broadinstitute.org/gsea/msigdb/cards/GO_MHC_PROTEIN_COMPLEX_BINDING.html" TargetMode="External"/><Relationship Id="rId1331" Type="http://schemas.openxmlformats.org/officeDocument/2006/relationships/hyperlink" Target="http://www.broadinstitute.org/gsea/msigdb/cards/GO_T_CELL_DIFFERENTIATION_INVOLVED_IN_IMMUNE_RESPONSE.html" TargetMode="External"/><Relationship Id="rId1332" Type="http://schemas.openxmlformats.org/officeDocument/2006/relationships/hyperlink" Target="http://www.broadinstitute.org/gsea/msigdb/cards/GO_POSITIVE_REGULATION_OF_INTERLEUKIN_10_PRODUCTION.html" TargetMode="External"/><Relationship Id="rId1333" Type="http://schemas.openxmlformats.org/officeDocument/2006/relationships/hyperlink" Target="http://www.broadinstitute.org/gsea/msigdb/cards/GO_LIPID_BINDING.html" TargetMode="External"/><Relationship Id="rId1334" Type="http://schemas.openxmlformats.org/officeDocument/2006/relationships/hyperlink" Target="http://www.broadinstitute.org/gsea/msigdb/cards/GO_REGULATION_OF_LYMPHOCYTE_APOPTOTIC_PROCESS.html" TargetMode="External"/><Relationship Id="rId1335" Type="http://schemas.openxmlformats.org/officeDocument/2006/relationships/hyperlink" Target="http://www.broadinstitute.org/gsea/msigdb/cards/GO_REGULATION_OF_B_CELL_MEDIATED_IMMUNITY.html" TargetMode="External"/><Relationship Id="rId1336" Type="http://schemas.openxmlformats.org/officeDocument/2006/relationships/hyperlink" Target="http://www.broadinstitute.org/gsea/msigdb/cards/GO_PLATELET_ACTIVATION.html" TargetMode="External"/><Relationship Id="rId1337" Type="http://schemas.openxmlformats.org/officeDocument/2006/relationships/hyperlink" Target="http://www.broadinstitute.org/gsea/msigdb/cards/GO_NATURAL_KILLER_CELL_ACTIVATION.html" TargetMode="External"/><Relationship Id="rId1338" Type="http://schemas.openxmlformats.org/officeDocument/2006/relationships/hyperlink" Target="http://www.broadinstitute.org/gsea/msigdb/cards/GO_PROTEIN_DIMERIZATION_ACTIVITY.html" TargetMode="External"/><Relationship Id="rId1339" Type="http://schemas.openxmlformats.org/officeDocument/2006/relationships/hyperlink" Target="http://www.broadinstitute.org/gsea/msigdb/cards/GO_DEFENSE_RESPONSE_TO_VIRUS.html" TargetMode="External"/><Relationship Id="rId4610" Type="http://schemas.openxmlformats.org/officeDocument/2006/relationships/hyperlink" Target="http://www.broadinstitute.org/gsea/msigdb/cards/GSE43955_1H_VS_42H_ACT_CD4_TCELL_WITH_TGFB_IL6_DN.html" TargetMode="External"/><Relationship Id="rId4611" Type="http://schemas.openxmlformats.org/officeDocument/2006/relationships/hyperlink" Target="http://www.broadinstitute.org/gsea/msigdb/cards/GSE43863_NAIVE_VS_MEMORY_TFH_CD4_TCELL_D150_LCMV_DN.html" TargetMode="External"/><Relationship Id="rId4612" Type="http://schemas.openxmlformats.org/officeDocument/2006/relationships/hyperlink" Target="http://www.broadinstitute.org/gsea/msigdb/cards/GSE43863_DAY6_EFF_VS_DAY150_MEM_LY6C_INT_CXCR5POS_CD4_TCELL_UP.html" TargetMode="External"/><Relationship Id="rId4613" Type="http://schemas.openxmlformats.org/officeDocument/2006/relationships/hyperlink" Target="http://www.broadinstitute.org/gsea/msigdb/cards/GSE46606_UNSTIM_VS_CD40L_IL2_IL5_3DAY_STIMULATED_IRF4MID_SORTED_BCELL_UP.html" TargetMode="External"/><Relationship Id="rId4614" Type="http://schemas.openxmlformats.org/officeDocument/2006/relationships/hyperlink" Target="http://www.broadinstitute.org/gsea/msigdb/cards/GSE46606_IRF4HIGH_VS_IRF4MID_CD40L_IL2_IL5_DAY1_STIMULATED_BCELL_DN.html" TargetMode="External"/><Relationship Id="rId4615" Type="http://schemas.openxmlformats.org/officeDocument/2006/relationships/hyperlink" Target="http://www.broadinstitute.org/gsea/msigdb/cards/GSE46606_DAY1_VS_DAY3_CD40L_IL2_IL5_STIMULATED_BCELL_UP.html" TargetMode="External"/><Relationship Id="rId4616" Type="http://schemas.openxmlformats.org/officeDocument/2006/relationships/hyperlink" Target="http://www.broadinstitute.org/gsea/msigdb/cards/GSE6269_FLU_VS_STREP_PNEUMO_INF_PBMC_UP.html" TargetMode="External"/><Relationship Id="rId4617" Type="http://schemas.openxmlformats.org/officeDocument/2006/relationships/hyperlink" Target="http://www.broadinstitute.org/gsea/msigdb/cards/GSE37532_VISCERAL_ADIPOSE_TISSUE_VS_LN_DERIVED_PPARG_KO_TREG_CD4_TCELL_UP.html" TargetMode="External"/><Relationship Id="rId4618" Type="http://schemas.openxmlformats.org/officeDocument/2006/relationships/hyperlink" Target="http://www.broadinstitute.org/gsea/msigdb/cards/GSE40274_FOXP3_VS_FOXP3_AND_HELIOS_TRANSDUCED_ACTIVATED_CD4_TCELL_UP.html" TargetMode="External"/><Relationship Id="rId4619" Type="http://schemas.openxmlformats.org/officeDocument/2006/relationships/hyperlink" Target="http://www.broadinstitute.org/gsea/msigdb/cards/GSE9601_UNTREATED_VS_NFKB_INHIBITOR_TREATED_HCMV_INF_MONOCYTE_DN.html" TargetMode="External"/><Relationship Id="rId3520" Type="http://schemas.openxmlformats.org/officeDocument/2006/relationships/hyperlink" Target="http://www.broadinstitute.org/gsea/msigdb/cards/GSE9037_CTRL_VS_LPS_4H_STIM_BMDM_DN.html" TargetMode="External"/><Relationship Id="rId3521" Type="http://schemas.openxmlformats.org/officeDocument/2006/relationships/hyperlink" Target="http://www.broadinstitute.org/gsea/msigdb/cards/GSE9650_EFFECTOR_VS_MEMORY_CD8_TCELL_DN.html" TargetMode="External"/><Relationship Id="rId3522" Type="http://schemas.openxmlformats.org/officeDocument/2006/relationships/hyperlink" Target="http://www.broadinstitute.org/gsea/msigdb/cards/GSE9650_EXHAUSTED_VS_MEMORY_CD8_TCELL_DN.html" TargetMode="External"/><Relationship Id="rId3523" Type="http://schemas.openxmlformats.org/officeDocument/2006/relationships/hyperlink" Target="http://www.broadinstitute.org/gsea/msigdb/cards/GSE369_PRE_VS_POST_IL6_INJECTION_SOCS3_KO_LIVER_UP.html" TargetMode="External"/><Relationship Id="rId3524" Type="http://schemas.openxmlformats.org/officeDocument/2006/relationships/hyperlink" Target="http://www.broadinstitute.org/gsea/msigdb/cards/GSE2770_IL4_ACT_VS_ACT_CD4_TCELL_48H_DN.html" TargetMode="External"/><Relationship Id="rId3525" Type="http://schemas.openxmlformats.org/officeDocument/2006/relationships/hyperlink" Target="http://www.broadinstitute.org/gsea/msigdb/cards/GSE2770_TGFB_AND_IL4_VS_IL12_TREATED_ACT_CD4_TCELL_2H_DN.html" TargetMode="External"/><Relationship Id="rId3526" Type="http://schemas.openxmlformats.org/officeDocument/2006/relationships/hyperlink" Target="http://www.broadinstitute.org/gsea/msigdb/cards/GSE2770_TGFB_AND_IL4_VS_IL4_TREATED_ACT_CD4_TCELL_2H_UP.html" TargetMode="External"/><Relationship Id="rId3527" Type="http://schemas.openxmlformats.org/officeDocument/2006/relationships/hyperlink" Target="http://www.broadinstitute.org/gsea/msigdb/cards/GSE1112_OT1_VS_HY_CD8AB_THYMOCYTE_RTOC_CULTURE_UP.html" TargetMode="External"/><Relationship Id="rId3528" Type="http://schemas.openxmlformats.org/officeDocument/2006/relationships/hyperlink" Target="http://www.broadinstitute.org/gsea/msigdb/cards/GSE2128_CTRL_VS_MIMETOPE_NEGATIVE_SELECTION_DP_THYMOCYTE_NOD_DN.html" TargetMode="External"/><Relationship Id="rId3529" Type="http://schemas.openxmlformats.org/officeDocument/2006/relationships/hyperlink" Target="http://www.broadinstitute.org/gsea/msigdb/cards/GSE3039_ALPHAALPHA_CD8_TCELL_VS_B2_BCELL_DN.html" TargetMode="External"/><Relationship Id="rId820" Type="http://schemas.openxmlformats.org/officeDocument/2006/relationships/hyperlink" Target="http://www.broadinstitute.org/gsea/msigdb/cards/TGGAAA_NFAT_Q4_01.html" TargetMode="External"/><Relationship Id="rId821" Type="http://schemas.openxmlformats.org/officeDocument/2006/relationships/hyperlink" Target="http://www.broadinstitute.org/gsea/msigdb/cards/CAGCTG_AP4_Q5.html" TargetMode="External"/><Relationship Id="rId822" Type="http://schemas.openxmlformats.org/officeDocument/2006/relationships/hyperlink" Target="http://www.broadinstitute.org/gsea/msigdb/cards/ETS2_B.html" TargetMode="External"/><Relationship Id="rId823" Type="http://schemas.openxmlformats.org/officeDocument/2006/relationships/hyperlink" Target="http://www.broadinstitute.org/gsea/msigdb/cards/P53_DECAMER_Q2.html" TargetMode="External"/><Relationship Id="rId824" Type="http://schemas.openxmlformats.org/officeDocument/2006/relationships/hyperlink" Target="http://www.broadinstitute.org/gsea/msigdb/cards/TGACATY_UNKNOWN.html" TargetMode="External"/><Relationship Id="rId825" Type="http://schemas.openxmlformats.org/officeDocument/2006/relationships/hyperlink" Target="http://www.broadinstitute.org/gsea/msigdb/cards/AML1_01.html" TargetMode="External"/><Relationship Id="rId826" Type="http://schemas.openxmlformats.org/officeDocument/2006/relationships/hyperlink" Target="http://www.broadinstitute.org/gsea/msigdb/cards/AML1_Q6.html" TargetMode="External"/><Relationship Id="rId827" Type="http://schemas.openxmlformats.org/officeDocument/2006/relationships/hyperlink" Target="http://www.broadinstitute.org/gsea/msigdb/cards/TTGTTT_FOXO4_01.html" TargetMode="External"/><Relationship Id="rId828" Type="http://schemas.openxmlformats.org/officeDocument/2006/relationships/hyperlink" Target="http://www.broadinstitute.org/gsea/msigdb/cards/ETS1_B.html" TargetMode="External"/><Relationship Id="rId829" Type="http://schemas.openxmlformats.org/officeDocument/2006/relationships/hyperlink" Target="http://www.broadinstitute.org/gsea/msigdb/cards/NFKB_C.html" TargetMode="External"/><Relationship Id="rId2430" Type="http://schemas.openxmlformats.org/officeDocument/2006/relationships/hyperlink" Target="http://www.broadinstitute.org/gsea/msigdb/cards/GSE22886_CD8_TCELL_VS_BCELL_NAIVE_DN.html" TargetMode="External"/><Relationship Id="rId2431" Type="http://schemas.openxmlformats.org/officeDocument/2006/relationships/hyperlink" Target="http://www.broadinstitute.org/gsea/msigdb/cards/GSE22886_NAIVE_BCELL_VS_DC_DN.html" TargetMode="External"/><Relationship Id="rId2432" Type="http://schemas.openxmlformats.org/officeDocument/2006/relationships/hyperlink" Target="http://www.broadinstitute.org/gsea/msigdb/cards/GSE22886_NAIVE_CD4_TCELL_VS_DC_UP.html" TargetMode="External"/><Relationship Id="rId2433" Type="http://schemas.openxmlformats.org/officeDocument/2006/relationships/hyperlink" Target="http://www.broadinstitute.org/gsea/msigdb/cards/GSE24142_DN2_VS_DN3_THYMOCYTE_UP.html" TargetMode="External"/><Relationship Id="rId2434" Type="http://schemas.openxmlformats.org/officeDocument/2006/relationships/hyperlink" Target="http://www.broadinstitute.org/gsea/msigdb/cards/GSE2706_UNSTIM_VS_8H_R848_DC_DN.html" TargetMode="External"/><Relationship Id="rId2435" Type="http://schemas.openxmlformats.org/officeDocument/2006/relationships/hyperlink" Target="http://www.broadinstitute.org/gsea/msigdb/cards/GSE34205_HEALTHY_VS_RSV_INF_INFANT_PBMC_UP.html" TargetMode="External"/><Relationship Id="rId2436" Type="http://schemas.openxmlformats.org/officeDocument/2006/relationships/hyperlink" Target="http://www.broadinstitute.org/gsea/msigdb/cards/GSE360_DC_VS_MAC_T_GONDII_DN.html" TargetMode="External"/><Relationship Id="rId2437" Type="http://schemas.openxmlformats.org/officeDocument/2006/relationships/hyperlink" Target="http://www.broadinstitute.org/gsea/msigdb/cards/GSE360_L_DONOVANI_VS_B_MALAYI_LOW_DOSE_DC_DN.html" TargetMode="External"/><Relationship Id="rId2438" Type="http://schemas.openxmlformats.org/officeDocument/2006/relationships/hyperlink" Target="http://www.broadinstitute.org/gsea/msigdb/cards/GSE3982_DC_VS_TH1_UP.html" TargetMode="External"/><Relationship Id="rId2439" Type="http://schemas.openxmlformats.org/officeDocument/2006/relationships/hyperlink" Target="http://www.broadinstitute.org/gsea/msigdb/cards/GSE3982_DC_VS_TH2_UP.html" TargetMode="External"/><Relationship Id="rId1340" Type="http://schemas.openxmlformats.org/officeDocument/2006/relationships/hyperlink" Target="http://www.broadinstitute.org/gsea/msigdb/cards/GO_NEGATIVE_REGULATION_OF_B_CELL_ACTIVATION.html" TargetMode="External"/><Relationship Id="rId1341" Type="http://schemas.openxmlformats.org/officeDocument/2006/relationships/hyperlink" Target="http://www.broadinstitute.org/gsea/msigdb/cards/GO_TUMOR_NECROSIS_FACTOR_RECEPTOR_BINDING.html" TargetMode="External"/><Relationship Id="rId1342" Type="http://schemas.openxmlformats.org/officeDocument/2006/relationships/hyperlink" Target="http://www.broadinstitute.org/gsea/msigdb/cards/GO_REGULATION_OF_VASCULATURE_DEVELOPMENT.html" TargetMode="External"/><Relationship Id="rId1343" Type="http://schemas.openxmlformats.org/officeDocument/2006/relationships/hyperlink" Target="http://www.broadinstitute.org/gsea/msigdb/cards/GO_POSITIVE_REGULATION_OF_INTERLEUKIN_2_BIOSYNTHETIC_PROCESS.html" TargetMode="External"/><Relationship Id="rId1344" Type="http://schemas.openxmlformats.org/officeDocument/2006/relationships/hyperlink" Target="http://www.broadinstitute.org/gsea/msigdb/cards/GO_MHC_CLASS_II_RECEPTOR_ACTIVITY.html" TargetMode="External"/><Relationship Id="rId1345" Type="http://schemas.openxmlformats.org/officeDocument/2006/relationships/hyperlink" Target="http://www.broadinstitute.org/gsea/msigdb/cards/GO_IGG_BINDING.html" TargetMode="External"/><Relationship Id="rId1346" Type="http://schemas.openxmlformats.org/officeDocument/2006/relationships/hyperlink" Target="http://www.broadinstitute.org/gsea/msigdb/cards/GO_C_C_CHEMOKINE_RECEPTOR_ACTIVITY.html" TargetMode="External"/><Relationship Id="rId1347" Type="http://schemas.openxmlformats.org/officeDocument/2006/relationships/hyperlink" Target="http://www.broadinstitute.org/gsea/msigdb/cards/GO_CELL_CELL_SIGNALING.html" TargetMode="External"/><Relationship Id="rId1348" Type="http://schemas.openxmlformats.org/officeDocument/2006/relationships/hyperlink" Target="http://www.broadinstitute.org/gsea/msigdb/cards/GO_POSITIVE_REGULATION_OF_INTERLEUKIN_2_PRODUCTION.html" TargetMode="External"/><Relationship Id="rId1349" Type="http://schemas.openxmlformats.org/officeDocument/2006/relationships/hyperlink" Target="http://www.broadinstitute.org/gsea/msigdb/cards/GO_REGULATION_OF_CYTOKINE_PRODUCTION_INVOLVED_IN_IMMUNE_RESPONSE.html" TargetMode="External"/><Relationship Id="rId4620" Type="http://schemas.openxmlformats.org/officeDocument/2006/relationships/hyperlink" Target="http://www.broadinstitute.org/gsea/msigdb/cards/GSE37301_MULTIPOTENT_PROGENITOR_VS_PRO_BCELL_DN.html" TargetMode="External"/><Relationship Id="rId4621" Type="http://schemas.openxmlformats.org/officeDocument/2006/relationships/hyperlink" Target="http://www.broadinstitute.org/gsea/msigdb/cards/GSE6259_FLT3L_INDUCED_33D1_POS_DC_VS_CD8_TCELL_UP.html" TargetMode="External"/><Relationship Id="rId4622" Type="http://schemas.openxmlformats.org/officeDocument/2006/relationships/hyperlink" Target="http://www.broadinstitute.org/gsea/msigdb/cards/GSE10211_UV_INACT_SENDAI_VS_LIVE_SENDAI_VIRUS_TRACHEAL_EPITHELIAL_CELLS_UP.html" TargetMode="External"/><Relationship Id="rId4623" Type="http://schemas.openxmlformats.org/officeDocument/2006/relationships/hyperlink" Target="http://www.broadinstitute.org/gsea/msigdb/cards/GSE7568_IL4_VS_IL4_AND_DEXAMETHASONE_TREATED_MACROPHAGE_DN.html" TargetMode="External"/><Relationship Id="rId4624" Type="http://schemas.openxmlformats.org/officeDocument/2006/relationships/hyperlink" Target="http://www.broadinstitute.org/gsea/msigdb/cards/GSE36891_POLYIC_TLR3_VS_PAM_TLR2_STIM_PERITONEAL_MACROPHAGE_UP.html" TargetMode="External"/><Relationship Id="rId4625" Type="http://schemas.openxmlformats.org/officeDocument/2006/relationships/hyperlink" Target="http://www.broadinstitute.org/gsea/msigdb/cards/GSE6259_FLT3L_INDUCED_DEC205_POS_DC_VS_BCELL_UP.html" TargetMode="External"/><Relationship Id="rId4626" Type="http://schemas.openxmlformats.org/officeDocument/2006/relationships/hyperlink" Target="http://www.broadinstitute.org/gsea/msigdb/cards/GSE14415_NATURAL_TREG_VS_TCONV_DN.html" TargetMode="External"/><Relationship Id="rId4627" Type="http://schemas.openxmlformats.org/officeDocument/2006/relationships/hyperlink" Target="http://www.broadinstitute.org/gsea/msigdb/cards/GSE3720_UNSTIM_VS_LPS_STIM_VD2_GAMMADELTA_TCELL_DN.html" TargetMode="External"/><Relationship Id="rId4628" Type="http://schemas.openxmlformats.org/officeDocument/2006/relationships/hyperlink" Target="http://www.broadinstitute.org/gsea/msigdb/cards/GSE13547_2H_VS_12_H_ANTI_IGM_STIM_BCELL_DN.html" TargetMode="External"/><Relationship Id="rId4629" Type="http://schemas.openxmlformats.org/officeDocument/2006/relationships/hyperlink" Target="http://www.broadinstitute.org/gsea/msigdb/cards/GSE21033_CTRL_VS_POLYIC_STIM_DC_6H_DN.html" TargetMode="External"/><Relationship Id="rId3530" Type="http://schemas.openxmlformats.org/officeDocument/2006/relationships/hyperlink" Target="http://www.broadinstitute.org/gsea/msigdb/cards/GSE5455_EX_VIVO_VS_POST_24H_INCUBATION_MONOCYTES_FROM_TUMOR_BEARING_MOUSE_DN.html" TargetMode="External"/><Relationship Id="rId3531" Type="http://schemas.openxmlformats.org/officeDocument/2006/relationships/hyperlink" Target="http://www.broadinstitute.org/gsea/msigdb/cards/GSE5589_UNSTIM_VS_45MIN_LPS_AND_IL6_STIM_MACROPHAGE_UP.html" TargetMode="External"/><Relationship Id="rId3532" Type="http://schemas.openxmlformats.org/officeDocument/2006/relationships/hyperlink" Target="http://www.broadinstitute.org/gsea/msigdb/cards/GSE5589_LPS_VS_LPS_AND_IL6_STIM_MACROPHAGE_45MIN_UP.html" TargetMode="External"/><Relationship Id="rId3533" Type="http://schemas.openxmlformats.org/officeDocument/2006/relationships/hyperlink" Target="http://www.broadinstitute.org/gsea/msigdb/cards/GSE5589_LPS_VS_LPS_AND_IL10_STIM_MACROPHAGE_180MIN_DN.html" TargetMode="External"/><Relationship Id="rId3534" Type="http://schemas.openxmlformats.org/officeDocument/2006/relationships/hyperlink" Target="http://www.broadinstitute.org/gsea/msigdb/cards/GSE5589_LPS_VS_LPS_AND_IL6_STIM_IL6_KO_MACROPHAGE_45MIN_DN.html" TargetMode="External"/><Relationship Id="rId3535" Type="http://schemas.openxmlformats.org/officeDocument/2006/relationships/hyperlink" Target="http://www.broadinstitute.org/gsea/msigdb/cards/GSE5589_IL6_KO_VS_IL10_KO_LPS_AND_IL10_STIM_MACROPHAGE_45MIN_UP.html" TargetMode="External"/><Relationship Id="rId3536" Type="http://schemas.openxmlformats.org/officeDocument/2006/relationships/hyperlink" Target="http://www.broadinstitute.org/gsea/msigdb/cards/GSE6092_B_BURGDOFERI_VS_B_BURGDORFERI_AND_IFNG_STIM_ENDOTHELIAL_CELL_UP.html" TargetMode="External"/><Relationship Id="rId3537" Type="http://schemas.openxmlformats.org/officeDocument/2006/relationships/hyperlink" Target="http://www.broadinstitute.org/gsea/msigdb/cards/GSE11973_MIR223_KOVS_WT_BONE_MARROW_NEUTROPHIL_UP.html" TargetMode="External"/><Relationship Id="rId3538" Type="http://schemas.openxmlformats.org/officeDocument/2006/relationships/hyperlink" Target="http://www.broadinstitute.org/gsea/msigdb/cards/GSE13547_WT_VS_ZFX_KO_BCELL_DN.html" TargetMode="External"/><Relationship Id="rId3539" Type="http://schemas.openxmlformats.org/officeDocument/2006/relationships/hyperlink" Target="http://www.broadinstitute.org/gsea/msigdb/cards/GSE15330_WT_VS_IKAROS_KO_HSC_UP.html" TargetMode="External"/><Relationship Id="rId830" Type="http://schemas.openxmlformats.org/officeDocument/2006/relationships/hyperlink" Target="http://www.broadinstitute.org/gsea/msigdb/cards/ELK1_01.html" TargetMode="External"/><Relationship Id="rId831" Type="http://schemas.openxmlformats.org/officeDocument/2006/relationships/hyperlink" Target="http://www.broadinstitute.org/gsea/msigdb/cards/TTCYNRGAA_STAT5B_01.html" TargetMode="External"/><Relationship Id="rId832" Type="http://schemas.openxmlformats.org/officeDocument/2006/relationships/hyperlink" Target="http://www.broadinstitute.org/gsea/msigdb/cards/NERF_Q2.html" TargetMode="External"/><Relationship Id="rId833" Type="http://schemas.openxmlformats.org/officeDocument/2006/relationships/hyperlink" Target="http://www.broadinstitute.org/gsea/msigdb/cards/CTTTGA_LEF1_Q2.html" TargetMode="External"/><Relationship Id="rId834" Type="http://schemas.openxmlformats.org/officeDocument/2006/relationships/hyperlink" Target="http://www.broadinstitute.org/gsea/msigdb/cards/AREB6_04.html" TargetMode="External"/><Relationship Id="rId835" Type="http://schemas.openxmlformats.org/officeDocument/2006/relationships/hyperlink" Target="http://www.broadinstitute.org/gsea/msigdb/cards/AP1_Q6_01.html" TargetMode="External"/><Relationship Id="rId836" Type="http://schemas.openxmlformats.org/officeDocument/2006/relationships/hyperlink" Target="http://www.broadinstitute.org/gsea/msigdb/cards/IRF7_01.html" TargetMode="External"/><Relationship Id="rId837" Type="http://schemas.openxmlformats.org/officeDocument/2006/relationships/hyperlink" Target="http://www.broadinstitute.org/gsea/msigdb/cards/NFKB_Q6.html" TargetMode="External"/><Relationship Id="rId838" Type="http://schemas.openxmlformats.org/officeDocument/2006/relationships/hyperlink" Target="http://www.broadinstitute.org/gsea/msigdb/cards/CAGGTG_E12_Q6.html" TargetMode="External"/><Relationship Id="rId839" Type="http://schemas.openxmlformats.org/officeDocument/2006/relationships/hyperlink" Target="http://www.broadinstitute.org/gsea/msigdb/cards/GGGAGGRR_MAZ_Q6.html" TargetMode="External"/><Relationship Id="rId2440" Type="http://schemas.openxmlformats.org/officeDocument/2006/relationships/hyperlink" Target="http://www.broadinstitute.org/gsea/msigdb/cards/GSE7460_TCONV_VS_TREG_LN_DN.html" TargetMode="External"/><Relationship Id="rId2441" Type="http://schemas.openxmlformats.org/officeDocument/2006/relationships/hyperlink" Target="http://www.broadinstitute.org/gsea/msigdb/cards/GSE7764_NKCELL_VS_SPLENOCYTE_DN.html" TargetMode="External"/><Relationship Id="rId2442" Type="http://schemas.openxmlformats.org/officeDocument/2006/relationships/hyperlink" Target="http://www.broadinstitute.org/gsea/msigdb/cards/GSE22601_IMMATURE_CD4_SINGLE_POSITIVE_VS_CD8_SINGLE_POSITIVE_THYMOCYTE_DN.html" TargetMode="External"/><Relationship Id="rId2443" Type="http://schemas.openxmlformats.org/officeDocument/2006/relationships/hyperlink" Target="http://www.broadinstitute.org/gsea/msigdb/cards/GSE6092_UNSTIM_VS_IFNG_STIM_ENDOTHELIAL_CELL_DN.html" TargetMode="External"/><Relationship Id="rId2444" Type="http://schemas.openxmlformats.org/officeDocument/2006/relationships/hyperlink" Target="http://www.broadinstitute.org/gsea/msigdb/cards/GSE19888_ADENOSINE_A3R_INH_VS_TCELL_MEMBRANES_ACT_MAST_CELL_UP.html" TargetMode="External"/><Relationship Id="rId2445" Type="http://schemas.openxmlformats.org/officeDocument/2006/relationships/hyperlink" Target="http://www.broadinstitute.org/gsea/msigdb/cards/GSE21670_TGFB_VS_IL6_TREATED_STAT3_KO_CD4_TCELL_DN.html" TargetMode="External"/><Relationship Id="rId2446" Type="http://schemas.openxmlformats.org/officeDocument/2006/relationships/hyperlink" Target="http://www.broadinstitute.org/gsea/msigdb/cards/GSE21774_CD62L_POS_CD56_DIM_VS_CD62L_NEG_CD56_DIM_NK_CELL_DN.html" TargetMode="External"/><Relationship Id="rId2447" Type="http://schemas.openxmlformats.org/officeDocument/2006/relationships/hyperlink" Target="http://www.broadinstitute.org/gsea/msigdb/cards/GSE21379_WT_VS_SAP_KO_TFH_CD4_TCELL_DN.html" TargetMode="External"/><Relationship Id="rId2448" Type="http://schemas.openxmlformats.org/officeDocument/2006/relationships/hyperlink" Target="http://www.broadinstitute.org/gsea/msigdb/cards/GSE21360_NAIVE_VS_SECONDARY_MEMORY_CD8_TCELL_UP.html" TargetMode="External"/><Relationship Id="rId2449" Type="http://schemas.openxmlformats.org/officeDocument/2006/relationships/hyperlink" Target="http://www.broadinstitute.org/gsea/msigdb/cards/GSE22140_GERMFREE_VS_SPF_MOUSE_CD4_TCELL_DN.html" TargetMode="External"/><Relationship Id="rId100" Type="http://schemas.openxmlformats.org/officeDocument/2006/relationships/hyperlink" Target="http://www.broadinstitute.org/gsea/msigdb/cards/MARKEY_RB1_CHRONIC_LOF_DN.html" TargetMode="External"/><Relationship Id="rId101" Type="http://schemas.openxmlformats.org/officeDocument/2006/relationships/hyperlink" Target="http://www.broadinstitute.org/gsea/msigdb/cards/KEGG_PRIMARY_IMMUNODEFICIENCY.html" TargetMode="External"/><Relationship Id="rId102" Type="http://schemas.openxmlformats.org/officeDocument/2006/relationships/hyperlink" Target="http://www.broadinstitute.org/gsea/msigdb/cards/KEGG_AUTOIMMUNE_THYROID_DISEASE.html" TargetMode="External"/><Relationship Id="rId103" Type="http://schemas.openxmlformats.org/officeDocument/2006/relationships/hyperlink" Target="http://www.broadinstitute.org/gsea/msigdb/cards/HELLER_HDAC_TARGETS_SILENCED_BY_METHYLATION_DN.html" TargetMode="External"/><Relationship Id="rId104" Type="http://schemas.openxmlformats.org/officeDocument/2006/relationships/hyperlink" Target="http://www.broadinstitute.org/gsea/msigdb/cards/WILENSKY_RESPONSE_TO_DARAPLADIB.html" TargetMode="External"/><Relationship Id="rId105" Type="http://schemas.openxmlformats.org/officeDocument/2006/relationships/hyperlink" Target="http://www.broadinstitute.org/gsea/msigdb/cards/REACTOME_PD1_SIGNALING.html" TargetMode="External"/><Relationship Id="rId106" Type="http://schemas.openxmlformats.org/officeDocument/2006/relationships/hyperlink" Target="http://www.broadinstitute.org/gsea/msigdb/cards/PID_IL12_STAT4_PATHWAY.html" TargetMode="External"/><Relationship Id="rId107" Type="http://schemas.openxmlformats.org/officeDocument/2006/relationships/hyperlink" Target="http://www.broadinstitute.org/gsea/msigdb/cards/FULCHER_INFLAMMATORY_RESPONSE_LECTIN_VS_LPS_UP.html" TargetMode="External"/><Relationship Id="rId108" Type="http://schemas.openxmlformats.org/officeDocument/2006/relationships/hyperlink" Target="http://www.broadinstitute.org/gsea/msigdb/cards/RAMALHO_STEMNESS_DN.html" TargetMode="External"/><Relationship Id="rId109" Type="http://schemas.openxmlformats.org/officeDocument/2006/relationships/hyperlink" Target="http://www.broadinstitute.org/gsea/msigdb/cards/FARMER_BREAST_CANCER_CLUSTER_1.html" TargetMode="External"/><Relationship Id="rId1350" Type="http://schemas.openxmlformats.org/officeDocument/2006/relationships/hyperlink" Target="http://www.broadinstitute.org/gsea/msigdb/cards/GO_REGULATION_OF_MYELOID_LEUKOCYTE_DIFFERENTIATION.html" TargetMode="External"/><Relationship Id="rId1351" Type="http://schemas.openxmlformats.org/officeDocument/2006/relationships/hyperlink" Target="http://www.broadinstitute.org/gsea/msigdb/cards/GO_NEGATIVE_REGULATION_OF_TUMOR_NECROSIS_FACTOR_SUPERFAMILY_CYTOKINE_PRODUCTION.html" TargetMode="External"/><Relationship Id="rId1352" Type="http://schemas.openxmlformats.org/officeDocument/2006/relationships/hyperlink" Target="http://www.broadinstitute.org/gsea/msigdb/cards/GO_REGULATION_OF_NEUTROPHIL_MIGRATION.html" TargetMode="External"/><Relationship Id="rId1353" Type="http://schemas.openxmlformats.org/officeDocument/2006/relationships/hyperlink" Target="http://www.broadinstitute.org/gsea/msigdb/cards/GO_PATTERN_RECOGNITION_RECEPTOR_SIGNALING_PATHWAY.html" TargetMode="External"/><Relationship Id="rId1354" Type="http://schemas.openxmlformats.org/officeDocument/2006/relationships/hyperlink" Target="http://www.broadinstitute.org/gsea/msigdb/cards/GO_PURINERGIC_NUCLEOTIDE_RECEPTOR_SIGNALING_PATHWAY.html" TargetMode="External"/><Relationship Id="rId1355" Type="http://schemas.openxmlformats.org/officeDocument/2006/relationships/hyperlink" Target="http://www.broadinstitute.org/gsea/msigdb/cards/GO_GRANULOCYTE_MIGRATION.html" TargetMode="External"/><Relationship Id="rId1356" Type="http://schemas.openxmlformats.org/officeDocument/2006/relationships/hyperlink" Target="http://www.broadinstitute.org/gsea/msigdb/cards/GO_REGULATION_OF_CALCIUM_MEDIATED_SIGNALING.html" TargetMode="External"/><Relationship Id="rId1357" Type="http://schemas.openxmlformats.org/officeDocument/2006/relationships/hyperlink" Target="http://www.broadinstitute.org/gsea/msigdb/cards/GO_TRANSMEMBRANE_RECEPTOR_PROTEIN_TYROSINE_KINASE_SIGNALING_PATHWAY.html" TargetMode="External"/><Relationship Id="rId1358" Type="http://schemas.openxmlformats.org/officeDocument/2006/relationships/hyperlink" Target="http://www.broadinstitute.org/gsea/msigdb/cards/GO_REGULATION_OF_ION_TRANSPORT.html" TargetMode="External"/><Relationship Id="rId1359" Type="http://schemas.openxmlformats.org/officeDocument/2006/relationships/hyperlink" Target="http://www.broadinstitute.org/gsea/msigdb/cards/GO_IMMUNOGLOBULIN_BINDING.html" TargetMode="External"/><Relationship Id="rId4630" Type="http://schemas.openxmlformats.org/officeDocument/2006/relationships/hyperlink" Target="http://www.broadinstitute.org/gsea/msigdb/cards/GSE11386_NAIVE_VS_MEMORY_BCELL_UP.html" TargetMode="External"/><Relationship Id="rId4631" Type="http://schemas.openxmlformats.org/officeDocument/2006/relationships/hyperlink" Target="http://www.broadinstitute.org/gsea/msigdb/cards/GSE32901_TH1_VS_TH17_NEG_CD4_TCELL_DN.html" TargetMode="External"/><Relationship Id="rId4632" Type="http://schemas.openxmlformats.org/officeDocument/2006/relationships/hyperlink" Target="http://www.broadinstitute.org/gsea/msigdb/cards/GSE37534_GW1929_VS_ROSIGLITAZONE_TREATED_CD4_TCELL_PPARG1_FOXP3_TRANSDUCED_UP.html" TargetMode="External"/><Relationship Id="rId4633" Type="http://schemas.openxmlformats.org/officeDocument/2006/relationships/hyperlink" Target="http://www.broadinstitute.org/gsea/msigdb/cards/GSE32255_UNSTIM_VS_4H_LPS_STIM_DC_DN.html" TargetMode="External"/><Relationship Id="rId4634" Type="http://schemas.openxmlformats.org/officeDocument/2006/relationships/hyperlink" Target="http://www.broadinstitute.org/gsea/msigdb/cards/GSE3720_LPS_VS_PMA_STIM_VD2_GAMMADELTA_TCELL_DN.html" TargetMode="External"/><Relationship Id="rId4635" Type="http://schemas.openxmlformats.org/officeDocument/2006/relationships/hyperlink" Target="http://www.broadinstitute.org/gsea/msigdb/cards/GSE37605_NOD_VS_C57BL6_IRES_GFP_TREG_UP.html" TargetMode="External"/><Relationship Id="rId4636" Type="http://schemas.openxmlformats.org/officeDocument/2006/relationships/hyperlink" Target="http://www.broadinstitute.org/gsea/msigdb/cards/GSE37605_NOD_VS_C57BL6_IRES_GFP_TREG_DN.html" TargetMode="External"/><Relationship Id="rId4637" Type="http://schemas.openxmlformats.org/officeDocument/2006/relationships/hyperlink" Target="http://www.broadinstitute.org/gsea/msigdb/cards/GSE37336_LY6C_POS_VS_NEG_NAIVE_CD4_TCELL_DN.html" TargetMode="External"/><Relationship Id="rId4638" Type="http://schemas.openxmlformats.org/officeDocument/2006/relationships/hyperlink" Target="http://www.broadinstitute.org/gsea/msigdb/cards/GSE11386_NAIVE_VS_MEMORY_BCELL_DN.html" TargetMode="External"/><Relationship Id="rId4639" Type="http://schemas.openxmlformats.org/officeDocument/2006/relationships/hyperlink" Target="http://www.broadinstitute.org/gsea/msigdb/cards/GSE4590_PRE_BCELL_VS_VPREB_POS_LARGE_PRE_BCELL_DN.html" TargetMode="External"/><Relationship Id="rId3540" Type="http://schemas.openxmlformats.org/officeDocument/2006/relationships/hyperlink" Target="http://www.broadinstitute.org/gsea/msigdb/cards/GSE9960_HEALTHY_VS_GRAM_NEG_SEPSIS_PBMC_UP.html" TargetMode="External"/><Relationship Id="rId3541" Type="http://schemas.openxmlformats.org/officeDocument/2006/relationships/hyperlink" Target="http://www.broadinstitute.org/gsea/msigdb/cards/GSE12392_WT_VS_IFNB_KO_CD8A_POS_SPLEEN_DC_DN.html" TargetMode="External"/><Relationship Id="rId3542" Type="http://schemas.openxmlformats.org/officeDocument/2006/relationships/hyperlink" Target="http://www.broadinstitute.org/gsea/msigdb/cards/GSE17186_MEMORY_VS_NAIVE_BCELL_DN.html" TargetMode="External"/><Relationship Id="rId3543" Type="http://schemas.openxmlformats.org/officeDocument/2006/relationships/hyperlink" Target="http://www.broadinstitute.org/gsea/msigdb/cards/GSE17186_BLOOD_VS_CORD_BLOOD_CD21HIGH_TRANSITIONAL_BCELL_DN.html" TargetMode="External"/><Relationship Id="rId3544" Type="http://schemas.openxmlformats.org/officeDocument/2006/relationships/hyperlink" Target="http://www.broadinstitute.org/gsea/msigdb/cards/GSE17186_BLOOD_VS_CORD_BLOOD_NAIVE_BCELL_UP.html" TargetMode="External"/><Relationship Id="rId3545" Type="http://schemas.openxmlformats.org/officeDocument/2006/relationships/hyperlink" Target="http://www.broadinstitute.org/gsea/msigdb/cards/GSE18203_CTRL_VS_INTRATUMORAL_CPG_INJ_MC38_TUMOR_UP.html" TargetMode="External"/><Relationship Id="rId3546" Type="http://schemas.openxmlformats.org/officeDocument/2006/relationships/hyperlink" Target="http://www.broadinstitute.org/gsea/msigdb/cards/GSE19923_WT_VS_HEB_AND_E2A_KO_DP_THYMOCYTE_DN.html" TargetMode="External"/><Relationship Id="rId3547" Type="http://schemas.openxmlformats.org/officeDocument/2006/relationships/hyperlink" Target="http://www.broadinstitute.org/gsea/msigdb/cards/GSE19772_HCMV_INFL_VS_HCMV_INF_MONOCYTES_AND_PI3K_INHIBITION_DN.html" TargetMode="External"/><Relationship Id="rId3548" Type="http://schemas.openxmlformats.org/officeDocument/2006/relationships/hyperlink" Target="http://www.broadinstitute.org/gsea/msigdb/cards/GSE16451_CTRL_VS_WEST_EQUINE_ENC_VIRUS_IMMATURE_NEURON_CELL_LINE_UP.html" TargetMode="External"/><Relationship Id="rId3549" Type="http://schemas.openxmlformats.org/officeDocument/2006/relationships/hyperlink" Target="http://www.broadinstitute.org/gsea/msigdb/cards/GSE21670_TGFB_VS_TGFB_AND_IL6_TREATED_CD4_TCELL_UP.html" TargetMode="External"/><Relationship Id="rId840" Type="http://schemas.openxmlformats.org/officeDocument/2006/relationships/hyperlink" Target="http://www.broadinstitute.org/gsea/msigdb/cards/STAT4_01.html" TargetMode="External"/><Relationship Id="rId841" Type="http://schemas.openxmlformats.org/officeDocument/2006/relationships/hyperlink" Target="http://www.broadinstitute.org/gsea/msigdb/cards/IRF2_01.html" TargetMode="External"/><Relationship Id="rId842" Type="http://schemas.openxmlformats.org/officeDocument/2006/relationships/hyperlink" Target="http://www.broadinstitute.org/gsea/msigdb/cards/STAT5A_04.html" TargetMode="External"/><Relationship Id="rId843" Type="http://schemas.openxmlformats.org/officeDocument/2006/relationships/hyperlink" Target="http://www.broadinstitute.org/gsea/msigdb/cards/STAT5B_01.html" TargetMode="External"/><Relationship Id="rId844" Type="http://schemas.openxmlformats.org/officeDocument/2006/relationships/hyperlink" Target="http://www.broadinstitute.org/gsea/msigdb/cards/CEBP_Q3.html" TargetMode="External"/><Relationship Id="rId845" Type="http://schemas.openxmlformats.org/officeDocument/2006/relationships/hyperlink" Target="http://www.broadinstitute.org/gsea/msigdb/cards/RTAAACA_FREAC2_01.html" TargetMode="External"/><Relationship Id="rId846" Type="http://schemas.openxmlformats.org/officeDocument/2006/relationships/hyperlink" Target="http://www.broadinstitute.org/gsea/msigdb/cards/TGTYNNNNNRGCARM_UNKNOWN.html" TargetMode="External"/><Relationship Id="rId847" Type="http://schemas.openxmlformats.org/officeDocument/2006/relationships/hyperlink" Target="http://www.broadinstitute.org/gsea/msigdb/cards/SREBP1_02.html" TargetMode="External"/><Relationship Id="rId848" Type="http://schemas.openxmlformats.org/officeDocument/2006/relationships/hyperlink" Target="http://www.broadinstitute.org/gsea/msigdb/cards/YTATTTTNR_MEF2_02.html" TargetMode="External"/><Relationship Id="rId849" Type="http://schemas.openxmlformats.org/officeDocument/2006/relationships/hyperlink" Target="http://www.broadinstitute.org/gsea/msigdb/cards/TGCTGAY_UNKNOWN.html" TargetMode="External"/><Relationship Id="rId2450" Type="http://schemas.openxmlformats.org/officeDocument/2006/relationships/hyperlink" Target="http://www.broadinstitute.org/gsea/msigdb/cards/GSE25123_WT_VS_PPARG_KO_MACROPHAGE_UP.html" TargetMode="External"/><Relationship Id="rId2451" Type="http://schemas.openxmlformats.org/officeDocument/2006/relationships/hyperlink" Target="http://www.broadinstitute.org/gsea/msigdb/cards/GSE25123_IL4_VS_IL4_AND_ROSIGLITAZONE_STIM_PPARG_KO_MACROPHAGE_DAY10_DN.html" TargetMode="External"/><Relationship Id="rId2452" Type="http://schemas.openxmlformats.org/officeDocument/2006/relationships/hyperlink" Target="http://www.broadinstitute.org/gsea/msigdb/cards/GSE25085_FETAL_LIVER_VS_FETAL_BM_SP4_THYMIC_IMPLANT_DN.html" TargetMode="External"/><Relationship Id="rId2453" Type="http://schemas.openxmlformats.org/officeDocument/2006/relationships/hyperlink" Target="http://www.broadinstitute.org/gsea/msigdb/cards/GSE23502_WT_VS_HDC_KO_MYELOID_DERIVED_SUPPRESSOR_CELL_BM_DN.html" TargetMode="External"/><Relationship Id="rId2454" Type="http://schemas.openxmlformats.org/officeDocument/2006/relationships/hyperlink" Target="http://www.broadinstitute.org/gsea/msigdb/cards/GSE23502_WT_VS_HDC_KO_MYELOID_DERIVED_SUPPRESSOR_CELL_BM_UP.html" TargetMode="External"/><Relationship Id="rId2455" Type="http://schemas.openxmlformats.org/officeDocument/2006/relationships/hyperlink" Target="http://www.broadinstitute.org/gsea/msigdb/cards/GSE32533_MIR17_KO_VS_MIR17_OVEREXPRESS_ACT_CD4_TCELL_DN.html" TargetMode="External"/><Relationship Id="rId2456" Type="http://schemas.openxmlformats.org/officeDocument/2006/relationships/hyperlink" Target="http://www.broadinstitute.org/gsea/msigdb/cards/GSE32164_RESTING_DIFFERENTIATED_VS_CMYC_INHIBITED_MACROPHAGE_DN.html" TargetMode="External"/><Relationship Id="rId2457" Type="http://schemas.openxmlformats.org/officeDocument/2006/relationships/hyperlink" Target="http://www.broadinstitute.org/gsea/msigdb/cards/GSE32986_CURDLAN_LOWDOSE_VS_CURDLAN_HIGHDOSE_STIM_DC_DN.html" TargetMode="External"/><Relationship Id="rId2458" Type="http://schemas.openxmlformats.org/officeDocument/2006/relationships/hyperlink" Target="http://www.broadinstitute.org/gsea/msigdb/cards/GSE30971_WBP7_HET_VS_KO_MACROPHAGE_4H_LPS_STIM_DN.html" TargetMode="External"/><Relationship Id="rId2459" Type="http://schemas.openxmlformats.org/officeDocument/2006/relationships/hyperlink" Target="http://www.broadinstitute.org/gsea/msigdb/cards/GSE37532_WT_VS_PPARG_KO_VISCERAL_ADIPOSE_TISSUE_TCONV_UP.html" TargetMode="External"/><Relationship Id="rId110" Type="http://schemas.openxmlformats.org/officeDocument/2006/relationships/hyperlink" Target="http://www.broadinstitute.org/gsea/msigdb/cards/IVANOVA_HEMATOPOIESIS_LATE_PROGENITOR.html" TargetMode="External"/><Relationship Id="rId111" Type="http://schemas.openxmlformats.org/officeDocument/2006/relationships/hyperlink" Target="http://www.broadinstitute.org/gsea/msigdb/cards/YU_MYC_TARGETS_DN.html" TargetMode="External"/><Relationship Id="rId112" Type="http://schemas.openxmlformats.org/officeDocument/2006/relationships/hyperlink" Target="http://www.broadinstitute.org/gsea/msigdb/cards/TORCHIA_TARGETS_OF_EWSR1_FLI1_FUSION_DN.html" TargetMode="External"/><Relationship Id="rId113" Type="http://schemas.openxmlformats.org/officeDocument/2006/relationships/hyperlink" Target="http://www.broadinstitute.org/gsea/msigdb/cards/MORI_LARGE_PRE_BII_LYMPHOCYTE_DN.html" TargetMode="External"/><Relationship Id="rId114" Type="http://schemas.openxmlformats.org/officeDocument/2006/relationships/hyperlink" Target="http://www.broadinstitute.org/gsea/msigdb/cards/KEGG_NATURAL_KILLER_CELL_MEDIATED_CYTOTOXICITY.html" TargetMode="External"/><Relationship Id="rId115" Type="http://schemas.openxmlformats.org/officeDocument/2006/relationships/hyperlink" Target="http://www.broadinstitute.org/gsea/msigdb/cards/KEGG_T_CELL_RECEPTOR_SIGNALING_PATHWAY.html" TargetMode="External"/><Relationship Id="rId116" Type="http://schemas.openxmlformats.org/officeDocument/2006/relationships/hyperlink" Target="http://www.broadinstitute.org/gsea/msigdb/cards/KEGG_SYSTEMIC_LUPUS_ERYTHEMATOSUS.html" TargetMode="External"/><Relationship Id="rId117" Type="http://schemas.openxmlformats.org/officeDocument/2006/relationships/hyperlink" Target="http://www.broadinstitute.org/gsea/msigdb/cards/REACTOME_HEMOSTASIS.html" TargetMode="External"/><Relationship Id="rId118" Type="http://schemas.openxmlformats.org/officeDocument/2006/relationships/hyperlink" Target="http://www.broadinstitute.org/gsea/msigdb/cards/SMIRNOV_CIRCULATING_ENDOTHELIOCYTES_IN_CANCER_UP.html" TargetMode="External"/><Relationship Id="rId119" Type="http://schemas.openxmlformats.org/officeDocument/2006/relationships/hyperlink" Target="http://www.broadinstitute.org/gsea/msigdb/cards/MATSUDA_NATURAL_KILLER_DIFFERENTIATION.html" TargetMode="External"/><Relationship Id="rId1360" Type="http://schemas.openxmlformats.org/officeDocument/2006/relationships/hyperlink" Target="http://www.broadinstitute.org/gsea/msigdb/cards/GO_G_PROTEIN_COUPLED_PURINERGIC_NUCLEOTIDE_RECEPTOR_SIGNALING_PATHWAY.html" TargetMode="External"/><Relationship Id="rId1361" Type="http://schemas.openxmlformats.org/officeDocument/2006/relationships/hyperlink" Target="http://www.broadinstitute.org/gsea/msigdb/cards/GO_T_CELL_MIGRATION.html" TargetMode="External"/><Relationship Id="rId1362" Type="http://schemas.openxmlformats.org/officeDocument/2006/relationships/hyperlink" Target="http://www.broadinstitute.org/gsea/msigdb/cards/GO_INTERACTION_WITH_HOST.html" TargetMode="External"/><Relationship Id="rId1363" Type="http://schemas.openxmlformats.org/officeDocument/2006/relationships/hyperlink" Target="http://www.broadinstitute.org/gsea/msigdb/cards/GO_MYELOID_LEUKOCYTE_DIFFERENTIATION.html" TargetMode="External"/><Relationship Id="rId1364" Type="http://schemas.openxmlformats.org/officeDocument/2006/relationships/hyperlink" Target="http://www.broadinstitute.org/gsea/msigdb/cards/GO_REGULATION_OF_INTERLEUKIN_1_BETA_PRODUCTION.html" TargetMode="External"/><Relationship Id="rId1365" Type="http://schemas.openxmlformats.org/officeDocument/2006/relationships/hyperlink" Target="http://www.broadinstitute.org/gsea/msigdb/cards/GO_NEGATIVE_REGULATION_OF_INTERFERON_GAMMA_PRODUCTION.html" TargetMode="External"/><Relationship Id="rId1366" Type="http://schemas.openxmlformats.org/officeDocument/2006/relationships/hyperlink" Target="http://www.broadinstitute.org/gsea/msigdb/cards/GO_POSITIVE_REGULATION_OF_ANTIGEN_RECEPTOR_MEDIATED_SIGNALING_PATHWAY.html" TargetMode="External"/><Relationship Id="rId1367" Type="http://schemas.openxmlformats.org/officeDocument/2006/relationships/hyperlink" Target="http://www.broadinstitute.org/gsea/msigdb/cards/GO_RESPIRATORY_BURST.html" TargetMode="External"/><Relationship Id="rId1368" Type="http://schemas.openxmlformats.org/officeDocument/2006/relationships/hyperlink" Target="http://www.broadinstitute.org/gsea/msigdb/cards/GO_POSITIVE_REGULATION_OF_INTERLEUKIN_1_PRODUCTION.html" TargetMode="External"/><Relationship Id="rId1369" Type="http://schemas.openxmlformats.org/officeDocument/2006/relationships/hyperlink" Target="http://www.broadinstitute.org/gsea/msigdb/cards/GO_POSITIVE_REGULATION_OF_CELL_DEATH.html" TargetMode="External"/><Relationship Id="rId4640" Type="http://schemas.openxmlformats.org/officeDocument/2006/relationships/hyperlink" Target="http://www.broadinstitute.org/gsea/msigdb/cards/GSE13547_CTRL_VS_ANTI_IGM_STIM_BCELL_2H_DN.html" TargetMode="External"/><Relationship Id="rId4641" Type="http://schemas.openxmlformats.org/officeDocument/2006/relationships/hyperlink" Target="http://www.broadinstitute.org/gsea/msigdb/cards/GSE12505_WT_VS_E2_2_HET_PDC_UP.html" TargetMode="External"/><Relationship Id="rId4642" Type="http://schemas.openxmlformats.org/officeDocument/2006/relationships/hyperlink" Target="http://www.broadinstitute.org/gsea/msigdb/cards/GSE25088_CTRL_VS_IL4_STIM_STAT6_KO_MACROPHAGE_UP.html" TargetMode="External"/><Relationship Id="rId4643" Type="http://schemas.openxmlformats.org/officeDocument/2006/relationships/hyperlink" Target="http://www.broadinstitute.org/gsea/msigdb/cards/GSE45365_BCELL_VS_CD8_TCELL_DN.html" TargetMode="External"/><Relationship Id="rId4644" Type="http://schemas.openxmlformats.org/officeDocument/2006/relationships/hyperlink" Target="http://www.broadinstitute.org/gsea/msigdb/cards/GSE45365_HEALTHY_VS_MCMV_INFECTION_CD8_TCELL_IFNAR_KO_DN.html" TargetMode="External"/><Relationship Id="rId4645" Type="http://schemas.openxmlformats.org/officeDocument/2006/relationships/hyperlink" Target="http://www.broadinstitute.org/gsea/msigdb/cards/GSE10422_WT_VS_BAFF_TRANSGENIC_LN_BCELL_DN.html" TargetMode="External"/><Relationship Id="rId4646" Type="http://schemas.openxmlformats.org/officeDocument/2006/relationships/hyperlink" Target="http://www.broadinstitute.org/gsea/msigdb/cards/GSE12003_4D_VS_8D_CULTURE_BM_PROGENITOR_UP.html" TargetMode="External"/><Relationship Id="rId4647" Type="http://schemas.openxmlformats.org/officeDocument/2006/relationships/hyperlink" Target="http://www.broadinstitute.org/gsea/msigdb/cards/GSE5542_UNTREATED_VS_IFNA_TREATED_EPITHELIAL_CELLS_6H_DN.html" TargetMode="External"/><Relationship Id="rId4648" Type="http://schemas.openxmlformats.org/officeDocument/2006/relationships/hyperlink" Target="http://www.broadinstitute.org/gsea/msigdb/cards/GSE16385_IFNG_TNF_VS_IL4_STIM_MACROPHAGE_ROSIGLITAZONE_TREATED_UP.html" TargetMode="External"/><Relationship Id="rId4649" Type="http://schemas.openxmlformats.org/officeDocument/2006/relationships/hyperlink" Target="http://www.broadinstitute.org/gsea/msigdb/cards/GSE37563_WT_VS_CTLA4_KO_CD4_TCELL_D4_POST_IMMUNIZATION_UP.html" TargetMode="External"/><Relationship Id="rId5000" Type="http://schemas.openxmlformats.org/officeDocument/2006/relationships/hyperlink" Target="http://www.broadinstitute.org/gsea/msigdb/cards/GSE15930_NAIVE_VS_48H_IN_VITRO_STIM_IL12_CD8_TCELL_UP.html" TargetMode="External"/><Relationship Id="rId5001" Type="http://schemas.openxmlformats.org/officeDocument/2006/relationships/hyperlink" Target="http://www.broadinstitute.org/gsea/msigdb/cards/GSE15930_NAIVE_VS_72H_IN_VITRO_STIM_IL12_CD8_TCELL_UP.html" TargetMode="External"/><Relationship Id="rId5002" Type="http://schemas.openxmlformats.org/officeDocument/2006/relationships/hyperlink" Target="http://www.broadinstitute.org/gsea/msigdb/cards/GSE15930_NAIVE_VS_72H_IN_VITRO_STIM_TRICHOSTATINA_CD8_TCELL_UP.html" TargetMode="External"/><Relationship Id="rId5003" Type="http://schemas.openxmlformats.org/officeDocument/2006/relationships/hyperlink" Target="http://www.broadinstitute.org/gsea/msigdb/cards/GSE15930_STIM_VS_STIM_AND_IFNAB_72H_CD8_T_CELL_UP.html" TargetMode="External"/><Relationship Id="rId5004" Type="http://schemas.openxmlformats.org/officeDocument/2006/relationships/hyperlink" Target="http://www.broadinstitute.org/gsea/msigdb/cards/GSE15930_STIM_VS_STIM_AND_TRICHOSTATINA_72H_CD8_T_CELL_UP.html" TargetMode="External"/><Relationship Id="rId5005" Type="http://schemas.openxmlformats.org/officeDocument/2006/relationships/hyperlink" Target="http://www.broadinstitute.org/gsea/msigdb/cards/GSE16522_ANTI_CD3CD28_STIM_VS_UNSTIM_MEMORY_CD8_TCELL_UP.html" TargetMode="External"/><Relationship Id="rId5006" Type="http://schemas.openxmlformats.org/officeDocument/2006/relationships/hyperlink" Target="http://www.broadinstitute.org/gsea/msigdb/cards/GSE17721_CTRL_VS_LPS_1H_BMDC_DN.html" TargetMode="External"/><Relationship Id="rId5007" Type="http://schemas.openxmlformats.org/officeDocument/2006/relationships/hyperlink" Target="http://www.broadinstitute.org/gsea/msigdb/cards/GSE17721_CTRL_VS_LPS_6H_BMDC_UP.html" TargetMode="External"/><Relationship Id="rId5008" Type="http://schemas.openxmlformats.org/officeDocument/2006/relationships/hyperlink" Target="http://www.broadinstitute.org/gsea/msigdb/cards/GSE17721_CTRL_VS_LPS_8H_BMDC_UP.html" TargetMode="External"/><Relationship Id="rId5009" Type="http://schemas.openxmlformats.org/officeDocument/2006/relationships/hyperlink" Target="http://www.broadinstitute.org/gsea/msigdb/cards/GSE17721_CTRL_VS_POLYIC_1H_BMDC_UP.html" TargetMode="External"/><Relationship Id="rId3550" Type="http://schemas.openxmlformats.org/officeDocument/2006/relationships/hyperlink" Target="http://www.broadinstitute.org/gsea/msigdb/cards/GSE21670_TGFB_VS_TGFB_AND_IL6_TREATED_CD4_TCELL_DN.html" TargetMode="External"/><Relationship Id="rId3551" Type="http://schemas.openxmlformats.org/officeDocument/2006/relationships/hyperlink" Target="http://www.broadinstitute.org/gsea/msigdb/cards/GSE22229_RENAL_TRANSPLANT_VS_HEALTHY_PBMC_UP.html" TargetMode="External"/><Relationship Id="rId3552" Type="http://schemas.openxmlformats.org/officeDocument/2006/relationships/hyperlink" Target="http://www.broadinstitute.org/gsea/msigdb/cards/GSE21546_WT_VS_SAP1A_KO_AND_ELK1_KO_DP_THYMOCYTES_UP.html" TargetMode="External"/><Relationship Id="rId3553" Type="http://schemas.openxmlformats.org/officeDocument/2006/relationships/hyperlink" Target="http://www.broadinstitute.org/gsea/msigdb/cards/GSE21927_SPLEEN_VS_BONE_MARROW_MONOCYTE_BALBC_DN.html" TargetMode="External"/><Relationship Id="rId3554" Type="http://schemas.openxmlformats.org/officeDocument/2006/relationships/hyperlink" Target="http://www.broadinstitute.org/gsea/msigdb/cards/GSE21360_PRIMARY_VS_TERTIARY_MEMORY_CD8_TCELL_UP.html" TargetMode="External"/><Relationship Id="rId3555" Type="http://schemas.openxmlformats.org/officeDocument/2006/relationships/hyperlink" Target="http://www.broadinstitute.org/gsea/msigdb/cards/GSE19401_NAIVE_VS_IMMUNIZED_MOUSE_PLN_FOLLICULAR_DC_UP.html" TargetMode="External"/><Relationship Id="rId3556" Type="http://schemas.openxmlformats.org/officeDocument/2006/relationships/hyperlink" Target="http://www.broadinstitute.org/gsea/msigdb/cards/GSE23505_UNTREATED_VS_4DAY_IL6_IL1_TGFB_TREATED_CD4_TCELL_UP.html" TargetMode="External"/><Relationship Id="rId3557" Type="http://schemas.openxmlformats.org/officeDocument/2006/relationships/hyperlink" Target="http://www.broadinstitute.org/gsea/msigdb/cards/GSE25123_ROSIGLITAZONE_VS_IL4_AND_ROSIGLITAZONE_STIM_PPARG_KO_MACROPHAGE_DAY10_DN.html" TargetMode="External"/><Relationship Id="rId3558" Type="http://schemas.openxmlformats.org/officeDocument/2006/relationships/hyperlink" Target="http://www.broadinstitute.org/gsea/msigdb/cards/GSE25123_CTRL_VS_ROSIGLITAZONE_STIM_PPARG_KO_MACROPHAGE_DN.html" TargetMode="External"/><Relationship Id="rId3559" Type="http://schemas.openxmlformats.org/officeDocument/2006/relationships/hyperlink" Target="http://www.broadinstitute.org/gsea/msigdb/cards/GSE25088_WT_VS_STAT6_KO_MACROPHAGE_IL4_STIM_UP.html" TargetMode="External"/><Relationship Id="rId850" Type="http://schemas.openxmlformats.org/officeDocument/2006/relationships/hyperlink" Target="http://www.broadinstitute.org/gsea/msigdb/cards/FOXM1_01.html" TargetMode="External"/><Relationship Id="rId851" Type="http://schemas.openxmlformats.org/officeDocument/2006/relationships/hyperlink" Target="http://www.broadinstitute.org/gsea/msigdb/cards/E47_01.html" TargetMode="External"/><Relationship Id="rId852" Type="http://schemas.openxmlformats.org/officeDocument/2006/relationships/hyperlink" Target="http://www.broadinstitute.org/gsea/msigdb/cards/CEBPGAMMA_Q6.html" TargetMode="External"/><Relationship Id="rId853" Type="http://schemas.openxmlformats.org/officeDocument/2006/relationships/hyperlink" Target="http://www.broadinstitute.org/gsea/msigdb/cards/OSF2_Q6.html" TargetMode="External"/><Relationship Id="rId854" Type="http://schemas.openxmlformats.org/officeDocument/2006/relationships/hyperlink" Target="http://www.broadinstitute.org/gsea/msigdb/cards/AP1_Q2.html" TargetMode="External"/><Relationship Id="rId855" Type="http://schemas.openxmlformats.org/officeDocument/2006/relationships/hyperlink" Target="http://www.broadinstitute.org/gsea/msigdb/cards/AGCATTA_MIR155.html" TargetMode="External"/><Relationship Id="rId856" Type="http://schemas.openxmlformats.org/officeDocument/2006/relationships/hyperlink" Target="http://www.broadinstitute.org/gsea/msigdb/cards/AP1_01.html" TargetMode="External"/><Relationship Id="rId857" Type="http://schemas.openxmlformats.org/officeDocument/2006/relationships/hyperlink" Target="http://www.broadinstitute.org/gsea/msigdb/cards/FOXJ2_02.html" TargetMode="External"/><Relationship Id="rId858" Type="http://schemas.openxmlformats.org/officeDocument/2006/relationships/hyperlink" Target="http://www.broadinstitute.org/gsea/msigdb/cards/MODULE_84.html" TargetMode="External"/><Relationship Id="rId859" Type="http://schemas.openxmlformats.org/officeDocument/2006/relationships/hyperlink" Target="http://www.broadinstitute.org/gsea/msigdb/cards/MODULE_45.html" TargetMode="External"/><Relationship Id="rId2460" Type="http://schemas.openxmlformats.org/officeDocument/2006/relationships/hyperlink" Target="http://www.broadinstitute.org/gsea/msigdb/cards/GSE40274_FOXP3_VS_FOXP3_AND_IRF4_TRANSDUCED_ACTIVATED_CD4_TCELL_DN.html" TargetMode="External"/><Relationship Id="rId2461" Type="http://schemas.openxmlformats.org/officeDocument/2006/relationships/hyperlink" Target="http://www.broadinstitute.org/gsea/msigdb/cards/GSE41867_NAIVE_VS_DAY6_LCMV_ARMSTRONG_EFFECTOR_CD8_TCELL_DN.html" TargetMode="External"/><Relationship Id="rId2462" Type="http://schemas.openxmlformats.org/officeDocument/2006/relationships/hyperlink" Target="http://www.broadinstitute.org/gsea/msigdb/cards/GSE36826_WT_VS_IL1R_KO_SKIN_UP.html" TargetMode="External"/><Relationship Id="rId2463" Type="http://schemas.openxmlformats.org/officeDocument/2006/relationships/hyperlink" Target="http://www.broadinstitute.org/gsea/msigdb/cards/GSE15330_HSC_VS_LYMPHOID_PRIMED_MULTIPOTENT_PROGENITOR_DN.html" TargetMode="External"/><Relationship Id="rId2464" Type="http://schemas.openxmlformats.org/officeDocument/2006/relationships/hyperlink" Target="http://www.broadinstitute.org/gsea/msigdb/cards/GSE3920_IFNA_VS_IFNB_TREATED_ENDOTHELIAL_CELL_DN.html" TargetMode="External"/><Relationship Id="rId2465" Type="http://schemas.openxmlformats.org/officeDocument/2006/relationships/hyperlink" Target="http://www.broadinstitute.org/gsea/msigdb/cards/GSE14415_INDUCED_TREG_VS_FOXP3_KO_INDUCED_TREG_DN.html" TargetMode="External"/><Relationship Id="rId2466" Type="http://schemas.openxmlformats.org/officeDocument/2006/relationships/hyperlink" Target="http://www.broadinstitute.org/gsea/msigdb/cards/GSE21360_SECONDARY_VS_TERTIARY_MEMORY_CD8_TCELL_DN.html" TargetMode="External"/><Relationship Id="rId2467" Type="http://schemas.openxmlformats.org/officeDocument/2006/relationships/hyperlink" Target="http://www.broadinstitute.org/gsea/msigdb/cards/GSE40666_UNTREATED_VS_IFNA_STIM_EFFECTOR_CD8_TCELL_90MIN_UP.html" TargetMode="External"/><Relationship Id="rId2468" Type="http://schemas.openxmlformats.org/officeDocument/2006/relationships/hyperlink" Target="http://www.broadinstitute.org/gsea/msigdb/cards/GSE3920_IFNA_VS_IFNG_TREATED_FIBROBLAST_UP.html" TargetMode="External"/><Relationship Id="rId2469" Type="http://schemas.openxmlformats.org/officeDocument/2006/relationships/hyperlink" Target="http://www.broadinstitute.org/gsea/msigdb/cards/GSE5542_UNTREATED_VS_IFNG_TREATED_EPITHELIAL_CELLS_24H_UP.html" TargetMode="External"/><Relationship Id="rId120" Type="http://schemas.openxmlformats.org/officeDocument/2006/relationships/hyperlink" Target="http://www.broadinstitute.org/gsea/msigdb/cards/DUNNE_TARGETS_OF_AML1_MTG8_FUSION_UP.html" TargetMode="External"/><Relationship Id="rId121" Type="http://schemas.openxmlformats.org/officeDocument/2006/relationships/hyperlink" Target="http://www.broadinstitute.org/gsea/msigdb/cards/REACTOME_INTERFERON_GAMMA_SIGNALING.html" TargetMode="External"/><Relationship Id="rId122" Type="http://schemas.openxmlformats.org/officeDocument/2006/relationships/hyperlink" Target="http://www.broadinstitute.org/gsea/msigdb/cards/PID_CD8_TCR_PATHWAY.html" TargetMode="External"/><Relationship Id="rId123" Type="http://schemas.openxmlformats.org/officeDocument/2006/relationships/hyperlink" Target="http://www.broadinstitute.org/gsea/msigdb/cards/PID_CXCR4_PATHWAY.html" TargetMode="External"/><Relationship Id="rId124" Type="http://schemas.openxmlformats.org/officeDocument/2006/relationships/hyperlink" Target="http://www.broadinstitute.org/gsea/msigdb/cards/BOSCO_ALLERGEN_INDUCED_TH2_ASSOCIATED_MODULE.html" TargetMode="External"/><Relationship Id="rId125" Type="http://schemas.openxmlformats.org/officeDocument/2006/relationships/hyperlink" Target="http://www.broadinstitute.org/gsea/msigdb/cards/REACTOME_TRANSLOCATION_OF_ZAP_70_TO_IMMUNOLOGICAL_SYNAPSE.html" TargetMode="External"/><Relationship Id="rId126" Type="http://schemas.openxmlformats.org/officeDocument/2006/relationships/hyperlink" Target="http://www.broadinstitute.org/gsea/msigdb/cards/LINDSTEDT_DENDRITIC_CELL_MATURATION_D.html" TargetMode="External"/><Relationship Id="rId127" Type="http://schemas.openxmlformats.org/officeDocument/2006/relationships/hyperlink" Target="http://www.broadinstitute.org/gsea/msigdb/cards/BIOCARTA_CTLA4_PATHWAY.html" TargetMode="External"/><Relationship Id="rId128" Type="http://schemas.openxmlformats.org/officeDocument/2006/relationships/hyperlink" Target="http://www.broadinstitute.org/gsea/msigdb/cards/KUROZUMI_RESPONSE_TO_ONCOCYTIC_VIRUS_AND_CYCLIC_RGD.html" TargetMode="External"/><Relationship Id="rId129" Type="http://schemas.openxmlformats.org/officeDocument/2006/relationships/hyperlink" Target="http://www.broadinstitute.org/gsea/msigdb/cards/KUMAR_TARGETS_OF_MLL_AF9_FUSION.html" TargetMode="External"/><Relationship Id="rId1370" Type="http://schemas.openxmlformats.org/officeDocument/2006/relationships/hyperlink" Target="http://www.broadinstitute.org/gsea/msigdb/cards/GO_CLATHRIN_COATED_VESICLE_MEMBRANE.html" TargetMode="External"/><Relationship Id="rId1371" Type="http://schemas.openxmlformats.org/officeDocument/2006/relationships/hyperlink" Target="http://www.broadinstitute.org/gsea/msigdb/cards/GO_FC_RECEPTOR_SIGNALING_PATHWAY.html" TargetMode="External"/><Relationship Id="rId1372" Type="http://schemas.openxmlformats.org/officeDocument/2006/relationships/hyperlink" Target="http://www.broadinstitute.org/gsea/msigdb/cards/GO_LYMPHOCYTE_HOMEOSTASIS.html" TargetMode="External"/><Relationship Id="rId1373" Type="http://schemas.openxmlformats.org/officeDocument/2006/relationships/hyperlink" Target="http://www.broadinstitute.org/gsea/msigdb/cards/GO_POSITIVE_REGULATION_OF_KINASE_ACTIVITY.html" TargetMode="External"/><Relationship Id="rId1374" Type="http://schemas.openxmlformats.org/officeDocument/2006/relationships/hyperlink" Target="http://www.broadinstitute.org/gsea/msigdb/cards/GO_NEGATIVE_REGULATION_OF_INFLAMMATORY_RESPONSE.html" TargetMode="External"/><Relationship Id="rId1375" Type="http://schemas.openxmlformats.org/officeDocument/2006/relationships/hyperlink" Target="http://www.broadinstitute.org/gsea/msigdb/cards/GO_NEGATIVE_REGULATION_OF_ADAPTIVE_IMMUNE_RESPONSE.html" TargetMode="External"/><Relationship Id="rId1376" Type="http://schemas.openxmlformats.org/officeDocument/2006/relationships/hyperlink" Target="http://www.broadinstitute.org/gsea/msigdb/cards/GO_POSITIVE_REGULATION_OF_B_CELL_PROLIFERATION.html" TargetMode="External"/><Relationship Id="rId1377" Type="http://schemas.openxmlformats.org/officeDocument/2006/relationships/hyperlink" Target="http://www.broadinstitute.org/gsea/msigdb/cards/GO_POSITIVE_REGULATION_OF_ANTIGEN_PROCESSING_AND_PRESENTATION.html" TargetMode="External"/><Relationship Id="rId1378" Type="http://schemas.openxmlformats.org/officeDocument/2006/relationships/hyperlink" Target="http://www.broadinstitute.org/gsea/msigdb/cards/GO_MHC_CLASS_II_PROTEIN_COMPLEX_BINDING.html" TargetMode="External"/><Relationship Id="rId1379" Type="http://schemas.openxmlformats.org/officeDocument/2006/relationships/hyperlink" Target="http://www.broadinstitute.org/gsea/msigdb/cards/GO_REGULATION_OF_T_HELPER_CELL_DIFFERENTIATION.html" TargetMode="External"/><Relationship Id="rId4650" Type="http://schemas.openxmlformats.org/officeDocument/2006/relationships/hyperlink" Target="http://www.broadinstitute.org/gsea/msigdb/cards/GSE21927_SPLEEN_VS_4T1_TUMOR_MONOCYTE_BALBC_UP.html" TargetMode="External"/><Relationship Id="rId4651" Type="http://schemas.openxmlformats.org/officeDocument/2006/relationships/hyperlink" Target="http://www.broadinstitute.org/gsea/msigdb/cards/GSE21927_SPLENIC_C26GM_TUMOROUS_VS_4T1_TUMOR_MONOCYTES_DN.html" TargetMode="External"/><Relationship Id="rId4652" Type="http://schemas.openxmlformats.org/officeDocument/2006/relationships/hyperlink" Target="http://www.broadinstitute.org/gsea/msigdb/cards/GSE16385_UNTREATED_VS_12H_ROSIGLITAZONE_TREATED_MACROPHAGE_DN.html" TargetMode="External"/><Relationship Id="rId4653" Type="http://schemas.openxmlformats.org/officeDocument/2006/relationships/hyperlink" Target="http://www.broadinstitute.org/gsea/msigdb/cards/GSE23114_PERITONEAL_CAVITY_B1A_BCELL_VS_SPLEEN_BCELL_UP.html" TargetMode="External"/><Relationship Id="rId4654" Type="http://schemas.openxmlformats.org/officeDocument/2006/relationships/hyperlink" Target="http://www.broadinstitute.org/gsea/msigdb/cards/GSE32986_GMCSF_VS_GMCSF_AND_CURDLAN_HIGHDOSE_STIM_DC_DN.html" TargetMode="External"/><Relationship Id="rId4655" Type="http://schemas.openxmlformats.org/officeDocument/2006/relationships/hyperlink" Target="http://www.broadinstitute.org/gsea/msigdb/cards/GSE46242_CTRL_VS_EGR2_DELETED_TH1_CD4_TCELL_DN.html" TargetMode="External"/><Relationship Id="rId4656" Type="http://schemas.openxmlformats.org/officeDocument/2006/relationships/hyperlink" Target="http://www.broadinstitute.org/gsea/msigdb/cards/KAECH_NAIVE_VS_MEMORY_CD8_TCELL_UP.html" TargetMode="External"/><Relationship Id="rId4657" Type="http://schemas.openxmlformats.org/officeDocument/2006/relationships/hyperlink" Target="http://www.broadinstitute.org/gsea/msigdb/cards/GSE10094_LCMV_VS_LISTERIA_IND_EFF_CD4_TCELL_DN.html" TargetMode="External"/><Relationship Id="rId4658" Type="http://schemas.openxmlformats.org/officeDocument/2006/relationships/hyperlink" Target="http://www.broadinstitute.org/gsea/msigdb/cards/GSE10239_NAIVE_VS_KLRG1HIGH_EFF_CD8_TCELL_DN.html" TargetMode="External"/><Relationship Id="rId4659" Type="http://schemas.openxmlformats.org/officeDocument/2006/relationships/hyperlink" Target="http://www.broadinstitute.org/gsea/msigdb/cards/GSE11864_UNTREATED_VS_CSF1_PAM3CYS_IN_MAC_UP.html" TargetMode="External"/><Relationship Id="rId5010" Type="http://schemas.openxmlformats.org/officeDocument/2006/relationships/hyperlink" Target="http://www.broadinstitute.org/gsea/msigdb/cards/GSE17721_CTRL_VS_POLYIC_12H_BMDC_DN.html" TargetMode="External"/><Relationship Id="rId5011" Type="http://schemas.openxmlformats.org/officeDocument/2006/relationships/hyperlink" Target="http://www.broadinstitute.org/gsea/msigdb/cards/GSE17721_CTRL_VS_PAM3CSK4_0.5H_BMDC_UP.html" TargetMode="External"/><Relationship Id="rId5012" Type="http://schemas.openxmlformats.org/officeDocument/2006/relationships/hyperlink" Target="http://www.broadinstitute.org/gsea/msigdb/cards/GSE17721_CTRL_VS_PAM3CSK4_4H_BMDC_DN.html" TargetMode="External"/><Relationship Id="rId5013" Type="http://schemas.openxmlformats.org/officeDocument/2006/relationships/hyperlink" Target="http://www.broadinstitute.org/gsea/msigdb/cards/GSE17721_CTRL_VS_PAM3CSK4_12H_BMDC_DN.html" TargetMode="External"/><Relationship Id="rId5014" Type="http://schemas.openxmlformats.org/officeDocument/2006/relationships/hyperlink" Target="http://www.broadinstitute.org/gsea/msigdb/cards/GSE17721_CTRL_VS_CPG_0.5H_BMDC_DN.html" TargetMode="External"/><Relationship Id="rId5015" Type="http://schemas.openxmlformats.org/officeDocument/2006/relationships/hyperlink" Target="http://www.broadinstitute.org/gsea/msigdb/cards/GSE17721_CTRL_VS_CPG_1H_BMDC_DN.html" TargetMode="External"/><Relationship Id="rId5016" Type="http://schemas.openxmlformats.org/officeDocument/2006/relationships/hyperlink" Target="http://www.broadinstitute.org/gsea/msigdb/cards/GSE17721_CTRL_VS_CPG_24H_BMDC_UP.html" TargetMode="External"/><Relationship Id="rId5017" Type="http://schemas.openxmlformats.org/officeDocument/2006/relationships/hyperlink" Target="http://www.broadinstitute.org/gsea/msigdb/cards/GSE17721_CTRL_VS_GARDIQUIMOD_0.5H_BMDC_DN.html" TargetMode="External"/><Relationship Id="rId5018" Type="http://schemas.openxmlformats.org/officeDocument/2006/relationships/hyperlink" Target="http://www.broadinstitute.org/gsea/msigdb/cards/GSE17721_CTRL_VS_GARDIQUIMOD_8H_BMDC_UP.html" TargetMode="External"/><Relationship Id="rId5019" Type="http://schemas.openxmlformats.org/officeDocument/2006/relationships/hyperlink" Target="http://www.broadinstitute.org/gsea/msigdb/cards/GSE17721_CTRL_VS_GARDIQUIMOD_12H_BMDC_DN.html" TargetMode="External"/><Relationship Id="rId3560" Type="http://schemas.openxmlformats.org/officeDocument/2006/relationships/hyperlink" Target="http://www.broadinstitute.org/gsea/msigdb/cards/GSE23984_CTRL_VS_HYPOCALEMIC_VITAMIND_ANALOG_TCELL_DN.html" TargetMode="External"/><Relationship Id="rId3561" Type="http://schemas.openxmlformats.org/officeDocument/2006/relationships/hyperlink" Target="http://www.broadinstitute.org/gsea/msigdb/cards/GSE22282_HYPOXIA_VS_NORMOXIA_MYELOID_DC_UP.html" TargetMode="External"/><Relationship Id="rId3562" Type="http://schemas.openxmlformats.org/officeDocument/2006/relationships/hyperlink" Target="http://www.broadinstitute.org/gsea/msigdb/cards/GSE24972_MARGINAL_ZONE_BCELL_VS_FOLLICULAR_BCELL_IRF8_KO_DN.html" TargetMode="External"/><Relationship Id="rId3563" Type="http://schemas.openxmlformats.org/officeDocument/2006/relationships/hyperlink" Target="http://www.broadinstitute.org/gsea/msigdb/cards/GSE19941_UNSTIM_VS_LPS_AND_IL10_STIM_IL10_KO_MACROPHAGE_UP.html" TargetMode="External"/><Relationship Id="rId3564" Type="http://schemas.openxmlformats.org/officeDocument/2006/relationships/hyperlink" Target="http://www.broadinstitute.org/gsea/msigdb/cards/GSE22443_IL2_VS_IL12_TREATED_ACT_CD8_TCELL_DN.html" TargetMode="External"/><Relationship Id="rId3565" Type="http://schemas.openxmlformats.org/officeDocument/2006/relationships/hyperlink" Target="http://www.broadinstitute.org/gsea/msigdb/cards/GSE24574_BCL6_HIGH_TFH_VS_TCONV_CD4_TCELL_DN.html" TargetMode="External"/><Relationship Id="rId3566" Type="http://schemas.openxmlformats.org/officeDocument/2006/relationships/hyperlink" Target="http://www.broadinstitute.org/gsea/msigdb/cards/GSE24574_BCL6_HIGH_TFH_VS_TFH_CD4_TCELL_UP.html" TargetMode="External"/><Relationship Id="rId3567" Type="http://schemas.openxmlformats.org/officeDocument/2006/relationships/hyperlink" Target="http://www.broadinstitute.org/gsea/msigdb/cards/GSE29949_MICROGLIA_BRAIN_VS_CD8_POS_DC_SPLEEN_UP.html" TargetMode="External"/><Relationship Id="rId3568" Type="http://schemas.openxmlformats.org/officeDocument/2006/relationships/hyperlink" Target="http://www.broadinstitute.org/gsea/msigdb/cards/GSE29949_MICROGLIA_BRAIN_VS_CD8_POS_DC_SPLEEN_DN.html" TargetMode="External"/><Relationship Id="rId3569" Type="http://schemas.openxmlformats.org/officeDocument/2006/relationships/hyperlink" Target="http://www.broadinstitute.org/gsea/msigdb/cards/GSE29949_MICROGLIA_BRAIN_VS_CD8_NEG_DC_SPLEEN_DN.html" TargetMode="External"/><Relationship Id="rId860" Type="http://schemas.openxmlformats.org/officeDocument/2006/relationships/hyperlink" Target="http://www.broadinstitute.org/gsea/msigdb/cards/MODULE_46.html" TargetMode="External"/><Relationship Id="rId861" Type="http://schemas.openxmlformats.org/officeDocument/2006/relationships/hyperlink" Target="http://www.broadinstitute.org/gsea/msigdb/cards/MODULE_75.html" TargetMode="External"/><Relationship Id="rId862" Type="http://schemas.openxmlformats.org/officeDocument/2006/relationships/hyperlink" Target="http://www.broadinstitute.org/gsea/msigdb/cards/MODULE_64.html" TargetMode="External"/><Relationship Id="rId863" Type="http://schemas.openxmlformats.org/officeDocument/2006/relationships/hyperlink" Target="http://www.broadinstitute.org/gsea/msigdb/cards/MODULE_44.html" TargetMode="External"/><Relationship Id="rId864" Type="http://schemas.openxmlformats.org/officeDocument/2006/relationships/hyperlink" Target="http://www.broadinstitute.org/gsea/msigdb/cards/MODULE_27.html" TargetMode="External"/><Relationship Id="rId865" Type="http://schemas.openxmlformats.org/officeDocument/2006/relationships/hyperlink" Target="http://www.broadinstitute.org/gsea/msigdb/cards/GNF2_CASP1.html" TargetMode="External"/><Relationship Id="rId866" Type="http://schemas.openxmlformats.org/officeDocument/2006/relationships/hyperlink" Target="http://www.broadinstitute.org/gsea/msigdb/cards/GNF2_HCK.html" TargetMode="External"/><Relationship Id="rId867" Type="http://schemas.openxmlformats.org/officeDocument/2006/relationships/hyperlink" Target="http://www.broadinstitute.org/gsea/msigdb/cards/MODULE_117.html" TargetMode="External"/><Relationship Id="rId868" Type="http://schemas.openxmlformats.org/officeDocument/2006/relationships/hyperlink" Target="http://www.broadinstitute.org/gsea/msigdb/cards/MODULE_5.html" TargetMode="External"/><Relationship Id="rId869" Type="http://schemas.openxmlformats.org/officeDocument/2006/relationships/hyperlink" Target="http://www.broadinstitute.org/gsea/msigdb/cards/GNF2_CARD15.html" TargetMode="External"/><Relationship Id="rId2470" Type="http://schemas.openxmlformats.org/officeDocument/2006/relationships/hyperlink" Target="http://www.broadinstitute.org/gsea/msigdb/cards/GSE24671_CTRL_VS_SENDAI_VIRUS_INFECTED_MOUSE_SPLENOCYTES_UP.html" TargetMode="External"/><Relationship Id="rId2471" Type="http://schemas.openxmlformats.org/officeDocument/2006/relationships/hyperlink" Target="http://www.broadinstitute.org/gsea/msigdb/cards/GSE1740_UNSTIM_VS_IFNA_STIMULATED_MCSF_DERIVED_MACROPHAGE_DN.html" TargetMode="External"/><Relationship Id="rId2472" Type="http://schemas.openxmlformats.org/officeDocument/2006/relationships/hyperlink" Target="http://www.broadinstitute.org/gsea/msigdb/cards/KAECH_DAY15_EFF_VS_MEMORY_CD8_TCELL_UP.html" TargetMode="External"/><Relationship Id="rId2473" Type="http://schemas.openxmlformats.org/officeDocument/2006/relationships/hyperlink" Target="http://www.broadinstitute.org/gsea/msigdb/cards/GSE10325_MYELOID_VS_LUPUS_MYELOID_DN.html" TargetMode="External"/><Relationship Id="rId2474" Type="http://schemas.openxmlformats.org/officeDocument/2006/relationships/hyperlink" Target="http://www.broadinstitute.org/gsea/msigdb/cards/GSE12366_GC_VS_NAIVE_BCELL_DN.html" TargetMode="External"/><Relationship Id="rId2475" Type="http://schemas.openxmlformats.org/officeDocument/2006/relationships/hyperlink" Target="http://www.broadinstitute.org/gsea/msigdb/cards/GSE14000_UNSTIM_VS_4H_LPS_DC_TRANSLATED_RNA_DN.html" TargetMode="External"/><Relationship Id="rId2476" Type="http://schemas.openxmlformats.org/officeDocument/2006/relationships/hyperlink" Target="http://www.broadinstitute.org/gsea/msigdb/cards/GSE14769_UNSTIM_VS_120MIN_LPS_BMDM_DN.html" TargetMode="External"/><Relationship Id="rId2477" Type="http://schemas.openxmlformats.org/officeDocument/2006/relationships/hyperlink" Target="http://www.broadinstitute.org/gsea/msigdb/cards/GSE16755_CTRL_VS_IFNA_TREATED_MAC_DN.html" TargetMode="External"/><Relationship Id="rId2478" Type="http://schemas.openxmlformats.org/officeDocument/2006/relationships/hyperlink" Target="http://www.broadinstitute.org/gsea/msigdb/cards/GSE20366_EX_VIVO_VS_DEC205_CONVERSION_NAIVE_CD4_TCELL_UP.html" TargetMode="External"/><Relationship Id="rId2479" Type="http://schemas.openxmlformats.org/officeDocument/2006/relationships/hyperlink" Target="http://www.broadinstitute.org/gsea/msigdb/cards/GSE20715_0H_VS_48H_OZONE_TLR4_KO_LUNG_UP.html" TargetMode="External"/><Relationship Id="rId130" Type="http://schemas.openxmlformats.org/officeDocument/2006/relationships/hyperlink" Target="http://www.broadinstitute.org/gsea/msigdb/cards/KEGG_ASTHMA.html" TargetMode="External"/><Relationship Id="rId131" Type="http://schemas.openxmlformats.org/officeDocument/2006/relationships/hyperlink" Target="http://www.broadinstitute.org/gsea/msigdb/cards/GAVIN_FOXP3_TARGETS_CLUSTER_P3.html" TargetMode="External"/><Relationship Id="rId132" Type="http://schemas.openxmlformats.org/officeDocument/2006/relationships/hyperlink" Target="http://www.broadinstitute.org/gsea/msigdb/cards/REACTOME_PHOSPHORYLATION_OF_CD3_AND_TCR_ZETA_CHAINS.html" TargetMode="External"/><Relationship Id="rId133" Type="http://schemas.openxmlformats.org/officeDocument/2006/relationships/hyperlink" Target="http://www.broadinstitute.org/gsea/msigdb/cards/KRIGE_RESPONSE_TO_TOSEDOSTAT_24HR_UP.html" TargetMode="External"/><Relationship Id="rId134" Type="http://schemas.openxmlformats.org/officeDocument/2006/relationships/hyperlink" Target="http://www.broadinstitute.org/gsea/msigdb/cards/BOYLAN_MULTIPLE_MYELOMA_PCA1_UP.html" TargetMode="External"/><Relationship Id="rId135" Type="http://schemas.openxmlformats.org/officeDocument/2006/relationships/hyperlink" Target="http://www.broadinstitute.org/gsea/msigdb/cards/ONO_AML1_TARGETS_DN.html" TargetMode="External"/><Relationship Id="rId136" Type="http://schemas.openxmlformats.org/officeDocument/2006/relationships/hyperlink" Target="http://www.broadinstitute.org/gsea/msigdb/cards/NEMETH_INFLAMMATORY_RESPONSE_LPS_UP.html" TargetMode="External"/><Relationship Id="rId137" Type="http://schemas.openxmlformats.org/officeDocument/2006/relationships/hyperlink" Target="http://www.broadinstitute.org/gsea/msigdb/cards/DELYS_THYROID_CANCER_UP.html" TargetMode="External"/><Relationship Id="rId138" Type="http://schemas.openxmlformats.org/officeDocument/2006/relationships/hyperlink" Target="http://www.broadinstitute.org/gsea/msigdb/cards/HADDAD_T_LYMPHOCYTE_AND_NK_PROGENITOR_DN.html" TargetMode="External"/><Relationship Id="rId139" Type="http://schemas.openxmlformats.org/officeDocument/2006/relationships/hyperlink" Target="http://www.broadinstitute.org/gsea/msigdb/cards/REACTOME_CLASS_A1_RHODOPSIN_LIKE_RECEPTORS.html" TargetMode="External"/><Relationship Id="rId1380" Type="http://schemas.openxmlformats.org/officeDocument/2006/relationships/hyperlink" Target="http://www.broadinstitute.org/gsea/msigdb/cards/GO_MEMBRANE_MICRODOMAIN.html" TargetMode="External"/><Relationship Id="rId1381" Type="http://schemas.openxmlformats.org/officeDocument/2006/relationships/hyperlink" Target="http://www.broadinstitute.org/gsea/msigdb/cards/GO_APOPTOTIC_SIGNALING_PATHWAY.html" TargetMode="External"/><Relationship Id="rId1382" Type="http://schemas.openxmlformats.org/officeDocument/2006/relationships/hyperlink" Target="http://www.broadinstitute.org/gsea/msigdb/cards/GO_TOLL_LIKE_RECEPTOR_SIGNALING_PATHWAY.html" TargetMode="External"/><Relationship Id="rId1383" Type="http://schemas.openxmlformats.org/officeDocument/2006/relationships/hyperlink" Target="http://www.broadinstitute.org/gsea/msigdb/cards/GO_REGULATION_OF_PEPTIDYL_TYROSINE_PHOSPHORYLATION.html" TargetMode="External"/><Relationship Id="rId1384" Type="http://schemas.openxmlformats.org/officeDocument/2006/relationships/hyperlink" Target="http://www.broadinstitute.org/gsea/msigdb/cards/GO_POSITIVE_REGULATION_OF_NEUTROPHIL_MIGRATION.html" TargetMode="External"/><Relationship Id="rId1385" Type="http://schemas.openxmlformats.org/officeDocument/2006/relationships/hyperlink" Target="http://www.broadinstitute.org/gsea/msigdb/cards/GO_REGULATION_OF_NEUTROPHIL_CHEMOTAXIS.html" TargetMode="External"/><Relationship Id="rId1386" Type="http://schemas.openxmlformats.org/officeDocument/2006/relationships/hyperlink" Target="http://www.broadinstitute.org/gsea/msigdb/cards/GO_MOVEMENT_IN_ENVIRONMENT_OF_OTHER_ORGANISM_INVOLVED_IN_SYMBIOTIC_INTERACTION.html" TargetMode="External"/><Relationship Id="rId1387" Type="http://schemas.openxmlformats.org/officeDocument/2006/relationships/hyperlink" Target="http://www.broadinstitute.org/gsea/msigdb/cards/GO_REGULATION_OF_MAPK_CASCADE.html" TargetMode="External"/><Relationship Id="rId1388" Type="http://schemas.openxmlformats.org/officeDocument/2006/relationships/hyperlink" Target="http://www.broadinstitute.org/gsea/msigdb/cards/GO_VIRUS_RECEPTOR_ACTIVITY.html" TargetMode="External"/><Relationship Id="rId1389" Type="http://schemas.openxmlformats.org/officeDocument/2006/relationships/hyperlink" Target="http://www.broadinstitute.org/gsea/msigdb/cards/GO_PURINERGIC_RECEPTOR_SIGNALING_PATHWAY.html" TargetMode="External"/><Relationship Id="rId4660" Type="http://schemas.openxmlformats.org/officeDocument/2006/relationships/hyperlink" Target="http://www.broadinstitute.org/gsea/msigdb/cards/GSE11864_UNTREATED_VS_CSF1_IFNG_PAM3CYS_IN_MAC_UP.html" TargetMode="External"/><Relationship Id="rId4661" Type="http://schemas.openxmlformats.org/officeDocument/2006/relationships/hyperlink" Target="http://www.broadinstitute.org/gsea/msigdb/cards/GSE11864_CSF1_VS_CSF1_PAM3CYS_IN_MAC_DN.html" TargetMode="External"/><Relationship Id="rId4662" Type="http://schemas.openxmlformats.org/officeDocument/2006/relationships/hyperlink" Target="http://www.broadinstitute.org/gsea/msigdb/cards/GSE11864_CSF1_VS_CSF1_IFNG_PAM3CYS_IN_MAC_DN.html" TargetMode="External"/><Relationship Id="rId4663" Type="http://schemas.openxmlformats.org/officeDocument/2006/relationships/hyperlink" Target="http://www.broadinstitute.org/gsea/msigdb/cards/GSE11864_CSF1_IFNG_VS_CSF1_IFNG_PAM3CYS_IN_MAC_DN.html" TargetMode="External"/><Relationship Id="rId4664" Type="http://schemas.openxmlformats.org/officeDocument/2006/relationships/hyperlink" Target="http://www.broadinstitute.org/gsea/msigdb/cards/GSE11924_TFH_VS_TH1_CD4_TCELL_UP.html" TargetMode="External"/><Relationship Id="rId4665" Type="http://schemas.openxmlformats.org/officeDocument/2006/relationships/hyperlink" Target="http://www.broadinstitute.org/gsea/msigdb/cards/GSE12845_IGD_POS_BLOOD_VS_NAIVE_TONSIL_BCELL_DN.html" TargetMode="External"/><Relationship Id="rId4666" Type="http://schemas.openxmlformats.org/officeDocument/2006/relationships/hyperlink" Target="http://www.broadinstitute.org/gsea/msigdb/cards/GSE12845_IGD_NEG_BLOOD_VS_NAIVE_TONSIL_BCELL_DN.html" TargetMode="External"/><Relationship Id="rId4667" Type="http://schemas.openxmlformats.org/officeDocument/2006/relationships/hyperlink" Target="http://www.broadinstitute.org/gsea/msigdb/cards/GSE12845_IGD_NEG_BLOOD_VS_PRE_GC_TONSIL_BCELL_DN.html" TargetMode="External"/><Relationship Id="rId4668" Type="http://schemas.openxmlformats.org/officeDocument/2006/relationships/hyperlink" Target="http://www.broadinstitute.org/gsea/msigdb/cards/GSE13411_NAIVE_VS_IGM_MEMORY_BCELL_DN.html" TargetMode="External"/><Relationship Id="rId4669" Type="http://schemas.openxmlformats.org/officeDocument/2006/relationships/hyperlink" Target="http://www.broadinstitute.org/gsea/msigdb/cards/GSE13484_UNSTIM_VS_3H_YF17D_VACCINE_STIM_PBMC_DN.html" TargetMode="External"/><Relationship Id="rId5020" Type="http://schemas.openxmlformats.org/officeDocument/2006/relationships/hyperlink" Target="http://www.broadinstitute.org/gsea/msigdb/cards/GSE17721_LPS_VS_POLYIC_12H_BMDC_UP.html" TargetMode="External"/><Relationship Id="rId5021" Type="http://schemas.openxmlformats.org/officeDocument/2006/relationships/hyperlink" Target="http://www.broadinstitute.org/gsea/msigdb/cards/GSE17721_POLYIC_VS_PAM3CSK4_2H_BMDC_DN.html" TargetMode="External"/><Relationship Id="rId5022" Type="http://schemas.openxmlformats.org/officeDocument/2006/relationships/hyperlink" Target="http://www.broadinstitute.org/gsea/msigdb/cards/GSE17721_PAM3CSK4_VS_CPG_0.5H_BMDC_DN.html" TargetMode="External"/><Relationship Id="rId5023" Type="http://schemas.openxmlformats.org/officeDocument/2006/relationships/hyperlink" Target="http://www.broadinstitute.org/gsea/msigdb/cards/GSE17721_PAM3CSK4_VS_CPG_24H_BMDC_UP.html" TargetMode="External"/><Relationship Id="rId5024" Type="http://schemas.openxmlformats.org/officeDocument/2006/relationships/hyperlink" Target="http://www.broadinstitute.org/gsea/msigdb/cards/GSE17721_CPG_VS_GARDIQUIMOD_0.5H_BMDC_UP.html" TargetMode="External"/><Relationship Id="rId5025" Type="http://schemas.openxmlformats.org/officeDocument/2006/relationships/hyperlink" Target="http://www.broadinstitute.org/gsea/msigdb/cards/GSE17721_CPG_VS_GARDIQUIMOD_1H_BMDC_UP.html" TargetMode="External"/><Relationship Id="rId5026" Type="http://schemas.openxmlformats.org/officeDocument/2006/relationships/hyperlink" Target="http://www.broadinstitute.org/gsea/msigdb/cards/GSE17721_CPG_VS_GARDIQUIMOD_12H_BMDC_DN.html" TargetMode="External"/><Relationship Id="rId5027" Type="http://schemas.openxmlformats.org/officeDocument/2006/relationships/hyperlink" Target="http://www.broadinstitute.org/gsea/msigdb/cards/GSE17721_CPG_VS_GARDIQUIMOD_16H_BMDC_DN.html" TargetMode="External"/><Relationship Id="rId5028" Type="http://schemas.openxmlformats.org/officeDocument/2006/relationships/hyperlink" Target="http://www.broadinstitute.org/gsea/msigdb/cards/GSE17721_LPS_VS_PAM3CSK4_0.5H_BMDC_UP.html" TargetMode="External"/><Relationship Id="rId5029" Type="http://schemas.openxmlformats.org/officeDocument/2006/relationships/hyperlink" Target="http://www.broadinstitute.org/gsea/msigdb/cards/GSE17721_POLYIC_VS_CPG_6H_BMDC_UP.html" TargetMode="External"/><Relationship Id="rId3570" Type="http://schemas.openxmlformats.org/officeDocument/2006/relationships/hyperlink" Target="http://www.broadinstitute.org/gsea/msigdb/cards/GSE29949_CD8_POS_DC_SPLEEN_VS_MONOCYTE_BONE_MARROW_DN.html" TargetMode="External"/><Relationship Id="rId3571" Type="http://schemas.openxmlformats.org/officeDocument/2006/relationships/hyperlink" Target="http://www.broadinstitute.org/gsea/msigdb/cards/GSE29164_UNTREATED_VS_CD8_TCELL_AND_IL12_TREATED_MELANOMA_DAY7_DN.html" TargetMode="External"/><Relationship Id="rId3572" Type="http://schemas.openxmlformats.org/officeDocument/2006/relationships/hyperlink" Target="http://www.broadinstitute.org/gsea/msigdb/cards/GSE33424_CD161_HIGH_VS_INT_CD8_TCELL_UP.html" TargetMode="External"/><Relationship Id="rId3573" Type="http://schemas.openxmlformats.org/officeDocument/2006/relationships/hyperlink" Target="http://www.broadinstitute.org/gsea/msigdb/cards/GSE26343_WT_VS_NFAT5_KO_MACROPHAGE_LPS_STIM_DN.html" TargetMode="External"/><Relationship Id="rId3574" Type="http://schemas.openxmlformats.org/officeDocument/2006/relationships/hyperlink" Target="http://www.broadinstitute.org/gsea/msigdb/cards/GSE36888_UNTREATED_VS_IL2_TREATED_STAT5_AB_KNOCKIN_TCELL_17H_DN.html" TargetMode="External"/><Relationship Id="rId3575" Type="http://schemas.openxmlformats.org/officeDocument/2006/relationships/hyperlink" Target="http://www.broadinstitute.org/gsea/msigdb/cards/GSE36888_STAT5_AB_KNOCKIN_VS_WT_TCELL_IL2_TREATED_17H_UP.html" TargetMode="External"/><Relationship Id="rId3576" Type="http://schemas.openxmlformats.org/officeDocument/2006/relationships/hyperlink" Target="http://www.broadinstitute.org/gsea/msigdb/cards/GSE36888_STAT5_AB_KNOCKIN_VS_WT_TCELL_IL2_TREATED_2H_DN.html" TargetMode="External"/><Relationship Id="rId3577" Type="http://schemas.openxmlformats.org/officeDocument/2006/relationships/hyperlink" Target="http://www.broadinstitute.org/gsea/msigdb/cards/GSE34515_CD16_NEG_MONOCYTE_VS_DC_DN.html" TargetMode="External"/><Relationship Id="rId3578" Type="http://schemas.openxmlformats.org/officeDocument/2006/relationships/hyperlink" Target="http://www.broadinstitute.org/gsea/msigdb/cards/GSE37301_COMMON_LYMPHOID_PROGENITOR_VS_RAG2_KO_NK_CELL_DN.html" TargetMode="External"/><Relationship Id="rId3579" Type="http://schemas.openxmlformats.org/officeDocument/2006/relationships/hyperlink" Target="http://www.broadinstitute.org/gsea/msigdb/cards/GSE37532_TREG_VS_TCONV_PPARG_KO_CD4_TCELL_FROM_VISCERAL_ADIPOSE_TISSUE_DN.html" TargetMode="External"/><Relationship Id="rId870" Type="http://schemas.openxmlformats.org/officeDocument/2006/relationships/hyperlink" Target="http://www.broadinstitute.org/gsea/msigdb/cards/GNF2_TNFRSF1B.html" TargetMode="External"/><Relationship Id="rId871" Type="http://schemas.openxmlformats.org/officeDocument/2006/relationships/hyperlink" Target="http://www.broadinstitute.org/gsea/msigdb/cards/MODULE_436.html" TargetMode="External"/><Relationship Id="rId872" Type="http://schemas.openxmlformats.org/officeDocument/2006/relationships/hyperlink" Target="http://www.broadinstitute.org/gsea/msigdb/cards/MODULE_292.html" TargetMode="External"/><Relationship Id="rId873" Type="http://schemas.openxmlformats.org/officeDocument/2006/relationships/hyperlink" Target="http://www.broadinstitute.org/gsea/msigdb/cards/GNF2_CD33.html" TargetMode="External"/><Relationship Id="rId874" Type="http://schemas.openxmlformats.org/officeDocument/2006/relationships/hyperlink" Target="http://www.broadinstitute.org/gsea/msigdb/cards/MODULE_165.html" TargetMode="External"/><Relationship Id="rId875" Type="http://schemas.openxmlformats.org/officeDocument/2006/relationships/hyperlink" Target="http://www.broadinstitute.org/gsea/msigdb/cards/GNF2_S100A4.html" TargetMode="External"/><Relationship Id="rId876" Type="http://schemas.openxmlformats.org/officeDocument/2006/relationships/hyperlink" Target="http://www.broadinstitute.org/gsea/msigdb/cards/MODULE_171.html" TargetMode="External"/><Relationship Id="rId877" Type="http://schemas.openxmlformats.org/officeDocument/2006/relationships/hyperlink" Target="http://www.broadinstitute.org/gsea/msigdb/cards/MODULE_345.html" TargetMode="External"/><Relationship Id="rId878" Type="http://schemas.openxmlformats.org/officeDocument/2006/relationships/hyperlink" Target="http://www.broadinstitute.org/gsea/msigdb/cards/GNF2_ITGB2.html" TargetMode="External"/><Relationship Id="rId879" Type="http://schemas.openxmlformats.org/officeDocument/2006/relationships/hyperlink" Target="http://www.broadinstitute.org/gsea/msigdb/cards/MODULE_208.html" TargetMode="External"/><Relationship Id="rId2480" Type="http://schemas.openxmlformats.org/officeDocument/2006/relationships/hyperlink" Target="http://www.broadinstitute.org/gsea/msigdb/cards/GSE22886_NAIVE_VS_IGM_MEMORY_BCELL_DN.html" TargetMode="External"/><Relationship Id="rId2481" Type="http://schemas.openxmlformats.org/officeDocument/2006/relationships/hyperlink" Target="http://www.broadinstitute.org/gsea/msigdb/cards/GSE22886_NAIVE_CD8_TCELL_VS_NEUTROPHIL_DN.html" TargetMode="External"/><Relationship Id="rId2482" Type="http://schemas.openxmlformats.org/officeDocument/2006/relationships/hyperlink" Target="http://www.broadinstitute.org/gsea/msigdb/cards/GSE22886_NAIVE_CD8_TCELL_VS_DC_UP.html" TargetMode="External"/><Relationship Id="rId2483" Type="http://schemas.openxmlformats.org/officeDocument/2006/relationships/hyperlink" Target="http://www.broadinstitute.org/gsea/msigdb/cards/GSE22886_NAIVE_CD4_TCELL_VS_NEUTROPHIL_DN.html" TargetMode="External"/><Relationship Id="rId2484" Type="http://schemas.openxmlformats.org/officeDocument/2006/relationships/hyperlink" Target="http://www.broadinstitute.org/gsea/msigdb/cards/GSE24634_IL4_VS_CTRL_TREATED_NAIVE_CD4_TCELL_DAY10_DN.html" TargetMode="External"/><Relationship Id="rId2485" Type="http://schemas.openxmlformats.org/officeDocument/2006/relationships/hyperlink" Target="http://www.broadinstitute.org/gsea/msigdb/cards/GSE25087_TREG_VS_TCONV_ADULT_UP.html" TargetMode="External"/><Relationship Id="rId2486" Type="http://schemas.openxmlformats.org/officeDocument/2006/relationships/hyperlink" Target="http://www.broadinstitute.org/gsea/msigdb/cards/GSE29618_BCELL_VS_MDC_DN.html" TargetMode="External"/><Relationship Id="rId2487" Type="http://schemas.openxmlformats.org/officeDocument/2006/relationships/hyperlink" Target="http://www.broadinstitute.org/gsea/msigdb/cards/GSE3337_CTRL_VS_16H_IFNG_IN_CD8POS_DC_UP.html" TargetMode="External"/><Relationship Id="rId2488" Type="http://schemas.openxmlformats.org/officeDocument/2006/relationships/hyperlink" Target="http://www.broadinstitute.org/gsea/msigdb/cards/GSE339_CD4POS_VS_CD8POS_DC_UP.html" TargetMode="External"/><Relationship Id="rId2489" Type="http://schemas.openxmlformats.org/officeDocument/2006/relationships/hyperlink" Target="http://www.broadinstitute.org/gsea/msigdb/cards/GSE360_CTRL_VS_M_TUBERCULOSIS_DC_DN.html" TargetMode="External"/><Relationship Id="rId140" Type="http://schemas.openxmlformats.org/officeDocument/2006/relationships/hyperlink" Target="http://www.broadinstitute.org/gsea/msigdb/cards/ONO_FOXP3_TARGETS_DN.html" TargetMode="External"/><Relationship Id="rId141" Type="http://schemas.openxmlformats.org/officeDocument/2006/relationships/hyperlink" Target="http://www.broadinstitute.org/gsea/msigdb/cards/VALK_AML_CLUSTER_5.html" TargetMode="External"/><Relationship Id="rId142" Type="http://schemas.openxmlformats.org/officeDocument/2006/relationships/hyperlink" Target="http://www.broadinstitute.org/gsea/msigdb/cards/PID_CD8_TCR_DOWNSTREAM_PATHWAY.html" TargetMode="External"/><Relationship Id="rId143" Type="http://schemas.openxmlformats.org/officeDocument/2006/relationships/hyperlink" Target="http://www.broadinstitute.org/gsea/msigdb/cards/REACTOME_CYTOKINE_SIGNALING_IN_IMMUNE_SYSTEM.html" TargetMode="External"/><Relationship Id="rId144" Type="http://schemas.openxmlformats.org/officeDocument/2006/relationships/hyperlink" Target="http://www.broadinstitute.org/gsea/msigdb/cards/LU_IL4_SIGNALING.html" TargetMode="External"/><Relationship Id="rId145" Type="http://schemas.openxmlformats.org/officeDocument/2006/relationships/hyperlink" Target="http://www.broadinstitute.org/gsea/msigdb/cards/KASLER_HDAC7_TARGETS_1_UP.html" TargetMode="External"/><Relationship Id="rId146" Type="http://schemas.openxmlformats.org/officeDocument/2006/relationships/hyperlink" Target="http://www.broadinstitute.org/gsea/msigdb/cards/REACTOME_G_ALPHA_I_SIGNALLING_EVENTS.html" TargetMode="External"/><Relationship Id="rId147" Type="http://schemas.openxmlformats.org/officeDocument/2006/relationships/hyperlink" Target="http://www.broadinstitute.org/gsea/msigdb/cards/REACTOME_CHEMOKINE_RECEPTORS_BIND_CHEMOKINES.html" TargetMode="External"/><Relationship Id="rId148" Type="http://schemas.openxmlformats.org/officeDocument/2006/relationships/hyperlink" Target="http://www.broadinstitute.org/gsea/msigdb/cards/BIOCARTA_NKT_PATHWAY.html" TargetMode="External"/><Relationship Id="rId149" Type="http://schemas.openxmlformats.org/officeDocument/2006/relationships/hyperlink" Target="http://www.broadinstitute.org/gsea/msigdb/cards/LENAOUR_DENDRITIC_CELL_MATURATION_UP.html" TargetMode="External"/><Relationship Id="rId1390" Type="http://schemas.openxmlformats.org/officeDocument/2006/relationships/hyperlink" Target="http://www.broadinstitute.org/gsea/msigdb/cards/GO_REGULATION_OF_SEQUESTERING_OF_CALCIUM_ION.html" TargetMode="External"/><Relationship Id="rId1391" Type="http://schemas.openxmlformats.org/officeDocument/2006/relationships/hyperlink" Target="http://www.broadinstitute.org/gsea/msigdb/cards/GO_REGULATION_OF_TOLERANCE_INDUCTION.html" TargetMode="External"/><Relationship Id="rId1392" Type="http://schemas.openxmlformats.org/officeDocument/2006/relationships/hyperlink" Target="http://www.broadinstitute.org/gsea/msigdb/cards/GO_REGULATION_OF_ANATOMICAL_STRUCTURE_SIZE.html" TargetMode="External"/><Relationship Id="rId1393" Type="http://schemas.openxmlformats.org/officeDocument/2006/relationships/hyperlink" Target="http://www.broadinstitute.org/gsea/msigdb/cards/GO_REGULATION_OF_METAL_ION_TRANSPORT.html" TargetMode="External"/><Relationship Id="rId1394" Type="http://schemas.openxmlformats.org/officeDocument/2006/relationships/hyperlink" Target="http://www.broadinstitute.org/gsea/msigdb/cards/GO_REGULATION_OF_LEUKOCYTE_DEGRANULATION.html" TargetMode="External"/><Relationship Id="rId1395" Type="http://schemas.openxmlformats.org/officeDocument/2006/relationships/hyperlink" Target="http://www.broadinstitute.org/gsea/msigdb/cards/GO_B_CELL_DIFFERENTIATION.html" TargetMode="External"/><Relationship Id="rId1396" Type="http://schemas.openxmlformats.org/officeDocument/2006/relationships/hyperlink" Target="http://www.broadinstitute.org/gsea/msigdb/cards/GO_REGULATION_OF_DEFENSE_RESPONSE_TO_VIRUS_BY_VIRUS.html" TargetMode="External"/><Relationship Id="rId1397" Type="http://schemas.openxmlformats.org/officeDocument/2006/relationships/hyperlink" Target="http://www.broadinstitute.org/gsea/msigdb/cards/GO_G_PROTEIN_COUPLED_RECEPTOR_ACTIVITY.html" TargetMode="External"/><Relationship Id="rId1398" Type="http://schemas.openxmlformats.org/officeDocument/2006/relationships/hyperlink" Target="http://www.broadinstitute.org/gsea/msigdb/cards/GO_REGULATION_OF_ACUTE_INFLAMMATORY_RESPONSE.html" TargetMode="External"/><Relationship Id="rId1399" Type="http://schemas.openxmlformats.org/officeDocument/2006/relationships/hyperlink" Target="http://www.broadinstitute.org/gsea/msigdb/cards/GO_EXTRINSIC_COMPONENT_OF_MEMBRANE.html" TargetMode="External"/><Relationship Id="rId4670" Type="http://schemas.openxmlformats.org/officeDocument/2006/relationships/hyperlink" Target="http://www.broadinstitute.org/gsea/msigdb/cards/GSE13484_UNSTIM_VS_YF17D_VACCINE_STIM_PBMC_UP.html" TargetMode="External"/><Relationship Id="rId4671" Type="http://schemas.openxmlformats.org/officeDocument/2006/relationships/hyperlink" Target="http://www.broadinstitute.org/gsea/msigdb/cards/GSE13485_DAY3_VS_DAY21_YF17D_VACCINE_PBMC_UP.html" TargetMode="External"/><Relationship Id="rId4672" Type="http://schemas.openxmlformats.org/officeDocument/2006/relationships/hyperlink" Target="http://www.broadinstitute.org/gsea/msigdb/cards/GSE14308_TH1_VS_TH17_UP.html" TargetMode="External"/><Relationship Id="rId4673" Type="http://schemas.openxmlformats.org/officeDocument/2006/relationships/hyperlink" Target="http://www.broadinstitute.org/gsea/msigdb/cards/GSE14308_TH1_VS_NATURAL_TREG_DN.html" TargetMode="External"/><Relationship Id="rId4674" Type="http://schemas.openxmlformats.org/officeDocument/2006/relationships/hyperlink" Target="http://www.broadinstitute.org/gsea/msigdb/cards/GSE14308_TH17_VS_NAIVE_CD4_TCELL_UP.html" TargetMode="External"/><Relationship Id="rId4675" Type="http://schemas.openxmlformats.org/officeDocument/2006/relationships/hyperlink" Target="http://www.broadinstitute.org/gsea/msigdb/cards/GSE1460_INTRATHYMIC_T_PROGENITOR_VS_THYMIC_STROMAL_CELL_UP.html" TargetMode="External"/><Relationship Id="rId4676" Type="http://schemas.openxmlformats.org/officeDocument/2006/relationships/hyperlink" Target="http://www.broadinstitute.org/gsea/msigdb/cards/GSE1460_CORD_VS_ADULT_BLOOD_NAIVE_CD4_TCELL_DN.html" TargetMode="External"/><Relationship Id="rId4677" Type="http://schemas.openxmlformats.org/officeDocument/2006/relationships/hyperlink" Target="http://www.broadinstitute.org/gsea/msigdb/cards/GSE14769_UNSTIM_VS_60MIN_LPS_BMDM_UP.html" TargetMode="External"/><Relationship Id="rId4678" Type="http://schemas.openxmlformats.org/officeDocument/2006/relationships/hyperlink" Target="http://www.broadinstitute.org/gsea/msigdb/cards/GSE14769_40MIN_VS_360MIN_LPS_BMDM_UP.html" TargetMode="External"/><Relationship Id="rId4679" Type="http://schemas.openxmlformats.org/officeDocument/2006/relationships/hyperlink" Target="http://www.broadinstitute.org/gsea/msigdb/cards/GSE15324_ELF4_KO_VS_WT_NAIVE_CD8_TCELL_UP.html" TargetMode="External"/><Relationship Id="rId5030" Type="http://schemas.openxmlformats.org/officeDocument/2006/relationships/hyperlink" Target="http://www.broadinstitute.org/gsea/msigdb/cards/GSE17721_PAM3CSK4_VS_GADIQUIMOD_0.5H_BMDC_UP.html" TargetMode="External"/><Relationship Id="rId5031" Type="http://schemas.openxmlformats.org/officeDocument/2006/relationships/hyperlink" Target="http://www.broadinstitute.org/gsea/msigdb/cards/GSE17721_LPS_VS_CPG_1H_BMDC_UP.html" TargetMode="External"/><Relationship Id="rId5032" Type="http://schemas.openxmlformats.org/officeDocument/2006/relationships/hyperlink" Target="http://www.broadinstitute.org/gsea/msigdb/cards/GSE17721_LPS_VS_CPG_1H_BMDC_DN.html" TargetMode="External"/><Relationship Id="rId5033" Type="http://schemas.openxmlformats.org/officeDocument/2006/relationships/hyperlink" Target="http://www.broadinstitute.org/gsea/msigdb/cards/GSE17721_POLYIC_VS_GARDIQUIMOD_1H_BMDC_UP.html" TargetMode="External"/><Relationship Id="rId5034" Type="http://schemas.openxmlformats.org/officeDocument/2006/relationships/hyperlink" Target="http://www.broadinstitute.org/gsea/msigdb/cards/GSE17721_POLYIC_VS_GARDIQUIMOD_4H_BMDC_UP.html" TargetMode="External"/><Relationship Id="rId5035" Type="http://schemas.openxmlformats.org/officeDocument/2006/relationships/hyperlink" Target="http://www.broadinstitute.org/gsea/msigdb/cards/GSE17721_POLYIC_VS_GARDIQUIMOD_24H_BMDC_DN.html" TargetMode="External"/><Relationship Id="rId5036" Type="http://schemas.openxmlformats.org/officeDocument/2006/relationships/hyperlink" Target="http://www.broadinstitute.org/gsea/msigdb/cards/GSE17721_LPS_VS_GARDIQUIMOD_4H_BMDC_UP.html" TargetMode="External"/><Relationship Id="rId5037" Type="http://schemas.openxmlformats.org/officeDocument/2006/relationships/hyperlink" Target="http://www.broadinstitute.org/gsea/msigdb/cards/GSE17721_0.5H_VS_8H_LPS_BMDC_UP.html" TargetMode="External"/><Relationship Id="rId5038" Type="http://schemas.openxmlformats.org/officeDocument/2006/relationships/hyperlink" Target="http://www.broadinstitute.org/gsea/msigdb/cards/GSE17721_0.5H_VS_24H_LPS_BMDC_UP.html" TargetMode="External"/><Relationship Id="rId5039" Type="http://schemas.openxmlformats.org/officeDocument/2006/relationships/hyperlink" Target="http://www.broadinstitute.org/gsea/msigdb/cards/GSE17721_0.5H_VS_8H_POLYIC_BMDC_DN.html" TargetMode="External"/><Relationship Id="rId3580" Type="http://schemas.openxmlformats.org/officeDocument/2006/relationships/hyperlink" Target="http://www.broadinstitute.org/gsea/msigdb/cards/GSE37533_PPARG1_FOXP3_VS_PPARG2_FOXP3_TRANSDUCED_CD4_TCELL_DN.html" TargetMode="External"/><Relationship Id="rId3581" Type="http://schemas.openxmlformats.org/officeDocument/2006/relationships/hyperlink" Target="http://www.broadinstitute.org/gsea/msigdb/cards/GSE33162_UNTREATED_VS_4H_LPS_STIM_HDAC3_KO_MACROPHAGE_UP.html" TargetMode="External"/><Relationship Id="rId3582" Type="http://schemas.openxmlformats.org/officeDocument/2006/relationships/hyperlink" Target="http://www.broadinstitute.org/gsea/msigdb/cards/GSE32034_UNTREATED_VS_ROSIGLIZATONE_TREATED_LY6C_HIGH_MONOCYTE_UP.html" TargetMode="External"/><Relationship Id="rId3583" Type="http://schemas.openxmlformats.org/officeDocument/2006/relationships/hyperlink" Target="http://www.broadinstitute.org/gsea/msigdb/cards/GSE39152_BRAIN_VS_SPLEEN_CD103_NEG_MEMORY_CD8_TCELL_DN.html" TargetMode="External"/><Relationship Id="rId3584" Type="http://schemas.openxmlformats.org/officeDocument/2006/relationships/hyperlink" Target="http://www.broadinstitute.org/gsea/msigdb/cards/GSE39152_CD103_NEG_VS_POS_MEMORY_CD8_TCELL_DN.html" TargetMode="External"/><Relationship Id="rId3585" Type="http://schemas.openxmlformats.org/officeDocument/2006/relationships/hyperlink" Target="http://www.broadinstitute.org/gsea/msigdb/cards/GSE40274_FOXP3_VS_FOXP3_AND_IRF4_TRANSDUCED_ACTIVATED_CD4_TCELL_UP.html" TargetMode="External"/><Relationship Id="rId3586" Type="http://schemas.openxmlformats.org/officeDocument/2006/relationships/hyperlink" Target="http://www.broadinstitute.org/gsea/msigdb/cards/GSE40441_NRP1_POS_INDUCED_TREG_VS_NRP1_NEG_NATURAL_TREG_UP.html" TargetMode="External"/><Relationship Id="rId3587" Type="http://schemas.openxmlformats.org/officeDocument/2006/relationships/hyperlink" Target="http://www.broadinstitute.org/gsea/msigdb/cards/GSE40443_INDUCED_VS_TOTAL_TREG_DN.html" TargetMode="External"/><Relationship Id="rId3588" Type="http://schemas.openxmlformats.org/officeDocument/2006/relationships/hyperlink" Target="http://www.broadinstitute.org/gsea/msigdb/cards/GSE39110_DAY3_VS_DAY6_POST_IMMUNIZATION_CD8_TCELL_UP.html" TargetMode="External"/><Relationship Id="rId3589" Type="http://schemas.openxmlformats.org/officeDocument/2006/relationships/hyperlink" Target="http://www.broadinstitute.org/gsea/msigdb/cards/GSE39110_DAY3_VS_DAY6_POST_IMMUNIZATION_CD8_TCELL_DN.html" TargetMode="External"/><Relationship Id="rId880" Type="http://schemas.openxmlformats.org/officeDocument/2006/relationships/hyperlink" Target="http://www.broadinstitute.org/gsea/msigdb/cards/GNF2_CD1D.html" TargetMode="External"/><Relationship Id="rId881" Type="http://schemas.openxmlformats.org/officeDocument/2006/relationships/hyperlink" Target="http://www.broadinstitute.org/gsea/msigdb/cards/GNF2_PECAM1.html" TargetMode="External"/><Relationship Id="rId882" Type="http://schemas.openxmlformats.org/officeDocument/2006/relationships/hyperlink" Target="http://www.broadinstitute.org/gsea/msigdb/cards/MODULE_128.html" TargetMode="External"/><Relationship Id="rId883" Type="http://schemas.openxmlformats.org/officeDocument/2006/relationships/hyperlink" Target="http://www.broadinstitute.org/gsea/msigdb/cards/MODULE_79.html" TargetMode="External"/><Relationship Id="rId884" Type="http://schemas.openxmlformats.org/officeDocument/2006/relationships/hyperlink" Target="http://www.broadinstitute.org/gsea/msigdb/cards/MODULE_170.html" TargetMode="External"/><Relationship Id="rId885" Type="http://schemas.openxmlformats.org/officeDocument/2006/relationships/hyperlink" Target="http://www.broadinstitute.org/gsea/msigdb/cards/GNF2_TNFSF10.html" TargetMode="External"/><Relationship Id="rId886" Type="http://schemas.openxmlformats.org/officeDocument/2006/relationships/hyperlink" Target="http://www.broadinstitute.org/gsea/msigdb/cards/MODULE_223.html" TargetMode="External"/><Relationship Id="rId887" Type="http://schemas.openxmlformats.org/officeDocument/2006/relationships/hyperlink" Target="http://www.broadinstitute.org/gsea/msigdb/cards/MODULE_15.html" TargetMode="External"/><Relationship Id="rId888" Type="http://schemas.openxmlformats.org/officeDocument/2006/relationships/hyperlink" Target="http://www.broadinstitute.org/gsea/msigdb/cards/MODULE_188.html" TargetMode="External"/><Relationship Id="rId889" Type="http://schemas.openxmlformats.org/officeDocument/2006/relationships/hyperlink" Target="http://www.broadinstitute.org/gsea/msigdb/cards/MODULE_63.html" TargetMode="External"/><Relationship Id="rId2490" Type="http://schemas.openxmlformats.org/officeDocument/2006/relationships/hyperlink" Target="http://www.broadinstitute.org/gsea/msigdb/cards/GSE360_DC_VS_MAC_L_DONOVANI_DN.html" TargetMode="External"/><Relationship Id="rId2491" Type="http://schemas.openxmlformats.org/officeDocument/2006/relationships/hyperlink" Target="http://www.broadinstitute.org/gsea/msigdb/cards/GSE360_DC_VS_MAC_M_TUBERCULOSIS_UP.html" TargetMode="External"/><Relationship Id="rId2492" Type="http://schemas.openxmlformats.org/officeDocument/2006/relationships/hyperlink" Target="http://www.broadinstitute.org/gsea/msigdb/cards/GSE36392_EOSINOPHIL_VS_NEUTROPHIL_IL25_TREATED_LUNG_UP.html" TargetMode="External"/><Relationship Id="rId2493" Type="http://schemas.openxmlformats.org/officeDocument/2006/relationships/hyperlink" Target="http://www.broadinstitute.org/gsea/msigdb/cards/GSE3982_MAST_CELL_VS_DC_DN.html" TargetMode="External"/><Relationship Id="rId2494" Type="http://schemas.openxmlformats.org/officeDocument/2006/relationships/hyperlink" Target="http://www.broadinstitute.org/gsea/msigdb/cards/GSE3982_CENT_MEMORY_CD4_TCELL_VS_NKCELL_DN.html" TargetMode="External"/><Relationship Id="rId2495" Type="http://schemas.openxmlformats.org/officeDocument/2006/relationships/hyperlink" Target="http://www.broadinstitute.org/gsea/msigdb/cards/GSE7460_FOXP3_MUT_VS_WT_ACT_TCONV_UP.html" TargetMode="External"/><Relationship Id="rId2496" Type="http://schemas.openxmlformats.org/officeDocument/2006/relationships/hyperlink" Target="http://www.broadinstitute.org/gsea/msigdb/cards/GSE9988_ANTI_TREM1_VS_ANTI_TREM1_AND_LPS_MONOCYTE_DN.html" TargetMode="External"/><Relationship Id="rId2497" Type="http://schemas.openxmlformats.org/officeDocument/2006/relationships/hyperlink" Target="http://www.broadinstitute.org/gsea/msigdb/cards/GSE3039_ALPHAALPHA_CD8_TCELL_VS_B2_BCELL_UP.html" TargetMode="External"/><Relationship Id="rId2498" Type="http://schemas.openxmlformats.org/officeDocument/2006/relationships/hyperlink" Target="http://www.broadinstitute.org/gsea/msigdb/cards/GSE4748_LPS_VS_LPS_AND_CYANOBACTERIUM_LPSLIKE_STIM_DC_3H_UP.html" TargetMode="External"/><Relationship Id="rId2499" Type="http://schemas.openxmlformats.org/officeDocument/2006/relationships/hyperlink" Target="http://www.broadinstitute.org/gsea/msigdb/cards/GSE14699_DELETIONAL_TOLERANCE_VS_ACTIVATED_CD8_TCELL_UP.html" TargetMode="External"/><Relationship Id="rId150" Type="http://schemas.openxmlformats.org/officeDocument/2006/relationships/hyperlink" Target="http://www.broadinstitute.org/gsea/msigdb/cards/KEGG_VIRAL_MYOCARDITIS.html" TargetMode="External"/><Relationship Id="rId151" Type="http://schemas.openxmlformats.org/officeDocument/2006/relationships/hyperlink" Target="http://www.broadinstitute.org/gsea/msigdb/cards/ZWANG_TRANSIENTLY_UP_BY_2ND_EGF_PULSE_ONLY.html" TargetMode="External"/><Relationship Id="rId152" Type="http://schemas.openxmlformats.org/officeDocument/2006/relationships/hyperlink" Target="http://www.broadinstitute.org/gsea/msigdb/cards/REACTOME_GPCR_LIGAND_BINDING.html" TargetMode="External"/><Relationship Id="rId153" Type="http://schemas.openxmlformats.org/officeDocument/2006/relationships/hyperlink" Target="http://www.broadinstitute.org/gsea/msigdb/cards/CROONQUIST_NRAS_SIGNALING_UP.html" TargetMode="External"/><Relationship Id="rId154" Type="http://schemas.openxmlformats.org/officeDocument/2006/relationships/hyperlink" Target="http://www.broadinstitute.org/gsea/msigdb/cards/BIOCARTA_NO2IL12_PATHWAY.html" TargetMode="External"/><Relationship Id="rId155" Type="http://schemas.openxmlformats.org/officeDocument/2006/relationships/hyperlink" Target="http://www.broadinstitute.org/gsea/msigdb/cards/BOQUEST_STEM_CELL_DN.html" TargetMode="External"/><Relationship Id="rId156" Type="http://schemas.openxmlformats.org/officeDocument/2006/relationships/hyperlink" Target="http://www.broadinstitute.org/gsea/msigdb/cards/WIERENGA_STAT5A_TARGETS_UP.html" TargetMode="External"/><Relationship Id="rId157" Type="http://schemas.openxmlformats.org/officeDocument/2006/relationships/hyperlink" Target="http://www.broadinstitute.org/gsea/msigdb/cards/JISON_SICKLE_CELL_DISEASE_UP.html" TargetMode="External"/><Relationship Id="rId158" Type="http://schemas.openxmlformats.org/officeDocument/2006/relationships/hyperlink" Target="http://www.broadinstitute.org/gsea/msigdb/cards/RASHI_RESPONSE_TO_IONIZING_RADIATION_6.html" TargetMode="External"/><Relationship Id="rId159" Type="http://schemas.openxmlformats.org/officeDocument/2006/relationships/hyperlink" Target="http://www.broadinstitute.org/gsea/msigdb/cards/PICCALUGA_ANGIOIMMUNOBLASTIC_LYMPHOMA_UP.html" TargetMode="External"/><Relationship Id="rId4680" Type="http://schemas.openxmlformats.org/officeDocument/2006/relationships/hyperlink" Target="http://www.broadinstitute.org/gsea/msigdb/cards/GSE15659_CD45RA_NEG_CD4_TCELL_VS_NONSUPPRESSIVE_TCELL_UP.html" TargetMode="External"/><Relationship Id="rId4681" Type="http://schemas.openxmlformats.org/officeDocument/2006/relationships/hyperlink" Target="http://www.broadinstitute.org/gsea/msigdb/cards/GSE15659_RESTING_VS_ACTIVATED_TREG_UP.html" TargetMode="External"/><Relationship Id="rId4682" Type="http://schemas.openxmlformats.org/officeDocument/2006/relationships/hyperlink" Target="http://www.broadinstitute.org/gsea/msigdb/cards/GSE15750_WT_VS_TRAF6KO_DAY6_EFF_CD8_TCELL_UP.html" TargetMode="External"/><Relationship Id="rId4683" Type="http://schemas.openxmlformats.org/officeDocument/2006/relationships/hyperlink" Target="http://www.broadinstitute.org/gsea/msigdb/cards/GSE15930_NAIVE_VS_24H_IN_VITRO_STIM_CD8_TCELL_UP.html" TargetMode="External"/><Relationship Id="rId4684" Type="http://schemas.openxmlformats.org/officeDocument/2006/relationships/hyperlink" Target="http://www.broadinstitute.org/gsea/msigdb/cards/GSE15930_NAIVE_VS_24H_IN_VITRO_STIM_IL12_CD8_TCELL_DN.html" TargetMode="External"/><Relationship Id="rId4685" Type="http://schemas.openxmlformats.org/officeDocument/2006/relationships/hyperlink" Target="http://www.broadinstitute.org/gsea/msigdb/cards/GSE15930_NAIVE_VS_24H_IN_VITRO_STIM_INFAB_CD8_TCELL_UP.html" TargetMode="External"/><Relationship Id="rId4686" Type="http://schemas.openxmlformats.org/officeDocument/2006/relationships/hyperlink" Target="http://www.broadinstitute.org/gsea/msigdb/cards/GSE15930_NAIVE_VS_24H_IN_VITRO_STIM_INFAB_CD8_TCELL_DN.html" TargetMode="External"/><Relationship Id="rId4687" Type="http://schemas.openxmlformats.org/officeDocument/2006/relationships/hyperlink" Target="http://www.broadinstitute.org/gsea/msigdb/cards/GSE15930_NAIVE_VS_48H_IN_VITRO_STIM_CD8_TCELL_UP.html" TargetMode="External"/><Relationship Id="rId4688" Type="http://schemas.openxmlformats.org/officeDocument/2006/relationships/hyperlink" Target="http://www.broadinstitute.org/gsea/msigdb/cards/GSE17721_CTRL_VS_POLYIC_1H_BMDC_DN.html" TargetMode="External"/><Relationship Id="rId4689" Type="http://schemas.openxmlformats.org/officeDocument/2006/relationships/hyperlink" Target="http://www.broadinstitute.org/gsea/msigdb/cards/GSE17721_CTRL_VS_PAM3CSK4_4H_BMDC_UP.html" TargetMode="External"/><Relationship Id="rId5040" Type="http://schemas.openxmlformats.org/officeDocument/2006/relationships/hyperlink" Target="http://www.broadinstitute.org/gsea/msigdb/cards/GSE17721_0.5H_VS_12H_PAM3CSK4_BMDC_DN.html" TargetMode="External"/><Relationship Id="rId5041" Type="http://schemas.openxmlformats.org/officeDocument/2006/relationships/hyperlink" Target="http://www.broadinstitute.org/gsea/msigdb/cards/GSE17721_0.5H_VS_4H_PAM3CSK4_BMDC_DN.html" TargetMode="External"/><Relationship Id="rId5042" Type="http://schemas.openxmlformats.org/officeDocument/2006/relationships/hyperlink" Target="http://www.broadinstitute.org/gsea/msigdb/cards/GSE17721_12H_VS_24H_CPG_BMDC_DN.html" TargetMode="External"/><Relationship Id="rId5043" Type="http://schemas.openxmlformats.org/officeDocument/2006/relationships/hyperlink" Target="http://www.broadinstitute.org/gsea/msigdb/cards/GSE17721_0.5H_VS_24H_GARDIQUIMOD_BMDC_DN.html" TargetMode="External"/><Relationship Id="rId5044" Type="http://schemas.openxmlformats.org/officeDocument/2006/relationships/hyperlink" Target="http://www.broadinstitute.org/gsea/msigdb/cards/GSE17721_12H_VS_24H_GARDIQUIMOD_BMDC_DN.html" TargetMode="External"/><Relationship Id="rId5045" Type="http://schemas.openxmlformats.org/officeDocument/2006/relationships/hyperlink" Target="http://www.broadinstitute.org/gsea/msigdb/cards/GSE17974_CTRL_VS_ACT_IL4_AND_ANTI_IL12_0.5H_CD4_TCELL_DN.html" TargetMode="External"/><Relationship Id="rId5046" Type="http://schemas.openxmlformats.org/officeDocument/2006/relationships/hyperlink" Target="http://www.broadinstitute.org/gsea/msigdb/cards/GSE17974_CTRL_VS_ACT_IL4_AND_ANTI_IL12_4H_CD4_TCELL_DN.html" TargetMode="External"/><Relationship Id="rId5047" Type="http://schemas.openxmlformats.org/officeDocument/2006/relationships/hyperlink" Target="http://www.broadinstitute.org/gsea/msigdb/cards/GSE17974_0.5H_VS_72H_UNTREATED_IN_VITRO_CD4_TCELL_DN.html" TargetMode="External"/><Relationship Id="rId5048" Type="http://schemas.openxmlformats.org/officeDocument/2006/relationships/hyperlink" Target="http://www.broadinstitute.org/gsea/msigdb/cards/GSE17974_1H_VS_72H_UNTREATED_IN_VITRO_CD4_TCELL_DN.html" TargetMode="External"/><Relationship Id="rId5049" Type="http://schemas.openxmlformats.org/officeDocument/2006/relationships/hyperlink" Target="http://www.broadinstitute.org/gsea/msigdb/cards/GSE17974_2H_VS_72H_UNTREATED_IN_VITRO_CD4_TCELL_UP.html" TargetMode="External"/><Relationship Id="rId3590" Type="http://schemas.openxmlformats.org/officeDocument/2006/relationships/hyperlink" Target="http://www.broadinstitute.org/gsea/msigdb/cards/GSE39110_UNTREATED_VS_IL2_TREATED_CD8_TCELL_DAY6_POST_IMMUNIZATION_DN.html" TargetMode="External"/><Relationship Id="rId3591" Type="http://schemas.openxmlformats.org/officeDocument/2006/relationships/hyperlink" Target="http://www.broadinstitute.org/gsea/msigdb/cards/GSE36078_WT_VS_IL1R_KO_LUNG_DC_AFTER_AD5_INF_DN.html" TargetMode="External"/><Relationship Id="rId3592" Type="http://schemas.openxmlformats.org/officeDocument/2006/relationships/hyperlink" Target="http://www.broadinstitute.org/gsea/msigdb/cards/GSE11961_FOLLICULAR_BCELL_VS_PLASMA_CELL_DAY7_DN.html" TargetMode="External"/><Relationship Id="rId3593" Type="http://schemas.openxmlformats.org/officeDocument/2006/relationships/hyperlink" Target="http://www.broadinstitute.org/gsea/msigdb/cards/GSE11961_UNSTIM_VS_ANTI_IGM_AND_CD40_STIM_6H_FOLLICULAR_BCELL_UP.html" TargetMode="External"/><Relationship Id="rId3594" Type="http://schemas.openxmlformats.org/officeDocument/2006/relationships/hyperlink" Target="http://www.broadinstitute.org/gsea/msigdb/cards/GSE28737_WT_VS_BCL6_KO_FOLLICULAR_BCELL_UP.html" TargetMode="External"/><Relationship Id="rId3595" Type="http://schemas.openxmlformats.org/officeDocument/2006/relationships/hyperlink" Target="http://www.broadinstitute.org/gsea/msigdb/cards/GSE39556_UNTREATED_VS_3H_POLYIC_INJ_MOUSE_NK_CELL_UP.html" TargetMode="External"/><Relationship Id="rId3596" Type="http://schemas.openxmlformats.org/officeDocument/2006/relationships/hyperlink" Target="http://www.broadinstitute.org/gsea/msigdb/cards/GSE39556_CD8A_DC_VS_NK_CELL_MOUSE_3H_POST_POLYIC_INJ_DN.html" TargetMode="External"/><Relationship Id="rId3597" Type="http://schemas.openxmlformats.org/officeDocument/2006/relationships/hyperlink" Target="http://www.broadinstitute.org/gsea/msigdb/cards/GSE41867_DAY6_EFFECTOR_VS_DAY30_MEMORY_CD8_TCELL_LCMV_ARMSTRONG_DN.html" TargetMode="External"/><Relationship Id="rId3598" Type="http://schemas.openxmlformats.org/officeDocument/2006/relationships/hyperlink" Target="http://www.broadinstitute.org/gsea/msigdb/cards/GSE41867_LCMV_ARMSTRONG_VS_CLONE13_DAY15_EFFECTOR_CD8_TCELL_UP.html" TargetMode="External"/><Relationship Id="rId3599" Type="http://schemas.openxmlformats.org/officeDocument/2006/relationships/hyperlink" Target="http://www.broadinstitute.org/gsea/msigdb/cards/GSE42021_TREG_PLN_VS_TREG_PRECURSORS_THYMUS_DN.html" TargetMode="External"/><Relationship Id="rId890" Type="http://schemas.openxmlformats.org/officeDocument/2006/relationships/hyperlink" Target="http://www.broadinstitute.org/gsea/msigdb/cards/MODULE_361.html" TargetMode="External"/><Relationship Id="rId891" Type="http://schemas.openxmlformats.org/officeDocument/2006/relationships/hyperlink" Target="http://www.broadinstitute.org/gsea/msigdb/cards/GNF2_MCL1.html" TargetMode="External"/><Relationship Id="rId892" Type="http://schemas.openxmlformats.org/officeDocument/2006/relationships/hyperlink" Target="http://www.broadinstitute.org/gsea/msigdb/cards/GNF2_PTPRC.html" TargetMode="External"/><Relationship Id="rId893" Type="http://schemas.openxmlformats.org/officeDocument/2006/relationships/hyperlink" Target="http://www.broadinstitute.org/gsea/msigdb/cards/GNF2_CD7.html" TargetMode="External"/><Relationship Id="rId894" Type="http://schemas.openxmlformats.org/officeDocument/2006/relationships/hyperlink" Target="http://www.broadinstitute.org/gsea/msigdb/cards/MODULE_53.html" TargetMode="External"/><Relationship Id="rId895" Type="http://schemas.openxmlformats.org/officeDocument/2006/relationships/hyperlink" Target="http://www.broadinstitute.org/gsea/msigdb/cards/MODULE_301.html" TargetMode="External"/><Relationship Id="rId896" Type="http://schemas.openxmlformats.org/officeDocument/2006/relationships/hyperlink" Target="http://www.broadinstitute.org/gsea/msigdb/cards/MODULE_119.html" TargetMode="External"/><Relationship Id="rId897" Type="http://schemas.openxmlformats.org/officeDocument/2006/relationships/hyperlink" Target="http://www.broadinstitute.org/gsea/msigdb/cards/GNF2_CD97.html" TargetMode="External"/><Relationship Id="rId898" Type="http://schemas.openxmlformats.org/officeDocument/2006/relationships/hyperlink" Target="http://www.broadinstitute.org/gsea/msigdb/cards/MODULE_16.html" TargetMode="External"/><Relationship Id="rId899" Type="http://schemas.openxmlformats.org/officeDocument/2006/relationships/hyperlink" Target="http://www.broadinstitute.org/gsea/msigdb/cards/GNF2_ICAM3.html" TargetMode="External"/><Relationship Id="rId160" Type="http://schemas.openxmlformats.org/officeDocument/2006/relationships/hyperlink" Target="http://www.broadinstitute.org/gsea/msigdb/cards/BIOCARTA_TCRA_PATHWAY.html" TargetMode="External"/><Relationship Id="rId161" Type="http://schemas.openxmlformats.org/officeDocument/2006/relationships/hyperlink" Target="http://www.broadinstitute.org/gsea/msigdb/cards/SU_THYMUS.html" TargetMode="External"/><Relationship Id="rId162" Type="http://schemas.openxmlformats.org/officeDocument/2006/relationships/hyperlink" Target="http://www.broadinstitute.org/gsea/msigdb/cards/NADLER_OBESITY_UP.html" TargetMode="External"/><Relationship Id="rId163" Type="http://schemas.openxmlformats.org/officeDocument/2006/relationships/hyperlink" Target="http://www.broadinstitute.org/gsea/msigdb/cards/BIOCARTA_TCYTOTOXIC_PATHWAY.html" TargetMode="External"/><Relationship Id="rId164" Type="http://schemas.openxmlformats.org/officeDocument/2006/relationships/hyperlink" Target="http://www.broadinstitute.org/gsea/msigdb/cards/BIOCARTA_THELPER_PATHWAY.html" TargetMode="External"/><Relationship Id="rId165" Type="http://schemas.openxmlformats.org/officeDocument/2006/relationships/hyperlink" Target="http://www.broadinstitute.org/gsea/msigdb/cards/WATANABE_ULCERATIVE_COLITIS_WITH_CANCER_DN.html" TargetMode="External"/><Relationship Id="rId166" Type="http://schemas.openxmlformats.org/officeDocument/2006/relationships/hyperlink" Target="http://www.broadinstitute.org/gsea/msigdb/cards/WIERENGA_STAT5A_TARGETS_DN.html" TargetMode="External"/><Relationship Id="rId167" Type="http://schemas.openxmlformats.org/officeDocument/2006/relationships/hyperlink" Target="http://www.broadinstitute.org/gsea/msigdb/cards/TAKEDA_TARGETS_OF_NUP98_HOXA9_FUSION_16D_UP.html" TargetMode="External"/><Relationship Id="rId168" Type="http://schemas.openxmlformats.org/officeDocument/2006/relationships/hyperlink" Target="http://www.broadinstitute.org/gsea/msigdb/cards/HOLLERN_EMT_BREAST_TUMOR_UP.html" TargetMode="External"/><Relationship Id="rId169" Type="http://schemas.openxmlformats.org/officeDocument/2006/relationships/hyperlink" Target="http://www.broadinstitute.org/gsea/msigdb/cards/CASORELLI_ACUTE_PROMYELOCYTIC_LEUKEMIA_UP.html" TargetMode="External"/><Relationship Id="rId4690" Type="http://schemas.openxmlformats.org/officeDocument/2006/relationships/hyperlink" Target="http://www.broadinstitute.org/gsea/msigdb/cards/GSE17721_CTRL_VS_PAM3CSK4_8H_BMDC_UP.html" TargetMode="External"/><Relationship Id="rId4691" Type="http://schemas.openxmlformats.org/officeDocument/2006/relationships/hyperlink" Target="http://www.broadinstitute.org/gsea/msigdb/cards/GSE17721_CTRL_VS_CPG_4H_BMDC_UP.html" TargetMode="External"/><Relationship Id="rId4692" Type="http://schemas.openxmlformats.org/officeDocument/2006/relationships/hyperlink" Target="http://www.broadinstitute.org/gsea/msigdb/cards/GSE17721_CTRL_VS_CPG_6H_BMDC_UP.html" TargetMode="External"/><Relationship Id="rId4693" Type="http://schemas.openxmlformats.org/officeDocument/2006/relationships/hyperlink" Target="http://www.broadinstitute.org/gsea/msigdb/cards/GSE17721_CTRL_VS_CPG_6H_BMDC_DN.html" TargetMode="External"/><Relationship Id="rId4694" Type="http://schemas.openxmlformats.org/officeDocument/2006/relationships/hyperlink" Target="http://www.broadinstitute.org/gsea/msigdb/cards/GSE17721_CTRL_VS_GARDIQUIMOD_2H_BMDC_DN.html" TargetMode="External"/><Relationship Id="rId4695" Type="http://schemas.openxmlformats.org/officeDocument/2006/relationships/hyperlink" Target="http://www.broadinstitute.org/gsea/msigdb/cards/GSE17721_CTRL_VS_GARDIQUIMOD_6H_BMDC_UP.html" TargetMode="External"/><Relationship Id="rId4696" Type="http://schemas.openxmlformats.org/officeDocument/2006/relationships/hyperlink" Target="http://www.broadinstitute.org/gsea/msigdb/cards/GSE17721_CTRL_VS_GARDIQUIMOD_24H_BMDC_DN.html" TargetMode="External"/><Relationship Id="rId4697" Type="http://schemas.openxmlformats.org/officeDocument/2006/relationships/hyperlink" Target="http://www.broadinstitute.org/gsea/msigdb/cards/GSE17721_LPS_VS_POLYIC_2H_BMDC_DN.html" TargetMode="External"/><Relationship Id="rId4698" Type="http://schemas.openxmlformats.org/officeDocument/2006/relationships/hyperlink" Target="http://www.broadinstitute.org/gsea/msigdb/cards/GSE17721_POLYIC_VS_PAM3CSK4_8H_BMDC_UP.html" TargetMode="External"/><Relationship Id="rId4699" Type="http://schemas.openxmlformats.org/officeDocument/2006/relationships/hyperlink" Target="http://www.broadinstitute.org/gsea/msigdb/cards/GSE17721_CPG_VS_GARDIQUIMOD_2H_BMDC_UP.html" TargetMode="External"/><Relationship Id="rId5050" Type="http://schemas.openxmlformats.org/officeDocument/2006/relationships/hyperlink" Target="http://www.broadinstitute.org/gsea/msigdb/cards/GSE17974_2H_VS_72H_UNTREATED_IN_VITRO_CD4_TCELL_DN.html" TargetMode="External"/><Relationship Id="rId5051" Type="http://schemas.openxmlformats.org/officeDocument/2006/relationships/hyperlink" Target="http://www.broadinstitute.org/gsea/msigdb/cards/GSE17974_1.5H_VS_72H_IL4_AND_ANTI_IL12_ACT_CD4_TCELL_UP.html" TargetMode="External"/><Relationship Id="rId5052" Type="http://schemas.openxmlformats.org/officeDocument/2006/relationships/hyperlink" Target="http://www.broadinstitute.org/gsea/msigdb/cards/GSE18791_CTRL_VS_NEWCASTLE_VIRUS_DC_2H_UP.html" TargetMode="External"/><Relationship Id="rId5053" Type="http://schemas.openxmlformats.org/officeDocument/2006/relationships/hyperlink" Target="http://www.broadinstitute.org/gsea/msigdb/cards/GSE18791_CTRL_VS_NEWCASTLE_VIRUS_DC_2H_DN.html" TargetMode="External"/><Relationship Id="rId5054" Type="http://schemas.openxmlformats.org/officeDocument/2006/relationships/hyperlink" Target="http://www.broadinstitute.org/gsea/msigdb/cards/GSE18791_CTRL_VS_NEWCASTLE_VIRUS_DC_4H_UP.html" TargetMode="External"/><Relationship Id="rId5055" Type="http://schemas.openxmlformats.org/officeDocument/2006/relationships/hyperlink" Target="http://www.broadinstitute.org/gsea/msigdb/cards/GSE18791_CTRL_VS_NEWCASTLE_VIRUS_DC_12H_UP.html" TargetMode="External"/><Relationship Id="rId5056" Type="http://schemas.openxmlformats.org/officeDocument/2006/relationships/hyperlink" Target="http://www.broadinstitute.org/gsea/msigdb/cards/GSE19825_NAIVE_VS_DAY3_EFF_CD8_TCELL_DN.html" TargetMode="External"/><Relationship Id="rId5057" Type="http://schemas.openxmlformats.org/officeDocument/2006/relationships/hyperlink" Target="http://www.broadinstitute.org/gsea/msigdb/cards/GSE20366_EX_VIVO_VS_DEC205_CONVERSION_NAIVE_CD4_TCELL_DN.html" TargetMode="External"/><Relationship Id="rId5058" Type="http://schemas.openxmlformats.org/officeDocument/2006/relationships/hyperlink" Target="http://www.broadinstitute.org/gsea/msigdb/cards/GSE20366_CD103_POS_VS_CD103_KLRG1_DP_TREG_UP.html" TargetMode="External"/><Relationship Id="rId5059" Type="http://schemas.openxmlformats.org/officeDocument/2006/relationships/hyperlink" Target="http://www.broadinstitute.org/gsea/msigdb/cards/GSE20715_WT_VS_TLR4_KO_24H_OZONE_LUNG_DN.html" TargetMode="External"/><Relationship Id="rId170" Type="http://schemas.openxmlformats.org/officeDocument/2006/relationships/hyperlink" Target="http://www.broadinstitute.org/gsea/msigdb/cards/PAPASPYRIDONOS_UNSTABLE_ATEROSCLEROTIC_PLAQUE_UP.html" TargetMode="External"/><Relationship Id="rId171" Type="http://schemas.openxmlformats.org/officeDocument/2006/relationships/hyperlink" Target="http://www.broadinstitute.org/gsea/msigdb/cards/ROSS_AML_WITH_MLL_FUSIONS.html" TargetMode="External"/><Relationship Id="rId172" Type="http://schemas.openxmlformats.org/officeDocument/2006/relationships/hyperlink" Target="http://www.broadinstitute.org/gsea/msigdb/cards/MORI_IMMATURE_B_LYMPHOCYTE_UP.html" TargetMode="External"/><Relationship Id="rId173" Type="http://schemas.openxmlformats.org/officeDocument/2006/relationships/hyperlink" Target="http://www.broadinstitute.org/gsea/msigdb/cards/FINETTI_BREAST_CANCER_KINOME_GREEN.html" TargetMode="External"/><Relationship Id="rId174" Type="http://schemas.openxmlformats.org/officeDocument/2006/relationships/hyperlink" Target="http://www.broadinstitute.org/gsea/msigdb/cards/HAHTOLA_CTCL_PATHOGENESIS.html" TargetMode="External"/><Relationship Id="rId175" Type="http://schemas.openxmlformats.org/officeDocument/2006/relationships/hyperlink" Target="http://www.broadinstitute.org/gsea/msigdb/cards/RUTELLA_RESPONSE_TO_CSF2RB_AND_IL4_UP.html" TargetMode="External"/><Relationship Id="rId176" Type="http://schemas.openxmlformats.org/officeDocument/2006/relationships/hyperlink" Target="http://www.broadinstitute.org/gsea/msigdb/cards/ONO_AML1_TARGETS_UP.html" TargetMode="External"/><Relationship Id="rId177" Type="http://schemas.openxmlformats.org/officeDocument/2006/relationships/hyperlink" Target="http://www.broadinstitute.org/gsea/msigdb/cards/BERTUCCI_MEDULLARY_VS_DUCTAL_BREAST_CANCER_UP.html" TargetMode="External"/><Relationship Id="rId178" Type="http://schemas.openxmlformats.org/officeDocument/2006/relationships/hyperlink" Target="http://www.broadinstitute.org/gsea/msigdb/cards/SMIRNOV_RESPONSE_TO_IR_6HR_DN.html" TargetMode="External"/><Relationship Id="rId179" Type="http://schemas.openxmlformats.org/officeDocument/2006/relationships/hyperlink" Target="http://www.broadinstitute.org/gsea/msigdb/cards/MARTENS_TRETINOIN_RESPONSE_UP.html" TargetMode="External"/><Relationship Id="rId5060" Type="http://schemas.openxmlformats.org/officeDocument/2006/relationships/hyperlink" Target="http://www.broadinstitute.org/gsea/msigdb/cards/GSE22045_TREG_VS_TCONV_UP.html" TargetMode="External"/><Relationship Id="rId5061" Type="http://schemas.openxmlformats.org/officeDocument/2006/relationships/hyperlink" Target="http://www.broadinstitute.org/gsea/msigdb/cards/GSE22886_NAIVE_BCELL_VS_BM_PLASMA_CELL_DN.html" TargetMode="External"/><Relationship Id="rId5062" Type="http://schemas.openxmlformats.org/officeDocument/2006/relationships/hyperlink" Target="http://www.broadinstitute.org/gsea/msigdb/cards/GSE22886_IGM_MEMORY_BCELL_VS_BM_PLASMA_CELL_DN.html" TargetMode="External"/><Relationship Id="rId5063" Type="http://schemas.openxmlformats.org/officeDocument/2006/relationships/hyperlink" Target="http://www.broadinstitute.org/gsea/msigdb/cards/GSE22886_DAY1_VS_DAY7_MONOCYTE_IN_CULTURE_DN.html" TargetMode="External"/><Relationship Id="rId5064" Type="http://schemas.openxmlformats.org/officeDocument/2006/relationships/hyperlink" Target="http://www.broadinstitute.org/gsea/msigdb/cards/GSE22886_NAIVE_TCELL_VS_NEUTROPHIL_UP.html" TargetMode="External"/><Relationship Id="rId5065" Type="http://schemas.openxmlformats.org/officeDocument/2006/relationships/hyperlink" Target="http://www.broadinstitute.org/gsea/msigdb/cards/GSE22886_TH1_VS_TH2_12H_ACT_DN.html" TargetMode="External"/><Relationship Id="rId5066" Type="http://schemas.openxmlformats.org/officeDocument/2006/relationships/hyperlink" Target="http://www.broadinstitute.org/gsea/msigdb/cards/GSE24102_GRANULOCYSTIC_MDSC_VS_NEUTROPHIL_UP.html" TargetMode="External"/><Relationship Id="rId5067" Type="http://schemas.openxmlformats.org/officeDocument/2006/relationships/hyperlink" Target="http://www.broadinstitute.org/gsea/msigdb/cards/GSE24634_NAIVE_CD4_TCELL_VS_DAY7_IL4_CONV_TREG_UP.html" TargetMode="External"/><Relationship Id="rId5068" Type="http://schemas.openxmlformats.org/officeDocument/2006/relationships/hyperlink" Target="http://www.broadinstitute.org/gsea/msigdb/cards/GSE25087_FETAL_VS_ADULT_TREG_UP.html" TargetMode="External"/><Relationship Id="rId5069" Type="http://schemas.openxmlformats.org/officeDocument/2006/relationships/hyperlink" Target="http://www.broadinstitute.org/gsea/msigdb/cards/GSE25087_FETAL_VS_ADULT_TCONV_UP.html" TargetMode="External"/><Relationship Id="rId180" Type="http://schemas.openxmlformats.org/officeDocument/2006/relationships/hyperlink" Target="http://www.broadinstitute.org/gsea/msigdb/cards/REACTOME_PEPTIDE_LIGAND_BINDING_RECEPTORS.html" TargetMode="External"/><Relationship Id="rId181" Type="http://schemas.openxmlformats.org/officeDocument/2006/relationships/hyperlink" Target="http://www.broadinstitute.org/gsea/msigdb/cards/KIM_GLIS2_TARGETS_UP.html" TargetMode="External"/><Relationship Id="rId182" Type="http://schemas.openxmlformats.org/officeDocument/2006/relationships/hyperlink" Target="http://www.broadinstitute.org/gsea/msigdb/cards/REACTOME_INNATE_IMMUNE_SYSTEM.html" TargetMode="External"/><Relationship Id="rId183" Type="http://schemas.openxmlformats.org/officeDocument/2006/relationships/hyperlink" Target="http://www.broadinstitute.org/gsea/msigdb/cards/REACTOME_DOWNSTREAM_TCR_SIGNALING.html" TargetMode="External"/><Relationship Id="rId184" Type="http://schemas.openxmlformats.org/officeDocument/2006/relationships/hyperlink" Target="http://www.broadinstitute.org/gsea/msigdb/cards/TONKS_TARGETS_OF_RUNX1_RUNX1T1_FUSION_ERYTHROCYTE_UP.html" TargetMode="External"/><Relationship Id="rId185" Type="http://schemas.openxmlformats.org/officeDocument/2006/relationships/hyperlink" Target="http://www.broadinstitute.org/gsea/msigdb/cards/REACTOME_CELL_SURFACE_INTERACTIONS_AT_THE_VASCULAR_WALL.html" TargetMode="External"/><Relationship Id="rId186" Type="http://schemas.openxmlformats.org/officeDocument/2006/relationships/hyperlink" Target="http://www.broadinstitute.org/gsea/msigdb/cards/NIELSEN_GIST_AND_SYNOVIAL_SARCOMA_DN.html" TargetMode="External"/><Relationship Id="rId187" Type="http://schemas.openxmlformats.org/officeDocument/2006/relationships/hyperlink" Target="http://www.broadinstitute.org/gsea/msigdb/cards/GARY_CD5_TARGETS_UP.html" TargetMode="External"/><Relationship Id="rId188" Type="http://schemas.openxmlformats.org/officeDocument/2006/relationships/hyperlink" Target="http://www.broadinstitute.org/gsea/msigdb/cards/PID_IL2_STAT5_PATHWAY.html" TargetMode="External"/><Relationship Id="rId189" Type="http://schemas.openxmlformats.org/officeDocument/2006/relationships/hyperlink" Target="http://www.broadinstitute.org/gsea/msigdb/cards/REACTOME_GPCR_DOWNSTREAM_SIGNALING.html" TargetMode="External"/><Relationship Id="rId5070" Type="http://schemas.openxmlformats.org/officeDocument/2006/relationships/hyperlink" Target="http://www.broadinstitute.org/gsea/msigdb/cards/GSE26928_NAIVE_VS_CENT_MEMORY_CD4_TCELL_DN.html" TargetMode="External"/><Relationship Id="rId5071" Type="http://schemas.openxmlformats.org/officeDocument/2006/relationships/hyperlink" Target="http://www.broadinstitute.org/gsea/msigdb/cards/GSE26928_NAIVE_VS_CXCR5_POS_CD4_TCELL_DN.html" TargetMode="External"/><Relationship Id="rId5072" Type="http://schemas.openxmlformats.org/officeDocument/2006/relationships/hyperlink" Target="http://www.broadinstitute.org/gsea/msigdb/cards/GSE2706_LPS_VS_R848_AND_LPS_8H_STIM_DC_DN.html" TargetMode="External"/><Relationship Id="rId5073" Type="http://schemas.openxmlformats.org/officeDocument/2006/relationships/hyperlink" Target="http://www.broadinstitute.org/gsea/msigdb/cards/GSE27786_LSK_VS_ERYTHROBLAST_DN.html" TargetMode="External"/><Relationship Id="rId5074" Type="http://schemas.openxmlformats.org/officeDocument/2006/relationships/hyperlink" Target="http://www.broadinstitute.org/gsea/msigdb/cards/GSE27786_LSK_VS_MONO_MAC_DN.html" TargetMode="External"/><Relationship Id="rId5075" Type="http://schemas.openxmlformats.org/officeDocument/2006/relationships/hyperlink" Target="http://www.broadinstitute.org/gsea/msigdb/cards/GSE27786_BCELL_VS_NKTCELL_DN.html" TargetMode="External"/><Relationship Id="rId5076" Type="http://schemas.openxmlformats.org/officeDocument/2006/relationships/hyperlink" Target="http://www.broadinstitute.org/gsea/msigdb/cards/GSE27786_CD4_TCELL_VS_NKCELL_UP.html" TargetMode="External"/><Relationship Id="rId5077" Type="http://schemas.openxmlformats.org/officeDocument/2006/relationships/hyperlink" Target="http://www.broadinstitute.org/gsea/msigdb/cards/GSE27786_CD4_TCELL_VS_MONO_MAC_UP.html" TargetMode="External"/><Relationship Id="rId5078" Type="http://schemas.openxmlformats.org/officeDocument/2006/relationships/hyperlink" Target="http://www.broadinstitute.org/gsea/msigdb/cards/GSE27786_CD4_TCELL_VS_MONO_MAC_DN.html" TargetMode="External"/><Relationship Id="rId5079" Type="http://schemas.openxmlformats.org/officeDocument/2006/relationships/hyperlink" Target="http://www.broadinstitute.org/gsea/msigdb/cards/GSE27786_CD8_TCELL_VS_NKCELL_UP.html" TargetMode="External"/><Relationship Id="rId190" Type="http://schemas.openxmlformats.org/officeDocument/2006/relationships/hyperlink" Target="http://www.broadinstitute.org/gsea/msigdb/cards/ODONNELL_TARGETS_OF_MYC_AND_TFRC_UP.html" TargetMode="External"/><Relationship Id="rId191" Type="http://schemas.openxmlformats.org/officeDocument/2006/relationships/hyperlink" Target="http://www.broadinstitute.org/gsea/msigdb/cards/BIOCARTA_CTL_PATHWAY.html" TargetMode="External"/><Relationship Id="rId192" Type="http://schemas.openxmlformats.org/officeDocument/2006/relationships/hyperlink" Target="http://www.broadinstitute.org/gsea/msigdb/cards/BIOCARTA_IL12_PATHWAY.html" TargetMode="External"/><Relationship Id="rId193" Type="http://schemas.openxmlformats.org/officeDocument/2006/relationships/hyperlink" Target="http://www.broadinstitute.org/gsea/msigdb/cards/REACTOME_SIGNALING_BY_GPCR.html" TargetMode="External"/><Relationship Id="rId194" Type="http://schemas.openxmlformats.org/officeDocument/2006/relationships/hyperlink" Target="http://www.broadinstitute.org/gsea/msigdb/cards/FOSTER_TOLERANT_MACROPHAGE_DN.html" TargetMode="External"/><Relationship Id="rId195" Type="http://schemas.openxmlformats.org/officeDocument/2006/relationships/hyperlink" Target="http://www.broadinstitute.org/gsea/msigdb/cards/BIOCARTA_CSK_PATHWAY.html" TargetMode="External"/><Relationship Id="rId196" Type="http://schemas.openxmlformats.org/officeDocument/2006/relationships/hyperlink" Target="http://www.broadinstitute.org/gsea/msigdb/cards/ST_T_CELL_SIGNAL_TRANSDUCTION.html" TargetMode="External"/><Relationship Id="rId1900" Type="http://schemas.openxmlformats.org/officeDocument/2006/relationships/hyperlink" Target="http://www.broadinstitute.org/gsea/msigdb/cards/GO_REGULATION_OF_SMOOTH_MUSCLE_CELL_PROLIFERATION.html" TargetMode="External"/><Relationship Id="rId1901" Type="http://schemas.openxmlformats.org/officeDocument/2006/relationships/hyperlink" Target="http://www.broadinstitute.org/gsea/msigdb/cards/GO_NEGATIVE_REGULATION_OF_CELLULAR_COMPONENT_ORGANIZATION.html" TargetMode="External"/><Relationship Id="rId1902" Type="http://schemas.openxmlformats.org/officeDocument/2006/relationships/hyperlink" Target="http://www.broadinstitute.org/gsea/msigdb/cards/GO_POSITIVE_REGULATION_OF_PROTEIN_LOCALIZATION_TO_NUCLEUS.html" TargetMode="External"/><Relationship Id="rId1903" Type="http://schemas.openxmlformats.org/officeDocument/2006/relationships/hyperlink" Target="http://www.broadinstitute.org/gsea/msigdb/cards/GO_CELLULAR_RESPONSE_TO_CARBOHYDRATE_STIMULUS.html" TargetMode="External"/><Relationship Id="rId1904" Type="http://schemas.openxmlformats.org/officeDocument/2006/relationships/hyperlink" Target="http://www.broadinstitute.org/gsea/msigdb/cards/GO_PHOSPHORIC_ESTER_HYDROLASE_ACTIVITY.html" TargetMode="External"/><Relationship Id="rId1905" Type="http://schemas.openxmlformats.org/officeDocument/2006/relationships/hyperlink" Target="http://www.broadinstitute.org/gsea/msigdb/cards/GO_REGULATION_OF_NEURON_APOPTOTIC_PROCESS.html" TargetMode="External"/><Relationship Id="rId1906" Type="http://schemas.openxmlformats.org/officeDocument/2006/relationships/hyperlink" Target="http://www.broadinstitute.org/gsea/msigdb/cards/GO_GLYCOPROTEIN_BINDING.html" TargetMode="External"/><Relationship Id="rId1907" Type="http://schemas.openxmlformats.org/officeDocument/2006/relationships/hyperlink" Target="http://www.broadinstitute.org/gsea/msigdb/cards/GO_LEUKOCYTE_DEGRANULATION.html" TargetMode="External"/><Relationship Id="rId1908" Type="http://schemas.openxmlformats.org/officeDocument/2006/relationships/hyperlink" Target="http://www.broadinstitute.org/gsea/msigdb/cards/GO_POSITIVE_REGULATION_OF_INTERFERON_BETA_PRODUCTION.html" TargetMode="External"/><Relationship Id="rId1909" Type="http://schemas.openxmlformats.org/officeDocument/2006/relationships/hyperlink" Target="http://www.broadinstitute.org/gsea/msigdb/cards/GO_POSITIVE_REGULATION_OF_SMOOTH_MUSCLE_CELL_MIGRATION.html" TargetMode="External"/><Relationship Id="rId197" Type="http://schemas.openxmlformats.org/officeDocument/2006/relationships/hyperlink" Target="http://www.broadinstitute.org/gsea/msigdb/cards/NUYTTEN_EZH2_TARGETS_UP.html" TargetMode="External"/><Relationship Id="rId198" Type="http://schemas.openxmlformats.org/officeDocument/2006/relationships/hyperlink" Target="http://www.broadinstitute.org/gsea/msigdb/cards/PID_IL23_PATHWAY.html" TargetMode="External"/><Relationship Id="rId199" Type="http://schemas.openxmlformats.org/officeDocument/2006/relationships/hyperlink" Target="http://www.broadinstitute.org/gsea/msigdb/cards/BIOCARTA_BLYMPHOCYTE_PATHWAY.html" TargetMode="External"/><Relationship Id="rId5080" Type="http://schemas.openxmlformats.org/officeDocument/2006/relationships/hyperlink" Target="http://www.broadinstitute.org/gsea/msigdb/cards/GSE27786_CD8_TCELL_VS_MONO_MAC_DN.html" TargetMode="External"/><Relationship Id="rId5081" Type="http://schemas.openxmlformats.org/officeDocument/2006/relationships/hyperlink" Target="http://www.broadinstitute.org/gsea/msigdb/cards/GSE27786_NKCELL_VS_NEUTROPHIL_UP.html" TargetMode="External"/><Relationship Id="rId5082" Type="http://schemas.openxmlformats.org/officeDocument/2006/relationships/hyperlink" Target="http://www.broadinstitute.org/gsea/msigdb/cards/GSE27786_NKCELL_VS_NEUTROPHIL_DN.html" TargetMode="External"/><Relationship Id="rId5083" Type="http://schemas.openxmlformats.org/officeDocument/2006/relationships/hyperlink" Target="http://www.broadinstitute.org/gsea/msigdb/cards/GSE27786_NKTCELL_VS_ERYTHROBLAST_UP.html" TargetMode="External"/><Relationship Id="rId5084" Type="http://schemas.openxmlformats.org/officeDocument/2006/relationships/hyperlink" Target="http://www.broadinstitute.org/gsea/msigdb/cards/GSE27786_NKTCELL_VS_NEUTROPHIL_DN.html" TargetMode="External"/><Relationship Id="rId5085" Type="http://schemas.openxmlformats.org/officeDocument/2006/relationships/hyperlink" Target="http://www.broadinstitute.org/gsea/msigdb/cards/GSE27786_NKTCELL_VS_MONO_MAC_UP.html" TargetMode="External"/><Relationship Id="rId5086" Type="http://schemas.openxmlformats.org/officeDocument/2006/relationships/hyperlink" Target="http://www.broadinstitute.org/gsea/msigdb/cards/GSE28237_FOLLICULAR_VS_LATE_GC_BCELL_DN.html" TargetMode="External"/><Relationship Id="rId5087" Type="http://schemas.openxmlformats.org/officeDocument/2006/relationships/hyperlink" Target="http://www.broadinstitute.org/gsea/msigdb/cards/GSE2826_WT_VS_XID_BCELL_DN.html" TargetMode="External"/><Relationship Id="rId5088" Type="http://schemas.openxmlformats.org/officeDocument/2006/relationships/hyperlink" Target="http://www.broadinstitute.org/gsea/msigdb/cards/GSE29614_DAY3_VS_DAY7_TIV_FLU_VACCINE_PBMC_DN.html" TargetMode="External"/><Relationship Id="rId5089" Type="http://schemas.openxmlformats.org/officeDocument/2006/relationships/hyperlink" Target="http://www.broadinstitute.org/gsea/msigdb/cards/GSE29618_PRE_VS_DAY7_FLU_VACCINE_PDC_DN.html" TargetMode="External"/><Relationship Id="rId1910" Type="http://schemas.openxmlformats.org/officeDocument/2006/relationships/hyperlink" Target="http://www.broadinstitute.org/gsea/msigdb/cards/GO_REGULATION_OF_BIOMINERAL_TISSUE_DEVELOPMENT.html" TargetMode="External"/><Relationship Id="rId1911" Type="http://schemas.openxmlformats.org/officeDocument/2006/relationships/hyperlink" Target="http://www.broadinstitute.org/gsea/msigdb/cards/GO_HOMOTYPIC_CELL_CELL_ADHESION.html" TargetMode="External"/><Relationship Id="rId1912" Type="http://schemas.openxmlformats.org/officeDocument/2006/relationships/hyperlink" Target="http://www.broadinstitute.org/gsea/msigdb/cards/GO_MACROMOLECULAR_COMPLEX_ASSEMBLY.html" TargetMode="External"/><Relationship Id="rId1913" Type="http://schemas.openxmlformats.org/officeDocument/2006/relationships/hyperlink" Target="http://www.broadinstitute.org/gsea/msigdb/cards/GO_CELL_PROJECTION_MEMBRANE.html" TargetMode="External"/><Relationship Id="rId1914" Type="http://schemas.openxmlformats.org/officeDocument/2006/relationships/hyperlink" Target="http://www.broadinstitute.org/gsea/msigdb/cards/GO_CYTOSKELETAL_PROTEIN_BINDING.html" TargetMode="External"/><Relationship Id="rId1915" Type="http://schemas.openxmlformats.org/officeDocument/2006/relationships/hyperlink" Target="http://www.broadinstitute.org/gsea/msigdb/cards/GO_CELLULAR_RESPONSE_TO_ABIOTIC_STIMULUS.html" TargetMode="External"/><Relationship Id="rId1916" Type="http://schemas.openxmlformats.org/officeDocument/2006/relationships/hyperlink" Target="http://www.broadinstitute.org/gsea/msigdb/cards/GO_COMPLEMENT_ACTIVATION.html" TargetMode="External"/><Relationship Id="rId1917" Type="http://schemas.openxmlformats.org/officeDocument/2006/relationships/hyperlink" Target="http://www.broadinstitute.org/gsea/msigdb/cards/GO_POSITIVE_REGULATION_OF_TYPE_2_IMMUNE_RESPONSE.html" TargetMode="External"/><Relationship Id="rId1918" Type="http://schemas.openxmlformats.org/officeDocument/2006/relationships/hyperlink" Target="http://www.broadinstitute.org/gsea/msigdb/cards/GO_REGULATION_OF_INOSITOL_PHOSPHATE_BIOSYNTHETIC_PROCESS.html" TargetMode="External"/><Relationship Id="rId1919" Type="http://schemas.openxmlformats.org/officeDocument/2006/relationships/hyperlink" Target="http://www.broadinstitute.org/gsea/msigdb/cards/GO_RESPONSE_TO_LOW_DENSITY_LIPOPROTEIN_PARTICLE.html" TargetMode="External"/><Relationship Id="rId5090" Type="http://schemas.openxmlformats.org/officeDocument/2006/relationships/hyperlink" Target="http://www.broadinstitute.org/gsea/msigdb/cards/GSE29618_PRE_VS_DAY7_POST_LAIV_FLU_VACCINE_MONOCYTE_UP.html" TargetMode="External"/><Relationship Id="rId5091" Type="http://schemas.openxmlformats.org/officeDocument/2006/relationships/hyperlink" Target="http://www.broadinstitute.org/gsea/msigdb/cards/GSE29618_PRE_VS_DAY7_POST_LAIV_FLU_VACCINE_MONOCYTE_DN.html" TargetMode="External"/><Relationship Id="rId5092" Type="http://schemas.openxmlformats.org/officeDocument/2006/relationships/hyperlink" Target="http://www.broadinstitute.org/gsea/msigdb/cards/GSE29618_LAIV_VS_TIV_FLU_VACCINE_DAY7_MONOCYTE_UP.html" TargetMode="External"/><Relationship Id="rId5093" Type="http://schemas.openxmlformats.org/officeDocument/2006/relationships/hyperlink" Target="http://www.broadinstitute.org/gsea/msigdb/cards/GSE29618_LAIV_VS_TIV_FLU_VACCINE_DAY7_PDC_UP.html" TargetMode="External"/><Relationship Id="rId5094" Type="http://schemas.openxmlformats.org/officeDocument/2006/relationships/hyperlink" Target="http://www.broadinstitute.org/gsea/msigdb/cards/GSE29618_LAIV_VS_TIV_FLU_VACCINE_DAY7_MDC_DN.html" TargetMode="External"/><Relationship Id="rId5095" Type="http://schemas.openxmlformats.org/officeDocument/2006/relationships/hyperlink" Target="http://www.broadinstitute.org/gsea/msigdb/cards/GSE30083_SP2_VS_SP4_THYMOCYTE_UP.html" TargetMode="External"/><Relationship Id="rId5096" Type="http://schemas.openxmlformats.org/officeDocument/2006/relationships/hyperlink" Target="http://www.broadinstitute.org/gsea/msigdb/cards/GSE30962_PRIMARY_VS_SECONDARY_ACUTE_LCMV_INF_CD8_TCELL_UP.html" TargetMode="External"/><Relationship Id="rId5097" Type="http://schemas.openxmlformats.org/officeDocument/2006/relationships/hyperlink" Target="http://www.broadinstitute.org/gsea/msigdb/cards/GSE30962_PRIMARY_VS_SECONDARY_ACUTE_LCMV_INF_CD8_TCELL_DN.html" TargetMode="External"/><Relationship Id="rId5098" Type="http://schemas.openxmlformats.org/officeDocument/2006/relationships/hyperlink" Target="http://www.broadinstitute.org/gsea/msigdb/cards/GSE30962_PRIMARY_VS_SECONDARY_CHRONIC_LCMV_INF_CD8_TCELL_UP.html" TargetMode="External"/><Relationship Id="rId5099" Type="http://schemas.openxmlformats.org/officeDocument/2006/relationships/hyperlink" Target="http://www.broadinstitute.org/gsea/msigdb/cards/GSE32423_CTRL_VS_IL7_IL4_MEMORY_CD8_TCELL_DN.html" TargetMode="External"/><Relationship Id="rId1920" Type="http://schemas.openxmlformats.org/officeDocument/2006/relationships/hyperlink" Target="http://www.broadinstitute.org/gsea/msigdb/cards/GO_NEGATIVE_REGULATION_OF_MYELOID_CELL_APOPTOTIC_PROCESS.html" TargetMode="External"/><Relationship Id="rId1921" Type="http://schemas.openxmlformats.org/officeDocument/2006/relationships/hyperlink" Target="http://www.broadinstitute.org/gsea/msigdb/cards/GO_LIPID_LOCALIZATION.html" TargetMode="External"/><Relationship Id="rId1922" Type="http://schemas.openxmlformats.org/officeDocument/2006/relationships/hyperlink" Target="http://www.broadinstitute.org/gsea/msigdb/cards/GO_PHOSPHOLIPID_EFFLUX.html" TargetMode="External"/><Relationship Id="rId1923" Type="http://schemas.openxmlformats.org/officeDocument/2006/relationships/hyperlink" Target="http://www.broadinstitute.org/gsea/msigdb/cards/GO_SH3_SH2_ADAPTOR_ACTIVITY.html" TargetMode="External"/><Relationship Id="rId1924" Type="http://schemas.openxmlformats.org/officeDocument/2006/relationships/hyperlink" Target="http://www.broadinstitute.org/gsea/msigdb/cards/GO_POSITIVE_REGULATION_OF_IMMUNOGLOBULIN_PRODUCTION.html" TargetMode="External"/><Relationship Id="rId1925" Type="http://schemas.openxmlformats.org/officeDocument/2006/relationships/hyperlink" Target="http://www.broadinstitute.org/gsea/msigdb/cards/GO_REGULATION_OF_VASCULAR_ENDOTHELIAL_GROWTH_FACTOR_PRODUCTION.html" TargetMode="External"/><Relationship Id="rId1926" Type="http://schemas.openxmlformats.org/officeDocument/2006/relationships/hyperlink" Target="http://www.broadinstitute.org/gsea/msigdb/cards/GO_EARLY_ENDOSOME.html" TargetMode="External"/><Relationship Id="rId1927" Type="http://schemas.openxmlformats.org/officeDocument/2006/relationships/hyperlink" Target="http://www.broadinstitute.org/gsea/msigdb/cards/GO_RHO_GUANYL_NUCLEOTIDE_EXCHANGE_FACTOR_ACTIVITY.html" TargetMode="External"/><Relationship Id="rId1928" Type="http://schemas.openxmlformats.org/officeDocument/2006/relationships/hyperlink" Target="http://www.broadinstitute.org/gsea/msigdb/cards/GO_LATE_ENDOSOME_MEMBRANE.html" TargetMode="External"/><Relationship Id="rId1929" Type="http://schemas.openxmlformats.org/officeDocument/2006/relationships/hyperlink" Target="http://www.broadinstitute.org/gsea/msigdb/cards/GO_POSITIVE_REGULATION_OF_LIPID_KINASE_ACTIVITY.html" TargetMode="External"/><Relationship Id="rId1930" Type="http://schemas.openxmlformats.org/officeDocument/2006/relationships/hyperlink" Target="http://www.broadinstitute.org/gsea/msigdb/cards/GO_REGULATION_OF_ACTIN_CYTOSKELETON_REORGANIZATION.html" TargetMode="External"/><Relationship Id="rId1931" Type="http://schemas.openxmlformats.org/officeDocument/2006/relationships/hyperlink" Target="http://www.broadinstitute.org/gsea/msigdb/cards/GO_NUCLEAR_OUTER_MEMBRANE_ENDOPLASMIC_RETICULUM_MEMBRANE_NETWORK.html" TargetMode="External"/><Relationship Id="rId1932" Type="http://schemas.openxmlformats.org/officeDocument/2006/relationships/hyperlink" Target="http://www.broadinstitute.org/gsea/msigdb/cards/GO_PHOSPHATIDYLINOSITOL_BINDING.html" TargetMode="External"/><Relationship Id="rId1933" Type="http://schemas.openxmlformats.org/officeDocument/2006/relationships/hyperlink" Target="http://www.broadinstitute.org/gsea/msigdb/cards/GO_POSITIVE_REGULATION_OF_CALCIUM_ION_IMPORT.html" TargetMode="External"/><Relationship Id="rId1934" Type="http://schemas.openxmlformats.org/officeDocument/2006/relationships/hyperlink" Target="http://www.broadinstitute.org/gsea/msigdb/cards/GO_REGULATION_OF_HEAT_GENERATION.html" TargetMode="External"/><Relationship Id="rId1935" Type="http://schemas.openxmlformats.org/officeDocument/2006/relationships/hyperlink" Target="http://www.broadinstitute.org/gsea/msigdb/cards/GO_INTERFERON_GAMMA_PRODUCTION.html" TargetMode="External"/><Relationship Id="rId1936" Type="http://schemas.openxmlformats.org/officeDocument/2006/relationships/hyperlink" Target="http://www.broadinstitute.org/gsea/msigdb/cards/GO_REGULATION_OF_GRANULOCYTE_MACROPHAGE_COLONY_STIMULATING_FACTOR_PRODUCTION.html" TargetMode="External"/><Relationship Id="rId1937" Type="http://schemas.openxmlformats.org/officeDocument/2006/relationships/hyperlink" Target="http://www.broadinstitute.org/gsea/msigdb/cards/GO_JAK_STAT_CASCADE_INVOLVED_IN_GROWTH_HORMONE_SIGNALING_PATHWAY.html" TargetMode="External"/><Relationship Id="rId1938" Type="http://schemas.openxmlformats.org/officeDocument/2006/relationships/hyperlink" Target="http://www.broadinstitute.org/gsea/msigdb/cards/GO_NEGATIVE_REGULATION_OF_INTERLEUKIN_1_BETA_PRODUCTION.html" TargetMode="External"/><Relationship Id="rId1939" Type="http://schemas.openxmlformats.org/officeDocument/2006/relationships/hyperlink" Target="http://www.broadinstitute.org/gsea/msigdb/cards/GO_RESPONSE_TO_HYDROPEROXIDE.html" TargetMode="External"/><Relationship Id="rId1200" Type="http://schemas.openxmlformats.org/officeDocument/2006/relationships/hyperlink" Target="http://www.broadinstitute.org/gsea/msigdb/cards/GO_MHC_PROTEIN_BINDING.html" TargetMode="External"/><Relationship Id="rId1201" Type="http://schemas.openxmlformats.org/officeDocument/2006/relationships/hyperlink" Target="http://www.broadinstitute.org/gsea/msigdb/cards/GO_PEPTIDE_RECEPTOR_ACTIVITY.html" TargetMode="External"/><Relationship Id="rId1202" Type="http://schemas.openxmlformats.org/officeDocument/2006/relationships/hyperlink" Target="http://www.broadinstitute.org/gsea/msigdb/cards/GO_NEGATIVE_REGULATION_OF_HOMOTYPIC_CELL_CELL_ADHESION.html" TargetMode="External"/><Relationship Id="rId1203" Type="http://schemas.openxmlformats.org/officeDocument/2006/relationships/hyperlink" Target="http://www.broadinstitute.org/gsea/msigdb/cards/GO_NEGATIVE_REGULATION_OF_IMMUNE_RESPONSE.html" TargetMode="External"/><Relationship Id="rId1204" Type="http://schemas.openxmlformats.org/officeDocument/2006/relationships/hyperlink" Target="http://www.broadinstitute.org/gsea/msigdb/cards/GO_IMMUNOLOGICAL_SYNAPSE.html" TargetMode="External"/><Relationship Id="rId1205" Type="http://schemas.openxmlformats.org/officeDocument/2006/relationships/hyperlink" Target="http://www.broadinstitute.org/gsea/msigdb/cards/GO_ENDOCYTIC_VESICLE.html" TargetMode="External"/><Relationship Id="rId1206" Type="http://schemas.openxmlformats.org/officeDocument/2006/relationships/hyperlink" Target="http://www.broadinstitute.org/gsea/msigdb/cards/GO_REGULATION_OF_MULTI_ORGANISM_PROCESS.html" TargetMode="External"/><Relationship Id="rId1207" Type="http://schemas.openxmlformats.org/officeDocument/2006/relationships/hyperlink" Target="http://www.broadinstitute.org/gsea/msigdb/cards/GO_G_PROTEIN_COUPLED_CHEMOATTRACTANT_RECEPTOR_ACTIVITY.html" TargetMode="External"/><Relationship Id="rId1208" Type="http://schemas.openxmlformats.org/officeDocument/2006/relationships/hyperlink" Target="http://www.broadinstitute.org/gsea/msigdb/cards/GO_REGULATION_OF_B_CELL_PROLIFERATION.html" TargetMode="External"/><Relationship Id="rId1209" Type="http://schemas.openxmlformats.org/officeDocument/2006/relationships/hyperlink" Target="http://www.broadinstitute.org/gsea/msigdb/cards/GO_VESICLE_MEDIATED_TRANSPORT.html" TargetMode="External"/><Relationship Id="rId1940" Type="http://schemas.openxmlformats.org/officeDocument/2006/relationships/hyperlink" Target="http://www.broadinstitute.org/gsea/msigdb/cards/GO_CELLULAR_RESPONSE_TO_INTERFERON_BETA.html" TargetMode="External"/><Relationship Id="rId1941" Type="http://schemas.openxmlformats.org/officeDocument/2006/relationships/hyperlink" Target="http://www.broadinstitute.org/gsea/msigdb/cards/GO_PHOSPHOTYROSINE_BINDING.html" TargetMode="External"/><Relationship Id="rId1942" Type="http://schemas.openxmlformats.org/officeDocument/2006/relationships/hyperlink" Target="http://www.broadinstitute.org/gsea/msigdb/cards/GO_RESPONSE_TO_CARBOHYDRATE.html" TargetMode="External"/><Relationship Id="rId1943" Type="http://schemas.openxmlformats.org/officeDocument/2006/relationships/hyperlink" Target="http://www.broadinstitute.org/gsea/msigdb/cards/GO_REGULATION_OF_PROTEIN_TARGETING.html" TargetMode="External"/><Relationship Id="rId1944" Type="http://schemas.openxmlformats.org/officeDocument/2006/relationships/hyperlink" Target="http://www.broadinstitute.org/gsea/msigdb/cards/GO_REGULATION_OF_BONE_RESORPTION.html" TargetMode="External"/><Relationship Id="rId1945" Type="http://schemas.openxmlformats.org/officeDocument/2006/relationships/hyperlink" Target="http://www.broadinstitute.org/gsea/msigdb/cards/GO_MULTICELLULAR_ORGANISMAL_HOMEOSTASIS.html" TargetMode="External"/><Relationship Id="rId1946" Type="http://schemas.openxmlformats.org/officeDocument/2006/relationships/hyperlink" Target="http://www.broadinstitute.org/gsea/msigdb/cards/GO_POSITIVE_REGULATION_OF_PROTEIN_KINASE_B_SIGNALING.html" TargetMode="External"/><Relationship Id="rId1947" Type="http://schemas.openxmlformats.org/officeDocument/2006/relationships/hyperlink" Target="http://www.broadinstitute.org/gsea/msigdb/cards/GO_REGULATION_OF_JUN_KINASE_ACTIVITY.html" TargetMode="External"/><Relationship Id="rId1948" Type="http://schemas.openxmlformats.org/officeDocument/2006/relationships/hyperlink" Target="http://www.broadinstitute.org/gsea/msigdb/cards/GO_TISSUE_HOMEOSTASIS.html" TargetMode="External"/><Relationship Id="rId1949" Type="http://schemas.openxmlformats.org/officeDocument/2006/relationships/hyperlink" Target="http://www.broadinstitute.org/gsea/msigdb/cards/GO_ORGANIC_ANION_TRANSPORT.html" TargetMode="External"/><Relationship Id="rId2300" Type="http://schemas.openxmlformats.org/officeDocument/2006/relationships/hyperlink" Target="http://www.broadinstitute.org/gsea/msigdb/cards/GSE19888_ADENOSINE_A3R_INH_VS_ACT_WITH_INHIBITOR_PRETREATMENT_IN_MAST_CELL_UP.html" TargetMode="External"/><Relationship Id="rId2301" Type="http://schemas.openxmlformats.org/officeDocument/2006/relationships/hyperlink" Target="http://www.broadinstitute.org/gsea/msigdb/cards/GSE19888_ADENOSINE_A3R_INH_VS_ACT_IN_MAST_CELL_DN.html" TargetMode="External"/><Relationship Id="rId2302" Type="http://schemas.openxmlformats.org/officeDocument/2006/relationships/hyperlink" Target="http://www.broadinstitute.org/gsea/msigdb/cards/GSE21380_NON_TFH_VS_TFH_CD4_TCELL_UP.html" TargetMode="External"/><Relationship Id="rId2303" Type="http://schemas.openxmlformats.org/officeDocument/2006/relationships/hyperlink" Target="http://www.broadinstitute.org/gsea/msigdb/cards/GSE22196_HEALTHY_VS_OBESE_MOUSE_SKIN_GAMMADELTA_TCELL_UP.html" TargetMode="External"/><Relationship Id="rId2304" Type="http://schemas.openxmlformats.org/officeDocument/2006/relationships/hyperlink" Target="http://www.broadinstitute.org/gsea/msigdb/cards/GSE29164_UNTREATED_VS_CD8_TCELL_TREATED_MELANOMA_DAY3_DN.html" TargetMode="External"/><Relationship Id="rId2305" Type="http://schemas.openxmlformats.org/officeDocument/2006/relationships/hyperlink" Target="http://www.broadinstitute.org/gsea/msigdb/cards/GSE33425_CD8_ALPHAALPHA_VS_ALPHABETA_CD161_HIGH_TCELL_UP.html" TargetMode="External"/><Relationship Id="rId2306" Type="http://schemas.openxmlformats.org/officeDocument/2006/relationships/hyperlink" Target="http://www.broadinstitute.org/gsea/msigdb/cards/GSE30971_CTRL_VS_LPS_STIM_MACROPHAGE_WBP7_KO_2H_DN.html" TargetMode="External"/><Relationship Id="rId2307" Type="http://schemas.openxmlformats.org/officeDocument/2006/relationships/hyperlink" Target="http://www.broadinstitute.org/gsea/msigdb/cards/GSE30971_WBP7_HET_VS_KO_MACROPHAGE_2H_LPS_STIM_UP.html" TargetMode="External"/><Relationship Id="rId2308" Type="http://schemas.openxmlformats.org/officeDocument/2006/relationships/hyperlink" Target="http://www.broadinstitute.org/gsea/msigdb/cards/GSE36888_UNTREATED_VS_IL2_TREATED_TCELL_6H_UP.html" TargetMode="External"/><Relationship Id="rId2309" Type="http://schemas.openxmlformats.org/officeDocument/2006/relationships/hyperlink" Target="http://www.broadinstitute.org/gsea/msigdb/cards/GSE34515_CD16_POS_MONOCYTE_VS_DC_DN.html" TargetMode="External"/><Relationship Id="rId1210" Type="http://schemas.openxmlformats.org/officeDocument/2006/relationships/hyperlink" Target="http://www.broadinstitute.org/gsea/msigdb/cards/GO_REGULATION_OF_SECRETION.html" TargetMode="External"/><Relationship Id="rId1211" Type="http://schemas.openxmlformats.org/officeDocument/2006/relationships/hyperlink" Target="http://www.broadinstitute.org/gsea/msigdb/cards/GO_POSITIVE_REGULATION_OF_DEVELOPMENTAL_PROCESS.html" TargetMode="External"/><Relationship Id="rId1212" Type="http://schemas.openxmlformats.org/officeDocument/2006/relationships/hyperlink" Target="http://www.broadinstitute.org/gsea/msigdb/cards/GO_NEGATIVE_REGULATION_OF_LEUKOCYTE_PROLIFERATION.html" TargetMode="External"/><Relationship Id="rId1213" Type="http://schemas.openxmlformats.org/officeDocument/2006/relationships/hyperlink" Target="http://www.broadinstitute.org/gsea/msigdb/cards/GO_POSITIVE_REGULATION_OF_TUMOR_NECROSIS_FACTOR_SUPERFAMILY_CYTOKINE_PRODUCTION.html" TargetMode="External"/><Relationship Id="rId1214" Type="http://schemas.openxmlformats.org/officeDocument/2006/relationships/hyperlink" Target="http://www.broadinstitute.org/gsea/msigdb/cards/GO_RESPONSE_TO_WOUNDING.html" TargetMode="External"/><Relationship Id="rId1215" Type="http://schemas.openxmlformats.org/officeDocument/2006/relationships/hyperlink" Target="http://www.broadinstitute.org/gsea/msigdb/cards/GO_T_CELL_RECEPTOR_COMPLEX.html" TargetMode="External"/><Relationship Id="rId1216" Type="http://schemas.openxmlformats.org/officeDocument/2006/relationships/hyperlink" Target="http://www.broadinstitute.org/gsea/msigdb/cards/GO_MHC_PROTEIN_COMPLEX.html" TargetMode="External"/><Relationship Id="rId1217" Type="http://schemas.openxmlformats.org/officeDocument/2006/relationships/hyperlink" Target="http://www.broadinstitute.org/gsea/msigdb/cards/GO_REGULATION_OF_INTERLEUKIN_2_PRODUCTION.html" TargetMode="External"/><Relationship Id="rId1218" Type="http://schemas.openxmlformats.org/officeDocument/2006/relationships/hyperlink" Target="http://www.broadinstitute.org/gsea/msigdb/cards/GO_PROTEIN_COMPLEX_BINDING.html" TargetMode="External"/><Relationship Id="rId1219" Type="http://schemas.openxmlformats.org/officeDocument/2006/relationships/hyperlink" Target="http://www.broadinstitute.org/gsea/msigdb/cards/GO_REGULATION_OF_PROTEIN_SECRETION.html" TargetMode="External"/><Relationship Id="rId3400" Type="http://schemas.openxmlformats.org/officeDocument/2006/relationships/hyperlink" Target="http://www.broadinstitute.org/gsea/msigdb/cards/GSE43956_WT_VS_SGK1_KO_TH17_DIFFERENTIATED_CD4_TCELL_DN.html" TargetMode="External"/><Relationship Id="rId3401" Type="http://schemas.openxmlformats.org/officeDocument/2006/relationships/hyperlink" Target="http://www.broadinstitute.org/gsea/msigdb/cards/GSE43955_TGFB_IL6_VS_TGFB_IL6_IL23_TH17_ACT_CD4_TCELL_52H_DN.html" TargetMode="External"/><Relationship Id="rId3402" Type="http://schemas.openxmlformats.org/officeDocument/2006/relationships/hyperlink" Target="http://www.broadinstitute.org/gsea/msigdb/cards/GSE44732_UNSTIM_VS_IL27_STIM_IMATURE_DC_UP.html" TargetMode="External"/><Relationship Id="rId3403" Type="http://schemas.openxmlformats.org/officeDocument/2006/relationships/hyperlink" Target="http://www.broadinstitute.org/gsea/msigdb/cards/GSE46242_TH1_VS_ANERGIC_TH1_CD4_TCELL_WITH_EGR2_DELETED_UP.html" TargetMode="External"/><Relationship Id="rId3404" Type="http://schemas.openxmlformats.org/officeDocument/2006/relationships/hyperlink" Target="http://www.broadinstitute.org/gsea/msigdb/cards/GSE44649_WT_VS_MIR155_KO_ACTIVATED_CD8_TCELL_DN.html" TargetMode="External"/><Relationship Id="rId3405" Type="http://schemas.openxmlformats.org/officeDocument/2006/relationships/hyperlink" Target="http://www.broadinstitute.org/gsea/msigdb/cards/GSE44649_WT_VS_MIR155_KO_NAIVE_CD8_TCELL_DN.html" TargetMode="External"/><Relationship Id="rId3406" Type="http://schemas.openxmlformats.org/officeDocument/2006/relationships/hyperlink" Target="http://www.broadinstitute.org/gsea/msigdb/cards/GSE42724_NAIVE_VS_MEMORY_BCELL_UP.html" TargetMode="External"/><Relationship Id="rId3407" Type="http://schemas.openxmlformats.org/officeDocument/2006/relationships/hyperlink" Target="http://www.broadinstitute.org/gsea/msigdb/cards/GSE45739_UNSTIM_VS_ACD3_ACD28_STIM_WT_CD4_TCELL_UP.html" TargetMode="External"/><Relationship Id="rId3408" Type="http://schemas.openxmlformats.org/officeDocument/2006/relationships/hyperlink" Target="http://www.broadinstitute.org/gsea/msigdb/cards/GSE41176_UNSTIM_VS_ANTI_IGM_STIM_TAK1_KO_BCELL_24H_UP.html" TargetMode="External"/><Relationship Id="rId3409" Type="http://schemas.openxmlformats.org/officeDocument/2006/relationships/hyperlink" Target="http://www.broadinstitute.org/gsea/msigdb/cards/GSE41176_UNSTIM_VS_ANTI_IGM_STIM_TAK1_KO_BCELL_1H_UP.html" TargetMode="External"/><Relationship Id="rId700" Type="http://schemas.openxmlformats.org/officeDocument/2006/relationships/hyperlink" Target="http://www.broadinstitute.org/gsea/msigdb/cards/FIGUEROA_AML_METHYLATION_CLUSTER_4_DN.html" TargetMode="External"/><Relationship Id="rId701" Type="http://schemas.openxmlformats.org/officeDocument/2006/relationships/hyperlink" Target="http://www.broadinstitute.org/gsea/msigdb/cards/RIZKI_TUMOR_INVASIVENESS_3D_DN.html" TargetMode="External"/><Relationship Id="rId702" Type="http://schemas.openxmlformats.org/officeDocument/2006/relationships/hyperlink" Target="http://www.broadinstitute.org/gsea/msigdb/cards/PEPPER_CHRONIC_LYMPHOCYTIC_LEUKEMIA_UP.html" TargetMode="External"/><Relationship Id="rId703" Type="http://schemas.openxmlformats.org/officeDocument/2006/relationships/hyperlink" Target="http://www.broadinstitute.org/gsea/msigdb/cards/VALK_AML_CLUSTER_6.html" TargetMode="External"/><Relationship Id="rId704" Type="http://schemas.openxmlformats.org/officeDocument/2006/relationships/hyperlink" Target="http://www.broadinstitute.org/gsea/msigdb/cards/SMIRNOV_RESPONSE_TO_IR_2HR_DN.html" TargetMode="External"/><Relationship Id="rId705" Type="http://schemas.openxmlformats.org/officeDocument/2006/relationships/hyperlink" Target="http://www.broadinstitute.org/gsea/msigdb/cards/MARTINEZ_RB1_TARGETS_DN.html" TargetMode="External"/><Relationship Id="rId706" Type="http://schemas.openxmlformats.org/officeDocument/2006/relationships/hyperlink" Target="http://www.broadinstitute.org/gsea/msigdb/cards/MAHAJAN_RESPONSE_TO_IL1A_UP.html" TargetMode="External"/><Relationship Id="rId707" Type="http://schemas.openxmlformats.org/officeDocument/2006/relationships/hyperlink" Target="http://www.broadinstitute.org/gsea/msigdb/cards/KYNG_DNA_DAMAGE_BY_GAMMA_RADIATION.html" TargetMode="External"/><Relationship Id="rId708" Type="http://schemas.openxmlformats.org/officeDocument/2006/relationships/hyperlink" Target="http://www.broadinstitute.org/gsea/msigdb/cards/KEGG_CYTOSOLIC_DNA_SENSING_PATHWAY.html" TargetMode="External"/><Relationship Id="rId709" Type="http://schemas.openxmlformats.org/officeDocument/2006/relationships/hyperlink" Target="http://www.broadinstitute.org/gsea/msigdb/cards/LEE_LIVER_CANCER_MYC_E2F1_UP.html" TargetMode="External"/><Relationship Id="rId1950" Type="http://schemas.openxmlformats.org/officeDocument/2006/relationships/hyperlink" Target="http://www.broadinstitute.org/gsea/msigdb/cards/GO_RESPONSE_TO_FLUID_SHEAR_STRESS.html" TargetMode="External"/><Relationship Id="rId1951" Type="http://schemas.openxmlformats.org/officeDocument/2006/relationships/hyperlink" Target="http://www.broadinstitute.org/gsea/msigdb/cards/GO_POSITIVE_REGULATION_OF_T_CELL_MEDIATED_CYTOTOXICITY.html" TargetMode="External"/><Relationship Id="rId1952" Type="http://schemas.openxmlformats.org/officeDocument/2006/relationships/hyperlink" Target="http://www.broadinstitute.org/gsea/msigdb/cards/GO_REGULATION_OF_GRANULOCYTE_DIFFERENTIATION.html" TargetMode="External"/><Relationship Id="rId1953" Type="http://schemas.openxmlformats.org/officeDocument/2006/relationships/hyperlink" Target="http://www.broadinstitute.org/gsea/msigdb/cards/GO_RESPONSE_TO_PROSTAGLANDIN.html" TargetMode="External"/><Relationship Id="rId1954" Type="http://schemas.openxmlformats.org/officeDocument/2006/relationships/hyperlink" Target="http://www.broadinstitute.org/gsea/msigdb/cards/GO_NEGATIVE_REGULATION_OF_T_CELL_APOPTOTIC_PROCESS.html" TargetMode="External"/><Relationship Id="rId1955" Type="http://schemas.openxmlformats.org/officeDocument/2006/relationships/hyperlink" Target="http://www.broadinstitute.org/gsea/msigdb/cards/GO_REGULATION_OF_CELL_SIZE.html" TargetMode="External"/><Relationship Id="rId1956" Type="http://schemas.openxmlformats.org/officeDocument/2006/relationships/hyperlink" Target="http://www.broadinstitute.org/gsea/msigdb/cards/GO_POSITIVE_REGULATION_OF_INTERFERON_ALPHA_PRODUCTION.html" TargetMode="External"/><Relationship Id="rId1957" Type="http://schemas.openxmlformats.org/officeDocument/2006/relationships/hyperlink" Target="http://www.broadinstitute.org/gsea/msigdb/cards/GO_POSITIVE_REGULATION_OF_HUMORAL_IMMUNE_RESPONSE.html" TargetMode="External"/><Relationship Id="rId1958" Type="http://schemas.openxmlformats.org/officeDocument/2006/relationships/hyperlink" Target="http://www.broadinstitute.org/gsea/msigdb/cards/GO_ENDOLYSOSOME.html" TargetMode="External"/><Relationship Id="rId1959" Type="http://schemas.openxmlformats.org/officeDocument/2006/relationships/hyperlink" Target="http://www.broadinstitute.org/gsea/msigdb/cards/GO_LIPOPROTEIN_PARTICLE_RECEPTOR_ACTIVITY.html" TargetMode="External"/><Relationship Id="rId2310" Type="http://schemas.openxmlformats.org/officeDocument/2006/relationships/hyperlink" Target="http://www.broadinstitute.org/gsea/msigdb/cards/GSE40274_FOXP3_VS_FOXP3_AND_PBX1_TRANSDUCED_ACTIVATED_CD4_TCELL_UP.html" TargetMode="External"/><Relationship Id="rId2311" Type="http://schemas.openxmlformats.org/officeDocument/2006/relationships/hyperlink" Target="http://www.broadinstitute.org/gsea/msigdb/cards/GSE43863_NAIVE_VS_MEMORY_TFH_CD4_TCELL_D150_LCMV_UP.html" TargetMode="External"/><Relationship Id="rId2312" Type="http://schemas.openxmlformats.org/officeDocument/2006/relationships/hyperlink" Target="http://www.broadinstitute.org/gsea/msigdb/cards/GSE45739_UNSTIM_VS_ACD3_ACD28_STIM_WT_CD4_TCELL_DN.html" TargetMode="External"/><Relationship Id="rId2313" Type="http://schemas.openxmlformats.org/officeDocument/2006/relationships/hyperlink" Target="http://www.broadinstitute.org/gsea/msigdb/cards/GSE42088_2H_VS_24H_LEISHMANIA_INF_DC_UP.html" TargetMode="External"/><Relationship Id="rId2314" Type="http://schemas.openxmlformats.org/officeDocument/2006/relationships/hyperlink" Target="http://www.broadinstitute.org/gsea/msigdb/cards/GSE21360_TERTIARY_VS_QUATERNARY_MEMORY_CD8_TCELL_DN.html" TargetMode="External"/><Relationship Id="rId2315" Type="http://schemas.openxmlformats.org/officeDocument/2006/relationships/hyperlink" Target="http://www.broadinstitute.org/gsea/msigdb/cards/GSE26488_CTRL_VS_PEPTIDE_INJECTION_OT2_THYMOCYTE_DN.html" TargetMode="External"/><Relationship Id="rId2316" Type="http://schemas.openxmlformats.org/officeDocument/2006/relationships/hyperlink" Target="http://www.broadinstitute.org/gsea/msigdb/cards/GSE42724_NAIVE_BCELL_VS_PLASMABLAST_DN.html" TargetMode="External"/><Relationship Id="rId2317" Type="http://schemas.openxmlformats.org/officeDocument/2006/relationships/hyperlink" Target="http://www.broadinstitute.org/gsea/msigdb/cards/GSE13485_CTRL_VS_DAY7_YF17D_VACCINE_PBMC_DN.html" TargetMode="External"/><Relationship Id="rId2318" Type="http://schemas.openxmlformats.org/officeDocument/2006/relationships/hyperlink" Target="http://www.broadinstitute.org/gsea/msigdb/cards/GSE13485_PRE_VS_POST_YF17D_VACCINATION_PBMC_DN.html" TargetMode="External"/><Relationship Id="rId2319" Type="http://schemas.openxmlformats.org/officeDocument/2006/relationships/hyperlink" Target="http://www.broadinstitute.org/gsea/msigdb/cards/GSE17974_IL4_AND_ANTI_IL12_VS_UNTREATED_48H_ACT_CD4_TCELL_DN.html" TargetMode="External"/><Relationship Id="rId1220" Type="http://schemas.openxmlformats.org/officeDocument/2006/relationships/hyperlink" Target="http://www.broadinstitute.org/gsea/msigdb/cards/GO_PHAGOCYTOSIS.html" TargetMode="External"/><Relationship Id="rId1221" Type="http://schemas.openxmlformats.org/officeDocument/2006/relationships/hyperlink" Target="http://www.broadinstitute.org/gsea/msigdb/cards/GO_DIVALENT_INORGANIC_CATION_HOMEOSTASIS.html" TargetMode="External"/><Relationship Id="rId1222" Type="http://schemas.openxmlformats.org/officeDocument/2006/relationships/hyperlink" Target="http://www.broadinstitute.org/gsea/msigdb/cards/GO_POSITIVE_T_CELL_SELECTION.html" TargetMode="External"/><Relationship Id="rId1223" Type="http://schemas.openxmlformats.org/officeDocument/2006/relationships/hyperlink" Target="http://www.broadinstitute.org/gsea/msigdb/cards/GO_NEGATIVE_REGULATION_OF_CELL_CELL_ADHESION.html" TargetMode="External"/><Relationship Id="rId1224" Type="http://schemas.openxmlformats.org/officeDocument/2006/relationships/hyperlink" Target="http://www.broadinstitute.org/gsea/msigdb/cards/GO_CELLULAR_HOMEOSTASIS.html" TargetMode="External"/><Relationship Id="rId1225" Type="http://schemas.openxmlformats.org/officeDocument/2006/relationships/hyperlink" Target="http://www.broadinstitute.org/gsea/msigdb/cards/GO_G_PROTEIN_COUPLED_RECEPTOR_SIGNALING_PATHWAY.html" TargetMode="External"/><Relationship Id="rId1226" Type="http://schemas.openxmlformats.org/officeDocument/2006/relationships/hyperlink" Target="http://www.broadinstitute.org/gsea/msigdb/cards/GO_CYTOKINE_BINDING.html" TargetMode="External"/><Relationship Id="rId1227" Type="http://schemas.openxmlformats.org/officeDocument/2006/relationships/hyperlink" Target="http://www.broadinstitute.org/gsea/msigdb/cards/GO_REGULATION_OF_LEUKOCYTE_MEDIATED_CYTOTOXICITY.html" TargetMode="External"/><Relationship Id="rId1228" Type="http://schemas.openxmlformats.org/officeDocument/2006/relationships/hyperlink" Target="http://www.broadinstitute.org/gsea/msigdb/cards/GO_REGULATION_OF_LEUKOCYTE_APOPTOTIC_PROCESS.html" TargetMode="External"/><Relationship Id="rId1229" Type="http://schemas.openxmlformats.org/officeDocument/2006/relationships/hyperlink" Target="http://www.broadinstitute.org/gsea/msigdb/cards/GO_REGULATION_OF_ANTIGEN_PROCESSING_AND_PRESENTATION.html" TargetMode="External"/><Relationship Id="rId4500" Type="http://schemas.openxmlformats.org/officeDocument/2006/relationships/hyperlink" Target="http://www.broadinstitute.org/gsea/msigdb/cards/GSE5142_CTRL_VS_HTERT_TRANSDUCED_CD8_TCELL_EARLY_PASSAGE_CLONE_DN.html" TargetMode="External"/><Relationship Id="rId4501" Type="http://schemas.openxmlformats.org/officeDocument/2006/relationships/hyperlink" Target="http://www.broadinstitute.org/gsea/msigdb/cards/GSE5589_LPS_VS_LPS_AND_IL10_STIM_MACROPHAGE_45MIN_DN.html" TargetMode="External"/><Relationship Id="rId4502" Type="http://schemas.openxmlformats.org/officeDocument/2006/relationships/hyperlink" Target="http://www.broadinstitute.org/gsea/msigdb/cards/GSE5589_LPS_VS_LPS_AND_IL10_STIM_IL6_KO_MACROPHAGE_45MIN_UP.html" TargetMode="External"/><Relationship Id="rId4503" Type="http://schemas.openxmlformats.org/officeDocument/2006/relationships/hyperlink" Target="http://www.broadinstitute.org/gsea/msigdb/cards/GSE5589_LPS_VS_LPS_AND_IL10_STIM_IL6_KO_MACROPHAGE_180MIN_DN.html" TargetMode="External"/><Relationship Id="rId4504" Type="http://schemas.openxmlformats.org/officeDocument/2006/relationships/hyperlink" Target="http://www.broadinstitute.org/gsea/msigdb/cards/GSE5589_WT_VS_IL10_KO_LPS_AND_IL6_STIM_MACROPHAGE_45MIN_DN.html" TargetMode="External"/><Relationship Id="rId4505" Type="http://schemas.openxmlformats.org/officeDocument/2006/relationships/hyperlink" Target="http://www.broadinstitute.org/gsea/msigdb/cards/GSE5589_IL6_KO_VS_IL10_KO_LPS_STIM_MACROPHAGE_45MIN_UP.html" TargetMode="External"/><Relationship Id="rId4506" Type="http://schemas.openxmlformats.org/officeDocument/2006/relationships/hyperlink" Target="http://www.broadinstitute.org/gsea/msigdb/cards/GSE5589_IL6_KO_VS_IL10_KO_LPS_AND_IL6_STIM_MACROPHAGE_45MIN_DN.html" TargetMode="External"/><Relationship Id="rId4507" Type="http://schemas.openxmlformats.org/officeDocument/2006/relationships/hyperlink" Target="http://www.broadinstitute.org/gsea/msigdb/cards/GSE5589_IL6_KO_VS_IL10_KO_LPS_AND_IL10_STIM_MACROPHAGE_180MIN_DN.html" TargetMode="External"/><Relationship Id="rId4508" Type="http://schemas.openxmlformats.org/officeDocument/2006/relationships/hyperlink" Target="http://www.broadinstitute.org/gsea/msigdb/cards/GSE6259_33D1_POS_VS_DEC205_POS_SPLENIC_DC_UP.html" TargetMode="External"/><Relationship Id="rId4509" Type="http://schemas.openxmlformats.org/officeDocument/2006/relationships/hyperlink" Target="http://www.broadinstitute.org/gsea/msigdb/cards/GSE3203_HEALTHY_VS_INFLUENZA_INFECTED_LN_BCELL_UP.html" TargetMode="External"/><Relationship Id="rId3410" Type="http://schemas.openxmlformats.org/officeDocument/2006/relationships/hyperlink" Target="http://www.broadinstitute.org/gsea/msigdb/cards/GSE37301_HEMATOPOIETIC_STEM_CELL_VS_GRAN_MONO_PROGENITOR_DN.html" TargetMode="External"/><Relationship Id="rId3411" Type="http://schemas.openxmlformats.org/officeDocument/2006/relationships/hyperlink" Target="http://www.broadinstitute.org/gsea/msigdb/cards/GSE6092_IFNG_VS_IFNG_AND_B_BURGDORFERI_INF_ENDOTHELIAL_CELL_UP.html" TargetMode="External"/><Relationship Id="rId3412" Type="http://schemas.openxmlformats.org/officeDocument/2006/relationships/hyperlink" Target="http://www.broadinstitute.org/gsea/msigdb/cards/GSE19941_LPS_VS_LPS_AND_IL10_STIM_IL10_KO_MACROPHAGE_DN.html" TargetMode="External"/><Relationship Id="rId3413" Type="http://schemas.openxmlformats.org/officeDocument/2006/relationships/hyperlink" Target="http://www.broadinstitute.org/gsea/msigdb/cards/GSE40274_CTRL_VS_FOXP3_AND_XBP1_TRANSDUCED_ACTIVATED_CD4_TCELL_DN.html" TargetMode="External"/><Relationship Id="rId3414" Type="http://schemas.openxmlformats.org/officeDocument/2006/relationships/hyperlink" Target="http://www.broadinstitute.org/gsea/msigdb/cards/GSE21360_TERTIARY_VS_QUATERNARY_MEMORY_CD8_TCELL_UP.html" TargetMode="External"/><Relationship Id="rId3415" Type="http://schemas.openxmlformats.org/officeDocument/2006/relationships/hyperlink" Target="http://www.broadinstitute.org/gsea/msigdb/cards/GSE37301_MULTIPOTENT_PROGENITOR_VS_LYMPHOID_PRIMED_MPP_DN.html" TargetMode="External"/><Relationship Id="rId3416" Type="http://schemas.openxmlformats.org/officeDocument/2006/relationships/hyperlink" Target="http://www.broadinstitute.org/gsea/msigdb/cards/GSE3720_LPS_VS_PMA_STIM_VD2_GAMMADELTA_TCELL_UP.html" TargetMode="External"/><Relationship Id="rId3417" Type="http://schemas.openxmlformats.org/officeDocument/2006/relationships/hyperlink" Target="http://www.broadinstitute.org/gsea/msigdb/cards/GSE15624_CTRL_VS_3H_HALOFUGINONE_TREATED_CD4_TCELL_UP.html" TargetMode="External"/><Relationship Id="rId3418" Type="http://schemas.openxmlformats.org/officeDocument/2006/relationships/hyperlink" Target="http://www.broadinstitute.org/gsea/msigdb/cards/GSE37301_HEMATOPOIETIC_STEM_CELL_VS_CD4_TCELL_DN.html" TargetMode="External"/><Relationship Id="rId3419" Type="http://schemas.openxmlformats.org/officeDocument/2006/relationships/hyperlink" Target="http://www.broadinstitute.org/gsea/msigdb/cards/GSE25677_MPL_VS_MPL_AND_R848_STIM_BCELL_UP.html" TargetMode="External"/><Relationship Id="rId710" Type="http://schemas.openxmlformats.org/officeDocument/2006/relationships/hyperlink" Target="http://www.broadinstitute.org/gsea/msigdb/cards/REACTOME_GASTRIN_CREB_SIGNALLING_PATHWAY_VIA_PKC_AND_MAPK.html" TargetMode="External"/><Relationship Id="rId711" Type="http://schemas.openxmlformats.org/officeDocument/2006/relationships/hyperlink" Target="http://www.broadinstitute.org/gsea/msigdb/cards/OSWALD_HEMATOPOIETIC_STEM_CELL_IN_COLLAGEN_GEL_DN.html" TargetMode="External"/><Relationship Id="rId712" Type="http://schemas.openxmlformats.org/officeDocument/2006/relationships/hyperlink" Target="http://www.broadinstitute.org/gsea/msigdb/cards/PID_REG_GR_PATHWAY.html" TargetMode="External"/><Relationship Id="rId713" Type="http://schemas.openxmlformats.org/officeDocument/2006/relationships/hyperlink" Target="http://www.broadinstitute.org/gsea/msigdb/cards/REACTOME_NUCLEOTIDE_LIKE_PURINERGIC_RECEPTORS.html" TargetMode="External"/><Relationship Id="rId714" Type="http://schemas.openxmlformats.org/officeDocument/2006/relationships/hyperlink" Target="http://www.broadinstitute.org/gsea/msigdb/cards/REACTOME_INITIAL_TRIGGERING_OF_COMPLEMENT.html" TargetMode="External"/><Relationship Id="rId715" Type="http://schemas.openxmlformats.org/officeDocument/2006/relationships/hyperlink" Target="http://www.broadinstitute.org/gsea/msigdb/cards/XU_RESPONSE_TO_TRETINOIN_UP.html" TargetMode="External"/><Relationship Id="rId716" Type="http://schemas.openxmlformats.org/officeDocument/2006/relationships/hyperlink" Target="http://www.broadinstitute.org/gsea/msigdb/cards/RAY_TARGETS_OF_P210_BCR_ABL_FUSION_DN.html" TargetMode="External"/><Relationship Id="rId717" Type="http://schemas.openxmlformats.org/officeDocument/2006/relationships/hyperlink" Target="http://www.broadinstitute.org/gsea/msigdb/cards/ZHAN_LATE_DIFFERENTIATION_GENES_DN.html" TargetMode="External"/><Relationship Id="rId718" Type="http://schemas.openxmlformats.org/officeDocument/2006/relationships/hyperlink" Target="http://www.broadinstitute.org/gsea/msigdb/cards/SCHOEN_NFKB_SIGNALING.html" TargetMode="External"/><Relationship Id="rId719" Type="http://schemas.openxmlformats.org/officeDocument/2006/relationships/hyperlink" Target="http://www.broadinstitute.org/gsea/msigdb/cards/YAMASHITA_METHYLATED_IN_PROSTATE_CANCER.html" TargetMode="External"/><Relationship Id="rId1960" Type="http://schemas.openxmlformats.org/officeDocument/2006/relationships/hyperlink" Target="http://www.broadinstitute.org/gsea/msigdb/cards/GO_CXCR_CHEMOKINE_RECEPTOR_BINDING.html" TargetMode="External"/><Relationship Id="rId1961" Type="http://schemas.openxmlformats.org/officeDocument/2006/relationships/hyperlink" Target="http://www.broadinstitute.org/gsea/msigdb/cards/GO_ESTABLISHMENT_OR_MAINTENANCE_OF_CELL_POLARITY.html" TargetMode="External"/><Relationship Id="rId1962" Type="http://schemas.openxmlformats.org/officeDocument/2006/relationships/hyperlink" Target="http://www.broadinstitute.org/gsea/msigdb/cards/GO_RESPONSE_TO_FATTY_ACID.html" TargetMode="External"/><Relationship Id="rId1963" Type="http://schemas.openxmlformats.org/officeDocument/2006/relationships/hyperlink" Target="http://www.broadinstitute.org/gsea/msigdb/cards/GO_RESPONSE_TO_OXIDATIVE_STRESS.html" TargetMode="External"/><Relationship Id="rId1964" Type="http://schemas.openxmlformats.org/officeDocument/2006/relationships/hyperlink" Target="http://www.broadinstitute.org/gsea/msigdb/cards/GO_VASCULATURE_DEVELOPMENT.html" TargetMode="External"/><Relationship Id="rId1965" Type="http://schemas.openxmlformats.org/officeDocument/2006/relationships/hyperlink" Target="http://www.broadinstitute.org/gsea/msigdb/cards/GO_REGULATION_OF_CATION_TRANSMEMBRANE_TRANSPORT.html" TargetMode="External"/><Relationship Id="rId1966" Type="http://schemas.openxmlformats.org/officeDocument/2006/relationships/hyperlink" Target="http://www.broadinstitute.org/gsea/msigdb/cards/GO_LEUKOCYTE_MEDIATED_CYTOTOXICITY.html" TargetMode="External"/><Relationship Id="rId1967" Type="http://schemas.openxmlformats.org/officeDocument/2006/relationships/hyperlink" Target="http://www.broadinstitute.org/gsea/msigdb/cards/GO_POSITIVE_REGULATION_OF_VASOCONSTRICTION.html" TargetMode="External"/><Relationship Id="rId1968" Type="http://schemas.openxmlformats.org/officeDocument/2006/relationships/hyperlink" Target="http://www.broadinstitute.org/gsea/msigdb/cards/GO_PHOSPHOLIPID_TRANSPORT.html" TargetMode="External"/><Relationship Id="rId1969" Type="http://schemas.openxmlformats.org/officeDocument/2006/relationships/hyperlink" Target="http://www.broadinstitute.org/gsea/msigdb/cards/GO_PHAGOCYTIC_VESICLE_MEMBRANE.html" TargetMode="External"/><Relationship Id="rId2320" Type="http://schemas.openxmlformats.org/officeDocument/2006/relationships/hyperlink" Target="http://www.broadinstitute.org/gsea/msigdb/cards/GSE22886_NAIVE_TCELL_VS_MONOCYTE_UP.html" TargetMode="External"/><Relationship Id="rId2321" Type="http://schemas.openxmlformats.org/officeDocument/2006/relationships/hyperlink" Target="http://www.broadinstitute.org/gsea/msigdb/cards/GSE7509_DC_VS_MONOCYTE_DN.html" TargetMode="External"/><Relationship Id="rId2322" Type="http://schemas.openxmlformats.org/officeDocument/2006/relationships/hyperlink" Target="http://www.broadinstitute.org/gsea/msigdb/cards/GSE7831_UNSTIM_VS_INFLUENZA_STIM_PDC_4H_UP.html" TargetMode="External"/><Relationship Id="rId2323" Type="http://schemas.openxmlformats.org/officeDocument/2006/relationships/hyperlink" Target="http://www.broadinstitute.org/gsea/msigdb/cards/GSE13522_CTRL_VS_T_CRUZI_Y_STRAIN_INF_SKIN_IFNAR_KO_UP.html" TargetMode="External"/><Relationship Id="rId2324" Type="http://schemas.openxmlformats.org/officeDocument/2006/relationships/hyperlink" Target="http://www.broadinstitute.org/gsea/msigdb/cards/GSE22140_HEALTHY_VS_ARTHRITIC_GERMFREE_MOUSE_CD4_TCELL_DN.html" TargetMode="External"/><Relationship Id="rId2325" Type="http://schemas.openxmlformats.org/officeDocument/2006/relationships/hyperlink" Target="http://www.broadinstitute.org/gsea/msigdb/cards/GSE22140_GERMFREE_VS_SPF_MOUSE_CD4_TCELL_UP.html" TargetMode="External"/><Relationship Id="rId2326" Type="http://schemas.openxmlformats.org/officeDocument/2006/relationships/hyperlink" Target="http://www.broadinstitute.org/gsea/msigdb/cards/GSE25123_WT_VS_PPARG_KO_MACROPHAGE_IL4_STIM_DN.html" TargetMode="External"/><Relationship Id="rId2327" Type="http://schemas.openxmlformats.org/officeDocument/2006/relationships/hyperlink" Target="http://www.broadinstitute.org/gsea/msigdb/cards/GSE25123_CTRL_VS_ROSIGLITAZONE_STIM_PPARG_KO_MACROPHAGE_UP.html" TargetMode="External"/><Relationship Id="rId2328" Type="http://schemas.openxmlformats.org/officeDocument/2006/relationships/hyperlink" Target="http://www.broadinstitute.org/gsea/msigdb/cards/GSE17301_CTRL_VS_48H_ACD3_ACD28_STIM_CD8_TCELL_DN.html" TargetMode="External"/><Relationship Id="rId2329" Type="http://schemas.openxmlformats.org/officeDocument/2006/relationships/hyperlink" Target="http://www.broadinstitute.org/gsea/msigdb/cards/GSE23568_ID3_TRANSDUCED_VS_ID3_KO_CD8_TCELL_UP.html" TargetMode="External"/><Relationship Id="rId1230" Type="http://schemas.openxmlformats.org/officeDocument/2006/relationships/hyperlink" Target="http://www.broadinstitute.org/gsea/msigdb/cards/GO_CELLULAR_CHEMICAL_HOMEOSTASIS.html" TargetMode="External"/><Relationship Id="rId1231" Type="http://schemas.openxmlformats.org/officeDocument/2006/relationships/hyperlink" Target="http://www.broadinstitute.org/gsea/msigdb/cards/GO_REGULATION_OF_CYTOSOLIC_CALCIUM_ION_CONCENTRATION.html" TargetMode="External"/><Relationship Id="rId1232" Type="http://schemas.openxmlformats.org/officeDocument/2006/relationships/hyperlink" Target="http://www.broadinstitute.org/gsea/msigdb/cards/GO_VACUOLAR_PART.html" TargetMode="External"/><Relationship Id="rId1233" Type="http://schemas.openxmlformats.org/officeDocument/2006/relationships/hyperlink" Target="http://www.broadinstitute.org/gsea/msigdb/cards/GO_POSITIVE_REGULATION_OF_INFLAMMATORY_RESPONSE.html" TargetMode="External"/><Relationship Id="rId1234" Type="http://schemas.openxmlformats.org/officeDocument/2006/relationships/hyperlink" Target="http://www.broadinstitute.org/gsea/msigdb/cards/GO_NEGATIVE_REGULATION_OF_RESPONSE_TO_STIMULUS.html" TargetMode="External"/><Relationship Id="rId1235" Type="http://schemas.openxmlformats.org/officeDocument/2006/relationships/hyperlink" Target="http://www.broadinstitute.org/gsea/msigdb/cards/GO_MYELOID_CELL_DIFFERENTIATION.html" TargetMode="External"/><Relationship Id="rId1236" Type="http://schemas.openxmlformats.org/officeDocument/2006/relationships/hyperlink" Target="http://www.broadinstitute.org/gsea/msigdb/cards/GO_POSITIVE_REGULATION_OF_PROTEIN_SECRETION.html" TargetMode="External"/><Relationship Id="rId1237" Type="http://schemas.openxmlformats.org/officeDocument/2006/relationships/hyperlink" Target="http://www.broadinstitute.org/gsea/msigdb/cards/GO_REGULATION_OF_INTERLEUKIN_1_PRODUCTION.html" TargetMode="External"/><Relationship Id="rId1238" Type="http://schemas.openxmlformats.org/officeDocument/2006/relationships/hyperlink" Target="http://www.broadinstitute.org/gsea/msigdb/cards/GO_REGULATION_OF_INTERLEUKIN_2_BIOSYNTHETIC_PROCESS.html" TargetMode="External"/><Relationship Id="rId1239" Type="http://schemas.openxmlformats.org/officeDocument/2006/relationships/hyperlink" Target="http://www.broadinstitute.org/gsea/msigdb/cards/GO_NEGATIVE_REGULATION_OF_LEUKOCYTE_MEDIATED_IMMUNITY.html" TargetMode="External"/><Relationship Id="rId4510" Type="http://schemas.openxmlformats.org/officeDocument/2006/relationships/hyperlink" Target="http://www.broadinstitute.org/gsea/msigdb/cards/GSE7509_DC_VS_MONOCYTE_WITH_FCGRIIB_STIM_DN.html" TargetMode="External"/><Relationship Id="rId4511" Type="http://schemas.openxmlformats.org/officeDocument/2006/relationships/hyperlink" Target="http://www.broadinstitute.org/gsea/msigdb/cards/GSE9601_NFKB_INHIBITOR_VS_PI3K_INHIBITOR_TREATED_HCMV_INF_MONOCYTE_UP.html" TargetMode="External"/><Relationship Id="rId4512" Type="http://schemas.openxmlformats.org/officeDocument/2006/relationships/hyperlink" Target="http://www.broadinstitute.org/gsea/msigdb/cards/GSE6674_UNSTIM_VS_ANTI_IGM_AND_CPG_STIM_BCELL_DN.html" TargetMode="External"/><Relationship Id="rId4513" Type="http://schemas.openxmlformats.org/officeDocument/2006/relationships/hyperlink" Target="http://www.broadinstitute.org/gsea/msigdb/cards/GSE6674_ANTI_IGM_VS_CPG_STIM_BCELL_DN.html" TargetMode="External"/><Relationship Id="rId4514" Type="http://schemas.openxmlformats.org/officeDocument/2006/relationships/hyperlink" Target="http://www.broadinstitute.org/gsea/msigdb/cards/GSE6674_CPG_VS_PL2_3_STIM_BCELL_DN.html" TargetMode="External"/><Relationship Id="rId4515" Type="http://schemas.openxmlformats.org/officeDocument/2006/relationships/hyperlink" Target="http://www.broadinstitute.org/gsea/msigdb/cards/GSE9239_CTRL_VS_TNF_INHIBITOR_TREATED_DC_DN.html" TargetMode="External"/><Relationship Id="rId4516" Type="http://schemas.openxmlformats.org/officeDocument/2006/relationships/hyperlink" Target="http://www.broadinstitute.org/gsea/msigdb/cards/GSE8621_UNSTIM_VS_LPS_STIM_MACROPHAGE_DN.html" TargetMode="External"/><Relationship Id="rId4517" Type="http://schemas.openxmlformats.org/officeDocument/2006/relationships/hyperlink" Target="http://www.broadinstitute.org/gsea/msigdb/cards/GSE9878_CTRL_VS_EBF_TRANSDUCED_PAX5_KO_PRO_BCELL_UP.html" TargetMode="External"/><Relationship Id="rId4518" Type="http://schemas.openxmlformats.org/officeDocument/2006/relationships/hyperlink" Target="http://www.broadinstitute.org/gsea/msigdb/cards/GSE10240_CTRL_VS_IL22_STIM_PRIMARY_BRONCHIAL_EPITHELIAL_CELLS_DN.html" TargetMode="External"/><Relationship Id="rId4519" Type="http://schemas.openxmlformats.org/officeDocument/2006/relationships/hyperlink" Target="http://www.broadinstitute.org/gsea/msigdb/cards/GSE7568_IL4_VS_IL4_AND_TGFB_TREATED_MACROPHAGE_24H_UP.html" TargetMode="External"/><Relationship Id="rId3420" Type="http://schemas.openxmlformats.org/officeDocument/2006/relationships/hyperlink" Target="http://www.broadinstitute.org/gsea/msigdb/cards/GSE35825_IFNA_VS_IFNG_STIM_MACROPHAGE_UP.html" TargetMode="External"/><Relationship Id="rId3421" Type="http://schemas.openxmlformats.org/officeDocument/2006/relationships/hyperlink" Target="http://www.broadinstitute.org/gsea/msigdb/cards/GSE21033_1H_VS_24H_POLYIC_STIM_DC_UP.html" TargetMode="External"/><Relationship Id="rId3422" Type="http://schemas.openxmlformats.org/officeDocument/2006/relationships/hyperlink" Target="http://www.broadinstitute.org/gsea/msigdb/cards/GSE37301_CD4_TCELL_VS_GRANULOCYTE_MONOCYTE_PROGENITOR_UP.html" TargetMode="External"/><Relationship Id="rId3423" Type="http://schemas.openxmlformats.org/officeDocument/2006/relationships/hyperlink" Target="http://www.broadinstitute.org/gsea/msigdb/cards/GSE8685_IL15_ACT_IL2_STARVED_VS_IL21_ACT_IL2_STARVED_CD4_TCELL_UP.html" TargetMode="External"/><Relationship Id="rId3424" Type="http://schemas.openxmlformats.org/officeDocument/2006/relationships/hyperlink" Target="http://www.broadinstitute.org/gsea/msigdb/cards/GSE25146_UNSTIM_VS_HELIOBACTER_PYLORI_LPS_STIM_AGS_CELL_DN.html" TargetMode="External"/><Relationship Id="rId3425" Type="http://schemas.openxmlformats.org/officeDocument/2006/relationships/hyperlink" Target="http://www.broadinstitute.org/gsea/msigdb/cards/GSE32034_UNTREATED_VS_ROSIGLIZATONE_TREATED_LY6C_LOW_MONOCYTE_DN.html" TargetMode="External"/><Relationship Id="rId3426" Type="http://schemas.openxmlformats.org/officeDocument/2006/relationships/hyperlink" Target="http://www.broadinstitute.org/gsea/msigdb/cards/GSE7768_OVA_ALONE_VS_OVA_WITH_LPS_IMMUNIZED_MOUSE_WHOLE_SPLEEN_6H_UP.html" TargetMode="External"/><Relationship Id="rId3427" Type="http://schemas.openxmlformats.org/officeDocument/2006/relationships/hyperlink" Target="http://www.broadinstitute.org/gsea/msigdb/cards/GSE27896_HDAC6_KO_VS_WT_TREG_UP.html" TargetMode="External"/><Relationship Id="rId3428" Type="http://schemas.openxmlformats.org/officeDocument/2006/relationships/hyperlink" Target="http://www.broadinstitute.org/gsea/msigdb/cards/GSE6674_UNSTIM_VS_CPG_STIM_BCELL_UP.html" TargetMode="External"/><Relationship Id="rId3429" Type="http://schemas.openxmlformats.org/officeDocument/2006/relationships/hyperlink" Target="http://www.broadinstitute.org/gsea/msigdb/cards/GSE25123_WT_VS_PPARG_KO_MACROPHAGE_ROSIGLITAZONE_STIM_DN.html" TargetMode="External"/><Relationship Id="rId720" Type="http://schemas.openxmlformats.org/officeDocument/2006/relationships/hyperlink" Target="http://www.broadinstitute.org/gsea/msigdb/cards/EBAUER_TARGETS_OF_PAX3_FOXO1_FUSION_UP.html" TargetMode="External"/><Relationship Id="rId721" Type="http://schemas.openxmlformats.org/officeDocument/2006/relationships/hyperlink" Target="http://www.broadinstitute.org/gsea/msigdb/cards/BLALOCK_ALZHEIMERS_DISEASE_INCIPIENT_UP.html" TargetMode="External"/><Relationship Id="rId722" Type="http://schemas.openxmlformats.org/officeDocument/2006/relationships/hyperlink" Target="http://www.broadinstitute.org/gsea/msigdb/cards/HIRSCH_CELLULAR_TRANSFORMATION_SIGNATURE_UP.html" TargetMode="External"/><Relationship Id="rId723" Type="http://schemas.openxmlformats.org/officeDocument/2006/relationships/hyperlink" Target="http://www.broadinstitute.org/gsea/msigdb/cards/OISHI_CHOLANGIOMA_STEM_CELL_LIKE_DN.html" TargetMode="External"/><Relationship Id="rId724" Type="http://schemas.openxmlformats.org/officeDocument/2006/relationships/hyperlink" Target="http://www.broadinstitute.org/gsea/msigdb/cards/PID_HIV_NEF_PATHWAY.html" TargetMode="External"/><Relationship Id="rId725" Type="http://schemas.openxmlformats.org/officeDocument/2006/relationships/hyperlink" Target="http://www.broadinstitute.org/gsea/msigdb/cards/FIRESTEIN_PROLIFERATION.html" TargetMode="External"/><Relationship Id="rId726" Type="http://schemas.openxmlformats.org/officeDocument/2006/relationships/hyperlink" Target="http://www.broadinstitute.org/gsea/msigdb/cards/BASSO_B_LYMPHOCYTE_NETWORK.html" TargetMode="External"/><Relationship Id="rId727" Type="http://schemas.openxmlformats.org/officeDocument/2006/relationships/hyperlink" Target="http://www.broadinstitute.org/gsea/msigdb/cards/CHANG_IMMORTALIZED_BY_HPV31_UP.html" TargetMode="External"/><Relationship Id="rId728" Type="http://schemas.openxmlformats.org/officeDocument/2006/relationships/hyperlink" Target="http://www.broadinstitute.org/gsea/msigdb/cards/BIOCARTA_PML_PATHWAY.html" TargetMode="External"/><Relationship Id="rId729" Type="http://schemas.openxmlformats.org/officeDocument/2006/relationships/hyperlink" Target="http://www.broadinstitute.org/gsea/msigdb/cards/XU_RESPONSE_TO_TRETINOIN_AND_NSC682994_UP.html" TargetMode="External"/><Relationship Id="rId1970" Type="http://schemas.openxmlformats.org/officeDocument/2006/relationships/hyperlink" Target="http://www.broadinstitute.org/gsea/msigdb/cards/GO_RAS_PROTEIN_SIGNAL_TRANSDUCTION.html" TargetMode="External"/><Relationship Id="rId1971" Type="http://schemas.openxmlformats.org/officeDocument/2006/relationships/hyperlink" Target="http://www.broadinstitute.org/gsea/msigdb/cards/GO_NEGATIVE_REGULATION_OF_ESTABLISHMENT_OF_PROTEIN_LOCALIZATION.html" TargetMode="External"/><Relationship Id="rId1972" Type="http://schemas.openxmlformats.org/officeDocument/2006/relationships/hyperlink" Target="http://www.broadinstitute.org/gsea/msigdb/cards/GO_LYMPH_NODE_DEVELOPMENT.html" TargetMode="External"/><Relationship Id="rId1973" Type="http://schemas.openxmlformats.org/officeDocument/2006/relationships/hyperlink" Target="http://www.broadinstitute.org/gsea/msigdb/cards/GO_NEGATIVE_REGULATION_OF_ALCOHOL_BIOSYNTHETIC_PROCESS.html" TargetMode="External"/><Relationship Id="rId1974" Type="http://schemas.openxmlformats.org/officeDocument/2006/relationships/hyperlink" Target="http://www.broadinstitute.org/gsea/msigdb/cards/GO_POSITIVE_REGULATION_OF_CELL_ADHESION_MEDIATED_BY_INTEGRIN.html" TargetMode="External"/><Relationship Id="rId1975" Type="http://schemas.openxmlformats.org/officeDocument/2006/relationships/hyperlink" Target="http://www.broadinstitute.org/gsea/msigdb/cards/GO_NEGATIVE_REGULATION_OF_CELL_PROJECTION_ORGANIZATION.html" TargetMode="External"/><Relationship Id="rId1976" Type="http://schemas.openxmlformats.org/officeDocument/2006/relationships/hyperlink" Target="http://www.broadinstitute.org/gsea/msigdb/cards/GO_CYTOKINE_PRODUCTION_INVOLVED_IN_IMMUNE_RESPONSE.html" TargetMode="External"/><Relationship Id="rId1977" Type="http://schemas.openxmlformats.org/officeDocument/2006/relationships/hyperlink" Target="http://www.broadinstitute.org/gsea/msigdb/cards/GO_ANTIGEN_PROCESSING_AND_PRESENTATION_OF_ENDOGENOUS_ANTIGEN.html" TargetMode="External"/><Relationship Id="rId1978" Type="http://schemas.openxmlformats.org/officeDocument/2006/relationships/hyperlink" Target="http://www.broadinstitute.org/gsea/msigdb/cards/GO_NEGATIVE_REGULATION_OF_GENE_EXPRESSION.html" TargetMode="External"/><Relationship Id="rId1979" Type="http://schemas.openxmlformats.org/officeDocument/2006/relationships/hyperlink" Target="http://www.broadinstitute.org/gsea/msigdb/cards/GO_PROTEIN_LIPID_COMPLEX_SUBUNIT_ORGANIZATION.html" TargetMode="External"/><Relationship Id="rId2330" Type="http://schemas.openxmlformats.org/officeDocument/2006/relationships/hyperlink" Target="http://www.broadinstitute.org/gsea/msigdb/cards/GSE33424_CD161_HIGH_VS_NEG_CD8_TCELL_UP.html" TargetMode="External"/><Relationship Id="rId2331" Type="http://schemas.openxmlformats.org/officeDocument/2006/relationships/hyperlink" Target="http://www.broadinstitute.org/gsea/msigdb/cards/GSE40274_CTRL_VS_FOXP3_AND_LEF1_TRANSDUCED_ACTIVATED_CD4_TCELL_UP.html" TargetMode="External"/><Relationship Id="rId2332" Type="http://schemas.openxmlformats.org/officeDocument/2006/relationships/hyperlink" Target="http://www.broadinstitute.org/gsea/msigdb/cards/GSE39916_B_CELL_SPLEEN_VS_PLASMA_CELL_BONE_MARROW_DN.html" TargetMode="External"/><Relationship Id="rId2333" Type="http://schemas.openxmlformats.org/officeDocument/2006/relationships/hyperlink" Target="http://www.broadinstitute.org/gsea/msigdb/cards/GSE33292_DN3_THYMOCYTE_VS_TCF1_KO_TCELL_LYMPHOMA_UP.html" TargetMode="External"/><Relationship Id="rId2334" Type="http://schemas.openxmlformats.org/officeDocument/2006/relationships/hyperlink" Target="http://www.broadinstitute.org/gsea/msigdb/cards/GSE43863_DAY6_EFF_VS_DAY150_MEM_TH1_CD4_TCELL_UP.html" TargetMode="External"/><Relationship Id="rId2335" Type="http://schemas.openxmlformats.org/officeDocument/2006/relationships/hyperlink" Target="http://www.broadinstitute.org/gsea/msigdb/cards/GSE45382_UNTREATED_VS_TGFB_TREATED_MACROPHAGES_UP.html" TargetMode="External"/><Relationship Id="rId2336" Type="http://schemas.openxmlformats.org/officeDocument/2006/relationships/hyperlink" Target="http://www.broadinstitute.org/gsea/msigdb/cards/GSE3920_UNTREATED_VS_IFNA_TREATED_ENDOTHELIAL_CELL_UP.html" TargetMode="External"/><Relationship Id="rId2337" Type="http://schemas.openxmlformats.org/officeDocument/2006/relationships/hyperlink" Target="http://www.broadinstitute.org/gsea/msigdb/cards/GSE2770_IL12_AND_TGFB_VS_IL4_TREATED_ACT_CD4_TCELL_48H_DN.html" TargetMode="External"/><Relationship Id="rId2338" Type="http://schemas.openxmlformats.org/officeDocument/2006/relationships/hyperlink" Target="http://www.broadinstitute.org/gsea/msigdb/cards/GSE13306_RA_VS_UNTREATED_MEM_CD4_TCELL_UP.html" TargetMode="External"/><Relationship Id="rId2339" Type="http://schemas.openxmlformats.org/officeDocument/2006/relationships/hyperlink" Target="http://www.broadinstitute.org/gsea/msigdb/cards/GSE1432_CTRL_VS_IFNG_6H_MICROGLIA_DN.html" TargetMode="External"/><Relationship Id="rId1240" Type="http://schemas.openxmlformats.org/officeDocument/2006/relationships/hyperlink" Target="http://www.broadinstitute.org/gsea/msigdb/cards/GO_T_CELL_ACTIVATION_INVOLVED_IN_IMMUNE_RESPONSE.html" TargetMode="External"/><Relationship Id="rId1241" Type="http://schemas.openxmlformats.org/officeDocument/2006/relationships/hyperlink" Target="http://www.broadinstitute.org/gsea/msigdb/cards/GO_PLASMA_MEMBRANE_RECEPTOR_COMPLEX.html" TargetMode="External"/><Relationship Id="rId1242" Type="http://schemas.openxmlformats.org/officeDocument/2006/relationships/hyperlink" Target="http://www.broadinstitute.org/gsea/msigdb/cards/GO_MOLECULAR_FUNCTION_REGULATOR.html" TargetMode="External"/><Relationship Id="rId1243" Type="http://schemas.openxmlformats.org/officeDocument/2006/relationships/hyperlink" Target="http://www.broadinstitute.org/gsea/msigdb/cards/GO_REGULATION_OF_INTERLEUKIN_6_PRODUCTION.html" TargetMode="External"/><Relationship Id="rId1244" Type="http://schemas.openxmlformats.org/officeDocument/2006/relationships/hyperlink" Target="http://www.broadinstitute.org/gsea/msigdb/cards/GO_RESPONSE_TO_VIRUS.html" TargetMode="External"/><Relationship Id="rId1245" Type="http://schemas.openxmlformats.org/officeDocument/2006/relationships/hyperlink" Target="http://www.broadinstitute.org/gsea/msigdb/cards/GO_ACTIVATION_OF_INNATE_IMMUNE_RESPONSE.html" TargetMode="External"/><Relationship Id="rId1246" Type="http://schemas.openxmlformats.org/officeDocument/2006/relationships/hyperlink" Target="http://www.broadinstitute.org/gsea/msigdb/cards/GO_CYTOKINE_RECEPTOR_BINDING.html" TargetMode="External"/><Relationship Id="rId1247" Type="http://schemas.openxmlformats.org/officeDocument/2006/relationships/hyperlink" Target="http://www.broadinstitute.org/gsea/msigdb/cards/GO_ANTIGEN_PROCESSING_AND_PRESENTATION_OF_PEPTIDE_OR_POLYSACCHARIDE_ANTIGEN_VIA_MHC_CLASS_II.html" TargetMode="External"/><Relationship Id="rId1248" Type="http://schemas.openxmlformats.org/officeDocument/2006/relationships/hyperlink" Target="http://www.broadinstitute.org/gsea/msigdb/cards/GO_REGULATION_OF_ANTIGEN_RECEPTOR_MEDIATED_SIGNALING_PATHWAY.html" TargetMode="External"/><Relationship Id="rId1249" Type="http://schemas.openxmlformats.org/officeDocument/2006/relationships/hyperlink" Target="http://www.broadinstitute.org/gsea/msigdb/cards/GO_HUMORAL_IMMUNE_RESPONSE.html" TargetMode="External"/><Relationship Id="rId4520" Type="http://schemas.openxmlformats.org/officeDocument/2006/relationships/hyperlink" Target="http://www.broadinstitute.org/gsea/msigdb/cards/GSE14415_ACT_VS_CTRL_NATURAL_TREG_DN.html" TargetMode="External"/><Relationship Id="rId4521" Type="http://schemas.openxmlformats.org/officeDocument/2006/relationships/hyperlink" Target="http://www.broadinstitute.org/gsea/msigdb/cards/GSE15330_LYMPHOID_MULTIPOTENT_VS_PRO_BCELL_UP.html" TargetMode="External"/><Relationship Id="rId4522" Type="http://schemas.openxmlformats.org/officeDocument/2006/relationships/hyperlink" Target="http://www.broadinstitute.org/gsea/msigdb/cards/GSE15330_HSC_VS_LYMPHOID_PRIMED_MULTIPOTENT_PROGENITOR_IKAROS_KO_DN.html" TargetMode="External"/><Relationship Id="rId4523" Type="http://schemas.openxmlformats.org/officeDocument/2006/relationships/hyperlink" Target="http://www.broadinstitute.org/gsea/msigdb/cards/GSE15330_WT_VS_IKAROS_KO_HSC_DN.html" TargetMode="External"/><Relationship Id="rId4524" Type="http://schemas.openxmlformats.org/officeDocument/2006/relationships/hyperlink" Target="http://www.broadinstitute.org/gsea/msigdb/cards/GSE15330_GRANULOCYTE_MONOCYTE_PROGENITOR_VS_PRO_BCELL_DN.html" TargetMode="External"/><Relationship Id="rId4525" Type="http://schemas.openxmlformats.org/officeDocument/2006/relationships/hyperlink" Target="http://www.broadinstitute.org/gsea/msigdb/cards/GSE15624_3H_VS_6H_HALOFUGINONE_TREATED_CD4_TCELL_UP.html" TargetMode="External"/><Relationship Id="rId4526" Type="http://schemas.openxmlformats.org/officeDocument/2006/relationships/hyperlink" Target="http://www.broadinstitute.org/gsea/msigdb/cards/GSE9960_GRAM_NEG_VS_GRAM_POS_SEPSIS_PBMC_DN.html" TargetMode="External"/><Relationship Id="rId4527" Type="http://schemas.openxmlformats.org/officeDocument/2006/relationships/hyperlink" Target="http://www.broadinstitute.org/gsea/msigdb/cards/GSE17186_CD21LOW_VS_CD21HIGH_TRANSITIONAL_BCELL_CORD_BLOOD_DN.html" TargetMode="External"/><Relationship Id="rId4528" Type="http://schemas.openxmlformats.org/officeDocument/2006/relationships/hyperlink" Target="http://www.broadinstitute.org/gsea/msigdb/cards/GSE16266_CTRL_VS_HEATSHOCK_AND_LPS_STIM_MEF_DN.html" TargetMode="External"/><Relationship Id="rId4529" Type="http://schemas.openxmlformats.org/officeDocument/2006/relationships/hyperlink" Target="http://www.broadinstitute.org/gsea/msigdb/cards/GSE18281_CORTEX_VS_MEDULLA_THYMUS_DN.html" TargetMode="External"/><Relationship Id="rId3430" Type="http://schemas.openxmlformats.org/officeDocument/2006/relationships/hyperlink" Target="http://www.broadinstitute.org/gsea/msigdb/cards/GSE13547_CTRL_VS_ANTI_IGM_STIM_BCELL_12H_DN.html" TargetMode="External"/><Relationship Id="rId3431" Type="http://schemas.openxmlformats.org/officeDocument/2006/relationships/hyperlink" Target="http://www.broadinstitute.org/gsea/msigdb/cards/KAECH_DAY8_EFF_VS_MEMORY_CD8_TCELL_UP.html" TargetMode="External"/><Relationship Id="rId3432" Type="http://schemas.openxmlformats.org/officeDocument/2006/relationships/hyperlink" Target="http://www.broadinstitute.org/gsea/msigdb/cards/GOLDRATH_NAIVE_VS_MEMORY_CD8_TCELL_UP.html" TargetMode="External"/><Relationship Id="rId3433" Type="http://schemas.openxmlformats.org/officeDocument/2006/relationships/hyperlink" Target="http://www.broadinstitute.org/gsea/msigdb/cards/GSE10094_LCMV_VS_LISTERIA_IND_EFF_CD4_TCELL_UP.html" TargetMode="External"/><Relationship Id="rId3434" Type="http://schemas.openxmlformats.org/officeDocument/2006/relationships/hyperlink" Target="http://www.broadinstitute.org/gsea/msigdb/cards/GSE10239_NAIVE_VS_KLRG1HIGH_EFF_CD8_TCELL_UP.html" TargetMode="External"/><Relationship Id="rId3435" Type="http://schemas.openxmlformats.org/officeDocument/2006/relationships/hyperlink" Target="http://www.broadinstitute.org/gsea/msigdb/cards/GSE10239_MEMORY_VS_KLRG1HIGH_EFF_CD8_TCELL_UP.html" TargetMode="External"/><Relationship Id="rId3436" Type="http://schemas.openxmlformats.org/officeDocument/2006/relationships/hyperlink" Target="http://www.broadinstitute.org/gsea/msigdb/cards/GSE10856_CTRL_VS_TNFRSF6B_IN_MACROPHAGE_UP.html" TargetMode="External"/><Relationship Id="rId3437" Type="http://schemas.openxmlformats.org/officeDocument/2006/relationships/hyperlink" Target="http://www.broadinstitute.org/gsea/msigdb/cards/GSE11057_CD4_EFF_MEM_VS_PBMC_UP.html" TargetMode="External"/><Relationship Id="rId3438" Type="http://schemas.openxmlformats.org/officeDocument/2006/relationships/hyperlink" Target="http://www.broadinstitute.org/gsea/msigdb/cards/GSE12845_IGD_POS_VS_NEG_BLOOD_BCELL_UP.html" TargetMode="External"/><Relationship Id="rId3439" Type="http://schemas.openxmlformats.org/officeDocument/2006/relationships/hyperlink" Target="http://www.broadinstitute.org/gsea/msigdb/cards/GSE13738_TCR_VS_BYSTANDER_ACTIVATED_CD4_TCELL_UP.html" TargetMode="External"/><Relationship Id="rId730" Type="http://schemas.openxmlformats.org/officeDocument/2006/relationships/hyperlink" Target="http://www.broadinstitute.org/gsea/msigdb/cards/SIG_PIP3_SIGNALING_IN_B_LYMPHOCYTES.html" TargetMode="External"/><Relationship Id="rId731" Type="http://schemas.openxmlformats.org/officeDocument/2006/relationships/hyperlink" Target="http://www.broadinstitute.org/gsea/msigdb/cards/KEGG_ACUTE_MYELOID_LEUKEMIA.html" TargetMode="External"/><Relationship Id="rId732" Type="http://schemas.openxmlformats.org/officeDocument/2006/relationships/hyperlink" Target="http://www.broadinstitute.org/gsea/msigdb/cards/HUTTMANN_B_CLL_POOR_SURVIVAL_DN.html" TargetMode="External"/><Relationship Id="rId733" Type="http://schemas.openxmlformats.org/officeDocument/2006/relationships/hyperlink" Target="http://www.broadinstitute.org/gsea/msigdb/cards/BENPORATH_SUZ12_TARGETS.html" TargetMode="External"/><Relationship Id="rId734" Type="http://schemas.openxmlformats.org/officeDocument/2006/relationships/hyperlink" Target="http://www.broadinstitute.org/gsea/msigdb/cards/BIOCARTA_PAR1_PATHWAY.html" TargetMode="External"/><Relationship Id="rId735" Type="http://schemas.openxmlformats.org/officeDocument/2006/relationships/hyperlink" Target="http://www.broadinstitute.org/gsea/msigdb/cards/KIM_ALL_DISORDERS_CALB1_CORR_DN.html" TargetMode="External"/><Relationship Id="rId736" Type="http://schemas.openxmlformats.org/officeDocument/2006/relationships/hyperlink" Target="http://www.broadinstitute.org/gsea/msigdb/cards/BIOCARTA_ETS_PATHWAY.html" TargetMode="External"/><Relationship Id="rId737" Type="http://schemas.openxmlformats.org/officeDocument/2006/relationships/hyperlink" Target="http://www.broadinstitute.org/gsea/msigdb/cards/BIOCARTA_TNFR2_PATHWAY.html" TargetMode="External"/><Relationship Id="rId738" Type="http://schemas.openxmlformats.org/officeDocument/2006/relationships/hyperlink" Target="http://www.broadinstitute.org/gsea/msigdb/cards/BOWIE_RESPONSE_TO_TAMOXIFEN.html" TargetMode="External"/><Relationship Id="rId739" Type="http://schemas.openxmlformats.org/officeDocument/2006/relationships/hyperlink" Target="http://www.broadinstitute.org/gsea/msigdb/cards/SHIN_B_CELL_LYMPHOMA_CLUSTER_5.html" TargetMode="External"/><Relationship Id="rId1980" Type="http://schemas.openxmlformats.org/officeDocument/2006/relationships/hyperlink" Target="http://www.broadinstitute.org/gsea/msigdb/cards/GO_REGULATION_OF_BINDING.html" TargetMode="External"/><Relationship Id="rId1981" Type="http://schemas.openxmlformats.org/officeDocument/2006/relationships/hyperlink" Target="http://www.broadinstitute.org/gsea/msigdb/cards/GO_REGULATION_OF_TRANSCRIPTION_FROM_RNA_POLYMERASE_II_PROMOTER.html" TargetMode="External"/><Relationship Id="rId1982" Type="http://schemas.openxmlformats.org/officeDocument/2006/relationships/hyperlink" Target="http://www.broadinstitute.org/gsea/msigdb/cards/GO_VACUOLAR_LUMEN.html" TargetMode="External"/><Relationship Id="rId1983" Type="http://schemas.openxmlformats.org/officeDocument/2006/relationships/hyperlink" Target="http://www.broadinstitute.org/gsea/msigdb/cards/GO_CELL_SUBSTRATE_JUNCTION.html" TargetMode="External"/><Relationship Id="rId1984" Type="http://schemas.openxmlformats.org/officeDocument/2006/relationships/hyperlink" Target="http://www.broadinstitute.org/gsea/msigdb/cards/GO_REGULATION_OF_EPITHELIAL_CELL_PROLIFERATION.html" TargetMode="External"/><Relationship Id="rId1985" Type="http://schemas.openxmlformats.org/officeDocument/2006/relationships/hyperlink" Target="http://www.broadinstitute.org/gsea/msigdb/cards/GO_REGULATION_OF_CYTOKINE_PRODUCTION_INVOLVED_IN_INFLAMMATORY_RESPONSE.html" TargetMode="External"/><Relationship Id="rId1986" Type="http://schemas.openxmlformats.org/officeDocument/2006/relationships/hyperlink" Target="http://www.broadinstitute.org/gsea/msigdb/cards/GO_REGULATION_OF_B_CELL_APOPTOTIC_PROCESS.html" TargetMode="External"/><Relationship Id="rId1987" Type="http://schemas.openxmlformats.org/officeDocument/2006/relationships/hyperlink" Target="http://www.broadinstitute.org/gsea/msigdb/cards/GO_POSITIVE_REGULATION_OF_DNA_RECOMBINATION.html" TargetMode="External"/><Relationship Id="rId1988" Type="http://schemas.openxmlformats.org/officeDocument/2006/relationships/hyperlink" Target="http://www.broadinstitute.org/gsea/msigdb/cards/GO_PHAGOCYTIC_CUP.html" TargetMode="External"/><Relationship Id="rId1989" Type="http://schemas.openxmlformats.org/officeDocument/2006/relationships/hyperlink" Target="http://www.broadinstitute.org/gsea/msigdb/cards/GO_RESPONSE_TO_TRANSITION_METAL_NANOPARTICLE.html" TargetMode="External"/><Relationship Id="rId2340" Type="http://schemas.openxmlformats.org/officeDocument/2006/relationships/hyperlink" Target="http://www.broadinstitute.org/gsea/msigdb/cards/GSE1460_DP_VS_CD4_THYMOCYTE_DN.html" TargetMode="External"/><Relationship Id="rId2341" Type="http://schemas.openxmlformats.org/officeDocument/2006/relationships/hyperlink" Target="http://www.broadinstitute.org/gsea/msigdb/cards/GSE17721_0.5H_VS_24H_CPG_BMDC_UP.html" TargetMode="External"/><Relationship Id="rId2342" Type="http://schemas.openxmlformats.org/officeDocument/2006/relationships/hyperlink" Target="http://www.broadinstitute.org/gsea/msigdb/cards/GSE20715_0H_VS_24H_OZONE_LUNG_UP.html" TargetMode="External"/><Relationship Id="rId2343" Type="http://schemas.openxmlformats.org/officeDocument/2006/relationships/hyperlink" Target="http://www.broadinstitute.org/gsea/msigdb/cards/GSE22886_NAIVE_TCELL_VS_DC_DN.html" TargetMode="External"/><Relationship Id="rId2344" Type="http://schemas.openxmlformats.org/officeDocument/2006/relationships/hyperlink" Target="http://www.broadinstitute.org/gsea/msigdb/cards/GSE29618_MONOCYTE_VS_MDC_DN.html" TargetMode="External"/><Relationship Id="rId2345" Type="http://schemas.openxmlformats.org/officeDocument/2006/relationships/hyperlink" Target="http://www.broadinstitute.org/gsea/msigdb/cards/GSE9988_LPS_VS_VEHICLE_TREATED_MONOCYTE_DN.html" TargetMode="External"/><Relationship Id="rId2346" Type="http://schemas.openxmlformats.org/officeDocument/2006/relationships/hyperlink" Target="http://www.broadinstitute.org/gsea/msigdb/cards/GSE9988_LOW_LPS_VS_VEHICLE_TREATED_MONOCYTE_DN.html" TargetMode="External"/><Relationship Id="rId2347" Type="http://schemas.openxmlformats.org/officeDocument/2006/relationships/hyperlink" Target="http://www.broadinstitute.org/gsea/msigdb/cards/GSE3039_CD4_TCELL_VS_B1_BCELL_DN.html" TargetMode="External"/><Relationship Id="rId2348" Type="http://schemas.openxmlformats.org/officeDocument/2006/relationships/hyperlink" Target="http://www.broadinstitute.org/gsea/msigdb/cards/GSE5589_LPS_VS_LPS_AND_IL10_STIM_MACROPHAGE_180MIN_UP.html" TargetMode="External"/><Relationship Id="rId2349" Type="http://schemas.openxmlformats.org/officeDocument/2006/relationships/hyperlink" Target="http://www.broadinstitute.org/gsea/msigdb/cards/GSE7831_UNSTIM_VS_CPG_STIM_PDC_1H_UP.html" TargetMode="External"/><Relationship Id="rId1250" Type="http://schemas.openxmlformats.org/officeDocument/2006/relationships/hyperlink" Target="http://www.broadinstitute.org/gsea/msigdb/cards/GO_REGULATION_OF_INTERLEUKIN_4_PRODUCTION.html" TargetMode="External"/><Relationship Id="rId1251" Type="http://schemas.openxmlformats.org/officeDocument/2006/relationships/hyperlink" Target="http://www.broadinstitute.org/gsea/msigdb/cards/GO_CARBOHYDRATE_BINDING.html" TargetMode="External"/><Relationship Id="rId1252" Type="http://schemas.openxmlformats.org/officeDocument/2006/relationships/hyperlink" Target="http://www.broadinstitute.org/gsea/msigdb/cards/GO_B_CELL_RECEPTOR_SIGNALING_PATHWAY.html" TargetMode="External"/><Relationship Id="rId1253" Type="http://schemas.openxmlformats.org/officeDocument/2006/relationships/hyperlink" Target="http://www.broadinstitute.org/gsea/msigdb/cards/GO_INTEGRIN_MEDIATED_SIGNALING_PATHWAY.html" TargetMode="External"/><Relationship Id="rId1254" Type="http://schemas.openxmlformats.org/officeDocument/2006/relationships/hyperlink" Target="http://www.broadinstitute.org/gsea/msigdb/cards/GO_ENDOCYTIC_VESICLE_MEMBRANE.html" TargetMode="External"/><Relationship Id="rId1255" Type="http://schemas.openxmlformats.org/officeDocument/2006/relationships/hyperlink" Target="http://www.broadinstitute.org/gsea/msigdb/cards/GO_MYELOID_LEUKOCYTE_MIGRATION.html" TargetMode="External"/><Relationship Id="rId1256" Type="http://schemas.openxmlformats.org/officeDocument/2006/relationships/hyperlink" Target="http://www.broadinstitute.org/gsea/msigdb/cards/GO_REGULATION_OF_ANATOMICAL_STRUCTURE_MORPHOGENESIS.html" TargetMode="External"/><Relationship Id="rId1257" Type="http://schemas.openxmlformats.org/officeDocument/2006/relationships/hyperlink" Target="http://www.broadinstitute.org/gsea/msigdb/cards/GO_ION_HOMEOSTASIS.html" TargetMode="External"/><Relationship Id="rId1258" Type="http://schemas.openxmlformats.org/officeDocument/2006/relationships/hyperlink" Target="http://www.broadinstitute.org/gsea/msigdb/cards/GO_ENDOSOME.html" TargetMode="External"/><Relationship Id="rId1259" Type="http://schemas.openxmlformats.org/officeDocument/2006/relationships/hyperlink" Target="http://www.broadinstitute.org/gsea/msigdb/cards/GO_REGULATION_OF_PRODUCTION_OF_MOLECULAR_MEDIATOR_OF_IMMUNE_RESPONSE.html" TargetMode="External"/><Relationship Id="rId4530" Type="http://schemas.openxmlformats.org/officeDocument/2006/relationships/hyperlink" Target="http://www.broadinstitute.org/gsea/msigdb/cards/GSE18281_CORTICAL_VS_MEDULLARY_THYMOCYTE_DN.html" TargetMode="External"/><Relationship Id="rId4531" Type="http://schemas.openxmlformats.org/officeDocument/2006/relationships/hyperlink" Target="http://www.broadinstitute.org/gsea/msigdb/cards/GSE18893_CTRL_VS_TNF_TREATED_TCONV_2H_UP.html" TargetMode="External"/><Relationship Id="rId4532" Type="http://schemas.openxmlformats.org/officeDocument/2006/relationships/hyperlink" Target="http://www.broadinstitute.org/gsea/msigdb/cards/GSE19888_CTRL_VS_A3R_ACT_TREATED_MAST_CELL_PRETREATED_WITH_A3R_INH_UP.html" TargetMode="External"/><Relationship Id="rId4533" Type="http://schemas.openxmlformats.org/officeDocument/2006/relationships/hyperlink" Target="http://www.broadinstitute.org/gsea/msigdb/cards/GSE19888_CTRL_VS_A3R_ACT_TREATED_MAST_CELL_PRETREATED_WITH_A3R_INH_DN.html" TargetMode="External"/><Relationship Id="rId4534" Type="http://schemas.openxmlformats.org/officeDocument/2006/relationships/hyperlink" Target="http://www.broadinstitute.org/gsea/msigdb/cards/GSE25890_CTRL_VS_IL33_IL7_TREATED_NUOCYTES_DN.html" TargetMode="External"/><Relationship Id="rId4535" Type="http://schemas.openxmlformats.org/officeDocument/2006/relationships/hyperlink" Target="http://www.broadinstitute.org/gsea/msigdb/cards/GSE20198_IL12_IL18_VS_IFNA_TREATED_ACT_CD4_TCELL_UP.html" TargetMode="External"/><Relationship Id="rId4536" Type="http://schemas.openxmlformats.org/officeDocument/2006/relationships/hyperlink" Target="http://www.broadinstitute.org/gsea/msigdb/cards/GSE16450_CTRL_VS_IFNA_6H_STIM_MATURE_NEURON_CELL_LINE_DN.html" TargetMode="External"/><Relationship Id="rId4537" Type="http://schemas.openxmlformats.org/officeDocument/2006/relationships/hyperlink" Target="http://www.broadinstitute.org/gsea/msigdb/cards/GSE21670_IL6_VS_TGFB_AND_IL6_TREATED_STAT3_KO_CD4_TCELL_DN.html" TargetMode="External"/><Relationship Id="rId4538" Type="http://schemas.openxmlformats.org/officeDocument/2006/relationships/hyperlink" Target="http://www.broadinstitute.org/gsea/msigdb/cards/GSE22229_RENAL_TRANSPLANT_VS_HEALTHY_PBMC_DN.html" TargetMode="External"/><Relationship Id="rId4539" Type="http://schemas.openxmlformats.org/officeDocument/2006/relationships/hyperlink" Target="http://www.broadinstitute.org/gsea/msigdb/cards/GSE22229_UNTREATED_VS_IMMUNOSUPP_THERAPY_RENAL_TRANSPLANT_PATIENT_PBMC_DN.html" TargetMode="External"/><Relationship Id="rId3440" Type="http://schemas.openxmlformats.org/officeDocument/2006/relationships/hyperlink" Target="http://www.broadinstitute.org/gsea/msigdb/cards/GSE1432_CTRL_VS_IFNG_1H_MICROGLIA_DN.html" TargetMode="External"/><Relationship Id="rId3441" Type="http://schemas.openxmlformats.org/officeDocument/2006/relationships/hyperlink" Target="http://www.broadinstitute.org/gsea/msigdb/cards/GSE1432_CTRL_VS_IFNG_24H_MICROGLIA_UP.html" TargetMode="External"/><Relationship Id="rId3442" Type="http://schemas.openxmlformats.org/officeDocument/2006/relationships/hyperlink" Target="http://www.broadinstitute.org/gsea/msigdb/cards/GSE1460_NAIVE_CD4_TCELL_ADULT_BLOOD_VS_THYMIC_STROMAL_CELL_UP.html" TargetMode="External"/><Relationship Id="rId3443" Type="http://schemas.openxmlformats.org/officeDocument/2006/relationships/hyperlink" Target="http://www.broadinstitute.org/gsea/msigdb/cards/GSE14769_UNSTIM_VS_360MIN_LPS_BMDM_DN.html" TargetMode="External"/><Relationship Id="rId3444" Type="http://schemas.openxmlformats.org/officeDocument/2006/relationships/hyperlink" Target="http://www.broadinstitute.org/gsea/msigdb/cards/GSE16755_CTRL_VS_IFNA_TREATED_MAC_UP.html" TargetMode="External"/><Relationship Id="rId3445" Type="http://schemas.openxmlformats.org/officeDocument/2006/relationships/hyperlink" Target="http://www.broadinstitute.org/gsea/msigdb/cards/GSE17580_TREG_VS_TEFF_UP.html" TargetMode="External"/><Relationship Id="rId3446" Type="http://schemas.openxmlformats.org/officeDocument/2006/relationships/hyperlink" Target="http://www.broadinstitute.org/gsea/msigdb/cards/GSE17580_UNINFECTED_VS_S_MANSONI_INF_TREG_DN.html" TargetMode="External"/><Relationship Id="rId3447" Type="http://schemas.openxmlformats.org/officeDocument/2006/relationships/hyperlink" Target="http://www.broadinstitute.org/gsea/msigdb/cards/GSE17721_POLYIC_VS_PAM3CSK4_4H_BMDC_UP.html" TargetMode="External"/><Relationship Id="rId3448" Type="http://schemas.openxmlformats.org/officeDocument/2006/relationships/hyperlink" Target="http://www.broadinstitute.org/gsea/msigdb/cards/GSE17721_POLYIC_VS_PAM3CSK4_24H_BMDC_UP.html" TargetMode="External"/><Relationship Id="rId3449" Type="http://schemas.openxmlformats.org/officeDocument/2006/relationships/hyperlink" Target="http://www.broadinstitute.org/gsea/msigdb/cards/GSE17721_PAM3CSK4_VS_CPG_12H_BMDC_DN.html" TargetMode="External"/><Relationship Id="rId740" Type="http://schemas.openxmlformats.org/officeDocument/2006/relationships/hyperlink" Target="http://www.broadinstitute.org/gsea/msigdb/cards/NIELSEN_LEIOMYOSARCOMA_UP.html" TargetMode="External"/><Relationship Id="rId741" Type="http://schemas.openxmlformats.org/officeDocument/2006/relationships/hyperlink" Target="http://www.broadinstitute.org/gsea/msigdb/cards/TORCHIA_TARGETS_OF_EWSR1_FLI1_FUSION_TOP20_DN.html" TargetMode="External"/><Relationship Id="rId742" Type="http://schemas.openxmlformats.org/officeDocument/2006/relationships/hyperlink" Target="http://www.broadinstitute.org/gsea/msigdb/cards/KEGG_APOPTOSIS.html" TargetMode="External"/><Relationship Id="rId743" Type="http://schemas.openxmlformats.org/officeDocument/2006/relationships/hyperlink" Target="http://www.broadinstitute.org/gsea/msigdb/cards/PUJANA_BRCA1_PCC_NETWORK.html" TargetMode="External"/><Relationship Id="rId744" Type="http://schemas.openxmlformats.org/officeDocument/2006/relationships/hyperlink" Target="http://www.broadinstitute.org/gsea/msigdb/cards/GOZGIT_ESR1_TARGETS_UP.html" TargetMode="External"/><Relationship Id="rId745" Type="http://schemas.openxmlformats.org/officeDocument/2006/relationships/hyperlink" Target="http://www.broadinstitute.org/gsea/msigdb/cards/PID_RAC1_REG_PATHWAY.html" TargetMode="External"/><Relationship Id="rId746" Type="http://schemas.openxmlformats.org/officeDocument/2006/relationships/hyperlink" Target="http://www.broadinstitute.org/gsea/msigdb/cards/NAKAMURA_ADIPOGENESIS_EARLY_DN.html" TargetMode="External"/><Relationship Id="rId747" Type="http://schemas.openxmlformats.org/officeDocument/2006/relationships/hyperlink" Target="http://www.broadinstitute.org/gsea/msigdb/cards/FIGUEROA_AML_METHYLATION_CLUSTER_6_DN.html" TargetMode="External"/><Relationship Id="rId748" Type="http://schemas.openxmlformats.org/officeDocument/2006/relationships/hyperlink" Target="http://www.broadinstitute.org/gsea/msigdb/cards/SWEET_KRAS_ONCOGENIC_SIGNATURE.html" TargetMode="External"/><Relationship Id="rId749" Type="http://schemas.openxmlformats.org/officeDocument/2006/relationships/hyperlink" Target="http://www.broadinstitute.org/gsea/msigdb/cards/KEGG_ENDOCYTOSIS.html" TargetMode="External"/><Relationship Id="rId1990" Type="http://schemas.openxmlformats.org/officeDocument/2006/relationships/hyperlink" Target="http://www.broadinstitute.org/gsea/msigdb/cards/GO_REGULATION_OF_COAGULATION.html" TargetMode="External"/><Relationship Id="rId1991" Type="http://schemas.openxmlformats.org/officeDocument/2006/relationships/hyperlink" Target="http://www.broadinstitute.org/gsea/msigdb/cards/GO_COLLAGEN_TRIMER.html" TargetMode="External"/><Relationship Id="rId1992" Type="http://schemas.openxmlformats.org/officeDocument/2006/relationships/hyperlink" Target="http://www.broadinstitute.org/gsea/msigdb/cards/GO_PHOSPHOLIPID_METABOLIC_PROCESS.html" TargetMode="External"/><Relationship Id="rId1993" Type="http://schemas.openxmlformats.org/officeDocument/2006/relationships/hyperlink" Target="http://www.broadinstitute.org/gsea/msigdb/cards/GO_BLOOD_VESSEL_MORPHOGENESIS.html" TargetMode="External"/><Relationship Id="rId1994" Type="http://schemas.openxmlformats.org/officeDocument/2006/relationships/hyperlink" Target="http://www.broadinstitute.org/gsea/msigdb/cards/GO_REGULATION_OF_NEURON_DEATH.html" TargetMode="External"/><Relationship Id="rId1995" Type="http://schemas.openxmlformats.org/officeDocument/2006/relationships/hyperlink" Target="http://www.broadinstitute.org/gsea/msigdb/cards/GO_PHAGOSOME_MATURATION.html" TargetMode="External"/><Relationship Id="rId1996" Type="http://schemas.openxmlformats.org/officeDocument/2006/relationships/hyperlink" Target="http://www.broadinstitute.org/gsea/msigdb/cards/GO_RESPONSE_TO_PEPTIDE.html" TargetMode="External"/><Relationship Id="rId1997" Type="http://schemas.openxmlformats.org/officeDocument/2006/relationships/hyperlink" Target="http://www.broadinstitute.org/gsea/msigdb/cards/GO_REGULATION_OF_TISSUE_REMODELING.html" TargetMode="External"/><Relationship Id="rId1998" Type="http://schemas.openxmlformats.org/officeDocument/2006/relationships/hyperlink" Target="http://www.broadinstitute.org/gsea/msigdb/cards/GO_RESPONSE_TO_HEAT.html" TargetMode="External"/><Relationship Id="rId1999" Type="http://schemas.openxmlformats.org/officeDocument/2006/relationships/hyperlink" Target="http://www.broadinstitute.org/gsea/msigdb/cards/GO_ADENYL_NUCLEOTIDE_BINDING.html" TargetMode="External"/><Relationship Id="rId2350" Type="http://schemas.openxmlformats.org/officeDocument/2006/relationships/hyperlink" Target="http://www.broadinstitute.org/gsea/msigdb/cards/GSE12392_WT_VS_IFNAR_KO_CD8A_NEG_SPLEEN_DC_UP.html" TargetMode="External"/><Relationship Id="rId2351" Type="http://schemas.openxmlformats.org/officeDocument/2006/relationships/hyperlink" Target="http://www.broadinstitute.org/gsea/msigdb/cards/GSE15735_CTRL_VS_HDAC_INHIBITOR_TREATED_CD4_TCELL_2H_DN.html" TargetMode="External"/><Relationship Id="rId2352" Type="http://schemas.openxmlformats.org/officeDocument/2006/relationships/hyperlink" Target="http://www.broadinstitute.org/gsea/msigdb/cards/GSE21546_SAP1A_KO_VS_SAP1A_KO_AND_ELK1_KO_ANTI_CD3_STIM_DP_THYMOCYTES_DN.html" TargetMode="External"/><Relationship Id="rId2353" Type="http://schemas.openxmlformats.org/officeDocument/2006/relationships/hyperlink" Target="http://www.broadinstitute.org/gsea/msigdb/cards/GSE22935_WT_VS_MYD88_KO_MACROPHAGE_48H_MBOVIS_BCG_STIM_DN.html" TargetMode="External"/><Relationship Id="rId2354" Type="http://schemas.openxmlformats.org/officeDocument/2006/relationships/hyperlink" Target="http://www.broadinstitute.org/gsea/msigdb/cards/GSE29164_UNTREATED_VS_CD8_TCELL_TREATED_MELANOMA_DAY7_UP.html" TargetMode="External"/><Relationship Id="rId2355" Type="http://schemas.openxmlformats.org/officeDocument/2006/relationships/hyperlink" Target="http://www.broadinstitute.org/gsea/msigdb/cards/GSE32164_ALTERNATIVELY_ACT_M2_VS_CMYC_INHIBITED_MACROPHAGE_UP.html" TargetMode="External"/><Relationship Id="rId2356" Type="http://schemas.openxmlformats.org/officeDocument/2006/relationships/hyperlink" Target="http://www.broadinstitute.org/gsea/msigdb/cards/GSE33424_CD161_INT_VS_NEG_CD8_TCELL_UP.html" TargetMode="External"/><Relationship Id="rId2357" Type="http://schemas.openxmlformats.org/officeDocument/2006/relationships/hyperlink" Target="http://www.broadinstitute.org/gsea/msigdb/cards/GSE26030_TH1_VS_TH17_DAY15_POST_POLARIZATION_DN.html" TargetMode="External"/><Relationship Id="rId2358" Type="http://schemas.openxmlformats.org/officeDocument/2006/relationships/hyperlink" Target="http://www.broadinstitute.org/gsea/msigdb/cards/GSE35685_CD34POS_CD10NEG_CD62LPOS_VS_CD34POS_CD10POS_BONE_MARROW_DN.html" TargetMode="External"/><Relationship Id="rId2359" Type="http://schemas.openxmlformats.org/officeDocument/2006/relationships/hyperlink" Target="http://www.broadinstitute.org/gsea/msigdb/cards/GSE40068_CXCR5NEG_BCL6NEG_CD4_TCELL_VS_CXCR5POS_BCL6NEG_TFH_DN.html" TargetMode="External"/><Relationship Id="rId1260" Type="http://schemas.openxmlformats.org/officeDocument/2006/relationships/hyperlink" Target="http://www.broadinstitute.org/gsea/msigdb/cards/GO_POSITIVE_REGULATION_OF_PROTEIN_MODIFICATION_PROCESS.html" TargetMode="External"/><Relationship Id="rId1261" Type="http://schemas.openxmlformats.org/officeDocument/2006/relationships/hyperlink" Target="http://www.broadinstitute.org/gsea/msigdb/cards/GO_POSITIVE_REGULATION_OF_B_CELL_ACTIVATION.html" TargetMode="External"/><Relationship Id="rId1262" Type="http://schemas.openxmlformats.org/officeDocument/2006/relationships/hyperlink" Target="http://www.broadinstitute.org/gsea/msigdb/cards/GO_VACUOLAR_MEMBRANE.html" TargetMode="External"/><Relationship Id="rId1263" Type="http://schemas.openxmlformats.org/officeDocument/2006/relationships/hyperlink" Target="http://www.broadinstitute.org/gsea/msigdb/cards/GO_REGULATION_OF_ALPHA_BETA_T_CELL_DIFFERENTIATION.html" TargetMode="External"/><Relationship Id="rId1264" Type="http://schemas.openxmlformats.org/officeDocument/2006/relationships/hyperlink" Target="http://www.broadinstitute.org/gsea/msigdb/cards/GO_REGULATION_OF_PROTEIN_MODIFICATION_PROCESS.html" TargetMode="External"/><Relationship Id="rId1265" Type="http://schemas.openxmlformats.org/officeDocument/2006/relationships/hyperlink" Target="http://www.broadinstitute.org/gsea/msigdb/cards/GO_POSITIVE_REGULATION_OF_RESPONSE_TO_WOUNDING.html" TargetMode="External"/><Relationship Id="rId1266" Type="http://schemas.openxmlformats.org/officeDocument/2006/relationships/hyperlink" Target="http://www.broadinstitute.org/gsea/msigdb/cards/GO_POSITIVE_REGULATION_OF_ESTABLISHMENT_OF_PROTEIN_LOCALIZATION.html" TargetMode="External"/><Relationship Id="rId1267" Type="http://schemas.openxmlformats.org/officeDocument/2006/relationships/hyperlink" Target="http://www.broadinstitute.org/gsea/msigdb/cards/GO_POSITIVE_REGULATION_OF_CELL_DIFFERENTIATION.html" TargetMode="External"/><Relationship Id="rId1268" Type="http://schemas.openxmlformats.org/officeDocument/2006/relationships/hyperlink" Target="http://www.broadinstitute.org/gsea/msigdb/cards/GO_ENDOSOMAL_PART.html" TargetMode="External"/><Relationship Id="rId1269" Type="http://schemas.openxmlformats.org/officeDocument/2006/relationships/hyperlink" Target="http://www.broadinstitute.org/gsea/msigdb/cards/GO_REGULATION_OF_CD4_POSITIVE_ALPHA_BETA_T_CELL_ACTIVATION.html" TargetMode="External"/><Relationship Id="rId4540" Type="http://schemas.openxmlformats.org/officeDocument/2006/relationships/hyperlink" Target="http://www.broadinstitute.org/gsea/msigdb/cards/GSE21546_SAP1A_KO_VS_SAP1A_KO_AND_ELK1_KO_DP_THYMOCYTES_UP.html" TargetMode="External"/><Relationship Id="rId4541" Type="http://schemas.openxmlformats.org/officeDocument/2006/relationships/hyperlink" Target="http://www.broadinstitute.org/gsea/msigdb/cards/GSE22033_UNTREATED_VS_MRL24_TREATED_MEF_DN.html" TargetMode="External"/><Relationship Id="rId4542" Type="http://schemas.openxmlformats.org/officeDocument/2006/relationships/hyperlink" Target="http://www.broadinstitute.org/gsea/msigdb/cards/GSE21033_CTRL_VS_POLYIC_STIM_DC_6H_UP.html" TargetMode="External"/><Relationship Id="rId4543" Type="http://schemas.openxmlformats.org/officeDocument/2006/relationships/hyperlink" Target="http://www.broadinstitute.org/gsea/msigdb/cards/GSE23308_WT_VS_MINERALCORTICOID_REC_KO_MACROPHAGE_CORTICOSTERONE_TREATED_UP.html" TargetMode="External"/><Relationship Id="rId4544" Type="http://schemas.openxmlformats.org/officeDocument/2006/relationships/hyperlink" Target="http://www.broadinstitute.org/gsea/msigdb/cards/GSE23308_CTRL_VS_CORTICOSTERONE_TREATED_MACROPHAGE_MINERALCORTICOID_REC_KO_UP.html" TargetMode="External"/><Relationship Id="rId4545" Type="http://schemas.openxmlformats.org/officeDocument/2006/relationships/hyperlink" Target="http://www.broadinstitute.org/gsea/msigdb/cards/GSE22935_UNSTIM_VS_12H_MBOVIS_BCG_STIM_MYD88_KO_MACROPHAGE_UP.html" TargetMode="External"/><Relationship Id="rId4546" Type="http://schemas.openxmlformats.org/officeDocument/2006/relationships/hyperlink" Target="http://www.broadinstitute.org/gsea/msigdb/cards/GSE22935_UNSTIM_VS_48H_MBOVIS_BCG_STIM_MACROPHAGE_DN.html" TargetMode="External"/><Relationship Id="rId4547" Type="http://schemas.openxmlformats.org/officeDocument/2006/relationships/hyperlink" Target="http://www.broadinstitute.org/gsea/msigdb/cards/GSE23695_CD57_POS_VS_NEG_NK_CELL_UP.html" TargetMode="External"/><Relationship Id="rId4548" Type="http://schemas.openxmlformats.org/officeDocument/2006/relationships/hyperlink" Target="http://www.broadinstitute.org/gsea/msigdb/cards/GSE22432_UNTREATED_VS_TGFB1_TREATED_COMMON_DC_PROGENITOR_UP.html" TargetMode="External"/><Relationship Id="rId4549" Type="http://schemas.openxmlformats.org/officeDocument/2006/relationships/hyperlink" Target="http://www.broadinstitute.org/gsea/msigdb/cards/GSE16385_ROSIGLITAZONE_VS_UNTREATED_IFNG_TNF_STIM_MACROPHAGE_UP.html" TargetMode="External"/><Relationship Id="rId3450" Type="http://schemas.openxmlformats.org/officeDocument/2006/relationships/hyperlink" Target="http://www.broadinstitute.org/gsea/msigdb/cards/GSE17721_LPS_VS_PAM3CSK4_2H_BMDC_UP.html" TargetMode="External"/><Relationship Id="rId3451" Type="http://schemas.openxmlformats.org/officeDocument/2006/relationships/hyperlink" Target="http://www.broadinstitute.org/gsea/msigdb/cards/GSE17721_LPS_VS_PAM3CSK4_16H_BMDC_UP.html" TargetMode="External"/><Relationship Id="rId3452" Type="http://schemas.openxmlformats.org/officeDocument/2006/relationships/hyperlink" Target="http://www.broadinstitute.org/gsea/msigdb/cards/GSE17721_PAM3CSK4_VS_GADIQUIMOD_6H_BMDC_DN.html" TargetMode="External"/><Relationship Id="rId3453" Type="http://schemas.openxmlformats.org/officeDocument/2006/relationships/hyperlink" Target="http://www.broadinstitute.org/gsea/msigdb/cards/GSE17721_LPS_VS_CPG_6H_BMDC_UP.html" TargetMode="External"/><Relationship Id="rId3454" Type="http://schemas.openxmlformats.org/officeDocument/2006/relationships/hyperlink" Target="http://www.broadinstitute.org/gsea/msigdb/cards/GSE17721_LPS_VS_CPG_24H_BMDC_DN.html" TargetMode="External"/><Relationship Id="rId3455" Type="http://schemas.openxmlformats.org/officeDocument/2006/relationships/hyperlink" Target="http://www.broadinstitute.org/gsea/msigdb/cards/GSE17721_POLYIC_VS_GARDIQUIMOD_16H_BMDC_UP.html" TargetMode="External"/><Relationship Id="rId3456" Type="http://schemas.openxmlformats.org/officeDocument/2006/relationships/hyperlink" Target="http://www.broadinstitute.org/gsea/msigdb/cards/GSE17721_LPS_VS_GARDIQUIMOD_12H_BMDC_UP.html" TargetMode="External"/><Relationship Id="rId3457" Type="http://schemas.openxmlformats.org/officeDocument/2006/relationships/hyperlink" Target="http://www.broadinstitute.org/gsea/msigdb/cards/GSE17721_LPS_VS_GARDIQUIMOD_16H_BMDC_UP.html" TargetMode="External"/><Relationship Id="rId3458" Type="http://schemas.openxmlformats.org/officeDocument/2006/relationships/hyperlink" Target="http://www.broadinstitute.org/gsea/msigdb/cards/GSE17721_0.5H_VS_8H_LPS_BMDC_DN.html" TargetMode="External"/><Relationship Id="rId3459" Type="http://schemas.openxmlformats.org/officeDocument/2006/relationships/hyperlink" Target="http://www.broadinstitute.org/gsea/msigdb/cards/GSE17721_12H_VS_24H_LPS_BMDC_UP.html" TargetMode="External"/><Relationship Id="rId750" Type="http://schemas.openxmlformats.org/officeDocument/2006/relationships/hyperlink" Target="http://www.broadinstitute.org/gsea/msigdb/cards/ZHONG_RESPONSE_TO_AZACITIDINE_AND_TSA_UP.html" TargetMode="External"/><Relationship Id="rId751" Type="http://schemas.openxmlformats.org/officeDocument/2006/relationships/hyperlink" Target="http://www.broadinstitute.org/gsea/msigdb/cards/BIOCARTA_TID_PATHWAY.html" TargetMode="External"/><Relationship Id="rId752" Type="http://schemas.openxmlformats.org/officeDocument/2006/relationships/hyperlink" Target="http://www.broadinstitute.org/gsea/msigdb/cards/BIOCARTA_COMP_PATHWAY.html" TargetMode="External"/><Relationship Id="rId753" Type="http://schemas.openxmlformats.org/officeDocument/2006/relationships/hyperlink" Target="http://www.broadinstitute.org/gsea/msigdb/cards/SA_CASPASE_CASCADE.html" TargetMode="External"/><Relationship Id="rId754" Type="http://schemas.openxmlformats.org/officeDocument/2006/relationships/hyperlink" Target="http://www.broadinstitute.org/gsea/msigdb/cards/HAHTOLA_MYCOSIS_FUNGOIDES_UP.html" TargetMode="External"/><Relationship Id="rId755" Type="http://schemas.openxmlformats.org/officeDocument/2006/relationships/hyperlink" Target="http://www.broadinstitute.org/gsea/msigdb/cards/OUYANG_PROSTATE_CANCER_MARKERS.html" TargetMode="External"/><Relationship Id="rId756" Type="http://schemas.openxmlformats.org/officeDocument/2006/relationships/hyperlink" Target="http://www.broadinstitute.org/gsea/msigdb/cards/GENTLES_LEUKEMIC_STEM_CELL_DN.html" TargetMode="External"/><Relationship Id="rId757" Type="http://schemas.openxmlformats.org/officeDocument/2006/relationships/hyperlink" Target="http://www.broadinstitute.org/gsea/msigdb/cards/BILBAN_B_CLL_LPL_UP.html" TargetMode="External"/><Relationship Id="rId758" Type="http://schemas.openxmlformats.org/officeDocument/2006/relationships/hyperlink" Target="http://www.broadinstitute.org/gsea/msigdb/cards/KYNG_DNA_DAMAGE_BY_4NQO_OR_UV.html" TargetMode="External"/><Relationship Id="rId759" Type="http://schemas.openxmlformats.org/officeDocument/2006/relationships/hyperlink" Target="http://www.broadinstitute.org/gsea/msigdb/cards/CASORELLI_APL_SECONDARY_VS_DE_NOVO_UP.html" TargetMode="External"/><Relationship Id="rId2360" Type="http://schemas.openxmlformats.org/officeDocument/2006/relationships/hyperlink" Target="http://www.broadinstitute.org/gsea/msigdb/cards/GSE28737_WT_VS_BCL6_HET_FOLLICULAR_BCELL_DN.html" TargetMode="External"/><Relationship Id="rId2361" Type="http://schemas.openxmlformats.org/officeDocument/2006/relationships/hyperlink" Target="http://www.broadinstitute.org/gsea/msigdb/cards/GSE39556_UNTREATED_VS_3H_POLYIC_INJ_MOUSE_CD8A_DC_UP.html" TargetMode="External"/><Relationship Id="rId2362" Type="http://schemas.openxmlformats.org/officeDocument/2006/relationships/hyperlink" Target="http://www.broadinstitute.org/gsea/msigdb/cards/GSE41867_DAY6_EFFECTOR_VS_DAY30_EXHAUSTED_CD8_TCELL_LCMV_CLONE13_UP.html" TargetMode="External"/><Relationship Id="rId2363" Type="http://schemas.openxmlformats.org/officeDocument/2006/relationships/hyperlink" Target="http://www.broadinstitute.org/gsea/msigdb/cards/GSE46606_IRF4_KO_VS_WT_UNSTIM_BCELL_DN.html" TargetMode="External"/><Relationship Id="rId2364" Type="http://schemas.openxmlformats.org/officeDocument/2006/relationships/hyperlink" Target="http://www.broadinstitute.org/gsea/msigdb/cards/GSE7219_WT_VS_NIK_NFKB2_KO_DC_DN.html" TargetMode="External"/><Relationship Id="rId2365" Type="http://schemas.openxmlformats.org/officeDocument/2006/relationships/hyperlink" Target="http://www.broadinstitute.org/gsea/msigdb/cards/GSE40274_CTRL_VS_XBP1_TRANSDUCED_ACTIVATED_CD4_TCELL_UP.html" TargetMode="External"/><Relationship Id="rId2366" Type="http://schemas.openxmlformats.org/officeDocument/2006/relationships/hyperlink" Target="http://www.broadinstitute.org/gsea/msigdb/cards/GSE40274_CTRL_VS_FOXP3_AND_GATA1_TRANSDUCED_ACTIVATED_CD4_TCELL_UP.html" TargetMode="External"/><Relationship Id="rId2367" Type="http://schemas.openxmlformats.org/officeDocument/2006/relationships/hyperlink" Target="http://www.broadinstitute.org/gsea/msigdb/cards/GSE21033_CTRL_VS_POLYIC_STIM_DC_12H_UP.html" TargetMode="External"/><Relationship Id="rId2368" Type="http://schemas.openxmlformats.org/officeDocument/2006/relationships/hyperlink" Target="http://www.broadinstitute.org/gsea/msigdb/cards/GSE21360_SECONDARY_VS_QUATERNARY_MEMORY_CD8_TCELL_UP.html" TargetMode="External"/><Relationship Id="rId2369" Type="http://schemas.openxmlformats.org/officeDocument/2006/relationships/hyperlink" Target="http://www.broadinstitute.org/gsea/msigdb/cards/GSE40274_CTRL_VS_GATA1_TRANSDUCED_ACTIVATED_CD4_TCELL_UP.html" TargetMode="External"/><Relationship Id="rId1270" Type="http://schemas.openxmlformats.org/officeDocument/2006/relationships/hyperlink" Target="http://www.broadinstitute.org/gsea/msigdb/cards/GO_IDENTICAL_PROTEIN_BINDING.html" TargetMode="External"/><Relationship Id="rId1271" Type="http://schemas.openxmlformats.org/officeDocument/2006/relationships/hyperlink" Target="http://www.broadinstitute.org/gsea/msigdb/cards/GO_CELL_PROLIFERATION.html" TargetMode="External"/><Relationship Id="rId1272" Type="http://schemas.openxmlformats.org/officeDocument/2006/relationships/hyperlink" Target="http://www.broadinstitute.org/gsea/msigdb/cards/GO_REGULATION_OF_GRANULOCYTE_CHEMOTAXIS.html" TargetMode="External"/><Relationship Id="rId1273" Type="http://schemas.openxmlformats.org/officeDocument/2006/relationships/hyperlink" Target="http://www.broadinstitute.org/gsea/msigdb/cards/GO_POSITIVE_REGULATION_OF_CELL_KILLING.html" TargetMode="External"/><Relationship Id="rId1274" Type="http://schemas.openxmlformats.org/officeDocument/2006/relationships/hyperlink" Target="http://www.broadinstitute.org/gsea/msigdb/cards/GO_MACROMOLECULAR_COMPLEX_BINDING.html" TargetMode="External"/><Relationship Id="rId1275" Type="http://schemas.openxmlformats.org/officeDocument/2006/relationships/hyperlink" Target="http://www.broadinstitute.org/gsea/msigdb/cards/GO_REGULATION_OF_T_CELL_MEDIATED_IMMUNITY.html" TargetMode="External"/><Relationship Id="rId1276" Type="http://schemas.openxmlformats.org/officeDocument/2006/relationships/hyperlink" Target="http://www.broadinstitute.org/gsea/msigdb/cards/GO_REGULATION_OF_RESPONSE_TO_BIOTIC_STIMULUS.html" TargetMode="External"/><Relationship Id="rId1277" Type="http://schemas.openxmlformats.org/officeDocument/2006/relationships/hyperlink" Target="http://www.broadinstitute.org/gsea/msigdb/cards/GO_DEFENSE_RESPONSE_TO_BACTERIUM.html" TargetMode="External"/><Relationship Id="rId1278" Type="http://schemas.openxmlformats.org/officeDocument/2006/relationships/hyperlink" Target="http://www.broadinstitute.org/gsea/msigdb/cards/GO_CHEMICAL_HOMEOSTASIS.html" TargetMode="External"/><Relationship Id="rId1279" Type="http://schemas.openxmlformats.org/officeDocument/2006/relationships/hyperlink" Target="http://www.broadinstitute.org/gsea/msigdb/cards/GO_WOUND_HEALING.html" TargetMode="External"/><Relationship Id="rId4550" Type="http://schemas.openxmlformats.org/officeDocument/2006/relationships/hyperlink" Target="http://www.broadinstitute.org/gsea/msigdb/cards/GSE16385_MONOCYTE_VS_12H_IL4_TREATED_MACROPHAGE_UP.html" TargetMode="External"/><Relationship Id="rId4551" Type="http://schemas.openxmlformats.org/officeDocument/2006/relationships/hyperlink" Target="http://www.broadinstitute.org/gsea/msigdb/cards/GSE16385_UNTREATED_VS_12H_ROSIGLITAZONE_IL4_TREATED_MACROPHAGE_UP.html" TargetMode="External"/><Relationship Id="rId4552" Type="http://schemas.openxmlformats.org/officeDocument/2006/relationships/hyperlink" Target="http://www.broadinstitute.org/gsea/msigdb/cards/GSE16385_UNTREATED_VS_12H_IFNG_TNF_TREATED_MACROPHAGE_DN.html" TargetMode="External"/><Relationship Id="rId4553" Type="http://schemas.openxmlformats.org/officeDocument/2006/relationships/hyperlink" Target="http://www.broadinstitute.org/gsea/msigdb/cards/GSE16385_IFNG_TNF_VS_UNSTIM_MACROPHAGE_ROSIGLITAZONE_TREATED_UP.html" TargetMode="External"/><Relationship Id="rId4554" Type="http://schemas.openxmlformats.org/officeDocument/2006/relationships/hyperlink" Target="http://www.broadinstitute.org/gsea/msigdb/cards/GSE16385_ROSIGLITAZONE_IL4_VS_IFNG_TNF_STIM_MACROPHAGE_DN.html" TargetMode="External"/><Relationship Id="rId4555" Type="http://schemas.openxmlformats.org/officeDocument/2006/relationships/hyperlink" Target="http://www.broadinstitute.org/gsea/msigdb/cards/GSE17301_ACD3_ACD28_VS_ACD3_ACD28_AND_IFNA2_STIM_CD8_TCELL_UP.html" TargetMode="External"/><Relationship Id="rId4556" Type="http://schemas.openxmlformats.org/officeDocument/2006/relationships/hyperlink" Target="http://www.broadinstitute.org/gsea/msigdb/cards/GSE23984_CTRL_VS_HYPOCALEMIC_VITAMIND_ANALOG_TCELL_UP.html" TargetMode="External"/><Relationship Id="rId4557" Type="http://schemas.openxmlformats.org/officeDocument/2006/relationships/hyperlink" Target="http://www.broadinstitute.org/gsea/msigdb/cards/GSE19941_UNSTIM_VS_LPS_AND_IL10_STIM_IL10_KO_NFKBP50_KO_MACROPHAGE_UP.html" TargetMode="External"/><Relationship Id="rId4558" Type="http://schemas.openxmlformats.org/officeDocument/2006/relationships/hyperlink" Target="http://www.broadinstitute.org/gsea/msigdb/cards/GSE22611_UNSTIM_VS_6H_MDP_STIM_MUTANT_NOD2_TRANSDUCED_HEK293T_CELL_UP.html" TargetMode="External"/><Relationship Id="rId4559" Type="http://schemas.openxmlformats.org/officeDocument/2006/relationships/hyperlink" Target="http://www.broadinstitute.org/gsea/msigdb/cards/GSE27241_CTRL_VS_DIGOXIN_TREATED_RORGT_KO_CD4_TCELL_IN_TH17_POLARIZING_CONDITIONS_UP.html" TargetMode="External"/><Relationship Id="rId3460" Type="http://schemas.openxmlformats.org/officeDocument/2006/relationships/hyperlink" Target="http://www.broadinstitute.org/gsea/msigdb/cards/GSE17721_0.5H_VS_24H_POLYIC_BMDC_DN.html" TargetMode="External"/><Relationship Id="rId3461" Type="http://schemas.openxmlformats.org/officeDocument/2006/relationships/hyperlink" Target="http://www.broadinstitute.org/gsea/msigdb/cards/GSE17721_0.5H_VS_12H_PAM3CSK4_BMDC_UP.html" TargetMode="External"/><Relationship Id="rId3462" Type="http://schemas.openxmlformats.org/officeDocument/2006/relationships/hyperlink" Target="http://www.broadinstitute.org/gsea/msigdb/cards/GSE17721_12H_VS_24H_PAM3CSK4_BMDC_UP.html" TargetMode="External"/><Relationship Id="rId3463" Type="http://schemas.openxmlformats.org/officeDocument/2006/relationships/hyperlink" Target="http://www.broadinstitute.org/gsea/msigdb/cards/GSE17721_12H_VS_24H_PAM3CSK4_BMDC_DN.html" TargetMode="External"/><Relationship Id="rId3464" Type="http://schemas.openxmlformats.org/officeDocument/2006/relationships/hyperlink" Target="http://www.broadinstitute.org/gsea/msigdb/cards/GSE17721_12H_VS_24H_CPG_BMDC_UP.html" TargetMode="External"/><Relationship Id="rId3465" Type="http://schemas.openxmlformats.org/officeDocument/2006/relationships/hyperlink" Target="http://www.broadinstitute.org/gsea/msigdb/cards/GSE17974_0H_VS_1H_IN_VITRO_ACT_CD4_TCELL_DN.html" TargetMode="External"/><Relationship Id="rId3466" Type="http://schemas.openxmlformats.org/officeDocument/2006/relationships/hyperlink" Target="http://www.broadinstitute.org/gsea/msigdb/cards/GSE17974_CTRL_VS_ACT_IL4_AND_ANTI_IL12_0.5H_CD4_TCELL_UP.html" TargetMode="External"/><Relationship Id="rId3467" Type="http://schemas.openxmlformats.org/officeDocument/2006/relationships/hyperlink" Target="http://www.broadinstitute.org/gsea/msigdb/cards/GSE17974_CTRL_VS_ACT_IL4_AND_ANTI_IL12_24H_CD4_TCELL_UP.html" TargetMode="External"/><Relationship Id="rId3468" Type="http://schemas.openxmlformats.org/officeDocument/2006/relationships/hyperlink" Target="http://www.broadinstitute.org/gsea/msigdb/cards/GSE20366_EX_VIVO_VS_HOMEOSTATIC_CONVERSION_NAIVE_CD4_TCELL_DN.html" TargetMode="External"/><Relationship Id="rId3469" Type="http://schemas.openxmlformats.org/officeDocument/2006/relationships/hyperlink" Target="http://www.broadinstitute.org/gsea/msigdb/cards/GSE20366_CD103_KLRG1_DP_VS_DN_TREG_DN.html" TargetMode="External"/><Relationship Id="rId760" Type="http://schemas.openxmlformats.org/officeDocument/2006/relationships/hyperlink" Target="http://www.broadinstitute.org/gsea/msigdb/cards/ZHU_CMV_ALL_UP.html" TargetMode="External"/><Relationship Id="rId761" Type="http://schemas.openxmlformats.org/officeDocument/2006/relationships/hyperlink" Target="http://www.broadinstitute.org/gsea/msigdb/cards/HAN_JNK_SINGALING_DN.html" TargetMode="External"/><Relationship Id="rId762" Type="http://schemas.openxmlformats.org/officeDocument/2006/relationships/hyperlink" Target="http://www.broadinstitute.org/gsea/msigdb/cards/BROWNE_HCMV_INFECTION_2HR_UP.html" TargetMode="External"/><Relationship Id="rId763" Type="http://schemas.openxmlformats.org/officeDocument/2006/relationships/hyperlink" Target="http://www.broadinstitute.org/gsea/msigdb/cards/AZARE_NEOPLASTIC_TRANSFORMATION_BY_STAT3_UP.html" TargetMode="External"/><Relationship Id="rId764" Type="http://schemas.openxmlformats.org/officeDocument/2006/relationships/hyperlink" Target="http://www.broadinstitute.org/gsea/msigdb/cards/PETROVA_PROX1_TARGETS_DN.html" TargetMode="External"/><Relationship Id="rId765" Type="http://schemas.openxmlformats.org/officeDocument/2006/relationships/hyperlink" Target="http://www.broadinstitute.org/gsea/msigdb/cards/YOSHIOKA_LIVER_CANCER_EARLY_RECURRENCE_UP.html" TargetMode="External"/><Relationship Id="rId766" Type="http://schemas.openxmlformats.org/officeDocument/2006/relationships/hyperlink" Target="http://www.broadinstitute.org/gsea/msigdb/cards/BIOCARTA_CCR5_PATHWAY.html" TargetMode="External"/><Relationship Id="rId767" Type="http://schemas.openxmlformats.org/officeDocument/2006/relationships/hyperlink" Target="http://www.broadinstitute.org/gsea/msigdb/cards/LIU_TARGETS_OF_VMYB_VS_CMYB_UP.html" TargetMode="External"/><Relationship Id="rId768" Type="http://schemas.openxmlformats.org/officeDocument/2006/relationships/hyperlink" Target="http://www.broadinstitute.org/gsea/msigdb/cards/MAHADEVAN_RESPONSE_TO_MP470_UP.html" TargetMode="External"/><Relationship Id="rId769" Type="http://schemas.openxmlformats.org/officeDocument/2006/relationships/hyperlink" Target="http://www.broadinstitute.org/gsea/msigdb/cards/TORCHIA_TARGETS_OF_EWSR1_FLI1_FUSION_TOP20_UP.html" TargetMode="External"/><Relationship Id="rId2370" Type="http://schemas.openxmlformats.org/officeDocument/2006/relationships/hyperlink" Target="http://www.broadinstitute.org/gsea/msigdb/cards/GOLDRATH_NAIVE_VS_EFF_CD8_TCELL_DN.html" TargetMode="External"/><Relationship Id="rId2371" Type="http://schemas.openxmlformats.org/officeDocument/2006/relationships/hyperlink" Target="http://www.broadinstitute.org/gsea/msigdb/cards/GSE20366_TREG_VS_NAIVE_CD4_TCELL_DEC205_CONVERSION_UP.html" TargetMode="External"/><Relationship Id="rId2372" Type="http://schemas.openxmlformats.org/officeDocument/2006/relationships/hyperlink" Target="http://www.broadinstitute.org/gsea/msigdb/cards/GSE24026_PD1_LIGATION_VS_CTRL_IN_ACT_TCELL_LINE_UP.html" TargetMode="External"/><Relationship Id="rId2373" Type="http://schemas.openxmlformats.org/officeDocument/2006/relationships/hyperlink" Target="http://www.broadinstitute.org/gsea/msigdb/cards/GSE29618_BCELL_VS_MDC_DAY7_FLU_VACCINE_DN.html" TargetMode="External"/><Relationship Id="rId2374" Type="http://schemas.openxmlformats.org/officeDocument/2006/relationships/hyperlink" Target="http://www.broadinstitute.org/gsea/msigdb/cards/GSE30962_PRIMARY_VS_SECONDARY_CHRONIC_LCMV_INF_CD8_TCELL_DN.html" TargetMode="External"/><Relationship Id="rId2375" Type="http://schemas.openxmlformats.org/officeDocument/2006/relationships/hyperlink" Target="http://www.broadinstitute.org/gsea/msigdb/cards/GSE34205_RSV_VS_FLU_INF_INFANT_PBMC_DN.html" TargetMode="External"/><Relationship Id="rId2376" Type="http://schemas.openxmlformats.org/officeDocument/2006/relationships/hyperlink" Target="http://www.broadinstitute.org/gsea/msigdb/cards/GSE3982_BCELL_VS_CENT_MEMORY_CD4_TCELL_UP.html" TargetMode="External"/><Relationship Id="rId2377" Type="http://schemas.openxmlformats.org/officeDocument/2006/relationships/hyperlink" Target="http://www.broadinstitute.org/gsea/msigdb/cards/GSE9650_NAIVE_VS_EFF_CD8_TCELL_DN.html" TargetMode="External"/><Relationship Id="rId2378" Type="http://schemas.openxmlformats.org/officeDocument/2006/relationships/hyperlink" Target="http://www.broadinstitute.org/gsea/msigdb/cards/GSE8921_UNSTIM_VS_TLR1_2_STIM_MONOCYTE_24H_UP.html" TargetMode="External"/><Relationship Id="rId2379" Type="http://schemas.openxmlformats.org/officeDocument/2006/relationships/hyperlink" Target="http://www.broadinstitute.org/gsea/msigdb/cards/GSE17186_MEMORY_VS_CD21HIGH_TRANSITIONAL_BCELL_DN.html" TargetMode="External"/><Relationship Id="rId1280" Type="http://schemas.openxmlformats.org/officeDocument/2006/relationships/hyperlink" Target="http://www.broadinstitute.org/gsea/msigdb/cards/GO_INTRACELLULAR_VESICLE.html" TargetMode="External"/><Relationship Id="rId1281" Type="http://schemas.openxmlformats.org/officeDocument/2006/relationships/hyperlink" Target="http://www.broadinstitute.org/gsea/msigdb/cards/GO_RESPONSE_TO_PROTOZOAN.html" TargetMode="External"/><Relationship Id="rId1282" Type="http://schemas.openxmlformats.org/officeDocument/2006/relationships/hyperlink" Target="http://www.broadinstitute.org/gsea/msigdb/cards/GO_PROTEIN_PHOSPHORYLATION.html" TargetMode="External"/><Relationship Id="rId1283" Type="http://schemas.openxmlformats.org/officeDocument/2006/relationships/hyperlink" Target="http://www.broadinstitute.org/gsea/msigdb/cards/GO_HEMOSTASIS.html" TargetMode="External"/><Relationship Id="rId1284" Type="http://schemas.openxmlformats.org/officeDocument/2006/relationships/hyperlink" Target="http://www.broadinstitute.org/gsea/msigdb/cards/GO_PHOSPHORYLATION.html" TargetMode="External"/><Relationship Id="rId1285" Type="http://schemas.openxmlformats.org/officeDocument/2006/relationships/hyperlink" Target="http://www.broadinstitute.org/gsea/msigdb/cards/GO_EXTRACELLULAR_SPACE.html" TargetMode="External"/><Relationship Id="rId1286" Type="http://schemas.openxmlformats.org/officeDocument/2006/relationships/hyperlink" Target="http://www.broadinstitute.org/gsea/msigdb/cards/GO_REGULATION_OF_HOMEOSTATIC_PROCESS.html" TargetMode="External"/><Relationship Id="rId1287" Type="http://schemas.openxmlformats.org/officeDocument/2006/relationships/hyperlink" Target="http://www.broadinstitute.org/gsea/msigdb/cards/GO_CYTOKINE_ACTIVITY.html" TargetMode="External"/><Relationship Id="rId1288" Type="http://schemas.openxmlformats.org/officeDocument/2006/relationships/hyperlink" Target="http://www.broadinstitute.org/gsea/msigdb/cards/GO_POSITIVE_REGULATION_OF_BIOSYNTHETIC_PROCESS.html" TargetMode="External"/><Relationship Id="rId1289" Type="http://schemas.openxmlformats.org/officeDocument/2006/relationships/hyperlink" Target="http://www.broadinstitute.org/gsea/msigdb/cards/GO_NEGATIVE_T_CELL_SELECTION.html" TargetMode="External"/><Relationship Id="rId4560" Type="http://schemas.openxmlformats.org/officeDocument/2006/relationships/hyperlink" Target="http://www.broadinstitute.org/gsea/msigdb/cards/GSE27241_WT_CTRL_VS_DIGOXIN_TREATED_RORGT_KO_CD4_TCELL_IN_TH17_POLARIZING_CONDITIONS_DN.html" TargetMode="External"/><Relationship Id="rId4561" Type="http://schemas.openxmlformats.org/officeDocument/2006/relationships/hyperlink" Target="http://www.broadinstitute.org/gsea/msigdb/cards/GSE21063_3H_VS_16H_ANTI_IGM_STIM_BCELL_UP.html" TargetMode="External"/><Relationship Id="rId4562" Type="http://schemas.openxmlformats.org/officeDocument/2006/relationships/hyperlink" Target="http://www.broadinstitute.org/gsea/msigdb/cards/GSE21063_CTRL_VS_ANTI_IGM_STIM_BCELL_NFATC1_KO_3H_DN.html" TargetMode="External"/><Relationship Id="rId4563" Type="http://schemas.openxmlformats.org/officeDocument/2006/relationships/hyperlink" Target="http://www.broadinstitute.org/gsea/msigdb/cards/GSE28726_NAIVE_VS_ACTIVATED_VA24NEG_NKTCELL_DN.html" TargetMode="External"/><Relationship Id="rId4564" Type="http://schemas.openxmlformats.org/officeDocument/2006/relationships/hyperlink" Target="http://www.broadinstitute.org/gsea/msigdb/cards/GSE28726_ACT_CD4_TCELL_VS_ACT_NKTCELL_DN.html" TargetMode="External"/><Relationship Id="rId4565" Type="http://schemas.openxmlformats.org/officeDocument/2006/relationships/hyperlink" Target="http://www.broadinstitute.org/gsea/msigdb/cards/GSE28726_NAIVE_VS_ACTIVATED_CD4_TCELL_DN.html" TargetMode="External"/><Relationship Id="rId4566" Type="http://schemas.openxmlformats.org/officeDocument/2006/relationships/hyperlink" Target="http://www.broadinstitute.org/gsea/msigdb/cards/GSE24574_NAIVE_VS_TCONV_CD4_TCELL_UP.html" TargetMode="External"/><Relationship Id="rId4567" Type="http://schemas.openxmlformats.org/officeDocument/2006/relationships/hyperlink" Target="http://www.broadinstitute.org/gsea/msigdb/cards/GSE24574_BCL6_LOW_TFH_VS_NAIVE_CD4_TCELL_UP.html" TargetMode="External"/><Relationship Id="rId4568" Type="http://schemas.openxmlformats.org/officeDocument/2006/relationships/hyperlink" Target="http://www.broadinstitute.org/gsea/msigdb/cards/GSE28783_CTRL_ANTI_MIR_VS_UNTREATED_ATHEROSCLEROSIS_MACROPHAGE_UP.html" TargetMode="External"/><Relationship Id="rId4569" Type="http://schemas.openxmlformats.org/officeDocument/2006/relationships/hyperlink" Target="http://www.broadinstitute.org/gsea/msigdb/cards/GSE24814_STAT5_KO_VS_WT_PRE_BCELL_UP.html" TargetMode="External"/><Relationship Id="rId3470" Type="http://schemas.openxmlformats.org/officeDocument/2006/relationships/hyperlink" Target="http://www.broadinstitute.org/gsea/msigdb/cards/GSE20366_CD103_POS_VS_CD103_KLRG1_DP_TREG_DN.html" TargetMode="External"/><Relationship Id="rId3471" Type="http://schemas.openxmlformats.org/officeDocument/2006/relationships/hyperlink" Target="http://www.broadinstitute.org/gsea/msigdb/cards/GSE20366_TREG_VS_NAIVE_CD4_TCELL_UP.html" TargetMode="External"/><Relationship Id="rId3472" Type="http://schemas.openxmlformats.org/officeDocument/2006/relationships/hyperlink" Target="http://www.broadinstitute.org/gsea/msigdb/cards/GSE20715_WT_VS_TLR4_KO_6H_OZONE_LUNG_UP.html" TargetMode="External"/><Relationship Id="rId3473" Type="http://schemas.openxmlformats.org/officeDocument/2006/relationships/hyperlink" Target="http://www.broadinstitute.org/gsea/msigdb/cards/GSE22886_IGM_MEMORY_BCELL_VS_BLOOD_PLASMA_CELL_UP.html" TargetMode="External"/><Relationship Id="rId3474" Type="http://schemas.openxmlformats.org/officeDocument/2006/relationships/hyperlink" Target="http://www.broadinstitute.org/gsea/msigdb/cards/GSE24142_ADULT_VS_FETAL_EARLY_THYMIC_PROGENITOR_UP.html" TargetMode="External"/><Relationship Id="rId3475" Type="http://schemas.openxmlformats.org/officeDocument/2006/relationships/hyperlink" Target="http://www.broadinstitute.org/gsea/msigdb/cards/GSE24142_ADULT_VS_FETAL_DN2_THYMOCYTE_UP.html" TargetMode="External"/><Relationship Id="rId3476" Type="http://schemas.openxmlformats.org/officeDocument/2006/relationships/hyperlink" Target="http://www.broadinstitute.org/gsea/msigdb/cards/GSE26495_PD1HIGH_VS_PD1LOW_CD8_TCELL_UP.html" TargetMode="External"/><Relationship Id="rId3477" Type="http://schemas.openxmlformats.org/officeDocument/2006/relationships/hyperlink" Target="http://www.broadinstitute.org/gsea/msigdb/cards/GSE2706_2H_VS_8H_R848_STIM_DC_UP.html" TargetMode="External"/><Relationship Id="rId3478" Type="http://schemas.openxmlformats.org/officeDocument/2006/relationships/hyperlink" Target="http://www.broadinstitute.org/gsea/msigdb/cards/GSE2706_2H_VS_8H_R848_AND_LPS_STIM_DC_DN.html" TargetMode="External"/><Relationship Id="rId3479" Type="http://schemas.openxmlformats.org/officeDocument/2006/relationships/hyperlink" Target="http://www.broadinstitute.org/gsea/msigdb/cards/GSE27786_BCELL_VS_CD4_TCELL_DN.html" TargetMode="External"/><Relationship Id="rId770" Type="http://schemas.openxmlformats.org/officeDocument/2006/relationships/hyperlink" Target="http://www.broadinstitute.org/gsea/msigdb/cards/GOLDRATH_IMMUNE_MEMORY.html" TargetMode="External"/><Relationship Id="rId771" Type="http://schemas.openxmlformats.org/officeDocument/2006/relationships/hyperlink" Target="http://www.broadinstitute.org/gsea/msigdb/cards/WANG_RESPONSE_TO_GSK3_INHIBITOR_SB216763_DN.html" TargetMode="External"/><Relationship Id="rId772" Type="http://schemas.openxmlformats.org/officeDocument/2006/relationships/hyperlink" Target="http://www.broadinstitute.org/gsea/msigdb/cards/CADWELL_ATG16L1_TARGETS_UP.html" TargetMode="External"/><Relationship Id="rId773" Type="http://schemas.openxmlformats.org/officeDocument/2006/relationships/hyperlink" Target="http://www.broadinstitute.org/gsea/msigdb/cards/BIOCARTA_FCER1_PATHWAY.html" TargetMode="External"/><Relationship Id="rId774" Type="http://schemas.openxmlformats.org/officeDocument/2006/relationships/hyperlink" Target="http://www.broadinstitute.org/gsea/msigdb/cards/FLECHNER_PBL_KIDNEY_TRANSPLANT_OK_VS_DONOR_DN.html" TargetMode="External"/><Relationship Id="rId775" Type="http://schemas.openxmlformats.org/officeDocument/2006/relationships/hyperlink" Target="http://www.broadinstitute.org/gsea/msigdb/cards/SHETH_LIVER_CANCER_VS_TXNIP_LOSS_PAM5.html" TargetMode="External"/><Relationship Id="rId776" Type="http://schemas.openxmlformats.org/officeDocument/2006/relationships/hyperlink" Target="http://www.broadinstitute.org/gsea/msigdb/cards/TAKEDA_TARGETS_OF_NUP98_HOXA9_FUSION_8D_UP.html" TargetMode="External"/><Relationship Id="rId777" Type="http://schemas.openxmlformats.org/officeDocument/2006/relationships/hyperlink" Target="http://www.broadinstitute.org/gsea/msigdb/cards/KEGG_ALDOSTERONE_REGULATED_SODIUM_REABSORPTION.html" TargetMode="External"/><Relationship Id="rId778" Type="http://schemas.openxmlformats.org/officeDocument/2006/relationships/hyperlink" Target="http://www.broadinstitute.org/gsea/msigdb/cards/REACTOME_ADP_SIGNALLING_THROUGH_P2RY12.html" TargetMode="External"/><Relationship Id="rId779" Type="http://schemas.openxmlformats.org/officeDocument/2006/relationships/hyperlink" Target="http://www.broadinstitute.org/gsea/msigdb/cards/BILBAN_B_CLL_LPL_DN.html" TargetMode="External"/><Relationship Id="rId2380" Type="http://schemas.openxmlformats.org/officeDocument/2006/relationships/hyperlink" Target="http://www.broadinstitute.org/gsea/msigdb/cards/GSE19401_UNSTIM_VS_RETINOIC_ACID_AND_PAM2CSK4_STIM_FOLLICULAR_DC_DN.html" TargetMode="External"/><Relationship Id="rId2381" Type="http://schemas.openxmlformats.org/officeDocument/2006/relationships/hyperlink" Target="http://www.broadinstitute.org/gsea/msigdb/cards/GSE27670_BLIMP1_VS_LMP1_TRANSDUCED_GC_BCELL_UP.html" TargetMode="External"/><Relationship Id="rId2382" Type="http://schemas.openxmlformats.org/officeDocument/2006/relationships/hyperlink" Target="http://www.broadinstitute.org/gsea/msigdb/cards/GSE32164_RESTING_DIFFERENTIATED_VS_ALTERNATIVELY_ACT_M2_MACROPHAGE_DN.html" TargetMode="External"/><Relationship Id="rId2383" Type="http://schemas.openxmlformats.org/officeDocument/2006/relationships/hyperlink" Target="http://www.broadinstitute.org/gsea/msigdb/cards/GSE40274_XBP1_VS_FOXP3_AND_XBP1_TRANSDUCED_ACTIVATED_CD4_TCELL_UP.html" TargetMode="External"/><Relationship Id="rId2384" Type="http://schemas.openxmlformats.org/officeDocument/2006/relationships/hyperlink" Target="http://www.broadinstitute.org/gsea/msigdb/cards/GSE41867_DAY15_EFFECTOR_VS_DAY30_EXHAUSTED_CD8_TCELL_LCMV_CLONE13_UP.html" TargetMode="External"/><Relationship Id="rId2385" Type="http://schemas.openxmlformats.org/officeDocument/2006/relationships/hyperlink" Target="http://www.broadinstitute.org/gsea/msigdb/cards/GSE42088_UNINF_VS_LEISHMANIA_INF_DC_24H_UP.html" TargetMode="External"/><Relationship Id="rId2386" Type="http://schemas.openxmlformats.org/officeDocument/2006/relationships/hyperlink" Target="http://www.broadinstitute.org/gsea/msigdb/cards/GSE18804_SPLEEN_MACROPHAGE_VS_COLON_TUMORAL_MACROPHAGE_UP.html" TargetMode="External"/><Relationship Id="rId2387" Type="http://schemas.openxmlformats.org/officeDocument/2006/relationships/hyperlink" Target="http://www.broadinstitute.org/gsea/msigdb/cards/GSE7219_WT_VS_NIK_NFKB2_KO_DC_UP.html" TargetMode="External"/><Relationship Id="rId2388" Type="http://schemas.openxmlformats.org/officeDocument/2006/relationships/hyperlink" Target="http://www.broadinstitute.org/gsea/msigdb/cards/GSE6259_FLT3L_INDUCED_DEC205_POS_DC_VS_CD8_TCELL_DN.html" TargetMode="External"/><Relationship Id="rId2389" Type="http://schemas.openxmlformats.org/officeDocument/2006/relationships/hyperlink" Target="http://www.broadinstitute.org/gsea/msigdb/cards/GSE7768_OVA_ALONE_VS_OVA_WITH_LPS_IMMUNIZED_MOUSE_WHOLE_SPLEEN_6H_DN.html" TargetMode="External"/><Relationship Id="rId1290" Type="http://schemas.openxmlformats.org/officeDocument/2006/relationships/hyperlink" Target="http://www.broadinstitute.org/gsea/msigdb/cards/GO_PROTEIN_HOMODIMERIZATION_ACTIVITY.html" TargetMode="External"/><Relationship Id="rId1291" Type="http://schemas.openxmlformats.org/officeDocument/2006/relationships/hyperlink" Target="http://www.broadinstitute.org/gsea/msigdb/cards/GO_DENDRITIC_CELL_MIGRATION.html" TargetMode="External"/><Relationship Id="rId1292" Type="http://schemas.openxmlformats.org/officeDocument/2006/relationships/hyperlink" Target="http://www.broadinstitute.org/gsea/msigdb/cards/GO_POSITIVE_REGULATION_OF_SECRETION.html" TargetMode="External"/><Relationship Id="rId1293" Type="http://schemas.openxmlformats.org/officeDocument/2006/relationships/hyperlink" Target="http://www.broadinstitute.org/gsea/msigdb/cards/GO_NEGATIVE_REGULATION_OF_IMMUNE_EFFECTOR_PROCESS.html" TargetMode="External"/><Relationship Id="rId1294" Type="http://schemas.openxmlformats.org/officeDocument/2006/relationships/hyperlink" Target="http://www.broadinstitute.org/gsea/msigdb/cards/GO_CELLULAR_RESPONSE_TO_LIPID.html" TargetMode="External"/><Relationship Id="rId1295" Type="http://schemas.openxmlformats.org/officeDocument/2006/relationships/hyperlink" Target="http://www.broadinstitute.org/gsea/msigdb/cards/GO_POSITIVE_REGULATION_OF_INTERLEUKIN_4_PRODUCTION.html" TargetMode="External"/><Relationship Id="rId1296" Type="http://schemas.openxmlformats.org/officeDocument/2006/relationships/hyperlink" Target="http://www.broadinstitute.org/gsea/msigdb/cards/GO_CELL_LEADING_EDGE.html" TargetMode="External"/><Relationship Id="rId1297" Type="http://schemas.openxmlformats.org/officeDocument/2006/relationships/hyperlink" Target="http://www.broadinstitute.org/gsea/msigdb/cards/GO_LYTIC_VACUOLE_MEMBRANE.html" TargetMode="External"/><Relationship Id="rId1298" Type="http://schemas.openxmlformats.org/officeDocument/2006/relationships/hyperlink" Target="http://www.broadinstitute.org/gsea/msigdb/cards/GO_REGULATION_OF_MYELOID_CELL_DIFFERENTIATION.html" TargetMode="External"/><Relationship Id="rId1299" Type="http://schemas.openxmlformats.org/officeDocument/2006/relationships/hyperlink" Target="http://www.broadinstitute.org/gsea/msigdb/cards/GO_DENDRITIC_CELL_DIFFERENTIATION.html" TargetMode="External"/><Relationship Id="rId4570" Type="http://schemas.openxmlformats.org/officeDocument/2006/relationships/hyperlink" Target="http://www.broadinstitute.org/gsea/msigdb/cards/GSE23321_CD8_STEM_CELL_MEMORY_VS_EFFECTOR_MEMORY_CD8_TCELL_UP.html" TargetMode="External"/><Relationship Id="rId4571" Type="http://schemas.openxmlformats.org/officeDocument/2006/relationships/hyperlink" Target="http://www.broadinstitute.org/gsea/msigdb/cards/GSE46468_LUNG_INNATE_LYMPHOID_CELL_VS_SPLEEN_CD4_TCELL_UP.html" TargetMode="External"/><Relationship Id="rId4572" Type="http://schemas.openxmlformats.org/officeDocument/2006/relationships/hyperlink" Target="http://www.broadinstitute.org/gsea/msigdb/cards/GSE26351_WNT_VS_BMP_PATHWAY_STIM_HEMATOPOIETIC_PROGENITORS_UP.html" TargetMode="External"/><Relationship Id="rId4573" Type="http://schemas.openxmlformats.org/officeDocument/2006/relationships/hyperlink" Target="http://www.broadinstitute.org/gsea/msigdb/cards/GSE29164_DAY3_VS_DAY7_CD8_TCELL_AND_IL12_TREATED_MELANOMA_DN.html" TargetMode="External"/><Relationship Id="rId4574" Type="http://schemas.openxmlformats.org/officeDocument/2006/relationships/hyperlink" Target="http://www.broadinstitute.org/gsea/msigdb/cards/GSE29164_CD8_TCELL_VS_CD8_TCELL_AND_IL12_TREATED_MELANOMA_DAY7_UP.html" TargetMode="External"/><Relationship Id="rId4575" Type="http://schemas.openxmlformats.org/officeDocument/2006/relationships/hyperlink" Target="http://www.broadinstitute.org/gsea/msigdb/cards/GSE23568_ID3_KO_VS_WT_CD8_TCELL_UP.html" TargetMode="External"/><Relationship Id="rId4576" Type="http://schemas.openxmlformats.org/officeDocument/2006/relationships/hyperlink" Target="http://www.broadinstitute.org/gsea/msigdb/cards/GSE32164_ALTERNATIVELY_ACT_M2_VS_CMYC_INHIBITED_MACROPHAGE_DN.html" TargetMode="External"/><Relationship Id="rId4577" Type="http://schemas.openxmlformats.org/officeDocument/2006/relationships/hyperlink" Target="http://www.broadinstitute.org/gsea/msigdb/cards/GSE33425_CD161_HIGH_VS_NEG_CD8_TCELL_DN.html" TargetMode="External"/><Relationship Id="rId4578" Type="http://schemas.openxmlformats.org/officeDocument/2006/relationships/hyperlink" Target="http://www.broadinstitute.org/gsea/msigdb/cards/GSE33424_CD161_INT_VS_NEG_CD8_TCELL_DN.html" TargetMode="External"/><Relationship Id="rId4579" Type="http://schemas.openxmlformats.org/officeDocument/2006/relationships/hyperlink" Target="http://www.broadinstitute.org/gsea/msigdb/cards/GSE26890_CXCR1_NEG_VS_POS_EFFECTOR_CD8_TCELL_DN.html" TargetMode="External"/><Relationship Id="rId3480" Type="http://schemas.openxmlformats.org/officeDocument/2006/relationships/hyperlink" Target="http://www.broadinstitute.org/gsea/msigdb/cards/GSE27786_BCELL_VS_NKCELL_DN.html" TargetMode="External"/><Relationship Id="rId3481" Type="http://schemas.openxmlformats.org/officeDocument/2006/relationships/hyperlink" Target="http://www.broadinstitute.org/gsea/msigdb/cards/GSE27786_CD4_VS_CD8_TCELL_UP.html" TargetMode="External"/><Relationship Id="rId3482" Type="http://schemas.openxmlformats.org/officeDocument/2006/relationships/hyperlink" Target="http://www.broadinstitute.org/gsea/msigdb/cards/GSE27786_NKCELL_VS_MONO_MAC_UP.html" TargetMode="External"/><Relationship Id="rId3483" Type="http://schemas.openxmlformats.org/officeDocument/2006/relationships/hyperlink" Target="http://www.broadinstitute.org/gsea/msigdb/cards/GSE28237_EARLY_VS_LATE_GC_BCELL_DN.html" TargetMode="External"/><Relationship Id="rId3484" Type="http://schemas.openxmlformats.org/officeDocument/2006/relationships/hyperlink" Target="http://www.broadinstitute.org/gsea/msigdb/cards/GSE2826_XID_VS_BTK_KO_BCELL_DN.html" TargetMode="External"/><Relationship Id="rId3485" Type="http://schemas.openxmlformats.org/officeDocument/2006/relationships/hyperlink" Target="http://www.broadinstitute.org/gsea/msigdb/cards/GSE29618_PRE_VS_DAY7_FLU_VACCINE_MDC_UP.html" TargetMode="External"/><Relationship Id="rId3486" Type="http://schemas.openxmlformats.org/officeDocument/2006/relationships/hyperlink" Target="http://www.broadinstitute.org/gsea/msigdb/cards/GSE31082_CD4_VS_CD8_SP_THYMOCYTE_UP.html" TargetMode="External"/><Relationship Id="rId3487" Type="http://schemas.openxmlformats.org/officeDocument/2006/relationships/hyperlink" Target="http://www.broadinstitute.org/gsea/msigdb/cards/GSE33513_TCF7_KO_VS_HET_EARLY_THYMIC_PROGENITOR_UP.html" TargetMode="External"/><Relationship Id="rId3488" Type="http://schemas.openxmlformats.org/officeDocument/2006/relationships/hyperlink" Target="http://www.broadinstitute.org/gsea/msigdb/cards/GSE339_CD8POS_VS_CD4CD8DN_DC_UP.html" TargetMode="External"/><Relationship Id="rId3489" Type="http://schemas.openxmlformats.org/officeDocument/2006/relationships/hyperlink" Target="http://www.broadinstitute.org/gsea/msigdb/cards/GSE339_CD8POS_VS_CD4CD8DN_DC_DN.html" TargetMode="External"/><Relationship Id="rId780" Type="http://schemas.openxmlformats.org/officeDocument/2006/relationships/hyperlink" Target="http://www.broadinstitute.org/gsea/msigdb/cards/ZIRN_TRETINOIN_RESPONSE_DN.html" TargetMode="External"/><Relationship Id="rId781" Type="http://schemas.openxmlformats.org/officeDocument/2006/relationships/hyperlink" Target="http://www.broadinstitute.org/gsea/msigdb/cards/BENPORATH_ES_WITH_H3K27ME3.html" TargetMode="External"/><Relationship Id="rId782" Type="http://schemas.openxmlformats.org/officeDocument/2006/relationships/hyperlink" Target="http://www.broadinstitute.org/gsea/msigdb/cards/IIZUKA_LIVER_CANCER_PROGRESSION_L0_L1_DN.html" TargetMode="External"/><Relationship Id="rId783" Type="http://schemas.openxmlformats.org/officeDocument/2006/relationships/hyperlink" Target="http://www.broadinstitute.org/gsea/msigdb/cards/CHIARETTI_ACUTE_LYMPHOBLASTIC_LEUKEMIA_ZAP70.html" TargetMode="External"/><Relationship Id="rId784" Type="http://schemas.openxmlformats.org/officeDocument/2006/relationships/hyperlink" Target="http://www.broadinstitute.org/gsea/msigdb/cards/CHEN_LVAD_SUPPORT_OF_FAILING_HEART_DN.html" TargetMode="External"/><Relationship Id="rId785" Type="http://schemas.openxmlformats.org/officeDocument/2006/relationships/hyperlink" Target="http://www.broadinstitute.org/gsea/msigdb/cards/MIKKELSEN_ES_LCP_WITH_H3K4ME3_AND_H3K27ME3.html" TargetMode="External"/><Relationship Id="rId786" Type="http://schemas.openxmlformats.org/officeDocument/2006/relationships/hyperlink" Target="http://www.broadinstitute.org/gsea/msigdb/cards/KASLER_HDAC7_TARGETS_2_UP.html" TargetMode="External"/><Relationship Id="rId787" Type="http://schemas.openxmlformats.org/officeDocument/2006/relationships/hyperlink" Target="http://www.broadinstitute.org/gsea/msigdb/cards/KEGG_NEUROTROPHIN_SIGNALING_PATHWAY.html" TargetMode="External"/><Relationship Id="rId788" Type="http://schemas.openxmlformats.org/officeDocument/2006/relationships/hyperlink" Target="http://www.broadinstitute.org/gsea/msigdb/cards/CHIARADONNA_NEOPLASTIC_TRANSFORMATION_KRAS_UP.html" TargetMode="External"/><Relationship Id="rId789" Type="http://schemas.openxmlformats.org/officeDocument/2006/relationships/hyperlink" Target="http://www.broadinstitute.org/gsea/msigdb/cards/IZADPANAH_STEM_CELL_ADIPOSE_VS_BONE_UP.html" TargetMode="External"/><Relationship Id="rId2390" Type="http://schemas.openxmlformats.org/officeDocument/2006/relationships/hyperlink" Target="http://www.broadinstitute.org/gsea/msigdb/cards/GSE6259_CD4_TCELL_VS_CD8_TCELL_DN.html" TargetMode="External"/><Relationship Id="rId2391" Type="http://schemas.openxmlformats.org/officeDocument/2006/relationships/hyperlink" Target="http://www.broadinstitute.org/gsea/msigdb/cards/GSE7219_UNSTIM_VS_LPS_AND_ANTI_CD40_STIM_NIK_NFKB2_KO_DC_DN.html" TargetMode="External"/><Relationship Id="rId2392" Type="http://schemas.openxmlformats.org/officeDocument/2006/relationships/hyperlink" Target="http://www.broadinstitute.org/gsea/msigdb/cards/GSE7219_UNSTIM_VS_LPS_AND_ANTI_CD40_STIM_DC_UP.html" TargetMode="External"/><Relationship Id="rId2393" Type="http://schemas.openxmlformats.org/officeDocument/2006/relationships/hyperlink" Target="http://www.broadinstitute.org/gsea/msigdb/cards/GSE40685_TREG_VS_FOXP3_KO_TREG_PRECURSOR_UP.html" TargetMode="External"/><Relationship Id="rId2394" Type="http://schemas.openxmlformats.org/officeDocument/2006/relationships/hyperlink" Target="http://www.broadinstitute.org/gsea/msigdb/cards/GSE6090_UNSTIM_VS_DC_SIGN_STIM_DC_DN.html" TargetMode="External"/><Relationship Id="rId2395" Type="http://schemas.openxmlformats.org/officeDocument/2006/relationships/hyperlink" Target="http://www.broadinstitute.org/gsea/msigdb/cards/GSE13946_CTRL_VS_DSS_COLITIS_GD_TCELL_FROM_COLON_UP.html" TargetMode="External"/><Relationship Id="rId2396" Type="http://schemas.openxmlformats.org/officeDocument/2006/relationships/hyperlink" Target="http://www.broadinstitute.org/gsea/msigdb/cards/GSE16450_CTRL_VS_IFNA_6H_STIM_IMMATURE_NEURON_CELL_LINE_DN.html" TargetMode="External"/><Relationship Id="rId2397" Type="http://schemas.openxmlformats.org/officeDocument/2006/relationships/hyperlink" Target="http://www.broadinstitute.org/gsea/msigdb/cards/GSE32986_UNSTIM_VS_CURDLAN_HIGHDOSE_STIM_DC_DN.html" TargetMode="External"/><Relationship Id="rId2398" Type="http://schemas.openxmlformats.org/officeDocument/2006/relationships/hyperlink" Target="http://www.broadinstitute.org/gsea/msigdb/cards/GSE30971_CTRL_VS_LPS_STIM_MACROPHAGE_WBP7_KO_4H_DN.html" TargetMode="External"/><Relationship Id="rId2399" Type="http://schemas.openxmlformats.org/officeDocument/2006/relationships/hyperlink" Target="http://www.broadinstitute.org/gsea/msigdb/cards/GSE11057_NAIVE_VS_MEMORY_CD4_TCELL_DN.html" TargetMode="External"/><Relationship Id="rId4580" Type="http://schemas.openxmlformats.org/officeDocument/2006/relationships/hyperlink" Target="http://www.broadinstitute.org/gsea/msigdb/cards/GSE26030_TH1_VS_TH17_DAY15_POST_POLARIZATION_UP.html" TargetMode="External"/><Relationship Id="rId4581" Type="http://schemas.openxmlformats.org/officeDocument/2006/relationships/hyperlink" Target="http://www.broadinstitute.org/gsea/msigdb/cards/GSE27859_DC_VS_CD11C_INT_F480_INT_DC_UP.html" TargetMode="External"/><Relationship Id="rId4582" Type="http://schemas.openxmlformats.org/officeDocument/2006/relationships/hyperlink" Target="http://www.broadinstitute.org/gsea/msigdb/cards/GSE26343_WT_VS_NFAT5_KO_MACROPHAGE_UP.html" TargetMode="External"/><Relationship Id="rId4583" Type="http://schemas.openxmlformats.org/officeDocument/2006/relationships/hyperlink" Target="http://www.broadinstitute.org/gsea/msigdb/cards/GSE34156_NOD2_LIGAND_VS_NOD2_AND_TLR1_TLR2_LIGAND_6H_TREATED_MONOCYTE_DN.html" TargetMode="External"/><Relationship Id="rId4584" Type="http://schemas.openxmlformats.org/officeDocument/2006/relationships/hyperlink" Target="http://www.broadinstitute.org/gsea/msigdb/cards/GSE37301_COMMON_LYMPHOID_PROGENITOR_VS_CD4_TCELL_DN.html" TargetMode="External"/><Relationship Id="rId4585" Type="http://schemas.openxmlformats.org/officeDocument/2006/relationships/hyperlink" Target="http://www.broadinstitute.org/gsea/msigdb/cards/GSE37301_PRO_BCELL_VS_CD4_TCELL_UP.html" TargetMode="External"/><Relationship Id="rId4586" Type="http://schemas.openxmlformats.org/officeDocument/2006/relationships/hyperlink" Target="http://www.broadinstitute.org/gsea/msigdb/cards/GSE33162_UNTREATED_VS_4H_LPS_STIM_HDAC3_HET_MACROPHAGE_DN.html" TargetMode="External"/><Relationship Id="rId4587" Type="http://schemas.openxmlformats.org/officeDocument/2006/relationships/hyperlink" Target="http://www.broadinstitute.org/gsea/msigdb/cards/GSE33162_UNTREATED_VS_4H_LPS_STIM_HDAC3_KO_MACROPHAGE_DN.html" TargetMode="External"/><Relationship Id="rId4588" Type="http://schemas.openxmlformats.org/officeDocument/2006/relationships/hyperlink" Target="http://www.broadinstitute.org/gsea/msigdb/cards/GSE34006_WT_VS_A2AR_KO_TREG_UP.html" TargetMode="External"/><Relationship Id="rId4589" Type="http://schemas.openxmlformats.org/officeDocument/2006/relationships/hyperlink" Target="http://www.broadinstitute.org/gsea/msigdb/cards/GSE39152_CD103_NEG_VS_POS_MEMORY_CD8_TCELL_UP.html" TargetMode="External"/><Relationship Id="rId3490" Type="http://schemas.openxmlformats.org/officeDocument/2006/relationships/hyperlink" Target="http://www.broadinstitute.org/gsea/msigdb/cards/GSE360_CTRL_VS_L_DONOVANI_MAC_UP.html" TargetMode="External"/><Relationship Id="rId3491" Type="http://schemas.openxmlformats.org/officeDocument/2006/relationships/hyperlink" Target="http://www.broadinstitute.org/gsea/msigdb/cards/GSE360_DC_VS_MAC_L_DONOVANI_UP.html" TargetMode="External"/><Relationship Id="rId3492" Type="http://schemas.openxmlformats.org/officeDocument/2006/relationships/hyperlink" Target="http://www.broadinstitute.org/gsea/msigdb/cards/GSE360_DC_VS_MAC_B_MALAYI_LOW_DOSE_DN.html" TargetMode="External"/><Relationship Id="rId3493" Type="http://schemas.openxmlformats.org/officeDocument/2006/relationships/hyperlink" Target="http://www.broadinstitute.org/gsea/msigdb/cards/GSE360_L_DONOVANI_VS_B_MALAYI_HIGH_DOSE_DC_DN.html" TargetMode="External"/><Relationship Id="rId3494" Type="http://schemas.openxmlformats.org/officeDocument/2006/relationships/hyperlink" Target="http://www.broadinstitute.org/gsea/msigdb/cards/GSE360_T_GONDII_VS_B_MALAYI_HIGH_DOSE_DC_UP.html" TargetMode="External"/><Relationship Id="rId3495" Type="http://schemas.openxmlformats.org/officeDocument/2006/relationships/hyperlink" Target="http://www.broadinstitute.org/gsea/msigdb/cards/GSE360_T_GONDII_VS_B_MALAYI_LOW_DOSE_DC_UP.html" TargetMode="External"/><Relationship Id="rId3496" Type="http://schemas.openxmlformats.org/officeDocument/2006/relationships/hyperlink" Target="http://www.broadinstitute.org/gsea/msigdb/cards/GSE360_HIGH_DOSE_B_MALAYI_VS_M_TUBERCULOSIS_MAC_DN.html" TargetMode="External"/><Relationship Id="rId3497" Type="http://schemas.openxmlformats.org/officeDocument/2006/relationships/hyperlink" Target="http://www.broadinstitute.org/gsea/msigdb/cards/GSE360_LOW_DOSE_B_MALAYI_VS_M_TUBERCULOSIS_MAC_DN.html" TargetMode="External"/><Relationship Id="rId3498" Type="http://schemas.openxmlformats.org/officeDocument/2006/relationships/hyperlink" Target="http://www.broadinstitute.org/gsea/msigdb/cards/GSE36476_CTRL_VS_TSST_ACT_72H_MEMORY_CD4_TCELL_YOUNG_UP.html" TargetMode="External"/><Relationship Id="rId3499" Type="http://schemas.openxmlformats.org/officeDocument/2006/relationships/hyperlink" Target="http://www.broadinstitute.org/gsea/msigdb/cards/GSE36476_CTRL_VS_TSST_ACT_40H_MEMORY_CD4_TCELL_OLD_UP.html" TargetMode="External"/><Relationship Id="rId790" Type="http://schemas.openxmlformats.org/officeDocument/2006/relationships/hyperlink" Target="http://www.broadinstitute.org/gsea/msigdb/cards/MIKKELSEN_MEF_HCP_WITH_H3_UNMETHYLATED.html" TargetMode="External"/><Relationship Id="rId791" Type="http://schemas.openxmlformats.org/officeDocument/2006/relationships/hyperlink" Target="http://www.broadinstitute.org/gsea/msigdb/cards/HELLER_HDAC_TARGETS_SILENCED_BY_METHYLATION_UP.html" TargetMode="External"/><Relationship Id="rId792" Type="http://schemas.openxmlformats.org/officeDocument/2006/relationships/hyperlink" Target="http://www.broadinstitute.org/gsea/msigdb/cards/DAVICIONI_TARGETS_OF_PAX_FOXO1_FUSIONS_DN.html" TargetMode="External"/><Relationship Id="rId793" Type="http://schemas.openxmlformats.org/officeDocument/2006/relationships/hyperlink" Target="http://www.broadinstitute.org/gsea/msigdb/cards/HOLLMANN_APOPTOSIS_VIA_CD40_DN.html" TargetMode="External"/><Relationship Id="rId794" Type="http://schemas.openxmlformats.org/officeDocument/2006/relationships/hyperlink" Target="http://www.broadinstitute.org/gsea/msigdb/cards/REACTOME_NRAGE_SIGNALS_DEATH_THROUGH_JNK.html" TargetMode="External"/><Relationship Id="rId795" Type="http://schemas.openxmlformats.org/officeDocument/2006/relationships/hyperlink" Target="http://www.broadinstitute.org/gsea/msigdb/cards/FUJII_YBX1_TARGETS_UP.html" TargetMode="External"/><Relationship Id="rId796" Type="http://schemas.openxmlformats.org/officeDocument/2006/relationships/hyperlink" Target="http://www.broadinstitute.org/gsea/msigdb/cards/STARK_PREFRONTAL_CORTEX_22Q11_DELETION_UP.html" TargetMode="External"/><Relationship Id="rId797" Type="http://schemas.openxmlformats.org/officeDocument/2006/relationships/hyperlink" Target="http://www.broadinstitute.org/gsea/msigdb/cards/RYTTCCTG_ETS2_B.html" TargetMode="External"/><Relationship Id="rId798" Type="http://schemas.openxmlformats.org/officeDocument/2006/relationships/hyperlink" Target="http://www.broadinstitute.org/gsea/msigdb/cards/RGAGGAARY_PU1_Q6.html" TargetMode="External"/><Relationship Id="rId799" Type="http://schemas.openxmlformats.org/officeDocument/2006/relationships/hyperlink" Target="http://www.broadinstitute.org/gsea/msigdb/cards/RACCACAR_AML_Q6.html" TargetMode="External"/><Relationship Id="rId4590" Type="http://schemas.openxmlformats.org/officeDocument/2006/relationships/hyperlink" Target="http://www.broadinstitute.org/gsea/msigdb/cards/GSE39152_BRAIN_VS_SPLEEN_CD103_NEG_MEMORY_CD8_TCELL_UP.html" TargetMode="External"/><Relationship Id="rId4591" Type="http://schemas.openxmlformats.org/officeDocument/2006/relationships/hyperlink" Target="http://www.broadinstitute.org/gsea/msigdb/cards/GSE40274_SATB1_VS_FOXP3_AND_SATB1_TRANSDUCED_ACTIVATED_CD4_TCELL_UP.html" TargetMode="External"/><Relationship Id="rId4592" Type="http://schemas.openxmlformats.org/officeDocument/2006/relationships/hyperlink" Target="http://www.broadinstitute.org/gsea/msigdb/cards/GSE40666_UNTREATED_VS_IFNA_STIM_STAT1_KO_CD8_TCELL_90MIN_UP.html" TargetMode="External"/><Relationship Id="rId4593" Type="http://schemas.openxmlformats.org/officeDocument/2006/relationships/hyperlink" Target="http://www.broadinstitute.org/gsea/msigdb/cards/GSE20727_H2O2_VS_ROS_INHIBITOR_TREATED_DC_UP.html" TargetMode="External"/><Relationship Id="rId4594" Type="http://schemas.openxmlformats.org/officeDocument/2006/relationships/hyperlink" Target="http://www.broadinstitute.org/gsea/msigdb/cards/GSE36078_UNTREATED_VS_AD5_INF_MOUSE_LUNG_DC_UP.html" TargetMode="External"/><Relationship Id="rId4595" Type="http://schemas.openxmlformats.org/officeDocument/2006/relationships/hyperlink" Target="http://www.broadinstitute.org/gsea/msigdb/cards/GSE11961_FOLLICULAR_BCELL_VS_PLASMA_CELL_DAY7_UP.html" TargetMode="External"/><Relationship Id="rId4596" Type="http://schemas.openxmlformats.org/officeDocument/2006/relationships/hyperlink" Target="http://www.broadinstitute.org/gsea/msigdb/cards/GSE11961_MARGINAL_ZONE_BCELL_VS_GERMINAL_CENTER_BCELL_DAY40_UP.html" TargetMode="External"/><Relationship Id="rId4597" Type="http://schemas.openxmlformats.org/officeDocument/2006/relationships/hyperlink" Target="http://www.broadinstitute.org/gsea/msigdb/cards/GSE11961_MARGINAL_ZONE_BCELL_VS_GERMINAL_CENTER_BCELL_DAY7_UP.html" TargetMode="External"/><Relationship Id="rId4598" Type="http://schemas.openxmlformats.org/officeDocument/2006/relationships/hyperlink" Target="http://www.broadinstitute.org/gsea/msigdb/cards/GSE28737_FOLLICULAR_VS_MARGINAL_ZONE_BCELL_DN.html" TargetMode="External"/><Relationship Id="rId4599" Type="http://schemas.openxmlformats.org/officeDocument/2006/relationships/hyperlink" Target="http://www.broadinstitute.org/gsea/msigdb/cards/GSE28737_BCL6_HET_VS_BCL6_KO_FOLLICULAR_BCELL_DN.html" TargetMode="External"/><Relationship Id="rId1800" Type="http://schemas.openxmlformats.org/officeDocument/2006/relationships/hyperlink" Target="http://www.broadinstitute.org/gsea/msigdb/cards/GO_NEGATIVE_REGULATION_OF_MYELOID_CELL_DIFFERENTIATION.html" TargetMode="External"/><Relationship Id="rId1801" Type="http://schemas.openxmlformats.org/officeDocument/2006/relationships/hyperlink" Target="http://www.broadinstitute.org/gsea/msigdb/cards/GO_NEGATIVE_REGULATION_OF_LOCOMOTION.html" TargetMode="External"/><Relationship Id="rId1802" Type="http://schemas.openxmlformats.org/officeDocument/2006/relationships/hyperlink" Target="http://www.broadinstitute.org/gsea/msigdb/cards/GO_RESPONSE_TO_EXTRACELLULAR_STIMULUS.html" TargetMode="External"/><Relationship Id="rId1803" Type="http://schemas.openxmlformats.org/officeDocument/2006/relationships/hyperlink" Target="http://www.broadinstitute.org/gsea/msigdb/cards/GO_GLYCEROPHOSPHOLIPID_METABOLIC_PROCESS.html" TargetMode="External"/><Relationship Id="rId1804" Type="http://schemas.openxmlformats.org/officeDocument/2006/relationships/hyperlink" Target="http://www.broadinstitute.org/gsea/msigdb/cards/GO_NEGATIVE_REGULATION_OF_LYMPHOCYTE_DIFFERENTIATION.html" TargetMode="External"/><Relationship Id="rId1805" Type="http://schemas.openxmlformats.org/officeDocument/2006/relationships/hyperlink" Target="http://www.broadinstitute.org/gsea/msigdb/cards/GO_POSITIVE_REGULATION_OF_REACTIVE_OXYGEN_SPECIES_METABOLIC_PROCESS.html" TargetMode="External"/><Relationship Id="rId1806" Type="http://schemas.openxmlformats.org/officeDocument/2006/relationships/hyperlink" Target="http://www.broadinstitute.org/gsea/msigdb/cards/GO_PLASMA_MEMBRANE_RAFT.html" TargetMode="External"/><Relationship Id="rId1807" Type="http://schemas.openxmlformats.org/officeDocument/2006/relationships/hyperlink" Target="http://www.broadinstitute.org/gsea/msigdb/cards/GO_POSITIVE_REGULATION_OF_ALCOHOL_BIOSYNTHETIC_PROCESS.html" TargetMode="External"/><Relationship Id="rId1808" Type="http://schemas.openxmlformats.org/officeDocument/2006/relationships/hyperlink" Target="http://www.broadinstitute.org/gsea/msigdb/cards/GO_REGULATION_OF_CAMP_MEDIATED_SIGNALING.html" TargetMode="External"/><Relationship Id="rId1809" Type="http://schemas.openxmlformats.org/officeDocument/2006/relationships/hyperlink" Target="http://www.broadinstitute.org/gsea/msigdb/cards/GO_POSITIVE_REGULATION_OF_STEROID_METABOLIC_PROCESS.html" TargetMode="External"/><Relationship Id="rId2900" Type="http://schemas.openxmlformats.org/officeDocument/2006/relationships/hyperlink" Target="http://www.broadinstitute.org/gsea/msigdb/cards/GSE8621_UNSTIM_VS_LPS_PRIMED_AND_LPS_STIM_MACROPHAGE_DN.html" TargetMode="External"/><Relationship Id="rId2901" Type="http://schemas.openxmlformats.org/officeDocument/2006/relationships/hyperlink" Target="http://www.broadinstitute.org/gsea/msigdb/cards/GSE10240_IL22_VS_IL22_AND_IL17_STIM_PRIMARY_BRONCHIAL_EPITHELIAL_CELLS_DN.html" TargetMode="External"/><Relationship Id="rId2902" Type="http://schemas.openxmlformats.org/officeDocument/2006/relationships/hyperlink" Target="http://www.broadinstitute.org/gsea/msigdb/cards/GSE14699_NAIVE_VS_DELETIONAL_TOLERANCE_CD8_TCELL_DN.html" TargetMode="External"/><Relationship Id="rId2903" Type="http://schemas.openxmlformats.org/officeDocument/2006/relationships/hyperlink" Target="http://www.broadinstitute.org/gsea/msigdb/cards/GSE14415_INDUCED_TREG_VS_TCONV_DN.html" TargetMode="External"/><Relationship Id="rId2904" Type="http://schemas.openxmlformats.org/officeDocument/2006/relationships/hyperlink" Target="http://www.broadinstitute.org/gsea/msigdb/cards/GSE15330_HSC_VS_MEGAKARYOCYTE_ERYTHROID_PROGENITOR_IKAROS_KO_DN.html" TargetMode="External"/><Relationship Id="rId2905" Type="http://schemas.openxmlformats.org/officeDocument/2006/relationships/hyperlink" Target="http://www.broadinstitute.org/gsea/msigdb/cards/GSE17812_WT_VS_THPOK_KO_MEMORY_CD8_TCELL_UP.html" TargetMode="External"/><Relationship Id="rId2906" Type="http://schemas.openxmlformats.org/officeDocument/2006/relationships/hyperlink" Target="http://www.broadinstitute.org/gsea/msigdb/cards/GSE17186_NAIVE_VS_CD21LOW_TRANSITIONAL_BCELL_UP.html" TargetMode="External"/><Relationship Id="rId2907" Type="http://schemas.openxmlformats.org/officeDocument/2006/relationships/hyperlink" Target="http://www.broadinstitute.org/gsea/msigdb/cards/GSE19198_CTRL_VS_IL21_TREATED_TCELL_24H_DN.html" TargetMode="External"/><Relationship Id="rId2908" Type="http://schemas.openxmlformats.org/officeDocument/2006/relationships/hyperlink" Target="http://www.broadinstitute.org/gsea/msigdb/cards/GSE19923_HEB_KO_VS_HEB_AND_E2A_KO_DP_THYMOCYTE_DN.html" TargetMode="External"/><Relationship Id="rId2909" Type="http://schemas.openxmlformats.org/officeDocument/2006/relationships/hyperlink" Target="http://www.broadinstitute.org/gsea/msigdb/cards/GSE19923_E2A_KO_VS_HEB_AND_E2A_KO_DP_THYMOCYTE_UP.html" TargetMode="External"/><Relationship Id="rId1810" Type="http://schemas.openxmlformats.org/officeDocument/2006/relationships/hyperlink" Target="http://www.broadinstitute.org/gsea/msigdb/cards/GO_MONOCYTE_CHEMOTAXIS.html" TargetMode="External"/><Relationship Id="rId1811" Type="http://schemas.openxmlformats.org/officeDocument/2006/relationships/hyperlink" Target="http://www.broadinstitute.org/gsea/msigdb/cards/GO_RECEPTOR_CLUSTERING.html" TargetMode="External"/><Relationship Id="rId1812" Type="http://schemas.openxmlformats.org/officeDocument/2006/relationships/hyperlink" Target="http://www.broadinstitute.org/gsea/msigdb/cards/GO_NEGATIVE_REGULATION_OF_NEURON_DEATH.html" TargetMode="External"/><Relationship Id="rId1813" Type="http://schemas.openxmlformats.org/officeDocument/2006/relationships/hyperlink" Target="http://www.broadinstitute.org/gsea/msigdb/cards/GO_POSITIVE_REGULATION_OF_JUN_KINASE_ACTIVITY.html" TargetMode="External"/><Relationship Id="rId1814" Type="http://schemas.openxmlformats.org/officeDocument/2006/relationships/hyperlink" Target="http://www.broadinstitute.org/gsea/msigdb/cards/GO_GOLGI_APPARATUS_PART.html" TargetMode="External"/><Relationship Id="rId1815" Type="http://schemas.openxmlformats.org/officeDocument/2006/relationships/hyperlink" Target="http://www.broadinstitute.org/gsea/msigdb/cards/GO_G_PROTEIN_COUPLED_RECEPTOR_SIGNALING_PATHWAY_COUPLED_TO_CYCLIC_NUCLEOTIDE_SECOND_MESSENGER.html" TargetMode="External"/><Relationship Id="rId1816" Type="http://schemas.openxmlformats.org/officeDocument/2006/relationships/hyperlink" Target="http://www.broadinstitute.org/gsea/msigdb/cards/GO_KINASE_BINDING.html" TargetMode="External"/><Relationship Id="rId1817" Type="http://schemas.openxmlformats.org/officeDocument/2006/relationships/hyperlink" Target="http://www.broadinstitute.org/gsea/msigdb/cards/GO_REGULATION_OF_PROTEIN_POLYMERIZATION.html" TargetMode="External"/><Relationship Id="rId1818" Type="http://schemas.openxmlformats.org/officeDocument/2006/relationships/hyperlink" Target="http://www.broadinstitute.org/gsea/msigdb/cards/GO_REGULATION_OF_CELL_SUBSTRATE_ADHESION.html" TargetMode="External"/><Relationship Id="rId1819" Type="http://schemas.openxmlformats.org/officeDocument/2006/relationships/hyperlink" Target="http://www.broadinstitute.org/gsea/msigdb/cards/GO_REGULATION_OF_PHOSPHOLIPASE_ACTIVITY.html" TargetMode="External"/><Relationship Id="rId2910" Type="http://schemas.openxmlformats.org/officeDocument/2006/relationships/hyperlink" Target="http://www.broadinstitute.org/gsea/msigdb/cards/GSE21927_SPLEEN_MONOCYTE_VS_GMCSF_GCSF_BONE_MARROW_DN.html" TargetMode="External"/><Relationship Id="rId2911" Type="http://schemas.openxmlformats.org/officeDocument/2006/relationships/hyperlink" Target="http://www.broadinstitute.org/gsea/msigdb/cards/GSE22140_HEALTHY_VS_ARTHRITIC_GERMFREE_MOUSE_CD4_TCELL_UP.html" TargetMode="External"/><Relationship Id="rId2912" Type="http://schemas.openxmlformats.org/officeDocument/2006/relationships/hyperlink" Target="http://www.broadinstitute.org/gsea/msigdb/cards/GSE22589_HEALTHY_VS_SIV_INFECTED_DC_DN.html" TargetMode="External"/><Relationship Id="rId2913" Type="http://schemas.openxmlformats.org/officeDocument/2006/relationships/hyperlink" Target="http://www.broadinstitute.org/gsea/msigdb/cards/GSE24210_RESTING_TREG_VS_TCONV_UP.html" TargetMode="External"/><Relationship Id="rId2914" Type="http://schemas.openxmlformats.org/officeDocument/2006/relationships/hyperlink" Target="http://www.broadinstitute.org/gsea/msigdb/cards/GSE25088_IL4_VS_IL4_AND_ROSIGLITAZONE_STIM_STAT6_KO_MACROPHAGE_DAY10_UP.html" TargetMode="External"/><Relationship Id="rId2915" Type="http://schemas.openxmlformats.org/officeDocument/2006/relationships/hyperlink" Target="http://www.broadinstitute.org/gsea/msigdb/cards/GSE16385_UNTREATED_VS_12H_IL4_TREATED_MACROPHAGE_UP.html" TargetMode="External"/><Relationship Id="rId2916" Type="http://schemas.openxmlformats.org/officeDocument/2006/relationships/hyperlink" Target="http://www.broadinstitute.org/gsea/msigdb/cards/GSE24726_WT_VS_E2_22_KO_PDC_DAY4_POST_DELETION_DN.html" TargetMode="External"/><Relationship Id="rId2917" Type="http://schemas.openxmlformats.org/officeDocument/2006/relationships/hyperlink" Target="http://www.broadinstitute.org/gsea/msigdb/cards/GSE25085_FETAL_BM_VS_ADULT_BM_SP4_THYMIC_IMPLANT_UP.html" TargetMode="External"/><Relationship Id="rId2918" Type="http://schemas.openxmlformats.org/officeDocument/2006/relationships/hyperlink" Target="http://www.broadinstitute.org/gsea/msigdb/cards/GSE25085_FETAL_LIVER_VS_FETAL_BM_SP4_THYMIC_IMPLANT_UP.html" TargetMode="External"/><Relationship Id="rId2919" Type="http://schemas.openxmlformats.org/officeDocument/2006/relationships/hyperlink" Target="http://www.broadinstitute.org/gsea/msigdb/cards/GSE28726_NAIVE_CD4_TCELL_VS_NAIVE_NKTCELL_UP.html" TargetMode="External"/><Relationship Id="rId1820" Type="http://schemas.openxmlformats.org/officeDocument/2006/relationships/hyperlink" Target="http://www.broadinstitute.org/gsea/msigdb/cards/GO_REGULATION_OF_MYELOID_CELL_APOPTOTIC_PROCESS.html" TargetMode="External"/><Relationship Id="rId1821" Type="http://schemas.openxmlformats.org/officeDocument/2006/relationships/hyperlink" Target="http://www.broadinstitute.org/gsea/msigdb/cards/GO_RESPONSE_TO_STEROL.html" TargetMode="External"/><Relationship Id="rId1822" Type="http://schemas.openxmlformats.org/officeDocument/2006/relationships/hyperlink" Target="http://www.broadinstitute.org/gsea/msigdb/cards/GO_TYROSINE_PHOSPHORYLATION_OF_STAT_PROTEIN.html" TargetMode="External"/><Relationship Id="rId1823" Type="http://schemas.openxmlformats.org/officeDocument/2006/relationships/hyperlink" Target="http://www.broadinstitute.org/gsea/msigdb/cards/GO_AMIDE_BINDING.html" TargetMode="External"/><Relationship Id="rId1824" Type="http://schemas.openxmlformats.org/officeDocument/2006/relationships/hyperlink" Target="http://www.broadinstitute.org/gsea/msigdb/cards/GO_POSITIVE_REGULATION_OF_CAMP_METABOLIC_PROCESS.html" TargetMode="External"/><Relationship Id="rId1825" Type="http://schemas.openxmlformats.org/officeDocument/2006/relationships/hyperlink" Target="http://www.broadinstitute.org/gsea/msigdb/cards/GO_REGULATION_OF_CALCIUM_ION_TRANSMEMBRANE_TRANSPORT.html" TargetMode="External"/><Relationship Id="rId1826" Type="http://schemas.openxmlformats.org/officeDocument/2006/relationships/hyperlink" Target="http://www.broadinstitute.org/gsea/msigdb/cards/GO_PHOSPHATIDYLINOSITOL_PHOSPHATE_BINDING.html" TargetMode="External"/><Relationship Id="rId1827" Type="http://schemas.openxmlformats.org/officeDocument/2006/relationships/hyperlink" Target="http://www.broadinstitute.org/gsea/msigdb/cards/GO_POSITIVE_REGULATION_OF_CYTOSKELETON_ORGANIZATION.html" TargetMode="External"/><Relationship Id="rId1828" Type="http://schemas.openxmlformats.org/officeDocument/2006/relationships/hyperlink" Target="http://www.broadinstitute.org/gsea/msigdb/cards/GO_EXOCYTOSIS.html" TargetMode="External"/><Relationship Id="rId1829" Type="http://schemas.openxmlformats.org/officeDocument/2006/relationships/hyperlink" Target="http://www.broadinstitute.org/gsea/msigdb/cards/GO_NEGATIVE_REGULATION_OF_MOLECULAR_FUNCTION.html" TargetMode="External"/><Relationship Id="rId2920" Type="http://schemas.openxmlformats.org/officeDocument/2006/relationships/hyperlink" Target="http://www.broadinstitute.org/gsea/msigdb/cards/GSE28783_ANTI_MIR33_VS_CTRL_ATHEROSCLEROSIS_MACROPHAGE_UP.html" TargetMode="External"/><Relationship Id="rId2921" Type="http://schemas.openxmlformats.org/officeDocument/2006/relationships/hyperlink" Target="http://www.broadinstitute.org/gsea/msigdb/cards/GSE31622_WT_VS_KLF3_KO_BCELL_DN.html" TargetMode="External"/><Relationship Id="rId2922" Type="http://schemas.openxmlformats.org/officeDocument/2006/relationships/hyperlink" Target="http://www.broadinstitute.org/gsea/msigdb/cards/GSE26890_CXCR1_NEG_VS_POS_EFFECTOR_CD8_TCELL_UP.html" TargetMode="External"/><Relationship Id="rId2923" Type="http://schemas.openxmlformats.org/officeDocument/2006/relationships/hyperlink" Target="http://www.broadinstitute.org/gsea/msigdb/cards/GSE36888_UNTREATED_VS_IL2_TREATED_TCELL_17H_DN.html" TargetMode="External"/><Relationship Id="rId2924" Type="http://schemas.openxmlformats.org/officeDocument/2006/relationships/hyperlink" Target="http://www.broadinstitute.org/gsea/msigdb/cards/GSE36009_UNSTIM_VS_LPS_STIM_DC_UP.html" TargetMode="External"/><Relationship Id="rId2925" Type="http://schemas.openxmlformats.org/officeDocument/2006/relationships/hyperlink" Target="http://www.broadinstitute.org/gsea/msigdb/cards/GSE32034_LY6C_HIGH_VS_LOW_MONOCYTE_UP.html" TargetMode="External"/><Relationship Id="rId2926" Type="http://schemas.openxmlformats.org/officeDocument/2006/relationships/hyperlink" Target="http://www.broadinstitute.org/gsea/msigdb/cards/GSE40274_GATA1_VS_FOXP3_AND_GATA1_TRANSDUCED_ACTIVATED_CD4_TCELL_UP.html" TargetMode="External"/><Relationship Id="rId2927" Type="http://schemas.openxmlformats.org/officeDocument/2006/relationships/hyperlink" Target="http://www.broadinstitute.org/gsea/msigdb/cards/GSE40277_GATA1_AND_SATB1_TRANSDUCED_VS_CTRL_CD4_TCELL_UP.html" TargetMode="External"/><Relationship Id="rId2928" Type="http://schemas.openxmlformats.org/officeDocument/2006/relationships/hyperlink" Target="http://www.broadinstitute.org/gsea/msigdb/cards/GSE40274_FOXP3_VS_FOXP3_AND_LEF1_TRANSDUCED_ACTIVATED_CD4_TCELL_UP.html" TargetMode="External"/><Relationship Id="rId2929" Type="http://schemas.openxmlformats.org/officeDocument/2006/relationships/hyperlink" Target="http://www.broadinstitute.org/gsea/msigdb/cards/GSE40666_NAIVE_VS_EFFECTOR_CD8_TCELL_DN.html" TargetMode="External"/><Relationship Id="rId1830" Type="http://schemas.openxmlformats.org/officeDocument/2006/relationships/hyperlink" Target="http://www.broadinstitute.org/gsea/msigdb/cards/GO_RESPONSE_TO_PROSTAGLANDIN_E.html" TargetMode="External"/><Relationship Id="rId1831" Type="http://schemas.openxmlformats.org/officeDocument/2006/relationships/hyperlink" Target="http://www.broadinstitute.org/gsea/msigdb/cards/GO_TRANSFERASE_ACTIVITY_TRANSFERRING_PHOSPHORUS_CONTAINING_GROUPS.html" TargetMode="External"/><Relationship Id="rId1832" Type="http://schemas.openxmlformats.org/officeDocument/2006/relationships/hyperlink" Target="http://www.broadinstitute.org/gsea/msigdb/cards/GO_POSITIVE_REGULATION_OF_LIPASE_ACTIVITY.html" TargetMode="External"/><Relationship Id="rId1833" Type="http://schemas.openxmlformats.org/officeDocument/2006/relationships/hyperlink" Target="http://www.broadinstitute.org/gsea/msigdb/cards/GO_REGULATION_OF_TYROSINE_PHOSPHORYLATION_OF_STAT3_PROTEIN.html" TargetMode="External"/><Relationship Id="rId1834" Type="http://schemas.openxmlformats.org/officeDocument/2006/relationships/hyperlink" Target="http://www.broadinstitute.org/gsea/msigdb/cards/GO_HYDROLASE_ACTIVITY_ACTING_ON_ESTER_BONDS.html" TargetMode="External"/><Relationship Id="rId1835" Type="http://schemas.openxmlformats.org/officeDocument/2006/relationships/hyperlink" Target="http://www.broadinstitute.org/gsea/msigdb/cards/GO_REGULATION_OF_OSSIFICATION.html" TargetMode="External"/><Relationship Id="rId1836" Type="http://schemas.openxmlformats.org/officeDocument/2006/relationships/hyperlink" Target="http://www.broadinstitute.org/gsea/msigdb/cards/GO_LIPID_MODIFICATION.html" TargetMode="External"/><Relationship Id="rId1837" Type="http://schemas.openxmlformats.org/officeDocument/2006/relationships/hyperlink" Target="http://www.broadinstitute.org/gsea/msigdb/cards/GO_REGULATION_OF_NUCLEOTIDE_METABOLIC_PROCESS.html" TargetMode="External"/><Relationship Id="rId1838" Type="http://schemas.openxmlformats.org/officeDocument/2006/relationships/hyperlink" Target="http://www.broadinstitute.org/gsea/msigdb/cards/GO_REGULATION_OF_NLRP3_INFLAMMASOME_COMPLEX_ASSEMBLY.html" TargetMode="External"/><Relationship Id="rId1839" Type="http://schemas.openxmlformats.org/officeDocument/2006/relationships/hyperlink" Target="http://www.broadinstitute.org/gsea/msigdb/cards/GO_REGULATION_OF_T_CELL_CHEMOTAXIS.html" TargetMode="External"/><Relationship Id="rId1100" Type="http://schemas.openxmlformats.org/officeDocument/2006/relationships/hyperlink" Target="http://www.broadinstitute.org/gsea/msigdb/cards/GO_RESPONSE_TO_INTERFERON_GAMMA.html" TargetMode="External"/><Relationship Id="rId1101" Type="http://schemas.openxmlformats.org/officeDocument/2006/relationships/hyperlink" Target="http://www.broadinstitute.org/gsea/msigdb/cards/GO_RESPONSE_TO_MOLECULE_OF_BACTERIAL_ORIGIN.html" TargetMode="External"/><Relationship Id="rId1102" Type="http://schemas.openxmlformats.org/officeDocument/2006/relationships/hyperlink" Target="http://www.broadinstitute.org/gsea/msigdb/cards/GO_POSITIVE_REGULATION_OF_DEFENSE_RESPONSE.html" TargetMode="External"/><Relationship Id="rId1103" Type="http://schemas.openxmlformats.org/officeDocument/2006/relationships/hyperlink" Target="http://www.broadinstitute.org/gsea/msigdb/cards/GO_CELL_ACTIVATION_INVOLVED_IN_IMMUNE_RESPONSE.html" TargetMode="External"/><Relationship Id="rId1104" Type="http://schemas.openxmlformats.org/officeDocument/2006/relationships/hyperlink" Target="http://www.broadinstitute.org/gsea/msigdb/cards/GO_REGULATION_OF_INTRACELLULAR_SIGNAL_TRANSDUCTION.html" TargetMode="External"/><Relationship Id="rId1105" Type="http://schemas.openxmlformats.org/officeDocument/2006/relationships/hyperlink" Target="http://www.broadinstitute.org/gsea/msigdb/cards/GO_REGULATION_OF_LYMPHOCYTE_MEDIATED_IMMUNITY.html" TargetMode="External"/><Relationship Id="rId1106" Type="http://schemas.openxmlformats.org/officeDocument/2006/relationships/hyperlink" Target="http://www.broadinstitute.org/gsea/msigdb/cards/GO_REGULATION_OF_INNATE_IMMUNE_RESPONSE.html" TargetMode="External"/><Relationship Id="rId1107" Type="http://schemas.openxmlformats.org/officeDocument/2006/relationships/hyperlink" Target="http://www.broadinstitute.org/gsea/msigdb/cards/GO_INTRACELLULAR_SIGNAL_TRANSDUCTION.html" TargetMode="External"/><Relationship Id="rId1108" Type="http://schemas.openxmlformats.org/officeDocument/2006/relationships/hyperlink" Target="http://www.broadinstitute.org/gsea/msigdb/cards/GO_POSITIVE_REGULATION_OF_IMMUNE_EFFECTOR_PROCESS.html" TargetMode="External"/><Relationship Id="rId1109" Type="http://schemas.openxmlformats.org/officeDocument/2006/relationships/hyperlink" Target="http://www.broadinstitute.org/gsea/msigdb/cards/GO_POSITIVE_REGULATION_OF_MOLECULAR_FUNCTION.html" TargetMode="External"/><Relationship Id="rId2930" Type="http://schemas.openxmlformats.org/officeDocument/2006/relationships/hyperlink" Target="http://www.broadinstitute.org/gsea/msigdb/cards/GSE40666_WT_VS_STAT4_KO_CD8_TCELL_WITH_IFNA_STIM_90MIN_UP.html" TargetMode="External"/><Relationship Id="rId2931" Type="http://schemas.openxmlformats.org/officeDocument/2006/relationships/hyperlink" Target="http://www.broadinstitute.org/gsea/msigdb/cards/GSE39110_DAY3_VS_DAY6_POST_IMMUNIZATION_CD8_TCELL_WITH_IL2_TREATMENT_UP.html" TargetMode="External"/><Relationship Id="rId2932" Type="http://schemas.openxmlformats.org/officeDocument/2006/relationships/hyperlink" Target="http://www.broadinstitute.org/gsea/msigdb/cards/GSE36078_UNTREATED_VS_AD5_INF_MOUSE_LUNG_DC_DN.html" TargetMode="External"/><Relationship Id="rId2933" Type="http://schemas.openxmlformats.org/officeDocument/2006/relationships/hyperlink" Target="http://www.broadinstitute.org/gsea/msigdb/cards/GSE36078_UNTREATED_VS_AD5_T425A_HEXON_INF_MOUSE_LUNG_DC_DN.html" TargetMode="External"/><Relationship Id="rId1" Type="http://schemas.openxmlformats.org/officeDocument/2006/relationships/hyperlink" Target="http://www.broadinstitute.org/gsea/msigdb/cards/HALLMARK_ALLOGRAFT_REJECTION.html" TargetMode="External"/><Relationship Id="rId2" Type="http://schemas.openxmlformats.org/officeDocument/2006/relationships/hyperlink" Target="http://www.broadinstitute.org/gsea/msigdb/cards/HALLMARK_INFLAMMATORY_RESPONSE.html" TargetMode="External"/><Relationship Id="rId3" Type="http://schemas.openxmlformats.org/officeDocument/2006/relationships/hyperlink" Target="http://www.broadinstitute.org/gsea/msigdb/cards/HALLMARK_INTERFERON_GAMMA_RESPONSE.html" TargetMode="External"/><Relationship Id="rId4" Type="http://schemas.openxmlformats.org/officeDocument/2006/relationships/hyperlink" Target="http://www.broadinstitute.org/gsea/msigdb/cards/HALLMARK_COMPLEMENT.html" TargetMode="External"/><Relationship Id="rId5" Type="http://schemas.openxmlformats.org/officeDocument/2006/relationships/hyperlink" Target="http://www.broadinstitute.org/gsea/msigdb/cards/HALLMARK_IL2_STAT5_SIGNALING.html" TargetMode="External"/><Relationship Id="rId6" Type="http://schemas.openxmlformats.org/officeDocument/2006/relationships/hyperlink" Target="http://www.broadinstitute.org/gsea/msigdb/cards/HALLMARK_KRAS_SIGNALING_UP.html" TargetMode="External"/><Relationship Id="rId7" Type="http://schemas.openxmlformats.org/officeDocument/2006/relationships/hyperlink" Target="http://www.broadinstitute.org/gsea/msigdb/cards/HALLMARK_IL6_JAK_STAT3_SIGNALING.html" TargetMode="External"/><Relationship Id="rId8" Type="http://schemas.openxmlformats.org/officeDocument/2006/relationships/hyperlink" Target="http://www.broadinstitute.org/gsea/msigdb/cards/HALLMARK_TNFA_SIGNALING_VIA_NFKB.html" TargetMode="External"/><Relationship Id="rId9" Type="http://schemas.openxmlformats.org/officeDocument/2006/relationships/hyperlink" Target="http://www.broadinstitute.org/gsea/msigdb/cards/HALLMARK_INTERFERON_ALPHA_RESPONSE.html" TargetMode="External"/><Relationship Id="rId2934" Type="http://schemas.openxmlformats.org/officeDocument/2006/relationships/hyperlink" Target="http://www.broadinstitute.org/gsea/msigdb/cards/GSE39556_CD8A_DC_VS_NK_CELL_DN.html" TargetMode="External"/><Relationship Id="rId2935" Type="http://schemas.openxmlformats.org/officeDocument/2006/relationships/hyperlink" Target="http://www.broadinstitute.org/gsea/msigdb/cards/GSE41867_DAY6_VS_DAY8_LCMV_CLONE13_EFFECTOR_CD8_TCELL_UP.html" TargetMode="External"/><Relationship Id="rId2936" Type="http://schemas.openxmlformats.org/officeDocument/2006/relationships/hyperlink" Target="http://www.broadinstitute.org/gsea/msigdb/cards/GSE41867_DAY8_EFFECTOR_VS_DAY30_EXHAUSTED_CD8_TCELL_LCMV_CLONE13_DN.html" TargetMode="External"/><Relationship Id="rId2937" Type="http://schemas.openxmlformats.org/officeDocument/2006/relationships/hyperlink" Target="http://www.broadinstitute.org/gsea/msigdb/cards/GSE36826_NORMAL_VS_STAPH_AUREUS_INF_SKIN_DN.html" TargetMode="External"/><Relationship Id="rId2938" Type="http://schemas.openxmlformats.org/officeDocument/2006/relationships/hyperlink" Target="http://www.broadinstitute.org/gsea/msigdb/cards/GSE42021_TREG_VS_TCONV_PLN_UP.html" TargetMode="External"/><Relationship Id="rId2939" Type="http://schemas.openxmlformats.org/officeDocument/2006/relationships/hyperlink" Target="http://www.broadinstitute.org/gsea/msigdb/cards/GSE43955_TH0_VS_TGFB_IL6_TH17_ACT_CD4_TCELL_4H_DN.html" TargetMode="External"/><Relationship Id="rId1840" Type="http://schemas.openxmlformats.org/officeDocument/2006/relationships/hyperlink" Target="http://www.broadinstitute.org/gsea/msigdb/cards/GO_MACROPHAGE_ACTIVATION_INVOLVED_IN_IMMUNE_RESPONSE.html" TargetMode="External"/><Relationship Id="rId1841" Type="http://schemas.openxmlformats.org/officeDocument/2006/relationships/hyperlink" Target="http://www.broadinstitute.org/gsea/msigdb/cards/GO_REGULATION_BY_VIRUS_OF_VIRAL_PROTEIN_LEVELS_IN_HOST_CELL.html" TargetMode="External"/><Relationship Id="rId1842" Type="http://schemas.openxmlformats.org/officeDocument/2006/relationships/hyperlink" Target="http://www.broadinstitute.org/gsea/msigdb/cards/GO_REGULATION_OF_FEVER_GENERATION.html" TargetMode="External"/><Relationship Id="rId1843" Type="http://schemas.openxmlformats.org/officeDocument/2006/relationships/hyperlink" Target="http://www.broadinstitute.org/gsea/msigdb/cards/GO_POSITIVE_REGULATION_OF_RESPONSE_TO_TUMOR_CELL.html" TargetMode="External"/><Relationship Id="rId1844" Type="http://schemas.openxmlformats.org/officeDocument/2006/relationships/hyperlink" Target="http://www.broadinstitute.org/gsea/msigdb/cards/GO_NEGATIVE_REGULATION_OF_MAST_CELL_ACTIVATION.html" TargetMode="External"/><Relationship Id="rId1845" Type="http://schemas.openxmlformats.org/officeDocument/2006/relationships/hyperlink" Target="http://www.broadinstitute.org/gsea/msigdb/cards/GO_POSITIVE_REGULATION_OF_MYELOID_LEUKOCYTE_CYTOKINE_PRODUCTION_INVOLVED_IN_IMMUNE_RESPONSE.html" TargetMode="External"/><Relationship Id="rId1846" Type="http://schemas.openxmlformats.org/officeDocument/2006/relationships/hyperlink" Target="http://www.broadinstitute.org/gsea/msigdb/cards/GO_REGULATION_OF_INTERFERON_GAMMA_SECRETION.html" TargetMode="External"/><Relationship Id="rId1847" Type="http://schemas.openxmlformats.org/officeDocument/2006/relationships/hyperlink" Target="http://www.broadinstitute.org/gsea/msigdb/cards/GO_NEUTROPHIL_ACTIVATION_INVOLVED_IN_IMMUNE_RESPONSE.html" TargetMode="External"/><Relationship Id="rId1848" Type="http://schemas.openxmlformats.org/officeDocument/2006/relationships/hyperlink" Target="http://www.broadinstitute.org/gsea/msigdb/cards/GO_LYMPHOID_PROGENITOR_CELL_DIFFERENTIATION.html" TargetMode="External"/><Relationship Id="rId1849" Type="http://schemas.openxmlformats.org/officeDocument/2006/relationships/hyperlink" Target="http://www.broadinstitute.org/gsea/msigdb/cards/GO_DIACYLGLYCEROL_BINDING.html" TargetMode="External"/><Relationship Id="rId2200" Type="http://schemas.openxmlformats.org/officeDocument/2006/relationships/hyperlink" Target="http://www.broadinstitute.org/gsea/msigdb/cards/GSE5589_LPS_AND_IL10_VS_LPS_AND_IL6_STIM_IL6_KO_MACROPHAGE_45MIN_UP.html" TargetMode="External"/><Relationship Id="rId2201" Type="http://schemas.openxmlformats.org/officeDocument/2006/relationships/hyperlink" Target="http://www.broadinstitute.org/gsea/msigdb/cards/GSE19888_CTRL_VS_TCELL_MEMBRANES_ACT_MAST_CELL_PRETREAT_A3R_INH_DN.html" TargetMode="External"/><Relationship Id="rId2202" Type="http://schemas.openxmlformats.org/officeDocument/2006/relationships/hyperlink" Target="http://www.broadinstitute.org/gsea/msigdb/cards/GSE21774_CD62L_POS_CD56_BRIGHT_VS_CD62L_NEG_CD56_DIM_NK_CELL_UP.html" TargetMode="External"/><Relationship Id="rId2203" Type="http://schemas.openxmlformats.org/officeDocument/2006/relationships/hyperlink" Target="http://www.broadinstitute.org/gsea/msigdb/cards/GSE3565_CTRL_VS_LPS_INJECTED_SPLENOCYTES_UP.html" TargetMode="External"/><Relationship Id="rId2204" Type="http://schemas.openxmlformats.org/officeDocument/2006/relationships/hyperlink" Target="http://www.broadinstitute.org/gsea/msigdb/cards/KAECH_NAIVE_VS_DAY15_EFF_CD8_TCELL_DN.html" TargetMode="External"/><Relationship Id="rId2205" Type="http://schemas.openxmlformats.org/officeDocument/2006/relationships/hyperlink" Target="http://www.broadinstitute.org/gsea/msigdb/cards/GSE22886_DAY0_VS_DAY1_MONOCYTE_IN_CULTURE_UP.html" TargetMode="External"/><Relationship Id="rId2206" Type="http://schemas.openxmlformats.org/officeDocument/2006/relationships/hyperlink" Target="http://www.broadinstitute.org/gsea/msigdb/cards/GSE9988_ANTI_TREM1_VS_VEHICLE_TREATED_MONOCYTES_DN.html" TargetMode="External"/><Relationship Id="rId2207" Type="http://schemas.openxmlformats.org/officeDocument/2006/relationships/hyperlink" Target="http://www.broadinstitute.org/gsea/msigdb/cards/GSE2128_CTRL_VS_MIMETOPE_NEGATIVE_SELECTION_DP_THYMOCYTE_NOD_UP.html" TargetMode="External"/><Relationship Id="rId2208" Type="http://schemas.openxmlformats.org/officeDocument/2006/relationships/hyperlink" Target="http://www.broadinstitute.org/gsea/msigdb/cards/GSE19198_CTRL_VS_IL21_TREATED_TCELL_6H_UP.html" TargetMode="External"/><Relationship Id="rId2209" Type="http://schemas.openxmlformats.org/officeDocument/2006/relationships/hyperlink" Target="http://www.broadinstitute.org/gsea/msigdb/cards/GSE23568_CTRL_TRANSDUCED_VS_WT_CD8_TCELL_DN.html" TargetMode="External"/><Relationship Id="rId1110" Type="http://schemas.openxmlformats.org/officeDocument/2006/relationships/hyperlink" Target="http://www.broadinstitute.org/gsea/msigdb/cards/GO_POSITIVE_REGULATION_OF_CATALYTIC_ACTIVITY.html" TargetMode="External"/><Relationship Id="rId1111" Type="http://schemas.openxmlformats.org/officeDocument/2006/relationships/hyperlink" Target="http://www.broadinstitute.org/gsea/msigdb/cards/GO_REGULATION_OF_LYMPHOCYTE_DIFFERENTIATION.html" TargetMode="External"/><Relationship Id="rId1112" Type="http://schemas.openxmlformats.org/officeDocument/2006/relationships/hyperlink" Target="http://www.broadinstitute.org/gsea/msigdb/cards/GO_CELLULAR_RESPONSE_TO_INTERFERON_GAMMA.html" TargetMode="External"/><Relationship Id="rId1113" Type="http://schemas.openxmlformats.org/officeDocument/2006/relationships/hyperlink" Target="http://www.broadinstitute.org/gsea/msigdb/cards/GO_TAXIS.html" TargetMode="External"/><Relationship Id="rId1114" Type="http://schemas.openxmlformats.org/officeDocument/2006/relationships/hyperlink" Target="http://www.broadinstitute.org/gsea/msigdb/cards/GO_NEGATIVE_REGULATION_OF_CELL_ACTIVATION.html" TargetMode="External"/><Relationship Id="rId1115" Type="http://schemas.openxmlformats.org/officeDocument/2006/relationships/hyperlink" Target="http://www.broadinstitute.org/gsea/msigdb/cards/GO_REGULATION_OF_CYTOKINE_BIOSYNTHETIC_PROCESS.html" TargetMode="External"/><Relationship Id="rId1116" Type="http://schemas.openxmlformats.org/officeDocument/2006/relationships/hyperlink" Target="http://www.broadinstitute.org/gsea/msigdb/cards/GO_REGULATION_OF_CYTOKINE_SECRETION.html" TargetMode="External"/><Relationship Id="rId1117" Type="http://schemas.openxmlformats.org/officeDocument/2006/relationships/hyperlink" Target="http://www.broadinstitute.org/gsea/msigdb/cards/GO_POSITIVE_REGULATION_OF_CELL_COMMUNICATION.html" TargetMode="External"/><Relationship Id="rId1118" Type="http://schemas.openxmlformats.org/officeDocument/2006/relationships/hyperlink" Target="http://www.broadinstitute.org/gsea/msigdb/cards/GO_REGULATION_OF_MULTICELLULAR_ORGANISMAL_DEVELOPMENT.html" TargetMode="External"/><Relationship Id="rId1119" Type="http://schemas.openxmlformats.org/officeDocument/2006/relationships/hyperlink" Target="http://www.broadinstitute.org/gsea/msigdb/cards/GO_MYELOID_LEUKOCYTE_ACTIVATION.html" TargetMode="External"/><Relationship Id="rId2940" Type="http://schemas.openxmlformats.org/officeDocument/2006/relationships/hyperlink" Target="http://www.broadinstitute.org/gsea/msigdb/cards/GSE43955_1H_VS_10H_ACT_CD4_TCELL_WITH_TGFB_IL6_DN.html" TargetMode="External"/><Relationship Id="rId2941" Type="http://schemas.openxmlformats.org/officeDocument/2006/relationships/hyperlink" Target="http://www.broadinstitute.org/gsea/msigdb/cards/GSE43863_TFH_VS_LY6C_INT_CXCR5POS_EFFECTOR_CD4_TCELL_DN.html" TargetMode="External"/><Relationship Id="rId2942" Type="http://schemas.openxmlformats.org/officeDocument/2006/relationships/hyperlink" Target="http://www.broadinstitute.org/gsea/msigdb/cards/GSE43863_TFH_VS_LY6C_LOW_CXCR5NEG_EFFECTOR_CD4_TCELL_DN.html" TargetMode="External"/><Relationship Id="rId2943" Type="http://schemas.openxmlformats.org/officeDocument/2006/relationships/hyperlink" Target="http://www.broadinstitute.org/gsea/msigdb/cards/GSE43863_TH1_VS_LY6C_INT_CXCR5POS_MEMORY_CD4_TCELL_DN.html" TargetMode="External"/><Relationship Id="rId2944" Type="http://schemas.openxmlformats.org/officeDocument/2006/relationships/hyperlink" Target="http://www.broadinstitute.org/gsea/msigdb/cards/GSE46606_IRF4MID_VS_WT_CD40L_IL2_IL5_DAY3_STIMULATED_BCELL_DN.html" TargetMode="External"/><Relationship Id="rId2945" Type="http://schemas.openxmlformats.org/officeDocument/2006/relationships/hyperlink" Target="http://www.broadinstitute.org/gsea/msigdb/cards/GSE41176_UNSTIM_VS_ANTI_IGM_STIM_BCELL_6H_UP.html" TargetMode="External"/><Relationship Id="rId2946" Type="http://schemas.openxmlformats.org/officeDocument/2006/relationships/hyperlink" Target="http://www.broadinstitute.org/gsea/msigdb/cards/GSE45365_NK_CELL_VS_BCELL_MCMV_INFECTION_UP.html" TargetMode="External"/><Relationship Id="rId2947" Type="http://schemas.openxmlformats.org/officeDocument/2006/relationships/hyperlink" Target="http://www.broadinstitute.org/gsea/msigdb/cards/GSE45365_NK_CELL_VS_CD8_TCELL_MCMV_INFECTION_UP.html" TargetMode="External"/><Relationship Id="rId2948" Type="http://schemas.openxmlformats.org/officeDocument/2006/relationships/hyperlink" Target="http://www.broadinstitute.org/gsea/msigdb/cards/GSE35825_UNTREATED_VS_IFNA_STIM_MACROPHAGE_DN.html" TargetMode="External"/><Relationship Id="rId2949" Type="http://schemas.openxmlformats.org/officeDocument/2006/relationships/hyperlink" Target="http://www.broadinstitute.org/gsea/msigdb/cards/GSE7348_UNSTIM_VS_LPS_STIM_MACROPHAGE_DN.html" TargetMode="External"/><Relationship Id="rId3300" Type="http://schemas.openxmlformats.org/officeDocument/2006/relationships/hyperlink" Target="http://www.broadinstitute.org/gsea/msigdb/cards/GSE2706_UNSTIM_VS_8H_LPS_DC_DN.html" TargetMode="External"/><Relationship Id="rId3301" Type="http://schemas.openxmlformats.org/officeDocument/2006/relationships/hyperlink" Target="http://www.broadinstitute.org/gsea/msigdb/cards/GSE2706_R848_VS_R848_AND_LPS_8H_STIM_DC_UP.html" TargetMode="External"/><Relationship Id="rId3302" Type="http://schemas.openxmlformats.org/officeDocument/2006/relationships/hyperlink" Target="http://www.broadinstitute.org/gsea/msigdb/cards/GSE2706_2H_VS_8H_R848_AND_LPS_STIM_DC_UP.html" TargetMode="External"/><Relationship Id="rId3303" Type="http://schemas.openxmlformats.org/officeDocument/2006/relationships/hyperlink" Target="http://www.broadinstitute.org/gsea/msigdb/cards/GSE27786_LSK_VS_CD4_TCELL_DN.html" TargetMode="External"/><Relationship Id="rId3304" Type="http://schemas.openxmlformats.org/officeDocument/2006/relationships/hyperlink" Target="http://www.broadinstitute.org/gsea/msigdb/cards/GSE27786_CD8_TCELL_VS_NKTCELL_DN.html" TargetMode="External"/><Relationship Id="rId3305" Type="http://schemas.openxmlformats.org/officeDocument/2006/relationships/hyperlink" Target="http://www.broadinstitute.org/gsea/msigdb/cards/GSE27786_NKCELL_VS_NKTCELL_UP.html" TargetMode="External"/><Relationship Id="rId3306" Type="http://schemas.openxmlformats.org/officeDocument/2006/relationships/hyperlink" Target="http://www.broadinstitute.org/gsea/msigdb/cards/GSE2826_WT_VS_BTK_KO_BCELL_DN.html" TargetMode="External"/><Relationship Id="rId3307" Type="http://schemas.openxmlformats.org/officeDocument/2006/relationships/hyperlink" Target="http://www.broadinstitute.org/gsea/msigdb/cards/GSE30083_SP2_VS_SP3_THYMOCYTE_DN.html" TargetMode="External"/><Relationship Id="rId3308" Type="http://schemas.openxmlformats.org/officeDocument/2006/relationships/hyperlink" Target="http://www.broadinstitute.org/gsea/msigdb/cards/GSE30962_ACUTE_VS_CHRONIC_LCMV_PRIMARY_INF_CD8_TCELL_DN.html" TargetMode="External"/><Relationship Id="rId3309" Type="http://schemas.openxmlformats.org/officeDocument/2006/relationships/hyperlink" Target="http://www.broadinstitute.org/gsea/msigdb/cards/GSE31082_CD4_VS_CD8_SP_THYMOCYTE_DN.html" TargetMode="External"/><Relationship Id="rId600" Type="http://schemas.openxmlformats.org/officeDocument/2006/relationships/hyperlink" Target="http://www.broadinstitute.org/gsea/msigdb/cards/BRUNO_HEMATOPOIESIS.html" TargetMode="External"/><Relationship Id="rId601" Type="http://schemas.openxmlformats.org/officeDocument/2006/relationships/hyperlink" Target="http://www.broadinstitute.org/gsea/msigdb/cards/MA_MYELOID_DIFFERENTIATION_DN.html" TargetMode="External"/><Relationship Id="rId602" Type="http://schemas.openxmlformats.org/officeDocument/2006/relationships/hyperlink" Target="http://www.broadinstitute.org/gsea/msigdb/cards/WANG_TARGETS_OF_MLL_CBP_FUSION_UP.html" TargetMode="External"/><Relationship Id="rId603" Type="http://schemas.openxmlformats.org/officeDocument/2006/relationships/hyperlink" Target="http://www.broadinstitute.org/gsea/msigdb/cards/CHUNG_BLISTER_CYTOTOXICITY_DN.html" TargetMode="External"/><Relationship Id="rId604" Type="http://schemas.openxmlformats.org/officeDocument/2006/relationships/hyperlink" Target="http://www.broadinstitute.org/gsea/msigdb/cards/ZHAN_MULTIPLE_MYELOMA_LB_DN.html" TargetMode="External"/><Relationship Id="rId605" Type="http://schemas.openxmlformats.org/officeDocument/2006/relationships/hyperlink" Target="http://www.broadinstitute.org/gsea/msigdb/cards/PLASARI_TGFB1_TARGETS_10HR_DN.html" TargetMode="External"/><Relationship Id="rId606" Type="http://schemas.openxmlformats.org/officeDocument/2006/relationships/hyperlink" Target="http://www.broadinstitute.org/gsea/msigdb/cards/BIOCARTA_SET_PATHWAY.html" TargetMode="External"/><Relationship Id="rId607" Type="http://schemas.openxmlformats.org/officeDocument/2006/relationships/hyperlink" Target="http://www.broadinstitute.org/gsea/msigdb/cards/FOURNIER_ACINAR_DEVELOPMENT_LATE_UP.html" TargetMode="External"/><Relationship Id="rId608" Type="http://schemas.openxmlformats.org/officeDocument/2006/relationships/hyperlink" Target="http://www.broadinstitute.org/gsea/msigdb/cards/IIZUKA_LIVER_CANCER_EARLY_RECURRENCE.html" TargetMode="External"/><Relationship Id="rId609" Type="http://schemas.openxmlformats.org/officeDocument/2006/relationships/hyperlink" Target="http://www.broadinstitute.org/gsea/msigdb/cards/ZHAN_MULTIPLE_MYELOMA_CD1_UP.html" TargetMode="External"/><Relationship Id="rId1850" Type="http://schemas.openxmlformats.org/officeDocument/2006/relationships/hyperlink" Target="http://www.broadinstitute.org/gsea/msigdb/cards/GO_SUPEROXIDE_GENERATING_NADPH_OXIDASE_ACTIVITY.html" TargetMode="External"/><Relationship Id="rId1851" Type="http://schemas.openxmlformats.org/officeDocument/2006/relationships/hyperlink" Target="http://www.broadinstitute.org/gsea/msigdb/cards/GO_CELLULAR_LIPID_METABOLIC_PROCESS.html" TargetMode="External"/><Relationship Id="rId1852" Type="http://schemas.openxmlformats.org/officeDocument/2006/relationships/hyperlink" Target="http://www.broadinstitute.org/gsea/msigdb/cards/GO_NEGATIVE_REGULATION_OF_PHOSPHORUS_METABOLIC_PROCESS.html" TargetMode="External"/><Relationship Id="rId1853" Type="http://schemas.openxmlformats.org/officeDocument/2006/relationships/hyperlink" Target="http://www.broadinstitute.org/gsea/msigdb/cards/GO_REGULATION_OF_CYTOSKELETON_ORGANIZATION.html" TargetMode="External"/><Relationship Id="rId1854" Type="http://schemas.openxmlformats.org/officeDocument/2006/relationships/hyperlink" Target="http://www.broadinstitute.org/gsea/msigdb/cards/GO_REGULATION_OF_TYPE_2_IMMUNE_RESPONSE.html" TargetMode="External"/><Relationship Id="rId1855" Type="http://schemas.openxmlformats.org/officeDocument/2006/relationships/hyperlink" Target="http://www.broadinstitute.org/gsea/msigdb/cards/GO_NATURAL_KILLER_CELL_MEDIATED_IMMUNITY.html" TargetMode="External"/><Relationship Id="rId1856" Type="http://schemas.openxmlformats.org/officeDocument/2006/relationships/hyperlink" Target="http://www.broadinstitute.org/gsea/msigdb/cards/GO_PASSIVE_TRANSMEMBRANE_TRANSPORTER_ACTIVITY.html" TargetMode="External"/><Relationship Id="rId1857" Type="http://schemas.openxmlformats.org/officeDocument/2006/relationships/hyperlink" Target="http://www.broadinstitute.org/gsea/msigdb/cards/GO_LATE_ENDOSOME.html" TargetMode="External"/><Relationship Id="rId1858" Type="http://schemas.openxmlformats.org/officeDocument/2006/relationships/hyperlink" Target="http://www.broadinstitute.org/gsea/msigdb/cards/GO_POSITIVE_REGULATION_OF_NUCLEOCYTOPLASMIC_TRANSPORT.html" TargetMode="External"/><Relationship Id="rId1859" Type="http://schemas.openxmlformats.org/officeDocument/2006/relationships/hyperlink" Target="http://www.broadinstitute.org/gsea/msigdb/cards/GO_INTRINSIC_COMPONENT_OF_ORGANELLE_MEMBRANE.html" TargetMode="External"/><Relationship Id="rId2210" Type="http://schemas.openxmlformats.org/officeDocument/2006/relationships/hyperlink" Target="http://www.broadinstitute.org/gsea/msigdb/cards/GSE6259_33D1_POS_DC_VS_CD4_TCELL_DN.html" TargetMode="External"/><Relationship Id="rId2211" Type="http://schemas.openxmlformats.org/officeDocument/2006/relationships/hyperlink" Target="http://www.broadinstitute.org/gsea/msigdb/cards/GSE3565_DUSP1_VS_WT_SPLENOCYTES_UP.html" TargetMode="External"/><Relationship Id="rId2212" Type="http://schemas.openxmlformats.org/officeDocument/2006/relationships/hyperlink" Target="http://www.broadinstitute.org/gsea/msigdb/cards/KAECH_NAIVE_VS_MEMORY_CD8_TCELL_DN.html" TargetMode="External"/><Relationship Id="rId2213" Type="http://schemas.openxmlformats.org/officeDocument/2006/relationships/hyperlink" Target="http://www.broadinstitute.org/gsea/msigdb/cards/GSE10325_CD4_TCELL_VS_BCELL_UP.html" TargetMode="External"/><Relationship Id="rId2214" Type="http://schemas.openxmlformats.org/officeDocument/2006/relationships/hyperlink" Target="http://www.broadinstitute.org/gsea/msigdb/cards/GSE10325_CD4_TCELL_VS_BCELL_DN.html" TargetMode="External"/><Relationship Id="rId2215" Type="http://schemas.openxmlformats.org/officeDocument/2006/relationships/hyperlink" Target="http://www.broadinstitute.org/gsea/msigdb/cards/GSE11057_CD4_CENT_MEM_VS_PBMC_DN.html" TargetMode="External"/><Relationship Id="rId2216" Type="http://schemas.openxmlformats.org/officeDocument/2006/relationships/hyperlink" Target="http://www.broadinstitute.org/gsea/msigdb/cards/GSE15767_MED_VS_SCS_MAC_LN_UP.html" TargetMode="External"/><Relationship Id="rId2217" Type="http://schemas.openxmlformats.org/officeDocument/2006/relationships/hyperlink" Target="http://www.broadinstitute.org/gsea/msigdb/cards/GSE24634_TREG_VS_TCONV_POST_DAY5_IL4_CONVERSION_DN.html" TargetMode="External"/><Relationship Id="rId2218" Type="http://schemas.openxmlformats.org/officeDocument/2006/relationships/hyperlink" Target="http://www.broadinstitute.org/gsea/msigdb/cards/GSE26495_NAIVE_VS_PD1HIGH_CD8_TCELL_DN.html" TargetMode="External"/><Relationship Id="rId2219" Type="http://schemas.openxmlformats.org/officeDocument/2006/relationships/hyperlink" Target="http://www.broadinstitute.org/gsea/msigdb/cards/GSE29618_BCELL_VS_MONOCYTE_DAY7_FLU_VACCINE_DN.html" TargetMode="External"/><Relationship Id="rId1120" Type="http://schemas.openxmlformats.org/officeDocument/2006/relationships/hyperlink" Target="http://www.broadinstitute.org/gsea/msigdb/cards/GO_POSITIVE_REGULATION_OF_INTRACELLULAR_SIGNAL_TRANSDUCTION.html" TargetMode="External"/><Relationship Id="rId1121" Type="http://schemas.openxmlformats.org/officeDocument/2006/relationships/hyperlink" Target="http://www.broadinstitute.org/gsea/msigdb/cards/GO_POSITIVE_REGULATION_OF_INTERFERON_GAMMA_PRODUCTION.html" TargetMode="External"/><Relationship Id="rId1122" Type="http://schemas.openxmlformats.org/officeDocument/2006/relationships/hyperlink" Target="http://www.broadinstitute.org/gsea/msigdb/cards/GO_ADAPTIVE_IMMUNE_RESPONSE_BASED_ON_SOMATIC_RECOMBINATION_OF_IMMUNE_RECEPTORS_BUILT_FROM_IMMUNOGLOBULIN_SUPERFAMILY_DOMAINS.html" TargetMode="External"/><Relationship Id="rId1123" Type="http://schemas.openxmlformats.org/officeDocument/2006/relationships/hyperlink" Target="http://www.broadinstitute.org/gsea/msigdb/cards/GO_CYTOKINE_RECEPTOR_ACTIVITY.html" TargetMode="External"/><Relationship Id="rId1124" Type="http://schemas.openxmlformats.org/officeDocument/2006/relationships/hyperlink" Target="http://www.broadinstitute.org/gsea/msigdb/cards/GO_POSITIVE_REGULATION_OF_RESPONSE_TO_EXTERNAL_STIMULUS.html" TargetMode="External"/><Relationship Id="rId4400" Type="http://schemas.openxmlformats.org/officeDocument/2006/relationships/hyperlink" Target="http://www.broadinstitute.org/gsea/msigdb/cards/GSE17974_0H_VS_2H_IN_VITRO_ACT_CD4_TCELL_UP.html" TargetMode="External"/><Relationship Id="rId4401" Type="http://schemas.openxmlformats.org/officeDocument/2006/relationships/hyperlink" Target="http://www.broadinstitute.org/gsea/msigdb/cards/GSE17974_CTRL_VS_ACT_IL4_AND_ANTI_IL12_6H_CD4_TCELL_UP.html" TargetMode="External"/><Relationship Id="rId4402" Type="http://schemas.openxmlformats.org/officeDocument/2006/relationships/hyperlink" Target="http://www.broadinstitute.org/gsea/msigdb/cards/GSE17974_CTRL_VS_ACT_IL4_AND_ANTI_IL12_12H_CD4_TCELL_UP.html" TargetMode="External"/><Relationship Id="rId4403" Type="http://schemas.openxmlformats.org/officeDocument/2006/relationships/hyperlink" Target="http://www.broadinstitute.org/gsea/msigdb/cards/GSE17974_IL4_AND_ANTI_IL12_VS_UNTREATED_6H_ACT_CD4_TCELL_UP.html" TargetMode="External"/><Relationship Id="rId4404" Type="http://schemas.openxmlformats.org/officeDocument/2006/relationships/hyperlink" Target="http://www.broadinstitute.org/gsea/msigdb/cards/GSE17974_IL4_AND_ANTI_IL12_VS_UNTREATED_72H_ACT_CD4_TCELL_UP.html" TargetMode="External"/><Relationship Id="rId4405" Type="http://schemas.openxmlformats.org/officeDocument/2006/relationships/hyperlink" Target="http://www.broadinstitute.org/gsea/msigdb/cards/GSE17974_1H_VS_72H_UNTREATED_IN_VITRO_CD4_TCELL_UP.html" TargetMode="External"/><Relationship Id="rId4406" Type="http://schemas.openxmlformats.org/officeDocument/2006/relationships/hyperlink" Target="http://www.broadinstitute.org/gsea/msigdb/cards/GSE17974_2.5H_VS_72H_IL4_AND_ANTI_IL12_ACT_CD4_TCELL_UP.html" TargetMode="External"/><Relationship Id="rId4407" Type="http://schemas.openxmlformats.org/officeDocument/2006/relationships/hyperlink" Target="http://www.broadinstitute.org/gsea/msigdb/cards/GSE18791_CTRL_VS_NEWCASTLE_VIRUS_DC_14H_UP.html" TargetMode="External"/><Relationship Id="rId4408" Type="http://schemas.openxmlformats.org/officeDocument/2006/relationships/hyperlink" Target="http://www.broadinstitute.org/gsea/msigdb/cards/GSE18791_CTRL_VS_NEWCASTLE_VIRUS_DC_18H_UP.html" TargetMode="External"/><Relationship Id="rId4409" Type="http://schemas.openxmlformats.org/officeDocument/2006/relationships/hyperlink" Target="http://www.broadinstitute.org/gsea/msigdb/cards/GSE20366_EX_VIVO_VS_DEC205_CONVERSION_DN.html" TargetMode="External"/><Relationship Id="rId1125" Type="http://schemas.openxmlformats.org/officeDocument/2006/relationships/hyperlink" Target="http://www.broadinstitute.org/gsea/msigdb/cards/GO_NEGATIVE_REGULATION_OF_MULTICELLULAR_ORGANISMAL_PROCESS.html" TargetMode="External"/><Relationship Id="rId1126" Type="http://schemas.openxmlformats.org/officeDocument/2006/relationships/hyperlink" Target="http://www.broadinstitute.org/gsea/msigdb/cards/GO_LEUKOCYTE_CHEMOTAXIS.html" TargetMode="External"/><Relationship Id="rId1127" Type="http://schemas.openxmlformats.org/officeDocument/2006/relationships/hyperlink" Target="http://www.broadinstitute.org/gsea/msigdb/cards/GO_REGULATION_OF_T_CELL_DIFFERENTIATION.html" TargetMode="External"/><Relationship Id="rId1128" Type="http://schemas.openxmlformats.org/officeDocument/2006/relationships/hyperlink" Target="http://www.broadinstitute.org/gsea/msigdb/cards/GO_REGULATION_OF_LEUKOCYTE_MIGRATION.html" TargetMode="External"/><Relationship Id="rId1129" Type="http://schemas.openxmlformats.org/officeDocument/2006/relationships/hyperlink" Target="http://www.broadinstitute.org/gsea/msigdb/cards/GO_DEFENSE_RESPONSE_TO_OTHER_ORGANISM.html" TargetMode="External"/><Relationship Id="rId2950" Type="http://schemas.openxmlformats.org/officeDocument/2006/relationships/hyperlink" Target="http://www.broadinstitute.org/gsea/msigdb/cards/GSE26488_WT_VS_VP16_TRANSGENIC_HDAC7_KO_DOUBLE_POSITIVE_THYMOCYTE_DN.html" TargetMode="External"/><Relationship Id="rId2951" Type="http://schemas.openxmlformats.org/officeDocument/2006/relationships/hyperlink" Target="http://www.broadinstitute.org/gsea/msigdb/cards/GSE43863_NAIVE_VS_TFH_CD4_EFF_TCELL_D6_LCMV_DN.html" TargetMode="External"/><Relationship Id="rId2952" Type="http://schemas.openxmlformats.org/officeDocument/2006/relationships/hyperlink" Target="http://www.broadinstitute.org/gsea/msigdb/cards/GSE6269_HEALTHY_VS_STAPH_PNEUMO_INF_PBMC_DN.html" TargetMode="External"/><Relationship Id="rId2953" Type="http://schemas.openxmlformats.org/officeDocument/2006/relationships/hyperlink" Target="http://www.broadinstitute.org/gsea/msigdb/cards/GSE21360_NAIVE_VS_SECONDARY_MEMORY_CD8_TCELL_DN.html" TargetMode="External"/><Relationship Id="rId2954" Type="http://schemas.openxmlformats.org/officeDocument/2006/relationships/hyperlink" Target="http://www.broadinstitute.org/gsea/msigdb/cards/GSE13946_CTRL_VS_DSS_COLITIS_GD_TCELL_FROM_COLON_DN.html" TargetMode="External"/><Relationship Id="rId2955" Type="http://schemas.openxmlformats.org/officeDocument/2006/relationships/hyperlink" Target="http://www.broadinstitute.org/gsea/msigdb/cards/GSE32901_TH1_VS_TH17_ENRICHED_CD4_TCELL_UP.html" TargetMode="External"/><Relationship Id="rId2956" Type="http://schemas.openxmlformats.org/officeDocument/2006/relationships/hyperlink" Target="http://www.broadinstitute.org/gsea/msigdb/cards/GSE15624_CTRL_VS_6H_HALOFUGINONE_TREATED_CD4_TCELL_UP.html" TargetMode="External"/><Relationship Id="rId2957" Type="http://schemas.openxmlformats.org/officeDocument/2006/relationships/hyperlink" Target="http://www.broadinstitute.org/gsea/msigdb/cards/GSE14415_NATURAL_TREG_VS_TCONV_UP.html" TargetMode="External"/><Relationship Id="rId2958" Type="http://schemas.openxmlformats.org/officeDocument/2006/relationships/hyperlink" Target="http://www.broadinstitute.org/gsea/msigdb/cards/GSE20727_CTRL_VS_ROS_INHIBITOR_TREATED_DC_DN.html" TargetMode="External"/><Relationship Id="rId2959" Type="http://schemas.openxmlformats.org/officeDocument/2006/relationships/hyperlink" Target="http://www.broadinstitute.org/gsea/msigdb/cards/GSE5542_UNTREATED_VS_IFNA_AND_IFNG_TREATED_EPITHELIAL_CELLS_6H_DN.html" TargetMode="External"/><Relationship Id="rId3310" Type="http://schemas.openxmlformats.org/officeDocument/2006/relationships/hyperlink" Target="http://www.broadinstitute.org/gsea/msigdb/cards/GSE32423_IL7_VS_IL7_IL4_NAIVE_CD8_TCELL_DN.html" TargetMode="External"/><Relationship Id="rId3311" Type="http://schemas.openxmlformats.org/officeDocument/2006/relationships/hyperlink" Target="http://www.broadinstitute.org/gsea/msigdb/cards/GSE360_CTRL_VS_L_MAJOR_DC_UP.html" TargetMode="External"/><Relationship Id="rId3312" Type="http://schemas.openxmlformats.org/officeDocument/2006/relationships/hyperlink" Target="http://www.broadinstitute.org/gsea/msigdb/cards/GSE360_CTRL_VS_T_GONDII_DC_DN.html" TargetMode="External"/><Relationship Id="rId3313" Type="http://schemas.openxmlformats.org/officeDocument/2006/relationships/hyperlink" Target="http://www.broadinstitute.org/gsea/msigdb/cards/GSE360_DC_VS_MAC_M_TUBERCULOSIS_DN.html" TargetMode="External"/><Relationship Id="rId3314" Type="http://schemas.openxmlformats.org/officeDocument/2006/relationships/hyperlink" Target="http://www.broadinstitute.org/gsea/msigdb/cards/GSE360_T_GONDII_VS_B_MALAYI_HIGH_DOSE_DC_DN.html" TargetMode="External"/><Relationship Id="rId3315" Type="http://schemas.openxmlformats.org/officeDocument/2006/relationships/hyperlink" Target="http://www.broadinstitute.org/gsea/msigdb/cards/GSE36392_MAC_VS_NEUTROPHIL_IL25_TREATED_LUNG_DN.html" TargetMode="External"/><Relationship Id="rId3316" Type="http://schemas.openxmlformats.org/officeDocument/2006/relationships/hyperlink" Target="http://www.broadinstitute.org/gsea/msigdb/cards/GSE36476_CTRL_VS_TSST_ACT_16H_MEMORY_CD4_TCELL_YOUNG_DN.html" TargetMode="External"/><Relationship Id="rId3317" Type="http://schemas.openxmlformats.org/officeDocument/2006/relationships/hyperlink" Target="http://www.broadinstitute.org/gsea/msigdb/cards/GSE36476_CTRL_VS_TSST_ACT_40H_MEMORY_CD4_TCELL_YOUNG_UP.html" TargetMode="External"/><Relationship Id="rId3318" Type="http://schemas.openxmlformats.org/officeDocument/2006/relationships/hyperlink" Target="http://www.broadinstitute.org/gsea/msigdb/cards/GSE3982_DC_VS_CENT_MEMORY_CD4_TCELL_DN.html" TargetMode="External"/><Relationship Id="rId3319" Type="http://schemas.openxmlformats.org/officeDocument/2006/relationships/hyperlink" Target="http://www.broadinstitute.org/gsea/msigdb/cards/GSE3982_MAC_VS_NEUTROPHIL_DN.html" TargetMode="External"/><Relationship Id="rId610" Type="http://schemas.openxmlformats.org/officeDocument/2006/relationships/hyperlink" Target="http://www.broadinstitute.org/gsea/msigdb/cards/ST_INTERLEUKIN_4_PATHWAY.html" TargetMode="External"/><Relationship Id="rId611" Type="http://schemas.openxmlformats.org/officeDocument/2006/relationships/hyperlink" Target="http://www.broadinstitute.org/gsea/msigdb/cards/CHEN_LIVER_METABOLISM_QTL_CIS.html" TargetMode="External"/><Relationship Id="rId612" Type="http://schemas.openxmlformats.org/officeDocument/2006/relationships/hyperlink" Target="http://www.broadinstitute.org/gsea/msigdb/cards/HAHTOLA_CTCL_CUTANEOUS.html" TargetMode="External"/><Relationship Id="rId613" Type="http://schemas.openxmlformats.org/officeDocument/2006/relationships/hyperlink" Target="http://www.broadinstitute.org/gsea/msigdb/cards/BROWNE_HCMV_INFECTION_30MIN_DN.html" TargetMode="External"/><Relationship Id="rId614" Type="http://schemas.openxmlformats.org/officeDocument/2006/relationships/hyperlink" Target="http://www.broadinstitute.org/gsea/msigdb/cards/KEGG_LYSOSOME.html" TargetMode="External"/><Relationship Id="rId615" Type="http://schemas.openxmlformats.org/officeDocument/2006/relationships/hyperlink" Target="http://www.broadinstitute.org/gsea/msigdb/cards/ZHOU_INFLAMMATORY_RESPONSE_FIMA_UP.html" TargetMode="External"/><Relationship Id="rId616" Type="http://schemas.openxmlformats.org/officeDocument/2006/relationships/hyperlink" Target="http://www.broadinstitute.org/gsea/msigdb/cards/BIOCARTA_KERATINOCYTE_PATHWAY.html" TargetMode="External"/><Relationship Id="rId617" Type="http://schemas.openxmlformats.org/officeDocument/2006/relationships/hyperlink" Target="http://www.broadinstitute.org/gsea/msigdb/cards/SIG_BCR_SIGNALING_PATHWAY.html" TargetMode="External"/><Relationship Id="rId618" Type="http://schemas.openxmlformats.org/officeDocument/2006/relationships/hyperlink" Target="http://www.broadinstitute.org/gsea/msigdb/cards/OSADA_ASCL1_TARGETS_UP.html" TargetMode="External"/><Relationship Id="rId619" Type="http://schemas.openxmlformats.org/officeDocument/2006/relationships/hyperlink" Target="http://www.broadinstitute.org/gsea/msigdb/cards/NUTT_GBM_VS_AO_GLIOMA_UP.html" TargetMode="External"/><Relationship Id="rId1860" Type="http://schemas.openxmlformats.org/officeDocument/2006/relationships/hyperlink" Target="http://www.broadinstitute.org/gsea/msigdb/cards/GO_INORGANIC_ION_TRANSMEMBRANE_TRANSPORT.html" TargetMode="External"/><Relationship Id="rId1861" Type="http://schemas.openxmlformats.org/officeDocument/2006/relationships/hyperlink" Target="http://www.broadinstitute.org/gsea/msigdb/cards/GO_LOCALIZATION_WITHIN_MEMBRANE.html" TargetMode="External"/><Relationship Id="rId1862" Type="http://schemas.openxmlformats.org/officeDocument/2006/relationships/hyperlink" Target="http://www.broadinstitute.org/gsea/msigdb/cards/GO_HUMORAL_IMMUNE_RESPONSE_MEDIATED_BY_CIRCULATING_IMMUNOGLOBULIN.html" TargetMode="External"/><Relationship Id="rId1863" Type="http://schemas.openxmlformats.org/officeDocument/2006/relationships/hyperlink" Target="http://www.broadinstitute.org/gsea/msigdb/cards/GO_REGULATION_OF_CELL_DEVELOPMENT.html" TargetMode="External"/><Relationship Id="rId1864" Type="http://schemas.openxmlformats.org/officeDocument/2006/relationships/hyperlink" Target="http://www.broadinstitute.org/gsea/msigdb/cards/GO_REGULATION_OF_ACTIN_NUCLEATION.html" TargetMode="External"/><Relationship Id="rId1865" Type="http://schemas.openxmlformats.org/officeDocument/2006/relationships/hyperlink" Target="http://www.broadinstitute.org/gsea/msigdb/cards/GO_NEGATIVE_REGULATION_OF_LYMPHOCYTE_APOPTOTIC_PROCESS.html" TargetMode="External"/><Relationship Id="rId1866" Type="http://schemas.openxmlformats.org/officeDocument/2006/relationships/hyperlink" Target="http://www.broadinstitute.org/gsea/msigdb/cards/GO_REGULATION_OF_RAS_PROTEIN_SIGNAL_TRANSDUCTION.html" TargetMode="External"/><Relationship Id="rId1867" Type="http://schemas.openxmlformats.org/officeDocument/2006/relationships/hyperlink" Target="http://www.broadinstitute.org/gsea/msigdb/cards/GO_POSITIVE_REGULATION_OF_TYPE_I_INTERFERON_PRODUCTION.html" TargetMode="External"/><Relationship Id="rId1868" Type="http://schemas.openxmlformats.org/officeDocument/2006/relationships/hyperlink" Target="http://www.broadinstitute.org/gsea/msigdb/cards/GO_REACTIVE_OXYGEN_SPECIES_METABOLIC_PROCESS.html" TargetMode="External"/><Relationship Id="rId1869" Type="http://schemas.openxmlformats.org/officeDocument/2006/relationships/hyperlink" Target="http://www.broadinstitute.org/gsea/msigdb/cards/GO_NATURAL_KILLER_CELL_DIFFERENTIATION.html" TargetMode="External"/><Relationship Id="rId2220" Type="http://schemas.openxmlformats.org/officeDocument/2006/relationships/hyperlink" Target="http://www.broadinstitute.org/gsea/msigdb/cards/GSE3039_ALPHAALPHA_VS_ALPHABETA_CD8_TCELL_DN.html" TargetMode="External"/><Relationship Id="rId2221" Type="http://schemas.openxmlformats.org/officeDocument/2006/relationships/hyperlink" Target="http://www.broadinstitute.org/gsea/msigdb/cards/GSE5589_LPS_VS_LPS_AND_IL10_STIM_IL10_KO_MACROPHAGE_45MIN_DN.html" TargetMode="External"/><Relationship Id="rId2222" Type="http://schemas.openxmlformats.org/officeDocument/2006/relationships/hyperlink" Target="http://www.broadinstitute.org/gsea/msigdb/cards/GSE21360_PRIMARY_VS_TERTIARY_MEMORY_CD8_TCELL_DN.html" TargetMode="External"/><Relationship Id="rId2223" Type="http://schemas.openxmlformats.org/officeDocument/2006/relationships/hyperlink" Target="http://www.broadinstitute.org/gsea/msigdb/cards/GSE23568_ID3_KO_VS_WT_CD8_TCELL_DN.html" TargetMode="External"/><Relationship Id="rId2224" Type="http://schemas.openxmlformats.org/officeDocument/2006/relationships/hyperlink" Target="http://www.broadinstitute.org/gsea/msigdb/cards/GSE32986_CURDLAN_HIGHDOSE_VS_GMCSF_AND_CURDLAN_HIGHDOSE_STIM_DC_DN.html" TargetMode="External"/><Relationship Id="rId2225" Type="http://schemas.openxmlformats.org/officeDocument/2006/relationships/hyperlink" Target="http://www.broadinstitute.org/gsea/msigdb/cards/GSE26343_UNSTIM_VS_LPS_STIM_NFAT5_KO_MACROPHAGE_DN.html" TargetMode="External"/><Relationship Id="rId2226" Type="http://schemas.openxmlformats.org/officeDocument/2006/relationships/hyperlink" Target="http://www.broadinstitute.org/gsea/msigdb/cards/GSE41176_UNSTIM_VS_ANTI_IGM_STIM_BCELL_1H_DN.html" TargetMode="External"/><Relationship Id="rId2227" Type="http://schemas.openxmlformats.org/officeDocument/2006/relationships/hyperlink" Target="http://www.broadinstitute.org/gsea/msigdb/cards/GSE45365_NK_CELL_VS_CD11B_DC_MCMV_INFECTION_DN.html" TargetMode="External"/><Relationship Id="rId2228" Type="http://schemas.openxmlformats.org/officeDocument/2006/relationships/hyperlink" Target="http://www.broadinstitute.org/gsea/msigdb/cards/GSE15330_LYMPHOID_MULTIPOTENT_VS_MEGAKARYOCYTE_ERYTHROID_PROGENITOR_IKAROS_KO_DN.html" TargetMode="External"/><Relationship Id="rId2229" Type="http://schemas.openxmlformats.org/officeDocument/2006/relationships/hyperlink" Target="http://www.broadinstitute.org/gsea/msigdb/cards/GSE40685_TREG_VS_FOXP3_KO_TREG_PRECURSOR_DN.html" TargetMode="External"/><Relationship Id="rId1130" Type="http://schemas.openxmlformats.org/officeDocument/2006/relationships/hyperlink" Target="http://www.broadinstitute.org/gsea/msigdb/cards/GO_VACUOLE.html" TargetMode="External"/><Relationship Id="rId1131" Type="http://schemas.openxmlformats.org/officeDocument/2006/relationships/hyperlink" Target="http://www.broadinstitute.org/gsea/msigdb/cards/GO_POSITIVE_REGULATION_OF_CYTOKINE_BIOSYNTHETIC_PROCESS.html" TargetMode="External"/><Relationship Id="rId1132" Type="http://schemas.openxmlformats.org/officeDocument/2006/relationships/hyperlink" Target="http://www.broadinstitute.org/gsea/msigdb/cards/GO_RESPONSE_TO_OXYGEN_CONTAINING_COMPOUND.html" TargetMode="External"/><Relationship Id="rId1133" Type="http://schemas.openxmlformats.org/officeDocument/2006/relationships/hyperlink" Target="http://www.broadinstitute.org/gsea/msigdb/cards/GO_NEGATIVE_REGULATION_OF_CYTOKINE_PRODUCTION.html" TargetMode="External"/><Relationship Id="rId1134" Type="http://schemas.openxmlformats.org/officeDocument/2006/relationships/hyperlink" Target="http://www.broadinstitute.org/gsea/msigdb/cards/GO_CELL_CHEMOTAXIS.html" TargetMode="External"/><Relationship Id="rId4410" Type="http://schemas.openxmlformats.org/officeDocument/2006/relationships/hyperlink" Target="http://www.broadinstitute.org/gsea/msigdb/cards/GSE20715_WT_VS_TLR4_KO_24H_OZONE_LUNG_UP.html" TargetMode="External"/><Relationship Id="rId4411" Type="http://schemas.openxmlformats.org/officeDocument/2006/relationships/hyperlink" Target="http://www.broadinstitute.org/gsea/msigdb/cards/GSE2197_CPG_DNA_VS_UNTREATED_IN_DC_DN.html" TargetMode="External"/><Relationship Id="rId4412" Type="http://schemas.openxmlformats.org/officeDocument/2006/relationships/hyperlink" Target="http://www.broadinstitute.org/gsea/msigdb/cards/GSE22886_DAY0_VS_DAY7_MONOCYTE_IN_CULTURE_DN.html" TargetMode="External"/><Relationship Id="rId4413" Type="http://schemas.openxmlformats.org/officeDocument/2006/relationships/hyperlink" Target="http://www.broadinstitute.org/gsea/msigdb/cards/GSE22886_NEUTROPHIL_VS_MONOCYTE_DN.html" TargetMode="External"/><Relationship Id="rId4414" Type="http://schemas.openxmlformats.org/officeDocument/2006/relationships/hyperlink" Target="http://www.broadinstitute.org/gsea/msigdb/cards/GSE22886_TH1_VS_TH2_12H_ACT_UP.html" TargetMode="External"/><Relationship Id="rId4415" Type="http://schemas.openxmlformats.org/officeDocument/2006/relationships/hyperlink" Target="http://www.broadinstitute.org/gsea/msigdb/cards/GSE22886_TH1_VS_TH2_48H_ACT_UP.html" TargetMode="External"/><Relationship Id="rId4416" Type="http://schemas.openxmlformats.org/officeDocument/2006/relationships/hyperlink" Target="http://www.broadinstitute.org/gsea/msigdb/cards/GSE22886_TH1_VS_TH2_48H_ACT_DN.html" TargetMode="External"/><Relationship Id="rId4417" Type="http://schemas.openxmlformats.org/officeDocument/2006/relationships/hyperlink" Target="http://www.broadinstitute.org/gsea/msigdb/cards/GSE22886_NAIVE_CD4_TCELL_VS_12H_ACT_TH1_UP.html" TargetMode="External"/><Relationship Id="rId4418" Type="http://schemas.openxmlformats.org/officeDocument/2006/relationships/hyperlink" Target="http://www.broadinstitute.org/gsea/msigdb/cards/GSE22886_NAIVE_CD4_TCELL_VS_12H_ACT_TH2_UP.html" TargetMode="External"/><Relationship Id="rId4419" Type="http://schemas.openxmlformats.org/officeDocument/2006/relationships/hyperlink" Target="http://www.broadinstitute.org/gsea/msigdb/cards/GSE22886_UNSTIM_VS_IL2_STIM_NKCELL_UP.html" TargetMode="External"/><Relationship Id="rId1135" Type="http://schemas.openxmlformats.org/officeDocument/2006/relationships/hyperlink" Target="http://www.broadinstitute.org/gsea/msigdb/cards/GO_LYTIC_VACUOLE.html" TargetMode="External"/><Relationship Id="rId1136" Type="http://schemas.openxmlformats.org/officeDocument/2006/relationships/hyperlink" Target="http://www.broadinstitute.org/gsea/msigdb/cards/GO_CELLULAR_DEFENSE_RESPONSE.html" TargetMode="External"/><Relationship Id="rId1137" Type="http://schemas.openxmlformats.org/officeDocument/2006/relationships/hyperlink" Target="http://www.broadinstitute.org/gsea/msigdb/cards/GO_REGULATION_OF_B_CELL_ACTIVATION.html" TargetMode="External"/><Relationship Id="rId1138" Type="http://schemas.openxmlformats.org/officeDocument/2006/relationships/hyperlink" Target="http://www.broadinstitute.org/gsea/msigdb/cards/GO_ENDOCYTOSIS.html" TargetMode="External"/><Relationship Id="rId1139" Type="http://schemas.openxmlformats.org/officeDocument/2006/relationships/hyperlink" Target="http://www.broadinstitute.org/gsea/msigdb/cards/GO_LYMPHOCYTE_ACTIVATION_INVOLVED_IN_IMMUNE_RESPONSE.html" TargetMode="External"/><Relationship Id="rId2960" Type="http://schemas.openxmlformats.org/officeDocument/2006/relationships/hyperlink" Target="http://www.broadinstitute.org/gsea/msigdb/cards/GSE21670_STAT3_KO_VS_WT_CD4_TCELL_DN.html" TargetMode="External"/><Relationship Id="rId2961" Type="http://schemas.openxmlformats.org/officeDocument/2006/relationships/hyperlink" Target="http://www.broadinstitute.org/gsea/msigdb/cards/GSE3720_UNSTIM_VS_PMA_STIM_VD1_GAMMADELTA_TCELL_UP.html" TargetMode="External"/><Relationship Id="rId2962" Type="http://schemas.openxmlformats.org/officeDocument/2006/relationships/hyperlink" Target="http://www.broadinstitute.org/gsea/msigdb/cards/KAECH_DAY8_EFF_VS_MEMORY_CD8_TCELL_DN.html" TargetMode="External"/><Relationship Id="rId2963" Type="http://schemas.openxmlformats.org/officeDocument/2006/relationships/hyperlink" Target="http://www.broadinstitute.org/gsea/msigdb/cards/GOLDRATH_NAIVE_VS_EFF_CD8_TCELL_UP.html" TargetMode="External"/><Relationship Id="rId2964" Type="http://schemas.openxmlformats.org/officeDocument/2006/relationships/hyperlink" Target="http://www.broadinstitute.org/gsea/msigdb/cards/GSE11864_CSF1_IFNG_VS_CSF1_PAM3CYS_IN_MAC_UP.html" TargetMode="External"/><Relationship Id="rId2965" Type="http://schemas.openxmlformats.org/officeDocument/2006/relationships/hyperlink" Target="http://www.broadinstitute.org/gsea/msigdb/cards/GSE12845_IGD_NEG_BLOOD_VS_DARKZONE_GC_TONSIL_BCELL_UP.html" TargetMode="External"/><Relationship Id="rId2966" Type="http://schemas.openxmlformats.org/officeDocument/2006/relationships/hyperlink" Target="http://www.broadinstitute.org/gsea/msigdb/cards/GSE13484_12H_UNSTIM_VS_YF17D_VACCINE_STIM_PBMC_DN.html" TargetMode="External"/><Relationship Id="rId2967" Type="http://schemas.openxmlformats.org/officeDocument/2006/relationships/hyperlink" Target="http://www.broadinstitute.org/gsea/msigdb/cards/GSE14000_4H_VS_16H_LPS_DC_TRANSLATED_RNA_UP.html" TargetMode="External"/><Relationship Id="rId2968" Type="http://schemas.openxmlformats.org/officeDocument/2006/relationships/hyperlink" Target="http://www.broadinstitute.org/gsea/msigdb/cards/GSE1432_6H_VS_24H_IFNG_MICROGLIA_UP.html" TargetMode="External"/><Relationship Id="rId2969" Type="http://schemas.openxmlformats.org/officeDocument/2006/relationships/hyperlink" Target="http://www.broadinstitute.org/gsea/msigdb/cards/GSE17580_TREG_VS_TEFF_S_MANSONI_INF_UP.html" TargetMode="External"/><Relationship Id="rId3320" Type="http://schemas.openxmlformats.org/officeDocument/2006/relationships/hyperlink" Target="http://www.broadinstitute.org/gsea/msigdb/cards/GSE3982_MAC_VS_NKCELL_UP.html" TargetMode="External"/><Relationship Id="rId3321" Type="http://schemas.openxmlformats.org/officeDocument/2006/relationships/hyperlink" Target="http://www.broadinstitute.org/gsea/msigdb/cards/GSE3982_MAC_VS_TH2_UP.html" TargetMode="External"/><Relationship Id="rId3322" Type="http://schemas.openxmlformats.org/officeDocument/2006/relationships/hyperlink" Target="http://www.broadinstitute.org/gsea/msigdb/cards/GSE39820_CTRL_VS_IL1B_IL6_CD4_TCELL_DN.html" TargetMode="External"/><Relationship Id="rId3323" Type="http://schemas.openxmlformats.org/officeDocument/2006/relationships/hyperlink" Target="http://www.broadinstitute.org/gsea/msigdb/cards/GSE39820_IL1B_IL6_VS_IL1B_IL6_IL23A_TREATED_CD4_TCELL_DN.html" TargetMode="External"/><Relationship Id="rId3324" Type="http://schemas.openxmlformats.org/officeDocument/2006/relationships/hyperlink" Target="http://www.broadinstitute.org/gsea/msigdb/cards/GSE7460_TCONV_VS_TREG_LN_UP.html" TargetMode="External"/><Relationship Id="rId3325" Type="http://schemas.openxmlformats.org/officeDocument/2006/relationships/hyperlink" Target="http://www.broadinstitute.org/gsea/msigdb/cards/GSE7460_FOXP3_MUT_VS_HET_ACT_TCONV_UP.html" TargetMode="External"/><Relationship Id="rId3326" Type="http://schemas.openxmlformats.org/officeDocument/2006/relationships/hyperlink" Target="http://www.broadinstitute.org/gsea/msigdb/cards/GSE7852_LN_VS_THYMUS_TCONV_UP.html" TargetMode="External"/><Relationship Id="rId3327" Type="http://schemas.openxmlformats.org/officeDocument/2006/relationships/hyperlink" Target="http://www.broadinstitute.org/gsea/msigdb/cards/GSE9988_LPS_VS_LPS_AND_ANTI_TREM1_MONOCYTE_DN.html" TargetMode="External"/><Relationship Id="rId3328" Type="http://schemas.openxmlformats.org/officeDocument/2006/relationships/hyperlink" Target="http://www.broadinstitute.org/gsea/msigdb/cards/GSE2770_TGFB_AND_IL4_VS_IL12_TREATED_ACT_CD4_TCELL_48H_DN.html" TargetMode="External"/><Relationship Id="rId3329" Type="http://schemas.openxmlformats.org/officeDocument/2006/relationships/hyperlink" Target="http://www.broadinstitute.org/gsea/msigdb/cards/GSE2770_TGFB_AND_IL4_ACT_VS_ACT_CD4_TCELL_48H_UP.html" TargetMode="External"/><Relationship Id="rId620" Type="http://schemas.openxmlformats.org/officeDocument/2006/relationships/hyperlink" Target="http://www.broadinstitute.org/gsea/msigdb/cards/TURASHVILI_BREAST_LOBULAR_CARCINOMA_VS_DUCTAL_NORMAL_UP.html" TargetMode="External"/><Relationship Id="rId621" Type="http://schemas.openxmlformats.org/officeDocument/2006/relationships/hyperlink" Target="http://www.broadinstitute.org/gsea/msigdb/cards/OKUMURA_INFLAMMATORY_RESPONSE_LPS.html" TargetMode="External"/><Relationship Id="rId622" Type="http://schemas.openxmlformats.org/officeDocument/2006/relationships/hyperlink" Target="http://www.broadinstitute.org/gsea/msigdb/cards/PID_IL3_PATHWAY.html" TargetMode="External"/><Relationship Id="rId623" Type="http://schemas.openxmlformats.org/officeDocument/2006/relationships/hyperlink" Target="http://www.broadinstitute.org/gsea/msigdb/cards/YE_METASTATIC_LIVER_CANCER.html" TargetMode="External"/><Relationship Id="rId624" Type="http://schemas.openxmlformats.org/officeDocument/2006/relationships/hyperlink" Target="http://www.broadinstitute.org/gsea/msigdb/cards/BRACHAT_RESPONSE_TO_METHOTREXATE_DN.html" TargetMode="External"/><Relationship Id="rId625" Type="http://schemas.openxmlformats.org/officeDocument/2006/relationships/hyperlink" Target="http://www.broadinstitute.org/gsea/msigdb/cards/GARY_CD5_TARGETS_DN.html" TargetMode="External"/><Relationship Id="rId626" Type="http://schemas.openxmlformats.org/officeDocument/2006/relationships/hyperlink" Target="http://www.broadinstitute.org/gsea/msigdb/cards/REACTOME_G_ALPHA_Q_SIGNALLING_EVENTS.html" TargetMode="External"/><Relationship Id="rId627" Type="http://schemas.openxmlformats.org/officeDocument/2006/relationships/hyperlink" Target="http://www.broadinstitute.org/gsea/msigdb/cards/RAGHAVACHARI_PLATELET_SPECIFIC_GENES.html" TargetMode="External"/><Relationship Id="rId628" Type="http://schemas.openxmlformats.org/officeDocument/2006/relationships/hyperlink" Target="http://www.broadinstitute.org/gsea/msigdb/cards/ZHAN_MULTIPLE_MYELOMA_MF_UP.html" TargetMode="External"/><Relationship Id="rId629" Type="http://schemas.openxmlformats.org/officeDocument/2006/relationships/hyperlink" Target="http://www.broadinstitute.org/gsea/msigdb/cards/TONKS_TARGETS_OF_RUNX1_RUNX1T1_FUSION_HSC_UP.html" TargetMode="External"/><Relationship Id="rId1870" Type="http://schemas.openxmlformats.org/officeDocument/2006/relationships/hyperlink" Target="http://www.broadinstitute.org/gsea/msigdb/cards/GO_REGULATION_OF_VITAMIN_METABOLIC_PROCESS.html" TargetMode="External"/><Relationship Id="rId1871" Type="http://schemas.openxmlformats.org/officeDocument/2006/relationships/hyperlink" Target="http://www.broadinstitute.org/gsea/msigdb/cards/GO_PRODUCTION_OF_MOLECULAR_MEDIATOR_INVOLVED_IN_INFLAMMATORY_RESPONSE.html" TargetMode="External"/><Relationship Id="rId1872" Type="http://schemas.openxmlformats.org/officeDocument/2006/relationships/hyperlink" Target="http://www.broadinstitute.org/gsea/msigdb/cards/GO_MICROGLIAL_CELL_ACTIVATION.html" TargetMode="External"/><Relationship Id="rId1873" Type="http://schemas.openxmlformats.org/officeDocument/2006/relationships/hyperlink" Target="http://www.broadinstitute.org/gsea/msigdb/cards/GO_REGULATION_OF_CHEMOKINE_BIOSYNTHETIC_PROCESS.html" TargetMode="External"/><Relationship Id="rId1874" Type="http://schemas.openxmlformats.org/officeDocument/2006/relationships/hyperlink" Target="http://www.broadinstitute.org/gsea/msigdb/cards/GO_REGULATION_OF_INTERLEUKIN_8_BIOSYNTHETIC_PROCESS.html" TargetMode="External"/><Relationship Id="rId1875" Type="http://schemas.openxmlformats.org/officeDocument/2006/relationships/hyperlink" Target="http://www.broadinstitute.org/gsea/msigdb/cards/GO_INFLAMMASOME_COMPLEX.html" TargetMode="External"/><Relationship Id="rId1876" Type="http://schemas.openxmlformats.org/officeDocument/2006/relationships/hyperlink" Target="http://www.broadinstitute.org/gsea/msigdb/cards/GO_REGULATION_OF_PROTEIN_LOCALIZATION_TO_NUCLEUS.html" TargetMode="External"/><Relationship Id="rId1877" Type="http://schemas.openxmlformats.org/officeDocument/2006/relationships/hyperlink" Target="http://www.broadinstitute.org/gsea/msigdb/cards/GO_REGULATION_OF_EXOCYTOSIS.html" TargetMode="External"/><Relationship Id="rId1878" Type="http://schemas.openxmlformats.org/officeDocument/2006/relationships/hyperlink" Target="http://www.broadinstitute.org/gsea/msigdb/cards/GO_POSITIVE_REGULATION_OF_CELLULAR_PROTEIN_LOCALIZATION.html" TargetMode="External"/><Relationship Id="rId1879" Type="http://schemas.openxmlformats.org/officeDocument/2006/relationships/hyperlink" Target="http://www.broadinstitute.org/gsea/msigdb/cards/GO_RESPONSE_TO_AXON_INJURY.html" TargetMode="External"/><Relationship Id="rId2230" Type="http://schemas.openxmlformats.org/officeDocument/2006/relationships/hyperlink" Target="http://www.broadinstitute.org/gsea/msigdb/cards/GSE22886_NAIVE_BCELL_VS_MONOCYTE_DN.html" TargetMode="External"/><Relationship Id="rId2231" Type="http://schemas.openxmlformats.org/officeDocument/2006/relationships/hyperlink" Target="http://www.broadinstitute.org/gsea/msigdb/cards/GSE30083_SP2_VS_SP4_THYMOCYTE_DN.html" TargetMode="External"/><Relationship Id="rId2232" Type="http://schemas.openxmlformats.org/officeDocument/2006/relationships/hyperlink" Target="http://www.broadinstitute.org/gsea/msigdb/cards/GSE3982_MEMORY_CD4_TCELL_VS_BCELL_UP.html" TargetMode="External"/><Relationship Id="rId2233" Type="http://schemas.openxmlformats.org/officeDocument/2006/relationships/hyperlink" Target="http://www.broadinstitute.org/gsea/msigdb/cards/GSE7460_CD8_TCELL_VS_CD4_TCELL_ACT_UP.html" TargetMode="External"/><Relationship Id="rId2234" Type="http://schemas.openxmlformats.org/officeDocument/2006/relationships/hyperlink" Target="http://www.broadinstitute.org/gsea/msigdb/cards/GSE9988_LOW_LPS_VS_ANTI_TREM1_AND_LPS_MONOCYTE_UP.html" TargetMode="External"/><Relationship Id="rId2235" Type="http://schemas.openxmlformats.org/officeDocument/2006/relationships/hyperlink" Target="http://www.broadinstitute.org/gsea/msigdb/cards/GSE19888_ADENOSINE_A3R_ACT_VS_TCELL_MEMBRANES_ACT_IN_MAST_CELL_UP.html" TargetMode="External"/><Relationship Id="rId2236" Type="http://schemas.openxmlformats.org/officeDocument/2006/relationships/hyperlink" Target="http://www.broadinstitute.org/gsea/msigdb/cards/GSE6259_FLT3L_INDUCED_33D1_POS_DC_VS_CD4_TCELL_UP.html" TargetMode="External"/><Relationship Id="rId2237" Type="http://schemas.openxmlformats.org/officeDocument/2006/relationships/hyperlink" Target="http://www.broadinstitute.org/gsea/msigdb/cards/GSE24634_TREG_VS_TCONV_POST_DAY7_IL4_CONVERSION_DN.html" TargetMode="External"/><Relationship Id="rId2238" Type="http://schemas.openxmlformats.org/officeDocument/2006/relationships/hyperlink" Target="http://www.broadinstitute.org/gsea/msigdb/cards/GSE9650_NAIVE_VS_MEMORY_CD8_TCELL_DN.html" TargetMode="External"/><Relationship Id="rId2239" Type="http://schemas.openxmlformats.org/officeDocument/2006/relationships/hyperlink" Target="http://www.broadinstitute.org/gsea/msigdb/cards/GSE9988_ANTI_TREM1_AND_LPS_VS_VEHICLE_TREATED_MONOCYTES_DN.html" TargetMode="External"/><Relationship Id="rId1140" Type="http://schemas.openxmlformats.org/officeDocument/2006/relationships/hyperlink" Target="http://www.broadinstitute.org/gsea/msigdb/cards/GO_LEUKOCYTE_PROLIFERATION.html" TargetMode="External"/><Relationship Id="rId1141" Type="http://schemas.openxmlformats.org/officeDocument/2006/relationships/hyperlink" Target="http://www.broadinstitute.org/gsea/msigdb/cards/GO_REGULATION_OF_TUMOR_NECROSIS_FACTOR_SUPERFAMILY_CYTOKINE_PRODUCTION.html" TargetMode="External"/><Relationship Id="rId1142" Type="http://schemas.openxmlformats.org/officeDocument/2006/relationships/hyperlink" Target="http://www.broadinstitute.org/gsea/msigdb/cards/GO_POSITIVE_REGULATION_OF_INNATE_IMMUNE_RESPONSE.html" TargetMode="External"/><Relationship Id="rId1143" Type="http://schemas.openxmlformats.org/officeDocument/2006/relationships/hyperlink" Target="http://www.broadinstitute.org/gsea/msigdb/cards/GO_POSITIVE_REGULATION_OF_HYDROLASE_ACTIVITY.html" TargetMode="External"/><Relationship Id="rId1144" Type="http://schemas.openxmlformats.org/officeDocument/2006/relationships/hyperlink" Target="http://www.broadinstitute.org/gsea/msigdb/cards/GO_POSITIVE_REGULATION_OF_LEUKOCYTE_DIFFERENTIATION.html" TargetMode="External"/><Relationship Id="rId4420" Type="http://schemas.openxmlformats.org/officeDocument/2006/relationships/hyperlink" Target="http://www.broadinstitute.org/gsea/msigdb/cards/GSE24142_ADULT_VS_FETAL_DN3_THYMOCYTE_UP.html" TargetMode="External"/><Relationship Id="rId4421" Type="http://schemas.openxmlformats.org/officeDocument/2006/relationships/hyperlink" Target="http://www.broadinstitute.org/gsea/msigdb/cards/GSE24634_NAIVE_CD4_TCELL_VS_DAY10_IL4_CONV_TREG_DN.html" TargetMode="External"/><Relationship Id="rId4422" Type="http://schemas.openxmlformats.org/officeDocument/2006/relationships/hyperlink" Target="http://www.broadinstitute.org/gsea/msigdb/cards/GSE24634_TREG_VS_TCONV_POST_DAY7_IL4_CONVERSION_UP.html" TargetMode="External"/><Relationship Id="rId4423" Type="http://schemas.openxmlformats.org/officeDocument/2006/relationships/hyperlink" Target="http://www.broadinstitute.org/gsea/msigdb/cards/GSE24634_TEFF_VS_TCONV_DAY3_IN_CULTURE_UP.html" TargetMode="External"/><Relationship Id="rId4424" Type="http://schemas.openxmlformats.org/officeDocument/2006/relationships/hyperlink" Target="http://www.broadinstitute.org/gsea/msigdb/cards/GSE25087_FETAL_VS_ADULT_TREG_DN.html" TargetMode="External"/><Relationship Id="rId4425" Type="http://schemas.openxmlformats.org/officeDocument/2006/relationships/hyperlink" Target="http://www.broadinstitute.org/gsea/msigdb/cards/GSE27786_LSK_VS_BCELL_DN.html" TargetMode="External"/><Relationship Id="rId4426" Type="http://schemas.openxmlformats.org/officeDocument/2006/relationships/hyperlink" Target="http://www.broadinstitute.org/gsea/msigdb/cards/GSE27786_BCELL_VS_MONO_MAC_DN.html" TargetMode="External"/><Relationship Id="rId4427" Type="http://schemas.openxmlformats.org/officeDocument/2006/relationships/hyperlink" Target="http://www.broadinstitute.org/gsea/msigdb/cards/GSE27786_CD4_TCELL_VS_NKTCELL_UP.html" TargetMode="External"/><Relationship Id="rId4428" Type="http://schemas.openxmlformats.org/officeDocument/2006/relationships/hyperlink" Target="http://www.broadinstitute.org/gsea/msigdb/cards/GSE27786_CD4_TCELL_VS_ERYTHTROBLAST_UP.html" TargetMode="External"/><Relationship Id="rId4429" Type="http://schemas.openxmlformats.org/officeDocument/2006/relationships/hyperlink" Target="http://www.broadinstitute.org/gsea/msigdb/cards/GSE27786_CD8_TCELL_VS_NEUTROPHIL_DN.html" TargetMode="External"/><Relationship Id="rId1145" Type="http://schemas.openxmlformats.org/officeDocument/2006/relationships/hyperlink" Target="http://www.broadinstitute.org/gsea/msigdb/cards/GO_T_CELL_RECEPTOR_SIGNALING_PATHWAY.html" TargetMode="External"/><Relationship Id="rId1146" Type="http://schemas.openxmlformats.org/officeDocument/2006/relationships/hyperlink" Target="http://www.broadinstitute.org/gsea/msigdb/cards/GO_ANTIGEN_PROCESSING_AND_PRESENTATION.html" TargetMode="External"/><Relationship Id="rId1147" Type="http://schemas.openxmlformats.org/officeDocument/2006/relationships/hyperlink" Target="http://www.broadinstitute.org/gsea/msigdb/cards/GO_CELLULAR_RESPONSE_TO_BIOTIC_STIMULUS.html" TargetMode="External"/><Relationship Id="rId1148" Type="http://schemas.openxmlformats.org/officeDocument/2006/relationships/hyperlink" Target="http://www.broadinstitute.org/gsea/msigdb/cards/GO_REGULATION_OF_ALPHA_BETA_T_CELL_ACTIVATION.html" TargetMode="External"/><Relationship Id="rId1149" Type="http://schemas.openxmlformats.org/officeDocument/2006/relationships/hyperlink" Target="http://www.broadinstitute.org/gsea/msigdb/cards/GO_POSITIVE_REGULATION_OF_LOCOMOTION.html" TargetMode="External"/><Relationship Id="rId2970" Type="http://schemas.openxmlformats.org/officeDocument/2006/relationships/hyperlink" Target="http://www.broadinstitute.org/gsea/msigdb/cards/GSE17580_UNINFECTED_VS_S_MANSONI_INF_TEFF_UP.html" TargetMode="External"/><Relationship Id="rId2971" Type="http://schemas.openxmlformats.org/officeDocument/2006/relationships/hyperlink" Target="http://www.broadinstitute.org/gsea/msigdb/cards/GSE17721_POLYIC_VS_PAM3CSK4_1H_BMDC_DN.html" TargetMode="External"/><Relationship Id="rId2972" Type="http://schemas.openxmlformats.org/officeDocument/2006/relationships/hyperlink" Target="http://www.broadinstitute.org/gsea/msigdb/cards/GSE17721_LPS_VS_PAM3CSK4_12H_BMDC_UP.html" TargetMode="External"/><Relationship Id="rId2973" Type="http://schemas.openxmlformats.org/officeDocument/2006/relationships/hyperlink" Target="http://www.broadinstitute.org/gsea/msigdb/cards/GSE17721_POLYIC_VS_CPG_4H_BMDC_DN.html" TargetMode="External"/><Relationship Id="rId2974" Type="http://schemas.openxmlformats.org/officeDocument/2006/relationships/hyperlink" Target="http://www.broadinstitute.org/gsea/msigdb/cards/GSE17721_LPS_VS_CPG_12H_BMDC_UP.html" TargetMode="External"/><Relationship Id="rId2975" Type="http://schemas.openxmlformats.org/officeDocument/2006/relationships/hyperlink" Target="http://www.broadinstitute.org/gsea/msigdb/cards/GSE17974_IL4_AND_ANTI_IL12_VS_UNTREATED_6H_ACT_CD4_TCELL_DN.html" TargetMode="External"/><Relationship Id="rId2976" Type="http://schemas.openxmlformats.org/officeDocument/2006/relationships/hyperlink" Target="http://www.broadinstitute.org/gsea/msigdb/cards/GSE18791_CTRL_VS_NEWCASTLE_VIRUS_DC_12H_DN.html" TargetMode="External"/><Relationship Id="rId2977" Type="http://schemas.openxmlformats.org/officeDocument/2006/relationships/hyperlink" Target="http://www.broadinstitute.org/gsea/msigdb/cards/GSE22886_CD8_VS_CD4_NAIVE_TCELL_DN.html" TargetMode="External"/><Relationship Id="rId2978" Type="http://schemas.openxmlformats.org/officeDocument/2006/relationships/hyperlink" Target="http://www.broadinstitute.org/gsea/msigdb/cards/GSE22886_NAIVE_CD8_TCELL_VS_MEMORY_TCELL_UP.html" TargetMode="External"/><Relationship Id="rId2979" Type="http://schemas.openxmlformats.org/officeDocument/2006/relationships/hyperlink" Target="http://www.broadinstitute.org/gsea/msigdb/cards/GSE22886_NAIVE_CD8_TCELL_VS_MEMORY_TCELL_DN.html" TargetMode="External"/><Relationship Id="rId3330" Type="http://schemas.openxmlformats.org/officeDocument/2006/relationships/hyperlink" Target="http://www.broadinstitute.org/gsea/msigdb/cards/GSE2128_CTRL_VS_MIMETOPE_NEGATIVE_SELECTION_DP_THYMOCYTE_C57BL6_UP.html" TargetMode="External"/><Relationship Id="rId3331" Type="http://schemas.openxmlformats.org/officeDocument/2006/relationships/hyperlink" Target="http://www.broadinstitute.org/gsea/msigdb/cards/GSE2405_S_AUREUS_VS_UNTREATED_NEUTROPHIL_DN.html" TargetMode="External"/><Relationship Id="rId3332" Type="http://schemas.openxmlformats.org/officeDocument/2006/relationships/hyperlink" Target="http://www.broadinstitute.org/gsea/msigdb/cards/GSE2585_CTEC_VS_THYMIC_DC_UP.html" TargetMode="External"/><Relationship Id="rId3333" Type="http://schemas.openxmlformats.org/officeDocument/2006/relationships/hyperlink" Target="http://www.broadinstitute.org/gsea/msigdb/cards/GSE2585_AIRE_KO_VS_WT_CD80_LOW_MTEC_UP.html" TargetMode="External"/><Relationship Id="rId3334" Type="http://schemas.openxmlformats.org/officeDocument/2006/relationships/hyperlink" Target="http://www.broadinstitute.org/gsea/msigdb/cards/GSE1925_CTRL_VS_IFNG_PRIMED_MACROPHAGE_24H_IFNG_STIM_UP.html" TargetMode="External"/><Relationship Id="rId3335" Type="http://schemas.openxmlformats.org/officeDocument/2006/relationships/hyperlink" Target="http://www.broadinstitute.org/gsea/msigdb/cards/GSE3691_CONVENTIONAL_VS_PLASMACYTOID_DC_SPLEEN_UP.html" TargetMode="External"/><Relationship Id="rId3336" Type="http://schemas.openxmlformats.org/officeDocument/2006/relationships/hyperlink" Target="http://www.broadinstitute.org/gsea/msigdb/cards/GSE4142_NAIVE_VS_GC_BCELL_UP.html" TargetMode="External"/><Relationship Id="rId3337" Type="http://schemas.openxmlformats.org/officeDocument/2006/relationships/hyperlink" Target="http://www.broadinstitute.org/gsea/msigdb/cards/GSE8921_UNSTIM_0H_VS_TLR1_2_STIM_MONOCYTE_12H_DN.html" TargetMode="External"/><Relationship Id="rId3338" Type="http://schemas.openxmlformats.org/officeDocument/2006/relationships/hyperlink" Target="http://www.broadinstitute.org/gsea/msigdb/cards/GSE3039_ALPHABETA_CD8_TCELL_VS_B2_BCELL_UP.html" TargetMode="External"/><Relationship Id="rId3339" Type="http://schemas.openxmlformats.org/officeDocument/2006/relationships/hyperlink" Target="http://www.broadinstitute.org/gsea/msigdb/cards/GSE3039_ALPHABETA_CD8_TCELL_VS_B1_BCELL_UP.html" TargetMode="External"/><Relationship Id="rId630" Type="http://schemas.openxmlformats.org/officeDocument/2006/relationships/hyperlink" Target="http://www.broadinstitute.org/gsea/msigdb/cards/REACTOME_P2Y_RECEPTORS.html" TargetMode="External"/><Relationship Id="rId631" Type="http://schemas.openxmlformats.org/officeDocument/2006/relationships/hyperlink" Target="http://www.broadinstitute.org/gsea/msigdb/cards/GRAHAM_CML_QUIESCENT_VS_NORMAL_DIVIDING_DN.html" TargetMode="External"/><Relationship Id="rId632" Type="http://schemas.openxmlformats.org/officeDocument/2006/relationships/hyperlink" Target="http://www.broadinstitute.org/gsea/msigdb/cards/FUNG_IL2_SIGNALING_2.html" TargetMode="External"/><Relationship Id="rId633" Type="http://schemas.openxmlformats.org/officeDocument/2006/relationships/hyperlink" Target="http://www.broadinstitute.org/gsea/msigdb/cards/WUNDER_INFLAMMATORY_RESPONSE_AND_CHOLESTEROL_DN.html" TargetMode="External"/><Relationship Id="rId634" Type="http://schemas.openxmlformats.org/officeDocument/2006/relationships/hyperlink" Target="http://www.broadinstitute.org/gsea/msigdb/cards/GUTIERREZ_CHRONIC_LYMPHOCYTIC_LEUKEMIA_UP.html" TargetMode="External"/><Relationship Id="rId635" Type="http://schemas.openxmlformats.org/officeDocument/2006/relationships/hyperlink" Target="http://www.broadinstitute.org/gsea/msigdb/cards/LABBE_WNT3A_TARGETS_DN.html" TargetMode="External"/><Relationship Id="rId636" Type="http://schemas.openxmlformats.org/officeDocument/2006/relationships/hyperlink" Target="http://www.broadinstitute.org/gsea/msigdb/cards/DANG_REGULATED_BY_MYC_DN.html" TargetMode="External"/><Relationship Id="rId637" Type="http://schemas.openxmlformats.org/officeDocument/2006/relationships/hyperlink" Target="http://www.broadinstitute.org/gsea/msigdb/cards/BIOCARTA_GH_PATHWAY.html" TargetMode="External"/><Relationship Id="rId638" Type="http://schemas.openxmlformats.org/officeDocument/2006/relationships/hyperlink" Target="http://www.broadinstitute.org/gsea/msigdb/cards/FAELT_B_CLL_WITH_VH_REARRANGEMENTS_UP.html" TargetMode="External"/><Relationship Id="rId639" Type="http://schemas.openxmlformats.org/officeDocument/2006/relationships/hyperlink" Target="http://www.broadinstitute.org/gsea/msigdb/cards/ENGELMANN_CANCER_PROGENITORS_UP.html" TargetMode="External"/><Relationship Id="rId1880" Type="http://schemas.openxmlformats.org/officeDocument/2006/relationships/hyperlink" Target="http://www.broadinstitute.org/gsea/msigdb/cards/GO_NEGATIVE_REGULATION_OF_EXOCYTOSIS.html" TargetMode="External"/><Relationship Id="rId1881" Type="http://schemas.openxmlformats.org/officeDocument/2006/relationships/hyperlink" Target="http://www.broadinstitute.org/gsea/msigdb/cards/GO_NEGATIVE_REGULATION_OF_CYTOKINE_BIOSYNTHETIC_PROCESS.html" TargetMode="External"/><Relationship Id="rId1882" Type="http://schemas.openxmlformats.org/officeDocument/2006/relationships/hyperlink" Target="http://www.broadinstitute.org/gsea/msigdb/cards/GO_REGULATION_OF_NEURON_DIFFERENTIATION.html" TargetMode="External"/><Relationship Id="rId1883" Type="http://schemas.openxmlformats.org/officeDocument/2006/relationships/hyperlink" Target="http://www.broadinstitute.org/gsea/msigdb/cards/GO_REGULATION_OF_NUCLEOCYTOPLASMIC_TRANSPORT.html" TargetMode="External"/><Relationship Id="rId1884" Type="http://schemas.openxmlformats.org/officeDocument/2006/relationships/hyperlink" Target="http://www.broadinstitute.org/gsea/msigdb/cards/GO_NEGATIVE_REGULATION_OF_NITROGEN_COMPOUND_METABOLIC_PROCESS.html" TargetMode="External"/><Relationship Id="rId1885" Type="http://schemas.openxmlformats.org/officeDocument/2006/relationships/hyperlink" Target="http://www.broadinstitute.org/gsea/msigdb/cards/GO_RESPONSE_TO_ALCOHOL.html" TargetMode="External"/><Relationship Id="rId1886" Type="http://schemas.openxmlformats.org/officeDocument/2006/relationships/hyperlink" Target="http://www.broadinstitute.org/gsea/msigdb/cards/GO_HEMATOPOIETIC_PROGENITOR_CELL_DIFFERENTIATION.html" TargetMode="External"/><Relationship Id="rId1887" Type="http://schemas.openxmlformats.org/officeDocument/2006/relationships/hyperlink" Target="http://www.broadinstitute.org/gsea/msigdb/cards/GO_PEPTIDE_TRANSPORT.html" TargetMode="External"/><Relationship Id="rId1888" Type="http://schemas.openxmlformats.org/officeDocument/2006/relationships/hyperlink" Target="http://www.broadinstitute.org/gsea/msigdb/cards/GO_PROTEIN_ACTIVATION_CASCADE.html" TargetMode="External"/><Relationship Id="rId1889" Type="http://schemas.openxmlformats.org/officeDocument/2006/relationships/hyperlink" Target="http://www.broadinstitute.org/gsea/msigdb/cards/GO_PROTEIN_KINASE_ACTIVITY.html" TargetMode="External"/><Relationship Id="rId2240" Type="http://schemas.openxmlformats.org/officeDocument/2006/relationships/hyperlink" Target="http://www.broadinstitute.org/gsea/msigdb/cards/GSE19198_1H_VS_24H_IL21_TREATED_TCELL_DN.html" TargetMode="External"/><Relationship Id="rId2241" Type="http://schemas.openxmlformats.org/officeDocument/2006/relationships/hyperlink" Target="http://www.broadinstitute.org/gsea/msigdb/cards/GSE30971_CTRL_VS_LPS_STIM_MACROPHAGE_WBP7_HET_2H_DN.html" TargetMode="External"/><Relationship Id="rId2242" Type="http://schemas.openxmlformats.org/officeDocument/2006/relationships/hyperlink" Target="http://www.broadinstitute.org/gsea/msigdb/cards/GSE43863_TH1_VS_TFH_MEMORY_CD4_TCELL_DN.html" TargetMode="External"/><Relationship Id="rId2243" Type="http://schemas.openxmlformats.org/officeDocument/2006/relationships/hyperlink" Target="http://www.broadinstitute.org/gsea/msigdb/cards/GSE15330_MEGAKARYOCYTE_ERYTHROID_VS_GRANULOCYTE_MONOCYTE_PROGENITOR_UP.html" TargetMode="External"/><Relationship Id="rId2244" Type="http://schemas.openxmlformats.org/officeDocument/2006/relationships/hyperlink" Target="http://www.broadinstitute.org/gsea/msigdb/cards/GSE10325_CD4_TCELL_VS_MYELOID_UP.html" TargetMode="External"/><Relationship Id="rId2245" Type="http://schemas.openxmlformats.org/officeDocument/2006/relationships/hyperlink" Target="http://www.broadinstitute.org/gsea/msigdb/cards/GSE10325_LUPUS_CD4_TCELL_VS_LUPUS_MYELOID_UP.html" TargetMode="External"/><Relationship Id="rId2246" Type="http://schemas.openxmlformats.org/officeDocument/2006/relationships/hyperlink" Target="http://www.broadinstitute.org/gsea/msigdb/cards/GSE1460_INTRATHYMIC_T_PROGENITOR_VS_CD4_THYMOCYTE_DN.html" TargetMode="External"/><Relationship Id="rId2247" Type="http://schemas.openxmlformats.org/officeDocument/2006/relationships/hyperlink" Target="http://www.broadinstitute.org/gsea/msigdb/cards/GSE16522_MEMORY_VS_NAIVE_ANTI_CD3CD28_STIM_CD8_TCELL_DN.html" TargetMode="External"/><Relationship Id="rId2248" Type="http://schemas.openxmlformats.org/officeDocument/2006/relationships/hyperlink" Target="http://www.broadinstitute.org/gsea/msigdb/cards/GSE22886_NAIVE_CD4_TCELL_VS_MONOCYTE_UP.html" TargetMode="External"/><Relationship Id="rId2249" Type="http://schemas.openxmlformats.org/officeDocument/2006/relationships/hyperlink" Target="http://www.broadinstitute.org/gsea/msigdb/cards/GSE24142_EARLY_THYMIC_PROGENITOR_VS_DN2_THYMOCYTE_DN.html" TargetMode="External"/><Relationship Id="rId1150" Type="http://schemas.openxmlformats.org/officeDocument/2006/relationships/hyperlink" Target="http://www.broadinstitute.org/gsea/msigdb/cards/GO_CYTOKINE_PRODUCTION.html" TargetMode="External"/><Relationship Id="rId1151" Type="http://schemas.openxmlformats.org/officeDocument/2006/relationships/hyperlink" Target="http://www.broadinstitute.org/gsea/msigdb/cards/GO_REGULATION_OF_INFLAMMATORY_RESPONSE.html" TargetMode="External"/><Relationship Id="rId1152" Type="http://schemas.openxmlformats.org/officeDocument/2006/relationships/hyperlink" Target="http://www.broadinstitute.org/gsea/msigdb/cards/GO_INTERFERON_GAMMA_MEDIATED_SIGNALING_PATHWAY.html" TargetMode="External"/><Relationship Id="rId1153" Type="http://schemas.openxmlformats.org/officeDocument/2006/relationships/hyperlink" Target="http://www.broadinstitute.org/gsea/msigdb/cards/GO_REGULATION_OF_TRANSPORT.html" TargetMode="External"/><Relationship Id="rId1154" Type="http://schemas.openxmlformats.org/officeDocument/2006/relationships/hyperlink" Target="http://www.broadinstitute.org/gsea/msigdb/cards/GO_POSITIVE_REGULATION_OF_LEUKOCYTE_MEDIATED_IMMUNITY.html" TargetMode="External"/><Relationship Id="rId4430" Type="http://schemas.openxmlformats.org/officeDocument/2006/relationships/hyperlink" Target="http://www.broadinstitute.org/gsea/msigdb/cards/GSE27786_CD8_TCELL_VS_MONO_MAC_UP.html" TargetMode="External"/><Relationship Id="rId4431" Type="http://schemas.openxmlformats.org/officeDocument/2006/relationships/hyperlink" Target="http://www.broadinstitute.org/gsea/msigdb/cards/GSE27786_NKCELL_VS_ERYTHROBLAST_UP.html" TargetMode="External"/><Relationship Id="rId4432" Type="http://schemas.openxmlformats.org/officeDocument/2006/relationships/hyperlink" Target="http://www.broadinstitute.org/gsea/msigdb/cards/GSE29618_PRE_VS_DAY7_FLU_VACCINE_MDC_DN.html" TargetMode="External"/><Relationship Id="rId4433" Type="http://schemas.openxmlformats.org/officeDocument/2006/relationships/hyperlink" Target="http://www.broadinstitute.org/gsea/msigdb/cards/GSE29618_PRE_VS_DAY7_POST_LAIV_FLU_VACCINE_MDC_UP.html" TargetMode="External"/><Relationship Id="rId4434" Type="http://schemas.openxmlformats.org/officeDocument/2006/relationships/hyperlink" Target="http://www.broadinstitute.org/gsea/msigdb/cards/GSE29618_PRE_VS_DAY7_POST_TIV_FLU_VACCINE_MDC_UP.html" TargetMode="External"/><Relationship Id="rId4435" Type="http://schemas.openxmlformats.org/officeDocument/2006/relationships/hyperlink" Target="http://www.broadinstitute.org/gsea/msigdb/cards/GSE29618_LAIV_VS_TIV_FLU_VACCINE_DAY7_MDC_UP.html" TargetMode="External"/><Relationship Id="rId4436" Type="http://schemas.openxmlformats.org/officeDocument/2006/relationships/hyperlink" Target="http://www.broadinstitute.org/gsea/msigdb/cards/GSE30083_SP1_VS_SP3_THYMOCYTE_DN.html" TargetMode="External"/><Relationship Id="rId4437" Type="http://schemas.openxmlformats.org/officeDocument/2006/relationships/hyperlink" Target="http://www.broadinstitute.org/gsea/msigdb/cards/GSE32423_MEMORY_VS_NAIVE_CD8_TCELL_IL7_UP.html" TargetMode="External"/><Relationship Id="rId4438" Type="http://schemas.openxmlformats.org/officeDocument/2006/relationships/hyperlink" Target="http://www.broadinstitute.org/gsea/msigdb/cards/GSE32423_MEMORY_VS_NAIVE_CD8_TCELL_IL7_IL4_UP.html" TargetMode="External"/><Relationship Id="rId4439" Type="http://schemas.openxmlformats.org/officeDocument/2006/relationships/hyperlink" Target="http://www.broadinstitute.org/gsea/msigdb/cards/GSE32423_CTRL_VS_IL4_MEMORY_CD8_TCELL_UP.html" TargetMode="External"/><Relationship Id="rId1155" Type="http://schemas.openxmlformats.org/officeDocument/2006/relationships/hyperlink" Target="http://www.broadinstitute.org/gsea/msigdb/cards/GO_POSITIVE_REGULATION_OF_PHOSPHORUS_METABOLIC_PROCESS.html" TargetMode="External"/><Relationship Id="rId1156" Type="http://schemas.openxmlformats.org/officeDocument/2006/relationships/hyperlink" Target="http://www.broadinstitute.org/gsea/msigdb/cards/GO_T_CELL_SELECTION.html" TargetMode="External"/><Relationship Id="rId1157" Type="http://schemas.openxmlformats.org/officeDocument/2006/relationships/hyperlink" Target="http://www.broadinstitute.org/gsea/msigdb/cards/GO_POSITIVE_REGULATION_OF_HEMOPOIESIS.html" TargetMode="External"/><Relationship Id="rId1158" Type="http://schemas.openxmlformats.org/officeDocument/2006/relationships/hyperlink" Target="http://www.broadinstitute.org/gsea/msigdb/cards/GO_B_CELL_ACTIVATION.html" TargetMode="External"/><Relationship Id="rId1159" Type="http://schemas.openxmlformats.org/officeDocument/2006/relationships/hyperlink" Target="http://www.broadinstitute.org/gsea/msigdb/cards/GO_REGULATION_OF_CELLULAR_COMPONENT_MOVEMENT.html" TargetMode="External"/><Relationship Id="rId2980" Type="http://schemas.openxmlformats.org/officeDocument/2006/relationships/hyperlink" Target="http://www.broadinstitute.org/gsea/msigdb/cards/GSE22886_NAIVE_VS_MEMORY_TCELL_DN.html" TargetMode="External"/><Relationship Id="rId2981" Type="http://schemas.openxmlformats.org/officeDocument/2006/relationships/hyperlink" Target="http://www.broadinstitute.org/gsea/msigdb/cards/GSE22886_DAY1_VS_DAY7_MONOCYTE_IN_CULTURE_UP.html" TargetMode="External"/><Relationship Id="rId2982" Type="http://schemas.openxmlformats.org/officeDocument/2006/relationships/hyperlink" Target="http://www.broadinstitute.org/gsea/msigdb/cards/GSE22886_DC_VS_MONOCYTE_UP.html" TargetMode="External"/><Relationship Id="rId2983" Type="http://schemas.openxmlformats.org/officeDocument/2006/relationships/hyperlink" Target="http://www.broadinstitute.org/gsea/msigdb/cards/GSE22886_CTRL_VS_LPS_24H_DC_DN.html" TargetMode="External"/><Relationship Id="rId2984" Type="http://schemas.openxmlformats.org/officeDocument/2006/relationships/hyperlink" Target="http://www.broadinstitute.org/gsea/msigdb/cards/GSE24142_DN2_VS_DN3_THYMOCYTE_FETAL_UP.html" TargetMode="External"/><Relationship Id="rId2985" Type="http://schemas.openxmlformats.org/officeDocument/2006/relationships/hyperlink" Target="http://www.broadinstitute.org/gsea/msigdb/cards/GSE24634_IL4_VS_CTRL_TREATED_NAIVE_CD4_TCELL_DAY5_DN.html" TargetMode="External"/><Relationship Id="rId2986" Type="http://schemas.openxmlformats.org/officeDocument/2006/relationships/hyperlink" Target="http://www.broadinstitute.org/gsea/msigdb/cards/GSE2706_UNSTIM_VS_8H_LPS_AND_R848_DC_DN.html" TargetMode="External"/><Relationship Id="rId2987" Type="http://schemas.openxmlformats.org/officeDocument/2006/relationships/hyperlink" Target="http://www.broadinstitute.org/gsea/msigdb/cards/GSE2706_2H_VS_8H_R848_STIM_DC_DN.html" TargetMode="External"/><Relationship Id="rId2988" Type="http://schemas.openxmlformats.org/officeDocument/2006/relationships/hyperlink" Target="http://www.broadinstitute.org/gsea/msigdb/cards/GSE27786_LIN_NEG_VS_CD4_TCELL_DN.html" TargetMode="External"/><Relationship Id="rId2989" Type="http://schemas.openxmlformats.org/officeDocument/2006/relationships/hyperlink" Target="http://www.broadinstitute.org/gsea/msigdb/cards/GSE29618_BCELL_VS_MDC_UP.html" TargetMode="External"/><Relationship Id="rId3340" Type="http://schemas.openxmlformats.org/officeDocument/2006/relationships/hyperlink" Target="http://www.broadinstitute.org/gsea/msigdb/cards/GSE3039_NKT_CELL_VS_ALPHAALPHA_CD8_TCELL_UP.html" TargetMode="External"/><Relationship Id="rId3341" Type="http://schemas.openxmlformats.org/officeDocument/2006/relationships/hyperlink" Target="http://www.broadinstitute.org/gsea/msigdb/cards/GSE4748_CYANOBACTERIUM_LPSLIKE_VS_LPS_AND_CYANOBACTERIUM_LPSLIKE_STIM_DC_3H_UP.html" TargetMode="External"/><Relationship Id="rId3342" Type="http://schemas.openxmlformats.org/officeDocument/2006/relationships/hyperlink" Target="http://www.broadinstitute.org/gsea/msigdb/cards/GSE4984_UNTREATED_VS_GALECTIN1_TREATED_DC_DN.html" TargetMode="External"/><Relationship Id="rId3343" Type="http://schemas.openxmlformats.org/officeDocument/2006/relationships/hyperlink" Target="http://www.broadinstitute.org/gsea/msigdb/cards/GSE5542_IFNG_VS_IFNA_TREATED_EPITHELIAL_CELLS_24H_DN.html" TargetMode="External"/><Relationship Id="rId3344" Type="http://schemas.openxmlformats.org/officeDocument/2006/relationships/hyperlink" Target="http://www.broadinstitute.org/gsea/msigdb/cards/GSE5142_CTRL_VS_HTERT_TRANSDUCED_CD8_TCELL_EARLY_PASSAGE_CLONE_UP.html" TargetMode="External"/><Relationship Id="rId3345" Type="http://schemas.openxmlformats.org/officeDocument/2006/relationships/hyperlink" Target="http://www.broadinstitute.org/gsea/msigdb/cards/GSE6875_WT_VS_FOXP3_KO_TREG_UP.html" TargetMode="External"/><Relationship Id="rId3346" Type="http://schemas.openxmlformats.org/officeDocument/2006/relationships/hyperlink" Target="http://www.broadinstitute.org/gsea/msigdb/cards/GSE7548_DAY7_VS_DAY28_PCC_IMMUNIZATION_CD4_TCELL_DN.html" TargetMode="External"/><Relationship Id="rId3347" Type="http://schemas.openxmlformats.org/officeDocument/2006/relationships/hyperlink" Target="http://www.broadinstitute.org/gsea/msigdb/cards/GSE6674_PL2_3_VS_ANTI_IGM_AND_CPG_STIM_BCELL_DN.html" TargetMode="External"/><Relationship Id="rId3348" Type="http://schemas.openxmlformats.org/officeDocument/2006/relationships/hyperlink" Target="http://www.broadinstitute.org/gsea/msigdb/cards/GSE7831_UNSTIM_VS_INFLUENZA_STIM_PDC_1H_DN.html" TargetMode="External"/><Relationship Id="rId3349" Type="http://schemas.openxmlformats.org/officeDocument/2006/relationships/hyperlink" Target="http://www.broadinstitute.org/gsea/msigdb/cards/GSE7568_CTRL_VS_24H_TGFB_TREATED_MACROPHAGES_WITH_IL4_AND_DEXAMETHASONE_UP.html" TargetMode="External"/><Relationship Id="rId640" Type="http://schemas.openxmlformats.org/officeDocument/2006/relationships/hyperlink" Target="http://www.broadinstitute.org/gsea/msigdb/cards/TIAN_TNF_SIGNALING_VIA_NFKB.html" TargetMode="External"/><Relationship Id="rId641" Type="http://schemas.openxmlformats.org/officeDocument/2006/relationships/hyperlink" Target="http://www.broadinstitute.org/gsea/msigdb/cards/KAMIKUBO_MYELOID_CEBPA_NETWORK.html" TargetMode="External"/><Relationship Id="rId642" Type="http://schemas.openxmlformats.org/officeDocument/2006/relationships/hyperlink" Target="http://www.broadinstitute.org/gsea/msigdb/cards/FIGUEROA_AML_METHYLATION_CLUSTER_1_DN.html" TargetMode="External"/><Relationship Id="rId643" Type="http://schemas.openxmlformats.org/officeDocument/2006/relationships/hyperlink" Target="http://www.broadinstitute.org/gsea/msigdb/cards/WANG_MLL_TARGETS.html" TargetMode="External"/><Relationship Id="rId644" Type="http://schemas.openxmlformats.org/officeDocument/2006/relationships/hyperlink" Target="http://www.broadinstitute.org/gsea/msigdb/cards/ZHAN_MULTIPLE_MYELOMA_HP_UP.html" TargetMode="External"/><Relationship Id="rId645" Type="http://schemas.openxmlformats.org/officeDocument/2006/relationships/hyperlink" Target="http://www.broadinstitute.org/gsea/msigdb/cards/RODWELL_AGING_KIDNEY_NO_BLOOD_UP.html" TargetMode="External"/><Relationship Id="rId646" Type="http://schemas.openxmlformats.org/officeDocument/2006/relationships/hyperlink" Target="http://www.broadinstitute.org/gsea/msigdb/cards/HOSHIDA_LIVER_CANCER_SURVIVAL_UP.html" TargetMode="External"/><Relationship Id="rId647" Type="http://schemas.openxmlformats.org/officeDocument/2006/relationships/hyperlink" Target="http://www.broadinstitute.org/gsea/msigdb/cards/PID_TCR_CALCIUM_PATHWAY.html" TargetMode="External"/><Relationship Id="rId648" Type="http://schemas.openxmlformats.org/officeDocument/2006/relationships/hyperlink" Target="http://www.broadinstitute.org/gsea/msigdb/cards/WANG_RESPONSE_TO_BEXAROTENE_DN.html" TargetMode="External"/><Relationship Id="rId649" Type="http://schemas.openxmlformats.org/officeDocument/2006/relationships/hyperlink" Target="http://www.broadinstitute.org/gsea/msigdb/cards/BYSTRYKH_HEMATOPOIESIS_STEM_CELL_QTL_CIS.html" TargetMode="External"/><Relationship Id="rId1890" Type="http://schemas.openxmlformats.org/officeDocument/2006/relationships/hyperlink" Target="http://www.broadinstitute.org/gsea/msigdb/cards/GO_ERYTHROCYTE_HOMEOSTASIS.html" TargetMode="External"/><Relationship Id="rId1891" Type="http://schemas.openxmlformats.org/officeDocument/2006/relationships/hyperlink" Target="http://www.broadinstitute.org/gsea/msigdb/cards/GO_LIPID_METABOLIC_PROCESS.html" TargetMode="External"/><Relationship Id="rId1892" Type="http://schemas.openxmlformats.org/officeDocument/2006/relationships/hyperlink" Target="http://www.broadinstitute.org/gsea/msigdb/cards/GO_SH2_DOMAIN_BINDING.html" TargetMode="External"/><Relationship Id="rId1893" Type="http://schemas.openxmlformats.org/officeDocument/2006/relationships/hyperlink" Target="http://www.broadinstitute.org/gsea/msigdb/cards/GO_CELLULAR_RESPONSE_TO_LIPOPROTEIN_PARTICLE_STIMULUS.html" TargetMode="External"/><Relationship Id="rId1894" Type="http://schemas.openxmlformats.org/officeDocument/2006/relationships/hyperlink" Target="http://www.broadinstitute.org/gsea/msigdb/cards/GO_POSITIVE_REGULATION_OF_INTERLEUKIN_8_SECRETION.html" TargetMode="External"/><Relationship Id="rId1895" Type="http://schemas.openxmlformats.org/officeDocument/2006/relationships/hyperlink" Target="http://www.broadinstitute.org/gsea/msigdb/cards/GO_POSITIVE_REGULATION_OF_MAST_CELL_ACTIVATION_INVOLVED_IN_IMMUNE_RESPONSE.html" TargetMode="External"/><Relationship Id="rId1896" Type="http://schemas.openxmlformats.org/officeDocument/2006/relationships/hyperlink" Target="http://www.broadinstitute.org/gsea/msigdb/cards/GO_SUPEROXIDE_ANION_GENERATION.html" TargetMode="External"/><Relationship Id="rId1897" Type="http://schemas.openxmlformats.org/officeDocument/2006/relationships/hyperlink" Target="http://www.broadinstitute.org/gsea/msigdb/cards/GO_POSITIVE_REGULATION_OF_INTERLEUKIN_17_PRODUCTION.html" TargetMode="External"/><Relationship Id="rId1898" Type="http://schemas.openxmlformats.org/officeDocument/2006/relationships/hyperlink" Target="http://www.broadinstitute.org/gsea/msigdb/cards/GO_CHYLOMICRON.html" TargetMode="External"/><Relationship Id="rId1899" Type="http://schemas.openxmlformats.org/officeDocument/2006/relationships/hyperlink" Target="http://www.broadinstitute.org/gsea/msigdb/cards/GO_MODIFICATION_OF_MORPHOLOGY_OR_PHYSIOLOGY_OF_OTHER_ORGANISM.html" TargetMode="External"/><Relationship Id="rId2250" Type="http://schemas.openxmlformats.org/officeDocument/2006/relationships/hyperlink" Target="http://www.broadinstitute.org/gsea/msigdb/cards/GSE24634_IL4_VS_CTRL_TREATED_NAIVE_CD4_TCELL_DAY5_UP.html" TargetMode="External"/><Relationship Id="rId2251" Type="http://schemas.openxmlformats.org/officeDocument/2006/relationships/hyperlink" Target="http://www.broadinstitute.org/gsea/msigdb/cards/GSE3337_4H_VS_16H_IFNG_IN_CD8POS_DC_DN.html" TargetMode="External"/><Relationship Id="rId2252" Type="http://schemas.openxmlformats.org/officeDocument/2006/relationships/hyperlink" Target="http://www.broadinstitute.org/gsea/msigdb/cards/GSE2405_0H_VS_12H_A_PHAGOCYTOPHILUM_STIM_NEUTROPHIL_UP.html" TargetMode="External"/><Relationship Id="rId2253" Type="http://schemas.openxmlformats.org/officeDocument/2006/relationships/hyperlink" Target="http://www.broadinstitute.org/gsea/msigdb/cards/GSE17301_ACD3_ACD28_VS_ACD3_ACD28_AND_IFNA5_STIM_CD8_TCELL_DN.html" TargetMode="External"/><Relationship Id="rId2254" Type="http://schemas.openxmlformats.org/officeDocument/2006/relationships/hyperlink" Target="http://www.broadinstitute.org/gsea/msigdb/cards/GSE45739_UNSTIM_VS_ACD3_ACD28_STIM_NRAS_KO_CD4_TCELL_DN.html" TargetMode="External"/><Relationship Id="rId2255" Type="http://schemas.openxmlformats.org/officeDocument/2006/relationships/hyperlink" Target="http://www.broadinstitute.org/gsea/msigdb/cards/GSE14415_INDUCED_TREG_VS_FOXP3_KO_INDUCED_TREG_IL2_CULTURE_UP.html" TargetMode="External"/><Relationship Id="rId2256" Type="http://schemas.openxmlformats.org/officeDocument/2006/relationships/hyperlink" Target="http://www.broadinstitute.org/gsea/msigdb/cards/GSE7219_UNSTIM_VS_LPS_AND_ANTI_CD40_STIM_NIK_NFKB2_KO_DC_UP.html" TargetMode="External"/><Relationship Id="rId2257" Type="http://schemas.openxmlformats.org/officeDocument/2006/relationships/hyperlink" Target="http://www.broadinstitute.org/gsea/msigdb/cards/GSE14415_ACT_TCONV_VS_ACT_NATURAL_TREG_DN.html" TargetMode="External"/><Relationship Id="rId2258" Type="http://schemas.openxmlformats.org/officeDocument/2006/relationships/hyperlink" Target="http://www.broadinstitute.org/gsea/msigdb/cards/GSE14415_INDUCED_TREG_VS_FAILED_INDUCED_TREG_DN.html" TargetMode="External"/><Relationship Id="rId2259" Type="http://schemas.openxmlformats.org/officeDocument/2006/relationships/hyperlink" Target="http://www.broadinstitute.org/gsea/msigdb/cards/GOLDRATH_NAIVE_VS_MEMORY_CD8_TCELL_DN.html" TargetMode="External"/><Relationship Id="rId1160" Type="http://schemas.openxmlformats.org/officeDocument/2006/relationships/hyperlink" Target="http://www.broadinstitute.org/gsea/msigdb/cards/GO_REGULATION_OF_CELL_DIFFERENTIATION.html" TargetMode="External"/><Relationship Id="rId1161" Type="http://schemas.openxmlformats.org/officeDocument/2006/relationships/hyperlink" Target="http://www.broadinstitute.org/gsea/msigdb/cards/GO_PLASMA_MEMBRANE_PROTEIN_COMPLEX.html" TargetMode="External"/><Relationship Id="rId1162" Type="http://schemas.openxmlformats.org/officeDocument/2006/relationships/hyperlink" Target="http://www.broadinstitute.org/gsea/msigdb/cards/GO_POSITIVE_REGULATION_OF_LEUKOCYTE_MIGRATION.html" TargetMode="External"/><Relationship Id="rId1163" Type="http://schemas.openxmlformats.org/officeDocument/2006/relationships/hyperlink" Target="http://www.broadinstitute.org/gsea/msigdb/cards/GO_LEUKOCYTE_MEDIATED_IMMUNITY.html" TargetMode="External"/><Relationship Id="rId1164" Type="http://schemas.openxmlformats.org/officeDocument/2006/relationships/hyperlink" Target="http://www.broadinstitute.org/gsea/msigdb/cards/GO_ANTIGEN_PROCESSING_AND_PRESENTATION_OF_PEPTIDE_ANTIGEN.html" TargetMode="External"/><Relationship Id="rId4440" Type="http://schemas.openxmlformats.org/officeDocument/2006/relationships/hyperlink" Target="http://www.broadinstitute.org/gsea/msigdb/cards/GSE32423_CTRL_VS_IL4_MEMORY_CD8_TCELL_DN.html" TargetMode="External"/><Relationship Id="rId4441" Type="http://schemas.openxmlformats.org/officeDocument/2006/relationships/hyperlink" Target="http://www.broadinstitute.org/gsea/msigdb/cards/GSE3337_4H_VS_16H_IFNG_IN_CD8POS_DC_UP.html" TargetMode="External"/><Relationship Id="rId4442" Type="http://schemas.openxmlformats.org/officeDocument/2006/relationships/hyperlink" Target="http://www.broadinstitute.org/gsea/msigdb/cards/GSE339_CD4POS_VS_CD4CD8DN_DC_IN_CULTURE_DN.html" TargetMode="External"/><Relationship Id="rId4443" Type="http://schemas.openxmlformats.org/officeDocument/2006/relationships/hyperlink" Target="http://www.broadinstitute.org/gsea/msigdb/cards/GSE339_CD8POS_VS_CD4CD8DN_DC_IN_CULTURE_DN.html" TargetMode="External"/><Relationship Id="rId4444" Type="http://schemas.openxmlformats.org/officeDocument/2006/relationships/hyperlink" Target="http://www.broadinstitute.org/gsea/msigdb/cards/GSE339_EX_VIVO_VS_IN_CULTURE_CD4CD8DN_DC_DN.html" TargetMode="External"/><Relationship Id="rId4445" Type="http://schemas.openxmlformats.org/officeDocument/2006/relationships/hyperlink" Target="http://www.broadinstitute.org/gsea/msigdb/cards/GSE360_CTRL_VS_L_MAJOR_DC_DN.html" TargetMode="External"/><Relationship Id="rId4446" Type="http://schemas.openxmlformats.org/officeDocument/2006/relationships/hyperlink" Target="http://www.broadinstitute.org/gsea/msigdb/cards/GSE360_CTRL_VS_B_MALAYI_HIGH_DOSE_MAC_DN.html" TargetMode="External"/><Relationship Id="rId4447" Type="http://schemas.openxmlformats.org/officeDocument/2006/relationships/hyperlink" Target="http://www.broadinstitute.org/gsea/msigdb/cards/GSE360_DC_VS_MAC_DN.html" TargetMode="External"/><Relationship Id="rId4448" Type="http://schemas.openxmlformats.org/officeDocument/2006/relationships/hyperlink" Target="http://www.broadinstitute.org/gsea/msigdb/cards/GSE360_DC_VS_MAC_B_MALAYI_HIGH_DOSE_UP.html" TargetMode="External"/><Relationship Id="rId4449" Type="http://schemas.openxmlformats.org/officeDocument/2006/relationships/hyperlink" Target="http://www.broadinstitute.org/gsea/msigdb/cards/GSE360_L_DONOVANI_VS_B_MALAYI_LOW_DOSE_MAC_UP.html" TargetMode="External"/><Relationship Id="rId1165" Type="http://schemas.openxmlformats.org/officeDocument/2006/relationships/hyperlink" Target="http://www.broadinstitute.org/gsea/msigdb/cards/GO_POSITIVE_REGULATION_OF_PROTEIN_METABOLIC_PROCESS.html" TargetMode="External"/><Relationship Id="rId1166" Type="http://schemas.openxmlformats.org/officeDocument/2006/relationships/hyperlink" Target="http://www.broadinstitute.org/gsea/msigdb/cards/GO_REGULATION_OF_CELL_DEATH.html" TargetMode="External"/><Relationship Id="rId1167" Type="http://schemas.openxmlformats.org/officeDocument/2006/relationships/hyperlink" Target="http://www.broadinstitute.org/gsea/msigdb/cards/GO_ALPHA_BETA_T_CELL_ACTIVATION.html" TargetMode="External"/><Relationship Id="rId1168" Type="http://schemas.openxmlformats.org/officeDocument/2006/relationships/hyperlink" Target="http://www.broadinstitute.org/gsea/msigdb/cards/GO_REGULATION_OF_PHOSPHORUS_METABOLIC_PROCESS.html" TargetMode="External"/><Relationship Id="rId1169" Type="http://schemas.openxmlformats.org/officeDocument/2006/relationships/hyperlink" Target="http://www.broadinstitute.org/gsea/msigdb/cards/GO_REGULATION_OF_RESPONSE_TO_WOUNDING.html" TargetMode="External"/><Relationship Id="rId2990" Type="http://schemas.openxmlformats.org/officeDocument/2006/relationships/hyperlink" Target="http://www.broadinstitute.org/gsea/msigdb/cards/GSE30962_ACUTE_VS_CHRONIC_LCMV_SECONDARY_INF_CD8_TCELL_UP.html" TargetMode="External"/><Relationship Id="rId2991" Type="http://schemas.openxmlformats.org/officeDocument/2006/relationships/hyperlink" Target="http://www.broadinstitute.org/gsea/msigdb/cards/GSE32423_MEMORY_VS_NAIVE_CD8_TCELL_UP.html" TargetMode="External"/><Relationship Id="rId2992" Type="http://schemas.openxmlformats.org/officeDocument/2006/relationships/hyperlink" Target="http://www.broadinstitute.org/gsea/msigdb/cards/GSE360_L_DONOVANI_VS_B_MALAYI_HIGH_DOSE_DC_UP.html" TargetMode="External"/><Relationship Id="rId2993" Type="http://schemas.openxmlformats.org/officeDocument/2006/relationships/hyperlink" Target="http://www.broadinstitute.org/gsea/msigdb/cards/GSE360_L_DONOVANI_VS_M_TUBERCULOSIS_DC_DN.html" TargetMode="External"/><Relationship Id="rId2994" Type="http://schemas.openxmlformats.org/officeDocument/2006/relationships/hyperlink" Target="http://www.broadinstitute.org/gsea/msigdb/cards/GSE360_LOW_DOSE_B_MALAYI_VS_M_TUBERCULOSIS_DC_UP.html" TargetMode="External"/><Relationship Id="rId2995" Type="http://schemas.openxmlformats.org/officeDocument/2006/relationships/hyperlink" Target="http://www.broadinstitute.org/gsea/msigdb/cards/GSE360_LOW_DOSE_B_MALAYI_VS_M_TUBERCULOSIS_DC_DN.html" TargetMode="External"/><Relationship Id="rId2996" Type="http://schemas.openxmlformats.org/officeDocument/2006/relationships/hyperlink" Target="http://www.broadinstitute.org/gsea/msigdb/cards/GSE36476_CTRL_VS_TSST_ACT_16H_MEMORY_CD4_TCELL_OLD_UP.html" TargetMode="External"/><Relationship Id="rId2997" Type="http://schemas.openxmlformats.org/officeDocument/2006/relationships/hyperlink" Target="http://www.broadinstitute.org/gsea/msigdb/cards/GSE3982_CTRL_VS_LPS_48H_DC_DN.html" TargetMode="External"/><Relationship Id="rId2998" Type="http://schemas.openxmlformats.org/officeDocument/2006/relationships/hyperlink" Target="http://www.broadinstitute.org/gsea/msigdb/cards/GSE3982_DC_VS_NEUTROPHIL_LPS_STIM_DN.html" TargetMode="External"/><Relationship Id="rId2999" Type="http://schemas.openxmlformats.org/officeDocument/2006/relationships/hyperlink" Target="http://www.broadinstitute.org/gsea/msigdb/cards/GSE3982_MAST_CELL_VS_EFF_MEMORY_CD4_TCELL_DN.html" TargetMode="External"/><Relationship Id="rId3350" Type="http://schemas.openxmlformats.org/officeDocument/2006/relationships/hyperlink" Target="http://www.broadinstitute.org/gsea/msigdb/cards/GSE12003_MIR223_KO_VS_WT_BM_PROGENITOR_4D_CULTURE_UP.html" TargetMode="External"/><Relationship Id="rId3351" Type="http://schemas.openxmlformats.org/officeDocument/2006/relationships/hyperlink" Target="http://www.broadinstitute.org/gsea/msigdb/cards/GSE13522_CTRL_VS_T_CRUZI_BRAZIL_STRAIN_INF_SKIN_DN.html" TargetMode="External"/><Relationship Id="rId3352" Type="http://schemas.openxmlformats.org/officeDocument/2006/relationships/hyperlink" Target="http://www.broadinstitute.org/gsea/msigdb/cards/GSE15330_HSC_VS_GRANULOCYTE_MONOCYTE_PROGENITOR_IKAROS_KO_DN.html" TargetMode="External"/><Relationship Id="rId3353" Type="http://schemas.openxmlformats.org/officeDocument/2006/relationships/hyperlink" Target="http://www.broadinstitute.org/gsea/msigdb/cards/GSE15330_MEGAKARYOCYTE_ERYTHROID_VS_GRANULOCYTE_MONOCYTE_PROGENITOR_IKAROS_KO_DN.html" TargetMode="External"/><Relationship Id="rId3354" Type="http://schemas.openxmlformats.org/officeDocument/2006/relationships/hyperlink" Target="http://www.broadinstitute.org/gsea/msigdb/cards/GSE9960_GRAM_NEG_VS_GRAM_POS_SEPSIS_PBMC_UP.html" TargetMode="External"/><Relationship Id="rId3355" Type="http://schemas.openxmlformats.org/officeDocument/2006/relationships/hyperlink" Target="http://www.broadinstitute.org/gsea/msigdb/cards/GSE12392_CD8A_POS_VS_NEG_SPLEEN_IFNB_KO_DC_UP.html" TargetMode="External"/><Relationship Id="rId3356" Type="http://schemas.openxmlformats.org/officeDocument/2006/relationships/hyperlink" Target="http://www.broadinstitute.org/gsea/msigdb/cards/GSE17186_NAIVE_VS_CD21LOW_TRANSITIONAL_BCELL_DN.html" TargetMode="External"/><Relationship Id="rId3357" Type="http://schemas.openxmlformats.org/officeDocument/2006/relationships/hyperlink" Target="http://www.broadinstitute.org/gsea/msigdb/cards/GSE22140_GERMFREE_VS_SPF_ARTHRITIC_MOUSE_CD4_TCELL_UP.html" TargetMode="External"/><Relationship Id="rId3358" Type="http://schemas.openxmlformats.org/officeDocument/2006/relationships/hyperlink" Target="http://www.broadinstitute.org/gsea/msigdb/cards/GSE19401_UNSTIM_VS_RETINOIC_ACID_STIM_FOLLICULAR_DC_UP.html" TargetMode="External"/><Relationship Id="rId3359" Type="http://schemas.openxmlformats.org/officeDocument/2006/relationships/hyperlink" Target="http://www.broadinstitute.org/gsea/msigdb/cards/GSE21033_1H_VS_12H_POLYIC_STIM_DC_UP.html" TargetMode="External"/><Relationship Id="rId650" Type="http://schemas.openxmlformats.org/officeDocument/2006/relationships/hyperlink" Target="http://www.broadinstitute.org/gsea/msigdb/cards/BALLIF_DEVELOPMENTAL_DISABILITY_P16_P12_DELETION.html" TargetMode="External"/><Relationship Id="rId651" Type="http://schemas.openxmlformats.org/officeDocument/2006/relationships/hyperlink" Target="http://www.broadinstitute.org/gsea/msigdb/cards/NIKOLSKY_BREAST_CANCER_1Q32_AMPLICON.html" TargetMode="External"/><Relationship Id="rId652" Type="http://schemas.openxmlformats.org/officeDocument/2006/relationships/hyperlink" Target="http://www.broadinstitute.org/gsea/msigdb/cards/HADDAD_B_LYMPHOCYTE_PROGENITOR.html" TargetMode="External"/><Relationship Id="rId653" Type="http://schemas.openxmlformats.org/officeDocument/2006/relationships/hyperlink" Target="http://www.broadinstitute.org/gsea/msigdb/cards/MARTINELLI_IMMATURE_NEUTROPHIL_DN.html" TargetMode="External"/><Relationship Id="rId654" Type="http://schemas.openxmlformats.org/officeDocument/2006/relationships/hyperlink" Target="http://www.broadinstitute.org/gsea/msigdb/cards/CROONQUIST_STROMAL_STIMULATION_DN.html" TargetMode="External"/><Relationship Id="rId655" Type="http://schemas.openxmlformats.org/officeDocument/2006/relationships/hyperlink" Target="http://www.broadinstitute.org/gsea/msigdb/cards/HOFFMANN_SMALL_PRE_BII_TO_IMMATURE_B_LYMPHOCYTE_DN.html" TargetMode="External"/><Relationship Id="rId656" Type="http://schemas.openxmlformats.org/officeDocument/2006/relationships/hyperlink" Target="http://www.broadinstitute.org/gsea/msigdb/cards/DER_IFN_ALPHA_RESPONSE_UP.html" TargetMode="External"/><Relationship Id="rId657" Type="http://schemas.openxmlformats.org/officeDocument/2006/relationships/hyperlink" Target="http://www.broadinstitute.org/gsea/msigdb/cards/LEE_METASTASIS_AND_ALTERNATIVE_SPLICING_UP.html" TargetMode="External"/><Relationship Id="rId658" Type="http://schemas.openxmlformats.org/officeDocument/2006/relationships/hyperlink" Target="http://www.broadinstitute.org/gsea/msigdb/cards/MIYAGAWA_TARGETS_OF_EWSR1_ETS_FUSIONS_UP.html" TargetMode="External"/><Relationship Id="rId659" Type="http://schemas.openxmlformats.org/officeDocument/2006/relationships/hyperlink" Target="http://www.broadinstitute.org/gsea/msigdb/cards/BROWNE_HCMV_INFECTION_10HR_UP.html" TargetMode="External"/><Relationship Id="rId2260" Type="http://schemas.openxmlformats.org/officeDocument/2006/relationships/hyperlink" Target="http://www.broadinstitute.org/gsea/msigdb/cards/GSE13411_PLASMA_CELL_VS_MEMORY_BCELL_DN.html" TargetMode="External"/><Relationship Id="rId2261" Type="http://schemas.openxmlformats.org/officeDocument/2006/relationships/hyperlink" Target="http://www.broadinstitute.org/gsea/msigdb/cards/GSE17974_IL4_AND_ANTI_IL12_VS_UNTREATED_72H_ACT_CD4_TCELL_DN.html" TargetMode="External"/><Relationship Id="rId2262" Type="http://schemas.openxmlformats.org/officeDocument/2006/relationships/hyperlink" Target="http://www.broadinstitute.org/gsea/msigdb/cards/GSE22886_CD4_TCELL_VS_BCELL_NAIVE_UP.html" TargetMode="External"/><Relationship Id="rId2263" Type="http://schemas.openxmlformats.org/officeDocument/2006/relationships/hyperlink" Target="http://www.broadinstitute.org/gsea/msigdb/cards/GSE24142_EARLY_THYMIC_PROGENITOR_VS_DN3_THYMOCYTE_UP.html" TargetMode="External"/><Relationship Id="rId2264" Type="http://schemas.openxmlformats.org/officeDocument/2006/relationships/hyperlink" Target="http://www.broadinstitute.org/gsea/msigdb/cards/GSE30083_SP3_VS_SP4_THYMOCYTE_DN.html" TargetMode="External"/><Relationship Id="rId2265" Type="http://schemas.openxmlformats.org/officeDocument/2006/relationships/hyperlink" Target="http://www.broadinstitute.org/gsea/msigdb/cards/GSE7460_TCONV_VS_TREG_THYMUS_DN.html" TargetMode="External"/><Relationship Id="rId2266" Type="http://schemas.openxmlformats.org/officeDocument/2006/relationships/hyperlink" Target="http://www.broadinstitute.org/gsea/msigdb/cards/GSE22140_GERMFREE_VS_SPF_ARTHRITIC_MOUSE_CD4_TCELL_DN.html" TargetMode="External"/><Relationship Id="rId2267" Type="http://schemas.openxmlformats.org/officeDocument/2006/relationships/hyperlink" Target="http://www.broadinstitute.org/gsea/msigdb/cards/GSE36078_WT_VS_IL1R_KO_LUNG_DC_AFTER_AD5_INF_UP.html" TargetMode="External"/><Relationship Id="rId2268" Type="http://schemas.openxmlformats.org/officeDocument/2006/relationships/hyperlink" Target="http://www.broadinstitute.org/gsea/msigdb/cards/GSE25677_MPL_VS_R848_STIM_BCELL_DN.html" TargetMode="External"/><Relationship Id="rId2269" Type="http://schemas.openxmlformats.org/officeDocument/2006/relationships/hyperlink" Target="http://www.broadinstitute.org/gsea/msigdb/cards/GSE13485_CTRL_VS_DAY3_YF17D_VACCINE_PBMC_DN.html" TargetMode="External"/><Relationship Id="rId1170" Type="http://schemas.openxmlformats.org/officeDocument/2006/relationships/hyperlink" Target="http://www.broadinstitute.org/gsea/msigdb/cards/GO_NEGATIVE_REGULATION_OF_CELL_PROLIFERATION.html" TargetMode="External"/><Relationship Id="rId1171" Type="http://schemas.openxmlformats.org/officeDocument/2006/relationships/hyperlink" Target="http://www.broadinstitute.org/gsea/msigdb/cards/GO_ALPHA_BETA_T_CELL_DIFFERENTIATION.html" TargetMode="External"/><Relationship Id="rId1172" Type="http://schemas.openxmlformats.org/officeDocument/2006/relationships/hyperlink" Target="http://www.broadinstitute.org/gsea/msigdb/cards/GO_NEGATIVE_REGULATION_OF_CELL_ADHESION.html" TargetMode="External"/><Relationship Id="rId1173" Type="http://schemas.openxmlformats.org/officeDocument/2006/relationships/hyperlink" Target="http://www.broadinstitute.org/gsea/msigdb/cards/GO_CELL_DEATH.html" TargetMode="External"/><Relationship Id="rId1174" Type="http://schemas.openxmlformats.org/officeDocument/2006/relationships/hyperlink" Target="http://www.broadinstitute.org/gsea/msigdb/cards/GO_POSITIVE_REGULATION_OF_LYMPHOCYTE_DIFFERENTIATION.html" TargetMode="External"/><Relationship Id="rId1175" Type="http://schemas.openxmlformats.org/officeDocument/2006/relationships/hyperlink" Target="http://www.broadinstitute.org/gsea/msigdb/cards/GO_POSITIVE_REGULATION_OF_LEUKOCYTE_CHEMOTAXIS.html" TargetMode="External"/><Relationship Id="rId1176" Type="http://schemas.openxmlformats.org/officeDocument/2006/relationships/hyperlink" Target="http://www.broadinstitute.org/gsea/msigdb/cards/GO_POSITIVE_REGULATION_OF_LYMPHOCYTE_MEDIATED_IMMUNITY.html" TargetMode="External"/><Relationship Id="rId1177" Type="http://schemas.openxmlformats.org/officeDocument/2006/relationships/hyperlink" Target="http://www.broadinstitute.org/gsea/msigdb/cards/GO_POSITIVE_REGULATION_OF_CYTOKINE_SECRETION.html" TargetMode="External"/><Relationship Id="rId1178" Type="http://schemas.openxmlformats.org/officeDocument/2006/relationships/hyperlink" Target="http://www.broadinstitute.org/gsea/msigdb/cards/GO_REGULATION_OF_LEUKOCYTE_CHEMOTAXIS.html" TargetMode="External"/><Relationship Id="rId1179" Type="http://schemas.openxmlformats.org/officeDocument/2006/relationships/hyperlink" Target="http://www.broadinstitute.org/gsea/msigdb/cards/GO_MHC_CLASS_II_PROTEIN_COMPLEX.html" TargetMode="External"/><Relationship Id="rId4450" Type="http://schemas.openxmlformats.org/officeDocument/2006/relationships/hyperlink" Target="http://www.broadinstitute.org/gsea/msigdb/cards/GSE360_L_MAJOR_VS_B_MALAYI_LOW_DOSE_MAC_UP.html" TargetMode="External"/><Relationship Id="rId4451" Type="http://schemas.openxmlformats.org/officeDocument/2006/relationships/hyperlink" Target="http://www.broadinstitute.org/gsea/msigdb/cards/GSE360_T_GONDII_VS_M_TUBERCULOSIS_MAC_DN.html" TargetMode="External"/><Relationship Id="rId4452" Type="http://schemas.openxmlformats.org/officeDocument/2006/relationships/hyperlink" Target="http://www.broadinstitute.org/gsea/msigdb/cards/GSE36476_CTRL_VS_TSST_ACT_16H_MEMORY_CD4_TCELL_OLD_DN.html" TargetMode="External"/><Relationship Id="rId4453" Type="http://schemas.openxmlformats.org/officeDocument/2006/relationships/hyperlink" Target="http://www.broadinstitute.org/gsea/msigdb/cards/GSE37416_CTRL_VS_6H_F_TULARENSIS_LVS_NEUTROPHIL_DN.html" TargetMode="External"/><Relationship Id="rId4454" Type="http://schemas.openxmlformats.org/officeDocument/2006/relationships/hyperlink" Target="http://www.broadinstitute.org/gsea/msigdb/cards/GSE37416_0H_VS_12H_F_TULARENSIS_LVS_NEUTROPHIL_DN.html" TargetMode="External"/><Relationship Id="rId4455" Type="http://schemas.openxmlformats.org/officeDocument/2006/relationships/hyperlink" Target="http://www.broadinstitute.org/gsea/msigdb/cards/GSE3982_CTRL_VS_PMA_STIM_EOSINOPHIL_DN.html" TargetMode="External"/><Relationship Id="rId4456" Type="http://schemas.openxmlformats.org/officeDocument/2006/relationships/hyperlink" Target="http://www.broadinstitute.org/gsea/msigdb/cards/GSE3982_MEMORY_CD4_TCELL_VS_TH1_UP.html" TargetMode="External"/><Relationship Id="rId4457" Type="http://schemas.openxmlformats.org/officeDocument/2006/relationships/hyperlink" Target="http://www.broadinstitute.org/gsea/msigdb/cards/GSE3982_EOSINOPHIL_VS_TH2_UP.html" TargetMode="External"/><Relationship Id="rId4458" Type="http://schemas.openxmlformats.org/officeDocument/2006/relationships/hyperlink" Target="http://www.broadinstitute.org/gsea/msigdb/cards/GSE3982_MAST_CELL_VS_TH2_DN.html" TargetMode="External"/><Relationship Id="rId4459" Type="http://schemas.openxmlformats.org/officeDocument/2006/relationships/hyperlink" Target="http://www.broadinstitute.org/gsea/msigdb/cards/GSE3982_NEUTROPHIL_VS_TH1_UP.html" TargetMode="External"/><Relationship Id="rId3360" Type="http://schemas.openxmlformats.org/officeDocument/2006/relationships/hyperlink" Target="http://www.broadinstitute.org/gsea/msigdb/cards/GSE23308_WT_VS_MINERALCORTICOID_REC_KO_MACROPHAGE_DN.html" TargetMode="External"/><Relationship Id="rId3361" Type="http://schemas.openxmlformats.org/officeDocument/2006/relationships/hyperlink" Target="http://www.broadinstitute.org/gsea/msigdb/cards/GSE22589_SIV_VS_HIV_AND_SIV_INFECTED_DC_UP.html" TargetMode="External"/><Relationship Id="rId3362" Type="http://schemas.openxmlformats.org/officeDocument/2006/relationships/hyperlink" Target="http://www.broadinstitute.org/gsea/msigdb/cards/GSE22432_MULTIPOTENT_PROGENITOR_VS_PDC_UP.html" TargetMode="External"/><Relationship Id="rId3363" Type="http://schemas.openxmlformats.org/officeDocument/2006/relationships/hyperlink" Target="http://www.broadinstitute.org/gsea/msigdb/cards/GSE22432_UNTREATED_VS_TGFB1_TREATED_COMMON_DC_PROGENITOR_DN.html" TargetMode="External"/><Relationship Id="rId3364" Type="http://schemas.openxmlformats.org/officeDocument/2006/relationships/hyperlink" Target="http://www.broadinstitute.org/gsea/msigdb/cards/GSE16385_ROSIGLITAZONE_IFNG_TNF_VS_IL4_STIM_MACROPHAGE_UP.html" TargetMode="External"/><Relationship Id="rId3365" Type="http://schemas.openxmlformats.org/officeDocument/2006/relationships/hyperlink" Target="http://www.broadinstitute.org/gsea/msigdb/cards/GSE25088_ROSIGLITAZONE_VS_IL4_AND_ROSIGLITAZONE_STIM_STAT6_KO_MACROPHAGE_DAY10_UP.html" TargetMode="External"/><Relationship Id="rId3366" Type="http://schemas.openxmlformats.org/officeDocument/2006/relationships/hyperlink" Target="http://www.broadinstitute.org/gsea/msigdb/cards/GSE22282_HYPOXIA_VS_NORMOXIA_MYELOID_DC_DN.html" TargetMode="External"/><Relationship Id="rId3367" Type="http://schemas.openxmlformats.org/officeDocument/2006/relationships/hyperlink" Target="http://www.broadinstitute.org/gsea/msigdb/cards/GSE23398_WT_VS_IL2_KO_CD4_TCELL_SCURFY_MOUSE_DN.html" TargetMode="External"/><Relationship Id="rId3368" Type="http://schemas.openxmlformats.org/officeDocument/2006/relationships/hyperlink" Target="http://www.broadinstitute.org/gsea/msigdb/cards/GSE23114_WT_VS_SLE2C1_MOUSE_SPLEEN_B1A_BCELL_DN.html" TargetMode="External"/><Relationship Id="rId3369" Type="http://schemas.openxmlformats.org/officeDocument/2006/relationships/hyperlink" Target="http://www.broadinstitute.org/gsea/msigdb/cards/GSE23114_PERITONEAL_CAVITY_B1A_BCELL_VS_SPLEEN_BCELL_IN_SLE2C1_MOUSE_UP.html" TargetMode="External"/><Relationship Id="rId660" Type="http://schemas.openxmlformats.org/officeDocument/2006/relationships/hyperlink" Target="http://www.broadinstitute.org/gsea/msigdb/cards/LIU_BREAST_CANCER.html" TargetMode="External"/><Relationship Id="rId661" Type="http://schemas.openxmlformats.org/officeDocument/2006/relationships/hyperlink" Target="http://www.broadinstitute.org/gsea/msigdb/cards/SHIN_B_CELL_LYMPHOMA_CLUSTER_2.html" TargetMode="External"/><Relationship Id="rId662" Type="http://schemas.openxmlformats.org/officeDocument/2006/relationships/hyperlink" Target="http://www.broadinstitute.org/gsea/msigdb/cards/NAKAJIMA_EOSINOPHIL.html" TargetMode="External"/><Relationship Id="rId663" Type="http://schemas.openxmlformats.org/officeDocument/2006/relationships/hyperlink" Target="http://www.broadinstitute.org/gsea/msigdb/cards/CHIARETTI_T_ALL_REFRACTORY_TO_THERAPY.html" TargetMode="External"/><Relationship Id="rId664" Type="http://schemas.openxmlformats.org/officeDocument/2006/relationships/hyperlink" Target="http://www.broadinstitute.org/gsea/msigdb/cards/SHETH_LIVER_CANCER_VS_TXNIP_LOSS_PAM4.html" TargetMode="External"/><Relationship Id="rId665" Type="http://schemas.openxmlformats.org/officeDocument/2006/relationships/hyperlink" Target="http://www.broadinstitute.org/gsea/msigdb/cards/ZHANG_ANTIVIRAL_RESPONSE_TO_RIBAVIRIN_DN.html" TargetMode="External"/><Relationship Id="rId666" Type="http://schemas.openxmlformats.org/officeDocument/2006/relationships/hyperlink" Target="http://www.broadinstitute.org/gsea/msigdb/cards/REACTOME_HOST_INTERACTIONS_OF_HIV_FACTORS.html" TargetMode="External"/><Relationship Id="rId667" Type="http://schemas.openxmlformats.org/officeDocument/2006/relationships/hyperlink" Target="http://www.broadinstitute.org/gsea/msigdb/cards/KYNG_DNA_DAMAGE_DN.html" TargetMode="External"/><Relationship Id="rId668" Type="http://schemas.openxmlformats.org/officeDocument/2006/relationships/hyperlink" Target="http://www.broadinstitute.org/gsea/msigdb/cards/BIOCARTA_CLASSIC_PATHWAY.html" TargetMode="External"/><Relationship Id="rId669" Type="http://schemas.openxmlformats.org/officeDocument/2006/relationships/hyperlink" Target="http://www.broadinstitute.org/gsea/msigdb/cards/PID_IL5_PATHWAY.html" TargetMode="External"/><Relationship Id="rId2270" Type="http://schemas.openxmlformats.org/officeDocument/2006/relationships/hyperlink" Target="http://www.broadinstitute.org/gsea/msigdb/cards/GSE22886_CD8_TCELL_VS_BCELL_NAIVE_UP.html" TargetMode="External"/><Relationship Id="rId2271" Type="http://schemas.openxmlformats.org/officeDocument/2006/relationships/hyperlink" Target="http://www.broadinstitute.org/gsea/msigdb/cards/GSE24142_EARLY_THYMIC_PROGENITOR_VS_DN3_THYMOCYTE_DN.html" TargetMode="External"/><Relationship Id="rId2272" Type="http://schemas.openxmlformats.org/officeDocument/2006/relationships/hyperlink" Target="http://www.broadinstitute.org/gsea/msigdb/cards/GSE24142_EARLY_THYMIC_PROGENITOR_VS_DN2_THYMOCYTE_ADULT_UP.html" TargetMode="External"/><Relationship Id="rId2273" Type="http://schemas.openxmlformats.org/officeDocument/2006/relationships/hyperlink" Target="http://www.broadinstitute.org/gsea/msigdb/cards/GSE8835_CD4_VS_CD8_TCELL_CLL_PATIENT_UP.html" TargetMode="External"/><Relationship Id="rId2274" Type="http://schemas.openxmlformats.org/officeDocument/2006/relationships/hyperlink" Target="http://www.broadinstitute.org/gsea/msigdb/cards/GSE9316_IL6_KO_VS_IFNG_KO_INVIVO_EXPANDED_CD4_TCELL_DN.html" TargetMode="External"/><Relationship Id="rId2275" Type="http://schemas.openxmlformats.org/officeDocument/2006/relationships/hyperlink" Target="http://www.broadinstitute.org/gsea/msigdb/cards/GSE19401_PAM2CSK4_VS_RETINOIC_ACID_AND_PAM2CSK4_STIM_FOLLICULAR_DC_DN.html" TargetMode="External"/><Relationship Id="rId2276" Type="http://schemas.openxmlformats.org/officeDocument/2006/relationships/hyperlink" Target="http://www.broadinstitute.org/gsea/msigdb/cards/GSE23505_UNTREATED_VS_4DAY_IL6_IL1_IL23_TREATED_CD4_TCELL_DN.html" TargetMode="External"/><Relationship Id="rId2277" Type="http://schemas.openxmlformats.org/officeDocument/2006/relationships/hyperlink" Target="http://www.broadinstitute.org/gsea/msigdb/cards/GSE36888_UNTREATED_VS_IL2_TREATED_STAT5_AB_KNOCKIN_TCELL_6H_UP.html" TargetMode="External"/><Relationship Id="rId2278" Type="http://schemas.openxmlformats.org/officeDocument/2006/relationships/hyperlink" Target="http://www.broadinstitute.org/gsea/msigdb/cards/GSE41087_WT_VS_FOXP3_MUT_ANTI_CD3_CD28_STIM_CD4_TCELL_UP.html" TargetMode="External"/><Relationship Id="rId2279" Type="http://schemas.openxmlformats.org/officeDocument/2006/relationships/hyperlink" Target="http://www.broadinstitute.org/gsea/msigdb/cards/GSE45365_NK_CELL_VS_CD11B_DC_DN.html" TargetMode="External"/><Relationship Id="rId1180" Type="http://schemas.openxmlformats.org/officeDocument/2006/relationships/hyperlink" Target="http://www.broadinstitute.org/gsea/msigdb/cards/GO_CHEMOKINE_MEDIATED_SIGNALING_PATHWAY.html" TargetMode="External"/><Relationship Id="rId1181" Type="http://schemas.openxmlformats.org/officeDocument/2006/relationships/hyperlink" Target="http://www.broadinstitute.org/gsea/msigdb/cards/GO_POSITIVE_REGULATION_OF_ADAPTIVE_IMMUNE_RESPONSE.html" TargetMode="External"/><Relationship Id="rId1182" Type="http://schemas.openxmlformats.org/officeDocument/2006/relationships/hyperlink" Target="http://www.broadinstitute.org/gsea/msigdb/cards/GO_ANTIGEN_BINDING.html" TargetMode="External"/><Relationship Id="rId1183" Type="http://schemas.openxmlformats.org/officeDocument/2006/relationships/hyperlink" Target="http://www.broadinstitute.org/gsea/msigdb/cards/GO_REGULATION_OF_CHEMOTAXIS.html" TargetMode="External"/><Relationship Id="rId1184" Type="http://schemas.openxmlformats.org/officeDocument/2006/relationships/hyperlink" Target="http://www.broadinstitute.org/gsea/msigdb/cards/GO_LYMPHOCYTE_MEDIATED_IMMUNITY.html" TargetMode="External"/><Relationship Id="rId1185" Type="http://schemas.openxmlformats.org/officeDocument/2006/relationships/hyperlink" Target="http://www.broadinstitute.org/gsea/msigdb/cards/GO_REGULATION_OF_INTERLEUKIN_12_PRODUCTION.html" TargetMode="External"/><Relationship Id="rId1186" Type="http://schemas.openxmlformats.org/officeDocument/2006/relationships/hyperlink" Target="http://www.broadinstitute.org/gsea/msigdb/cards/GO_POSITIVE_REGULATION_OF_ALPHA_BETA_T_CELL_ACTIVATION.html" TargetMode="External"/><Relationship Id="rId1187" Type="http://schemas.openxmlformats.org/officeDocument/2006/relationships/hyperlink" Target="http://www.broadinstitute.org/gsea/msigdb/cards/GO_HOMEOSTATIC_PROCESS.html" TargetMode="External"/><Relationship Id="rId1188" Type="http://schemas.openxmlformats.org/officeDocument/2006/relationships/hyperlink" Target="http://www.broadinstitute.org/gsea/msigdb/cards/GO_REGULATION_OF_CELL_KILLING.html" TargetMode="External"/><Relationship Id="rId1189" Type="http://schemas.openxmlformats.org/officeDocument/2006/relationships/hyperlink" Target="http://www.broadinstitute.org/gsea/msigdb/cards/GO_RESPONSE_TO_LIPID.html" TargetMode="External"/><Relationship Id="rId4460" Type="http://schemas.openxmlformats.org/officeDocument/2006/relationships/hyperlink" Target="http://www.broadinstitute.org/gsea/msigdb/cards/GSE3982_BASOPHIL_VS_TH1_DN.html" TargetMode="External"/><Relationship Id="rId4461" Type="http://schemas.openxmlformats.org/officeDocument/2006/relationships/hyperlink" Target="http://www.broadinstitute.org/gsea/msigdb/cards/GSE3982_EFF_MEMORY_CD4_TCELL_VS_NKCELL_UP.html" TargetMode="External"/><Relationship Id="rId4462" Type="http://schemas.openxmlformats.org/officeDocument/2006/relationships/hyperlink" Target="http://www.broadinstitute.org/gsea/msigdb/cards/GSE39820_CTRL_VS_TGFBETA3_IL6_CD4_TCELL_UP.html" TargetMode="External"/><Relationship Id="rId4463" Type="http://schemas.openxmlformats.org/officeDocument/2006/relationships/hyperlink" Target="http://www.broadinstitute.org/gsea/msigdb/cards/GSE39820_TGFBETA1_VS_TGFBETA3_IN_IL6_IL23A_TREATED_CD4_TCELL_DN.html" TargetMode="External"/><Relationship Id="rId4464" Type="http://schemas.openxmlformats.org/officeDocument/2006/relationships/hyperlink" Target="http://www.broadinstitute.org/gsea/msigdb/cards/GSE7400_CTRL_VS_CSF3_IN_VIVO_TREATED_PBMC_DN.html" TargetMode="External"/><Relationship Id="rId4465" Type="http://schemas.openxmlformats.org/officeDocument/2006/relationships/hyperlink" Target="http://www.broadinstitute.org/gsea/msigdb/cards/GSE7460_TCONV_VS_TREG_THYMUS_UP.html" TargetMode="External"/><Relationship Id="rId4466" Type="http://schemas.openxmlformats.org/officeDocument/2006/relationships/hyperlink" Target="http://www.broadinstitute.org/gsea/msigdb/cards/GSE7460_TREG_VS_TCONV_ACT_WITH_TGFB_UP.html" TargetMode="External"/><Relationship Id="rId4467" Type="http://schemas.openxmlformats.org/officeDocument/2006/relationships/hyperlink" Target="http://www.broadinstitute.org/gsea/msigdb/cards/GSE7460_FOXP3_MUT_VS_WT_ACT_TCONV_DN.html" TargetMode="External"/><Relationship Id="rId4468" Type="http://schemas.openxmlformats.org/officeDocument/2006/relationships/hyperlink" Target="http://www.broadinstitute.org/gsea/msigdb/cards/GSE7460_WT_VS_FOXP3_HET_ACT_TCONV_DN.html" TargetMode="External"/><Relationship Id="rId4469" Type="http://schemas.openxmlformats.org/officeDocument/2006/relationships/hyperlink" Target="http://www.broadinstitute.org/gsea/msigdb/cards/GSE7460_WT_VS_FOXP3_HET_ACT_WITH_TGFB_TCONV_UP.html" TargetMode="External"/><Relationship Id="rId3370" Type="http://schemas.openxmlformats.org/officeDocument/2006/relationships/hyperlink" Target="http://www.broadinstitute.org/gsea/msigdb/cards/GSE22025_PROGESTERONE_VS_TGFB1_AND_PROGESTERONE_TREATED_CD4_TCELL_DN.html" TargetMode="External"/><Relationship Id="rId3371" Type="http://schemas.openxmlformats.org/officeDocument/2006/relationships/hyperlink" Target="http://www.broadinstitute.org/gsea/msigdb/cards/GSE22025_TGFB1_VS_TGFB1_AND_PROGESTERONE_TREATED_CD4_TCELL_UP.html" TargetMode="External"/><Relationship Id="rId3372" Type="http://schemas.openxmlformats.org/officeDocument/2006/relationships/hyperlink" Target="http://www.broadinstitute.org/gsea/msigdb/cards/GSE29949_MICROGLIA_BRAIN_VS_MONOCYTE_BONE_MARROW_DN.html" TargetMode="External"/><Relationship Id="rId3373" Type="http://schemas.openxmlformats.org/officeDocument/2006/relationships/hyperlink" Target="http://www.broadinstitute.org/gsea/msigdb/cards/GSE29164_DAY3_VS_DAY7_CD8_TCELL_TREATED_MELANOMA_UP.html" TargetMode="External"/><Relationship Id="rId3374" Type="http://schemas.openxmlformats.org/officeDocument/2006/relationships/hyperlink" Target="http://www.broadinstitute.org/gsea/msigdb/cards/GSE29164_DAY3_VS_DAY7_CD8_TCELL_AND_IL12_TREATED_MELANOMA_UP.html" TargetMode="External"/><Relationship Id="rId3375" Type="http://schemas.openxmlformats.org/officeDocument/2006/relationships/hyperlink" Target="http://www.broadinstitute.org/gsea/msigdb/cards/GSE26030_UNSTIM_VS_RESTIM_TH1_DAY15_POST_POLARIZATION_UP.html" TargetMode="External"/><Relationship Id="rId3376" Type="http://schemas.openxmlformats.org/officeDocument/2006/relationships/hyperlink" Target="http://www.broadinstitute.org/gsea/msigdb/cards/GSE32986_CURDLAN_LOWDOSE_VS_GMCSF_AND_CURDLAN_LOWDOSE_STIM_DC_DN.html" TargetMode="External"/><Relationship Id="rId3377" Type="http://schemas.openxmlformats.org/officeDocument/2006/relationships/hyperlink" Target="http://www.broadinstitute.org/gsea/msigdb/cards/GSE26343_UNSTIM_VS_LPS_STIM_MACROPHAGE_UP.html" TargetMode="External"/><Relationship Id="rId3378" Type="http://schemas.openxmlformats.org/officeDocument/2006/relationships/hyperlink" Target="http://www.broadinstitute.org/gsea/msigdb/cards/GSE34156_NOD2_LIGAND_VS_TLR1_TLR2_LIGAND_6H_TREATED_MONOCYTE_UP.html" TargetMode="External"/><Relationship Id="rId3379" Type="http://schemas.openxmlformats.org/officeDocument/2006/relationships/hyperlink" Target="http://www.broadinstitute.org/gsea/msigdb/cards/GSE30971_CTRL_VS_LPS_STIM_MACROPHAGE_WBP7_KO_2H_UP.html" TargetMode="External"/><Relationship Id="rId670" Type="http://schemas.openxmlformats.org/officeDocument/2006/relationships/hyperlink" Target="http://www.broadinstitute.org/gsea/msigdb/cards/REACTOME_TRAFFICKING_AND_PROCESSING_OF_ENDOSOMAL_TLR.html" TargetMode="External"/><Relationship Id="rId671" Type="http://schemas.openxmlformats.org/officeDocument/2006/relationships/hyperlink" Target="http://www.broadinstitute.org/gsea/msigdb/cards/REACTOME_REGULATION_OF_IFNG_SIGNALING.html" TargetMode="External"/><Relationship Id="rId672" Type="http://schemas.openxmlformats.org/officeDocument/2006/relationships/hyperlink" Target="http://www.broadinstitute.org/gsea/msigdb/cards/RADAEVA_RESPONSE_TO_IFNA1_UP.html" TargetMode="External"/><Relationship Id="rId673" Type="http://schemas.openxmlformats.org/officeDocument/2006/relationships/hyperlink" Target="http://www.broadinstitute.org/gsea/msigdb/cards/PARK_APL_PATHOGENESIS_UP.html" TargetMode="External"/><Relationship Id="rId674" Type="http://schemas.openxmlformats.org/officeDocument/2006/relationships/hyperlink" Target="http://www.broadinstitute.org/gsea/msigdb/cards/PID_CD40_PATHWAY.html" TargetMode="External"/><Relationship Id="rId675" Type="http://schemas.openxmlformats.org/officeDocument/2006/relationships/hyperlink" Target="http://www.broadinstitute.org/gsea/msigdb/cards/PID_P38_ALPHA_BETA_PATHWAY.html" TargetMode="External"/><Relationship Id="rId676" Type="http://schemas.openxmlformats.org/officeDocument/2006/relationships/hyperlink" Target="http://www.broadinstitute.org/gsea/msigdb/cards/REACTOME_SIGNAL_AMPLIFICATION.html" TargetMode="External"/><Relationship Id="rId677" Type="http://schemas.openxmlformats.org/officeDocument/2006/relationships/hyperlink" Target="http://www.broadinstitute.org/gsea/msigdb/cards/NOJIMA_SFRP2_TARGETS_UP.html" TargetMode="External"/><Relationship Id="rId678" Type="http://schemas.openxmlformats.org/officeDocument/2006/relationships/hyperlink" Target="http://www.broadinstitute.org/gsea/msigdb/cards/MOREAUX_MULTIPLE_MYELOMA_BY_TACI_UP.html" TargetMode="External"/><Relationship Id="rId679" Type="http://schemas.openxmlformats.org/officeDocument/2006/relationships/hyperlink" Target="http://www.broadinstitute.org/gsea/msigdb/cards/BENNETT_SYSTEMIC_LUPUS_ERYTHEMATOSUS.html" TargetMode="External"/><Relationship Id="rId2280" Type="http://schemas.openxmlformats.org/officeDocument/2006/relationships/hyperlink" Target="http://www.broadinstitute.org/gsea/msigdb/cards/GSE4590_SMALL_VS_LARGE_PRE_BCELL_UP.html" TargetMode="External"/><Relationship Id="rId2281" Type="http://schemas.openxmlformats.org/officeDocument/2006/relationships/hyperlink" Target="http://www.broadinstitute.org/gsea/msigdb/cards/GSE40274_CTRL_VS_FOXP3_AND_EOS_TRANSDUCED_ACTIVATED_CD4_TCELL_UP.html" TargetMode="External"/><Relationship Id="rId2282" Type="http://schemas.openxmlformats.org/officeDocument/2006/relationships/hyperlink" Target="http://www.broadinstitute.org/gsea/msigdb/cards/GSE21670_UNTREATED_VS_TGFB_TREATED_STAT3_KO_CD4_TCELL_DN.html" TargetMode="External"/><Relationship Id="rId2283" Type="http://schemas.openxmlformats.org/officeDocument/2006/relationships/hyperlink" Target="http://www.broadinstitute.org/gsea/msigdb/cards/GSE6259_FLT3L_INDUCED_VS_WT_SPLENIC_DC_33D1_POS_UP.html" TargetMode="External"/><Relationship Id="rId2284" Type="http://schemas.openxmlformats.org/officeDocument/2006/relationships/hyperlink" Target="http://www.broadinstitute.org/gsea/msigdb/cards/GSE11057_NAIVE_VS_EFF_MEMORY_CD4_TCELL_DN.html" TargetMode="External"/><Relationship Id="rId2285" Type="http://schemas.openxmlformats.org/officeDocument/2006/relationships/hyperlink" Target="http://www.broadinstitute.org/gsea/msigdb/cards/GSE12845_PRE_GC_VS_DARKZONE_GC_TONSIL_BCELL_UP.html" TargetMode="External"/><Relationship Id="rId2286" Type="http://schemas.openxmlformats.org/officeDocument/2006/relationships/hyperlink" Target="http://www.broadinstitute.org/gsea/msigdb/cards/GSE22886_TCELL_VS_BCELL_NAIVE_UP.html" TargetMode="External"/><Relationship Id="rId2287" Type="http://schemas.openxmlformats.org/officeDocument/2006/relationships/hyperlink" Target="http://www.broadinstitute.org/gsea/msigdb/cards/GSE22886_DC_VS_MONOCYTE_DN.html" TargetMode="External"/><Relationship Id="rId2288" Type="http://schemas.openxmlformats.org/officeDocument/2006/relationships/hyperlink" Target="http://www.broadinstitute.org/gsea/msigdb/cards/GSE24142_EARLY_THYMIC_PROGENITOR_VS_DN2_THYMOCYTE_FETAL_UP.html" TargetMode="External"/><Relationship Id="rId2289" Type="http://schemas.openxmlformats.org/officeDocument/2006/relationships/hyperlink" Target="http://www.broadinstitute.org/gsea/msigdb/cards/GSE29618_BCELL_VS_PDC_UP.html" TargetMode="External"/><Relationship Id="rId1190" Type="http://schemas.openxmlformats.org/officeDocument/2006/relationships/hyperlink" Target="http://www.broadinstitute.org/gsea/msigdb/cards/GO_MEMBRANE_PROTEIN_COMPLEX.html" TargetMode="External"/><Relationship Id="rId1191" Type="http://schemas.openxmlformats.org/officeDocument/2006/relationships/hyperlink" Target="http://www.broadinstitute.org/gsea/msigdb/cards/GO_POSITIVE_REGULATION_OF_CHEMOTAXIS.html" TargetMode="External"/><Relationship Id="rId1192" Type="http://schemas.openxmlformats.org/officeDocument/2006/relationships/hyperlink" Target="http://www.broadinstitute.org/gsea/msigdb/cards/GO_REGULATION_OF_HYDROLASE_ACTIVITY.html" TargetMode="External"/><Relationship Id="rId1193" Type="http://schemas.openxmlformats.org/officeDocument/2006/relationships/hyperlink" Target="http://www.broadinstitute.org/gsea/msigdb/cards/GO_REGULATION_OF_GTPASE_ACTIVITY.html" TargetMode="External"/><Relationship Id="rId1194" Type="http://schemas.openxmlformats.org/officeDocument/2006/relationships/hyperlink" Target="http://www.broadinstitute.org/gsea/msigdb/cards/GO_HOMEOSTASIS_OF_NUMBER_OF_CELLS.html" TargetMode="External"/><Relationship Id="rId1195" Type="http://schemas.openxmlformats.org/officeDocument/2006/relationships/hyperlink" Target="http://www.broadinstitute.org/gsea/msigdb/cards/GO_REGULATION_OF_INTERLEUKIN_10_PRODUCTION.html" TargetMode="External"/><Relationship Id="rId1196" Type="http://schemas.openxmlformats.org/officeDocument/2006/relationships/hyperlink" Target="http://www.broadinstitute.org/gsea/msigdb/cards/GO_REGULATION_OF_CELLULAR_LOCALIZATION.html" TargetMode="External"/><Relationship Id="rId1197" Type="http://schemas.openxmlformats.org/officeDocument/2006/relationships/hyperlink" Target="http://www.broadinstitute.org/gsea/msigdb/cards/GO_CELLULAR_RESPONSE_TO_OXYGEN_CONTAINING_COMPOUND.html" TargetMode="External"/><Relationship Id="rId1198" Type="http://schemas.openxmlformats.org/officeDocument/2006/relationships/hyperlink" Target="http://www.broadinstitute.org/gsea/msigdb/cards/GO_RECEPTOR_COMPLEX.html" TargetMode="External"/><Relationship Id="rId1199" Type="http://schemas.openxmlformats.org/officeDocument/2006/relationships/hyperlink" Target="http://www.broadinstitute.org/gsea/msigdb/cards/GO_POSITIVE_REGULATION_OF_TRANSPORT.html" TargetMode="External"/><Relationship Id="rId4470" Type="http://schemas.openxmlformats.org/officeDocument/2006/relationships/hyperlink" Target="http://www.broadinstitute.org/gsea/msigdb/cards/GSE7460_CTRL_VS_FOXP3_OVEREXPR_TCONV_DN.html" TargetMode="External"/><Relationship Id="rId4471" Type="http://schemas.openxmlformats.org/officeDocument/2006/relationships/hyperlink" Target="http://www.broadinstitute.org/gsea/msigdb/cards/GSE7460_CTRL_VS_FOXP3_OVEREXPR_TCONV_1_DN.html" TargetMode="External"/><Relationship Id="rId4472" Type="http://schemas.openxmlformats.org/officeDocument/2006/relationships/hyperlink" Target="http://www.broadinstitute.org/gsea/msigdb/cards/GSE8515_CTRL_VS_IL1_4H_STIM_MAC_DN.html" TargetMode="External"/><Relationship Id="rId4473" Type="http://schemas.openxmlformats.org/officeDocument/2006/relationships/hyperlink" Target="http://www.broadinstitute.org/gsea/msigdb/cards/GSE9006_HEALTHY_VS_TYPE_1_DIABETES_PBMC_1MONTH_POST_DX_DN.html" TargetMode="External"/><Relationship Id="rId4474" Type="http://schemas.openxmlformats.org/officeDocument/2006/relationships/hyperlink" Target="http://www.broadinstitute.org/gsea/msigdb/cards/GSE9037_CTRL_VS_LPS_1H_STIM_BMDM_DN.html" TargetMode="External"/><Relationship Id="rId4475" Type="http://schemas.openxmlformats.org/officeDocument/2006/relationships/hyperlink" Target="http://www.broadinstitute.org/gsea/msigdb/cards/GSE9037_CTRL_VS_LPS_1H_STIM_IRAK4_KO_BMDM_DN.html" TargetMode="External"/><Relationship Id="rId4476" Type="http://schemas.openxmlformats.org/officeDocument/2006/relationships/hyperlink" Target="http://www.broadinstitute.org/gsea/msigdb/cards/GSE9037_WT_VS_IRAK4_KO_LPS_4H_STIM_BMDM_DN.html" TargetMode="External"/><Relationship Id="rId4477" Type="http://schemas.openxmlformats.org/officeDocument/2006/relationships/hyperlink" Target="http://www.broadinstitute.org/gsea/msigdb/cards/GSE9988_ANTI_TREM1_AND_LPS_VS_CTRL_TREATED_MONOCYTES_UP.html" TargetMode="External"/><Relationship Id="rId4478" Type="http://schemas.openxmlformats.org/officeDocument/2006/relationships/hyperlink" Target="http://www.broadinstitute.org/gsea/msigdb/cards/GSE369_SOCS3_KO_VS_IFNG_KO_LIVER_DN.html" TargetMode="External"/><Relationship Id="rId4479" Type="http://schemas.openxmlformats.org/officeDocument/2006/relationships/hyperlink" Target="http://www.broadinstitute.org/gsea/msigdb/cards/GSE2770_UNTREATED_VS_IL4_TREATED_ACT_CD4_TCELL_6H_UP.html" TargetMode="External"/><Relationship Id="rId3380" Type="http://schemas.openxmlformats.org/officeDocument/2006/relationships/hyperlink" Target="http://www.broadinstitute.org/gsea/msigdb/cards/GSE30971_CTRL_VS_LPS_STIM_MACROPHAGE_WBP7_KO_4H_UP.html" TargetMode="External"/><Relationship Id="rId3381" Type="http://schemas.openxmlformats.org/officeDocument/2006/relationships/hyperlink" Target="http://www.broadinstitute.org/gsea/msigdb/cards/GSE34515_CD16_NEG_VS_POS_MONOCYTE_UP.html" TargetMode="External"/><Relationship Id="rId3382" Type="http://schemas.openxmlformats.org/officeDocument/2006/relationships/hyperlink" Target="http://www.broadinstitute.org/gsea/msigdb/cards/GSE36009_WT_VS_NLRP10_KO_DC_DN.html" TargetMode="External"/><Relationship Id="rId3383" Type="http://schemas.openxmlformats.org/officeDocument/2006/relationships/hyperlink" Target="http://www.broadinstitute.org/gsea/msigdb/cards/GSE37301_MULTIPOTENT_PROGENITOR_VS_GRAN_MONO_PROGENITOR_DN.html" TargetMode="External"/><Relationship Id="rId3384" Type="http://schemas.openxmlformats.org/officeDocument/2006/relationships/hyperlink" Target="http://www.broadinstitute.org/gsea/msigdb/cards/GSE37534_UNTREATED_VS_ROSIGLITAZONE_TREATED_CD4_TCELL_PPARG1_AND_FOXP3_TRASDUCED_DN.html" TargetMode="External"/><Relationship Id="rId3385" Type="http://schemas.openxmlformats.org/officeDocument/2006/relationships/hyperlink" Target="http://www.broadinstitute.org/gsea/msigdb/cards/GSE34006_WT_VS_A2AR_KO_TREG_DN.html" TargetMode="External"/><Relationship Id="rId3386" Type="http://schemas.openxmlformats.org/officeDocument/2006/relationships/hyperlink" Target="http://www.broadinstitute.org/gsea/msigdb/cards/GSE34006_UNTREATED_VS_A2AR_AGONIST_TREATED_TREG_DN.html" TargetMode="External"/><Relationship Id="rId3387" Type="http://schemas.openxmlformats.org/officeDocument/2006/relationships/hyperlink" Target="http://www.broadinstitute.org/gsea/msigdb/cards/GSE40274_LEF1_VS_FOXP3_AND_LEF1_TRANSDUCED_ACTIVATED_CD4_TCELL_UP.html" TargetMode="External"/><Relationship Id="rId3388" Type="http://schemas.openxmlformats.org/officeDocument/2006/relationships/hyperlink" Target="http://www.broadinstitute.org/gsea/msigdb/cards/GSE40277_EOS_AND_LEF1_TRANSDUCED_VS_GATA1_AND_SATB1_TRANSDUCED_CD4_TCELL_DN.html" TargetMode="External"/><Relationship Id="rId3389" Type="http://schemas.openxmlformats.org/officeDocument/2006/relationships/hyperlink" Target="http://www.broadinstitute.org/gsea/msigdb/cards/GSE39916_B_CELL_SPLEEN_VS_PLASMA_CELL_BONE_MARROW_UP.html" TargetMode="External"/><Relationship Id="rId680" Type="http://schemas.openxmlformats.org/officeDocument/2006/relationships/hyperlink" Target="http://www.broadinstitute.org/gsea/msigdb/cards/DORSEY_GAB2_TARGETS.html" TargetMode="External"/><Relationship Id="rId681" Type="http://schemas.openxmlformats.org/officeDocument/2006/relationships/hyperlink" Target="http://www.broadinstitute.org/gsea/msigdb/cards/MOSERLE_IFNA_RESPONSE.html" TargetMode="External"/><Relationship Id="rId682" Type="http://schemas.openxmlformats.org/officeDocument/2006/relationships/hyperlink" Target="http://www.broadinstitute.org/gsea/msigdb/cards/BOQUEST_STEM_CELL_CULTURED_VS_FRESH_DN.html" TargetMode="External"/><Relationship Id="rId683" Type="http://schemas.openxmlformats.org/officeDocument/2006/relationships/hyperlink" Target="http://www.broadinstitute.org/gsea/msigdb/cards/VALK_AML_CLUSTER_4.html" TargetMode="External"/><Relationship Id="rId684" Type="http://schemas.openxmlformats.org/officeDocument/2006/relationships/hyperlink" Target="http://www.broadinstitute.org/gsea/msigdb/cards/AMUNDSON_GENOTOXIC_SIGNATURE.html" TargetMode="External"/><Relationship Id="rId685" Type="http://schemas.openxmlformats.org/officeDocument/2006/relationships/hyperlink" Target="http://www.broadinstitute.org/gsea/msigdb/cards/KEGG_MAPK_SIGNALING_PATHWAY.html" TargetMode="External"/><Relationship Id="rId686" Type="http://schemas.openxmlformats.org/officeDocument/2006/relationships/hyperlink" Target="http://www.broadinstitute.org/gsea/msigdb/cards/REACTOME_SIGNALING_BY_SCF_KIT.html" TargetMode="External"/><Relationship Id="rId687" Type="http://schemas.openxmlformats.org/officeDocument/2006/relationships/hyperlink" Target="http://www.broadinstitute.org/gsea/msigdb/cards/BIOCARTA_PDGF_PATHWAY.html" TargetMode="External"/><Relationship Id="rId688" Type="http://schemas.openxmlformats.org/officeDocument/2006/relationships/hyperlink" Target="http://www.broadinstitute.org/gsea/msigdb/cards/REACTOME_SEMA4D_IN_SEMAPHORIN_SIGNALING.html" TargetMode="External"/><Relationship Id="rId689" Type="http://schemas.openxmlformats.org/officeDocument/2006/relationships/hyperlink" Target="http://www.broadinstitute.org/gsea/msigdb/cards/REACTOME_COMPLEMENT_CASCADE.html" TargetMode="External"/><Relationship Id="rId2290" Type="http://schemas.openxmlformats.org/officeDocument/2006/relationships/hyperlink" Target="http://www.broadinstitute.org/gsea/msigdb/cards/GSE3982_DC_VS_CENT_MEMORY_CD4_TCELL_UP.html" TargetMode="External"/><Relationship Id="rId2291" Type="http://schemas.openxmlformats.org/officeDocument/2006/relationships/hyperlink" Target="http://www.broadinstitute.org/gsea/msigdb/cards/GSE7852_TREG_VS_TCONV_THYMUS_UP.html" TargetMode="External"/><Relationship Id="rId2292" Type="http://schemas.openxmlformats.org/officeDocument/2006/relationships/hyperlink" Target="http://www.broadinstitute.org/gsea/msigdb/cards/GSE9988_ANTI_TREM1_VS_LPS_MONOCYTE_DN.html" TargetMode="External"/><Relationship Id="rId2293" Type="http://schemas.openxmlformats.org/officeDocument/2006/relationships/hyperlink" Target="http://www.broadinstitute.org/gsea/msigdb/cards/GSE9988_ANTI_TREM1_VS_LOW_LPS_MONOCYTE_DN.html" TargetMode="External"/><Relationship Id="rId2294" Type="http://schemas.openxmlformats.org/officeDocument/2006/relationships/hyperlink" Target="http://www.broadinstitute.org/gsea/msigdb/cards/GSE2405_HEAT_KILLED_LYSATE_VS_LIVE_A_PHAGOCYTOPHILUM_STIM_NEUTROPHIL_9H_DN.html" TargetMode="External"/><Relationship Id="rId2295" Type="http://schemas.openxmlformats.org/officeDocument/2006/relationships/hyperlink" Target="http://www.broadinstitute.org/gsea/msigdb/cards/GSE22601_IMMATURE_CD4_SINGLE_POSITIVE_VS_CD8_SINGLE_POSITIVE_THYMOCYTE_UP.html" TargetMode="External"/><Relationship Id="rId2296" Type="http://schemas.openxmlformats.org/officeDocument/2006/relationships/hyperlink" Target="http://www.broadinstitute.org/gsea/msigdb/cards/GSE5679_RARA_AGONIST_AM580_VS_AM580_AND_ROSIGLITAZONE_TREATED_DC_DN.html" TargetMode="External"/><Relationship Id="rId2297" Type="http://schemas.openxmlformats.org/officeDocument/2006/relationships/hyperlink" Target="http://www.broadinstitute.org/gsea/msigdb/cards/GSE16266_LPS_VS_HEATSHOCK_AND_LPS_STIM_MEF_UP.html" TargetMode="External"/><Relationship Id="rId2298" Type="http://schemas.openxmlformats.org/officeDocument/2006/relationships/hyperlink" Target="http://www.broadinstitute.org/gsea/msigdb/cards/GSE19198_1H_VS_24H_IL21_TREATED_TCELL_UP.html" TargetMode="External"/><Relationship Id="rId2299" Type="http://schemas.openxmlformats.org/officeDocument/2006/relationships/hyperlink" Target="http://www.broadinstitute.org/gsea/msigdb/cards/GSE18281_SUBCAPSULAR_VS_CENTRAL_CORTICAL_REGION_OF_THYMUS_DN.html" TargetMode="External"/><Relationship Id="rId4480" Type="http://schemas.openxmlformats.org/officeDocument/2006/relationships/hyperlink" Target="http://www.broadinstitute.org/gsea/msigdb/cards/GSE2770_IL12_AND_TGFB_VS_IL4_TREATED_ACT_CD4_TCELL_6H_DN.html" TargetMode="External"/><Relationship Id="rId4481" Type="http://schemas.openxmlformats.org/officeDocument/2006/relationships/hyperlink" Target="http://www.broadinstitute.org/gsea/msigdb/cards/GSE2770_TGFB_AND_IL4_ACT_VS_ACT_CD4_TCELL_2H_DN.html" TargetMode="External"/><Relationship Id="rId4482" Type="http://schemas.openxmlformats.org/officeDocument/2006/relationships/hyperlink" Target="http://www.broadinstitute.org/gsea/msigdb/cards/GSE2770_UNTREATED_VS_IL12_TREATED_ACT_CD4_TCELL_6H_UP.html" TargetMode="External"/><Relationship Id="rId4483" Type="http://schemas.openxmlformats.org/officeDocument/2006/relationships/hyperlink" Target="http://www.broadinstitute.org/gsea/msigdb/cards/GSE2770_TGFB_AND_IL4_VS_IL4_TREATED_ACT_CD4_TCELL_48H_UP.html" TargetMode="External"/><Relationship Id="rId4484" Type="http://schemas.openxmlformats.org/officeDocument/2006/relationships/hyperlink" Target="http://www.broadinstitute.org/gsea/msigdb/cards/GSE2770_IL4_ACT_VS_ACT_CD4_TCELL_6H_DN.html" TargetMode="External"/><Relationship Id="rId4485" Type="http://schemas.openxmlformats.org/officeDocument/2006/relationships/hyperlink" Target="http://www.broadinstitute.org/gsea/msigdb/cards/GSE2770_IL12_ACT_VS_ACT_CD4_TCELL_2H_DN.html" TargetMode="External"/><Relationship Id="rId4486" Type="http://schemas.openxmlformats.org/officeDocument/2006/relationships/hyperlink" Target="http://www.broadinstitute.org/gsea/msigdb/cards/GSE2128_C57BL6_VS_NOD_CD4CD8_DP_THYMOCYTE_UP.html" TargetMode="External"/><Relationship Id="rId4487" Type="http://schemas.openxmlformats.org/officeDocument/2006/relationships/hyperlink" Target="http://www.broadinstitute.org/gsea/msigdb/cards/GSE8835_HEALTHY_VS_CLL_CD8_TCELL_UP.html" TargetMode="External"/><Relationship Id="rId4488" Type="http://schemas.openxmlformats.org/officeDocument/2006/relationships/hyperlink" Target="http://www.broadinstitute.org/gsea/msigdb/cards/GSE8835_HEALTHY_VS_CLL_CD8_TCELL_DN.html" TargetMode="External"/><Relationship Id="rId4489" Type="http://schemas.openxmlformats.org/officeDocument/2006/relationships/hyperlink" Target="http://www.broadinstitute.org/gsea/msigdb/cards/GSE2585_THYMIC_MACROPHAGE_VS_MTEC_UP.html" TargetMode="External"/><Relationship Id="rId3390" Type="http://schemas.openxmlformats.org/officeDocument/2006/relationships/hyperlink" Target="http://www.broadinstitute.org/gsea/msigdb/cards/GSE39110_UNTREATED_VS_IL2_TREATED_CD8_TCELL_DAY3_POST_IMMUNIZATION_UP.html" TargetMode="External"/><Relationship Id="rId3391" Type="http://schemas.openxmlformats.org/officeDocument/2006/relationships/hyperlink" Target="http://www.broadinstitute.org/gsea/msigdb/cards/GSE11961_MEMORY_BCELL_DAY7_VS_GERMINAL_CENTER_BCELL_DAY7_UP.html" TargetMode="External"/><Relationship Id="rId3392" Type="http://schemas.openxmlformats.org/officeDocument/2006/relationships/hyperlink" Target="http://www.broadinstitute.org/gsea/msigdb/cards/GSE11961_GERMINAL_CENTER_BCELL_DAY7_VS_MEMORY_BCELL_DAY40_DN.html" TargetMode="External"/><Relationship Id="rId3393" Type="http://schemas.openxmlformats.org/officeDocument/2006/relationships/hyperlink" Target="http://www.broadinstitute.org/gsea/msigdb/cards/GSE11961_PLASMA_CELL_DAY7_VS_GERMINAL_CENTER_BCELL_DAY40_UP.html" TargetMode="External"/><Relationship Id="rId3394" Type="http://schemas.openxmlformats.org/officeDocument/2006/relationships/hyperlink" Target="http://www.broadinstitute.org/gsea/msigdb/cards/GSE40184_HEALTHY_VS_HCV_INFECTED_DONOR_PBMC_DN.html" TargetMode="External"/><Relationship Id="rId3395" Type="http://schemas.openxmlformats.org/officeDocument/2006/relationships/hyperlink" Target="http://www.broadinstitute.org/gsea/msigdb/cards/GSE41867_NAIVE_VS_DAY8_LCMV_CLONE13_EFFECTOR_CD8_TCELL_UP.html" TargetMode="External"/><Relationship Id="rId3396" Type="http://schemas.openxmlformats.org/officeDocument/2006/relationships/hyperlink" Target="http://www.broadinstitute.org/gsea/msigdb/cards/GSE41087_WT_VS_FOXP3_MUT_ANTI_CD3_CD28_STIM_CD4_TCELL_DN.html" TargetMode="External"/><Relationship Id="rId3397" Type="http://schemas.openxmlformats.org/officeDocument/2006/relationships/hyperlink" Target="http://www.broadinstitute.org/gsea/msigdb/cards/GSE36826_WT_VS_IL1R_KO_SKIN_STAPH_AUREUS_INF_DN.html" TargetMode="External"/><Relationship Id="rId3398" Type="http://schemas.openxmlformats.org/officeDocument/2006/relationships/hyperlink" Target="http://www.broadinstitute.org/gsea/msigdb/cards/GSE42021_CD24HI_VS_CD24INT_TREG_THYMUS_DN.html" TargetMode="External"/><Relationship Id="rId3399" Type="http://schemas.openxmlformats.org/officeDocument/2006/relationships/hyperlink" Target="http://www.broadinstitute.org/gsea/msigdb/cards/GSE42021_TCONV_PLN_VS_TREG_PRECURSORS_THYMUS_DN.html" TargetMode="External"/><Relationship Id="rId690" Type="http://schemas.openxmlformats.org/officeDocument/2006/relationships/hyperlink" Target="http://www.broadinstitute.org/gsea/msigdb/cards/BAUS_TFF2_TARGETS_UP.html" TargetMode="External"/><Relationship Id="rId691" Type="http://schemas.openxmlformats.org/officeDocument/2006/relationships/hyperlink" Target="http://www.broadinstitute.org/gsea/msigdb/cards/SENESE_HDAC1_TARGETS_UP.html" TargetMode="External"/><Relationship Id="rId692" Type="http://schemas.openxmlformats.org/officeDocument/2006/relationships/hyperlink" Target="http://www.broadinstitute.org/gsea/msigdb/cards/PEDRIOLI_MIR31_TARGETS_DN.html" TargetMode="External"/><Relationship Id="rId693" Type="http://schemas.openxmlformats.org/officeDocument/2006/relationships/hyperlink" Target="http://www.broadinstitute.org/gsea/msigdb/cards/BIOCARTA_IL3_PATHWAY.html" TargetMode="External"/><Relationship Id="rId694" Type="http://schemas.openxmlformats.org/officeDocument/2006/relationships/hyperlink" Target="http://www.broadinstitute.org/gsea/msigdb/cards/BIOCARTA_STEM_PATHWAY.html" TargetMode="External"/><Relationship Id="rId695" Type="http://schemas.openxmlformats.org/officeDocument/2006/relationships/hyperlink" Target="http://www.broadinstitute.org/gsea/msigdb/cards/REACTOME_OTHER_SEMAPHORIN_INTERACTIONS.html" TargetMode="External"/><Relationship Id="rId696" Type="http://schemas.openxmlformats.org/officeDocument/2006/relationships/hyperlink" Target="http://www.broadinstitute.org/gsea/msigdb/cards/PIEPOLI_LGI1_TARGETS_UP.html" TargetMode="External"/><Relationship Id="rId697" Type="http://schemas.openxmlformats.org/officeDocument/2006/relationships/hyperlink" Target="http://www.broadinstitute.org/gsea/msigdb/cards/HUMMEL_BURKITTS_LYMPHOMA_DN.html" TargetMode="External"/><Relationship Id="rId698" Type="http://schemas.openxmlformats.org/officeDocument/2006/relationships/hyperlink" Target="http://www.broadinstitute.org/gsea/msigdb/cards/GRAESSMANN_APOPTOSIS_BY_DOXORUBICIN_UP.html" TargetMode="External"/><Relationship Id="rId699" Type="http://schemas.openxmlformats.org/officeDocument/2006/relationships/hyperlink" Target="http://www.broadinstitute.org/gsea/msigdb/cards/EHRLICH_ICF_SYNDROM_DN.html" TargetMode="External"/><Relationship Id="rId4490" Type="http://schemas.openxmlformats.org/officeDocument/2006/relationships/hyperlink" Target="http://www.broadinstitute.org/gsea/msigdb/cards/GSE3691_IFN_PRODUCING_KILLER_DC_VS_PLASMACYTOID_DC_SPLEEN_UP.html" TargetMode="External"/><Relationship Id="rId4491" Type="http://schemas.openxmlformats.org/officeDocument/2006/relationships/hyperlink" Target="http://www.broadinstitute.org/gsea/msigdb/cards/GSE4142_NAIVE_BCELL_VS_PLASMA_CELL_DN.html" TargetMode="External"/><Relationship Id="rId4492" Type="http://schemas.openxmlformats.org/officeDocument/2006/relationships/hyperlink" Target="http://www.broadinstitute.org/gsea/msigdb/cards/GSE8921_UNSTIM_VS_TLR1_2_STIM_MONOCYTE_12H_DN.html" TargetMode="External"/><Relationship Id="rId4493" Type="http://schemas.openxmlformats.org/officeDocument/2006/relationships/hyperlink" Target="http://www.broadinstitute.org/gsea/msigdb/cards/GSE8921_UNSTIM_VS_TLR1_2_STIM_MONOCYTE_24H_DN.html" TargetMode="External"/><Relationship Id="rId4494" Type="http://schemas.openxmlformats.org/officeDocument/2006/relationships/hyperlink" Target="http://www.broadinstitute.org/gsea/msigdb/cards/GSE3039_NKT_CELL_VS_ALPHABETA_CD8_TCELL_DN.html" TargetMode="External"/><Relationship Id="rId4495" Type="http://schemas.openxmlformats.org/officeDocument/2006/relationships/hyperlink" Target="http://www.broadinstitute.org/gsea/msigdb/cards/GSE3039_ALPHABETA_CD8_TCELL_VS_B1_BCELL_DN.html" TargetMode="External"/><Relationship Id="rId4496" Type="http://schemas.openxmlformats.org/officeDocument/2006/relationships/hyperlink" Target="http://www.broadinstitute.org/gsea/msigdb/cards/GSE3039_CD4_TCELL_VS_B2_BCELL_DN.html" TargetMode="External"/><Relationship Id="rId4497" Type="http://schemas.openxmlformats.org/officeDocument/2006/relationships/hyperlink" Target="http://www.broadinstitute.org/gsea/msigdb/cards/GSE4748_CYANOBACTERIUM_LPSLIKE_VS_LPS_AND_CYANOBACTERIUM_LPSLIKE_STIM_DC_3H_DN.html" TargetMode="External"/><Relationship Id="rId4498" Type="http://schemas.openxmlformats.org/officeDocument/2006/relationships/hyperlink" Target="http://www.broadinstitute.org/gsea/msigdb/cards/GSE5542_UNTREATED_VS_IFNA_AND_IFNG_TREATED_EPITHELIAL_CELLS_24H_DN.html" TargetMode="External"/><Relationship Id="rId4499" Type="http://schemas.openxmlformats.org/officeDocument/2006/relationships/hyperlink" Target="http://www.broadinstitute.org/gsea/msigdb/cards/GSE5542_IFNG_VS_IFNA_AND_IFNG_TREATED_EPITHELIAL_CELLS_6H_UP.html" TargetMode="External"/><Relationship Id="rId1700" Type="http://schemas.openxmlformats.org/officeDocument/2006/relationships/hyperlink" Target="http://www.broadinstitute.org/gsea/msigdb/cards/GO_RESPONSE_TO_ABIOTIC_STIMULUS.html" TargetMode="External"/><Relationship Id="rId1701" Type="http://schemas.openxmlformats.org/officeDocument/2006/relationships/hyperlink" Target="http://www.broadinstitute.org/gsea/msigdb/cards/GO_MEMBRANE_INVAGINATION.html" TargetMode="External"/><Relationship Id="rId1702" Type="http://schemas.openxmlformats.org/officeDocument/2006/relationships/hyperlink" Target="http://www.broadinstitute.org/gsea/msigdb/cards/GO_REGULATION_OF_PROTEIN_SERINE_THREONINE_KINASE_ACTIVITY.html" TargetMode="External"/><Relationship Id="rId1703" Type="http://schemas.openxmlformats.org/officeDocument/2006/relationships/hyperlink" Target="http://www.broadinstitute.org/gsea/msigdb/cards/GO_CHEMOKINE_ACTIVITY.html" TargetMode="External"/><Relationship Id="rId1704" Type="http://schemas.openxmlformats.org/officeDocument/2006/relationships/hyperlink" Target="http://www.broadinstitute.org/gsea/msigdb/cards/GO_CELLULAR_RESPONSE_TO_EXTERNAL_STIMULUS.html" TargetMode="External"/><Relationship Id="rId1705" Type="http://schemas.openxmlformats.org/officeDocument/2006/relationships/hyperlink" Target="http://www.broadinstitute.org/gsea/msigdb/cards/GO_MODULATION_OF_GROWTH_OF_SYMBIONT_INVOLVED_IN_INTERACTION_WITH_HOST.html" TargetMode="External"/><Relationship Id="rId1706" Type="http://schemas.openxmlformats.org/officeDocument/2006/relationships/hyperlink" Target="http://www.broadinstitute.org/gsea/msigdb/cards/GO_POSITIVE_REGULATION_OF_MAST_CELL_ACTIVATION.html" TargetMode="External"/><Relationship Id="rId1707" Type="http://schemas.openxmlformats.org/officeDocument/2006/relationships/hyperlink" Target="http://www.broadinstitute.org/gsea/msigdb/cards/GO_NEGATIVE_REGULATION_OF_INTERLEUKIN_2_PRODUCTION.html" TargetMode="External"/><Relationship Id="rId1708" Type="http://schemas.openxmlformats.org/officeDocument/2006/relationships/hyperlink" Target="http://www.broadinstitute.org/gsea/msigdb/cards/GO_BINDING_BRIDGING.html" TargetMode="External"/><Relationship Id="rId1709" Type="http://schemas.openxmlformats.org/officeDocument/2006/relationships/hyperlink" Target="http://www.broadinstitute.org/gsea/msigdb/cards/GO_OXIDOREDUCTASE_ACTIVITY_ACTING_ON_NAD_P_H_OXYGEN_AS_ACCEPTOR.html" TargetMode="External"/><Relationship Id="rId2800" Type="http://schemas.openxmlformats.org/officeDocument/2006/relationships/hyperlink" Target="http://www.broadinstitute.org/gsea/msigdb/cards/GSE16266_CTRL_VS_LPS_STIM_MEF_DN.html" TargetMode="External"/><Relationship Id="rId2801" Type="http://schemas.openxmlformats.org/officeDocument/2006/relationships/hyperlink" Target="http://www.broadinstitute.org/gsea/msigdb/cards/GSE19198_CTRL_VS_IL21_TREATED_TCELL_1H_DN.html" TargetMode="External"/><Relationship Id="rId2802" Type="http://schemas.openxmlformats.org/officeDocument/2006/relationships/hyperlink" Target="http://www.broadinstitute.org/gsea/msigdb/cards/GSE19198_1H_VS_6H_IL21_TREATED_TCELL_DN.html" TargetMode="External"/><Relationship Id="rId2803" Type="http://schemas.openxmlformats.org/officeDocument/2006/relationships/hyperlink" Target="http://www.broadinstitute.org/gsea/msigdb/cards/GSE19772_CTRL_VS_HCMV_INF_MONOCYTES_UP.html" TargetMode="External"/><Relationship Id="rId2804" Type="http://schemas.openxmlformats.org/officeDocument/2006/relationships/hyperlink" Target="http://www.broadinstitute.org/gsea/msigdb/cards/GSE18893_TCONV_VS_TREG_24H_CULTURE_UP.html" TargetMode="External"/><Relationship Id="rId2805" Type="http://schemas.openxmlformats.org/officeDocument/2006/relationships/hyperlink" Target="http://www.broadinstitute.org/gsea/msigdb/cards/GSE21670_UNTREATED_VS_TGFB_IL6_TREATED_STAT3_KO_CD4_TCELL_DN.html" TargetMode="External"/><Relationship Id="rId2806" Type="http://schemas.openxmlformats.org/officeDocument/2006/relationships/hyperlink" Target="http://www.broadinstitute.org/gsea/msigdb/cards/GSE21546_WT_VS_SAP1A_KO_ANTI_CD3_STIM_DP_THYMOCYTES_UP.html" TargetMode="External"/><Relationship Id="rId2807" Type="http://schemas.openxmlformats.org/officeDocument/2006/relationships/hyperlink" Target="http://www.broadinstitute.org/gsea/msigdb/cards/GSE22140_HEALTHY_VS_ARTHRITIC_MOUSE_CD4_TCELL_UP.html" TargetMode="External"/><Relationship Id="rId2808" Type="http://schemas.openxmlformats.org/officeDocument/2006/relationships/hyperlink" Target="http://www.broadinstitute.org/gsea/msigdb/cards/GSE22432_CDC_VS_COMMON_DC_PROGENITOR_UP.html" TargetMode="External"/><Relationship Id="rId2809" Type="http://schemas.openxmlformats.org/officeDocument/2006/relationships/hyperlink" Target="http://www.broadinstitute.org/gsea/msigdb/cards/GSE23505_IL6_IL1_IL23_VS_IL6_IL1_TGFB_TREATED_CD4_TCELL_UP.html" TargetMode="External"/><Relationship Id="rId1710" Type="http://schemas.openxmlformats.org/officeDocument/2006/relationships/hyperlink" Target="http://www.broadinstitute.org/gsea/msigdb/cards/GO_NEGATIVE_REGULATION_OF_INTRACELLULAR_SIGNAL_TRANSDUCTION.html" TargetMode="External"/><Relationship Id="rId1711" Type="http://schemas.openxmlformats.org/officeDocument/2006/relationships/hyperlink" Target="http://www.broadinstitute.org/gsea/msigdb/cards/GO_I_KAPPAB_KINASE_NF_KAPPAB_SIGNALING.html" TargetMode="External"/><Relationship Id="rId1712" Type="http://schemas.openxmlformats.org/officeDocument/2006/relationships/hyperlink" Target="http://www.broadinstitute.org/gsea/msigdb/cards/GO_ACTIN_FILAMENT.html" TargetMode="External"/><Relationship Id="rId1713" Type="http://schemas.openxmlformats.org/officeDocument/2006/relationships/hyperlink" Target="http://www.broadinstitute.org/gsea/msigdb/cards/GO_ACTIN_FILAMENT_ORGANIZATION.html" TargetMode="External"/><Relationship Id="rId1714" Type="http://schemas.openxmlformats.org/officeDocument/2006/relationships/hyperlink" Target="http://www.broadinstitute.org/gsea/msigdb/cards/GO_REGULATION_OF_PLATELET_ACTIVATION.html" TargetMode="External"/><Relationship Id="rId1715" Type="http://schemas.openxmlformats.org/officeDocument/2006/relationships/hyperlink" Target="http://www.broadinstitute.org/gsea/msigdb/cards/GO_PHOSPHOLIPASE_C_ACTIVITY.html" TargetMode="External"/><Relationship Id="rId1716" Type="http://schemas.openxmlformats.org/officeDocument/2006/relationships/hyperlink" Target="http://www.broadinstitute.org/gsea/msigdb/cards/GO_CELL_MATRIX_ADHESION.html" TargetMode="External"/><Relationship Id="rId1717" Type="http://schemas.openxmlformats.org/officeDocument/2006/relationships/hyperlink" Target="http://www.broadinstitute.org/gsea/msigdb/cards/GO_ENZYME_BINDING.html" TargetMode="External"/><Relationship Id="rId1718" Type="http://schemas.openxmlformats.org/officeDocument/2006/relationships/hyperlink" Target="http://www.broadinstitute.org/gsea/msigdb/cards/GO_ESTABLISHMENT_OF_PROTEIN_LOCALIZATION.html" TargetMode="External"/><Relationship Id="rId1719" Type="http://schemas.openxmlformats.org/officeDocument/2006/relationships/hyperlink" Target="http://www.broadinstitute.org/gsea/msigdb/cards/GO_STAT_CASCADE.html" TargetMode="External"/><Relationship Id="rId3900" Type="http://schemas.openxmlformats.org/officeDocument/2006/relationships/hyperlink" Target="http://www.broadinstitute.org/gsea/msigdb/cards/GSE339_CD4POS_VS_CD8POS_DC_DN.html" TargetMode="External"/><Relationship Id="rId3901" Type="http://schemas.openxmlformats.org/officeDocument/2006/relationships/hyperlink" Target="http://www.broadinstitute.org/gsea/msigdb/cards/GSE339_CD4POS_VS_CD8POS_DC_IN_CULTURE_UP.html" TargetMode="External"/><Relationship Id="rId3902" Type="http://schemas.openxmlformats.org/officeDocument/2006/relationships/hyperlink" Target="http://www.broadinstitute.org/gsea/msigdb/cards/GSE339_CD8POS_VS_CD4CD8DN_DC_IN_CULTURE_UP.html" TargetMode="External"/><Relationship Id="rId3903" Type="http://schemas.openxmlformats.org/officeDocument/2006/relationships/hyperlink" Target="http://www.broadinstitute.org/gsea/msigdb/cards/GSE360_CTRL_VS_B_MALAYI_HIGH_DOSE_DC_UP.html" TargetMode="External"/><Relationship Id="rId3904" Type="http://schemas.openxmlformats.org/officeDocument/2006/relationships/hyperlink" Target="http://www.broadinstitute.org/gsea/msigdb/cards/GSE360_L_MAJOR_VS_B_MALAYI_HIGH_DOSE_DC_UP.html" TargetMode="External"/><Relationship Id="rId3905" Type="http://schemas.openxmlformats.org/officeDocument/2006/relationships/hyperlink" Target="http://www.broadinstitute.org/gsea/msigdb/cards/GSE360_HIGH_DOSE_B_MALAYI_VS_M_TUBERCULOSIS_DC_UP.html" TargetMode="External"/><Relationship Id="rId3906" Type="http://schemas.openxmlformats.org/officeDocument/2006/relationships/hyperlink" Target="http://www.broadinstitute.org/gsea/msigdb/cards/GSE360_L_DONOVANI_VS_M_TUBERCULOSIS_MAC_UP.html" TargetMode="External"/><Relationship Id="rId3907" Type="http://schemas.openxmlformats.org/officeDocument/2006/relationships/hyperlink" Target="http://www.broadinstitute.org/gsea/msigdb/cards/GSE36392_EOSINOPHIL_VS_NEUTROPHIL_IL25_TREATED_LUNG_DN.html" TargetMode="External"/><Relationship Id="rId3908" Type="http://schemas.openxmlformats.org/officeDocument/2006/relationships/hyperlink" Target="http://www.broadinstitute.org/gsea/msigdb/cards/GSE37416_CTRL_VS_12H_F_TULARENSIS_LVS_NEUTROPHIL_UP.html" TargetMode="External"/><Relationship Id="rId3909" Type="http://schemas.openxmlformats.org/officeDocument/2006/relationships/hyperlink" Target="http://www.broadinstitute.org/gsea/msigdb/cards/GSE37416_CTRL_VS_24H_F_TULARENSIS_LVS_NEUTROPHIL_UP.html" TargetMode="External"/><Relationship Id="rId2810" Type="http://schemas.openxmlformats.org/officeDocument/2006/relationships/hyperlink" Target="http://www.broadinstitute.org/gsea/msigdb/cards/GSE25123_WT_VS_PPARG_KO_MACROPHAGE_ROSIGLITAZONE_STIM_UP.html" TargetMode="External"/><Relationship Id="rId2811" Type="http://schemas.openxmlformats.org/officeDocument/2006/relationships/hyperlink" Target="http://www.broadinstitute.org/gsea/msigdb/cards/GSE16385_ROSIGLITAZONE_IL4_VS_IFNG_TNF_STIM_MACROPHAGE_UP.html" TargetMode="External"/><Relationship Id="rId2812" Type="http://schemas.openxmlformats.org/officeDocument/2006/relationships/hyperlink" Target="http://www.broadinstitute.org/gsea/msigdb/cards/GSE16385_IFNG_TNF_VS_UNSTIM_MACROPHAGE_ROSIGLITAZONE_TREATED_DN.html" TargetMode="External"/><Relationship Id="rId2813" Type="http://schemas.openxmlformats.org/officeDocument/2006/relationships/hyperlink" Target="http://www.broadinstitute.org/gsea/msigdb/cards/GSE22501_PERIPHERAL_BLOOD_VS_CORD_BLOOD_TREG_DN.html" TargetMode="External"/><Relationship Id="rId2814" Type="http://schemas.openxmlformats.org/officeDocument/2006/relationships/hyperlink" Target="http://www.broadinstitute.org/gsea/msigdb/cards/GSE30153_LUPUS_VS_HEALTHY_DONOR_BCELL_DN.html" TargetMode="External"/><Relationship Id="rId2815" Type="http://schemas.openxmlformats.org/officeDocument/2006/relationships/hyperlink" Target="http://www.broadinstitute.org/gsea/msigdb/cards/GSE23568_ID3_TRANSDUCED_VS_ID3_KO_CD8_TCELL_DN.html" TargetMode="External"/><Relationship Id="rId2816" Type="http://schemas.openxmlformats.org/officeDocument/2006/relationships/hyperlink" Target="http://www.broadinstitute.org/gsea/msigdb/cards/GSE33425_CD161_HIGH_VS_INT_CD8_TCELL_DN.html" TargetMode="External"/><Relationship Id="rId2817" Type="http://schemas.openxmlformats.org/officeDocument/2006/relationships/hyperlink" Target="http://www.broadinstitute.org/gsea/msigdb/cards/GSE26030_TH1_VS_TH17_DAY5_POST_POLARIZATION_UP.html" TargetMode="External"/><Relationship Id="rId2818" Type="http://schemas.openxmlformats.org/officeDocument/2006/relationships/hyperlink" Target="http://www.broadinstitute.org/gsea/msigdb/cards/GSE26030_UNSTIM_VS_RESTIM_TH1_DAY5_POST_POLARIZATION_DN.html" TargetMode="External"/><Relationship Id="rId2819" Type="http://schemas.openxmlformats.org/officeDocument/2006/relationships/hyperlink" Target="http://www.broadinstitute.org/gsea/msigdb/cards/GSE26030_UNSTIM_VS_RESTIM_TH1_DAY15_POST_POLARIZATION_DN.html" TargetMode="External"/><Relationship Id="rId1720" Type="http://schemas.openxmlformats.org/officeDocument/2006/relationships/hyperlink" Target="http://www.broadinstitute.org/gsea/msigdb/cards/GO_POSITIVE_REGULATION_OF_MYELOID_LEUKOCYTE_DIFFERENTIATION.html" TargetMode="External"/><Relationship Id="rId1721" Type="http://schemas.openxmlformats.org/officeDocument/2006/relationships/hyperlink" Target="http://www.broadinstitute.org/gsea/msigdb/cards/GO_CELL_PROJECTION.html" TargetMode="External"/><Relationship Id="rId1722" Type="http://schemas.openxmlformats.org/officeDocument/2006/relationships/hyperlink" Target="http://www.broadinstitute.org/gsea/msigdb/cards/GO_RESPONSE_TO_INORGANIC_SUBSTANCE.html" TargetMode="External"/><Relationship Id="rId1723" Type="http://schemas.openxmlformats.org/officeDocument/2006/relationships/hyperlink" Target="http://www.broadinstitute.org/gsea/msigdb/cards/GO_MYD88_DEPENDENT_TOLL_LIKE_RECEPTOR_SIGNALING_PATHWAY.html" TargetMode="External"/><Relationship Id="rId1724" Type="http://schemas.openxmlformats.org/officeDocument/2006/relationships/hyperlink" Target="http://www.broadinstitute.org/gsea/msigdb/cards/GO_NEGATIVE_REGULATION_OF_T_CELL_DIFFERENTIATION.html" TargetMode="External"/><Relationship Id="rId1725" Type="http://schemas.openxmlformats.org/officeDocument/2006/relationships/hyperlink" Target="http://www.broadinstitute.org/gsea/msigdb/cards/GO_MATURE_B_CELL_DIFFERENTIATION.html" TargetMode="External"/><Relationship Id="rId1726" Type="http://schemas.openxmlformats.org/officeDocument/2006/relationships/hyperlink" Target="http://www.broadinstitute.org/gsea/msigdb/cards/GO_POSITIVE_REGULATION_OF_TRANSCRIPTION_FACTOR_IMPORT_INTO_NUCLEUS.html" TargetMode="External"/><Relationship Id="rId1727" Type="http://schemas.openxmlformats.org/officeDocument/2006/relationships/hyperlink" Target="http://www.broadinstitute.org/gsea/msigdb/cards/GO_NEGATIVE_REGULATION_OF_I_KAPPAB_KINASE_NF_KAPPAB_SIGNALING.html" TargetMode="External"/><Relationship Id="rId1728" Type="http://schemas.openxmlformats.org/officeDocument/2006/relationships/hyperlink" Target="http://www.broadinstitute.org/gsea/msigdb/cards/GO_REGULATION_OF_CELL_PROJECTION_ORGANIZATION.html" TargetMode="External"/><Relationship Id="rId1729" Type="http://schemas.openxmlformats.org/officeDocument/2006/relationships/hyperlink" Target="http://www.broadinstitute.org/gsea/msigdb/cards/GO_AMIDE_TRANSPORT.html" TargetMode="External"/><Relationship Id="rId3910" Type="http://schemas.openxmlformats.org/officeDocument/2006/relationships/hyperlink" Target="http://www.broadinstitute.org/gsea/msigdb/cards/GSE37416_0H_VS_6H_F_TULARENSIS_LVS_NEUTROPHIL_DN.html" TargetMode="External"/><Relationship Id="rId3911" Type="http://schemas.openxmlformats.org/officeDocument/2006/relationships/hyperlink" Target="http://www.broadinstitute.org/gsea/msigdb/cards/GSE3982_MAC_VS_CENT_MEMORY_CD4_TCELL_DN.html" TargetMode="External"/><Relationship Id="rId3912" Type="http://schemas.openxmlformats.org/officeDocument/2006/relationships/hyperlink" Target="http://www.broadinstitute.org/gsea/msigdb/cards/GSE3982_MAC_VS_TH1_DN.html" TargetMode="External"/><Relationship Id="rId3913" Type="http://schemas.openxmlformats.org/officeDocument/2006/relationships/hyperlink" Target="http://www.broadinstitute.org/gsea/msigdb/cards/GSE7460_CTRL_VS_TGFB_TREATED_ACT_FOXP3_HET_TCONV_DN.html" TargetMode="External"/><Relationship Id="rId3914" Type="http://schemas.openxmlformats.org/officeDocument/2006/relationships/hyperlink" Target="http://www.broadinstitute.org/gsea/msigdb/cards/GSE7460_CTRL_VS_TGFB_TREATED_ACT_FOXP3_MUT_TCONV_UP.html" TargetMode="External"/><Relationship Id="rId3915" Type="http://schemas.openxmlformats.org/officeDocument/2006/relationships/hyperlink" Target="http://www.broadinstitute.org/gsea/msigdb/cards/GSE7852_TREG_VS_TCONV_LN_DN.html" TargetMode="External"/><Relationship Id="rId3916" Type="http://schemas.openxmlformats.org/officeDocument/2006/relationships/hyperlink" Target="http://www.broadinstitute.org/gsea/msigdb/cards/GSE7852_TREG_VS_TCONV_FAT_UP.html" TargetMode="External"/><Relationship Id="rId3917" Type="http://schemas.openxmlformats.org/officeDocument/2006/relationships/hyperlink" Target="http://www.broadinstitute.org/gsea/msigdb/cards/GSE8678_IL7R_LOW_VS_HIGH_EFF_CD8_TCELL_UP.html" TargetMode="External"/><Relationship Id="rId3918" Type="http://schemas.openxmlformats.org/officeDocument/2006/relationships/hyperlink" Target="http://www.broadinstitute.org/gsea/msigdb/cards/GSE8868_SPLEEN_VS_INTESTINE_CD11B_POS_CD11C_NEG_DC_UP.html" TargetMode="External"/><Relationship Id="rId3919" Type="http://schemas.openxmlformats.org/officeDocument/2006/relationships/hyperlink" Target="http://www.broadinstitute.org/gsea/msigdb/cards/GSE8868_SPLEEN_VS_INTESTINE_CD11B_POS_CD11C_NEG_DC_DN.html" TargetMode="External"/><Relationship Id="rId2820" Type="http://schemas.openxmlformats.org/officeDocument/2006/relationships/hyperlink" Target="http://www.broadinstitute.org/gsea/msigdb/cards/GSE32986_UNSTIM_VS_CURDLAN_LOWDOSE_STIM_DC_DN.html" TargetMode="External"/><Relationship Id="rId2821" Type="http://schemas.openxmlformats.org/officeDocument/2006/relationships/hyperlink" Target="http://www.broadinstitute.org/gsea/msigdb/cards/GSE34392_ST2_KO_VS_WT_DAY8_LCMV_EFFECTOR_CD8_TCELL_UP.html" TargetMode="External"/><Relationship Id="rId2822" Type="http://schemas.openxmlformats.org/officeDocument/2006/relationships/hyperlink" Target="http://www.broadinstitute.org/gsea/msigdb/cards/GSE35825_UNTREATED_VS_IFNG_STIM_MACROPHAGE_UP.html" TargetMode="External"/><Relationship Id="rId2823" Type="http://schemas.openxmlformats.org/officeDocument/2006/relationships/hyperlink" Target="http://www.broadinstitute.org/gsea/msigdb/cards/GSE37533_PPARG2_FOXP3_VS_FOXP3_TRANSDUCED_CD4_TCELL_DN.html" TargetMode="External"/><Relationship Id="rId2824" Type="http://schemas.openxmlformats.org/officeDocument/2006/relationships/hyperlink" Target="http://www.broadinstitute.org/gsea/msigdb/cards/GSE36527_CD62L_HIGH_VS_CD62L_LOW_TREG_CD69_NEG_KLRG1_NEG_UP.html" TargetMode="External"/><Relationship Id="rId2825" Type="http://schemas.openxmlformats.org/officeDocument/2006/relationships/hyperlink" Target="http://www.broadinstitute.org/gsea/msigdb/cards/GSE35685_CD34POS_CD38NEG_VS_CD34POS_CD10POS_BONE_MARROW_DN.html" TargetMode="External"/><Relationship Id="rId2826" Type="http://schemas.openxmlformats.org/officeDocument/2006/relationships/hyperlink" Target="http://www.broadinstitute.org/gsea/msigdb/cards/GSE40274_FOXP3_VS_FOXP3_AND_EOS_TRANSDUCED_ACTIVATED_CD4_TCELL_UP.html" TargetMode="External"/><Relationship Id="rId2827" Type="http://schemas.openxmlformats.org/officeDocument/2006/relationships/hyperlink" Target="http://www.broadinstitute.org/gsea/msigdb/cards/GSE40666_NAIVE_VS_EFFECTOR_CD8_TCELL_WITH_IFNA_STIM_90MIN_UP.html" TargetMode="External"/><Relationship Id="rId2828" Type="http://schemas.openxmlformats.org/officeDocument/2006/relationships/hyperlink" Target="http://www.broadinstitute.org/gsea/msigdb/cards/GSE36078_WT_VS_IL1R_KO_LUNG_DC_UP.html" TargetMode="External"/><Relationship Id="rId2829" Type="http://schemas.openxmlformats.org/officeDocument/2006/relationships/hyperlink" Target="http://www.broadinstitute.org/gsea/msigdb/cards/GSE11961_MEMORY_BCELL_DAY7_VS_GERMINAL_CENTER_BCELL_DAY7_DN.html" TargetMode="External"/><Relationship Id="rId1730" Type="http://schemas.openxmlformats.org/officeDocument/2006/relationships/hyperlink" Target="http://www.broadinstitute.org/gsea/msigdb/cards/GO_SUPEROXIDE_METABOLIC_PROCESS.html" TargetMode="External"/><Relationship Id="rId1731" Type="http://schemas.openxmlformats.org/officeDocument/2006/relationships/hyperlink" Target="http://www.broadinstitute.org/gsea/msigdb/cards/GO_POSITIVE_REGULATION_OF_RESPONSE_TO_CYTOKINE_STIMULUS.html" TargetMode="External"/><Relationship Id="rId1732" Type="http://schemas.openxmlformats.org/officeDocument/2006/relationships/hyperlink" Target="http://www.broadinstitute.org/gsea/msigdb/cards/GO_TRANSPORT_VESICLE_MEMBRANE.html" TargetMode="External"/><Relationship Id="rId1733" Type="http://schemas.openxmlformats.org/officeDocument/2006/relationships/hyperlink" Target="http://www.broadinstitute.org/gsea/msigdb/cards/GO_POSITIVE_REGULATION_OF_CALCIUM_ION_TRANSPORT_INTO_CYTOSOL.html" TargetMode="External"/><Relationship Id="rId1734" Type="http://schemas.openxmlformats.org/officeDocument/2006/relationships/hyperlink" Target="http://www.broadinstitute.org/gsea/msigdb/cards/GO_REGULATION_OF_HUMORAL_IMMUNE_RESPONSE.html" TargetMode="External"/><Relationship Id="rId1735" Type="http://schemas.openxmlformats.org/officeDocument/2006/relationships/hyperlink" Target="http://www.broadinstitute.org/gsea/msigdb/cards/GO_RESPONSE_TO_FUNGUS.html" TargetMode="External"/><Relationship Id="rId1736" Type="http://schemas.openxmlformats.org/officeDocument/2006/relationships/hyperlink" Target="http://www.broadinstitute.org/gsea/msigdb/cards/GO_SERINE_HYDROLASE_ACTIVITY.html" TargetMode="External"/><Relationship Id="rId1737" Type="http://schemas.openxmlformats.org/officeDocument/2006/relationships/hyperlink" Target="http://www.broadinstitute.org/gsea/msigdb/cards/GO_INOSITOL_LIPID_MEDIATED_SIGNALING.html" TargetMode="External"/><Relationship Id="rId1738" Type="http://schemas.openxmlformats.org/officeDocument/2006/relationships/hyperlink" Target="http://www.broadinstitute.org/gsea/msigdb/cards/GO_POSITIVE_REGULATION_OF_LEUKOCYTE_DEGRANULATION.html" TargetMode="External"/><Relationship Id="rId1739" Type="http://schemas.openxmlformats.org/officeDocument/2006/relationships/hyperlink" Target="http://www.broadinstitute.org/gsea/msigdb/cards/GO_NEGATIVE_REGULATION_OF_CELL_KILLING.html" TargetMode="External"/><Relationship Id="rId3920" Type="http://schemas.openxmlformats.org/officeDocument/2006/relationships/hyperlink" Target="http://www.broadinstitute.org/gsea/msigdb/cards/GSE9037_CTRL_VS_LPS_4H_STIM_BMDM_UP.html" TargetMode="External"/><Relationship Id="rId3921" Type="http://schemas.openxmlformats.org/officeDocument/2006/relationships/hyperlink" Target="http://www.broadinstitute.org/gsea/msigdb/cards/GSE9650_EFFECTOR_VS_EXHAUSTED_CD8_TCELL_UP.html" TargetMode="External"/><Relationship Id="rId3922" Type="http://schemas.openxmlformats.org/officeDocument/2006/relationships/hyperlink" Target="http://www.broadinstitute.org/gsea/msigdb/cards/GSE9650_GP33_VS_GP276_LCMV_SPECIFIC_EXHAUSTED_CD8_TCELL_UP.html" TargetMode="External"/><Relationship Id="rId3923" Type="http://schemas.openxmlformats.org/officeDocument/2006/relationships/hyperlink" Target="http://www.broadinstitute.org/gsea/msigdb/cards/GSE9988_ANTI_TREM1_AND_LPS_VS_VEHICLE_TREATED_MONOCYTES_UP.html" TargetMode="External"/><Relationship Id="rId3924" Type="http://schemas.openxmlformats.org/officeDocument/2006/relationships/hyperlink" Target="http://www.broadinstitute.org/gsea/msigdb/cards/GSE2770_IL4_ACT_VS_ACT_CD4_TCELL_2H_DN.html" TargetMode="External"/><Relationship Id="rId3925" Type="http://schemas.openxmlformats.org/officeDocument/2006/relationships/hyperlink" Target="http://www.broadinstitute.org/gsea/msigdb/cards/GSE2770_TGFB_AND_IL4_VS_TGFB_AND_IL12_TREATED_ACT_CD4_TCELL_6H_DN.html" TargetMode="External"/><Relationship Id="rId3926" Type="http://schemas.openxmlformats.org/officeDocument/2006/relationships/hyperlink" Target="http://www.broadinstitute.org/gsea/msigdb/cards/GSE2770_IL12_AND_TGFB_ACT_VS_ACT_CD4_TCELL_2H_DN.html" TargetMode="External"/><Relationship Id="rId3927" Type="http://schemas.openxmlformats.org/officeDocument/2006/relationships/hyperlink" Target="http://www.broadinstitute.org/gsea/msigdb/cards/GSE2770_IL12_AND_TGFB_ACT_VS_ACT_CD4_TCELL_48H_UP.html" TargetMode="External"/><Relationship Id="rId3928" Type="http://schemas.openxmlformats.org/officeDocument/2006/relationships/hyperlink" Target="http://www.broadinstitute.org/gsea/msigdb/cards/GSE1791_CTRL_VS_NEUROMEDINU_IN_T_CELL_LINE_6H_UP.html" TargetMode="External"/><Relationship Id="rId3929" Type="http://schemas.openxmlformats.org/officeDocument/2006/relationships/hyperlink" Target="http://www.broadinstitute.org/gsea/msigdb/cards/GSE2128_C57BL6_VS_NOD_THYMOCYTE_UP.html" TargetMode="External"/><Relationship Id="rId1000" Type="http://schemas.openxmlformats.org/officeDocument/2006/relationships/hyperlink" Target="http://www.broadinstitute.org/gsea/msigdb/cards/MODULE_237.html" TargetMode="External"/><Relationship Id="rId1001" Type="http://schemas.openxmlformats.org/officeDocument/2006/relationships/hyperlink" Target="http://www.broadinstitute.org/gsea/msigdb/cards/MODULE_439.html" TargetMode="External"/><Relationship Id="rId1002" Type="http://schemas.openxmlformats.org/officeDocument/2006/relationships/hyperlink" Target="http://www.broadinstitute.org/gsea/msigdb/cards/MODULE_109.html" TargetMode="External"/><Relationship Id="rId1003" Type="http://schemas.openxmlformats.org/officeDocument/2006/relationships/hyperlink" Target="http://www.broadinstitute.org/gsea/msigdb/cards/MODULE_254.html" TargetMode="External"/><Relationship Id="rId1004" Type="http://schemas.openxmlformats.org/officeDocument/2006/relationships/hyperlink" Target="http://www.broadinstitute.org/gsea/msigdb/cards/MODULE_176.html" TargetMode="External"/><Relationship Id="rId1005" Type="http://schemas.openxmlformats.org/officeDocument/2006/relationships/hyperlink" Target="http://www.broadinstitute.org/gsea/msigdb/cards/GNF2_MSN.html" TargetMode="External"/><Relationship Id="rId1006" Type="http://schemas.openxmlformats.org/officeDocument/2006/relationships/hyperlink" Target="http://www.broadinstitute.org/gsea/msigdb/cards/MODULE_259.html" TargetMode="External"/><Relationship Id="rId1007" Type="http://schemas.openxmlformats.org/officeDocument/2006/relationships/hyperlink" Target="http://www.broadinstitute.org/gsea/msigdb/cards/GCM_HMGA2.html" TargetMode="External"/><Relationship Id="rId1008" Type="http://schemas.openxmlformats.org/officeDocument/2006/relationships/hyperlink" Target="http://www.broadinstitute.org/gsea/msigdb/cards/MODULE_308.html" TargetMode="External"/><Relationship Id="rId1009" Type="http://schemas.openxmlformats.org/officeDocument/2006/relationships/hyperlink" Target="http://www.broadinstitute.org/gsea/msigdb/cards/MODULE_13.html" TargetMode="External"/><Relationship Id="rId2830" Type="http://schemas.openxmlformats.org/officeDocument/2006/relationships/hyperlink" Target="http://www.broadinstitute.org/gsea/msigdb/cards/GSE39556_UNTREATED_VS_3H_POLYIC_INJ_MOUSE_CD8A_DC_DN.html" TargetMode="External"/><Relationship Id="rId2831" Type="http://schemas.openxmlformats.org/officeDocument/2006/relationships/hyperlink" Target="http://www.broadinstitute.org/gsea/msigdb/cards/GSE36826_WT_VS_IL1R_KO_SKIN_DN.html" TargetMode="External"/><Relationship Id="rId2832" Type="http://schemas.openxmlformats.org/officeDocument/2006/relationships/hyperlink" Target="http://www.broadinstitute.org/gsea/msigdb/cards/GSE28408_LY6G_POS_VS_NEG_DC_DN.html" TargetMode="External"/><Relationship Id="rId2833" Type="http://schemas.openxmlformats.org/officeDocument/2006/relationships/hyperlink" Target="http://www.broadinstitute.org/gsea/msigdb/cards/GSE41978_ID2_KO_VS_BIM_KO_KLRG1_LOW_EFFECTOR_CD8_TCELL_UP.html" TargetMode="External"/><Relationship Id="rId2834" Type="http://schemas.openxmlformats.org/officeDocument/2006/relationships/hyperlink" Target="http://www.broadinstitute.org/gsea/msigdb/cards/GSE42021_CD24HI_VS_CD24LOW_TCONV_THYMUS_DN.html" TargetMode="External"/><Relationship Id="rId2835" Type="http://schemas.openxmlformats.org/officeDocument/2006/relationships/hyperlink" Target="http://www.broadinstitute.org/gsea/msigdb/cards/GSE43955_1H_VS_42H_ACT_CD4_TCELL_UP.html" TargetMode="External"/><Relationship Id="rId2836" Type="http://schemas.openxmlformats.org/officeDocument/2006/relationships/hyperlink" Target="http://www.broadinstitute.org/gsea/msigdb/cards/GSE43863_TFH_VS_LY6C_LOW_CXCR5NEG_EFFECTOR_CD4_TCELL_UP.html" TargetMode="External"/><Relationship Id="rId2837" Type="http://schemas.openxmlformats.org/officeDocument/2006/relationships/hyperlink" Target="http://www.broadinstitute.org/gsea/msigdb/cards/GSE46606_DAY1_VS_DAY3_CD40L_IL2_IL5_STIMULATED_IRF4HIGH_BCELL_DN.html" TargetMode="External"/><Relationship Id="rId2838" Type="http://schemas.openxmlformats.org/officeDocument/2006/relationships/hyperlink" Target="http://www.broadinstitute.org/gsea/msigdb/cards/GSE43260_BTLA_POS_VS_NEG_INTRATUMORAL_CD8_TCELL_UP.html" TargetMode="External"/><Relationship Id="rId2839" Type="http://schemas.openxmlformats.org/officeDocument/2006/relationships/hyperlink" Target="http://www.broadinstitute.org/gsea/msigdb/cards/GSE6092_B_BURGDOFERI_VS_B_BURGDORFERI_AND_IFNG_STIM_ENDOTHELIAL_CELL_DN.html" TargetMode="External"/><Relationship Id="rId1740" Type="http://schemas.openxmlformats.org/officeDocument/2006/relationships/hyperlink" Target="http://www.broadinstitute.org/gsea/msigdb/cards/GO_POSITIVE_REGULATION_OF_MYELOID_LEUKOCYTE_MEDIATED_IMMUNITY.html" TargetMode="External"/><Relationship Id="rId1741" Type="http://schemas.openxmlformats.org/officeDocument/2006/relationships/hyperlink" Target="http://www.broadinstitute.org/gsea/msigdb/cards/GO_ANCHORING_JUNCTION.html" TargetMode="External"/><Relationship Id="rId1742" Type="http://schemas.openxmlformats.org/officeDocument/2006/relationships/hyperlink" Target="http://www.broadinstitute.org/gsea/msigdb/cards/GO_LIPID_PHOSPHORYLATION.html" TargetMode="External"/><Relationship Id="rId1743" Type="http://schemas.openxmlformats.org/officeDocument/2006/relationships/hyperlink" Target="http://www.broadinstitute.org/gsea/msigdb/cards/GO_POSITIVE_REGULATION_OF_PHOSPHOLIPASE_ACTIVITY.html" TargetMode="External"/><Relationship Id="rId1744" Type="http://schemas.openxmlformats.org/officeDocument/2006/relationships/hyperlink" Target="http://www.broadinstitute.org/gsea/msigdb/cards/GO_REGULATION_OF_RELEASE_OF_SEQUESTERED_CALCIUM_ION_INTO_CYTOSOL.html" TargetMode="External"/><Relationship Id="rId1745" Type="http://schemas.openxmlformats.org/officeDocument/2006/relationships/hyperlink" Target="http://www.broadinstitute.org/gsea/msigdb/cards/GO_REGULATION_OF_PROTEIN_IMPORT.html" TargetMode="External"/><Relationship Id="rId1746" Type="http://schemas.openxmlformats.org/officeDocument/2006/relationships/hyperlink" Target="http://www.broadinstitute.org/gsea/msigdb/cards/GO_ACTIVATION_OF_PROTEIN_KINASE_ACTIVITY.html" TargetMode="External"/><Relationship Id="rId1747" Type="http://schemas.openxmlformats.org/officeDocument/2006/relationships/hyperlink" Target="http://www.broadinstitute.org/gsea/msigdb/cards/GO_REGULATION_OF_CYCLIC_NUCLEOTIDE_METABOLIC_PROCESS.html" TargetMode="External"/><Relationship Id="rId1748" Type="http://schemas.openxmlformats.org/officeDocument/2006/relationships/hyperlink" Target="http://www.broadinstitute.org/gsea/msigdb/cards/GO_RESPONSE_TO_HORMONE.html" TargetMode="External"/><Relationship Id="rId1749" Type="http://schemas.openxmlformats.org/officeDocument/2006/relationships/hyperlink" Target="http://www.broadinstitute.org/gsea/msigdb/cards/GO_CCR_CHEMOKINE_RECEPTOR_BINDING.html" TargetMode="External"/><Relationship Id="rId2100" Type="http://schemas.openxmlformats.org/officeDocument/2006/relationships/hyperlink" Target="http://www.broadinstitute.org/gsea/msigdb/cards/VEGF_A_UP.V1_UP.html" TargetMode="External"/><Relationship Id="rId2101" Type="http://schemas.openxmlformats.org/officeDocument/2006/relationships/hyperlink" Target="http://www.broadinstitute.org/gsea/msigdb/cards/P53_DN.V2_DN.html" TargetMode="External"/><Relationship Id="rId2102" Type="http://schemas.openxmlformats.org/officeDocument/2006/relationships/hyperlink" Target="http://www.broadinstitute.org/gsea/msigdb/cards/STK33_SKM_DN.html" TargetMode="External"/><Relationship Id="rId2103" Type="http://schemas.openxmlformats.org/officeDocument/2006/relationships/hyperlink" Target="http://www.broadinstitute.org/gsea/msigdb/cards/KRAS.600_UP.V1_DN.html" TargetMode="External"/><Relationship Id="rId2104" Type="http://schemas.openxmlformats.org/officeDocument/2006/relationships/hyperlink" Target="http://www.broadinstitute.org/gsea/msigdb/cards/KRAS.LUNG.BREAST_UP.V1_UP.html" TargetMode="External"/><Relationship Id="rId2105" Type="http://schemas.openxmlformats.org/officeDocument/2006/relationships/hyperlink" Target="http://www.broadinstitute.org/gsea/msigdb/cards/KRAS.BREAST_UP.V1_UP.html" TargetMode="External"/><Relationship Id="rId2106" Type="http://schemas.openxmlformats.org/officeDocument/2006/relationships/hyperlink" Target="http://www.broadinstitute.org/gsea/msigdb/cards/IL2_UP.V1_DN.html" TargetMode="External"/><Relationship Id="rId2107" Type="http://schemas.openxmlformats.org/officeDocument/2006/relationships/hyperlink" Target="http://www.broadinstitute.org/gsea/msigdb/cards/STK33_DN.html" TargetMode="External"/><Relationship Id="rId2108" Type="http://schemas.openxmlformats.org/officeDocument/2006/relationships/hyperlink" Target="http://www.broadinstitute.org/gsea/msigdb/cards/GCNP_SHH_UP_EARLY.V1_DN.html" TargetMode="External"/><Relationship Id="rId2109" Type="http://schemas.openxmlformats.org/officeDocument/2006/relationships/hyperlink" Target="http://www.broadinstitute.org/gsea/msigdb/cards/WNT_UP.V1_DN.html" TargetMode="External"/><Relationship Id="rId3930" Type="http://schemas.openxmlformats.org/officeDocument/2006/relationships/hyperlink" Target="http://www.broadinstitute.org/gsea/msigdb/cards/GSE2405_S_AUREUS_VS_UNTREATED_NEUTROPHIL_UP.html" TargetMode="External"/><Relationship Id="rId3931" Type="http://schemas.openxmlformats.org/officeDocument/2006/relationships/hyperlink" Target="http://www.broadinstitute.org/gsea/msigdb/cards/GSE2405_HEAT_KILLED_LYSATE_VS_LIVE_A_PHAGOCYTOPHILUM_STIM_NEUTROPHIL_9H_UP.html" TargetMode="External"/><Relationship Id="rId3932" Type="http://schemas.openxmlformats.org/officeDocument/2006/relationships/hyperlink" Target="http://www.broadinstitute.org/gsea/msigdb/cards/GSE2405_0H_VS_24H_A_PHAGOCYTOPHILUM_STIM_NEUTROPHIL_UP.html" TargetMode="External"/><Relationship Id="rId3933" Type="http://schemas.openxmlformats.org/officeDocument/2006/relationships/hyperlink" Target="http://www.broadinstitute.org/gsea/msigdb/cards/GSE2405_0H_VS_1.5H_A_PHAGOCYTOPHILUM_STIM_NEUTROPHIL_DN.html" TargetMode="External"/><Relationship Id="rId3934" Type="http://schemas.openxmlformats.org/officeDocument/2006/relationships/hyperlink" Target="http://www.broadinstitute.org/gsea/msigdb/cards/GSE2405_0H_VS_3H_A_PHAGOCYTOPHILUM_STIM_NEUTROPHIL_UP.html" TargetMode="External"/><Relationship Id="rId3935" Type="http://schemas.openxmlformats.org/officeDocument/2006/relationships/hyperlink" Target="http://www.broadinstitute.org/gsea/msigdb/cards/GSE22601_IMMATURE_CD4_SINGLE_POSITIVE_VS_CD4_SINGLE_POSITIVE_THYMOCYTE_UP.html" TargetMode="External"/><Relationship Id="rId3936" Type="http://schemas.openxmlformats.org/officeDocument/2006/relationships/hyperlink" Target="http://www.broadinstitute.org/gsea/msigdb/cards/GSE2585_CTEC_VS_MTEC_THYMUS_UP.html" TargetMode="External"/><Relationship Id="rId3937" Type="http://schemas.openxmlformats.org/officeDocument/2006/relationships/hyperlink" Target="http://www.broadinstitute.org/gsea/msigdb/cards/GSE2585_CTEC_VS_THYMIC_MACROPHAGE_UP.html" TargetMode="External"/><Relationship Id="rId3938" Type="http://schemas.openxmlformats.org/officeDocument/2006/relationships/hyperlink" Target="http://www.broadinstitute.org/gsea/msigdb/cards/GSE2585_THYMIC_DC_VS_MTEC_DN.html" TargetMode="External"/><Relationship Id="rId3939" Type="http://schemas.openxmlformats.org/officeDocument/2006/relationships/hyperlink" Target="http://www.broadinstitute.org/gsea/msigdb/cards/GSE1925_CTRL_VS_IFNG_PRIMED_MACROPHAGE_DN.html" TargetMode="External"/><Relationship Id="rId1010" Type="http://schemas.openxmlformats.org/officeDocument/2006/relationships/hyperlink" Target="http://www.broadinstitute.org/gsea/msigdb/cards/MODULE_367.html" TargetMode="External"/><Relationship Id="rId1011" Type="http://schemas.openxmlformats.org/officeDocument/2006/relationships/hyperlink" Target="http://www.broadinstitute.org/gsea/msigdb/cards/MODULE_85.html" TargetMode="External"/><Relationship Id="rId1012" Type="http://schemas.openxmlformats.org/officeDocument/2006/relationships/hyperlink" Target="http://www.broadinstitute.org/gsea/msigdb/cards/MODULE_360.html" TargetMode="External"/><Relationship Id="rId1013" Type="http://schemas.openxmlformats.org/officeDocument/2006/relationships/hyperlink" Target="http://www.broadinstitute.org/gsea/msigdb/cards/MODULE_69.html" TargetMode="External"/><Relationship Id="rId1014" Type="http://schemas.openxmlformats.org/officeDocument/2006/relationships/hyperlink" Target="http://www.broadinstitute.org/gsea/msigdb/cards/GNF2_BNIP2.html" TargetMode="External"/><Relationship Id="rId1015" Type="http://schemas.openxmlformats.org/officeDocument/2006/relationships/hyperlink" Target="http://www.broadinstitute.org/gsea/msigdb/cards/MODULE_401.html" TargetMode="External"/><Relationship Id="rId1016" Type="http://schemas.openxmlformats.org/officeDocument/2006/relationships/hyperlink" Target="http://www.broadinstitute.org/gsea/msigdb/cards/MODULE_199.html" TargetMode="External"/><Relationship Id="rId1017" Type="http://schemas.openxmlformats.org/officeDocument/2006/relationships/hyperlink" Target="http://www.broadinstitute.org/gsea/msigdb/cards/MODULE_19.html" TargetMode="External"/><Relationship Id="rId1018" Type="http://schemas.openxmlformats.org/officeDocument/2006/relationships/hyperlink" Target="http://www.broadinstitute.org/gsea/msigdb/cards/MODULE_537.html" TargetMode="External"/><Relationship Id="rId1019" Type="http://schemas.openxmlformats.org/officeDocument/2006/relationships/hyperlink" Target="http://www.broadinstitute.org/gsea/msigdb/cards/MODULE_521.html" TargetMode="External"/><Relationship Id="rId2840" Type="http://schemas.openxmlformats.org/officeDocument/2006/relationships/hyperlink" Target="http://www.broadinstitute.org/gsea/msigdb/cards/GSE21360_NAIVE_VS_PRIMARY_MEMORY_CD8_TCELL_DN.html" TargetMode="External"/><Relationship Id="rId2841" Type="http://schemas.openxmlformats.org/officeDocument/2006/relationships/hyperlink" Target="http://www.broadinstitute.org/gsea/msigdb/cards/GSE21033_1H_VS_24H_POLYIC_STIM_DC_DN.html" TargetMode="External"/><Relationship Id="rId2842" Type="http://schemas.openxmlformats.org/officeDocument/2006/relationships/hyperlink" Target="http://www.broadinstitute.org/gsea/msigdb/cards/GSE6269_E_COLI_VS_STREP_PNEUMO_INF_PBMC_DN.html" TargetMode="External"/><Relationship Id="rId2843" Type="http://schemas.openxmlformats.org/officeDocument/2006/relationships/hyperlink" Target="http://www.broadinstitute.org/gsea/msigdb/cards/GSE37605_FOXP3_FUSION_GFP_VS_IRES_GFP_TREG_NOD_DN.html" TargetMode="External"/><Relationship Id="rId2844" Type="http://schemas.openxmlformats.org/officeDocument/2006/relationships/hyperlink" Target="http://www.broadinstitute.org/gsea/msigdb/cards/GSE40274_CTRL_VS_SATB1_TRANSDUCED_ACTIVATED_CD4_TCELL_UP.html" TargetMode="External"/><Relationship Id="rId2845" Type="http://schemas.openxmlformats.org/officeDocument/2006/relationships/hyperlink" Target="http://www.broadinstitute.org/gsea/msigdb/cards/GSE6259_DEC205_POS_DC_VS_BCELL_DN.html" TargetMode="External"/><Relationship Id="rId2846" Type="http://schemas.openxmlformats.org/officeDocument/2006/relationships/hyperlink" Target="http://www.broadinstitute.org/gsea/msigdb/cards/GSE14415_NATURAL_TREG_VS_FOXP3_KO_NATURAL_TREG_UP.html" TargetMode="External"/><Relationship Id="rId2847" Type="http://schemas.openxmlformats.org/officeDocument/2006/relationships/hyperlink" Target="http://www.broadinstitute.org/gsea/msigdb/cards/GSE14386_UNTREATED_VS_IFNA_TREATED_ACT_PBMC_MS_PATIENT_DN.html" TargetMode="External"/><Relationship Id="rId2848" Type="http://schemas.openxmlformats.org/officeDocument/2006/relationships/hyperlink" Target="http://www.broadinstitute.org/gsea/msigdb/cards/GSE40225_WT_VS_RIP_B7X_DIABETIC_MOUSE_PANCREATIC_CD8_TCELL_UP.html" TargetMode="External"/><Relationship Id="rId2849" Type="http://schemas.openxmlformats.org/officeDocument/2006/relationships/hyperlink" Target="http://www.broadinstitute.org/gsea/msigdb/cards/GSE6092_IFNG_VS_IFNG_AND_B_BURGDORFERI_INF_ENDOTHELIAL_CELL_DN.html" TargetMode="External"/><Relationship Id="rId3200" Type="http://schemas.openxmlformats.org/officeDocument/2006/relationships/hyperlink" Target="http://www.broadinstitute.org/gsea/msigdb/cards/GSE25088_IL4_VS_IL4_AND_ROSIGLITAZONE_STIM_MACROPHAGE_DAY10_UP.html" TargetMode="External"/><Relationship Id="rId3201" Type="http://schemas.openxmlformats.org/officeDocument/2006/relationships/hyperlink" Target="http://www.broadinstitute.org/gsea/msigdb/cards/GSE19941_LPS_VS_LPS_AND_IL10_STIM_IL10_KO_NFKBP50_KO_MACROPHAGE_DN.html" TargetMode="External"/><Relationship Id="rId3202" Type="http://schemas.openxmlformats.org/officeDocument/2006/relationships/hyperlink" Target="http://www.broadinstitute.org/gsea/msigdb/cards/GSE22611_NOD2_VS_CTRL_TRANSDUCED_HEK293T_CELL_DN.html" TargetMode="External"/><Relationship Id="rId3203" Type="http://schemas.openxmlformats.org/officeDocument/2006/relationships/hyperlink" Target="http://www.broadinstitute.org/gsea/msigdb/cards/GSE27670_CTRL_VS_LMP1_TRANSDUCED_GC_BCELL_UP.html" TargetMode="External"/><Relationship Id="rId3204" Type="http://schemas.openxmlformats.org/officeDocument/2006/relationships/hyperlink" Target="http://www.broadinstitute.org/gsea/msigdb/cards/GSE27670_CTRL_VS_LMP1_TRANSDUCED_GC_BCELL_DN.html" TargetMode="External"/><Relationship Id="rId3205" Type="http://schemas.openxmlformats.org/officeDocument/2006/relationships/hyperlink" Target="http://www.broadinstitute.org/gsea/msigdb/cards/GSE21063_WT_VS_NFATC1_KO_BCELL_UP.html" TargetMode="External"/><Relationship Id="rId3206" Type="http://schemas.openxmlformats.org/officeDocument/2006/relationships/hyperlink" Target="http://www.broadinstitute.org/gsea/msigdb/cards/GSE28130_ACTIVATED_VS_INDUCEED_TREG_UP.html" TargetMode="External"/><Relationship Id="rId3207" Type="http://schemas.openxmlformats.org/officeDocument/2006/relationships/hyperlink" Target="http://www.broadinstitute.org/gsea/msigdb/cards/GSE23321_CENTRAL_MEMORY_VS_NAIVE_CD8_TCELL_UP.html" TargetMode="External"/><Relationship Id="rId3208" Type="http://schemas.openxmlformats.org/officeDocument/2006/relationships/hyperlink" Target="http://www.broadinstitute.org/gsea/msigdb/cards/GSE29164_DAY3_VS_DAY7_UNTREATED_MELANOMA_UP.html" TargetMode="External"/><Relationship Id="rId3209" Type="http://schemas.openxmlformats.org/officeDocument/2006/relationships/hyperlink" Target="http://www.broadinstitute.org/gsea/msigdb/cards/GSE33425_CD161_INT_VS_NEG_CD8_TCELL_DN.html" TargetMode="External"/><Relationship Id="rId500" Type="http://schemas.openxmlformats.org/officeDocument/2006/relationships/hyperlink" Target="http://www.broadinstitute.org/gsea/msigdb/cards/MARKS_HDAC_TARGETS_DN.html" TargetMode="External"/><Relationship Id="rId501" Type="http://schemas.openxmlformats.org/officeDocument/2006/relationships/hyperlink" Target="http://www.broadinstitute.org/gsea/msigdb/cards/GAVIN_FOXP3_TARGETS_CLUSTER_P7.html" TargetMode="External"/><Relationship Id="rId502" Type="http://schemas.openxmlformats.org/officeDocument/2006/relationships/hyperlink" Target="http://www.broadinstitute.org/gsea/msigdb/cards/KHETCHOUMIAN_TRIM24_TARGETS_UP.html" TargetMode="External"/><Relationship Id="rId503" Type="http://schemas.openxmlformats.org/officeDocument/2006/relationships/hyperlink" Target="http://www.broadinstitute.org/gsea/msigdb/cards/BROWNE_HCMV_INFECTION_48HR_DN.html" TargetMode="External"/><Relationship Id="rId504" Type="http://schemas.openxmlformats.org/officeDocument/2006/relationships/hyperlink" Target="http://www.broadinstitute.org/gsea/msigdb/cards/REACTOME_SEMAPHORIN_INTERACTIONS.html" TargetMode="External"/><Relationship Id="rId505" Type="http://schemas.openxmlformats.org/officeDocument/2006/relationships/hyperlink" Target="http://www.broadinstitute.org/gsea/msigdb/cards/BASSO_CD40_SIGNALING_DN.html" TargetMode="External"/><Relationship Id="rId506" Type="http://schemas.openxmlformats.org/officeDocument/2006/relationships/hyperlink" Target="http://www.broadinstitute.org/gsea/msigdb/cards/MCCABE_BOUND_BY_HOXC6.html" TargetMode="External"/><Relationship Id="rId507" Type="http://schemas.openxmlformats.org/officeDocument/2006/relationships/hyperlink" Target="http://www.broadinstitute.org/gsea/msigdb/cards/PID_RAS_PATHWAY.html" TargetMode="External"/><Relationship Id="rId508" Type="http://schemas.openxmlformats.org/officeDocument/2006/relationships/hyperlink" Target="http://www.broadinstitute.org/gsea/msigdb/cards/PLASARI_TGFB1_SIGNALING_VIA_NFIC_10HR_DN.html" TargetMode="External"/><Relationship Id="rId509" Type="http://schemas.openxmlformats.org/officeDocument/2006/relationships/hyperlink" Target="http://www.broadinstitute.org/gsea/msigdb/cards/KEGG_COMPLEMENT_AND_COAGULATION_CASCADES.html" TargetMode="External"/><Relationship Id="rId1750" Type="http://schemas.openxmlformats.org/officeDocument/2006/relationships/hyperlink" Target="http://www.broadinstitute.org/gsea/msigdb/cards/GO_DETECTION_OF_OTHER_ORGANISM.html" TargetMode="External"/><Relationship Id="rId1751" Type="http://schemas.openxmlformats.org/officeDocument/2006/relationships/hyperlink" Target="http://www.broadinstitute.org/gsea/msigdb/cards/GO_MACROPHAGE_DIFFERENTIATION.html" TargetMode="External"/><Relationship Id="rId1752" Type="http://schemas.openxmlformats.org/officeDocument/2006/relationships/hyperlink" Target="http://www.broadinstitute.org/gsea/msigdb/cards/GO_POSITIVE_REGULATION_OF_LIPID_METABOLIC_PROCESS.html" TargetMode="External"/><Relationship Id="rId1753" Type="http://schemas.openxmlformats.org/officeDocument/2006/relationships/hyperlink" Target="http://www.broadinstitute.org/gsea/msigdb/cards/GO_AMIDE_TRANSMEMBRANE_TRANSPORTER_ACTIVITY.html" TargetMode="External"/><Relationship Id="rId1754" Type="http://schemas.openxmlformats.org/officeDocument/2006/relationships/hyperlink" Target="http://www.broadinstitute.org/gsea/msigdb/cards/GO_REGULATION_OF_LIPID_METABOLIC_PROCESS.html" TargetMode="External"/><Relationship Id="rId1755" Type="http://schemas.openxmlformats.org/officeDocument/2006/relationships/hyperlink" Target="http://www.broadinstitute.org/gsea/msigdb/cards/GO_REGULATION_OF_CAMP_METABOLIC_PROCESS.html" TargetMode="External"/><Relationship Id="rId1756" Type="http://schemas.openxmlformats.org/officeDocument/2006/relationships/hyperlink" Target="http://www.broadinstitute.org/gsea/msigdb/cards/GO_RESPONSE_TO_PURINE_CONTAINING_COMPOUND.html" TargetMode="External"/><Relationship Id="rId1757" Type="http://schemas.openxmlformats.org/officeDocument/2006/relationships/hyperlink" Target="http://www.broadinstitute.org/gsea/msigdb/cards/GO_REGULATION_OF_CALCIUM_ION_IMPORT.html" TargetMode="External"/><Relationship Id="rId1758" Type="http://schemas.openxmlformats.org/officeDocument/2006/relationships/hyperlink" Target="http://www.broadinstitute.org/gsea/msigdb/cards/GO_MEMBRANE_ORGANIZATION.html" TargetMode="External"/><Relationship Id="rId1759" Type="http://schemas.openxmlformats.org/officeDocument/2006/relationships/hyperlink" Target="http://www.broadinstitute.org/gsea/msigdb/cards/GO_REGULATION_OF_ERYTHROCYTE_DIFFERENTIATION.html" TargetMode="External"/><Relationship Id="rId2110" Type="http://schemas.openxmlformats.org/officeDocument/2006/relationships/hyperlink" Target="http://www.broadinstitute.org/gsea/msigdb/cards/BRCA1_DN.V1_UP.html" TargetMode="External"/><Relationship Id="rId2111" Type="http://schemas.openxmlformats.org/officeDocument/2006/relationships/hyperlink" Target="http://www.broadinstitute.org/gsea/msigdb/cards/PDGF_UP.V1_DN.html" TargetMode="External"/><Relationship Id="rId2112" Type="http://schemas.openxmlformats.org/officeDocument/2006/relationships/hyperlink" Target="http://www.broadinstitute.org/gsea/msigdb/cards/KRAS.AMP.LUNG_UP.V1_UP.html" TargetMode="External"/><Relationship Id="rId2113" Type="http://schemas.openxmlformats.org/officeDocument/2006/relationships/hyperlink" Target="http://www.broadinstitute.org/gsea/msigdb/cards/KRAS.AMP.LUNG_UP.V1_DN.html" TargetMode="External"/><Relationship Id="rId2114" Type="http://schemas.openxmlformats.org/officeDocument/2006/relationships/hyperlink" Target="http://www.broadinstitute.org/gsea/msigdb/cards/IL15_UP.V1_DN.html" TargetMode="External"/><Relationship Id="rId2115" Type="http://schemas.openxmlformats.org/officeDocument/2006/relationships/hyperlink" Target="http://www.broadinstitute.org/gsea/msigdb/cards/PRC2_EED_UP.V1_UP.html" TargetMode="External"/><Relationship Id="rId2116" Type="http://schemas.openxmlformats.org/officeDocument/2006/relationships/hyperlink" Target="http://www.broadinstitute.org/gsea/msigdb/cards/PKCA_DN.V1_DN.html" TargetMode="External"/><Relationship Id="rId2117" Type="http://schemas.openxmlformats.org/officeDocument/2006/relationships/hyperlink" Target="http://www.broadinstitute.org/gsea/msigdb/cards/CTIP_DN.V1_DN.html" TargetMode="External"/><Relationship Id="rId2118" Type="http://schemas.openxmlformats.org/officeDocument/2006/relationships/hyperlink" Target="http://www.broadinstitute.org/gsea/msigdb/cards/KRAS.PROSTATE_UP.V1_UP.html" TargetMode="External"/><Relationship Id="rId2119" Type="http://schemas.openxmlformats.org/officeDocument/2006/relationships/hyperlink" Target="http://www.broadinstitute.org/gsea/msigdb/cards/KRAS.BREAST_UP.V1_DN.html" TargetMode="External"/><Relationship Id="rId3940" Type="http://schemas.openxmlformats.org/officeDocument/2006/relationships/hyperlink" Target="http://www.broadinstitute.org/gsea/msigdb/cards/GSE3720_UNSTIM_VS_PMA_STIM_VD2_GAMMADELTA_TCELL_DN.html" TargetMode="External"/><Relationship Id="rId3941" Type="http://schemas.openxmlformats.org/officeDocument/2006/relationships/hyperlink" Target="http://www.broadinstitute.org/gsea/msigdb/cards/GSE4142_GC_BCELL_VS_MEMORY_BCELL_UP.html" TargetMode="External"/><Relationship Id="rId3942" Type="http://schemas.openxmlformats.org/officeDocument/2006/relationships/hyperlink" Target="http://www.broadinstitute.org/gsea/msigdb/cards/GSE3039_CD4_TCELL_VS_B2_BCELL_UP.html" TargetMode="External"/><Relationship Id="rId3943" Type="http://schemas.openxmlformats.org/officeDocument/2006/relationships/hyperlink" Target="http://www.broadinstitute.org/gsea/msigdb/cards/GSE5679_CTRL_VS_PPARG_LIGAND_ROSIGLITAZONE_AND_RARA_AGONIST_AM580_TREATED_DC_DN.html" TargetMode="External"/><Relationship Id="rId3944" Type="http://schemas.openxmlformats.org/officeDocument/2006/relationships/hyperlink" Target="http://www.broadinstitute.org/gsea/msigdb/cards/GSE5679_RARA_AGONIST_AM580_VS_AM580_AND_ROSIGLITAZONE_TREATED_DC_UP.html" TargetMode="External"/><Relationship Id="rId3945" Type="http://schemas.openxmlformats.org/officeDocument/2006/relationships/hyperlink" Target="http://www.broadinstitute.org/gsea/msigdb/cards/GSE5099_UNSTIM_VS_MCSF_TREATED_MONOCYTE_DAY3_DN.html" TargetMode="External"/><Relationship Id="rId3946" Type="http://schemas.openxmlformats.org/officeDocument/2006/relationships/hyperlink" Target="http://www.broadinstitute.org/gsea/msigdb/cards/GSE5589_WT_VS_IL10_KO_LPS_AND_IL10_STIM_MACROPHAGE_45MIN_UP.html" TargetMode="External"/><Relationship Id="rId3947" Type="http://schemas.openxmlformats.org/officeDocument/2006/relationships/hyperlink" Target="http://www.broadinstitute.org/gsea/msigdb/cards/GSE6259_33D1_POS_VS_DEC205_POS_SPLENIC_DC_DN.html" TargetMode="External"/><Relationship Id="rId3948" Type="http://schemas.openxmlformats.org/officeDocument/2006/relationships/hyperlink" Target="http://www.broadinstitute.org/gsea/msigdb/cards/GSE6259_FLT3L_INDUCED_33D1_POS_DC_VS_BCELL_DN.html" TargetMode="External"/><Relationship Id="rId3949" Type="http://schemas.openxmlformats.org/officeDocument/2006/relationships/hyperlink" Target="http://www.broadinstitute.org/gsea/msigdb/cards/GSE9316_IL6_KO_VS_IFNG_KO_INVIVO_EXPANDED_CD4_TCELL_UP.html" TargetMode="External"/><Relationship Id="rId1020" Type="http://schemas.openxmlformats.org/officeDocument/2006/relationships/hyperlink" Target="http://www.broadinstitute.org/gsea/msigdb/cards/MODULE_37.html" TargetMode="External"/><Relationship Id="rId1021" Type="http://schemas.openxmlformats.org/officeDocument/2006/relationships/hyperlink" Target="http://www.broadinstitute.org/gsea/msigdb/cards/MODULE_247.html" TargetMode="External"/><Relationship Id="rId4300" Type="http://schemas.openxmlformats.org/officeDocument/2006/relationships/hyperlink" Target="http://www.broadinstitute.org/gsea/msigdb/cards/GSE46606_UNSTIM_VS_CD40L_IL2_IL5_3DAY_STIMULATED_IRF4MID_SORTED_BCELL_DN.html" TargetMode="External"/><Relationship Id="rId4301" Type="http://schemas.openxmlformats.org/officeDocument/2006/relationships/hyperlink" Target="http://www.broadinstitute.org/gsea/msigdb/cards/GSE41176_WT_VS_TAK1_KO_ANTI_IGM_STIM_BCELL_24H_DN.html" TargetMode="External"/><Relationship Id="rId4302" Type="http://schemas.openxmlformats.org/officeDocument/2006/relationships/hyperlink" Target="http://www.broadinstitute.org/gsea/msigdb/cards/GSE45365_WT_VS_IFNAR_KO_CD8A_DC_MCMV_INFECTION_UP.html" TargetMode="External"/><Relationship Id="rId4303" Type="http://schemas.openxmlformats.org/officeDocument/2006/relationships/hyperlink" Target="http://www.broadinstitute.org/gsea/msigdb/cards/GSE45365_WT_VS_IFNAR_KO_CD11B_DC_UP.html" TargetMode="External"/><Relationship Id="rId4304" Type="http://schemas.openxmlformats.org/officeDocument/2006/relationships/hyperlink" Target="http://www.broadinstitute.org/gsea/msigdb/cards/GSE45365_NK_CELL_VS_BCELL_DN.html" TargetMode="External"/><Relationship Id="rId4305" Type="http://schemas.openxmlformats.org/officeDocument/2006/relationships/hyperlink" Target="http://www.broadinstitute.org/gsea/msigdb/cards/GSE2935_UV_INACTIVATED_VS_LIVE_SENDAI_VIRUS_INF_MACROPHAGE_UP.html" TargetMode="External"/><Relationship Id="rId4306" Type="http://schemas.openxmlformats.org/officeDocument/2006/relationships/hyperlink" Target="http://www.broadinstitute.org/gsea/msigdb/cards/GSE13547_2H_VS_12_H_ANTI_IGM_STIM_ZFX_KO_BCELL_DN.html" TargetMode="External"/><Relationship Id="rId4307" Type="http://schemas.openxmlformats.org/officeDocument/2006/relationships/hyperlink" Target="http://www.broadinstitute.org/gsea/msigdb/cards/GSE6269_HEALTHY_VS_STAPH_AUREUS_INF_PBMC_UP.html" TargetMode="External"/><Relationship Id="rId4308" Type="http://schemas.openxmlformats.org/officeDocument/2006/relationships/hyperlink" Target="http://www.broadinstitute.org/gsea/msigdb/cards/GSE6269_HEALTHY_VS_E_COLI_INF_PBMC_UP.html" TargetMode="External"/><Relationship Id="rId4309" Type="http://schemas.openxmlformats.org/officeDocument/2006/relationships/hyperlink" Target="http://www.broadinstitute.org/gsea/msigdb/cards/GSE4984_UNTREATED_VS_LPS_TREATED_DC_UP.html" TargetMode="External"/><Relationship Id="rId1022" Type="http://schemas.openxmlformats.org/officeDocument/2006/relationships/hyperlink" Target="http://www.broadinstitute.org/gsea/msigdb/cards/MODULE_426.html" TargetMode="External"/><Relationship Id="rId1023" Type="http://schemas.openxmlformats.org/officeDocument/2006/relationships/hyperlink" Target="http://www.broadinstitute.org/gsea/msigdb/cards/MODULE_136.html" TargetMode="External"/><Relationship Id="rId1024" Type="http://schemas.openxmlformats.org/officeDocument/2006/relationships/hyperlink" Target="http://www.broadinstitute.org/gsea/msigdb/cards/MODULE_362.html" TargetMode="External"/><Relationship Id="rId1025" Type="http://schemas.openxmlformats.org/officeDocument/2006/relationships/hyperlink" Target="http://www.broadinstitute.org/gsea/msigdb/cards/MODULE_97.html" TargetMode="External"/><Relationship Id="rId1026" Type="http://schemas.openxmlformats.org/officeDocument/2006/relationships/hyperlink" Target="http://www.broadinstitute.org/gsea/msigdb/cards/MODULE_448.html" TargetMode="External"/><Relationship Id="rId1027" Type="http://schemas.openxmlformats.org/officeDocument/2006/relationships/hyperlink" Target="http://www.broadinstitute.org/gsea/msigdb/cards/MODULE_182.html" TargetMode="External"/><Relationship Id="rId1028" Type="http://schemas.openxmlformats.org/officeDocument/2006/relationships/hyperlink" Target="http://www.broadinstitute.org/gsea/msigdb/cards/GO_IMMUNE_SYSTEM_PROCESS.html" TargetMode="External"/><Relationship Id="rId1029" Type="http://schemas.openxmlformats.org/officeDocument/2006/relationships/hyperlink" Target="http://www.broadinstitute.org/gsea/msigdb/cards/GO_IMMUNE_RESPONSE.html" TargetMode="External"/><Relationship Id="rId2850" Type="http://schemas.openxmlformats.org/officeDocument/2006/relationships/hyperlink" Target="http://www.broadinstitute.org/gsea/msigdb/cards/GSE3565_DUSP1_VS_WT_SPLENOCYTES_POST_LPS_INJECTION_DN.html" TargetMode="External"/><Relationship Id="rId2851" Type="http://schemas.openxmlformats.org/officeDocument/2006/relationships/hyperlink" Target="http://www.broadinstitute.org/gsea/msigdb/cards/GSE40666_UNTREATED_VS_IFNA_STIM_STAT1_KO_CD8_TCELL_90MIN_DN.html" TargetMode="External"/><Relationship Id="rId2852" Type="http://schemas.openxmlformats.org/officeDocument/2006/relationships/hyperlink" Target="http://www.broadinstitute.org/gsea/msigdb/cards/GSE27859_MACROPHAGE_VS_CD11C_INT_F480_INT_DC_DN.html" TargetMode="External"/><Relationship Id="rId2853" Type="http://schemas.openxmlformats.org/officeDocument/2006/relationships/hyperlink" Target="http://www.broadinstitute.org/gsea/msigdb/cards/GOLDRATH_EFF_VS_MEMORY_CD8_TCELL_UP.html" TargetMode="External"/><Relationship Id="rId2854" Type="http://schemas.openxmlformats.org/officeDocument/2006/relationships/hyperlink" Target="http://www.broadinstitute.org/gsea/msigdb/cards/GSE10325_BCELL_VS_MYELOID_UP.html" TargetMode="External"/><Relationship Id="rId2855" Type="http://schemas.openxmlformats.org/officeDocument/2006/relationships/hyperlink" Target="http://www.broadinstitute.org/gsea/msigdb/cards/GSE12366_PLASMA_CELL_VS_MEMORY_BCELL_DN.html" TargetMode="External"/><Relationship Id="rId2856" Type="http://schemas.openxmlformats.org/officeDocument/2006/relationships/hyperlink" Target="http://www.broadinstitute.org/gsea/msigdb/cards/GSE14000_UNSTIM_VS_16H_LPS_DC_TRANSLATED_RNA_UP.html" TargetMode="External"/><Relationship Id="rId2857" Type="http://schemas.openxmlformats.org/officeDocument/2006/relationships/hyperlink" Target="http://www.broadinstitute.org/gsea/msigdb/cards/GSE14000_UNSTIM_VS_16H_LPS_DC_TRANSLATED_RNA_DN.html" TargetMode="External"/><Relationship Id="rId2858" Type="http://schemas.openxmlformats.org/officeDocument/2006/relationships/hyperlink" Target="http://www.broadinstitute.org/gsea/msigdb/cards/GSE17721_0.5H_VS_12H_CPG_BMDC_DN.html" TargetMode="External"/><Relationship Id="rId2859" Type="http://schemas.openxmlformats.org/officeDocument/2006/relationships/hyperlink" Target="http://www.broadinstitute.org/gsea/msigdb/cards/GSE17721_0.5H_VS_4H_CPG_BMDC_DN.html" TargetMode="External"/><Relationship Id="rId3210" Type="http://schemas.openxmlformats.org/officeDocument/2006/relationships/hyperlink" Target="http://www.broadinstitute.org/gsea/msigdb/cards/GSE32986_UNSTIM_VS_CURDLAN_LOWDOSE_STIM_DC_UP.html" TargetMode="External"/><Relationship Id="rId3211" Type="http://schemas.openxmlformats.org/officeDocument/2006/relationships/hyperlink" Target="http://www.broadinstitute.org/gsea/msigdb/cards/GSE26343_WT_VS_NFAT5_KO_MACROPHAGE_LPS_STIM_UP.html" TargetMode="External"/><Relationship Id="rId3212" Type="http://schemas.openxmlformats.org/officeDocument/2006/relationships/hyperlink" Target="http://www.broadinstitute.org/gsea/msigdb/cards/GSE26343_UNSTIM_VS_LPS_STIM_MACROPHAGE_DN.html" TargetMode="External"/><Relationship Id="rId3213" Type="http://schemas.openxmlformats.org/officeDocument/2006/relationships/hyperlink" Target="http://www.broadinstitute.org/gsea/msigdb/cards/GSE34156_UNTREATED_VS_24H_NOD2_AND_TLR1_TLR2_LIGAND_TREATED_MONOCYTE_UP.html" TargetMode="External"/><Relationship Id="rId3214" Type="http://schemas.openxmlformats.org/officeDocument/2006/relationships/hyperlink" Target="http://www.broadinstitute.org/gsea/msigdb/cards/GSE36888_UNTREATED_VS_IL2_TREATED_STAT5_AB_KNOCKIN_TCELL_17H_UP.html" TargetMode="External"/><Relationship Id="rId3215" Type="http://schemas.openxmlformats.org/officeDocument/2006/relationships/hyperlink" Target="http://www.broadinstitute.org/gsea/msigdb/cards/GSE36888_UNTREATED_VS_IL2_TREATED_TCELL_2H_UP.html" TargetMode="External"/><Relationship Id="rId3216" Type="http://schemas.openxmlformats.org/officeDocument/2006/relationships/hyperlink" Target="http://www.broadinstitute.org/gsea/msigdb/cards/GSE36888_STAT5_AB_KNOCKIN_VS_WT_TCELL_IL2_TREATED_17H_DN.html" TargetMode="External"/><Relationship Id="rId3217" Type="http://schemas.openxmlformats.org/officeDocument/2006/relationships/hyperlink" Target="http://www.broadinstitute.org/gsea/msigdb/cards/GSE36009_UNSTIM_VS_LPS_STIM_NLRP10_KO_DC_UP.html" TargetMode="External"/><Relationship Id="rId3218" Type="http://schemas.openxmlformats.org/officeDocument/2006/relationships/hyperlink" Target="http://www.broadinstitute.org/gsea/msigdb/cards/GSE36009_WT_VS_NLRP10_KO_DC_UP.html" TargetMode="External"/><Relationship Id="rId3219" Type="http://schemas.openxmlformats.org/officeDocument/2006/relationships/hyperlink" Target="http://www.broadinstitute.org/gsea/msigdb/cards/GSE36527_CD62L_HIGH_CD69_NEG_VS_CD62L_LOW_CD69_POS_TREG_KLRG1_NEG_DN.html" TargetMode="External"/><Relationship Id="rId510" Type="http://schemas.openxmlformats.org/officeDocument/2006/relationships/hyperlink" Target="http://www.broadinstitute.org/gsea/msigdb/cards/HOWLIN_PUBERTAL_MAMMARY_GLAND.html" TargetMode="External"/><Relationship Id="rId511" Type="http://schemas.openxmlformats.org/officeDocument/2006/relationships/hyperlink" Target="http://www.broadinstitute.org/gsea/msigdb/cards/LINDSTEDT_DENDRITIC_CELL_MATURATION_C.html" TargetMode="External"/><Relationship Id="rId512" Type="http://schemas.openxmlformats.org/officeDocument/2006/relationships/hyperlink" Target="http://www.broadinstitute.org/gsea/msigdb/cards/KOINUMA_COLON_CANCER_MSI_UP.html" TargetMode="External"/><Relationship Id="rId513" Type="http://schemas.openxmlformats.org/officeDocument/2006/relationships/hyperlink" Target="http://www.broadinstitute.org/gsea/msigdb/cards/REACTOME_TOLL_RECEPTOR_CASCADES.html" TargetMode="External"/><Relationship Id="rId514" Type="http://schemas.openxmlformats.org/officeDocument/2006/relationships/hyperlink" Target="http://www.broadinstitute.org/gsea/msigdb/cards/BRUINS_UVC_RESPONSE_VIA_TP53_GROUP_B.html" TargetMode="External"/><Relationship Id="rId515" Type="http://schemas.openxmlformats.org/officeDocument/2006/relationships/hyperlink" Target="http://www.broadinstitute.org/gsea/msigdb/cards/WANG_IMMORTALIZED_BY_HOXA9_AND_MEIS1_UP.html" TargetMode="External"/><Relationship Id="rId516" Type="http://schemas.openxmlformats.org/officeDocument/2006/relationships/hyperlink" Target="http://www.broadinstitute.org/gsea/msigdb/cards/BLALOCK_ALZHEIMERS_DISEASE_UP.html" TargetMode="External"/><Relationship Id="rId517" Type="http://schemas.openxmlformats.org/officeDocument/2006/relationships/hyperlink" Target="http://www.broadinstitute.org/gsea/msigdb/cards/JECHLINGER_EPITHELIAL_TO_MESENCHYMAL_TRANSITION_UP.html" TargetMode="External"/><Relationship Id="rId518" Type="http://schemas.openxmlformats.org/officeDocument/2006/relationships/hyperlink" Target="http://www.broadinstitute.org/gsea/msigdb/cards/FIGUEROA_AML_METHYLATION_CLUSTER_5_DN.html" TargetMode="External"/><Relationship Id="rId519" Type="http://schemas.openxmlformats.org/officeDocument/2006/relationships/hyperlink" Target="http://www.broadinstitute.org/gsea/msigdb/cards/SASAKI_ADULT_T_CELL_LEUKEMIA.html" TargetMode="External"/><Relationship Id="rId1760" Type="http://schemas.openxmlformats.org/officeDocument/2006/relationships/hyperlink" Target="http://www.broadinstitute.org/gsea/msigdb/cards/GO_REGULATION_OF_REGULATED_SECRETORY_PATHWAY.html" TargetMode="External"/><Relationship Id="rId1761" Type="http://schemas.openxmlformats.org/officeDocument/2006/relationships/hyperlink" Target="http://www.broadinstitute.org/gsea/msigdb/cards/GO_CELL_KILLING.html" TargetMode="External"/><Relationship Id="rId1762" Type="http://schemas.openxmlformats.org/officeDocument/2006/relationships/hyperlink" Target="http://www.broadinstitute.org/gsea/msigdb/cards/GO_REGULATION_OF_JNK_CASCADE.html" TargetMode="External"/><Relationship Id="rId1763" Type="http://schemas.openxmlformats.org/officeDocument/2006/relationships/hyperlink" Target="http://www.broadinstitute.org/gsea/msigdb/cards/GO_POSITIVE_REGULATION_OF_PROTEIN_IMPORT.html" TargetMode="External"/><Relationship Id="rId1764" Type="http://schemas.openxmlformats.org/officeDocument/2006/relationships/hyperlink" Target="http://www.broadinstitute.org/gsea/msigdb/cards/GO_POSITIVE_REGULATION_OF_LYMPHOCYTE_APOPTOTIC_PROCESS.html" TargetMode="External"/><Relationship Id="rId1765" Type="http://schemas.openxmlformats.org/officeDocument/2006/relationships/hyperlink" Target="http://www.broadinstitute.org/gsea/msigdb/cards/GO_REGULATION_OF_LYMPHOCYTE_CHEMOTAXIS.html" TargetMode="External"/><Relationship Id="rId1766" Type="http://schemas.openxmlformats.org/officeDocument/2006/relationships/hyperlink" Target="http://www.broadinstitute.org/gsea/msigdb/cards/GO_RESPONSE_TO_LIPOPROTEIN_PARTICLE.html" TargetMode="External"/><Relationship Id="rId1767" Type="http://schemas.openxmlformats.org/officeDocument/2006/relationships/hyperlink" Target="http://www.broadinstitute.org/gsea/msigdb/cards/GO_ACTIVE_TRANSMEMBRANE_TRANSPORTER_ACTIVITY.html" TargetMode="External"/><Relationship Id="rId1768" Type="http://schemas.openxmlformats.org/officeDocument/2006/relationships/hyperlink" Target="http://www.broadinstitute.org/gsea/msigdb/cards/GO_POSITIVE_REGULATION_OF_NF_KAPPAB_TRANSCRIPTION_FACTOR_ACTIVITY.html" TargetMode="External"/><Relationship Id="rId1769" Type="http://schemas.openxmlformats.org/officeDocument/2006/relationships/hyperlink" Target="http://www.broadinstitute.org/gsea/msigdb/cards/GO_NEGATIVE_REGULATION_OF_VASCULATURE_DEVELOPMENT.html" TargetMode="External"/><Relationship Id="rId2120" Type="http://schemas.openxmlformats.org/officeDocument/2006/relationships/hyperlink" Target="http://www.broadinstitute.org/gsea/msigdb/cards/WNT_UP.V1_UP.html" TargetMode="External"/><Relationship Id="rId2121" Type="http://schemas.openxmlformats.org/officeDocument/2006/relationships/hyperlink" Target="http://www.broadinstitute.org/gsea/msigdb/cards/ESC_J1_UP_EARLY.V1_UP.html" TargetMode="External"/><Relationship Id="rId2122" Type="http://schemas.openxmlformats.org/officeDocument/2006/relationships/hyperlink" Target="http://www.broadinstitute.org/gsea/msigdb/cards/CYCLIN_D1_UP.V1_DN.html" TargetMode="External"/><Relationship Id="rId2123" Type="http://schemas.openxmlformats.org/officeDocument/2006/relationships/hyperlink" Target="http://www.broadinstitute.org/gsea/msigdb/cards/CYCLIN_D1_UP.V1_UP.html" TargetMode="External"/><Relationship Id="rId2124" Type="http://schemas.openxmlformats.org/officeDocument/2006/relationships/hyperlink" Target="http://www.broadinstitute.org/gsea/msigdb/cards/PRC2_SUZ12_UP.V1_UP.html" TargetMode="External"/><Relationship Id="rId2125" Type="http://schemas.openxmlformats.org/officeDocument/2006/relationships/hyperlink" Target="http://www.broadinstitute.org/gsea/msigdb/cards/JNK_DN.V1_DN.html" TargetMode="External"/><Relationship Id="rId2126" Type="http://schemas.openxmlformats.org/officeDocument/2006/relationships/hyperlink" Target="http://www.broadinstitute.org/gsea/msigdb/cards/PTEN_DN.V1_UP.html" TargetMode="External"/><Relationship Id="rId2127" Type="http://schemas.openxmlformats.org/officeDocument/2006/relationships/hyperlink" Target="http://www.broadinstitute.org/gsea/msigdb/cards/CAHOY_ASTROGLIAL.html" TargetMode="External"/><Relationship Id="rId2128" Type="http://schemas.openxmlformats.org/officeDocument/2006/relationships/hyperlink" Target="http://www.broadinstitute.org/gsea/msigdb/cards/NFE2L2.V2.html" TargetMode="External"/><Relationship Id="rId2129" Type="http://schemas.openxmlformats.org/officeDocument/2006/relationships/hyperlink" Target="http://www.broadinstitute.org/gsea/msigdb/cards/PRC2_SUZ12_UP.V1_DN.html" TargetMode="External"/><Relationship Id="rId3950" Type="http://schemas.openxmlformats.org/officeDocument/2006/relationships/hyperlink" Target="http://www.broadinstitute.org/gsea/msigdb/cards/GSE9316_CD4_TCELL_BALBC_VS_TH17_ENRI_CD4_TCELL_SKG_PMA_IONO_STIM_FR4NEG_DN.html" TargetMode="External"/><Relationship Id="rId3951" Type="http://schemas.openxmlformats.org/officeDocument/2006/relationships/hyperlink" Target="http://www.broadinstitute.org/gsea/msigdb/cards/GSE9509_LPS_VS_LPS_AND_IL10_STIM_IL10_KO_MACROPHAGE_30MIN_DN.html" TargetMode="External"/><Relationship Id="rId3952" Type="http://schemas.openxmlformats.org/officeDocument/2006/relationships/hyperlink" Target="http://www.broadinstitute.org/gsea/msigdb/cards/GSE6674_ANTI_IGM_VS_CPG_STIM_BCELL_UP.html" TargetMode="External"/><Relationship Id="rId3953" Type="http://schemas.openxmlformats.org/officeDocument/2006/relationships/hyperlink" Target="http://www.broadinstitute.org/gsea/msigdb/cards/GSE7831_UNSTIM_VS_CPG_STIM_PDC_1H_DN.html" TargetMode="External"/><Relationship Id="rId3954" Type="http://schemas.openxmlformats.org/officeDocument/2006/relationships/hyperlink" Target="http://www.broadinstitute.org/gsea/msigdb/cards/GSE5503_PLN_DC_VS_SPLEEN_DC_ACTIVATED_ALLOGENIC_TCELL_DN.html" TargetMode="External"/><Relationship Id="rId3955" Type="http://schemas.openxmlformats.org/officeDocument/2006/relationships/hyperlink" Target="http://www.broadinstitute.org/gsea/msigdb/cards/GSE8685_IL2_ACT_IL2_STARVED_VS_IL15_ACT_IL2_STARVED_CD4_TCELL_UP.html" TargetMode="External"/><Relationship Id="rId3956" Type="http://schemas.openxmlformats.org/officeDocument/2006/relationships/hyperlink" Target="http://www.broadinstitute.org/gsea/msigdb/cards/GSE7219_WT_VS_NIK_NFKB2_KO_LPS_AND_ANTI_CD40_STIM_DC_UP.html" TargetMode="External"/><Relationship Id="rId3957" Type="http://schemas.openxmlformats.org/officeDocument/2006/relationships/hyperlink" Target="http://www.broadinstitute.org/gsea/msigdb/cards/GSE15330_WT_VS_IKAROS_KO_GRANULOCYTE_MONOCYTE_PROGENITOR_UP.html" TargetMode="External"/><Relationship Id="rId3958" Type="http://schemas.openxmlformats.org/officeDocument/2006/relationships/hyperlink" Target="http://www.broadinstitute.org/gsea/msigdb/cards/GSE15330_HSC_VS_GRANULOCYTE_MONOCYTE_PROGENITOR_DN.html" TargetMode="External"/><Relationship Id="rId3959" Type="http://schemas.openxmlformats.org/officeDocument/2006/relationships/hyperlink" Target="http://www.broadinstitute.org/gsea/msigdb/cards/GSE15330_HSC_VS_PRO_BCELL_UP.html" TargetMode="External"/><Relationship Id="rId1030" Type="http://schemas.openxmlformats.org/officeDocument/2006/relationships/hyperlink" Target="http://www.broadinstitute.org/gsea/msigdb/cards/GO_REGULATION_OF_IMMUNE_SYSTEM_PROCESS.html" TargetMode="External"/><Relationship Id="rId1031" Type="http://schemas.openxmlformats.org/officeDocument/2006/relationships/hyperlink" Target="http://www.broadinstitute.org/gsea/msigdb/cards/GO_REGULATION_OF_IMMUNE_RESPONSE.html" TargetMode="External"/><Relationship Id="rId4310" Type="http://schemas.openxmlformats.org/officeDocument/2006/relationships/hyperlink" Target="http://www.broadinstitute.org/gsea/msigdb/cards/GSE36095_WT_VS_HDAC9_KO_TREG_UP.html" TargetMode="External"/><Relationship Id="rId4311" Type="http://schemas.openxmlformats.org/officeDocument/2006/relationships/hyperlink" Target="http://www.broadinstitute.org/gsea/msigdb/cards/GSE4984_UNTREATED_VS_VEHICLE_CTRL_TREATED_DC_UP.html" TargetMode="External"/><Relationship Id="rId4312" Type="http://schemas.openxmlformats.org/officeDocument/2006/relationships/hyperlink" Target="http://www.broadinstitute.org/gsea/msigdb/cards/GSE7348_UNSTIM_VS_LPS_STIM_MACROPHAGE_UP.html" TargetMode="External"/><Relationship Id="rId4313" Type="http://schemas.openxmlformats.org/officeDocument/2006/relationships/hyperlink" Target="http://www.broadinstitute.org/gsea/msigdb/cards/GSE12484_HEALTHY_VS_PERIDONTITIS_NEUTROPHILS_DN.html" TargetMode="External"/><Relationship Id="rId4314" Type="http://schemas.openxmlformats.org/officeDocument/2006/relationships/hyperlink" Target="http://www.broadinstitute.org/gsea/msigdb/cards/GSE12003_MIR223_KO_VS_WT_BM_PROGENITOR_8D_CULTURE_UP.html" TargetMode="External"/><Relationship Id="rId4315" Type="http://schemas.openxmlformats.org/officeDocument/2006/relationships/hyperlink" Target="http://www.broadinstitute.org/gsea/msigdb/cards/GSE6269_FLU_VS_STAPH_AUREUS_INF_PBMC_UP.html" TargetMode="External"/><Relationship Id="rId4316" Type="http://schemas.openxmlformats.org/officeDocument/2006/relationships/hyperlink" Target="http://www.broadinstitute.org/gsea/msigdb/cards/GSE13887_ACT_CD4_VS_NO_TREATED_CD4_TCELL_UP.html" TargetMode="External"/><Relationship Id="rId4317" Type="http://schemas.openxmlformats.org/officeDocument/2006/relationships/hyperlink" Target="http://www.broadinstitute.org/gsea/msigdb/cards/GSE32901_NAIVE_VS_TH17_NEG_CD4_TCELL_DN.html" TargetMode="External"/><Relationship Id="rId4318" Type="http://schemas.openxmlformats.org/officeDocument/2006/relationships/hyperlink" Target="http://www.broadinstitute.org/gsea/msigdb/cards/GSE37563_WT_VS_CTLA4_KO_CD4_TCELL_D4_POST_IMMUNIZATION_DN.html" TargetMode="External"/><Relationship Id="rId4319" Type="http://schemas.openxmlformats.org/officeDocument/2006/relationships/hyperlink" Target="http://www.broadinstitute.org/gsea/msigdb/cards/GSE5589_WT_VS_IL10_KO_LPS_STIM_MACROPHAGE_180MIN_DN.html" TargetMode="External"/><Relationship Id="rId1032" Type="http://schemas.openxmlformats.org/officeDocument/2006/relationships/hyperlink" Target="http://www.broadinstitute.org/gsea/msigdb/cards/GO_DEFENSE_RESPONSE.html" TargetMode="External"/><Relationship Id="rId1033" Type="http://schemas.openxmlformats.org/officeDocument/2006/relationships/hyperlink" Target="http://www.broadinstitute.org/gsea/msigdb/cards/GO_POSITIVE_REGULATION_OF_IMMUNE_SYSTEM_PROCESS.html" TargetMode="External"/><Relationship Id="rId1034" Type="http://schemas.openxmlformats.org/officeDocument/2006/relationships/hyperlink" Target="http://www.broadinstitute.org/gsea/msigdb/cards/GO_LEUKOCYTE_ACTIVATION.html" TargetMode="External"/><Relationship Id="rId1035" Type="http://schemas.openxmlformats.org/officeDocument/2006/relationships/hyperlink" Target="http://www.broadinstitute.org/gsea/msigdb/cards/GO_CELL_ACTIVATION.html" TargetMode="External"/><Relationship Id="rId1036" Type="http://schemas.openxmlformats.org/officeDocument/2006/relationships/hyperlink" Target="http://www.broadinstitute.org/gsea/msigdb/cards/GO_LYMPHOCYTE_ACTIVATION.html" TargetMode="External"/><Relationship Id="rId1037" Type="http://schemas.openxmlformats.org/officeDocument/2006/relationships/hyperlink" Target="http://www.broadinstitute.org/gsea/msigdb/cards/GO_REGULATION_OF_CELL_ACTIVATION.html" TargetMode="External"/><Relationship Id="rId1038" Type="http://schemas.openxmlformats.org/officeDocument/2006/relationships/hyperlink" Target="http://www.broadinstitute.org/gsea/msigdb/cards/GO_POSITIVE_REGULATION_OF_IMMUNE_RESPONSE.html" TargetMode="External"/><Relationship Id="rId1039" Type="http://schemas.openxmlformats.org/officeDocument/2006/relationships/hyperlink" Target="http://www.broadinstitute.org/gsea/msigdb/cards/GO_POSITIVE_REGULATION_OF_RESPONSE_TO_STIMULUS.html" TargetMode="External"/><Relationship Id="rId2860" Type="http://schemas.openxmlformats.org/officeDocument/2006/relationships/hyperlink" Target="http://www.broadinstitute.org/gsea/msigdb/cards/GSE20366_TREG_VS_NAIVE_CD4_TCELL_HOMEOSTATIC_CONVERSION_DN.html" TargetMode="External"/><Relationship Id="rId2861" Type="http://schemas.openxmlformats.org/officeDocument/2006/relationships/hyperlink" Target="http://www.broadinstitute.org/gsea/msigdb/cards/GSE22886_NAIVE_CD8_TCELL_VS_NKCELL_DN.html" TargetMode="External"/><Relationship Id="rId2862" Type="http://schemas.openxmlformats.org/officeDocument/2006/relationships/hyperlink" Target="http://www.broadinstitute.org/gsea/msigdb/cards/GSE22886_IGM_MEMORY_BCELL_VS_BM_PLASMA_CELL_UP.html" TargetMode="External"/><Relationship Id="rId2863" Type="http://schemas.openxmlformats.org/officeDocument/2006/relationships/hyperlink" Target="http://www.broadinstitute.org/gsea/msigdb/cards/GSE24634_TEFF_VS_TCONV_DAY7_IN_CULTURE_UP.html" TargetMode="External"/><Relationship Id="rId2864" Type="http://schemas.openxmlformats.org/officeDocument/2006/relationships/hyperlink" Target="http://www.broadinstitute.org/gsea/msigdb/cards/GSE26669_CD4_VS_CD8_TCELL_IN_MLR_COSTIM_BLOCK_DN.html" TargetMode="External"/><Relationship Id="rId2865" Type="http://schemas.openxmlformats.org/officeDocument/2006/relationships/hyperlink" Target="http://www.broadinstitute.org/gsea/msigdb/cards/GSE2706_UNSTIM_VS_2H_LPS_DC_DN.html" TargetMode="External"/><Relationship Id="rId2866" Type="http://schemas.openxmlformats.org/officeDocument/2006/relationships/hyperlink" Target="http://www.broadinstitute.org/gsea/msigdb/cards/GSE2706_R848_VS_R848_AND_LPS_2H_STIM_DC_DN.html" TargetMode="External"/><Relationship Id="rId2867" Type="http://schemas.openxmlformats.org/officeDocument/2006/relationships/hyperlink" Target="http://www.broadinstitute.org/gsea/msigdb/cards/GSE29618_BCELL_VS_MONOCYTE_DAY7_FLU_VACCINE_UP.html" TargetMode="External"/><Relationship Id="rId2868" Type="http://schemas.openxmlformats.org/officeDocument/2006/relationships/hyperlink" Target="http://www.broadinstitute.org/gsea/msigdb/cards/GSE29618_BCELL_VS_MDC_DAY7_FLU_VACCINE_UP.html" TargetMode="External"/><Relationship Id="rId2869" Type="http://schemas.openxmlformats.org/officeDocument/2006/relationships/hyperlink" Target="http://www.broadinstitute.org/gsea/msigdb/cards/GSE30083_SP1_VS_SP4_THYMOCYTE_DN.html" TargetMode="External"/><Relationship Id="rId3220" Type="http://schemas.openxmlformats.org/officeDocument/2006/relationships/hyperlink" Target="http://www.broadinstitute.org/gsea/msigdb/cards/GSE40274_LEF1_VS_FOXP3_AND_LEF1_TRANSDUCED_ACTIVATED_CD4_TCELL_DN.html" TargetMode="External"/><Relationship Id="rId3221" Type="http://schemas.openxmlformats.org/officeDocument/2006/relationships/hyperlink" Target="http://www.broadinstitute.org/gsea/msigdb/cards/GSE40666_WT_VS_STAT1_KO_CD8_TCELL_UP.html" TargetMode="External"/><Relationship Id="rId3222" Type="http://schemas.openxmlformats.org/officeDocument/2006/relationships/hyperlink" Target="http://www.broadinstitute.org/gsea/msigdb/cards/GSE11961_MARGINAL_ZONE_BCELL_VS_GERMINAL_CENTER_BCELL_DAY7_DN.html" TargetMode="External"/><Relationship Id="rId3223" Type="http://schemas.openxmlformats.org/officeDocument/2006/relationships/hyperlink" Target="http://www.broadinstitute.org/gsea/msigdb/cards/GSE11961_MARGINAL_ZONE_BCELL_VS_PLASMA_CELL_DAY7_DN.html" TargetMode="External"/><Relationship Id="rId3224" Type="http://schemas.openxmlformats.org/officeDocument/2006/relationships/hyperlink" Target="http://www.broadinstitute.org/gsea/msigdb/cards/GSE11961_UNSTIM_VS_ANTI_IGM_AND_CD40_STIM_6H_FOLLICULAR_BCELL_DN.html" TargetMode="External"/><Relationship Id="rId3225" Type="http://schemas.openxmlformats.org/officeDocument/2006/relationships/hyperlink" Target="http://www.broadinstitute.org/gsea/msigdb/cards/GSE28737_WT_VS_BCL6_HET_MARGINAL_ZONE_BCELL_DN.html" TargetMode="External"/><Relationship Id="rId3226" Type="http://schemas.openxmlformats.org/officeDocument/2006/relationships/hyperlink" Target="http://www.broadinstitute.org/gsea/msigdb/cards/GSE11961_GERMINAL_CENTER_BCELL_DAY7_VS_PLASMA_CELL_DAY7_UP.html" TargetMode="External"/><Relationship Id="rId3227" Type="http://schemas.openxmlformats.org/officeDocument/2006/relationships/hyperlink" Target="http://www.broadinstitute.org/gsea/msigdb/cards/GSE24671_CTRL_VS_BAKIMULC_INFECTED_MOUSE_SPLENOCYTES_UP.html" TargetMode="External"/><Relationship Id="rId3228" Type="http://schemas.openxmlformats.org/officeDocument/2006/relationships/hyperlink" Target="http://www.broadinstitute.org/gsea/msigdb/cards/GSE41867_NAIVE_VS_DAY6_LCMV_EFFECTOR_CD8_TCELL_DN.html" TargetMode="External"/><Relationship Id="rId3229" Type="http://schemas.openxmlformats.org/officeDocument/2006/relationships/hyperlink" Target="http://www.broadinstitute.org/gsea/msigdb/cards/GSE41867_NAIVE_VS_DAY15_LCMV_ARMSTRONG_EFFECTOR_CD8_TCELL_DN.html" TargetMode="External"/><Relationship Id="rId520" Type="http://schemas.openxmlformats.org/officeDocument/2006/relationships/hyperlink" Target="http://www.broadinstitute.org/gsea/msigdb/cards/MIKKELSEN_MEF_ICP_WITH_H3K27ME3.html" TargetMode="External"/><Relationship Id="rId521" Type="http://schemas.openxmlformats.org/officeDocument/2006/relationships/hyperlink" Target="http://www.broadinstitute.org/gsea/msigdb/cards/HAN_SATB1_TARGETS_DN.html" TargetMode="External"/><Relationship Id="rId522" Type="http://schemas.openxmlformats.org/officeDocument/2006/relationships/hyperlink" Target="http://www.broadinstitute.org/gsea/msigdb/cards/XU_HGF_TARGETS_REPRESSED_BY_AKT1_DN.html" TargetMode="External"/><Relationship Id="rId523" Type="http://schemas.openxmlformats.org/officeDocument/2006/relationships/hyperlink" Target="http://www.broadinstitute.org/gsea/msigdb/cards/REACTOME_CD28_CO_STIMULATION.html" TargetMode="External"/><Relationship Id="rId524" Type="http://schemas.openxmlformats.org/officeDocument/2006/relationships/hyperlink" Target="http://www.broadinstitute.org/gsea/msigdb/cards/BIOCARTA_LAIR_PATHWAY.html" TargetMode="External"/><Relationship Id="rId525" Type="http://schemas.openxmlformats.org/officeDocument/2006/relationships/hyperlink" Target="http://www.broadinstitute.org/gsea/msigdb/cards/RUAN_RESPONSE_TO_TNF_TROGLITAZONE_UP.html" TargetMode="External"/><Relationship Id="rId526" Type="http://schemas.openxmlformats.org/officeDocument/2006/relationships/hyperlink" Target="http://www.broadinstitute.org/gsea/msigdb/cards/KLEIN_PRIMARY_EFFUSION_LYMPHOMA_UP.html" TargetMode="External"/><Relationship Id="rId527" Type="http://schemas.openxmlformats.org/officeDocument/2006/relationships/hyperlink" Target="http://www.broadinstitute.org/gsea/msigdb/cards/SEITZ_NEOPLASTIC_TRANSFORMATION_BY_8P_DELETION_UP.html" TargetMode="External"/><Relationship Id="rId528" Type="http://schemas.openxmlformats.org/officeDocument/2006/relationships/hyperlink" Target="http://www.broadinstitute.org/gsea/msigdb/cards/ZHOU_INFLAMMATORY_RESPONSE_LIVE_UP.html" TargetMode="External"/><Relationship Id="rId529" Type="http://schemas.openxmlformats.org/officeDocument/2006/relationships/hyperlink" Target="http://www.broadinstitute.org/gsea/msigdb/cards/DUTTA_APOPTOSIS_VIA_NFKB.html" TargetMode="External"/><Relationship Id="rId1770" Type="http://schemas.openxmlformats.org/officeDocument/2006/relationships/hyperlink" Target="http://www.broadinstitute.org/gsea/msigdb/cards/GO_POSITIVE_REGULATION_OF_TYROSINE_PHOSPHORYLATION_OF_STAT3_PROTEIN.html" TargetMode="External"/><Relationship Id="rId1771" Type="http://schemas.openxmlformats.org/officeDocument/2006/relationships/hyperlink" Target="http://www.broadinstitute.org/gsea/msigdb/cards/GO_RUFFLE_MEMBRANE.html" TargetMode="External"/><Relationship Id="rId1772" Type="http://schemas.openxmlformats.org/officeDocument/2006/relationships/hyperlink" Target="http://www.broadinstitute.org/gsea/msigdb/cards/GO_RESPONSE_TO_REACTIVE_OXYGEN_SPECIES.html" TargetMode="External"/><Relationship Id="rId1773" Type="http://schemas.openxmlformats.org/officeDocument/2006/relationships/hyperlink" Target="http://www.broadinstitute.org/gsea/msigdb/cards/GO_RESPONSE_TO_DRUG.html" TargetMode="External"/><Relationship Id="rId1774" Type="http://schemas.openxmlformats.org/officeDocument/2006/relationships/hyperlink" Target="http://www.broadinstitute.org/gsea/msigdb/cards/GO_POSITIVE_REGULATION_OF_NUCLEOTIDE_METABOLIC_PROCESS.html" TargetMode="External"/><Relationship Id="rId1775" Type="http://schemas.openxmlformats.org/officeDocument/2006/relationships/hyperlink" Target="http://www.broadinstitute.org/gsea/msigdb/cards/GO_INNATE_IMMUNE_RESPONSE_ACTIVATING_CELL_SURFACE_RECEPTOR_SIGNALING_PATHWAY.html" TargetMode="External"/><Relationship Id="rId1776" Type="http://schemas.openxmlformats.org/officeDocument/2006/relationships/hyperlink" Target="http://www.broadinstitute.org/gsea/msigdb/cards/GO_REGULATION_OF_DNA_RECOMBINATION.html" TargetMode="External"/><Relationship Id="rId1777" Type="http://schemas.openxmlformats.org/officeDocument/2006/relationships/hyperlink" Target="http://www.broadinstitute.org/gsea/msigdb/cards/GO_LEADING_EDGE_MEMBRANE.html" TargetMode="External"/><Relationship Id="rId1778" Type="http://schemas.openxmlformats.org/officeDocument/2006/relationships/hyperlink" Target="http://www.broadinstitute.org/gsea/msigdb/cards/GO_NEGATIVE_REGULATION_OF_INNATE_IMMUNE_RESPONSE.html" TargetMode="External"/><Relationship Id="rId1779" Type="http://schemas.openxmlformats.org/officeDocument/2006/relationships/hyperlink" Target="http://www.broadinstitute.org/gsea/msigdb/cards/GO_PLASMA_LIPOPROTEIN_PARTICLE_CLEARANCE.html" TargetMode="External"/><Relationship Id="rId10" Type="http://schemas.openxmlformats.org/officeDocument/2006/relationships/hyperlink" Target="http://www.broadinstitute.org/gsea/msigdb/cards/HALLMARK_APOPTOSIS.html" TargetMode="External"/><Relationship Id="rId11" Type="http://schemas.openxmlformats.org/officeDocument/2006/relationships/hyperlink" Target="http://www.broadinstitute.org/gsea/msigdb/cards/HALLMARK_APICAL_JUNCTION.html" TargetMode="External"/><Relationship Id="rId2130" Type="http://schemas.openxmlformats.org/officeDocument/2006/relationships/hyperlink" Target="http://www.broadinstitute.org/gsea/msigdb/cards/KRAS.DF.V1_DN.html" TargetMode="External"/><Relationship Id="rId2131" Type="http://schemas.openxmlformats.org/officeDocument/2006/relationships/hyperlink" Target="http://www.broadinstitute.org/gsea/msigdb/cards/CRX_DN.V1_UP.html" TargetMode="External"/><Relationship Id="rId2132" Type="http://schemas.openxmlformats.org/officeDocument/2006/relationships/hyperlink" Target="http://www.broadinstitute.org/gsea/msigdb/cards/HINATA_NFKB_IMMU_INF.html" TargetMode="External"/><Relationship Id="rId2133" Type="http://schemas.openxmlformats.org/officeDocument/2006/relationships/hyperlink" Target="http://www.broadinstitute.org/gsea/msigdb/cards/KRAS.PROSTATE_UP.V1_DN.html" TargetMode="External"/><Relationship Id="rId2134" Type="http://schemas.openxmlformats.org/officeDocument/2006/relationships/hyperlink" Target="http://www.broadinstitute.org/gsea/msigdb/cards/ATM_DN.V1_UP.html" TargetMode="External"/><Relationship Id="rId2135" Type="http://schemas.openxmlformats.org/officeDocument/2006/relationships/hyperlink" Target="http://www.broadinstitute.org/gsea/msigdb/cards/GCNP_SHH_UP_LATE.V1_DN.html" TargetMode="External"/><Relationship Id="rId2136" Type="http://schemas.openxmlformats.org/officeDocument/2006/relationships/hyperlink" Target="http://www.broadinstitute.org/gsea/msigdb/cards/ALK_DN.V1_DN.html" TargetMode="External"/><Relationship Id="rId2137" Type="http://schemas.openxmlformats.org/officeDocument/2006/relationships/hyperlink" Target="http://www.broadinstitute.org/gsea/msigdb/cards/KRAS.600.LUNG.BREAST_UP.V1_DN.html" TargetMode="External"/><Relationship Id="rId2138" Type="http://schemas.openxmlformats.org/officeDocument/2006/relationships/hyperlink" Target="http://www.broadinstitute.org/gsea/msigdb/cards/JAK2_DN.V1_UP.html" TargetMode="External"/><Relationship Id="rId2139" Type="http://schemas.openxmlformats.org/officeDocument/2006/relationships/hyperlink" Target="http://www.broadinstitute.org/gsea/msigdb/cards/JNK_DN.V1_UP.html" TargetMode="External"/><Relationship Id="rId12" Type="http://schemas.openxmlformats.org/officeDocument/2006/relationships/hyperlink" Target="http://www.broadinstitute.org/gsea/msigdb/cards/HALLMARK_PI3K_AKT_MTOR_SIGNALING.html" TargetMode="External"/><Relationship Id="rId13" Type="http://schemas.openxmlformats.org/officeDocument/2006/relationships/hyperlink" Target="http://www.broadinstitute.org/gsea/msigdb/cards/chr1q23.html" TargetMode="External"/><Relationship Id="rId14" Type="http://schemas.openxmlformats.org/officeDocument/2006/relationships/hyperlink" Target="http://www.broadinstitute.org/gsea/msigdb/cards/chr19q13.html" TargetMode="External"/><Relationship Id="rId15" Type="http://schemas.openxmlformats.org/officeDocument/2006/relationships/hyperlink" Target="http://www.broadinstitute.org/gsea/msigdb/cards/chr6p21.html" TargetMode="External"/><Relationship Id="rId16" Type="http://schemas.openxmlformats.org/officeDocument/2006/relationships/hyperlink" Target="http://www.broadinstitute.org/gsea/msigdb/cards/chr12p13.html" TargetMode="External"/><Relationship Id="rId17" Type="http://schemas.openxmlformats.org/officeDocument/2006/relationships/hyperlink" Target="http://www.broadinstitute.org/gsea/msigdb/cards/CHEN_METABOLIC_SYNDROM_NETWORK.html" TargetMode="External"/><Relationship Id="rId18" Type="http://schemas.openxmlformats.org/officeDocument/2006/relationships/hyperlink" Target="http://www.broadinstitute.org/gsea/msigdb/cards/SMID_BREAST_CANCER_NORMAL_LIKE_UP.html" TargetMode="External"/><Relationship Id="rId19" Type="http://schemas.openxmlformats.org/officeDocument/2006/relationships/hyperlink" Target="http://www.broadinstitute.org/gsea/msigdb/cards/WALLACE_PROSTATE_CANCER_RACE_UP.html" TargetMode="External"/><Relationship Id="rId3960" Type="http://schemas.openxmlformats.org/officeDocument/2006/relationships/hyperlink" Target="http://www.broadinstitute.org/gsea/msigdb/cards/GSE12392_IFNAR_KO_VS_IFNB_KO_CD8_NEG_SPLEEN_DC_DN.html" TargetMode="External"/><Relationship Id="rId3961" Type="http://schemas.openxmlformats.org/officeDocument/2006/relationships/hyperlink" Target="http://www.broadinstitute.org/gsea/msigdb/cards/GSE17186_NAIVE_VS_CD21LOW_TRANSITIONAL_BCELL_CORD_BLOOD_DN.html" TargetMode="External"/><Relationship Id="rId3962" Type="http://schemas.openxmlformats.org/officeDocument/2006/relationships/hyperlink" Target="http://www.broadinstitute.org/gsea/msigdb/cards/GSE17186_CD21LOW_VS_CD21HIGH_TRANSITIONAL_BCELL_CORD_BLOOD_UP.html" TargetMode="External"/><Relationship Id="rId3963" Type="http://schemas.openxmlformats.org/officeDocument/2006/relationships/hyperlink" Target="http://www.broadinstitute.org/gsea/msigdb/cards/GSE19198_CTRL_VS_IL21_TREATED_TCELL_24H_UP.html" TargetMode="External"/><Relationship Id="rId3964" Type="http://schemas.openxmlformats.org/officeDocument/2006/relationships/hyperlink" Target="http://www.broadinstitute.org/gsea/msigdb/cards/GSE19923_HEB_KO_VS_HEB_AND_E2A_KO_DP_THYMOCYTE_UP.html" TargetMode="External"/><Relationship Id="rId3965" Type="http://schemas.openxmlformats.org/officeDocument/2006/relationships/hyperlink" Target="http://www.broadinstitute.org/gsea/msigdb/cards/GSE18893_TCONV_VS_TREG_2H_CULTURE_DN.html" TargetMode="External"/><Relationship Id="rId3966" Type="http://schemas.openxmlformats.org/officeDocument/2006/relationships/hyperlink" Target="http://www.broadinstitute.org/gsea/msigdb/cards/GSE18893_CTRL_VS_TNF_TREATED_TREG_2H_DN.html" TargetMode="External"/><Relationship Id="rId3967" Type="http://schemas.openxmlformats.org/officeDocument/2006/relationships/hyperlink" Target="http://www.broadinstitute.org/gsea/msigdb/cards/GSE19888_ADENOSINE_A3R_ACT_VS_A3R_ACT_WITH_A3R_INH_PRETREATMENT_IN_MAST_CELL_DN.html" TargetMode="External"/><Relationship Id="rId3968" Type="http://schemas.openxmlformats.org/officeDocument/2006/relationships/hyperlink" Target="http://www.broadinstitute.org/gsea/msigdb/cards/GSE19888_NO_PRETREAT_VS_ADENOSINE_A3R_INHIBITOR_PRETREATED_MAST_CELL_TCELL_MEMBRANES_ACT_DN.html" TargetMode="External"/><Relationship Id="rId3969" Type="http://schemas.openxmlformats.org/officeDocument/2006/relationships/hyperlink" Target="http://www.broadinstitute.org/gsea/msigdb/cards/GSE16450_IMMATURE_VS_MATURE_NEURON_CELL_LINE_6H_IFNA_STIM_UP.html" TargetMode="External"/><Relationship Id="rId1040" Type="http://schemas.openxmlformats.org/officeDocument/2006/relationships/hyperlink" Target="http://www.broadinstitute.org/gsea/msigdb/cards/GO_BIOLOGICAL_ADHESION.html" TargetMode="External"/><Relationship Id="rId1041" Type="http://schemas.openxmlformats.org/officeDocument/2006/relationships/hyperlink" Target="http://www.broadinstitute.org/gsea/msigdb/cards/GO_ADAPTIVE_IMMUNE_RESPONSE.html" TargetMode="External"/><Relationship Id="rId4320" Type="http://schemas.openxmlformats.org/officeDocument/2006/relationships/hyperlink" Target="http://www.broadinstitute.org/gsea/msigdb/cards/GSE13522_WT_VS_IFNG_KO_SKING_T_CRUZI_Y_STRAIN_INF_DN.html" TargetMode="External"/><Relationship Id="rId4321" Type="http://schemas.openxmlformats.org/officeDocument/2006/relationships/hyperlink" Target="http://www.broadinstitute.org/gsea/msigdb/cards/GSE6259_DEC205_POS_DC_VS_CD8_TCELL_DN.html" TargetMode="External"/><Relationship Id="rId4322" Type="http://schemas.openxmlformats.org/officeDocument/2006/relationships/hyperlink" Target="http://www.broadinstitute.org/gsea/msigdb/cards/GSE32986_GMCSF_AND_CURDLAN_LOWDOSE_VS_GMCSF_AND_CURDLAN_HIGHDOSE_STIM_DC_DN.html" TargetMode="External"/><Relationship Id="rId4323" Type="http://schemas.openxmlformats.org/officeDocument/2006/relationships/hyperlink" Target="http://www.broadinstitute.org/gsea/msigdb/cards/GSE13547_WT_VS_ZFX_KO_BCELL_ANTI_IGM_STIM_2H_DN.html" TargetMode="External"/><Relationship Id="rId4324" Type="http://schemas.openxmlformats.org/officeDocument/2006/relationships/hyperlink" Target="http://www.broadinstitute.org/gsea/msigdb/cards/GSE36891_UNSTIM_VS_PAM_TLR2_STIM_PERITONEAL_MACROPHAGE_DN.html" TargetMode="External"/><Relationship Id="rId4325" Type="http://schemas.openxmlformats.org/officeDocument/2006/relationships/hyperlink" Target="http://www.broadinstitute.org/gsea/msigdb/cards/GSE6259_FLT3L_INDUCED_VS_WT_SPLENIC_DC_33D1_POS_DN.html" TargetMode="External"/><Relationship Id="rId4326" Type="http://schemas.openxmlformats.org/officeDocument/2006/relationships/hyperlink" Target="http://www.broadinstitute.org/gsea/msigdb/cards/GSE37533_UNTREATED_VS_PIOGLIZATONE_TREATED_CD4_TCELL_FOXP3_TRASDUCED_CD4_TCELL_DN.html" TargetMode="External"/><Relationship Id="rId4327" Type="http://schemas.openxmlformats.org/officeDocument/2006/relationships/hyperlink" Target="http://www.broadinstitute.org/gsea/msigdb/cards/GSE43863_NAIVE_VS_TH1_EFF_CD4_TCELL_D6_LCMV_DN.html" TargetMode="External"/><Relationship Id="rId4328" Type="http://schemas.openxmlformats.org/officeDocument/2006/relationships/hyperlink" Target="http://www.broadinstitute.org/gsea/msigdb/cards/GSE6674_UNSTIM_VS_ANTI_IGM_STIM_BCELL_UP.html" TargetMode="External"/><Relationship Id="rId4329" Type="http://schemas.openxmlformats.org/officeDocument/2006/relationships/hyperlink" Target="http://www.broadinstitute.org/gsea/msigdb/cards/GSE21033_3H_VS_12H_POLYIC_STIM_DC_UP.html" TargetMode="External"/><Relationship Id="rId1042" Type="http://schemas.openxmlformats.org/officeDocument/2006/relationships/hyperlink" Target="http://www.broadinstitute.org/gsea/msigdb/cards/GO_INTRINSIC_COMPONENT_OF_PLASMA_MEMBRANE.html" TargetMode="External"/><Relationship Id="rId1043" Type="http://schemas.openxmlformats.org/officeDocument/2006/relationships/hyperlink" Target="http://www.broadinstitute.org/gsea/msigdb/cards/GO_LEUKOCYTE_CELL_CELL_ADHESION.html" TargetMode="External"/><Relationship Id="rId1044" Type="http://schemas.openxmlformats.org/officeDocument/2006/relationships/hyperlink" Target="http://www.broadinstitute.org/gsea/msigdb/cards/GO_POSITIVE_REGULATION_OF_CELL_ACTIVATION.html" TargetMode="External"/><Relationship Id="rId1045" Type="http://schemas.openxmlformats.org/officeDocument/2006/relationships/hyperlink" Target="http://www.broadinstitute.org/gsea/msigdb/cards/GO_RECEPTOR_ACTIVITY.html" TargetMode="External"/><Relationship Id="rId1046" Type="http://schemas.openxmlformats.org/officeDocument/2006/relationships/hyperlink" Target="http://www.broadinstitute.org/gsea/msigdb/cards/GO_REGULATION_OF_HOMOTYPIC_CELL_CELL_ADHESION.html" TargetMode="External"/><Relationship Id="rId1047" Type="http://schemas.openxmlformats.org/officeDocument/2006/relationships/hyperlink" Target="http://www.broadinstitute.org/gsea/msigdb/cards/GO_INNATE_IMMUNE_RESPONSE.html" TargetMode="External"/><Relationship Id="rId1048" Type="http://schemas.openxmlformats.org/officeDocument/2006/relationships/hyperlink" Target="http://www.broadinstitute.org/gsea/msigdb/cards/GO_REGULATION_OF_CELL_CELL_ADHESION.html" TargetMode="External"/><Relationship Id="rId1049" Type="http://schemas.openxmlformats.org/officeDocument/2006/relationships/hyperlink" Target="http://www.broadinstitute.org/gsea/msigdb/cards/GO_REGULATION_OF_CELL_ADHESION.html" TargetMode="External"/><Relationship Id="rId2870" Type="http://schemas.openxmlformats.org/officeDocument/2006/relationships/hyperlink" Target="http://www.broadinstitute.org/gsea/msigdb/cards/GSE31082_DN_VS_CD8_SP_THYMOCYTE_DN.html" TargetMode="External"/><Relationship Id="rId2871" Type="http://schemas.openxmlformats.org/officeDocument/2006/relationships/hyperlink" Target="http://www.broadinstitute.org/gsea/msigdb/cards/GSE31082_DP_VS_CD4_SP_THYMOCYTE_DN.html" TargetMode="External"/><Relationship Id="rId2872" Type="http://schemas.openxmlformats.org/officeDocument/2006/relationships/hyperlink" Target="http://www.broadinstitute.org/gsea/msigdb/cards/GSE3337_CTRL_VS_4H_IFNG_IN_CD8POS_DC_UP.html" TargetMode="External"/><Relationship Id="rId2873" Type="http://schemas.openxmlformats.org/officeDocument/2006/relationships/hyperlink" Target="http://www.broadinstitute.org/gsea/msigdb/cards/GSE360_CTRL_VS_L_DONOVANI_DC_UP.html" TargetMode="External"/><Relationship Id="rId2874" Type="http://schemas.openxmlformats.org/officeDocument/2006/relationships/hyperlink" Target="http://www.broadinstitute.org/gsea/msigdb/cards/GSE360_CTRL_VS_T_GONDII_MAC_UP.html" TargetMode="External"/><Relationship Id="rId2875" Type="http://schemas.openxmlformats.org/officeDocument/2006/relationships/hyperlink" Target="http://www.broadinstitute.org/gsea/msigdb/cards/GSE360_DC_VS_MAC_B_MALAYI_HIGH_DOSE_DN.html" TargetMode="External"/><Relationship Id="rId2876" Type="http://schemas.openxmlformats.org/officeDocument/2006/relationships/hyperlink" Target="http://www.broadinstitute.org/gsea/msigdb/cards/GSE37416_0H_VS_48H_F_TULARENSIS_LVS_NEUTROPHIL_UP.html" TargetMode="External"/><Relationship Id="rId2877" Type="http://schemas.openxmlformats.org/officeDocument/2006/relationships/hyperlink" Target="http://www.broadinstitute.org/gsea/msigdb/cards/GSE37416_12H_VS_48H_F_TULARENSIS_LVS_NEUTROPHIL_UP.html" TargetMode="External"/><Relationship Id="rId2878" Type="http://schemas.openxmlformats.org/officeDocument/2006/relationships/hyperlink" Target="http://www.broadinstitute.org/gsea/msigdb/cards/GSE3982_MAST_CELL_VS_TH1_DN.html" TargetMode="External"/><Relationship Id="rId2879" Type="http://schemas.openxmlformats.org/officeDocument/2006/relationships/hyperlink" Target="http://www.broadinstitute.org/gsea/msigdb/cards/GSE3982_NEUTROPHIL_VS_EFF_MEMORY_CD4_TCELL_UP.html" TargetMode="External"/><Relationship Id="rId3230" Type="http://schemas.openxmlformats.org/officeDocument/2006/relationships/hyperlink" Target="http://www.broadinstitute.org/gsea/msigdb/cards/GSE42021_TCONV_PLN_VS_CD24HI_TCONV_THYMUS_UP.html" TargetMode="External"/><Relationship Id="rId3231" Type="http://schemas.openxmlformats.org/officeDocument/2006/relationships/hyperlink" Target="http://www.broadinstitute.org/gsea/msigdb/cards/GSE43955_TH0_VS_TGFB_IL6_TH17_ACT_CD4_TCELL_30H_UP.html" TargetMode="External"/><Relationship Id="rId3232" Type="http://schemas.openxmlformats.org/officeDocument/2006/relationships/hyperlink" Target="http://www.broadinstitute.org/gsea/msigdb/cards/GSE43955_TGFB_IL6_VS_TGFB_IL6_IL23_TH17_ACT_CD4_TCELL_60H_DN.html" TargetMode="External"/><Relationship Id="rId3233" Type="http://schemas.openxmlformats.org/officeDocument/2006/relationships/hyperlink" Target="http://www.broadinstitute.org/gsea/msigdb/cards/GSE43955_1H_VS_20H_ACT_CD4_TCELL_WITH_TGFB_IL6_DN.html" TargetMode="External"/><Relationship Id="rId3234" Type="http://schemas.openxmlformats.org/officeDocument/2006/relationships/hyperlink" Target="http://www.broadinstitute.org/gsea/msigdb/cards/GSE44732_UNSTIM_VS_IL27_STIM_IMATURE_DC_DN.html" TargetMode="External"/><Relationship Id="rId3235" Type="http://schemas.openxmlformats.org/officeDocument/2006/relationships/hyperlink" Target="http://www.broadinstitute.org/gsea/msigdb/cards/GSE46242_CTRL_VS_EGR2_DELETED_ANERGIC_TH1_CD4_TCELL_UP.html" TargetMode="External"/><Relationship Id="rId3236" Type="http://schemas.openxmlformats.org/officeDocument/2006/relationships/hyperlink" Target="http://www.broadinstitute.org/gsea/msigdb/cards/GSE46242_TH1_VS_ANERGIC_TH1_CD4_TCELL_UP.html" TargetMode="External"/><Relationship Id="rId3237" Type="http://schemas.openxmlformats.org/officeDocument/2006/relationships/hyperlink" Target="http://www.broadinstitute.org/gsea/msigdb/cards/GSE43863_DAY6_EFF_VS_DAY150_MEM_TFH_CD4_TCELL_DN.html" TargetMode="External"/><Relationship Id="rId3238" Type="http://schemas.openxmlformats.org/officeDocument/2006/relationships/hyperlink" Target="http://www.broadinstitute.org/gsea/msigdb/cards/GSE43863_TH1_VS_LY6C_INT_CXCR5POS_EFFECTOR_CD4_TCELL_DN.html" TargetMode="External"/><Relationship Id="rId3239" Type="http://schemas.openxmlformats.org/officeDocument/2006/relationships/hyperlink" Target="http://www.broadinstitute.org/gsea/msigdb/cards/GSE44649_WT_VS_MIR155_KO_ACTIVATED_CD8_TCELL_UP.html" TargetMode="External"/><Relationship Id="rId530" Type="http://schemas.openxmlformats.org/officeDocument/2006/relationships/hyperlink" Target="http://www.broadinstitute.org/gsea/msigdb/cards/ZHAN_LATE_DIFFERENTIATION_GENES_UP.html" TargetMode="External"/><Relationship Id="rId531" Type="http://schemas.openxmlformats.org/officeDocument/2006/relationships/hyperlink" Target="http://www.broadinstitute.org/gsea/msigdb/cards/CAIRO_HEPATOBLASTOMA_CLASSES_DN.html" TargetMode="External"/><Relationship Id="rId532" Type="http://schemas.openxmlformats.org/officeDocument/2006/relationships/hyperlink" Target="http://www.broadinstitute.org/gsea/msigdb/cards/PLASARI_TGFB1_SIGNALING_VIA_NFIC_1HR_UP.html" TargetMode="External"/><Relationship Id="rId533" Type="http://schemas.openxmlformats.org/officeDocument/2006/relationships/hyperlink" Target="http://www.broadinstitute.org/gsea/msigdb/cards/REACTOME_TRANSMEMBRANE_TRANSPORT_OF_SMALL_MOLECULES.html" TargetMode="External"/><Relationship Id="rId534" Type="http://schemas.openxmlformats.org/officeDocument/2006/relationships/hyperlink" Target="http://www.broadinstitute.org/gsea/msigdb/cards/GAVIN_FOXP3_TARGETS_CLUSTER_T7.html" TargetMode="External"/><Relationship Id="rId535" Type="http://schemas.openxmlformats.org/officeDocument/2006/relationships/hyperlink" Target="http://www.broadinstitute.org/gsea/msigdb/cards/MIKKELSEN_MCV6_ICP_WITH_H3K27ME3.html" TargetMode="External"/><Relationship Id="rId536" Type="http://schemas.openxmlformats.org/officeDocument/2006/relationships/hyperlink" Target="http://www.broadinstitute.org/gsea/msigdb/cards/MOREIRA_RESPONSE_TO_TSA_DN.html" TargetMode="External"/><Relationship Id="rId537" Type="http://schemas.openxmlformats.org/officeDocument/2006/relationships/hyperlink" Target="http://www.broadinstitute.org/gsea/msigdb/cards/TUOMISTO_TUMOR_SUPPRESSION_BY_COL13A1_UP.html" TargetMode="External"/><Relationship Id="rId538" Type="http://schemas.openxmlformats.org/officeDocument/2006/relationships/hyperlink" Target="http://www.broadinstitute.org/gsea/msigdb/cards/ROSS_AML_WITH_AML1_ETO_FUSION.html" TargetMode="External"/><Relationship Id="rId539" Type="http://schemas.openxmlformats.org/officeDocument/2006/relationships/hyperlink" Target="http://www.broadinstitute.org/gsea/msigdb/cards/TONKS_TARGETS_OF_RUNX1_RUNX1T1_FUSION_SUSTAINED_IN_GRANULOCYTE_DN.html" TargetMode="External"/><Relationship Id="rId1780" Type="http://schemas.openxmlformats.org/officeDocument/2006/relationships/hyperlink" Target="http://www.broadinstitute.org/gsea/msigdb/cards/GO_RUFFLE_ORGANIZATION.html" TargetMode="External"/><Relationship Id="rId1781" Type="http://schemas.openxmlformats.org/officeDocument/2006/relationships/hyperlink" Target="http://www.broadinstitute.org/gsea/msigdb/cards/GO_NEGATIVE_REGULATION_OF_NEURON_APOPTOTIC_PROCESS.html" TargetMode="External"/><Relationship Id="rId1782" Type="http://schemas.openxmlformats.org/officeDocument/2006/relationships/hyperlink" Target="http://www.broadinstitute.org/gsea/msigdb/cards/GO_PROTEIN_COMPLEX_BIOGENESIS.html" TargetMode="External"/><Relationship Id="rId1783" Type="http://schemas.openxmlformats.org/officeDocument/2006/relationships/hyperlink" Target="http://www.broadinstitute.org/gsea/msigdb/cards/GO_NEGATIVE_REGULATION_OF_SEQUENCE_SPECIFIC_DNA_BINDING_TRANSCRIPTION_FACTOR_ACTIVITY.html" TargetMode="External"/><Relationship Id="rId1784" Type="http://schemas.openxmlformats.org/officeDocument/2006/relationships/hyperlink" Target="http://www.broadinstitute.org/gsea/msigdb/cards/GO_REGULATION_OF_LIPASE_ACTIVITY.html" TargetMode="External"/><Relationship Id="rId1785" Type="http://schemas.openxmlformats.org/officeDocument/2006/relationships/hyperlink" Target="http://www.broadinstitute.org/gsea/msigdb/cards/GO_REGULATION_OF_CELLULAR_PROTEIN_LOCALIZATION.html" TargetMode="External"/><Relationship Id="rId1786" Type="http://schemas.openxmlformats.org/officeDocument/2006/relationships/hyperlink" Target="http://www.broadinstitute.org/gsea/msigdb/cards/GO_POSITIVE_REGULATION_OF_TRANSCRIPTION_FROM_RNA_POLYMERASE_II_PROMOTER.html" TargetMode="External"/><Relationship Id="rId1787" Type="http://schemas.openxmlformats.org/officeDocument/2006/relationships/hyperlink" Target="http://www.broadinstitute.org/gsea/msigdb/cards/GO_POSITIVE_REGULATION_OF_SEQUENCE_SPECIFIC_DNA_BINDING_TRANSCRIPTION_FACTOR_ACTIVITY.html" TargetMode="External"/><Relationship Id="rId1788" Type="http://schemas.openxmlformats.org/officeDocument/2006/relationships/hyperlink" Target="http://www.broadinstitute.org/gsea/msigdb/cards/GO_REGULATION_OF_ORGANELLE_ORGANIZATION.html" TargetMode="External"/><Relationship Id="rId1789" Type="http://schemas.openxmlformats.org/officeDocument/2006/relationships/hyperlink" Target="http://www.broadinstitute.org/gsea/msigdb/cards/GO_PLATELET_AGGREGATION.html" TargetMode="External"/><Relationship Id="rId20" Type="http://schemas.openxmlformats.org/officeDocument/2006/relationships/hyperlink" Target="http://www.broadinstitute.org/gsea/msigdb/cards/POOLA_INVASIVE_BREAST_CANCER_UP.html" TargetMode="External"/><Relationship Id="rId21" Type="http://schemas.openxmlformats.org/officeDocument/2006/relationships/hyperlink" Target="http://www.broadinstitute.org/gsea/msigdb/cards/MCLACHLAN_DENTAL_CARIES_UP.html" TargetMode="External"/><Relationship Id="rId2140" Type="http://schemas.openxmlformats.org/officeDocument/2006/relationships/hyperlink" Target="http://www.broadinstitute.org/gsea/msigdb/cards/DCA_UP.V1_DN.html" TargetMode="External"/><Relationship Id="rId2141" Type="http://schemas.openxmlformats.org/officeDocument/2006/relationships/hyperlink" Target="http://www.broadinstitute.org/gsea/msigdb/cards/NOTCH_DN.V1_UP.html" TargetMode="External"/><Relationship Id="rId2142" Type="http://schemas.openxmlformats.org/officeDocument/2006/relationships/hyperlink" Target="http://www.broadinstitute.org/gsea/msigdb/cards/PIGF_UP.V1_DN.html" TargetMode="External"/><Relationship Id="rId2143" Type="http://schemas.openxmlformats.org/officeDocument/2006/relationships/hyperlink" Target="http://www.broadinstitute.org/gsea/msigdb/cards/HOXA9_DN.V1_DN.html" TargetMode="External"/><Relationship Id="rId2144" Type="http://schemas.openxmlformats.org/officeDocument/2006/relationships/hyperlink" Target="http://www.broadinstitute.org/gsea/msigdb/cards/CAMP_UP.V1_DN.html" TargetMode="External"/><Relationship Id="rId2145" Type="http://schemas.openxmlformats.org/officeDocument/2006/relationships/hyperlink" Target="http://www.broadinstitute.org/gsea/msigdb/cards/KRAS.50_UP.V1_UP.html" TargetMode="External"/><Relationship Id="rId2146" Type="http://schemas.openxmlformats.org/officeDocument/2006/relationships/hyperlink" Target="http://www.broadinstitute.org/gsea/msigdb/cards/ESC_V6.5_UP_EARLY.V1_DN.html" TargetMode="External"/><Relationship Id="rId2147" Type="http://schemas.openxmlformats.org/officeDocument/2006/relationships/hyperlink" Target="http://www.broadinstitute.org/gsea/msigdb/cards/PTEN_DN.V2_UP.html" TargetMode="External"/><Relationship Id="rId2148" Type="http://schemas.openxmlformats.org/officeDocument/2006/relationships/hyperlink" Target="http://www.broadinstitute.org/gsea/msigdb/cards/KRAS.300_UP.V1_DN.html" TargetMode="External"/><Relationship Id="rId2149" Type="http://schemas.openxmlformats.org/officeDocument/2006/relationships/hyperlink" Target="http://www.broadinstitute.org/gsea/msigdb/cards/KRAS.300_UP.V1_UP.html" TargetMode="External"/><Relationship Id="rId22" Type="http://schemas.openxmlformats.org/officeDocument/2006/relationships/hyperlink" Target="http://www.broadinstitute.org/gsea/msigdb/cards/JAATINEN_HEMATOPOIETIC_STEM_CELL_DN.html" TargetMode="External"/><Relationship Id="rId23" Type="http://schemas.openxmlformats.org/officeDocument/2006/relationships/hyperlink" Target="http://www.broadinstitute.org/gsea/msigdb/cards/REACTOME_IMMUNE_SYSTEM.html" TargetMode="External"/><Relationship Id="rId24" Type="http://schemas.openxmlformats.org/officeDocument/2006/relationships/hyperlink" Target="http://www.broadinstitute.org/gsea/msigdb/cards/RODWELL_AGING_KIDNEY_UP.html" TargetMode="External"/><Relationship Id="rId25" Type="http://schemas.openxmlformats.org/officeDocument/2006/relationships/hyperlink" Target="http://www.broadinstitute.org/gsea/msigdb/cards/LEE_DIFFERENTIATING_T_LYMPHOCYTE.html" TargetMode="External"/><Relationship Id="rId26" Type="http://schemas.openxmlformats.org/officeDocument/2006/relationships/hyperlink" Target="http://www.broadinstitute.org/gsea/msigdb/cards/LINDGREN_BLADDER_CANCER_CLUSTER_2B.html" TargetMode="External"/><Relationship Id="rId27" Type="http://schemas.openxmlformats.org/officeDocument/2006/relationships/hyperlink" Target="http://www.broadinstitute.org/gsea/msigdb/cards/SCHUETZ_BREAST_CANCER_DUCTAL_INVASIVE_UP.html" TargetMode="External"/><Relationship Id="rId28" Type="http://schemas.openxmlformats.org/officeDocument/2006/relationships/hyperlink" Target="http://www.broadinstitute.org/gsea/msigdb/cards/RUTELLA_RESPONSE_TO_HGF_VS_CSF2RB_AND_IL4_UP.html" TargetMode="External"/><Relationship Id="rId29" Type="http://schemas.openxmlformats.org/officeDocument/2006/relationships/hyperlink" Target="http://www.broadinstitute.org/gsea/msigdb/cards/FULCHER_INFLAMMATORY_RESPONSE_LECTIN_VS_LPS_DN.html" TargetMode="External"/><Relationship Id="rId3970" Type="http://schemas.openxmlformats.org/officeDocument/2006/relationships/hyperlink" Target="http://www.broadinstitute.org/gsea/msigdb/cards/GSE16450_IMMATURE_VS_MATURE_NEURON_CELL_LINE_12H_IFNA_STIM_DN.html" TargetMode="External"/><Relationship Id="rId3971" Type="http://schemas.openxmlformats.org/officeDocument/2006/relationships/hyperlink" Target="http://www.broadinstitute.org/gsea/msigdb/cards/GSE21670_TGFB_VS_TGFB_AND_IL6_TREATED_STAT3_KO_CD4_TCELL_UP.html" TargetMode="External"/><Relationship Id="rId3972" Type="http://schemas.openxmlformats.org/officeDocument/2006/relationships/hyperlink" Target="http://www.broadinstitute.org/gsea/msigdb/cards/GSE21670_STAT3_KO_VS_WT_CD4_TCELL_TGFB_IL6_TREATED_UP.html" TargetMode="External"/><Relationship Id="rId3973" Type="http://schemas.openxmlformats.org/officeDocument/2006/relationships/hyperlink" Target="http://www.broadinstitute.org/gsea/msigdb/cards/GSE21546_SAP1A_KO_VS_SAP1A_KO_AND_ELK1_KO_DP_THYMOCYTES_DN.html" TargetMode="External"/><Relationship Id="rId3974" Type="http://schemas.openxmlformats.org/officeDocument/2006/relationships/hyperlink" Target="http://www.broadinstitute.org/gsea/msigdb/cards/GSE21927_SPLEEN_C57BL6_VS_EL4_TUMOR_BALBC_MONOCYTES_UP.html" TargetMode="External"/><Relationship Id="rId3975" Type="http://schemas.openxmlformats.org/officeDocument/2006/relationships/hyperlink" Target="http://www.broadinstitute.org/gsea/msigdb/cards/GSE21360_NAIVE_VS_TERTIARY_MEMORY_CD8_TCELL_DN.html" TargetMode="External"/><Relationship Id="rId3976" Type="http://schemas.openxmlformats.org/officeDocument/2006/relationships/hyperlink" Target="http://www.broadinstitute.org/gsea/msigdb/cards/GSE23308_CTRL_VS_CORTICOSTERONE_TREATED_MACROPHAGE_MINERALCORTICOID_REC_KO_DN.html" TargetMode="External"/><Relationship Id="rId3977" Type="http://schemas.openxmlformats.org/officeDocument/2006/relationships/hyperlink" Target="http://www.broadinstitute.org/gsea/msigdb/cards/GSE22935_UNSTIM_VS_24H_MBOVIS_BCG_STIM_MACROPHAGE_UP.html" TargetMode="External"/><Relationship Id="rId3978" Type="http://schemas.openxmlformats.org/officeDocument/2006/relationships/hyperlink" Target="http://www.broadinstitute.org/gsea/msigdb/cards/GSE22935_UNSTIM_VS_24H_MBOVIS_BCG_STIM_MYD88_KO_MACROPHAGE_DN.html" TargetMode="External"/><Relationship Id="rId3979" Type="http://schemas.openxmlformats.org/officeDocument/2006/relationships/hyperlink" Target="http://www.broadinstitute.org/gsea/msigdb/cards/GSE22935_24H_VS_48H_MBOVIS_BCG_STIM_MACROPHAGE_UP.html" TargetMode="External"/><Relationship Id="rId1050" Type="http://schemas.openxmlformats.org/officeDocument/2006/relationships/hyperlink" Target="http://www.broadinstitute.org/gsea/msigdb/cards/GO_REGULATION_OF_CYTOKINE_PRODUCTION.html" TargetMode="External"/><Relationship Id="rId1051" Type="http://schemas.openxmlformats.org/officeDocument/2006/relationships/hyperlink" Target="http://www.broadinstitute.org/gsea/msigdb/cards/GO_INFLAMMATORY_RESPONSE.html" TargetMode="External"/><Relationship Id="rId4330" Type="http://schemas.openxmlformats.org/officeDocument/2006/relationships/hyperlink" Target="http://www.broadinstitute.org/gsea/msigdb/cards/GSE6269_E_COLI_VS_STAPH_AUREUS_INF_PBMC_UP.html" TargetMode="External"/><Relationship Id="rId4331" Type="http://schemas.openxmlformats.org/officeDocument/2006/relationships/hyperlink" Target="http://www.broadinstitute.org/gsea/msigdb/cards/GSE9601_UNTREATED_VS_NFKB_INHIBITOR_TREATED_HCMV_INF_MONOCYTE_UP.html" TargetMode="External"/><Relationship Id="rId4332" Type="http://schemas.openxmlformats.org/officeDocument/2006/relationships/hyperlink" Target="http://www.broadinstitute.org/gsea/msigdb/cards/GSE40274_CTRL_VS_IRF4_TRANSDUCED_ACTIVATED_CD4_TCELL_DN.html" TargetMode="External"/><Relationship Id="rId4333" Type="http://schemas.openxmlformats.org/officeDocument/2006/relationships/hyperlink" Target="http://www.broadinstitute.org/gsea/msigdb/cards/GSE21927_SPLEEN_VS_C26GM_TUMOR_MONOCYTE_BALBC_UP.html" TargetMode="External"/><Relationship Id="rId4334" Type="http://schemas.openxmlformats.org/officeDocument/2006/relationships/hyperlink" Target="http://www.broadinstitute.org/gsea/msigdb/cards/GSE21063_WT_VS_NFATC1_KO_16H_ANTI_IGM_STIM_BCELL_DN.html" TargetMode="External"/><Relationship Id="rId4335" Type="http://schemas.openxmlformats.org/officeDocument/2006/relationships/hyperlink" Target="http://www.broadinstitute.org/gsea/msigdb/cards/GSE14413_UNSTIM_VS_IFNB_STIM_L929_CELLS_UP.html" TargetMode="External"/><Relationship Id="rId4336" Type="http://schemas.openxmlformats.org/officeDocument/2006/relationships/hyperlink" Target="http://www.broadinstitute.org/gsea/msigdb/cards/GSE1112_HY_CD8AB_VS_HY_CD8AA_THYMOCYTE_RTOC_CULTURE_DN.html" TargetMode="External"/><Relationship Id="rId4337" Type="http://schemas.openxmlformats.org/officeDocument/2006/relationships/hyperlink" Target="http://www.broadinstitute.org/gsea/msigdb/cards/GSE45365_CD8A_DC_VS_CD11B_DC_IFNAR_KO_MCMV_INFECTION_DN.html" TargetMode="External"/><Relationship Id="rId4338" Type="http://schemas.openxmlformats.org/officeDocument/2006/relationships/hyperlink" Target="http://www.broadinstitute.org/gsea/msigdb/cards/GSE34217_MIR17_92_OVEREXPRESS_VS_WT_ACT_CD8_TCELL_UP.html" TargetMode="External"/><Relationship Id="rId4339" Type="http://schemas.openxmlformats.org/officeDocument/2006/relationships/hyperlink" Target="http://www.broadinstitute.org/gsea/msigdb/cards/GSE10239_NAIVE_VS_KLRG1INT_EFF_CD8_TCELL_DN.html" TargetMode="External"/><Relationship Id="rId1052" Type="http://schemas.openxmlformats.org/officeDocument/2006/relationships/hyperlink" Target="http://www.broadinstitute.org/gsea/msigdb/cards/GO_SINGLE_ORGANISM_CELL_ADHESION.html" TargetMode="External"/><Relationship Id="rId1053" Type="http://schemas.openxmlformats.org/officeDocument/2006/relationships/hyperlink" Target="http://www.broadinstitute.org/gsea/msigdb/cards/GO_POSITIVE_REGULATION_OF_CELL_CELL_ADHESION.html" TargetMode="External"/><Relationship Id="rId1054" Type="http://schemas.openxmlformats.org/officeDocument/2006/relationships/hyperlink" Target="http://www.broadinstitute.org/gsea/msigdb/cards/GO_IMMUNE_EFFECTOR_PROCESS.html" TargetMode="External"/><Relationship Id="rId1055" Type="http://schemas.openxmlformats.org/officeDocument/2006/relationships/hyperlink" Target="http://www.broadinstitute.org/gsea/msigdb/cards/GO_SIDE_OF_MEMBRANE.html" TargetMode="External"/><Relationship Id="rId1056" Type="http://schemas.openxmlformats.org/officeDocument/2006/relationships/hyperlink" Target="http://www.broadinstitute.org/gsea/msigdb/cards/GO_SIGNAL_TRANSDUCER_ACTIVITY.html" TargetMode="External"/><Relationship Id="rId1057" Type="http://schemas.openxmlformats.org/officeDocument/2006/relationships/hyperlink" Target="http://www.broadinstitute.org/gsea/msigdb/cards/GO_POSITIVE_REGULATION_OF_CELL_ADHESION.html" TargetMode="External"/><Relationship Id="rId1058" Type="http://schemas.openxmlformats.org/officeDocument/2006/relationships/hyperlink" Target="http://www.broadinstitute.org/gsea/msigdb/cards/GO_RESPONSE_TO_CYTOKINE.html" TargetMode="External"/><Relationship Id="rId1059" Type="http://schemas.openxmlformats.org/officeDocument/2006/relationships/hyperlink" Target="http://www.broadinstitute.org/gsea/msigdb/cards/GO_CELL_SURFACE.html" TargetMode="External"/><Relationship Id="rId2880" Type="http://schemas.openxmlformats.org/officeDocument/2006/relationships/hyperlink" Target="http://www.broadinstitute.org/gsea/msigdb/cards/GSE3982_BASOPHIL_VS_CENT_MEMORY_CD4_TCELL_UP.html" TargetMode="External"/><Relationship Id="rId2881" Type="http://schemas.openxmlformats.org/officeDocument/2006/relationships/hyperlink" Target="http://www.broadinstitute.org/gsea/msigdb/cards/GSE3982_BASOPHIL_VS_TH2_UP.html" TargetMode="External"/><Relationship Id="rId2882" Type="http://schemas.openxmlformats.org/officeDocument/2006/relationships/hyperlink" Target="http://www.broadinstitute.org/gsea/msigdb/cards/GSE3982_EFF_MEMORY_VS_CENT_MEMORY_CD4_TCELL_UP.html" TargetMode="External"/><Relationship Id="rId2883" Type="http://schemas.openxmlformats.org/officeDocument/2006/relationships/hyperlink" Target="http://www.broadinstitute.org/gsea/msigdb/cards/GSE39820_CTRL_VS_IL1B_IL6_IL23A_CD4_TCELL_DN.html" TargetMode="External"/><Relationship Id="rId2884" Type="http://schemas.openxmlformats.org/officeDocument/2006/relationships/hyperlink" Target="http://www.broadinstitute.org/gsea/msigdb/cards/GSE7460_CTRL_VS_TGFB_TREATED_ACT_TCONV_UP.html" TargetMode="External"/><Relationship Id="rId2885" Type="http://schemas.openxmlformats.org/officeDocument/2006/relationships/hyperlink" Target="http://www.broadinstitute.org/gsea/msigdb/cards/GSE7852_TREG_VS_TCONV_FAT_DN.html" TargetMode="External"/><Relationship Id="rId2886" Type="http://schemas.openxmlformats.org/officeDocument/2006/relationships/hyperlink" Target="http://www.broadinstitute.org/gsea/msigdb/cards/GSE8515_IL1_VS_IL6_4H_STIM_MAC_UP.html" TargetMode="External"/><Relationship Id="rId2887" Type="http://schemas.openxmlformats.org/officeDocument/2006/relationships/hyperlink" Target="http://www.broadinstitute.org/gsea/msigdb/cards/GSE9650_NAIVE_VS_EXHAUSTED_CD8_TCELL_DN.html" TargetMode="External"/><Relationship Id="rId2888" Type="http://schemas.openxmlformats.org/officeDocument/2006/relationships/hyperlink" Target="http://www.broadinstitute.org/gsea/msigdb/cards/GSE9988_LOW_LPS_VS_VEHICLE_TREATED_MONOCYTE_UP.html" TargetMode="External"/><Relationship Id="rId2889" Type="http://schemas.openxmlformats.org/officeDocument/2006/relationships/hyperlink" Target="http://www.broadinstitute.org/gsea/msigdb/cards/GSE411_UNSTIM_VS_100MIN_IL6_STIM_MACROPHAGE_DN.html" TargetMode="External"/><Relationship Id="rId3240" Type="http://schemas.openxmlformats.org/officeDocument/2006/relationships/hyperlink" Target="http://www.broadinstitute.org/gsea/msigdb/cards/GSE46606_IRF4MID_VS_WT_CD40L_IL2_IL5_DAY1_STIMULATED_BCELL_DN.html" TargetMode="External"/><Relationship Id="rId3241" Type="http://schemas.openxmlformats.org/officeDocument/2006/relationships/hyperlink" Target="http://www.broadinstitute.org/gsea/msigdb/cards/GSE45881_CXCR6HI_VS_CXCR1LO_COLONIC_LAMINA_PROPRIA_DN.html" TargetMode="External"/><Relationship Id="rId3242" Type="http://schemas.openxmlformats.org/officeDocument/2006/relationships/hyperlink" Target="http://www.broadinstitute.org/gsea/msigdb/cards/GSE42088_UNINF_VS_LEISHMANIA_INF_DC_2H_DN.html" TargetMode="External"/><Relationship Id="rId3243" Type="http://schemas.openxmlformats.org/officeDocument/2006/relationships/hyperlink" Target="http://www.broadinstitute.org/gsea/msigdb/cards/GSE42088_UNINF_VS_LEISHMANIA_INF_DC_4H_DN.html" TargetMode="External"/><Relationship Id="rId3244" Type="http://schemas.openxmlformats.org/officeDocument/2006/relationships/hyperlink" Target="http://www.broadinstitute.org/gsea/msigdb/cards/GSE42088_UNINF_VS_LEISHMANIA_INF_DC_8H_UP.html" TargetMode="External"/><Relationship Id="rId3245" Type="http://schemas.openxmlformats.org/officeDocument/2006/relationships/hyperlink" Target="http://www.broadinstitute.org/gsea/msigdb/cards/GSE45365_HEALTHY_VS_MCMV_INFECTION_CD8A_DC_IFNAR_KO_DN.html" TargetMode="External"/><Relationship Id="rId3246" Type="http://schemas.openxmlformats.org/officeDocument/2006/relationships/hyperlink" Target="http://www.broadinstitute.org/gsea/msigdb/cards/GSE3565_DUSP1_VS_WT_SPLENOCYTES_DN.html" TargetMode="External"/><Relationship Id="rId3247" Type="http://schemas.openxmlformats.org/officeDocument/2006/relationships/hyperlink" Target="http://www.broadinstitute.org/gsea/msigdb/cards/GSE37301_PRO_BCELL_VS_CD4_TCELL_DN.html" TargetMode="External"/><Relationship Id="rId3248" Type="http://schemas.openxmlformats.org/officeDocument/2006/relationships/hyperlink" Target="http://www.broadinstitute.org/gsea/msigdb/cards/GSE15330_HSC_VS_MEGAKARYOCYTE_ERYTHROID_PROGENITOR_UP.html" TargetMode="External"/><Relationship Id="rId3249" Type="http://schemas.openxmlformats.org/officeDocument/2006/relationships/hyperlink" Target="http://www.broadinstitute.org/gsea/msigdb/cards/GSE36095_WT_VS_HDAC9_KO_TREG_DN.html" TargetMode="External"/><Relationship Id="rId540" Type="http://schemas.openxmlformats.org/officeDocument/2006/relationships/hyperlink" Target="http://www.broadinstitute.org/gsea/msigdb/cards/MCBRYAN_TERMINAL_END_BUD_DN.html" TargetMode="External"/><Relationship Id="rId541" Type="http://schemas.openxmlformats.org/officeDocument/2006/relationships/hyperlink" Target="http://www.broadinstitute.org/gsea/msigdb/cards/SCHUHMACHER_MYC_TARGETS_DN.html" TargetMode="External"/><Relationship Id="rId542" Type="http://schemas.openxmlformats.org/officeDocument/2006/relationships/hyperlink" Target="http://www.broadinstitute.org/gsea/msigdb/cards/DARWICHE_SKIN_TUMOR_PROMOTER_DN.html" TargetMode="External"/><Relationship Id="rId543" Type="http://schemas.openxmlformats.org/officeDocument/2006/relationships/hyperlink" Target="http://www.broadinstitute.org/gsea/msigdb/cards/KEGG_PRION_DISEASES.html" TargetMode="External"/><Relationship Id="rId544" Type="http://schemas.openxmlformats.org/officeDocument/2006/relationships/hyperlink" Target="http://www.broadinstitute.org/gsea/msigdb/cards/THEILGAARD_NEUTROPHIL_AT_SKIN_WOUND_UP.html" TargetMode="External"/><Relationship Id="rId545" Type="http://schemas.openxmlformats.org/officeDocument/2006/relationships/hyperlink" Target="http://www.broadinstitute.org/gsea/msigdb/cards/SEKI_INFLAMMATORY_RESPONSE_LPS_UP.html" TargetMode="External"/><Relationship Id="rId546" Type="http://schemas.openxmlformats.org/officeDocument/2006/relationships/hyperlink" Target="http://www.broadinstitute.org/gsea/msigdb/cards/MIKKELSEN_MEF_LCP_WITH_H3K4ME3.html" TargetMode="External"/><Relationship Id="rId547" Type="http://schemas.openxmlformats.org/officeDocument/2006/relationships/hyperlink" Target="http://www.broadinstitute.org/gsea/msigdb/cards/CHIARETTI_T_ALL_RELAPSE_PROGNOSIS.html" TargetMode="External"/><Relationship Id="rId548" Type="http://schemas.openxmlformats.org/officeDocument/2006/relationships/hyperlink" Target="http://www.broadinstitute.org/gsea/msigdb/cards/SHEDDEN_LUNG_CANCER_GOOD_SURVIVAL_A12.html" TargetMode="External"/><Relationship Id="rId549" Type="http://schemas.openxmlformats.org/officeDocument/2006/relationships/hyperlink" Target="http://www.broadinstitute.org/gsea/msigdb/cards/TARTE_PLASMA_CELL_VS_B_LYMPHOCYTE_UP.html" TargetMode="External"/><Relationship Id="rId1790" Type="http://schemas.openxmlformats.org/officeDocument/2006/relationships/hyperlink" Target="http://www.broadinstitute.org/gsea/msigdb/cards/GO_POSITIVE_REGULATION_OF_CYCLIC_NUCLEOTIDE_METABOLIC_PROCESS.html" TargetMode="External"/><Relationship Id="rId1791" Type="http://schemas.openxmlformats.org/officeDocument/2006/relationships/hyperlink" Target="http://www.broadinstitute.org/gsea/msigdb/cards/GO_GTPASE_BINDING.html" TargetMode="External"/><Relationship Id="rId1792" Type="http://schemas.openxmlformats.org/officeDocument/2006/relationships/hyperlink" Target="http://www.broadinstitute.org/gsea/msigdb/cards/GO_POSITIVE_REGULATION_OF_SMOOTH_MUSCLE_CELL_PROLIFERATION.html" TargetMode="External"/><Relationship Id="rId1793" Type="http://schemas.openxmlformats.org/officeDocument/2006/relationships/hyperlink" Target="http://www.broadinstitute.org/gsea/msigdb/cards/GO_CIRCULATORY_SYSTEM_PROCESS.html" TargetMode="External"/><Relationship Id="rId1794" Type="http://schemas.openxmlformats.org/officeDocument/2006/relationships/hyperlink" Target="http://www.broadinstitute.org/gsea/msigdb/cards/GO_ACTIVATION_OF_MAPK_ACTIVITY.html" TargetMode="External"/><Relationship Id="rId1795" Type="http://schemas.openxmlformats.org/officeDocument/2006/relationships/hyperlink" Target="http://www.broadinstitute.org/gsea/msigdb/cards/GO_REGULATION_OF_STRESS_ACTIVATED_PROTEIN_KINASE_SIGNALING_CASCADE.html" TargetMode="External"/><Relationship Id="rId1796" Type="http://schemas.openxmlformats.org/officeDocument/2006/relationships/hyperlink" Target="http://www.broadinstitute.org/gsea/msigdb/cards/GO_NEGATIVE_REGULATION_OF_REGULATED_SECRETORY_PATHWAY.html" TargetMode="External"/><Relationship Id="rId1797" Type="http://schemas.openxmlformats.org/officeDocument/2006/relationships/hyperlink" Target="http://www.broadinstitute.org/gsea/msigdb/cards/GO_REGULATION_OF_CELLULAR_EXTRAVASATION.html" TargetMode="External"/><Relationship Id="rId1798" Type="http://schemas.openxmlformats.org/officeDocument/2006/relationships/hyperlink" Target="http://www.broadinstitute.org/gsea/msigdb/cards/GO_REGULATION_OF_T_CELL_CYTOKINE_PRODUCTION.html" TargetMode="External"/><Relationship Id="rId1799" Type="http://schemas.openxmlformats.org/officeDocument/2006/relationships/hyperlink" Target="http://www.broadinstitute.org/gsea/msigdb/cards/GO_REGULATION_OF_RESPONSE_TO_INTERFERON_GAMMA.html" TargetMode="External"/><Relationship Id="rId30" Type="http://schemas.openxmlformats.org/officeDocument/2006/relationships/hyperlink" Target="http://www.broadinstitute.org/gsea/msigdb/cards/MARKEY_RB1_ACUTE_LOF_DN.html" TargetMode="External"/><Relationship Id="rId31" Type="http://schemas.openxmlformats.org/officeDocument/2006/relationships/hyperlink" Target="http://www.broadinstitute.org/gsea/msigdb/cards/RUTELLA_RESPONSE_TO_CSF2RB_AND_IL4_DN.html" TargetMode="External"/><Relationship Id="rId2150" Type="http://schemas.openxmlformats.org/officeDocument/2006/relationships/hyperlink" Target="http://www.broadinstitute.org/gsea/msigdb/cards/GSE7218_UNSTIM_VS_ANTIGEN_STIM_THROUGH_IGG_BCELL_DN.html" TargetMode="External"/><Relationship Id="rId2151" Type="http://schemas.openxmlformats.org/officeDocument/2006/relationships/hyperlink" Target="http://www.broadinstitute.org/gsea/msigdb/cards/GSE3039_NKT_CELL_VS_ALPHAALPHA_CD8_TCELL_DN.html" TargetMode="External"/><Relationship Id="rId2152" Type="http://schemas.openxmlformats.org/officeDocument/2006/relationships/hyperlink" Target="http://www.broadinstitute.org/gsea/msigdb/cards/GSE10325_LUPUS_CD4_TCELL_VS_LUPUS_MYELOID_DN.html" TargetMode="External"/><Relationship Id="rId2153" Type="http://schemas.openxmlformats.org/officeDocument/2006/relationships/hyperlink" Target="http://www.broadinstitute.org/gsea/msigdb/cards/GSE11057_PBMC_VS_MEM_CD4_TCELL_UP.html" TargetMode="External"/><Relationship Id="rId2154" Type="http://schemas.openxmlformats.org/officeDocument/2006/relationships/hyperlink" Target="http://www.broadinstitute.org/gsea/msigdb/cards/GSE29618_MONOCYTE_VS_PDC_UP.html" TargetMode="External"/><Relationship Id="rId2155" Type="http://schemas.openxmlformats.org/officeDocument/2006/relationships/hyperlink" Target="http://www.broadinstitute.org/gsea/msigdb/cards/GSE10325_BCELL_VS_MYELOID_DN.html" TargetMode="External"/><Relationship Id="rId2156" Type="http://schemas.openxmlformats.org/officeDocument/2006/relationships/hyperlink" Target="http://www.broadinstitute.org/gsea/msigdb/cards/GSE22886_NAIVE_CD8_TCELL_VS_MONOCYTE_DN.html" TargetMode="External"/><Relationship Id="rId2157" Type="http://schemas.openxmlformats.org/officeDocument/2006/relationships/hyperlink" Target="http://www.broadinstitute.org/gsea/msigdb/cards/GSE24634_TEFF_VS_TCONV_DAY3_IN_CULTURE_DN.html" TargetMode="External"/><Relationship Id="rId2158" Type="http://schemas.openxmlformats.org/officeDocument/2006/relationships/hyperlink" Target="http://www.broadinstitute.org/gsea/msigdb/cards/GSE34156_TLR1_TLR2_LIGAND_VS_NOD2_AND_TLR1_TLR2_LIGAND_24H_TREATED_MONOCYTE_UP.html" TargetMode="External"/><Relationship Id="rId2159" Type="http://schemas.openxmlformats.org/officeDocument/2006/relationships/hyperlink" Target="http://www.broadinstitute.org/gsea/msigdb/cards/GSE10325_CD4_TCELL_VS_MYELOID_DN.html" TargetMode="External"/><Relationship Id="rId32" Type="http://schemas.openxmlformats.org/officeDocument/2006/relationships/hyperlink" Target="http://www.broadinstitute.org/gsea/msigdb/cards/FLECHNER_BIOPSY_KIDNEY_TRANSPLANT_REJECTED_VS_OK_UP.html" TargetMode="External"/><Relationship Id="rId33" Type="http://schemas.openxmlformats.org/officeDocument/2006/relationships/hyperlink" Target="http://www.broadinstitute.org/gsea/msigdb/cards/REACTOME_ADAPTIVE_IMMUNE_SYSTEM.html" TargetMode="External"/><Relationship Id="rId34" Type="http://schemas.openxmlformats.org/officeDocument/2006/relationships/hyperlink" Target="http://www.broadinstitute.org/gsea/msigdb/cards/BOSCO_TH1_CYTOTOXIC_MODULE.html" TargetMode="External"/><Relationship Id="rId35" Type="http://schemas.openxmlformats.org/officeDocument/2006/relationships/hyperlink" Target="http://www.broadinstitute.org/gsea/msigdb/cards/ICHIBA_GRAFT_VERSUS_HOST_DISEASE_35D_UP.html" TargetMode="External"/><Relationship Id="rId36" Type="http://schemas.openxmlformats.org/officeDocument/2006/relationships/hyperlink" Target="http://www.broadinstitute.org/gsea/msigdb/cards/QI_PLASMACYTOMA_UP.html" TargetMode="External"/><Relationship Id="rId37" Type="http://schemas.openxmlformats.org/officeDocument/2006/relationships/hyperlink" Target="http://www.broadinstitute.org/gsea/msigdb/cards/VERHAAK_GLIOBLASTOMA_MESENCHYMAL.html" TargetMode="External"/><Relationship Id="rId38" Type="http://schemas.openxmlformats.org/officeDocument/2006/relationships/hyperlink" Target="http://www.broadinstitute.org/gsea/msigdb/cards/TAKEDA_TARGETS_OF_NUP98_HOXA9_FUSION_8D_DN.html" TargetMode="External"/><Relationship Id="rId39" Type="http://schemas.openxmlformats.org/officeDocument/2006/relationships/hyperlink" Target="http://www.broadinstitute.org/gsea/msigdb/cards/SMID_BREAST_CANCER_LUMINAL_B_DN.html" TargetMode="External"/><Relationship Id="rId3980" Type="http://schemas.openxmlformats.org/officeDocument/2006/relationships/hyperlink" Target="http://www.broadinstitute.org/gsea/msigdb/cards/GSE22103_UNSTIM_VS_LPS_STIM_NEUTROPHIL_UP.html" TargetMode="External"/><Relationship Id="rId3981" Type="http://schemas.openxmlformats.org/officeDocument/2006/relationships/hyperlink" Target="http://www.broadinstitute.org/gsea/msigdb/cards/GSE22589_HIV_VS_HIV_AND_SIV_INFECTED_DC_UP.html" TargetMode="External"/><Relationship Id="rId3982" Type="http://schemas.openxmlformats.org/officeDocument/2006/relationships/hyperlink" Target="http://www.broadinstitute.org/gsea/msigdb/cards/GSE23505_IL6_IL1_VS_IL6_IL1_IL23_TREATED_CD4_TCELL_DN.html" TargetMode="External"/><Relationship Id="rId3983" Type="http://schemas.openxmlformats.org/officeDocument/2006/relationships/hyperlink" Target="http://www.broadinstitute.org/gsea/msigdb/cards/GSE16385_MONOCYTE_VS_12H_IFNG_TNF_TREATED_MACROPHAGE_DN.html" TargetMode="External"/><Relationship Id="rId3984" Type="http://schemas.openxmlformats.org/officeDocument/2006/relationships/hyperlink" Target="http://www.broadinstitute.org/gsea/msigdb/cards/GSE25088_WT_VS_STAT6_KO_MACROPHAGE_ROSIGLITAZONE_STIM_DN.html" TargetMode="External"/><Relationship Id="rId3985" Type="http://schemas.openxmlformats.org/officeDocument/2006/relationships/hyperlink" Target="http://www.broadinstitute.org/gsea/msigdb/cards/GSE25088_WT_VS_STAT6_KO_MACROPHAGE_ROSIGLITAZONE_AND_IL4_STIM_DN.html" TargetMode="External"/><Relationship Id="rId3986" Type="http://schemas.openxmlformats.org/officeDocument/2006/relationships/hyperlink" Target="http://www.broadinstitute.org/gsea/msigdb/cards/GSE17301_CTRL_VS_48H_IFNA2_STIM_CD8_TCELL_DN.html" TargetMode="External"/><Relationship Id="rId3987" Type="http://schemas.openxmlformats.org/officeDocument/2006/relationships/hyperlink" Target="http://www.broadinstitute.org/gsea/msigdb/cards/GSE17301_CTRL_VS_48H_ACD3_ACD28_IFNA2_STIM_CD8_TCELL_UP.html" TargetMode="External"/><Relationship Id="rId3988" Type="http://schemas.openxmlformats.org/officeDocument/2006/relationships/hyperlink" Target="http://www.broadinstitute.org/gsea/msigdb/cards/GSE23398_WT_VS_IL2_KO_CD4_TCELL_SCURFY_MOUSE_UP.html" TargetMode="External"/><Relationship Id="rId3989" Type="http://schemas.openxmlformats.org/officeDocument/2006/relationships/hyperlink" Target="http://www.broadinstitute.org/gsea/msigdb/cards/GSE24972_WT_VS_IRF8_KO_SPLEEN_FOLLICULAR_BCELL_UP.html" TargetMode="External"/><Relationship Id="rId1060" Type="http://schemas.openxmlformats.org/officeDocument/2006/relationships/hyperlink" Target="http://www.broadinstitute.org/gsea/msigdb/cards/GO_IMMUNE_SYSTEM_DEVELOPMENT.html" TargetMode="External"/><Relationship Id="rId1061" Type="http://schemas.openxmlformats.org/officeDocument/2006/relationships/hyperlink" Target="http://www.broadinstitute.org/gsea/msigdb/cards/GO_ACTIVATION_OF_IMMUNE_RESPONSE.html" TargetMode="External"/><Relationship Id="rId4340" Type="http://schemas.openxmlformats.org/officeDocument/2006/relationships/hyperlink" Target="http://www.broadinstitute.org/gsea/msigdb/cards/GSE10325_LUPUS_BCELL_VS_LUPUS_MYELOID_UP.html" TargetMode="External"/><Relationship Id="rId4341" Type="http://schemas.openxmlformats.org/officeDocument/2006/relationships/hyperlink" Target="http://www.broadinstitute.org/gsea/msigdb/cards/GSE11864_UNTREATED_VS_CSF1_IN_MAC_DN.html" TargetMode="External"/><Relationship Id="rId4342" Type="http://schemas.openxmlformats.org/officeDocument/2006/relationships/hyperlink" Target="http://www.broadinstitute.org/gsea/msigdb/cards/GSE11864_CSF1_VS_CSF1_IFNG_IN_MAC_UP.html" TargetMode="External"/><Relationship Id="rId4343" Type="http://schemas.openxmlformats.org/officeDocument/2006/relationships/hyperlink" Target="http://www.broadinstitute.org/gsea/msigdb/cards/GSE11864_CSF1_VS_CSF1_IFNG_IN_MAC_DN.html" TargetMode="External"/><Relationship Id="rId4344" Type="http://schemas.openxmlformats.org/officeDocument/2006/relationships/hyperlink" Target="http://www.broadinstitute.org/gsea/msigdb/cards/GSE11864_CSF1_VS_CSF1_PAM3CYS_IN_MAC_UP.html" TargetMode="External"/><Relationship Id="rId4345" Type="http://schemas.openxmlformats.org/officeDocument/2006/relationships/hyperlink" Target="http://www.broadinstitute.org/gsea/msigdb/cards/GSE11924_TH2_VS_TH17_CD4_TCELL_UP.html" TargetMode="External"/><Relationship Id="rId4346" Type="http://schemas.openxmlformats.org/officeDocument/2006/relationships/hyperlink" Target="http://www.broadinstitute.org/gsea/msigdb/cards/GSE12845_IGD_POS_VS_NEG_BLOOD_BCELL_DN.html" TargetMode="External"/><Relationship Id="rId4347" Type="http://schemas.openxmlformats.org/officeDocument/2006/relationships/hyperlink" Target="http://www.broadinstitute.org/gsea/msigdb/cards/GSE12845_IGD_POS_BLOOD_VS_PRE_GC_TONSIL_BCELL_UP.html" TargetMode="External"/><Relationship Id="rId4348" Type="http://schemas.openxmlformats.org/officeDocument/2006/relationships/hyperlink" Target="http://www.broadinstitute.org/gsea/msigdb/cards/GSE12845_IGD_NEG_BLOOD_VS_NAIVE_TONSIL_BCELL_UP.html" TargetMode="External"/><Relationship Id="rId4349" Type="http://schemas.openxmlformats.org/officeDocument/2006/relationships/hyperlink" Target="http://www.broadinstitute.org/gsea/msigdb/cards/GSE13306_TREG_VS_TCONV_SPLEEN_UP.html" TargetMode="External"/><Relationship Id="rId1062" Type="http://schemas.openxmlformats.org/officeDocument/2006/relationships/hyperlink" Target="http://www.broadinstitute.org/gsea/msigdb/cards/GO_LEUKOCYTE_DIFFERENTIATION.html" TargetMode="External"/><Relationship Id="rId1063" Type="http://schemas.openxmlformats.org/officeDocument/2006/relationships/hyperlink" Target="http://www.broadinstitute.org/gsea/msigdb/cards/GO_CELL_CELL_ADHESION.html" TargetMode="External"/><Relationship Id="rId1064" Type="http://schemas.openxmlformats.org/officeDocument/2006/relationships/hyperlink" Target="http://www.broadinstitute.org/gsea/msigdb/cards/GO_REGULATION_OF_LEUKOCYTE_PROLIFERATION.html" TargetMode="External"/><Relationship Id="rId1065" Type="http://schemas.openxmlformats.org/officeDocument/2006/relationships/hyperlink" Target="http://www.broadinstitute.org/gsea/msigdb/cards/GO_CELLULAR_RESPONSE_TO_CYTOKINE_STIMULUS.html" TargetMode="External"/><Relationship Id="rId1066" Type="http://schemas.openxmlformats.org/officeDocument/2006/relationships/hyperlink" Target="http://www.broadinstitute.org/gsea/msigdb/cards/GO_EXTERNAL_SIDE_OF_PLASMA_MEMBRANE.html" TargetMode="External"/><Relationship Id="rId1067" Type="http://schemas.openxmlformats.org/officeDocument/2006/relationships/hyperlink" Target="http://www.broadinstitute.org/gsea/msigdb/cards/GO_SIGNALING_RECEPTOR_ACTIVITY.html" TargetMode="External"/><Relationship Id="rId1068" Type="http://schemas.openxmlformats.org/officeDocument/2006/relationships/hyperlink" Target="http://www.broadinstitute.org/gsea/msigdb/cards/GO_POSITIVE_REGULATION_OF_CYTOKINE_PRODUCTION.html" TargetMode="External"/><Relationship Id="rId1069" Type="http://schemas.openxmlformats.org/officeDocument/2006/relationships/hyperlink" Target="http://www.broadinstitute.org/gsea/msigdb/cards/GO_RESPONSE_TO_EXTERNAL_STIMULUS.html" TargetMode="External"/><Relationship Id="rId2890" Type="http://schemas.openxmlformats.org/officeDocument/2006/relationships/hyperlink" Target="http://www.broadinstitute.org/gsea/msigdb/cards/GSE2770_IL12_VS_IL4_TREATED_ACT_CD4_TCELL_48H_DN.html" TargetMode="External"/><Relationship Id="rId2891" Type="http://schemas.openxmlformats.org/officeDocument/2006/relationships/hyperlink" Target="http://www.broadinstitute.org/gsea/msigdb/cards/GSE2770_UNTREATED_VS_IL12_TREATED_ACT_CD4_TCELL_48H_UP.html" TargetMode="External"/><Relationship Id="rId2892" Type="http://schemas.openxmlformats.org/officeDocument/2006/relationships/hyperlink" Target="http://www.broadinstitute.org/gsea/msigdb/cards/GSE1925_CTRL_VS_3H_IFNG_STIM_MACROPHAGE_UP.html" TargetMode="External"/><Relationship Id="rId2893" Type="http://schemas.openxmlformats.org/officeDocument/2006/relationships/hyperlink" Target="http://www.broadinstitute.org/gsea/msigdb/cards/GSE3720_VD1_VS_VD2_GAMMADELTA_TCELL_WITH_LPS_STIM_DN.html" TargetMode="External"/><Relationship Id="rId2894" Type="http://schemas.openxmlformats.org/officeDocument/2006/relationships/hyperlink" Target="http://www.broadinstitute.org/gsea/msigdb/cards/GSE5679_PPARG_LIGAND_ROSIGLITAZONE_VS_RARA_AGONIST_AM580_TREATED_DC_DN.html" TargetMode="External"/><Relationship Id="rId2895" Type="http://schemas.openxmlformats.org/officeDocument/2006/relationships/hyperlink" Target="http://www.broadinstitute.org/gsea/msigdb/cards/GSE5455_HEALTHY_VS_TUMOR_BEARING_MOUSE_SPLEEN_MONOCYTE_DN.html" TargetMode="External"/><Relationship Id="rId2896" Type="http://schemas.openxmlformats.org/officeDocument/2006/relationships/hyperlink" Target="http://www.broadinstitute.org/gsea/msigdb/cards/GSE5589_UNSTIM_VS_180MIN_LPS_AND_IL10_STIM_MACROPHAGE_DN.html" TargetMode="External"/><Relationship Id="rId2897" Type="http://schemas.openxmlformats.org/officeDocument/2006/relationships/hyperlink" Target="http://www.broadinstitute.org/gsea/msigdb/cards/GSE5589_LPS_VS_LPS_AND_IL6_STIM_IL6_KO_MACROPHAGE_45MIN_UP.html" TargetMode="External"/><Relationship Id="rId2898" Type="http://schemas.openxmlformats.org/officeDocument/2006/relationships/hyperlink" Target="http://www.broadinstitute.org/gsea/msigdb/cards/GSE9509_LPS_VS_LPS_AND_IL10_STIM_IL10_KO_MACROPHAGE_10MIN_UP.html" TargetMode="External"/><Relationship Id="rId2899" Type="http://schemas.openxmlformats.org/officeDocument/2006/relationships/hyperlink" Target="http://www.broadinstitute.org/gsea/msigdb/cards/GSE7831_CPG_VS_INFLUENZA_STIM_PDC_1H_DN.html" TargetMode="External"/><Relationship Id="rId3250" Type="http://schemas.openxmlformats.org/officeDocument/2006/relationships/hyperlink" Target="http://www.broadinstitute.org/gsea/msigdb/cards/GSE25677_R848_VS_MPL_AND_R848_STIM_BCELL_DN.html" TargetMode="External"/><Relationship Id="rId3251" Type="http://schemas.openxmlformats.org/officeDocument/2006/relationships/hyperlink" Target="http://www.broadinstitute.org/gsea/msigdb/cards/GSE15330_HSC_VS_MEGAKARYOCYTE_ERYTHROID_PROGENITOR_DN.html" TargetMode="External"/><Relationship Id="rId3252" Type="http://schemas.openxmlformats.org/officeDocument/2006/relationships/hyperlink" Target="http://www.broadinstitute.org/gsea/msigdb/cards/GSE27859_MACROPHAGE_VS_CD11C_INT_F480_HI_MACROPHAGE_DN.html" TargetMode="External"/><Relationship Id="rId3253" Type="http://schemas.openxmlformats.org/officeDocument/2006/relationships/hyperlink" Target="http://www.broadinstitute.org/gsea/msigdb/cards/GSE6259_FLT3L_INDUCED_33D1_POS_DC_VS_CD4_TCELL_DN.html" TargetMode="External"/><Relationship Id="rId3254" Type="http://schemas.openxmlformats.org/officeDocument/2006/relationships/hyperlink" Target="http://www.broadinstitute.org/gsea/msigdb/cards/GSE3400_UNTREATED_VS_IFNB_TREATED_MEF_DN.html" TargetMode="External"/><Relationship Id="rId3255" Type="http://schemas.openxmlformats.org/officeDocument/2006/relationships/hyperlink" Target="http://www.broadinstitute.org/gsea/msigdb/cards/GSE14415_INDUCED_TREG_VS_FOXP3_KO_INDUCED_TREG_UP.html" TargetMode="External"/><Relationship Id="rId3256" Type="http://schemas.openxmlformats.org/officeDocument/2006/relationships/hyperlink" Target="http://www.broadinstitute.org/gsea/msigdb/cards/GSE1740_UNSTIM_VS_IFNA_STIMULATED_MCSF_IFNG_DERIVED_MACROPHAGE_UP.html" TargetMode="External"/><Relationship Id="rId3257" Type="http://schemas.openxmlformats.org/officeDocument/2006/relationships/hyperlink" Target="http://www.broadinstitute.org/gsea/msigdb/cards/GSE6259_33D1_POS_DC_VS_BCELL_DN.html" TargetMode="External"/><Relationship Id="rId3258" Type="http://schemas.openxmlformats.org/officeDocument/2006/relationships/hyperlink" Target="http://www.broadinstitute.org/gsea/msigdb/cards/KAECH_DAY8_EFF_VS_DAY15_EFF_CD8_TCELL_DN.html" TargetMode="External"/><Relationship Id="rId3259" Type="http://schemas.openxmlformats.org/officeDocument/2006/relationships/hyperlink" Target="http://www.broadinstitute.org/gsea/msigdb/cards/GSE10325_CD4_TCELL_VS_LUPUS_CD4_TCELL_DN.html" TargetMode="External"/><Relationship Id="rId550" Type="http://schemas.openxmlformats.org/officeDocument/2006/relationships/hyperlink" Target="http://www.broadinstitute.org/gsea/msigdb/cards/COATES_MACROPHAGE_M1_VS_M2_DN.html" TargetMode="External"/><Relationship Id="rId551" Type="http://schemas.openxmlformats.org/officeDocument/2006/relationships/hyperlink" Target="http://www.broadinstitute.org/gsea/msigdb/cards/BOSCO_INTERFERON_INDUCED_ANTIVIRAL_MODULE.html" TargetMode="External"/><Relationship Id="rId552" Type="http://schemas.openxmlformats.org/officeDocument/2006/relationships/hyperlink" Target="http://www.broadinstitute.org/gsea/msigdb/cards/MATTIOLI_MULTIPLE_MYELOMA_WITH_14Q32_TRANSLOCATIONS.html" TargetMode="External"/><Relationship Id="rId553" Type="http://schemas.openxmlformats.org/officeDocument/2006/relationships/hyperlink" Target="http://www.broadinstitute.org/gsea/msigdb/cards/HENDRICKS_SMARCA4_TARGETS_UP.html" TargetMode="External"/><Relationship Id="rId554" Type="http://schemas.openxmlformats.org/officeDocument/2006/relationships/hyperlink" Target="http://www.broadinstitute.org/gsea/msigdb/cards/BORCZUK_MALIGNANT_MESOTHELIOMA_DN.html" TargetMode="External"/><Relationship Id="rId555" Type="http://schemas.openxmlformats.org/officeDocument/2006/relationships/hyperlink" Target="http://www.broadinstitute.org/gsea/msigdb/cards/DIRMEIER_LMP1_RESPONSE_LATE_UP.html" TargetMode="External"/><Relationship Id="rId556" Type="http://schemas.openxmlformats.org/officeDocument/2006/relationships/hyperlink" Target="http://www.broadinstitute.org/gsea/msigdb/cards/WOO_LIVER_CANCER_RECURRENCE_UP.html" TargetMode="External"/><Relationship Id="rId557" Type="http://schemas.openxmlformats.org/officeDocument/2006/relationships/hyperlink" Target="http://www.broadinstitute.org/gsea/msigdb/cards/CAIRO_LIVER_DEVELOPMENT_DN.html" TargetMode="External"/><Relationship Id="rId558" Type="http://schemas.openxmlformats.org/officeDocument/2006/relationships/hyperlink" Target="http://www.broadinstitute.org/gsea/msigdb/cards/RICKMAN_HEAD_AND_NECK_CANCER_D.html" TargetMode="External"/><Relationship Id="rId559" Type="http://schemas.openxmlformats.org/officeDocument/2006/relationships/hyperlink" Target="http://www.broadinstitute.org/gsea/msigdb/cards/FONTAINE_PAPILLARY_THYROID_CARCINOMA_DN.html" TargetMode="External"/><Relationship Id="rId40" Type="http://schemas.openxmlformats.org/officeDocument/2006/relationships/hyperlink" Target="http://www.broadinstitute.org/gsea/msigdb/cards/WIELAND_UP_BY_HBV_INFECTION.html" TargetMode="External"/><Relationship Id="rId41" Type="http://schemas.openxmlformats.org/officeDocument/2006/relationships/hyperlink" Target="http://www.broadinstitute.org/gsea/msigdb/cards/ZHENG_BOUND_BY_FOXP3.html" TargetMode="External"/><Relationship Id="rId42" Type="http://schemas.openxmlformats.org/officeDocument/2006/relationships/hyperlink" Target="http://www.broadinstitute.org/gsea/msigdb/cards/THUM_SYSTOLIC_HEART_FAILURE_UP.html" TargetMode="External"/><Relationship Id="rId43" Type="http://schemas.openxmlformats.org/officeDocument/2006/relationships/hyperlink" Target="http://www.broadinstitute.org/gsea/msigdb/cards/LIAN_LIPA_TARGETS_6M.html" TargetMode="External"/><Relationship Id="rId44" Type="http://schemas.openxmlformats.org/officeDocument/2006/relationships/hyperlink" Target="http://www.broadinstitute.org/gsea/msigdb/cards/LIAN_LIPA_TARGETS_3M.html" TargetMode="External"/><Relationship Id="rId45" Type="http://schemas.openxmlformats.org/officeDocument/2006/relationships/hyperlink" Target="http://www.broadinstitute.org/gsea/msigdb/cards/GAL_LEUKEMIC_STEM_CELL_DN.html" TargetMode="External"/><Relationship Id="rId46" Type="http://schemas.openxmlformats.org/officeDocument/2006/relationships/hyperlink" Target="http://www.broadinstitute.org/gsea/msigdb/cards/HELLER_SILENCED_BY_METHYLATION_UP.html" TargetMode="External"/><Relationship Id="rId47" Type="http://schemas.openxmlformats.org/officeDocument/2006/relationships/hyperlink" Target="http://www.broadinstitute.org/gsea/msigdb/cards/ALTEMEIER_RESPONSE_TO_LPS_WITH_MECHANICAL_VENTILATION.html" TargetMode="External"/><Relationship Id="rId48" Type="http://schemas.openxmlformats.org/officeDocument/2006/relationships/hyperlink" Target="http://www.broadinstitute.org/gsea/msigdb/cards/DEURIG_T_CELL_PROLYMPHOCYTIC_LEUKEMIA_DN.html" TargetMode="External"/><Relationship Id="rId49" Type="http://schemas.openxmlformats.org/officeDocument/2006/relationships/hyperlink" Target="http://www.broadinstitute.org/gsea/msigdb/cards/NAKAYAMA_SOFT_TISSUE_TUMORS_PCA1_UP.html" TargetMode="External"/><Relationship Id="rId2160" Type="http://schemas.openxmlformats.org/officeDocument/2006/relationships/hyperlink" Target="http://www.broadinstitute.org/gsea/msigdb/cards/GSE24634_TREG_VS_TCONV_POST_DAY10_IL4_CONVERSION_DN.html" TargetMode="External"/><Relationship Id="rId2161" Type="http://schemas.openxmlformats.org/officeDocument/2006/relationships/hyperlink" Target="http://www.broadinstitute.org/gsea/msigdb/cards/GSE29618_PDC_VS_MDC_DAY7_FLU_VACCINE_DN.html" TargetMode="External"/><Relationship Id="rId2162" Type="http://schemas.openxmlformats.org/officeDocument/2006/relationships/hyperlink" Target="http://www.broadinstitute.org/gsea/msigdb/cards/GSE7509_UNSTIM_VS_IFNA_STIM_IMMATURE_DC_DN.html" TargetMode="External"/><Relationship Id="rId2163" Type="http://schemas.openxmlformats.org/officeDocument/2006/relationships/hyperlink" Target="http://www.broadinstitute.org/gsea/msigdb/cards/GSE10325_LUPUS_BCELL_VS_LUPUS_MYELOID_DN.html" TargetMode="External"/><Relationship Id="rId2164" Type="http://schemas.openxmlformats.org/officeDocument/2006/relationships/hyperlink" Target="http://www.broadinstitute.org/gsea/msigdb/cards/GSE29618_PDC_VS_MDC_DN.html" TargetMode="External"/><Relationship Id="rId2165" Type="http://schemas.openxmlformats.org/officeDocument/2006/relationships/hyperlink" Target="http://www.broadinstitute.org/gsea/msigdb/cards/GSE19888_ADENOSINE_A3R_INH_PRETREAT_AND_ACT_BY_A3R_VS_TCELL_MEMBRANES_ACT_MAST_CELL_UP.html" TargetMode="External"/><Relationship Id="rId2166" Type="http://schemas.openxmlformats.org/officeDocument/2006/relationships/hyperlink" Target="http://www.broadinstitute.org/gsea/msigdb/cards/GSE22935_WT_VS_MYD88_KO_MACROPHAGE_UP.html" TargetMode="External"/><Relationship Id="rId2167" Type="http://schemas.openxmlformats.org/officeDocument/2006/relationships/hyperlink" Target="http://www.broadinstitute.org/gsea/msigdb/cards/GSE34156_UNTREATED_VS_6H_TLR1_TLR2_LIGAND_TREATED_MONOCYTE_UP.html" TargetMode="External"/><Relationship Id="rId2168" Type="http://schemas.openxmlformats.org/officeDocument/2006/relationships/hyperlink" Target="http://www.broadinstitute.org/gsea/msigdb/cards/GSE22886_NAIVE_TCELL_VS_MONOCYTE_DN.html" TargetMode="External"/><Relationship Id="rId2169" Type="http://schemas.openxmlformats.org/officeDocument/2006/relationships/hyperlink" Target="http://www.broadinstitute.org/gsea/msigdb/cards/GSE29618_MONOCYTE_VS_PDC_DAY7_FLU_VACCINE_UP.html" TargetMode="External"/><Relationship Id="rId3990" Type="http://schemas.openxmlformats.org/officeDocument/2006/relationships/hyperlink" Target="http://www.broadinstitute.org/gsea/msigdb/cards/GSE19941_IL10_KO_VS_IL10_KO_AND_NFKBP50_KO_UNSTIM_MACROPHAGE_DN.html" TargetMode="External"/><Relationship Id="rId3991" Type="http://schemas.openxmlformats.org/officeDocument/2006/relationships/hyperlink" Target="http://www.broadinstitute.org/gsea/msigdb/cards/GSE19941_UNSTIM_VS_LPS_AND_IL10_STIM_IL10_KO_NFKBP50_KO_MACROPHAGE_DN.html" TargetMode="External"/><Relationship Id="rId3992" Type="http://schemas.openxmlformats.org/officeDocument/2006/relationships/hyperlink" Target="http://www.broadinstitute.org/gsea/msigdb/cards/GSE19941_IL10_KO_VS_IL10_KO_AND_NFKBP50_KO_LPS_AND_IL10_STIM_MACROPHAGE_UP.html" TargetMode="External"/><Relationship Id="rId3993" Type="http://schemas.openxmlformats.org/officeDocument/2006/relationships/hyperlink" Target="http://www.broadinstitute.org/gsea/msigdb/cards/GSE26290_WT_VS_PDK1_KO_ANTI_CD3_AND_IL2_STIM_CD8_TCELL_UP.html" TargetMode="External"/><Relationship Id="rId3994" Type="http://schemas.openxmlformats.org/officeDocument/2006/relationships/hyperlink" Target="http://www.broadinstitute.org/gsea/msigdb/cards/GSE21063_WT_VS_NFATC1_KO_3H_ANTI_IGM_STIM_BCELL_UP.html" TargetMode="External"/><Relationship Id="rId3995" Type="http://schemas.openxmlformats.org/officeDocument/2006/relationships/hyperlink" Target="http://www.broadinstitute.org/gsea/msigdb/cards/GSE23114_WT_VS_SLE2C1_MOUSE_SPLEEN_B1A_BCELL_UP.html" TargetMode="External"/><Relationship Id="rId3996" Type="http://schemas.openxmlformats.org/officeDocument/2006/relationships/hyperlink" Target="http://www.broadinstitute.org/gsea/msigdb/cards/GSE26727_WT_VS_KLF2_KO_LPS_STIM_MACROPHAGE_UP.html" TargetMode="External"/><Relationship Id="rId3997" Type="http://schemas.openxmlformats.org/officeDocument/2006/relationships/hyperlink" Target="http://www.broadinstitute.org/gsea/msigdb/cards/GSE26727_WT_VS_KLF2_KO_LPS_STIM_MACROPHAGE_DN.html" TargetMode="External"/><Relationship Id="rId3998" Type="http://schemas.openxmlformats.org/officeDocument/2006/relationships/hyperlink" Target="http://www.broadinstitute.org/gsea/msigdb/cards/GSE28726_ACT_CD4_TCELL_VS_ACT_VA24NEG_NKTCELL_DN.html" TargetMode="External"/><Relationship Id="rId3999" Type="http://schemas.openxmlformats.org/officeDocument/2006/relationships/hyperlink" Target="http://www.broadinstitute.org/gsea/msigdb/cards/GSE28726_NAIVE_VS_ACTIVATED_NKTCELL_DN.html" TargetMode="External"/><Relationship Id="rId1070" Type="http://schemas.openxmlformats.org/officeDocument/2006/relationships/hyperlink" Target="http://www.broadinstitute.org/gsea/msigdb/cards/GO_LYMPHOCYTE_DIFFERENTIATION.html" TargetMode="External"/><Relationship Id="rId1071" Type="http://schemas.openxmlformats.org/officeDocument/2006/relationships/hyperlink" Target="http://www.broadinstitute.org/gsea/msigdb/cards/GO_LOCOMOTION.html" TargetMode="External"/><Relationship Id="rId4350" Type="http://schemas.openxmlformats.org/officeDocument/2006/relationships/hyperlink" Target="http://www.broadinstitute.org/gsea/msigdb/cards/GSE13484_3H_UNSTIM_VS_YF17D_VACCINE_STIM_PBMC_UP.html" TargetMode="External"/><Relationship Id="rId4351" Type="http://schemas.openxmlformats.org/officeDocument/2006/relationships/hyperlink" Target="http://www.broadinstitute.org/gsea/msigdb/cards/GSE13738_RESTING_VS_TCR_ACTIVATED_CD4_TCELL_DN.html" TargetMode="External"/><Relationship Id="rId4352" Type="http://schemas.openxmlformats.org/officeDocument/2006/relationships/hyperlink" Target="http://www.broadinstitute.org/gsea/msigdb/cards/GSE13738_RESTING_VS_BYSTANDER_ACTIVATED_CD4_TCELL_UP.html" TargetMode="External"/><Relationship Id="rId4353" Type="http://schemas.openxmlformats.org/officeDocument/2006/relationships/hyperlink" Target="http://www.broadinstitute.org/gsea/msigdb/cards/GSE14026_TH1_VS_TH17_UP.html" TargetMode="External"/><Relationship Id="rId4354" Type="http://schemas.openxmlformats.org/officeDocument/2006/relationships/hyperlink" Target="http://www.broadinstitute.org/gsea/msigdb/cards/GSE14308_TH2_VS_NAIVE_CD4_TCELL_DN.html" TargetMode="External"/><Relationship Id="rId4355" Type="http://schemas.openxmlformats.org/officeDocument/2006/relationships/hyperlink" Target="http://www.broadinstitute.org/gsea/msigdb/cards/GSE14308_TH2_VS_NATURAL_TREG_DN.html" TargetMode="External"/><Relationship Id="rId4356" Type="http://schemas.openxmlformats.org/officeDocument/2006/relationships/hyperlink" Target="http://www.broadinstitute.org/gsea/msigdb/cards/GSE14308_TH1_VS_TH17_DN.html" TargetMode="External"/><Relationship Id="rId4357" Type="http://schemas.openxmlformats.org/officeDocument/2006/relationships/hyperlink" Target="http://www.broadinstitute.org/gsea/msigdb/cards/GSE1448_CTRL_VS_ANTI_VBETA5_DP_THYMOCYTE_UP.html" TargetMode="External"/><Relationship Id="rId4358" Type="http://schemas.openxmlformats.org/officeDocument/2006/relationships/hyperlink" Target="http://www.broadinstitute.org/gsea/msigdb/cards/GSE1448_ANTI_VALPHA2_VS_VBETA5_DP_THYMOCYTE_UP.html" TargetMode="External"/><Relationship Id="rId4359" Type="http://schemas.openxmlformats.org/officeDocument/2006/relationships/hyperlink" Target="http://www.broadinstitute.org/gsea/msigdb/cards/GSE1460_INTRATHYMIC_T_PROGENITOR_VS_DP_THYMOCYTE_UP.html" TargetMode="External"/><Relationship Id="rId1072" Type="http://schemas.openxmlformats.org/officeDocument/2006/relationships/hyperlink" Target="http://www.broadinstitute.org/gsea/msigdb/cards/GO_CYTOKINE_MEDIATED_SIGNALING_PATHWAY.html" TargetMode="External"/><Relationship Id="rId1073" Type="http://schemas.openxmlformats.org/officeDocument/2006/relationships/hyperlink" Target="http://www.broadinstitute.org/gsea/msigdb/cards/GO_LEUKOCYTE_MIGRATION.html" TargetMode="External"/><Relationship Id="rId1074" Type="http://schemas.openxmlformats.org/officeDocument/2006/relationships/hyperlink" Target="http://www.broadinstitute.org/gsea/msigdb/cards/GO_REGULATION_OF_DEFENSE_RESPONSE.html" TargetMode="External"/><Relationship Id="rId1075" Type="http://schemas.openxmlformats.org/officeDocument/2006/relationships/hyperlink" Target="http://www.broadinstitute.org/gsea/msigdb/cards/GO_IMMUNE_RESPONSE_REGULATING_CELL_SURFACE_RECEPTOR_SIGNALING_PATHWAY.html" TargetMode="External"/><Relationship Id="rId1076" Type="http://schemas.openxmlformats.org/officeDocument/2006/relationships/hyperlink" Target="http://www.broadinstitute.org/gsea/msigdb/cards/GO_REGULATION_OF_IMMUNE_EFFECTOR_PROCESS.html" TargetMode="External"/><Relationship Id="rId1077" Type="http://schemas.openxmlformats.org/officeDocument/2006/relationships/hyperlink" Target="http://www.broadinstitute.org/gsea/msigdb/cards/GO_POSITIVE_REGULATION_OF_LEUKOCYTE_PROLIFERATION.html" TargetMode="External"/><Relationship Id="rId1078" Type="http://schemas.openxmlformats.org/officeDocument/2006/relationships/hyperlink" Target="http://www.broadinstitute.org/gsea/msigdb/cards/GO_REGULATION_OF_T_CELL_PROLIFERATION.html" TargetMode="External"/><Relationship Id="rId1079" Type="http://schemas.openxmlformats.org/officeDocument/2006/relationships/hyperlink" Target="http://www.broadinstitute.org/gsea/msigdb/cards/GO_RESPONSE_TO_BIOTIC_STIMULUS.html" TargetMode="External"/><Relationship Id="rId3260" Type="http://schemas.openxmlformats.org/officeDocument/2006/relationships/hyperlink" Target="http://www.broadinstitute.org/gsea/msigdb/cards/GSE10325_BCELL_VS_LUPUS_BCELL_DN.html" TargetMode="External"/><Relationship Id="rId3261" Type="http://schemas.openxmlformats.org/officeDocument/2006/relationships/hyperlink" Target="http://www.broadinstitute.org/gsea/msigdb/cards/GSE11057_EFF_MEM_VS_CENT_MEM_CD4_TCELL_UP.html" TargetMode="External"/><Relationship Id="rId3262" Type="http://schemas.openxmlformats.org/officeDocument/2006/relationships/hyperlink" Target="http://www.broadinstitute.org/gsea/msigdb/cards/GSE13306_TREG_VS_TCONV_LAMINA_PROPRIA_UP.html" TargetMode="External"/><Relationship Id="rId3263" Type="http://schemas.openxmlformats.org/officeDocument/2006/relationships/hyperlink" Target="http://www.broadinstitute.org/gsea/msigdb/cards/GSE13306_TREG_VS_TCONV_LAMINA_PROPRIA_DN.html" TargetMode="External"/><Relationship Id="rId3264" Type="http://schemas.openxmlformats.org/officeDocument/2006/relationships/hyperlink" Target="http://www.broadinstitute.org/gsea/msigdb/cards/GSE13411_IGM_MEMORY_BCELL_VS_PLASMA_CELL_UP.html" TargetMode="External"/><Relationship Id="rId3265" Type="http://schemas.openxmlformats.org/officeDocument/2006/relationships/hyperlink" Target="http://www.broadinstitute.org/gsea/msigdb/cards/GSE13484_12H_UNSTIM_VS_YF17D_VACCINE_STIM_PBMC_UP.html" TargetMode="External"/><Relationship Id="rId3266" Type="http://schemas.openxmlformats.org/officeDocument/2006/relationships/hyperlink" Target="http://www.broadinstitute.org/gsea/msigdb/cards/GSE13484_12H_VS_3H_YF17D_VACCINE_STIM_PBMC_DN.html" TargetMode="External"/><Relationship Id="rId3267" Type="http://schemas.openxmlformats.org/officeDocument/2006/relationships/hyperlink" Target="http://www.broadinstitute.org/gsea/msigdb/cards/GSE13738_TCR_VS_BYSTANDER_ACTIVATED_CD4_TCELL_DN.html" TargetMode="External"/><Relationship Id="rId3268" Type="http://schemas.openxmlformats.org/officeDocument/2006/relationships/hyperlink" Target="http://www.broadinstitute.org/gsea/msigdb/cards/GSE1432_1H_VS_24H_IFNG_MICROGLIA_UP.html" TargetMode="External"/><Relationship Id="rId3269" Type="http://schemas.openxmlformats.org/officeDocument/2006/relationships/hyperlink" Target="http://www.broadinstitute.org/gsea/msigdb/cards/GSE14769_UNSTIM_VS_40MIN_LPS_BMDM_DN.html" TargetMode="External"/><Relationship Id="rId560" Type="http://schemas.openxmlformats.org/officeDocument/2006/relationships/hyperlink" Target="http://www.broadinstitute.org/gsea/msigdb/cards/GRABARCZYK_BCL11B_TARGETS_UP.html" TargetMode="External"/><Relationship Id="rId561" Type="http://schemas.openxmlformats.org/officeDocument/2006/relationships/hyperlink" Target="http://www.broadinstitute.org/gsea/msigdb/cards/LEE_BMP2_TARGETS_UP.html" TargetMode="External"/><Relationship Id="rId562" Type="http://schemas.openxmlformats.org/officeDocument/2006/relationships/hyperlink" Target="http://www.broadinstitute.org/gsea/msigdb/cards/SCHLOSSER_SERUM_RESPONSE_UP.html" TargetMode="External"/><Relationship Id="rId563" Type="http://schemas.openxmlformats.org/officeDocument/2006/relationships/hyperlink" Target="http://www.broadinstitute.org/gsea/msigdb/cards/GEISS_RESPONSE_TO_DSRNA_UP.html" TargetMode="External"/><Relationship Id="rId564" Type="http://schemas.openxmlformats.org/officeDocument/2006/relationships/hyperlink" Target="http://www.broadinstitute.org/gsea/msigdb/cards/REACTOME_CTLA4_INHIBITORY_SIGNALING.html" TargetMode="External"/><Relationship Id="rId565" Type="http://schemas.openxmlformats.org/officeDocument/2006/relationships/hyperlink" Target="http://www.broadinstitute.org/gsea/msigdb/cards/PEREZ_TP53_TARGETS.html" TargetMode="External"/><Relationship Id="rId566" Type="http://schemas.openxmlformats.org/officeDocument/2006/relationships/hyperlink" Target="http://www.broadinstitute.org/gsea/msigdb/cards/GAZDA_DIAMOND_BLACKFAN_ANEMIA_PROGENITOR_UP.html" TargetMode="External"/><Relationship Id="rId567" Type="http://schemas.openxmlformats.org/officeDocument/2006/relationships/hyperlink" Target="http://www.broadinstitute.org/gsea/msigdb/cards/MA_MYELOID_DIFFERENTIATION_UP.html" TargetMode="External"/><Relationship Id="rId568" Type="http://schemas.openxmlformats.org/officeDocument/2006/relationships/hyperlink" Target="http://www.broadinstitute.org/gsea/msigdb/cards/ACEVEDO_LIVER_CANCER_WITH_H3K27ME3_UP.html" TargetMode="External"/><Relationship Id="rId569" Type="http://schemas.openxmlformats.org/officeDocument/2006/relationships/hyperlink" Target="http://www.broadinstitute.org/gsea/msigdb/cards/BIOCARTA_CYTOKINE_PATHWAY.html" TargetMode="External"/><Relationship Id="rId50" Type="http://schemas.openxmlformats.org/officeDocument/2006/relationships/hyperlink" Target="http://www.broadinstitute.org/gsea/msigdb/cards/PUJANA_ATM_PCC_NETWORK.html" TargetMode="External"/><Relationship Id="rId51" Type="http://schemas.openxmlformats.org/officeDocument/2006/relationships/hyperlink" Target="http://www.broadinstitute.org/gsea/msigdb/cards/HOSHIDA_LIVER_CANCER_SUBCLASS_S1.html" TargetMode="External"/><Relationship Id="rId52" Type="http://schemas.openxmlformats.org/officeDocument/2006/relationships/hyperlink" Target="http://www.broadinstitute.org/gsea/msigdb/cards/VERHAAK_AML_WITH_NPM1_MUTATED_UP.html" TargetMode="External"/><Relationship Id="rId53" Type="http://schemas.openxmlformats.org/officeDocument/2006/relationships/hyperlink" Target="http://www.broadinstitute.org/gsea/msigdb/cards/TONKS_TARGETS_OF_RUNX1_RUNX1T1_FUSION_HSC_DN.html" TargetMode="External"/><Relationship Id="rId54" Type="http://schemas.openxmlformats.org/officeDocument/2006/relationships/hyperlink" Target="http://www.broadinstitute.org/gsea/msigdb/cards/CHYLA_CBFA2T3_TARGETS_UP.html" TargetMode="External"/><Relationship Id="rId55" Type="http://schemas.openxmlformats.org/officeDocument/2006/relationships/hyperlink" Target="http://www.broadinstitute.org/gsea/msigdb/cards/LI_INDUCED_T_TO_NATURAL_KILLER_UP.html" TargetMode="External"/><Relationship Id="rId56" Type="http://schemas.openxmlformats.org/officeDocument/2006/relationships/hyperlink" Target="http://www.broadinstitute.org/gsea/msigdb/cards/KEGG_CELL_ADHESION_MOLECULES_CAMS.html" TargetMode="External"/><Relationship Id="rId57" Type="http://schemas.openxmlformats.org/officeDocument/2006/relationships/hyperlink" Target="http://www.broadinstitute.org/gsea/msigdb/cards/RUTELLA_RESPONSE_TO_HGF_UP.html" TargetMode="External"/><Relationship Id="rId58" Type="http://schemas.openxmlformats.org/officeDocument/2006/relationships/hyperlink" Target="http://www.broadinstitute.org/gsea/msigdb/cards/PILON_KLF1_TARGETS_DN.html" TargetMode="External"/><Relationship Id="rId59" Type="http://schemas.openxmlformats.org/officeDocument/2006/relationships/hyperlink" Target="http://www.broadinstitute.org/gsea/msigdb/cards/KEGG_CYTOKINE_CYTOKINE_RECEPTOR_INTERACTION.html" TargetMode="External"/><Relationship Id="rId2170" Type="http://schemas.openxmlformats.org/officeDocument/2006/relationships/hyperlink" Target="http://www.broadinstitute.org/gsea/msigdb/cards/GSE21670_STAT3_KO_VS_WT_CD4_TCELL_TGFB_IL6_TREATED_DN.html" TargetMode="External"/><Relationship Id="rId2171" Type="http://schemas.openxmlformats.org/officeDocument/2006/relationships/hyperlink" Target="http://www.broadinstitute.org/gsea/msigdb/cards/GSE34156_NOD2_LIGAND_VS_TLR1_TLR2_LIGAND_6H_TREATED_MONOCYTE_DN.html" TargetMode="External"/><Relationship Id="rId2172" Type="http://schemas.openxmlformats.org/officeDocument/2006/relationships/hyperlink" Target="http://www.broadinstitute.org/gsea/msigdb/cards/GSE22886_NAIVE_CD4_TCELL_VS_MONOCYTE_DN.html" TargetMode="External"/><Relationship Id="rId2173" Type="http://schemas.openxmlformats.org/officeDocument/2006/relationships/hyperlink" Target="http://www.broadinstitute.org/gsea/msigdb/cards/GSE7218_IGM_VS_IGG_SIGNAL_THGOUGH_ANTIGEN_BCELL_DN.html" TargetMode="External"/><Relationship Id="rId2174" Type="http://schemas.openxmlformats.org/officeDocument/2006/relationships/hyperlink" Target="http://www.broadinstitute.org/gsea/msigdb/cards/GSE22886_NAIVE_CD8_TCELL_VS_MONOCYTE_UP.html" TargetMode="External"/><Relationship Id="rId2175" Type="http://schemas.openxmlformats.org/officeDocument/2006/relationships/hyperlink" Target="http://www.broadinstitute.org/gsea/msigdb/cards/GSE29618_MONOCYTE_VS_MDC_UP.html" TargetMode="External"/><Relationship Id="rId2176" Type="http://schemas.openxmlformats.org/officeDocument/2006/relationships/hyperlink" Target="http://www.broadinstitute.org/gsea/msigdb/cards/GSE34156_UNTREATED_VS_24H_NOD2_LIGAND_TREATED_MONOCYTE_DN.html" TargetMode="External"/><Relationship Id="rId2177" Type="http://schemas.openxmlformats.org/officeDocument/2006/relationships/hyperlink" Target="http://www.broadinstitute.org/gsea/msigdb/cards/GSE7509_UNSTIM_VS_FCGRIIB_STIM_DC_DN.html" TargetMode="External"/><Relationship Id="rId2178" Type="http://schemas.openxmlformats.org/officeDocument/2006/relationships/hyperlink" Target="http://www.broadinstitute.org/gsea/msigdb/cards/GSE26495_NAIVE_VS_PD1LOW_CD8_TCELL_DN.html" TargetMode="External"/><Relationship Id="rId2179" Type="http://schemas.openxmlformats.org/officeDocument/2006/relationships/hyperlink" Target="http://www.broadinstitute.org/gsea/msigdb/cards/GSE32533_MIR17_KO_VS_MIR17_OVEREXPRESS_ACT_CD4_TCELL_UP.html" TargetMode="External"/><Relationship Id="rId1080" Type="http://schemas.openxmlformats.org/officeDocument/2006/relationships/hyperlink" Target="http://www.broadinstitute.org/gsea/msigdb/cards/GO_POSITIVE_REGULATION_OF_T_CELL_PROLIFERATION.html" TargetMode="External"/><Relationship Id="rId1081" Type="http://schemas.openxmlformats.org/officeDocument/2006/relationships/hyperlink" Target="http://www.broadinstitute.org/gsea/msigdb/cards/GO_POSITIVE_REGULATION_OF_MULTICELLULAR_ORGANISMAL_PROCESS.html" TargetMode="External"/><Relationship Id="rId1082" Type="http://schemas.openxmlformats.org/officeDocument/2006/relationships/hyperlink" Target="http://www.broadinstitute.org/gsea/msigdb/cards/GO_NEGATIVE_REGULATION_OF_IMMUNE_SYSTEM_PROCESS.html" TargetMode="External"/><Relationship Id="rId1083" Type="http://schemas.openxmlformats.org/officeDocument/2006/relationships/hyperlink" Target="http://www.broadinstitute.org/gsea/msigdb/cards/GO_CELLULAR_RESPONSE_TO_ORGANIC_SUBSTANCE.html" TargetMode="External"/><Relationship Id="rId1084" Type="http://schemas.openxmlformats.org/officeDocument/2006/relationships/hyperlink" Target="http://www.broadinstitute.org/gsea/msigdb/cards/GO_REGULATION_OF_CELL_PROLIFERATION.html" TargetMode="External"/><Relationship Id="rId4360" Type="http://schemas.openxmlformats.org/officeDocument/2006/relationships/hyperlink" Target="http://www.broadinstitute.org/gsea/msigdb/cards/GSE1460_CD4_THYMOCYTE_VS_NAIVE_CD4_TCELL_ADULT_BLOOD_DN.html" TargetMode="External"/><Relationship Id="rId4361" Type="http://schemas.openxmlformats.org/officeDocument/2006/relationships/hyperlink" Target="http://www.broadinstitute.org/gsea/msigdb/cards/GSE14769_20MIN_VS_360MIN_LPS_BMDM_UP.html" TargetMode="External"/><Relationship Id="rId4362" Type="http://schemas.openxmlformats.org/officeDocument/2006/relationships/hyperlink" Target="http://www.broadinstitute.org/gsea/msigdb/cards/GSE15659_CD45RA_NEG_CD4_TCELL_VS_ACTIVATED_TREG_DN.html" TargetMode="External"/><Relationship Id="rId4363" Type="http://schemas.openxmlformats.org/officeDocument/2006/relationships/hyperlink" Target="http://www.broadinstitute.org/gsea/msigdb/cards/GSE15930_NAIVE_VS_24H_IN_VITRO_STIM_IL12_CD8_TCELL_UP.html" TargetMode="External"/><Relationship Id="rId4364" Type="http://schemas.openxmlformats.org/officeDocument/2006/relationships/hyperlink" Target="http://www.broadinstitute.org/gsea/msigdb/cards/GSE15930_STIM_VS_STIM_AND_TRICHOSTATINA_24H_CD8_T_CELL_UP.html" TargetMode="External"/><Relationship Id="rId4365" Type="http://schemas.openxmlformats.org/officeDocument/2006/relationships/hyperlink" Target="http://www.broadinstitute.org/gsea/msigdb/cards/GSE16522_MEMORY_VS_NAIVE_CD8_TCELL_UP.html" TargetMode="External"/><Relationship Id="rId4366" Type="http://schemas.openxmlformats.org/officeDocument/2006/relationships/hyperlink" Target="http://www.broadinstitute.org/gsea/msigdb/cards/GSE17721_CTRL_VS_LPS_0.5H_BMDC_UP.html" TargetMode="External"/><Relationship Id="rId4367" Type="http://schemas.openxmlformats.org/officeDocument/2006/relationships/hyperlink" Target="http://www.broadinstitute.org/gsea/msigdb/cards/GSE17721_CTRL_VS_POLYIC_4H_BMDC_DN.html" TargetMode="External"/><Relationship Id="rId4368" Type="http://schemas.openxmlformats.org/officeDocument/2006/relationships/hyperlink" Target="http://www.broadinstitute.org/gsea/msigdb/cards/GSE17721_CTRL_VS_PAM3CSK4_1H_BMDC_DN.html" TargetMode="External"/><Relationship Id="rId4369" Type="http://schemas.openxmlformats.org/officeDocument/2006/relationships/hyperlink" Target="http://www.broadinstitute.org/gsea/msigdb/cards/GSE17721_CTRL_VS_CPG_8H_BMDC_UP.html" TargetMode="External"/><Relationship Id="rId1085" Type="http://schemas.openxmlformats.org/officeDocument/2006/relationships/hyperlink" Target="http://www.broadinstitute.org/gsea/msigdb/cards/GO_REGULATION_OF_LEUKOCYTE_MEDIATED_IMMUNITY.html" TargetMode="External"/><Relationship Id="rId1086" Type="http://schemas.openxmlformats.org/officeDocument/2006/relationships/hyperlink" Target="http://www.broadinstitute.org/gsea/msigdb/cards/GO_T_CELL_DIFFERENTIATION.html" TargetMode="External"/><Relationship Id="rId1087" Type="http://schemas.openxmlformats.org/officeDocument/2006/relationships/hyperlink" Target="http://www.broadinstitute.org/gsea/msigdb/cards/GO_REGULATION_OF_LEUKOCYTE_DIFFERENTIATION.html" TargetMode="External"/><Relationship Id="rId1088" Type="http://schemas.openxmlformats.org/officeDocument/2006/relationships/hyperlink" Target="http://www.broadinstitute.org/gsea/msigdb/cards/GO_REGULATION_OF_RESPONSE_TO_STRESS.html" TargetMode="External"/><Relationship Id="rId1089" Type="http://schemas.openxmlformats.org/officeDocument/2006/relationships/hyperlink" Target="http://www.broadinstitute.org/gsea/msigdb/cards/GO_CELL_MOTILITY.html" TargetMode="External"/><Relationship Id="rId3270" Type="http://schemas.openxmlformats.org/officeDocument/2006/relationships/hyperlink" Target="http://www.broadinstitute.org/gsea/msigdb/cards/GSE17580_TREG_VS_TEFF_S_MANSONI_INF_DN.html" TargetMode="External"/><Relationship Id="rId3271" Type="http://schemas.openxmlformats.org/officeDocument/2006/relationships/hyperlink" Target="http://www.broadinstitute.org/gsea/msigdb/cards/GSE17580_UNINFECTED_VS_S_MANSONI_INF_TREG_UP.html" TargetMode="External"/><Relationship Id="rId3272" Type="http://schemas.openxmlformats.org/officeDocument/2006/relationships/hyperlink" Target="http://www.broadinstitute.org/gsea/msigdb/cards/GSE17721_LPS_VS_POLYIC_1H_BMDC_UP.html" TargetMode="External"/><Relationship Id="rId3273" Type="http://schemas.openxmlformats.org/officeDocument/2006/relationships/hyperlink" Target="http://www.broadinstitute.org/gsea/msigdb/cards/GSE17721_LPS_VS_POLYIC_12H_BMDC_DN.html" TargetMode="External"/><Relationship Id="rId3274" Type="http://schemas.openxmlformats.org/officeDocument/2006/relationships/hyperlink" Target="http://www.broadinstitute.org/gsea/msigdb/cards/GSE17721_POLYIC_VS_PAM3CSK4_2H_BMDC_UP.html" TargetMode="External"/><Relationship Id="rId3275" Type="http://schemas.openxmlformats.org/officeDocument/2006/relationships/hyperlink" Target="http://www.broadinstitute.org/gsea/msigdb/cards/GSE17721_POLYIC_VS_PAM3CSK4_6H_BMDC_UP.html" TargetMode="External"/><Relationship Id="rId3276" Type="http://schemas.openxmlformats.org/officeDocument/2006/relationships/hyperlink" Target="http://www.broadinstitute.org/gsea/msigdb/cards/GSE17721_PAM3CSK4_VS_CPG_8H_BMDC_DN.html" TargetMode="External"/><Relationship Id="rId3277" Type="http://schemas.openxmlformats.org/officeDocument/2006/relationships/hyperlink" Target="http://www.broadinstitute.org/gsea/msigdb/cards/GSE17721_CPG_VS_GARDIQUIMOD_4H_BMDC_UP.html" TargetMode="External"/><Relationship Id="rId3278" Type="http://schemas.openxmlformats.org/officeDocument/2006/relationships/hyperlink" Target="http://www.broadinstitute.org/gsea/msigdb/cards/GSE17721_LPS_VS_PAM3CSK4_6H_BMDC_UP.html" TargetMode="External"/><Relationship Id="rId3279" Type="http://schemas.openxmlformats.org/officeDocument/2006/relationships/hyperlink" Target="http://www.broadinstitute.org/gsea/msigdb/cards/GSE17721_LPS_VS_CPG_8H_BMDC_UP.html" TargetMode="External"/><Relationship Id="rId570" Type="http://schemas.openxmlformats.org/officeDocument/2006/relationships/hyperlink" Target="http://www.broadinstitute.org/gsea/msigdb/cards/PID_CMYB_PATHWAY.html" TargetMode="External"/><Relationship Id="rId571" Type="http://schemas.openxmlformats.org/officeDocument/2006/relationships/hyperlink" Target="http://www.broadinstitute.org/gsea/msigdb/cards/REACTOME_CD28_DEPENDENT_PI3K_AKT_SIGNALING.html" TargetMode="External"/><Relationship Id="rId572" Type="http://schemas.openxmlformats.org/officeDocument/2006/relationships/hyperlink" Target="http://www.broadinstitute.org/gsea/msigdb/cards/CHEOK_RESPONSE_TO_MERCAPTOPURINE_DN.html" TargetMode="External"/><Relationship Id="rId573" Type="http://schemas.openxmlformats.org/officeDocument/2006/relationships/hyperlink" Target="http://www.broadinstitute.org/gsea/msigdb/cards/PID_IFNG_PATHWAY.html" TargetMode="External"/><Relationship Id="rId574" Type="http://schemas.openxmlformats.org/officeDocument/2006/relationships/hyperlink" Target="http://www.broadinstitute.org/gsea/msigdb/cards/WAMUNYOKOLI_OVARIAN_CANCER_LMP_DN.html" TargetMode="External"/><Relationship Id="rId575" Type="http://schemas.openxmlformats.org/officeDocument/2006/relationships/hyperlink" Target="http://www.broadinstitute.org/gsea/msigdb/cards/RASHI_RESPONSE_TO_IONIZING_RADIATION_4.html" TargetMode="External"/><Relationship Id="rId576" Type="http://schemas.openxmlformats.org/officeDocument/2006/relationships/hyperlink" Target="http://www.broadinstitute.org/gsea/msigdb/cards/BOYLAN_MULTIPLE_MYELOMA_D_CLUSTER_DN.html" TargetMode="External"/><Relationship Id="rId577" Type="http://schemas.openxmlformats.org/officeDocument/2006/relationships/hyperlink" Target="http://www.broadinstitute.org/gsea/msigdb/cards/FIGUEROA_AML_METHYLATION_CLUSTER_2_DN.html" TargetMode="External"/><Relationship Id="rId578" Type="http://schemas.openxmlformats.org/officeDocument/2006/relationships/hyperlink" Target="http://www.broadinstitute.org/gsea/msigdb/cards/OSMAN_BLADDER_CANCER_DN.html" TargetMode="External"/><Relationship Id="rId579" Type="http://schemas.openxmlformats.org/officeDocument/2006/relationships/hyperlink" Target="http://www.broadinstitute.org/gsea/msigdb/cards/LAIHO_COLORECTAL_CANCER_SERRATED_UP.html" TargetMode="External"/><Relationship Id="rId60" Type="http://schemas.openxmlformats.org/officeDocument/2006/relationships/hyperlink" Target="http://www.broadinstitute.org/gsea/msigdb/cards/BROWN_MYELOID_CELL_DEVELOPMENT_UP.html" TargetMode="External"/><Relationship Id="rId61" Type="http://schemas.openxmlformats.org/officeDocument/2006/relationships/hyperlink" Target="http://www.broadinstitute.org/gsea/msigdb/cards/ICHIBA_GRAFT_VERSUS_HOST_DISEASE_D7_UP.html" TargetMode="External"/><Relationship Id="rId62" Type="http://schemas.openxmlformats.org/officeDocument/2006/relationships/hyperlink" Target="http://www.broadinstitute.org/gsea/msigdb/cards/REACTOME_IMMUNOREGULATORY_INTERACTIONS_BETWEEN_A_LYMPHOID_AND_A_NON_LYMPHOID_CELL.html" TargetMode="External"/><Relationship Id="rId63" Type="http://schemas.openxmlformats.org/officeDocument/2006/relationships/hyperlink" Target="http://www.broadinstitute.org/gsea/msigdb/cards/KEGG_LEISHMANIA_INFECTION.html" TargetMode="External"/><Relationship Id="rId64" Type="http://schemas.openxmlformats.org/officeDocument/2006/relationships/hyperlink" Target="http://www.broadinstitute.org/gsea/msigdb/cards/PID_IL12_2PATHWAY.html" TargetMode="External"/><Relationship Id="rId65" Type="http://schemas.openxmlformats.org/officeDocument/2006/relationships/hyperlink" Target="http://www.broadinstitute.org/gsea/msigdb/cards/MULLIGHAN_MLL_SIGNATURE_2_UP.html" TargetMode="External"/><Relationship Id="rId66" Type="http://schemas.openxmlformats.org/officeDocument/2006/relationships/hyperlink" Target="http://www.broadinstitute.org/gsea/msigdb/cards/SANSOM_APC_TARGETS_DN.html" TargetMode="External"/><Relationship Id="rId67" Type="http://schemas.openxmlformats.org/officeDocument/2006/relationships/hyperlink" Target="http://www.broadinstitute.org/gsea/msigdb/cards/GAURNIER_PSMD4_TARGETS.html" TargetMode="External"/><Relationship Id="rId68" Type="http://schemas.openxmlformats.org/officeDocument/2006/relationships/hyperlink" Target="http://www.broadinstitute.org/gsea/msigdb/cards/MULLIGHAN_MLL_SIGNATURE_1_UP.html" TargetMode="External"/><Relationship Id="rId69" Type="http://schemas.openxmlformats.org/officeDocument/2006/relationships/hyperlink" Target="http://www.broadinstitute.org/gsea/msigdb/cards/BASSO_CD40_SIGNALING_UP.html" TargetMode="External"/><Relationship Id="rId2180" Type="http://schemas.openxmlformats.org/officeDocument/2006/relationships/hyperlink" Target="http://www.broadinstitute.org/gsea/msigdb/cards/GSE11057_CD4_EFF_MEM_VS_PBMC_DN.html" TargetMode="External"/><Relationship Id="rId2181" Type="http://schemas.openxmlformats.org/officeDocument/2006/relationships/hyperlink" Target="http://www.broadinstitute.org/gsea/msigdb/cards/GSE3565_CTRL_VS_LPS_INJECTED_DUSP1_KO_SPLENOCYTES_UP.html" TargetMode="External"/><Relationship Id="rId2182" Type="http://schemas.openxmlformats.org/officeDocument/2006/relationships/hyperlink" Target="http://www.broadinstitute.org/gsea/msigdb/cards/GSE43863_DAY6_EFF_VS_DAY150_MEM_LY6C_INT_CXCR5POS_CD4_TCELL_DN.html" TargetMode="External"/><Relationship Id="rId2183" Type="http://schemas.openxmlformats.org/officeDocument/2006/relationships/hyperlink" Target="http://www.broadinstitute.org/gsea/msigdb/cards/GSE22313_HEALTHY_VS_SLE_MOUSE_CD4_TCELL_DN.html" TargetMode="External"/><Relationship Id="rId2184" Type="http://schemas.openxmlformats.org/officeDocument/2006/relationships/hyperlink" Target="http://www.broadinstitute.org/gsea/msigdb/cards/GSE24634_IL4_VS_CTRL_TREATED_NAIVE_CD4_TCELL_DAY3_DN.html" TargetMode="External"/><Relationship Id="rId2185" Type="http://schemas.openxmlformats.org/officeDocument/2006/relationships/hyperlink" Target="http://www.broadinstitute.org/gsea/msigdb/cards/GSE29618_BCELL_VS_MONOCYTE_DN.html" TargetMode="External"/><Relationship Id="rId2186" Type="http://schemas.openxmlformats.org/officeDocument/2006/relationships/hyperlink" Target="http://www.broadinstitute.org/gsea/msigdb/cards/GSE21670_UNTREATED_VS_IL6_TREATED_STAT3_KO_CD4_TCELL_UP.html" TargetMode="External"/><Relationship Id="rId2187" Type="http://schemas.openxmlformats.org/officeDocument/2006/relationships/hyperlink" Target="http://www.broadinstitute.org/gsea/msigdb/cards/GSE37301_HEMATOPOIETIC_STEM_CELL_VS_CD4_TCELL_UP.html" TargetMode="External"/><Relationship Id="rId2188" Type="http://schemas.openxmlformats.org/officeDocument/2006/relationships/hyperlink" Target="http://www.broadinstitute.org/gsea/msigdb/cards/GSE41867_MEMORY_VS_EXHAUSTED_CD8_TCELL_DAY30_LCMV_UP.html" TargetMode="External"/><Relationship Id="rId2189" Type="http://schemas.openxmlformats.org/officeDocument/2006/relationships/hyperlink" Target="http://www.broadinstitute.org/gsea/msigdb/cards/GSE22886_NAIVE_BCELL_VS_NEUTROPHIL_DN.html" TargetMode="External"/><Relationship Id="rId1090" Type="http://schemas.openxmlformats.org/officeDocument/2006/relationships/hyperlink" Target="http://www.broadinstitute.org/gsea/msigdb/cards/GO_REGULATION_OF_HEMOPOIESIS.html" TargetMode="External"/><Relationship Id="rId1091" Type="http://schemas.openxmlformats.org/officeDocument/2006/relationships/hyperlink" Target="http://www.broadinstitute.org/gsea/msigdb/cards/GO_LYMPHOCYTE_COSTIMULATION.html" TargetMode="External"/><Relationship Id="rId1092" Type="http://schemas.openxmlformats.org/officeDocument/2006/relationships/hyperlink" Target="http://www.broadinstitute.org/gsea/msigdb/cards/GO_ANTIGEN_RECEPTOR_MEDIATED_SIGNALING_PATHWAY.html" TargetMode="External"/><Relationship Id="rId1093" Type="http://schemas.openxmlformats.org/officeDocument/2006/relationships/hyperlink" Target="http://www.broadinstitute.org/gsea/msigdb/cards/GO_RESPONSE_TO_BACTERIUM.html" TargetMode="External"/><Relationship Id="rId1094" Type="http://schemas.openxmlformats.org/officeDocument/2006/relationships/hyperlink" Target="http://www.broadinstitute.org/gsea/msigdb/cards/GO_REGULATION_OF_RESPONSE_TO_EXTERNAL_STIMULUS.html" TargetMode="External"/><Relationship Id="rId4370" Type="http://schemas.openxmlformats.org/officeDocument/2006/relationships/hyperlink" Target="http://www.broadinstitute.org/gsea/msigdb/cards/GSE17721_CTRL_VS_GARDIQUIMOD_4H_BMDC_DN.html" TargetMode="External"/><Relationship Id="rId4371" Type="http://schemas.openxmlformats.org/officeDocument/2006/relationships/hyperlink" Target="http://www.broadinstitute.org/gsea/msigdb/cards/GSE17721_CTRL_VS_GARDIQUIMOD_24H_BMDC_UP.html" TargetMode="External"/><Relationship Id="rId4372" Type="http://schemas.openxmlformats.org/officeDocument/2006/relationships/hyperlink" Target="http://www.broadinstitute.org/gsea/msigdb/cards/GSE17721_LPS_VS_POLYIC_8H_BMDC_UP.html" TargetMode="External"/><Relationship Id="rId4373" Type="http://schemas.openxmlformats.org/officeDocument/2006/relationships/hyperlink" Target="http://www.broadinstitute.org/gsea/msigdb/cards/GSE17721_POLYIC_VS_PAM3CSK4_24H_BMDC_DN.html" TargetMode="External"/><Relationship Id="rId4374" Type="http://schemas.openxmlformats.org/officeDocument/2006/relationships/hyperlink" Target="http://www.broadinstitute.org/gsea/msigdb/cards/GSE17721_PAM3CSK4_VS_CPG_2H_BMDC_UP.html" TargetMode="External"/><Relationship Id="rId4375" Type="http://schemas.openxmlformats.org/officeDocument/2006/relationships/hyperlink" Target="http://www.broadinstitute.org/gsea/msigdb/cards/GSE17721_CPG_VS_GARDIQUIMOD_6H_BMDC_DN.html" TargetMode="External"/><Relationship Id="rId4376" Type="http://schemas.openxmlformats.org/officeDocument/2006/relationships/hyperlink" Target="http://www.broadinstitute.org/gsea/msigdb/cards/GSE17721_CPG_VS_GARDIQUIMOD_8H_BMDC_UP.html" TargetMode="External"/><Relationship Id="rId4377" Type="http://schemas.openxmlformats.org/officeDocument/2006/relationships/hyperlink" Target="http://www.broadinstitute.org/gsea/msigdb/cards/GSE17721_CPG_VS_GARDIQUIMOD_16H_BMDC_UP.html" TargetMode="External"/><Relationship Id="rId4378" Type="http://schemas.openxmlformats.org/officeDocument/2006/relationships/hyperlink" Target="http://www.broadinstitute.org/gsea/msigdb/cards/GSE17721_LPS_VS_PAM3CSK4_0.5H_BMDC_DN.html" TargetMode="External"/><Relationship Id="rId4379" Type="http://schemas.openxmlformats.org/officeDocument/2006/relationships/hyperlink" Target="http://www.broadinstitute.org/gsea/msigdb/cards/GSE17721_LPS_VS_PAM3CSK4_8H_BMDC_DN.html" TargetMode="External"/><Relationship Id="rId1095" Type="http://schemas.openxmlformats.org/officeDocument/2006/relationships/hyperlink" Target="http://www.broadinstitute.org/gsea/msigdb/cards/GO_REGULATION_OF_INTERFERON_GAMMA_PRODUCTION.html" TargetMode="External"/><Relationship Id="rId1096" Type="http://schemas.openxmlformats.org/officeDocument/2006/relationships/hyperlink" Target="http://www.broadinstitute.org/gsea/msigdb/cards/GO_REGULATION_OF_ADAPTIVE_IMMUNE_RESPONSE.html" TargetMode="External"/><Relationship Id="rId1097" Type="http://schemas.openxmlformats.org/officeDocument/2006/relationships/hyperlink" Target="http://www.broadinstitute.org/gsea/msigdb/cards/GO_POSITIVE_REGULATION_OF_CELL_PROLIFERATION.html" TargetMode="External"/><Relationship Id="rId1098" Type="http://schemas.openxmlformats.org/officeDocument/2006/relationships/hyperlink" Target="http://www.broadinstitute.org/gsea/msigdb/cards/GO_RECEPTOR_BINDING.html" TargetMode="External"/><Relationship Id="rId1099" Type="http://schemas.openxmlformats.org/officeDocument/2006/relationships/hyperlink" Target="http://www.broadinstitute.org/gsea/msigdb/cards/GO_MOVEMENT_OF_CELL_OR_SUBCELLULAR_COMPONENT.html" TargetMode="External"/><Relationship Id="rId3280" Type="http://schemas.openxmlformats.org/officeDocument/2006/relationships/hyperlink" Target="http://www.broadinstitute.org/gsea/msigdb/cards/GSE17721_POLYIC_VS_GARDIQUIMOD_2H_BMDC_DN.html" TargetMode="External"/><Relationship Id="rId3281" Type="http://schemas.openxmlformats.org/officeDocument/2006/relationships/hyperlink" Target="http://www.broadinstitute.org/gsea/msigdb/cards/GSE17721_4_VS_24H_GARDIQUIMOD_BMDC_UP.html" TargetMode="External"/><Relationship Id="rId3282" Type="http://schemas.openxmlformats.org/officeDocument/2006/relationships/hyperlink" Target="http://www.broadinstitute.org/gsea/msigdb/cards/GSE17974_0H_VS_6H_IN_VITRO_ACT_CD4_TCELL_UP.html" TargetMode="External"/><Relationship Id="rId3283" Type="http://schemas.openxmlformats.org/officeDocument/2006/relationships/hyperlink" Target="http://www.broadinstitute.org/gsea/msigdb/cards/GSE17974_CTRL_VS_ACT_IL4_AND_ANTI_IL12_4H_CD4_TCELL_UP.html" TargetMode="External"/><Relationship Id="rId3284" Type="http://schemas.openxmlformats.org/officeDocument/2006/relationships/hyperlink" Target="http://www.broadinstitute.org/gsea/msigdb/cards/GSE17974_CTRL_VS_ACT_IL4_AND_ANTI_IL12_48H_CD4_TCELL_UP.html" TargetMode="External"/><Relationship Id="rId3285" Type="http://schemas.openxmlformats.org/officeDocument/2006/relationships/hyperlink" Target="http://www.broadinstitute.org/gsea/msigdb/cards/GSE17974_IL4_AND_ANTI_IL12_VS_UNTREATED_48H_ACT_CD4_TCELL_UP.html" TargetMode="External"/><Relationship Id="rId3286" Type="http://schemas.openxmlformats.org/officeDocument/2006/relationships/hyperlink" Target="http://www.broadinstitute.org/gsea/msigdb/cards/GSE18791_CTRL_VS_NEWCASTLE_VIRUS_DC_16H_DN.html" TargetMode="External"/><Relationship Id="rId3287" Type="http://schemas.openxmlformats.org/officeDocument/2006/relationships/hyperlink" Target="http://www.broadinstitute.org/gsea/msigdb/cards/GSE18791_CTRL_VS_NEWCASTLE_VIRUS_DC_18H_DN.html" TargetMode="External"/><Relationship Id="rId3288" Type="http://schemas.openxmlformats.org/officeDocument/2006/relationships/hyperlink" Target="http://www.broadinstitute.org/gsea/msigdb/cards/GSE19825_CD24LOW_VS_IL2RA_HIGH_DAY3_EFF_CD8_TCELL_UP.html" TargetMode="External"/><Relationship Id="rId3289" Type="http://schemas.openxmlformats.org/officeDocument/2006/relationships/hyperlink" Target="http://www.broadinstitute.org/gsea/msigdb/cards/GSE20366_TREG_VS_TCONV_DN.html" TargetMode="External"/><Relationship Id="rId580" Type="http://schemas.openxmlformats.org/officeDocument/2006/relationships/hyperlink" Target="http://www.broadinstitute.org/gsea/msigdb/cards/ALCALAY_AML_BY_NPM1_LOCALIZATION_UP.html" TargetMode="External"/><Relationship Id="rId581" Type="http://schemas.openxmlformats.org/officeDocument/2006/relationships/hyperlink" Target="http://www.broadinstitute.org/gsea/msigdb/cards/OSWALD_HEMATOPOIETIC_STEM_CELL_IN_COLLAGEN_GEL_UP.html" TargetMode="External"/><Relationship Id="rId582" Type="http://schemas.openxmlformats.org/officeDocument/2006/relationships/hyperlink" Target="http://www.broadinstitute.org/gsea/msigdb/cards/ACEVEDO_LIVER_CANCER_UP.html" TargetMode="External"/><Relationship Id="rId583" Type="http://schemas.openxmlformats.org/officeDocument/2006/relationships/hyperlink" Target="http://www.broadinstitute.org/gsea/msigdb/cards/GHANDHI_BYSTANDER_IRRADIATION_UP.html" TargetMode="External"/><Relationship Id="rId584" Type="http://schemas.openxmlformats.org/officeDocument/2006/relationships/hyperlink" Target="http://www.broadinstitute.org/gsea/msigdb/cards/BIOCARTA_GLEEVEC_PATHWAY.html" TargetMode="External"/><Relationship Id="rId585" Type="http://schemas.openxmlformats.org/officeDocument/2006/relationships/hyperlink" Target="http://www.broadinstitute.org/gsea/msigdb/cards/UROSEVIC_RESPONSE_TO_IMIQUIMOD.html" TargetMode="External"/><Relationship Id="rId586" Type="http://schemas.openxmlformats.org/officeDocument/2006/relationships/hyperlink" Target="http://www.broadinstitute.org/gsea/msigdb/cards/SAFFORD_T_LYMPHOCYTE_ANERGY.html" TargetMode="External"/><Relationship Id="rId587" Type="http://schemas.openxmlformats.org/officeDocument/2006/relationships/hyperlink" Target="http://www.broadinstitute.org/gsea/msigdb/cards/PID_UPA_UPAR_PATHWAY.html" TargetMode="External"/><Relationship Id="rId588" Type="http://schemas.openxmlformats.org/officeDocument/2006/relationships/hyperlink" Target="http://www.broadinstitute.org/gsea/msigdb/cards/KIM_BIPOLAR_DISORDER_OLIGODENDROCYTE_DENSITY_CORR_DN.html" TargetMode="External"/><Relationship Id="rId589" Type="http://schemas.openxmlformats.org/officeDocument/2006/relationships/hyperlink" Target="http://www.broadinstitute.org/gsea/msigdb/cards/SENGUPTA_EBNA1_ANTICORRELATED.html" TargetMode="External"/><Relationship Id="rId70" Type="http://schemas.openxmlformats.org/officeDocument/2006/relationships/hyperlink" Target="http://www.broadinstitute.org/gsea/msigdb/cards/MARSON_BOUND_BY_FOXP3_STIMULATED.html" TargetMode="External"/><Relationship Id="rId71" Type="http://schemas.openxmlformats.org/officeDocument/2006/relationships/hyperlink" Target="http://www.broadinstitute.org/gsea/msigdb/cards/WANG_RESPONSE_TO_GSK3_INHIBITOR_SB216763_UP.html" TargetMode="External"/><Relationship Id="rId72" Type="http://schemas.openxmlformats.org/officeDocument/2006/relationships/hyperlink" Target="http://www.broadinstitute.org/gsea/msigdb/cards/WINTER_HYPOXIA_DN.html" TargetMode="External"/><Relationship Id="rId73" Type="http://schemas.openxmlformats.org/officeDocument/2006/relationships/hyperlink" Target="http://www.broadinstitute.org/gsea/msigdb/cards/KUROZUMI_RESPONSE_TO_ONCOCYTIC_VIRUS.html" TargetMode="External"/><Relationship Id="rId74" Type="http://schemas.openxmlformats.org/officeDocument/2006/relationships/hyperlink" Target="http://www.broadinstitute.org/gsea/msigdb/cards/RUTELLA_RESPONSE_TO_HGF_DN.html" TargetMode="External"/><Relationship Id="rId75" Type="http://schemas.openxmlformats.org/officeDocument/2006/relationships/hyperlink" Target="http://www.broadinstitute.org/gsea/msigdb/cards/HESS_TARGETS_OF_HOXA9_AND_MEIS1_DN.html" TargetMode="External"/><Relationship Id="rId76" Type="http://schemas.openxmlformats.org/officeDocument/2006/relationships/hyperlink" Target="http://www.broadinstitute.org/gsea/msigdb/cards/KEGG_HEMATOPOIETIC_CELL_LINEAGE.html" TargetMode="External"/><Relationship Id="rId77" Type="http://schemas.openxmlformats.org/officeDocument/2006/relationships/hyperlink" Target="http://www.broadinstitute.org/gsea/msigdb/cards/MORI_MATURE_B_LYMPHOCYTE_UP.html" TargetMode="External"/><Relationship Id="rId78" Type="http://schemas.openxmlformats.org/officeDocument/2006/relationships/hyperlink" Target="http://www.broadinstitute.org/gsea/msigdb/cards/LENAOUR_DENDRITIC_CELL_MATURATION_DN.html" TargetMode="External"/><Relationship Id="rId79" Type="http://schemas.openxmlformats.org/officeDocument/2006/relationships/hyperlink" Target="http://www.broadinstitute.org/gsea/msigdb/cards/BOYLAN_MULTIPLE_MYELOMA_C_D_DN.html" TargetMode="External"/><Relationship Id="rId2190" Type="http://schemas.openxmlformats.org/officeDocument/2006/relationships/hyperlink" Target="http://www.broadinstitute.org/gsea/msigdb/cards/GSE24634_TEFF_VS_TCONV_DAY7_IN_CULTURE_DN.html" TargetMode="External"/><Relationship Id="rId2191" Type="http://schemas.openxmlformats.org/officeDocument/2006/relationships/hyperlink" Target="http://www.broadinstitute.org/gsea/msigdb/cards/GSE24634_TEFF_VS_TCONV_DAY10_IN_CULTURE_DN.html" TargetMode="External"/><Relationship Id="rId2192" Type="http://schemas.openxmlformats.org/officeDocument/2006/relationships/hyperlink" Target="http://www.broadinstitute.org/gsea/msigdb/cards/GSE29618_MONOCYTE_VS_MDC_DAY7_FLU_VACCINE_UP.html" TargetMode="External"/><Relationship Id="rId2193" Type="http://schemas.openxmlformats.org/officeDocument/2006/relationships/hyperlink" Target="http://www.broadinstitute.org/gsea/msigdb/cards/GSE21063_WT_VS_NFATC1_KO_3H_ANTI_IGM_STIM_BCELL_DN.html" TargetMode="External"/><Relationship Id="rId2194" Type="http://schemas.openxmlformats.org/officeDocument/2006/relationships/hyperlink" Target="http://www.broadinstitute.org/gsea/msigdb/cards/GSE39110_UNTREATED_VS_IL2_TREATED_CD8_TCELL_DAY6_POST_IMMUNIZATION_UP.html" TargetMode="External"/><Relationship Id="rId2195" Type="http://schemas.openxmlformats.org/officeDocument/2006/relationships/hyperlink" Target="http://www.broadinstitute.org/gsea/msigdb/cards/GSE2935_UV_INACTIVATED_VS_LIVE_SENDAI_VIRUS_INF_MACROPHAGE_DN.html" TargetMode="External"/><Relationship Id="rId2196" Type="http://schemas.openxmlformats.org/officeDocument/2006/relationships/hyperlink" Target="http://www.broadinstitute.org/gsea/msigdb/cards/GSE10325_LUPUS_CD4_TCELL_VS_LUPUS_BCELL_UP.html" TargetMode="External"/><Relationship Id="rId2197" Type="http://schemas.openxmlformats.org/officeDocument/2006/relationships/hyperlink" Target="http://www.broadinstitute.org/gsea/msigdb/cards/GSE10325_LUPUS_CD4_TCELL_VS_LUPUS_BCELL_DN.html" TargetMode="External"/><Relationship Id="rId2198" Type="http://schemas.openxmlformats.org/officeDocument/2006/relationships/hyperlink" Target="http://www.broadinstitute.org/gsea/msigdb/cards/GSE24142_EARLY_THYMIC_PROGENITOR_VS_DN2_THYMOCYTE_UP.html" TargetMode="External"/><Relationship Id="rId2199" Type="http://schemas.openxmlformats.org/officeDocument/2006/relationships/hyperlink" Target="http://www.broadinstitute.org/gsea/msigdb/cards/GSE24634_TREG_VS_TCONV_POST_DAY3_IL4_CONVERSION_DN.html" TargetMode="External"/><Relationship Id="rId4380" Type="http://schemas.openxmlformats.org/officeDocument/2006/relationships/hyperlink" Target="http://www.broadinstitute.org/gsea/msigdb/cards/GSE17721_LPS_VS_PAM3CSK4_16H_BMDC_DN.html" TargetMode="External"/><Relationship Id="rId4381" Type="http://schemas.openxmlformats.org/officeDocument/2006/relationships/hyperlink" Target="http://www.broadinstitute.org/gsea/msigdb/cards/GSE17721_POLYIC_VS_CPG_1H_BMDC_DN.html" TargetMode="External"/><Relationship Id="rId4382" Type="http://schemas.openxmlformats.org/officeDocument/2006/relationships/hyperlink" Target="http://www.broadinstitute.org/gsea/msigdb/cards/GSE17721_POLYIC_VS_CPG_12H_BMDC_DN.html" TargetMode="External"/><Relationship Id="rId4383" Type="http://schemas.openxmlformats.org/officeDocument/2006/relationships/hyperlink" Target="http://www.broadinstitute.org/gsea/msigdb/cards/GSE17721_PAM3CSK4_VS_GADIQUIMOD_0.5H_BMDC_DN.html" TargetMode="External"/><Relationship Id="rId4384" Type="http://schemas.openxmlformats.org/officeDocument/2006/relationships/hyperlink" Target="http://www.broadinstitute.org/gsea/msigdb/cards/GSE17721_PAM3CSK4_VS_GADIQUIMOD_4H_BMDC_UP.html" TargetMode="External"/><Relationship Id="rId4385" Type="http://schemas.openxmlformats.org/officeDocument/2006/relationships/hyperlink" Target="http://www.broadinstitute.org/gsea/msigdb/cards/GSE17721_PAM3CSK4_VS_GADIQUIMOD_8H_BMDC_UP.html" TargetMode="External"/><Relationship Id="rId4386" Type="http://schemas.openxmlformats.org/officeDocument/2006/relationships/hyperlink" Target="http://www.broadinstitute.org/gsea/msigdb/cards/GSE17721_PAM3CSK4_VS_GADIQUIMOD_8H_BMDC_DN.html" TargetMode="External"/><Relationship Id="rId4387" Type="http://schemas.openxmlformats.org/officeDocument/2006/relationships/hyperlink" Target="http://www.broadinstitute.org/gsea/msigdb/cards/GSE17721_LPS_VS_CPG_4H_BMDC_UP.html" TargetMode="External"/><Relationship Id="rId4388" Type="http://schemas.openxmlformats.org/officeDocument/2006/relationships/hyperlink" Target="http://www.broadinstitute.org/gsea/msigdb/cards/GSE17721_LPS_VS_CPG_6H_BMDC_DN.html" TargetMode="External"/><Relationship Id="rId4389" Type="http://schemas.openxmlformats.org/officeDocument/2006/relationships/hyperlink" Target="http://www.broadinstitute.org/gsea/msigdb/cards/GSE17721_LPS_VS_GARDIQUIMOD_8H_BMDC_DN.html" TargetMode="External"/><Relationship Id="rId3290" Type="http://schemas.openxmlformats.org/officeDocument/2006/relationships/hyperlink" Target="http://www.broadinstitute.org/gsea/msigdb/cards/GSE20366_TREG_VS_NAIVE_CD4_TCELL_HOMEOSTATIC_CONVERSION_UP.html" TargetMode="External"/><Relationship Id="rId3291" Type="http://schemas.openxmlformats.org/officeDocument/2006/relationships/hyperlink" Target="http://www.broadinstitute.org/gsea/msigdb/cards/GSE20366_TREG_VS_NAIVE_CD4_TCELL_DEC205_CONVERSION_DN.html" TargetMode="External"/><Relationship Id="rId3292" Type="http://schemas.openxmlformats.org/officeDocument/2006/relationships/hyperlink" Target="http://www.broadinstitute.org/gsea/msigdb/cards/GSE20715_0H_VS_6H_OZONE_TLR4_KO_LUNG_UP.html" TargetMode="External"/><Relationship Id="rId3293" Type="http://schemas.openxmlformats.org/officeDocument/2006/relationships/hyperlink" Target="http://www.broadinstitute.org/gsea/msigdb/cards/GSE22886_IGA_VS_IGM_MEMORY_BCELL_DN.html" TargetMode="External"/><Relationship Id="rId3294" Type="http://schemas.openxmlformats.org/officeDocument/2006/relationships/hyperlink" Target="http://www.broadinstitute.org/gsea/msigdb/cards/GSE22886_IGG_IGA_MEMORY_BCELL_VS_BLOOD_PLASMA_CELL_UP.html" TargetMode="External"/><Relationship Id="rId3295" Type="http://schemas.openxmlformats.org/officeDocument/2006/relationships/hyperlink" Target="http://www.broadinstitute.org/gsea/msigdb/cards/GSE22886_NAIVE_CD4_TCELL_VS_NEUTROPHIL_UP.html" TargetMode="External"/><Relationship Id="rId3296" Type="http://schemas.openxmlformats.org/officeDocument/2006/relationships/hyperlink" Target="http://www.broadinstitute.org/gsea/msigdb/cards/GSE24102_GRANULOCYSTIC_MDSC_VS_NEUTROPHIL_DN.html" TargetMode="External"/><Relationship Id="rId3297" Type="http://schemas.openxmlformats.org/officeDocument/2006/relationships/hyperlink" Target="http://www.broadinstitute.org/gsea/msigdb/cards/GSE24634_TEFF_VS_TCONV_DAY5_IN_CULTURE_DN.html" TargetMode="External"/><Relationship Id="rId3298" Type="http://schemas.openxmlformats.org/officeDocument/2006/relationships/hyperlink" Target="http://www.broadinstitute.org/gsea/msigdb/cards/GSE24634_IL4_VS_CTRL_TREATED_NAIVE_CD4_TCELL_DAY7_DN.html" TargetMode="External"/><Relationship Id="rId3299" Type="http://schemas.openxmlformats.org/officeDocument/2006/relationships/hyperlink" Target="http://www.broadinstitute.org/gsea/msigdb/cards/GSE26669_CTRL_VS_COSTIM_BLOCK_MLR_CD8_TCELL_DN.html" TargetMode="External"/><Relationship Id="rId590" Type="http://schemas.openxmlformats.org/officeDocument/2006/relationships/hyperlink" Target="http://www.broadinstitute.org/gsea/msigdb/cards/HERNANDEZ_MITOTIC_ARREST_BY_DOCETAXEL_2_UP.html" TargetMode="External"/><Relationship Id="rId591" Type="http://schemas.openxmlformats.org/officeDocument/2006/relationships/hyperlink" Target="http://www.broadinstitute.org/gsea/msigdb/cards/HORIUCHI_WTAP_TARGETS_UP.html" TargetMode="External"/><Relationship Id="rId592" Type="http://schemas.openxmlformats.org/officeDocument/2006/relationships/hyperlink" Target="http://www.broadinstitute.org/gsea/msigdb/cards/BRUINS_UVC_RESPONSE_VIA_TP53_GROUP_A.html" TargetMode="External"/><Relationship Id="rId593" Type="http://schemas.openxmlformats.org/officeDocument/2006/relationships/hyperlink" Target="http://www.broadinstitute.org/gsea/msigdb/cards/ST_INTERFERON_GAMMA_PATHWAY.html" TargetMode="External"/><Relationship Id="rId594" Type="http://schemas.openxmlformats.org/officeDocument/2006/relationships/hyperlink" Target="http://www.broadinstitute.org/gsea/msigdb/cards/REACTOME_CREATION_OF_C4_AND_C2_ACTIVATORS.html" TargetMode="External"/><Relationship Id="rId595" Type="http://schemas.openxmlformats.org/officeDocument/2006/relationships/hyperlink" Target="http://www.broadinstitute.org/gsea/msigdb/cards/GRAHAM_CML_DIVIDING_VS_NORMAL_DIVIDING_DN.html" TargetMode="External"/><Relationship Id="rId596" Type="http://schemas.openxmlformats.org/officeDocument/2006/relationships/hyperlink" Target="http://www.broadinstitute.org/gsea/msigdb/cards/PID_TCPTP_PATHWAY.html" TargetMode="External"/><Relationship Id="rId597" Type="http://schemas.openxmlformats.org/officeDocument/2006/relationships/hyperlink" Target="http://www.broadinstitute.org/gsea/msigdb/cards/KUMAR_PATHOGEN_LOAD_BY_MACROPHAGES.html" TargetMode="External"/><Relationship Id="rId598" Type="http://schemas.openxmlformats.org/officeDocument/2006/relationships/hyperlink" Target="http://www.broadinstitute.org/gsea/msigdb/cards/GARGALOVIC_RESPONSE_TO_OXIDIZED_PHOSPHOLIPIDS_RED_DN.html" TargetMode="External"/><Relationship Id="rId599" Type="http://schemas.openxmlformats.org/officeDocument/2006/relationships/hyperlink" Target="http://www.broadinstitute.org/gsea/msigdb/cards/VALK_AML_WITH_EVI1.html" TargetMode="External"/><Relationship Id="rId80" Type="http://schemas.openxmlformats.org/officeDocument/2006/relationships/hyperlink" Target="http://www.broadinstitute.org/gsea/msigdb/cards/PID_TCR_PATHWAY.html" TargetMode="External"/><Relationship Id="rId81" Type="http://schemas.openxmlformats.org/officeDocument/2006/relationships/hyperlink" Target="http://www.broadinstitute.org/gsea/msigdb/cards/REACTOME_GENERATION_OF_SECOND_MESSENGER_MOLECULES.html" TargetMode="External"/><Relationship Id="rId82" Type="http://schemas.openxmlformats.org/officeDocument/2006/relationships/hyperlink" Target="http://www.broadinstitute.org/gsea/msigdb/cards/KEGG_GRAFT_VERSUS_HOST_DISEASE.html" TargetMode="External"/><Relationship Id="rId83" Type="http://schemas.openxmlformats.org/officeDocument/2006/relationships/hyperlink" Target="http://www.broadinstitute.org/gsea/msigdb/cards/DIAZ_CHRONIC_MEYLOGENOUS_LEUKEMIA_DN.html" TargetMode="External"/><Relationship Id="rId84" Type="http://schemas.openxmlformats.org/officeDocument/2006/relationships/hyperlink" Target="http://www.broadinstitute.org/gsea/msigdb/cards/HELLER_HDAC_TARGETS_DN.html" TargetMode="External"/><Relationship Id="rId85" Type="http://schemas.openxmlformats.org/officeDocument/2006/relationships/hyperlink" Target="http://www.broadinstitute.org/gsea/msigdb/cards/MARTENS_BOUND_BY_PML_RARA_FUSION.html" TargetMode="External"/><Relationship Id="rId86" Type="http://schemas.openxmlformats.org/officeDocument/2006/relationships/hyperlink" Target="http://www.broadinstitute.org/gsea/msigdb/cards/KEGG_CHEMOKINE_SIGNALING_PATHWAY.html" TargetMode="External"/><Relationship Id="rId87" Type="http://schemas.openxmlformats.org/officeDocument/2006/relationships/hyperlink" Target="http://www.broadinstitute.org/gsea/msigdb/cards/VILIMAS_NOTCH1_TARGETS_UP.html" TargetMode="External"/><Relationship Id="rId88" Type="http://schemas.openxmlformats.org/officeDocument/2006/relationships/hyperlink" Target="http://www.broadinstitute.org/gsea/msigdb/cards/HUANG_GATA2_TARGETS_UP.html" TargetMode="External"/><Relationship Id="rId89" Type="http://schemas.openxmlformats.org/officeDocument/2006/relationships/hyperlink" Target="http://www.broadinstitute.org/gsea/msigdb/cards/KEGG_ALLOGRAFT_REJECTION.html" TargetMode="External"/><Relationship Id="rId4390" Type="http://schemas.openxmlformats.org/officeDocument/2006/relationships/hyperlink" Target="http://www.broadinstitute.org/gsea/msigdb/cards/GSE17721_0.5H_VS_4H_LPS_BMDC_DN.html" TargetMode="External"/><Relationship Id="rId4391" Type="http://schemas.openxmlformats.org/officeDocument/2006/relationships/hyperlink" Target="http://www.broadinstitute.org/gsea/msigdb/cards/GSE17721_0.5H_VS_12H_POLYIC_BMDC_DN.html" TargetMode="External"/><Relationship Id="rId4392" Type="http://schemas.openxmlformats.org/officeDocument/2006/relationships/hyperlink" Target="http://www.broadinstitute.org/gsea/msigdb/cards/GSE17721_4H_VS_24H_POLYIC_BMDC_UP.html" TargetMode="External"/><Relationship Id="rId4393" Type="http://schemas.openxmlformats.org/officeDocument/2006/relationships/hyperlink" Target="http://www.broadinstitute.org/gsea/msigdb/cards/GSE17721_4H_VS_24H_POLYIC_BMDC_DN.html" TargetMode="External"/><Relationship Id="rId4394" Type="http://schemas.openxmlformats.org/officeDocument/2006/relationships/hyperlink" Target="http://www.broadinstitute.org/gsea/msigdb/cards/GSE17721_12H_VS_24H_POLYIC_BMDC_UP.html" TargetMode="External"/><Relationship Id="rId4395" Type="http://schemas.openxmlformats.org/officeDocument/2006/relationships/hyperlink" Target="http://www.broadinstitute.org/gsea/msigdb/cards/GSE17721_12H_VS_24H_POLYIC_BMDC_DN.html" TargetMode="External"/><Relationship Id="rId4396" Type="http://schemas.openxmlformats.org/officeDocument/2006/relationships/hyperlink" Target="http://www.broadinstitute.org/gsea/msigdb/cards/GSE17721_0.5H_VS_24H_PAM3CSK4_BMDC_UP.html" TargetMode="External"/><Relationship Id="rId4397" Type="http://schemas.openxmlformats.org/officeDocument/2006/relationships/hyperlink" Target="http://www.broadinstitute.org/gsea/msigdb/cards/GSE17721_0.5H_VS_12H_CPG_BMDC_UP.html" TargetMode="External"/><Relationship Id="rId4398" Type="http://schemas.openxmlformats.org/officeDocument/2006/relationships/hyperlink" Target="http://www.broadinstitute.org/gsea/msigdb/cards/GSE17721_0.5H_VS_12H_GARDIQUIMOD_BMDC_DN.html" TargetMode="External"/><Relationship Id="rId4399" Type="http://schemas.openxmlformats.org/officeDocument/2006/relationships/hyperlink" Target="http://www.broadinstitute.org/gsea/msigdb/cards/GSE17721_0.5H_VS_24H_GARDIQUIMOD_BMDC_UP.html" TargetMode="External"/><Relationship Id="rId90" Type="http://schemas.openxmlformats.org/officeDocument/2006/relationships/hyperlink" Target="http://www.broadinstitute.org/gsea/msigdb/cards/GOLDRATH_ANTIGEN_RESPONSE.html" TargetMode="External"/><Relationship Id="rId91" Type="http://schemas.openxmlformats.org/officeDocument/2006/relationships/hyperlink" Target="http://www.broadinstitute.org/gsea/msigdb/cards/MARSON_BOUND_BY_FOXP3_UNSTIMULATED.html" TargetMode="External"/><Relationship Id="rId92" Type="http://schemas.openxmlformats.org/officeDocument/2006/relationships/hyperlink" Target="http://www.broadinstitute.org/gsea/msigdb/cards/KEGG_TYPE_I_DIABETES_MELLITUS.html" TargetMode="External"/><Relationship Id="rId93" Type="http://schemas.openxmlformats.org/officeDocument/2006/relationships/hyperlink" Target="http://www.broadinstitute.org/gsea/msigdb/cards/REACTOME_COSTIMULATION_BY_THE_CD28_FAMILY.html" TargetMode="External"/><Relationship Id="rId94" Type="http://schemas.openxmlformats.org/officeDocument/2006/relationships/hyperlink" Target="http://www.broadinstitute.org/gsea/msigdb/cards/REACTOME_TCR_SIGNALING.html" TargetMode="External"/><Relationship Id="rId95" Type="http://schemas.openxmlformats.org/officeDocument/2006/relationships/hyperlink" Target="http://www.broadinstitute.org/gsea/msigdb/cards/TAKEDA_TARGETS_OF_NUP98_HOXA9_FUSION_10D_DN.html" TargetMode="External"/><Relationship Id="rId96" Type="http://schemas.openxmlformats.org/officeDocument/2006/relationships/hyperlink" Target="http://www.broadinstitute.org/gsea/msigdb/cards/WORSCHECH_TUMOR_REJECTION_UP.html" TargetMode="External"/><Relationship Id="rId97" Type="http://schemas.openxmlformats.org/officeDocument/2006/relationships/hyperlink" Target="http://www.broadinstitute.org/gsea/msigdb/cards/KEGG_ANTIGEN_PROCESSING_AND_PRESENTATION.html" TargetMode="External"/><Relationship Id="rId98" Type="http://schemas.openxmlformats.org/officeDocument/2006/relationships/hyperlink" Target="http://www.broadinstitute.org/gsea/msigdb/cards/SANA_RESPONSE_TO_IFNG_UP.html" TargetMode="External"/><Relationship Id="rId99" Type="http://schemas.openxmlformats.org/officeDocument/2006/relationships/hyperlink" Target="http://www.broadinstitute.org/gsea/msigdb/cards/KEGG_INTESTINAL_IMMUNE_NETWORK_FOR_IGA_PRODUCTION.html" TargetMode="External"/><Relationship Id="rId1600" Type="http://schemas.openxmlformats.org/officeDocument/2006/relationships/hyperlink" Target="http://www.broadinstitute.org/gsea/msigdb/cards/GO_NEGATIVE_REGULATION_OF_INTERLEUKIN_1_PRODUCTION.html" TargetMode="External"/><Relationship Id="rId1601" Type="http://schemas.openxmlformats.org/officeDocument/2006/relationships/hyperlink" Target="http://www.broadinstitute.org/gsea/msigdb/cards/GO_REGULATION_OF_INTERFERON_ALPHA_PRODUCTION.html" TargetMode="External"/><Relationship Id="rId1602" Type="http://schemas.openxmlformats.org/officeDocument/2006/relationships/hyperlink" Target="http://www.broadinstitute.org/gsea/msigdb/cards/GO_REGULATION_OF_T_CELL_APOPTOTIC_PROCESS.html" TargetMode="External"/><Relationship Id="rId1603" Type="http://schemas.openxmlformats.org/officeDocument/2006/relationships/hyperlink" Target="http://www.broadinstitute.org/gsea/msigdb/cards/GO_REGULATION_OF_ACTIN_FILAMENT_BASED_PROCESS.html" TargetMode="External"/><Relationship Id="rId1604" Type="http://schemas.openxmlformats.org/officeDocument/2006/relationships/hyperlink" Target="http://www.broadinstitute.org/gsea/msigdb/cards/GO_PHOSPHATIDYLINOSITOL_3_KINASE_ACTIVITY.html" TargetMode="External"/><Relationship Id="rId1605" Type="http://schemas.openxmlformats.org/officeDocument/2006/relationships/hyperlink" Target="http://www.broadinstitute.org/gsea/msigdb/cards/GO_PHOSPHATIDYLINOSITOL_METABOLIC_PROCESS.html" TargetMode="External"/><Relationship Id="rId1606" Type="http://schemas.openxmlformats.org/officeDocument/2006/relationships/hyperlink" Target="http://www.broadinstitute.org/gsea/msigdb/cards/GO_POSITIVE_REGULATION_OF_CYTOPLASMIC_TRANSPORT.html" TargetMode="External"/><Relationship Id="rId1607" Type="http://schemas.openxmlformats.org/officeDocument/2006/relationships/hyperlink" Target="http://www.broadinstitute.org/gsea/msigdb/cards/GO_NEGATIVE_REGULATION_OF_ANTIGEN_RECEPTOR_MEDIATED_SIGNALING_PATHWAY.html" TargetMode="External"/><Relationship Id="rId1608" Type="http://schemas.openxmlformats.org/officeDocument/2006/relationships/hyperlink" Target="http://www.broadinstitute.org/gsea/msigdb/cards/GO_PHOSPHOLIPASE_ACTIVITY.html" TargetMode="External"/><Relationship Id="rId1609" Type="http://schemas.openxmlformats.org/officeDocument/2006/relationships/hyperlink" Target="http://www.broadinstitute.org/gsea/msigdb/cards/GO_REGULATION_OF_PEPTIDE_TRANSPORT.html" TargetMode="External"/><Relationship Id="rId2700" Type="http://schemas.openxmlformats.org/officeDocument/2006/relationships/hyperlink" Target="http://www.broadinstitute.org/gsea/msigdb/cards/GSE9988_LPS_VS_VEHICLE_TREATED_MONOCYTE_UP.html" TargetMode="External"/><Relationship Id="rId2701" Type="http://schemas.openxmlformats.org/officeDocument/2006/relationships/hyperlink" Target="http://www.broadinstitute.org/gsea/msigdb/cards/GSE411_UNSTIM_VS_100MIN_IL6_STIM_MACROPHAGE_UP.html" TargetMode="External"/><Relationship Id="rId2702" Type="http://schemas.openxmlformats.org/officeDocument/2006/relationships/hyperlink" Target="http://www.broadinstitute.org/gsea/msigdb/cards/GSE411_WT_VS_SOCS3_KO_MACROPHAGE_IL6_STIM_400MIN_UP.html" TargetMode="External"/><Relationship Id="rId2703" Type="http://schemas.openxmlformats.org/officeDocument/2006/relationships/hyperlink" Target="http://www.broadinstitute.org/gsea/msigdb/cards/GSE2770_IL12_AND_TGFB_ACT_VS_ACT_CD4_TCELL_6H_DN.html" TargetMode="External"/><Relationship Id="rId2704" Type="http://schemas.openxmlformats.org/officeDocument/2006/relationships/hyperlink" Target="http://www.broadinstitute.org/gsea/msigdb/cards/GSE2770_IL4_ACT_VS_ACT_CD4_TCELL_6H_UP.html" TargetMode="External"/><Relationship Id="rId2705" Type="http://schemas.openxmlformats.org/officeDocument/2006/relationships/hyperlink" Target="http://www.broadinstitute.org/gsea/msigdb/cards/GSE2405_HEAT_KILLED_LYSATE_VS_LIVE_A_PHAGOCYTOPHILUM_STIM_NEUTROPHIL_24H_UP.html" TargetMode="External"/><Relationship Id="rId2706" Type="http://schemas.openxmlformats.org/officeDocument/2006/relationships/hyperlink" Target="http://www.broadinstitute.org/gsea/msigdb/cards/GSE22601_IMMATURE_CD4_SINGLE_POSITIVE_VS_DOUBLE_POSITIVE_THYMOCYTE_DN.html" TargetMode="External"/><Relationship Id="rId2707" Type="http://schemas.openxmlformats.org/officeDocument/2006/relationships/hyperlink" Target="http://www.broadinstitute.org/gsea/msigdb/cards/GSE3039_ALPHAALPHA_CD8_TCELL_VS_B1_BCELL_UP.html" TargetMode="External"/><Relationship Id="rId2708" Type="http://schemas.openxmlformats.org/officeDocument/2006/relationships/hyperlink" Target="http://www.broadinstitute.org/gsea/msigdb/cards/GSE3039_CD4_TCELL_VS_ALPHABETA_CD8_TCELL_UP.html" TargetMode="External"/><Relationship Id="rId2709" Type="http://schemas.openxmlformats.org/officeDocument/2006/relationships/hyperlink" Target="http://www.broadinstitute.org/gsea/msigdb/cards/GSE5679_PPARG_LIGAND_ROSIGLITAZONE_VS_ROSIGLITAZONE_AND_RARA_AGONIST_AM580_TREATED_DC_UP.html" TargetMode="External"/><Relationship Id="rId1610" Type="http://schemas.openxmlformats.org/officeDocument/2006/relationships/hyperlink" Target="http://www.broadinstitute.org/gsea/msigdb/cards/GO_B_CELL_HOMEOSTASIS.html" TargetMode="External"/><Relationship Id="rId1611" Type="http://schemas.openxmlformats.org/officeDocument/2006/relationships/hyperlink" Target="http://www.broadinstitute.org/gsea/msigdb/cards/GO_MAST_CELL_ACTIVATION.html" TargetMode="External"/><Relationship Id="rId1612" Type="http://schemas.openxmlformats.org/officeDocument/2006/relationships/hyperlink" Target="http://www.broadinstitute.org/gsea/msigdb/cards/GO_GRANULOCYTE_ACTIVATION.html" TargetMode="External"/><Relationship Id="rId1613" Type="http://schemas.openxmlformats.org/officeDocument/2006/relationships/hyperlink" Target="http://www.broadinstitute.org/gsea/msigdb/cards/GO_REGULATION_OF_MEMBRANE_PROTEIN_ECTODOMAIN_PROTEOLYSIS.html" TargetMode="External"/><Relationship Id="rId1614" Type="http://schemas.openxmlformats.org/officeDocument/2006/relationships/hyperlink" Target="http://www.broadinstitute.org/gsea/msigdb/cards/GO_TUMOR_NECROSIS_FACTOR_MEDIATED_SIGNALING_PATHWAY.html" TargetMode="External"/><Relationship Id="rId1615" Type="http://schemas.openxmlformats.org/officeDocument/2006/relationships/hyperlink" Target="http://www.broadinstitute.org/gsea/msigdb/cards/GO_CYTOSOLIC_CALCIUM_ION_TRANSPORT.html" TargetMode="External"/><Relationship Id="rId1616" Type="http://schemas.openxmlformats.org/officeDocument/2006/relationships/hyperlink" Target="http://www.broadinstitute.org/gsea/msigdb/cards/GO_REGULATION_OF_TRANSCRIPTION_FACTOR_IMPORT_INTO_NUCLEUS.html" TargetMode="External"/><Relationship Id="rId1617" Type="http://schemas.openxmlformats.org/officeDocument/2006/relationships/hyperlink" Target="http://www.broadinstitute.org/gsea/msigdb/cards/GO_REGULATION_OF_RESPONSE_TO_CYTOKINE_STIMULUS.html" TargetMode="External"/><Relationship Id="rId1618" Type="http://schemas.openxmlformats.org/officeDocument/2006/relationships/hyperlink" Target="http://www.broadinstitute.org/gsea/msigdb/cards/GO_REGULATION_OF_TRANSFERASE_ACTIVITY.html" TargetMode="External"/><Relationship Id="rId1619" Type="http://schemas.openxmlformats.org/officeDocument/2006/relationships/hyperlink" Target="http://www.broadinstitute.org/gsea/msigdb/cards/GO_POSITIVE_REGULATION_OF_PROTEIN_SERINE_THREONINE_KINASE_ACTIVITY.html" TargetMode="External"/><Relationship Id="rId3800" Type="http://schemas.openxmlformats.org/officeDocument/2006/relationships/hyperlink" Target="http://www.broadinstitute.org/gsea/msigdb/cards/GSE41867_DAY6_VS_DAY15_LCMV_ARMSTRONG_EFFECTOR_CD8_TCELL_UP.html" TargetMode="External"/><Relationship Id="rId3801" Type="http://schemas.openxmlformats.org/officeDocument/2006/relationships/hyperlink" Target="http://www.broadinstitute.org/gsea/msigdb/cards/GSE41978_WT_VS_ID2_KO_AND_BIM_KO_KLRG1_LOW_EFFECTOR_CD8_TCELL_UP.html" TargetMode="External"/><Relationship Id="rId3802" Type="http://schemas.openxmlformats.org/officeDocument/2006/relationships/hyperlink" Target="http://www.broadinstitute.org/gsea/msigdb/cards/GSE42021_TREG_PLN_VS_CD24LO_TREG_THYMUS_DN.html" TargetMode="External"/><Relationship Id="rId3803" Type="http://schemas.openxmlformats.org/officeDocument/2006/relationships/hyperlink" Target="http://www.broadinstitute.org/gsea/msigdb/cards/GSE42021_CD24INT_VS_CD24LOW_TREG_THYMUS_UP.html" TargetMode="External"/><Relationship Id="rId3804" Type="http://schemas.openxmlformats.org/officeDocument/2006/relationships/hyperlink" Target="http://www.broadinstitute.org/gsea/msigdb/cards/GSE42021_CD24INT_VS_CD24LOW_TCONV_THYMUS_UP.html" TargetMode="External"/><Relationship Id="rId3805" Type="http://schemas.openxmlformats.org/officeDocument/2006/relationships/hyperlink" Target="http://www.broadinstitute.org/gsea/msigdb/cards/GSE42021_TREG_PLN_VS_CD24INT_TREG_THYMUS_UP.html" TargetMode="External"/><Relationship Id="rId3806" Type="http://schemas.openxmlformats.org/officeDocument/2006/relationships/hyperlink" Target="http://www.broadinstitute.org/gsea/msigdb/cards/GSE27434_WT_VS_DNMT1_KO_TREG_DN.html" TargetMode="External"/><Relationship Id="rId3807" Type="http://schemas.openxmlformats.org/officeDocument/2006/relationships/hyperlink" Target="http://www.broadinstitute.org/gsea/msigdb/cards/GSE43955_TH0_VS_TGFB_IL6_IL23_TH17_ACT_CD4_TCELL_60H_DN.html" TargetMode="External"/><Relationship Id="rId3808" Type="http://schemas.openxmlformats.org/officeDocument/2006/relationships/hyperlink" Target="http://www.broadinstitute.org/gsea/msigdb/cards/GSE43863_LY6C_INT_CXCR5POS_VS_LY6C_LOW_CXCR5NEG_EFFECTOR_CD4_TCELL_UP.html" TargetMode="External"/><Relationship Id="rId3809" Type="http://schemas.openxmlformats.org/officeDocument/2006/relationships/hyperlink" Target="http://www.broadinstitute.org/gsea/msigdb/cards/GSE43863_TFH_VS_LY6C_INT_CXCR5POS_MEMORY_CD4_TCELL_UP.html" TargetMode="External"/><Relationship Id="rId2710" Type="http://schemas.openxmlformats.org/officeDocument/2006/relationships/hyperlink" Target="http://www.broadinstitute.org/gsea/msigdb/cards/GSE4535_BM_DERIVED_DC_VS_FOLLICULAR_DC_UP.html" TargetMode="External"/><Relationship Id="rId2711" Type="http://schemas.openxmlformats.org/officeDocument/2006/relationships/hyperlink" Target="http://www.broadinstitute.org/gsea/msigdb/cards/GSE5589_LPS_VS_LPS_AND_IL10_STIM_MACROPHAGE_45MIN_UP.html" TargetMode="External"/><Relationship Id="rId2712" Type="http://schemas.openxmlformats.org/officeDocument/2006/relationships/hyperlink" Target="http://www.broadinstitute.org/gsea/msigdb/cards/GSE7831_UNSTIM_VS_CPG_STIM_PDC_4H_UP.html" TargetMode="External"/><Relationship Id="rId2713" Type="http://schemas.openxmlformats.org/officeDocument/2006/relationships/hyperlink" Target="http://www.broadinstitute.org/gsea/msigdb/cards/GSE7831_1H_VS_4H_CPG_STIM_PDC_DN.html" TargetMode="External"/><Relationship Id="rId2714" Type="http://schemas.openxmlformats.org/officeDocument/2006/relationships/hyperlink" Target="http://www.broadinstitute.org/gsea/msigdb/cards/GSE19401_UNSTIM_VS_RETINOIC_ACID_AND_PAM2CSK4_STIM_FOLLICULAR_DC_UP.html" TargetMode="External"/><Relationship Id="rId2715" Type="http://schemas.openxmlformats.org/officeDocument/2006/relationships/hyperlink" Target="http://www.broadinstitute.org/gsea/msigdb/cards/GSE25088_ROSIGLITAZONE_VS_IL4_AND_ROSIGLITAZONE_STIM_STAT6_KO_MACROPHAGE_DAY10_DN.html" TargetMode="External"/><Relationship Id="rId2716" Type="http://schemas.openxmlformats.org/officeDocument/2006/relationships/hyperlink" Target="http://www.broadinstitute.org/gsea/msigdb/cards/GSE16385_IFNG_TNF_VS_IL4_STIM_MACROPHAGE_UP.html" TargetMode="External"/><Relationship Id="rId2717" Type="http://schemas.openxmlformats.org/officeDocument/2006/relationships/hyperlink" Target="http://www.broadinstitute.org/gsea/msigdb/cards/GSE16385_ROSIGLITAZONE_IL4_VS_IL4_ALONE_STIM_MACROPHAGE_12H_UP.html" TargetMode="External"/><Relationship Id="rId2718" Type="http://schemas.openxmlformats.org/officeDocument/2006/relationships/hyperlink" Target="http://www.broadinstitute.org/gsea/msigdb/cards/GSE24292_WT_VS_PPARG_KO_MACROPHAGE_DN.html" TargetMode="External"/><Relationship Id="rId2719" Type="http://schemas.openxmlformats.org/officeDocument/2006/relationships/hyperlink" Target="http://www.broadinstitute.org/gsea/msigdb/cards/GSE24726_WT_VS_E2_2_KO_PDC_DN.html" TargetMode="External"/><Relationship Id="rId1620" Type="http://schemas.openxmlformats.org/officeDocument/2006/relationships/hyperlink" Target="http://www.broadinstitute.org/gsea/msigdb/cards/GO_REGULATION_OF_ENDOCYTOSIS.html" TargetMode="External"/><Relationship Id="rId1621" Type="http://schemas.openxmlformats.org/officeDocument/2006/relationships/hyperlink" Target="http://www.broadinstitute.org/gsea/msigdb/cards/GO_VIRAL_LIFE_CYCLE.html" TargetMode="External"/><Relationship Id="rId1622" Type="http://schemas.openxmlformats.org/officeDocument/2006/relationships/hyperlink" Target="http://www.broadinstitute.org/gsea/msigdb/cards/GO_SIGNALING_ADAPTOR_ACTIVITY.html" TargetMode="External"/><Relationship Id="rId1623" Type="http://schemas.openxmlformats.org/officeDocument/2006/relationships/hyperlink" Target="http://www.broadinstitute.org/gsea/msigdb/cards/GO_NEGATIVE_REGULATION_OF_CYTOKINE_PRODUCTION_INVOLVED_IN_IMMUNE_RESPONSE.html" TargetMode="External"/><Relationship Id="rId1624" Type="http://schemas.openxmlformats.org/officeDocument/2006/relationships/hyperlink" Target="http://www.broadinstitute.org/gsea/msigdb/cards/GO_CATION_TRANSPORT.html" TargetMode="External"/><Relationship Id="rId1625" Type="http://schemas.openxmlformats.org/officeDocument/2006/relationships/hyperlink" Target="http://www.broadinstitute.org/gsea/msigdb/cards/GO_TRANSMEMBRANE_TRANSPORTER_ACTIVITY.html" TargetMode="External"/><Relationship Id="rId1626" Type="http://schemas.openxmlformats.org/officeDocument/2006/relationships/hyperlink" Target="http://www.broadinstitute.org/gsea/msigdb/cards/GO_PROTEIN_TYROSINE_KINASE_ACTIVITY.html" TargetMode="External"/><Relationship Id="rId1627" Type="http://schemas.openxmlformats.org/officeDocument/2006/relationships/hyperlink" Target="http://www.broadinstitute.org/gsea/msigdb/cards/GO_PHAGOCYTOSIS_ENGULFMENT.html" TargetMode="External"/><Relationship Id="rId1628" Type="http://schemas.openxmlformats.org/officeDocument/2006/relationships/hyperlink" Target="http://www.broadinstitute.org/gsea/msigdb/cards/GO_COATED_VESICLE.html" TargetMode="External"/><Relationship Id="rId1629" Type="http://schemas.openxmlformats.org/officeDocument/2006/relationships/hyperlink" Target="http://www.broadinstitute.org/gsea/msigdb/cards/GO_REGULATION_OF_CHRONIC_INFLAMMATORY_RESPONSE.html" TargetMode="External"/><Relationship Id="rId4900" Type="http://schemas.openxmlformats.org/officeDocument/2006/relationships/hyperlink" Target="http://www.broadinstitute.org/gsea/msigdb/cards/GSE34156_NOD2_LIGAND_VS_TLR1_TLR2_LIGAND_24H_TREATED_MONOCYTE_UP.html" TargetMode="External"/><Relationship Id="rId4901" Type="http://schemas.openxmlformats.org/officeDocument/2006/relationships/hyperlink" Target="http://www.broadinstitute.org/gsea/msigdb/cards/GSE34156_UNTREATED_VS_24H_TLR1_TLR2_LIGAND_TREATED_MONOCYTE_UP.html" TargetMode="External"/><Relationship Id="rId4902" Type="http://schemas.openxmlformats.org/officeDocument/2006/relationships/hyperlink" Target="http://www.broadinstitute.org/gsea/msigdb/cards/GSE30971_WBP7_HET_VS_KO_MACROPHAGE_4H_LPS_STIM_UP.html" TargetMode="External"/><Relationship Id="rId4903" Type="http://schemas.openxmlformats.org/officeDocument/2006/relationships/hyperlink" Target="http://www.broadinstitute.org/gsea/msigdb/cards/GSE36009_WT_VS_NLRP10_KO_DC_LPS_STIM_UP.html" TargetMode="External"/><Relationship Id="rId4904" Type="http://schemas.openxmlformats.org/officeDocument/2006/relationships/hyperlink" Target="http://www.broadinstitute.org/gsea/msigdb/cards/GSE36891_UNSTIM_VS_POLYIC_TLR3_STIM_PERITONEAL_MACROPHAGE_DN.html" TargetMode="External"/><Relationship Id="rId4905" Type="http://schemas.openxmlformats.org/officeDocument/2006/relationships/hyperlink" Target="http://www.broadinstitute.org/gsea/msigdb/cards/GSE37605_TREG_VS_TCONV_C57BL6_FOXP3_FUSION_GFP_UP.html" TargetMode="External"/><Relationship Id="rId4906" Type="http://schemas.openxmlformats.org/officeDocument/2006/relationships/hyperlink" Target="http://www.broadinstitute.org/gsea/msigdb/cards/GSE37301_COMMON_LYMPHOID_PROGENITOR_VS_GRAN_MONO_PROGENITOR_UP.html" TargetMode="External"/><Relationship Id="rId4907" Type="http://schemas.openxmlformats.org/officeDocument/2006/relationships/hyperlink" Target="http://www.broadinstitute.org/gsea/msigdb/cards/GSE37301_HEMATOPOIETIC_STEM_CELL_VS_PRO_BCELL_UP.html" TargetMode="External"/><Relationship Id="rId4908" Type="http://schemas.openxmlformats.org/officeDocument/2006/relationships/hyperlink" Target="http://www.broadinstitute.org/gsea/msigdb/cards/GSE37532_TREG_VS_TCONV_PPARG_KO_CD4_TCELL_FROM_LN_DN.html" TargetMode="External"/><Relationship Id="rId4909" Type="http://schemas.openxmlformats.org/officeDocument/2006/relationships/hyperlink" Target="http://www.broadinstitute.org/gsea/msigdb/cards/GSE37533_PPARG1_FOXP3_VS_FOXP3_TRANSDUCED_CD4_TCELL_PIOGLITAZONE_TREATED_DN.html" TargetMode="External"/><Relationship Id="rId3810" Type="http://schemas.openxmlformats.org/officeDocument/2006/relationships/hyperlink" Target="http://www.broadinstitute.org/gsea/msigdb/cards/GSE46606_IRF4HIGH_VS_IRF4MID_CD40L_IL2_IL5_DAY1_STIMULATED_BCELL_UP.html" TargetMode="External"/><Relationship Id="rId3811" Type="http://schemas.openxmlformats.org/officeDocument/2006/relationships/hyperlink" Target="http://www.broadinstitute.org/gsea/msigdb/cards/GSE41176_UNSTIM_VS_ANTI_IGM_STIM_BCELL_3H_DN.html" TargetMode="External"/><Relationship Id="rId3812" Type="http://schemas.openxmlformats.org/officeDocument/2006/relationships/hyperlink" Target="http://www.broadinstitute.org/gsea/msigdb/cards/GSE41176_UNSTIM_VS_ANTI_IGM_STIM_TAK1_KO_BCELL_24H_DN.html" TargetMode="External"/><Relationship Id="rId3813" Type="http://schemas.openxmlformats.org/officeDocument/2006/relationships/hyperlink" Target="http://www.broadinstitute.org/gsea/msigdb/cards/GSE3720_UNSTIM_VS_PMA_STIM_VD2_GAMMADELTA_TCELL_UP.html" TargetMode="External"/><Relationship Id="rId3814" Type="http://schemas.openxmlformats.org/officeDocument/2006/relationships/hyperlink" Target="http://www.broadinstitute.org/gsea/msigdb/cards/GSE40274_IRF4_VS_FOXP3_AND_IRF4_TRANSDUCED_ACTIVATED_CD4_TCELL_UP.html" TargetMode="External"/><Relationship Id="rId3815" Type="http://schemas.openxmlformats.org/officeDocument/2006/relationships/hyperlink" Target="http://www.broadinstitute.org/gsea/msigdb/cards/GSE6259_DEC205_POS_DC_VS_CD8_TCELL_UP.html" TargetMode="External"/><Relationship Id="rId3816" Type="http://schemas.openxmlformats.org/officeDocument/2006/relationships/hyperlink" Target="http://www.broadinstitute.org/gsea/msigdb/cards/GSE32901_NAIVE_VS_TH17_ENRICHED_CD4_TCELL_DN.html" TargetMode="External"/><Relationship Id="rId3817" Type="http://schemas.openxmlformats.org/officeDocument/2006/relationships/hyperlink" Target="http://www.broadinstitute.org/gsea/msigdb/cards/GSE14699_NAIVE_VS_DELETIONAL_TOLERANCE_CD8_TCELL_UP.html" TargetMode="External"/><Relationship Id="rId3818" Type="http://schemas.openxmlformats.org/officeDocument/2006/relationships/hyperlink" Target="http://www.broadinstitute.org/gsea/msigdb/cards/GSE6674_UNSTIM_VS_ANTI_IGM_STIM_BCELL_DN.html" TargetMode="External"/><Relationship Id="rId3819" Type="http://schemas.openxmlformats.org/officeDocument/2006/relationships/hyperlink" Target="http://www.broadinstitute.org/gsea/msigdb/cards/GSE6259_33D1_POS_VS_DEC205_POS_FLT3L_INDUCED_SPLENIC_DC_DN.html" TargetMode="External"/><Relationship Id="rId2720" Type="http://schemas.openxmlformats.org/officeDocument/2006/relationships/hyperlink" Target="http://www.broadinstitute.org/gsea/msigdb/cards/GSE26488_WT_VS_HDAC7_DELTAP_TG_OT2_THYMOCYTE_WITH_PEPTIDE_INJECTION_UP.html" TargetMode="External"/><Relationship Id="rId2721" Type="http://schemas.openxmlformats.org/officeDocument/2006/relationships/hyperlink" Target="http://www.broadinstitute.org/gsea/msigdb/cards/GSE21063_CTRL_VS_ANTI_IGM_STIM_BCELL_NFATC1_KO_16H_UP.html" TargetMode="External"/><Relationship Id="rId2722" Type="http://schemas.openxmlformats.org/officeDocument/2006/relationships/hyperlink" Target="http://www.broadinstitute.org/gsea/msigdb/cards/GSE30971_CTRL_VS_LPS_STIM_MACROPHAGE_WBP7_HET_4H_DN.html" TargetMode="External"/><Relationship Id="rId2723" Type="http://schemas.openxmlformats.org/officeDocument/2006/relationships/hyperlink" Target="http://www.broadinstitute.org/gsea/msigdb/cards/GSE36888_UNTREATED_VS_IL2_TREATED_STAT5_AB_KNOCKIN_TCELL_2H_DN.html" TargetMode="External"/><Relationship Id="rId2724" Type="http://schemas.openxmlformats.org/officeDocument/2006/relationships/hyperlink" Target="http://www.broadinstitute.org/gsea/msigdb/cards/GSE37301_CD4_TCELL_VS_GRANULOCYTE_MONOCYTE_PROGENITOR_DN.html" TargetMode="External"/><Relationship Id="rId2725" Type="http://schemas.openxmlformats.org/officeDocument/2006/relationships/hyperlink" Target="http://www.broadinstitute.org/gsea/msigdb/cards/GSE37532_TREG_VS_TCONV_CD4_TCELL_FROM_LN_DN.html" TargetMode="External"/><Relationship Id="rId2726" Type="http://schemas.openxmlformats.org/officeDocument/2006/relationships/hyperlink" Target="http://www.broadinstitute.org/gsea/msigdb/cards/GSE37533_PPARG1_FOXP3_VS_FOXP3_TRANSDUCED_CD4_TCELL_DN.html" TargetMode="External"/><Relationship Id="rId2727" Type="http://schemas.openxmlformats.org/officeDocument/2006/relationships/hyperlink" Target="http://www.broadinstitute.org/gsea/msigdb/cards/GSE40273_GATA1_KO_VS_WT_TREG_DN.html" TargetMode="External"/><Relationship Id="rId2728" Type="http://schemas.openxmlformats.org/officeDocument/2006/relationships/hyperlink" Target="http://www.broadinstitute.org/gsea/msigdb/cards/GSE28737_FOLLICULAR_VS_MARGINAL_ZONE_BCELL_BCL6_HET_DN.html" TargetMode="External"/><Relationship Id="rId2729" Type="http://schemas.openxmlformats.org/officeDocument/2006/relationships/hyperlink" Target="http://www.broadinstitute.org/gsea/msigdb/cards/GSE36826_NORMAL_VS_STAPH_AUREUS_INF_SKIN_UP.html" TargetMode="External"/><Relationship Id="rId1630" Type="http://schemas.openxmlformats.org/officeDocument/2006/relationships/hyperlink" Target="http://www.broadinstitute.org/gsea/msigdb/cards/GO_NEGATIVE_REGULATION_OF_LEUKOCYTE_DEGRANULATION.html" TargetMode="External"/><Relationship Id="rId1631" Type="http://schemas.openxmlformats.org/officeDocument/2006/relationships/hyperlink" Target="http://www.broadinstitute.org/gsea/msigdb/cards/GO_NEGATIVE_REGULATION_OF_INTERLEUKIN_17_PRODUCTION.html" TargetMode="External"/><Relationship Id="rId1632" Type="http://schemas.openxmlformats.org/officeDocument/2006/relationships/hyperlink" Target="http://www.broadinstitute.org/gsea/msigdb/cards/GO_REGULATION_OF_T_CELL_MEDIATED_CYTOTOXICITY.html" TargetMode="External"/><Relationship Id="rId1633" Type="http://schemas.openxmlformats.org/officeDocument/2006/relationships/hyperlink" Target="http://www.broadinstitute.org/gsea/msigdb/cards/GO_ACTIN_FILAMENT_POLYMERIZATION.html" TargetMode="External"/><Relationship Id="rId1634" Type="http://schemas.openxmlformats.org/officeDocument/2006/relationships/hyperlink" Target="http://www.broadinstitute.org/gsea/msigdb/cards/GO_KINASE_ACTIVITY.html" TargetMode="External"/><Relationship Id="rId1635" Type="http://schemas.openxmlformats.org/officeDocument/2006/relationships/hyperlink" Target="http://www.broadinstitute.org/gsea/msigdb/cards/GO_REGULATION_OF_CELLULAR_COMPONENT_BIOGENESIS.html" TargetMode="External"/><Relationship Id="rId1636" Type="http://schemas.openxmlformats.org/officeDocument/2006/relationships/hyperlink" Target="http://www.broadinstitute.org/gsea/msigdb/cards/GO_REGULATION_OF_CELL_ADHESION_MEDIATED_BY_INTEGRIN.html" TargetMode="External"/><Relationship Id="rId1637" Type="http://schemas.openxmlformats.org/officeDocument/2006/relationships/hyperlink" Target="http://www.broadinstitute.org/gsea/msigdb/cards/GO_REGULATION_OF_REACTIVE_OXYGEN_SPECIES_METABOLIC_PROCESS.html" TargetMode="External"/><Relationship Id="rId1638" Type="http://schemas.openxmlformats.org/officeDocument/2006/relationships/hyperlink" Target="http://www.broadinstitute.org/gsea/msigdb/cards/GO_POSITIVE_REGULATION_OF_OSTEOCLAST_DIFFERENTIATION.html" TargetMode="External"/><Relationship Id="rId1639" Type="http://schemas.openxmlformats.org/officeDocument/2006/relationships/hyperlink" Target="http://www.broadinstitute.org/gsea/msigdb/cards/GO_IMMUNOGLOBULIN_PRODUCTION_INVOLVED_IN_IMMUNOGLOBULIN_MEDIATED_IMMUNE_RESPONSE.html" TargetMode="External"/><Relationship Id="rId4910" Type="http://schemas.openxmlformats.org/officeDocument/2006/relationships/hyperlink" Target="http://www.broadinstitute.org/gsea/msigdb/cards/GSE37533_PPARG2_FOXP3_VS_FOXP3_TRANSDUCED_CD4_TCELL_PIOGLITAZONE_TREATED_DN.html" TargetMode="External"/><Relationship Id="rId4911" Type="http://schemas.openxmlformats.org/officeDocument/2006/relationships/hyperlink" Target="http://www.broadinstitute.org/gsea/msigdb/cards/GSE37534_GW1929_VS_PIOGLITAZONE_TREATED_CD4_TCELL_PPARG1_FOXP3_TRANSDUCED_UP.html" TargetMode="External"/><Relationship Id="rId4912" Type="http://schemas.openxmlformats.org/officeDocument/2006/relationships/hyperlink" Target="http://www.broadinstitute.org/gsea/msigdb/cards/GSE37534_GW1929_VS_PIOGLITAZONE_TREATED_CD4_TCELL_PPARG1_FOXP3_TRANSDUCED_DN.html" TargetMode="External"/><Relationship Id="rId4913" Type="http://schemas.openxmlformats.org/officeDocument/2006/relationships/hyperlink" Target="http://www.broadinstitute.org/gsea/msigdb/cards/GSE39022_LN_VS_SPLEEN_DC_DN.html" TargetMode="External"/><Relationship Id="rId4914" Type="http://schemas.openxmlformats.org/officeDocument/2006/relationships/hyperlink" Target="http://www.broadinstitute.org/gsea/msigdb/cards/GSE36527_CD69_NEG_VS_POS_TREG_CD62L_LOS_KLRG1_NEG_DN.html" TargetMode="External"/><Relationship Id="rId4915" Type="http://schemas.openxmlformats.org/officeDocument/2006/relationships/hyperlink" Target="http://www.broadinstitute.org/gsea/msigdb/cards/GSE35685_CD34POS_CD38NEG_VS_CD34POS_CD10NEG_CD62LPOS_BONE_MARROW_UP.html" TargetMode="External"/><Relationship Id="rId4916" Type="http://schemas.openxmlformats.org/officeDocument/2006/relationships/hyperlink" Target="http://www.broadinstitute.org/gsea/msigdb/cards/GSE40274_FOXP3_VS_FOXP3_AND_GATA1_TRANSDUCED_ACTIVATED_CD4_TCELL_DN.html" TargetMode="External"/><Relationship Id="rId4917" Type="http://schemas.openxmlformats.org/officeDocument/2006/relationships/hyperlink" Target="http://www.broadinstitute.org/gsea/msigdb/cards/GSE40441_NRP1_POS_INDUCED_TREG_VS_NRP1_NEG_NATURAL_TREG_DN.html" TargetMode="External"/><Relationship Id="rId4918" Type="http://schemas.openxmlformats.org/officeDocument/2006/relationships/hyperlink" Target="http://www.broadinstitute.org/gsea/msigdb/cards/GSE40666_WT_VS_STAT4_KO_CD8_TCELL_DN.html" TargetMode="External"/><Relationship Id="rId4919" Type="http://schemas.openxmlformats.org/officeDocument/2006/relationships/hyperlink" Target="http://www.broadinstitute.org/gsea/msigdb/cards/GSE20727_CTRL_VS_ROS_INH_AND_DNFB_ALLERGEN_TREATED_DC_UP.html" TargetMode="External"/><Relationship Id="rId3820" Type="http://schemas.openxmlformats.org/officeDocument/2006/relationships/hyperlink" Target="http://www.broadinstitute.org/gsea/msigdb/cards/GSE26030_UNSTIM_VS_RESTIM_TH17_DAY5_POST_POLARIZATION_UP.html" TargetMode="External"/><Relationship Id="rId3821" Type="http://schemas.openxmlformats.org/officeDocument/2006/relationships/hyperlink" Target="http://www.broadinstitute.org/gsea/msigdb/cards/GSE32255_WT_VS_JMJD2D_KNOCKDOWN_4H_LPS_STIM_DC_UP.html" TargetMode="External"/><Relationship Id="rId3822" Type="http://schemas.openxmlformats.org/officeDocument/2006/relationships/hyperlink" Target="http://www.broadinstitute.org/gsea/msigdb/cards/GSE37301_PRO_BCELL_VS_RAG2_KO_NK_CELL_UP.html" TargetMode="External"/><Relationship Id="rId3823" Type="http://schemas.openxmlformats.org/officeDocument/2006/relationships/hyperlink" Target="http://www.broadinstitute.org/gsea/msigdb/cards/GSE32901_NAIVE_VS_TH1_CD4_TCELL_UP.html" TargetMode="External"/><Relationship Id="rId3824" Type="http://schemas.openxmlformats.org/officeDocument/2006/relationships/hyperlink" Target="http://www.broadinstitute.org/gsea/msigdb/cards/GSE40274_FOXP3_VS_FOXP3_AND_SATB1_TRANSDUCED_ACTIVATED_CD4_TCELL_UP.html" TargetMode="External"/><Relationship Id="rId3825" Type="http://schemas.openxmlformats.org/officeDocument/2006/relationships/hyperlink" Target="http://www.broadinstitute.org/gsea/msigdb/cards/GSE9509_10MIN_VS_30MIN_LPS_AND_IL10_STIM_IL10_KO_MACROPHAGE_DN.html" TargetMode="External"/><Relationship Id="rId3826" Type="http://schemas.openxmlformats.org/officeDocument/2006/relationships/hyperlink" Target="http://www.broadinstitute.org/gsea/msigdb/cards/GSE4590_PRE_BCELL_VS_LARGE_PRE_BCELL_UP.html" TargetMode="External"/><Relationship Id="rId3827" Type="http://schemas.openxmlformats.org/officeDocument/2006/relationships/hyperlink" Target="http://www.broadinstitute.org/gsea/msigdb/cards/GSE13547_CTRL_VS_ANTI_IGM_STIM_ZFX_KO_BCELL_12H_DN.html" TargetMode="External"/><Relationship Id="rId3828" Type="http://schemas.openxmlformats.org/officeDocument/2006/relationships/hyperlink" Target="http://www.broadinstitute.org/gsea/msigdb/cards/GSE22342_CD11C_HIGH_VS_LOW_DECIDUAL_MACROPHAGES_DN.html" TargetMode="External"/><Relationship Id="rId3829" Type="http://schemas.openxmlformats.org/officeDocument/2006/relationships/hyperlink" Target="http://www.broadinstitute.org/gsea/msigdb/cards/GSE15330_LYMPHOID_MULTIPOTENT_VS_MEGAKARYOCYTE_ERYTHROID_PROGENITOR_IKAROS_KO_UP.html" TargetMode="External"/><Relationship Id="rId2730" Type="http://schemas.openxmlformats.org/officeDocument/2006/relationships/hyperlink" Target="http://www.broadinstitute.org/gsea/msigdb/cards/GSE43955_TH0_VS_TGFB_IL6_TH17_ACT_CD4_TCELL_4H_UP.html" TargetMode="External"/><Relationship Id="rId2731" Type="http://schemas.openxmlformats.org/officeDocument/2006/relationships/hyperlink" Target="http://www.broadinstitute.org/gsea/msigdb/cards/GSE42724_NAIVE_BCELL_VS_PLASMABLAST_UP.html" TargetMode="External"/><Relationship Id="rId2732" Type="http://schemas.openxmlformats.org/officeDocument/2006/relationships/hyperlink" Target="http://www.broadinstitute.org/gsea/msigdb/cards/GSE46606_UNSTIM_VS_CD40L_IL2_IL5_1DAY_STIMULATED_IRF4HIGH_SORTED_BCELL_DN.html" TargetMode="External"/><Relationship Id="rId2733" Type="http://schemas.openxmlformats.org/officeDocument/2006/relationships/hyperlink" Target="http://www.broadinstitute.org/gsea/msigdb/cards/GSE46606_IRF4HIGH_VS_IRF4MID_CD40L_IL2_IL5_DAY3_STIMULATED_BCELL_DN.html" TargetMode="External"/><Relationship Id="rId2734" Type="http://schemas.openxmlformats.org/officeDocument/2006/relationships/hyperlink" Target="http://www.broadinstitute.org/gsea/msigdb/cards/GSE45365_HEALTHY_VS_MCMV_INFECTION_CD8A_DC_DN.html" TargetMode="External"/><Relationship Id="rId2735" Type="http://schemas.openxmlformats.org/officeDocument/2006/relationships/hyperlink" Target="http://www.broadinstitute.org/gsea/msigdb/cards/GSE37301_PRO_BCELL_VS_RAG2_KO_NK_CELL_DN.html" TargetMode="External"/><Relationship Id="rId2736" Type="http://schemas.openxmlformats.org/officeDocument/2006/relationships/hyperlink" Target="http://www.broadinstitute.org/gsea/msigdb/cards/GSE27241_CTRL_VS_DIGOXIN_TREATED_CD4_TCELL_IN_TH17_POLARIZING_CONDITIONS_UP.html" TargetMode="External"/><Relationship Id="rId2737" Type="http://schemas.openxmlformats.org/officeDocument/2006/relationships/hyperlink" Target="http://www.broadinstitute.org/gsea/msigdb/cards/GSE3720_LPS_VS_PMA_STIM_VD1_GAMMADELTA_TCELL_UP.html" TargetMode="External"/><Relationship Id="rId2738" Type="http://schemas.openxmlformats.org/officeDocument/2006/relationships/hyperlink" Target="http://www.broadinstitute.org/gsea/msigdb/cards/GSE10211_UV_INACT_SENDAI_VS_LIVE_SENDAI_VIRUS_TRACHEAL_EPITHELIAL_CELLS_DN.html" TargetMode="External"/><Relationship Id="rId2739" Type="http://schemas.openxmlformats.org/officeDocument/2006/relationships/hyperlink" Target="http://www.broadinstitute.org/gsea/msigdb/cards/GSE13547_2H_VS_12_H_ANTI_IGM_STIM_ZFX_KO_BCELL_UP.html" TargetMode="External"/><Relationship Id="rId1640" Type="http://schemas.openxmlformats.org/officeDocument/2006/relationships/hyperlink" Target="http://www.broadinstitute.org/gsea/msigdb/cards/GO_REGULATION_OF_ISOTYPE_SWITCHING.html" TargetMode="External"/><Relationship Id="rId1641" Type="http://schemas.openxmlformats.org/officeDocument/2006/relationships/hyperlink" Target="http://www.broadinstitute.org/gsea/msigdb/cards/GO_REGULATION_OF_T_CELL_MIGRATION.html" TargetMode="External"/><Relationship Id="rId1642" Type="http://schemas.openxmlformats.org/officeDocument/2006/relationships/hyperlink" Target="http://www.broadinstitute.org/gsea/msigdb/cards/GO_REGULATION_OF_PHOSPHATIDYLINOSITOL_3_KINASE_ACTIVITY.html" TargetMode="External"/><Relationship Id="rId1643" Type="http://schemas.openxmlformats.org/officeDocument/2006/relationships/hyperlink" Target="http://www.broadinstitute.org/gsea/msigdb/cards/GO_PROTEIN_LIPID_COMPLEX.html" TargetMode="External"/><Relationship Id="rId1644" Type="http://schemas.openxmlformats.org/officeDocument/2006/relationships/hyperlink" Target="http://www.broadinstitute.org/gsea/msigdb/cards/GO_CELLULAR_RESPONSE_TO_MECHANICAL_STIMULUS.html" TargetMode="External"/><Relationship Id="rId1645" Type="http://schemas.openxmlformats.org/officeDocument/2006/relationships/hyperlink" Target="http://www.broadinstitute.org/gsea/msigdb/cards/GO_POSITIVE_REGULATION_OF_CELLULAR_EXTRAVASATION.html" TargetMode="External"/><Relationship Id="rId1646" Type="http://schemas.openxmlformats.org/officeDocument/2006/relationships/hyperlink" Target="http://www.broadinstitute.org/gsea/msigdb/cards/GO_POSITIVE_REGULATION_OF_THYMOCYTE_AGGREGATION.html" TargetMode="External"/><Relationship Id="rId1647" Type="http://schemas.openxmlformats.org/officeDocument/2006/relationships/hyperlink" Target="http://www.broadinstitute.org/gsea/msigdb/cards/GO_POSITIVE_REGULATION_OF_INTERFERON_GAMMA_BIOSYNTHETIC_PROCESS.html" TargetMode="External"/><Relationship Id="rId1648" Type="http://schemas.openxmlformats.org/officeDocument/2006/relationships/hyperlink" Target="http://www.broadinstitute.org/gsea/msigdb/cards/GO_POSITIVE_REGULATION_OF_CAMP_MEDIATED_SIGNALING.html" TargetMode="External"/><Relationship Id="rId1649" Type="http://schemas.openxmlformats.org/officeDocument/2006/relationships/hyperlink" Target="http://www.broadinstitute.org/gsea/msigdb/cards/GO_CELL_TRAILING_EDGE.html" TargetMode="External"/><Relationship Id="rId4920" Type="http://schemas.openxmlformats.org/officeDocument/2006/relationships/hyperlink" Target="http://www.broadinstitute.org/gsea/msigdb/cards/GSE20727_CTRL_VS_DNFB_ALLERGEN_TREATED_DC_UP.html" TargetMode="External"/><Relationship Id="rId4921" Type="http://schemas.openxmlformats.org/officeDocument/2006/relationships/hyperlink" Target="http://www.broadinstitute.org/gsea/msigdb/cards/GSE39110_UNTREATED_VS_IL2_TREATED_CD8_TCELL_DAY3_POST_IMMUNIZATION_DN.html" TargetMode="External"/><Relationship Id="rId2000" Type="http://schemas.openxmlformats.org/officeDocument/2006/relationships/hyperlink" Target="http://www.broadinstitute.org/gsea/msigdb/cards/GO_REGULATION_OF_NITRIC_OXIDE_SYNTHASE_BIOSYNTHETIC_PROCESS.html" TargetMode="External"/><Relationship Id="rId2001" Type="http://schemas.openxmlformats.org/officeDocument/2006/relationships/hyperlink" Target="http://www.broadinstitute.org/gsea/msigdb/cards/GO_REGULATION_OF_LIPOPOLYSACCHARIDE_MEDIATED_SIGNALING_PATHWAY.html" TargetMode="External"/><Relationship Id="rId2002" Type="http://schemas.openxmlformats.org/officeDocument/2006/relationships/hyperlink" Target="http://www.broadinstitute.org/gsea/msigdb/cards/GO_REGULATION_OF_MYOBLAST_FUSION.html" TargetMode="External"/><Relationship Id="rId2003" Type="http://schemas.openxmlformats.org/officeDocument/2006/relationships/hyperlink" Target="http://www.broadinstitute.org/gsea/msigdb/cards/GO_REGULATION_OF_INTERLEUKIN_8_SECRETION.html" TargetMode="External"/><Relationship Id="rId2004" Type="http://schemas.openxmlformats.org/officeDocument/2006/relationships/hyperlink" Target="http://www.broadinstitute.org/gsea/msigdb/cards/GO_COMPLEMENT_BINDING.html" TargetMode="External"/><Relationship Id="rId2005" Type="http://schemas.openxmlformats.org/officeDocument/2006/relationships/hyperlink" Target="http://www.broadinstitute.org/gsea/msigdb/cards/GO_PHOSPHORIC_DIESTER_HYDROLASE_ACTIVITY.html" TargetMode="External"/><Relationship Id="rId2006" Type="http://schemas.openxmlformats.org/officeDocument/2006/relationships/hyperlink" Target="http://www.broadinstitute.org/gsea/msigdb/cards/GO_REGULATION_OF_PHOSPHOLIPASE_C_ACTIVITY.html" TargetMode="External"/><Relationship Id="rId2007" Type="http://schemas.openxmlformats.org/officeDocument/2006/relationships/hyperlink" Target="http://www.broadinstitute.org/gsea/msigdb/cards/GO_PH_REDUCTION.html" TargetMode="External"/><Relationship Id="rId2008" Type="http://schemas.openxmlformats.org/officeDocument/2006/relationships/hyperlink" Target="http://www.broadinstitute.org/gsea/msigdb/cards/GO_POSITIVE_REGULATION_OF_RELEASE_OF_SEQUESTERED_CALCIUM_ION_INTO_CYTOSOL.html" TargetMode="External"/><Relationship Id="rId2009" Type="http://schemas.openxmlformats.org/officeDocument/2006/relationships/hyperlink" Target="http://www.broadinstitute.org/gsea/msigdb/cards/GO_ANCHORED_COMPONENT_OF_MEMBRANE.html" TargetMode="External"/><Relationship Id="rId4922" Type="http://schemas.openxmlformats.org/officeDocument/2006/relationships/hyperlink" Target="http://www.broadinstitute.org/gsea/msigdb/cards/GSE28737_WT_VS_BCL6_HET_MARGINAL_ZONE_BCELL_UP.html" TargetMode="External"/><Relationship Id="rId4923" Type="http://schemas.openxmlformats.org/officeDocument/2006/relationships/hyperlink" Target="http://www.broadinstitute.org/gsea/msigdb/cards/GSE40184_HEALTHY_VS_HCV_INFECTED_DONOR_PBMC_UP.html" TargetMode="External"/><Relationship Id="rId4924" Type="http://schemas.openxmlformats.org/officeDocument/2006/relationships/hyperlink" Target="http://www.broadinstitute.org/gsea/msigdb/cards/GSE35543_IN_VITRO_ITREG_VS_CONVERTED_EX_ITREG_DN.html" TargetMode="External"/><Relationship Id="rId4925" Type="http://schemas.openxmlformats.org/officeDocument/2006/relationships/hyperlink" Target="http://www.broadinstitute.org/gsea/msigdb/cards/GSE41978_WT_VS_BIM_KO_KLRG1_LOW_EFFECTOR_CD8_TCELL_DN.html" TargetMode="External"/><Relationship Id="rId4926" Type="http://schemas.openxmlformats.org/officeDocument/2006/relationships/hyperlink" Target="http://www.broadinstitute.org/gsea/msigdb/cards/GSE41978_WT_VS_BIM_KO_KLRG1_LOW_EFFECTOR_CD8_TCELL_UP.html" TargetMode="External"/><Relationship Id="rId4927" Type="http://schemas.openxmlformats.org/officeDocument/2006/relationships/hyperlink" Target="http://www.broadinstitute.org/gsea/msigdb/cards/GSE42021_CD24LO_TREG_VS_CD24LO_TCONV_THYMUS_UP.html" TargetMode="External"/><Relationship Id="rId4928" Type="http://schemas.openxmlformats.org/officeDocument/2006/relationships/hyperlink" Target="http://www.broadinstitute.org/gsea/msigdb/cards/GSE43955_TH0_VS_TGFB_IL6_TH17_ACT_CD4_TCELL_42H_UP.html" TargetMode="External"/><Relationship Id="rId4929" Type="http://schemas.openxmlformats.org/officeDocument/2006/relationships/hyperlink" Target="http://www.broadinstitute.org/gsea/msigdb/cards/GSE43955_TH0_VS_TGFB_IL6_TH17_ACT_CD4_TCELL_20H_DN.html" TargetMode="External"/><Relationship Id="rId3830" Type="http://schemas.openxmlformats.org/officeDocument/2006/relationships/hyperlink" Target="http://www.broadinstitute.org/gsea/msigdb/cards/GSE5542_UNTREATED_VS_IFNG_TREATED_EPITHELIAL_CELLS_6H_UP.html" TargetMode="External"/><Relationship Id="rId3831" Type="http://schemas.openxmlformats.org/officeDocument/2006/relationships/hyperlink" Target="http://www.broadinstitute.org/gsea/msigdb/cards/GSE21927_GMCSF_IL6_VS_GMCSF_GCSF_TREATED_BONE_MARROW_UP.html" TargetMode="External"/><Relationship Id="rId3832" Type="http://schemas.openxmlformats.org/officeDocument/2006/relationships/hyperlink" Target="http://www.broadinstitute.org/gsea/msigdb/cards/GSE8685_IL2_ACT_IL2_STARVED_VS_IL21_ACT_IL2_STARVED_CD4_TCELL_DN.html" TargetMode="External"/><Relationship Id="rId3833" Type="http://schemas.openxmlformats.org/officeDocument/2006/relationships/hyperlink" Target="http://www.broadinstitute.org/gsea/msigdb/cards/GSE22601_DOUBLE_NEGATIVE_VS_DOUBLE_POSITIVE_THYMOCYTE_UP.html" TargetMode="External"/><Relationship Id="rId3834" Type="http://schemas.openxmlformats.org/officeDocument/2006/relationships/hyperlink" Target="http://www.broadinstitute.org/gsea/msigdb/cards/GSE3920_IFNA_VS_IFNG_TREATED_ENDOTHELIAL_CELL_DN.html" TargetMode="External"/><Relationship Id="rId3835" Type="http://schemas.openxmlformats.org/officeDocument/2006/relationships/hyperlink" Target="http://www.broadinstitute.org/gsea/msigdb/cards/GSE21546_UNSTIM_VS_ANTI_CD3_STIM_ELK1_KO_DP_THYMOCYTES_UP.html" TargetMode="External"/><Relationship Id="rId3836" Type="http://schemas.openxmlformats.org/officeDocument/2006/relationships/hyperlink" Target="http://www.broadinstitute.org/gsea/msigdb/cards/GSE25088_CTRL_VS_IL4_STIM_MACROPHAGE_UP.html" TargetMode="External"/><Relationship Id="rId3837" Type="http://schemas.openxmlformats.org/officeDocument/2006/relationships/hyperlink" Target="http://www.broadinstitute.org/gsea/msigdb/cards/GSE3565_CTRL_VS_LPS_INJECTED_DUSP1_KO_SPLENOCYTES_DN.html" TargetMode="External"/><Relationship Id="rId3838" Type="http://schemas.openxmlformats.org/officeDocument/2006/relationships/hyperlink" Target="http://www.broadinstitute.org/gsea/msigdb/cards/GSE12366_GC_BCELL_VS_PLASMA_CELL_UP.html" TargetMode="External"/><Relationship Id="rId3839" Type="http://schemas.openxmlformats.org/officeDocument/2006/relationships/hyperlink" Target="http://www.broadinstitute.org/gsea/msigdb/cards/GSE12845_IGD_POS_BLOOD_VS_DARKZONE_GC_TONSIL_BCELL_UP.html" TargetMode="External"/><Relationship Id="rId2740" Type="http://schemas.openxmlformats.org/officeDocument/2006/relationships/hyperlink" Target="http://www.broadinstitute.org/gsea/msigdb/cards/GSE40274_CTRL_VS_IRF4_TRANSDUCED_ACTIVATED_CD4_TCELL_UP.html" TargetMode="External"/><Relationship Id="rId2741" Type="http://schemas.openxmlformats.org/officeDocument/2006/relationships/hyperlink" Target="http://www.broadinstitute.org/gsea/msigdb/cards/GSE10147_IL3_VS_IL3_AND_CPG_STIM_PDC_UP.html" TargetMode="External"/><Relationship Id="rId2742" Type="http://schemas.openxmlformats.org/officeDocument/2006/relationships/hyperlink" Target="http://www.broadinstitute.org/gsea/msigdb/cards/GSE6259_FLT3L_INDUCED_DEC205_POS_DC_VS_BCELL_DN.html" TargetMode="External"/><Relationship Id="rId2743" Type="http://schemas.openxmlformats.org/officeDocument/2006/relationships/hyperlink" Target="http://www.broadinstitute.org/gsea/msigdb/cards/GSE40274_CTRL_VS_EOS_TRANSDUCED_ACTIVATED_CD4_TCELL_DN.html" TargetMode="External"/><Relationship Id="rId2744" Type="http://schemas.openxmlformats.org/officeDocument/2006/relationships/hyperlink" Target="http://www.broadinstitute.org/gsea/msigdb/cards/GSE3720_LPS_VS_PMA_STIM_VD1_GAMMADELTA_TCELL_DN.html" TargetMode="External"/><Relationship Id="rId2745" Type="http://schemas.openxmlformats.org/officeDocument/2006/relationships/hyperlink" Target="http://www.broadinstitute.org/gsea/msigdb/cards/GSE20727_CTRL_VS_H2O2_TREATED_DC_DN.html" TargetMode="External"/><Relationship Id="rId2746" Type="http://schemas.openxmlformats.org/officeDocument/2006/relationships/hyperlink" Target="http://www.broadinstitute.org/gsea/msigdb/cards/GSE32901_NAIVE_VS_TH17_ENRICHED_CD4_TCELL_UP.html" TargetMode="External"/><Relationship Id="rId2747" Type="http://schemas.openxmlformats.org/officeDocument/2006/relationships/hyperlink" Target="http://www.broadinstitute.org/gsea/msigdb/cards/GSE6269_E_COLI_VS_STAPH_AUREUS_INF_PBMC_DN.html" TargetMode="External"/><Relationship Id="rId2748" Type="http://schemas.openxmlformats.org/officeDocument/2006/relationships/hyperlink" Target="http://www.broadinstitute.org/gsea/msigdb/cards/GSE37301_PRO_BCELL_VS_GRANULOCYTE_MONOCYTE_PROGENITOR_DN.html" TargetMode="External"/><Relationship Id="rId2749" Type="http://schemas.openxmlformats.org/officeDocument/2006/relationships/hyperlink" Target="http://www.broadinstitute.org/gsea/msigdb/cards/GSE1791_CTRL_VS_NEUROMEDINU_IN_T_CELL_LINE_3H_UP.html" TargetMode="External"/><Relationship Id="rId3100" Type="http://schemas.openxmlformats.org/officeDocument/2006/relationships/hyperlink" Target="http://www.broadinstitute.org/gsea/msigdb/cards/GSE14308_INDUCED_VS_NATURAL_TREG_DN.html" TargetMode="External"/><Relationship Id="rId3101" Type="http://schemas.openxmlformats.org/officeDocument/2006/relationships/hyperlink" Target="http://www.broadinstitute.org/gsea/msigdb/cards/GSE14350_IL2RB_KO_VS_WT_TREG_DN.html" TargetMode="External"/><Relationship Id="rId3102" Type="http://schemas.openxmlformats.org/officeDocument/2006/relationships/hyperlink" Target="http://www.broadinstitute.org/gsea/msigdb/cards/GSE14350_IL2RB_KO_VS_WT_TEFF_UP.html" TargetMode="External"/><Relationship Id="rId3103" Type="http://schemas.openxmlformats.org/officeDocument/2006/relationships/hyperlink" Target="http://www.broadinstitute.org/gsea/msigdb/cards/GSE1448_ANTI_VALPHA2_VS_VBETA5_DP_THYMOCYTE_DN.html" TargetMode="External"/><Relationship Id="rId3104" Type="http://schemas.openxmlformats.org/officeDocument/2006/relationships/hyperlink" Target="http://www.broadinstitute.org/gsea/msigdb/cards/GSE1460_INTRATHYMIC_T_PROGENITOR_VS_DP_THYMOCYTE_DN.html" TargetMode="External"/><Relationship Id="rId3105" Type="http://schemas.openxmlformats.org/officeDocument/2006/relationships/hyperlink" Target="http://www.broadinstitute.org/gsea/msigdb/cards/GSE1460_INTRATHYMIC_T_PROGENITOR_VS_NAIVE_CD4_TCELL_ADULT_BLOOD_DN.html" TargetMode="External"/><Relationship Id="rId3106" Type="http://schemas.openxmlformats.org/officeDocument/2006/relationships/hyperlink" Target="http://www.broadinstitute.org/gsea/msigdb/cards/GSE15930_STIM_VS_STIM_AND_IL12_48H_CD8_T_CELL_UP.html" TargetMode="External"/><Relationship Id="rId3107" Type="http://schemas.openxmlformats.org/officeDocument/2006/relationships/hyperlink" Target="http://www.broadinstitute.org/gsea/msigdb/cards/GSE15930_STIM_VS_STIM_AND_IL12_48H_CD8_T_CELL_DN.html" TargetMode="External"/><Relationship Id="rId3108" Type="http://schemas.openxmlformats.org/officeDocument/2006/relationships/hyperlink" Target="http://www.broadinstitute.org/gsea/msigdb/cards/GSE17580_TREG_VS_TEFF_DN.html" TargetMode="External"/><Relationship Id="rId3109" Type="http://schemas.openxmlformats.org/officeDocument/2006/relationships/hyperlink" Target="http://www.broadinstitute.org/gsea/msigdb/cards/GSE17721_CTRL_VS_GARDIQUIMOD_8H_BMDC_DN.html" TargetMode="External"/><Relationship Id="rId400" Type="http://schemas.openxmlformats.org/officeDocument/2006/relationships/hyperlink" Target="http://www.broadinstitute.org/gsea/msigdb/cards/LINDGREN_BLADDER_CANCER_CLUSTER_1_DN.html" TargetMode="External"/><Relationship Id="rId401" Type="http://schemas.openxmlformats.org/officeDocument/2006/relationships/hyperlink" Target="http://www.broadinstitute.org/gsea/msigdb/cards/LEIN_ASTROCYTE_MARKERS.html" TargetMode="External"/><Relationship Id="rId402" Type="http://schemas.openxmlformats.org/officeDocument/2006/relationships/hyperlink" Target="http://www.broadinstitute.org/gsea/msigdb/cards/ZHAN_EARLY_DIFFERENTIATION_GENES_DN.html" TargetMode="External"/><Relationship Id="rId403" Type="http://schemas.openxmlformats.org/officeDocument/2006/relationships/hyperlink" Target="http://www.broadinstitute.org/gsea/msigdb/cards/MIKKELSEN_IPS_LCP_WITH_H3K4ME3.html" TargetMode="External"/><Relationship Id="rId404" Type="http://schemas.openxmlformats.org/officeDocument/2006/relationships/hyperlink" Target="http://www.broadinstitute.org/gsea/msigdb/cards/PID_CXCR3_PATHWAY.html" TargetMode="External"/><Relationship Id="rId405" Type="http://schemas.openxmlformats.org/officeDocument/2006/relationships/hyperlink" Target="http://www.broadinstitute.org/gsea/msigdb/cards/TSAI_RESPONSE_TO_IONIZING_RADIATION.html" TargetMode="External"/><Relationship Id="rId406" Type="http://schemas.openxmlformats.org/officeDocument/2006/relationships/hyperlink" Target="http://www.broadinstitute.org/gsea/msigdb/cards/PID_IL8_CXCR1_PATHWAY.html" TargetMode="External"/><Relationship Id="rId407" Type="http://schemas.openxmlformats.org/officeDocument/2006/relationships/hyperlink" Target="http://www.broadinstitute.org/gsea/msigdb/cards/BIOCARTA_IL22BP_PATHWAY.html" TargetMode="External"/><Relationship Id="rId408" Type="http://schemas.openxmlformats.org/officeDocument/2006/relationships/hyperlink" Target="http://www.broadinstitute.org/gsea/msigdb/cards/LUI_THYROID_CANCER_CLUSTER_4.html" TargetMode="External"/><Relationship Id="rId409" Type="http://schemas.openxmlformats.org/officeDocument/2006/relationships/hyperlink" Target="http://www.broadinstitute.org/gsea/msigdb/cards/HAHTOLA_MYCOSIS_FUNGOIDES_SKIN_UP.html" TargetMode="External"/><Relationship Id="rId1650" Type="http://schemas.openxmlformats.org/officeDocument/2006/relationships/hyperlink" Target="http://www.broadinstitute.org/gsea/msigdb/cards/GO_NEGATIVE_REGULATION_OF_OSTEOCLAST_DIFFERENTIATION.html" TargetMode="External"/><Relationship Id="rId1651" Type="http://schemas.openxmlformats.org/officeDocument/2006/relationships/hyperlink" Target="http://www.broadinstitute.org/gsea/msigdb/cards/GO_GOLGI_MEMBRANE.html" TargetMode="External"/><Relationship Id="rId1652" Type="http://schemas.openxmlformats.org/officeDocument/2006/relationships/hyperlink" Target="http://www.broadinstitute.org/gsea/msigdb/cards/GO_POSITIVE_REGULATION_OF_MULTI_ORGANISM_PROCESS.html" TargetMode="External"/><Relationship Id="rId1653" Type="http://schemas.openxmlformats.org/officeDocument/2006/relationships/hyperlink" Target="http://www.broadinstitute.org/gsea/msigdb/cards/GO_ION_TRANSMEMBRANE_TRANSPORT.html" TargetMode="External"/><Relationship Id="rId1654" Type="http://schemas.openxmlformats.org/officeDocument/2006/relationships/hyperlink" Target="http://www.broadinstitute.org/gsea/msigdb/cards/GO_REGULATION_OF_PROTEIN_COMPLEX_ASSEMBLY.html" TargetMode="External"/><Relationship Id="rId1655" Type="http://schemas.openxmlformats.org/officeDocument/2006/relationships/hyperlink" Target="http://www.broadinstitute.org/gsea/msigdb/cards/GO_REGULATION_OF_PHOSPHOLIPID_METABOLIC_PROCESS.html" TargetMode="External"/><Relationship Id="rId1656" Type="http://schemas.openxmlformats.org/officeDocument/2006/relationships/hyperlink" Target="http://www.broadinstitute.org/gsea/msigdb/cards/GO_CALCIUM_ION_IMPORT_INTO_CYTOSOL.html" TargetMode="External"/><Relationship Id="rId1657" Type="http://schemas.openxmlformats.org/officeDocument/2006/relationships/hyperlink" Target="http://www.broadinstitute.org/gsea/msigdb/cards/GO_CELLULAR_RESPONSE_TO_INTERLEUKIN_4.html" TargetMode="External"/><Relationship Id="rId1658" Type="http://schemas.openxmlformats.org/officeDocument/2006/relationships/hyperlink" Target="http://www.broadinstitute.org/gsea/msigdb/cards/GO_REGULATION_OF_THYMOCYTE_AGGREGATION.html" TargetMode="External"/><Relationship Id="rId1659" Type="http://schemas.openxmlformats.org/officeDocument/2006/relationships/hyperlink" Target="http://www.broadinstitute.org/gsea/msigdb/cards/GO_ORGANELLE_SUBCOMPARTMENT.html" TargetMode="External"/><Relationship Id="rId4930" Type="http://schemas.openxmlformats.org/officeDocument/2006/relationships/hyperlink" Target="http://www.broadinstitute.org/gsea/msigdb/cards/GSE43955_10H_VS_60H_ACT_CD4_TCELL_WITH_TGFB_IL6_DN.html" TargetMode="External"/><Relationship Id="rId4931" Type="http://schemas.openxmlformats.org/officeDocument/2006/relationships/hyperlink" Target="http://www.broadinstitute.org/gsea/msigdb/cards/GSE43955_10H_VS_60H_ACT_CD4_TCELL_UP.html" TargetMode="External"/><Relationship Id="rId2010" Type="http://schemas.openxmlformats.org/officeDocument/2006/relationships/hyperlink" Target="http://www.broadinstitute.org/gsea/msigdb/cards/GO_ANGIOGENESIS.html" TargetMode="External"/><Relationship Id="rId2011" Type="http://schemas.openxmlformats.org/officeDocument/2006/relationships/hyperlink" Target="http://www.broadinstitute.org/gsea/msigdb/cards/GO_POSITIVE_REGULATION_OF_ORGANELLE_ORGANIZATION.html" TargetMode="External"/><Relationship Id="rId2012" Type="http://schemas.openxmlformats.org/officeDocument/2006/relationships/hyperlink" Target="http://www.broadinstitute.org/gsea/msigdb/cards/GO_REGULATION_OF_EXTRINSIC_APOPTOTIC_SIGNALING_PATHWAY.html" TargetMode="External"/><Relationship Id="rId2013" Type="http://schemas.openxmlformats.org/officeDocument/2006/relationships/hyperlink" Target="http://www.broadinstitute.org/gsea/msigdb/cards/GO_RESPONSE_TO_METAL_ION.html" TargetMode="External"/><Relationship Id="rId2014" Type="http://schemas.openxmlformats.org/officeDocument/2006/relationships/hyperlink" Target="http://www.broadinstitute.org/gsea/msigdb/cards/GO_NEGATIVE_REGULATION_OF_TYPE_I_INTERFERON_PRODUCTION.html" TargetMode="External"/><Relationship Id="rId2015" Type="http://schemas.openxmlformats.org/officeDocument/2006/relationships/hyperlink" Target="http://www.broadinstitute.org/gsea/msigdb/cards/GO_DEVELOPMENTAL_PIGMENTATION.html" TargetMode="External"/><Relationship Id="rId2016" Type="http://schemas.openxmlformats.org/officeDocument/2006/relationships/hyperlink" Target="http://www.broadinstitute.org/gsea/msigdb/cards/GO_POSITIVE_REGULATION_OF_PEPTIDASE_ACTIVITY.html" TargetMode="External"/><Relationship Id="rId2017" Type="http://schemas.openxmlformats.org/officeDocument/2006/relationships/hyperlink" Target="http://www.broadinstitute.org/gsea/msigdb/cards/GO_G_PROTEIN_COUPLED_RECEPTOR_BINDING.html" TargetMode="External"/><Relationship Id="rId2018" Type="http://schemas.openxmlformats.org/officeDocument/2006/relationships/hyperlink" Target="http://www.broadinstitute.org/gsea/msigdb/cards/GO_CELLULAR_RESPONSE_TO_GROWTH_HORMONE_STIMULUS.html" TargetMode="External"/><Relationship Id="rId2019" Type="http://schemas.openxmlformats.org/officeDocument/2006/relationships/hyperlink" Target="http://www.broadinstitute.org/gsea/msigdb/cards/GO_PARTURITION.html" TargetMode="External"/><Relationship Id="rId4932" Type="http://schemas.openxmlformats.org/officeDocument/2006/relationships/hyperlink" Target="http://www.broadinstitute.org/gsea/msigdb/cards/GSE46242_TH1_VS_ANERGIC_TH1_CD4_TCELL_WITH_EGR2_DELETED_DN.html" TargetMode="External"/><Relationship Id="rId4933" Type="http://schemas.openxmlformats.org/officeDocument/2006/relationships/hyperlink" Target="http://www.broadinstitute.org/gsea/msigdb/cards/GSE43863_TH1_VS_LY6C_INT_CXCR5POS_MEMORY_CD4_TCELL_UP.html" TargetMode="External"/><Relationship Id="rId4934" Type="http://schemas.openxmlformats.org/officeDocument/2006/relationships/hyperlink" Target="http://www.broadinstitute.org/gsea/msigdb/cards/GSE43863_TH1_VS_LY6C_LOW_CXCR5NEG_EFFECTOR_CD4_TCELL_UP.html" TargetMode="External"/><Relationship Id="rId4935" Type="http://schemas.openxmlformats.org/officeDocument/2006/relationships/hyperlink" Target="http://www.broadinstitute.org/gsea/msigdb/cards/GSE46606_DAY1_VS_DAY3_CD40L_IL2_IL5_STIMULATED_IRF4HIGH_BCELL_UP.html" TargetMode="External"/><Relationship Id="rId4936" Type="http://schemas.openxmlformats.org/officeDocument/2006/relationships/hyperlink" Target="http://www.broadinstitute.org/gsea/msigdb/cards/GSE46606_IRF4MID_VS_WT_CD40L_IL2_IL5_DAY1_STIMULATED_BCELL_UP.html" TargetMode="External"/><Relationship Id="rId4937" Type="http://schemas.openxmlformats.org/officeDocument/2006/relationships/hyperlink" Target="http://www.broadinstitute.org/gsea/msigdb/cards/GSE46606_IRF4HIGH_VS_WT_CD40L_IL2_IL5_DAY3_STIMULATED_BCELL_UP.html" TargetMode="External"/><Relationship Id="rId4938" Type="http://schemas.openxmlformats.org/officeDocument/2006/relationships/hyperlink" Target="http://www.broadinstitute.org/gsea/msigdb/cards/GSE46606_IRF4MID_VS_WT_CD40L_IL2_IL5_DAY3_STIMULATED_BCELL_UP.html" TargetMode="External"/><Relationship Id="rId4939" Type="http://schemas.openxmlformats.org/officeDocument/2006/relationships/hyperlink" Target="http://www.broadinstitute.org/gsea/msigdb/cards/GSE41176_WT_VS_TAK1_KO_UNSTIM_BCELL_UP.html" TargetMode="External"/><Relationship Id="rId3840" Type="http://schemas.openxmlformats.org/officeDocument/2006/relationships/hyperlink" Target="http://www.broadinstitute.org/gsea/msigdb/cards/GSE13306_LAMINA_PROPRIA_VS_SPLEEN_TREG_UP.html" TargetMode="External"/><Relationship Id="rId3841" Type="http://schemas.openxmlformats.org/officeDocument/2006/relationships/hyperlink" Target="http://www.broadinstitute.org/gsea/msigdb/cards/GSE13411_IGM_VS_SWITCHED_MEMORY_BCELL_DN.html" TargetMode="External"/><Relationship Id="rId3842" Type="http://schemas.openxmlformats.org/officeDocument/2006/relationships/hyperlink" Target="http://www.broadinstitute.org/gsea/msigdb/cards/GSE13493_DP_VS_CD8POS_THYMOCYTE_UP.html" TargetMode="External"/><Relationship Id="rId3843" Type="http://schemas.openxmlformats.org/officeDocument/2006/relationships/hyperlink" Target="http://www.broadinstitute.org/gsea/msigdb/cards/GSE14000_4H_VS_16H_LPS_DC_UP.html" TargetMode="External"/><Relationship Id="rId3844" Type="http://schemas.openxmlformats.org/officeDocument/2006/relationships/hyperlink" Target="http://www.broadinstitute.org/gsea/msigdb/cards/GSE14308_TH2_VS_TH17_DN.html" TargetMode="External"/><Relationship Id="rId3845" Type="http://schemas.openxmlformats.org/officeDocument/2006/relationships/hyperlink" Target="http://www.broadinstitute.org/gsea/msigdb/cards/GSE1460_INTRATHYMIC_T_PROGENITOR_VS_NAIVE_CD4_TCELL_CORD_BLOOD_DN.html" TargetMode="External"/><Relationship Id="rId3846" Type="http://schemas.openxmlformats.org/officeDocument/2006/relationships/hyperlink" Target="http://www.broadinstitute.org/gsea/msigdb/cards/GSE14769_20MIN_VS_360MIN_LPS_BMDM_DN.html" TargetMode="External"/><Relationship Id="rId3847" Type="http://schemas.openxmlformats.org/officeDocument/2006/relationships/hyperlink" Target="http://www.broadinstitute.org/gsea/msigdb/cards/GSE15324_NAIVE_VS_ACTIVATED_CD8_TCELL_UP.html" TargetMode="External"/><Relationship Id="rId3848" Type="http://schemas.openxmlformats.org/officeDocument/2006/relationships/hyperlink" Target="http://www.broadinstitute.org/gsea/msigdb/cards/GSE15324_ELF4_KO_VS_WT_ACTIVATED_CD8_TCELL_DN.html" TargetMode="External"/><Relationship Id="rId3849" Type="http://schemas.openxmlformats.org/officeDocument/2006/relationships/hyperlink" Target="http://www.broadinstitute.org/gsea/msigdb/cards/GSE15659_CD45RA_NEG_CD4_TCELL_VS_NONSUPPRESSIVE_TCELL_DN.html" TargetMode="External"/><Relationship Id="rId4200" Type="http://schemas.openxmlformats.org/officeDocument/2006/relationships/hyperlink" Target="http://www.broadinstitute.org/gsea/msigdb/cards/GSE3920_UNTREATED_VS_IFNB_TREATED_ENDOTHELIAL_CELL_UP.html" TargetMode="External"/><Relationship Id="rId4201" Type="http://schemas.openxmlformats.org/officeDocument/2006/relationships/hyperlink" Target="http://www.broadinstitute.org/gsea/msigdb/cards/GSE6681_DELETED_FOXP3_VS_WT_TREG_UP.html" TargetMode="External"/><Relationship Id="rId4202" Type="http://schemas.openxmlformats.org/officeDocument/2006/relationships/hyperlink" Target="http://www.broadinstitute.org/gsea/msigdb/cards/GSE6875_WT_VS_FOXP3_KO_TREG_DN.html" TargetMode="External"/><Relationship Id="rId4203" Type="http://schemas.openxmlformats.org/officeDocument/2006/relationships/hyperlink" Target="http://www.broadinstitute.org/gsea/msigdb/cards/GSE9509_LPS_VS_LPS_AND_IL10_STIM_IL10_KO_MACROPHAGE_30MIN_UP.html" TargetMode="External"/><Relationship Id="rId4204" Type="http://schemas.openxmlformats.org/officeDocument/2006/relationships/hyperlink" Target="http://www.broadinstitute.org/gsea/msigdb/cards/GSE7831_UNSTIM_VS_INFLUENZA_STIM_PDC_4H_DN.html" TargetMode="External"/><Relationship Id="rId4205" Type="http://schemas.openxmlformats.org/officeDocument/2006/relationships/hyperlink" Target="http://www.broadinstitute.org/gsea/msigdb/cards/GSE5503_LIVER_DC_VS_MLN_DC_ACTIVATED_ALLOGENIC_TCELL_DN.html" TargetMode="External"/><Relationship Id="rId4206" Type="http://schemas.openxmlformats.org/officeDocument/2006/relationships/hyperlink" Target="http://www.broadinstitute.org/gsea/msigdb/cards/GSE5503_LIVER_DC_VS_PLN_DC_ACTIVATED_ALLOGENIC_TCELL_UP.html" TargetMode="External"/><Relationship Id="rId4207" Type="http://schemas.openxmlformats.org/officeDocument/2006/relationships/hyperlink" Target="http://www.broadinstitute.org/gsea/msigdb/cards/GSE5503_MLN_DC_VS_PLN_DC_ACTIVATED_ALLOGENIC_TCELL_DN.html" TargetMode="External"/><Relationship Id="rId4208" Type="http://schemas.openxmlformats.org/officeDocument/2006/relationships/hyperlink" Target="http://www.broadinstitute.org/gsea/msigdb/cards/GSE13547_CTRL_VS_ANTI_IGM_STIM_ZFX_KO_BCELL_2H_DN.html" TargetMode="External"/><Relationship Id="rId4209" Type="http://schemas.openxmlformats.org/officeDocument/2006/relationships/hyperlink" Target="http://www.broadinstitute.org/gsea/msigdb/cards/GSE15330_MEGAKARYOCYTE_ERYTHROID_VS_GRANULOCYTE_MONOCYTE_PROGENITOR_DN.html" TargetMode="External"/><Relationship Id="rId2750" Type="http://schemas.openxmlformats.org/officeDocument/2006/relationships/hyperlink" Target="http://www.broadinstitute.org/gsea/msigdb/cards/GSE5542_UNTREATED_VS_IFNA_TREATED_EPITHELIAL_CELLS_24H_UP.html" TargetMode="External"/><Relationship Id="rId2751" Type="http://schemas.openxmlformats.org/officeDocument/2006/relationships/hyperlink" Target="http://www.broadinstitute.org/gsea/msigdb/cards/GSE21063_CTRL_VS_ANTI_IGM_STIM_BCELL_3H_UP.html" TargetMode="External"/><Relationship Id="rId2752" Type="http://schemas.openxmlformats.org/officeDocument/2006/relationships/hyperlink" Target="http://www.broadinstitute.org/gsea/msigdb/cards/KAECH_DAY15_EFF_VS_MEMORY_CD8_TCELL_DN.html" TargetMode="External"/><Relationship Id="rId2753" Type="http://schemas.openxmlformats.org/officeDocument/2006/relationships/hyperlink" Target="http://www.broadinstitute.org/gsea/msigdb/cards/GSE11057_NAIVE_VS_CENT_MEMORY_CD4_TCELL_DN.html" TargetMode="External"/><Relationship Id="rId2754" Type="http://schemas.openxmlformats.org/officeDocument/2006/relationships/hyperlink" Target="http://www.broadinstitute.org/gsea/msigdb/cards/GSE13306_TREG_VS_TCONV_SPLEEN_DN.html" TargetMode="External"/><Relationship Id="rId2755" Type="http://schemas.openxmlformats.org/officeDocument/2006/relationships/hyperlink" Target="http://www.broadinstitute.org/gsea/msigdb/cards/GSE13411_NAIVE_BCELL_VS_PLASMA_CELL_UP.html" TargetMode="External"/><Relationship Id="rId2756" Type="http://schemas.openxmlformats.org/officeDocument/2006/relationships/hyperlink" Target="http://www.broadinstitute.org/gsea/msigdb/cards/GSE13484_UNSTIM_VS_YF17D_VACCINE_STIM_PBMC_DN.html" TargetMode="External"/><Relationship Id="rId2757" Type="http://schemas.openxmlformats.org/officeDocument/2006/relationships/hyperlink" Target="http://www.broadinstitute.org/gsea/msigdb/cards/GSE13485_DAY3_VS_DAY7_YF17D_VACCINE_PBMC_DN.html" TargetMode="External"/><Relationship Id="rId2758" Type="http://schemas.openxmlformats.org/officeDocument/2006/relationships/hyperlink" Target="http://www.broadinstitute.org/gsea/msigdb/cards/GSE1432_1H_VS_6H_IFNG_MICROGLIA_DN.html" TargetMode="External"/><Relationship Id="rId2759" Type="http://schemas.openxmlformats.org/officeDocument/2006/relationships/hyperlink" Target="http://www.broadinstitute.org/gsea/msigdb/cards/GSE14350_IL2RB_KO_VS_WT_TEFF_DN.html" TargetMode="External"/><Relationship Id="rId3110" Type="http://schemas.openxmlformats.org/officeDocument/2006/relationships/hyperlink" Target="http://www.broadinstitute.org/gsea/msigdb/cards/GSE17721_POLYIC_VS_CPG_8H_BMDC_UP.html" TargetMode="External"/><Relationship Id="rId3111" Type="http://schemas.openxmlformats.org/officeDocument/2006/relationships/hyperlink" Target="http://www.broadinstitute.org/gsea/msigdb/cards/GSE17721_PAM3CSK4_VS_GADIQUIMOD_1H_BMDC_UP.html" TargetMode="External"/><Relationship Id="rId3112" Type="http://schemas.openxmlformats.org/officeDocument/2006/relationships/hyperlink" Target="http://www.broadinstitute.org/gsea/msigdb/cards/GSE17721_PAM3CSK4_VS_GADIQUIMOD_12H_BMDC_DN.html" TargetMode="External"/><Relationship Id="rId3113" Type="http://schemas.openxmlformats.org/officeDocument/2006/relationships/hyperlink" Target="http://www.broadinstitute.org/gsea/msigdb/cards/GSE17721_LPS_VS_GARDIQUIMOD_2H_BMDC_UP.html" TargetMode="External"/><Relationship Id="rId3114" Type="http://schemas.openxmlformats.org/officeDocument/2006/relationships/hyperlink" Target="http://www.broadinstitute.org/gsea/msigdb/cards/GSE17721_0.5H_VS_4H_PAM3CSK4_BMDC_UP.html" TargetMode="External"/><Relationship Id="rId3115" Type="http://schemas.openxmlformats.org/officeDocument/2006/relationships/hyperlink" Target="http://www.broadinstitute.org/gsea/msigdb/cards/GSE17974_CTRL_VS_ACT_IL4_AND_ANTI_IL12_2H_CD4_TCELL_UP.html" TargetMode="External"/><Relationship Id="rId3116" Type="http://schemas.openxmlformats.org/officeDocument/2006/relationships/hyperlink" Target="http://www.broadinstitute.org/gsea/msigdb/cards/GSE17974_CTRL_VS_ACT_IL4_AND_ANTI_IL12_72H_CD4_TCELL_UP.html" TargetMode="External"/><Relationship Id="rId3117" Type="http://schemas.openxmlformats.org/officeDocument/2006/relationships/hyperlink" Target="http://www.broadinstitute.org/gsea/msigdb/cards/GSE18791_UNSTIM_VS_NEWCATSLE_VIRUS_DC_10H_DN.html" TargetMode="External"/><Relationship Id="rId3118" Type="http://schemas.openxmlformats.org/officeDocument/2006/relationships/hyperlink" Target="http://www.broadinstitute.org/gsea/msigdb/cards/GSE18791_UNSTIM_VS_NEWCATSLE_VIRUS_DC_18H_DN.html" TargetMode="External"/><Relationship Id="rId3119" Type="http://schemas.openxmlformats.org/officeDocument/2006/relationships/hyperlink" Target="http://www.broadinstitute.org/gsea/msigdb/cards/GSE20715_0H_VS_6H_OZONE_LUNG_UP.html" TargetMode="External"/><Relationship Id="rId410" Type="http://schemas.openxmlformats.org/officeDocument/2006/relationships/hyperlink" Target="http://www.broadinstitute.org/gsea/msigdb/cards/XU_CREBBP_TARGETS_DN.html" TargetMode="External"/><Relationship Id="rId411" Type="http://schemas.openxmlformats.org/officeDocument/2006/relationships/hyperlink" Target="http://www.broadinstitute.org/gsea/msigdb/cards/SATO_SILENCED_BY_METHYLATION_IN_PANCREATIC_CANCER_1.html" TargetMode="External"/><Relationship Id="rId412" Type="http://schemas.openxmlformats.org/officeDocument/2006/relationships/hyperlink" Target="http://www.broadinstitute.org/gsea/msigdb/cards/GRESHOCK_CANCER_COPY_NUMBER_UP.html" TargetMode="External"/><Relationship Id="rId413" Type="http://schemas.openxmlformats.org/officeDocument/2006/relationships/hyperlink" Target="http://www.broadinstitute.org/gsea/msigdb/cards/ROSS_ACUTE_MYELOID_LEUKEMIA_CBF.html" TargetMode="External"/><Relationship Id="rId414" Type="http://schemas.openxmlformats.org/officeDocument/2006/relationships/hyperlink" Target="http://www.broadinstitute.org/gsea/msigdb/cards/LIM_MAMMARY_STEM_CELL_UP.html" TargetMode="External"/><Relationship Id="rId415" Type="http://schemas.openxmlformats.org/officeDocument/2006/relationships/hyperlink" Target="http://www.broadinstitute.org/gsea/msigdb/cards/ODONNELL_TFRC_TARGETS_UP.html" TargetMode="External"/><Relationship Id="rId416" Type="http://schemas.openxmlformats.org/officeDocument/2006/relationships/hyperlink" Target="http://www.broadinstitute.org/gsea/msigdb/cards/BROWN_MYELOID_CELL_DEVELOPMENT_DN.html" TargetMode="External"/><Relationship Id="rId417" Type="http://schemas.openxmlformats.org/officeDocument/2006/relationships/hyperlink" Target="http://www.broadinstitute.org/gsea/msigdb/cards/BIOCARTA_IL10_PATHWAY.html" TargetMode="External"/><Relationship Id="rId418" Type="http://schemas.openxmlformats.org/officeDocument/2006/relationships/hyperlink" Target="http://www.broadinstitute.org/gsea/msigdb/cards/TONKS_TARGETS_OF_RUNX1_RUNX1T1_FUSION_GRANULOCYTE_DN.html" TargetMode="External"/><Relationship Id="rId419" Type="http://schemas.openxmlformats.org/officeDocument/2006/relationships/hyperlink" Target="http://www.broadinstitute.org/gsea/msigdb/cards/FOSTER_KDM1A_TARGETS_UP.html" TargetMode="External"/><Relationship Id="rId1660" Type="http://schemas.openxmlformats.org/officeDocument/2006/relationships/hyperlink" Target="http://www.broadinstitute.org/gsea/msigdb/cards/GO_REGULATION_OF_RESPONSE_TO_TUMOR_CELL.html" TargetMode="External"/><Relationship Id="rId1661" Type="http://schemas.openxmlformats.org/officeDocument/2006/relationships/hyperlink" Target="http://www.broadinstitute.org/gsea/msigdb/cards/GO_NEGATIVE_REGULATION_OF_PROTEIN_SECRETION.html" TargetMode="External"/><Relationship Id="rId1662" Type="http://schemas.openxmlformats.org/officeDocument/2006/relationships/hyperlink" Target="http://www.broadinstitute.org/gsea/msigdb/cards/GO_CELL_CELL_JUNCTION.html" TargetMode="External"/><Relationship Id="rId1663" Type="http://schemas.openxmlformats.org/officeDocument/2006/relationships/hyperlink" Target="http://www.broadinstitute.org/gsea/msigdb/cards/GO_POSITIVE_REGULATION_OF_NF_KAPPAB_IMPORT_INTO_NUCLEUS.html" TargetMode="External"/><Relationship Id="rId1664" Type="http://schemas.openxmlformats.org/officeDocument/2006/relationships/hyperlink" Target="http://www.broadinstitute.org/gsea/msigdb/cards/GO_RESPONSE_TO_NUTRIENT.html" TargetMode="External"/><Relationship Id="rId1665" Type="http://schemas.openxmlformats.org/officeDocument/2006/relationships/hyperlink" Target="http://www.broadinstitute.org/gsea/msigdb/cards/GO_NEGATIVE_REGULATION_OF_MYELOID_LEUKOCYTE_DIFFERENTIATION.html" TargetMode="External"/><Relationship Id="rId1666" Type="http://schemas.openxmlformats.org/officeDocument/2006/relationships/hyperlink" Target="http://www.broadinstitute.org/gsea/msigdb/cards/GO_INTRINSIC_COMPONENT_OF_ENDOPLASMIC_RETICULUM_MEMBRANE.html" TargetMode="External"/><Relationship Id="rId1667" Type="http://schemas.openxmlformats.org/officeDocument/2006/relationships/hyperlink" Target="http://www.broadinstitute.org/gsea/msigdb/cards/GO_TOLL_LIKE_RECEPTOR_9_SIGNALING_PATHWAY.html" TargetMode="External"/><Relationship Id="rId1668" Type="http://schemas.openxmlformats.org/officeDocument/2006/relationships/hyperlink" Target="http://www.broadinstitute.org/gsea/msigdb/cards/GO_CELL_SUBSTRATE_ADHESION.html" TargetMode="External"/><Relationship Id="rId1669" Type="http://schemas.openxmlformats.org/officeDocument/2006/relationships/hyperlink" Target="http://www.broadinstitute.org/gsea/msigdb/cards/GO_POSITIVE_REGULATION_OF_B_CELL_DIFFERENTIATION.html" TargetMode="External"/><Relationship Id="rId4940" Type="http://schemas.openxmlformats.org/officeDocument/2006/relationships/hyperlink" Target="http://www.broadinstitute.org/gsea/msigdb/cards/GSE41176_WT_VS_TAK1_KO_ANTI_IGM_STIM_BCELL_1H_DN.html" TargetMode="External"/><Relationship Id="rId4941" Type="http://schemas.openxmlformats.org/officeDocument/2006/relationships/hyperlink" Target="http://www.broadinstitute.org/gsea/msigdb/cards/GSE41176_WT_VS_TAK1_KO_ANTI_IGM_STIM_BCELL_6H_UP.html" TargetMode="External"/><Relationship Id="rId2020" Type="http://schemas.openxmlformats.org/officeDocument/2006/relationships/hyperlink" Target="http://www.broadinstitute.org/gsea/msigdb/cards/GO_REGULATION_OF_MACROPHAGE_DIFFERENTIATION.html" TargetMode="External"/><Relationship Id="rId2021" Type="http://schemas.openxmlformats.org/officeDocument/2006/relationships/hyperlink" Target="http://www.broadinstitute.org/gsea/msigdb/cards/GO_PROTEIN_HOMOTRIMERIZATION.html" TargetMode="External"/><Relationship Id="rId2022" Type="http://schemas.openxmlformats.org/officeDocument/2006/relationships/hyperlink" Target="http://www.broadinstitute.org/gsea/msigdb/cards/GO_MELANOCYTE_DIFFERENTIATION.html" TargetMode="External"/><Relationship Id="rId2023" Type="http://schemas.openxmlformats.org/officeDocument/2006/relationships/hyperlink" Target="http://www.broadinstitute.org/gsea/msigdb/cards/GO_PHOSPHATIDYLINOSITOL_3_KINASE_COMPLEX.html" TargetMode="External"/><Relationship Id="rId2024" Type="http://schemas.openxmlformats.org/officeDocument/2006/relationships/hyperlink" Target="http://www.broadinstitute.org/gsea/msigdb/cards/GO_TRIGLYCERIDE_RICH_LIPOPROTEIN_PARTICLE.html" TargetMode="External"/><Relationship Id="rId2025" Type="http://schemas.openxmlformats.org/officeDocument/2006/relationships/hyperlink" Target="http://www.broadinstitute.org/gsea/msigdb/cards/GO_PHOSPHATIDYLINOSITOL_3_4_BISPHOSPHATE_BINDING.html" TargetMode="External"/><Relationship Id="rId2026" Type="http://schemas.openxmlformats.org/officeDocument/2006/relationships/hyperlink" Target="http://www.broadinstitute.org/gsea/msigdb/cards/GO_ORGANIC_HYDROXY_COMPOUND_TRANSPORT.html" TargetMode="External"/><Relationship Id="rId2027" Type="http://schemas.openxmlformats.org/officeDocument/2006/relationships/hyperlink" Target="http://www.broadinstitute.org/gsea/msigdb/cards/GO_REGULATION_OF_CELL_PROJECTION_ASSEMBLY.html" TargetMode="External"/><Relationship Id="rId2028" Type="http://schemas.openxmlformats.org/officeDocument/2006/relationships/hyperlink" Target="http://www.broadinstitute.org/gsea/msigdb/cards/GO_CYTOSKELETON_ORGANIZATION.html" TargetMode="External"/><Relationship Id="rId2029" Type="http://schemas.openxmlformats.org/officeDocument/2006/relationships/hyperlink" Target="http://www.broadinstitute.org/gsea/msigdb/cards/GO_REGULATION_OF_NERVOUS_SYSTEM_DEVELOPMENT.html" TargetMode="External"/><Relationship Id="rId4942" Type="http://schemas.openxmlformats.org/officeDocument/2006/relationships/hyperlink" Target="http://www.broadinstitute.org/gsea/msigdb/cards/GSE12484_HEALTHY_VS_PERIDONTITIS_NEUTROPHILS_UP.html" TargetMode="External"/><Relationship Id="rId4943" Type="http://schemas.openxmlformats.org/officeDocument/2006/relationships/hyperlink" Target="http://www.broadinstitute.org/gsea/msigdb/cards/GSE7768_OVA_WITH_LPS_VS_OVA_WITH_MPL_IMMUNIZED_MOUSE_WHOLE_SPLEEN_6H_UP.html" TargetMode="External"/><Relationship Id="rId4944" Type="http://schemas.openxmlformats.org/officeDocument/2006/relationships/hyperlink" Target="http://www.broadinstitute.org/gsea/msigdb/cards/GSE24671_CTRL_VS_BAKIMULC_INFECTED_MOUSE_SPLENOCYTES_DN.html" TargetMode="External"/><Relationship Id="rId4945" Type="http://schemas.openxmlformats.org/officeDocument/2006/relationships/hyperlink" Target="http://www.broadinstitute.org/gsea/msigdb/cards/GSE12003_4D_VS_8D_CULTURE_BM_PROGENITOR_DN.html" TargetMode="External"/><Relationship Id="rId4946" Type="http://schemas.openxmlformats.org/officeDocument/2006/relationships/hyperlink" Target="http://www.broadinstitute.org/gsea/msigdb/cards/GSE13522_CTRL_VS_T_CRUZI_Y_STRAIN_INF_SKIN_IFNG_KO_DN.html" TargetMode="External"/><Relationship Id="rId4947" Type="http://schemas.openxmlformats.org/officeDocument/2006/relationships/hyperlink" Target="http://www.broadinstitute.org/gsea/msigdb/cards/GSE21033_3H_VS_12H_POLYIC_STIM_DC_DN.html" TargetMode="External"/><Relationship Id="rId4948" Type="http://schemas.openxmlformats.org/officeDocument/2006/relationships/hyperlink" Target="http://www.broadinstitute.org/gsea/msigdb/cards/GSE40274_CTRL_VS_SATB1_TRANSDUCED_ACTIVATED_CD4_TCELL_DN.html" TargetMode="External"/><Relationship Id="rId4949" Type="http://schemas.openxmlformats.org/officeDocument/2006/relationships/hyperlink" Target="http://www.broadinstitute.org/gsea/msigdb/cards/GSE12963_UNINF_VS_ENV_AND_NEF_DEFICIENT_HIV1_INF_CD4_TCELL_UP.html" TargetMode="External"/><Relationship Id="rId5300" Type="http://schemas.openxmlformats.org/officeDocument/2006/relationships/hyperlink" Target="http://www.broadinstitute.org/gsea/msigdb/cards/GSE4984_GALECTIN1_VS_LPS_STIM_DC_DN.html" TargetMode="External"/><Relationship Id="rId5301" Type="http://schemas.openxmlformats.org/officeDocument/2006/relationships/hyperlink" Target="http://www.broadinstitute.org/gsea/msigdb/cards/GSE3920_IFNA_VS_IFNG_TREATED_ENDOTHELIAL_CELL_UP.html" TargetMode="External"/><Relationship Id="rId5302" Type="http://schemas.openxmlformats.org/officeDocument/2006/relationships/hyperlink" Target="http://www.broadinstitute.org/gsea/msigdb/cards/GSE37532_VISCERAL_ADIPOSE_TISSUE_VS_LN_DERIVED_TREG_CD4_TCELL_UP.html" TargetMode="External"/><Relationship Id="rId5303" Type="http://schemas.openxmlformats.org/officeDocument/2006/relationships/hyperlink" Target="http://www.broadinstitute.org/gsea/msigdb/cards/GSE7459_UNTREATED_VS_IL6_TREATED_ACT_CD4_TCELL_UP.html" TargetMode="External"/><Relationship Id="rId5304" Type="http://schemas.openxmlformats.org/officeDocument/2006/relationships/hyperlink" Target="http://www.broadinstitute.org/gsea/msigdb/cards/GSE6269_HEALTHY_VS_E_COLI_INF_PBMC_DN.html" TargetMode="External"/><Relationship Id="rId5305" Type="http://schemas.openxmlformats.org/officeDocument/2006/relationships/hyperlink" Target="http://www.broadinstitute.org/gsea/msigdb/cards/GSE32901_TH17_EMRICHED_VS_TH17_NEG_CD4_TCELL_DN.html" TargetMode="External"/><Relationship Id="rId5306" Type="http://schemas.openxmlformats.org/officeDocument/2006/relationships/hyperlink" Target="http://www.broadinstitute.org/gsea/msigdb/cards/GSE9946_IMMATURE_VS_LISTERIA_INF_MATURE_DC_UP.html" TargetMode="External"/><Relationship Id="rId3850" Type="http://schemas.openxmlformats.org/officeDocument/2006/relationships/hyperlink" Target="http://www.broadinstitute.org/gsea/msigdb/cards/GSE15767_MED_VS_SCS_MAC_LN_DN.html" TargetMode="External"/><Relationship Id="rId3851" Type="http://schemas.openxmlformats.org/officeDocument/2006/relationships/hyperlink" Target="http://www.broadinstitute.org/gsea/msigdb/cards/GSE15930_NAIVE_VS_72H_IN_VITRO_STIM_CD8_TCELL_DN.html" TargetMode="External"/><Relationship Id="rId3852" Type="http://schemas.openxmlformats.org/officeDocument/2006/relationships/hyperlink" Target="http://www.broadinstitute.org/gsea/msigdb/cards/GSE15930_STIM_VS_STIM_AND_IFNAB_24H_CD8_T_CELL_UP.html" TargetMode="External"/><Relationship Id="rId3853" Type="http://schemas.openxmlformats.org/officeDocument/2006/relationships/hyperlink" Target="http://www.broadinstitute.org/gsea/msigdb/cards/GSE17721_CTRL_VS_LPS_2H_BMDC_DN.html" TargetMode="External"/><Relationship Id="rId3854" Type="http://schemas.openxmlformats.org/officeDocument/2006/relationships/hyperlink" Target="http://www.broadinstitute.org/gsea/msigdb/cards/GSE17721_CTRL_VS_LPS_8H_BMDC_DN.html" TargetMode="External"/><Relationship Id="rId3855" Type="http://schemas.openxmlformats.org/officeDocument/2006/relationships/hyperlink" Target="http://www.broadinstitute.org/gsea/msigdb/cards/GSE17721_CTRL_VS_POLYIC_0.5H_BMDC_UP.html" TargetMode="External"/><Relationship Id="rId3856" Type="http://schemas.openxmlformats.org/officeDocument/2006/relationships/hyperlink" Target="http://www.broadinstitute.org/gsea/msigdb/cards/GSE17721_CTRL_VS_POLYIC_6H_BMDC_DN.html" TargetMode="External"/><Relationship Id="rId3857" Type="http://schemas.openxmlformats.org/officeDocument/2006/relationships/hyperlink" Target="http://www.broadinstitute.org/gsea/msigdb/cards/GSE17721_CTRL_VS_PAM3CSK4_6H_BMDC_UP.html" TargetMode="External"/><Relationship Id="rId3858" Type="http://schemas.openxmlformats.org/officeDocument/2006/relationships/hyperlink" Target="http://www.broadinstitute.org/gsea/msigdb/cards/GSE17721_CTRL_VS_CPG_2H_BMDC_DN.html" TargetMode="External"/><Relationship Id="rId3859" Type="http://schemas.openxmlformats.org/officeDocument/2006/relationships/hyperlink" Target="http://www.broadinstitute.org/gsea/msigdb/cards/GSE17721_CTRL_VS_CPG_8H_BMDC_DN.html" TargetMode="External"/><Relationship Id="rId5307" Type="http://schemas.openxmlformats.org/officeDocument/2006/relationships/hyperlink" Target="http://www.broadinstitute.org/gsea/msigdb/cards/GSE12507_PDC_CELL_LINE_VS_IMMATUE_T_CELL_LINE_DN.html" TargetMode="External"/><Relationship Id="rId5308" Type="http://schemas.openxmlformats.org/officeDocument/2006/relationships/hyperlink" Target="http://www.broadinstitute.org/gsea/msigdb/cards/GSE13173_UNTREATED_VS_IL12_TREATED_ACT_CD8_TCELL_DN.html" TargetMode="External"/><Relationship Id="rId4210" Type="http://schemas.openxmlformats.org/officeDocument/2006/relationships/hyperlink" Target="http://www.broadinstitute.org/gsea/msigdb/cards/GSE15330_WT_VS_IKAROS_KO_GRANULOCYTE_MONOCYTE_PROGENITOR_DN.html" TargetMode="External"/><Relationship Id="rId4211" Type="http://schemas.openxmlformats.org/officeDocument/2006/relationships/hyperlink" Target="http://www.broadinstitute.org/gsea/msigdb/cards/GSE15330_MEGAKARYOCYTE_ERYTHROID_PROGENITOR_VS_PRO_BCELL_UP.html" TargetMode="External"/><Relationship Id="rId4212" Type="http://schemas.openxmlformats.org/officeDocument/2006/relationships/hyperlink" Target="http://www.broadinstitute.org/gsea/msigdb/cards/GSE15330_HSC_VS_PRO_BCELL_DN.html" TargetMode="External"/><Relationship Id="rId4213" Type="http://schemas.openxmlformats.org/officeDocument/2006/relationships/hyperlink" Target="http://www.broadinstitute.org/gsea/msigdb/cards/GSE12198_CTRL_VS_HIGH_IL2_STIM_NK_CELL_UP.html" TargetMode="External"/><Relationship Id="rId4214" Type="http://schemas.openxmlformats.org/officeDocument/2006/relationships/hyperlink" Target="http://www.broadinstitute.org/gsea/msigdb/cards/GSE9960_GRAM_NEG_VS_GRAM_NEG_AND_POS_SEPSIS_PBMC_UP.html" TargetMode="External"/><Relationship Id="rId4215" Type="http://schemas.openxmlformats.org/officeDocument/2006/relationships/hyperlink" Target="http://www.broadinstitute.org/gsea/msigdb/cards/GSE12392_CD8A_POS_VS_NEG_SPLEEN_DC_DN.html" TargetMode="External"/><Relationship Id="rId4216" Type="http://schemas.openxmlformats.org/officeDocument/2006/relationships/hyperlink" Target="http://www.broadinstitute.org/gsea/msigdb/cards/GSE17186_CD21LOW_VS_CD21HIGH_TRANSITIONAL_BCELL_DN.html" TargetMode="External"/><Relationship Id="rId4217" Type="http://schemas.openxmlformats.org/officeDocument/2006/relationships/hyperlink" Target="http://www.broadinstitute.org/gsea/msigdb/cards/GSE17186_MEMORY_VS_CD21LOW_TRANSITIONAL_BCELL_UP.html" TargetMode="External"/><Relationship Id="rId4218" Type="http://schemas.openxmlformats.org/officeDocument/2006/relationships/hyperlink" Target="http://www.broadinstitute.org/gsea/msigdb/cards/GSE17186_MEMORY_VS_CD21LOW_TRANSITIONAL_BCELL_DN.html" TargetMode="External"/><Relationship Id="rId4219" Type="http://schemas.openxmlformats.org/officeDocument/2006/relationships/hyperlink" Target="http://www.broadinstitute.org/gsea/msigdb/cards/GSE17186_BLOOD_VS_CORD_BLOOD_CD21HIGH_TRANSITIONAL_BCELL_UP.html" TargetMode="External"/><Relationship Id="rId2760" Type="http://schemas.openxmlformats.org/officeDocument/2006/relationships/hyperlink" Target="http://www.broadinstitute.org/gsea/msigdb/cards/GSE16522_ANTI_CD3CD28_STIM_VS_UNSTIM_MEMORY_CD8_TCELL_DN.html" TargetMode="External"/><Relationship Id="rId2761" Type="http://schemas.openxmlformats.org/officeDocument/2006/relationships/hyperlink" Target="http://www.broadinstitute.org/gsea/msigdb/cards/GSE17721_LPS_VS_POLYIC_8H_BMDC_DN.html" TargetMode="External"/><Relationship Id="rId2762" Type="http://schemas.openxmlformats.org/officeDocument/2006/relationships/hyperlink" Target="http://www.broadinstitute.org/gsea/msigdb/cards/GSE17721_PAM3CSK4_VS_CPG_4H_BMDC_DN.html" TargetMode="External"/><Relationship Id="rId2763" Type="http://schemas.openxmlformats.org/officeDocument/2006/relationships/hyperlink" Target="http://www.broadinstitute.org/gsea/msigdb/cards/GSE17721_LPS_VS_CPG_0.5H_BMDC_DN.html" TargetMode="External"/><Relationship Id="rId2764" Type="http://schemas.openxmlformats.org/officeDocument/2006/relationships/hyperlink" Target="http://www.broadinstitute.org/gsea/msigdb/cards/GSE17721_0.5H_VS_8H_CPG_BMDC_DN.html" TargetMode="External"/><Relationship Id="rId2765" Type="http://schemas.openxmlformats.org/officeDocument/2006/relationships/hyperlink" Target="http://www.broadinstitute.org/gsea/msigdb/cards/GSE17974_IL4_AND_ANTI_IL12_VS_UNTREATED_12H_ACT_CD4_TCELL_DN.html" TargetMode="External"/><Relationship Id="rId2766" Type="http://schemas.openxmlformats.org/officeDocument/2006/relationships/hyperlink" Target="http://www.broadinstitute.org/gsea/msigdb/cards/GSE22886_NAIVE_TCELL_VS_NKCELL_UP.html" TargetMode="External"/><Relationship Id="rId2767" Type="http://schemas.openxmlformats.org/officeDocument/2006/relationships/hyperlink" Target="http://www.broadinstitute.org/gsea/msigdb/cards/GSE22886_CD4_TCELL_VS_BCELL_NAIVE_DN.html" TargetMode="External"/><Relationship Id="rId2768" Type="http://schemas.openxmlformats.org/officeDocument/2006/relationships/hyperlink" Target="http://www.broadinstitute.org/gsea/msigdb/cards/GSE22886_IGG_IGA_MEMORY_BCELL_VS_BM_PLASMA_CELL_UP.html" TargetMode="External"/><Relationship Id="rId2769" Type="http://schemas.openxmlformats.org/officeDocument/2006/relationships/hyperlink" Target="http://www.broadinstitute.org/gsea/msigdb/cards/GSE24142_EARLY_THYMIC_PROGENITOR_VS_DN3_THYMOCYTE_ADULT_DN.html" TargetMode="External"/><Relationship Id="rId3120" Type="http://schemas.openxmlformats.org/officeDocument/2006/relationships/hyperlink" Target="http://www.broadinstitute.org/gsea/msigdb/cards/GSE20715_0H_VS_24H_OZONE_TLR4_KO_LUNG_UP.html" TargetMode="External"/><Relationship Id="rId3121" Type="http://schemas.openxmlformats.org/officeDocument/2006/relationships/hyperlink" Target="http://www.broadinstitute.org/gsea/msigdb/cards/GSE22886_UNSTIM_VS_STIM_MEMORY_TCELL_UP.html" TargetMode="External"/><Relationship Id="rId3122" Type="http://schemas.openxmlformats.org/officeDocument/2006/relationships/hyperlink" Target="http://www.broadinstitute.org/gsea/msigdb/cards/GSE22886_DAY0_VS_DAY1_MONOCYTE_IN_CULTURE_DN.html" TargetMode="External"/><Relationship Id="rId3123" Type="http://schemas.openxmlformats.org/officeDocument/2006/relationships/hyperlink" Target="http://www.broadinstitute.org/gsea/msigdb/cards/GSE22886_NAIVE_TCELL_VS_NEUTROPHIL_DN.html" TargetMode="External"/><Relationship Id="rId3124" Type="http://schemas.openxmlformats.org/officeDocument/2006/relationships/hyperlink" Target="http://www.broadinstitute.org/gsea/msigdb/cards/GSE22886_NAIVE_BCELL_VS_NEUTROPHIL_UP.html" TargetMode="External"/><Relationship Id="rId3125" Type="http://schemas.openxmlformats.org/officeDocument/2006/relationships/hyperlink" Target="http://www.broadinstitute.org/gsea/msigdb/cards/GSE22886_NAIVE_CD8_TCELL_VS_NEUTROPHIL_UP.html" TargetMode="External"/><Relationship Id="rId3126" Type="http://schemas.openxmlformats.org/officeDocument/2006/relationships/hyperlink" Target="http://www.broadinstitute.org/gsea/msigdb/cards/GSE26495_PD1HIGH_VS_PD1LOW_CD8_TCELL_DN.html" TargetMode="External"/><Relationship Id="rId3127" Type="http://schemas.openxmlformats.org/officeDocument/2006/relationships/hyperlink" Target="http://www.broadinstitute.org/gsea/msigdb/cards/GSE26928_EFF_MEM_VS_CENTR_MEM_CD4_TCELL_UP.html" TargetMode="External"/><Relationship Id="rId3128" Type="http://schemas.openxmlformats.org/officeDocument/2006/relationships/hyperlink" Target="http://www.broadinstitute.org/gsea/msigdb/cards/GSE2706_2H_VS_8H_LPS_STIM_DC_UP.html" TargetMode="External"/><Relationship Id="rId3129" Type="http://schemas.openxmlformats.org/officeDocument/2006/relationships/hyperlink" Target="http://www.broadinstitute.org/gsea/msigdb/cards/GSE29618_MONOCYTE_VS_PDC_DN.html" TargetMode="External"/><Relationship Id="rId420" Type="http://schemas.openxmlformats.org/officeDocument/2006/relationships/hyperlink" Target="http://www.broadinstitute.org/gsea/msigdb/cards/KIM_LRRC3B_TARGETS.html" TargetMode="External"/><Relationship Id="rId421" Type="http://schemas.openxmlformats.org/officeDocument/2006/relationships/hyperlink" Target="http://www.broadinstitute.org/gsea/msigdb/cards/HAHTOLA_MYCOSIS_FUNGOIDES_CD4_UP.html" TargetMode="External"/><Relationship Id="rId422" Type="http://schemas.openxmlformats.org/officeDocument/2006/relationships/hyperlink" Target="http://www.broadinstitute.org/gsea/msigdb/cards/REACTOME_NUCLEOTIDE_BINDING_DOMAIN_LEUCINE_RICH_REPEAT_CONTAINING_RECEPTOR_NLR_SIGNALING_PATHWAYS.html" TargetMode="External"/><Relationship Id="rId423" Type="http://schemas.openxmlformats.org/officeDocument/2006/relationships/hyperlink" Target="http://www.broadinstitute.org/gsea/msigdb/cards/RIZKI_TUMOR_INVASIVENESS_3D_UP.html" TargetMode="External"/><Relationship Id="rId424" Type="http://schemas.openxmlformats.org/officeDocument/2006/relationships/hyperlink" Target="http://www.broadinstitute.org/gsea/msigdb/cards/TAKEDA_TARGETS_OF_NUP98_HOXA9_FUSION_6HR_UP.html" TargetMode="External"/><Relationship Id="rId425" Type="http://schemas.openxmlformats.org/officeDocument/2006/relationships/hyperlink" Target="http://www.broadinstitute.org/gsea/msigdb/cards/CUI_TCF21_TARGETS_2_DN.html" TargetMode="External"/><Relationship Id="rId426" Type="http://schemas.openxmlformats.org/officeDocument/2006/relationships/hyperlink" Target="http://www.broadinstitute.org/gsea/msigdb/cards/ALCALAY_AML_BY_NPM1_LOCALIZATION_DN.html" TargetMode="External"/><Relationship Id="rId427" Type="http://schemas.openxmlformats.org/officeDocument/2006/relationships/hyperlink" Target="http://www.broadinstitute.org/gsea/msigdb/cards/ZHAN_MULTIPLE_MYELOMA_HP_DN.html" TargetMode="External"/><Relationship Id="rId428" Type="http://schemas.openxmlformats.org/officeDocument/2006/relationships/hyperlink" Target="http://www.broadinstitute.org/gsea/msigdb/cards/TORCHIA_TARGETS_OF_EWSR1_FLI1_FUSION_UP.html" TargetMode="External"/><Relationship Id="rId429" Type="http://schemas.openxmlformats.org/officeDocument/2006/relationships/hyperlink" Target="http://www.broadinstitute.org/gsea/msigdb/cards/JAZAG_TGFB1_SIGNALING_VIA_SMAD4_DN.html" TargetMode="External"/><Relationship Id="rId1670" Type="http://schemas.openxmlformats.org/officeDocument/2006/relationships/hyperlink" Target="http://www.broadinstitute.org/gsea/msigdb/cards/GO_LOW_DENSITY_LIPOPROTEIN_PARTICLE.html" TargetMode="External"/><Relationship Id="rId1671" Type="http://schemas.openxmlformats.org/officeDocument/2006/relationships/hyperlink" Target="http://www.broadinstitute.org/gsea/msigdb/cards/GO_REGULATION_OF_PLASMA_LIPOPROTEIN_PARTICLE_LEVELS.html" TargetMode="External"/><Relationship Id="rId1672" Type="http://schemas.openxmlformats.org/officeDocument/2006/relationships/hyperlink" Target="http://www.broadinstitute.org/gsea/msigdb/cards/GO_SCAVENGER_RECEPTOR_ACTIVITY.html" TargetMode="External"/><Relationship Id="rId1673" Type="http://schemas.openxmlformats.org/officeDocument/2006/relationships/hyperlink" Target="http://www.broadinstitute.org/gsea/msigdb/cards/GO_POSITIVE_REGULATION_OF_LEUKOCYTE_APOPTOTIC_PROCESS.html" TargetMode="External"/><Relationship Id="rId1674" Type="http://schemas.openxmlformats.org/officeDocument/2006/relationships/hyperlink" Target="http://www.broadinstitute.org/gsea/msigdb/cards/GO_POSITIVE_REGULATION_OF_ACTIVATED_T_CELL_PROLIFERATION.html" TargetMode="External"/><Relationship Id="rId1675" Type="http://schemas.openxmlformats.org/officeDocument/2006/relationships/hyperlink" Target="http://www.broadinstitute.org/gsea/msigdb/cards/GO_T_CELL_MEDIATED_IMMUNITY.html" TargetMode="External"/><Relationship Id="rId1676" Type="http://schemas.openxmlformats.org/officeDocument/2006/relationships/hyperlink" Target="http://www.broadinstitute.org/gsea/msigdb/cards/GO_POSITIVE_REGULATION_OF_PHOSPHATASE_ACTIVITY.html" TargetMode="External"/><Relationship Id="rId1677" Type="http://schemas.openxmlformats.org/officeDocument/2006/relationships/hyperlink" Target="http://www.broadinstitute.org/gsea/msigdb/cards/GO_MYELOID_CELL_HOMEOSTASIS.html" TargetMode="External"/><Relationship Id="rId1678" Type="http://schemas.openxmlformats.org/officeDocument/2006/relationships/hyperlink" Target="http://www.broadinstitute.org/gsea/msigdb/cards/GO_RESPONSE_TO_ORGANOPHOSPHORUS.html" TargetMode="External"/><Relationship Id="rId1679" Type="http://schemas.openxmlformats.org/officeDocument/2006/relationships/hyperlink" Target="http://www.broadinstitute.org/gsea/msigdb/cards/GO_GLYCEROLIPID_METABOLIC_PROCESS.html" TargetMode="External"/><Relationship Id="rId4950" Type="http://schemas.openxmlformats.org/officeDocument/2006/relationships/hyperlink" Target="http://www.broadinstitute.org/gsea/msigdb/cards/GSE40274_FOXP3_VS_FOXP3_AND_HELIOS_TRANSDUCED_ACTIVATED_CD4_TCELL_DN.html" TargetMode="External"/><Relationship Id="rId4951" Type="http://schemas.openxmlformats.org/officeDocument/2006/relationships/hyperlink" Target="http://www.broadinstitute.org/gsea/msigdb/cards/GSE37605_C57BL6_VS_NOD_FOXP3_IRES_GFP_TCONV_UP.html" TargetMode="External"/><Relationship Id="rId2030" Type="http://schemas.openxmlformats.org/officeDocument/2006/relationships/hyperlink" Target="http://www.broadinstitute.org/gsea/msigdb/cards/GO_REGULATED_EXOCYTOSIS.html" TargetMode="External"/><Relationship Id="rId2031" Type="http://schemas.openxmlformats.org/officeDocument/2006/relationships/hyperlink" Target="http://www.broadinstitute.org/gsea/msigdb/cards/GO_CATION_TRANSMEMBRANE_TRANSPORTER_ACTIVITY.html" TargetMode="External"/><Relationship Id="rId2032" Type="http://schemas.openxmlformats.org/officeDocument/2006/relationships/hyperlink" Target="http://www.broadinstitute.org/gsea/msigdb/cards/GO_ORGANIC_ACID_TRANSPORT.html" TargetMode="External"/><Relationship Id="rId2033" Type="http://schemas.openxmlformats.org/officeDocument/2006/relationships/hyperlink" Target="http://www.broadinstitute.org/gsea/msigdb/cards/GO_ENDOPLASMIC_RETICULUM.html" TargetMode="External"/><Relationship Id="rId2034" Type="http://schemas.openxmlformats.org/officeDocument/2006/relationships/hyperlink" Target="http://www.broadinstitute.org/gsea/msigdb/cards/GO_PROTEIN_DOMAIN_SPECIFIC_BINDING.html" TargetMode="External"/><Relationship Id="rId2035" Type="http://schemas.openxmlformats.org/officeDocument/2006/relationships/hyperlink" Target="http://www.broadinstitute.org/gsea/msigdb/cards/GO_TRANSPORT_VESICLE.html" TargetMode="External"/><Relationship Id="rId2036" Type="http://schemas.openxmlformats.org/officeDocument/2006/relationships/hyperlink" Target="http://www.broadinstitute.org/gsea/msigdb/cards/GO_HEPARIN_BINDING.html" TargetMode="External"/><Relationship Id="rId2037" Type="http://schemas.openxmlformats.org/officeDocument/2006/relationships/hyperlink" Target="http://www.broadinstitute.org/gsea/msigdb/cards/GO_NECROPTOTIC_PROCESS.html" TargetMode="External"/><Relationship Id="rId2038" Type="http://schemas.openxmlformats.org/officeDocument/2006/relationships/hyperlink" Target="http://www.broadinstitute.org/gsea/msigdb/cards/GO_CELL_PROJECTION_ASSEMBLY.html" TargetMode="External"/><Relationship Id="rId2039" Type="http://schemas.openxmlformats.org/officeDocument/2006/relationships/hyperlink" Target="http://www.broadinstitute.org/gsea/msigdb/cards/GO_PROTEIN_LIPID_COMPLEX_ASSEMBLY.html" TargetMode="External"/><Relationship Id="rId4952" Type="http://schemas.openxmlformats.org/officeDocument/2006/relationships/hyperlink" Target="http://www.broadinstitute.org/gsea/msigdb/cards/GSE14386_UNTREATED_VS_IFNA_TREATED_ACT_PBMC_MS_PATIENT_UP.html" TargetMode="External"/><Relationship Id="rId4953" Type="http://schemas.openxmlformats.org/officeDocument/2006/relationships/hyperlink" Target="http://www.broadinstitute.org/gsea/msigdb/cards/GSE27241_WT_VS_RORGT_KO_TH17_POLARIZED_CD4_TCELL_TREATED_WITH_DIGOXIN_DN.html" TargetMode="External"/><Relationship Id="rId4954" Type="http://schemas.openxmlformats.org/officeDocument/2006/relationships/hyperlink" Target="http://www.broadinstitute.org/gsea/msigdb/cards/GSE14415_INDUCED_VS_NATURAL_TREG_DN.html" TargetMode="External"/><Relationship Id="rId4955" Type="http://schemas.openxmlformats.org/officeDocument/2006/relationships/hyperlink" Target="http://www.broadinstitute.org/gsea/msigdb/cards/GSE13887_HEALTHY_VS_LUPUS_RESTING_CD4_TCELL_UP.html" TargetMode="External"/><Relationship Id="rId4956" Type="http://schemas.openxmlformats.org/officeDocument/2006/relationships/hyperlink" Target="http://www.broadinstitute.org/gsea/msigdb/cards/GSE13762_CTRL_VS_125_VITAMIND_DAY12_DC_UP.html" TargetMode="External"/><Relationship Id="rId4957" Type="http://schemas.openxmlformats.org/officeDocument/2006/relationships/hyperlink" Target="http://www.broadinstitute.org/gsea/msigdb/cards/GSE22611_UNSTIM_VS_2H_MDP_STIM_MUTANT_NOD2_TRANSDUCED_HEK293T_CELL_DN.html" TargetMode="External"/><Relationship Id="rId4958" Type="http://schemas.openxmlformats.org/officeDocument/2006/relationships/hyperlink" Target="http://www.broadinstitute.org/gsea/msigdb/cards/GSE25123_ROSIGLITAZONE_VS_IL4_AND_ROSIGLITAZONE_STIM_MACROPHAGE_DAY10_DN.html" TargetMode="External"/><Relationship Id="rId4959" Type="http://schemas.openxmlformats.org/officeDocument/2006/relationships/hyperlink" Target="http://www.broadinstitute.org/gsea/msigdb/cards/GSE10147_IL3_AND_HIVP17_VS_IL3_AND_CPG_STIM_PDC_DN.html" TargetMode="External"/><Relationship Id="rId3860" Type="http://schemas.openxmlformats.org/officeDocument/2006/relationships/hyperlink" Target="http://www.broadinstitute.org/gsea/msigdb/cards/GSE17721_CTRL_VS_CPG_12H_BMDC_DN.html" TargetMode="External"/><Relationship Id="rId3861" Type="http://schemas.openxmlformats.org/officeDocument/2006/relationships/hyperlink" Target="http://www.broadinstitute.org/gsea/msigdb/cards/GSE17721_LPS_VS_POLYIC_2H_BMDC_UP.html" TargetMode="External"/><Relationship Id="rId3862" Type="http://schemas.openxmlformats.org/officeDocument/2006/relationships/hyperlink" Target="http://www.broadinstitute.org/gsea/msigdb/cards/GSE17721_LPS_VS_POLYIC_4H_BMDC_DN.html" TargetMode="External"/><Relationship Id="rId3863" Type="http://schemas.openxmlformats.org/officeDocument/2006/relationships/hyperlink" Target="http://www.broadinstitute.org/gsea/msigdb/cards/GSE17721_POLYIC_VS_PAM3CSK4_4H_BMDC_DN.html" TargetMode="External"/><Relationship Id="rId3864" Type="http://schemas.openxmlformats.org/officeDocument/2006/relationships/hyperlink" Target="http://www.broadinstitute.org/gsea/msigdb/cards/GSE17721_PAM3CSK4_VS_CPG_6H_BMDC_DN.html" TargetMode="External"/><Relationship Id="rId3865" Type="http://schemas.openxmlformats.org/officeDocument/2006/relationships/hyperlink" Target="http://www.broadinstitute.org/gsea/msigdb/cards/GSE17721_LPS_VS_PAM3CSK4_4H_BMDC_UP.html" TargetMode="External"/><Relationship Id="rId3866" Type="http://schemas.openxmlformats.org/officeDocument/2006/relationships/hyperlink" Target="http://www.broadinstitute.org/gsea/msigdb/cards/GSE17721_LPS_VS_PAM3CSK4_8H_BMDC_UP.html" TargetMode="External"/><Relationship Id="rId3867" Type="http://schemas.openxmlformats.org/officeDocument/2006/relationships/hyperlink" Target="http://www.broadinstitute.org/gsea/msigdb/cards/GSE17721_LPS_VS_PAM3CSK4_24H_BMDC_DN.html" TargetMode="External"/><Relationship Id="rId3868" Type="http://schemas.openxmlformats.org/officeDocument/2006/relationships/hyperlink" Target="http://www.broadinstitute.org/gsea/msigdb/cards/GSE17721_POLYIC_VS_CPG_16H_BMDC_UP.html" TargetMode="External"/><Relationship Id="rId3869" Type="http://schemas.openxmlformats.org/officeDocument/2006/relationships/hyperlink" Target="http://www.broadinstitute.org/gsea/msigdb/cards/GSE17721_POLYIC_VS_GARDIQUIMOD_24H_BMDC_UP.html" TargetMode="External"/><Relationship Id="rId4220" Type="http://schemas.openxmlformats.org/officeDocument/2006/relationships/hyperlink" Target="http://www.broadinstitute.org/gsea/msigdb/cards/GSE17186_NAIVE_VS_CD21HIGH_TRANSITIONAL_BCELL_DN.html" TargetMode="External"/><Relationship Id="rId4221" Type="http://schemas.openxmlformats.org/officeDocument/2006/relationships/hyperlink" Target="http://www.broadinstitute.org/gsea/msigdb/cards/GSE19923_WT_VS_HEB_KO_DP_THYMOCYTE_UP.html" TargetMode="External"/><Relationship Id="rId4222" Type="http://schemas.openxmlformats.org/officeDocument/2006/relationships/hyperlink" Target="http://www.broadinstitute.org/gsea/msigdb/cards/GSE20198_IL12_VS_IL12_IL18_TREATED_ACT_CD4_TCELL_DN.html" TargetMode="External"/><Relationship Id="rId4223" Type="http://schemas.openxmlformats.org/officeDocument/2006/relationships/hyperlink" Target="http://www.broadinstitute.org/gsea/msigdb/cards/GSE21379_WT_VS_SAP_KO_TFH_CD4_TCELL_UP.html" TargetMode="External"/><Relationship Id="rId4224" Type="http://schemas.openxmlformats.org/officeDocument/2006/relationships/hyperlink" Target="http://www.broadinstitute.org/gsea/msigdb/cards/GSE21546_WT_VS_SAP1A_KO_AND_ELK1_KO_ANTI_CD3_STIM_DP_THYMOCYTES_DN.html" TargetMode="External"/><Relationship Id="rId4225" Type="http://schemas.openxmlformats.org/officeDocument/2006/relationships/hyperlink" Target="http://www.broadinstitute.org/gsea/msigdb/cards/GSE21927_SPLENIC_VS_TUMOR_MONOCYTES_FROM_C26GM_TUMOROUS_MICE_BALBC_DN.html" TargetMode="External"/><Relationship Id="rId4226" Type="http://schemas.openxmlformats.org/officeDocument/2006/relationships/hyperlink" Target="http://www.broadinstitute.org/gsea/msigdb/cards/GSE21360_NAIVE_VS_TERTIARY_MEMORY_CD8_TCELL_UP.html" TargetMode="External"/><Relationship Id="rId4227" Type="http://schemas.openxmlformats.org/officeDocument/2006/relationships/hyperlink" Target="http://www.broadinstitute.org/gsea/msigdb/cards/GSE23308_CTRL_VS_CORTICOSTERONE_TREATED_MACROPHAGE_DN.html" TargetMode="External"/><Relationship Id="rId4228" Type="http://schemas.openxmlformats.org/officeDocument/2006/relationships/hyperlink" Target="http://www.broadinstitute.org/gsea/msigdb/cards/GSE22935_UNSTIM_VS_12H_MBOVIS_BCG_STIM_MYD88_KO_MACROPHAGE_DN.html" TargetMode="External"/><Relationship Id="rId4229" Type="http://schemas.openxmlformats.org/officeDocument/2006/relationships/hyperlink" Target="http://www.broadinstitute.org/gsea/msigdb/cards/GSE20754_WT_VS_TCF1_KO_MEMORY_CD8_TCELL_DN.html" TargetMode="External"/><Relationship Id="rId2770" Type="http://schemas.openxmlformats.org/officeDocument/2006/relationships/hyperlink" Target="http://www.broadinstitute.org/gsea/msigdb/cards/GSE24142_EARLY_THYMIC_PROGENITOR_VS_DN3_THYMOCYTE_FETAL_DN.html" TargetMode="External"/><Relationship Id="rId2771" Type="http://schemas.openxmlformats.org/officeDocument/2006/relationships/hyperlink" Target="http://www.broadinstitute.org/gsea/msigdb/cards/GSE2706_LPS_VS_R848_AND_LPS_8H_STIM_DC_UP.html" TargetMode="External"/><Relationship Id="rId2772" Type="http://schemas.openxmlformats.org/officeDocument/2006/relationships/hyperlink" Target="http://www.broadinstitute.org/gsea/msigdb/cards/GSE27786_LIN_NEG_VS_NKCELL_DN.html" TargetMode="External"/><Relationship Id="rId2773" Type="http://schemas.openxmlformats.org/officeDocument/2006/relationships/hyperlink" Target="http://www.broadinstitute.org/gsea/msigdb/cards/GSE29618_BCELL_VS_PDC_DAY7_FLU_VACCINE_DN.html" TargetMode="External"/><Relationship Id="rId2774" Type="http://schemas.openxmlformats.org/officeDocument/2006/relationships/hyperlink" Target="http://www.broadinstitute.org/gsea/msigdb/cards/GSE29618_PDC_VS_MDC_DAY7_FLU_VACCINE_UP.html" TargetMode="External"/><Relationship Id="rId2775" Type="http://schemas.openxmlformats.org/officeDocument/2006/relationships/hyperlink" Target="http://www.broadinstitute.org/gsea/msigdb/cards/GSE36476_YOUNG_VS_OLD_DONOR_MEMORY_CD4_TCELL_72H_TSST_ACT_DN.html" TargetMode="External"/><Relationship Id="rId2776" Type="http://schemas.openxmlformats.org/officeDocument/2006/relationships/hyperlink" Target="http://www.broadinstitute.org/gsea/msigdb/cards/GSE3982_DC_VS_MAC_LPS_STIM_DN.html" TargetMode="External"/><Relationship Id="rId2777" Type="http://schemas.openxmlformats.org/officeDocument/2006/relationships/hyperlink" Target="http://www.broadinstitute.org/gsea/msigdb/cards/GSE3982_EOSINOPHIL_VS_EFF_MEMORY_CD4_TCELL_UP.html" TargetMode="External"/><Relationship Id="rId2778" Type="http://schemas.openxmlformats.org/officeDocument/2006/relationships/hyperlink" Target="http://www.broadinstitute.org/gsea/msigdb/cards/GSE3982_MAST_CELL_VS_NEUTROPHIL_DN.html" TargetMode="External"/><Relationship Id="rId2779" Type="http://schemas.openxmlformats.org/officeDocument/2006/relationships/hyperlink" Target="http://www.broadinstitute.org/gsea/msigdb/cards/GSE3982_MAST_CELL_VS_BCELL_DN.html" TargetMode="External"/><Relationship Id="rId3130" Type="http://schemas.openxmlformats.org/officeDocument/2006/relationships/hyperlink" Target="http://www.broadinstitute.org/gsea/msigdb/cards/GSE29618_PDC_VS_MDC_UP.html" TargetMode="External"/><Relationship Id="rId3131" Type="http://schemas.openxmlformats.org/officeDocument/2006/relationships/hyperlink" Target="http://www.broadinstitute.org/gsea/msigdb/cards/GSE360_CTRL_VS_M_TUBERCULOSIS_DC_UP.html" TargetMode="External"/><Relationship Id="rId3132" Type="http://schemas.openxmlformats.org/officeDocument/2006/relationships/hyperlink" Target="http://www.broadinstitute.org/gsea/msigdb/cards/GSE37416_12H_VS_24H_F_TULARENSIS_LVS_NEUTROPHIL_UP.html" TargetMode="External"/><Relationship Id="rId3133" Type="http://schemas.openxmlformats.org/officeDocument/2006/relationships/hyperlink" Target="http://www.broadinstitute.org/gsea/msigdb/cards/GSE3982_EOSINOPHIL_VS_DC_UP.html" TargetMode="External"/><Relationship Id="rId3134" Type="http://schemas.openxmlformats.org/officeDocument/2006/relationships/hyperlink" Target="http://www.broadinstitute.org/gsea/msigdb/cards/GSE3982_EOSINOPHIL_VS_DC_DN.html" TargetMode="External"/><Relationship Id="rId3135" Type="http://schemas.openxmlformats.org/officeDocument/2006/relationships/hyperlink" Target="http://www.broadinstitute.org/gsea/msigdb/cards/GSE3982_EOSINOPHIL_VS_BCELL_UP.html" TargetMode="External"/><Relationship Id="rId3136" Type="http://schemas.openxmlformats.org/officeDocument/2006/relationships/hyperlink" Target="http://www.broadinstitute.org/gsea/msigdb/cards/GSE3982_MAST_CELL_VS_MAC_DN.html" TargetMode="External"/><Relationship Id="rId3137" Type="http://schemas.openxmlformats.org/officeDocument/2006/relationships/hyperlink" Target="http://www.broadinstitute.org/gsea/msigdb/cards/GSE3982_MAST_CELL_VS_NKCELL_DN.html" TargetMode="External"/><Relationship Id="rId3138" Type="http://schemas.openxmlformats.org/officeDocument/2006/relationships/hyperlink" Target="http://www.broadinstitute.org/gsea/msigdb/cards/GSE3982_DC_VS_MAC_DN.html" TargetMode="External"/><Relationship Id="rId3139" Type="http://schemas.openxmlformats.org/officeDocument/2006/relationships/hyperlink" Target="http://www.broadinstitute.org/gsea/msigdb/cards/GSE3982_DC_VS_EFF_MEMORY_CD4_TCELL_DN.html" TargetMode="External"/><Relationship Id="rId430" Type="http://schemas.openxmlformats.org/officeDocument/2006/relationships/hyperlink" Target="http://www.broadinstitute.org/gsea/msigdb/cards/KEGG_NEUROACTIVE_LIGAND_RECEPTOR_INTERACTION.html" TargetMode="External"/><Relationship Id="rId431" Type="http://schemas.openxmlformats.org/officeDocument/2006/relationships/hyperlink" Target="http://www.broadinstitute.org/gsea/msigdb/cards/SWEET_LUNG_CANCER_KRAS_DN.html" TargetMode="External"/><Relationship Id="rId432" Type="http://schemas.openxmlformats.org/officeDocument/2006/relationships/hyperlink" Target="http://www.broadinstitute.org/gsea/msigdb/cards/ALCALA_APOPTOSIS.html" TargetMode="External"/><Relationship Id="rId433" Type="http://schemas.openxmlformats.org/officeDocument/2006/relationships/hyperlink" Target="http://www.broadinstitute.org/gsea/msigdb/cards/PHONG_TNF_RESPONSE_NOT_VIA_P38.html" TargetMode="External"/><Relationship Id="rId434" Type="http://schemas.openxmlformats.org/officeDocument/2006/relationships/hyperlink" Target="http://www.broadinstitute.org/gsea/msigdb/cards/FONTAINE_FOLLICULAR_THYROID_ADENOMA_DN.html" TargetMode="External"/><Relationship Id="rId435" Type="http://schemas.openxmlformats.org/officeDocument/2006/relationships/hyperlink" Target="http://www.broadinstitute.org/gsea/msigdb/cards/GAVIN_IL2_RESPONSIVE_FOXP3_TARGETS_UP.html" TargetMode="External"/><Relationship Id="rId436" Type="http://schemas.openxmlformats.org/officeDocument/2006/relationships/hyperlink" Target="http://www.broadinstitute.org/gsea/msigdb/cards/LEE_NAIVE_T_LYMPHOCYTE.html" TargetMode="External"/><Relationship Id="rId437" Type="http://schemas.openxmlformats.org/officeDocument/2006/relationships/hyperlink" Target="http://www.broadinstitute.org/gsea/msigdb/cards/MIKKELSEN_ES_ICP_WITH_H3K4ME3_AND_H3K27ME3.html" TargetMode="External"/><Relationship Id="rId438" Type="http://schemas.openxmlformats.org/officeDocument/2006/relationships/hyperlink" Target="http://www.broadinstitute.org/gsea/msigdb/cards/REACTOME_LATENT_INFECTION_OF_HOMO_SAPIENS_WITH_MYCOBACTERIUM_TUBERCULOSIS.html" TargetMode="External"/><Relationship Id="rId439" Type="http://schemas.openxmlformats.org/officeDocument/2006/relationships/hyperlink" Target="http://www.broadinstitute.org/gsea/msigdb/cards/PID_IL2_PI3K_PATHWAY.html" TargetMode="External"/><Relationship Id="rId1680" Type="http://schemas.openxmlformats.org/officeDocument/2006/relationships/hyperlink" Target="http://www.broadinstitute.org/gsea/msigdb/cards/GO_REGULATION_OF_TRANSMEMBRANE_TRANSPORT.html" TargetMode="External"/><Relationship Id="rId1681" Type="http://schemas.openxmlformats.org/officeDocument/2006/relationships/hyperlink" Target="http://www.broadinstitute.org/gsea/msigdb/cards/GO_PLASMA_MEMBRANE_REGION.html" TargetMode="External"/><Relationship Id="rId1682" Type="http://schemas.openxmlformats.org/officeDocument/2006/relationships/hyperlink" Target="http://www.broadinstitute.org/gsea/msigdb/cards/GO_POSITIVE_REGULATION_OF_PHAGOCYTOSIS.html" TargetMode="External"/><Relationship Id="rId1683" Type="http://schemas.openxmlformats.org/officeDocument/2006/relationships/hyperlink" Target="http://www.broadinstitute.org/gsea/msigdb/cards/GO_POSITIVE_REGULATION_OF_ENDOCYTOSIS.html" TargetMode="External"/><Relationship Id="rId1684" Type="http://schemas.openxmlformats.org/officeDocument/2006/relationships/hyperlink" Target="http://www.broadinstitute.org/gsea/msigdb/cards/GO_NEGATIVE_REGULATION_OF_PRODUCTION_OF_MOLECULAR_MEDIATOR_OF_IMMUNE_RESPONSE.html" TargetMode="External"/><Relationship Id="rId1685" Type="http://schemas.openxmlformats.org/officeDocument/2006/relationships/hyperlink" Target="http://www.broadinstitute.org/gsea/msigdb/cards/GO_NEGATIVE_REGULATION_OF_TOLL_LIKE_RECEPTOR_SIGNALING_PATHWAY.html" TargetMode="External"/><Relationship Id="rId1686" Type="http://schemas.openxmlformats.org/officeDocument/2006/relationships/hyperlink" Target="http://www.broadinstitute.org/gsea/msigdb/cards/GO_GOLGI_APPARATUS.html" TargetMode="External"/><Relationship Id="rId1687" Type="http://schemas.openxmlformats.org/officeDocument/2006/relationships/hyperlink" Target="http://www.broadinstitute.org/gsea/msigdb/cards/GO_PROTEIN_LOCALIZATION.html" TargetMode="External"/><Relationship Id="rId1688" Type="http://schemas.openxmlformats.org/officeDocument/2006/relationships/hyperlink" Target="http://www.broadinstitute.org/gsea/msigdb/cards/GO_POSITIVE_REGULATION_OF_MEMBRANE_PROTEIN_ECTODOMAIN_PROTEOLYSIS.html" TargetMode="External"/><Relationship Id="rId1689" Type="http://schemas.openxmlformats.org/officeDocument/2006/relationships/hyperlink" Target="http://www.broadinstitute.org/gsea/msigdb/cards/GO_RESPONSE_TO_ANTIBIOTIC.html" TargetMode="External"/><Relationship Id="rId4960" Type="http://schemas.openxmlformats.org/officeDocument/2006/relationships/hyperlink" Target="http://www.broadinstitute.org/gsea/msigdb/cards/GSE22601_IMMATURE_CD4_SINGLE_POSITIVE_VS_DOUBLE_POSITIVE_THYMOCYTE_UP.html" TargetMode="External"/><Relationship Id="rId4961" Type="http://schemas.openxmlformats.org/officeDocument/2006/relationships/hyperlink" Target="http://www.broadinstitute.org/gsea/msigdb/cards/GSE2770_UNTREATED_VS_TGFB_AND_IL4_TREATED_ACT_CD4_TCELL_48H_UP.html" TargetMode="External"/><Relationship Id="rId2040" Type="http://schemas.openxmlformats.org/officeDocument/2006/relationships/hyperlink" Target="http://www.broadinstitute.org/gsea/msigdb/cards/GO_ACTIVATION_OF_CYSTEINE_TYPE_ENDOPEPTIDASE_ACTIVITY.html" TargetMode="External"/><Relationship Id="rId2041" Type="http://schemas.openxmlformats.org/officeDocument/2006/relationships/hyperlink" Target="http://www.broadinstitute.org/gsea/msigdb/cards/GO_PROTEIN_POLYMERIZATION.html" TargetMode="External"/><Relationship Id="rId2042" Type="http://schemas.openxmlformats.org/officeDocument/2006/relationships/hyperlink" Target="http://www.broadinstitute.org/gsea/msigdb/cards/GO_CELL_REDOX_HOMEOSTASIS.html" TargetMode="External"/><Relationship Id="rId2043" Type="http://schemas.openxmlformats.org/officeDocument/2006/relationships/hyperlink" Target="http://www.broadinstitute.org/gsea/msigdb/cards/GO_LIPID_TRANSLOCATION.html" TargetMode="External"/><Relationship Id="rId2044" Type="http://schemas.openxmlformats.org/officeDocument/2006/relationships/hyperlink" Target="http://www.broadinstitute.org/gsea/msigdb/cards/GO_REGULATION_OF_DEPHOSPHORYLATION.html" TargetMode="External"/><Relationship Id="rId2045" Type="http://schemas.openxmlformats.org/officeDocument/2006/relationships/hyperlink" Target="http://www.broadinstitute.org/gsea/msigdb/cards/GO_NEGATIVE_REGULATION_OF_LIPID_CATABOLIC_PROCESS.html" TargetMode="External"/><Relationship Id="rId2046" Type="http://schemas.openxmlformats.org/officeDocument/2006/relationships/hyperlink" Target="http://www.broadinstitute.org/gsea/msigdb/cards/GO_MAST_CELL_GRANULE.html" TargetMode="External"/><Relationship Id="rId2047" Type="http://schemas.openxmlformats.org/officeDocument/2006/relationships/hyperlink" Target="http://www.broadinstitute.org/gsea/msigdb/cards/GO_NEGATIVE_REGULATION_OF_REACTIVE_OXYGEN_SPECIES_METABOLIC_PROCESS.html" TargetMode="External"/><Relationship Id="rId2048" Type="http://schemas.openxmlformats.org/officeDocument/2006/relationships/hyperlink" Target="http://www.broadinstitute.org/gsea/msigdb/cards/GO_POSITIVE_REGULATION_OF_PHOSPHOLIPID_METABOLIC_PROCESS.html" TargetMode="External"/><Relationship Id="rId2049" Type="http://schemas.openxmlformats.org/officeDocument/2006/relationships/hyperlink" Target="http://www.broadinstitute.org/gsea/msigdb/cards/GO_REGULATION_OF_BONE_REMODELING.html" TargetMode="External"/><Relationship Id="rId4962" Type="http://schemas.openxmlformats.org/officeDocument/2006/relationships/hyperlink" Target="http://www.broadinstitute.org/gsea/msigdb/cards/GSE45365_NK_CELL_VS_CD8_TCELL_UP.html" TargetMode="External"/><Relationship Id="rId4963" Type="http://schemas.openxmlformats.org/officeDocument/2006/relationships/hyperlink" Target="http://www.broadinstitute.org/gsea/msigdb/cards/GSE2405_0H_VS_3H_A_PHAGOCYTOPHILUM_STIM_NEUTROPHIL_DN.html" TargetMode="External"/><Relationship Id="rId4964" Type="http://schemas.openxmlformats.org/officeDocument/2006/relationships/hyperlink" Target="http://www.broadinstitute.org/gsea/msigdb/cards/GSE2405_0H_VS_6H_A_PHAGOCYTOPHILUM_STIM_NEUTROPHIL_DN.html" TargetMode="External"/><Relationship Id="rId4965" Type="http://schemas.openxmlformats.org/officeDocument/2006/relationships/hyperlink" Target="http://www.broadinstitute.org/gsea/msigdb/cards/GSE5542_UNTREATED_VS_IFNA_TREATED_EPITHELIAL_CELLS_24H_DN.html" TargetMode="External"/><Relationship Id="rId4966" Type="http://schemas.openxmlformats.org/officeDocument/2006/relationships/hyperlink" Target="http://www.broadinstitute.org/gsea/msigdb/cards/GSE21670_UNTREATED_VS_IL6_TREATED_CD4_TCELL_UP.html" TargetMode="External"/><Relationship Id="rId4967" Type="http://schemas.openxmlformats.org/officeDocument/2006/relationships/hyperlink" Target="http://www.broadinstitute.org/gsea/msigdb/cards/GSE45365_NK_CELL_VS_CD8A_DC_MCMV_INFECTION_UP.html" TargetMode="External"/><Relationship Id="rId4968" Type="http://schemas.openxmlformats.org/officeDocument/2006/relationships/hyperlink" Target="http://www.broadinstitute.org/gsea/msigdb/cards/GSE21927_EL4_VS_MCA203_TUMOR_MONOCYTES_UP.html" TargetMode="External"/><Relationship Id="rId4969" Type="http://schemas.openxmlformats.org/officeDocument/2006/relationships/hyperlink" Target="http://www.broadinstitute.org/gsea/msigdb/cards/GSE25502_WT_VS_KLF13_KO_THYMIC_MEMORY_LIKE_CD8_TCELL_DN.html" TargetMode="External"/><Relationship Id="rId3870" Type="http://schemas.openxmlformats.org/officeDocument/2006/relationships/hyperlink" Target="http://www.broadinstitute.org/gsea/msigdb/cards/GSE17721_LPS_VS_GARDIQUIMOD_16H_BMDC_DN.html" TargetMode="External"/><Relationship Id="rId3871" Type="http://schemas.openxmlformats.org/officeDocument/2006/relationships/hyperlink" Target="http://www.broadinstitute.org/gsea/msigdb/cards/GSE17721_0.5H_VS_4H_CPG_BMDC_UP.html" TargetMode="External"/><Relationship Id="rId3872" Type="http://schemas.openxmlformats.org/officeDocument/2006/relationships/hyperlink" Target="http://www.broadinstitute.org/gsea/msigdb/cards/GSE17974_0H_VS_0.5H_IN_VITRO_ACT_CD4_TCELL_UP.html" TargetMode="External"/><Relationship Id="rId3873" Type="http://schemas.openxmlformats.org/officeDocument/2006/relationships/hyperlink" Target="http://www.broadinstitute.org/gsea/msigdb/cards/GSE17974_0H_VS_0.5H_IN_VITRO_ACT_CD4_TCELL_DN.html" TargetMode="External"/><Relationship Id="rId3874" Type="http://schemas.openxmlformats.org/officeDocument/2006/relationships/hyperlink" Target="http://www.broadinstitute.org/gsea/msigdb/cards/GSE17974_IL4_AND_ANTI_IL12_VS_UNTREATED_4H_ACT_CD4_TCELL_UP.html" TargetMode="External"/><Relationship Id="rId3875" Type="http://schemas.openxmlformats.org/officeDocument/2006/relationships/hyperlink" Target="http://www.broadinstitute.org/gsea/msigdb/cards/GSE17974_IL4_AND_ANTI_IL12_VS_UNTREATED_12H_ACT_CD4_TCELL_UP.html" TargetMode="External"/><Relationship Id="rId3876" Type="http://schemas.openxmlformats.org/officeDocument/2006/relationships/hyperlink" Target="http://www.broadinstitute.org/gsea/msigdb/cards/GSE18791_CTRL_VS_NEWCASTLE_VIRUS_DC_14H_DN.html" TargetMode="External"/><Relationship Id="rId3877" Type="http://schemas.openxmlformats.org/officeDocument/2006/relationships/hyperlink" Target="http://www.broadinstitute.org/gsea/msigdb/cards/GSE2197_IMMUNOSUPPRESSIVE_DNA_VS_UNTREATED_IN_DC_UP.html" TargetMode="External"/><Relationship Id="rId3878" Type="http://schemas.openxmlformats.org/officeDocument/2006/relationships/hyperlink" Target="http://www.broadinstitute.org/gsea/msigdb/cards/GSE22886_IGA_VS_IGM_MEMORY_BCELL_UP.html" TargetMode="External"/><Relationship Id="rId3879" Type="http://schemas.openxmlformats.org/officeDocument/2006/relationships/hyperlink" Target="http://www.broadinstitute.org/gsea/msigdb/cards/GSE22886_NEUTROPHIL_VS_DC_UP.html" TargetMode="External"/><Relationship Id="rId4230" Type="http://schemas.openxmlformats.org/officeDocument/2006/relationships/hyperlink" Target="http://www.broadinstitute.org/gsea/msigdb/cards/GSE22589_HEALTHY_VS_SIV_INFECTED_DC_UP.html" TargetMode="External"/><Relationship Id="rId4231" Type="http://schemas.openxmlformats.org/officeDocument/2006/relationships/hyperlink" Target="http://www.broadinstitute.org/gsea/msigdb/cards/GSE22432_MULTIPOTENT_VS_COMMON_DC_PROGENITOR_DN.html" TargetMode="External"/><Relationship Id="rId4232" Type="http://schemas.openxmlformats.org/officeDocument/2006/relationships/hyperlink" Target="http://www.broadinstitute.org/gsea/msigdb/cards/GSE24210_IL35_TREATED_VS_RESTING_TREG_UP.html" TargetMode="External"/><Relationship Id="rId4233" Type="http://schemas.openxmlformats.org/officeDocument/2006/relationships/hyperlink" Target="http://www.broadinstitute.org/gsea/msigdb/cards/GSE24210_TCONV_VS_TREG_UP.html" TargetMode="External"/><Relationship Id="rId4234" Type="http://schemas.openxmlformats.org/officeDocument/2006/relationships/hyperlink" Target="http://www.broadinstitute.org/gsea/msigdb/cards/GSE23925_DARK_ZONE_VS_NAIVE_BCELL_UP.html" TargetMode="External"/><Relationship Id="rId4235" Type="http://schemas.openxmlformats.org/officeDocument/2006/relationships/hyperlink" Target="http://www.broadinstitute.org/gsea/msigdb/cards/GSE23925_DARK_ZONE_VS_NAIVE_BCELL_DN.html" TargetMode="External"/><Relationship Id="rId4236" Type="http://schemas.openxmlformats.org/officeDocument/2006/relationships/hyperlink" Target="http://www.broadinstitute.org/gsea/msigdb/cards/GSE25088_CTRL_VS_IL4_AND_ROSIGLITAZONE_STIM_MACROPHAGE_UP.html" TargetMode="External"/><Relationship Id="rId4237" Type="http://schemas.openxmlformats.org/officeDocument/2006/relationships/hyperlink" Target="http://www.broadinstitute.org/gsea/msigdb/cards/GSE25123_CTRL_VS_IL4_AND_ROSIGLITAZONE_STIM_PPARG_KO_MACROPHAGE_DN.html" TargetMode="External"/><Relationship Id="rId4238" Type="http://schemas.openxmlformats.org/officeDocument/2006/relationships/hyperlink" Target="http://www.broadinstitute.org/gsea/msigdb/cards/GSE17301_IFNA2_VS_IFNA2_AND_ACD3_ACD28_STIM_CD8_TCELL_DN.html" TargetMode="External"/><Relationship Id="rId4239" Type="http://schemas.openxmlformats.org/officeDocument/2006/relationships/hyperlink" Target="http://www.broadinstitute.org/gsea/msigdb/cards/GSE17301_CTRL_VS_48H_ACD3_ACD28_STIM_CD8_TCELL_UP.html" TargetMode="External"/><Relationship Id="rId2780" Type="http://schemas.openxmlformats.org/officeDocument/2006/relationships/hyperlink" Target="http://www.broadinstitute.org/gsea/msigdb/cards/GSE3982_MAST_CELL_VS_BASOPHIL_DN.html" TargetMode="External"/><Relationship Id="rId2781" Type="http://schemas.openxmlformats.org/officeDocument/2006/relationships/hyperlink" Target="http://www.broadinstitute.org/gsea/msigdb/cards/GSE3982_DC_VS_EFF_MEMORY_CD4_TCELL_UP.html" TargetMode="External"/><Relationship Id="rId2782" Type="http://schemas.openxmlformats.org/officeDocument/2006/relationships/hyperlink" Target="http://www.broadinstitute.org/gsea/msigdb/cards/GSE3982_BCELL_VS_BASOPHIL_DN.html" TargetMode="External"/><Relationship Id="rId2783" Type="http://schemas.openxmlformats.org/officeDocument/2006/relationships/hyperlink" Target="http://www.broadinstitute.org/gsea/msigdb/cards/GSE39820_IL1B_IL6_VS_IL1B_IL6_IL23A_TREATED_CD4_TCELL_UP.html" TargetMode="External"/><Relationship Id="rId2784" Type="http://schemas.openxmlformats.org/officeDocument/2006/relationships/hyperlink" Target="http://www.broadinstitute.org/gsea/msigdb/cards/GSE7764_NKCELL_VS_SPLENOCYTE_UP.html" TargetMode="External"/><Relationship Id="rId2785" Type="http://schemas.openxmlformats.org/officeDocument/2006/relationships/hyperlink" Target="http://www.broadinstitute.org/gsea/msigdb/cards/GSE8678_IL7R_LOW_VS_HIGH_EFF_CD8_TCELL_DN.html" TargetMode="External"/><Relationship Id="rId2786" Type="http://schemas.openxmlformats.org/officeDocument/2006/relationships/hyperlink" Target="http://www.broadinstitute.org/gsea/msigdb/cards/GSE9988_ANTI_TREM1_VS_LPS_MONOCYTE_UP.html" TargetMode="External"/><Relationship Id="rId2787" Type="http://schemas.openxmlformats.org/officeDocument/2006/relationships/hyperlink" Target="http://www.broadinstitute.org/gsea/msigdb/cards/GSE9988_LPS_VS_CTRL_TREATED_MONOCYTE_UP.html" TargetMode="External"/><Relationship Id="rId2788" Type="http://schemas.openxmlformats.org/officeDocument/2006/relationships/hyperlink" Target="http://www.broadinstitute.org/gsea/msigdb/cards/GSE9988_LPS_VS_CTRL_TREATED_MONOCYTE_DN.html" TargetMode="External"/><Relationship Id="rId2789" Type="http://schemas.openxmlformats.org/officeDocument/2006/relationships/hyperlink" Target="http://www.broadinstitute.org/gsea/msigdb/cards/GSE9988_LOW_LPS_VS_CTRL_TREATED_MONOCYTE_UP.html" TargetMode="External"/><Relationship Id="rId3140" Type="http://schemas.openxmlformats.org/officeDocument/2006/relationships/hyperlink" Target="http://www.broadinstitute.org/gsea/msigdb/cards/GSE3982_MAC_VS_EFF_MEMORY_CD4_TCELL_UP.html" TargetMode="External"/><Relationship Id="rId3141" Type="http://schemas.openxmlformats.org/officeDocument/2006/relationships/hyperlink" Target="http://www.broadinstitute.org/gsea/msigdb/cards/GSE3982_MAC_VS_CENT_MEMORY_CD4_TCELL_UP.html" TargetMode="External"/><Relationship Id="rId3142" Type="http://schemas.openxmlformats.org/officeDocument/2006/relationships/hyperlink" Target="http://www.broadinstitute.org/gsea/msigdb/cards/GSE3982_BCELL_VS_NKCELL_DN.html" TargetMode="External"/><Relationship Id="rId3143" Type="http://schemas.openxmlformats.org/officeDocument/2006/relationships/hyperlink" Target="http://www.broadinstitute.org/gsea/msigdb/cards/GSE3982_BCELL_VS_TH1_UP.html" TargetMode="External"/><Relationship Id="rId3144" Type="http://schemas.openxmlformats.org/officeDocument/2006/relationships/hyperlink" Target="http://www.broadinstitute.org/gsea/msigdb/cards/GSE3982_BASOPHIL_VS_EFF_MEMORY_CD4_TCELL_UP.html" TargetMode="External"/><Relationship Id="rId3145" Type="http://schemas.openxmlformats.org/officeDocument/2006/relationships/hyperlink" Target="http://www.broadinstitute.org/gsea/msigdb/cards/GSE39820_CTRL_VS_TGFBETA1_IL6_CD4_TCELL_UP.html" TargetMode="External"/><Relationship Id="rId3146" Type="http://schemas.openxmlformats.org/officeDocument/2006/relationships/hyperlink" Target="http://www.broadinstitute.org/gsea/msigdb/cards/GSE7460_TREG_VS_TCONV_ACT_WITH_TGFB_DN.html" TargetMode="External"/><Relationship Id="rId3147" Type="http://schemas.openxmlformats.org/officeDocument/2006/relationships/hyperlink" Target="http://www.broadinstitute.org/gsea/msigdb/cards/GSE7852_TREG_VS_TCONV_UP.html" TargetMode="External"/><Relationship Id="rId3148" Type="http://schemas.openxmlformats.org/officeDocument/2006/relationships/hyperlink" Target="http://www.broadinstitute.org/gsea/msigdb/cards/GSE9006_1MONTH_VS_4MONTH_POST_TYPE_1_DIABETES_DX_PBMC_UP.html" TargetMode="External"/><Relationship Id="rId3149" Type="http://schemas.openxmlformats.org/officeDocument/2006/relationships/hyperlink" Target="http://www.broadinstitute.org/gsea/msigdb/cards/GSE9650_EXHAUSTED_VS_MEMORY_CD8_TCELL_UP.html" TargetMode="External"/><Relationship Id="rId440" Type="http://schemas.openxmlformats.org/officeDocument/2006/relationships/hyperlink" Target="http://www.broadinstitute.org/gsea/msigdb/cards/PID_EPHA_FWDPATHWAY.html" TargetMode="External"/><Relationship Id="rId441" Type="http://schemas.openxmlformats.org/officeDocument/2006/relationships/hyperlink" Target="http://www.broadinstitute.org/gsea/msigdb/cards/TAKEDA_TARGETS_OF_NUP98_HOXA9_FUSION_10D_UP.html" TargetMode="External"/><Relationship Id="rId442" Type="http://schemas.openxmlformats.org/officeDocument/2006/relationships/hyperlink" Target="http://www.broadinstitute.org/gsea/msigdb/cards/REACTOME_NEF_MEDIATES_DOWN_MODULATION_OF_CELL_SURFACE_RECEPTORS_BY_RECRUITING_THEM_TO_CLATHRIN_ADAPTERS.html" TargetMode="External"/><Relationship Id="rId443" Type="http://schemas.openxmlformats.org/officeDocument/2006/relationships/hyperlink" Target="http://www.broadinstitute.org/gsea/msigdb/cards/HENDRICKS_SMARCA4_TARGETS_DN.html" TargetMode="External"/><Relationship Id="rId444" Type="http://schemas.openxmlformats.org/officeDocument/2006/relationships/hyperlink" Target="http://www.broadinstitute.org/gsea/msigdb/cards/BIOCARTA_IL5_PATHWAY.html" TargetMode="External"/><Relationship Id="rId445" Type="http://schemas.openxmlformats.org/officeDocument/2006/relationships/hyperlink" Target="http://www.broadinstitute.org/gsea/msigdb/cards/SHANK_TAL1_TARGETS_DN.html" TargetMode="External"/><Relationship Id="rId446" Type="http://schemas.openxmlformats.org/officeDocument/2006/relationships/hyperlink" Target="http://www.broadinstitute.org/gsea/msigdb/cards/VALK_AML_CLUSTER_11.html" TargetMode="External"/><Relationship Id="rId447" Type="http://schemas.openxmlformats.org/officeDocument/2006/relationships/hyperlink" Target="http://www.broadinstitute.org/gsea/msigdb/cards/REACTOME_G_ALPHA1213_SIGNALLING_EVENTS.html" TargetMode="External"/><Relationship Id="rId448" Type="http://schemas.openxmlformats.org/officeDocument/2006/relationships/hyperlink" Target="http://www.broadinstitute.org/gsea/msigdb/cards/WANG_ESOPHAGUS_CANCER_VS_NORMAL_UP.html" TargetMode="External"/><Relationship Id="rId449" Type="http://schemas.openxmlformats.org/officeDocument/2006/relationships/hyperlink" Target="http://www.broadinstitute.org/gsea/msigdb/cards/PARK_TRETINOIN_RESPONSE_AND_RARA_PLZF_FUSION.html" TargetMode="External"/><Relationship Id="rId1690" Type="http://schemas.openxmlformats.org/officeDocument/2006/relationships/hyperlink" Target="http://www.broadinstitute.org/gsea/msigdb/cards/GO_POSITIVE_REGULATION_OF_DEPHOSPHORYLATION.html" TargetMode="External"/><Relationship Id="rId1691" Type="http://schemas.openxmlformats.org/officeDocument/2006/relationships/hyperlink" Target="http://www.broadinstitute.org/gsea/msigdb/cards/GO_TRANSPORTER_ACTIVITY.html" TargetMode="External"/><Relationship Id="rId1692" Type="http://schemas.openxmlformats.org/officeDocument/2006/relationships/hyperlink" Target="http://www.broadinstitute.org/gsea/msigdb/cards/GO_CELLULAR_RESPONSE_TO_NITROGEN_COMPOUND.html" TargetMode="External"/><Relationship Id="rId1693" Type="http://schemas.openxmlformats.org/officeDocument/2006/relationships/hyperlink" Target="http://www.broadinstitute.org/gsea/msigdb/cards/GO_SH3_DOMAIN_BINDING.html" TargetMode="External"/><Relationship Id="rId1694" Type="http://schemas.openxmlformats.org/officeDocument/2006/relationships/hyperlink" Target="http://www.broadinstitute.org/gsea/msigdb/cards/GO_POSITIVE_REGULATION_OF_CYTOKINE_PRODUCTION_INVOLVED_IN_IMMUNE_RESPONSE.html" TargetMode="External"/><Relationship Id="rId1695" Type="http://schemas.openxmlformats.org/officeDocument/2006/relationships/hyperlink" Target="http://www.broadinstitute.org/gsea/msigdb/cards/GO_RESPONSE_TO_ATP.html" TargetMode="External"/><Relationship Id="rId1696" Type="http://schemas.openxmlformats.org/officeDocument/2006/relationships/hyperlink" Target="http://www.broadinstitute.org/gsea/msigdb/cards/GO_PHOSPHATIDYLINOSITOL_3_KINASE_BINDING.html" TargetMode="External"/><Relationship Id="rId1697" Type="http://schemas.openxmlformats.org/officeDocument/2006/relationships/hyperlink" Target="http://www.broadinstitute.org/gsea/msigdb/cards/GO_POSITIVE_REGULATION_OF_REACTIVE_OXYGEN_SPECIES_BIOSYNTHETIC_PROCESS.html" TargetMode="External"/><Relationship Id="rId1698" Type="http://schemas.openxmlformats.org/officeDocument/2006/relationships/hyperlink" Target="http://www.broadinstitute.org/gsea/msigdb/cards/GO_METAL_ION_TRANSPORT.html" TargetMode="External"/><Relationship Id="rId1699" Type="http://schemas.openxmlformats.org/officeDocument/2006/relationships/hyperlink" Target="http://www.broadinstitute.org/gsea/msigdb/cards/GO_REGULATION_OF_LIPID_KINASE_ACTIVITY.html" TargetMode="External"/><Relationship Id="rId4970" Type="http://schemas.openxmlformats.org/officeDocument/2006/relationships/hyperlink" Target="http://www.broadinstitute.org/gsea/msigdb/cards/GSE35543_IN_VIVO_NTREG_VS_IN_VITRO_ITREG_DN.html" TargetMode="External"/><Relationship Id="rId4971" Type="http://schemas.openxmlformats.org/officeDocument/2006/relationships/hyperlink" Target="http://www.broadinstitute.org/gsea/msigdb/cards/GSE2770_IL12_VS_TGFB_AND_IL12_TREATED_ACT_CD4_TCELL_2H_UP.html" TargetMode="External"/><Relationship Id="rId2050" Type="http://schemas.openxmlformats.org/officeDocument/2006/relationships/hyperlink" Target="http://www.broadinstitute.org/gsea/msigdb/cards/GO_REGULATION_OF_WOUND_HEALING.html" TargetMode="External"/><Relationship Id="rId2051" Type="http://schemas.openxmlformats.org/officeDocument/2006/relationships/hyperlink" Target="http://www.broadinstitute.org/gsea/msigdb/cards/GO_PROTEIN_MATURATION.html" TargetMode="External"/><Relationship Id="rId2052" Type="http://schemas.openxmlformats.org/officeDocument/2006/relationships/hyperlink" Target="http://www.broadinstitute.org/gsea/msigdb/cards/GO_RNA_POLYMERASE_II_TRANSCRIPTION_FACTOR_ACTIVITY_SEQUENCE_SPECIFIC_DNA_BINDING.html" TargetMode="External"/><Relationship Id="rId2053" Type="http://schemas.openxmlformats.org/officeDocument/2006/relationships/hyperlink" Target="http://www.broadinstitute.org/gsea/msigdb/cards/GO_REGULATION_OF_INTRACELLULAR_PROTEIN_TRANSPORT.html" TargetMode="External"/><Relationship Id="rId2054" Type="http://schemas.openxmlformats.org/officeDocument/2006/relationships/hyperlink" Target="http://www.broadinstitute.org/gsea/msigdb/cards/GO_CELLULAR_MONOVALENT_INORGANIC_CATION_HOMEOSTASIS.html" TargetMode="External"/><Relationship Id="rId2055" Type="http://schemas.openxmlformats.org/officeDocument/2006/relationships/hyperlink" Target="http://www.broadinstitute.org/gsea/msigdb/cards/GO_RESPONSE_TO_TYPE_I_INTERFERON.html" TargetMode="External"/><Relationship Id="rId2056" Type="http://schemas.openxmlformats.org/officeDocument/2006/relationships/hyperlink" Target="http://www.broadinstitute.org/gsea/msigdb/cards/GO_MULTICELLULAR_ORGANISMAL_RESPONSE_TO_STRESS.html" TargetMode="External"/><Relationship Id="rId2057" Type="http://schemas.openxmlformats.org/officeDocument/2006/relationships/hyperlink" Target="http://www.broadinstitute.org/gsea/msigdb/cards/GO_REGULATION_OF_GLYCOPROTEIN_METABOLIC_PROCESS.html" TargetMode="External"/><Relationship Id="rId2058" Type="http://schemas.openxmlformats.org/officeDocument/2006/relationships/hyperlink" Target="http://www.broadinstitute.org/gsea/msigdb/cards/GO_ANCHORED_COMPONENT_OF_PLASMA_MEMBRANE.html" TargetMode="External"/><Relationship Id="rId2059" Type="http://schemas.openxmlformats.org/officeDocument/2006/relationships/hyperlink" Target="http://www.broadinstitute.org/gsea/msigdb/cards/GO_REGULATION_OF_PHOSPHATASE_ACTIVITY.html" TargetMode="External"/><Relationship Id="rId4972" Type="http://schemas.openxmlformats.org/officeDocument/2006/relationships/hyperlink" Target="http://www.broadinstitute.org/gsea/msigdb/cards/GSE25677_MPL_VS_MPL_AND_R848_STIM_BCELL_DN.html" TargetMode="External"/><Relationship Id="rId4973" Type="http://schemas.openxmlformats.org/officeDocument/2006/relationships/hyperlink" Target="http://www.broadinstitute.org/gsea/msigdb/cards/GSE45365_WT_VS_IFNAR_KO_BCELL_DN.html" TargetMode="External"/><Relationship Id="rId4974" Type="http://schemas.openxmlformats.org/officeDocument/2006/relationships/hyperlink" Target="http://www.broadinstitute.org/gsea/msigdb/cards/KAECH_NAIVE_VS_DAY8_EFF_CD8_TCELL_UP.html" TargetMode="External"/><Relationship Id="rId4975" Type="http://schemas.openxmlformats.org/officeDocument/2006/relationships/hyperlink" Target="http://www.broadinstitute.org/gsea/msigdb/cards/GSE10239_NAIVE_VS_DAY4.5_EFF_CD8_TCELL_DN.html" TargetMode="External"/><Relationship Id="rId4976" Type="http://schemas.openxmlformats.org/officeDocument/2006/relationships/hyperlink" Target="http://www.broadinstitute.org/gsea/msigdb/cards/GSE11864_CSF1_IFNG_VS_CSF1_PAM3CYS_IN_MAC_DN.html" TargetMode="External"/><Relationship Id="rId4977" Type="http://schemas.openxmlformats.org/officeDocument/2006/relationships/hyperlink" Target="http://www.broadinstitute.org/gsea/msigdb/cards/GSE11924_TH1_VS_TH17_CD4_TCELL_DN.html" TargetMode="External"/><Relationship Id="rId4978" Type="http://schemas.openxmlformats.org/officeDocument/2006/relationships/hyperlink" Target="http://www.broadinstitute.org/gsea/msigdb/cards/GSE12366_GC_VS_MEMORY_BCELL_UP.html" TargetMode="External"/><Relationship Id="rId4979" Type="http://schemas.openxmlformats.org/officeDocument/2006/relationships/hyperlink" Target="http://www.broadinstitute.org/gsea/msigdb/cards/GSE12845_IGD_NEG_BLOOD_VS_PRE_GC_TONSIL_BCELL_UP.html" TargetMode="External"/><Relationship Id="rId3880" Type="http://schemas.openxmlformats.org/officeDocument/2006/relationships/hyperlink" Target="http://www.broadinstitute.org/gsea/msigdb/cards/GSE22886_NAIVE_BCELL_VS_DC_UP.html" TargetMode="External"/><Relationship Id="rId3881" Type="http://schemas.openxmlformats.org/officeDocument/2006/relationships/hyperlink" Target="http://www.broadinstitute.org/gsea/msigdb/cards/GSE24081_CONTROLLER_VS_PROGRESSOR_HIV_SPECIFIC_CD8_TCELL_DN.html" TargetMode="External"/><Relationship Id="rId3882" Type="http://schemas.openxmlformats.org/officeDocument/2006/relationships/hyperlink" Target="http://www.broadinstitute.org/gsea/msigdb/cards/GSE24142_DN2_VS_DN3_THYMOCYTE_ADULT_UP.html" TargetMode="External"/><Relationship Id="rId3883" Type="http://schemas.openxmlformats.org/officeDocument/2006/relationships/hyperlink" Target="http://www.broadinstitute.org/gsea/msigdb/cards/GSE24142_ADULT_VS_FETAL_DN3_THYMOCYTE_DN.html" TargetMode="External"/><Relationship Id="rId3884" Type="http://schemas.openxmlformats.org/officeDocument/2006/relationships/hyperlink" Target="http://www.broadinstitute.org/gsea/msigdb/cards/GSE24634_NAIVE_CD4_TCELL_VS_DAY3_IL4_CONV_TREG_UP.html" TargetMode="External"/><Relationship Id="rId3885" Type="http://schemas.openxmlformats.org/officeDocument/2006/relationships/hyperlink" Target="http://www.broadinstitute.org/gsea/msigdb/cards/GSE24634_NAIVE_CD4_TCELL_VS_DAY3_IL4_CONV_TREG_DN.html" TargetMode="External"/><Relationship Id="rId3886" Type="http://schemas.openxmlformats.org/officeDocument/2006/relationships/hyperlink" Target="http://www.broadinstitute.org/gsea/msigdb/cards/GSE24634_IL4_VS_CTRL_TREATED_NAIVE_CD4_TCELL_DAY7_UP.html" TargetMode="External"/><Relationship Id="rId3887" Type="http://schemas.openxmlformats.org/officeDocument/2006/relationships/hyperlink" Target="http://www.broadinstitute.org/gsea/msigdb/cards/GSE25087_TREG_VS_TCONV_FETUS_UP.html" TargetMode="External"/><Relationship Id="rId3888" Type="http://schemas.openxmlformats.org/officeDocument/2006/relationships/hyperlink" Target="http://www.broadinstitute.org/gsea/msigdb/cards/GSE26669_CTRL_VS_COSTIM_BLOCK_MLR_CD4_TCELL_UP.html" TargetMode="External"/><Relationship Id="rId3889" Type="http://schemas.openxmlformats.org/officeDocument/2006/relationships/hyperlink" Target="http://www.broadinstitute.org/gsea/msigdb/cards/GSE26669_CD4_VS_CD8_TCELL_IN_MLR_DN.html" TargetMode="External"/><Relationship Id="rId4240" Type="http://schemas.openxmlformats.org/officeDocument/2006/relationships/hyperlink" Target="http://www.broadinstitute.org/gsea/msigdb/cards/GSE17301_CTRL_VS_48H_ACD3_ACD28_IFNA5_STIM_CD8_TCELL_UP.html" TargetMode="External"/><Relationship Id="rId4241" Type="http://schemas.openxmlformats.org/officeDocument/2006/relationships/hyperlink" Target="http://www.broadinstitute.org/gsea/msigdb/cards/GSE24292_WT_VS_PPARG_KO_MACROPHAGE_UP.html" TargetMode="External"/><Relationship Id="rId4242" Type="http://schemas.openxmlformats.org/officeDocument/2006/relationships/hyperlink" Target="http://www.broadinstitute.org/gsea/msigdb/cards/GSE24726_WT_VS_E2_2_KO_PDC_DAY6_POST_DELETION_UP.html" TargetMode="External"/><Relationship Id="rId4243" Type="http://schemas.openxmlformats.org/officeDocument/2006/relationships/hyperlink" Target="http://www.broadinstitute.org/gsea/msigdb/cards/GSE23502_BM_VS_COLON_TUMOR_HDC_KO_MYELOID_DERIVED_SUPPRESSOR_CELL_DN.html" TargetMode="External"/><Relationship Id="rId4244" Type="http://schemas.openxmlformats.org/officeDocument/2006/relationships/hyperlink" Target="http://www.broadinstitute.org/gsea/msigdb/cards/GSE24972_MARGINAL_ZONE_BCELL_VS_FOLLICULAR_BCELL_UP.html" TargetMode="External"/><Relationship Id="rId4245" Type="http://schemas.openxmlformats.org/officeDocument/2006/relationships/hyperlink" Target="http://www.broadinstitute.org/gsea/msigdb/cards/GSE19941_UNSTIM_VS_LPS_STIM_IL10_KO_MACROPHAGE_DN.html" TargetMode="External"/><Relationship Id="rId4246" Type="http://schemas.openxmlformats.org/officeDocument/2006/relationships/hyperlink" Target="http://www.broadinstitute.org/gsea/msigdb/cards/GSE22611_UNSTIM_VS_2H_MDP_STIM_MUTANT_NOD2_TRANSDUCED_HEK293T_CELL_UP.html" TargetMode="External"/><Relationship Id="rId4247" Type="http://schemas.openxmlformats.org/officeDocument/2006/relationships/hyperlink" Target="http://www.broadinstitute.org/gsea/msigdb/cards/GSE22611_UNSTIM_VS_6H_MDP_STIM_NOD2_TRANSDUCED_HEK293T_CELL_DN.html" TargetMode="External"/><Relationship Id="rId4248" Type="http://schemas.openxmlformats.org/officeDocument/2006/relationships/hyperlink" Target="http://www.broadinstitute.org/gsea/msigdb/cards/GSE21063_CTRL_VS_ANTI_IGM_STIM_BCELL_NFATC1_KO_3H_UP.html" TargetMode="External"/><Relationship Id="rId4249" Type="http://schemas.openxmlformats.org/officeDocument/2006/relationships/hyperlink" Target="http://www.broadinstitute.org/gsea/msigdb/cards/GSE23114_PERITONEAL_CAVITY_B1A_BCELL_VS_SPLEEN_BCELL_IN_SLE2C1_MOUSE_DN.html" TargetMode="External"/><Relationship Id="rId2790" Type="http://schemas.openxmlformats.org/officeDocument/2006/relationships/hyperlink" Target="http://www.broadinstitute.org/gsea/msigdb/cards/GSE9988_ANTI_TREM1_AND_LPS_VS_CTRL_TREATED_MONOCYTES_DN.html" TargetMode="External"/><Relationship Id="rId2791" Type="http://schemas.openxmlformats.org/officeDocument/2006/relationships/hyperlink" Target="http://www.broadinstitute.org/gsea/msigdb/cards/GSE369_PRE_VS_POST_IL6_INJECTION_IFNG_KO_LIVER_UP.html" TargetMode="External"/><Relationship Id="rId2792" Type="http://schemas.openxmlformats.org/officeDocument/2006/relationships/hyperlink" Target="http://www.broadinstitute.org/gsea/msigdb/cards/GSE2128_C57BL6_VS_NOD_THYMOCYTE_MIMETOPE_NEGATIVE_SELECTION_DN.html" TargetMode="External"/><Relationship Id="rId2793" Type="http://schemas.openxmlformats.org/officeDocument/2006/relationships/hyperlink" Target="http://www.broadinstitute.org/gsea/msigdb/cards/GSE22601_CD4_SINGLE_POSITIVE_VS_CD8_SINGLE_POSITIVE_THYMOCYTE_DN.html" TargetMode="External"/><Relationship Id="rId2794" Type="http://schemas.openxmlformats.org/officeDocument/2006/relationships/hyperlink" Target="http://www.broadinstitute.org/gsea/msigdb/cards/GSE2585_AIRE_KO_VS_WT_CD80_LOW_MTEC_DN.html" TargetMode="External"/><Relationship Id="rId2795" Type="http://schemas.openxmlformats.org/officeDocument/2006/relationships/hyperlink" Target="http://www.broadinstitute.org/gsea/msigdb/cards/GSE5589_LPS_VS_LPS_AND_IL10_STIM_IL6_KO_MACROPHAGE_45MIN_DN.html" TargetMode="External"/><Relationship Id="rId2796" Type="http://schemas.openxmlformats.org/officeDocument/2006/relationships/hyperlink" Target="http://www.broadinstitute.org/gsea/msigdb/cards/GSE7509_DC_VS_MONOCYTE_UP.html" TargetMode="External"/><Relationship Id="rId2797" Type="http://schemas.openxmlformats.org/officeDocument/2006/relationships/hyperlink" Target="http://www.broadinstitute.org/gsea/msigdb/cards/GSE13522_CTRL_VS_T_CRUZI_Y_STRAIN_INF_SKIN_IFNAR_KO_DN.html" TargetMode="External"/><Relationship Id="rId2798" Type="http://schemas.openxmlformats.org/officeDocument/2006/relationships/hyperlink" Target="http://www.broadinstitute.org/gsea/msigdb/cards/GSE16697_CD4_TCELL_VS_TFH_CD4_TCELL_UP.html" TargetMode="External"/><Relationship Id="rId2799" Type="http://schemas.openxmlformats.org/officeDocument/2006/relationships/hyperlink" Target="http://www.broadinstitute.org/gsea/msigdb/cards/GSE15735_CTRL_VS_HDAC_INHIBITOR_TREATED_CD4_TCELL_12H_DN.html" TargetMode="External"/><Relationship Id="rId3150" Type="http://schemas.openxmlformats.org/officeDocument/2006/relationships/hyperlink" Target="http://www.broadinstitute.org/gsea/msigdb/cards/GSE9988_LOW_LPS_VS_CTRL_TREATED_MONOCYTE_DN.html" TargetMode="External"/><Relationship Id="rId3151" Type="http://schemas.openxmlformats.org/officeDocument/2006/relationships/hyperlink" Target="http://www.broadinstitute.org/gsea/msigdb/cards/GSE557_WT_VS_CIITA_KO_DC_DN.html" TargetMode="External"/><Relationship Id="rId3152" Type="http://schemas.openxmlformats.org/officeDocument/2006/relationships/hyperlink" Target="http://www.broadinstitute.org/gsea/msigdb/cards/GSE2770_UNTREATED_VS_TGFB_AND_IL4_TREATED_ACT_CD4_TCELL_2H_DN.html" TargetMode="External"/><Relationship Id="rId3153" Type="http://schemas.openxmlformats.org/officeDocument/2006/relationships/hyperlink" Target="http://www.broadinstitute.org/gsea/msigdb/cards/GSE2770_UNTREATED_VS_TGFB_AND_IL4_TREATED_ACT_CD4_TCELL_4H_UP.html" TargetMode="External"/><Relationship Id="rId3154" Type="http://schemas.openxmlformats.org/officeDocument/2006/relationships/hyperlink" Target="http://www.broadinstitute.org/gsea/msigdb/cards/GSE2770_UNTREATED_VS_IL4_TREATED_ACT_CD4_TCELL_2H_UP.html" TargetMode="External"/><Relationship Id="rId3155" Type="http://schemas.openxmlformats.org/officeDocument/2006/relationships/hyperlink" Target="http://www.broadinstitute.org/gsea/msigdb/cards/GSE2770_TGFB_AND_IL4_ACT_VS_ACT_CD4_TCELL_48H_DN.html" TargetMode="External"/><Relationship Id="rId3156" Type="http://schemas.openxmlformats.org/officeDocument/2006/relationships/hyperlink" Target="http://www.broadinstitute.org/gsea/msigdb/cards/GSE22601_DOUBLE_NEGATIVE_VS_CD4_SINGLE_POSITIVE_THYMOCYTE_UP.html" TargetMode="External"/><Relationship Id="rId3157" Type="http://schemas.openxmlformats.org/officeDocument/2006/relationships/hyperlink" Target="http://www.broadinstitute.org/gsea/msigdb/cards/GSE2585_CD80_HIGH_VS_LOW_AIRE_KO_MTEC_UP.html" TargetMode="External"/><Relationship Id="rId3158" Type="http://schemas.openxmlformats.org/officeDocument/2006/relationships/hyperlink" Target="http://www.broadinstitute.org/gsea/msigdb/cards/GSE2585_CTEC_VS_MTEC_THYMUS_DN.html" TargetMode="External"/><Relationship Id="rId3159" Type="http://schemas.openxmlformats.org/officeDocument/2006/relationships/hyperlink" Target="http://www.broadinstitute.org/gsea/msigdb/cards/GSE2585_THYMIC_MACROPHAGE_VS_MTEC_DN.html" TargetMode="External"/><Relationship Id="rId450" Type="http://schemas.openxmlformats.org/officeDocument/2006/relationships/hyperlink" Target="http://www.broadinstitute.org/gsea/msigdb/cards/PID_GMCSF_PATHWAY.html" TargetMode="External"/><Relationship Id="rId451" Type="http://schemas.openxmlformats.org/officeDocument/2006/relationships/hyperlink" Target="http://www.broadinstitute.org/gsea/msigdb/cards/CHARAFE_BREAST_CANCER_LUMINAL_VS_MESENCHYMAL_DN.html" TargetMode="External"/><Relationship Id="rId452" Type="http://schemas.openxmlformats.org/officeDocument/2006/relationships/hyperlink" Target="http://www.broadinstitute.org/gsea/msigdb/cards/REACTOME_ANTIGEN_PROCESSING_CROSS_PRESENTATION.html" TargetMode="External"/><Relationship Id="rId453" Type="http://schemas.openxmlformats.org/officeDocument/2006/relationships/hyperlink" Target="http://www.broadinstitute.org/gsea/msigdb/cards/LIM_MAMMARY_LUMINAL_MATURE_DN.html" TargetMode="External"/><Relationship Id="rId454" Type="http://schemas.openxmlformats.org/officeDocument/2006/relationships/hyperlink" Target="http://www.broadinstitute.org/gsea/msigdb/cards/BIOCARTA_LYM_PATHWAY.html" TargetMode="External"/><Relationship Id="rId455" Type="http://schemas.openxmlformats.org/officeDocument/2006/relationships/hyperlink" Target="http://www.broadinstitute.org/gsea/msigdb/cards/REACTOME_IL_7_SIGNALING.html" TargetMode="External"/><Relationship Id="rId456" Type="http://schemas.openxmlformats.org/officeDocument/2006/relationships/hyperlink" Target="http://www.broadinstitute.org/gsea/msigdb/cards/REACTOME_CD28_DEPENDENT_VAV1_PATHWAY.html" TargetMode="External"/><Relationship Id="rId457" Type="http://schemas.openxmlformats.org/officeDocument/2006/relationships/hyperlink" Target="http://www.broadinstitute.org/gsea/msigdb/cards/SEIKE_LUNG_CANCER_POOR_SURVIVAL.html" TargetMode="External"/><Relationship Id="rId458" Type="http://schemas.openxmlformats.org/officeDocument/2006/relationships/hyperlink" Target="http://www.broadinstitute.org/gsea/msigdb/cards/HOFMANN_MYELODYSPLASTIC_SYNDROM_RISK_DN.html" TargetMode="External"/><Relationship Id="rId459" Type="http://schemas.openxmlformats.org/officeDocument/2006/relationships/hyperlink" Target="http://www.broadinstitute.org/gsea/msigdb/cards/BYSTRYKH_HEMATOPOIESIS_STEM_CELL_QTL_TRANS.html" TargetMode="External"/><Relationship Id="rId4980" Type="http://schemas.openxmlformats.org/officeDocument/2006/relationships/hyperlink" Target="http://www.broadinstitute.org/gsea/msigdb/cards/GSE13306_LAMINA_PROPRIA_VS_SPLEEN_TREG_DN.html" TargetMode="External"/><Relationship Id="rId4981" Type="http://schemas.openxmlformats.org/officeDocument/2006/relationships/hyperlink" Target="http://www.broadinstitute.org/gsea/msigdb/cards/GSE13306_TREG_VS_TCONV_DN.html" TargetMode="External"/><Relationship Id="rId4982" Type="http://schemas.openxmlformats.org/officeDocument/2006/relationships/hyperlink" Target="http://www.broadinstitute.org/gsea/msigdb/cards/GSE13306_RA_VS_UNTREATED_TREG_DN.html" TargetMode="External"/><Relationship Id="rId4983" Type="http://schemas.openxmlformats.org/officeDocument/2006/relationships/hyperlink" Target="http://www.broadinstitute.org/gsea/msigdb/cards/GSE13484_UNSTIM_VS_3H_YF17D_VACCINE_STIM_PBMC_UP.html" TargetMode="External"/><Relationship Id="rId4984" Type="http://schemas.openxmlformats.org/officeDocument/2006/relationships/hyperlink" Target="http://www.broadinstitute.org/gsea/msigdb/cards/GSE13484_UNSTIM_VS_12H_YF17D_VACCINE_STIM_PBMC_UP.html" TargetMode="External"/><Relationship Id="rId4985" Type="http://schemas.openxmlformats.org/officeDocument/2006/relationships/hyperlink" Target="http://www.broadinstitute.org/gsea/msigdb/cards/GSE13493_DP_VS_CD4INTCD8POS_THYMOCYTE_UP.html" TargetMode="External"/><Relationship Id="rId4986" Type="http://schemas.openxmlformats.org/officeDocument/2006/relationships/hyperlink" Target="http://www.broadinstitute.org/gsea/msigdb/cards/GSE13493_DP_VS_CD4INTCD8POS_THYMOCYTE_DN.html" TargetMode="External"/><Relationship Id="rId2060" Type="http://schemas.openxmlformats.org/officeDocument/2006/relationships/hyperlink" Target="http://www.broadinstitute.org/gsea/msigdb/cards/GO_REGULATION_OF_PROTEIN_HOMODIMERIZATION_ACTIVITY.html" TargetMode="External"/><Relationship Id="rId2061" Type="http://schemas.openxmlformats.org/officeDocument/2006/relationships/hyperlink" Target="http://www.broadinstitute.org/gsea/msigdb/cards/GO_RESPONSE_TO_INTERFERON_BETA.html" TargetMode="External"/><Relationship Id="rId2062" Type="http://schemas.openxmlformats.org/officeDocument/2006/relationships/hyperlink" Target="http://www.broadinstitute.org/gsea/msigdb/cards/GO_NEGATIVE_REGULATION_OF_OSSIFICATION.html" TargetMode="External"/><Relationship Id="rId2063" Type="http://schemas.openxmlformats.org/officeDocument/2006/relationships/hyperlink" Target="http://www.broadinstitute.org/gsea/msigdb/cards/GO_ANCHORED_COMPONENT_OF_EXTERNAL_SIDE_OF_PLASMA_MEMBRANE.html" TargetMode="External"/><Relationship Id="rId2064" Type="http://schemas.openxmlformats.org/officeDocument/2006/relationships/hyperlink" Target="http://www.broadinstitute.org/gsea/msigdb/cards/GO_RESPONSE_TO_VITAMIN.html" TargetMode="External"/><Relationship Id="rId2065" Type="http://schemas.openxmlformats.org/officeDocument/2006/relationships/hyperlink" Target="http://www.broadinstitute.org/gsea/msigdb/cards/GO_REGULATION_OF_ENDOTHELIAL_CELL_PROLIFERATION.html" TargetMode="External"/><Relationship Id="rId2066" Type="http://schemas.openxmlformats.org/officeDocument/2006/relationships/hyperlink" Target="http://www.broadinstitute.org/gsea/msigdb/cards/GO_CELLULAR_PROTEIN_COMPLEX_ASSEMBLY.html" TargetMode="External"/><Relationship Id="rId2067" Type="http://schemas.openxmlformats.org/officeDocument/2006/relationships/hyperlink" Target="http://www.broadinstitute.org/gsea/msigdb/cards/GO_POSITIVE_REGULATION_OF_PROTEIN_COMPLEX_ASSEMBLY.html" TargetMode="External"/><Relationship Id="rId2068" Type="http://schemas.openxmlformats.org/officeDocument/2006/relationships/hyperlink" Target="http://www.broadinstitute.org/gsea/msigdb/cards/GO_SECONDARY_ACTIVE_TRANSMEMBRANE_TRANSPORTER_ACTIVITY.html" TargetMode="External"/><Relationship Id="rId2069" Type="http://schemas.openxmlformats.org/officeDocument/2006/relationships/hyperlink" Target="http://www.broadinstitute.org/gsea/msigdb/cards/GO_REGULATION_OF_INTERFERON_BETA_PRODUCTION.html" TargetMode="External"/><Relationship Id="rId4987" Type="http://schemas.openxmlformats.org/officeDocument/2006/relationships/hyperlink" Target="http://www.broadinstitute.org/gsea/msigdb/cards/GSE13493_CD4INTCD8POS_VS_CD8POS_THYMOCYTE_DN.html" TargetMode="External"/><Relationship Id="rId4988" Type="http://schemas.openxmlformats.org/officeDocument/2006/relationships/hyperlink" Target="http://www.broadinstitute.org/gsea/msigdb/cards/GSE14308_TH2_VS_NAIVE_CD4_TCELL_UP.html" TargetMode="External"/><Relationship Id="rId4989" Type="http://schemas.openxmlformats.org/officeDocument/2006/relationships/hyperlink" Target="http://www.broadinstitute.org/gsea/msigdb/cards/GSE14308_TH1_VS_NAIVE_CD4_TCELL_DN.html" TargetMode="External"/><Relationship Id="rId3890" Type="http://schemas.openxmlformats.org/officeDocument/2006/relationships/hyperlink" Target="http://www.broadinstitute.org/gsea/msigdb/cards/GSE2706_R848_VS_R848_AND_LPS_8H_STIM_DC_DN.html" TargetMode="External"/><Relationship Id="rId3891" Type="http://schemas.openxmlformats.org/officeDocument/2006/relationships/hyperlink" Target="http://www.broadinstitute.org/gsea/msigdb/cards/GSE27786_LSK_VS_CD8_TCELL_DN.html" TargetMode="External"/><Relationship Id="rId3892" Type="http://schemas.openxmlformats.org/officeDocument/2006/relationships/hyperlink" Target="http://www.broadinstitute.org/gsea/msigdb/cards/GSE27786_LIN_NEG_VS_ERYTHROBLAST_UP.html" TargetMode="External"/><Relationship Id="rId3893" Type="http://schemas.openxmlformats.org/officeDocument/2006/relationships/hyperlink" Target="http://www.broadinstitute.org/gsea/msigdb/cards/GSE27786_CD4_TCELL_VS_NKCELL_DN.html" TargetMode="External"/><Relationship Id="rId3894" Type="http://schemas.openxmlformats.org/officeDocument/2006/relationships/hyperlink" Target="http://www.broadinstitute.org/gsea/msigdb/cards/GSE27786_NEUTROPHIL_VS_MONO_MAC_UP.html" TargetMode="External"/><Relationship Id="rId3895" Type="http://schemas.openxmlformats.org/officeDocument/2006/relationships/hyperlink" Target="http://www.broadinstitute.org/gsea/msigdb/cards/GSE2826_WT_VS_XID_BCELL_UP.html" TargetMode="External"/><Relationship Id="rId3896" Type="http://schemas.openxmlformats.org/officeDocument/2006/relationships/hyperlink" Target="http://www.broadinstitute.org/gsea/msigdb/cards/GSE30083_SP1_VS_SP2_THYMOCYTE_DN.html" TargetMode="External"/><Relationship Id="rId3897" Type="http://schemas.openxmlformats.org/officeDocument/2006/relationships/hyperlink" Target="http://www.broadinstitute.org/gsea/msigdb/cards/GSE30083_SP2_VS_SP3_THYMOCYTE_UP.html" TargetMode="External"/><Relationship Id="rId3898" Type="http://schemas.openxmlformats.org/officeDocument/2006/relationships/hyperlink" Target="http://www.broadinstitute.org/gsea/msigdb/cards/GSE31082_DN_VS_CD4_SP_THYMOCYTE_DN.html" TargetMode="External"/><Relationship Id="rId3899" Type="http://schemas.openxmlformats.org/officeDocument/2006/relationships/hyperlink" Target="http://www.broadinstitute.org/gsea/msigdb/cards/GSE32423_CTRL_VS_IL7_IL4_MEMORY_CD8_TCELL_UP.html" TargetMode="External"/><Relationship Id="rId4250" Type="http://schemas.openxmlformats.org/officeDocument/2006/relationships/hyperlink" Target="http://www.broadinstitute.org/gsea/msigdb/cards/GSE28726_NAIVE_CD4_TCELL_VS_NAIVE_NKTCELL_DN.html" TargetMode="External"/><Relationship Id="rId4251" Type="http://schemas.openxmlformats.org/officeDocument/2006/relationships/hyperlink" Target="http://www.broadinstitute.org/gsea/msigdb/cards/GSE24574_BCL6_HIGH_TFH_VS_NAIVE_CD4_TCELL_UP.html" TargetMode="External"/><Relationship Id="rId4252" Type="http://schemas.openxmlformats.org/officeDocument/2006/relationships/hyperlink" Target="http://www.broadinstitute.org/gsea/msigdb/cards/GSE24574_BCL6_HIGH_TFH_VS_NAIVE_CD4_TCELL_DN.html" TargetMode="External"/><Relationship Id="rId4253" Type="http://schemas.openxmlformats.org/officeDocument/2006/relationships/hyperlink" Target="http://www.broadinstitute.org/gsea/msigdb/cards/GSE28783_ANTI_MIR33_VS_UNTREATED_ATHEROSCLEROSIS_MACROPHAGE_UP.html" TargetMode="External"/><Relationship Id="rId4254" Type="http://schemas.openxmlformats.org/officeDocument/2006/relationships/hyperlink" Target="http://www.broadinstitute.org/gsea/msigdb/cards/GSE19512_NAUTRAL_VS_INDUCED_TREG_DN.html" TargetMode="External"/><Relationship Id="rId4255" Type="http://schemas.openxmlformats.org/officeDocument/2006/relationships/hyperlink" Target="http://www.broadinstitute.org/gsea/msigdb/cards/GSE22025_UNTREATED_VS_TGFB1_TREATED_CD4_TCELL_UP.html" TargetMode="External"/><Relationship Id="rId4256" Type="http://schemas.openxmlformats.org/officeDocument/2006/relationships/hyperlink" Target="http://www.broadinstitute.org/gsea/msigdb/cards/GSE22025_UNTREATED_VS_PROGESTERONE_TREATED_CD4_TCELL_UP.html" TargetMode="External"/><Relationship Id="rId4257" Type="http://schemas.openxmlformats.org/officeDocument/2006/relationships/hyperlink" Target="http://www.broadinstitute.org/gsea/msigdb/cards/GSE22025_UNTREATED_VS_PROGESTERONE_TREATED_CD4_TCELL_DN.html" TargetMode="External"/><Relationship Id="rId4258" Type="http://schemas.openxmlformats.org/officeDocument/2006/relationships/hyperlink" Target="http://www.broadinstitute.org/gsea/msigdb/cards/GSE22025_UNTREATED_VS_TGFB1_TREATED_CD4_TCELL_DN.html" TargetMode="External"/><Relationship Id="rId4259" Type="http://schemas.openxmlformats.org/officeDocument/2006/relationships/hyperlink" Target="http://www.broadinstitute.org/gsea/msigdb/cards/GSE29949_MICROGLIA_VS_DC_BRAIN_UP.html" TargetMode="External"/><Relationship Id="rId3160" Type="http://schemas.openxmlformats.org/officeDocument/2006/relationships/hyperlink" Target="http://www.broadinstitute.org/gsea/msigdb/cards/GSE3720_UNSTIM_VS_LPS_STIM_VD1_GAMMADELTA_TCELL_UP.html" TargetMode="External"/><Relationship Id="rId3161" Type="http://schemas.openxmlformats.org/officeDocument/2006/relationships/hyperlink" Target="http://www.broadinstitute.org/gsea/msigdb/cards/GSE3994_WT_VS_PAC1_KO_ACTIVATED_MAST_CELL_DN.html" TargetMode="External"/><Relationship Id="rId3162" Type="http://schemas.openxmlformats.org/officeDocument/2006/relationships/hyperlink" Target="http://www.broadinstitute.org/gsea/msigdb/cards/GSE8921_UNSTIM_0H_VS_TLR1_2_STIM_MONOCYTE_6H_DN.html" TargetMode="External"/><Relationship Id="rId3163" Type="http://schemas.openxmlformats.org/officeDocument/2006/relationships/hyperlink" Target="http://www.broadinstitute.org/gsea/msigdb/cards/GSE3039_CD4_TCELL_VS_NKT_CELL_UP.html" TargetMode="External"/><Relationship Id="rId3164" Type="http://schemas.openxmlformats.org/officeDocument/2006/relationships/hyperlink" Target="http://www.broadinstitute.org/gsea/msigdb/cards/GSE3039_NKT_CELL_VS_B2_BCELL_DN.html" TargetMode="External"/><Relationship Id="rId3165" Type="http://schemas.openxmlformats.org/officeDocument/2006/relationships/hyperlink" Target="http://www.broadinstitute.org/gsea/msigdb/cards/GSE4748_CTRL_VS_CYANOBACTERIUM_LPSLIKE_STIM_DC_3H_UP.html" TargetMode="External"/><Relationship Id="rId3166" Type="http://schemas.openxmlformats.org/officeDocument/2006/relationships/hyperlink" Target="http://www.broadinstitute.org/gsea/msigdb/cards/GSE5589_UNSTIM_VS_180MIN_LPS_STIM_MACROPHAGE_DN.html" TargetMode="External"/><Relationship Id="rId3167" Type="http://schemas.openxmlformats.org/officeDocument/2006/relationships/hyperlink" Target="http://www.broadinstitute.org/gsea/msigdb/cards/GSE5589_IL6_KO_VS_IL10_KO_LPS_STIM_MACROPHAGE_180MIN_DN.html" TargetMode="External"/><Relationship Id="rId3168" Type="http://schemas.openxmlformats.org/officeDocument/2006/relationships/hyperlink" Target="http://www.broadinstitute.org/gsea/msigdb/cards/GSE9509_LPS_VS_LPS_AND_IL10_STIM_IL10_KO_MACROPHAGE_20MIN_DN.html" TargetMode="External"/><Relationship Id="rId3169" Type="http://schemas.openxmlformats.org/officeDocument/2006/relationships/hyperlink" Target="http://www.broadinstitute.org/gsea/msigdb/cards/GSE9509_10MIN_VS_30MIN_LPS_STIM_IL10_KO_MACROPHAGE_UP.html" TargetMode="External"/><Relationship Id="rId460" Type="http://schemas.openxmlformats.org/officeDocument/2006/relationships/hyperlink" Target="http://www.broadinstitute.org/gsea/msigdb/cards/SENESE_HDAC1_AND_HDAC2_TARGETS_UP.html" TargetMode="External"/><Relationship Id="rId461" Type="http://schemas.openxmlformats.org/officeDocument/2006/relationships/hyperlink" Target="http://www.broadinstitute.org/gsea/msigdb/cards/KEGG_FC_EPSILON_RI_SIGNALING_PATHWAY.html" TargetMode="External"/><Relationship Id="rId462" Type="http://schemas.openxmlformats.org/officeDocument/2006/relationships/hyperlink" Target="http://www.broadinstitute.org/gsea/msigdb/cards/REACTOME_INTEGRIN_CELL_SURFACE_INTERACTIONS.html" TargetMode="External"/><Relationship Id="rId463" Type="http://schemas.openxmlformats.org/officeDocument/2006/relationships/hyperlink" Target="http://www.broadinstitute.org/gsea/msigdb/cards/BIOCARTA_TPO_PATHWAY.html" TargetMode="External"/><Relationship Id="rId464" Type="http://schemas.openxmlformats.org/officeDocument/2006/relationships/hyperlink" Target="http://www.broadinstitute.org/gsea/msigdb/cards/WANG_IMMORTALIZED_BY_HOXA9_AND_MEIS1_DN.html" TargetMode="External"/><Relationship Id="rId465" Type="http://schemas.openxmlformats.org/officeDocument/2006/relationships/hyperlink" Target="http://www.broadinstitute.org/gsea/msigdb/cards/BHATI_G2M_ARREST_BY_2METHOXYESTRADIOL_DN.html" TargetMode="External"/><Relationship Id="rId466" Type="http://schemas.openxmlformats.org/officeDocument/2006/relationships/hyperlink" Target="http://www.broadinstitute.org/gsea/msigdb/cards/BASSO_HAIRY_CELL_LEUKEMIA_UP.html" TargetMode="External"/><Relationship Id="rId467" Type="http://schemas.openxmlformats.org/officeDocument/2006/relationships/hyperlink" Target="http://www.broadinstitute.org/gsea/msigdb/cards/REACTOME_SIGNAL_REGULATORY_PROTEIN_SIRP_FAMILY_INTERACTIONS.html" TargetMode="External"/><Relationship Id="rId468" Type="http://schemas.openxmlformats.org/officeDocument/2006/relationships/hyperlink" Target="http://www.broadinstitute.org/gsea/msigdb/cards/REACTOME_THE_NLRP3_INFLAMMASOME.html" TargetMode="External"/><Relationship Id="rId469" Type="http://schemas.openxmlformats.org/officeDocument/2006/relationships/hyperlink" Target="http://www.broadinstitute.org/gsea/msigdb/cards/SPIELMAN_LYMPHOBLAST_EUROPEAN_VS_ASIAN_DN.html" TargetMode="External"/><Relationship Id="rId4990" Type="http://schemas.openxmlformats.org/officeDocument/2006/relationships/hyperlink" Target="http://www.broadinstitute.org/gsea/msigdb/cards/GSE14308_TH17_VS_NATURAL_TREG_DN.html" TargetMode="External"/><Relationship Id="rId4991" Type="http://schemas.openxmlformats.org/officeDocument/2006/relationships/hyperlink" Target="http://www.broadinstitute.org/gsea/msigdb/cards/GSE1432_1H_VS_6H_IFNG_MICROGLIA_UP.html" TargetMode="External"/><Relationship Id="rId4992" Type="http://schemas.openxmlformats.org/officeDocument/2006/relationships/hyperlink" Target="http://www.broadinstitute.org/gsea/msigdb/cards/GSE14350_IL2RB_KO_VS_WT_TREG_UP.html" TargetMode="External"/><Relationship Id="rId4993" Type="http://schemas.openxmlformats.org/officeDocument/2006/relationships/hyperlink" Target="http://www.broadinstitute.org/gsea/msigdb/cards/GSE1460_DP_THYMOCYTE_VS_NAIVE_CD4_TCELL_ADULT_BLOOD_DN.html" TargetMode="External"/><Relationship Id="rId4994" Type="http://schemas.openxmlformats.org/officeDocument/2006/relationships/hyperlink" Target="http://www.broadinstitute.org/gsea/msigdb/cards/GSE15215_CD2_POS_VS_NEG_PDC_UP.html" TargetMode="External"/><Relationship Id="rId4995" Type="http://schemas.openxmlformats.org/officeDocument/2006/relationships/hyperlink" Target="http://www.broadinstitute.org/gsea/msigdb/cards/GSE15659_TREG_VS_TCONV_DN.html" TargetMode="External"/><Relationship Id="rId4996" Type="http://schemas.openxmlformats.org/officeDocument/2006/relationships/hyperlink" Target="http://www.broadinstitute.org/gsea/msigdb/cards/GSE15659_NAIVE_CD4_TCELL_VS_NONSUPPRESSIVE_TCELL_UP.html" TargetMode="External"/><Relationship Id="rId2070" Type="http://schemas.openxmlformats.org/officeDocument/2006/relationships/hyperlink" Target="http://www.broadinstitute.org/gsea/msigdb/cards/GO_VASCULAR_PROCESS_IN_CIRCULATORY_SYSTEM.html" TargetMode="External"/><Relationship Id="rId2071" Type="http://schemas.openxmlformats.org/officeDocument/2006/relationships/hyperlink" Target="http://www.broadinstitute.org/gsea/msigdb/cards/GO_MONOSACCHARIDE_BINDING.html" TargetMode="External"/><Relationship Id="rId2072" Type="http://schemas.openxmlformats.org/officeDocument/2006/relationships/hyperlink" Target="http://www.broadinstitute.org/gsea/msigdb/cards/GO_POSITIVE_REGULATION_OF_CELL_SUBSTRATE_ADHESION.html" TargetMode="External"/><Relationship Id="rId2073" Type="http://schemas.openxmlformats.org/officeDocument/2006/relationships/hyperlink" Target="http://www.broadinstitute.org/gsea/msigdb/cards/GO_SULFUR_COMPOUND_BINDING.html" TargetMode="External"/><Relationship Id="rId2074" Type="http://schemas.openxmlformats.org/officeDocument/2006/relationships/hyperlink" Target="http://www.broadinstitute.org/gsea/msigdb/cards/RPS14_DN.V1_UP.html" TargetMode="External"/><Relationship Id="rId2075" Type="http://schemas.openxmlformats.org/officeDocument/2006/relationships/hyperlink" Target="http://www.broadinstitute.org/gsea/msigdb/cards/STK33_NOMO_UP.html" TargetMode="External"/><Relationship Id="rId2076" Type="http://schemas.openxmlformats.org/officeDocument/2006/relationships/hyperlink" Target="http://www.broadinstitute.org/gsea/msigdb/cards/STK33_SKM_UP.html" TargetMode="External"/><Relationship Id="rId2077" Type="http://schemas.openxmlformats.org/officeDocument/2006/relationships/hyperlink" Target="http://www.broadinstitute.org/gsea/msigdb/cards/SNF5_DN.V1_UP.html" TargetMode="External"/><Relationship Id="rId2078" Type="http://schemas.openxmlformats.org/officeDocument/2006/relationships/hyperlink" Target="http://www.broadinstitute.org/gsea/msigdb/cards/HOXA9_DN.V1_UP.html" TargetMode="External"/><Relationship Id="rId2079" Type="http://schemas.openxmlformats.org/officeDocument/2006/relationships/hyperlink" Target="http://www.broadinstitute.org/gsea/msigdb/cards/STK33_UP.html" TargetMode="External"/><Relationship Id="rId4997" Type="http://schemas.openxmlformats.org/officeDocument/2006/relationships/hyperlink" Target="http://www.broadinstitute.org/gsea/msigdb/cards/GSE15659_NONSUPPRESSIVE_TCELL_VS_ACTIVATED_TREG_UP.html" TargetMode="External"/><Relationship Id="rId4998" Type="http://schemas.openxmlformats.org/officeDocument/2006/relationships/hyperlink" Target="http://www.broadinstitute.org/gsea/msigdb/cards/GSE15659_NONSUPPRESSIVE_TCELL_VS_ACTIVATED_TREG_DN.html" TargetMode="External"/><Relationship Id="rId4999" Type="http://schemas.openxmlformats.org/officeDocument/2006/relationships/hyperlink" Target="http://www.broadinstitute.org/gsea/msigdb/cards/GSE15750_DAY6_VS_DAY10_EFF_CD8_TCELL_DN.html" TargetMode="External"/><Relationship Id="rId4260" Type="http://schemas.openxmlformats.org/officeDocument/2006/relationships/hyperlink" Target="http://www.broadinstitute.org/gsea/msigdb/cards/GSE29949_CD8_NEG_DC_SPLEEN_VS_MONOCYTE_BONE_MARROW_UP.html" TargetMode="External"/><Relationship Id="rId4261" Type="http://schemas.openxmlformats.org/officeDocument/2006/relationships/hyperlink" Target="http://www.broadinstitute.org/gsea/msigdb/cards/GSE29949_DC_BRAIN_VS_MONOCYTE_BONE_MARROW_UP.html" TargetMode="External"/><Relationship Id="rId4262" Type="http://schemas.openxmlformats.org/officeDocument/2006/relationships/hyperlink" Target="http://www.broadinstitute.org/gsea/msigdb/cards/GSE23321_EFFECTOR_MEMORY_VS_NAIVE_CD8_TCELL_UP.html" TargetMode="External"/><Relationship Id="rId4263" Type="http://schemas.openxmlformats.org/officeDocument/2006/relationships/hyperlink" Target="http://www.broadinstitute.org/gsea/msigdb/cards/GSE23321_CD8_STEM_CELL_MEMORY_VS_EFFECTOR_MEMORY_CD8_TCELL_DN.html" TargetMode="External"/><Relationship Id="rId4264" Type="http://schemas.openxmlformats.org/officeDocument/2006/relationships/hyperlink" Target="http://www.broadinstitute.org/gsea/msigdb/cards/GSE32533_WT_VS_MIR17_KO_ACT_CD4_TCELL_DN.html" TargetMode="External"/><Relationship Id="rId4265" Type="http://schemas.openxmlformats.org/officeDocument/2006/relationships/hyperlink" Target="http://www.broadinstitute.org/gsea/msigdb/cards/GSE26030_TH1_VS_TH17_RESTIMULATED_DAY5_POST_POLARIZATION_UP.html" TargetMode="External"/><Relationship Id="rId4266" Type="http://schemas.openxmlformats.org/officeDocument/2006/relationships/hyperlink" Target="http://www.broadinstitute.org/gsea/msigdb/cards/GSE32986_CURDLAN_LOWDOSE_VS_GMCSF_AND_CURDLAN_LOWDOSE_STIM_DC_UP.html" TargetMode="External"/><Relationship Id="rId4267" Type="http://schemas.openxmlformats.org/officeDocument/2006/relationships/hyperlink" Target="http://www.broadinstitute.org/gsea/msigdb/cards/GSE26343_UNSTIM_VS_LPS_STIM_NFAT5_KO_MACROPHAGE_UP.html" TargetMode="External"/><Relationship Id="rId4268" Type="http://schemas.openxmlformats.org/officeDocument/2006/relationships/hyperlink" Target="http://www.broadinstitute.org/gsea/msigdb/cards/GSE34156_TLR1_TLR2_LIGAND_VS_NOD2_AND_TLR1_TLR2_LIGAND_6H_TREATED_MONOCYTE_UP.html" TargetMode="External"/><Relationship Id="rId4269" Type="http://schemas.openxmlformats.org/officeDocument/2006/relationships/hyperlink" Target="http://www.broadinstitute.org/gsea/msigdb/cards/GSE30971_2H_VS_4H_LPS_STIM_MACROPHAGE_WBP7_KO_DN.html" TargetMode="External"/><Relationship Id="rId3170" Type="http://schemas.openxmlformats.org/officeDocument/2006/relationships/hyperlink" Target="http://www.broadinstitute.org/gsea/msigdb/cards/GSE7831_UNSTIM_VS_INFLUENZA_STIM_PDC_1H_UP.html" TargetMode="External"/><Relationship Id="rId3171" Type="http://schemas.openxmlformats.org/officeDocument/2006/relationships/hyperlink" Target="http://www.broadinstitute.org/gsea/msigdb/cards/GSE7831_CPG_VS_INFLUENZA_STIM_PDC_1H_UP.html" TargetMode="External"/><Relationship Id="rId3172" Type="http://schemas.openxmlformats.org/officeDocument/2006/relationships/hyperlink" Target="http://www.broadinstitute.org/gsea/msigdb/cards/GSE10240_CTRL_VS_IL17_STIM_PRIMARY_BRONCHIAL_EPITHELIAL_CELLS_DN.html" TargetMode="External"/><Relationship Id="rId3173" Type="http://schemas.openxmlformats.org/officeDocument/2006/relationships/hyperlink" Target="http://www.broadinstitute.org/gsea/msigdb/cards/GSE10240_IL22_VS_IL22_AND_IL17_STIM_PRIMARY_BRONCHIAL_EPITHELIAL_CELLS_UP.html" TargetMode="External"/><Relationship Id="rId3174" Type="http://schemas.openxmlformats.org/officeDocument/2006/relationships/hyperlink" Target="http://www.broadinstitute.org/gsea/msigdb/cards/GSE8685_IL2_STARVED_VS_IL2_ACT_IL2_STARVED_CD4_TCELL_UP.html" TargetMode="External"/><Relationship Id="rId3175" Type="http://schemas.openxmlformats.org/officeDocument/2006/relationships/hyperlink" Target="http://www.broadinstitute.org/gsea/msigdb/cards/GSE7568_IL4_TGFB_DEXAMETHASONE_VS_IL4_TGFB_TREATED_MACROPHAGE_DN.html" TargetMode="External"/><Relationship Id="rId3176" Type="http://schemas.openxmlformats.org/officeDocument/2006/relationships/hyperlink" Target="http://www.broadinstitute.org/gsea/msigdb/cards/GSE7219_WT_VS_NIK_NFKB2_KO_LPS_AND_ANTI_CD40_STIM_DC_DN.html" TargetMode="External"/><Relationship Id="rId3177" Type="http://schemas.openxmlformats.org/officeDocument/2006/relationships/hyperlink" Target="http://www.broadinstitute.org/gsea/msigdb/cards/GSE14699_NAIVE_VS_ACT_CD8_TCELL_UP.html" TargetMode="External"/><Relationship Id="rId3178" Type="http://schemas.openxmlformats.org/officeDocument/2006/relationships/hyperlink" Target="http://www.broadinstitute.org/gsea/msigdb/cards/GSE14699_NAIVE_VS_ACT_CD8_TCELL_DN.html" TargetMode="External"/><Relationship Id="rId3179" Type="http://schemas.openxmlformats.org/officeDocument/2006/relationships/hyperlink" Target="http://www.broadinstitute.org/gsea/msigdb/cards/GSE15330_HSC_VS_LYMPHOID_PRIMED_MULTIPOTENT_PROGENITOR_UP.html" TargetMode="External"/><Relationship Id="rId470" Type="http://schemas.openxmlformats.org/officeDocument/2006/relationships/hyperlink" Target="http://www.broadinstitute.org/gsea/msigdb/cards/RUAN_RESPONSE_TO_TNF_UP.html" TargetMode="External"/><Relationship Id="rId471" Type="http://schemas.openxmlformats.org/officeDocument/2006/relationships/hyperlink" Target="http://www.broadinstitute.org/gsea/msigdb/cards/PID_PDGFRB_PATHWAY.html" TargetMode="External"/><Relationship Id="rId472" Type="http://schemas.openxmlformats.org/officeDocument/2006/relationships/hyperlink" Target="http://www.broadinstitute.org/gsea/msigdb/cards/HERNANDEZ_ABERRANT_MITOSIS_BY_DOCETACEL_2NM_UP.html" TargetMode="External"/><Relationship Id="rId473" Type="http://schemas.openxmlformats.org/officeDocument/2006/relationships/hyperlink" Target="http://www.broadinstitute.org/gsea/msigdb/cards/PID_AMB2_NEUTROPHILS_PATHWAY.html" TargetMode="External"/><Relationship Id="rId474" Type="http://schemas.openxmlformats.org/officeDocument/2006/relationships/hyperlink" Target="http://www.broadinstitute.org/gsea/msigdb/cards/KAAB_FAILED_HEART_VENTRICLE_DN.html" TargetMode="External"/><Relationship Id="rId475" Type="http://schemas.openxmlformats.org/officeDocument/2006/relationships/hyperlink" Target="http://www.broadinstitute.org/gsea/msigdb/cards/REACTOME_G_BETA_GAMMA_SIGNALLING_THROUGH_PI3KGAMMA.html" TargetMode="External"/><Relationship Id="rId476" Type="http://schemas.openxmlformats.org/officeDocument/2006/relationships/hyperlink" Target="http://www.broadinstitute.org/gsea/msigdb/cards/LIAN_NEUTROPHIL_GRANULE_CONSTITUENTS.html" TargetMode="External"/><Relationship Id="rId477" Type="http://schemas.openxmlformats.org/officeDocument/2006/relationships/hyperlink" Target="http://www.broadinstitute.org/gsea/msigdb/cards/GRAESSMANN_APOPTOSIS_BY_SERUM_DEPRIVATION_UP.html" TargetMode="External"/><Relationship Id="rId478" Type="http://schemas.openxmlformats.org/officeDocument/2006/relationships/hyperlink" Target="http://www.broadinstitute.org/gsea/msigdb/cards/ONKEN_UVEAL_MELANOMA_UP.html" TargetMode="External"/><Relationship Id="rId479" Type="http://schemas.openxmlformats.org/officeDocument/2006/relationships/hyperlink" Target="http://www.broadinstitute.org/gsea/msigdb/cards/ZHENG_FOXP3_TARGETS_UP.html" TargetMode="External"/><Relationship Id="rId2080" Type="http://schemas.openxmlformats.org/officeDocument/2006/relationships/hyperlink" Target="http://www.broadinstitute.org/gsea/msigdb/cards/RELA_DN.V1_DN.html" TargetMode="External"/><Relationship Id="rId2081" Type="http://schemas.openxmlformats.org/officeDocument/2006/relationships/hyperlink" Target="http://www.broadinstitute.org/gsea/msigdb/cards/KRAS.LUNG_UP.V1_UP.html" TargetMode="External"/><Relationship Id="rId2082" Type="http://schemas.openxmlformats.org/officeDocument/2006/relationships/hyperlink" Target="http://www.broadinstitute.org/gsea/msigdb/cards/P53_DN.V1_DN.html" TargetMode="External"/><Relationship Id="rId2083" Type="http://schemas.openxmlformats.org/officeDocument/2006/relationships/hyperlink" Target="http://www.broadinstitute.org/gsea/msigdb/cards/BMI1_DN.V1_UP.html" TargetMode="External"/><Relationship Id="rId2084" Type="http://schemas.openxmlformats.org/officeDocument/2006/relationships/hyperlink" Target="http://www.broadinstitute.org/gsea/msigdb/cards/MEL18_DN.V1_UP.html" TargetMode="External"/><Relationship Id="rId2085" Type="http://schemas.openxmlformats.org/officeDocument/2006/relationships/hyperlink" Target="http://www.broadinstitute.org/gsea/msigdb/cards/STK33_NOMO_DN.html" TargetMode="External"/><Relationship Id="rId2086" Type="http://schemas.openxmlformats.org/officeDocument/2006/relationships/hyperlink" Target="http://www.broadinstitute.org/gsea/msigdb/cards/BMI1_DN_MEL18_DN.V1_UP.html" TargetMode="External"/><Relationship Id="rId2087" Type="http://schemas.openxmlformats.org/officeDocument/2006/relationships/hyperlink" Target="http://www.broadinstitute.org/gsea/msigdb/cards/PTEN_DN.V1_DN.html" TargetMode="External"/><Relationship Id="rId2088" Type="http://schemas.openxmlformats.org/officeDocument/2006/relationships/hyperlink" Target="http://www.broadinstitute.org/gsea/msigdb/cards/NOTCH_DN.V1_DN.html" TargetMode="External"/><Relationship Id="rId2089" Type="http://schemas.openxmlformats.org/officeDocument/2006/relationships/hyperlink" Target="http://www.broadinstitute.org/gsea/msigdb/cards/KRAS.KIDNEY_UP.V1_DN.html" TargetMode="External"/><Relationship Id="rId4270" Type="http://schemas.openxmlformats.org/officeDocument/2006/relationships/hyperlink" Target="http://www.broadinstitute.org/gsea/msigdb/cards/GSE30971_2H_VS_4H_LPS_STIM_MACROPHAGE_WBP7_KO_UP.html" TargetMode="External"/><Relationship Id="rId4271" Type="http://schemas.openxmlformats.org/officeDocument/2006/relationships/hyperlink" Target="http://www.broadinstitute.org/gsea/msigdb/cards/GSE36888_STAT5_AB_KNOCKIN_VS_WT_TCELL_IL2_TREATED_6H_DN.html" TargetMode="External"/><Relationship Id="rId4272" Type="http://schemas.openxmlformats.org/officeDocument/2006/relationships/hyperlink" Target="http://www.broadinstitute.org/gsea/msigdb/cards/GSE34515_CD16_POS_MONOCYTE_VS_DC_UP.html" TargetMode="External"/><Relationship Id="rId4273" Type="http://schemas.openxmlformats.org/officeDocument/2006/relationships/hyperlink" Target="http://www.broadinstitute.org/gsea/msigdb/cards/GSE36009_UNSTIM_VS_LPS_STIM_DC_DN.html" TargetMode="External"/><Relationship Id="rId4274" Type="http://schemas.openxmlformats.org/officeDocument/2006/relationships/hyperlink" Target="http://www.broadinstitute.org/gsea/msigdb/cards/GSE37301_LYMPHOID_PRIMED_MPP_VS_CD4_TCELL_UP.html" TargetMode="External"/><Relationship Id="rId4275" Type="http://schemas.openxmlformats.org/officeDocument/2006/relationships/hyperlink" Target="http://www.broadinstitute.org/gsea/msigdb/cards/GSE35685_CD34POS_CD38NEG_VS_CD34POS_CD10NEG_CD62LPOS_BONE_MARROW_DN.html" TargetMode="External"/><Relationship Id="rId4276" Type="http://schemas.openxmlformats.org/officeDocument/2006/relationships/hyperlink" Target="http://www.broadinstitute.org/gsea/msigdb/cards/GSE40273_XBP1_KO_VS_WT_TREG_UP.html" TargetMode="External"/><Relationship Id="rId4277" Type="http://schemas.openxmlformats.org/officeDocument/2006/relationships/hyperlink" Target="http://www.broadinstitute.org/gsea/msigdb/cards/GSE40274_HELIOS_VS_FOXP3_AND_HELIOS_TRANSDUCED_ACTIVATED_CD4_TCELL_DN.html" TargetMode="External"/><Relationship Id="rId4278" Type="http://schemas.openxmlformats.org/officeDocument/2006/relationships/hyperlink" Target="http://www.broadinstitute.org/gsea/msigdb/cards/GSE40277_EOS_AND_LEF1_TRANSDUCED_VS_CTRL_CD4_TCELL_UP.html" TargetMode="External"/><Relationship Id="rId4279" Type="http://schemas.openxmlformats.org/officeDocument/2006/relationships/hyperlink" Target="http://www.broadinstitute.org/gsea/msigdb/cards/GSE40274_FOXP3_VS_FOXP3_AND_LEF1_TRANSDUCED_ACTIVATED_CD4_TCELL_DN.html" TargetMode="External"/><Relationship Id="rId3180" Type="http://schemas.openxmlformats.org/officeDocument/2006/relationships/hyperlink" Target="http://www.broadinstitute.org/gsea/msigdb/cards/GSE17812_WT_VS_THPOK_KO_MEMORY_CD8_TCELL_DN.html" TargetMode="External"/><Relationship Id="rId3181" Type="http://schemas.openxmlformats.org/officeDocument/2006/relationships/hyperlink" Target="http://www.broadinstitute.org/gsea/msigdb/cards/GSE17186_NAIVE_VS_CD21LOW_TRANSITIONAL_BCELL_CORD_BLOOD_UP.html" TargetMode="External"/><Relationship Id="rId3182" Type="http://schemas.openxmlformats.org/officeDocument/2006/relationships/hyperlink" Target="http://www.broadinstitute.org/gsea/msigdb/cards/GSE17186_NAIVE_VS_CD21HIGH_TRANSITIONAL_BCELL_CORD_BLOOD_DN.html" TargetMode="External"/><Relationship Id="rId3183" Type="http://schemas.openxmlformats.org/officeDocument/2006/relationships/hyperlink" Target="http://www.broadinstitute.org/gsea/msigdb/cards/GSE18203_CTRL_VS_INTRATUMORAL_CPG_INJ_MC38_TUMOR_DN.html" TargetMode="External"/><Relationship Id="rId3184" Type="http://schemas.openxmlformats.org/officeDocument/2006/relationships/hyperlink" Target="http://www.broadinstitute.org/gsea/msigdb/cards/GSE17322_CD103_POS_VS_CD11B_HIGH_LUNG_DC_UP.html" TargetMode="External"/><Relationship Id="rId3185" Type="http://schemas.openxmlformats.org/officeDocument/2006/relationships/hyperlink" Target="http://www.broadinstitute.org/gsea/msigdb/cards/GSE16450_CTRL_VS_IFNA_12H_STIM_MATURE_NEURON_CELL_LINE_DN.html" TargetMode="External"/><Relationship Id="rId3186" Type="http://schemas.openxmlformats.org/officeDocument/2006/relationships/hyperlink" Target="http://www.broadinstitute.org/gsea/msigdb/cards/GSE16450_CTRL_VS_IFNA_6H_STIM_IMMATURE_NEURON_CELL_LINE_UP.html" TargetMode="External"/><Relationship Id="rId3187" Type="http://schemas.openxmlformats.org/officeDocument/2006/relationships/hyperlink" Target="http://www.broadinstitute.org/gsea/msigdb/cards/GSE22229_RENAL_TRANSPLANT_IMMUNOSUPP_THERAPY_VS_HEALTHY_PBMC_DN.html" TargetMode="External"/><Relationship Id="rId3188" Type="http://schemas.openxmlformats.org/officeDocument/2006/relationships/hyperlink" Target="http://www.broadinstitute.org/gsea/msigdb/cards/GSE21380_NON_TFH_VS_TFH_CD4_TCELL_DN.html" TargetMode="External"/><Relationship Id="rId3189" Type="http://schemas.openxmlformats.org/officeDocument/2006/relationships/hyperlink" Target="http://www.broadinstitute.org/gsea/msigdb/cards/GSE21546_WT_VS_SAP1A_KO_AND_ELK1_KO_DP_THYMOCYTES_DN.html" TargetMode="External"/><Relationship Id="rId480" Type="http://schemas.openxmlformats.org/officeDocument/2006/relationships/hyperlink" Target="http://www.broadinstitute.org/gsea/msigdb/cards/PURBEY_TARGETS_OF_CTBP1_NOT_SATB1_DN.html" TargetMode="External"/><Relationship Id="rId481" Type="http://schemas.openxmlformats.org/officeDocument/2006/relationships/hyperlink" Target="http://www.broadinstitute.org/gsea/msigdb/cards/SHIN_B_CELL_LYMPHOMA_CLUSTER_1.html" TargetMode="External"/><Relationship Id="rId482" Type="http://schemas.openxmlformats.org/officeDocument/2006/relationships/hyperlink" Target="http://www.broadinstitute.org/gsea/msigdb/cards/GUTIERREZ_WALDENSTROEMS_MACROGLOBULINEMIA_2.html" TargetMode="External"/><Relationship Id="rId483" Type="http://schemas.openxmlformats.org/officeDocument/2006/relationships/hyperlink" Target="http://www.broadinstitute.org/gsea/msigdb/cards/PID_MYC_REPRESS_PATHWAY.html" TargetMode="External"/><Relationship Id="rId484" Type="http://schemas.openxmlformats.org/officeDocument/2006/relationships/hyperlink" Target="http://www.broadinstitute.org/gsea/msigdb/cards/LEE_DOUBLE_POLAR_THYMOCYTE.html" TargetMode="External"/><Relationship Id="rId485" Type="http://schemas.openxmlformats.org/officeDocument/2006/relationships/hyperlink" Target="http://www.broadinstitute.org/gsea/msigdb/cards/LIANG_HEMATOPOIESIS_STEM_CELL_NUMBER_LARGE_VS_TINY_UP.html" TargetMode="External"/><Relationship Id="rId486" Type="http://schemas.openxmlformats.org/officeDocument/2006/relationships/hyperlink" Target="http://www.broadinstitute.org/gsea/msigdb/cards/MIKKELSEN_ES_ICP_WITH_H3K4ME3.html" TargetMode="External"/><Relationship Id="rId487" Type="http://schemas.openxmlformats.org/officeDocument/2006/relationships/hyperlink" Target="http://www.broadinstitute.org/gsea/msigdb/cards/BYSTROEM_CORRELATED_WITH_IL5_DN.html" TargetMode="External"/><Relationship Id="rId488" Type="http://schemas.openxmlformats.org/officeDocument/2006/relationships/hyperlink" Target="http://www.broadinstitute.org/gsea/msigdb/cards/PID_TCR_JNK_PATHWAY.html" TargetMode="External"/><Relationship Id="rId489" Type="http://schemas.openxmlformats.org/officeDocument/2006/relationships/hyperlink" Target="http://www.broadinstitute.org/gsea/msigdb/cards/IWANAGA_CARCINOGENESIS_BY_KRAS_PTEN_DN.html" TargetMode="External"/><Relationship Id="rId2090" Type="http://schemas.openxmlformats.org/officeDocument/2006/relationships/hyperlink" Target="http://www.broadinstitute.org/gsea/msigdb/cards/LEF1_UP.V1_UP.html" TargetMode="External"/><Relationship Id="rId2091" Type="http://schemas.openxmlformats.org/officeDocument/2006/relationships/hyperlink" Target="http://www.broadinstitute.org/gsea/msigdb/cards/P53_DN.V2_UP.html" TargetMode="External"/><Relationship Id="rId2092" Type="http://schemas.openxmlformats.org/officeDocument/2006/relationships/hyperlink" Target="http://www.broadinstitute.org/gsea/msigdb/cards/ATM_DN.V1_DN.html" TargetMode="External"/><Relationship Id="rId2093" Type="http://schemas.openxmlformats.org/officeDocument/2006/relationships/hyperlink" Target="http://www.broadinstitute.org/gsea/msigdb/cards/KRAS.600_UP.V1_UP.html" TargetMode="External"/><Relationship Id="rId2094" Type="http://schemas.openxmlformats.org/officeDocument/2006/relationships/hyperlink" Target="http://www.broadinstitute.org/gsea/msigdb/cards/ALK_DN.V1_UP.html" TargetMode="External"/><Relationship Id="rId2095" Type="http://schemas.openxmlformats.org/officeDocument/2006/relationships/hyperlink" Target="http://www.broadinstitute.org/gsea/msigdb/cards/KRAS.600.LUNG.BREAST_UP.V1_UP.html" TargetMode="External"/><Relationship Id="rId2096" Type="http://schemas.openxmlformats.org/officeDocument/2006/relationships/hyperlink" Target="http://www.broadinstitute.org/gsea/msigdb/cards/ATF2_UP.V1_UP.html" TargetMode="External"/><Relationship Id="rId2097" Type="http://schemas.openxmlformats.org/officeDocument/2006/relationships/hyperlink" Target="http://www.broadinstitute.org/gsea/msigdb/cards/IL15_UP.V1_UP.html" TargetMode="External"/><Relationship Id="rId2098" Type="http://schemas.openxmlformats.org/officeDocument/2006/relationships/hyperlink" Target="http://www.broadinstitute.org/gsea/msigdb/cards/IL2_UP.V1_UP.html" TargetMode="External"/><Relationship Id="rId2099" Type="http://schemas.openxmlformats.org/officeDocument/2006/relationships/hyperlink" Target="http://www.broadinstitute.org/gsea/msigdb/cards/CYCLIN_D1_KE_.V1_DN.html" TargetMode="External"/><Relationship Id="rId4280" Type="http://schemas.openxmlformats.org/officeDocument/2006/relationships/hyperlink" Target="http://www.broadinstitute.org/gsea/msigdb/cards/GSE20727_H2O2_VS_ROS_INHIBITOR_TREATED_DC_DN.html" TargetMode="External"/><Relationship Id="rId4281" Type="http://schemas.openxmlformats.org/officeDocument/2006/relationships/hyperlink" Target="http://www.broadinstitute.org/gsea/msigdb/cards/GSE40068_CXCR5POS_BCL6POS_TFH_VS_CXCR5NEG_BCL6NEG_CD4_TCELL_DN.html" TargetMode="External"/><Relationship Id="rId4282" Type="http://schemas.openxmlformats.org/officeDocument/2006/relationships/hyperlink" Target="http://www.broadinstitute.org/gsea/msigdb/cards/GSE36078_UNTREATED_VS_AD5_T425A_HEXON_INF_MOUSE_LUNG_DC_UP.html" TargetMode="External"/><Relationship Id="rId4283" Type="http://schemas.openxmlformats.org/officeDocument/2006/relationships/hyperlink" Target="http://www.broadinstitute.org/gsea/msigdb/cards/GSE40685_NAIVE_CD4_TCELL_VS_FOXP3_KO_TREG_PRECURSOR_UP.html" TargetMode="External"/><Relationship Id="rId4284" Type="http://schemas.openxmlformats.org/officeDocument/2006/relationships/hyperlink" Target="http://www.broadinstitute.org/gsea/msigdb/cards/GSE11961_FOLLICULAR_BCELL_VS_GERMINAL_CENTER_BCELL_DAY7_UP.html" TargetMode="External"/><Relationship Id="rId4285" Type="http://schemas.openxmlformats.org/officeDocument/2006/relationships/hyperlink" Target="http://www.broadinstitute.org/gsea/msigdb/cards/GSE28737_BCL6_HET_VS_BCL6_KO_MARGINAL_ZONE_BCELL_DN.html" TargetMode="External"/><Relationship Id="rId4286" Type="http://schemas.openxmlformats.org/officeDocument/2006/relationships/hyperlink" Target="http://www.broadinstitute.org/gsea/msigdb/cards/GSE11961_MEMORY_BCELL_DAY7_VS_PLASMA_CELL_DAY7_DN.html" TargetMode="External"/><Relationship Id="rId4287" Type="http://schemas.openxmlformats.org/officeDocument/2006/relationships/hyperlink" Target="http://www.broadinstitute.org/gsea/msigdb/cards/GSE41867_NAIVE_VS_DAY15_LCMV_EFFECTOR_CD8_TCELL_DN.html" TargetMode="External"/><Relationship Id="rId4288" Type="http://schemas.openxmlformats.org/officeDocument/2006/relationships/hyperlink" Target="http://www.broadinstitute.org/gsea/msigdb/cards/GSE41978_WT_VS_ID2_KO_AND_BIM_KO_KLRG1_LOW_EFFECTOR_CD8_TCELL_DN.html" TargetMode="External"/><Relationship Id="rId4289" Type="http://schemas.openxmlformats.org/officeDocument/2006/relationships/hyperlink" Target="http://www.broadinstitute.org/gsea/msigdb/cards/GSE42021_CD24HI_TREG_VS_CD24HI_TCONV_THYMUS_DN.html" TargetMode="External"/><Relationship Id="rId3190" Type="http://schemas.openxmlformats.org/officeDocument/2006/relationships/hyperlink" Target="http://www.broadinstitute.org/gsea/msigdb/cards/GSE21546_WT_VS_SAP1A_KO_DP_THYMOCYTES_UP.html" TargetMode="External"/><Relationship Id="rId3191" Type="http://schemas.openxmlformats.org/officeDocument/2006/relationships/hyperlink" Target="http://www.broadinstitute.org/gsea/msigdb/cards/GSE21927_C26GM_VS_4T1_TUMOR_MONOCYTE_BALBC_DN.html" TargetMode="External"/><Relationship Id="rId3192" Type="http://schemas.openxmlformats.org/officeDocument/2006/relationships/hyperlink" Target="http://www.broadinstitute.org/gsea/msigdb/cards/GSE22140_HEALTHY_VS_ARTHRITIC_MOUSE_CD4_TCELL_DN.html" TargetMode="External"/><Relationship Id="rId3193" Type="http://schemas.openxmlformats.org/officeDocument/2006/relationships/hyperlink" Target="http://www.broadinstitute.org/gsea/msigdb/cards/GSE19401_UNSTIM_VS_RETINOIC_ACID_STIM_FOLLICULAR_DC_DN.html" TargetMode="External"/><Relationship Id="rId3194" Type="http://schemas.openxmlformats.org/officeDocument/2006/relationships/hyperlink" Target="http://www.broadinstitute.org/gsea/msigdb/cards/GSE22935_WT_VS_MYD88_KO_MACROPHAGE_12H_MBOVIS_BCG_STIM_DN.html" TargetMode="External"/><Relationship Id="rId3195" Type="http://schemas.openxmlformats.org/officeDocument/2006/relationships/hyperlink" Target="http://www.broadinstitute.org/gsea/msigdb/cards/GSE22432_MULTIPOTENT_PROGENITOR_VS_CDC_UP.html" TargetMode="External"/><Relationship Id="rId3196" Type="http://schemas.openxmlformats.org/officeDocument/2006/relationships/hyperlink" Target="http://www.broadinstitute.org/gsea/msigdb/cards/GSE24210_CTRL_VS_IL35_TREATED_TCONV_CD4_TCELL_UP.html" TargetMode="External"/><Relationship Id="rId3197" Type="http://schemas.openxmlformats.org/officeDocument/2006/relationships/hyperlink" Target="http://www.broadinstitute.org/gsea/msigdb/cards/GSE24492_LYVE_NEG_VS_POS_MACROPHAGE_DN.html" TargetMode="External"/><Relationship Id="rId3198" Type="http://schemas.openxmlformats.org/officeDocument/2006/relationships/hyperlink" Target="http://www.broadinstitute.org/gsea/msigdb/cards/GSE23925_LIGHT_ZONE_VS_DARK_ZONE_BCELL_DN.html" TargetMode="External"/><Relationship Id="rId3199" Type="http://schemas.openxmlformats.org/officeDocument/2006/relationships/hyperlink" Target="http://www.broadinstitute.org/gsea/msigdb/cards/GSE25123_CTRL_VS_IL4_STIM_MACROPHAGE_UP.html" TargetMode="External"/><Relationship Id="rId490" Type="http://schemas.openxmlformats.org/officeDocument/2006/relationships/hyperlink" Target="http://www.broadinstitute.org/gsea/msigdb/cards/VART_KSHV_INFECTION_ANGIOGENIC_MARKERS_UP.html" TargetMode="External"/><Relationship Id="rId491" Type="http://schemas.openxmlformats.org/officeDocument/2006/relationships/hyperlink" Target="http://www.broadinstitute.org/gsea/msigdb/cards/REACTOME_G_PROTEIN_BETA_GAMMA_SIGNALLING.html" TargetMode="External"/><Relationship Id="rId492" Type="http://schemas.openxmlformats.org/officeDocument/2006/relationships/hyperlink" Target="http://www.broadinstitute.org/gsea/msigdb/cards/BOQUEST_STEM_CELL_CULTURED_VS_FRESH_UP.html" TargetMode="External"/><Relationship Id="rId493" Type="http://schemas.openxmlformats.org/officeDocument/2006/relationships/hyperlink" Target="http://www.broadinstitute.org/gsea/msigdb/cards/HATADA_METHYLATED_IN_LUNG_CANCER_UP.html" TargetMode="External"/><Relationship Id="rId494" Type="http://schemas.openxmlformats.org/officeDocument/2006/relationships/hyperlink" Target="http://www.broadinstitute.org/gsea/msigdb/cards/KIM_GERMINAL_CENTER_T_HELPER_UP.html" TargetMode="External"/><Relationship Id="rId495" Type="http://schemas.openxmlformats.org/officeDocument/2006/relationships/hyperlink" Target="http://www.broadinstitute.org/gsea/msigdb/cards/KYNG_DNA_DAMAGE_UP.html" TargetMode="External"/><Relationship Id="rId496" Type="http://schemas.openxmlformats.org/officeDocument/2006/relationships/hyperlink" Target="http://www.broadinstitute.org/gsea/msigdb/cards/SHEN_SMARCA2_TARGETS_DN.html" TargetMode="External"/><Relationship Id="rId497" Type="http://schemas.openxmlformats.org/officeDocument/2006/relationships/hyperlink" Target="http://www.broadinstitute.org/gsea/msigdb/cards/LEE_RECENT_THYMIC_EMIGRANT.html" TargetMode="External"/><Relationship Id="rId498" Type="http://schemas.openxmlformats.org/officeDocument/2006/relationships/hyperlink" Target="http://www.broadinstitute.org/gsea/msigdb/cards/SCHAEFFER_PROSTATE_DEVELOPMENT_48HR_DN.html" TargetMode="External"/><Relationship Id="rId499" Type="http://schemas.openxmlformats.org/officeDocument/2006/relationships/hyperlink" Target="http://www.broadinstitute.org/gsea/msigdb/cards/MARSHALL_VIRAL_INFECTION_RESPONSE_DN.html" TargetMode="External"/><Relationship Id="rId4290" Type="http://schemas.openxmlformats.org/officeDocument/2006/relationships/hyperlink" Target="http://www.broadinstitute.org/gsea/msigdb/cards/GSE43700_UNTREATED_VS_IL10_TREATED_PBMC_UP.html" TargetMode="External"/><Relationship Id="rId4291" Type="http://schemas.openxmlformats.org/officeDocument/2006/relationships/hyperlink" Target="http://www.broadinstitute.org/gsea/msigdb/cards/GSE43700_UNTREATED_VS_IL10_TREATED_PBMC_DN.html" TargetMode="External"/><Relationship Id="rId4292" Type="http://schemas.openxmlformats.org/officeDocument/2006/relationships/hyperlink" Target="http://www.broadinstitute.org/gsea/msigdb/cards/GSE43955_TH0_VS_TGFB_IL6_IL23_TH17_ACT_CD4_TCELL_52H_UP.html" TargetMode="External"/><Relationship Id="rId4293" Type="http://schemas.openxmlformats.org/officeDocument/2006/relationships/hyperlink" Target="http://www.broadinstitute.org/gsea/msigdb/cards/GSE43955_TH0_VS_TGFB_IL6_IL23_TH17_ACT_CD4_TCELL_60H_UP.html" TargetMode="External"/><Relationship Id="rId4294" Type="http://schemas.openxmlformats.org/officeDocument/2006/relationships/hyperlink" Target="http://www.broadinstitute.org/gsea/msigdb/cards/GSE43955_10H_VS_30H_ACT_CD4_TCELL_WITH_TGFB_IL6_DN.html" TargetMode="External"/><Relationship Id="rId4295" Type="http://schemas.openxmlformats.org/officeDocument/2006/relationships/hyperlink" Target="http://www.broadinstitute.org/gsea/msigdb/cards/GSE46143_CTRL_VS_LMP2A_TRANSDUCED_CD10_POS_GC_BCELL_DN.html" TargetMode="External"/><Relationship Id="rId4296" Type="http://schemas.openxmlformats.org/officeDocument/2006/relationships/hyperlink" Target="http://www.broadinstitute.org/gsea/msigdb/cards/GSE44649_WT_VS_MIR155_KO_NAIVE_CD8_TCELL_UP.html" TargetMode="External"/><Relationship Id="rId4297" Type="http://schemas.openxmlformats.org/officeDocument/2006/relationships/hyperlink" Target="http://www.broadinstitute.org/gsea/msigdb/cards/GSE42724_NAIVE_VS_MEMORY_BCELL_DN.html" TargetMode="External"/><Relationship Id="rId4298" Type="http://schemas.openxmlformats.org/officeDocument/2006/relationships/hyperlink" Target="http://www.broadinstitute.org/gsea/msigdb/cards/GSE46606_IRF4_KO_VS_WT_CD40L_IL2_IL5_3DAY_STIMULATED_BCELL_UP.html" TargetMode="External"/><Relationship Id="rId4299" Type="http://schemas.openxmlformats.org/officeDocument/2006/relationships/hyperlink" Target="http://www.broadinstitute.org/gsea/msigdb/cards/GSE46606_UNSTIM_VS_CD40L_IL2_IL5_1DAY_STIMULATED_IRF4MID_SORTED_BCELL_UP.html" TargetMode="External"/><Relationship Id="rId1500" Type="http://schemas.openxmlformats.org/officeDocument/2006/relationships/hyperlink" Target="http://www.broadinstitute.org/gsea/msigdb/cards/GO_POSITIVE_REGULATION_OF_MACROPHAGE_CHEMOTAXIS.html" TargetMode="External"/><Relationship Id="rId1501" Type="http://schemas.openxmlformats.org/officeDocument/2006/relationships/hyperlink" Target="http://www.broadinstitute.org/gsea/msigdb/cards/GO_CD4_POSITIVE_OR_CD8_POSITIVE_ALPHA_BETA_T_CELL_LINEAGE_COMMITMENT.html" TargetMode="External"/><Relationship Id="rId1502" Type="http://schemas.openxmlformats.org/officeDocument/2006/relationships/hyperlink" Target="http://www.broadinstitute.org/gsea/msigdb/cards/GO_REGULATION_OF_SYMBIOSIS_ENCOMPASSING_MUTUALISM_THROUGH_PARASITISM.html" TargetMode="External"/><Relationship Id="rId1503" Type="http://schemas.openxmlformats.org/officeDocument/2006/relationships/hyperlink" Target="http://www.broadinstitute.org/gsea/msigdb/cards/GO_ION_TRANSPORT.html" TargetMode="External"/><Relationship Id="rId1504" Type="http://schemas.openxmlformats.org/officeDocument/2006/relationships/hyperlink" Target="http://www.broadinstitute.org/gsea/msigdb/cards/GO_REGULATION_OF_MAP_KINASE_ACTIVITY.html" TargetMode="External"/><Relationship Id="rId1505" Type="http://schemas.openxmlformats.org/officeDocument/2006/relationships/hyperlink" Target="http://www.broadinstitute.org/gsea/msigdb/cards/GO_REGULATION_OF_TYROSINE_PHOSPHORYLATION_OF_STAT_PROTEIN.html" TargetMode="External"/><Relationship Id="rId1506" Type="http://schemas.openxmlformats.org/officeDocument/2006/relationships/hyperlink" Target="http://www.broadinstitute.org/gsea/msigdb/cards/GO_REGULATION_OF_PHAGOCYTOSIS.html" TargetMode="External"/><Relationship Id="rId1507" Type="http://schemas.openxmlformats.org/officeDocument/2006/relationships/hyperlink" Target="http://www.broadinstitute.org/gsea/msigdb/cards/GO_POSITIVE_REGULATION_OF_TRANSFERASE_ACTIVITY.html" TargetMode="External"/><Relationship Id="rId1508" Type="http://schemas.openxmlformats.org/officeDocument/2006/relationships/hyperlink" Target="http://www.broadinstitute.org/gsea/msigdb/cards/GO_B_CELL_ACTIVATION_INVOLVED_IN_IMMUNE_RESPONSE.html" TargetMode="External"/><Relationship Id="rId1509" Type="http://schemas.openxmlformats.org/officeDocument/2006/relationships/hyperlink" Target="http://www.broadinstitute.org/gsea/msigdb/cards/GO_REGULATION_OF_B_CELL_DIFFERENTIATION.html" TargetMode="External"/><Relationship Id="rId2600" Type="http://schemas.openxmlformats.org/officeDocument/2006/relationships/hyperlink" Target="http://www.broadinstitute.org/gsea/msigdb/cards/GSE17721_LPS_VS_CPG_12H_BMDC_DN.html" TargetMode="External"/><Relationship Id="rId2601" Type="http://schemas.openxmlformats.org/officeDocument/2006/relationships/hyperlink" Target="http://www.broadinstitute.org/gsea/msigdb/cards/GSE17721_12H_VS_24H_GARDIQUIMOD_BMDC_UP.html" TargetMode="External"/><Relationship Id="rId2602" Type="http://schemas.openxmlformats.org/officeDocument/2006/relationships/hyperlink" Target="http://www.broadinstitute.org/gsea/msigdb/cards/GSE20715_0H_VS_48H_OZONE_LUNG_UP.html" TargetMode="External"/><Relationship Id="rId2603" Type="http://schemas.openxmlformats.org/officeDocument/2006/relationships/hyperlink" Target="http://www.broadinstitute.org/gsea/msigdb/cards/GSE22886_NAIVE_VS_IGG_IGA_MEMORY_BCELL_DN.html" TargetMode="External"/><Relationship Id="rId2604" Type="http://schemas.openxmlformats.org/officeDocument/2006/relationships/hyperlink" Target="http://www.broadinstitute.org/gsea/msigdb/cards/GSE22886_NAIVE_TCELL_VS_DC_UP.html" TargetMode="External"/><Relationship Id="rId2605" Type="http://schemas.openxmlformats.org/officeDocument/2006/relationships/hyperlink" Target="http://www.broadinstitute.org/gsea/msigdb/cards/GSE22886_CTRL_VS_LPS_24H_DC_UP.html" TargetMode="External"/><Relationship Id="rId2606" Type="http://schemas.openxmlformats.org/officeDocument/2006/relationships/hyperlink" Target="http://www.broadinstitute.org/gsea/msigdb/cards/GSE24142_DN2_VS_DN3_THYMOCYTE_DN.html" TargetMode="External"/><Relationship Id="rId2607" Type="http://schemas.openxmlformats.org/officeDocument/2006/relationships/hyperlink" Target="http://www.broadinstitute.org/gsea/msigdb/cards/GSE24142_EARLY_THYMIC_PROGENITOR_VS_DN2_THYMOCYTE_FETAL_DN.html" TargetMode="External"/><Relationship Id="rId2608" Type="http://schemas.openxmlformats.org/officeDocument/2006/relationships/hyperlink" Target="http://www.broadinstitute.org/gsea/msigdb/cards/GSE24142_EARLY_THYMIC_PROGENITOR_VS_DN3_THYMOCYTE_FETAL_UP.html" TargetMode="External"/><Relationship Id="rId2609" Type="http://schemas.openxmlformats.org/officeDocument/2006/relationships/hyperlink" Target="http://www.broadinstitute.org/gsea/msigdb/cards/GSE24634_TREG_VS_TCONV_POST_DAY10_IL4_CONVERSION_UP.html" TargetMode="External"/><Relationship Id="rId1510" Type="http://schemas.openxmlformats.org/officeDocument/2006/relationships/hyperlink" Target="http://www.broadinstitute.org/gsea/msigdb/cards/GO_POSITIVE_REGULATION_OF_MAP_KINASE_ACTIVITY.html" TargetMode="External"/><Relationship Id="rId1511" Type="http://schemas.openxmlformats.org/officeDocument/2006/relationships/hyperlink" Target="http://www.broadinstitute.org/gsea/msigdb/cards/GO_RUFFLE.html" TargetMode="External"/><Relationship Id="rId1512" Type="http://schemas.openxmlformats.org/officeDocument/2006/relationships/hyperlink" Target="http://www.broadinstitute.org/gsea/msigdb/cards/GO_CLATHRIN_COATED_VESICLE.html" TargetMode="External"/><Relationship Id="rId1513" Type="http://schemas.openxmlformats.org/officeDocument/2006/relationships/hyperlink" Target="http://www.broadinstitute.org/gsea/msigdb/cards/GO_REGULATION_OF_INTERLEUKIN_10_SECRETION.html" TargetMode="External"/><Relationship Id="rId1514" Type="http://schemas.openxmlformats.org/officeDocument/2006/relationships/hyperlink" Target="http://www.broadinstitute.org/gsea/msigdb/cards/GO_REGULATION_OF_T_CELL_TOLERANCE_INDUCTION.html" TargetMode="External"/><Relationship Id="rId1515" Type="http://schemas.openxmlformats.org/officeDocument/2006/relationships/hyperlink" Target="http://www.broadinstitute.org/gsea/msigdb/cards/GO_RESPONSE_TO_ORGANIC_CYCLIC_COMPOUND.html" TargetMode="External"/><Relationship Id="rId1516" Type="http://schemas.openxmlformats.org/officeDocument/2006/relationships/hyperlink" Target="http://www.broadinstitute.org/gsea/msigdb/cards/GO_REGULATION_OF_CELL_MORPHOGENESIS.html" TargetMode="External"/><Relationship Id="rId1517" Type="http://schemas.openxmlformats.org/officeDocument/2006/relationships/hyperlink" Target="http://www.broadinstitute.org/gsea/msigdb/cards/GO_CYTOLYSIS.html" TargetMode="External"/><Relationship Id="rId1518" Type="http://schemas.openxmlformats.org/officeDocument/2006/relationships/hyperlink" Target="http://www.broadinstitute.org/gsea/msigdb/cards/GO_DIVALENT_INORGANIC_CATION_TRANSPORT.html" TargetMode="External"/><Relationship Id="rId1519" Type="http://schemas.openxmlformats.org/officeDocument/2006/relationships/hyperlink" Target="http://www.broadinstitute.org/gsea/msigdb/cards/GO_ER_TO_GOLGI_TRANSPORT_VESICLE.html" TargetMode="External"/><Relationship Id="rId3700" Type="http://schemas.openxmlformats.org/officeDocument/2006/relationships/hyperlink" Target="http://www.broadinstitute.org/gsea/msigdb/cards/GSE360_DC_VS_MAC_T_GONDII_UP.html" TargetMode="External"/><Relationship Id="rId3701" Type="http://schemas.openxmlformats.org/officeDocument/2006/relationships/hyperlink" Target="http://www.broadinstitute.org/gsea/msigdb/cards/GSE360_L_DONOVANI_VS_B_MALAYI_LOW_DOSE_DC_UP.html" TargetMode="External"/><Relationship Id="rId3702" Type="http://schemas.openxmlformats.org/officeDocument/2006/relationships/hyperlink" Target="http://www.broadinstitute.org/gsea/msigdb/cards/GSE360_L_MAJOR_VS_B_MALAYI_LOW_DOSE_DC_UP.html" TargetMode="External"/><Relationship Id="rId3703" Type="http://schemas.openxmlformats.org/officeDocument/2006/relationships/hyperlink" Target="http://www.broadinstitute.org/gsea/msigdb/cards/GSE36392_TYPE_2_MYELOID_VS_NEUTROPHIL_IL25_TREATED_LUNG_UP.html" TargetMode="External"/><Relationship Id="rId3704" Type="http://schemas.openxmlformats.org/officeDocument/2006/relationships/hyperlink" Target="http://www.broadinstitute.org/gsea/msigdb/cards/GSE37416_CTRL_VS_48H_F_TULARENSIS_LVS_NEUTROPHIL_UP.html" TargetMode="External"/><Relationship Id="rId3705" Type="http://schemas.openxmlformats.org/officeDocument/2006/relationships/hyperlink" Target="http://www.broadinstitute.org/gsea/msigdb/cards/GSE37416_0H_VS_24H_F_TULARENSIS_LVS_NEUTROPHIL_UP.html" TargetMode="External"/><Relationship Id="rId3706" Type="http://schemas.openxmlformats.org/officeDocument/2006/relationships/hyperlink" Target="http://www.broadinstitute.org/gsea/msigdb/cards/GSE3982_MAST_CELL_VS_CENT_MEMORY_CD4_TCELL_DN.html" TargetMode="External"/><Relationship Id="rId3707" Type="http://schemas.openxmlformats.org/officeDocument/2006/relationships/hyperlink" Target="http://www.broadinstitute.org/gsea/msigdb/cards/GSE3982_DC_VS_BASOPHIL_UP.html" TargetMode="External"/><Relationship Id="rId3708" Type="http://schemas.openxmlformats.org/officeDocument/2006/relationships/hyperlink" Target="http://www.broadinstitute.org/gsea/msigdb/cards/GSE3982_DC_VS_NKCELL_UP.html" TargetMode="External"/><Relationship Id="rId3709" Type="http://schemas.openxmlformats.org/officeDocument/2006/relationships/hyperlink" Target="http://www.broadinstitute.org/gsea/msigdb/cards/GSE3982_CENT_MEMORY_CD4_TCELL_VS_TH2_UP.html" TargetMode="External"/><Relationship Id="rId2610" Type="http://schemas.openxmlformats.org/officeDocument/2006/relationships/hyperlink" Target="http://www.broadinstitute.org/gsea/msigdb/cards/GSE24634_TEFF_VS_TCONV_DAY10_IN_CULTURE_UP.html" TargetMode="External"/><Relationship Id="rId2611" Type="http://schemas.openxmlformats.org/officeDocument/2006/relationships/hyperlink" Target="http://www.broadinstitute.org/gsea/msigdb/cards/GSE2706_2H_VS_8H_LPS_STIM_DC_DN.html" TargetMode="External"/><Relationship Id="rId2612" Type="http://schemas.openxmlformats.org/officeDocument/2006/relationships/hyperlink" Target="http://www.broadinstitute.org/gsea/msigdb/cards/GSE3337_CTRL_VS_4H_IFNG_IN_CD8POS_DC_DN.html" TargetMode="External"/><Relationship Id="rId2613" Type="http://schemas.openxmlformats.org/officeDocument/2006/relationships/hyperlink" Target="http://www.broadinstitute.org/gsea/msigdb/cards/GSE360_CTRL_VS_T_GONDII_DC_UP.html" TargetMode="External"/><Relationship Id="rId2614" Type="http://schemas.openxmlformats.org/officeDocument/2006/relationships/hyperlink" Target="http://www.broadinstitute.org/gsea/msigdb/cards/GSE360_L_DONOVANI_VS_B_MALAYI_HIGH_DOSE_MAC_DN.html" TargetMode="External"/><Relationship Id="rId2615" Type="http://schemas.openxmlformats.org/officeDocument/2006/relationships/hyperlink" Target="http://www.broadinstitute.org/gsea/msigdb/cards/GSE36392_TYPE_2_MYELOID_VS_EOSINOPHIL_IL25_TREATED_LUNG_DN.html" TargetMode="External"/><Relationship Id="rId2616" Type="http://schemas.openxmlformats.org/officeDocument/2006/relationships/hyperlink" Target="http://www.broadinstitute.org/gsea/msigdb/cards/GSE3982_MEMORY_CD4_TCELL_VS_BCELL_DN.html" TargetMode="External"/><Relationship Id="rId2617" Type="http://schemas.openxmlformats.org/officeDocument/2006/relationships/hyperlink" Target="http://www.broadinstitute.org/gsea/msigdb/cards/GSE3982_DC_VS_BCELL_UP.html" TargetMode="External"/><Relationship Id="rId2618" Type="http://schemas.openxmlformats.org/officeDocument/2006/relationships/hyperlink" Target="http://www.broadinstitute.org/gsea/msigdb/cards/GSE3982_BCELL_VS_EFF_MEMORY_CD4_TCELL_UP.html" TargetMode="External"/><Relationship Id="rId2619" Type="http://schemas.openxmlformats.org/officeDocument/2006/relationships/hyperlink" Target="http://www.broadinstitute.org/gsea/msigdb/cards/GSE3982_EFF_MEMORY_CD4_TCELL_VS_NKCELL_DN.html" TargetMode="External"/><Relationship Id="rId1520" Type="http://schemas.openxmlformats.org/officeDocument/2006/relationships/hyperlink" Target="http://www.broadinstitute.org/gsea/msigdb/cards/GO_REGULATION_OF_NITRIC_OXIDE_BIOSYNTHETIC_PROCESS.html" TargetMode="External"/><Relationship Id="rId1521" Type="http://schemas.openxmlformats.org/officeDocument/2006/relationships/hyperlink" Target="http://www.broadinstitute.org/gsea/msigdb/cards/GO_ANTIGEN_PROCESSING_AND_PRESENTATION_OF_PEPTIDE_ANTIGEN_VIA_MHC_CLASS_I.html" TargetMode="External"/><Relationship Id="rId1522" Type="http://schemas.openxmlformats.org/officeDocument/2006/relationships/hyperlink" Target="http://www.broadinstitute.org/gsea/msigdb/cards/GO_CELL_ADHESION_MOLECULE_BINDING.html" TargetMode="External"/><Relationship Id="rId1523" Type="http://schemas.openxmlformats.org/officeDocument/2006/relationships/hyperlink" Target="http://www.broadinstitute.org/gsea/msigdb/cards/GO_PHOSPHOLIPID_BINDING.html" TargetMode="External"/><Relationship Id="rId1524" Type="http://schemas.openxmlformats.org/officeDocument/2006/relationships/hyperlink" Target="http://www.broadinstitute.org/gsea/msigdb/cards/GO_REGULATION_OF_CALCIUM_ION_TRANSPORT_INTO_CYTOSOL.html" TargetMode="External"/><Relationship Id="rId1525" Type="http://schemas.openxmlformats.org/officeDocument/2006/relationships/hyperlink" Target="http://www.broadinstitute.org/gsea/msigdb/cards/GO_DEFENSE_RESPONSE_TO_GRAM_POSITIVE_BACTERIUM.html" TargetMode="External"/><Relationship Id="rId1526" Type="http://schemas.openxmlformats.org/officeDocument/2006/relationships/hyperlink" Target="http://www.broadinstitute.org/gsea/msigdb/cards/GO_ACTIN_BINDING.html" TargetMode="External"/><Relationship Id="rId1527" Type="http://schemas.openxmlformats.org/officeDocument/2006/relationships/hyperlink" Target="http://www.broadinstitute.org/gsea/msigdb/cards/GO_POSITIVE_REGULATION_OF_INTERLEUKIN_1_SECRETION.html" TargetMode="External"/><Relationship Id="rId1528" Type="http://schemas.openxmlformats.org/officeDocument/2006/relationships/hyperlink" Target="http://www.broadinstitute.org/gsea/msigdb/cards/GO_REGULATION_OF_ANTIGEN_PROCESSING_AND_PRESENTATION_OF_PEPTIDE_ANTIGEN.html" TargetMode="External"/><Relationship Id="rId1529" Type="http://schemas.openxmlformats.org/officeDocument/2006/relationships/hyperlink" Target="http://www.broadinstitute.org/gsea/msigdb/cards/GO_REGULATION_OF_MHC_CLASS_II_BIOSYNTHETIC_PROCESS.html" TargetMode="External"/><Relationship Id="rId4800" Type="http://schemas.openxmlformats.org/officeDocument/2006/relationships/hyperlink" Target="http://www.broadinstitute.org/gsea/msigdb/cards/GSE1925_CTRL_VS_3H_IFNG_STIM_MACROPHAGE_DN.html" TargetMode="External"/><Relationship Id="rId4801" Type="http://schemas.openxmlformats.org/officeDocument/2006/relationships/hyperlink" Target="http://www.broadinstitute.org/gsea/msigdb/cards/GSE1925_CTRL_VS_24H_IFNG_STIM_MACROPHAGE_DN.html" TargetMode="External"/><Relationship Id="rId4802" Type="http://schemas.openxmlformats.org/officeDocument/2006/relationships/hyperlink" Target="http://www.broadinstitute.org/gsea/msigdb/cards/GSE1925_3H_VS_24H_IFNG_STIM_IFNG_PRIMED_MACROPHAGE_UP.html" TargetMode="External"/><Relationship Id="rId4803" Type="http://schemas.openxmlformats.org/officeDocument/2006/relationships/hyperlink" Target="http://www.broadinstitute.org/gsea/msigdb/cards/GSE1925_CTRL_VS_24H_IFNG_STIM_IFNG_PRIMED_MACROPHAGE_UP.html" TargetMode="External"/><Relationship Id="rId4804" Type="http://schemas.openxmlformats.org/officeDocument/2006/relationships/hyperlink" Target="http://www.broadinstitute.org/gsea/msigdb/cards/GSE3565_DUSP1_VS_WT_SPLENOCYTES_POST_LPS_INJECTION_UP.html" TargetMode="External"/><Relationship Id="rId4805" Type="http://schemas.openxmlformats.org/officeDocument/2006/relationships/hyperlink" Target="http://www.broadinstitute.org/gsea/msigdb/cards/GSE3720_VD1_VS_VD2_GAMMADELTA_TCELL_UP.html" TargetMode="External"/><Relationship Id="rId4806" Type="http://schemas.openxmlformats.org/officeDocument/2006/relationships/hyperlink" Target="http://www.broadinstitute.org/gsea/msigdb/cards/GSE8921_UNSTIM_VS_TLR1_2_STIM_MONOCYTE_12H_UP.html" TargetMode="External"/><Relationship Id="rId4807" Type="http://schemas.openxmlformats.org/officeDocument/2006/relationships/hyperlink" Target="http://www.broadinstitute.org/gsea/msigdb/cards/GSE3039_NKT_CELL_VS_ALPHABETA_CD8_TCELL_UP.html" TargetMode="External"/><Relationship Id="rId4808" Type="http://schemas.openxmlformats.org/officeDocument/2006/relationships/hyperlink" Target="http://www.broadinstitute.org/gsea/msigdb/cards/GSE3039_ALPHAALPHA_CD8_TCELL_VS_B1_BCELL_DN.html" TargetMode="External"/><Relationship Id="rId4809" Type="http://schemas.openxmlformats.org/officeDocument/2006/relationships/hyperlink" Target="http://www.broadinstitute.org/gsea/msigdb/cards/GSE3039_CD4_TCELL_VS_ALPHABETA_CD8_TCELL_DN.html" TargetMode="External"/><Relationship Id="rId3710" Type="http://schemas.openxmlformats.org/officeDocument/2006/relationships/hyperlink" Target="http://www.broadinstitute.org/gsea/msigdb/cards/GSE3982_NKCELL_VS_TH2_UP.html" TargetMode="External"/><Relationship Id="rId3711" Type="http://schemas.openxmlformats.org/officeDocument/2006/relationships/hyperlink" Target="http://www.broadinstitute.org/gsea/msigdb/cards/GSE7460_TREG_VS_TCONV_ACT_DN.html" TargetMode="External"/><Relationship Id="rId3712" Type="http://schemas.openxmlformats.org/officeDocument/2006/relationships/hyperlink" Target="http://www.broadinstitute.org/gsea/msigdb/cards/GSE7460_CTRL_VS_TGFB_TREATED_ACT_TCONV_DN.html" TargetMode="External"/><Relationship Id="rId3713" Type="http://schemas.openxmlformats.org/officeDocument/2006/relationships/hyperlink" Target="http://www.broadinstitute.org/gsea/msigdb/cards/GSE7460_FOXP3_MUT_VS_WT_ACT_WITH_TGFB_TCONV_DN.html" TargetMode="External"/><Relationship Id="rId3714" Type="http://schemas.openxmlformats.org/officeDocument/2006/relationships/hyperlink" Target="http://www.broadinstitute.org/gsea/msigdb/cards/GSE7764_IL15_TREATED_VS_CTRL_NK_CELL_24H_DN.html" TargetMode="External"/><Relationship Id="rId3715" Type="http://schemas.openxmlformats.org/officeDocument/2006/relationships/hyperlink" Target="http://www.broadinstitute.org/gsea/msigdb/cards/GSE7852_THYMUS_VS_FAT_TREG_DN.html" TargetMode="External"/><Relationship Id="rId3716" Type="http://schemas.openxmlformats.org/officeDocument/2006/relationships/hyperlink" Target="http://www.broadinstitute.org/gsea/msigdb/cards/GSE9988_ANTI_TREM1_VS_ANTI_TREM1_AND_LPS_MONOCYTE_UP.html" TargetMode="External"/><Relationship Id="rId3717" Type="http://schemas.openxmlformats.org/officeDocument/2006/relationships/hyperlink" Target="http://www.broadinstitute.org/gsea/msigdb/cards/GSE2770_UNTREATED_VS_ACT_CD4_TCELL_6H_UP.html" TargetMode="External"/><Relationship Id="rId3718" Type="http://schemas.openxmlformats.org/officeDocument/2006/relationships/hyperlink" Target="http://www.broadinstitute.org/gsea/msigdb/cards/GSE2770_UNTREATED_VS_IL4_TREATED_ACT_CD4_TCELL_6H_DN.html" TargetMode="External"/><Relationship Id="rId3719" Type="http://schemas.openxmlformats.org/officeDocument/2006/relationships/hyperlink" Target="http://www.broadinstitute.org/gsea/msigdb/cards/GSE2770_IL12_VS_IL4_TREATED_ACT_CD4_TCELL_6H_DN.html" TargetMode="External"/><Relationship Id="rId2620" Type="http://schemas.openxmlformats.org/officeDocument/2006/relationships/hyperlink" Target="http://www.broadinstitute.org/gsea/msigdb/cards/GSE7460_CD8_TCELL_VS_TREG_ACT_UP.html" TargetMode="External"/><Relationship Id="rId2621" Type="http://schemas.openxmlformats.org/officeDocument/2006/relationships/hyperlink" Target="http://www.broadinstitute.org/gsea/msigdb/cards/GSE7764_IL15_NK_CELL_24H_VS_SPLENOCYTE_DN.html" TargetMode="External"/><Relationship Id="rId2622" Type="http://schemas.openxmlformats.org/officeDocument/2006/relationships/hyperlink" Target="http://www.broadinstitute.org/gsea/msigdb/cards/GSE7852_TREG_VS_TCONV_DN.html" TargetMode="External"/><Relationship Id="rId2623" Type="http://schemas.openxmlformats.org/officeDocument/2006/relationships/hyperlink" Target="http://www.broadinstitute.org/gsea/msigdb/cards/GSE369_PRE_VS_POST_IL6_INJECTION_IFNG_WT_LIVER_DN.html" TargetMode="External"/><Relationship Id="rId2624" Type="http://schemas.openxmlformats.org/officeDocument/2006/relationships/hyperlink" Target="http://www.broadinstitute.org/gsea/msigdb/cards/GSE3039_NKT_CELL_VS_B2_BCELL_UP.html" TargetMode="External"/><Relationship Id="rId2625" Type="http://schemas.openxmlformats.org/officeDocument/2006/relationships/hyperlink" Target="http://www.broadinstitute.org/gsea/msigdb/cards/GSE3039_CD4_TCELL_VS_B1_BCELL_UP.html" TargetMode="External"/><Relationship Id="rId2626" Type="http://schemas.openxmlformats.org/officeDocument/2006/relationships/hyperlink" Target="http://www.broadinstitute.org/gsea/msigdb/cards/GSE5542_IFNA_VS_IFNA_AND_IFNG_TREATED_EPITHELIAL_CELLS_24H_UP.html" TargetMode="External"/><Relationship Id="rId2627" Type="http://schemas.openxmlformats.org/officeDocument/2006/relationships/hyperlink" Target="http://www.broadinstitute.org/gsea/msigdb/cards/GSE5679_CTRL_VS_PPARG_LIGAND_ROSIGLITAZONE_AND_RARA_AGONIST_AM580_TREATED_DC_UP.html" TargetMode="External"/><Relationship Id="rId2628" Type="http://schemas.openxmlformats.org/officeDocument/2006/relationships/hyperlink" Target="http://www.broadinstitute.org/gsea/msigdb/cards/GSE5099_CLASSICAL_M1_VS_ALTERNATIVE_M2_MACROPHAGE_UP.html" TargetMode="External"/><Relationship Id="rId2629" Type="http://schemas.openxmlformats.org/officeDocument/2006/relationships/hyperlink" Target="http://www.broadinstitute.org/gsea/msigdb/cards/GSE5589_LPS_AND_IL10_VS_LPS_AND_IL6_STIM_MACROPHAGE_45MIN_DN.html" TargetMode="External"/><Relationship Id="rId1530" Type="http://schemas.openxmlformats.org/officeDocument/2006/relationships/hyperlink" Target="http://www.broadinstitute.org/gsea/msigdb/cards/GO_POSITIVE_REGULATION_OF_CALCIUM_MEDIATED_SIGNALING.html" TargetMode="External"/><Relationship Id="rId1531" Type="http://schemas.openxmlformats.org/officeDocument/2006/relationships/hyperlink" Target="http://www.broadinstitute.org/gsea/msigdb/cards/GO_LYMPHOCYTE_CHEMOTAXIS.html" TargetMode="External"/><Relationship Id="rId1532" Type="http://schemas.openxmlformats.org/officeDocument/2006/relationships/hyperlink" Target="http://www.broadinstitute.org/gsea/msigdb/cards/GO_REGULATION_OF_LYMPHOCYTE_MIGRATION.html" TargetMode="External"/><Relationship Id="rId1533" Type="http://schemas.openxmlformats.org/officeDocument/2006/relationships/hyperlink" Target="http://www.broadinstitute.org/gsea/msigdb/cards/GO_POSITIVE_REGULATION_OF_HOMEOSTATIC_PROCESS.html" TargetMode="External"/><Relationship Id="rId1534" Type="http://schemas.openxmlformats.org/officeDocument/2006/relationships/hyperlink" Target="http://www.broadinstitute.org/gsea/msigdb/cards/GO_REGULATION_OF_VESICLE_MEDIATED_TRANSPORT.html" TargetMode="External"/><Relationship Id="rId1535" Type="http://schemas.openxmlformats.org/officeDocument/2006/relationships/hyperlink" Target="http://www.broadinstitute.org/gsea/msigdb/cards/GO_COATED_VESICLE_MEMBRANE.html" TargetMode="External"/><Relationship Id="rId1536" Type="http://schemas.openxmlformats.org/officeDocument/2006/relationships/hyperlink" Target="http://www.broadinstitute.org/gsea/msigdb/cards/GO_ER_TO_GOLGI_TRANSPORT_VESICLE_MEMBRANE.html" TargetMode="External"/><Relationship Id="rId1537" Type="http://schemas.openxmlformats.org/officeDocument/2006/relationships/hyperlink" Target="http://www.broadinstitute.org/gsea/msigdb/cards/GO_CYTOPLASMIC_VESICLE_PART.html" TargetMode="External"/><Relationship Id="rId1538" Type="http://schemas.openxmlformats.org/officeDocument/2006/relationships/hyperlink" Target="http://www.broadinstitute.org/gsea/msigdb/cards/GO_REGULATION_OF_MAST_CELL_ACTIVATION.html" TargetMode="External"/><Relationship Id="rId1539" Type="http://schemas.openxmlformats.org/officeDocument/2006/relationships/hyperlink" Target="http://www.broadinstitute.org/gsea/msigdb/cards/GO_CELLULAR_EXTRAVASATION.html" TargetMode="External"/><Relationship Id="rId4810" Type="http://schemas.openxmlformats.org/officeDocument/2006/relationships/hyperlink" Target="http://www.broadinstitute.org/gsea/msigdb/cards/GSE5542_UNTREATED_VS_IFNA_AND_IFNG_TREATED_EPITHELIAL_CELLS_24H_UP.html" TargetMode="External"/><Relationship Id="rId4811" Type="http://schemas.openxmlformats.org/officeDocument/2006/relationships/hyperlink" Target="http://www.broadinstitute.org/gsea/msigdb/cards/GSE5542_IFNG_VS_IFNA_AND_IFNG_TREATED_EPITHELIAL_CELLS_24H_UP.html" TargetMode="External"/><Relationship Id="rId4812" Type="http://schemas.openxmlformats.org/officeDocument/2006/relationships/hyperlink" Target="http://www.broadinstitute.org/gsea/msigdb/cards/GSE5542_IFNG_VS_IFNA_AND_IFNG_TREATED_EPITHELIAL_CELLS_24H_DN.html" TargetMode="External"/><Relationship Id="rId4813" Type="http://schemas.openxmlformats.org/officeDocument/2006/relationships/hyperlink" Target="http://www.broadinstitute.org/gsea/msigdb/cards/GSE5099_UNSTIM_VS_MCSF_TREATED_MONOCYTE_DAY7_DN.html" TargetMode="External"/><Relationship Id="rId4814" Type="http://schemas.openxmlformats.org/officeDocument/2006/relationships/hyperlink" Target="http://www.broadinstitute.org/gsea/msigdb/cards/GSE5589_LPS_AND_IL10_VS_LPS_AND_IL6_STIM_IL10_KO_MACROPHAGE_45MIN_UP.html" TargetMode="External"/><Relationship Id="rId4815" Type="http://schemas.openxmlformats.org/officeDocument/2006/relationships/hyperlink" Target="http://www.broadinstitute.org/gsea/msigdb/cards/GSE5589_WT_VS_IL10_KO_LPS_AND_IL10_STIM_MACROPHAGE_45MIN_DN.html" TargetMode="External"/><Relationship Id="rId4816" Type="http://schemas.openxmlformats.org/officeDocument/2006/relationships/hyperlink" Target="http://www.broadinstitute.org/gsea/msigdb/cards/GSE5589_IL6_KO_VS_IL10_KO_LPS_AND_IL6_STIM_MACROPHAGE_45MIN_UP.html" TargetMode="External"/><Relationship Id="rId4817" Type="http://schemas.openxmlformats.org/officeDocument/2006/relationships/hyperlink" Target="http://www.broadinstitute.org/gsea/msigdb/cards/GSE5589_IL6_KO_VS_IL10_KO_LPS_STIM_MACROPHAGE_180MIN_UP.html" TargetMode="External"/><Relationship Id="rId4818" Type="http://schemas.openxmlformats.org/officeDocument/2006/relationships/hyperlink" Target="http://www.broadinstitute.org/gsea/msigdb/cards/GSE3920_IFNB_VS_IFNG_TREATED_ENDOTHELIAL_CELL_UP.html" TargetMode="External"/><Relationship Id="rId4819" Type="http://schemas.openxmlformats.org/officeDocument/2006/relationships/hyperlink" Target="http://www.broadinstitute.org/gsea/msigdb/cards/GSE3203_WT_VS_IFNAR1_KO_INFLUENZA_INFECTED_LN_BCELL_UP.html" TargetMode="External"/><Relationship Id="rId3720" Type="http://schemas.openxmlformats.org/officeDocument/2006/relationships/hyperlink" Target="http://www.broadinstitute.org/gsea/msigdb/cards/GSE2770_IL12_AND_TGFB_ACT_VS_ACT_CD4_TCELL_6H_UP.html" TargetMode="External"/><Relationship Id="rId3721" Type="http://schemas.openxmlformats.org/officeDocument/2006/relationships/hyperlink" Target="http://www.broadinstitute.org/gsea/msigdb/cards/GSE2770_UNTREATED_VS_IL12_TREATED_ACT_CD4_TCELL_2H_UP.html" TargetMode="External"/><Relationship Id="rId3722" Type="http://schemas.openxmlformats.org/officeDocument/2006/relationships/hyperlink" Target="http://www.broadinstitute.org/gsea/msigdb/cards/GSE2770_IL12_ACT_VS_ACT_CD4_TCELL_2H_UP.html" TargetMode="External"/><Relationship Id="rId3723" Type="http://schemas.openxmlformats.org/officeDocument/2006/relationships/hyperlink" Target="http://www.broadinstitute.org/gsea/msigdb/cards/GSE3691_IFN_PRODUCING_KILLER_DC_VS_CONVENTIONAL_DC_SPLEEN_DN.html" TargetMode="External"/><Relationship Id="rId3724" Type="http://schemas.openxmlformats.org/officeDocument/2006/relationships/hyperlink" Target="http://www.broadinstitute.org/gsea/msigdb/cards/GSE8921_3H_VS_24H_TLR1_2_STIM_MONOCYTE_UP.html" TargetMode="External"/><Relationship Id="rId3725" Type="http://schemas.openxmlformats.org/officeDocument/2006/relationships/hyperlink" Target="http://www.broadinstitute.org/gsea/msigdb/cards/GSE3039_NKT_CELL_VS_B1_BCELL_UP.html" TargetMode="External"/><Relationship Id="rId3726" Type="http://schemas.openxmlformats.org/officeDocument/2006/relationships/hyperlink" Target="http://www.broadinstitute.org/gsea/msigdb/cards/GSE3039_CD4_TCELL_VS_ALPHAALPHA_CD8_TCELL_UP.html" TargetMode="External"/><Relationship Id="rId3727" Type="http://schemas.openxmlformats.org/officeDocument/2006/relationships/hyperlink" Target="http://www.broadinstitute.org/gsea/msigdb/cards/GSE3039_ALPHAALPHA_VS_ALPHABETA_CD8_TCELL_UP.html" TargetMode="External"/><Relationship Id="rId3728" Type="http://schemas.openxmlformats.org/officeDocument/2006/relationships/hyperlink" Target="http://www.broadinstitute.org/gsea/msigdb/cards/GSE5542_IFNG_VS_IFNA_TREATED_EPITHELIAL_CELLS_6H_DN.html" TargetMode="External"/><Relationship Id="rId3729" Type="http://schemas.openxmlformats.org/officeDocument/2006/relationships/hyperlink" Target="http://www.broadinstitute.org/gsea/msigdb/cards/GSE5679_PPARG_LIGAND_ROSIGLITAZONE_VS_ROSIGLITAZONE_AND_RARA_AGONIST_AM580_TREATED_DC_DN.html" TargetMode="External"/><Relationship Id="rId2630" Type="http://schemas.openxmlformats.org/officeDocument/2006/relationships/hyperlink" Target="http://www.broadinstitute.org/gsea/msigdb/cards/GSE5589_WT_VS_IL6_KO_LPS_AND_IL6_STIM_MACROPHAGE_45MIN_UP.html" TargetMode="External"/><Relationship Id="rId2631" Type="http://schemas.openxmlformats.org/officeDocument/2006/relationships/hyperlink" Target="http://www.broadinstitute.org/gsea/msigdb/cards/GSE10273_HIGH_VS_LOW_IL7_TREATED_IRF4_8_NULL_PRE_BCELL_DN.html" TargetMode="External"/><Relationship Id="rId2632" Type="http://schemas.openxmlformats.org/officeDocument/2006/relationships/hyperlink" Target="http://www.broadinstitute.org/gsea/msigdb/cards/GSE16697_CD4_TCELL_VS_TFH_CD4_TCELL_DN.html" TargetMode="External"/><Relationship Id="rId2633" Type="http://schemas.openxmlformats.org/officeDocument/2006/relationships/hyperlink" Target="http://www.broadinstitute.org/gsea/msigdb/cards/GSE16266_CTRL_VS_LPS_STIM_MEF_UP.html" TargetMode="External"/><Relationship Id="rId2634" Type="http://schemas.openxmlformats.org/officeDocument/2006/relationships/hyperlink" Target="http://www.broadinstitute.org/gsea/msigdb/cards/GSE19198_6H_VS_24H_IL21_TREATED_TCELL_UP.html" TargetMode="External"/><Relationship Id="rId2635" Type="http://schemas.openxmlformats.org/officeDocument/2006/relationships/hyperlink" Target="http://www.broadinstitute.org/gsea/msigdb/cards/GSE19198_6H_VS_24H_IL21_TREATED_TCELL_DN.html" TargetMode="External"/><Relationship Id="rId2636" Type="http://schemas.openxmlformats.org/officeDocument/2006/relationships/hyperlink" Target="http://www.broadinstitute.org/gsea/msigdb/cards/GSE16451_CTRL_VS_WEST_EQUINE_ENC_VIRUS_MATURE_NEURON_CELL_LINE_DN.html" TargetMode="External"/><Relationship Id="rId2637" Type="http://schemas.openxmlformats.org/officeDocument/2006/relationships/hyperlink" Target="http://www.broadinstitute.org/gsea/msigdb/cards/GSE21670_UNTREATED_VS_IL6_TREATED_CD4_TCELL_DN.html" TargetMode="External"/><Relationship Id="rId2638" Type="http://schemas.openxmlformats.org/officeDocument/2006/relationships/hyperlink" Target="http://www.broadinstitute.org/gsea/msigdb/cards/GSE19401_NAIVE_VS_IMMUNIZED_MOUSE_PLN_FOLLICULAR_DC_DN.html" TargetMode="External"/><Relationship Id="rId2639" Type="http://schemas.openxmlformats.org/officeDocument/2006/relationships/hyperlink" Target="http://www.broadinstitute.org/gsea/msigdb/cards/GSE21033_3H_VS_24H_POLYIC_STIM_DC_UP.html" TargetMode="External"/><Relationship Id="rId1540" Type="http://schemas.openxmlformats.org/officeDocument/2006/relationships/hyperlink" Target="http://www.broadinstitute.org/gsea/msigdb/cards/GO_LIPASE_ACTIVITY.html" TargetMode="External"/><Relationship Id="rId1541" Type="http://schemas.openxmlformats.org/officeDocument/2006/relationships/hyperlink" Target="http://www.broadinstitute.org/gsea/msigdb/cards/GO_PROTEIN_AUTOPHOSPHORYLATION.html" TargetMode="External"/><Relationship Id="rId1542" Type="http://schemas.openxmlformats.org/officeDocument/2006/relationships/hyperlink" Target="http://www.broadinstitute.org/gsea/msigdb/cards/GO_TRANS_GOLGI_NETWORK.html" TargetMode="External"/><Relationship Id="rId1543" Type="http://schemas.openxmlformats.org/officeDocument/2006/relationships/hyperlink" Target="http://www.broadinstitute.org/gsea/msigdb/cards/GO_RIBONUCLEOTIDE_BINDING.html" TargetMode="External"/><Relationship Id="rId1544" Type="http://schemas.openxmlformats.org/officeDocument/2006/relationships/hyperlink" Target="http://www.broadinstitute.org/gsea/msigdb/cards/GO_CHEMOKINE_RECEPTOR_BINDING.html" TargetMode="External"/><Relationship Id="rId1545" Type="http://schemas.openxmlformats.org/officeDocument/2006/relationships/hyperlink" Target="http://www.broadinstitute.org/gsea/msigdb/cards/GO_NEGATIVE_REGULATION_OF_CELL_DIFFERENTIATION.html" TargetMode="External"/><Relationship Id="rId1546" Type="http://schemas.openxmlformats.org/officeDocument/2006/relationships/hyperlink" Target="http://www.broadinstitute.org/gsea/msigdb/cards/GO_POSITIVE_REGULATION_OF_GENE_EXPRESSION.html" TargetMode="External"/><Relationship Id="rId1547" Type="http://schemas.openxmlformats.org/officeDocument/2006/relationships/hyperlink" Target="http://www.broadinstitute.org/gsea/msigdb/cards/GO_POSITIVE_REGULATION_OF_LYMPHOCYTE_MIGRATION.html" TargetMode="External"/><Relationship Id="rId1548" Type="http://schemas.openxmlformats.org/officeDocument/2006/relationships/hyperlink" Target="http://www.broadinstitute.org/gsea/msigdb/cards/GO_POSITIVE_REGULATION_OF_B_CELL_MEDIATED_IMMUNITY.html" TargetMode="External"/><Relationship Id="rId1549" Type="http://schemas.openxmlformats.org/officeDocument/2006/relationships/hyperlink" Target="http://www.broadinstitute.org/gsea/msigdb/cards/GO_REGULATION_OF_STAT_CASCADE.html" TargetMode="External"/><Relationship Id="rId4820" Type="http://schemas.openxmlformats.org/officeDocument/2006/relationships/hyperlink" Target="http://www.broadinstitute.org/gsea/msigdb/cards/GSE6674_CPG_VS_PL2_3_STIM_BCELL_UP.html" TargetMode="External"/><Relationship Id="rId4821" Type="http://schemas.openxmlformats.org/officeDocument/2006/relationships/hyperlink" Target="http://www.broadinstitute.org/gsea/msigdb/cards/GSE6674_CPG_VS_CPG_AND_ANTI_IGM_STIM_BCELL_DN.html" TargetMode="External"/><Relationship Id="rId4822" Type="http://schemas.openxmlformats.org/officeDocument/2006/relationships/hyperlink" Target="http://www.broadinstitute.org/gsea/msigdb/cards/GSE9239_CTRL_VS_TNF_INHIBITOR_TREATED_DC_UP.html" TargetMode="External"/><Relationship Id="rId4823" Type="http://schemas.openxmlformats.org/officeDocument/2006/relationships/hyperlink" Target="http://www.broadinstitute.org/gsea/msigdb/cards/GSE8621_LPS_PRIMED_UNSTIM_VS_LPS_PRIMED_AND_LPS_STIM_MACROPHAGE_DN.html" TargetMode="External"/><Relationship Id="rId4824" Type="http://schemas.openxmlformats.org/officeDocument/2006/relationships/hyperlink" Target="http://www.broadinstitute.org/gsea/msigdb/cards/GSE10240_IL17_VS_IL17_AND_IL22_STIM_PRIMARY_BRONCHIAL_EPITHELIAL_CELLS_UP.html" TargetMode="External"/><Relationship Id="rId4825" Type="http://schemas.openxmlformats.org/officeDocument/2006/relationships/hyperlink" Target="http://www.broadinstitute.org/gsea/msigdb/cards/GSE7568_CTRL_VS_24H_TGFB_TREATED_MACROPHAGES_WITH_IL4_AND_DEXAMETHASONE_DN.html" TargetMode="External"/><Relationship Id="rId4826" Type="http://schemas.openxmlformats.org/officeDocument/2006/relationships/hyperlink" Target="http://www.broadinstitute.org/gsea/msigdb/cards/GSE13547_CTRL_VS_ANTI_IGM_STIM_ZFX_KO_BCELL_12H_UP.html" TargetMode="External"/><Relationship Id="rId4827" Type="http://schemas.openxmlformats.org/officeDocument/2006/relationships/hyperlink" Target="http://www.broadinstitute.org/gsea/msigdb/cards/GSE15330_WT_VS_IKAROS_KO_MEGAKARYOCYTE_ERYTHROID_PROGENITOR_DN.html" TargetMode="External"/><Relationship Id="rId4828" Type="http://schemas.openxmlformats.org/officeDocument/2006/relationships/hyperlink" Target="http://www.broadinstitute.org/gsea/msigdb/cards/GSE15330_LYMPHOID_MULTIPOTENT_VS_GRANULOCYTE_MONOCYTE_PROGENITOR_DN.html" TargetMode="External"/><Relationship Id="rId4829" Type="http://schemas.openxmlformats.org/officeDocument/2006/relationships/hyperlink" Target="http://www.broadinstitute.org/gsea/msigdb/cards/GSE12198_NK_VS_NK_ACT_EXPANSION_SYSTEM_DERIVED_NK_CELL_DN.html" TargetMode="External"/><Relationship Id="rId3730" Type="http://schemas.openxmlformats.org/officeDocument/2006/relationships/hyperlink" Target="http://www.broadinstitute.org/gsea/msigdb/cards/GSE5099_DAY3_VS_DAY7_MCSF_TREATED_MACROPHAGE_UP.html" TargetMode="External"/><Relationship Id="rId3731" Type="http://schemas.openxmlformats.org/officeDocument/2006/relationships/hyperlink" Target="http://www.broadinstitute.org/gsea/msigdb/cards/GSE5589_LPS_AND_IL10_VS_LPS_AND_IL6_STIM_IL10_KO_MACROPHAGE_45MIN_DN.html" TargetMode="External"/><Relationship Id="rId3732" Type="http://schemas.openxmlformats.org/officeDocument/2006/relationships/hyperlink" Target="http://www.broadinstitute.org/gsea/msigdb/cards/GSE5589_WT_VS_IL6_KO_LPS_STIM_MACROPHAGE_45MIN_DN.html" TargetMode="External"/><Relationship Id="rId3733" Type="http://schemas.openxmlformats.org/officeDocument/2006/relationships/hyperlink" Target="http://www.broadinstitute.org/gsea/msigdb/cards/GSE5589_IL6_KO_VS_IL10_KO_LPS_AND_IL10_STIM_MACROPHAGE_180MIN_UP.html" TargetMode="External"/><Relationship Id="rId3734" Type="http://schemas.openxmlformats.org/officeDocument/2006/relationships/hyperlink" Target="http://www.broadinstitute.org/gsea/msigdb/cards/GSE6259_BCELL_VS_CD8_TCELL_DN.html" TargetMode="External"/><Relationship Id="rId3735" Type="http://schemas.openxmlformats.org/officeDocument/2006/relationships/hyperlink" Target="http://www.broadinstitute.org/gsea/msigdb/cards/GSE7548_NAIVE_VS_DAY7_PCC_IMMUNIZATION_CD4_TCELL_DN.html" TargetMode="External"/><Relationship Id="rId3736" Type="http://schemas.openxmlformats.org/officeDocument/2006/relationships/hyperlink" Target="http://www.broadinstitute.org/gsea/msigdb/cards/GSE6674_CPG_VS_CPG_AND_ANTI_IGM_STIM_BCELL_UP.html" TargetMode="External"/><Relationship Id="rId3737" Type="http://schemas.openxmlformats.org/officeDocument/2006/relationships/hyperlink" Target="http://www.broadinstitute.org/gsea/msigdb/cards/GSE5503_LIVER_DC_VS_SPLEEN_DC_ACTIVATED_ALLOGENIC_TCELL_DN.html" TargetMode="External"/><Relationship Id="rId3738" Type="http://schemas.openxmlformats.org/officeDocument/2006/relationships/hyperlink" Target="http://www.broadinstitute.org/gsea/msigdb/cards/GSE5503_MLN_DC_VS_SPLEEN_DC_ACTIVATED_ALLOGENIC_TCELL_UP.html" TargetMode="External"/><Relationship Id="rId3739" Type="http://schemas.openxmlformats.org/officeDocument/2006/relationships/hyperlink" Target="http://www.broadinstitute.org/gsea/msigdb/cards/GSE10273_HIGH_IL7_VS_HIGH_IL7_AND_IRF4_IN_IRF4_8_NULL_PRE_BCELL_DN.html" TargetMode="External"/><Relationship Id="rId2640" Type="http://schemas.openxmlformats.org/officeDocument/2006/relationships/hyperlink" Target="http://www.broadinstitute.org/gsea/msigdb/cards/GSE22432_PDC_VS_TGFB1_TREATEDCOMMON_DC_PROGENITOR_DN.html" TargetMode="External"/><Relationship Id="rId2641" Type="http://schemas.openxmlformats.org/officeDocument/2006/relationships/hyperlink" Target="http://www.broadinstitute.org/gsea/msigdb/cards/GSE25088_IL4_VS_IL4_AND_ROSIGLITAZONE_STIM_MACROPHAGE_DAY10_DN.html" TargetMode="External"/><Relationship Id="rId2642" Type="http://schemas.openxmlformats.org/officeDocument/2006/relationships/hyperlink" Target="http://www.broadinstitute.org/gsea/msigdb/cards/GSE24726_WT_VS_E2_2_KO_PDC_DAY4_POST_DELETION_UP.html" TargetMode="External"/><Relationship Id="rId2643" Type="http://schemas.openxmlformats.org/officeDocument/2006/relationships/hyperlink" Target="http://www.broadinstitute.org/gsea/msigdb/cards/GSE25085_FETAL_BM_VS_ADULT_BM_SP4_THYMIC_IMPLANT_DN.html" TargetMode="External"/><Relationship Id="rId2644" Type="http://schemas.openxmlformats.org/officeDocument/2006/relationships/hyperlink" Target="http://www.broadinstitute.org/gsea/msigdb/cards/GSE23502_WT_VS_HDC_KO_MYELOID_DERIVED_SUPPRESSOR_CELL_COLON_TUMOR_UP.html" TargetMode="External"/><Relationship Id="rId2645" Type="http://schemas.openxmlformats.org/officeDocument/2006/relationships/hyperlink" Target="http://www.broadinstitute.org/gsea/msigdb/cards/GSE27291_0H_VS_7D_STIM_GAMMADELTA_TCELL_DN.html" TargetMode="External"/><Relationship Id="rId2646" Type="http://schemas.openxmlformats.org/officeDocument/2006/relationships/hyperlink" Target="http://www.broadinstitute.org/gsea/msigdb/cards/GSE33425_CD161_HIGH_VS_INT_CD8_TCELL_UP.html" TargetMode="External"/><Relationship Id="rId2647" Type="http://schemas.openxmlformats.org/officeDocument/2006/relationships/hyperlink" Target="http://www.broadinstitute.org/gsea/msigdb/cards/GSE30971_WBP7_HET_VS_KO_MACROPHAGE_2H_LPS_STIM_DN.html" TargetMode="External"/><Relationship Id="rId2648" Type="http://schemas.openxmlformats.org/officeDocument/2006/relationships/hyperlink" Target="http://www.broadinstitute.org/gsea/msigdb/cards/GSE36888_STAT5_AB_KNOCKIN_VS_WT_TCELL_IL2_TREATED_2H_UP.html" TargetMode="External"/><Relationship Id="rId2649" Type="http://schemas.openxmlformats.org/officeDocument/2006/relationships/hyperlink" Target="http://www.broadinstitute.org/gsea/msigdb/cards/GSE36888_UNTREATED_VS_IL2_TREATED_TCELL_17H_UP.html" TargetMode="External"/><Relationship Id="rId3000" Type="http://schemas.openxmlformats.org/officeDocument/2006/relationships/hyperlink" Target="http://www.broadinstitute.org/gsea/msigdb/cards/GSE3982_DC_VS_BCELL_DN.html" TargetMode="External"/><Relationship Id="rId3001" Type="http://schemas.openxmlformats.org/officeDocument/2006/relationships/hyperlink" Target="http://www.broadinstitute.org/gsea/msigdb/cards/GSE3982_MAC_VS_BASOPHIL_DN.html" TargetMode="External"/><Relationship Id="rId3002" Type="http://schemas.openxmlformats.org/officeDocument/2006/relationships/hyperlink" Target="http://www.broadinstitute.org/gsea/msigdb/cards/GSE3982_MAC_VS_TH1_UP.html" TargetMode="External"/><Relationship Id="rId3003" Type="http://schemas.openxmlformats.org/officeDocument/2006/relationships/hyperlink" Target="http://www.broadinstitute.org/gsea/msigdb/cards/GSE3982_BASOPHIL_VS_NKCELL_UP.html" TargetMode="External"/><Relationship Id="rId3004" Type="http://schemas.openxmlformats.org/officeDocument/2006/relationships/hyperlink" Target="http://www.broadinstitute.org/gsea/msigdb/cards/GSE3982_BASOPHIL_VS_TH1_UP.html" TargetMode="External"/><Relationship Id="rId3005" Type="http://schemas.openxmlformats.org/officeDocument/2006/relationships/hyperlink" Target="http://www.broadinstitute.org/gsea/msigdb/cards/GSE39820_CTRL_VS_IL1B_IL6_CD4_TCELL_UP.html" TargetMode="External"/><Relationship Id="rId3006" Type="http://schemas.openxmlformats.org/officeDocument/2006/relationships/hyperlink" Target="http://www.broadinstitute.org/gsea/msigdb/cards/GSE5463_CTRL_VS_DEXAMETHASONE_TREATED_THYMOCYTE_UP.html" TargetMode="External"/><Relationship Id="rId3007" Type="http://schemas.openxmlformats.org/officeDocument/2006/relationships/hyperlink" Target="http://www.broadinstitute.org/gsea/msigdb/cards/GSE6566_STRONG_VS_WEAK_DC_STIMULATED_CD4_TCELL_DN.html" TargetMode="External"/><Relationship Id="rId3008" Type="http://schemas.openxmlformats.org/officeDocument/2006/relationships/hyperlink" Target="http://www.broadinstitute.org/gsea/msigdb/cards/GSE7460_TREG_VS_TCONV_ACT_UP.html" TargetMode="External"/><Relationship Id="rId3009" Type="http://schemas.openxmlformats.org/officeDocument/2006/relationships/hyperlink" Target="http://www.broadinstitute.org/gsea/msigdb/cards/GSE7460_CTRL_VS_TGFB_TREATED_ACT_FOXP3_MUT_TCONV_DN.html" TargetMode="External"/><Relationship Id="rId300" Type="http://schemas.openxmlformats.org/officeDocument/2006/relationships/hyperlink" Target="http://www.broadinstitute.org/gsea/msigdb/cards/TAKEDA_TARGETS_OF_NUP98_HOXA9_FUSION_3D_DN.html" TargetMode="External"/><Relationship Id="rId301" Type="http://schemas.openxmlformats.org/officeDocument/2006/relationships/hyperlink" Target="http://www.broadinstitute.org/gsea/msigdb/cards/CHEN_ETV5_TARGETS_SERTOLI.html" TargetMode="External"/><Relationship Id="rId302" Type="http://schemas.openxmlformats.org/officeDocument/2006/relationships/hyperlink" Target="http://www.broadinstitute.org/gsea/msigdb/cards/NIELSEN_SYNOVIAL_SARCOMA_DN.html" TargetMode="External"/><Relationship Id="rId303" Type="http://schemas.openxmlformats.org/officeDocument/2006/relationships/hyperlink" Target="http://www.broadinstitute.org/gsea/msigdb/cards/WIERENGA_STAT5A_TARGETS_GROUP2.html" TargetMode="External"/><Relationship Id="rId304" Type="http://schemas.openxmlformats.org/officeDocument/2006/relationships/hyperlink" Target="http://www.broadinstitute.org/gsea/msigdb/cards/BIOCARTA_TOB1_PATHWAY.html" TargetMode="External"/><Relationship Id="rId305" Type="http://schemas.openxmlformats.org/officeDocument/2006/relationships/hyperlink" Target="http://www.broadinstitute.org/gsea/msigdb/cards/PARK_TRETINOIN_RESPONSE.html" TargetMode="External"/><Relationship Id="rId306" Type="http://schemas.openxmlformats.org/officeDocument/2006/relationships/hyperlink" Target="http://www.broadinstitute.org/gsea/msigdb/cards/GAVIN_FOXP3_TARGETS_CLUSTER_P2.html" TargetMode="External"/><Relationship Id="rId307" Type="http://schemas.openxmlformats.org/officeDocument/2006/relationships/hyperlink" Target="http://www.broadinstitute.org/gsea/msigdb/cards/PID_FCER1_PATHWAY.html" TargetMode="External"/><Relationship Id="rId308" Type="http://schemas.openxmlformats.org/officeDocument/2006/relationships/hyperlink" Target="http://www.broadinstitute.org/gsea/msigdb/cards/HOSHIDA_LIVER_CANCER_LATE_RECURRENCE_UP.html" TargetMode="External"/><Relationship Id="rId309" Type="http://schemas.openxmlformats.org/officeDocument/2006/relationships/hyperlink" Target="http://www.broadinstitute.org/gsea/msigdb/cards/KEGG_LEUKOCYTE_TRANSENDOTHELIAL_MIGRATION.html" TargetMode="External"/><Relationship Id="rId1550" Type="http://schemas.openxmlformats.org/officeDocument/2006/relationships/hyperlink" Target="http://www.broadinstitute.org/gsea/msigdb/cards/GO_POSITIVE_REGULATION_OF_RESPONSE_TO_BIOTIC_STIMULUS.html" TargetMode="External"/><Relationship Id="rId1551" Type="http://schemas.openxmlformats.org/officeDocument/2006/relationships/hyperlink" Target="http://www.broadinstitute.org/gsea/msigdb/cards/GO_CELL_JUNCTION.html" TargetMode="External"/><Relationship Id="rId1552" Type="http://schemas.openxmlformats.org/officeDocument/2006/relationships/hyperlink" Target="http://www.broadinstitute.org/gsea/msigdb/cards/GO_NEGATIVE_REGULATION_OF_CELL_COMMUNICATION.html" TargetMode="External"/><Relationship Id="rId1553" Type="http://schemas.openxmlformats.org/officeDocument/2006/relationships/hyperlink" Target="http://www.broadinstitute.org/gsea/msigdb/cards/GO_EXTRINSIC_APOPTOTIC_SIGNALING_PATHWAY.html" TargetMode="External"/><Relationship Id="rId1554" Type="http://schemas.openxmlformats.org/officeDocument/2006/relationships/hyperlink" Target="http://www.broadinstitute.org/gsea/msigdb/cards/GO_ENZYME_LINKED_RECEPTOR_PROTEIN_SIGNALING_PATHWAY.html" TargetMode="External"/><Relationship Id="rId1555" Type="http://schemas.openxmlformats.org/officeDocument/2006/relationships/hyperlink" Target="http://www.broadinstitute.org/gsea/msigdb/cards/GO_REGULATION_OF_B_CELL_RECEPTOR_SIGNALING_PATHWAY.html" TargetMode="External"/><Relationship Id="rId1556" Type="http://schemas.openxmlformats.org/officeDocument/2006/relationships/hyperlink" Target="http://www.broadinstitute.org/gsea/msigdb/cards/GO_POSITIVE_REGULATION_OF_T_HELPER_1_TYPE_IMMUNE_RESPONSE.html" TargetMode="External"/><Relationship Id="rId1557" Type="http://schemas.openxmlformats.org/officeDocument/2006/relationships/hyperlink" Target="http://www.broadinstitute.org/gsea/msigdb/cards/GO_INFLAMMATORY_RESPONSE_TO_ANTIGENIC_STIMULUS.html" TargetMode="External"/><Relationship Id="rId1558" Type="http://schemas.openxmlformats.org/officeDocument/2006/relationships/hyperlink" Target="http://www.broadinstitute.org/gsea/msigdb/cards/GO_NEGATIVE_REGULATION_OF_B_CELL_PROLIFERATION.html" TargetMode="External"/><Relationship Id="rId1559" Type="http://schemas.openxmlformats.org/officeDocument/2006/relationships/hyperlink" Target="http://www.broadinstitute.org/gsea/msigdb/cards/GO_T_CELL_LINEAGE_COMMITMENT.html" TargetMode="External"/><Relationship Id="rId4830" Type="http://schemas.openxmlformats.org/officeDocument/2006/relationships/hyperlink" Target="http://www.broadinstitute.org/gsea/msigdb/cards/GSE12198_CTRL_VS_LOW_IL2_STIM_NK_CELL_UP.html" TargetMode="External"/><Relationship Id="rId4831" Type="http://schemas.openxmlformats.org/officeDocument/2006/relationships/hyperlink" Target="http://www.broadinstitute.org/gsea/msigdb/cards/GSE15139_GMCSF_TREATED_VS_UNTREATED_NEUTROPHILS_UP.html" TargetMode="External"/><Relationship Id="rId4832" Type="http://schemas.openxmlformats.org/officeDocument/2006/relationships/hyperlink" Target="http://www.broadinstitute.org/gsea/msigdb/cards/GSE9960_GRAM_POS_VS_GRAM_NEG_AND_POS_SEPSIS_PBMC_DN.html" TargetMode="External"/><Relationship Id="rId4833" Type="http://schemas.openxmlformats.org/officeDocument/2006/relationships/hyperlink" Target="http://www.broadinstitute.org/gsea/msigdb/cards/GSE12392_CD8A_POS_VS_NEG_SPLEEN_IFNB_KO_DC_DN.html" TargetMode="External"/><Relationship Id="rId4834" Type="http://schemas.openxmlformats.org/officeDocument/2006/relationships/hyperlink" Target="http://www.broadinstitute.org/gsea/msigdb/cards/GSE12392_IFNAR_KO_VS_IFNB_KO_CD8_NEG_SPLEEN_DC_UP.html" TargetMode="External"/><Relationship Id="rId4835" Type="http://schemas.openxmlformats.org/officeDocument/2006/relationships/hyperlink" Target="http://www.broadinstitute.org/gsea/msigdb/cards/GSE12392_WT_VS_IFNB_KO_CD8A_POS_SPLEEN_DC_UP.html" TargetMode="External"/><Relationship Id="rId4836" Type="http://schemas.openxmlformats.org/officeDocument/2006/relationships/hyperlink" Target="http://www.broadinstitute.org/gsea/msigdb/cards/GSE17186_NAIVE_VS_CD21HIGH_TRANSITIONAL_BCELL_CORD_BLOOD_UP.html" TargetMode="External"/><Relationship Id="rId4837" Type="http://schemas.openxmlformats.org/officeDocument/2006/relationships/hyperlink" Target="http://www.broadinstitute.org/gsea/msigdb/cards/GSE19923_WT_VS_E2A_KO_DP_THYMOCYTE_DN.html" TargetMode="External"/><Relationship Id="rId4838" Type="http://schemas.openxmlformats.org/officeDocument/2006/relationships/hyperlink" Target="http://www.broadinstitute.org/gsea/msigdb/cards/GSE18893_CTRL_VS_TNF_TREATED_TREG_24H_DN.html" TargetMode="External"/><Relationship Id="rId4839" Type="http://schemas.openxmlformats.org/officeDocument/2006/relationships/hyperlink" Target="http://www.broadinstitute.org/gsea/msigdb/cards/GSE18893_TCONV_VS_TREG_2H_CULTURE_UP.html" TargetMode="External"/><Relationship Id="rId3740" Type="http://schemas.openxmlformats.org/officeDocument/2006/relationships/hyperlink" Target="http://www.broadinstitute.org/gsea/msigdb/cards/GSE14415_FOXP3_KO_NATURAL_TREG_VS_TCONV_UP.html" TargetMode="External"/><Relationship Id="rId3741" Type="http://schemas.openxmlformats.org/officeDocument/2006/relationships/hyperlink" Target="http://www.broadinstitute.org/gsea/msigdb/cards/GSE14415_FOXP3_KO_NATURAL_TREG_VS_TCONV_DN.html" TargetMode="External"/><Relationship Id="rId3742" Type="http://schemas.openxmlformats.org/officeDocument/2006/relationships/hyperlink" Target="http://www.broadinstitute.org/gsea/msigdb/cards/GSE15330_LYMPHOID_MULTIPOTENT_VS_MEGAKARYOCYTE_ERYTHROID_PROGENITOR_DN.html" TargetMode="External"/><Relationship Id="rId3743" Type="http://schemas.openxmlformats.org/officeDocument/2006/relationships/hyperlink" Target="http://www.broadinstitute.org/gsea/msigdb/cards/GSE12198_CTRL_VS_HIGH_IL2_STIM_NK_CELL_DN.html" TargetMode="External"/><Relationship Id="rId3744" Type="http://schemas.openxmlformats.org/officeDocument/2006/relationships/hyperlink" Target="http://www.broadinstitute.org/gsea/msigdb/cards/GSE17186_CD21LOW_VS_CD21HIGH_TRANSITIONAL_BCELL_UP.html" TargetMode="External"/><Relationship Id="rId3745" Type="http://schemas.openxmlformats.org/officeDocument/2006/relationships/hyperlink" Target="http://www.broadinstitute.org/gsea/msigdb/cards/GSE17186_BLOOD_VS_CORD_BLOOD_NAIVE_BCELL_DN.html" TargetMode="External"/><Relationship Id="rId3746" Type="http://schemas.openxmlformats.org/officeDocument/2006/relationships/hyperlink" Target="http://www.broadinstitute.org/gsea/msigdb/cards/GSE17186_BLOOD_VS_CORD_BLOOD_CD21LOW_TRANSITIONAL_BCELL_UP.html" TargetMode="External"/><Relationship Id="rId3747" Type="http://schemas.openxmlformats.org/officeDocument/2006/relationships/hyperlink" Target="http://www.broadinstitute.org/gsea/msigdb/cards/GSE17186_NAIVE_VS_CD21HIGH_TRANSITIONAL_BCELL_UP.html" TargetMode="External"/><Relationship Id="rId3748" Type="http://schemas.openxmlformats.org/officeDocument/2006/relationships/hyperlink" Target="http://www.broadinstitute.org/gsea/msigdb/cards/GSE16266_LPS_VS_HEATSHOCK_AND_LPS_STIM_MEF_DN.html" TargetMode="External"/><Relationship Id="rId3749" Type="http://schemas.openxmlformats.org/officeDocument/2006/relationships/hyperlink" Target="http://www.broadinstitute.org/gsea/msigdb/cards/GSE18281_PERIMEDULLARY_CORTICAL_REGION_VS_WHOLE_CORTEX_THYMUS_DN.html" TargetMode="External"/><Relationship Id="rId4100" Type="http://schemas.openxmlformats.org/officeDocument/2006/relationships/hyperlink" Target="http://www.broadinstitute.org/gsea/msigdb/cards/GSE15930_NAIVE_VS_72H_IN_VITRO_STIM_TRICHOSTATINA_CD8_TCELL_DN.html" TargetMode="External"/><Relationship Id="rId4101" Type="http://schemas.openxmlformats.org/officeDocument/2006/relationships/hyperlink" Target="http://www.broadinstitute.org/gsea/msigdb/cards/GSE15930_STIM_VS_STIM_AND_IL12_24H_CD8_T_CELL_UP.html" TargetMode="External"/><Relationship Id="rId4102" Type="http://schemas.openxmlformats.org/officeDocument/2006/relationships/hyperlink" Target="http://www.broadinstitute.org/gsea/msigdb/cards/GSE15930_STIM_VS_STIM_AND_TRICHOSTATINA_48H_CD8_T_CELL_DN.html" TargetMode="External"/><Relationship Id="rId4103" Type="http://schemas.openxmlformats.org/officeDocument/2006/relationships/hyperlink" Target="http://www.broadinstitute.org/gsea/msigdb/cards/GSE16522_MEMORY_VS_NAIVE_CD8_TCELL_DN.html" TargetMode="External"/><Relationship Id="rId4104" Type="http://schemas.openxmlformats.org/officeDocument/2006/relationships/hyperlink" Target="http://www.broadinstitute.org/gsea/msigdb/cards/GSE17721_CTRL_VS_LPS_6H_BMDC_DN.html" TargetMode="External"/><Relationship Id="rId4105" Type="http://schemas.openxmlformats.org/officeDocument/2006/relationships/hyperlink" Target="http://www.broadinstitute.org/gsea/msigdb/cards/GSE17721_CTRL_VS_LPS_12H_BMDC_UP.html" TargetMode="External"/><Relationship Id="rId4106" Type="http://schemas.openxmlformats.org/officeDocument/2006/relationships/hyperlink" Target="http://www.broadinstitute.org/gsea/msigdb/cards/GSE17721_CTRL_VS_LPS_12H_BMDC_DN.html" TargetMode="External"/><Relationship Id="rId4107" Type="http://schemas.openxmlformats.org/officeDocument/2006/relationships/hyperlink" Target="http://www.broadinstitute.org/gsea/msigdb/cards/GSE17721_CTRL_VS_POLYIC_2H_BMDC_DN.html" TargetMode="External"/><Relationship Id="rId4108" Type="http://schemas.openxmlformats.org/officeDocument/2006/relationships/hyperlink" Target="http://www.broadinstitute.org/gsea/msigdb/cards/GSE17721_CTRL_VS_POLYIC_8H_BMDC_DN.html" TargetMode="External"/><Relationship Id="rId4109" Type="http://schemas.openxmlformats.org/officeDocument/2006/relationships/hyperlink" Target="http://www.broadinstitute.org/gsea/msigdb/cards/GSE17721_CTRL_VS_CPG_4H_BMDC_DN.html" TargetMode="External"/><Relationship Id="rId2650" Type="http://schemas.openxmlformats.org/officeDocument/2006/relationships/hyperlink" Target="http://www.broadinstitute.org/gsea/msigdb/cards/GSE32034_LY6C_HIGH_VS_LOW_ROSIGLIZATONE_TREATED_MONOCYTE_DN.html" TargetMode="External"/><Relationship Id="rId2651" Type="http://schemas.openxmlformats.org/officeDocument/2006/relationships/hyperlink" Target="http://www.broadinstitute.org/gsea/msigdb/cards/GSE40274_CTRL_VS_FOXP3_AND_HELIOS_TRANSDUCED_ACTIVATED_CD4_TCELL_UP.html" TargetMode="External"/><Relationship Id="rId2652" Type="http://schemas.openxmlformats.org/officeDocument/2006/relationships/hyperlink" Target="http://www.broadinstitute.org/gsea/msigdb/cards/GSE38304_MYC_NEG_VS_POS_GC_BCELL_DN.html" TargetMode="External"/><Relationship Id="rId2653" Type="http://schemas.openxmlformats.org/officeDocument/2006/relationships/hyperlink" Target="http://www.broadinstitute.org/gsea/msigdb/cards/GSE41867_NAIVE_VS_DAY6_LCMV_EFFECTOR_CD8_TCELL_UP.html" TargetMode="External"/><Relationship Id="rId2654" Type="http://schemas.openxmlformats.org/officeDocument/2006/relationships/hyperlink" Target="http://www.broadinstitute.org/gsea/msigdb/cards/GSE36826_NORMAL_VS_STAPH_AUREUS_INF_IL1R_KO_SKIN_DN.html" TargetMode="External"/><Relationship Id="rId2655" Type="http://schemas.openxmlformats.org/officeDocument/2006/relationships/hyperlink" Target="http://www.broadinstitute.org/gsea/msigdb/cards/GSE44955_MCSF_VS_MCSF_AND_IL27_STIM_MACROPHAGE_UP.html" TargetMode="External"/><Relationship Id="rId2656" Type="http://schemas.openxmlformats.org/officeDocument/2006/relationships/hyperlink" Target="http://www.broadinstitute.org/gsea/msigdb/cards/GSE43863_LY6C_INT_CXCR5POS_VS_LY6C_LOW_CXCR5NEG_EFFECTOR_CD4_TCELL_DN.html" TargetMode="External"/><Relationship Id="rId2657" Type="http://schemas.openxmlformats.org/officeDocument/2006/relationships/hyperlink" Target="http://www.broadinstitute.org/gsea/msigdb/cards/GSE3720_UNSTIM_VS_LPS_STIM_VD1_GAMMADELTA_TCELL_DN.html" TargetMode="External"/><Relationship Id="rId2658" Type="http://schemas.openxmlformats.org/officeDocument/2006/relationships/hyperlink" Target="http://www.broadinstitute.org/gsea/msigdb/cards/GSE27859_MACROPHAGE_VS_CD11C_INT_F480_INT_DC_UP.html" TargetMode="External"/><Relationship Id="rId2659" Type="http://schemas.openxmlformats.org/officeDocument/2006/relationships/hyperlink" Target="http://www.broadinstitute.org/gsea/msigdb/cards/GSE37605_TREG_VS_TCONV_C57BL6_FOXP3_FUSION_GFP_DN.html" TargetMode="External"/><Relationship Id="rId3010" Type="http://schemas.openxmlformats.org/officeDocument/2006/relationships/hyperlink" Target="http://www.broadinstitute.org/gsea/msigdb/cards/GSE7852_LN_VS_FAT_TCONV_DN.html" TargetMode="External"/><Relationship Id="rId3011" Type="http://schemas.openxmlformats.org/officeDocument/2006/relationships/hyperlink" Target="http://www.broadinstitute.org/gsea/msigdb/cards/GSE7852_THYMUS_VS_FAT_TCONV_DN.html" TargetMode="External"/><Relationship Id="rId3012" Type="http://schemas.openxmlformats.org/officeDocument/2006/relationships/hyperlink" Target="http://www.broadinstitute.org/gsea/msigdb/cards/GSE8384_CTRL_VS_B_ABORTUS_4H_MAC_CELL_LINE_DN.html" TargetMode="External"/><Relationship Id="rId3013" Type="http://schemas.openxmlformats.org/officeDocument/2006/relationships/hyperlink" Target="http://www.broadinstitute.org/gsea/msigdb/cards/GSE9006_HEALTHY_VS_TYPE_1_DIABETES_PBMC_AT_DX_DN.html" TargetMode="External"/><Relationship Id="rId3014" Type="http://schemas.openxmlformats.org/officeDocument/2006/relationships/hyperlink" Target="http://www.broadinstitute.org/gsea/msigdb/cards/GSE9650_EFFECTOR_VS_MEMORY_CD8_TCELL_UP.html" TargetMode="External"/><Relationship Id="rId3015" Type="http://schemas.openxmlformats.org/officeDocument/2006/relationships/hyperlink" Target="http://www.broadinstitute.org/gsea/msigdb/cards/GSE9988_ANTI_TREM1_VS_LOW_LPS_MONOCYTE_UP.html" TargetMode="External"/><Relationship Id="rId3016" Type="http://schemas.openxmlformats.org/officeDocument/2006/relationships/hyperlink" Target="http://www.broadinstitute.org/gsea/msigdb/cards/GSE9988_LOW_LPS_VS_ANTI_TREM1_AND_LPS_MONOCYTE_DN.html" TargetMode="External"/><Relationship Id="rId3017" Type="http://schemas.openxmlformats.org/officeDocument/2006/relationships/hyperlink" Target="http://www.broadinstitute.org/gsea/msigdb/cards/GSE369_PRE_VS_POST_IL6_INJECTION_SOCS3_KO_LIVER_DN.html" TargetMode="External"/><Relationship Id="rId3018" Type="http://schemas.openxmlformats.org/officeDocument/2006/relationships/hyperlink" Target="http://www.broadinstitute.org/gsea/msigdb/cards/GSE411_100MIN_VS_400MIN_IL6_STIM_SOCS3_KO_MACROPHAGE_DN.html" TargetMode="External"/><Relationship Id="rId3019" Type="http://schemas.openxmlformats.org/officeDocument/2006/relationships/hyperlink" Target="http://www.broadinstitute.org/gsea/msigdb/cards/GSE411_UNSTIM_VS_100MIN_IL6_STIM_SOCS3_KO_MACROPHAGE_DN.html" TargetMode="External"/><Relationship Id="rId310" Type="http://schemas.openxmlformats.org/officeDocument/2006/relationships/hyperlink" Target="http://www.broadinstitute.org/gsea/msigdb/cards/SERVITJA_ISLET_HNF1A_TARGETS_UP.html" TargetMode="External"/><Relationship Id="rId311" Type="http://schemas.openxmlformats.org/officeDocument/2006/relationships/hyperlink" Target="http://www.broadinstitute.org/gsea/msigdb/cards/DODD_NASOPHARYNGEAL_CARCINOMA_DN.html" TargetMode="External"/><Relationship Id="rId312" Type="http://schemas.openxmlformats.org/officeDocument/2006/relationships/hyperlink" Target="http://www.broadinstitute.org/gsea/msigdb/cards/YAGI_AML_WITH_11Q23_REARRANGED.html" TargetMode="External"/><Relationship Id="rId313" Type="http://schemas.openxmlformats.org/officeDocument/2006/relationships/hyperlink" Target="http://www.broadinstitute.org/gsea/msigdb/cards/BIOCARTA_TCR_PATHWAY.html" TargetMode="External"/><Relationship Id="rId314" Type="http://schemas.openxmlformats.org/officeDocument/2006/relationships/hyperlink" Target="http://www.broadinstitute.org/gsea/msigdb/cards/PID_BCR_5PATHWAY.html" TargetMode="External"/><Relationship Id="rId315" Type="http://schemas.openxmlformats.org/officeDocument/2006/relationships/hyperlink" Target="http://www.broadinstitute.org/gsea/msigdb/cards/BROCKE_APOPTOSIS_REVERSED_BY_IL6.html" TargetMode="External"/><Relationship Id="rId316" Type="http://schemas.openxmlformats.org/officeDocument/2006/relationships/hyperlink" Target="http://www.broadinstitute.org/gsea/msigdb/cards/ONO_FOXP3_TARGETS_UP.html" TargetMode="External"/><Relationship Id="rId317" Type="http://schemas.openxmlformats.org/officeDocument/2006/relationships/hyperlink" Target="http://www.broadinstitute.org/gsea/msigdb/cards/ZHOU_INFLAMMATORY_RESPONSE_LIVE_DN.html" TargetMode="External"/><Relationship Id="rId318" Type="http://schemas.openxmlformats.org/officeDocument/2006/relationships/hyperlink" Target="http://www.broadinstitute.org/gsea/msigdb/cards/KANG_GIST_WITH_PDGFRA_UP.html" TargetMode="External"/><Relationship Id="rId319" Type="http://schemas.openxmlformats.org/officeDocument/2006/relationships/hyperlink" Target="http://www.broadinstitute.org/gsea/msigdb/cards/PARK_APL_PATHOGENESIS_DN.html" TargetMode="External"/><Relationship Id="rId1560" Type="http://schemas.openxmlformats.org/officeDocument/2006/relationships/hyperlink" Target="http://www.broadinstitute.org/gsea/msigdb/cards/GO_HETEROTYPIC_CELL_CELL_ADHESION.html" TargetMode="External"/><Relationship Id="rId1561" Type="http://schemas.openxmlformats.org/officeDocument/2006/relationships/hyperlink" Target="http://www.broadinstitute.org/gsea/msigdb/cards/GO_VESICLE_MEMBRANE.html" TargetMode="External"/><Relationship Id="rId1562" Type="http://schemas.openxmlformats.org/officeDocument/2006/relationships/hyperlink" Target="http://www.broadinstitute.org/gsea/msigdb/cards/GO_REGULATION_OF_CYTOPLASMIC_TRANSPORT.html" TargetMode="External"/><Relationship Id="rId1563" Type="http://schemas.openxmlformats.org/officeDocument/2006/relationships/hyperlink" Target="http://www.broadinstitute.org/gsea/msigdb/cards/GO_NEGATIVE_REGULATION_OF_HOMEOSTATIC_PROCESS.html" TargetMode="External"/><Relationship Id="rId1564" Type="http://schemas.openxmlformats.org/officeDocument/2006/relationships/hyperlink" Target="http://www.broadinstitute.org/gsea/msigdb/cards/GO_POSITIVE_REGULATION_OF_ACUTE_INFLAMMATORY_RESPONSE.html" TargetMode="External"/><Relationship Id="rId1565" Type="http://schemas.openxmlformats.org/officeDocument/2006/relationships/hyperlink" Target="http://www.broadinstitute.org/gsea/msigdb/cards/GO_ACTIN_FILAMENT_BASED_PROCESS.html" TargetMode="External"/><Relationship Id="rId1566" Type="http://schemas.openxmlformats.org/officeDocument/2006/relationships/hyperlink" Target="http://www.broadinstitute.org/gsea/msigdb/cards/GO_REGULATION_OF_MONONUCLEAR_CELL_MIGRATION.html" TargetMode="External"/><Relationship Id="rId1567" Type="http://schemas.openxmlformats.org/officeDocument/2006/relationships/hyperlink" Target="http://www.broadinstitute.org/gsea/msigdb/cards/GO_REGULATION_OF_INTERFERON_GAMMA_BIOSYNTHETIC_PROCESS.html" TargetMode="External"/><Relationship Id="rId1568" Type="http://schemas.openxmlformats.org/officeDocument/2006/relationships/hyperlink" Target="http://www.broadinstitute.org/gsea/msigdb/cards/GO_REGULATION_OF_MACROPHAGE_CHEMOTAXIS.html" TargetMode="External"/><Relationship Id="rId1569" Type="http://schemas.openxmlformats.org/officeDocument/2006/relationships/hyperlink" Target="http://www.broadinstitute.org/gsea/msigdb/cards/GO_NEGATIVE_REGULATION_OF_INTERLEUKIN_10_PRODUCTION.html" TargetMode="External"/><Relationship Id="rId4840" Type="http://schemas.openxmlformats.org/officeDocument/2006/relationships/hyperlink" Target="http://www.broadinstitute.org/gsea/msigdb/cards/GSE18893_CTRL_VS_TNF_TREATED_TCONV_24H_DN.html" TargetMode="External"/><Relationship Id="rId4841" Type="http://schemas.openxmlformats.org/officeDocument/2006/relationships/hyperlink" Target="http://www.broadinstitute.org/gsea/msigdb/cards/GSE19888_CTRL_VS_A3R_INHIBITOR_TREATED_MAST_CELL_DN.html" TargetMode="External"/><Relationship Id="rId4842" Type="http://schemas.openxmlformats.org/officeDocument/2006/relationships/hyperlink" Target="http://www.broadinstitute.org/gsea/msigdb/cards/GSE19888_CTRL_VS_A3R_ACTIVATION_MAST_CELL_DN.html" TargetMode="External"/><Relationship Id="rId4843" Type="http://schemas.openxmlformats.org/officeDocument/2006/relationships/hyperlink" Target="http://www.broadinstitute.org/gsea/msigdb/cards/GSE20198_IL12_VS_IL12_IL18_TREATED_ACT_CD4_TCELL_UP.html" TargetMode="External"/><Relationship Id="rId4844" Type="http://schemas.openxmlformats.org/officeDocument/2006/relationships/hyperlink" Target="http://www.broadinstitute.org/gsea/msigdb/cards/GSE21678_WT_VS_FOXO1_FOXO3_KO_TREG_UP.html" TargetMode="External"/><Relationship Id="rId4845" Type="http://schemas.openxmlformats.org/officeDocument/2006/relationships/hyperlink" Target="http://www.broadinstitute.org/gsea/msigdb/cards/GSE16450_IMMATURE_VS_MATURE_NEURON_CELL_LINE_DN.html" TargetMode="External"/><Relationship Id="rId4846" Type="http://schemas.openxmlformats.org/officeDocument/2006/relationships/hyperlink" Target="http://www.broadinstitute.org/gsea/msigdb/cards/GSE16451_CTRL_VS_WEST_EQUINE_ENC_VIRUS_MATURE_NEURON_CELL_LINE_UP.html" TargetMode="External"/><Relationship Id="rId4847" Type="http://schemas.openxmlformats.org/officeDocument/2006/relationships/hyperlink" Target="http://www.broadinstitute.org/gsea/msigdb/cards/GSE21670_UNTREATED_VS_TGFB_IL6_TREATED_STAT3_KO_CD4_TCELL_UP.html" TargetMode="External"/><Relationship Id="rId4848" Type="http://schemas.openxmlformats.org/officeDocument/2006/relationships/hyperlink" Target="http://www.broadinstitute.org/gsea/msigdb/cards/GSE21670_STAT3_KO_VS_WT_CD4_TCELL_IL6_TREATED_UP.html" TargetMode="External"/><Relationship Id="rId4849" Type="http://schemas.openxmlformats.org/officeDocument/2006/relationships/hyperlink" Target="http://www.broadinstitute.org/gsea/msigdb/cards/GSE21546_ELK1_KO_VS_SAP1A_KO_AND_ELK1_KO_DP_THYMOCYTES_UP.html" TargetMode="External"/><Relationship Id="rId5200" Type="http://schemas.openxmlformats.org/officeDocument/2006/relationships/hyperlink" Target="http://www.broadinstitute.org/gsea/msigdb/cards/GSE12198_LOW_IL2_STIM_NK_CELL_VS_HIGH_IL2_STIM_NK_CELL_DN.html" TargetMode="External"/><Relationship Id="rId5201" Type="http://schemas.openxmlformats.org/officeDocument/2006/relationships/hyperlink" Target="http://www.broadinstitute.org/gsea/msigdb/cards/GSE14908_RESTING_VS_HDM_STIM_CD4_TCELL_ATOPIC_PATIENT_DN.html" TargetMode="External"/><Relationship Id="rId5202" Type="http://schemas.openxmlformats.org/officeDocument/2006/relationships/hyperlink" Target="http://www.broadinstitute.org/gsea/msigdb/cards/GSE12392_CD8A_POS_VS_NEG_SPLEEN_DC_UP.html" TargetMode="External"/><Relationship Id="rId5203" Type="http://schemas.openxmlformats.org/officeDocument/2006/relationships/hyperlink" Target="http://www.broadinstitute.org/gsea/msigdb/cards/GSE17186_MEMORY_VS_NAIVE_BCELL_UP.html" TargetMode="External"/><Relationship Id="rId5204" Type="http://schemas.openxmlformats.org/officeDocument/2006/relationships/hyperlink" Target="http://www.broadinstitute.org/gsea/msigdb/cards/GSE17186_BLOOD_VS_CORD_BLOOD_CD21LOW_TRANSITIONAL_BCELL_DN.html" TargetMode="External"/><Relationship Id="rId5205" Type="http://schemas.openxmlformats.org/officeDocument/2006/relationships/hyperlink" Target="http://www.broadinstitute.org/gsea/msigdb/cards/GSE19772_CTRL_VS_HCMV_INF_MONOCYTES_AND_PI3K_INHIBITION_DN.html" TargetMode="External"/><Relationship Id="rId5206" Type="http://schemas.openxmlformats.org/officeDocument/2006/relationships/hyperlink" Target="http://www.broadinstitute.org/gsea/msigdb/cards/GSE18893_CTRL_VS_TNF_TREATED_TREG_24H_UP.html" TargetMode="External"/><Relationship Id="rId5207" Type="http://schemas.openxmlformats.org/officeDocument/2006/relationships/hyperlink" Target="http://www.broadinstitute.org/gsea/msigdb/cards/GSE18893_TCONV_VS_TREG_2H_TNF_STIM_DN.html" TargetMode="External"/><Relationship Id="rId5208" Type="http://schemas.openxmlformats.org/officeDocument/2006/relationships/hyperlink" Target="http://www.broadinstitute.org/gsea/msigdb/cards/GSE20198_UNTREATED_VS_IL12_IL18_TREATED_ACT_CD4_TCELL_UP.html" TargetMode="External"/><Relationship Id="rId5209" Type="http://schemas.openxmlformats.org/officeDocument/2006/relationships/hyperlink" Target="http://www.broadinstitute.org/gsea/msigdb/cards/GSE16451_IMMATURE_VS_MATURE_NEURON_CELL_LINE_WEST_EQUINE_ENC_VIRUS_DN.html" TargetMode="External"/><Relationship Id="rId3750" Type="http://schemas.openxmlformats.org/officeDocument/2006/relationships/hyperlink" Target="http://www.broadinstitute.org/gsea/msigdb/cards/GSE19923_E2A_KO_VS_HEB_AND_E2A_KO_DP_THYMOCYTE_DN.html" TargetMode="External"/><Relationship Id="rId3751" Type="http://schemas.openxmlformats.org/officeDocument/2006/relationships/hyperlink" Target="http://www.broadinstitute.org/gsea/msigdb/cards/GSE20198_UNTREATED_VS_IFNA_TREATED_ACT_CD4_TCELL_UP.html" TargetMode="External"/><Relationship Id="rId3752" Type="http://schemas.openxmlformats.org/officeDocument/2006/relationships/hyperlink" Target="http://www.broadinstitute.org/gsea/msigdb/cards/GSE20484_MCSG_VS_CXCL4_MONOCYTE_DERIVED_MACROPHAGE_DN.html" TargetMode="External"/><Relationship Id="rId3753" Type="http://schemas.openxmlformats.org/officeDocument/2006/relationships/hyperlink" Target="http://www.broadinstitute.org/gsea/msigdb/cards/GSE16450_CTRL_VS_IFNA_6H_STIM_MATURE_NEURON_CELL_LINE_UP.html" TargetMode="External"/><Relationship Id="rId3754" Type="http://schemas.openxmlformats.org/officeDocument/2006/relationships/hyperlink" Target="http://www.broadinstitute.org/gsea/msigdb/cards/GSE21379_WT_VS_SAP_KO_CD4_TCELL_DN.html" TargetMode="External"/><Relationship Id="rId3755" Type="http://schemas.openxmlformats.org/officeDocument/2006/relationships/hyperlink" Target="http://www.broadinstitute.org/gsea/msigdb/cards/GSE22935_24H_VS_48H_MBOVIS_BCG_STIM_MYD88_KO_MACROPHAGE_UP.html" TargetMode="External"/><Relationship Id="rId3756" Type="http://schemas.openxmlformats.org/officeDocument/2006/relationships/hyperlink" Target="http://www.broadinstitute.org/gsea/msigdb/cards/GSE22432_CONVENTIONAL_CDC_VS_PLASMACYTOID_PDC_DN.html" TargetMode="External"/><Relationship Id="rId3757" Type="http://schemas.openxmlformats.org/officeDocument/2006/relationships/hyperlink" Target="http://www.broadinstitute.org/gsea/msigdb/cards/GSE22919_RESTING_VS_IL2_IL12_IL15_STIM_NK_CELL_DN.html" TargetMode="External"/><Relationship Id="rId3758" Type="http://schemas.openxmlformats.org/officeDocument/2006/relationships/hyperlink" Target="http://www.broadinstitute.org/gsea/msigdb/cards/GSE24210_IL35_TREATED_VS_UNTREATED_TCONV_CD4_TCELL_DN.html" TargetMode="External"/><Relationship Id="rId3759" Type="http://schemas.openxmlformats.org/officeDocument/2006/relationships/hyperlink" Target="http://www.broadinstitute.org/gsea/msigdb/cards/GSE23505_UNTREATED_VS_4DAY_IL6_IL1_IL23_TREATED_CD4_TCELL_UP.html" TargetMode="External"/><Relationship Id="rId4110" Type="http://schemas.openxmlformats.org/officeDocument/2006/relationships/hyperlink" Target="http://www.broadinstitute.org/gsea/msigdb/cards/GSE17721_LPS_VS_POLYIC_4H_BMDC_UP.html" TargetMode="External"/><Relationship Id="rId4111" Type="http://schemas.openxmlformats.org/officeDocument/2006/relationships/hyperlink" Target="http://www.broadinstitute.org/gsea/msigdb/cards/GSE17721_LPS_VS_POLYIC_6H_BMDC_UP.html" TargetMode="External"/><Relationship Id="rId4112" Type="http://schemas.openxmlformats.org/officeDocument/2006/relationships/hyperlink" Target="http://www.broadinstitute.org/gsea/msigdb/cards/GSE17721_POLYIC_VS_PAM3CSK4_12H_BMDC_UP.html" TargetMode="External"/><Relationship Id="rId4113" Type="http://schemas.openxmlformats.org/officeDocument/2006/relationships/hyperlink" Target="http://www.broadinstitute.org/gsea/msigdb/cards/GSE17721_PAM3CSK4_VS_CPG_2H_BMDC_DN.html" TargetMode="External"/><Relationship Id="rId4114" Type="http://schemas.openxmlformats.org/officeDocument/2006/relationships/hyperlink" Target="http://www.broadinstitute.org/gsea/msigdb/cards/GSE17721_PAM3CSK4_VS_CPG_16H_BMDC_DN.html" TargetMode="External"/><Relationship Id="rId4115" Type="http://schemas.openxmlformats.org/officeDocument/2006/relationships/hyperlink" Target="http://www.broadinstitute.org/gsea/msigdb/cards/GSE17721_LPS_VS_PAM3CSK4_6H_BMDC_DN.html" TargetMode="External"/><Relationship Id="rId4116" Type="http://schemas.openxmlformats.org/officeDocument/2006/relationships/hyperlink" Target="http://www.broadinstitute.org/gsea/msigdb/cards/GSE17721_PAM3CSK4_VS_GADIQUIMOD_1H_BMDC_DN.html" TargetMode="External"/><Relationship Id="rId4117" Type="http://schemas.openxmlformats.org/officeDocument/2006/relationships/hyperlink" Target="http://www.broadinstitute.org/gsea/msigdb/cards/GSE17721_PAM3CSK4_VS_GADIQUIMOD_16H_BMDC_UP.html" TargetMode="External"/><Relationship Id="rId4118" Type="http://schemas.openxmlformats.org/officeDocument/2006/relationships/hyperlink" Target="http://www.broadinstitute.org/gsea/msigdb/cards/GSE17721_PAM3CSK4_VS_GADIQUIMOD_24H_BMDC_DN.html" TargetMode="External"/><Relationship Id="rId4119" Type="http://schemas.openxmlformats.org/officeDocument/2006/relationships/hyperlink" Target="http://www.broadinstitute.org/gsea/msigdb/cards/GSE17721_LPS_VS_CPG_2H_BMDC_UP.html" TargetMode="External"/><Relationship Id="rId2660" Type="http://schemas.openxmlformats.org/officeDocument/2006/relationships/hyperlink" Target="http://www.broadinstitute.org/gsea/msigdb/cards/GSE32901_NAIVE_VS_TH17_NEG_CD4_TCELL_UP.html" TargetMode="External"/><Relationship Id="rId2661" Type="http://schemas.openxmlformats.org/officeDocument/2006/relationships/hyperlink" Target="http://www.broadinstitute.org/gsea/msigdb/cards/GSE15271_CXCR4_POS_VS_NEG_GC_BCELL_DN.html" TargetMode="External"/><Relationship Id="rId2662" Type="http://schemas.openxmlformats.org/officeDocument/2006/relationships/hyperlink" Target="http://www.broadinstitute.org/gsea/msigdb/cards/GSE25677_MPL_VS_R848_STIM_BCELL_UP.html" TargetMode="External"/><Relationship Id="rId2663" Type="http://schemas.openxmlformats.org/officeDocument/2006/relationships/hyperlink" Target="http://www.broadinstitute.org/gsea/msigdb/cards/GSE40274_FOXP3_VS_FOXP3_AND_SATB1_TRANSDUCED_ACTIVATED_CD4_TCELL_DN.html" TargetMode="External"/><Relationship Id="rId2664" Type="http://schemas.openxmlformats.org/officeDocument/2006/relationships/hyperlink" Target="http://www.broadinstitute.org/gsea/msigdb/cards/GSE21670_IL6_VS_TGFB_AND_IL6_TREATED_CD4_TCELL_UP.html" TargetMode="External"/><Relationship Id="rId2665" Type="http://schemas.openxmlformats.org/officeDocument/2006/relationships/hyperlink" Target="http://www.broadinstitute.org/gsea/msigdb/cards/GSE34156_UNTREATED_VS_6H_NOD2_AND_TLR1_TLR2_LIGAND_TREATED_MONOCYTE_DN.html" TargetMode="External"/><Relationship Id="rId2666" Type="http://schemas.openxmlformats.org/officeDocument/2006/relationships/hyperlink" Target="http://www.broadinstitute.org/gsea/msigdb/cards/GSE40274_FOXP3_VS_FOXP3_AND_XBP1_TRANSDUCED_ACTIVATED_CD4_TCELL_DN.html" TargetMode="External"/><Relationship Id="rId2667" Type="http://schemas.openxmlformats.org/officeDocument/2006/relationships/hyperlink" Target="http://www.broadinstitute.org/gsea/msigdb/cards/GSE40666_UNTREATED_VS_IFNA_STIM_STAT4_KO_EFFECTOR_CD8_TCELL_90MIN_UP.html" TargetMode="External"/><Relationship Id="rId2668" Type="http://schemas.openxmlformats.org/officeDocument/2006/relationships/hyperlink" Target="http://www.broadinstitute.org/gsea/msigdb/cards/GSE21360_PRIMARY_VS_QUATERNARY_MEMORY_CD8_TCELL_UP.html" TargetMode="External"/><Relationship Id="rId2669" Type="http://schemas.openxmlformats.org/officeDocument/2006/relationships/hyperlink" Target="http://www.broadinstitute.org/gsea/msigdb/cards/GSE13522_WT_VS_IFNAR_KO_SKIN_DN.html" TargetMode="External"/><Relationship Id="rId3020" Type="http://schemas.openxmlformats.org/officeDocument/2006/relationships/hyperlink" Target="http://www.broadinstitute.org/gsea/msigdb/cards/GSE2770_UNTREATED_VS_ACT_CD4_TCELL_2H_UP.html" TargetMode="External"/><Relationship Id="rId3021" Type="http://schemas.openxmlformats.org/officeDocument/2006/relationships/hyperlink" Target="http://www.broadinstitute.org/gsea/msigdb/cards/GSE2770_IL12_VS_TGFB_AND_IL12_TREATED_ACT_CD4_TCELL_48H_UP.html" TargetMode="External"/><Relationship Id="rId3022" Type="http://schemas.openxmlformats.org/officeDocument/2006/relationships/hyperlink" Target="http://www.broadinstitute.org/gsea/msigdb/cards/GSE2770_IL12_AND_TGFB_VS_IL4_TREATED_ACT_CD4_TCELL_48H_UP.html" TargetMode="External"/><Relationship Id="rId3023" Type="http://schemas.openxmlformats.org/officeDocument/2006/relationships/hyperlink" Target="http://www.broadinstitute.org/gsea/msigdb/cards/GSE2770_TGFB_AND_IL4_VS_IL12_TREATED_ACT_CD4_TCELL_6H_UP.html" TargetMode="External"/><Relationship Id="rId3024" Type="http://schemas.openxmlformats.org/officeDocument/2006/relationships/hyperlink" Target="http://www.broadinstitute.org/gsea/msigdb/cards/GSE1925_CTRL_VS_24H_IFNG_STIM_IFNG_PRIMED_MACROPHAGE_DN.html" TargetMode="External"/><Relationship Id="rId3025" Type="http://schemas.openxmlformats.org/officeDocument/2006/relationships/hyperlink" Target="http://www.broadinstitute.org/gsea/msigdb/cards/GSE4748_CTRL_VS_CYANOBACTERIUM_LPSLIKE_STIM_DC_3H_DN.html" TargetMode="External"/><Relationship Id="rId3026" Type="http://schemas.openxmlformats.org/officeDocument/2006/relationships/hyperlink" Target="http://www.broadinstitute.org/gsea/msigdb/cards/GSE5455_HEALTHY_VS_TUMOR_BEARING_MOUSE_SPLEEN_MONOCYTE_UP.html" TargetMode="External"/><Relationship Id="rId3027" Type="http://schemas.openxmlformats.org/officeDocument/2006/relationships/hyperlink" Target="http://www.broadinstitute.org/gsea/msigdb/cards/GSE5455_HEALTHY_VS_TUMOR_BEARING_MOUSE_SPLEEN_MONOCYTE_24H_INCUBATION_DN.html" TargetMode="External"/><Relationship Id="rId3028" Type="http://schemas.openxmlformats.org/officeDocument/2006/relationships/hyperlink" Target="http://www.broadinstitute.org/gsea/msigdb/cards/GSE6875_TCONV_VS_FOXP3_KO_TREG_UP.html" TargetMode="External"/><Relationship Id="rId3029" Type="http://schemas.openxmlformats.org/officeDocument/2006/relationships/hyperlink" Target="http://www.broadinstitute.org/gsea/msigdb/cards/GSE6674_ANTI_IGM_VS_ANTI_IGM_AND_CPG_STIM_BCELL_UP.html" TargetMode="External"/><Relationship Id="rId320" Type="http://schemas.openxmlformats.org/officeDocument/2006/relationships/hyperlink" Target="http://www.broadinstitute.org/gsea/msigdb/cards/GRUETZMANN_PANCREATIC_CANCER_UP.html" TargetMode="External"/><Relationship Id="rId321" Type="http://schemas.openxmlformats.org/officeDocument/2006/relationships/hyperlink" Target="http://www.broadinstitute.org/gsea/msigdb/cards/YAN_ESCAPE_FROM_ANOIKIS.html" TargetMode="External"/><Relationship Id="rId322" Type="http://schemas.openxmlformats.org/officeDocument/2006/relationships/hyperlink" Target="http://www.broadinstitute.org/gsea/msigdb/cards/BIOCARTA_GRANULOCYTES_PATHWAY.html" TargetMode="External"/><Relationship Id="rId323" Type="http://schemas.openxmlformats.org/officeDocument/2006/relationships/hyperlink" Target="http://www.broadinstitute.org/gsea/msigdb/cards/ZHENG_FOXP3_TARGETS_IN_THYMUS_UP.html" TargetMode="External"/><Relationship Id="rId324" Type="http://schemas.openxmlformats.org/officeDocument/2006/relationships/hyperlink" Target="http://www.broadinstitute.org/gsea/msigdb/cards/AKL_HTLV1_INFECTION_DN.html" TargetMode="External"/><Relationship Id="rId325" Type="http://schemas.openxmlformats.org/officeDocument/2006/relationships/hyperlink" Target="http://www.broadinstitute.org/gsea/msigdb/cards/WONG_ADULT_TISSUE_STEM_MODULE.html" TargetMode="External"/><Relationship Id="rId326" Type="http://schemas.openxmlformats.org/officeDocument/2006/relationships/hyperlink" Target="http://www.broadinstitute.org/gsea/msigdb/cards/DEMAGALHAES_AGING_UP.html" TargetMode="External"/><Relationship Id="rId327" Type="http://schemas.openxmlformats.org/officeDocument/2006/relationships/hyperlink" Target="http://www.broadinstitute.org/gsea/msigdb/cards/GAVIN_FOXP3_TARGETS_CLUSTER_P6.html" TargetMode="External"/><Relationship Id="rId328" Type="http://schemas.openxmlformats.org/officeDocument/2006/relationships/hyperlink" Target="http://www.broadinstitute.org/gsea/msigdb/cards/OSMAN_BLADDER_CANCER_UP.html" TargetMode="External"/><Relationship Id="rId329" Type="http://schemas.openxmlformats.org/officeDocument/2006/relationships/hyperlink" Target="http://www.broadinstitute.org/gsea/msigdb/cards/BOHN_PRIMARY_IMMUNODEFICIENCY_SYNDROM_DN.html" TargetMode="External"/><Relationship Id="rId1570" Type="http://schemas.openxmlformats.org/officeDocument/2006/relationships/hyperlink" Target="http://www.broadinstitute.org/gsea/msigdb/cards/GO_POSITIVE_REGULATION_OF_MYELOID_CELL_DIFFERENTIATION.html" TargetMode="External"/><Relationship Id="rId1571" Type="http://schemas.openxmlformats.org/officeDocument/2006/relationships/hyperlink" Target="http://www.broadinstitute.org/gsea/msigdb/cards/GO_NEGATIVE_REGULATION_OF_T_CELL_MEDIATED_IMMUNITY.html" TargetMode="External"/><Relationship Id="rId1572" Type="http://schemas.openxmlformats.org/officeDocument/2006/relationships/hyperlink" Target="http://www.broadinstitute.org/gsea/msigdb/cards/GO_REGULATION_OF_INTERLEUKIN_6_BIOSYNTHETIC_PROCESS.html" TargetMode="External"/><Relationship Id="rId1573" Type="http://schemas.openxmlformats.org/officeDocument/2006/relationships/hyperlink" Target="http://www.broadinstitute.org/gsea/msigdb/cards/GO_NEGATIVE_REGULATION_OF_MULTI_ORGANISM_PROCESS.html" TargetMode="External"/><Relationship Id="rId1574" Type="http://schemas.openxmlformats.org/officeDocument/2006/relationships/hyperlink" Target="http://www.broadinstitute.org/gsea/msigdb/cards/GO_GLYCOSAMINOGLYCAN_BINDING.html" TargetMode="External"/><Relationship Id="rId1575" Type="http://schemas.openxmlformats.org/officeDocument/2006/relationships/hyperlink" Target="http://www.broadinstitute.org/gsea/msigdb/cards/GO_REGULATION_OF_ALCOHOL_BIOSYNTHETIC_PROCESS.html" TargetMode="External"/><Relationship Id="rId1576" Type="http://schemas.openxmlformats.org/officeDocument/2006/relationships/hyperlink" Target="http://www.broadinstitute.org/gsea/msigdb/cards/GO_GUANYL_NUCLEOTIDE_BINDING.html" TargetMode="External"/><Relationship Id="rId1577" Type="http://schemas.openxmlformats.org/officeDocument/2006/relationships/hyperlink" Target="http://www.broadinstitute.org/gsea/msigdb/cards/GO_POSITIVE_REGULATION_OF_ION_TRANSPORT.html" TargetMode="External"/><Relationship Id="rId1578" Type="http://schemas.openxmlformats.org/officeDocument/2006/relationships/hyperlink" Target="http://www.broadinstitute.org/gsea/msigdb/cards/GO_SIGNALING_PATTERN_RECOGNITION_RECEPTOR_ACTIVITY.html" TargetMode="External"/><Relationship Id="rId1579" Type="http://schemas.openxmlformats.org/officeDocument/2006/relationships/hyperlink" Target="http://www.broadinstitute.org/gsea/msigdb/cards/GO_REGULATION_OF_ACTIN_FILAMENT_LENGTH.html" TargetMode="External"/><Relationship Id="rId4850" Type="http://schemas.openxmlformats.org/officeDocument/2006/relationships/hyperlink" Target="http://www.broadinstitute.org/gsea/msigdb/cards/GSE21927_C26GM_VS_4T1_TUMOR_MONOCYTE_BALBC_UP.html" TargetMode="External"/><Relationship Id="rId4851" Type="http://schemas.openxmlformats.org/officeDocument/2006/relationships/hyperlink" Target="http://www.broadinstitute.org/gsea/msigdb/cards/GSE21927_SPLEEN_VS_TUMOR_MONOCYTE_C57BL6_UP.html" TargetMode="External"/><Relationship Id="rId4852" Type="http://schemas.openxmlformats.org/officeDocument/2006/relationships/hyperlink" Target="http://www.broadinstitute.org/gsea/msigdb/cards/GSE19401_UNSTIM_VS_PAM2CSK4_STIM_FOLLICULAR_DC_DN.html" TargetMode="External"/><Relationship Id="rId4853" Type="http://schemas.openxmlformats.org/officeDocument/2006/relationships/hyperlink" Target="http://www.broadinstitute.org/gsea/msigdb/cards/GSE19401_RETINOIC_ACID_VS_RETINOIC_ACID_AND_PAM2CSK4_STIM_FOLLICULAR_DC_DN.html" TargetMode="External"/><Relationship Id="rId4854" Type="http://schemas.openxmlformats.org/officeDocument/2006/relationships/hyperlink" Target="http://www.broadinstitute.org/gsea/msigdb/cards/GSE19401_RETINOIC_ACID_VS_RETINOIC_ACID_AND_PAM2CSK4_STIM_FOLLICULAR_DC_UP.html" TargetMode="External"/><Relationship Id="rId4855" Type="http://schemas.openxmlformats.org/officeDocument/2006/relationships/hyperlink" Target="http://www.broadinstitute.org/gsea/msigdb/cards/GSE20500_RETINOIC_ACID_VS_RARA_ANTAGONIST_TREATED_CD4_TCELL_UP.html" TargetMode="External"/><Relationship Id="rId4856" Type="http://schemas.openxmlformats.org/officeDocument/2006/relationships/hyperlink" Target="http://www.broadinstitute.org/gsea/msigdb/cards/GSE23308_WT_VS_MINERALCORTICOID_REC_KO_MACROPHAGE_CORTICOSTERONE_TREATED_DN.html" TargetMode="External"/><Relationship Id="rId4857" Type="http://schemas.openxmlformats.org/officeDocument/2006/relationships/hyperlink" Target="http://www.broadinstitute.org/gsea/msigdb/cards/GSE22935_UNSTIM_VS_24H_MBOVIS_BCG_STIM_MACROPHAGE_DN.html" TargetMode="External"/><Relationship Id="rId4858" Type="http://schemas.openxmlformats.org/officeDocument/2006/relationships/hyperlink" Target="http://www.broadinstitute.org/gsea/msigdb/cards/GSE24210_IL35_TREATED_VS_RESTING_TREG_DN.html" TargetMode="External"/><Relationship Id="rId4859" Type="http://schemas.openxmlformats.org/officeDocument/2006/relationships/hyperlink" Target="http://www.broadinstitute.org/gsea/msigdb/cards/GSE23505_IL6_IL1_IL23_VS_IL6_IL1_TGFB_TREATED_CD4_TCELL_DN.html" TargetMode="External"/><Relationship Id="rId5210" Type="http://schemas.openxmlformats.org/officeDocument/2006/relationships/hyperlink" Target="http://www.broadinstitute.org/gsea/msigdb/cards/GSE21670_TGFB_VS_TGFB_AND_IL6_TREATED_STAT3_KO_CD4_TCELL_DN.html" TargetMode="External"/><Relationship Id="rId5211" Type="http://schemas.openxmlformats.org/officeDocument/2006/relationships/hyperlink" Target="http://www.broadinstitute.org/gsea/msigdb/cards/GSE21546_UNSTIM_VS_ANTI_CD3_STIM_SAP1A_KO_AND_ELK1_KO_DP_THYMOCYTES_UP.html" TargetMode="External"/><Relationship Id="rId5212" Type="http://schemas.openxmlformats.org/officeDocument/2006/relationships/hyperlink" Target="http://www.broadinstitute.org/gsea/msigdb/cards/GSE21927_UNTREATED_VS_GMCSF_IL6_TREATED_BONE_MARROW_DN.html" TargetMode="External"/><Relationship Id="rId5213" Type="http://schemas.openxmlformats.org/officeDocument/2006/relationships/hyperlink" Target="http://www.broadinstitute.org/gsea/msigdb/cards/GSE21927_UNTREATED_VS_GMCSF_GCSF_TREATED_BONE_MARROW_DN.html" TargetMode="External"/><Relationship Id="rId5214" Type="http://schemas.openxmlformats.org/officeDocument/2006/relationships/hyperlink" Target="http://www.broadinstitute.org/gsea/msigdb/cards/GSE21360_PRIMARY_VS_SECONDARY_MEMORY_CD8_TCELL_DN.html" TargetMode="External"/><Relationship Id="rId5215" Type="http://schemas.openxmlformats.org/officeDocument/2006/relationships/hyperlink" Target="http://www.broadinstitute.org/gsea/msigdb/cards/GSE22033_UNTREATED_VS_MRL24_TREATED_MEF_UP.html" TargetMode="External"/><Relationship Id="rId5216" Type="http://schemas.openxmlformats.org/officeDocument/2006/relationships/hyperlink" Target="http://www.broadinstitute.org/gsea/msigdb/cards/GSE22527_ANTI_CD3_INVIVO_VS_UNTREATED_MOUSE_TREG_UP.html" TargetMode="External"/><Relationship Id="rId5217" Type="http://schemas.openxmlformats.org/officeDocument/2006/relationships/hyperlink" Target="http://www.broadinstitute.org/gsea/msigdb/cards/GSE23308_WT_VS_MINERALCORTICOID_REC_KO_MACROPHAGE_UP.html" TargetMode="External"/><Relationship Id="rId5218" Type="http://schemas.openxmlformats.org/officeDocument/2006/relationships/hyperlink" Target="http://www.broadinstitute.org/gsea/msigdb/cards/GSE22935_UNSTIM_VS_12H_MBOVIS_BCG_STIM_MACROPHAGE_UP.html" TargetMode="External"/><Relationship Id="rId5219" Type="http://schemas.openxmlformats.org/officeDocument/2006/relationships/hyperlink" Target="http://www.broadinstitute.org/gsea/msigdb/cards/GSE22935_UNSTIM_VS_48H_MBOVIS_BCG_STIM_MACROPHAGE_UP.html" TargetMode="External"/><Relationship Id="rId3760" Type="http://schemas.openxmlformats.org/officeDocument/2006/relationships/hyperlink" Target="http://www.broadinstitute.org/gsea/msigdb/cards/GSE16385_UNTREATED_VS_12H_ROSIGLITAZONE_IFNG_TNF_TREATED_MACROPHAGE_UP.html" TargetMode="External"/><Relationship Id="rId3761" Type="http://schemas.openxmlformats.org/officeDocument/2006/relationships/hyperlink" Target="http://www.broadinstitute.org/gsea/msigdb/cards/GSE17301_IFNA2_VS_IFNA5_STIM_ACD3_ACD28_ACT_CD8_TCELL_UP.html" TargetMode="External"/><Relationship Id="rId3762" Type="http://schemas.openxmlformats.org/officeDocument/2006/relationships/hyperlink" Target="http://www.broadinstitute.org/gsea/msigdb/cards/GSE19941_IL10_KO_VS_IL10_KO_AND_NFKBP50_KO_LPS_STIM_MACROPHAGE_DN.html" TargetMode="External"/><Relationship Id="rId3763" Type="http://schemas.openxmlformats.org/officeDocument/2006/relationships/hyperlink" Target="http://www.broadinstitute.org/gsea/msigdb/cards/GSE19941_UNSTIM_VS_LPS_STIM_IL10_KO_MACROPHAGE_UP.html" TargetMode="External"/><Relationship Id="rId3764" Type="http://schemas.openxmlformats.org/officeDocument/2006/relationships/hyperlink" Target="http://www.broadinstitute.org/gsea/msigdb/cards/GSE19941_LPS_VS_LPS_AND_IL10_STIM_IL10_KO_NFKBP50_KO_MACROPHAGE_UP.html" TargetMode="External"/><Relationship Id="rId3765" Type="http://schemas.openxmlformats.org/officeDocument/2006/relationships/hyperlink" Target="http://www.broadinstitute.org/gsea/msigdb/cards/GSE26488_HDAC7_KO_VS_VP16_TRANSGENIC_HDAC7_KO_DOUBLE_POSITIVE_THYMOCYTE_DN.html" TargetMode="External"/><Relationship Id="rId3766" Type="http://schemas.openxmlformats.org/officeDocument/2006/relationships/hyperlink" Target="http://www.broadinstitute.org/gsea/msigdb/cards/GSE21063_CTRL_VS_ANTI_IGM_STIM_BCELL_16H_DN.html" TargetMode="External"/><Relationship Id="rId3767" Type="http://schemas.openxmlformats.org/officeDocument/2006/relationships/hyperlink" Target="http://www.broadinstitute.org/gsea/msigdb/cards/GSE21063_WT_VS_NFATC1_KO_8H_ANTI_IGM_STIM_BCELL_UP.html" TargetMode="External"/><Relationship Id="rId3768" Type="http://schemas.openxmlformats.org/officeDocument/2006/relationships/hyperlink" Target="http://www.broadinstitute.org/gsea/msigdb/cards/GSE28726_NAIVE_CD4_TCELL_VS_NAIVE_VA24NEG_NKTCELL_DN.html" TargetMode="External"/><Relationship Id="rId3769" Type="http://schemas.openxmlformats.org/officeDocument/2006/relationships/hyperlink" Target="http://www.broadinstitute.org/gsea/msigdb/cards/GSE24574_BCL6_HIGH_VS_LOW_TFH_CD4_TCELL_DN.html" TargetMode="External"/><Relationship Id="rId4120" Type="http://schemas.openxmlformats.org/officeDocument/2006/relationships/hyperlink" Target="http://www.broadinstitute.org/gsea/msigdb/cards/GSE17721_LPS_VS_CPG_16H_BMDC_UP.html" TargetMode="External"/><Relationship Id="rId4121" Type="http://schemas.openxmlformats.org/officeDocument/2006/relationships/hyperlink" Target="http://www.broadinstitute.org/gsea/msigdb/cards/GSE17721_POLYIC_VS_GARDIQUIMOD_6H_BMDC_UP.html" TargetMode="External"/><Relationship Id="rId4122" Type="http://schemas.openxmlformats.org/officeDocument/2006/relationships/hyperlink" Target="http://www.broadinstitute.org/gsea/msigdb/cards/GSE17721_POLYIC_VS_GARDIQUIMOD_8H_BMDC_UP.html" TargetMode="External"/><Relationship Id="rId4123" Type="http://schemas.openxmlformats.org/officeDocument/2006/relationships/hyperlink" Target="http://www.broadinstitute.org/gsea/msigdb/cards/GSE17721_POLYIC_VS_GARDIQUIMOD_12H_BMDC_UP.html" TargetMode="External"/><Relationship Id="rId4124" Type="http://schemas.openxmlformats.org/officeDocument/2006/relationships/hyperlink" Target="http://www.broadinstitute.org/gsea/msigdb/cards/GSE17721_LPS_VS_GARDIQUIMOD_8H_BMDC_UP.html" TargetMode="External"/><Relationship Id="rId4125" Type="http://schemas.openxmlformats.org/officeDocument/2006/relationships/hyperlink" Target="http://www.broadinstitute.org/gsea/msigdb/cards/GSE17721_0.5H_VS_12H_LPS_BMDC_UP.html" TargetMode="External"/><Relationship Id="rId4126" Type="http://schemas.openxmlformats.org/officeDocument/2006/relationships/hyperlink" Target="http://www.broadinstitute.org/gsea/msigdb/cards/GSE17721_0.5H_VS_12H_LPS_BMDC_DN.html" TargetMode="External"/><Relationship Id="rId4127" Type="http://schemas.openxmlformats.org/officeDocument/2006/relationships/hyperlink" Target="http://www.broadinstitute.org/gsea/msigdb/cards/GSE17721_4_VS_24H_CPG_BMDC_UP.html" TargetMode="External"/><Relationship Id="rId4128" Type="http://schemas.openxmlformats.org/officeDocument/2006/relationships/hyperlink" Target="http://www.broadinstitute.org/gsea/msigdb/cards/GSE17721_0.5H_VS_12H_GARDIQUIMOD_BMDC_UP.html" TargetMode="External"/><Relationship Id="rId4129" Type="http://schemas.openxmlformats.org/officeDocument/2006/relationships/hyperlink" Target="http://www.broadinstitute.org/gsea/msigdb/cards/GSE17974_0H_VS_4H_IN_VITRO_ACT_CD4_TCELL_UP.html" TargetMode="External"/><Relationship Id="rId2670" Type="http://schemas.openxmlformats.org/officeDocument/2006/relationships/hyperlink" Target="http://www.broadinstitute.org/gsea/msigdb/cards/GSE37532_WT_VS_PPARG_KO_LN_TCONV_DN.html" TargetMode="External"/><Relationship Id="rId2671" Type="http://schemas.openxmlformats.org/officeDocument/2006/relationships/hyperlink" Target="http://www.broadinstitute.org/gsea/msigdb/cards/GSE9960_HEALTHY_VS_GRAM_POS_SEPSIS_PBMC_DN.html" TargetMode="External"/><Relationship Id="rId2672" Type="http://schemas.openxmlformats.org/officeDocument/2006/relationships/hyperlink" Target="http://www.broadinstitute.org/gsea/msigdb/cards/GSE12366_GC_VS_MEMORY_BCELL_DN.html" TargetMode="External"/><Relationship Id="rId2673" Type="http://schemas.openxmlformats.org/officeDocument/2006/relationships/hyperlink" Target="http://www.broadinstitute.org/gsea/msigdb/cards/GSE12366_PLASMA_CELL_VS_NAIVE_BCELL_DN.html" TargetMode="External"/><Relationship Id="rId2674" Type="http://schemas.openxmlformats.org/officeDocument/2006/relationships/hyperlink" Target="http://www.broadinstitute.org/gsea/msigdb/cards/GSE13738_RESTING_VS_BYSTANDER_ACTIVATED_CD4_TCELL_DN.html" TargetMode="External"/><Relationship Id="rId2675" Type="http://schemas.openxmlformats.org/officeDocument/2006/relationships/hyperlink" Target="http://www.broadinstitute.org/gsea/msigdb/cards/GSE14769_UNSTIM_VS_60MIN_LPS_BMDM_DN.html" TargetMode="External"/><Relationship Id="rId2676" Type="http://schemas.openxmlformats.org/officeDocument/2006/relationships/hyperlink" Target="http://www.broadinstitute.org/gsea/msigdb/cards/GSE17721_PAM3CSK4_VS_GADIQUIMOD_4H_BMDC_DN.html" TargetMode="External"/><Relationship Id="rId2677" Type="http://schemas.openxmlformats.org/officeDocument/2006/relationships/hyperlink" Target="http://www.broadinstitute.org/gsea/msigdb/cards/GSE17721_ALL_VS_24H_PAM3CSK4_BMDC_UP.html" TargetMode="External"/><Relationship Id="rId2678" Type="http://schemas.openxmlformats.org/officeDocument/2006/relationships/hyperlink" Target="http://www.broadinstitute.org/gsea/msigdb/cards/GSE17721_0.5H_VS_24H_CPG_BMDC_DN.html" TargetMode="External"/><Relationship Id="rId2679" Type="http://schemas.openxmlformats.org/officeDocument/2006/relationships/hyperlink" Target="http://www.broadinstitute.org/gsea/msigdb/cards/GSE17974_IL4_AND_ANTI_IL12_VS_UNTREATED_24H_ACT_CD4_TCELL_DN.html" TargetMode="External"/><Relationship Id="rId3030" Type="http://schemas.openxmlformats.org/officeDocument/2006/relationships/hyperlink" Target="http://www.broadinstitute.org/gsea/msigdb/cards/GSE7831_UNSTIM_VS_CPG_STIM_PDC_4H_DN.html" TargetMode="External"/><Relationship Id="rId3031" Type="http://schemas.openxmlformats.org/officeDocument/2006/relationships/hyperlink" Target="http://www.broadinstitute.org/gsea/msigdb/cards/GSE9960_HEALTHY_VS_GRAM_NEG_SEPSIS_PBMC_DN.html" TargetMode="External"/><Relationship Id="rId3032" Type="http://schemas.openxmlformats.org/officeDocument/2006/relationships/hyperlink" Target="http://www.broadinstitute.org/gsea/msigdb/cards/GSE15735_2H_VS_12H_HDAC_INHIBITOR_TREATED_CD4_TCELL_DN.html" TargetMode="External"/><Relationship Id="rId3033" Type="http://schemas.openxmlformats.org/officeDocument/2006/relationships/hyperlink" Target="http://www.broadinstitute.org/gsea/msigdb/cards/GSE18281_CORTICAL_THYMOCYTE_VS_WHOLE_CORTEX_THYMUS_DN.html" TargetMode="External"/><Relationship Id="rId3034" Type="http://schemas.openxmlformats.org/officeDocument/2006/relationships/hyperlink" Target="http://www.broadinstitute.org/gsea/msigdb/cards/GSE18893_TCONV_VS_TREG_24H_CULTURE_DN.html" TargetMode="External"/><Relationship Id="rId3035" Type="http://schemas.openxmlformats.org/officeDocument/2006/relationships/hyperlink" Target="http://www.broadinstitute.org/gsea/msigdb/cards/GSE19888_ADENOSINE_A3R_INH_VS_INH_PRETREAT_AND_ACT_WITH_TCELL_MEMBRANES_MAST_CELL_UP.html" TargetMode="External"/><Relationship Id="rId3036" Type="http://schemas.openxmlformats.org/officeDocument/2006/relationships/hyperlink" Target="http://www.broadinstitute.org/gsea/msigdb/cards/GSE22196_HEALTHY_VS_OBESE_MOUSE_SKIN_GAMMADELTA_TCELL_DN.html" TargetMode="External"/><Relationship Id="rId3037" Type="http://schemas.openxmlformats.org/officeDocument/2006/relationships/hyperlink" Target="http://www.broadinstitute.org/gsea/msigdb/cards/GSE22935_WT_VS_MYD88_KO_MACROPHAGE_24H_MBOVIS_BCG_STIM_DN.html" TargetMode="External"/><Relationship Id="rId3038" Type="http://schemas.openxmlformats.org/officeDocument/2006/relationships/hyperlink" Target="http://www.broadinstitute.org/gsea/msigdb/cards/GSE22589_HEALTHY_VS_HIV_INFECTED_DC_DN.html" TargetMode="External"/><Relationship Id="rId3039" Type="http://schemas.openxmlformats.org/officeDocument/2006/relationships/hyperlink" Target="http://www.broadinstitute.org/gsea/msigdb/cards/GSE25123_CTRL_VS_IL4_STIM_PPARG_KO_MACROPHAGE_DN.html" TargetMode="External"/><Relationship Id="rId330" Type="http://schemas.openxmlformats.org/officeDocument/2006/relationships/hyperlink" Target="http://www.broadinstitute.org/gsea/msigdb/cards/GUTIERREZ_CHRONIC_LYMPHOCYTIC_LEUKEMIA_DN.html" TargetMode="External"/><Relationship Id="rId331" Type="http://schemas.openxmlformats.org/officeDocument/2006/relationships/hyperlink" Target="http://www.broadinstitute.org/gsea/msigdb/cards/REACTOME_SIGNALING_BY_RHO_GTPASES.html" TargetMode="External"/><Relationship Id="rId332" Type="http://schemas.openxmlformats.org/officeDocument/2006/relationships/hyperlink" Target="http://www.broadinstitute.org/gsea/msigdb/cards/REACTOME_IL_2_SIGNALING.html" TargetMode="External"/><Relationship Id="rId333" Type="http://schemas.openxmlformats.org/officeDocument/2006/relationships/hyperlink" Target="http://www.broadinstitute.org/gsea/msigdb/cards/TAKEDA_TARGETS_OF_NUP98_HOXA9_FUSION_6HR_DN.html" TargetMode="External"/><Relationship Id="rId334" Type="http://schemas.openxmlformats.org/officeDocument/2006/relationships/hyperlink" Target="http://www.broadinstitute.org/gsea/msigdb/cards/ROETH_TERT_TARGETS_DN.html" TargetMode="External"/><Relationship Id="rId335" Type="http://schemas.openxmlformats.org/officeDocument/2006/relationships/hyperlink" Target="http://www.broadinstitute.org/gsea/msigdb/cards/PID_TXA2PATHWAY.html" TargetMode="External"/><Relationship Id="rId336" Type="http://schemas.openxmlformats.org/officeDocument/2006/relationships/hyperlink" Target="http://www.broadinstitute.org/gsea/msigdb/cards/KEGG_B_CELL_RECEPTOR_SIGNALING_PATHWAY.html" TargetMode="External"/><Relationship Id="rId337" Type="http://schemas.openxmlformats.org/officeDocument/2006/relationships/hyperlink" Target="http://www.broadinstitute.org/gsea/msigdb/cards/REACTOME_INFLAMMASOMES.html" TargetMode="External"/><Relationship Id="rId338" Type="http://schemas.openxmlformats.org/officeDocument/2006/relationships/hyperlink" Target="http://www.broadinstitute.org/gsea/msigdb/cards/GRAESSMANN_RESPONSE_TO_MC_AND_SERUM_DEPRIVATION_UP.html" TargetMode="External"/><Relationship Id="rId339" Type="http://schemas.openxmlformats.org/officeDocument/2006/relationships/hyperlink" Target="http://www.broadinstitute.org/gsea/msigdb/cards/ROZANOV_MMP14_TARGETS_UP.html" TargetMode="External"/><Relationship Id="rId1580" Type="http://schemas.openxmlformats.org/officeDocument/2006/relationships/hyperlink" Target="http://www.broadinstitute.org/gsea/msigdb/cards/GO_RESPONSE_TO_MECHANICAL_STIMULUS.html" TargetMode="External"/><Relationship Id="rId1581" Type="http://schemas.openxmlformats.org/officeDocument/2006/relationships/hyperlink" Target="http://www.broadinstitute.org/gsea/msigdb/cards/GO_CALCIUM_ION_IMPORT.html" TargetMode="External"/><Relationship Id="rId1582" Type="http://schemas.openxmlformats.org/officeDocument/2006/relationships/hyperlink" Target="http://www.broadinstitute.org/gsea/msigdb/cards/GO_REGULATION_OF_REACTIVE_OXYGEN_SPECIES_BIOSYNTHETIC_PROCESS.html" TargetMode="External"/><Relationship Id="rId1583" Type="http://schemas.openxmlformats.org/officeDocument/2006/relationships/hyperlink" Target="http://www.broadinstitute.org/gsea/msigdb/cards/GO_RESPONSE_TO_INTERLEUKIN_4.html" TargetMode="External"/><Relationship Id="rId1584" Type="http://schemas.openxmlformats.org/officeDocument/2006/relationships/hyperlink" Target="http://www.broadinstitute.org/gsea/msigdb/cards/GO_REGULATION_OF_MAST_CELL_ACTIVATION_INVOLVED_IN_IMMUNE_RESPONSE.html" TargetMode="External"/><Relationship Id="rId1585" Type="http://schemas.openxmlformats.org/officeDocument/2006/relationships/hyperlink" Target="http://www.broadinstitute.org/gsea/msigdb/cards/GO_REGULATION_OF_IMMUNOGLOBULIN_PRODUCTION.html" TargetMode="External"/><Relationship Id="rId1586" Type="http://schemas.openxmlformats.org/officeDocument/2006/relationships/hyperlink" Target="http://www.broadinstitute.org/gsea/msigdb/cards/GO_CELLULAR_RESPONSE_TO_ORGANIC_CYCLIC_COMPOUND.html" TargetMode="External"/><Relationship Id="rId1587" Type="http://schemas.openxmlformats.org/officeDocument/2006/relationships/hyperlink" Target="http://www.broadinstitute.org/gsea/msigdb/cards/GO_POSITIVE_REGULATION_OF_CELLULAR_COMPONENT_ORGANIZATION.html" TargetMode="External"/><Relationship Id="rId1588" Type="http://schemas.openxmlformats.org/officeDocument/2006/relationships/hyperlink" Target="http://www.broadinstitute.org/gsea/msigdb/cards/GO_TOLL_LIKE_RECEPTOR_4_SIGNALING_PATHWAY.html" TargetMode="External"/><Relationship Id="rId1589" Type="http://schemas.openxmlformats.org/officeDocument/2006/relationships/hyperlink" Target="http://www.broadinstitute.org/gsea/msigdb/cards/GO_POSITIVE_REGULATION_OF_T_HELPER_CELL_DIFFERENTIATION.html" TargetMode="External"/><Relationship Id="rId4860" Type="http://schemas.openxmlformats.org/officeDocument/2006/relationships/hyperlink" Target="http://www.broadinstitute.org/gsea/msigdb/cards/GSE25123_CTRL_VS_IL4_AND_ROSIGLITAZONE_STIM_MACROPHAGE_UP.html" TargetMode="External"/><Relationship Id="rId4861" Type="http://schemas.openxmlformats.org/officeDocument/2006/relationships/hyperlink" Target="http://www.broadinstitute.org/gsea/msigdb/cards/GSE25123_CTRL_VS_IL4_STIM_MACROPHAGE_DN.html" TargetMode="External"/><Relationship Id="rId4862" Type="http://schemas.openxmlformats.org/officeDocument/2006/relationships/hyperlink" Target="http://www.broadinstitute.org/gsea/msigdb/cards/GSE16385_IFNG_TNF_VS_IL4_STIM_MACROPHAGE_ROSIGLITAZONE_TREATED_DN.html" TargetMode="External"/><Relationship Id="rId4863" Type="http://schemas.openxmlformats.org/officeDocument/2006/relationships/hyperlink" Target="http://www.broadinstitute.org/gsea/msigdb/cards/GSE25088_ROSIGLITAZONE_VS_IL4_AND_ROSIGLITAZONE_STIM_MACROPHAGE_DAY10_DN.html" TargetMode="External"/><Relationship Id="rId4864" Type="http://schemas.openxmlformats.org/officeDocument/2006/relationships/hyperlink" Target="http://www.broadinstitute.org/gsea/msigdb/cards/GSE25088_CTRL_VS_ROSIGLITAZONE_STIM_STAT6_KO_MACROPHAGE_DN.html" TargetMode="External"/><Relationship Id="rId4865" Type="http://schemas.openxmlformats.org/officeDocument/2006/relationships/hyperlink" Target="http://www.broadinstitute.org/gsea/msigdb/cards/GSE25088_CTRL_VS_IL4_STIM_MACROPHAGE_DN.html" TargetMode="External"/><Relationship Id="rId4866" Type="http://schemas.openxmlformats.org/officeDocument/2006/relationships/hyperlink" Target="http://www.broadinstitute.org/gsea/msigdb/cards/GSE16385_IL4_VS_ROSIGLITAZONE_STIM_MACROPHAGE_DN.html" TargetMode="External"/><Relationship Id="rId4867" Type="http://schemas.openxmlformats.org/officeDocument/2006/relationships/hyperlink" Target="http://www.broadinstitute.org/gsea/msigdb/cards/GSE16385_ROSIGLITAZONE_IL4_VS_IL4_ALONE_STIM_MACROPHAGE_12H_DN.html" TargetMode="External"/><Relationship Id="rId4868" Type="http://schemas.openxmlformats.org/officeDocument/2006/relationships/hyperlink" Target="http://www.broadinstitute.org/gsea/msigdb/cards/GSE17301_IFNA2_VS_IFNA5_STIM_ACD3_ACD28_ACT_CD8_TCELL_DN.html" TargetMode="External"/><Relationship Id="rId4869" Type="http://schemas.openxmlformats.org/officeDocument/2006/relationships/hyperlink" Target="http://www.broadinstitute.org/gsea/msigdb/cards/GSE17301_CTRL_VS_48H_ACD3_ACD28_IFNA2_STIM_CD8_TCELL_DN.html" TargetMode="External"/><Relationship Id="rId5220" Type="http://schemas.openxmlformats.org/officeDocument/2006/relationships/hyperlink" Target="http://www.broadinstitute.org/gsea/msigdb/cards/GSE22103_UNSTIM_VS_GMCSF_AND_IFNG_STIM_NEUTROPHIL_DN.html" TargetMode="External"/><Relationship Id="rId5221" Type="http://schemas.openxmlformats.org/officeDocument/2006/relationships/hyperlink" Target="http://www.broadinstitute.org/gsea/msigdb/cards/GSE24210_IL35_TREATED_VS_UNTREATED_TCONV_CD4_TCELL_UP.html" TargetMode="External"/><Relationship Id="rId5222" Type="http://schemas.openxmlformats.org/officeDocument/2006/relationships/hyperlink" Target="http://www.broadinstitute.org/gsea/msigdb/cards/GSE23505_UNTREATED_VS_4DAY_IL6_IL1_TREATED_CD4_TCELL_DN.html" TargetMode="External"/><Relationship Id="rId5223" Type="http://schemas.openxmlformats.org/officeDocument/2006/relationships/hyperlink" Target="http://www.broadinstitute.org/gsea/msigdb/cards/GSE23505_IL6_IL1_VS_IL6_IL1_IL23_TREATED_CD4_TCELL_UP.html" TargetMode="External"/><Relationship Id="rId5224" Type="http://schemas.openxmlformats.org/officeDocument/2006/relationships/hyperlink" Target="http://www.broadinstitute.org/gsea/msigdb/cards/GSE23505_IL6_IL1_VS_IL6_IL1_TGFB_TREATED_CD4_TCELL_UP.html" TargetMode="External"/><Relationship Id="rId5225" Type="http://schemas.openxmlformats.org/officeDocument/2006/relationships/hyperlink" Target="http://www.broadinstitute.org/gsea/msigdb/cards/GSE16385_MONOCYTE_VS_MACROPHAGE_DN.html" TargetMode="External"/><Relationship Id="rId5226" Type="http://schemas.openxmlformats.org/officeDocument/2006/relationships/hyperlink" Target="http://www.broadinstitute.org/gsea/msigdb/cards/GSE25123_WT_VS_PPARG_KO_MACROPHAGE_IL4_AND_ROSIGLITAZONE_STIM_DN.html" TargetMode="External"/><Relationship Id="rId5227" Type="http://schemas.openxmlformats.org/officeDocument/2006/relationships/hyperlink" Target="http://www.broadinstitute.org/gsea/msigdb/cards/GSE25123_ROSIGLITAZONE_VS_IL4_AND_ROSIGLITAZONE_STIM_MACROPHAGE_DAY10_UP.html" TargetMode="External"/><Relationship Id="rId5228" Type="http://schemas.openxmlformats.org/officeDocument/2006/relationships/hyperlink" Target="http://www.broadinstitute.org/gsea/msigdb/cards/GSE16385_ROSIGLITAZONE_IFNG_TNF_VS_IL4_STIM_MACROPHAGE_DN.html" TargetMode="External"/><Relationship Id="rId5229" Type="http://schemas.openxmlformats.org/officeDocument/2006/relationships/hyperlink" Target="http://www.broadinstitute.org/gsea/msigdb/cards/GSE19941_IL10_KO_VS_IL10_KO_AND_NFKBP50_KO_LPS_STIM_MACROPHAGE_UP.html" TargetMode="External"/><Relationship Id="rId3770" Type="http://schemas.openxmlformats.org/officeDocument/2006/relationships/hyperlink" Target="http://www.broadinstitute.org/gsea/msigdb/cards/GSE28449_WT_VS_LRF_KO_GERMINAL_CENTER_BCELL_UP.html" TargetMode="External"/><Relationship Id="rId3771" Type="http://schemas.openxmlformats.org/officeDocument/2006/relationships/hyperlink" Target="http://www.broadinstitute.org/gsea/msigdb/cards/GSE28783_ANTI_MIR33_VS_UNTREATED_ATHEROSCLEROSIS_MACROPHAGE_DN.html" TargetMode="External"/><Relationship Id="rId3772" Type="http://schemas.openxmlformats.org/officeDocument/2006/relationships/hyperlink" Target="http://www.broadinstitute.org/gsea/msigdb/cards/GSE29949_MICROGLIA_BRAIN_VS_MONOCYTE_BONE_MARROW_UP.html" TargetMode="External"/><Relationship Id="rId3773" Type="http://schemas.openxmlformats.org/officeDocument/2006/relationships/hyperlink" Target="http://www.broadinstitute.org/gsea/msigdb/cards/GSE29949_CD8_NEG_DC_SPLEEN_VS_DC_BRAIN_DN.html" TargetMode="External"/><Relationship Id="rId3774" Type="http://schemas.openxmlformats.org/officeDocument/2006/relationships/hyperlink" Target="http://www.broadinstitute.org/gsea/msigdb/cards/GSE30153_LUPUS_VS_HEALTHY_DONOR_BCELL_UP.html" TargetMode="External"/><Relationship Id="rId3775" Type="http://schemas.openxmlformats.org/officeDocument/2006/relationships/hyperlink" Target="http://www.broadinstitute.org/gsea/msigdb/cards/GSE24814_STAT5_KO_VS_WT_PRE_BCELL_DN.html" TargetMode="External"/><Relationship Id="rId3776" Type="http://schemas.openxmlformats.org/officeDocument/2006/relationships/hyperlink" Target="http://www.broadinstitute.org/gsea/msigdb/cards/GSE29164_CD8_TCELL_VS_CD8_TCELL_AND_IL12_TREATED_MELANOMA_DAY3_DN.html" TargetMode="External"/><Relationship Id="rId3777" Type="http://schemas.openxmlformats.org/officeDocument/2006/relationships/hyperlink" Target="http://www.broadinstitute.org/gsea/msigdb/cards/GSE33374_CD8_ALPHAALPHA_VS_ALPHABETA_CD161_HIGH_TCELL_UP.html" TargetMode="External"/><Relationship Id="rId3778" Type="http://schemas.openxmlformats.org/officeDocument/2006/relationships/hyperlink" Target="http://www.broadinstitute.org/gsea/msigdb/cards/GSE26030_UNSTIM_VS_RESTIM_TH17_DAY5_POST_POLARIZATION_DN.html" TargetMode="External"/><Relationship Id="rId3779" Type="http://schemas.openxmlformats.org/officeDocument/2006/relationships/hyperlink" Target="http://www.broadinstitute.org/gsea/msigdb/cards/GSE27859_MACROPHAGE_VS_CD11C_INT_F480_HI_MACROPHAGE_UP.html" TargetMode="External"/><Relationship Id="rId4130" Type="http://schemas.openxmlformats.org/officeDocument/2006/relationships/hyperlink" Target="http://www.broadinstitute.org/gsea/msigdb/cards/GSE17974_0H_VS_4H_IN_VITRO_ACT_CD4_TCELL_DN.html" TargetMode="External"/><Relationship Id="rId4131" Type="http://schemas.openxmlformats.org/officeDocument/2006/relationships/hyperlink" Target="http://www.broadinstitute.org/gsea/msigdb/cards/GSE17974_0H_VS_12H_IN_VITRO_ACT_CD4_TCELL_UP.html" TargetMode="External"/><Relationship Id="rId4132" Type="http://schemas.openxmlformats.org/officeDocument/2006/relationships/hyperlink" Target="http://www.broadinstitute.org/gsea/msigdb/cards/GSE17974_0H_VS_72H_IN_VITRO_ACT_CD4_TCELL_UP.html" TargetMode="External"/><Relationship Id="rId4133" Type="http://schemas.openxmlformats.org/officeDocument/2006/relationships/hyperlink" Target="http://www.broadinstitute.org/gsea/msigdb/cards/GSE17974_CTRL_VS_ACT_IL4_AND_ANTI_IL12_6H_CD4_TCELL_DN.html" TargetMode="External"/><Relationship Id="rId4134" Type="http://schemas.openxmlformats.org/officeDocument/2006/relationships/hyperlink" Target="http://www.broadinstitute.org/gsea/msigdb/cards/GSE17974_IL4_AND_ANTI_IL12_VS_UNTREATED_4H_ACT_CD4_TCELL_DN.html" TargetMode="External"/><Relationship Id="rId4135" Type="http://schemas.openxmlformats.org/officeDocument/2006/relationships/hyperlink" Target="http://www.broadinstitute.org/gsea/msigdb/cards/GSE17974_IL4_AND_ANTI_IL12_VS_UNTREATED_24H_ACT_CD4_TCELL_UP.html" TargetMode="External"/><Relationship Id="rId4136" Type="http://schemas.openxmlformats.org/officeDocument/2006/relationships/hyperlink" Target="http://www.broadinstitute.org/gsea/msigdb/cards/GSE20366_TREG_VS_TCONV_UP.html" TargetMode="External"/><Relationship Id="rId4137" Type="http://schemas.openxmlformats.org/officeDocument/2006/relationships/hyperlink" Target="http://www.broadinstitute.org/gsea/msigdb/cards/GSE20366_EX_VIVO_VS_HOMEOSTATIC_CONVERSION_NAIVE_CD4_TCELL_UP.html" TargetMode="External"/><Relationship Id="rId4138" Type="http://schemas.openxmlformats.org/officeDocument/2006/relationships/hyperlink" Target="http://www.broadinstitute.org/gsea/msigdb/cards/GSE22886_NAIVE_CD4_TCELL_VS_MEMORY_TCELL_DN.html" TargetMode="External"/><Relationship Id="rId4139" Type="http://schemas.openxmlformats.org/officeDocument/2006/relationships/hyperlink" Target="http://www.broadinstitute.org/gsea/msigdb/cards/GSE22886_UNSTIM_VS_IL15_STIM_NKCELL_UP.html" TargetMode="External"/><Relationship Id="rId2680" Type="http://schemas.openxmlformats.org/officeDocument/2006/relationships/hyperlink" Target="http://www.broadinstitute.org/gsea/msigdb/cards/GSE18791_CTRL_VS_NEWCASTLE_VIRUS_DC_6H_DN.html" TargetMode="External"/><Relationship Id="rId2681" Type="http://schemas.openxmlformats.org/officeDocument/2006/relationships/hyperlink" Target="http://www.broadinstitute.org/gsea/msigdb/cards/GSE22886_NAIVE_CD8_TCELL_VS_NKCELL_UP.html" TargetMode="External"/><Relationship Id="rId2682" Type="http://schemas.openxmlformats.org/officeDocument/2006/relationships/hyperlink" Target="http://www.broadinstitute.org/gsea/msigdb/cards/GSE22886_TCELL_VS_BCELL_NAIVE_DN.html" TargetMode="External"/><Relationship Id="rId2683" Type="http://schemas.openxmlformats.org/officeDocument/2006/relationships/hyperlink" Target="http://www.broadinstitute.org/gsea/msigdb/cards/GSE24142_DN2_VS_DN3_THYMOCYTE_FETAL_DN.html" TargetMode="External"/><Relationship Id="rId2684" Type="http://schemas.openxmlformats.org/officeDocument/2006/relationships/hyperlink" Target="http://www.broadinstitute.org/gsea/msigdb/cards/GSE24634_IL4_VS_CTRL_TREATED_NAIVE_CD4_TCELL_DAY10_UP.html" TargetMode="External"/><Relationship Id="rId2685" Type="http://schemas.openxmlformats.org/officeDocument/2006/relationships/hyperlink" Target="http://www.broadinstitute.org/gsea/msigdb/cards/GSE2706_UNSTIM_VS_2H_LPS_AND_R848_DC_DN.html" TargetMode="External"/><Relationship Id="rId2686" Type="http://schemas.openxmlformats.org/officeDocument/2006/relationships/hyperlink" Target="http://www.broadinstitute.org/gsea/msigdb/cards/GSE29618_BCELL_VS_PDC_DN.html" TargetMode="External"/><Relationship Id="rId2687" Type="http://schemas.openxmlformats.org/officeDocument/2006/relationships/hyperlink" Target="http://www.broadinstitute.org/gsea/msigdb/cards/GSE3337_CTRL_VS_16H_IFNG_IN_CD8POS_DC_DN.html" TargetMode="External"/><Relationship Id="rId2688" Type="http://schemas.openxmlformats.org/officeDocument/2006/relationships/hyperlink" Target="http://www.broadinstitute.org/gsea/msigdb/cards/GSE360_T_GONDII_VS_B_MALAYI_LOW_DOSE_DC_DN.html" TargetMode="External"/><Relationship Id="rId2689" Type="http://schemas.openxmlformats.org/officeDocument/2006/relationships/hyperlink" Target="http://www.broadinstitute.org/gsea/msigdb/cards/GSE360_HIGH_DOSE_B_MALAYI_VS_M_TUBERCULOSIS_DC_DN.html" TargetMode="External"/><Relationship Id="rId3040" Type="http://schemas.openxmlformats.org/officeDocument/2006/relationships/hyperlink" Target="http://www.broadinstitute.org/gsea/msigdb/cards/GSE24972_MARGINAL_ZONE_BCELL_VS_FOLLICULAR_BCELL_DN.html" TargetMode="External"/><Relationship Id="rId3041" Type="http://schemas.openxmlformats.org/officeDocument/2006/relationships/hyperlink" Target="http://www.broadinstitute.org/gsea/msigdb/cards/GSE24972_MARGINAL_ZONE_BCELL_VS_FOLLICULAR_BCELL_IRF8_KO_UP.html" TargetMode="External"/><Relationship Id="rId3042" Type="http://schemas.openxmlformats.org/officeDocument/2006/relationships/hyperlink" Target="http://www.broadinstitute.org/gsea/msigdb/cards/GSE22443_NAIVE_VS_ACT_AND_IL12_TREATED_CD8_TCELL_UP.html" TargetMode="External"/><Relationship Id="rId3043" Type="http://schemas.openxmlformats.org/officeDocument/2006/relationships/hyperlink" Target="http://www.broadinstitute.org/gsea/msigdb/cards/GSE23568_CTRL_VS_ID3_TRANSDUCED_CD8_TCELL_UP.html" TargetMode="External"/><Relationship Id="rId3044" Type="http://schemas.openxmlformats.org/officeDocument/2006/relationships/hyperlink" Target="http://www.broadinstitute.org/gsea/msigdb/cards/GSE33424_CD161_HIGH_VS_INT_CD8_TCELL_DN.html" TargetMode="External"/><Relationship Id="rId3045" Type="http://schemas.openxmlformats.org/officeDocument/2006/relationships/hyperlink" Target="http://www.broadinstitute.org/gsea/msigdb/cards/GSE33424_CD161_HIGH_VS_NEG_CD8_TCELL_DN.html" TargetMode="External"/><Relationship Id="rId3046" Type="http://schemas.openxmlformats.org/officeDocument/2006/relationships/hyperlink" Target="http://www.broadinstitute.org/gsea/msigdb/cards/GSE33425_CD161_HIGH_VS_NEG_CD8_TCELL_UP.html" TargetMode="External"/><Relationship Id="rId3047" Type="http://schemas.openxmlformats.org/officeDocument/2006/relationships/hyperlink" Target="http://www.broadinstitute.org/gsea/msigdb/cards/GSE26030_TH1_VS_TH17_DAY5_POST_POLARIZATION_DN.html" TargetMode="External"/><Relationship Id="rId3048" Type="http://schemas.openxmlformats.org/officeDocument/2006/relationships/hyperlink" Target="http://www.broadinstitute.org/gsea/msigdb/cards/GSE26343_WT_VS_NFAT5_KO_MACROPHAGE_DN.html" TargetMode="External"/><Relationship Id="rId3049" Type="http://schemas.openxmlformats.org/officeDocument/2006/relationships/hyperlink" Target="http://www.broadinstitute.org/gsea/msigdb/cards/GSE30971_CTRL_VS_LPS_STIM_MACROPHAGE_WBP7_HET_4H_UP.html" TargetMode="External"/><Relationship Id="rId340" Type="http://schemas.openxmlformats.org/officeDocument/2006/relationships/hyperlink" Target="http://www.broadinstitute.org/gsea/msigdb/cards/BIOCARTA_INFLAM_PATHWAY.html" TargetMode="External"/><Relationship Id="rId341" Type="http://schemas.openxmlformats.org/officeDocument/2006/relationships/hyperlink" Target="http://www.broadinstitute.org/gsea/msigdb/cards/PID_INTEGRIN2_PATHWAY.html" TargetMode="External"/><Relationship Id="rId342" Type="http://schemas.openxmlformats.org/officeDocument/2006/relationships/hyperlink" Target="http://www.broadinstitute.org/gsea/msigdb/cards/GENTLES_LEUKEMIC_STEM_CELL_UP.html" TargetMode="External"/><Relationship Id="rId343" Type="http://schemas.openxmlformats.org/officeDocument/2006/relationships/hyperlink" Target="http://www.broadinstitute.org/gsea/msigdb/cards/REACTOME_IL_3_5_AND_GM_CSF_SIGNALING.html" TargetMode="External"/><Relationship Id="rId344" Type="http://schemas.openxmlformats.org/officeDocument/2006/relationships/hyperlink" Target="http://www.broadinstitute.org/gsea/msigdb/cards/LINDGREN_BLADDER_CANCER_CLUSTER_2A_DN.html" TargetMode="External"/><Relationship Id="rId345" Type="http://schemas.openxmlformats.org/officeDocument/2006/relationships/hyperlink" Target="http://www.broadinstitute.org/gsea/msigdb/cards/ROSS_LEUKEMIA_WITH_MLL_FUSIONS.html" TargetMode="External"/><Relationship Id="rId346" Type="http://schemas.openxmlformats.org/officeDocument/2006/relationships/hyperlink" Target="http://www.broadinstitute.org/gsea/msigdb/cards/MIKKELSEN_ES_LCP_WITH_H3K4ME3.html" TargetMode="External"/><Relationship Id="rId347" Type="http://schemas.openxmlformats.org/officeDocument/2006/relationships/hyperlink" Target="http://www.broadinstitute.org/gsea/msigdb/cards/STEARMAN_LUNG_CANCER_EARLY_VS_LATE_DN.html" TargetMode="External"/><Relationship Id="rId348" Type="http://schemas.openxmlformats.org/officeDocument/2006/relationships/hyperlink" Target="http://www.broadinstitute.org/gsea/msigdb/cards/GAVIN_FOXP3_TARGETS_CLUSTER_P4.html" TargetMode="External"/><Relationship Id="rId349" Type="http://schemas.openxmlformats.org/officeDocument/2006/relationships/hyperlink" Target="http://www.broadinstitute.org/gsea/msigdb/cards/REACTOME_GPVI_MEDIATED_ACTIVATION_CASCADE.html" TargetMode="External"/><Relationship Id="rId1590" Type="http://schemas.openxmlformats.org/officeDocument/2006/relationships/hyperlink" Target="http://www.broadinstitute.org/gsea/msigdb/cards/GO_ANTIGEN_PROCESSING_AND_PRESENTATION_OF_EXOGENOUS_PEPTIDE_ANTIGEN_VIA_MHC_CLASS_I.html" TargetMode="External"/><Relationship Id="rId1591" Type="http://schemas.openxmlformats.org/officeDocument/2006/relationships/hyperlink" Target="http://www.broadinstitute.org/gsea/msigdb/cards/GO_CALCIUM_ION_TRANSMEMBRANE_TRANSPORT.html" TargetMode="External"/><Relationship Id="rId1592" Type="http://schemas.openxmlformats.org/officeDocument/2006/relationships/hyperlink" Target="http://www.broadinstitute.org/gsea/msigdb/cards/GO_RESPONSE_TO_ENDOGENOUS_STIMULUS.html" TargetMode="External"/><Relationship Id="rId1593" Type="http://schemas.openxmlformats.org/officeDocument/2006/relationships/hyperlink" Target="http://www.broadinstitute.org/gsea/msigdb/cards/GO_IMMUNOGLOBULIN_PRODUCTION.html" TargetMode="External"/><Relationship Id="rId1594" Type="http://schemas.openxmlformats.org/officeDocument/2006/relationships/hyperlink" Target="http://www.broadinstitute.org/gsea/msigdb/cards/GO_REGULATION_OF_NF_KAPPAB_IMPORT_INTO_NUCLEUS.html" TargetMode="External"/><Relationship Id="rId1595" Type="http://schemas.openxmlformats.org/officeDocument/2006/relationships/hyperlink" Target="http://www.broadinstitute.org/gsea/msigdb/cards/GO_POSITIVE_REGULATION_OF_STRESS_ACTIVATED_PROTEIN_KINASE_SIGNALING_CASCADE.html" TargetMode="External"/><Relationship Id="rId1596" Type="http://schemas.openxmlformats.org/officeDocument/2006/relationships/hyperlink" Target="http://www.broadinstitute.org/gsea/msigdb/cards/GO_REGULATION_OF_TYPE_I_INTERFERON_PRODUCTION.html" TargetMode="External"/><Relationship Id="rId1597" Type="http://schemas.openxmlformats.org/officeDocument/2006/relationships/hyperlink" Target="http://www.broadinstitute.org/gsea/msigdb/cards/GO_SIGNAL_TRANSDUCTION_BY_PROTEIN_PHOSPHORYLATION.html" TargetMode="External"/><Relationship Id="rId1598" Type="http://schemas.openxmlformats.org/officeDocument/2006/relationships/hyperlink" Target="http://www.broadinstitute.org/gsea/msigdb/cards/GO_REGULATION_OF_TOLL_LIKE_RECEPTOR_SIGNALING_PATHWAY.html" TargetMode="External"/><Relationship Id="rId1599" Type="http://schemas.openxmlformats.org/officeDocument/2006/relationships/hyperlink" Target="http://www.broadinstitute.org/gsea/msigdb/cards/GO_NEGATIVE_REGULATION_OF_NF_KAPPAB_TRANSCRIPTION_FACTOR_ACTIVITY.html" TargetMode="External"/><Relationship Id="rId4870" Type="http://schemas.openxmlformats.org/officeDocument/2006/relationships/hyperlink" Target="http://www.broadinstitute.org/gsea/msigdb/cards/GSE17301_ACD3_ACD28_VS_ACD3_ACD28_AND_IFNA2_STIM_CD8_TCELL_DN.html" TargetMode="External"/><Relationship Id="rId4871" Type="http://schemas.openxmlformats.org/officeDocument/2006/relationships/hyperlink" Target="http://www.broadinstitute.org/gsea/msigdb/cards/GSE17301_CTRL_VS_48H_ACD3_ACD28_IFNA5_STIM_CD8_TCELL_DN.html" TargetMode="External"/><Relationship Id="rId4872" Type="http://schemas.openxmlformats.org/officeDocument/2006/relationships/hyperlink" Target="http://www.broadinstitute.org/gsea/msigdb/cards/GSE24726_WT_VS_E2_2_KO_PDC_UP.html" TargetMode="External"/><Relationship Id="rId4873" Type="http://schemas.openxmlformats.org/officeDocument/2006/relationships/hyperlink" Target="http://www.broadinstitute.org/gsea/msigdb/cards/GSE24972_WT_VS_IRF8_KO_MARGINAL_ZONE_SPLEEN_BCELL_UP.html" TargetMode="External"/><Relationship Id="rId4874" Type="http://schemas.openxmlformats.org/officeDocument/2006/relationships/hyperlink" Target="http://www.broadinstitute.org/gsea/msigdb/cards/GSE22611_UNSTIM_VS_6H_MDP_STIM_MUTANT_NOD2_TRANSDUCED_HEK293T_CELL_DN.html" TargetMode="External"/><Relationship Id="rId4875" Type="http://schemas.openxmlformats.org/officeDocument/2006/relationships/hyperlink" Target="http://www.broadinstitute.org/gsea/msigdb/cards/GSE26488_WT_VS_VP16_TRANSGENIC_HDAC7_KO_DOUBLE_POSITIVE_THYMOCYTE_UP.html" TargetMode="External"/><Relationship Id="rId4876" Type="http://schemas.openxmlformats.org/officeDocument/2006/relationships/hyperlink" Target="http://www.broadinstitute.org/gsea/msigdb/cards/GSE27670_CTRL_VS_BLIMP1_TRANSDUCED_GC_BCELL_UP.html" TargetMode="External"/><Relationship Id="rId4877" Type="http://schemas.openxmlformats.org/officeDocument/2006/relationships/hyperlink" Target="http://www.broadinstitute.org/gsea/msigdb/cards/GSE21063_CTRL_VS_ANTI_IGM_STIM_BCELL_NFATC1_KO_16H_DN.html" TargetMode="External"/><Relationship Id="rId4878" Type="http://schemas.openxmlformats.org/officeDocument/2006/relationships/hyperlink" Target="http://www.broadinstitute.org/gsea/msigdb/cards/GSE23114_WT_VS_SLE2C1_MOUSE_PERITONEAL_CAVITY_B1A_BCELL_UP.html" TargetMode="External"/><Relationship Id="rId4879" Type="http://schemas.openxmlformats.org/officeDocument/2006/relationships/hyperlink" Target="http://www.broadinstitute.org/gsea/msigdb/cards/GSE26156_DOUBLE_POSITIVE_VS_CD4_SINGLE_POSITIVE_THYMOCYTE_DN.html" TargetMode="External"/><Relationship Id="rId5230" Type="http://schemas.openxmlformats.org/officeDocument/2006/relationships/hyperlink" Target="http://www.broadinstitute.org/gsea/msigdb/cards/GSE25846_IL10_POS_VS_NEG_CD8_TCELL_DAY7_POST_CORONAVIRUS_BRAIN_UP.html" TargetMode="External"/><Relationship Id="rId5231" Type="http://schemas.openxmlformats.org/officeDocument/2006/relationships/hyperlink" Target="http://www.broadinstitute.org/gsea/msigdb/cards/GSE22611_NOD2_TRANSD_VS_CTRL_TRANSD_HEK293_MDP_STIM_2H_UP.html" TargetMode="External"/><Relationship Id="rId5232" Type="http://schemas.openxmlformats.org/officeDocument/2006/relationships/hyperlink" Target="http://www.broadinstitute.org/gsea/msigdb/cards/GSE22611_MUTANT_NOD2_VS_CTRL_TRANSDUCED_HEK293T_CELL_UP.html" TargetMode="External"/><Relationship Id="rId5233" Type="http://schemas.openxmlformats.org/officeDocument/2006/relationships/hyperlink" Target="http://www.broadinstitute.org/gsea/msigdb/cards/GSE26488_HDAC7_KO_VS_VP16_TRANSGENIC_HDAC7_KO_DOUBLE_POSITIVE_THYMOCYTE_UP.html" TargetMode="External"/><Relationship Id="rId5234" Type="http://schemas.openxmlformats.org/officeDocument/2006/relationships/hyperlink" Target="http://www.broadinstitute.org/gsea/msigdb/cards/GSE25502_WT_VS_KLF13_KO_THYMIC_MEMORY_LIKE_CD8_TCELL_UP.html" TargetMode="External"/><Relationship Id="rId5235" Type="http://schemas.openxmlformats.org/officeDocument/2006/relationships/hyperlink" Target="http://www.broadinstitute.org/gsea/msigdb/cards/GSE28726_NAIVE_CD4_TCELL_VS_NAIVE_VA24NEG_NKTCELL_UP.html" TargetMode="External"/><Relationship Id="rId5236" Type="http://schemas.openxmlformats.org/officeDocument/2006/relationships/hyperlink" Target="http://www.broadinstitute.org/gsea/msigdb/cards/GSE28726_NAIVE_VS_ACTIVATED_VA24NEG_NKTCELL_UP.html" TargetMode="External"/><Relationship Id="rId5237" Type="http://schemas.openxmlformats.org/officeDocument/2006/relationships/hyperlink" Target="http://www.broadinstitute.org/gsea/msigdb/cards/GSE24574_BCL6_HIGH_TFH_VS_TFH_CD4_TCELL_DN.html" TargetMode="External"/><Relationship Id="rId5238" Type="http://schemas.openxmlformats.org/officeDocument/2006/relationships/hyperlink" Target="http://www.broadinstitute.org/gsea/msigdb/cards/GSE24574_BCL6_LOW_TFH_VS_NAIVE_CD4_TCELL_DN.html" TargetMode="External"/><Relationship Id="rId5239" Type="http://schemas.openxmlformats.org/officeDocument/2006/relationships/hyperlink" Target="http://www.broadinstitute.org/gsea/msigdb/cards/GSE22025_UNTREATED_VS_TGFB1_AND_PROGESTERONE_TREATED_CD4_TCELL_DN.html" TargetMode="External"/><Relationship Id="rId3780" Type="http://schemas.openxmlformats.org/officeDocument/2006/relationships/hyperlink" Target="http://www.broadinstitute.org/gsea/msigdb/cards/GSE32986_CURDLAN_HIGHDOSE_VS_GMCSF_AND_CURDLAN_HIGHDOSE_STIM_DC_UP.html" TargetMode="External"/><Relationship Id="rId3781" Type="http://schemas.openxmlformats.org/officeDocument/2006/relationships/hyperlink" Target="http://www.broadinstitute.org/gsea/msigdb/cards/GSE35825_IFNA_VS_IFNG_STIM_MACROPHAGE_DN.html" TargetMode="External"/><Relationship Id="rId3782" Type="http://schemas.openxmlformats.org/officeDocument/2006/relationships/hyperlink" Target="http://www.broadinstitute.org/gsea/msigdb/cards/GSE37605_C57BL6_VS_NOD_FOXP3_IRES_GFP_TREG_DN.html" TargetMode="External"/><Relationship Id="rId3783" Type="http://schemas.openxmlformats.org/officeDocument/2006/relationships/hyperlink" Target="http://www.broadinstitute.org/gsea/msigdb/cards/GSE37301_COMMON_LYMPHOID_PROGENITOR_VS_RAG2_KO_NK_CELL_UP.html" TargetMode="External"/><Relationship Id="rId3784" Type="http://schemas.openxmlformats.org/officeDocument/2006/relationships/hyperlink" Target="http://www.broadinstitute.org/gsea/msigdb/cards/GSE37301_HEMATOPOIETIC_STEM_CELL_VS_RAG2_KO_NK_CELL_UP.html" TargetMode="External"/><Relationship Id="rId3785" Type="http://schemas.openxmlformats.org/officeDocument/2006/relationships/hyperlink" Target="http://www.broadinstitute.org/gsea/msigdb/cards/GSE37532_WT_VS_PPARG_KO_LN_TCONV_UP.html" TargetMode="External"/><Relationship Id="rId3786" Type="http://schemas.openxmlformats.org/officeDocument/2006/relationships/hyperlink" Target="http://www.broadinstitute.org/gsea/msigdb/cards/GSE32034_LY6C_HIGH_VS_LOW_ROSIGLIZATONE_TREATED_MONOCYTE_UP.html" TargetMode="External"/><Relationship Id="rId3787" Type="http://schemas.openxmlformats.org/officeDocument/2006/relationships/hyperlink" Target="http://www.broadinstitute.org/gsea/msigdb/cards/GSE40274_FOXP3_VS_FOXP3_AND_PBX1_TRANSDUCED_ACTIVATED_CD4_TCELL_DN.html" TargetMode="External"/><Relationship Id="rId3788" Type="http://schemas.openxmlformats.org/officeDocument/2006/relationships/hyperlink" Target="http://www.broadinstitute.org/gsea/msigdb/cards/GSE40443_INDUCED_VS_TOTAL_TREG_UP.html" TargetMode="External"/><Relationship Id="rId3789" Type="http://schemas.openxmlformats.org/officeDocument/2006/relationships/hyperlink" Target="http://www.broadinstitute.org/gsea/msigdb/cards/GSE40666_WT_VS_STAT1_KO_CD8_TCELL_DN.html" TargetMode="External"/><Relationship Id="rId4140" Type="http://schemas.openxmlformats.org/officeDocument/2006/relationships/hyperlink" Target="http://www.broadinstitute.org/gsea/msigdb/cards/GSE24142_DN2_VS_DN3_THYMOCYTE_ADULT_DN.html" TargetMode="External"/><Relationship Id="rId4141" Type="http://schemas.openxmlformats.org/officeDocument/2006/relationships/hyperlink" Target="http://www.broadinstitute.org/gsea/msigdb/cards/GSE26669_CTRL_VS_COSTIM_BLOCK_MLR_CD4_TCELL_DN.html" TargetMode="External"/><Relationship Id="rId4142" Type="http://schemas.openxmlformats.org/officeDocument/2006/relationships/hyperlink" Target="http://www.broadinstitute.org/gsea/msigdb/cards/GSE26669_CTRL_VS_COSTIM_BLOCK_MLR_CD8_TCELL_UP.html" TargetMode="External"/><Relationship Id="rId4143" Type="http://schemas.openxmlformats.org/officeDocument/2006/relationships/hyperlink" Target="http://www.broadinstitute.org/gsea/msigdb/cards/GSE2706_UNSTIM_VS_8H_LPS_AND_R848_DC_UP.html" TargetMode="External"/><Relationship Id="rId4144" Type="http://schemas.openxmlformats.org/officeDocument/2006/relationships/hyperlink" Target="http://www.broadinstitute.org/gsea/msigdb/cards/GSE2706_R848_VS_LPS_2H_STIM_DC_DN.html" TargetMode="External"/><Relationship Id="rId4145" Type="http://schemas.openxmlformats.org/officeDocument/2006/relationships/hyperlink" Target="http://www.broadinstitute.org/gsea/msigdb/cards/GSE27786_LSK_VS_NKTCELL_DN.html" TargetMode="External"/><Relationship Id="rId4146" Type="http://schemas.openxmlformats.org/officeDocument/2006/relationships/hyperlink" Target="http://www.broadinstitute.org/gsea/msigdb/cards/GSE27786_LSK_VS_NEUTROPHIL_DN.html" TargetMode="External"/><Relationship Id="rId4147" Type="http://schemas.openxmlformats.org/officeDocument/2006/relationships/hyperlink" Target="http://www.broadinstitute.org/gsea/msigdb/cards/GSE27786_LIN_NEG_VS_CD8_TCELL_DN.html" TargetMode="External"/><Relationship Id="rId4148" Type="http://schemas.openxmlformats.org/officeDocument/2006/relationships/hyperlink" Target="http://www.broadinstitute.org/gsea/msigdb/cards/GSE27786_LIN_NEG_VS_NKTCELL_DN.html" TargetMode="External"/><Relationship Id="rId4149" Type="http://schemas.openxmlformats.org/officeDocument/2006/relationships/hyperlink" Target="http://www.broadinstitute.org/gsea/msigdb/cards/GSE2826_WT_VS_BTK_KO_BCELL_UP.html" TargetMode="External"/><Relationship Id="rId2690" Type="http://schemas.openxmlformats.org/officeDocument/2006/relationships/hyperlink" Target="http://www.broadinstitute.org/gsea/msigdb/cards/GSE360_HIGH_DOSE_B_MALAYI_VS_M_TUBERCULOSIS_MAC_UP.html" TargetMode="External"/><Relationship Id="rId2691" Type="http://schemas.openxmlformats.org/officeDocument/2006/relationships/hyperlink" Target="http://www.broadinstitute.org/gsea/msigdb/cards/GSE36476_CTRL_VS_TSST_ACT_16H_MEMORY_CD4_TCELL_YOUNG_UP.html" TargetMode="External"/><Relationship Id="rId2692" Type="http://schemas.openxmlformats.org/officeDocument/2006/relationships/hyperlink" Target="http://www.broadinstitute.org/gsea/msigdb/cards/GSE3982_CTRL_VS_LPS_4H_MAC_DN.html" TargetMode="External"/><Relationship Id="rId2693" Type="http://schemas.openxmlformats.org/officeDocument/2006/relationships/hyperlink" Target="http://www.broadinstitute.org/gsea/msigdb/cards/GSE3982_EOSINOPHIL_VS_MAST_CELL_UP.html" TargetMode="External"/><Relationship Id="rId2694" Type="http://schemas.openxmlformats.org/officeDocument/2006/relationships/hyperlink" Target="http://www.broadinstitute.org/gsea/msigdb/cards/GSE3982_EOSINOPHIL_VS_CENT_MEMORY_CD4_TCELL_UP.html" TargetMode="External"/><Relationship Id="rId2695" Type="http://schemas.openxmlformats.org/officeDocument/2006/relationships/hyperlink" Target="http://www.broadinstitute.org/gsea/msigdb/cards/GSE3982_BCELL_VS_NKCELL_UP.html" TargetMode="External"/><Relationship Id="rId2696" Type="http://schemas.openxmlformats.org/officeDocument/2006/relationships/hyperlink" Target="http://www.broadinstitute.org/gsea/msigdb/cards/GSE3982_BCELL_VS_TH2_UP.html" TargetMode="External"/><Relationship Id="rId2697" Type="http://schemas.openxmlformats.org/officeDocument/2006/relationships/hyperlink" Target="http://www.broadinstitute.org/gsea/msigdb/cards/GSE39820_CTRL_VS_IL1B_IL6_IL23A_CD4_TCELL_UP.html" TargetMode="External"/><Relationship Id="rId2698" Type="http://schemas.openxmlformats.org/officeDocument/2006/relationships/hyperlink" Target="http://www.broadinstitute.org/gsea/msigdb/cards/GSE7460_FOXP3_MUT_VS_WT_ACT_WITH_TGFB_TCONV_UP.html" TargetMode="External"/><Relationship Id="rId2699" Type="http://schemas.openxmlformats.org/officeDocument/2006/relationships/hyperlink" Target="http://www.broadinstitute.org/gsea/msigdb/cards/GSE7852_LN_VS_THYMUS_TREG_UP.html" TargetMode="External"/><Relationship Id="rId3050" Type="http://schemas.openxmlformats.org/officeDocument/2006/relationships/hyperlink" Target="http://www.broadinstitute.org/gsea/msigdb/cards/GSE36888_UNTREATED_VS_IL2_TREATED_STAT5_AB_KNOCKIN_TCELL_2H_UP.html" TargetMode="External"/><Relationship Id="rId3051" Type="http://schemas.openxmlformats.org/officeDocument/2006/relationships/hyperlink" Target="http://www.broadinstitute.org/gsea/msigdb/cards/GSE36888_STAT5_AB_KNOCKIN_VS_WT_TCELL_IL2_TREATED_6H_UP.html" TargetMode="External"/><Relationship Id="rId3052" Type="http://schemas.openxmlformats.org/officeDocument/2006/relationships/hyperlink" Target="http://www.broadinstitute.org/gsea/msigdb/cards/GSE34515_CD16_NEG_MONOCYTE_VS_DC_UP.html" TargetMode="External"/><Relationship Id="rId3053" Type="http://schemas.openxmlformats.org/officeDocument/2006/relationships/hyperlink" Target="http://www.broadinstitute.org/gsea/msigdb/cards/GSE37533_UNTREATED_VS_PIOGLIZATONE_TREATED_CD4_TCELL_PPARG1_AND_FOXP3_TRASDUCED_DN.html" TargetMode="External"/><Relationship Id="rId3054" Type="http://schemas.openxmlformats.org/officeDocument/2006/relationships/hyperlink" Target="http://www.broadinstitute.org/gsea/msigdb/cards/GSE36527_CD69_NEG_VS_POS_TREG_CD62L_LOS_KLRG1_NEG_UP.html" TargetMode="External"/><Relationship Id="rId3055" Type="http://schemas.openxmlformats.org/officeDocument/2006/relationships/hyperlink" Target="http://www.broadinstitute.org/gsea/msigdb/cards/GSE33162_HDAC3_KO_VS_HDAC3_KO_MACROPHAGE_DN.html" TargetMode="External"/><Relationship Id="rId3056" Type="http://schemas.openxmlformats.org/officeDocument/2006/relationships/hyperlink" Target="http://www.broadinstitute.org/gsea/msigdb/cards/GSE34006_A2AR_KO_VS_A2AR_AGONIST_TREATED_TREG_UP.html" TargetMode="External"/><Relationship Id="rId3057" Type="http://schemas.openxmlformats.org/officeDocument/2006/relationships/hyperlink" Target="http://www.broadinstitute.org/gsea/msigdb/cards/GSE39864_WT_VS_GATA3_KO_TREG_UP.html" TargetMode="External"/><Relationship Id="rId3058" Type="http://schemas.openxmlformats.org/officeDocument/2006/relationships/hyperlink" Target="http://www.broadinstitute.org/gsea/msigdb/cards/GSE40273_EOS_KO_VS_WT_TREG_DN.html" TargetMode="External"/><Relationship Id="rId3059" Type="http://schemas.openxmlformats.org/officeDocument/2006/relationships/hyperlink" Target="http://www.broadinstitute.org/gsea/msigdb/cards/GSE40277_EOS_AND_LEF1_TRANSDUCED_VS_CTRL_CD4_TCELL_DN.html" TargetMode="External"/><Relationship Id="rId350" Type="http://schemas.openxmlformats.org/officeDocument/2006/relationships/hyperlink" Target="http://www.broadinstitute.org/gsea/msigdb/cards/BIOCARTA_STATHMIN_PATHWAY.html" TargetMode="External"/><Relationship Id="rId351" Type="http://schemas.openxmlformats.org/officeDocument/2006/relationships/hyperlink" Target="http://www.broadinstitute.org/gsea/msigdb/cards/KEGG_NOD_LIKE_RECEPTOR_SIGNALING_PATHWAY.html" TargetMode="External"/><Relationship Id="rId352" Type="http://schemas.openxmlformats.org/officeDocument/2006/relationships/hyperlink" Target="http://www.broadinstitute.org/gsea/msigdb/cards/HUTTMANN_B_CLL_POOR_SURVIVAL_UP.html" TargetMode="External"/><Relationship Id="rId353" Type="http://schemas.openxmlformats.org/officeDocument/2006/relationships/hyperlink" Target="http://www.broadinstitute.org/gsea/msigdb/cards/CHIANG_LIVER_CANCER_SUBCLASS_CTNNB1_DN.html" TargetMode="External"/><Relationship Id="rId354" Type="http://schemas.openxmlformats.org/officeDocument/2006/relationships/hyperlink" Target="http://www.broadinstitute.org/gsea/msigdb/cards/BUDHU_LIVER_CANCER_METASTASIS_UP.html" TargetMode="External"/><Relationship Id="rId355" Type="http://schemas.openxmlformats.org/officeDocument/2006/relationships/hyperlink" Target="http://www.broadinstitute.org/gsea/msigdb/cards/SANA_TNF_SIGNALING_UP.html" TargetMode="External"/><Relationship Id="rId356" Type="http://schemas.openxmlformats.org/officeDocument/2006/relationships/hyperlink" Target="http://www.broadinstitute.org/gsea/msigdb/cards/MORI_PLASMA_CELL_DN.html" TargetMode="External"/><Relationship Id="rId357" Type="http://schemas.openxmlformats.org/officeDocument/2006/relationships/hyperlink" Target="http://www.broadinstitute.org/gsea/msigdb/cards/TAVOR_CEBPA_TARGETS_UP.html" TargetMode="External"/><Relationship Id="rId358" Type="http://schemas.openxmlformats.org/officeDocument/2006/relationships/hyperlink" Target="http://www.broadinstitute.org/gsea/msigdb/cards/HOLLMANN_APOPTOSIS_VIA_CD40_UP.html" TargetMode="External"/><Relationship Id="rId359" Type="http://schemas.openxmlformats.org/officeDocument/2006/relationships/hyperlink" Target="http://www.broadinstitute.org/gsea/msigdb/cards/DIRMEIER_LMP1_RESPONSE_EARLY.html" TargetMode="External"/><Relationship Id="rId4880" Type="http://schemas.openxmlformats.org/officeDocument/2006/relationships/hyperlink" Target="http://www.broadinstitute.org/gsea/msigdb/cards/GSE28726_ACT_CD4_TCELL_VS_ACT_VA24NEG_NKTCELL_UP.html" TargetMode="External"/><Relationship Id="rId4881" Type="http://schemas.openxmlformats.org/officeDocument/2006/relationships/hyperlink" Target="http://www.broadinstitute.org/gsea/msigdb/cards/GSE28726_NAIVE_VS_ACTIVATED_NKTCELL_UP.html" TargetMode="External"/><Relationship Id="rId4882" Type="http://schemas.openxmlformats.org/officeDocument/2006/relationships/hyperlink" Target="http://www.broadinstitute.org/gsea/msigdb/cards/GSE24574_NAIVE_VS_TCONV_CD4_TCELL_DN.html" TargetMode="External"/><Relationship Id="rId4883" Type="http://schemas.openxmlformats.org/officeDocument/2006/relationships/hyperlink" Target="http://www.broadinstitute.org/gsea/msigdb/cards/GSE28130_ACTIVATED_VS_INDUCEED_TREG_DN.html" TargetMode="External"/><Relationship Id="rId4884" Type="http://schemas.openxmlformats.org/officeDocument/2006/relationships/hyperlink" Target="http://www.broadinstitute.org/gsea/msigdb/cards/GSE28783_CTRL_ANTI_MIR_VS_UNTREATED_ATHEROSCLEROSIS_MACROPHAGE_DN.html" TargetMode="External"/><Relationship Id="rId4885" Type="http://schemas.openxmlformats.org/officeDocument/2006/relationships/hyperlink" Target="http://www.broadinstitute.org/gsea/msigdb/cards/GSE19512_NAUTRAL_VS_INDUCED_TREG_UP.html" TargetMode="External"/><Relationship Id="rId4886" Type="http://schemas.openxmlformats.org/officeDocument/2006/relationships/hyperlink" Target="http://www.broadinstitute.org/gsea/msigdb/cards/GSE29949_CD8_NEG_DC_SPLEEN_VS_CD8_POS_DC_SPLEEN_UP.html" TargetMode="External"/><Relationship Id="rId4887" Type="http://schemas.openxmlformats.org/officeDocument/2006/relationships/hyperlink" Target="http://www.broadinstitute.org/gsea/msigdb/cards/GSE29949_CD8_NEG_DC_SPLEEN_VS_DC_BRAIN_UP.html" TargetMode="External"/><Relationship Id="rId4888" Type="http://schemas.openxmlformats.org/officeDocument/2006/relationships/hyperlink" Target="http://www.broadinstitute.org/gsea/msigdb/cards/GSE29949_MICROGLIA_VS_DC_BRAIN_DN.html" TargetMode="External"/><Relationship Id="rId4889" Type="http://schemas.openxmlformats.org/officeDocument/2006/relationships/hyperlink" Target="http://www.broadinstitute.org/gsea/msigdb/cards/GSE29949_CD8_POS_DC_SPLEEN_VS_DC_BRAIN_UP.html" TargetMode="External"/><Relationship Id="rId5240" Type="http://schemas.openxmlformats.org/officeDocument/2006/relationships/hyperlink" Target="http://www.broadinstitute.org/gsea/msigdb/cards/GSE29949_DC_BRAIN_VS_MONOCYTE_BONE_MARROW_DN.html" TargetMode="External"/><Relationship Id="rId5241" Type="http://schemas.openxmlformats.org/officeDocument/2006/relationships/hyperlink" Target="http://www.broadinstitute.org/gsea/msigdb/cards/GSE23321_CD8_STEM_CELL_MEMORY_VS_NAIVE_CD8_TCELL_DN.html" TargetMode="External"/><Relationship Id="rId5242" Type="http://schemas.openxmlformats.org/officeDocument/2006/relationships/hyperlink" Target="http://www.broadinstitute.org/gsea/msigdb/cards/GSE23321_EFFECTOR_MEMORY_VS_NAIVE_CD8_TCELL_DN.html" TargetMode="External"/><Relationship Id="rId5243" Type="http://schemas.openxmlformats.org/officeDocument/2006/relationships/hyperlink" Target="http://www.broadinstitute.org/gsea/msigdb/cards/GSE27291_6H_VS_7D_STIM_GAMMADELTA_TCELL_UP.html" TargetMode="External"/><Relationship Id="rId5244" Type="http://schemas.openxmlformats.org/officeDocument/2006/relationships/hyperlink" Target="http://www.broadinstitute.org/gsea/msigdb/cards/GSE26351_UNSTIM_VS_WNT_PATHWAY_STIM_HEMATOPOIETIC_PROGENITORS_UP.html" TargetMode="External"/><Relationship Id="rId5245" Type="http://schemas.openxmlformats.org/officeDocument/2006/relationships/hyperlink" Target="http://www.broadinstitute.org/gsea/msigdb/cards/GSE29164_DAY3_VS_DAY7_CD8_TCELL_TREATED_MELANOMA_DN.html" TargetMode="External"/><Relationship Id="rId5246" Type="http://schemas.openxmlformats.org/officeDocument/2006/relationships/hyperlink" Target="http://www.broadinstitute.org/gsea/msigdb/cards/GSE26030_UNSTIM_VS_RESTIM_TH1_DAY5_POST_POLARIZATION_UP.html" TargetMode="External"/><Relationship Id="rId5247" Type="http://schemas.openxmlformats.org/officeDocument/2006/relationships/hyperlink" Target="http://www.broadinstitute.org/gsea/msigdb/cards/GSE26030_UNSTIM_VS_RESTIM_TH17_DAY15_POST_POLARIZATION_DN.html" TargetMode="External"/><Relationship Id="rId5248" Type="http://schemas.openxmlformats.org/officeDocument/2006/relationships/hyperlink" Target="http://www.broadinstitute.org/gsea/msigdb/cards/GSE32986_GMCSF_VS_GMCSF_AND_CURDLAN_HIGHDOSE_STIM_DC_UP.html" TargetMode="External"/><Relationship Id="rId5249" Type="http://schemas.openxmlformats.org/officeDocument/2006/relationships/hyperlink" Target="http://www.broadinstitute.org/gsea/msigdb/cards/GSE32986_UNSTIM_VS_GMCSF_STIM_DC_DN.html" TargetMode="External"/><Relationship Id="rId3790" Type="http://schemas.openxmlformats.org/officeDocument/2006/relationships/hyperlink" Target="http://www.broadinstitute.org/gsea/msigdb/cards/GSE40666_WT_VS_STAT1_KO_CD8_TCELL_WITH_IFNA_STIM_90MIN_UP.html" TargetMode="External"/><Relationship Id="rId3791" Type="http://schemas.openxmlformats.org/officeDocument/2006/relationships/hyperlink" Target="http://www.broadinstitute.org/gsea/msigdb/cards/GSE40666_UNTREATED_VS_IFNA_STIM_STAT4_KO_EFFECTOR_CD8_TCELL_90MIN_DN.html" TargetMode="External"/><Relationship Id="rId3792" Type="http://schemas.openxmlformats.org/officeDocument/2006/relationships/hyperlink" Target="http://www.broadinstitute.org/gsea/msigdb/cards/GSE40068_BCL6_POS_VS_NEG_CXCR5_POS_TFH_UP.html" TargetMode="External"/><Relationship Id="rId3793" Type="http://schemas.openxmlformats.org/officeDocument/2006/relationships/hyperlink" Target="http://www.broadinstitute.org/gsea/msigdb/cards/GSE40068_CXCR5NEG_BCL6NEG_CD4_TCELL_VS_CXCR5POS_BCL6NEG_TFH_UP.html" TargetMode="External"/><Relationship Id="rId3794" Type="http://schemas.openxmlformats.org/officeDocument/2006/relationships/hyperlink" Target="http://www.broadinstitute.org/gsea/msigdb/cards/GSE11961_FOLLICULAR_BCELL_VS_GERMINAL_CENTER_BCELL_DAY40_UP.html" TargetMode="External"/><Relationship Id="rId3795" Type="http://schemas.openxmlformats.org/officeDocument/2006/relationships/hyperlink" Target="http://www.broadinstitute.org/gsea/msigdb/cards/GSE11961_MARGINAL_ZONE_BCELL_VS_MEMORY_BCELL_DAY40_UP.html" TargetMode="External"/><Relationship Id="rId3796" Type="http://schemas.openxmlformats.org/officeDocument/2006/relationships/hyperlink" Target="http://www.broadinstitute.org/gsea/msigdb/cards/GSE11961_MARGINAL_ZONE_BCELL_VS_MEMORY_BCELL_DAY40_DN.html" TargetMode="External"/><Relationship Id="rId3797" Type="http://schemas.openxmlformats.org/officeDocument/2006/relationships/hyperlink" Target="http://www.broadinstitute.org/gsea/msigdb/cards/GSE11961_FOLLICULAR_BCELL_VS_MARGINAL_ZONE_BCELL_UP.html" TargetMode="External"/><Relationship Id="rId3798" Type="http://schemas.openxmlformats.org/officeDocument/2006/relationships/hyperlink" Target="http://www.broadinstitute.org/gsea/msigdb/cards/GSE11961_PLASMA_CELL_DAY7_VS_MEMORY_BCELL_DAY40_UP.html" TargetMode="External"/><Relationship Id="rId3799" Type="http://schemas.openxmlformats.org/officeDocument/2006/relationships/hyperlink" Target="http://www.broadinstitute.org/gsea/msigdb/cards/GSE39556_UNTREATED_VS_3H_POLYIC_INJ_MOUSE_NK_CELL_DN.html" TargetMode="External"/><Relationship Id="rId4150" Type="http://schemas.openxmlformats.org/officeDocument/2006/relationships/hyperlink" Target="http://www.broadinstitute.org/gsea/msigdb/cards/GSE30083_SP1_VS_SP3_THYMOCYTE_UP.html" TargetMode="External"/><Relationship Id="rId4151" Type="http://schemas.openxmlformats.org/officeDocument/2006/relationships/hyperlink" Target="http://www.broadinstitute.org/gsea/msigdb/cards/GSE31082_DP_VS_CD8_SP_THYMOCYTE_DN.html" TargetMode="External"/><Relationship Id="rId4152" Type="http://schemas.openxmlformats.org/officeDocument/2006/relationships/hyperlink" Target="http://www.broadinstitute.org/gsea/msigdb/cards/GSE32423_IL7_VS_IL7_IL4_MEMORY_CD8_TCELL_DN.html" TargetMode="External"/><Relationship Id="rId4153" Type="http://schemas.openxmlformats.org/officeDocument/2006/relationships/hyperlink" Target="http://www.broadinstitute.org/gsea/msigdb/cards/GSE32423_IL7_VS_IL7_IL4_NAIVE_CD8_TCELL_UP.html" TargetMode="External"/><Relationship Id="rId4154" Type="http://schemas.openxmlformats.org/officeDocument/2006/relationships/hyperlink" Target="http://www.broadinstitute.org/gsea/msigdb/cards/GSE34205_HEALTHY_VS_FLU_INF_INFANT_PBMC_DN.html" TargetMode="External"/><Relationship Id="rId4155" Type="http://schemas.openxmlformats.org/officeDocument/2006/relationships/hyperlink" Target="http://www.broadinstitute.org/gsea/msigdb/cards/GSE360_CTRL_VS_L_DONOVANI_DC_DN.html" TargetMode="External"/><Relationship Id="rId4156" Type="http://schemas.openxmlformats.org/officeDocument/2006/relationships/hyperlink" Target="http://www.broadinstitute.org/gsea/msigdb/cards/GSE360_L_DONOVANI_VS_T_GONDII_MAC_UP.html" TargetMode="External"/><Relationship Id="rId4157" Type="http://schemas.openxmlformats.org/officeDocument/2006/relationships/hyperlink" Target="http://www.broadinstitute.org/gsea/msigdb/cards/GSE360_L_DONOVANI_VS_B_MALAYI_HIGH_DOSE_MAC_UP.html" TargetMode="External"/><Relationship Id="rId4158" Type="http://schemas.openxmlformats.org/officeDocument/2006/relationships/hyperlink" Target="http://www.broadinstitute.org/gsea/msigdb/cards/GSE360_L_DONOVANI_VS_M_TUBERCULOSIS_MAC_DN.html" TargetMode="External"/><Relationship Id="rId4159" Type="http://schemas.openxmlformats.org/officeDocument/2006/relationships/hyperlink" Target="http://www.broadinstitute.org/gsea/msigdb/cards/GSE360_LOW_DOSE_B_MALAYI_VS_M_TUBERCULOSIS_MAC_UP.html" TargetMode="External"/><Relationship Id="rId3060" Type="http://schemas.openxmlformats.org/officeDocument/2006/relationships/hyperlink" Target="http://www.broadinstitute.org/gsea/msigdb/cards/GSE40666_UNTREATED_VS_IFNA_STIM_EFFECTOR_CD8_TCELL_90MIN_DN.html" TargetMode="External"/><Relationship Id="rId3061" Type="http://schemas.openxmlformats.org/officeDocument/2006/relationships/hyperlink" Target="http://www.broadinstitute.org/gsea/msigdb/cards/GSE28737_FOLLICULAR_VS_MARGINAL_ZONE_BCELL_BCL6_HET_UP.html" TargetMode="External"/><Relationship Id="rId3062" Type="http://schemas.openxmlformats.org/officeDocument/2006/relationships/hyperlink" Target="http://www.broadinstitute.org/gsea/msigdb/cards/GSE41867_DAY6_EFFECTOR_VS_DAY30_MEMORY_CD8_TCELL_LCMV_ARMSTRONG_UP.html" TargetMode="External"/><Relationship Id="rId3063" Type="http://schemas.openxmlformats.org/officeDocument/2006/relationships/hyperlink" Target="http://www.broadinstitute.org/gsea/msigdb/cards/GSE41867_NAIVE_VS_DAY30_LCMV_CLONE13_EXHAUSTED_CD8_TCELL_UP.html" TargetMode="External"/><Relationship Id="rId3064" Type="http://schemas.openxmlformats.org/officeDocument/2006/relationships/hyperlink" Target="http://www.broadinstitute.org/gsea/msigdb/cards/GSE39382_IL3_VS_IL3_IL33_TREATED_MAST_CELL_UP.html" TargetMode="External"/><Relationship Id="rId3065" Type="http://schemas.openxmlformats.org/officeDocument/2006/relationships/hyperlink" Target="http://www.broadinstitute.org/gsea/msigdb/cards/GSE42021_TREG_PLN_VS_CD24INT_TREG_THYMUS_DN.html" TargetMode="External"/><Relationship Id="rId3066" Type="http://schemas.openxmlformats.org/officeDocument/2006/relationships/hyperlink" Target="http://www.broadinstitute.org/gsea/msigdb/cards/GSE43955_TH0_VS_TGFB_IL6_TH17_ACT_CD4_TCELL_1H_UP.html" TargetMode="External"/><Relationship Id="rId3067" Type="http://schemas.openxmlformats.org/officeDocument/2006/relationships/hyperlink" Target="http://www.broadinstitute.org/gsea/msigdb/cards/GSE43955_1H_VS_20H_ACT_CD4_TCELL_UP.html" TargetMode="External"/><Relationship Id="rId3068" Type="http://schemas.openxmlformats.org/officeDocument/2006/relationships/hyperlink" Target="http://www.broadinstitute.org/gsea/msigdb/cards/GSE43863_DAY6_EFF_VS_DAY150_MEM_TFH_CD4_TCELL_UP.html" TargetMode="External"/><Relationship Id="rId3069" Type="http://schemas.openxmlformats.org/officeDocument/2006/relationships/hyperlink" Target="http://www.broadinstitute.org/gsea/msigdb/cards/GSE46606_IRF4_KO_VS_WT_CD40L_IL2_IL5_1DAY_STIMULATED_BCELL_UP.html" TargetMode="External"/><Relationship Id="rId360" Type="http://schemas.openxmlformats.org/officeDocument/2006/relationships/hyperlink" Target="http://www.broadinstitute.org/gsea/msigdb/cards/TENEDINI_MEGAKARYOCYTE_MARKERS.html" TargetMode="External"/><Relationship Id="rId361" Type="http://schemas.openxmlformats.org/officeDocument/2006/relationships/hyperlink" Target="http://www.broadinstitute.org/gsea/msigdb/cards/GALINDO_IMMUNE_RESPONSE_TO_ENTEROTOXIN.html" TargetMode="External"/><Relationship Id="rId362" Type="http://schemas.openxmlformats.org/officeDocument/2006/relationships/hyperlink" Target="http://www.broadinstitute.org/gsea/msigdb/cards/ZHAN_MULTIPLE_MYELOMA_CD1_VS_CD2_UP.html" TargetMode="External"/><Relationship Id="rId363" Type="http://schemas.openxmlformats.org/officeDocument/2006/relationships/hyperlink" Target="http://www.broadinstitute.org/gsea/msigdb/cards/BEIER_GLIOMA_STEM_CELL_DN.html" TargetMode="External"/><Relationship Id="rId364" Type="http://schemas.openxmlformats.org/officeDocument/2006/relationships/hyperlink" Target="http://www.broadinstitute.org/gsea/msigdb/cards/GREENBAUM_E2A_TARGETS_DN.html" TargetMode="External"/><Relationship Id="rId365" Type="http://schemas.openxmlformats.org/officeDocument/2006/relationships/hyperlink" Target="http://www.broadinstitute.org/gsea/msigdb/cards/BIOCARTA_MONOCYTE_PATHWAY.html" TargetMode="External"/><Relationship Id="rId366" Type="http://schemas.openxmlformats.org/officeDocument/2006/relationships/hyperlink" Target="http://www.broadinstitute.org/gsea/msigdb/cards/PID_IL8_CXCR2_PATHWAY.html" TargetMode="External"/><Relationship Id="rId367" Type="http://schemas.openxmlformats.org/officeDocument/2006/relationships/hyperlink" Target="http://www.broadinstitute.org/gsea/msigdb/cards/PID_EPO_PATHWAY.html" TargetMode="External"/><Relationship Id="rId368" Type="http://schemas.openxmlformats.org/officeDocument/2006/relationships/hyperlink" Target="http://www.broadinstitute.org/gsea/msigdb/cards/FERRANDO_T_ALL_WITH_MLL_ENL_FUSION_UP.html" TargetMode="External"/><Relationship Id="rId369" Type="http://schemas.openxmlformats.org/officeDocument/2006/relationships/hyperlink" Target="http://www.broadinstitute.org/gsea/msigdb/cards/BROWNE_INTERFERON_RESPONSIVE_GENES.html" TargetMode="External"/><Relationship Id="rId4890" Type="http://schemas.openxmlformats.org/officeDocument/2006/relationships/hyperlink" Target="http://www.broadinstitute.org/gsea/msigdb/cards/GSE29949_CD8_POS_DC_SPLEEN_VS_MONOCYTE_BONE_MARROW_UP.html" TargetMode="External"/><Relationship Id="rId4891" Type="http://schemas.openxmlformats.org/officeDocument/2006/relationships/hyperlink" Target="http://www.broadinstitute.org/gsea/msigdb/cards/GSE29949_CD8_NEG_DC_SPLEEN_VS_MONOCYTE_BONE_MARROW_DN.html" TargetMode="External"/><Relationship Id="rId4892" Type="http://schemas.openxmlformats.org/officeDocument/2006/relationships/hyperlink" Target="http://www.broadinstitute.org/gsea/msigdb/cards/GSE26559_TCF1_KO_VS_WT_LIN_NEG_CELL_UP.html" TargetMode="External"/><Relationship Id="rId4893" Type="http://schemas.openxmlformats.org/officeDocument/2006/relationships/hyperlink" Target="http://www.broadinstitute.org/gsea/msigdb/cards/GSE23321_CENTRAL_MEMORY_VS_NAIVE_CD8_TCELL_DN.html" TargetMode="External"/><Relationship Id="rId4894" Type="http://schemas.openxmlformats.org/officeDocument/2006/relationships/hyperlink" Target="http://www.broadinstitute.org/gsea/msigdb/cards/GSE23321_CD8_STEM_CELL_MEMORY_VS_CENTRAL_MEMORY_CD8_TCELL_UP.html" TargetMode="External"/><Relationship Id="rId4895" Type="http://schemas.openxmlformats.org/officeDocument/2006/relationships/hyperlink" Target="http://www.broadinstitute.org/gsea/msigdb/cards/GSE29164_UNTREATED_VS_CD8_TCELL_TREATED_MELANOMA_DAY7_DN.html" TargetMode="External"/><Relationship Id="rId4896" Type="http://schemas.openxmlformats.org/officeDocument/2006/relationships/hyperlink" Target="http://www.broadinstitute.org/gsea/msigdb/cards/GSE33425_CD161_INT_VS_NEG_CD8_TCELL_UP.html" TargetMode="External"/><Relationship Id="rId4897" Type="http://schemas.openxmlformats.org/officeDocument/2006/relationships/hyperlink" Target="http://www.broadinstitute.org/gsea/msigdb/cards/GSE32986_UNSTIM_VS_GMCSF_STIM_DC_UP.html" TargetMode="External"/><Relationship Id="rId4898" Type="http://schemas.openxmlformats.org/officeDocument/2006/relationships/hyperlink" Target="http://www.broadinstitute.org/gsea/msigdb/cards/GSE32986_UNSTIM_VS_GMCSF_AND_CURDLAN_LOWDOSE_STIM_DC_UP.html" TargetMode="External"/><Relationship Id="rId4899" Type="http://schemas.openxmlformats.org/officeDocument/2006/relationships/hyperlink" Target="http://www.broadinstitute.org/gsea/msigdb/cards/GSE32986_GMCSF_AND_CURDLAN_LOWDOSE_VS_GMCSF_AND_CURDLAN_HIGHDOSE_STIM_DC_UP.html" TargetMode="External"/><Relationship Id="rId5250" Type="http://schemas.openxmlformats.org/officeDocument/2006/relationships/hyperlink" Target="http://www.broadinstitute.org/gsea/msigdb/cards/GSE30971_CTRL_VS_LPS_STIM_MACROPHAGE_WBP7_HET_2H_UP.html" TargetMode="External"/><Relationship Id="rId5251" Type="http://schemas.openxmlformats.org/officeDocument/2006/relationships/hyperlink" Target="http://www.broadinstitute.org/gsea/msigdb/cards/GSE30971_2H_VS_4H_LPS_STIM_MACROPHAGE_WBP7_HET_UP.html" TargetMode="External"/><Relationship Id="rId5252" Type="http://schemas.openxmlformats.org/officeDocument/2006/relationships/hyperlink" Target="http://www.broadinstitute.org/gsea/msigdb/cards/GSE36888_UNTREATED_VS_IL2_TREATED_TCELL_2H_DN.html" TargetMode="External"/><Relationship Id="rId5253" Type="http://schemas.openxmlformats.org/officeDocument/2006/relationships/hyperlink" Target="http://www.broadinstitute.org/gsea/msigdb/cards/GSE36009_UNSTIM_VS_LPS_STIM_NLRP10_KO_DC_DN.html" TargetMode="External"/><Relationship Id="rId5254" Type="http://schemas.openxmlformats.org/officeDocument/2006/relationships/hyperlink" Target="http://www.broadinstitute.org/gsea/msigdb/cards/GSE37301_HEMATOPOIETIC_STEM_CELL_VS_MULTIPOTENT_PROGENITOR_DN.html" TargetMode="External"/><Relationship Id="rId5255" Type="http://schemas.openxmlformats.org/officeDocument/2006/relationships/hyperlink" Target="http://www.broadinstitute.org/gsea/msigdb/cards/GSE37301_RAG2_KO_VS_RAG2_AND_ETS1_KO_NK_CELL_UP.html" TargetMode="External"/><Relationship Id="rId5256" Type="http://schemas.openxmlformats.org/officeDocument/2006/relationships/hyperlink" Target="http://www.broadinstitute.org/gsea/msigdb/cards/GSE37301_LYMPHOID_PRIMED_MPP_VS_COMMON_LYMPHOID_PROGENITOR_DN.html" TargetMode="External"/><Relationship Id="rId5257" Type="http://schemas.openxmlformats.org/officeDocument/2006/relationships/hyperlink" Target="http://www.broadinstitute.org/gsea/msigdb/cards/GSE37301_LYMPHOID_PRIMED_MPP_VS_CD4_TCELL_DN.html" TargetMode="External"/><Relationship Id="rId5258" Type="http://schemas.openxmlformats.org/officeDocument/2006/relationships/hyperlink" Target="http://www.broadinstitute.org/gsea/msigdb/cards/GSE37301_LYMPHOID_PRIMED_MPP_VS_RAG2_KO_NK_CELL_UP.html" TargetMode="External"/><Relationship Id="rId5259" Type="http://schemas.openxmlformats.org/officeDocument/2006/relationships/hyperlink" Target="http://www.broadinstitute.org/gsea/msigdb/cards/GSE32901_TH1_VS_TH17_NEG_CD4_TCELL_UP.html" TargetMode="External"/><Relationship Id="rId4160" Type="http://schemas.openxmlformats.org/officeDocument/2006/relationships/hyperlink" Target="http://www.broadinstitute.org/gsea/msigdb/cards/GSE36392_TYPE_2_MYELOID_VS_EOSINOPHIL_IL25_TREATED_LUNG_UP.html" TargetMode="External"/><Relationship Id="rId4161" Type="http://schemas.openxmlformats.org/officeDocument/2006/relationships/hyperlink" Target="http://www.broadinstitute.org/gsea/msigdb/cards/GSE36392_EOSINOPHIL_VS_MAC_IL25_TREATED_LUNG_UP.html" TargetMode="External"/><Relationship Id="rId4162" Type="http://schemas.openxmlformats.org/officeDocument/2006/relationships/hyperlink" Target="http://www.broadinstitute.org/gsea/msigdb/cards/GSE36392_MAC_VS_NEUTROPHIL_IL25_TREATED_LUNG_UP.html" TargetMode="External"/><Relationship Id="rId4163" Type="http://schemas.openxmlformats.org/officeDocument/2006/relationships/hyperlink" Target="http://www.broadinstitute.org/gsea/msigdb/cards/GSE37416_CTRL_VS_6H_F_TULARENSIS_LVS_NEUTROPHIL_UP.html" TargetMode="External"/><Relationship Id="rId4164" Type="http://schemas.openxmlformats.org/officeDocument/2006/relationships/hyperlink" Target="http://www.broadinstitute.org/gsea/msigdb/cards/GSE37416_0H_VS_12H_F_TULARENSIS_LVS_NEUTROPHIL_UP.html" TargetMode="External"/><Relationship Id="rId4165" Type="http://schemas.openxmlformats.org/officeDocument/2006/relationships/hyperlink" Target="http://www.broadinstitute.org/gsea/msigdb/cards/GSE37416_0H_VS_48H_F_TULARENSIS_LVS_NEUTROPHIL_DN.html" TargetMode="External"/><Relationship Id="rId4166" Type="http://schemas.openxmlformats.org/officeDocument/2006/relationships/hyperlink" Target="http://www.broadinstitute.org/gsea/msigdb/cards/GSE37416_12H_VS_24H_F_TULARENSIS_LVS_NEUTROPHIL_DN.html" TargetMode="External"/><Relationship Id="rId4167" Type="http://schemas.openxmlformats.org/officeDocument/2006/relationships/hyperlink" Target="http://www.broadinstitute.org/gsea/msigdb/cards/GSE3982_CTRL_VS_LPS_48H_DC_UP.html" TargetMode="External"/><Relationship Id="rId4168" Type="http://schemas.openxmlformats.org/officeDocument/2006/relationships/hyperlink" Target="http://www.broadinstitute.org/gsea/msigdb/cards/GSE3982_MEMORY_CD4_TCELL_VS_TH2_UP.html" TargetMode="External"/><Relationship Id="rId4169" Type="http://schemas.openxmlformats.org/officeDocument/2006/relationships/hyperlink" Target="http://www.broadinstitute.org/gsea/msigdb/cards/GSE3982_MAST_CELL_VS_DC_UP.html" TargetMode="External"/><Relationship Id="rId3070" Type="http://schemas.openxmlformats.org/officeDocument/2006/relationships/hyperlink" Target="http://www.broadinstitute.org/gsea/msigdb/cards/GSE46606_IRF4_KO_VS_WT_CD40L_IL2_IL5_3DAY_STIMULATED_BCELL_DN.html" TargetMode="External"/><Relationship Id="rId3071" Type="http://schemas.openxmlformats.org/officeDocument/2006/relationships/hyperlink" Target="http://www.broadinstitute.org/gsea/msigdb/cards/GSE45365_NK_CELL_VS_BCELL_MCMV_INFECTION_DN.html" TargetMode="External"/><Relationship Id="rId3072" Type="http://schemas.openxmlformats.org/officeDocument/2006/relationships/hyperlink" Target="http://www.broadinstitute.org/gsea/msigdb/cards/GSE4590_SMALL_VS_LARGE_PRE_BCELL_DN.html" TargetMode="External"/><Relationship Id="rId3073" Type="http://schemas.openxmlformats.org/officeDocument/2006/relationships/hyperlink" Target="http://www.broadinstitute.org/gsea/msigdb/cards/GSE40274_CTRL_VS_FOXP3_AND_IRF4_TRANSDUCED_ACTIVATED_CD4_TCELL_UP.html" TargetMode="External"/><Relationship Id="rId3074" Type="http://schemas.openxmlformats.org/officeDocument/2006/relationships/hyperlink" Target="http://www.broadinstitute.org/gsea/msigdb/cards/GSE4590_SMALL_VS_VPREB_POS_LARGE_PRE_BCELL_DN.html" TargetMode="External"/><Relationship Id="rId3075" Type="http://schemas.openxmlformats.org/officeDocument/2006/relationships/hyperlink" Target="http://www.broadinstitute.org/gsea/msigdb/cards/GSE13547_CTRL_VS_ANTI_IGM_STIM_BCELL_2H_UP.html" TargetMode="External"/><Relationship Id="rId3076" Type="http://schemas.openxmlformats.org/officeDocument/2006/relationships/hyperlink" Target="http://www.broadinstitute.org/gsea/msigdb/cards/GSE6259_33D1_POS_DC_VS_CD4_TCELL_UP.html" TargetMode="External"/><Relationship Id="rId3077" Type="http://schemas.openxmlformats.org/officeDocument/2006/relationships/hyperlink" Target="http://www.broadinstitute.org/gsea/msigdb/cards/GSE21360_SECONDARY_VS_QUATERNARY_MEMORY_CD8_TCELL_DN.html" TargetMode="External"/><Relationship Id="rId3078" Type="http://schemas.openxmlformats.org/officeDocument/2006/relationships/hyperlink" Target="http://www.broadinstitute.org/gsea/msigdb/cards/GSE40274_CTRL_VS_HELIOS_TRANSDUCED_ACTIVATED_CD4_TCELL_UP.html" TargetMode="External"/><Relationship Id="rId3079" Type="http://schemas.openxmlformats.org/officeDocument/2006/relationships/hyperlink" Target="http://www.broadinstitute.org/gsea/msigdb/cards/GSE3720_UNSTIM_VS_LPS_STIM_VD2_GAMMADELTA_TCELL_UP.html" TargetMode="External"/><Relationship Id="rId370" Type="http://schemas.openxmlformats.org/officeDocument/2006/relationships/hyperlink" Target="http://www.broadinstitute.org/gsea/msigdb/cards/BIOCARTA_IL2_PATHWAY.html" TargetMode="External"/><Relationship Id="rId371" Type="http://schemas.openxmlformats.org/officeDocument/2006/relationships/hyperlink" Target="http://www.broadinstitute.org/gsea/msigdb/cards/IVANOVA_HEMATOPOIESIS_MATURE_CELL.html" TargetMode="External"/><Relationship Id="rId372" Type="http://schemas.openxmlformats.org/officeDocument/2006/relationships/hyperlink" Target="http://www.broadinstitute.org/gsea/msigdb/cards/PID_PTP1B_PATHWAY.html" TargetMode="External"/><Relationship Id="rId373" Type="http://schemas.openxmlformats.org/officeDocument/2006/relationships/hyperlink" Target="http://www.broadinstitute.org/gsea/msigdb/cards/PID_KIT_PATHWAY.html" TargetMode="External"/><Relationship Id="rId374" Type="http://schemas.openxmlformats.org/officeDocument/2006/relationships/hyperlink" Target="http://www.broadinstitute.org/gsea/msigdb/cards/PANGAS_TUMOR_SUPPRESSION_BY_SMAD1_AND_SMAD5_UP.html" TargetMode="External"/><Relationship Id="rId375" Type="http://schemas.openxmlformats.org/officeDocument/2006/relationships/hyperlink" Target="http://www.broadinstitute.org/gsea/msigdb/cards/LEE_TARGETS_OF_PTCH1_AND_SUFU_UP.html" TargetMode="External"/><Relationship Id="rId376" Type="http://schemas.openxmlformats.org/officeDocument/2006/relationships/hyperlink" Target="http://www.broadinstitute.org/gsea/msigdb/cards/LINDSTEDT_DENDRITIC_CELL_MATURATION_B.html" TargetMode="External"/><Relationship Id="rId377" Type="http://schemas.openxmlformats.org/officeDocument/2006/relationships/hyperlink" Target="http://www.broadinstitute.org/gsea/msigdb/cards/VANTVEER_BREAST_CANCER_ESR1_DN.html" TargetMode="External"/><Relationship Id="rId378" Type="http://schemas.openxmlformats.org/officeDocument/2006/relationships/hyperlink" Target="http://www.broadinstitute.org/gsea/msigdb/cards/WIERENGA_STAT5A_TARGETS_GROUP1.html" TargetMode="External"/><Relationship Id="rId379" Type="http://schemas.openxmlformats.org/officeDocument/2006/relationships/hyperlink" Target="http://www.broadinstitute.org/gsea/msigdb/cards/TONKS_TARGETS_OF_RUNX1_RUNX1T1_FUSION_MONOCYTE_DN.html" TargetMode="External"/><Relationship Id="rId5260" Type="http://schemas.openxmlformats.org/officeDocument/2006/relationships/hyperlink" Target="http://www.broadinstitute.org/gsea/msigdb/cards/GSE37534_PIOGLITAZONE_VS_ROSIGLITAZONE_TREATED_CD4_TCELL_PPARG1_FOXP3_TRANSDUCED_DN.html" TargetMode="External"/><Relationship Id="rId5261" Type="http://schemas.openxmlformats.org/officeDocument/2006/relationships/hyperlink" Target="http://www.broadinstitute.org/gsea/msigdb/cards/GSE36527_CD62L_HIGH_CD69_NEG_VS_CD62L_LOW_CD69_POS_TREG_KLRG1_NEG_UP.html" TargetMode="External"/><Relationship Id="rId5262" Type="http://schemas.openxmlformats.org/officeDocument/2006/relationships/hyperlink" Target="http://www.broadinstitute.org/gsea/msigdb/cards/GSE40274_XBP1_VS_FOXP3_AND_XBP1_TRANSDUCED_ACTIVATED_CD4_TCELL_DN.html" TargetMode="External"/><Relationship Id="rId5263" Type="http://schemas.openxmlformats.org/officeDocument/2006/relationships/hyperlink" Target="http://www.broadinstitute.org/gsea/msigdb/cards/GSE40274_GATA1_VS_FOXP3_AND_GATA1_TRANSDUCED_ACTIVATED_CD4_TCELL_DN.html" TargetMode="External"/><Relationship Id="rId5264" Type="http://schemas.openxmlformats.org/officeDocument/2006/relationships/hyperlink" Target="http://www.broadinstitute.org/gsea/msigdb/cards/GSE40277_EOS_AND_LEF1_TRANSDUCED_VS_GATA1_AND_SATB1_TRANSDUCED_CD4_TCELL_UP.html" TargetMode="External"/><Relationship Id="rId5265" Type="http://schemas.openxmlformats.org/officeDocument/2006/relationships/hyperlink" Target="http://www.broadinstitute.org/gsea/msigdb/cards/GSE40666_NAIVE_VS_EFFECTOR_CD8_TCELL_UP.html" TargetMode="External"/><Relationship Id="rId5266" Type="http://schemas.openxmlformats.org/officeDocument/2006/relationships/hyperlink" Target="http://www.broadinstitute.org/gsea/msigdb/cards/GSE11961_GERMINAL_CENTER_BCELL_DAY7_VS_GERMINAL_CENTER_BCELL_DAY40_UP.html" TargetMode="External"/><Relationship Id="rId5267" Type="http://schemas.openxmlformats.org/officeDocument/2006/relationships/hyperlink" Target="http://www.broadinstitute.org/gsea/msigdb/cards/GSE11961_FOLLICULAR_BCELL_VS_GERMINAL_CENTER_BCELL_DAY7_DN.html" TargetMode="External"/><Relationship Id="rId5268" Type="http://schemas.openxmlformats.org/officeDocument/2006/relationships/hyperlink" Target="http://www.broadinstitute.org/gsea/msigdb/cards/GSE28737_BCL6_HET_VS_BCL6_KO_MARGINAL_ZONE_BCELL_UP.html" TargetMode="External"/><Relationship Id="rId5269" Type="http://schemas.openxmlformats.org/officeDocument/2006/relationships/hyperlink" Target="http://www.broadinstitute.org/gsea/msigdb/cards/GSE40655_FOXO1_KO_VS_WT_NTREG_UP.html" TargetMode="External"/><Relationship Id="rId4170" Type="http://schemas.openxmlformats.org/officeDocument/2006/relationships/hyperlink" Target="http://www.broadinstitute.org/gsea/msigdb/cards/GSE3982_MAST_CELL_VS_BCELL_UP.html" TargetMode="External"/><Relationship Id="rId4171" Type="http://schemas.openxmlformats.org/officeDocument/2006/relationships/hyperlink" Target="http://www.broadinstitute.org/gsea/msigdb/cards/GSE3982_MAST_CELL_VS_TH2_UP.html" TargetMode="External"/><Relationship Id="rId4172" Type="http://schemas.openxmlformats.org/officeDocument/2006/relationships/hyperlink" Target="http://www.broadinstitute.org/gsea/msigdb/cards/GSE3982_DC_VS_MAC_UP.html" TargetMode="External"/><Relationship Id="rId4173" Type="http://schemas.openxmlformats.org/officeDocument/2006/relationships/hyperlink" Target="http://www.broadinstitute.org/gsea/msigdb/cards/GSE3982_NEUTROPHIL_VS_TH2_UP.html" TargetMode="External"/><Relationship Id="rId4174" Type="http://schemas.openxmlformats.org/officeDocument/2006/relationships/hyperlink" Target="http://www.broadinstitute.org/gsea/msigdb/cards/GSE3982_BCELL_VS_BASOPHIL_UP.html" TargetMode="External"/><Relationship Id="rId4175" Type="http://schemas.openxmlformats.org/officeDocument/2006/relationships/hyperlink" Target="http://www.broadinstitute.org/gsea/msigdb/cards/GSE39820_TGFBETA1_IL6_VS_TGFBETA1_IL6_IL23A_TREATED_CD4_TCELL_UP.html" TargetMode="External"/><Relationship Id="rId4176" Type="http://schemas.openxmlformats.org/officeDocument/2006/relationships/hyperlink" Target="http://www.broadinstitute.org/gsea/msigdb/cards/GSE39820_TGFBETA1_IL6_VS_TGFBETA1_IL6_IL23A_TREATED_CD4_TCELL_DN.html" TargetMode="External"/><Relationship Id="rId4177" Type="http://schemas.openxmlformats.org/officeDocument/2006/relationships/hyperlink" Target="http://www.broadinstitute.org/gsea/msigdb/cards/GSE39820_TGFBETA3_IL6_VS_TGFBETA3_IL6_IL23A_TREATED_CD4_TCELL_UP.html" TargetMode="External"/><Relationship Id="rId4178" Type="http://schemas.openxmlformats.org/officeDocument/2006/relationships/hyperlink" Target="http://www.broadinstitute.org/gsea/msigdb/cards/GSE7460_CTRL_VS_TGFB_TREATED_ACT_TREG_DN.html" TargetMode="External"/><Relationship Id="rId4179" Type="http://schemas.openxmlformats.org/officeDocument/2006/relationships/hyperlink" Target="http://www.broadinstitute.org/gsea/msigdb/cards/GSE7852_LN_VS_FAT_TREG_DN.html" TargetMode="External"/><Relationship Id="rId3080" Type="http://schemas.openxmlformats.org/officeDocument/2006/relationships/hyperlink" Target="http://www.broadinstitute.org/gsea/msigdb/cards/GSE3920_IFNA_VS_IFNB_TREATED_ENDOTHELIAL_CELL_UP.html" TargetMode="External"/><Relationship Id="rId3081" Type="http://schemas.openxmlformats.org/officeDocument/2006/relationships/hyperlink" Target="http://www.broadinstitute.org/gsea/msigdb/cards/GSE37301_MULTIPOTENT_PROGENITOR_VS_COMMON_LYMPHOID_PROGENITOR_UP.html" TargetMode="External"/><Relationship Id="rId3082" Type="http://schemas.openxmlformats.org/officeDocument/2006/relationships/hyperlink" Target="http://www.broadinstitute.org/gsea/msigdb/cards/GSE37301_CD4_TCELL_VS_RAG2_KO_NK_CELL_UP.html" TargetMode="External"/><Relationship Id="rId3083" Type="http://schemas.openxmlformats.org/officeDocument/2006/relationships/hyperlink" Target="http://www.broadinstitute.org/gsea/msigdb/cards/GSE20727_CTRL_VS_H2O2_TREATED_DC_UP.html" TargetMode="External"/><Relationship Id="rId3084" Type="http://schemas.openxmlformats.org/officeDocument/2006/relationships/hyperlink" Target="http://www.broadinstitute.org/gsea/msigdb/cards/GSE14415_ACT_TCONV_VS_ACT_NATURAL_TREG_UP.html" TargetMode="External"/><Relationship Id="rId3085" Type="http://schemas.openxmlformats.org/officeDocument/2006/relationships/hyperlink" Target="http://www.broadinstitute.org/gsea/msigdb/cards/GSE34156_UNTREATED_VS_6H_NOD2_LIGAND_TREATED_MONOCYTE_DN.html" TargetMode="External"/><Relationship Id="rId3086" Type="http://schemas.openxmlformats.org/officeDocument/2006/relationships/hyperlink" Target="http://www.broadinstitute.org/gsea/msigdb/cards/GSE4590_LARGE_PRE_BCELL_VS_VPREB_POS_LARGE_PRE_BCELL_UP.html" TargetMode="External"/><Relationship Id="rId3087" Type="http://schemas.openxmlformats.org/officeDocument/2006/relationships/hyperlink" Target="http://www.broadinstitute.org/gsea/msigdb/cards/GSE1791_CTRL_VS_NEUROMEDINU_IN_T_CELL_LINE_0.8H_DN.html" TargetMode="External"/><Relationship Id="rId3088" Type="http://schemas.openxmlformats.org/officeDocument/2006/relationships/hyperlink" Target="http://www.broadinstitute.org/gsea/msigdb/cards/GSE32986_GMCSF_VS_GMCSF_AND_CURDLAN_LOWDOSE_STIM_DC_UP.html" TargetMode="External"/><Relationship Id="rId3089" Type="http://schemas.openxmlformats.org/officeDocument/2006/relationships/hyperlink" Target="http://www.broadinstitute.org/gsea/msigdb/cards/GSE3565_CTRL_VS_LPS_INJECTED_SPLENOCYTES_DN.html" TargetMode="External"/><Relationship Id="rId380" Type="http://schemas.openxmlformats.org/officeDocument/2006/relationships/hyperlink" Target="http://www.broadinstitute.org/gsea/msigdb/cards/MIKKELSEN_MCV6_LCP_WITH_H3K4ME3.html" TargetMode="External"/><Relationship Id="rId381" Type="http://schemas.openxmlformats.org/officeDocument/2006/relationships/hyperlink" Target="http://www.broadinstitute.org/gsea/msigdb/cards/MARSON_FOXP3_TARGETS_DN.html" TargetMode="External"/><Relationship Id="rId382" Type="http://schemas.openxmlformats.org/officeDocument/2006/relationships/hyperlink" Target="http://www.broadinstitute.org/gsea/msigdb/cards/KEGG_REGULATION_OF_ACTIN_CYTOSKELETON.html" TargetMode="External"/><Relationship Id="rId383" Type="http://schemas.openxmlformats.org/officeDocument/2006/relationships/hyperlink" Target="http://www.broadinstitute.org/gsea/msigdb/cards/MARTORIATI_MDM4_TARGETS_NEUROEPITHELIUM_DN.html" TargetMode="External"/><Relationship Id="rId384" Type="http://schemas.openxmlformats.org/officeDocument/2006/relationships/hyperlink" Target="http://www.broadinstitute.org/gsea/msigdb/cards/GAVIN_FOXP3_TARGETS_CLUSTER_T4.html" TargetMode="External"/><Relationship Id="rId385" Type="http://schemas.openxmlformats.org/officeDocument/2006/relationships/hyperlink" Target="http://www.broadinstitute.org/gsea/msigdb/cards/VANASSE_BCL2_TARGETS_DN.html" TargetMode="External"/><Relationship Id="rId386" Type="http://schemas.openxmlformats.org/officeDocument/2006/relationships/hyperlink" Target="http://www.broadinstitute.org/gsea/msigdb/cards/GRAHAM_CML_QUIESCENT_VS_NORMAL_DIVIDING_UP.html" TargetMode="External"/><Relationship Id="rId387" Type="http://schemas.openxmlformats.org/officeDocument/2006/relationships/hyperlink" Target="http://www.broadinstitute.org/gsea/msigdb/cards/TARTE_PLASMA_CELL_VS_PLASMABLAST_DN.html" TargetMode="External"/><Relationship Id="rId388" Type="http://schemas.openxmlformats.org/officeDocument/2006/relationships/hyperlink" Target="http://www.broadinstitute.org/gsea/msigdb/cards/BREDEMEYER_RAG_SIGNALING_NOT_VIA_ATM_DN.html" TargetMode="External"/><Relationship Id="rId389" Type="http://schemas.openxmlformats.org/officeDocument/2006/relationships/hyperlink" Target="http://www.broadinstitute.org/gsea/msigdb/cards/PEART_HDAC_PROLIFERATION_CLUSTER_DN.html" TargetMode="External"/><Relationship Id="rId5270" Type="http://schemas.openxmlformats.org/officeDocument/2006/relationships/hyperlink" Target="http://www.broadinstitute.org/gsea/msigdb/cards/GSE41867_NAIVE_VS_DAY6_LCMV_ARMSTRONG_EFFECTOR_CD8_TCELL_UP.html" TargetMode="External"/><Relationship Id="rId5271" Type="http://schemas.openxmlformats.org/officeDocument/2006/relationships/hyperlink" Target="http://www.broadinstitute.org/gsea/msigdb/cards/GSE41867_NAIVE_VS_DAY30_LCMV_ARMSTRONG_MEMORY_CD8_TCELL_UP.html" TargetMode="External"/><Relationship Id="rId5272" Type="http://schemas.openxmlformats.org/officeDocument/2006/relationships/hyperlink" Target="http://www.broadinstitute.org/gsea/msigdb/cards/GSE41867_DAY15_EFFECTOR_VS_DAY30_MEMORY_CD8_TCELL_LCMV_ARMSTRONG_DN.html" TargetMode="External"/><Relationship Id="rId5273" Type="http://schemas.openxmlformats.org/officeDocument/2006/relationships/hyperlink" Target="http://www.broadinstitute.org/gsea/msigdb/cards/GSE36826_NORMAL_VS_STAPH_AUREUS_INF_IL1R_KO_SKIN_UP.html" TargetMode="External"/><Relationship Id="rId5274" Type="http://schemas.openxmlformats.org/officeDocument/2006/relationships/hyperlink" Target="http://www.broadinstitute.org/gsea/msigdb/cards/GSE41978_ID2_KO_VS_ID2_KO_AND_BIM_KO_KLRG1_LOW_EFFECTOR_CD8_TCELL_UP.html" TargetMode="External"/><Relationship Id="rId5275" Type="http://schemas.openxmlformats.org/officeDocument/2006/relationships/hyperlink" Target="http://www.broadinstitute.org/gsea/msigdb/cards/GSE42021_TREG_PLN_VS_CD24LO_TREG_THYMUS_UP.html" TargetMode="External"/><Relationship Id="rId5276" Type="http://schemas.openxmlformats.org/officeDocument/2006/relationships/hyperlink" Target="http://www.broadinstitute.org/gsea/msigdb/cards/GSE43955_TH0_VS_TGFB_IL6_TH17_ACT_CD4_TCELL_10H_UP.html" TargetMode="External"/><Relationship Id="rId5277" Type="http://schemas.openxmlformats.org/officeDocument/2006/relationships/hyperlink" Target="http://www.broadinstitute.org/gsea/msigdb/cards/GSE43955_TH0_VS_TGFB_IL6_TH17_ACT_CD4_TCELL_10H_DN.html" TargetMode="External"/><Relationship Id="rId5278" Type="http://schemas.openxmlformats.org/officeDocument/2006/relationships/hyperlink" Target="http://www.broadinstitute.org/gsea/msigdb/cards/GSE43955_TH0_VS_TGFB_IL6_TH17_ACT_CD4_TCELL_20H_UP.html" TargetMode="External"/><Relationship Id="rId5279" Type="http://schemas.openxmlformats.org/officeDocument/2006/relationships/hyperlink" Target="http://www.broadinstitute.org/gsea/msigdb/cards/GSE43955_TH0_VS_TGFB_IL6_IL23_TH17_ACT_CD4_TCELL_52H_DN.html" TargetMode="External"/><Relationship Id="rId4180" Type="http://schemas.openxmlformats.org/officeDocument/2006/relationships/hyperlink" Target="http://www.broadinstitute.org/gsea/msigdb/cards/GSE9006_HEALTHY_VS_TYPE_1_DIABETES_PBMC_4MONTH_POST_DX_UP.html" TargetMode="External"/><Relationship Id="rId4181" Type="http://schemas.openxmlformats.org/officeDocument/2006/relationships/hyperlink" Target="http://www.broadinstitute.org/gsea/msigdb/cards/GSE9006_TYPE_1_DIABETES_AT_DX_VS_4MONTH_POST_DX_PBMC_UP.html" TargetMode="External"/><Relationship Id="rId4182" Type="http://schemas.openxmlformats.org/officeDocument/2006/relationships/hyperlink" Target="http://www.broadinstitute.org/gsea/msigdb/cards/GSE9037_CTRL_VS_LPS_4H_STIM_IRAK4_KO_BMDM_UP.html" TargetMode="External"/><Relationship Id="rId4183" Type="http://schemas.openxmlformats.org/officeDocument/2006/relationships/hyperlink" Target="http://www.broadinstitute.org/gsea/msigdb/cards/GSE9650_NAIVE_VS_MEMORY_CD8_TCELL_UP.html" TargetMode="External"/><Relationship Id="rId4184" Type="http://schemas.openxmlformats.org/officeDocument/2006/relationships/hyperlink" Target="http://www.broadinstitute.org/gsea/msigdb/cards/GSE9988_ANTI_TREM1_VS_CTRL_TREATED_MONOCYTES_UP.html" TargetMode="External"/><Relationship Id="rId4185" Type="http://schemas.openxmlformats.org/officeDocument/2006/relationships/hyperlink" Target="http://www.broadinstitute.org/gsea/msigdb/cards/GSE9988_ANTI_TREM1_VS_VEHICLE_TREATED_MONOCYTES_UP.html" TargetMode="External"/><Relationship Id="rId4186" Type="http://schemas.openxmlformats.org/officeDocument/2006/relationships/hyperlink" Target="http://www.broadinstitute.org/gsea/msigdb/cards/GSE2770_UNTREATED_VS_IL4_TREATED_ACT_CD4_TCELL_48H_UP.html" TargetMode="External"/><Relationship Id="rId4187" Type="http://schemas.openxmlformats.org/officeDocument/2006/relationships/hyperlink" Target="http://www.broadinstitute.org/gsea/msigdb/cards/GSE2770_UNTREATED_VS_ACT_CD4_TCELL_48H_DN.html" TargetMode="External"/><Relationship Id="rId4188" Type="http://schemas.openxmlformats.org/officeDocument/2006/relationships/hyperlink" Target="http://www.broadinstitute.org/gsea/msigdb/cards/GSE2770_TGFB_AND_IL4_VS_TGFB_AND_IL12_TREATED_ACT_CD4_TCELL_48H_DN.html" TargetMode="External"/><Relationship Id="rId4189" Type="http://schemas.openxmlformats.org/officeDocument/2006/relationships/hyperlink" Target="http://www.broadinstitute.org/gsea/msigdb/cards/GSE2770_IL12_AND_TGFB_VS_IL4_TREATED_ACT_CD4_TCELL_2H_UP.html" TargetMode="External"/><Relationship Id="rId3090" Type="http://schemas.openxmlformats.org/officeDocument/2006/relationships/hyperlink" Target="http://www.broadinstitute.org/gsea/msigdb/cards/GSE40274_CTRL_VS_EOS_TRANSDUCED_ACTIVATED_CD4_TCELL_UP.html" TargetMode="External"/><Relationship Id="rId3091" Type="http://schemas.openxmlformats.org/officeDocument/2006/relationships/hyperlink" Target="http://www.broadinstitute.org/gsea/msigdb/cards/GOLDRATH_EFF_VS_MEMORY_CD8_TCELL_DN.html" TargetMode="External"/><Relationship Id="rId3092" Type="http://schemas.openxmlformats.org/officeDocument/2006/relationships/hyperlink" Target="http://www.broadinstitute.org/gsea/msigdb/cards/GSE10239_NAIVE_VS_MEMORY_CD8_TCELL_DN.html" TargetMode="External"/><Relationship Id="rId3093" Type="http://schemas.openxmlformats.org/officeDocument/2006/relationships/hyperlink" Target="http://www.broadinstitute.org/gsea/msigdb/cards/GSE10239_KLRG1INT_VS_KLRG1HIGH_EFF_CD8_TCELL_DN.html" TargetMode="External"/><Relationship Id="rId3094" Type="http://schemas.openxmlformats.org/officeDocument/2006/relationships/hyperlink" Target="http://www.broadinstitute.org/gsea/msigdb/cards/GSE11057_CD4_CENT_MEM_VS_PBMC_UP.html" TargetMode="External"/><Relationship Id="rId3095" Type="http://schemas.openxmlformats.org/officeDocument/2006/relationships/hyperlink" Target="http://www.broadinstitute.org/gsea/msigdb/cards/GSE11864_UNTREATED_VS_CSF1_IN_MAC_UP.html" TargetMode="External"/><Relationship Id="rId3096" Type="http://schemas.openxmlformats.org/officeDocument/2006/relationships/hyperlink" Target="http://www.broadinstitute.org/gsea/msigdb/cards/GSE11864_CSF1_IFNG_VS_CSF1_IFNG_PAM3CYS_IN_MAC_UP.html" TargetMode="External"/><Relationship Id="rId3097" Type="http://schemas.openxmlformats.org/officeDocument/2006/relationships/hyperlink" Target="http://www.broadinstitute.org/gsea/msigdb/cards/GSE13411_NAIVE_VS_SWITCHED_MEMORY_BCELL_DN.html" TargetMode="External"/><Relationship Id="rId3098" Type="http://schemas.openxmlformats.org/officeDocument/2006/relationships/hyperlink" Target="http://www.broadinstitute.org/gsea/msigdb/cards/GSE13411_SWITCHED_MEMORY_BCELL_VS_PLASMA_CELL_UP.html" TargetMode="External"/><Relationship Id="rId3099" Type="http://schemas.openxmlformats.org/officeDocument/2006/relationships/hyperlink" Target="http://www.broadinstitute.org/gsea/msigdb/cards/GSE14000_UNSTIM_VS_16H_LPS_DC_DN.html" TargetMode="External"/><Relationship Id="rId390" Type="http://schemas.openxmlformats.org/officeDocument/2006/relationships/hyperlink" Target="http://www.broadinstitute.org/gsea/msigdb/cards/PID_INTEGRIN_CS_PATHWAY.html" TargetMode="External"/><Relationship Id="rId391" Type="http://schemas.openxmlformats.org/officeDocument/2006/relationships/hyperlink" Target="http://www.broadinstitute.org/gsea/msigdb/cards/FONTAINE_THYROID_TUMOR_UNCERTAIN_MALIGNANCY_DN.html" TargetMode="External"/><Relationship Id="rId392" Type="http://schemas.openxmlformats.org/officeDocument/2006/relationships/hyperlink" Target="http://www.broadinstitute.org/gsea/msigdb/cards/KATSANOU_ELAVL1_TARGETS_UP.html" TargetMode="External"/><Relationship Id="rId393" Type="http://schemas.openxmlformats.org/officeDocument/2006/relationships/hyperlink" Target="http://www.broadinstitute.org/gsea/msigdb/cards/ZHANG_RESPONSE_TO_IKK_INHIBITOR_AND_TNF_UP.html" TargetMode="External"/><Relationship Id="rId394" Type="http://schemas.openxmlformats.org/officeDocument/2006/relationships/hyperlink" Target="http://www.broadinstitute.org/gsea/msigdb/cards/MORI_PRE_BI_LYMPHOCYTE_DN.html" TargetMode="External"/><Relationship Id="rId395" Type="http://schemas.openxmlformats.org/officeDocument/2006/relationships/hyperlink" Target="http://www.broadinstitute.org/gsea/msigdb/cards/PID_SHP2_PATHWAY.html" TargetMode="External"/><Relationship Id="rId396" Type="http://schemas.openxmlformats.org/officeDocument/2006/relationships/hyperlink" Target="http://www.broadinstitute.org/gsea/msigdb/cards/NABA_SECRETED_FACTORS.html" TargetMode="External"/><Relationship Id="rId397" Type="http://schemas.openxmlformats.org/officeDocument/2006/relationships/hyperlink" Target="http://www.broadinstitute.org/gsea/msigdb/cards/NABA_ECM_AFFILIATED.html" TargetMode="External"/><Relationship Id="rId398" Type="http://schemas.openxmlformats.org/officeDocument/2006/relationships/hyperlink" Target="http://www.broadinstitute.org/gsea/msigdb/cards/RHEIN_ALL_GLUCOCORTICOID_THERAPY_UP.html" TargetMode="External"/><Relationship Id="rId399" Type="http://schemas.openxmlformats.org/officeDocument/2006/relationships/hyperlink" Target="http://www.broadinstitute.org/gsea/msigdb/cards/REACTOME_IL_RECEPTOR_SHC_SIGNALING.html" TargetMode="External"/><Relationship Id="rId5280" Type="http://schemas.openxmlformats.org/officeDocument/2006/relationships/hyperlink" Target="http://www.broadinstitute.org/gsea/msigdb/cards/GSE43955_1H_VS_10H_ACT_CD4_TCELL_DN.html" TargetMode="External"/><Relationship Id="rId5281" Type="http://schemas.openxmlformats.org/officeDocument/2006/relationships/hyperlink" Target="http://www.broadinstitute.org/gsea/msigdb/cards/GSE43955_1H_VS_20H_ACT_CD4_TCELL_DN.html" TargetMode="External"/><Relationship Id="rId5282" Type="http://schemas.openxmlformats.org/officeDocument/2006/relationships/hyperlink" Target="http://www.broadinstitute.org/gsea/msigdb/cards/GSE43955_1H_VS_20H_ACT_CD4_TCELL_WITH_TGFB_IL6_UP.html" TargetMode="External"/><Relationship Id="rId5283" Type="http://schemas.openxmlformats.org/officeDocument/2006/relationships/hyperlink" Target="http://www.broadinstitute.org/gsea/msigdb/cards/GSE43955_10H_VS_60H_ACT_CD4_TCELL_WITH_TGFB_IL6_UP.html" TargetMode="External"/><Relationship Id="rId5284" Type="http://schemas.openxmlformats.org/officeDocument/2006/relationships/hyperlink" Target="http://www.broadinstitute.org/gsea/msigdb/cards/GSE43863_NAIVE_VS_LY6C_LOW_CXCR5NEG_CD4_EFF_TCELL_D6_LCMV_DN.html" TargetMode="External"/><Relationship Id="rId5285" Type="http://schemas.openxmlformats.org/officeDocument/2006/relationships/hyperlink" Target="http://www.broadinstitute.org/gsea/msigdb/cards/GSE43863_TFH_VS_LY6C_INT_CXCR5POS_MEMORY_CD4_TCELL_DN.html" TargetMode="External"/><Relationship Id="rId5286" Type="http://schemas.openxmlformats.org/officeDocument/2006/relationships/hyperlink" Target="http://www.broadinstitute.org/gsea/msigdb/cards/GSE43863_TH1_VS_TFH_EFFECTOR_CD4_TCELL_DN.html" TargetMode="External"/><Relationship Id="rId5287" Type="http://schemas.openxmlformats.org/officeDocument/2006/relationships/hyperlink" Target="http://www.broadinstitute.org/gsea/msigdb/cards/GSE44649_NAIVE_VS_ACTIVATED_CD8_TCELL_UP.html" TargetMode="External"/><Relationship Id="rId5288" Type="http://schemas.openxmlformats.org/officeDocument/2006/relationships/hyperlink" Target="http://www.broadinstitute.org/gsea/msigdb/cards/GSE42724_NAIVE_VS_B1_BCELL_UP.html" TargetMode="External"/><Relationship Id="rId5289" Type="http://schemas.openxmlformats.org/officeDocument/2006/relationships/hyperlink" Target="http://www.broadinstitute.org/gsea/msigdb/cards/GSE46606_UNSTIM_VS_CD40L_IL2_IL5_3DAY_STIMULATED_IRF4_KO_BCELL_DN.html" TargetMode="External"/><Relationship Id="rId4190" Type="http://schemas.openxmlformats.org/officeDocument/2006/relationships/hyperlink" Target="http://www.broadinstitute.org/gsea/msigdb/cards/GSE2405_0H_VS_1.5H_A_PHAGOCYTOPHILUM_STIM_NEUTROPHIL_UP.html" TargetMode="External"/><Relationship Id="rId4191" Type="http://schemas.openxmlformats.org/officeDocument/2006/relationships/hyperlink" Target="http://www.broadinstitute.org/gsea/msigdb/cards/GSE22601_DOUBLE_NEGATIVE_VS_DOUBLE_POSITIVE_THYMOCYTE_DN.html" TargetMode="External"/><Relationship Id="rId4192" Type="http://schemas.openxmlformats.org/officeDocument/2006/relationships/hyperlink" Target="http://www.broadinstitute.org/gsea/msigdb/cards/GSE2585_CTEC_VS_THYMIC_DC_DN.html" TargetMode="External"/><Relationship Id="rId4193" Type="http://schemas.openxmlformats.org/officeDocument/2006/relationships/hyperlink" Target="http://www.broadinstitute.org/gsea/msigdb/cards/GSE2585_THYMIC_DC_VS_THYMIC_MACROPHAGE_DN.html" TargetMode="External"/><Relationship Id="rId4194" Type="http://schemas.openxmlformats.org/officeDocument/2006/relationships/hyperlink" Target="http://www.broadinstitute.org/gsea/msigdb/cards/GSE1925_CTRL_VS_IFNG_PRIMED_MACROPHAGE_24H_IFNG_STIM_DN.html" TargetMode="External"/><Relationship Id="rId4195" Type="http://schemas.openxmlformats.org/officeDocument/2006/relationships/hyperlink" Target="http://www.broadinstitute.org/gsea/msigdb/cards/GSE8921_UNSTIM_VS_TLR1_2_STIM_MONOCYTE_3H_DN.html" TargetMode="External"/><Relationship Id="rId4196" Type="http://schemas.openxmlformats.org/officeDocument/2006/relationships/hyperlink" Target="http://www.broadinstitute.org/gsea/msigdb/cards/GSE8921_UNSTIM_VS_TLR1_2_STIM_MONOCYTE_6H_UP.html" TargetMode="External"/><Relationship Id="rId4197" Type="http://schemas.openxmlformats.org/officeDocument/2006/relationships/hyperlink" Target="http://www.broadinstitute.org/gsea/msigdb/cards/GSE8921_UNSTIM_VS_TLR1_2_STIM_MONOCYTE_6H_DN.html" TargetMode="External"/><Relationship Id="rId4198" Type="http://schemas.openxmlformats.org/officeDocument/2006/relationships/hyperlink" Target="http://www.broadinstitute.org/gsea/msigdb/cards/GSE3039_CD4_TCELL_VS_ALPHAALPHA_CD8_TCELL_DN.html" TargetMode="External"/><Relationship Id="rId4199" Type="http://schemas.openxmlformats.org/officeDocument/2006/relationships/hyperlink" Target="http://www.broadinstitute.org/gsea/msigdb/cards/GSE5589_WT_VS_IL10_KO_LPS_STIM_MACROPHAGE_45MIN_UP.html" TargetMode="External"/><Relationship Id="rId5290" Type="http://schemas.openxmlformats.org/officeDocument/2006/relationships/hyperlink" Target="http://www.broadinstitute.org/gsea/msigdb/cards/GSE46606_IRF4_KO_VS_WT_UNSTIM_BCELL_UP.html" TargetMode="External"/><Relationship Id="rId5291" Type="http://schemas.openxmlformats.org/officeDocument/2006/relationships/hyperlink" Target="http://www.broadinstitute.org/gsea/msigdb/cards/GSE46606_DAY1_VS_DAY3_CD40L_IL2_IL5_STIMULATED_BCELL_DN.html" TargetMode="External"/><Relationship Id="rId5292" Type="http://schemas.openxmlformats.org/officeDocument/2006/relationships/hyperlink" Target="http://www.broadinstitute.org/gsea/msigdb/cards/GSE46025_WT_VS_FOXO1_KO_KLRG1_LOW_CD8_EFFECTOR_TCELL_DN.html" TargetMode="External"/><Relationship Id="rId5293" Type="http://schemas.openxmlformats.org/officeDocument/2006/relationships/hyperlink" Target="http://www.broadinstitute.org/gsea/msigdb/cards/GSE41176_UNSTIM_VS_ANTI_IGM_STIM_BCELL_24H_UP.html" TargetMode="External"/><Relationship Id="rId5294" Type="http://schemas.openxmlformats.org/officeDocument/2006/relationships/hyperlink" Target="http://www.broadinstitute.org/gsea/msigdb/cards/GSE45365_WT_VS_IFNAR_KO_CD8A_DC_UP.html" TargetMode="External"/><Relationship Id="rId5295" Type="http://schemas.openxmlformats.org/officeDocument/2006/relationships/hyperlink" Target="http://www.broadinstitute.org/gsea/msigdb/cards/GSE45365_WT_VS_IFNAR_KO_CD8A_DC_MCMV_INFECTION_DN.html" TargetMode="External"/><Relationship Id="rId5296" Type="http://schemas.openxmlformats.org/officeDocument/2006/relationships/hyperlink" Target="http://www.broadinstitute.org/gsea/msigdb/cards/GSE45365_WT_VS_IFNAR_KO_BCELL_UP.html" TargetMode="External"/><Relationship Id="rId5297" Type="http://schemas.openxmlformats.org/officeDocument/2006/relationships/hyperlink" Target="http://www.broadinstitute.org/gsea/msigdb/cards/GSE9946_MATURE_STIMULATORY_VS_PROSTAGLANDINE2_TREATED_MATURE_DC_UP.html" TargetMode="External"/><Relationship Id="rId5298" Type="http://schemas.openxmlformats.org/officeDocument/2006/relationships/hyperlink" Target="http://www.broadinstitute.org/gsea/msigdb/cards/GSE3920_UNTREATED_VS_IFNG_TREATED_FIBROBLAST_UP.html" TargetMode="External"/><Relationship Id="rId5299" Type="http://schemas.openxmlformats.org/officeDocument/2006/relationships/hyperlink" Target="http://www.broadinstitute.org/gsea/msigdb/cards/GSE9946_IMMATURE_VS_MATURE_STIMULATORY_DC_DN.html" TargetMode="External"/><Relationship Id="rId1400" Type="http://schemas.openxmlformats.org/officeDocument/2006/relationships/hyperlink" Target="http://www.broadinstitute.org/gsea/msigdb/cards/GO_POSITIVE_REGULATION_OF_VASCULATURE_DEVELOPMENT.html" TargetMode="External"/><Relationship Id="rId1401" Type="http://schemas.openxmlformats.org/officeDocument/2006/relationships/hyperlink" Target="http://www.broadinstitute.org/gsea/msigdb/cards/GO_MACROPHAGE_ACTIVATION.html" TargetMode="External"/><Relationship Id="rId1402" Type="http://schemas.openxmlformats.org/officeDocument/2006/relationships/hyperlink" Target="http://www.broadinstitute.org/gsea/msigdb/cards/GO_PEPTIDE_ANTIGEN_BINDING.html" TargetMode="External"/><Relationship Id="rId1403" Type="http://schemas.openxmlformats.org/officeDocument/2006/relationships/hyperlink" Target="http://www.broadinstitute.org/gsea/msigdb/cards/GO_G_PROTEIN_COUPLED_PURINERGIC_RECEPTOR_SIGNALING_PATHWAY.html" TargetMode="External"/><Relationship Id="rId1404" Type="http://schemas.openxmlformats.org/officeDocument/2006/relationships/hyperlink" Target="http://www.broadinstitute.org/gsea/msigdb/cards/GO_FC_GAMMA_RECEPTOR_SIGNALING_PATHWAY.html" TargetMode="External"/><Relationship Id="rId1405" Type="http://schemas.openxmlformats.org/officeDocument/2006/relationships/hyperlink" Target="http://www.broadinstitute.org/gsea/msigdb/cards/GO_RECEPTOR_MEDIATED_ENDOCYTOSIS.html" TargetMode="External"/><Relationship Id="rId1406" Type="http://schemas.openxmlformats.org/officeDocument/2006/relationships/hyperlink" Target="http://www.broadinstitute.org/gsea/msigdb/cards/GO_REGULATION_OF_INTRACELLULAR_TRANSPORT.html" TargetMode="External"/><Relationship Id="rId1407" Type="http://schemas.openxmlformats.org/officeDocument/2006/relationships/hyperlink" Target="http://www.broadinstitute.org/gsea/msigdb/cards/GO_PROTEIN_SECRETION.html" TargetMode="External"/><Relationship Id="rId1408" Type="http://schemas.openxmlformats.org/officeDocument/2006/relationships/hyperlink" Target="http://www.broadinstitute.org/gsea/msigdb/cards/GO_T_HELPER_1_TYPE_IMMUNE_RESPONSE.html" TargetMode="External"/><Relationship Id="rId1409" Type="http://schemas.openxmlformats.org/officeDocument/2006/relationships/hyperlink" Target="http://www.broadinstitute.org/gsea/msigdb/cards/GO_POSITIVE_REGULATION_OF_NATURAL_KILLER_CELL_MEDIATED_IMMUNITY.html" TargetMode="External"/><Relationship Id="rId2500" Type="http://schemas.openxmlformats.org/officeDocument/2006/relationships/hyperlink" Target="http://www.broadinstitute.org/gsea/msigdb/cards/GSE12392_WT_VS_IFNB_KO_CD8A_NEG_SPLEEN_DC_DN.html" TargetMode="External"/><Relationship Id="rId2501" Type="http://schemas.openxmlformats.org/officeDocument/2006/relationships/hyperlink" Target="http://www.broadinstitute.org/gsea/msigdb/cards/GSE15735_2H_VS_12H_HDAC_INHIBITOR_TREATED_CD4_TCELL_UP.html" TargetMode="External"/><Relationship Id="rId2502" Type="http://schemas.openxmlformats.org/officeDocument/2006/relationships/hyperlink" Target="http://www.broadinstitute.org/gsea/msigdb/cards/GSE19198_CTRL_VS_IL21_TREATED_TCELL_6H_DN.html" TargetMode="External"/><Relationship Id="rId2503" Type="http://schemas.openxmlformats.org/officeDocument/2006/relationships/hyperlink" Target="http://www.broadinstitute.org/gsea/msigdb/cards/GSE19923_E2A_KO_VS_E2A_AND_HEB_KO_DP_THYMOCYTE_DN.html" TargetMode="External"/><Relationship Id="rId2504" Type="http://schemas.openxmlformats.org/officeDocument/2006/relationships/hyperlink" Target="http://www.broadinstitute.org/gsea/msigdb/cards/GSE16450_IMMATURE_VS_MATURE_NEURON_CELL_LINE_12H_IFNA_STIM_UP.html" TargetMode="External"/><Relationship Id="rId2505" Type="http://schemas.openxmlformats.org/officeDocument/2006/relationships/hyperlink" Target="http://www.broadinstitute.org/gsea/msigdb/cards/GSE21670_STAT3_KO_VS_WT_CD4_TCELL_UP.html" TargetMode="External"/><Relationship Id="rId2506" Type="http://schemas.openxmlformats.org/officeDocument/2006/relationships/hyperlink" Target="http://www.broadinstitute.org/gsea/msigdb/cards/GSE21774_CD62L_POS_CD56_DIM_VS_CD62L_NEG_CD56_DIM_NK_CELL_UP.html" TargetMode="External"/><Relationship Id="rId2507" Type="http://schemas.openxmlformats.org/officeDocument/2006/relationships/hyperlink" Target="http://www.broadinstitute.org/gsea/msigdb/cards/GSE23925_LIGHT_ZONE_VS_NAIVE_BCELL_UP.html" TargetMode="External"/><Relationship Id="rId2508" Type="http://schemas.openxmlformats.org/officeDocument/2006/relationships/hyperlink" Target="http://www.broadinstitute.org/gsea/msigdb/cards/GSE25123_WT_VS_PPARG_KO_MACROPHAGE_DN.html" TargetMode="External"/><Relationship Id="rId2509" Type="http://schemas.openxmlformats.org/officeDocument/2006/relationships/hyperlink" Target="http://www.broadinstitute.org/gsea/msigdb/cards/GSE26912_TUMORICIDAL_VS_CTRL_MACROPHAGE_DN.html" TargetMode="External"/><Relationship Id="rId1410" Type="http://schemas.openxmlformats.org/officeDocument/2006/relationships/hyperlink" Target="http://www.broadinstitute.org/gsea/msigdb/cards/GO_CHEMOKINE_BINDING.html" TargetMode="External"/><Relationship Id="rId1411" Type="http://schemas.openxmlformats.org/officeDocument/2006/relationships/hyperlink" Target="http://www.broadinstitute.org/gsea/msigdb/cards/GO_REGULATION_OF_PHOSPHATIDYLINOSITOL_3_KINASE_SIGNALING.html" TargetMode="External"/><Relationship Id="rId1412" Type="http://schemas.openxmlformats.org/officeDocument/2006/relationships/hyperlink" Target="http://www.broadinstitute.org/gsea/msigdb/cards/GO_TOLERANCE_INDUCTION.html" TargetMode="External"/><Relationship Id="rId1413" Type="http://schemas.openxmlformats.org/officeDocument/2006/relationships/hyperlink" Target="http://www.broadinstitute.org/gsea/msigdb/cards/GO_REGULATION_OF_CELL_SHAPE.html" TargetMode="External"/><Relationship Id="rId1414" Type="http://schemas.openxmlformats.org/officeDocument/2006/relationships/hyperlink" Target="http://www.broadinstitute.org/gsea/msigdb/cards/GO_POSITIVE_REGULATION_OF_INTERLEUKIN_12_PRODUCTION.html" TargetMode="External"/><Relationship Id="rId1415" Type="http://schemas.openxmlformats.org/officeDocument/2006/relationships/hyperlink" Target="http://www.broadinstitute.org/gsea/msigdb/cards/GO_NEGATIVE_REGULATION_OF_CELL_DEATH.html" TargetMode="External"/><Relationship Id="rId1416" Type="http://schemas.openxmlformats.org/officeDocument/2006/relationships/hyperlink" Target="http://www.broadinstitute.org/gsea/msigdb/cards/GO_REGULATION_OF_INTERLEUKIN_1_SECRETION.html" TargetMode="External"/><Relationship Id="rId1417" Type="http://schemas.openxmlformats.org/officeDocument/2006/relationships/hyperlink" Target="http://www.broadinstitute.org/gsea/msigdb/cards/GO_LUMENAL_SIDE_OF_MEMBRANE.html" TargetMode="External"/><Relationship Id="rId1418" Type="http://schemas.openxmlformats.org/officeDocument/2006/relationships/hyperlink" Target="http://www.broadinstitute.org/gsea/msigdb/cards/GO_INTERSPECIES_INTERACTION_BETWEEN_ORGANISMS.html" TargetMode="External"/><Relationship Id="rId1419" Type="http://schemas.openxmlformats.org/officeDocument/2006/relationships/hyperlink" Target="http://www.broadinstitute.org/gsea/msigdb/cards/GO_POSITIVE_REGULATION_OF_PEPTIDYL_TYROSINE_PHOSPHORYLATION.html" TargetMode="External"/><Relationship Id="rId3600" Type="http://schemas.openxmlformats.org/officeDocument/2006/relationships/hyperlink" Target="http://www.broadinstitute.org/gsea/msigdb/cards/GSE42021_TCONV_PLN_VS_CD24LO_TCONV_THYMUS_DN.html" TargetMode="External"/><Relationship Id="rId3601" Type="http://schemas.openxmlformats.org/officeDocument/2006/relationships/hyperlink" Target="http://www.broadinstitute.org/gsea/msigdb/cards/GSE43955_1H_VS_10H_ACT_CD4_TCELL_UP.html" TargetMode="External"/><Relationship Id="rId3602" Type="http://schemas.openxmlformats.org/officeDocument/2006/relationships/hyperlink" Target="http://www.broadinstitute.org/gsea/msigdb/cards/GSE43955_1H_VS_10H_ACT_CD4_TCELL_WITH_TGFB_IL6_UP.html" TargetMode="External"/><Relationship Id="rId3603" Type="http://schemas.openxmlformats.org/officeDocument/2006/relationships/hyperlink" Target="http://www.broadinstitute.org/gsea/msigdb/cards/GSE43955_1H_VS_60H_ACT_CD4_TCELL_WITH_TGFB_IL6_UP.html" TargetMode="External"/><Relationship Id="rId3604" Type="http://schemas.openxmlformats.org/officeDocument/2006/relationships/hyperlink" Target="http://www.broadinstitute.org/gsea/msigdb/cards/GSE43955_10H_VS_30H_ACT_CD4_TCELL_UP.html" TargetMode="External"/><Relationship Id="rId3605" Type="http://schemas.openxmlformats.org/officeDocument/2006/relationships/hyperlink" Target="http://www.broadinstitute.org/gsea/msigdb/cards/GSE44649_NAIVE_VS_ACTIVATED_CD8_TCELL_MIR155_KO_DN.html" TargetMode="External"/><Relationship Id="rId3606" Type="http://schemas.openxmlformats.org/officeDocument/2006/relationships/hyperlink" Target="http://www.broadinstitute.org/gsea/msigdb/cards/GSE42724_MEMORY_BCELL_VS_PLASMABLAST_UP.html" TargetMode="External"/><Relationship Id="rId3607" Type="http://schemas.openxmlformats.org/officeDocument/2006/relationships/hyperlink" Target="http://www.broadinstitute.org/gsea/msigdb/cards/GSE46606_IRF4_KO_VS_WT_CD40L_IL2_IL5_1DAY_STIMULATED_BCELL_DN.html" TargetMode="External"/><Relationship Id="rId3608" Type="http://schemas.openxmlformats.org/officeDocument/2006/relationships/hyperlink" Target="http://www.broadinstitute.org/gsea/msigdb/cards/GSE46606_DAY1_VS_DAY3_CD40L_IL2_IL5_STIMULATED_IRF4MID_BCELL_DN.html" TargetMode="External"/><Relationship Id="rId3609" Type="http://schemas.openxmlformats.org/officeDocument/2006/relationships/hyperlink" Target="http://www.broadinstitute.org/gsea/msigdb/cards/GSE45739_UNSTIM_VS_ACD3_ACD28_STIM_NRAS_KO_CD4_TCELL_UP.html" TargetMode="External"/><Relationship Id="rId900" Type="http://schemas.openxmlformats.org/officeDocument/2006/relationships/hyperlink" Target="http://www.broadinstitute.org/gsea/msigdb/cards/MODULE_76.html" TargetMode="External"/><Relationship Id="rId901" Type="http://schemas.openxmlformats.org/officeDocument/2006/relationships/hyperlink" Target="http://www.broadinstitute.org/gsea/msigdb/cards/MODULE_238.html" TargetMode="External"/><Relationship Id="rId902" Type="http://schemas.openxmlformats.org/officeDocument/2006/relationships/hyperlink" Target="http://www.broadinstitute.org/gsea/msigdb/cards/GNF2_FOS.html" TargetMode="External"/><Relationship Id="rId903" Type="http://schemas.openxmlformats.org/officeDocument/2006/relationships/hyperlink" Target="http://www.broadinstitute.org/gsea/msigdb/cards/GNF2_PTPN4.html" TargetMode="External"/><Relationship Id="rId904" Type="http://schemas.openxmlformats.org/officeDocument/2006/relationships/hyperlink" Target="http://www.broadinstitute.org/gsea/msigdb/cards/GNF2_CD14.html" TargetMode="External"/><Relationship Id="rId905" Type="http://schemas.openxmlformats.org/officeDocument/2006/relationships/hyperlink" Target="http://www.broadinstitute.org/gsea/msigdb/cards/GNF2_FGR.html" TargetMode="External"/><Relationship Id="rId906" Type="http://schemas.openxmlformats.org/officeDocument/2006/relationships/hyperlink" Target="http://www.broadinstitute.org/gsea/msigdb/cards/MODULE_60.html" TargetMode="External"/><Relationship Id="rId907" Type="http://schemas.openxmlformats.org/officeDocument/2006/relationships/hyperlink" Target="http://www.broadinstitute.org/gsea/msigdb/cards/GNF2_SPI1.html" TargetMode="External"/><Relationship Id="rId908" Type="http://schemas.openxmlformats.org/officeDocument/2006/relationships/hyperlink" Target="http://www.broadinstitute.org/gsea/msigdb/cards/GNF2_ITGAL.html" TargetMode="External"/><Relationship Id="rId909" Type="http://schemas.openxmlformats.org/officeDocument/2006/relationships/hyperlink" Target="http://www.broadinstitute.org/gsea/msigdb/cards/GNF2_IL2RB.html" TargetMode="External"/><Relationship Id="rId2510" Type="http://schemas.openxmlformats.org/officeDocument/2006/relationships/hyperlink" Target="http://www.broadinstitute.org/gsea/msigdb/cards/GSE28726_NAIVE_VS_ACTIVATED_CD4_TCELL_UP.html" TargetMode="External"/><Relationship Id="rId2511" Type="http://schemas.openxmlformats.org/officeDocument/2006/relationships/hyperlink" Target="http://www.broadinstitute.org/gsea/msigdb/cards/GSE32164_RESTING_DIFFERENTIATED_VS_CMYC_INHIBITED_MACROPHAGE_UP.html" TargetMode="External"/><Relationship Id="rId2512" Type="http://schemas.openxmlformats.org/officeDocument/2006/relationships/hyperlink" Target="http://www.broadinstitute.org/gsea/msigdb/cards/GSE32255_UNSTIM_VS_4H_LPS_STIM_DC_UP.html" TargetMode="External"/><Relationship Id="rId2513" Type="http://schemas.openxmlformats.org/officeDocument/2006/relationships/hyperlink" Target="http://www.broadinstitute.org/gsea/msigdb/cards/GSE37533_UNTREATED_VS_PIOGLIZATONE_TREATED_CD4_TCELL_PPARG1_AND_FOXP3_TRASDUCED_UP.html" TargetMode="External"/><Relationship Id="rId2514" Type="http://schemas.openxmlformats.org/officeDocument/2006/relationships/hyperlink" Target="http://www.broadinstitute.org/gsea/msigdb/cards/GSE38681_WT_VS_LYL1_KO_LYMPHOID_PRIMED_MULTIPOTENT_PROGENITOR_DN.html" TargetMode="External"/><Relationship Id="rId2515" Type="http://schemas.openxmlformats.org/officeDocument/2006/relationships/hyperlink" Target="http://www.broadinstitute.org/gsea/msigdb/cards/GSE20727_ROS_INH_VS_ROS_INH_AND_DNFB_ALLERGEN_TREATED_DC_UP.html" TargetMode="External"/><Relationship Id="rId2516" Type="http://schemas.openxmlformats.org/officeDocument/2006/relationships/hyperlink" Target="http://www.broadinstitute.org/gsea/msigdb/cards/GSE28737_WT_VS_BCL6_KO_FOLLICULAR_BCELL_DN.html" TargetMode="External"/><Relationship Id="rId2517" Type="http://schemas.openxmlformats.org/officeDocument/2006/relationships/hyperlink" Target="http://www.broadinstitute.org/gsea/msigdb/cards/GSE46242_CTRL_VS_EGR2_DELETED_ANERGIC_TH1_CD4_TCELL_DN.html" TargetMode="External"/><Relationship Id="rId2518" Type="http://schemas.openxmlformats.org/officeDocument/2006/relationships/hyperlink" Target="http://www.broadinstitute.org/gsea/msigdb/cards/GSE43863_DAY6_EFF_VS_DAY150_MEM_TH1_CD4_TCELL_DN.html" TargetMode="External"/><Relationship Id="rId2519" Type="http://schemas.openxmlformats.org/officeDocument/2006/relationships/hyperlink" Target="http://www.broadinstitute.org/gsea/msigdb/cards/GSE46606_IRF4HIGH_VS_WT_CD40L_IL2_IL5_DAY3_STIMULATED_BCELL_DN.html" TargetMode="External"/><Relationship Id="rId1420" Type="http://schemas.openxmlformats.org/officeDocument/2006/relationships/hyperlink" Target="http://www.broadinstitute.org/gsea/msigdb/cards/GO_TUMOR_NECROSIS_FACTOR_RECEPTOR_SUPERFAMILY_BINDING.html" TargetMode="External"/><Relationship Id="rId1421" Type="http://schemas.openxmlformats.org/officeDocument/2006/relationships/hyperlink" Target="http://www.broadinstitute.org/gsea/msigdb/cards/GO_REGULATION_OF_INTERLEUKIN_17_PRODUCTION.html" TargetMode="External"/><Relationship Id="rId1422" Type="http://schemas.openxmlformats.org/officeDocument/2006/relationships/hyperlink" Target="http://www.broadinstitute.org/gsea/msigdb/cards/GO_REGULATION_OF_T_HELPER_1_TYPE_IMMUNE_RESPONSE.html" TargetMode="External"/><Relationship Id="rId1423" Type="http://schemas.openxmlformats.org/officeDocument/2006/relationships/hyperlink" Target="http://www.broadinstitute.org/gsea/msigdb/cards/GO_T_CELL_HOMEOSTASIS.html" TargetMode="External"/><Relationship Id="rId1424" Type="http://schemas.openxmlformats.org/officeDocument/2006/relationships/hyperlink" Target="http://www.broadinstitute.org/gsea/msigdb/cards/GO_CD4_POSITIVE_ALPHA_BETA_T_CELL_ACTIVATION.html" TargetMode="External"/><Relationship Id="rId1425" Type="http://schemas.openxmlformats.org/officeDocument/2006/relationships/hyperlink" Target="http://www.broadinstitute.org/gsea/msigdb/cards/GO_TRANS_GOLGI_NETWORK_MEMBRANE.html" TargetMode="External"/><Relationship Id="rId1426" Type="http://schemas.openxmlformats.org/officeDocument/2006/relationships/hyperlink" Target="http://www.broadinstitute.org/gsea/msigdb/cards/GO_ENZYME_ACTIVATOR_ACTIVITY.html" TargetMode="External"/><Relationship Id="rId1427" Type="http://schemas.openxmlformats.org/officeDocument/2006/relationships/hyperlink" Target="http://www.broadinstitute.org/gsea/msigdb/cards/GO_NEGATIVE_REGULATION_OF_LEUKOCYTE_DIFFERENTIATION.html" TargetMode="External"/><Relationship Id="rId1428" Type="http://schemas.openxmlformats.org/officeDocument/2006/relationships/hyperlink" Target="http://www.broadinstitute.org/gsea/msigdb/cards/GO_REGULATION_OF_REGULATORY_T_CELL_DIFFERENTIATION.html" TargetMode="External"/><Relationship Id="rId1429" Type="http://schemas.openxmlformats.org/officeDocument/2006/relationships/hyperlink" Target="http://www.broadinstitute.org/gsea/msigdb/cards/GO_REGULATION_OF_CHEMOKINE_PRODUCTION.html" TargetMode="External"/><Relationship Id="rId4700" Type="http://schemas.openxmlformats.org/officeDocument/2006/relationships/hyperlink" Target="http://www.broadinstitute.org/gsea/msigdb/cards/GSE17721_CPG_VS_GARDIQUIMOD_4H_BMDC_DN.html" TargetMode="External"/><Relationship Id="rId4701" Type="http://schemas.openxmlformats.org/officeDocument/2006/relationships/hyperlink" Target="http://www.broadinstitute.org/gsea/msigdb/cards/GSE17721_CPG_VS_GARDIQUIMOD_6H_BMDC_UP.html" TargetMode="External"/><Relationship Id="rId4702" Type="http://schemas.openxmlformats.org/officeDocument/2006/relationships/hyperlink" Target="http://www.broadinstitute.org/gsea/msigdb/cards/GSE17721_CPG_VS_GARDIQUIMOD_24H_BMDC_DN.html" TargetMode="External"/><Relationship Id="rId4703" Type="http://schemas.openxmlformats.org/officeDocument/2006/relationships/hyperlink" Target="http://www.broadinstitute.org/gsea/msigdb/cards/GSE17721_LPS_VS_PAM3CSK4_1H_BMDC_DN.html" TargetMode="External"/><Relationship Id="rId4704" Type="http://schemas.openxmlformats.org/officeDocument/2006/relationships/hyperlink" Target="http://www.broadinstitute.org/gsea/msigdb/cards/GSE17721_POLYIC_VS_CPG_2H_BMDC_DN.html" TargetMode="External"/><Relationship Id="rId4705" Type="http://schemas.openxmlformats.org/officeDocument/2006/relationships/hyperlink" Target="http://www.broadinstitute.org/gsea/msigdb/cards/GSE17721_POLYIC_VS_CPG_4H_BMDC_UP.html" TargetMode="External"/><Relationship Id="rId4706" Type="http://schemas.openxmlformats.org/officeDocument/2006/relationships/hyperlink" Target="http://www.broadinstitute.org/gsea/msigdb/cards/GSE17721_POLYIC_VS_CPG_6H_BMDC_DN.html" TargetMode="External"/><Relationship Id="rId4707" Type="http://schemas.openxmlformats.org/officeDocument/2006/relationships/hyperlink" Target="http://www.broadinstitute.org/gsea/msigdb/cards/GSE17721_POLYIC_VS_CPG_12H_BMDC_UP.html" TargetMode="External"/><Relationship Id="rId4708" Type="http://schemas.openxmlformats.org/officeDocument/2006/relationships/hyperlink" Target="http://www.broadinstitute.org/gsea/msigdb/cards/GSE17721_POLYIC_VS_CPG_24H_BMDC_UP.html" TargetMode="External"/><Relationship Id="rId4709" Type="http://schemas.openxmlformats.org/officeDocument/2006/relationships/hyperlink" Target="http://www.broadinstitute.org/gsea/msigdb/cards/GSE17721_PAM3CSK4_VS_GADIQUIMOD_2H_BMDC_DN.html" TargetMode="External"/><Relationship Id="rId3610" Type="http://schemas.openxmlformats.org/officeDocument/2006/relationships/hyperlink" Target="http://www.broadinstitute.org/gsea/msigdb/cards/GSE41176_UNSTIM_VS_ANTI_IGM_STIM_BCELL_3H_UP.html" TargetMode="External"/><Relationship Id="rId3611" Type="http://schemas.openxmlformats.org/officeDocument/2006/relationships/hyperlink" Target="http://www.broadinstitute.org/gsea/msigdb/cards/GSE41176_UNSTIM_VS_ANTI_IGM_STIM_BCELL_1H_UP.html" TargetMode="External"/><Relationship Id="rId3612" Type="http://schemas.openxmlformats.org/officeDocument/2006/relationships/hyperlink" Target="http://www.broadinstitute.org/gsea/msigdb/cards/GSE41176_UNSTIM_VS_ANTI_IGM_STIM_BCELL_6H_DN.html" TargetMode="External"/><Relationship Id="rId3613" Type="http://schemas.openxmlformats.org/officeDocument/2006/relationships/hyperlink" Target="http://www.broadinstitute.org/gsea/msigdb/cards/GSE41176_WT_VS_TAK1_KO_ANTI_IGM_STIM_BCELL_3H_DN.html" TargetMode="External"/><Relationship Id="rId3614" Type="http://schemas.openxmlformats.org/officeDocument/2006/relationships/hyperlink" Target="http://www.broadinstitute.org/gsea/msigdb/cards/GSE45365_WT_VS_IFNAR_KO_CD8A_DC_DN.html" TargetMode="External"/><Relationship Id="rId3615" Type="http://schemas.openxmlformats.org/officeDocument/2006/relationships/hyperlink" Target="http://www.broadinstitute.org/gsea/msigdb/cards/GSE9601_UNTREATED_VS_PI3K_INHIBITOR_TREATED_HCMV_INF_MONOCYTE_UP.html" TargetMode="External"/><Relationship Id="rId3616" Type="http://schemas.openxmlformats.org/officeDocument/2006/relationships/hyperlink" Target="http://www.broadinstitute.org/gsea/msigdb/cards/GSE14699_DELETIONAL_TOLERANCE_VS_ACTIVATED_CD8_TCELL_DN.html" TargetMode="External"/><Relationship Id="rId3617" Type="http://schemas.openxmlformats.org/officeDocument/2006/relationships/hyperlink" Target="http://www.broadinstitute.org/gsea/msigdb/cards/GSE14415_INDUCED_TREG_VS_FOXP3_KO_INDUCED_TREG_IL2_CULTURE_DN.html" TargetMode="External"/><Relationship Id="rId3618" Type="http://schemas.openxmlformats.org/officeDocument/2006/relationships/hyperlink" Target="http://www.broadinstitute.org/gsea/msigdb/cards/GSE4590_PRE_BCELL_VS_VPREB_POS_LARGE_PRE_BCELL_UP.html" TargetMode="External"/><Relationship Id="rId3619" Type="http://schemas.openxmlformats.org/officeDocument/2006/relationships/hyperlink" Target="http://www.broadinstitute.org/gsea/msigdb/cards/GSE6259_33D1_POS_DC_VS_CD8_TCELL_DN.html" TargetMode="External"/><Relationship Id="rId910" Type="http://schemas.openxmlformats.org/officeDocument/2006/relationships/hyperlink" Target="http://www.broadinstitute.org/gsea/msigdb/cards/GNF2_CD53.html" TargetMode="External"/><Relationship Id="rId911" Type="http://schemas.openxmlformats.org/officeDocument/2006/relationships/hyperlink" Target="http://www.broadinstitute.org/gsea/msigdb/cards/GNF2_MYD88.html" TargetMode="External"/><Relationship Id="rId912" Type="http://schemas.openxmlformats.org/officeDocument/2006/relationships/hyperlink" Target="http://www.broadinstitute.org/gsea/msigdb/cards/MODULE_108.html" TargetMode="External"/><Relationship Id="rId913" Type="http://schemas.openxmlformats.org/officeDocument/2006/relationships/hyperlink" Target="http://www.broadinstitute.org/gsea/msigdb/cards/GNF2_CASP8.html" TargetMode="External"/><Relationship Id="rId914" Type="http://schemas.openxmlformats.org/officeDocument/2006/relationships/hyperlink" Target="http://www.broadinstitute.org/gsea/msigdb/cards/MODULE_118.html" TargetMode="External"/><Relationship Id="rId915" Type="http://schemas.openxmlformats.org/officeDocument/2006/relationships/hyperlink" Target="http://www.broadinstitute.org/gsea/msigdb/cards/MODULE_399.html" TargetMode="External"/><Relationship Id="rId916" Type="http://schemas.openxmlformats.org/officeDocument/2006/relationships/hyperlink" Target="http://www.broadinstitute.org/gsea/msigdb/cards/GNF2_INPP5D.html" TargetMode="External"/><Relationship Id="rId917" Type="http://schemas.openxmlformats.org/officeDocument/2006/relationships/hyperlink" Target="http://www.broadinstitute.org/gsea/msigdb/cards/MODULE_145.html" TargetMode="External"/><Relationship Id="rId918" Type="http://schemas.openxmlformats.org/officeDocument/2006/relationships/hyperlink" Target="http://www.broadinstitute.org/gsea/msigdb/cards/MODULE_169.html" TargetMode="External"/><Relationship Id="rId919" Type="http://schemas.openxmlformats.org/officeDocument/2006/relationships/hyperlink" Target="http://www.broadinstitute.org/gsea/msigdb/cards/GNF2_RAB7L1.html" TargetMode="External"/><Relationship Id="rId2520" Type="http://schemas.openxmlformats.org/officeDocument/2006/relationships/hyperlink" Target="http://www.broadinstitute.org/gsea/msigdb/cards/GSE32901_NAIVE_VS_TH1_CD4_TCELL_DN.html" TargetMode="External"/><Relationship Id="rId2521" Type="http://schemas.openxmlformats.org/officeDocument/2006/relationships/hyperlink" Target="http://www.broadinstitute.org/gsea/msigdb/cards/GSE6259_FLT3L_INDUCED_33D1_POS_DC_VS_CD8_TCELL_DN.html" TargetMode="External"/><Relationship Id="rId2522" Type="http://schemas.openxmlformats.org/officeDocument/2006/relationships/hyperlink" Target="http://www.broadinstitute.org/gsea/msigdb/cards/GSE40274_CTRL_VS_LEF1_TRANSDUCED_ACTIVATED_CD4_TCELL_UP.html" TargetMode="External"/><Relationship Id="rId2523" Type="http://schemas.openxmlformats.org/officeDocument/2006/relationships/hyperlink" Target="http://www.broadinstitute.org/gsea/msigdb/cards/GSE21063_CTRL_VS_ANTI_IGM_STIM_BCELL_8H_UP.html" TargetMode="External"/><Relationship Id="rId2524" Type="http://schemas.openxmlformats.org/officeDocument/2006/relationships/hyperlink" Target="http://www.broadinstitute.org/gsea/msigdb/cards/GSE6259_33D1_POS_VS_DEC205_POS_FLT3L_INDUCED_SPLENIC_DC_UP.html" TargetMode="External"/><Relationship Id="rId2525" Type="http://schemas.openxmlformats.org/officeDocument/2006/relationships/hyperlink" Target="http://www.broadinstitute.org/gsea/msigdb/cards/GSE27241_WT_CTRL_VS_DIGOXIN_TREATED_RORGT_KO_CD4_TCELL_IN_TH17_POLARIZING_CONDITIONS_UP.html" TargetMode="External"/><Relationship Id="rId2526" Type="http://schemas.openxmlformats.org/officeDocument/2006/relationships/hyperlink" Target="http://www.broadinstitute.org/gsea/msigdb/cards/GSE4984_LPS_VS_VEHICLE_CTRL_TREATED_DC_DN.html" TargetMode="External"/><Relationship Id="rId2527" Type="http://schemas.openxmlformats.org/officeDocument/2006/relationships/hyperlink" Target="http://www.broadinstitute.org/gsea/msigdb/cards/GSE5542_UNTREATED_VS_IFNA_TREATED_EPITHELIAL_CELLS_6H_UP.html" TargetMode="External"/><Relationship Id="rId2528" Type="http://schemas.openxmlformats.org/officeDocument/2006/relationships/hyperlink" Target="http://www.broadinstitute.org/gsea/msigdb/cards/GSE1740_MCSF_VS_MCSF_AND_IFNG_DAY2_DERIVED_MACROPHAGE_UP.html" TargetMode="External"/><Relationship Id="rId2529" Type="http://schemas.openxmlformats.org/officeDocument/2006/relationships/hyperlink" Target="http://www.broadinstitute.org/gsea/msigdb/cards/GSE5542_UNTREATED_VS_IFNG_TREATED_EPITHELIAL_CELLS_6H_DN.html" TargetMode="External"/><Relationship Id="rId1430" Type="http://schemas.openxmlformats.org/officeDocument/2006/relationships/hyperlink" Target="http://www.broadinstitute.org/gsea/msigdb/cards/GO_PRODUCTION_OF_MOLECULAR_MEDIATOR_OF_IMMUNE_RESPONSE.html" TargetMode="External"/><Relationship Id="rId1431" Type="http://schemas.openxmlformats.org/officeDocument/2006/relationships/hyperlink" Target="http://www.broadinstitute.org/gsea/msigdb/cards/GO_NEGATIVE_REGULATION_OF_INTERLEUKIN_6_PRODUCTION.html" TargetMode="External"/><Relationship Id="rId1432" Type="http://schemas.openxmlformats.org/officeDocument/2006/relationships/hyperlink" Target="http://www.broadinstitute.org/gsea/msigdb/cards/GO_CARGO_RECEPTOR_ACTIVITY.html" TargetMode="External"/><Relationship Id="rId1433" Type="http://schemas.openxmlformats.org/officeDocument/2006/relationships/hyperlink" Target="http://www.broadinstitute.org/gsea/msigdb/cards/GO_T_CELL_PROLIFERATION.html" TargetMode="External"/><Relationship Id="rId1434" Type="http://schemas.openxmlformats.org/officeDocument/2006/relationships/hyperlink" Target="http://www.broadinstitute.org/gsea/msigdb/cards/GO_NEGATIVE_REGULATION_OF_LYMPHOCYTE_MEDIATED_IMMUNITY.html" TargetMode="External"/><Relationship Id="rId1435" Type="http://schemas.openxmlformats.org/officeDocument/2006/relationships/hyperlink" Target="http://www.broadinstitute.org/gsea/msigdb/cards/GO_NUCLEOSIDE_TRIPHOSPHATASE_REGULATOR_ACTIVITY.html" TargetMode="External"/><Relationship Id="rId1436" Type="http://schemas.openxmlformats.org/officeDocument/2006/relationships/hyperlink" Target="http://www.broadinstitute.org/gsea/msigdb/cards/GO_RESPONSE_TO_NITROGEN_COMPOUND.html" TargetMode="External"/><Relationship Id="rId1437" Type="http://schemas.openxmlformats.org/officeDocument/2006/relationships/hyperlink" Target="http://www.broadinstitute.org/gsea/msigdb/cards/GO_POSITIVE_REGULATION_OF_ERK1_AND_ERK2_CASCADE.html" TargetMode="External"/><Relationship Id="rId1438" Type="http://schemas.openxmlformats.org/officeDocument/2006/relationships/hyperlink" Target="http://www.broadinstitute.org/gsea/msigdb/cards/GO_LAMELLIPODIUM.html" TargetMode="External"/><Relationship Id="rId1439" Type="http://schemas.openxmlformats.org/officeDocument/2006/relationships/hyperlink" Target="http://www.broadinstitute.org/gsea/msigdb/cards/GO_PHAGOCYTIC_VESICLE.html" TargetMode="External"/><Relationship Id="rId4710" Type="http://schemas.openxmlformats.org/officeDocument/2006/relationships/hyperlink" Target="http://www.broadinstitute.org/gsea/msigdb/cards/GSE17721_PAM3CSK4_VS_GADIQUIMOD_24H_BMDC_UP.html" TargetMode="External"/><Relationship Id="rId4711" Type="http://schemas.openxmlformats.org/officeDocument/2006/relationships/hyperlink" Target="http://www.broadinstitute.org/gsea/msigdb/cards/GSE17721_LPS_VS_CPG_2H_BMDC_DN.html" TargetMode="External"/><Relationship Id="rId4712" Type="http://schemas.openxmlformats.org/officeDocument/2006/relationships/hyperlink" Target="http://www.broadinstitute.org/gsea/msigdb/cards/GSE17721_LPS_VS_CPG_8H_BMDC_DN.html" TargetMode="External"/><Relationship Id="rId4713" Type="http://schemas.openxmlformats.org/officeDocument/2006/relationships/hyperlink" Target="http://www.broadinstitute.org/gsea/msigdb/cards/GSE17721_POLYIC_VS_GARDIQUIMOD_0.5H_BMDC_UP.html" TargetMode="External"/><Relationship Id="rId4714" Type="http://schemas.openxmlformats.org/officeDocument/2006/relationships/hyperlink" Target="http://www.broadinstitute.org/gsea/msigdb/cards/GSE17721_POLYIC_VS_GARDIQUIMOD_0.5H_BMDC_DN.html" TargetMode="External"/><Relationship Id="rId4715" Type="http://schemas.openxmlformats.org/officeDocument/2006/relationships/hyperlink" Target="http://www.broadinstitute.org/gsea/msigdb/cards/GSE17721_POLYIC_VS_GARDIQUIMOD_4H_BMDC_DN.html" TargetMode="External"/><Relationship Id="rId4716" Type="http://schemas.openxmlformats.org/officeDocument/2006/relationships/hyperlink" Target="http://www.broadinstitute.org/gsea/msigdb/cards/GSE17721_POLYIC_VS_GARDIQUIMOD_16H_BMDC_DN.html" TargetMode="External"/><Relationship Id="rId4717" Type="http://schemas.openxmlformats.org/officeDocument/2006/relationships/hyperlink" Target="http://www.broadinstitute.org/gsea/msigdb/cards/GSE17721_LPS_VS_GARDIQUIMOD_6H_BMDC_UP.html" TargetMode="External"/><Relationship Id="rId4718" Type="http://schemas.openxmlformats.org/officeDocument/2006/relationships/hyperlink" Target="http://www.broadinstitute.org/gsea/msigdb/cards/GSE17721_LPS_VS_GARDIQUIMOD_6H_BMDC_DN.html" TargetMode="External"/><Relationship Id="rId4719" Type="http://schemas.openxmlformats.org/officeDocument/2006/relationships/hyperlink" Target="http://www.broadinstitute.org/gsea/msigdb/cards/GSE17721_0.5H_VS_4H_POLYIC_BMDC_DN.html" TargetMode="External"/><Relationship Id="rId3620" Type="http://schemas.openxmlformats.org/officeDocument/2006/relationships/hyperlink" Target="http://www.broadinstitute.org/gsea/msigdb/cards/GSE13522_CTRL_VS_T_CRUZI_G_STRAIN_INF_SKIN_DN.html" TargetMode="External"/><Relationship Id="rId3621" Type="http://schemas.openxmlformats.org/officeDocument/2006/relationships/hyperlink" Target="http://www.broadinstitute.org/gsea/msigdb/cards/GSE5589_WT_VS_IL10_KO_LPS_STIM_MACROPHAGE_180MIN_UP.html" TargetMode="External"/><Relationship Id="rId3622" Type="http://schemas.openxmlformats.org/officeDocument/2006/relationships/hyperlink" Target="http://www.broadinstitute.org/gsea/msigdb/cards/GSE11367_CTRL_VS_IL17_TREATED_SMOOTH_MUSCLE_CELL_DN.html" TargetMode="External"/><Relationship Id="rId3623" Type="http://schemas.openxmlformats.org/officeDocument/2006/relationships/hyperlink" Target="http://www.broadinstitute.org/gsea/msigdb/cards/GSE37605_C57BL6_VS_NOD_FOXP3_FUSION_GFP_TREG_DN.html" TargetMode="External"/><Relationship Id="rId3624" Type="http://schemas.openxmlformats.org/officeDocument/2006/relationships/hyperlink" Target="http://www.broadinstitute.org/gsea/msigdb/cards/GSE6269_HEALTHY_VS_FLU_INF_PBMC_DN.html" TargetMode="External"/><Relationship Id="rId3625" Type="http://schemas.openxmlformats.org/officeDocument/2006/relationships/hyperlink" Target="http://www.broadinstitute.org/gsea/msigdb/cards/GSE36891_POLYIC_TLR3_VS_PAM_TLR2_STIM_PERITONEAL_MACROPHAGE_DN.html" TargetMode="External"/><Relationship Id="rId3626" Type="http://schemas.openxmlformats.org/officeDocument/2006/relationships/hyperlink" Target="http://www.broadinstitute.org/gsea/msigdb/cards/GSE13547_WT_VS_ZFX_KO_BCELL_UP.html" TargetMode="External"/><Relationship Id="rId3627" Type="http://schemas.openxmlformats.org/officeDocument/2006/relationships/hyperlink" Target="http://www.broadinstitute.org/gsea/msigdb/cards/GSE7768_OVA_ALONE_VS_OVA_WITH_MPL_IMMUNIZED_MOUSE_WHOLE_SPLEEN_6H_DN.html" TargetMode="External"/><Relationship Id="rId3628" Type="http://schemas.openxmlformats.org/officeDocument/2006/relationships/hyperlink" Target="http://www.broadinstitute.org/gsea/msigdb/cards/GSE40274_CTRL_VS_FOXP3_AND_SATB1_TRANSDUCED_ACTIVATED_CD4_TCELL_UP.html" TargetMode="External"/><Relationship Id="rId3629" Type="http://schemas.openxmlformats.org/officeDocument/2006/relationships/hyperlink" Target="http://www.broadinstitute.org/gsea/msigdb/cards/GSE37605_C57BL6_VS_NOD_FOXP3_FUSION_GFP_TCONV_UP.html" TargetMode="External"/><Relationship Id="rId920" Type="http://schemas.openxmlformats.org/officeDocument/2006/relationships/hyperlink" Target="http://www.broadinstitute.org/gsea/msigdb/cards/GNF2_VAV1.html" TargetMode="External"/><Relationship Id="rId921" Type="http://schemas.openxmlformats.org/officeDocument/2006/relationships/hyperlink" Target="http://www.broadinstitute.org/gsea/msigdb/cards/GNF2_PTPN6.html" TargetMode="External"/><Relationship Id="rId922" Type="http://schemas.openxmlformats.org/officeDocument/2006/relationships/hyperlink" Target="http://www.broadinstitute.org/gsea/msigdb/cards/GNF2_SNRK.html" TargetMode="External"/><Relationship Id="rId923" Type="http://schemas.openxmlformats.org/officeDocument/2006/relationships/hyperlink" Target="http://www.broadinstitute.org/gsea/msigdb/cards/MODULE_263.html" TargetMode="External"/><Relationship Id="rId924" Type="http://schemas.openxmlformats.org/officeDocument/2006/relationships/hyperlink" Target="http://www.broadinstitute.org/gsea/msigdb/cards/GNF2_MATK.html" TargetMode="External"/><Relationship Id="rId925" Type="http://schemas.openxmlformats.org/officeDocument/2006/relationships/hyperlink" Target="http://www.broadinstitute.org/gsea/msigdb/cards/GNF2_HLA_C.html" TargetMode="External"/><Relationship Id="rId926" Type="http://schemas.openxmlformats.org/officeDocument/2006/relationships/hyperlink" Target="http://www.broadinstitute.org/gsea/msigdb/cards/MODULE_375.html" TargetMode="External"/><Relationship Id="rId927" Type="http://schemas.openxmlformats.org/officeDocument/2006/relationships/hyperlink" Target="http://www.broadinstitute.org/gsea/msigdb/cards/GNF2_ZAP70.html" TargetMode="External"/><Relationship Id="rId928" Type="http://schemas.openxmlformats.org/officeDocument/2006/relationships/hyperlink" Target="http://www.broadinstitute.org/gsea/msigdb/cards/GNF2_STAT6.html" TargetMode="External"/><Relationship Id="rId929" Type="http://schemas.openxmlformats.org/officeDocument/2006/relationships/hyperlink" Target="http://www.broadinstitute.org/gsea/msigdb/cards/MODULE_134.html" TargetMode="External"/><Relationship Id="rId2530" Type="http://schemas.openxmlformats.org/officeDocument/2006/relationships/hyperlink" Target="http://www.broadinstitute.org/gsea/msigdb/cards/GSE43863_NAIVE_VS_MEMORY_TH1_CD4_TCELL_D150_LCMV_UP.html" TargetMode="External"/><Relationship Id="rId2531" Type="http://schemas.openxmlformats.org/officeDocument/2006/relationships/hyperlink" Target="http://www.broadinstitute.org/gsea/msigdb/cards/GSE1112_HY_CD8AB_VS_HY_CD8AA_THYMOCYTE_RTOC_CULTURE_UP.html" TargetMode="External"/><Relationship Id="rId2532" Type="http://schemas.openxmlformats.org/officeDocument/2006/relationships/hyperlink" Target="http://www.broadinstitute.org/gsea/msigdb/cards/GSE26030_TH1_VS_TH17_RESTIMULATED_DAY15_POST_POLARIZATION_UP.html" TargetMode="External"/><Relationship Id="rId2533" Type="http://schemas.openxmlformats.org/officeDocument/2006/relationships/hyperlink" Target="http://www.broadinstitute.org/gsea/msigdb/cards/GSE11057_PBMC_VS_MEM_CD4_TCELL_DN.html" TargetMode="External"/><Relationship Id="rId2534" Type="http://schemas.openxmlformats.org/officeDocument/2006/relationships/hyperlink" Target="http://www.broadinstitute.org/gsea/msigdb/cards/GSE12366_NAIVE_VS_MEMORY_BCELL_DN.html" TargetMode="External"/><Relationship Id="rId2535" Type="http://schemas.openxmlformats.org/officeDocument/2006/relationships/hyperlink" Target="http://www.broadinstitute.org/gsea/msigdb/cards/GSE13485_DAY1_VS_DAY7_YF17D_VACCINE_PBMC_DN.html" TargetMode="External"/><Relationship Id="rId2536" Type="http://schemas.openxmlformats.org/officeDocument/2006/relationships/hyperlink" Target="http://www.broadinstitute.org/gsea/msigdb/cards/GSE17721_LPS_VS_POLYIC_24H_BMDC_DN.html" TargetMode="External"/><Relationship Id="rId2537" Type="http://schemas.openxmlformats.org/officeDocument/2006/relationships/hyperlink" Target="http://www.broadinstitute.org/gsea/msigdb/cards/GSE18791_CTRL_VS_NEWCASTLE_VIRUS_DC_8H_DN.html" TargetMode="External"/><Relationship Id="rId2538" Type="http://schemas.openxmlformats.org/officeDocument/2006/relationships/hyperlink" Target="http://www.broadinstitute.org/gsea/msigdb/cards/GSE18791_CTRL_VS_NEWCASTLE_VIRUS_DC_10H_DN.html" TargetMode="External"/><Relationship Id="rId2539" Type="http://schemas.openxmlformats.org/officeDocument/2006/relationships/hyperlink" Target="http://www.broadinstitute.org/gsea/msigdb/cards/GSE22886_NAIVE_BCELL_VS_BLOOD_PLASMA_CELL_UP.html" TargetMode="External"/><Relationship Id="rId1440" Type="http://schemas.openxmlformats.org/officeDocument/2006/relationships/hyperlink" Target="http://www.broadinstitute.org/gsea/msigdb/cards/GO_POSITIVE_REGULATION_OF_INTERLEUKIN_6_PRODUCTION.html" TargetMode="External"/><Relationship Id="rId1441" Type="http://schemas.openxmlformats.org/officeDocument/2006/relationships/hyperlink" Target="http://www.broadinstitute.org/gsea/msigdb/cards/GO_ACTIN_POLYMERIZATION_OR_DEPOLYMERIZATION.html" TargetMode="External"/><Relationship Id="rId1442" Type="http://schemas.openxmlformats.org/officeDocument/2006/relationships/hyperlink" Target="http://www.broadinstitute.org/gsea/msigdb/cards/GO_SECRETION_BY_CELL.html" TargetMode="External"/><Relationship Id="rId1443" Type="http://schemas.openxmlformats.org/officeDocument/2006/relationships/hyperlink" Target="http://www.broadinstitute.org/gsea/msigdb/cards/GO_REGULATION_OF_SMALL_GTPASE_MEDIATED_SIGNAL_TRANSDUCTION.html" TargetMode="External"/><Relationship Id="rId1444" Type="http://schemas.openxmlformats.org/officeDocument/2006/relationships/hyperlink" Target="http://www.broadinstitute.org/gsea/msigdb/cards/GO_SECRETION.html" TargetMode="External"/><Relationship Id="rId1445" Type="http://schemas.openxmlformats.org/officeDocument/2006/relationships/hyperlink" Target="http://www.broadinstitute.org/gsea/msigdb/cards/GO_CYTOKINE_SECRETION.html" TargetMode="External"/><Relationship Id="rId1446" Type="http://schemas.openxmlformats.org/officeDocument/2006/relationships/hyperlink" Target="http://www.broadinstitute.org/gsea/msigdb/cards/GO_INTERLEUKIN_1_PRODUCTION.html" TargetMode="External"/><Relationship Id="rId1447" Type="http://schemas.openxmlformats.org/officeDocument/2006/relationships/hyperlink" Target="http://www.broadinstitute.org/gsea/msigdb/cards/GO_POSITIVE_REGULATION_OF_MONOCYTE_CHEMOTAXIS.html" TargetMode="External"/><Relationship Id="rId1448" Type="http://schemas.openxmlformats.org/officeDocument/2006/relationships/hyperlink" Target="http://www.broadinstitute.org/gsea/msigdb/cards/GO_NEGATIVE_REGULATION_OF_DEVELOPMENTAL_PROCESS.html" TargetMode="External"/><Relationship Id="rId1449" Type="http://schemas.openxmlformats.org/officeDocument/2006/relationships/hyperlink" Target="http://www.broadinstitute.org/gsea/msigdb/cards/GO_REGULATION_OF_ION_HOMEOSTASIS.html" TargetMode="External"/><Relationship Id="rId4720" Type="http://schemas.openxmlformats.org/officeDocument/2006/relationships/hyperlink" Target="http://www.broadinstitute.org/gsea/msigdb/cards/GSE17721_4_VS_24H_CPG_BMDC_DN.html" TargetMode="External"/><Relationship Id="rId4721" Type="http://schemas.openxmlformats.org/officeDocument/2006/relationships/hyperlink" Target="http://www.broadinstitute.org/gsea/msigdb/cards/GSE17721_0.5H_VS_4H_GARDIQUIMOD_BMDC_DN.html" TargetMode="External"/><Relationship Id="rId4722" Type="http://schemas.openxmlformats.org/officeDocument/2006/relationships/hyperlink" Target="http://www.broadinstitute.org/gsea/msigdb/cards/GSE17974_CTRL_VS_ACT_IL4_AND_ANTI_IL12_1H_CD4_TCELL_DN.html" TargetMode="External"/><Relationship Id="rId4723" Type="http://schemas.openxmlformats.org/officeDocument/2006/relationships/hyperlink" Target="http://www.broadinstitute.org/gsea/msigdb/cards/GSE18791_CTRL_VS_NEWCASTLE_VIRUS_DC_16H_UP.html" TargetMode="External"/><Relationship Id="rId4724" Type="http://schemas.openxmlformats.org/officeDocument/2006/relationships/hyperlink" Target="http://www.broadinstitute.org/gsea/msigdb/cards/GSE19825_NAIVE_VS_IL2RAHIGH_DAY3_EFF_CD8_TCELL_UP.html" TargetMode="External"/><Relationship Id="rId4725" Type="http://schemas.openxmlformats.org/officeDocument/2006/relationships/hyperlink" Target="http://www.broadinstitute.org/gsea/msigdb/cards/GSE20151_CTRL_VS_FUSOBACT_NUCLEATUM_NEUTROPHIL_UP.html" TargetMode="External"/><Relationship Id="rId4726" Type="http://schemas.openxmlformats.org/officeDocument/2006/relationships/hyperlink" Target="http://www.broadinstitute.org/gsea/msigdb/cards/GSE20366_EX_VIVO_VS_DEC205_CONVERSION_UP.html" TargetMode="External"/><Relationship Id="rId4727" Type="http://schemas.openxmlformats.org/officeDocument/2006/relationships/hyperlink" Target="http://www.broadinstitute.org/gsea/msigdb/cards/GSE20715_WT_VS_TLR4_KO_LUNG_DN.html" TargetMode="External"/><Relationship Id="rId4728" Type="http://schemas.openxmlformats.org/officeDocument/2006/relationships/hyperlink" Target="http://www.broadinstitute.org/gsea/msigdb/cards/GSE22886_NAIVE_CD4_TCELL_VS_MEMORY_TCELL_UP.html" TargetMode="External"/><Relationship Id="rId4729" Type="http://schemas.openxmlformats.org/officeDocument/2006/relationships/hyperlink" Target="http://www.broadinstitute.org/gsea/msigdb/cards/GSE22886_NAIVE_CD4_TCELL_VS_NKCELL_DN.html" TargetMode="External"/><Relationship Id="rId3630" Type="http://schemas.openxmlformats.org/officeDocument/2006/relationships/hyperlink" Target="http://www.broadinstitute.org/gsea/msigdb/cards/GSE1791_CTRL_VS_NEUROMEDINU_IN_T_CELL_LINE_12H_DN.html" TargetMode="External"/><Relationship Id="rId3631" Type="http://schemas.openxmlformats.org/officeDocument/2006/relationships/hyperlink" Target="http://www.broadinstitute.org/gsea/msigdb/cards/GSE12003_4D_VS_8D_CULTURE_MIR223_KO_BM_PROGENITOR_DN.html" TargetMode="External"/><Relationship Id="rId3632" Type="http://schemas.openxmlformats.org/officeDocument/2006/relationships/hyperlink" Target="http://www.broadinstitute.org/gsea/msigdb/cards/GSE32986_UNSTIM_VS_GMCSF_AND_CURDLAN_HIGHDOSE_STIM_DC_DN.html" TargetMode="External"/><Relationship Id="rId3633" Type="http://schemas.openxmlformats.org/officeDocument/2006/relationships/hyperlink" Target="http://www.broadinstitute.org/gsea/msigdb/cards/GSE6674_UNSTIM_VS_PL2_3_STIM_BCELL_DN.html" TargetMode="External"/><Relationship Id="rId3634" Type="http://schemas.openxmlformats.org/officeDocument/2006/relationships/hyperlink" Target="http://www.broadinstitute.org/gsea/msigdb/cards/GSE37301_MULTIPOTENT_PROGENITOR_VS_CD4_TCELL_UP.html" TargetMode="External"/><Relationship Id="rId3635" Type="http://schemas.openxmlformats.org/officeDocument/2006/relationships/hyperlink" Target="http://www.broadinstitute.org/gsea/msigdb/cards/GSE10239_NAIVE_VS_DAY4.5_EFF_CD8_TCELL_UP.html" TargetMode="External"/><Relationship Id="rId3636" Type="http://schemas.openxmlformats.org/officeDocument/2006/relationships/hyperlink" Target="http://www.broadinstitute.org/gsea/msigdb/cards/GSE10239_MEMORY_VS_DAY4.5_EFF_CD8_TCELL_UP.html" TargetMode="External"/><Relationship Id="rId3637" Type="http://schemas.openxmlformats.org/officeDocument/2006/relationships/hyperlink" Target="http://www.broadinstitute.org/gsea/msigdb/cards/GSE11057_EFF_MEM_VS_CENT_MEM_CD4_TCELL_DN.html" TargetMode="External"/><Relationship Id="rId3638" Type="http://schemas.openxmlformats.org/officeDocument/2006/relationships/hyperlink" Target="http://www.broadinstitute.org/gsea/msigdb/cards/GSE11864_UNTREATED_VS_CSF1_IFNG_PAM3CYS_IN_MAC_DN.html" TargetMode="External"/><Relationship Id="rId3639" Type="http://schemas.openxmlformats.org/officeDocument/2006/relationships/hyperlink" Target="http://www.broadinstitute.org/gsea/msigdb/cards/GSE13229_IMM_VS_MATURE_NKCELL_DN.html" TargetMode="External"/><Relationship Id="rId930" Type="http://schemas.openxmlformats.org/officeDocument/2006/relationships/hyperlink" Target="http://www.broadinstitute.org/gsea/msigdb/cards/MODULE_177.html" TargetMode="External"/><Relationship Id="rId931" Type="http://schemas.openxmlformats.org/officeDocument/2006/relationships/hyperlink" Target="http://www.broadinstitute.org/gsea/msigdb/cards/MODULE_146.html" TargetMode="External"/><Relationship Id="rId932" Type="http://schemas.openxmlformats.org/officeDocument/2006/relationships/hyperlink" Target="http://www.broadinstitute.org/gsea/msigdb/cards/MODULE_300.html" TargetMode="External"/><Relationship Id="rId933" Type="http://schemas.openxmlformats.org/officeDocument/2006/relationships/hyperlink" Target="http://www.broadinstitute.org/gsea/msigdb/cards/MODULE_289.html" TargetMode="External"/><Relationship Id="rId934" Type="http://schemas.openxmlformats.org/officeDocument/2006/relationships/hyperlink" Target="http://www.broadinstitute.org/gsea/msigdb/cards/MODULE_33.html" TargetMode="External"/><Relationship Id="rId935" Type="http://schemas.openxmlformats.org/officeDocument/2006/relationships/hyperlink" Target="http://www.broadinstitute.org/gsea/msigdb/cards/GNF2_SELL.html" TargetMode="External"/><Relationship Id="rId936" Type="http://schemas.openxmlformats.org/officeDocument/2006/relationships/hyperlink" Target="http://www.broadinstitute.org/gsea/msigdb/cards/MODULE_288.html" TargetMode="External"/><Relationship Id="rId937" Type="http://schemas.openxmlformats.org/officeDocument/2006/relationships/hyperlink" Target="http://www.broadinstitute.org/gsea/msigdb/cards/MODULE_88.html" TargetMode="External"/><Relationship Id="rId938" Type="http://schemas.openxmlformats.org/officeDocument/2006/relationships/hyperlink" Target="http://www.broadinstitute.org/gsea/msigdb/cards/GNF2_LYN.html" TargetMode="External"/><Relationship Id="rId939" Type="http://schemas.openxmlformats.org/officeDocument/2006/relationships/hyperlink" Target="http://www.broadinstitute.org/gsea/msigdb/cards/MODULE_121.html" TargetMode="External"/><Relationship Id="rId2540" Type="http://schemas.openxmlformats.org/officeDocument/2006/relationships/hyperlink" Target="http://www.broadinstitute.org/gsea/msigdb/cards/GSE22886_NAIVE_BCELL_VS_BM_PLASMA_CELL_UP.html" TargetMode="External"/><Relationship Id="rId2541" Type="http://schemas.openxmlformats.org/officeDocument/2006/relationships/hyperlink" Target="http://www.broadinstitute.org/gsea/msigdb/cards/GSE22886_DAY0_VS_DAY7_MONOCYTE_IN_CULTURE_UP.html" TargetMode="External"/><Relationship Id="rId2542" Type="http://schemas.openxmlformats.org/officeDocument/2006/relationships/hyperlink" Target="http://www.broadinstitute.org/gsea/msigdb/cards/GSE22886_NAIVE_CD8_TCELL_VS_DC_DN.html" TargetMode="External"/><Relationship Id="rId2543" Type="http://schemas.openxmlformats.org/officeDocument/2006/relationships/hyperlink" Target="http://www.broadinstitute.org/gsea/msigdb/cards/GSE22886_NAIVE_CD4_TCELL_VS_DC_DN.html" TargetMode="External"/><Relationship Id="rId2544" Type="http://schemas.openxmlformats.org/officeDocument/2006/relationships/hyperlink" Target="http://www.broadinstitute.org/gsea/msigdb/cards/GSE2706_UNSTIM_VS_2H_R848_DC_DN.html" TargetMode="External"/><Relationship Id="rId2545" Type="http://schemas.openxmlformats.org/officeDocument/2006/relationships/hyperlink" Target="http://www.broadinstitute.org/gsea/msigdb/cards/GSE29617_DAY3_VS_DAY7_TIV_FLU_VACCINE_PBMC_2008_UP.html" TargetMode="External"/><Relationship Id="rId2546" Type="http://schemas.openxmlformats.org/officeDocument/2006/relationships/hyperlink" Target="http://www.broadinstitute.org/gsea/msigdb/cards/GSE29618_BCELL_VS_MONOCYTE_UP.html" TargetMode="External"/><Relationship Id="rId2547" Type="http://schemas.openxmlformats.org/officeDocument/2006/relationships/hyperlink" Target="http://www.broadinstitute.org/gsea/msigdb/cards/GSE29618_BCELL_VS_PDC_DAY7_FLU_VACCINE_UP.html" TargetMode="External"/><Relationship Id="rId2548" Type="http://schemas.openxmlformats.org/officeDocument/2006/relationships/hyperlink" Target="http://www.broadinstitute.org/gsea/msigdb/cards/GSE30962_ACUTE_VS_CHRONIC_LCMV_PRIMARY_INF_CD8_TCELL_UP.html" TargetMode="External"/><Relationship Id="rId2549" Type="http://schemas.openxmlformats.org/officeDocument/2006/relationships/hyperlink" Target="http://www.broadinstitute.org/gsea/msigdb/cards/GSE339_EX_VIVO_VS_IN_CULTURE_CD4POS_DC_UP.html" TargetMode="External"/><Relationship Id="rId200" Type="http://schemas.openxmlformats.org/officeDocument/2006/relationships/hyperlink" Target="http://www.broadinstitute.org/gsea/msigdb/cards/BIOCARTA_TCAPOPTOSIS_PATHWAY.html" TargetMode="External"/><Relationship Id="rId201" Type="http://schemas.openxmlformats.org/officeDocument/2006/relationships/hyperlink" Target="http://www.broadinstitute.org/gsea/msigdb/cards/BOYAULT_LIVER_CANCER_SUBCLASS_G5_DN.html" TargetMode="External"/><Relationship Id="rId202" Type="http://schemas.openxmlformats.org/officeDocument/2006/relationships/hyperlink" Target="http://www.broadinstitute.org/gsea/msigdb/cards/SHIN_B_CELL_LYMPHOMA_CLUSTER_3.html" TargetMode="External"/><Relationship Id="rId203" Type="http://schemas.openxmlformats.org/officeDocument/2006/relationships/hyperlink" Target="http://www.broadinstitute.org/gsea/msigdb/cards/BIOCARTA_TH1TH2_PATHWAY.html" TargetMode="External"/><Relationship Id="rId204" Type="http://schemas.openxmlformats.org/officeDocument/2006/relationships/hyperlink" Target="http://www.broadinstitute.org/gsea/msigdb/cards/AMUNDSON_POOR_SURVIVAL_AFTER_GAMMA_RADIATION_8G.html" TargetMode="External"/><Relationship Id="rId205" Type="http://schemas.openxmlformats.org/officeDocument/2006/relationships/hyperlink" Target="http://www.broadinstitute.org/gsea/msigdb/cards/HECKER_IFNB1_TARGETS.html" TargetMode="External"/><Relationship Id="rId206" Type="http://schemas.openxmlformats.org/officeDocument/2006/relationships/hyperlink" Target="http://www.broadinstitute.org/gsea/msigdb/cards/BIOCARTA_ASBCELL_PATHWAY.html" TargetMode="External"/><Relationship Id="rId207" Type="http://schemas.openxmlformats.org/officeDocument/2006/relationships/hyperlink" Target="http://www.broadinstitute.org/gsea/msigdb/cards/CHAN_INTERFERON_PRODUCING_DENDRITIC_CELL.html" TargetMode="External"/><Relationship Id="rId208" Type="http://schemas.openxmlformats.org/officeDocument/2006/relationships/hyperlink" Target="http://www.broadinstitute.org/gsea/msigdb/cards/MARSON_FOXP3_TARGETS_STIMULATED_UP.html" TargetMode="External"/><Relationship Id="rId209" Type="http://schemas.openxmlformats.org/officeDocument/2006/relationships/hyperlink" Target="http://www.broadinstitute.org/gsea/msigdb/cards/LINDSTEDT_DENDRITIC_CELL_MATURATION_A.html" TargetMode="External"/><Relationship Id="rId1450" Type="http://schemas.openxmlformats.org/officeDocument/2006/relationships/hyperlink" Target="http://www.broadinstitute.org/gsea/msigdb/cards/GO_PEPTIDYL_TYROSINE_AUTOPHOSPHORYLATION.html" TargetMode="External"/><Relationship Id="rId1451" Type="http://schemas.openxmlformats.org/officeDocument/2006/relationships/hyperlink" Target="http://www.broadinstitute.org/gsea/msigdb/cards/GO_POSITIVE_REGULATION_OF_I_KAPPAB_KINASE_NF_KAPPAB_SIGNALING.html" TargetMode="External"/><Relationship Id="rId1452" Type="http://schemas.openxmlformats.org/officeDocument/2006/relationships/hyperlink" Target="http://www.broadinstitute.org/gsea/msigdb/cards/GO_NEGATIVE_REGULATION_OF_RESPONSE_TO_WOUNDING.html" TargetMode="External"/><Relationship Id="rId1453" Type="http://schemas.openxmlformats.org/officeDocument/2006/relationships/hyperlink" Target="http://www.broadinstitute.org/gsea/msigdb/cards/GO_REGULATION_OF_ACTIVATED_T_CELL_PROLIFERATION.html" TargetMode="External"/><Relationship Id="rId1454" Type="http://schemas.openxmlformats.org/officeDocument/2006/relationships/hyperlink" Target="http://www.broadinstitute.org/gsea/msigdb/cards/GO_REGULATION_OF_KINASE_ACTIVITY.html" TargetMode="External"/><Relationship Id="rId1455" Type="http://schemas.openxmlformats.org/officeDocument/2006/relationships/hyperlink" Target="http://www.broadinstitute.org/gsea/msigdb/cards/GO_DETECTION_OF_BIOTIC_STIMULUS.html" TargetMode="External"/><Relationship Id="rId1456" Type="http://schemas.openxmlformats.org/officeDocument/2006/relationships/hyperlink" Target="http://www.broadinstitute.org/gsea/msigdb/cards/GO_POSITIVE_REGULATION_OF_STAT_CASCADE.html" TargetMode="External"/><Relationship Id="rId1457" Type="http://schemas.openxmlformats.org/officeDocument/2006/relationships/hyperlink" Target="http://www.broadinstitute.org/gsea/msigdb/cards/GO_RESPONSE_TO_TUMOR_NECROSIS_FACTOR.html" TargetMode="External"/><Relationship Id="rId1458" Type="http://schemas.openxmlformats.org/officeDocument/2006/relationships/hyperlink" Target="http://www.broadinstitute.org/gsea/msigdb/cards/GO_MYELOID_CELL_ACTIVATION_INVOLVED_IN_IMMUNE_RESPONSE.html" TargetMode="External"/><Relationship Id="rId1459" Type="http://schemas.openxmlformats.org/officeDocument/2006/relationships/hyperlink" Target="http://www.broadinstitute.org/gsea/msigdb/cards/GO_EXTRINSIC_COMPONENT_OF_PLASMA_MEMBRANE.html" TargetMode="External"/><Relationship Id="rId4730" Type="http://schemas.openxmlformats.org/officeDocument/2006/relationships/hyperlink" Target="http://www.broadinstitute.org/gsea/msigdb/cards/GSE22886_NEUTROPHIL_VS_MONOCYTE_UP.html" TargetMode="External"/><Relationship Id="rId4731" Type="http://schemas.openxmlformats.org/officeDocument/2006/relationships/hyperlink" Target="http://www.broadinstitute.org/gsea/msigdb/cards/GSE22886_NAIVE_CD4_TCELL_VS_48H_ACT_TH2_UP.html" TargetMode="External"/><Relationship Id="rId4732" Type="http://schemas.openxmlformats.org/officeDocument/2006/relationships/hyperlink" Target="http://www.broadinstitute.org/gsea/msigdb/cards/GSE24081_CONTROLLER_VS_PROGRESSOR_HIV_SPECIFIC_CD8_TCELL_UP.html" TargetMode="External"/><Relationship Id="rId4733" Type="http://schemas.openxmlformats.org/officeDocument/2006/relationships/hyperlink" Target="http://www.broadinstitute.org/gsea/msigdb/cards/GSE24634_NAIVE_CD4_TCELL_VS_DAY5_IL4_CONV_TREG_UP.html" TargetMode="External"/><Relationship Id="rId4734" Type="http://schemas.openxmlformats.org/officeDocument/2006/relationships/hyperlink" Target="http://www.broadinstitute.org/gsea/msigdb/cards/GSE25087_FETAL_VS_ADULT_TCONV_DN.html" TargetMode="External"/><Relationship Id="rId4735" Type="http://schemas.openxmlformats.org/officeDocument/2006/relationships/hyperlink" Target="http://www.broadinstitute.org/gsea/msigdb/cards/GSE26669_CD4_VS_CD8_TCELL_IN_MLR_UP.html" TargetMode="External"/><Relationship Id="rId4736" Type="http://schemas.openxmlformats.org/officeDocument/2006/relationships/hyperlink" Target="http://www.broadinstitute.org/gsea/msigdb/cards/GSE26928_NAIVE_VS_EFF_MEMORY_CD4_TCELL_DN.html" TargetMode="External"/><Relationship Id="rId4737" Type="http://schemas.openxmlformats.org/officeDocument/2006/relationships/hyperlink" Target="http://www.broadinstitute.org/gsea/msigdb/cards/GSE26928_EFF_MEMORY_VS_CXCR5_POS_CD4_TCELL_UP.html" TargetMode="External"/><Relationship Id="rId4738" Type="http://schemas.openxmlformats.org/officeDocument/2006/relationships/hyperlink" Target="http://www.broadinstitute.org/gsea/msigdb/cards/GSE2706_UNSTIM_VS_8H_LPS_DC_UP.html" TargetMode="External"/><Relationship Id="rId4739" Type="http://schemas.openxmlformats.org/officeDocument/2006/relationships/hyperlink" Target="http://www.broadinstitute.org/gsea/msigdb/cards/GSE27786_LSK_VS_LIN_NEG_CELL_UP.html" TargetMode="External"/><Relationship Id="rId3640" Type="http://schemas.openxmlformats.org/officeDocument/2006/relationships/hyperlink" Target="http://www.broadinstitute.org/gsea/msigdb/cards/GSE13229_MATURE_VS_INTMATURE_NKCELL_UP.html" TargetMode="External"/><Relationship Id="rId3641" Type="http://schemas.openxmlformats.org/officeDocument/2006/relationships/hyperlink" Target="http://www.broadinstitute.org/gsea/msigdb/cards/GSE13306_RA_VS_UNTREATED_TCONV_DN.html" TargetMode="External"/><Relationship Id="rId3642" Type="http://schemas.openxmlformats.org/officeDocument/2006/relationships/hyperlink" Target="http://www.broadinstitute.org/gsea/msigdb/cards/GSE13306_RA_VS_UNTREATED_MEM_CD4_TCELL_DN.html" TargetMode="External"/><Relationship Id="rId3643" Type="http://schemas.openxmlformats.org/officeDocument/2006/relationships/hyperlink" Target="http://www.broadinstitute.org/gsea/msigdb/cards/GSE13485_DAY7_VS_DAY21_YF17D_VACCINE_PBMC_UP.html" TargetMode="External"/><Relationship Id="rId3644" Type="http://schemas.openxmlformats.org/officeDocument/2006/relationships/hyperlink" Target="http://www.broadinstitute.org/gsea/msigdb/cards/GSE14308_NAIVE_CD4_TCELL_VS_NATURAL_TREG_UP.html" TargetMode="External"/><Relationship Id="rId3645" Type="http://schemas.openxmlformats.org/officeDocument/2006/relationships/hyperlink" Target="http://www.broadinstitute.org/gsea/msigdb/cards/GSE14308_NAIVE_CD4_TCELL_VS_NATURAL_TREG_DN.html" TargetMode="External"/><Relationship Id="rId3646" Type="http://schemas.openxmlformats.org/officeDocument/2006/relationships/hyperlink" Target="http://www.broadinstitute.org/gsea/msigdb/cards/GSE1448_CTRL_VS_ANTI_VALPHA2_DP_THYMOCYTE_DN.html" TargetMode="External"/><Relationship Id="rId3647" Type="http://schemas.openxmlformats.org/officeDocument/2006/relationships/hyperlink" Target="http://www.broadinstitute.org/gsea/msigdb/cards/GSE1448_CTRL_VS_ANTI_VBETA5_DP_THYMOCYTE_DN.html" TargetMode="External"/><Relationship Id="rId3648" Type="http://schemas.openxmlformats.org/officeDocument/2006/relationships/hyperlink" Target="http://www.broadinstitute.org/gsea/msigdb/cards/GSE1460_CD4_THYMOCYTE_VS_THYMIC_STROMAL_CELL_UP.html" TargetMode="External"/><Relationship Id="rId3649" Type="http://schemas.openxmlformats.org/officeDocument/2006/relationships/hyperlink" Target="http://www.broadinstitute.org/gsea/msigdb/cards/GSE14769_UNSTIM_VS_240MIN_LPS_BMDM_DN.html" TargetMode="External"/><Relationship Id="rId940" Type="http://schemas.openxmlformats.org/officeDocument/2006/relationships/hyperlink" Target="http://www.broadinstitute.org/gsea/msigdb/cards/GNF2_CD48.html" TargetMode="External"/><Relationship Id="rId941" Type="http://schemas.openxmlformats.org/officeDocument/2006/relationships/hyperlink" Target="http://www.broadinstitute.org/gsea/msigdb/cards/GNF2_JAK1.html" TargetMode="External"/><Relationship Id="rId942" Type="http://schemas.openxmlformats.org/officeDocument/2006/relationships/hyperlink" Target="http://www.broadinstitute.org/gsea/msigdb/cards/MODULE_38.html" TargetMode="External"/><Relationship Id="rId943" Type="http://schemas.openxmlformats.org/officeDocument/2006/relationships/hyperlink" Target="http://www.broadinstitute.org/gsea/msigdb/cards/MODULE_73.html" TargetMode="External"/><Relationship Id="rId944" Type="http://schemas.openxmlformats.org/officeDocument/2006/relationships/hyperlink" Target="http://www.broadinstitute.org/gsea/msigdb/cards/MODULE_174.html" TargetMode="External"/><Relationship Id="rId945" Type="http://schemas.openxmlformats.org/officeDocument/2006/relationships/hyperlink" Target="http://www.broadinstitute.org/gsea/msigdb/cards/MODULE_241.html" TargetMode="External"/><Relationship Id="rId946" Type="http://schemas.openxmlformats.org/officeDocument/2006/relationships/hyperlink" Target="http://www.broadinstitute.org/gsea/msigdb/cards/MODULE_111.html" TargetMode="External"/><Relationship Id="rId947" Type="http://schemas.openxmlformats.org/officeDocument/2006/relationships/hyperlink" Target="http://www.broadinstitute.org/gsea/msigdb/cards/MODULE_213.html" TargetMode="External"/><Relationship Id="rId948" Type="http://schemas.openxmlformats.org/officeDocument/2006/relationships/hyperlink" Target="http://www.broadinstitute.org/gsea/msigdb/cards/MODULE_23.html" TargetMode="External"/><Relationship Id="rId949" Type="http://schemas.openxmlformats.org/officeDocument/2006/relationships/hyperlink" Target="http://www.broadinstitute.org/gsea/msigdb/cards/MODULE_291.html" TargetMode="External"/><Relationship Id="rId4000" Type="http://schemas.openxmlformats.org/officeDocument/2006/relationships/hyperlink" Target="http://www.broadinstitute.org/gsea/msigdb/cards/GSE24574_BCL6_HIGH_VS_LOW_TFH_CD4_TCELL_UP.html" TargetMode="External"/><Relationship Id="rId4001" Type="http://schemas.openxmlformats.org/officeDocument/2006/relationships/hyperlink" Target="http://www.broadinstitute.org/gsea/msigdb/cards/GSE23321_CENTRAL_VS_EFFECTOR_MEMORY_CD8_TCELL_UP.html" TargetMode="External"/><Relationship Id="rId4002" Type="http://schemas.openxmlformats.org/officeDocument/2006/relationships/hyperlink" Target="http://www.broadinstitute.org/gsea/msigdb/cards/GSE26351_UNSTIM_VS_BMP_PATHWAY_STIM_HEMATOPOIETIC_PROGENITORS_UP.html" TargetMode="External"/><Relationship Id="rId4003" Type="http://schemas.openxmlformats.org/officeDocument/2006/relationships/hyperlink" Target="http://www.broadinstitute.org/gsea/msigdb/cards/GSE26030_TH1_VS_TH17_RESTIMULATED_DAY15_POST_POLARIZATION_DN.html" TargetMode="External"/><Relationship Id="rId4004" Type="http://schemas.openxmlformats.org/officeDocument/2006/relationships/hyperlink" Target="http://www.broadinstitute.org/gsea/msigdb/cards/GSE27859_CD11C_INT_F480_HI_MACROPHAGE_VS_CD11C_ING_F480_INT_DC_DN.html" TargetMode="External"/><Relationship Id="rId4005" Type="http://schemas.openxmlformats.org/officeDocument/2006/relationships/hyperlink" Target="http://www.broadinstitute.org/gsea/msigdb/cards/GSE30971_WBP7_HET_VS_KO_MACROPHAGE_UP.html" TargetMode="External"/><Relationship Id="rId4006" Type="http://schemas.openxmlformats.org/officeDocument/2006/relationships/hyperlink" Target="http://www.broadinstitute.org/gsea/msigdb/cards/GSE34515_CD16_NEG_VS_POS_MONOCYTE_DN.html" TargetMode="External"/><Relationship Id="rId4007" Type="http://schemas.openxmlformats.org/officeDocument/2006/relationships/hyperlink" Target="http://www.broadinstitute.org/gsea/msigdb/cards/GSE37301_MULTIPOTENT_PROGENITOR_VS_GRAN_MONO_PROGENITOR_UP.html" TargetMode="External"/><Relationship Id="rId4008" Type="http://schemas.openxmlformats.org/officeDocument/2006/relationships/hyperlink" Target="http://www.broadinstitute.org/gsea/msigdb/cards/GSE37301_COMMON_LYMPHOID_PROGENITOR_VS_GRAN_MONO_PROGENITOR_DN.html" TargetMode="External"/><Relationship Id="rId4009" Type="http://schemas.openxmlformats.org/officeDocument/2006/relationships/hyperlink" Target="http://www.broadinstitute.org/gsea/msigdb/cards/GSE37301_HEMATOPOIETIC_STEM_CELL_VS_COMMON_LYMPHOID_PROGENITOR_DN.html" TargetMode="External"/><Relationship Id="rId2550" Type="http://schemas.openxmlformats.org/officeDocument/2006/relationships/hyperlink" Target="http://www.broadinstitute.org/gsea/msigdb/cards/GSE360_T_GONDII_VS_M_TUBERCULOSIS_DC_DN.html" TargetMode="External"/><Relationship Id="rId2551" Type="http://schemas.openxmlformats.org/officeDocument/2006/relationships/hyperlink" Target="http://www.broadinstitute.org/gsea/msigdb/cards/GSE360_T_GONDII_VS_B_MALAYI_HIGH_DOSE_MAC_DN.html" TargetMode="External"/><Relationship Id="rId2552" Type="http://schemas.openxmlformats.org/officeDocument/2006/relationships/hyperlink" Target="http://www.broadinstitute.org/gsea/msigdb/cards/GSE3982_NEUTROPHIL_VS_CENT_MEMORY_CD4_TCELL_UP.html" TargetMode="External"/><Relationship Id="rId2553" Type="http://schemas.openxmlformats.org/officeDocument/2006/relationships/hyperlink" Target="http://www.broadinstitute.org/gsea/msigdb/cards/GSE3982_NEUTROPHIL_VS_NKCELL_UP.html" TargetMode="External"/><Relationship Id="rId2554" Type="http://schemas.openxmlformats.org/officeDocument/2006/relationships/hyperlink" Target="http://www.broadinstitute.org/gsea/msigdb/cards/GSE7852_TREG_VS_TCONV_LN_UP.html" TargetMode="External"/><Relationship Id="rId2555" Type="http://schemas.openxmlformats.org/officeDocument/2006/relationships/hyperlink" Target="http://www.broadinstitute.org/gsea/msigdb/cards/GSE369_SOCS3_KO_VS_WT_LIVER_POST_IL6_INJECTION_DN.html" TargetMode="External"/><Relationship Id="rId2556" Type="http://schemas.openxmlformats.org/officeDocument/2006/relationships/hyperlink" Target="http://www.broadinstitute.org/gsea/msigdb/cards/GSE557_CIITA_KO_VS_I_AB_KO_DC_UP.html" TargetMode="External"/><Relationship Id="rId2557" Type="http://schemas.openxmlformats.org/officeDocument/2006/relationships/hyperlink" Target="http://www.broadinstitute.org/gsea/msigdb/cards/GSE2770_UNTREATED_VS_TGFB_AND_IL4_TREATED_ACT_CD4_TCELL_48H_DN.html" TargetMode="External"/><Relationship Id="rId2558" Type="http://schemas.openxmlformats.org/officeDocument/2006/relationships/hyperlink" Target="http://www.broadinstitute.org/gsea/msigdb/cards/GSE22601_DOUBLE_POSITIVE_VS_CD8_SINGLE_POSITIVE_THYMOCYTE_UP.html" TargetMode="External"/><Relationship Id="rId2559" Type="http://schemas.openxmlformats.org/officeDocument/2006/relationships/hyperlink" Target="http://www.broadinstitute.org/gsea/msigdb/cards/GSE8835_CD4_VS_CD8_TCELL_CLL_PATIENT_DN.html" TargetMode="External"/><Relationship Id="rId210" Type="http://schemas.openxmlformats.org/officeDocument/2006/relationships/hyperlink" Target="http://www.broadinstitute.org/gsea/msigdb/cards/YOSHIMURA_MAPK8_TARGETS_UP.html" TargetMode="External"/><Relationship Id="rId211" Type="http://schemas.openxmlformats.org/officeDocument/2006/relationships/hyperlink" Target="http://www.broadinstitute.org/gsea/msigdb/cards/KEGG_JAK_STAT_SIGNALING_PATHWAY.html" TargetMode="External"/><Relationship Id="rId212" Type="http://schemas.openxmlformats.org/officeDocument/2006/relationships/hyperlink" Target="http://www.broadinstitute.org/gsea/msigdb/cards/KRIGE_RESPONSE_TO_TOSEDOSTAT_6HR_UP.html" TargetMode="External"/><Relationship Id="rId213" Type="http://schemas.openxmlformats.org/officeDocument/2006/relationships/hyperlink" Target="http://www.broadinstitute.org/gsea/msigdb/cards/YAGI_AML_WITH_T_8_21_TRANSLOCATION.html" TargetMode="External"/><Relationship Id="rId214" Type="http://schemas.openxmlformats.org/officeDocument/2006/relationships/hyperlink" Target="http://www.broadinstitute.org/gsea/msigdb/cards/FOSTER_TOLERANT_MACROPHAGE_UP.html" TargetMode="External"/><Relationship Id="rId215" Type="http://schemas.openxmlformats.org/officeDocument/2006/relationships/hyperlink" Target="http://www.broadinstitute.org/gsea/msigdb/cards/HAHTOLA_SEZARY_SYNDROM_DN.html" TargetMode="External"/><Relationship Id="rId216" Type="http://schemas.openxmlformats.org/officeDocument/2006/relationships/hyperlink" Target="http://www.broadinstitute.org/gsea/msigdb/cards/LEE_AGING_CEREBELLUM_UP.html" TargetMode="External"/><Relationship Id="rId217" Type="http://schemas.openxmlformats.org/officeDocument/2006/relationships/hyperlink" Target="http://www.broadinstitute.org/gsea/msigdb/cards/PID_IL2_1PATHWAY.html" TargetMode="External"/><Relationship Id="rId218" Type="http://schemas.openxmlformats.org/officeDocument/2006/relationships/hyperlink" Target="http://www.broadinstitute.org/gsea/msigdb/cards/KEGG_TOLL_LIKE_RECEPTOR_SIGNALING_PATHWAY.html" TargetMode="External"/><Relationship Id="rId219" Type="http://schemas.openxmlformats.org/officeDocument/2006/relationships/hyperlink" Target="http://www.broadinstitute.org/gsea/msigdb/cards/REACTOME_INTERFERON_SIGNALING.html" TargetMode="External"/><Relationship Id="rId1460" Type="http://schemas.openxmlformats.org/officeDocument/2006/relationships/hyperlink" Target="http://www.broadinstitute.org/gsea/msigdb/cards/GO_REGULATION_OF_T_CELL_RECEPTOR_SIGNALING_PATHWAY.html" TargetMode="External"/><Relationship Id="rId1461" Type="http://schemas.openxmlformats.org/officeDocument/2006/relationships/hyperlink" Target="http://www.broadinstitute.org/gsea/msigdb/cards/GO_SMALL_GTPASE_MEDIATED_SIGNAL_TRANSDUCTION.html" TargetMode="External"/><Relationship Id="rId1462" Type="http://schemas.openxmlformats.org/officeDocument/2006/relationships/hyperlink" Target="http://www.broadinstitute.org/gsea/msigdb/cards/GO_REGULATION_OF_ERK1_AND_ERK2_CASCADE.html" TargetMode="External"/><Relationship Id="rId1463" Type="http://schemas.openxmlformats.org/officeDocument/2006/relationships/hyperlink" Target="http://www.broadinstitute.org/gsea/msigdb/cards/GO_PEPTIDYL_TYROSINE_MODIFICATION.html" TargetMode="External"/><Relationship Id="rId1464" Type="http://schemas.openxmlformats.org/officeDocument/2006/relationships/hyperlink" Target="http://www.broadinstitute.org/gsea/msigdb/cards/GO_NEGATIVE_REGULATION_OF_LEUKOCYTE_APOPTOTIC_PROCESS.html" TargetMode="External"/><Relationship Id="rId1465" Type="http://schemas.openxmlformats.org/officeDocument/2006/relationships/hyperlink" Target="http://www.broadinstitute.org/gsea/msigdb/cards/GO_TRANSMEMBRANE_TRANSPORT.html" TargetMode="External"/><Relationship Id="rId1466" Type="http://schemas.openxmlformats.org/officeDocument/2006/relationships/hyperlink" Target="http://www.broadinstitute.org/gsea/msigdb/cards/GO_REGULATION_OF_TUMOR_NECROSIS_FACTOR_BIOSYNTHETIC_PROCESS.html" TargetMode="External"/><Relationship Id="rId1467" Type="http://schemas.openxmlformats.org/officeDocument/2006/relationships/hyperlink" Target="http://www.broadinstitute.org/gsea/msigdb/cards/GO_CELL_CELL_RECOGNITION.html" TargetMode="External"/><Relationship Id="rId1468" Type="http://schemas.openxmlformats.org/officeDocument/2006/relationships/hyperlink" Target="http://www.broadinstitute.org/gsea/msigdb/cards/GO_REGULATION_OF_DEFENSE_RESPONSE_TO_VIRUS.html" TargetMode="External"/><Relationship Id="rId1469" Type="http://schemas.openxmlformats.org/officeDocument/2006/relationships/hyperlink" Target="http://www.broadinstitute.org/gsea/msigdb/cards/GO_EXTRINSIC_COMPONENT_OF_CYTOPLASMIC_SIDE_OF_PLASMA_MEMBRANE.html" TargetMode="External"/><Relationship Id="rId4740" Type="http://schemas.openxmlformats.org/officeDocument/2006/relationships/hyperlink" Target="http://www.broadinstitute.org/gsea/msigdb/cards/GSE27786_LSK_VS_NKCELL_DN.html" TargetMode="External"/><Relationship Id="rId4741" Type="http://schemas.openxmlformats.org/officeDocument/2006/relationships/hyperlink" Target="http://www.broadinstitute.org/gsea/msigdb/cards/GSE27786_LIN_NEG_VS_MONO_MAC_DN.html" TargetMode="External"/><Relationship Id="rId4742" Type="http://schemas.openxmlformats.org/officeDocument/2006/relationships/hyperlink" Target="http://www.broadinstitute.org/gsea/msigdb/cards/GSE27786_BCELL_VS_CD8_TCELL_DN.html" TargetMode="External"/><Relationship Id="rId4743" Type="http://schemas.openxmlformats.org/officeDocument/2006/relationships/hyperlink" Target="http://www.broadinstitute.org/gsea/msigdb/cards/GSE27786_BCELL_VS_ERYTHROBLAST_UP.html" TargetMode="External"/><Relationship Id="rId4744" Type="http://schemas.openxmlformats.org/officeDocument/2006/relationships/hyperlink" Target="http://www.broadinstitute.org/gsea/msigdb/cards/GSE27786_BCELL_VS_NEUTROPHIL_DN.html" TargetMode="External"/><Relationship Id="rId4745" Type="http://schemas.openxmlformats.org/officeDocument/2006/relationships/hyperlink" Target="http://www.broadinstitute.org/gsea/msigdb/cards/GSE27786_CD8_TCELL_VS_ERYTHROBLAST_UP.html" TargetMode="External"/><Relationship Id="rId4746" Type="http://schemas.openxmlformats.org/officeDocument/2006/relationships/hyperlink" Target="http://www.broadinstitute.org/gsea/msigdb/cards/GSE29618_PRE_VS_DAY7_POST_TIV_FLU_VACCINE_PDC_DN.html" TargetMode="External"/><Relationship Id="rId4747" Type="http://schemas.openxmlformats.org/officeDocument/2006/relationships/hyperlink" Target="http://www.broadinstitute.org/gsea/msigdb/cards/GSE29618_PRE_VS_DAY7_POST_LAIV_FLU_VACCINE_MDC_DN.html" TargetMode="External"/><Relationship Id="rId4748" Type="http://schemas.openxmlformats.org/officeDocument/2006/relationships/hyperlink" Target="http://www.broadinstitute.org/gsea/msigdb/cards/GSE32423_IL7_VS_IL4_MEMORY_CD8_TCELL_UP.html" TargetMode="External"/><Relationship Id="rId4749" Type="http://schemas.openxmlformats.org/officeDocument/2006/relationships/hyperlink" Target="http://www.broadinstitute.org/gsea/msigdb/cards/GSE339_CD4POS_VS_CD4CD8DN_DC_IN_CULTURE_UP.html" TargetMode="External"/><Relationship Id="rId5100" Type="http://schemas.openxmlformats.org/officeDocument/2006/relationships/hyperlink" Target="http://www.broadinstitute.org/gsea/msigdb/cards/GSE32423_IL7_VS_IL4_MEMORY_CD8_TCELL_DN.html" TargetMode="External"/><Relationship Id="rId5101" Type="http://schemas.openxmlformats.org/officeDocument/2006/relationships/hyperlink" Target="http://www.broadinstitute.org/gsea/msigdb/cards/GSE34205_HEALTHY_VS_RSV_INF_INFANT_PBMC_DN.html" TargetMode="External"/><Relationship Id="rId5102" Type="http://schemas.openxmlformats.org/officeDocument/2006/relationships/hyperlink" Target="http://www.broadinstitute.org/gsea/msigdb/cards/GSE360_CTRL_VS_B_MALAYI_LOW_DOSE_MAC_UP.html" TargetMode="External"/><Relationship Id="rId5103" Type="http://schemas.openxmlformats.org/officeDocument/2006/relationships/hyperlink" Target="http://www.broadinstitute.org/gsea/msigdb/cards/GSE360_DC_VS_MAC_L_MAJOR_DN.html" TargetMode="External"/><Relationship Id="rId5104" Type="http://schemas.openxmlformats.org/officeDocument/2006/relationships/hyperlink" Target="http://www.broadinstitute.org/gsea/msigdb/cards/GSE360_DC_VS_MAC_B_MALAYI_LOW_DOSE_UP.html" TargetMode="External"/><Relationship Id="rId5105" Type="http://schemas.openxmlformats.org/officeDocument/2006/relationships/hyperlink" Target="http://www.broadinstitute.org/gsea/msigdb/cards/GSE360_L_DONOVANI_VS_L_MAJOR_DC_DN.html" TargetMode="External"/><Relationship Id="rId5106" Type="http://schemas.openxmlformats.org/officeDocument/2006/relationships/hyperlink" Target="http://www.broadinstitute.org/gsea/msigdb/cards/GSE360_L_DONOVANI_VS_M_TUBERCULOSIS_DC_UP.html" TargetMode="External"/><Relationship Id="rId5107" Type="http://schemas.openxmlformats.org/officeDocument/2006/relationships/hyperlink" Target="http://www.broadinstitute.org/gsea/msigdb/cards/GSE360_L_MAJOR_VS_B_MALAYI_HIGH_DOSE_DC_DN.html" TargetMode="External"/><Relationship Id="rId5108" Type="http://schemas.openxmlformats.org/officeDocument/2006/relationships/hyperlink" Target="http://www.broadinstitute.org/gsea/msigdb/cards/GSE360_L_MAJOR_VS_M_TUBERCULOSIS_DC_UP.html" TargetMode="External"/><Relationship Id="rId5109" Type="http://schemas.openxmlformats.org/officeDocument/2006/relationships/hyperlink" Target="http://www.broadinstitute.org/gsea/msigdb/cards/GSE360_HIGH_VS_LOW_DOSE_B_MALAYI_DC_DN.html" TargetMode="External"/><Relationship Id="rId3650" Type="http://schemas.openxmlformats.org/officeDocument/2006/relationships/hyperlink" Target="http://www.broadinstitute.org/gsea/msigdb/cards/GSE15930_NAIVE_VS_72H_IN_VITRO_STIM_IL12_CD8_TCELL_DN.html" TargetMode="External"/><Relationship Id="rId3651" Type="http://schemas.openxmlformats.org/officeDocument/2006/relationships/hyperlink" Target="http://www.broadinstitute.org/gsea/msigdb/cards/GSE15930_STIM_VS_STIM_AND_IFNAB_48H_CD8_T_CELL_UP.html" TargetMode="External"/><Relationship Id="rId3652" Type="http://schemas.openxmlformats.org/officeDocument/2006/relationships/hyperlink" Target="http://www.broadinstitute.org/gsea/msigdb/cards/GSE15930_STIM_VS_STIM_AND_TRICHOSTATINA_48H_CD8_T_CELL_UP.html" TargetMode="External"/><Relationship Id="rId3653" Type="http://schemas.openxmlformats.org/officeDocument/2006/relationships/hyperlink" Target="http://www.broadinstitute.org/gsea/msigdb/cards/GSE16522_MEMORY_VS_NAIVE_ANTI_CD3CD28_STIM_CD8_TCELL_UP.html" TargetMode="External"/><Relationship Id="rId3654" Type="http://schemas.openxmlformats.org/officeDocument/2006/relationships/hyperlink" Target="http://www.broadinstitute.org/gsea/msigdb/cards/GSE16522_ANTI_CD3CD28_STIM_VS_UNSTIM_NAIVE_CD8_TCELL_DN.html" TargetMode="External"/><Relationship Id="rId3655" Type="http://schemas.openxmlformats.org/officeDocument/2006/relationships/hyperlink" Target="http://www.broadinstitute.org/gsea/msigdb/cards/GSE17721_CTRL_VS_LPS_24H_BMDC_UP.html" TargetMode="External"/><Relationship Id="rId3656" Type="http://schemas.openxmlformats.org/officeDocument/2006/relationships/hyperlink" Target="http://www.broadinstitute.org/gsea/msigdb/cards/GSE17721_CTRL_VS_GARDIQUIMOD_1H_BMDC_DN.html" TargetMode="External"/><Relationship Id="rId3657" Type="http://schemas.openxmlformats.org/officeDocument/2006/relationships/hyperlink" Target="http://www.broadinstitute.org/gsea/msigdb/cards/GSE17721_LPS_VS_POLYIC_6H_BMDC_DN.html" TargetMode="External"/><Relationship Id="rId3658" Type="http://schemas.openxmlformats.org/officeDocument/2006/relationships/hyperlink" Target="http://www.broadinstitute.org/gsea/msigdb/cards/GSE17721_LPS_VS_POLYIC_16H_BMDC_UP.html" TargetMode="External"/><Relationship Id="rId3659" Type="http://schemas.openxmlformats.org/officeDocument/2006/relationships/hyperlink" Target="http://www.broadinstitute.org/gsea/msigdb/cards/GSE17721_LPS_VS_POLYIC_16H_BMDC_DN.html" TargetMode="External"/><Relationship Id="rId950" Type="http://schemas.openxmlformats.org/officeDocument/2006/relationships/hyperlink" Target="http://www.broadinstitute.org/gsea/msigdb/cards/MODULE_410.html" TargetMode="External"/><Relationship Id="rId951" Type="http://schemas.openxmlformats.org/officeDocument/2006/relationships/hyperlink" Target="http://www.broadinstitute.org/gsea/msigdb/cards/MODULE_96.html" TargetMode="External"/><Relationship Id="rId4010" Type="http://schemas.openxmlformats.org/officeDocument/2006/relationships/hyperlink" Target="http://www.broadinstitute.org/gsea/msigdb/cards/GSE32255_WT_UNSTIM_VS_JMJD2D_KNOCKDOWN_4H_LPS_STIM_DC_UP.html" TargetMode="External"/><Relationship Id="rId4011" Type="http://schemas.openxmlformats.org/officeDocument/2006/relationships/hyperlink" Target="http://www.broadinstitute.org/gsea/msigdb/cards/GSE37534_UNTREATED_VS_PIOGLITAZONE_TREATED_CD4_TCELL_PPARG1_AND_FOXP3_TRASDUCED_DN.html" TargetMode="External"/><Relationship Id="rId4012" Type="http://schemas.openxmlformats.org/officeDocument/2006/relationships/hyperlink" Target="http://www.broadinstitute.org/gsea/msigdb/cards/GSE38697_LIGHT_ZONE_VS_DARK_ZONE_BCELL_UP.html" TargetMode="External"/><Relationship Id="rId4013" Type="http://schemas.openxmlformats.org/officeDocument/2006/relationships/hyperlink" Target="http://www.broadinstitute.org/gsea/msigdb/cards/GSE33162_HDAC3_KO_VS_HDAC3_KO_MACROPHAGE_UP.html" TargetMode="External"/><Relationship Id="rId4014" Type="http://schemas.openxmlformats.org/officeDocument/2006/relationships/hyperlink" Target="http://www.broadinstitute.org/gsea/msigdb/cards/GSE39152_SPLEEN_CD103_NEG_VS_BRAIN_CD103_POS_MEMORY_CD8_TCELL_UP.html" TargetMode="External"/><Relationship Id="rId4015" Type="http://schemas.openxmlformats.org/officeDocument/2006/relationships/hyperlink" Target="http://www.broadinstitute.org/gsea/msigdb/cards/GSE40666_NAIVE_VS_EFFECTOR_CD8_TCELL_WITH_IFNA_STIM_90MIN_DN.html" TargetMode="External"/><Relationship Id="rId4016" Type="http://schemas.openxmlformats.org/officeDocument/2006/relationships/hyperlink" Target="http://www.broadinstitute.org/gsea/msigdb/cards/GSE40666_WT_VS_STAT4_KO_CD8_TCELL_WITH_IFNA_STIM_90MIN_DN.html" TargetMode="External"/><Relationship Id="rId4017" Type="http://schemas.openxmlformats.org/officeDocument/2006/relationships/hyperlink" Target="http://www.broadinstitute.org/gsea/msigdb/cards/GSE39110_DAY3_VS_DAY6_POST_IMMUNIZATION_CD8_TCELL_WITH_IL2_TREATMENT_DN.html" TargetMode="External"/><Relationship Id="rId4018" Type="http://schemas.openxmlformats.org/officeDocument/2006/relationships/hyperlink" Target="http://www.broadinstitute.org/gsea/msigdb/cards/GSE36078_WT_VS_IL1R_KO_LUNG_DC_AFTER_AD5_T425A_HEXON_INF_UP.html" TargetMode="External"/><Relationship Id="rId4019" Type="http://schemas.openxmlformats.org/officeDocument/2006/relationships/hyperlink" Target="http://www.broadinstitute.org/gsea/msigdb/cards/GSE11961_GERMINAL_CENTER_BCELL_DAY7_VS_GERMINAL_CENTER_BCELL_DAY40_DN.html" TargetMode="External"/><Relationship Id="rId952" Type="http://schemas.openxmlformats.org/officeDocument/2006/relationships/hyperlink" Target="http://www.broadinstitute.org/gsea/msigdb/cards/MODULE_220.html" TargetMode="External"/><Relationship Id="rId953" Type="http://schemas.openxmlformats.org/officeDocument/2006/relationships/hyperlink" Target="http://www.broadinstitute.org/gsea/msigdb/cards/MODULE_248.html" TargetMode="External"/><Relationship Id="rId954" Type="http://schemas.openxmlformats.org/officeDocument/2006/relationships/hyperlink" Target="http://www.broadinstitute.org/gsea/msigdb/cards/MODULE_456.html" TargetMode="External"/><Relationship Id="rId955" Type="http://schemas.openxmlformats.org/officeDocument/2006/relationships/hyperlink" Target="http://www.broadinstitute.org/gsea/msigdb/cards/MODULE_378.html" TargetMode="External"/><Relationship Id="rId956" Type="http://schemas.openxmlformats.org/officeDocument/2006/relationships/hyperlink" Target="http://www.broadinstitute.org/gsea/msigdb/cards/MODULE_543.html" TargetMode="External"/><Relationship Id="rId957" Type="http://schemas.openxmlformats.org/officeDocument/2006/relationships/hyperlink" Target="http://www.broadinstitute.org/gsea/msigdb/cards/MODULE_317.html" TargetMode="External"/><Relationship Id="rId958" Type="http://schemas.openxmlformats.org/officeDocument/2006/relationships/hyperlink" Target="http://www.broadinstitute.org/gsea/msigdb/cards/MODULE_265.html" TargetMode="External"/><Relationship Id="rId959" Type="http://schemas.openxmlformats.org/officeDocument/2006/relationships/hyperlink" Target="http://www.broadinstitute.org/gsea/msigdb/cards/MODULE_122.html" TargetMode="External"/><Relationship Id="rId2560" Type="http://schemas.openxmlformats.org/officeDocument/2006/relationships/hyperlink" Target="http://www.broadinstitute.org/gsea/msigdb/cards/GSE3039_B2_VS_B1_BCELL_UP.html" TargetMode="External"/><Relationship Id="rId2561" Type="http://schemas.openxmlformats.org/officeDocument/2006/relationships/hyperlink" Target="http://www.broadinstitute.org/gsea/msigdb/cards/GSE4590_LARGE_PRE_BCELL_VS_VPREB_POS_LARGE_PRE_BCELL_DN.html" TargetMode="External"/><Relationship Id="rId2562" Type="http://schemas.openxmlformats.org/officeDocument/2006/relationships/hyperlink" Target="http://www.broadinstitute.org/gsea/msigdb/cards/GSE9601_NFKB_INHIBITOR_VS_PI3K_INHIBITOR_TREATED_HCMV_INF_MONOCYTE_DN.html" TargetMode="External"/><Relationship Id="rId2563" Type="http://schemas.openxmlformats.org/officeDocument/2006/relationships/hyperlink" Target="http://www.broadinstitute.org/gsea/msigdb/cards/GSE6674_PL2_3_VS_ANTI_IGM_AND_CPG_STIM_BCELL_UP.html" TargetMode="External"/><Relationship Id="rId2564" Type="http://schemas.openxmlformats.org/officeDocument/2006/relationships/hyperlink" Target="http://www.broadinstitute.org/gsea/msigdb/cards/GSE10240_CTRL_VS_IL22_STIM_PRIMARY_BRONCHIAL_EPITHELIAL_CELLS_UP.html" TargetMode="External"/><Relationship Id="rId2565" Type="http://schemas.openxmlformats.org/officeDocument/2006/relationships/hyperlink" Target="http://www.broadinstitute.org/gsea/msigdb/cards/GSE13522_WT_VS_IFNAR_KO_SKIN_UP.html" TargetMode="External"/><Relationship Id="rId2566" Type="http://schemas.openxmlformats.org/officeDocument/2006/relationships/hyperlink" Target="http://www.broadinstitute.org/gsea/msigdb/cards/GSE15735_CTRL_VS_HDAC_INHIBITOR_TREATED_CD4_TCELL_2H_UP.html" TargetMode="External"/><Relationship Id="rId2567" Type="http://schemas.openxmlformats.org/officeDocument/2006/relationships/hyperlink" Target="http://www.broadinstitute.org/gsea/msigdb/cards/GSE18281_CORTICAL_VS_MEDULLARY_THYMOCYTE_UP.html" TargetMode="External"/><Relationship Id="rId2568" Type="http://schemas.openxmlformats.org/officeDocument/2006/relationships/hyperlink" Target="http://www.broadinstitute.org/gsea/msigdb/cards/GSE22229_RENAL_TRANSPLANT_IMMUNOSUPP_THERAPY_VS_HEALTHY_PBMC_UP.html" TargetMode="External"/><Relationship Id="rId2569" Type="http://schemas.openxmlformats.org/officeDocument/2006/relationships/hyperlink" Target="http://www.broadinstitute.org/gsea/msigdb/cards/GSE25088_IL4_VS_IL4_AND_ROSIGLITAZONE_STIM_STAT6_KO_MACROPHAGE_DAY10_DN.html" TargetMode="External"/><Relationship Id="rId220" Type="http://schemas.openxmlformats.org/officeDocument/2006/relationships/hyperlink" Target="http://www.broadinstitute.org/gsea/msigdb/cards/BIOCARTA_DC_PATHWAY.html" TargetMode="External"/><Relationship Id="rId221" Type="http://schemas.openxmlformats.org/officeDocument/2006/relationships/hyperlink" Target="http://www.broadinstitute.org/gsea/msigdb/cards/GAVIN_PDE3B_TARGETS.html" TargetMode="External"/><Relationship Id="rId222" Type="http://schemas.openxmlformats.org/officeDocument/2006/relationships/hyperlink" Target="http://www.broadinstitute.org/gsea/msigdb/cards/RIGGI_EWING_SARCOMA_PROGENITOR_UP.html" TargetMode="External"/><Relationship Id="rId223" Type="http://schemas.openxmlformats.org/officeDocument/2006/relationships/hyperlink" Target="http://www.broadinstitute.org/gsea/msigdb/cards/BIDUS_METASTASIS_DN.html" TargetMode="External"/><Relationship Id="rId224" Type="http://schemas.openxmlformats.org/officeDocument/2006/relationships/hyperlink" Target="http://www.broadinstitute.org/gsea/msigdb/cards/APPEL_IMATINIB_RESPONSE.html" TargetMode="External"/><Relationship Id="rId225" Type="http://schemas.openxmlformats.org/officeDocument/2006/relationships/hyperlink" Target="http://www.broadinstitute.org/gsea/msigdb/cards/SHIPP_DLBCL_VS_FOLLICULAR_LYMPHOMA_DN.html" TargetMode="External"/><Relationship Id="rId226" Type="http://schemas.openxmlformats.org/officeDocument/2006/relationships/hyperlink" Target="http://www.broadinstitute.org/gsea/msigdb/cards/LIU_VAV3_PROSTATE_CARCINOGENESIS_UP.html" TargetMode="External"/><Relationship Id="rId227" Type="http://schemas.openxmlformats.org/officeDocument/2006/relationships/hyperlink" Target="http://www.broadinstitute.org/gsea/msigdb/cards/SA_MMP_CYTOKINE_CONNECTION.html" TargetMode="External"/><Relationship Id="rId228" Type="http://schemas.openxmlformats.org/officeDocument/2006/relationships/hyperlink" Target="http://www.broadinstitute.org/gsea/msigdb/cards/NABA_MATRISOME_ASSOCIATED.html" TargetMode="External"/><Relationship Id="rId229" Type="http://schemas.openxmlformats.org/officeDocument/2006/relationships/hyperlink" Target="http://www.broadinstitute.org/gsea/msigdb/cards/ZHOU_INFLAMMATORY_RESPONSE_FIMA_DN.html" TargetMode="External"/><Relationship Id="rId1470" Type="http://schemas.openxmlformats.org/officeDocument/2006/relationships/hyperlink" Target="http://www.broadinstitute.org/gsea/msigdb/cards/GO_POSITIVE_REGULATION_OF_INTERLEUKIN_1_BETA_PRODUCTION.html" TargetMode="External"/><Relationship Id="rId1471" Type="http://schemas.openxmlformats.org/officeDocument/2006/relationships/hyperlink" Target="http://www.broadinstitute.org/gsea/msigdb/cards/GO_PROTEIN_COMPLEX_INVOLVED_IN_CELL_ADHESION.html" TargetMode="External"/><Relationship Id="rId1472" Type="http://schemas.openxmlformats.org/officeDocument/2006/relationships/hyperlink" Target="http://www.broadinstitute.org/gsea/msigdb/cards/GO_REGULATION_OF_INTERLEUKIN_8_PRODUCTION.html" TargetMode="External"/><Relationship Id="rId1473" Type="http://schemas.openxmlformats.org/officeDocument/2006/relationships/hyperlink" Target="http://www.broadinstitute.org/gsea/msigdb/cards/GO_POSITIVE_REGULATION_OF_INTERLEUKIN_8_PRODUCTION.html" TargetMode="External"/><Relationship Id="rId1474" Type="http://schemas.openxmlformats.org/officeDocument/2006/relationships/hyperlink" Target="http://www.broadinstitute.org/gsea/msigdb/cards/GO_HETEROPHILIC_CELL_CELL_ADHESION_VIA_PLASMA_MEMBRANE_CELL_ADHESION_MOLECULES.html" TargetMode="External"/><Relationship Id="rId1475" Type="http://schemas.openxmlformats.org/officeDocument/2006/relationships/hyperlink" Target="http://www.broadinstitute.org/gsea/msigdb/cards/GO_NEGATIVE_REGULATION_OF_RESPONSE_TO_EXTERNAL_STIMULUS.html" TargetMode="External"/><Relationship Id="rId1476" Type="http://schemas.openxmlformats.org/officeDocument/2006/relationships/hyperlink" Target="http://www.broadinstitute.org/gsea/msigdb/cards/GO_NEGATIVE_REGULATION_OF_TRANSPORT.html" TargetMode="External"/><Relationship Id="rId1477" Type="http://schemas.openxmlformats.org/officeDocument/2006/relationships/hyperlink" Target="http://www.broadinstitute.org/gsea/msigdb/cards/GO_LIPOPOLYSACCHARIDE_MEDIATED_SIGNALING_PATHWAY.html" TargetMode="External"/><Relationship Id="rId1478" Type="http://schemas.openxmlformats.org/officeDocument/2006/relationships/hyperlink" Target="http://www.broadinstitute.org/gsea/msigdb/cards/GO_HOMEOSTASIS_OF_NUMBER_OF_CELLS_WITHIN_A_TISSUE.html" TargetMode="External"/><Relationship Id="rId1479" Type="http://schemas.openxmlformats.org/officeDocument/2006/relationships/hyperlink" Target="http://www.broadinstitute.org/gsea/msigdb/cards/GO_REGULATION_OF_INFLAMMATORY_RESPONSE_TO_ANTIGENIC_STIMULUS.html" TargetMode="External"/><Relationship Id="rId4750" Type="http://schemas.openxmlformats.org/officeDocument/2006/relationships/hyperlink" Target="http://www.broadinstitute.org/gsea/msigdb/cards/GSE339_EX_VIVO_VS_IN_CULTURE_CD8POS_DC_DN.html" TargetMode="External"/><Relationship Id="rId4751" Type="http://schemas.openxmlformats.org/officeDocument/2006/relationships/hyperlink" Target="http://www.broadinstitute.org/gsea/msigdb/cards/GSE34205_HEALTHY_VS_FLU_INF_INFANT_PBMC_UP.html" TargetMode="External"/><Relationship Id="rId4752" Type="http://schemas.openxmlformats.org/officeDocument/2006/relationships/hyperlink" Target="http://www.broadinstitute.org/gsea/msigdb/cards/GSE360_CTRL_VS_B_MALAYI_LOW_DOSE_DC_UP.html" TargetMode="External"/><Relationship Id="rId4753" Type="http://schemas.openxmlformats.org/officeDocument/2006/relationships/hyperlink" Target="http://www.broadinstitute.org/gsea/msigdb/cards/GSE360_CTRL_VS_B_MALAYI_LOW_DOSE_DC_DN.html" TargetMode="External"/><Relationship Id="rId4754" Type="http://schemas.openxmlformats.org/officeDocument/2006/relationships/hyperlink" Target="http://www.broadinstitute.org/gsea/msigdb/cards/GSE360_CTRL_VS_L_MAJOR_MAC_UP.html" TargetMode="External"/><Relationship Id="rId4755" Type="http://schemas.openxmlformats.org/officeDocument/2006/relationships/hyperlink" Target="http://www.broadinstitute.org/gsea/msigdb/cards/GSE360_CTRL_VS_M_TUBERCULOSIS_MAC_DN.html" TargetMode="External"/><Relationship Id="rId4756" Type="http://schemas.openxmlformats.org/officeDocument/2006/relationships/hyperlink" Target="http://www.broadinstitute.org/gsea/msigdb/cards/GSE360_DC_VS_MAC_UP.html" TargetMode="External"/><Relationship Id="rId4757" Type="http://schemas.openxmlformats.org/officeDocument/2006/relationships/hyperlink" Target="http://www.broadinstitute.org/gsea/msigdb/cards/GSE360_L_DONOVANI_VS_T_GONDII_DC_UP.html" TargetMode="External"/><Relationship Id="rId4758" Type="http://schemas.openxmlformats.org/officeDocument/2006/relationships/hyperlink" Target="http://www.broadinstitute.org/gsea/msigdb/cards/GSE360_L_MAJOR_VS_M_TUBERCULOSIS_DC_DN.html" TargetMode="External"/><Relationship Id="rId4759" Type="http://schemas.openxmlformats.org/officeDocument/2006/relationships/hyperlink" Target="http://www.broadinstitute.org/gsea/msigdb/cards/GSE360_L_DONOVANI_VS_B_MALAYI_LOW_DOSE_MAC_DN.html" TargetMode="External"/><Relationship Id="rId5110" Type="http://schemas.openxmlformats.org/officeDocument/2006/relationships/hyperlink" Target="http://www.broadinstitute.org/gsea/msigdb/cards/GSE360_L_DONOVANI_VS_L_MAJOR_MAC_DN.html" TargetMode="External"/><Relationship Id="rId5111" Type="http://schemas.openxmlformats.org/officeDocument/2006/relationships/hyperlink" Target="http://www.broadinstitute.org/gsea/msigdb/cards/GSE360_T_GONDII_VS_B_MALAYI_HIGH_DOSE_MAC_UP.html" TargetMode="External"/><Relationship Id="rId5112" Type="http://schemas.openxmlformats.org/officeDocument/2006/relationships/hyperlink" Target="http://www.broadinstitute.org/gsea/msigdb/cards/GSE360_T_GONDII_VS_B_MALAYI_LOW_DOSE_MAC_UP.html" TargetMode="External"/><Relationship Id="rId5113" Type="http://schemas.openxmlformats.org/officeDocument/2006/relationships/hyperlink" Target="http://www.broadinstitute.org/gsea/msigdb/cards/GSE36476_YOUNG_VS_OLD_DONOR_MEMORY_CD4_TCELL_40H_TSST_ACT_UP.html" TargetMode="External"/><Relationship Id="rId5114" Type="http://schemas.openxmlformats.org/officeDocument/2006/relationships/hyperlink" Target="http://www.broadinstitute.org/gsea/msigdb/cards/GSE37416_CTRL_VS_12H_F_TULARENSIS_LVS_NEUTROPHIL_DN.html" TargetMode="External"/><Relationship Id="rId5115" Type="http://schemas.openxmlformats.org/officeDocument/2006/relationships/hyperlink" Target="http://www.broadinstitute.org/gsea/msigdb/cards/GSE37416_12H_VS_48H_F_TULARENSIS_LVS_NEUTROPHIL_DN.html" TargetMode="External"/><Relationship Id="rId5116" Type="http://schemas.openxmlformats.org/officeDocument/2006/relationships/hyperlink" Target="http://www.broadinstitute.org/gsea/msigdb/cards/GSE3982_EOSINOPHIL_VS_BASOPHIL_DN.html" TargetMode="External"/><Relationship Id="rId5117" Type="http://schemas.openxmlformats.org/officeDocument/2006/relationships/hyperlink" Target="http://www.broadinstitute.org/gsea/msigdb/cards/GSE3982_MAST_CELL_VS_MAC_UP.html" TargetMode="External"/><Relationship Id="rId5118" Type="http://schemas.openxmlformats.org/officeDocument/2006/relationships/hyperlink" Target="http://www.broadinstitute.org/gsea/msigdb/cards/GSE3982_MAC_VS_BCELL_DN.html" TargetMode="External"/><Relationship Id="rId5119" Type="http://schemas.openxmlformats.org/officeDocument/2006/relationships/hyperlink" Target="http://www.broadinstitute.org/gsea/msigdb/cards/GSE3982_MAC_VS_BASOPHIL_UP.html" TargetMode="External"/><Relationship Id="rId3660" Type="http://schemas.openxmlformats.org/officeDocument/2006/relationships/hyperlink" Target="http://www.broadinstitute.org/gsea/msigdb/cards/GSE17721_POLYIC_VS_PAM3CSK4_16H_BMDC_UP.html" TargetMode="External"/><Relationship Id="rId3661" Type="http://schemas.openxmlformats.org/officeDocument/2006/relationships/hyperlink" Target="http://www.broadinstitute.org/gsea/msigdb/cards/GSE17721_CPG_VS_GARDIQUIMOD_12H_BMDC_UP.html" TargetMode="External"/><Relationship Id="rId3662" Type="http://schemas.openxmlformats.org/officeDocument/2006/relationships/hyperlink" Target="http://www.broadinstitute.org/gsea/msigdb/cards/GSE17721_LPS_VS_PAM3CSK4_24H_BMDC_UP.html" TargetMode="External"/><Relationship Id="rId3663" Type="http://schemas.openxmlformats.org/officeDocument/2006/relationships/hyperlink" Target="http://www.broadinstitute.org/gsea/msigdb/cards/GSE17721_PAM3CSK4_VS_GADIQUIMOD_16H_BMDC_DN.html" TargetMode="External"/><Relationship Id="rId3664" Type="http://schemas.openxmlformats.org/officeDocument/2006/relationships/hyperlink" Target="http://www.broadinstitute.org/gsea/msigdb/cards/GSE17721_POLYIC_VS_GARDIQUIMOD_1H_BMDC_DN.html" TargetMode="External"/><Relationship Id="rId3665" Type="http://schemas.openxmlformats.org/officeDocument/2006/relationships/hyperlink" Target="http://www.broadinstitute.org/gsea/msigdb/cards/GSE17721_LPS_VS_GARDIQUIMOD_0.5H_BMDC_UP.html" TargetMode="External"/><Relationship Id="rId3666" Type="http://schemas.openxmlformats.org/officeDocument/2006/relationships/hyperlink" Target="http://www.broadinstitute.org/gsea/msigdb/cards/GSE17721_LPS_VS_GARDIQUIMOD_24H_BMDC_UP.html" TargetMode="External"/><Relationship Id="rId3667" Type="http://schemas.openxmlformats.org/officeDocument/2006/relationships/hyperlink" Target="http://www.broadinstitute.org/gsea/msigdb/cards/GSE17721_LPS_VS_GARDIQUIMOD_24H_BMDC_DN.html" TargetMode="External"/><Relationship Id="rId3668" Type="http://schemas.openxmlformats.org/officeDocument/2006/relationships/hyperlink" Target="http://www.broadinstitute.org/gsea/msigdb/cards/GSE17721_0.5H_VS_24H_LPS_BMDC_DN.html" TargetMode="External"/><Relationship Id="rId3669" Type="http://schemas.openxmlformats.org/officeDocument/2006/relationships/hyperlink" Target="http://www.broadinstitute.org/gsea/msigdb/cards/GSE17721_ALL_VS_24H_PAM3CSK4_BMDC_DN.html" TargetMode="External"/><Relationship Id="rId960" Type="http://schemas.openxmlformats.org/officeDocument/2006/relationships/hyperlink" Target="http://www.broadinstitute.org/gsea/msigdb/cards/MODULE_424.html" TargetMode="External"/><Relationship Id="rId961" Type="http://schemas.openxmlformats.org/officeDocument/2006/relationships/hyperlink" Target="http://www.broadinstitute.org/gsea/msigdb/cards/MODULE_55.html" TargetMode="External"/><Relationship Id="rId4020" Type="http://schemas.openxmlformats.org/officeDocument/2006/relationships/hyperlink" Target="http://www.broadinstitute.org/gsea/msigdb/cards/GSE11961_FOLLICULAR_BCELL_VS_MEMORY_BCELL_DAY7_UP.html" TargetMode="External"/><Relationship Id="rId4021" Type="http://schemas.openxmlformats.org/officeDocument/2006/relationships/hyperlink" Target="http://www.broadinstitute.org/gsea/msigdb/cards/GSE11961_MEMORY_BCELL_DAY7_VS_GERMINAL_CENTER_BCELL_DAY40_UP.html" TargetMode="External"/><Relationship Id="rId4022" Type="http://schemas.openxmlformats.org/officeDocument/2006/relationships/hyperlink" Target="http://www.broadinstitute.org/gsea/msigdb/cards/GSE11961_GERMINAL_CENTER_BCELL_DAY7_VS_PLASMA_CELL_DAY7_DN.html" TargetMode="External"/><Relationship Id="rId4023" Type="http://schemas.openxmlformats.org/officeDocument/2006/relationships/hyperlink" Target="http://www.broadinstitute.org/gsea/msigdb/cards/GSE11961_GERMINAL_CENTER_BCELL_DAY7_VS_MEMORY_BCELL_DAY40_UP.html" TargetMode="External"/><Relationship Id="rId4024" Type="http://schemas.openxmlformats.org/officeDocument/2006/relationships/hyperlink" Target="http://www.broadinstitute.org/gsea/msigdb/cards/GSE34179_THPOK_KO_VS_WT_VA14I_NKTCELL_DN.html" TargetMode="External"/><Relationship Id="rId4025" Type="http://schemas.openxmlformats.org/officeDocument/2006/relationships/hyperlink" Target="http://www.broadinstitute.org/gsea/msigdb/cards/GSE39556_CD8A_DC_VS_NK_CELL_UP.html" TargetMode="External"/><Relationship Id="rId4026" Type="http://schemas.openxmlformats.org/officeDocument/2006/relationships/hyperlink" Target="http://www.broadinstitute.org/gsea/msigdb/cards/GSE41867_NAIVE_VS_DAY8_LCMV_ARMSTRONG_EFFECTOR_CD8_TCELL_DN.html" TargetMode="External"/><Relationship Id="rId4027" Type="http://schemas.openxmlformats.org/officeDocument/2006/relationships/hyperlink" Target="http://www.broadinstitute.org/gsea/msigdb/cards/GSE39382_IL3_VS_IL3_IL33_TREATED_MAST_CELL_DN.html" TargetMode="External"/><Relationship Id="rId4028" Type="http://schemas.openxmlformats.org/officeDocument/2006/relationships/hyperlink" Target="http://www.broadinstitute.org/gsea/msigdb/cards/GSE41978_WT_VS_ID2_KO_KLRG1_LOW_EFFECTOR_CD8_TCELL_DN.html" TargetMode="External"/><Relationship Id="rId4029" Type="http://schemas.openxmlformats.org/officeDocument/2006/relationships/hyperlink" Target="http://www.broadinstitute.org/gsea/msigdb/cards/GSE41978_ID2_KO_AND_BIM_KO_VS_BIM_KO_KLRG1_LOW_EFFECTOR_CD8_TCELL_UP.html" TargetMode="External"/><Relationship Id="rId962" Type="http://schemas.openxmlformats.org/officeDocument/2006/relationships/hyperlink" Target="http://www.broadinstitute.org/gsea/msigdb/cards/MODULE_255.html" TargetMode="External"/><Relationship Id="rId963" Type="http://schemas.openxmlformats.org/officeDocument/2006/relationships/hyperlink" Target="http://www.broadinstitute.org/gsea/msigdb/cards/MODULE_41.html" TargetMode="External"/><Relationship Id="rId964" Type="http://schemas.openxmlformats.org/officeDocument/2006/relationships/hyperlink" Target="http://www.broadinstitute.org/gsea/msigdb/cards/MODULE_459.html" TargetMode="External"/><Relationship Id="rId965" Type="http://schemas.openxmlformats.org/officeDocument/2006/relationships/hyperlink" Target="http://www.broadinstitute.org/gsea/msigdb/cards/MODULE_94.html" TargetMode="External"/><Relationship Id="rId966" Type="http://schemas.openxmlformats.org/officeDocument/2006/relationships/hyperlink" Target="http://www.broadinstitute.org/gsea/msigdb/cards/MODULE_179.html" TargetMode="External"/><Relationship Id="rId967" Type="http://schemas.openxmlformats.org/officeDocument/2006/relationships/hyperlink" Target="http://www.broadinstitute.org/gsea/msigdb/cards/MODULE_525.html" TargetMode="External"/><Relationship Id="rId968" Type="http://schemas.openxmlformats.org/officeDocument/2006/relationships/hyperlink" Target="http://www.broadinstitute.org/gsea/msigdb/cards/MODULE_575.html" TargetMode="External"/><Relationship Id="rId969" Type="http://schemas.openxmlformats.org/officeDocument/2006/relationships/hyperlink" Target="http://www.broadinstitute.org/gsea/msigdb/cards/GNF2_CASP4.html" TargetMode="External"/><Relationship Id="rId2570" Type="http://schemas.openxmlformats.org/officeDocument/2006/relationships/hyperlink" Target="http://www.broadinstitute.org/gsea/msigdb/cards/GSE25123_IL4_VS_IL4_AND_ROSIGLITAZONE_STIM_MACROPHAGE_DAY10_UP.html" TargetMode="External"/><Relationship Id="rId2571" Type="http://schemas.openxmlformats.org/officeDocument/2006/relationships/hyperlink" Target="http://www.broadinstitute.org/gsea/msigdb/cards/GSE24726_WT_VS_E2_2_KO_PDC_DAY6_POST_DELETION_DN.html" TargetMode="External"/><Relationship Id="rId2572" Type="http://schemas.openxmlformats.org/officeDocument/2006/relationships/hyperlink" Target="http://www.broadinstitute.org/gsea/msigdb/cards/GSE23502_BM_VS_COLON_TUMOR_MYELOID_DERIVED_SUPPRESSOR_CELL_DN.html" TargetMode="External"/><Relationship Id="rId2573" Type="http://schemas.openxmlformats.org/officeDocument/2006/relationships/hyperlink" Target="http://www.broadinstitute.org/gsea/msigdb/cards/GSE24972_WT_VS_IRF8_KO_SPLEEN_FOLLICULAR_BCELL_DN.html" TargetMode="External"/><Relationship Id="rId2574" Type="http://schemas.openxmlformats.org/officeDocument/2006/relationships/hyperlink" Target="http://www.broadinstitute.org/gsea/msigdb/cards/GSE27241_CTRL_VS_DIGOXIN_TREATED_CD4_TCELL_IN_TH17_POLARIZING_CONDITIONS_DN.html" TargetMode="External"/><Relationship Id="rId2575" Type="http://schemas.openxmlformats.org/officeDocument/2006/relationships/hyperlink" Target="http://www.broadinstitute.org/gsea/msigdb/cards/GSE23568_CTRL_TRANSDUCED_VS_WT_CD8_TCELL_UP.html" TargetMode="External"/><Relationship Id="rId2576" Type="http://schemas.openxmlformats.org/officeDocument/2006/relationships/hyperlink" Target="http://www.broadinstitute.org/gsea/msigdb/cards/GSE33425_CD8_ALPHAALPHA_VS_ALPHABETA_CD161_HIGH_TCELL_DN.html" TargetMode="External"/><Relationship Id="rId2577" Type="http://schemas.openxmlformats.org/officeDocument/2006/relationships/hyperlink" Target="http://www.broadinstitute.org/gsea/msigdb/cards/GSE32986_UNSTIM_VS_GMCSF_AND_CURDLAN_LOWDOSE_STIM_DC_DN.html" TargetMode="External"/><Relationship Id="rId2578" Type="http://schemas.openxmlformats.org/officeDocument/2006/relationships/hyperlink" Target="http://www.broadinstitute.org/gsea/msigdb/cards/GSE37533_PPARG1_FOXP3_VS_PPARG2_FOXP3_TRANSDUCED_CD4_TCELL_PIOGLITAZONE_TREATED_DN.html" TargetMode="External"/><Relationship Id="rId2579" Type="http://schemas.openxmlformats.org/officeDocument/2006/relationships/hyperlink" Target="http://www.broadinstitute.org/gsea/msigdb/cards/GSE40273_XBP1_KO_VS_WT_TREG_DN.html" TargetMode="External"/><Relationship Id="rId230" Type="http://schemas.openxmlformats.org/officeDocument/2006/relationships/hyperlink" Target="http://www.broadinstitute.org/gsea/msigdb/cards/SHIN_B_CELL_LYMPHOMA_CLUSTER_8.html" TargetMode="External"/><Relationship Id="rId231" Type="http://schemas.openxmlformats.org/officeDocument/2006/relationships/hyperlink" Target="http://www.broadinstitute.org/gsea/msigdb/cards/IGLESIAS_E2F_TARGETS_UP.html" TargetMode="External"/><Relationship Id="rId232" Type="http://schemas.openxmlformats.org/officeDocument/2006/relationships/hyperlink" Target="http://www.broadinstitute.org/gsea/msigdb/cards/GRAHAM_CML_DIVIDING_VS_NORMAL_QUIESCENT_DN.html" TargetMode="External"/><Relationship Id="rId233" Type="http://schemas.openxmlformats.org/officeDocument/2006/relationships/hyperlink" Target="http://www.broadinstitute.org/gsea/msigdb/cards/CHIANG_LIVER_CANCER_SUBCLASS_INTERFERON_UP.html" TargetMode="External"/><Relationship Id="rId234" Type="http://schemas.openxmlformats.org/officeDocument/2006/relationships/hyperlink" Target="http://www.broadinstitute.org/gsea/msigdb/cards/ZHENG_FOXP3_TARGETS_IN_T_LYMPHOCYTE_DN.html" TargetMode="External"/><Relationship Id="rId235" Type="http://schemas.openxmlformats.org/officeDocument/2006/relationships/hyperlink" Target="http://www.broadinstitute.org/gsea/msigdb/cards/TARTE_PLASMA_CELL_VS_PLASMABLAST_UP.html" TargetMode="External"/><Relationship Id="rId236" Type="http://schemas.openxmlformats.org/officeDocument/2006/relationships/hyperlink" Target="http://www.broadinstitute.org/gsea/msigdb/cards/CHUNG_BLISTER_CYTOTOXICITY_UP.html" TargetMode="External"/><Relationship Id="rId237" Type="http://schemas.openxmlformats.org/officeDocument/2006/relationships/hyperlink" Target="http://www.broadinstitute.org/gsea/msigdb/cards/KEGG_FC_GAMMA_R_MEDIATED_PHAGOCYTOSIS.html" TargetMode="External"/><Relationship Id="rId238" Type="http://schemas.openxmlformats.org/officeDocument/2006/relationships/hyperlink" Target="http://www.broadinstitute.org/gsea/msigdb/cards/SENGUPTA_NASOPHARYNGEAL_CARCINOMA_UP.html" TargetMode="External"/><Relationship Id="rId239" Type="http://schemas.openxmlformats.org/officeDocument/2006/relationships/hyperlink" Target="http://www.broadinstitute.org/gsea/msigdb/cards/RUTELLA_RESPONSE_TO_HGF_VS_CSF2RB_AND_IL4_DN.html" TargetMode="External"/><Relationship Id="rId1480" Type="http://schemas.openxmlformats.org/officeDocument/2006/relationships/hyperlink" Target="http://www.broadinstitute.org/gsea/msigdb/cards/GO_MHC_CLASS_I_PROTEIN_BINDING.html" TargetMode="External"/><Relationship Id="rId1481" Type="http://schemas.openxmlformats.org/officeDocument/2006/relationships/hyperlink" Target="http://www.broadinstitute.org/gsea/msigdb/cards/GO_POSITIVE_REGULATION_OF_PHOSPHATIDYLINOSITOL_3_KINASE_SIGNALING.html" TargetMode="External"/><Relationship Id="rId1482" Type="http://schemas.openxmlformats.org/officeDocument/2006/relationships/hyperlink" Target="http://www.broadinstitute.org/gsea/msigdb/cards/GO_REGULATION_OF_SEQUENCE_SPECIFIC_DNA_BINDING_TRANSCRIPTION_FACTOR_ACTIVITY.html" TargetMode="External"/><Relationship Id="rId1483" Type="http://schemas.openxmlformats.org/officeDocument/2006/relationships/hyperlink" Target="http://www.broadinstitute.org/gsea/msigdb/cards/GO_ENZYME_REGULATOR_ACTIVITY.html" TargetMode="External"/><Relationship Id="rId1484" Type="http://schemas.openxmlformats.org/officeDocument/2006/relationships/hyperlink" Target="http://www.broadinstitute.org/gsea/msigdb/cards/GO_NEGATIVE_REGULATION_OF_CYTOKINE_SECRETION.html" TargetMode="External"/><Relationship Id="rId1485" Type="http://schemas.openxmlformats.org/officeDocument/2006/relationships/hyperlink" Target="http://www.broadinstitute.org/gsea/msigdb/cards/GO_CYTOPLASMIC_SIDE_OF_MEMBRANE.html" TargetMode="External"/><Relationship Id="rId1486" Type="http://schemas.openxmlformats.org/officeDocument/2006/relationships/hyperlink" Target="http://www.broadinstitute.org/gsea/msigdb/cards/GO_NON_MEMBRANE_SPANNING_PROTEIN_TYROSINE_KINASE_ACTIVITY.html" TargetMode="External"/><Relationship Id="rId1487" Type="http://schemas.openxmlformats.org/officeDocument/2006/relationships/hyperlink" Target="http://www.broadinstitute.org/gsea/msigdb/cards/GO_REGULATION_OF_CELLULAR_COMPONENT_SIZE.html" TargetMode="External"/><Relationship Id="rId1488" Type="http://schemas.openxmlformats.org/officeDocument/2006/relationships/hyperlink" Target="http://www.broadinstitute.org/gsea/msigdb/cards/GO_CALCIUM_ION_TRANSPORT.html" TargetMode="External"/><Relationship Id="rId1489" Type="http://schemas.openxmlformats.org/officeDocument/2006/relationships/hyperlink" Target="http://www.broadinstitute.org/gsea/msigdb/cards/GO_POSITIVE_REGULATION_OF_T_CELL_MEDIATED_IMMUNITY.html" TargetMode="External"/><Relationship Id="rId4760" Type="http://schemas.openxmlformats.org/officeDocument/2006/relationships/hyperlink" Target="http://www.broadinstitute.org/gsea/msigdb/cards/GSE360_L_MAJOR_VS_T_GONDII_MAC_UP.html" TargetMode="External"/><Relationship Id="rId4761" Type="http://schemas.openxmlformats.org/officeDocument/2006/relationships/hyperlink" Target="http://www.broadinstitute.org/gsea/msigdb/cards/GSE360_L_MAJOR_VS_B_MALAYI_HIGH_DOSE_MAC_UP.html" TargetMode="External"/><Relationship Id="rId4762" Type="http://schemas.openxmlformats.org/officeDocument/2006/relationships/hyperlink" Target="http://www.broadinstitute.org/gsea/msigdb/cards/GSE360_T_GONDII_VS_B_MALAYI_LOW_DOSE_MAC_DN.html" TargetMode="External"/><Relationship Id="rId4763" Type="http://schemas.openxmlformats.org/officeDocument/2006/relationships/hyperlink" Target="http://www.broadinstitute.org/gsea/msigdb/cards/GSE36392_TYPE_2_MYELOID_VS_NEUTROPHIL_IL25_TREATED_LUNG_DN.html" TargetMode="External"/><Relationship Id="rId4764" Type="http://schemas.openxmlformats.org/officeDocument/2006/relationships/hyperlink" Target="http://www.broadinstitute.org/gsea/msigdb/cards/GSE36476_CTRL_VS_TSST_ACT_72H_MEMORY_CD4_TCELL_OLD_UP.html" TargetMode="External"/><Relationship Id="rId4765" Type="http://schemas.openxmlformats.org/officeDocument/2006/relationships/hyperlink" Target="http://www.broadinstitute.org/gsea/msigdb/cards/GSE36476_YOUNG_VS_OLD_DONOR_MEMORY_CD4_TCELL_40H_TSST_ACT_DN.html" TargetMode="External"/><Relationship Id="rId4766" Type="http://schemas.openxmlformats.org/officeDocument/2006/relationships/hyperlink" Target="http://www.broadinstitute.org/gsea/msigdb/cards/GSE37416_0H_VS_3H_F_TULARENSIS_LVS_NEUTROPHIL_DN.html" TargetMode="External"/><Relationship Id="rId4767" Type="http://schemas.openxmlformats.org/officeDocument/2006/relationships/hyperlink" Target="http://www.broadinstitute.org/gsea/msigdb/cards/GSE3982_DC_VS_MAC_LPS_STIM_UP.html" TargetMode="External"/><Relationship Id="rId4768" Type="http://schemas.openxmlformats.org/officeDocument/2006/relationships/hyperlink" Target="http://www.broadinstitute.org/gsea/msigdb/cards/GSE3982_MAC_VS_NEUTROPHIL_LPS_STIM_DN.html" TargetMode="External"/><Relationship Id="rId4769" Type="http://schemas.openxmlformats.org/officeDocument/2006/relationships/hyperlink" Target="http://www.broadinstitute.org/gsea/msigdb/cards/GSE3982_EOSINOPHIL_VS_TH1_UP.html" TargetMode="External"/><Relationship Id="rId5120" Type="http://schemas.openxmlformats.org/officeDocument/2006/relationships/hyperlink" Target="http://www.broadinstitute.org/gsea/msigdb/cards/GSE3982_MAC_VS_EFF_MEMORY_CD4_TCELL_DN.html" TargetMode="External"/><Relationship Id="rId5121" Type="http://schemas.openxmlformats.org/officeDocument/2006/relationships/hyperlink" Target="http://www.broadinstitute.org/gsea/msigdb/cards/GSE3982_NEUTROPHIL_VS_BCELL_DN.html" TargetMode="External"/><Relationship Id="rId5122" Type="http://schemas.openxmlformats.org/officeDocument/2006/relationships/hyperlink" Target="http://www.broadinstitute.org/gsea/msigdb/cards/GSE3982_NEUTROPHIL_VS_BASOPHIL_UP.html" TargetMode="External"/><Relationship Id="rId5123" Type="http://schemas.openxmlformats.org/officeDocument/2006/relationships/hyperlink" Target="http://www.broadinstitute.org/gsea/msigdb/cards/GSE3982_BASOPHIL_VS_EFF_MEMORY_CD4_TCELL_DN.html" TargetMode="External"/><Relationship Id="rId5124" Type="http://schemas.openxmlformats.org/officeDocument/2006/relationships/hyperlink" Target="http://www.broadinstitute.org/gsea/msigdb/cards/GSE3982_BASOPHIL_VS_TH2_DN.html" TargetMode="External"/><Relationship Id="rId5125" Type="http://schemas.openxmlformats.org/officeDocument/2006/relationships/hyperlink" Target="http://www.broadinstitute.org/gsea/msigdb/cards/GSE3982_NKCELL_VS_TH2_DN.html" TargetMode="External"/><Relationship Id="rId5126" Type="http://schemas.openxmlformats.org/officeDocument/2006/relationships/hyperlink" Target="http://www.broadinstitute.org/gsea/msigdb/cards/GSE39820_CTRL_VS_TGFBETA1_IL6_CD4_TCELL_DN.html" TargetMode="External"/><Relationship Id="rId5127" Type="http://schemas.openxmlformats.org/officeDocument/2006/relationships/hyperlink" Target="http://www.broadinstitute.org/gsea/msigdb/cards/GSE39820_CTRL_VS_TGFBETA3_IL6_IL23A_CD4_TCELL_DN.html" TargetMode="External"/><Relationship Id="rId5128" Type="http://schemas.openxmlformats.org/officeDocument/2006/relationships/hyperlink" Target="http://www.broadinstitute.org/gsea/msigdb/cards/GSE6566_STRONG_VS_WEAK_DC_STIMULATED_CD4_TCELL_UP.html" TargetMode="External"/><Relationship Id="rId5129" Type="http://schemas.openxmlformats.org/officeDocument/2006/relationships/hyperlink" Target="http://www.broadinstitute.org/gsea/msigdb/cards/GSE7460_CTRL_VS_TGFB_TREATED_ACT_FOXP3_HET_TCONV_UP.html" TargetMode="External"/><Relationship Id="rId3670" Type="http://schemas.openxmlformats.org/officeDocument/2006/relationships/hyperlink" Target="http://www.broadinstitute.org/gsea/msigdb/cards/GSE17974_0H_VS_1H_IN_VITRO_ACT_CD4_TCELL_UP.html" TargetMode="External"/><Relationship Id="rId3671" Type="http://schemas.openxmlformats.org/officeDocument/2006/relationships/hyperlink" Target="http://www.broadinstitute.org/gsea/msigdb/cards/GSE17974_0H_VS_24H_IN_VITRO_ACT_CD4_TCELL_UP.html" TargetMode="External"/><Relationship Id="rId3672" Type="http://schemas.openxmlformats.org/officeDocument/2006/relationships/hyperlink" Target="http://www.broadinstitute.org/gsea/msigdb/cards/GSE17974_0H_VS_48H_IN_VITRO_ACT_CD4_TCELL_UP.html" TargetMode="External"/><Relationship Id="rId3673" Type="http://schemas.openxmlformats.org/officeDocument/2006/relationships/hyperlink" Target="http://www.broadinstitute.org/gsea/msigdb/cards/GSE17974_IL4_AND_ANTI_IL12_VS_UNTREATED_2H_ACT_CD4_TCELL_UP.html" TargetMode="External"/><Relationship Id="rId3674" Type="http://schemas.openxmlformats.org/officeDocument/2006/relationships/hyperlink" Target="http://www.broadinstitute.org/gsea/msigdb/cards/GSE18791_CTRL_VS_NEWCASTLE_VIRUS_DC_4H_DN.html" TargetMode="External"/><Relationship Id="rId3675" Type="http://schemas.openxmlformats.org/officeDocument/2006/relationships/hyperlink" Target="http://www.broadinstitute.org/gsea/msigdb/cards/GSE20366_CD103_POS_VS_NEG_TREG_KLRG1NEG_DN.html" TargetMode="External"/><Relationship Id="rId3676" Type="http://schemas.openxmlformats.org/officeDocument/2006/relationships/hyperlink" Target="http://www.broadinstitute.org/gsea/msigdb/cards/GSE20715_WT_VS_TLR4_KO_LUNG_UP.html" TargetMode="External"/><Relationship Id="rId3677" Type="http://schemas.openxmlformats.org/officeDocument/2006/relationships/hyperlink" Target="http://www.broadinstitute.org/gsea/msigdb/cards/GSE2197_CPG_DNA_VS_UNTREATED_IN_DC_UP.html" TargetMode="External"/><Relationship Id="rId3678" Type="http://schemas.openxmlformats.org/officeDocument/2006/relationships/hyperlink" Target="http://www.broadinstitute.org/gsea/msigdb/cards/GSE22886_CD8_VS_CD4_NAIVE_TCELL_UP.html" TargetMode="External"/><Relationship Id="rId3679" Type="http://schemas.openxmlformats.org/officeDocument/2006/relationships/hyperlink" Target="http://www.broadinstitute.org/gsea/msigdb/cards/GSE22886_NAIVE_TCELL_VS_NKCELL_DN.html" TargetMode="External"/><Relationship Id="rId970" Type="http://schemas.openxmlformats.org/officeDocument/2006/relationships/hyperlink" Target="http://www.broadinstitute.org/gsea/msigdb/cards/MODULE_143.html" TargetMode="External"/></Relationships>
</file>

<file path=xl/worksheets/_rels/sheet4.xml.rels><?xml version="1.0" encoding="UTF-8" standalone="yes"?>
<Relationships xmlns="http://schemas.openxmlformats.org/package/2006/relationships"><Relationship Id="rId101" Type="http://schemas.openxmlformats.org/officeDocument/2006/relationships/hyperlink" Target="http://www.broadinstitute.org/gsea/msigdb/cards/GSE16385_MONOCYTE_VS_12H_IL4_TREATED_MACROPHAGE_UP.html" TargetMode="External"/><Relationship Id="rId102" Type="http://schemas.openxmlformats.org/officeDocument/2006/relationships/hyperlink" Target="http://www.broadinstitute.org/gsea/msigdb/cards/GSE17301_ACD3_ACD28_VS_ACD3_ACD28_AND_IFNA5_STIM_CD8_TCELL_DN.html" TargetMode="External"/><Relationship Id="rId103" Type="http://schemas.openxmlformats.org/officeDocument/2006/relationships/hyperlink" Target="http://www.broadinstitute.org/gsea/msigdb/cards/GSE24972_MARGINAL_ZONE_BCELL_VS_FOLLICULAR_BCELL_DN.html" TargetMode="External"/><Relationship Id="rId104" Type="http://schemas.openxmlformats.org/officeDocument/2006/relationships/hyperlink" Target="http://www.broadinstitute.org/gsea/msigdb/cards/GSE28726_NAIVE_CD4_TCELL_VS_NAIVE_VA24NEG_NKTCELL_DN.html" TargetMode="External"/><Relationship Id="rId105" Type="http://schemas.openxmlformats.org/officeDocument/2006/relationships/hyperlink" Target="http://www.broadinstitute.org/gsea/msigdb/cards/GSE22025_UNTREATED_VS_PROGESTERONE_TREATED_CD4_TCELL_UP.html" TargetMode="External"/><Relationship Id="rId106" Type="http://schemas.openxmlformats.org/officeDocument/2006/relationships/hyperlink" Target="http://www.broadinstitute.org/gsea/msigdb/cards/GSE29949_MICROGLIA_BRAIN_VS_MONOCYTE_BONE_MARROW_DN.html" TargetMode="External"/><Relationship Id="rId107" Type="http://schemas.openxmlformats.org/officeDocument/2006/relationships/hyperlink" Target="http://www.broadinstitute.org/gsea/msigdb/cards/GSE20727_CTRL_VS_ROS_INHIBITOR_TREATED_DC_DN.html" TargetMode="External"/><Relationship Id="rId1" Type="http://schemas.openxmlformats.org/officeDocument/2006/relationships/hyperlink" Target="http://www.broadinstitute.org/gsea/msigdb/cards/SHEDDEN_LUNG_CANCER_GOOD_SURVIVAL_A12.html" TargetMode="External"/><Relationship Id="rId2" Type="http://schemas.openxmlformats.org/officeDocument/2006/relationships/hyperlink" Target="http://www.broadinstitute.org/gsea/msigdb/cards/VECCHI_GASTRIC_CANCER_EARLY_DN.html" TargetMode="External"/><Relationship Id="rId3" Type="http://schemas.openxmlformats.org/officeDocument/2006/relationships/hyperlink" Target="http://www.broadinstitute.org/gsea/msigdb/cards/BASSO_CD40_SIGNALING_DN.html" TargetMode="External"/><Relationship Id="rId4" Type="http://schemas.openxmlformats.org/officeDocument/2006/relationships/hyperlink" Target="http://www.broadinstitute.org/gsea/msigdb/cards/FARMER_BREAST_CANCER_CLUSTER_1.html" TargetMode="External"/><Relationship Id="rId5" Type="http://schemas.openxmlformats.org/officeDocument/2006/relationships/hyperlink" Target="http://www.broadinstitute.org/gsea/msigdb/cards/MCLACHLAN_DENTAL_CARIES_UP.html" TargetMode="External"/><Relationship Id="rId6" Type="http://schemas.openxmlformats.org/officeDocument/2006/relationships/hyperlink" Target="http://www.broadinstitute.org/gsea/msigdb/cards/HELLER_HDAC_TARGETS_SILENCED_BY_METHYLATION_DN.html" TargetMode="External"/><Relationship Id="rId7" Type="http://schemas.openxmlformats.org/officeDocument/2006/relationships/hyperlink" Target="http://www.broadinstitute.org/gsea/msigdb/cards/SMID_BREAST_CANCER_NORMAL_LIKE_UP.html" TargetMode="External"/><Relationship Id="rId8" Type="http://schemas.openxmlformats.org/officeDocument/2006/relationships/hyperlink" Target="http://www.broadinstitute.org/gsea/msigdb/cards/HADDAD_B_LYMPHOCYTE_PROGENITOR.html" TargetMode="External"/><Relationship Id="rId9" Type="http://schemas.openxmlformats.org/officeDocument/2006/relationships/hyperlink" Target="http://www.broadinstitute.org/gsea/msigdb/cards/SHAFFER_IRF4_MULTIPLE_MYELOMA_PROGRAM.html" TargetMode="External"/><Relationship Id="rId108" Type="http://schemas.openxmlformats.org/officeDocument/2006/relationships/hyperlink" Target="http://www.broadinstitute.org/gsea/msigdb/cards/GSE28737_WT_VS_BCL6_KO_FOLLICULAR_BCELL_UP.html" TargetMode="External"/><Relationship Id="rId109" Type="http://schemas.openxmlformats.org/officeDocument/2006/relationships/hyperlink" Target="http://www.broadinstitute.org/gsea/msigdb/cards/GSE11961_PLASMA_CELL_DAY7_VS_MEMORY_BCELL_DAY40_DN.html" TargetMode="External"/><Relationship Id="rId10" Type="http://schemas.openxmlformats.org/officeDocument/2006/relationships/hyperlink" Target="http://www.broadinstitute.org/gsea/msigdb/cards/SMID_BREAST_CANCER_LUMINAL_B_DN.html" TargetMode="External"/><Relationship Id="rId11" Type="http://schemas.openxmlformats.org/officeDocument/2006/relationships/hyperlink" Target="http://www.broadinstitute.org/gsea/msigdb/cards/ZHAN_MULTIPLE_MYELOMA_CD2_UP.html" TargetMode="External"/><Relationship Id="rId12" Type="http://schemas.openxmlformats.org/officeDocument/2006/relationships/hyperlink" Target="http://www.broadinstitute.org/gsea/msigdb/cards/KUMAR_TARGETS_OF_MLL_AF9_FUSION.html" TargetMode="External"/><Relationship Id="rId13" Type="http://schemas.openxmlformats.org/officeDocument/2006/relationships/hyperlink" Target="http://www.broadinstitute.org/gsea/msigdb/cards/SHAFFER_IRF4_TARGETS_IN_PLASMA_CELL_VS_MATURE_B_LYMPHOCYTE.html" TargetMode="External"/><Relationship Id="rId14" Type="http://schemas.openxmlformats.org/officeDocument/2006/relationships/hyperlink" Target="http://www.broadinstitute.org/gsea/msigdb/cards/PUJANA_BRCA1_PCC_NETWORK.html" TargetMode="External"/><Relationship Id="rId15" Type="http://schemas.openxmlformats.org/officeDocument/2006/relationships/hyperlink" Target="http://www.broadinstitute.org/gsea/msigdb/cards/BORCZUK_MALIGNANT_MESOTHELIOMA_DN.html" TargetMode="External"/><Relationship Id="rId16" Type="http://schemas.openxmlformats.org/officeDocument/2006/relationships/hyperlink" Target="http://www.broadinstitute.org/gsea/msigdb/cards/EHRLICH_ICF_SYNDROM_DN.html" TargetMode="External"/><Relationship Id="rId17" Type="http://schemas.openxmlformats.org/officeDocument/2006/relationships/hyperlink" Target="http://www.broadinstitute.org/gsea/msigdb/cards/HELLER_SILENCED_BY_METHYLATION_DN.html" TargetMode="External"/><Relationship Id="rId18" Type="http://schemas.openxmlformats.org/officeDocument/2006/relationships/hyperlink" Target="http://www.broadinstitute.org/gsea/msigdb/cards/HELLER_HDAC_TARGETS_DN.html" TargetMode="External"/><Relationship Id="rId19" Type="http://schemas.openxmlformats.org/officeDocument/2006/relationships/hyperlink" Target="http://www.broadinstitute.org/gsea/msigdb/cards/SHAFFER_IRF4_TARGETS_IN_MYELOMA_VS_MATURE_B_LYMPHOCYTE.html" TargetMode="External"/><Relationship Id="rId30" Type="http://schemas.openxmlformats.org/officeDocument/2006/relationships/hyperlink" Target="http://www.broadinstitute.org/gsea/msigdb/cards/MODULE_436.html" TargetMode="External"/><Relationship Id="rId31" Type="http://schemas.openxmlformats.org/officeDocument/2006/relationships/hyperlink" Target="http://www.broadinstitute.org/gsea/msigdb/cards/GO_ADAPTIVE_IMMUNE_RESPONSE.html" TargetMode="External"/><Relationship Id="rId32" Type="http://schemas.openxmlformats.org/officeDocument/2006/relationships/hyperlink" Target="http://www.broadinstitute.org/gsea/msigdb/cards/GO_IMMUNOGLOBULIN_COMPLEX.html" TargetMode="External"/><Relationship Id="rId33" Type="http://schemas.openxmlformats.org/officeDocument/2006/relationships/hyperlink" Target="http://www.broadinstitute.org/gsea/msigdb/cards/GO_IMMUNE_SYSTEM_PROCESS.html" TargetMode="External"/><Relationship Id="rId34" Type="http://schemas.openxmlformats.org/officeDocument/2006/relationships/hyperlink" Target="http://www.broadinstitute.org/gsea/msigdb/cards/GO_IMMUNE_RESPONSE.html" TargetMode="External"/><Relationship Id="rId35" Type="http://schemas.openxmlformats.org/officeDocument/2006/relationships/hyperlink" Target="http://www.broadinstitute.org/gsea/msigdb/cards/GO_IMMUNOGLOBULIN_RECEPTOR_BINDING.html" TargetMode="External"/><Relationship Id="rId36" Type="http://schemas.openxmlformats.org/officeDocument/2006/relationships/hyperlink" Target="http://www.broadinstitute.org/gsea/msigdb/cards/GO_REGULATION_OF_B_CELL_ACTIVATION.html" TargetMode="External"/><Relationship Id="rId37" Type="http://schemas.openxmlformats.org/officeDocument/2006/relationships/hyperlink" Target="http://www.broadinstitute.org/gsea/msigdb/cards/GO_POSITIVE_REGULATION_OF_IMMUNE_SYSTEM_PROCESS.html" TargetMode="External"/><Relationship Id="rId38" Type="http://schemas.openxmlformats.org/officeDocument/2006/relationships/hyperlink" Target="http://www.broadinstitute.org/gsea/msigdb/cards/GO_IMMUNE_RESPONSE_REGULATING_CELL_SURFACE_RECEPTOR_SIGNALING_PATHWAY.html" TargetMode="External"/><Relationship Id="rId39" Type="http://schemas.openxmlformats.org/officeDocument/2006/relationships/hyperlink" Target="http://www.broadinstitute.org/gsea/msigdb/cards/GO_REGULATION_OF_IMMUNE_SYSTEM_PROCESS.html" TargetMode="External"/><Relationship Id="rId50" Type="http://schemas.openxmlformats.org/officeDocument/2006/relationships/hyperlink" Target="http://www.broadinstitute.org/gsea/msigdb/cards/GO_POSITIVE_REGULATION_OF_IMMUNE_RESPONSE.html" TargetMode="External"/><Relationship Id="rId51" Type="http://schemas.openxmlformats.org/officeDocument/2006/relationships/hyperlink" Target="http://www.broadinstitute.org/gsea/msigdb/cards/GO_POSITIVE_REGULATION_OF_RESPONSE_TO_STIMULUS.html" TargetMode="External"/><Relationship Id="rId52" Type="http://schemas.openxmlformats.org/officeDocument/2006/relationships/hyperlink" Target="http://www.broadinstitute.org/gsea/msigdb/cards/GO_ANTIGEN_BINDING.html" TargetMode="External"/><Relationship Id="rId53" Type="http://schemas.openxmlformats.org/officeDocument/2006/relationships/hyperlink" Target="http://www.broadinstitute.org/gsea/msigdb/cards/GSE29614_DAY3_VS_DAY7_TIV_FLU_VACCINE_PBMC_DN.html" TargetMode="External"/><Relationship Id="rId54" Type="http://schemas.openxmlformats.org/officeDocument/2006/relationships/hyperlink" Target="http://www.broadinstitute.org/gsea/msigdb/cards/GSE4984_UNTREATED_VS_GALECTIN1_TREATED_DC_DN.html" TargetMode="External"/><Relationship Id="rId55" Type="http://schemas.openxmlformats.org/officeDocument/2006/relationships/hyperlink" Target="http://www.broadinstitute.org/gsea/msigdb/cards/GSE10325_BCELL_VS_MYELOID_UP.html" TargetMode="External"/><Relationship Id="rId56" Type="http://schemas.openxmlformats.org/officeDocument/2006/relationships/hyperlink" Target="http://www.broadinstitute.org/gsea/msigdb/cards/GSE4748_CYANOBACTERIUM_LPSLIKE_VS_LPS_AND_CYANOBACTERIUM_LPSLIKE_STIM_DC_3H_UP.html" TargetMode="External"/><Relationship Id="rId57" Type="http://schemas.openxmlformats.org/officeDocument/2006/relationships/hyperlink" Target="http://www.broadinstitute.org/gsea/msigdb/cards/GSE10325_LUPUS_CD4_TCELL_VS_LUPUS_BCELL_DN.html" TargetMode="External"/><Relationship Id="rId58" Type="http://schemas.openxmlformats.org/officeDocument/2006/relationships/hyperlink" Target="http://www.broadinstitute.org/gsea/msigdb/cards/GSE29618_BCELL_VS_MDC_DAY7_FLU_VACCINE_UP.html" TargetMode="External"/><Relationship Id="rId59" Type="http://schemas.openxmlformats.org/officeDocument/2006/relationships/hyperlink" Target="http://www.broadinstitute.org/gsea/msigdb/cards/GSE10325_CD4_TCELL_VS_BCELL_DN.html" TargetMode="External"/><Relationship Id="rId70" Type="http://schemas.openxmlformats.org/officeDocument/2006/relationships/hyperlink" Target="http://www.broadinstitute.org/gsea/msigdb/cards/GSE29617_DAY3_VS_DAY7_TIV_FLU_VACCINE_PBMC_2008_DN.html" TargetMode="External"/><Relationship Id="rId71" Type="http://schemas.openxmlformats.org/officeDocument/2006/relationships/hyperlink" Target="http://www.broadinstitute.org/gsea/msigdb/cards/GSE29618_BCELL_VS_MDC_UP.html" TargetMode="External"/><Relationship Id="rId72" Type="http://schemas.openxmlformats.org/officeDocument/2006/relationships/hyperlink" Target="http://www.broadinstitute.org/gsea/msigdb/cards/GSE29618_BCELL_VS_MONOCYTE_DAY7_FLU_VACCINE_UP.html" TargetMode="External"/><Relationship Id="rId73" Type="http://schemas.openxmlformats.org/officeDocument/2006/relationships/hyperlink" Target="http://www.broadinstitute.org/gsea/msigdb/cards/GSE21379_WT_VS_SAP_KO_CD4_TCELL_DN.html" TargetMode="External"/><Relationship Id="rId74" Type="http://schemas.openxmlformats.org/officeDocument/2006/relationships/hyperlink" Target="http://www.broadinstitute.org/gsea/msigdb/cards/GSE41867_DAY6_VS_DAY8_LCMV_ARMSTRONG_EFFECTOR_CD8_TCELL_UP.html" TargetMode="External"/><Relationship Id="rId75" Type="http://schemas.openxmlformats.org/officeDocument/2006/relationships/hyperlink" Target="http://www.broadinstitute.org/gsea/msigdb/cards/GSE10094_LCMV_VS_LISTERIA_IND_EFF_CD4_TCELL_DN.html" TargetMode="External"/><Relationship Id="rId76" Type="http://schemas.openxmlformats.org/officeDocument/2006/relationships/hyperlink" Target="http://www.broadinstitute.org/gsea/msigdb/cards/GSE13411_NAIVE_VS_IGM_MEMORY_BCELL_DN.html" TargetMode="External"/><Relationship Id="rId77" Type="http://schemas.openxmlformats.org/officeDocument/2006/relationships/hyperlink" Target="http://www.broadinstitute.org/gsea/msigdb/cards/GSE13411_NAIVE_VS_MEMORY_BCELL_DN.html" TargetMode="External"/><Relationship Id="rId78" Type="http://schemas.openxmlformats.org/officeDocument/2006/relationships/hyperlink" Target="http://www.broadinstitute.org/gsea/msigdb/cards/GSE13411_IGM_MEMORY_BCELL_VS_PLASMA_CELL_DN.html" TargetMode="External"/><Relationship Id="rId79" Type="http://schemas.openxmlformats.org/officeDocument/2006/relationships/hyperlink" Target="http://www.broadinstitute.org/gsea/msigdb/cards/GSE13493_DP_VS_CD4INTCD8POS_THYMOCYTE_DN.html" TargetMode="External"/><Relationship Id="rId110" Type="http://schemas.openxmlformats.org/officeDocument/2006/relationships/hyperlink" Target="http://www.broadinstitute.org/gsea/msigdb/cards/GSE43863_DAY6_EFF_VS_DAY150_MEM_LY6C_INT_CXCR5POS_CD4_TCELL_DN.html" TargetMode="External"/><Relationship Id="rId90" Type="http://schemas.openxmlformats.org/officeDocument/2006/relationships/hyperlink" Target="http://www.broadinstitute.org/gsea/msigdb/cards/GSE7460_TREG_VS_TCONV_ACT_DN.html" TargetMode="External"/><Relationship Id="rId91" Type="http://schemas.openxmlformats.org/officeDocument/2006/relationships/hyperlink" Target="http://www.broadinstitute.org/gsea/msigdb/cards/GSE3039_NKT_CELL_VS_B2_BCELL_UP.html" TargetMode="External"/><Relationship Id="rId92" Type="http://schemas.openxmlformats.org/officeDocument/2006/relationships/hyperlink" Target="http://www.broadinstitute.org/gsea/msigdb/cards/GSE3039_B2_VS_B1_BCELL_UP.html" TargetMode="External"/><Relationship Id="rId93" Type="http://schemas.openxmlformats.org/officeDocument/2006/relationships/hyperlink" Target="http://www.broadinstitute.org/gsea/msigdb/cards/GSE5099_DAY3_VS_DAY7_MCSF_TREATED_MACROPHAGE_UP.html" TargetMode="External"/><Relationship Id="rId94" Type="http://schemas.openxmlformats.org/officeDocument/2006/relationships/hyperlink" Target="http://www.broadinstitute.org/gsea/msigdb/cards/GSE9509_10MIN_VS_30MIN_LPS_STIM_IL10_KO_MACROPHAGE_DN.html" TargetMode="External"/><Relationship Id="rId95" Type="http://schemas.openxmlformats.org/officeDocument/2006/relationships/hyperlink" Target="http://www.broadinstitute.org/gsea/msigdb/cards/GSE10240_IL17_VS_IL17_AND_IL22_STIM_PRIMARY_BRONCHIAL_EPITHELIAL_CELLS_DN.html" TargetMode="External"/><Relationship Id="rId96" Type="http://schemas.openxmlformats.org/officeDocument/2006/relationships/hyperlink" Target="http://www.broadinstitute.org/gsea/msigdb/cards/GSE13547_WT_VS_ZFX_KO_BCELL_UP.html" TargetMode="External"/><Relationship Id="rId97" Type="http://schemas.openxmlformats.org/officeDocument/2006/relationships/hyperlink" Target="http://www.broadinstitute.org/gsea/msigdb/cards/GSE13547_CTRL_VS_ANTI_IGM_STIM_ZFX_KO_BCELL_2H_UP.html" TargetMode="External"/><Relationship Id="rId98" Type="http://schemas.openxmlformats.org/officeDocument/2006/relationships/hyperlink" Target="http://www.broadinstitute.org/gsea/msigdb/cards/GSE16266_LPS_VS_HEATSHOCK_AND_LPS_STIM_MEF_UP.html" TargetMode="External"/><Relationship Id="rId99" Type="http://schemas.openxmlformats.org/officeDocument/2006/relationships/hyperlink" Target="http://www.broadinstitute.org/gsea/msigdb/cards/GSE21360_NAIVE_VS_SECONDARY_MEMORY_CD8_TCELL_UP.html" TargetMode="External"/><Relationship Id="rId111" Type="http://schemas.openxmlformats.org/officeDocument/2006/relationships/hyperlink" Target="http://www.broadinstitute.org/gsea/msigdb/cards/GSE43863_TH1_VS_TFH_EFFECTOR_CD4_TCELL_DN.html" TargetMode="External"/><Relationship Id="rId112" Type="http://schemas.openxmlformats.org/officeDocument/2006/relationships/hyperlink" Target="http://www.broadinstitute.org/gsea/msigdb/cards/GSE45881_CXCR6HI_VS_CXCR1LO_COLONIC_LAMINA_PROPRIA_DN.html" TargetMode="External"/><Relationship Id="rId20" Type="http://schemas.openxmlformats.org/officeDocument/2006/relationships/hyperlink" Target="http://www.broadinstitute.org/gsea/msigdb/cards/WALLACE_PROSTATE_CANCER_RACE_UP.html" TargetMode="External"/><Relationship Id="rId21" Type="http://schemas.openxmlformats.org/officeDocument/2006/relationships/hyperlink" Target="http://www.broadinstitute.org/gsea/msigdb/cards/SANSOM_APC_TARGETS_DN.html" TargetMode="External"/><Relationship Id="rId22" Type="http://schemas.openxmlformats.org/officeDocument/2006/relationships/hyperlink" Target="http://www.broadinstitute.org/gsea/msigdb/cards/BROCKE_APOPTOSIS_REVERSED_BY_IL6.html" TargetMode="External"/><Relationship Id="rId23" Type="http://schemas.openxmlformats.org/officeDocument/2006/relationships/hyperlink" Target="http://www.broadinstitute.org/gsea/msigdb/cards/MODULE_27.html" TargetMode="External"/><Relationship Id="rId24" Type="http://schemas.openxmlformats.org/officeDocument/2006/relationships/hyperlink" Target="http://www.broadinstitute.org/gsea/msigdb/cards/MODULE_292.html" TargetMode="External"/><Relationship Id="rId25" Type="http://schemas.openxmlformats.org/officeDocument/2006/relationships/hyperlink" Target="http://www.broadinstitute.org/gsea/msigdb/cards/MODULE_213.html" TargetMode="External"/><Relationship Id="rId26" Type="http://schemas.openxmlformats.org/officeDocument/2006/relationships/hyperlink" Target="http://www.broadinstitute.org/gsea/msigdb/cards/MODULE_84.html" TargetMode="External"/><Relationship Id="rId27" Type="http://schemas.openxmlformats.org/officeDocument/2006/relationships/hyperlink" Target="http://www.broadinstitute.org/gsea/msigdb/cards/MODULE_45.html" TargetMode="External"/><Relationship Id="rId28" Type="http://schemas.openxmlformats.org/officeDocument/2006/relationships/hyperlink" Target="http://www.broadinstitute.org/gsea/msigdb/cards/MODULE_44.html" TargetMode="External"/><Relationship Id="rId29" Type="http://schemas.openxmlformats.org/officeDocument/2006/relationships/hyperlink" Target="http://www.broadinstitute.org/gsea/msigdb/cards/MODULE_345.html" TargetMode="External"/><Relationship Id="rId40" Type="http://schemas.openxmlformats.org/officeDocument/2006/relationships/hyperlink" Target="http://www.broadinstitute.org/gsea/msigdb/cards/GO_B_CELL_RECEPTOR_SIGNALING_PATHWAY.html" TargetMode="External"/><Relationship Id="rId41" Type="http://schemas.openxmlformats.org/officeDocument/2006/relationships/hyperlink" Target="http://www.broadinstitute.org/gsea/msigdb/cards/GO_HUMORAL_IMMUNE_RESPONSE.html" TargetMode="External"/><Relationship Id="rId42" Type="http://schemas.openxmlformats.org/officeDocument/2006/relationships/hyperlink" Target="http://www.broadinstitute.org/gsea/msigdb/cards/GO_ANTIGEN_RECEPTOR_MEDIATED_SIGNALING_PATHWAY.html" TargetMode="External"/><Relationship Id="rId43" Type="http://schemas.openxmlformats.org/officeDocument/2006/relationships/hyperlink" Target="http://www.broadinstitute.org/gsea/msigdb/cards/GO_ACTIVATION_OF_IMMUNE_RESPONSE.html" TargetMode="External"/><Relationship Id="rId44" Type="http://schemas.openxmlformats.org/officeDocument/2006/relationships/hyperlink" Target="http://www.broadinstitute.org/gsea/msigdb/cards/GO_SIDE_OF_MEMBRANE.html" TargetMode="External"/><Relationship Id="rId45" Type="http://schemas.openxmlformats.org/officeDocument/2006/relationships/hyperlink" Target="http://www.broadinstitute.org/gsea/msigdb/cards/GO_REGULATION_OF_CELL_ACTIVATION.html" TargetMode="External"/><Relationship Id="rId46" Type="http://schemas.openxmlformats.org/officeDocument/2006/relationships/hyperlink" Target="http://www.broadinstitute.org/gsea/msigdb/cards/GO_EXTERNAL_SIDE_OF_PLASMA_MEMBRANE.html" TargetMode="External"/><Relationship Id="rId47" Type="http://schemas.openxmlformats.org/officeDocument/2006/relationships/hyperlink" Target="http://www.broadinstitute.org/gsea/msigdb/cards/GO_REGULATION_OF_IMMUNE_RESPONSE.html" TargetMode="External"/><Relationship Id="rId48" Type="http://schemas.openxmlformats.org/officeDocument/2006/relationships/hyperlink" Target="http://www.broadinstitute.org/gsea/msigdb/cards/GO_POSITIVE_REGULATION_OF_B_CELL_ACTIVATION.html" TargetMode="External"/><Relationship Id="rId49" Type="http://schemas.openxmlformats.org/officeDocument/2006/relationships/hyperlink" Target="http://www.broadinstitute.org/gsea/msigdb/cards/GO_B_CELL_MEDIATED_IMMUNITY.html" TargetMode="External"/><Relationship Id="rId60" Type="http://schemas.openxmlformats.org/officeDocument/2006/relationships/hyperlink" Target="http://www.broadinstitute.org/gsea/msigdb/cards/GSE10325_LUPUS_BCELL_VS_LUPUS_MYELOID_UP.html" TargetMode="External"/><Relationship Id="rId61" Type="http://schemas.openxmlformats.org/officeDocument/2006/relationships/hyperlink" Target="http://www.broadinstitute.org/gsea/msigdb/cards/GSE29618_BCELL_VS_MONOCYTE_UP.html" TargetMode="External"/><Relationship Id="rId62" Type="http://schemas.openxmlformats.org/officeDocument/2006/relationships/hyperlink" Target="http://www.broadinstitute.org/gsea/msigdb/cards/GSE3982_MEMORY_CD4_TCELL_VS_BCELL_DN.html" TargetMode="External"/><Relationship Id="rId63" Type="http://schemas.openxmlformats.org/officeDocument/2006/relationships/hyperlink" Target="http://www.broadinstitute.org/gsea/msigdb/cards/GSE3039_ALPHAALPHA_VS_ALPHABETA_CD8_TCELL_DN.html" TargetMode="External"/><Relationship Id="rId64" Type="http://schemas.openxmlformats.org/officeDocument/2006/relationships/hyperlink" Target="http://www.broadinstitute.org/gsea/msigdb/cards/GSE13411_PLASMA_CELL_VS_MEMORY_BCELL_UP.html" TargetMode="External"/><Relationship Id="rId65" Type="http://schemas.openxmlformats.org/officeDocument/2006/relationships/hyperlink" Target="http://www.broadinstitute.org/gsea/msigdb/cards/GSE1460_INTRATHYMIC_T_PROGENITOR_VS_CD4_THYMOCYTE_UP.html" TargetMode="External"/><Relationship Id="rId66" Type="http://schemas.openxmlformats.org/officeDocument/2006/relationships/hyperlink" Target="http://www.broadinstitute.org/gsea/msigdb/cards/GSE22886_NAIVE_BCELL_VS_BM_PLASMA_CELL_DN.html" TargetMode="External"/><Relationship Id="rId67" Type="http://schemas.openxmlformats.org/officeDocument/2006/relationships/hyperlink" Target="http://www.broadinstitute.org/gsea/msigdb/cards/GSE22886_NAIVE_BCELL_VS_MONOCYTE_UP.html" TargetMode="External"/><Relationship Id="rId68" Type="http://schemas.openxmlformats.org/officeDocument/2006/relationships/hyperlink" Target="http://www.broadinstitute.org/gsea/msigdb/cards/GSE29614_CTRL_VS_DAY7_TIV_FLU_VACCINE_PBMC_DN.html" TargetMode="External"/><Relationship Id="rId69" Type="http://schemas.openxmlformats.org/officeDocument/2006/relationships/hyperlink" Target="http://www.broadinstitute.org/gsea/msigdb/cards/GSE29617_CTRL_VS_DAY7_TIV_FLU_VACCINE_PBMC_2008_DN.html" TargetMode="External"/><Relationship Id="rId100" Type="http://schemas.openxmlformats.org/officeDocument/2006/relationships/hyperlink" Target="http://www.broadinstitute.org/gsea/msigdb/cards/GSE22432_CDC_VS_COMMON_DC_PROGENITOR_UP.html" TargetMode="External"/><Relationship Id="rId80" Type="http://schemas.openxmlformats.org/officeDocument/2006/relationships/hyperlink" Target="http://www.broadinstitute.org/gsea/msigdb/cards/GSE17721_LPS_VS_PAM3CSK4_1H_BMDC_DN.html" TargetMode="External"/><Relationship Id="rId81" Type="http://schemas.openxmlformats.org/officeDocument/2006/relationships/hyperlink" Target="http://www.broadinstitute.org/gsea/msigdb/cards/GSE17721_LPS_VS_CPG_1H_BMDC_DN.html" TargetMode="External"/><Relationship Id="rId82" Type="http://schemas.openxmlformats.org/officeDocument/2006/relationships/hyperlink" Target="http://www.broadinstitute.org/gsea/msigdb/cards/GSE20366_TREG_VS_TCONV_DN.html" TargetMode="External"/><Relationship Id="rId83" Type="http://schemas.openxmlformats.org/officeDocument/2006/relationships/hyperlink" Target="http://www.broadinstitute.org/gsea/msigdb/cards/GSE22886_NAIVE_VS_IGG_IGA_MEMORY_BCELL_DN.html" TargetMode="External"/><Relationship Id="rId84" Type="http://schemas.openxmlformats.org/officeDocument/2006/relationships/hyperlink" Target="http://www.broadinstitute.org/gsea/msigdb/cards/GSE29618_BCELL_VS_PDC_UP.html" TargetMode="External"/><Relationship Id="rId85" Type="http://schemas.openxmlformats.org/officeDocument/2006/relationships/hyperlink" Target="http://www.broadinstitute.org/gsea/msigdb/cards/GSE29618_BCELL_VS_PDC_DAY7_FLU_VACCINE_UP.html" TargetMode="External"/><Relationship Id="rId86" Type="http://schemas.openxmlformats.org/officeDocument/2006/relationships/hyperlink" Target="http://www.broadinstitute.org/gsea/msigdb/cards/GSE29618_PDC_VS_MDC_DAY7_FLU_VACCINE_UP.html" TargetMode="External"/><Relationship Id="rId87" Type="http://schemas.openxmlformats.org/officeDocument/2006/relationships/hyperlink" Target="http://www.broadinstitute.org/gsea/msigdb/cards/GSE3982_MAC_VS_BCELL_DN.html" TargetMode="External"/><Relationship Id="rId88" Type="http://schemas.openxmlformats.org/officeDocument/2006/relationships/hyperlink" Target="http://www.broadinstitute.org/gsea/msigdb/cards/GSE3982_BCELL_VS_CENT_MEMORY_CD4_TCELL_UP.html" TargetMode="External"/><Relationship Id="rId89" Type="http://schemas.openxmlformats.org/officeDocument/2006/relationships/hyperlink" Target="http://www.broadinstitute.org/gsea/msigdb/cards/GSE3982_BCELL_VS_NKCELL_UP.html" TargetMode="External"/></Relationships>
</file>

<file path=xl/worksheets/_rels/sheet5.xml.rels><?xml version="1.0" encoding="UTF-8" standalone="yes"?>
<Relationships xmlns="http://schemas.openxmlformats.org/package/2006/relationships"><Relationship Id="rId230" Type="http://schemas.openxmlformats.org/officeDocument/2006/relationships/hyperlink" Target="http://www.broadinstitute.org/gsea/msigdb/cards/REACTOME_SIGNALING_BY_NOTCH.html" TargetMode="External"/><Relationship Id="rId231" Type="http://schemas.openxmlformats.org/officeDocument/2006/relationships/hyperlink" Target="http://www.broadinstitute.org/gsea/msigdb/cards/IVANOVA_HEMATOPOIESIS_STEM_CELL_LONG_TERM.html" TargetMode="External"/><Relationship Id="rId232" Type="http://schemas.openxmlformats.org/officeDocument/2006/relationships/hyperlink" Target="http://www.broadinstitute.org/gsea/msigdb/cards/BORCZUK_MALIGNANT_MESOTHELIOMA_UP.html" TargetMode="External"/><Relationship Id="rId233" Type="http://schemas.openxmlformats.org/officeDocument/2006/relationships/hyperlink" Target="http://www.broadinstitute.org/gsea/msigdb/cards/SPIELMAN_LYMPHOBLAST_EUROPEAN_VS_ASIAN_DN.html" TargetMode="External"/><Relationship Id="rId234" Type="http://schemas.openxmlformats.org/officeDocument/2006/relationships/hyperlink" Target="http://www.broadinstitute.org/gsea/msigdb/cards/IVANOV_MUTATED_IN_COLON_CANCER.html" TargetMode="External"/><Relationship Id="rId235" Type="http://schemas.openxmlformats.org/officeDocument/2006/relationships/hyperlink" Target="http://www.broadinstitute.org/gsea/msigdb/cards/REACTOME_HOST_INTERACTIONS_OF_HIV_FACTORS.html" TargetMode="External"/><Relationship Id="rId236" Type="http://schemas.openxmlformats.org/officeDocument/2006/relationships/hyperlink" Target="http://www.broadinstitute.org/gsea/msigdb/cards/FOSTER_TOLERANT_MACROPHAGE_DN.html" TargetMode="External"/><Relationship Id="rId237" Type="http://schemas.openxmlformats.org/officeDocument/2006/relationships/hyperlink" Target="http://www.broadinstitute.org/gsea/msigdb/cards/SCHLOSSER_MYC_TARGETS_REPRESSED_BY_SERUM.html" TargetMode="External"/><Relationship Id="rId238" Type="http://schemas.openxmlformats.org/officeDocument/2006/relationships/hyperlink" Target="http://www.broadinstitute.org/gsea/msigdb/cards/IKEDA_MIR133_TARGETS_UP.html" TargetMode="External"/><Relationship Id="rId239" Type="http://schemas.openxmlformats.org/officeDocument/2006/relationships/hyperlink" Target="http://www.broadinstitute.org/gsea/msigdb/cards/BOYAULT_LIVER_CANCER_SUBCLASS_G3_UP.html" TargetMode="External"/><Relationship Id="rId1170" Type="http://schemas.openxmlformats.org/officeDocument/2006/relationships/hyperlink" Target="http://www.broadinstitute.org/gsea/msigdb/cards/GO_PEPTIDYL_LYSINE_METHYLATION.html" TargetMode="External"/><Relationship Id="rId1171" Type="http://schemas.openxmlformats.org/officeDocument/2006/relationships/hyperlink" Target="http://www.broadinstitute.org/gsea/msigdb/cards/GO_LIGASE_ACTIVITY.html" TargetMode="External"/><Relationship Id="rId2600" Type="http://schemas.openxmlformats.org/officeDocument/2006/relationships/hyperlink" Target="http://www.broadinstitute.org/gsea/msigdb/cards/GSE25088_ROSIGLITAZONE_VS_IL4_AND_ROSIGLITAZONE_STIM_MACROPHAGE_DAY10_UP.html" TargetMode="External"/><Relationship Id="rId2601" Type="http://schemas.openxmlformats.org/officeDocument/2006/relationships/hyperlink" Target="http://www.broadinstitute.org/gsea/msigdb/cards/GSE16385_ROSIGLITAZONE_IFNG_TNF_VS_IL4_STIM_MACROPHAGE_DN.html" TargetMode="External"/><Relationship Id="rId2602" Type="http://schemas.openxmlformats.org/officeDocument/2006/relationships/hyperlink" Target="http://www.broadinstitute.org/gsea/msigdb/cards/GSE24292_WT_VS_PPARG_KO_MACROPHAGE_DN.html" TargetMode="External"/><Relationship Id="rId2603" Type="http://schemas.openxmlformats.org/officeDocument/2006/relationships/hyperlink" Target="http://www.broadinstitute.org/gsea/msigdb/cards/GSE22611_UNSTIM_VS_6H_MDP_STIM_NOD2_TRANSDUCED_HEK293T_CELL_UP.html" TargetMode="External"/><Relationship Id="rId2604" Type="http://schemas.openxmlformats.org/officeDocument/2006/relationships/hyperlink" Target="http://www.broadinstitute.org/gsea/msigdb/cards/GSE26488_HDAC7_KO_VS_VP16_TRANSGENIC_HDAC7_KO_DOUBLE_POSITIVE_THYMOCYTE_UP.html" TargetMode="External"/><Relationship Id="rId2605" Type="http://schemas.openxmlformats.org/officeDocument/2006/relationships/hyperlink" Target="http://www.broadinstitute.org/gsea/msigdb/cards/GSE28726_ACT_CD4_TCELL_VS_ACT_VA24NEG_NKTCELL_DN.html" TargetMode="External"/><Relationship Id="rId2606" Type="http://schemas.openxmlformats.org/officeDocument/2006/relationships/hyperlink" Target="http://www.broadinstitute.org/gsea/msigdb/cards/GSE29949_MICROGLIA_BRAIN_VS_MONOCYTE_BONE_MARROW_DN.html" TargetMode="External"/><Relationship Id="rId2607" Type="http://schemas.openxmlformats.org/officeDocument/2006/relationships/hyperlink" Target="http://www.broadinstitute.org/gsea/msigdb/cards/GSE23321_CD8_STEM_CELL_MEMORY_VS_EFFECTOR_MEMORY_CD8_TCELL_UP.html" TargetMode="External"/><Relationship Id="rId2608" Type="http://schemas.openxmlformats.org/officeDocument/2006/relationships/hyperlink" Target="http://www.broadinstitute.org/gsea/msigdb/cards/GSE23321_CENTRAL_VS_EFFECTOR_MEMORY_CD8_TCELL_UP.html" TargetMode="External"/><Relationship Id="rId2609" Type="http://schemas.openxmlformats.org/officeDocument/2006/relationships/hyperlink" Target="http://www.broadinstitute.org/gsea/msigdb/cards/GSE46468_LUNG_INNATE_LYMPHOID_CELL_VS_SPLEEN_CD4_TCELL_UP.html" TargetMode="External"/><Relationship Id="rId1172" Type="http://schemas.openxmlformats.org/officeDocument/2006/relationships/hyperlink" Target="http://www.broadinstitute.org/gsea/msigdb/cards/GO_METHYLTRANSFERASE_COMPLEX.html" TargetMode="External"/><Relationship Id="rId1173" Type="http://schemas.openxmlformats.org/officeDocument/2006/relationships/hyperlink" Target="http://www.broadinstitute.org/gsea/msigdb/cards/GO_CELLULAR_CATABOLIC_PROCESS.html" TargetMode="External"/><Relationship Id="rId1174" Type="http://schemas.openxmlformats.org/officeDocument/2006/relationships/hyperlink" Target="http://www.broadinstitute.org/gsea/msigdb/cards/GO_CELLULAR_MACROMOLECULAR_COMPLEX_ASSEMBLY.html" TargetMode="External"/><Relationship Id="rId1175" Type="http://schemas.openxmlformats.org/officeDocument/2006/relationships/hyperlink" Target="http://www.broadinstitute.org/gsea/msigdb/cards/GO_MACROMOLECULAR_COMPLEX_ASSEMBLY.html" TargetMode="External"/><Relationship Id="rId1176" Type="http://schemas.openxmlformats.org/officeDocument/2006/relationships/hyperlink" Target="http://www.broadinstitute.org/gsea/msigdb/cards/GO_DOUBLE_STRANDED_DNA_BINDING.html" TargetMode="External"/><Relationship Id="rId1177" Type="http://schemas.openxmlformats.org/officeDocument/2006/relationships/hyperlink" Target="http://www.broadinstitute.org/gsea/msigdb/cards/GO_RNA_LOCALIZATION.html" TargetMode="External"/><Relationship Id="rId1178" Type="http://schemas.openxmlformats.org/officeDocument/2006/relationships/hyperlink" Target="http://www.broadinstitute.org/gsea/msigdb/cards/GO_TRANSFERASE_ACTIVITY_TRANSFERRING_PHOSPHORUS_CONTAINING_GROUPS.html" TargetMode="External"/><Relationship Id="rId1179" Type="http://schemas.openxmlformats.org/officeDocument/2006/relationships/hyperlink" Target="http://www.broadinstitute.org/gsea/msigdb/cards/GO_PEPTIDE_N_ACETYLTRANSFERASE_ACTIVITY.html" TargetMode="External"/><Relationship Id="rId1900" Type="http://schemas.openxmlformats.org/officeDocument/2006/relationships/hyperlink" Target="http://www.broadinstitute.org/gsea/msigdb/cards/GSE34006_A2AR_KO_VS_A2AR_AGONIST_TREATED_TREG_DN.html" TargetMode="External"/><Relationship Id="rId1901" Type="http://schemas.openxmlformats.org/officeDocument/2006/relationships/hyperlink" Target="http://www.broadinstitute.org/gsea/msigdb/cards/GSE20727_H2O2_VS_ROS_INHIBITOR_TREATED_DC_UP.html" TargetMode="External"/><Relationship Id="rId1902" Type="http://schemas.openxmlformats.org/officeDocument/2006/relationships/hyperlink" Target="http://www.broadinstitute.org/gsea/msigdb/cards/GSE41867_NAIVE_VS_DAY15_LCMV_EFFECTOR_CD8_TCELL_DN.html" TargetMode="External"/><Relationship Id="rId1903" Type="http://schemas.openxmlformats.org/officeDocument/2006/relationships/hyperlink" Target="http://www.broadinstitute.org/gsea/msigdb/cards/GSE41867_DAY6_EFFECTOR_VS_DAY30_EXHAUSTED_CD8_TCELL_LCMV_CLONE13_DN.html" TargetMode="External"/><Relationship Id="rId1904" Type="http://schemas.openxmlformats.org/officeDocument/2006/relationships/hyperlink" Target="http://www.broadinstitute.org/gsea/msigdb/cards/GSE41867_NAIVE_VS_DAY15_LCMV_ARMSTRONG_EFFECTOR_CD8_TCELL_DN.html" TargetMode="External"/><Relationship Id="rId1905" Type="http://schemas.openxmlformats.org/officeDocument/2006/relationships/hyperlink" Target="http://www.broadinstitute.org/gsea/msigdb/cards/GSE44649_NAIVE_VS_ACTIVATED_CD8_TCELL_MIR155_KO_DN.html" TargetMode="External"/><Relationship Id="rId1906" Type="http://schemas.openxmlformats.org/officeDocument/2006/relationships/hyperlink" Target="http://www.broadinstitute.org/gsea/msigdb/cards/GSE46606_DAY1_VS_DAY3_CD40L_IL2_IL5_STIMULATED_IRF4MID_BCELL_DN.html" TargetMode="External"/><Relationship Id="rId1907" Type="http://schemas.openxmlformats.org/officeDocument/2006/relationships/hyperlink" Target="http://www.broadinstitute.org/gsea/msigdb/cards/GSE45365_HEALTHY_VS_MCMV_INFECTION_BCELL_IFNAR_KO_UP.html" TargetMode="External"/><Relationship Id="rId1908" Type="http://schemas.openxmlformats.org/officeDocument/2006/relationships/hyperlink" Target="http://www.broadinstitute.org/gsea/msigdb/cards/GSE37534_GW1929_VS_ROSIGLITAZONE_TREATED_CD4_TCELL_PPARG1_FOXP3_TRANSDUCED_DN.html" TargetMode="External"/><Relationship Id="rId1909" Type="http://schemas.openxmlformats.org/officeDocument/2006/relationships/hyperlink" Target="http://www.broadinstitute.org/gsea/msigdb/cards/GSE45365_HEALTHY_VS_MCMV_INFECTION_CD11B_DC_UP.html" TargetMode="External"/><Relationship Id="rId780" Type="http://schemas.openxmlformats.org/officeDocument/2006/relationships/hyperlink" Target="http://www.broadinstitute.org/gsea/msigdb/cards/MEIS1_01.html" TargetMode="External"/><Relationship Id="rId781" Type="http://schemas.openxmlformats.org/officeDocument/2006/relationships/hyperlink" Target="http://www.broadinstitute.org/gsea/msigdb/cards/USF_Q6_01.html" TargetMode="External"/><Relationship Id="rId782" Type="http://schemas.openxmlformats.org/officeDocument/2006/relationships/hyperlink" Target="http://www.broadinstitute.org/gsea/msigdb/cards/TAAYNRNNTCC_UNKNOWN.html" TargetMode="External"/><Relationship Id="rId783" Type="http://schemas.openxmlformats.org/officeDocument/2006/relationships/hyperlink" Target="http://www.broadinstitute.org/gsea/msigdb/cards/RGAGGAARY_PU1_Q6.html" TargetMode="External"/><Relationship Id="rId784" Type="http://schemas.openxmlformats.org/officeDocument/2006/relationships/hyperlink" Target="http://www.broadinstitute.org/gsea/msigdb/cards/CEBPDELTA_Q6.html" TargetMode="External"/><Relationship Id="rId785" Type="http://schemas.openxmlformats.org/officeDocument/2006/relationships/hyperlink" Target="http://www.broadinstitute.org/gsea/msigdb/cards/AP2ALPHA_01.html" TargetMode="External"/><Relationship Id="rId786" Type="http://schemas.openxmlformats.org/officeDocument/2006/relationships/hyperlink" Target="http://www.broadinstitute.org/gsea/msigdb/cards/RORA1_01.html" TargetMode="External"/><Relationship Id="rId787" Type="http://schemas.openxmlformats.org/officeDocument/2006/relationships/hyperlink" Target="http://www.broadinstitute.org/gsea/msigdb/cards/IRF_Q6.html" TargetMode="External"/><Relationship Id="rId788" Type="http://schemas.openxmlformats.org/officeDocument/2006/relationships/hyperlink" Target="http://www.broadinstitute.org/gsea/msigdb/cards/GR_Q6_01.html" TargetMode="External"/><Relationship Id="rId789" Type="http://schemas.openxmlformats.org/officeDocument/2006/relationships/hyperlink" Target="http://www.broadinstitute.org/gsea/msigdb/cards/GTCAGGA_MIR378.html" TargetMode="External"/><Relationship Id="rId240" Type="http://schemas.openxmlformats.org/officeDocument/2006/relationships/hyperlink" Target="http://www.broadinstitute.org/gsea/msigdb/cards/REACTOME_REGULATION_OF_GLUCOKINASE_BY_GLUCOKINASE_REGULATORY_PROTEIN.html" TargetMode="External"/><Relationship Id="rId241" Type="http://schemas.openxmlformats.org/officeDocument/2006/relationships/hyperlink" Target="http://www.broadinstitute.org/gsea/msigdb/cards/BENPORATH_ES_1.html" TargetMode="External"/><Relationship Id="rId242" Type="http://schemas.openxmlformats.org/officeDocument/2006/relationships/hyperlink" Target="http://www.broadinstitute.org/gsea/msigdb/cards/NGUYEN_NOTCH1_TARGETS_DN.html" TargetMode="External"/><Relationship Id="rId243" Type="http://schemas.openxmlformats.org/officeDocument/2006/relationships/hyperlink" Target="http://www.broadinstitute.org/gsea/msigdb/cards/LI_WILMS_TUMOR_VS_FETAL_KIDNEY_1_DN.html" TargetMode="External"/><Relationship Id="rId244" Type="http://schemas.openxmlformats.org/officeDocument/2006/relationships/hyperlink" Target="http://www.broadinstitute.org/gsea/msigdb/cards/SCHAEFFER_SOX9_TARGETS_IN_PROSTATE_DEVELOPMENT_DN.html" TargetMode="External"/><Relationship Id="rId245" Type="http://schemas.openxmlformats.org/officeDocument/2006/relationships/hyperlink" Target="http://www.broadinstitute.org/gsea/msigdb/cards/ABRAMSON_INTERACT_WITH_AIRE.html" TargetMode="External"/><Relationship Id="rId246" Type="http://schemas.openxmlformats.org/officeDocument/2006/relationships/hyperlink" Target="http://www.broadinstitute.org/gsea/msigdb/cards/PID_HDAC_CLASSI_PATHWAY.html" TargetMode="External"/><Relationship Id="rId247" Type="http://schemas.openxmlformats.org/officeDocument/2006/relationships/hyperlink" Target="http://www.broadinstitute.org/gsea/msigdb/cards/LOPEZ_MBD_TARGETS.html" TargetMode="External"/><Relationship Id="rId248" Type="http://schemas.openxmlformats.org/officeDocument/2006/relationships/hyperlink" Target="http://www.broadinstitute.org/gsea/msigdb/cards/YAGI_AML_WITH_INV_16_TRANSLOCATION.html" TargetMode="External"/><Relationship Id="rId249" Type="http://schemas.openxmlformats.org/officeDocument/2006/relationships/hyperlink" Target="http://www.broadinstitute.org/gsea/msigdb/cards/BOYLAN_MULTIPLE_MYELOMA_C_D_UP.html" TargetMode="External"/><Relationship Id="rId1180" Type="http://schemas.openxmlformats.org/officeDocument/2006/relationships/hyperlink" Target="http://www.broadinstitute.org/gsea/msigdb/cards/GO_NEGATIVE_REGULATION_OF_CELLULAR_AMIDE_METABOLIC_PROCESS.html" TargetMode="External"/><Relationship Id="rId1181" Type="http://schemas.openxmlformats.org/officeDocument/2006/relationships/hyperlink" Target="http://www.broadinstitute.org/gsea/msigdb/cards/GO_ATPASE_ACTIVITY.html" TargetMode="External"/><Relationship Id="rId2610" Type="http://schemas.openxmlformats.org/officeDocument/2006/relationships/hyperlink" Target="http://www.broadinstitute.org/gsea/msigdb/cards/GSE46468_LUNG_INNATE_LYMPHOID_CELL_VS_SPLEEN_CD4_TCELL_DN.html" TargetMode="External"/><Relationship Id="rId2611" Type="http://schemas.openxmlformats.org/officeDocument/2006/relationships/hyperlink" Target="http://www.broadinstitute.org/gsea/msigdb/cards/GSE33425_CD161_INT_VS_NEG_CD8_TCELL_UP.html" TargetMode="External"/><Relationship Id="rId2612" Type="http://schemas.openxmlformats.org/officeDocument/2006/relationships/hyperlink" Target="http://www.broadinstitute.org/gsea/msigdb/cards/GSE34392_ST2_KO_VS_WT_DAY8_LCMV_EFFECTOR_CD8_TCELL_UP.html" TargetMode="External"/><Relationship Id="rId2613" Type="http://schemas.openxmlformats.org/officeDocument/2006/relationships/hyperlink" Target="http://www.broadinstitute.org/gsea/msigdb/cards/GSE35825_IFNA_VS_IFNG_STIM_MACROPHAGE_DN.html" TargetMode="External"/><Relationship Id="rId2614" Type="http://schemas.openxmlformats.org/officeDocument/2006/relationships/hyperlink" Target="http://www.broadinstitute.org/gsea/msigdb/cards/GSE30971_WBP7_HET_VS_KO_MACROPHAGE_2H_LPS_STIM_DN.html" TargetMode="External"/><Relationship Id="rId2615" Type="http://schemas.openxmlformats.org/officeDocument/2006/relationships/hyperlink" Target="http://www.broadinstitute.org/gsea/msigdb/cards/GSE36891_UNSTIM_VS_POLYIC_TLR3_STIM_PERITONEAL_MACROPHAGE_DN.html" TargetMode="External"/><Relationship Id="rId2616" Type="http://schemas.openxmlformats.org/officeDocument/2006/relationships/hyperlink" Target="http://www.broadinstitute.org/gsea/msigdb/cards/GSE37301_LYMPHOID_PRIMED_MPP_VS_GRAN_MONO_PROGENITOR_UP.html" TargetMode="External"/><Relationship Id="rId2617" Type="http://schemas.openxmlformats.org/officeDocument/2006/relationships/hyperlink" Target="http://www.broadinstitute.org/gsea/msigdb/cards/GSE37301_LYMPHOID_PRIMED_MPP_VS_GRAN_MONO_PROGENITOR_DN.html" TargetMode="External"/><Relationship Id="rId2618" Type="http://schemas.openxmlformats.org/officeDocument/2006/relationships/hyperlink" Target="http://www.broadinstitute.org/gsea/msigdb/cards/GSE37532_TREG_VS_TCONV_PPARG_KO_CD4_TCELL_FROM_LN_DN.html" TargetMode="External"/><Relationship Id="rId2619" Type="http://schemas.openxmlformats.org/officeDocument/2006/relationships/hyperlink" Target="http://www.broadinstitute.org/gsea/msigdb/cards/GSE37534_UNTREATED_VS_ROSIGLITAZONE_TREATED_CD4_TCELL_PPARG1_AND_FOXP3_TRASDUCED_UP.html" TargetMode="External"/><Relationship Id="rId1182" Type="http://schemas.openxmlformats.org/officeDocument/2006/relationships/hyperlink" Target="http://www.broadinstitute.org/gsea/msigdb/cards/GO_CORE_PROMOTER_BINDING.html" TargetMode="External"/><Relationship Id="rId1183" Type="http://schemas.openxmlformats.org/officeDocument/2006/relationships/hyperlink" Target="http://www.broadinstitute.org/gsea/msigdb/cards/GO_POSITIVE_REGULATION_OF_ORGANELLE_ORGANIZATION.html" TargetMode="External"/><Relationship Id="rId1184" Type="http://schemas.openxmlformats.org/officeDocument/2006/relationships/hyperlink" Target="http://www.broadinstitute.org/gsea/msigdb/cards/GO_POSITIVE_REGULATION_OF_CELLULAR_COMPONENT_ORGANIZATION.html" TargetMode="External"/><Relationship Id="rId1185" Type="http://schemas.openxmlformats.org/officeDocument/2006/relationships/hyperlink" Target="http://www.broadinstitute.org/gsea/msigdb/cards/GO_REGULATION_OF_CELL_CYCLE.html" TargetMode="External"/><Relationship Id="rId1186" Type="http://schemas.openxmlformats.org/officeDocument/2006/relationships/hyperlink" Target="http://www.broadinstitute.org/gsea/msigdb/cards/GO_CHROMOSOME_CENTROMERIC_REGION.html" TargetMode="External"/><Relationship Id="rId1187" Type="http://schemas.openxmlformats.org/officeDocument/2006/relationships/hyperlink" Target="http://www.broadinstitute.org/gsea/msigdb/cards/GO_CYTOPLASMIC_MRNA_PROCESSING_BODY.html" TargetMode="External"/><Relationship Id="rId1188" Type="http://schemas.openxmlformats.org/officeDocument/2006/relationships/hyperlink" Target="http://www.broadinstitute.org/gsea/msigdb/cards/GO_SISTER_CHROMATID_SEGREGATION.html" TargetMode="External"/><Relationship Id="rId1189" Type="http://schemas.openxmlformats.org/officeDocument/2006/relationships/hyperlink" Target="http://www.broadinstitute.org/gsea/msigdb/cards/GO_NEGATIVE_REGULATION_OF_ORGANELLE_ORGANIZATION.html" TargetMode="External"/><Relationship Id="rId1910" Type="http://schemas.openxmlformats.org/officeDocument/2006/relationships/hyperlink" Target="http://www.broadinstitute.org/gsea/msigdb/cards/GSE41867_DAY15_EFFECTOR_VS_DAY30_MEMORY_CD8_TCELL_LCMV_ARMSTRONG_DN.html" TargetMode="External"/><Relationship Id="rId1911" Type="http://schemas.openxmlformats.org/officeDocument/2006/relationships/hyperlink" Target="http://www.broadinstitute.org/gsea/msigdb/cards/GSE2770_IL12_AND_TGFB_VS_IL4_TREATED_ACT_CD4_TCELL_2H_DN.html" TargetMode="External"/><Relationship Id="rId1912" Type="http://schemas.openxmlformats.org/officeDocument/2006/relationships/hyperlink" Target="http://www.broadinstitute.org/gsea/msigdb/cards/GSE3400_UNTREATED_VS_IFNB_TREATED_MEF_UP.html" TargetMode="External"/><Relationship Id="rId1913" Type="http://schemas.openxmlformats.org/officeDocument/2006/relationships/hyperlink" Target="http://www.broadinstitute.org/gsea/msigdb/cards/GSE13738_RESTING_VS_BYSTANDER_ACTIVATED_CD4_TCELL_UP.html" TargetMode="External"/><Relationship Id="rId1914" Type="http://schemas.openxmlformats.org/officeDocument/2006/relationships/hyperlink" Target="http://www.broadinstitute.org/gsea/msigdb/cards/GSE14769_UNSTIM_VS_360MIN_LPS_BMDM_DN.html" TargetMode="External"/><Relationship Id="rId1915" Type="http://schemas.openxmlformats.org/officeDocument/2006/relationships/hyperlink" Target="http://www.broadinstitute.org/gsea/msigdb/cards/GSE22886_NAIVE_TCELL_VS_NKCELL_DN.html" TargetMode="External"/><Relationship Id="rId1916" Type="http://schemas.openxmlformats.org/officeDocument/2006/relationships/hyperlink" Target="http://www.broadinstitute.org/gsea/msigdb/cards/GSE28237_FOLLICULAR_VS_EARLY_GC_BCELL_UP.html" TargetMode="External"/><Relationship Id="rId1917" Type="http://schemas.openxmlformats.org/officeDocument/2006/relationships/hyperlink" Target="http://www.broadinstitute.org/gsea/msigdb/cards/GSE32423_MEMORY_VS_NAIVE_CD8_TCELL_DN.html" TargetMode="External"/><Relationship Id="rId1918" Type="http://schemas.openxmlformats.org/officeDocument/2006/relationships/hyperlink" Target="http://www.broadinstitute.org/gsea/msigdb/cards/GSE9006_TYPE_1_VS_TYPE_2_DIABETES_PBMC_AT_DX_DN.html" TargetMode="External"/><Relationship Id="rId1919" Type="http://schemas.openxmlformats.org/officeDocument/2006/relationships/hyperlink" Target="http://www.broadinstitute.org/gsea/msigdb/cards/GSE2770_IL12_VS_IL4_TREATED_ACT_CD4_TCELL_48H_DN.html" TargetMode="External"/><Relationship Id="rId790" Type="http://schemas.openxmlformats.org/officeDocument/2006/relationships/hyperlink" Target="http://www.broadinstitute.org/gsea/msigdb/cards/GATA1_02.html" TargetMode="External"/><Relationship Id="rId791" Type="http://schemas.openxmlformats.org/officeDocument/2006/relationships/hyperlink" Target="http://www.broadinstitute.org/gsea/msigdb/cards/NFY_C.html" TargetMode="External"/><Relationship Id="rId792" Type="http://schemas.openxmlformats.org/officeDocument/2006/relationships/hyperlink" Target="http://www.broadinstitute.org/gsea/msigdb/cards/CCAWYNNGAAR_UNKNOWN.html" TargetMode="External"/><Relationship Id="rId793" Type="http://schemas.openxmlformats.org/officeDocument/2006/relationships/hyperlink" Target="http://www.broadinstitute.org/gsea/msigdb/cards/GCTCTTG_MIR335.html" TargetMode="External"/><Relationship Id="rId794" Type="http://schemas.openxmlformats.org/officeDocument/2006/relationships/hyperlink" Target="http://www.broadinstitute.org/gsea/msigdb/cards/NFAT_Q6.html" TargetMode="External"/><Relationship Id="rId795" Type="http://schemas.openxmlformats.org/officeDocument/2006/relationships/hyperlink" Target="http://www.broadinstitute.org/gsea/msigdb/cards/ISRE_01.html" TargetMode="External"/><Relationship Id="rId796" Type="http://schemas.openxmlformats.org/officeDocument/2006/relationships/hyperlink" Target="http://www.broadinstitute.org/gsea/msigdb/cards/GATA1_05.html" TargetMode="External"/><Relationship Id="rId797" Type="http://schemas.openxmlformats.org/officeDocument/2006/relationships/hyperlink" Target="http://www.broadinstitute.org/gsea/msigdb/cards/CYTAGCAAY_UNKNOWN.html" TargetMode="External"/><Relationship Id="rId798" Type="http://schemas.openxmlformats.org/officeDocument/2006/relationships/hyperlink" Target="http://www.broadinstitute.org/gsea/msigdb/cards/HMGIY_Q6.html" TargetMode="External"/><Relationship Id="rId799" Type="http://schemas.openxmlformats.org/officeDocument/2006/relationships/hyperlink" Target="http://www.broadinstitute.org/gsea/msigdb/cards/YCATTAA_UNKNOWN.html" TargetMode="External"/><Relationship Id="rId250" Type="http://schemas.openxmlformats.org/officeDocument/2006/relationships/hyperlink" Target="http://www.broadinstitute.org/gsea/msigdb/cards/BIOCARTA_PITX2_PATHWAY.html" TargetMode="External"/><Relationship Id="rId251" Type="http://schemas.openxmlformats.org/officeDocument/2006/relationships/hyperlink" Target="http://www.broadinstitute.org/gsea/msigdb/cards/NIKOLSKY_BREAST_CANCER_12Q24_AMPLICON.html" TargetMode="External"/><Relationship Id="rId252" Type="http://schemas.openxmlformats.org/officeDocument/2006/relationships/hyperlink" Target="http://www.broadinstitute.org/gsea/msigdb/cards/SIG_PIP3_SIGNALING_IN_CARDIAC_MYOCTES.html" TargetMode="External"/><Relationship Id="rId253" Type="http://schemas.openxmlformats.org/officeDocument/2006/relationships/hyperlink" Target="http://www.broadinstitute.org/gsea/msigdb/cards/PHONG_TNF_RESPONSE_VIA_P38_COMPLETE.html" TargetMode="External"/><Relationship Id="rId254" Type="http://schemas.openxmlformats.org/officeDocument/2006/relationships/hyperlink" Target="http://www.broadinstitute.org/gsea/msigdb/cards/RAO_BOUND_BY_SALL4.html" TargetMode="External"/><Relationship Id="rId255" Type="http://schemas.openxmlformats.org/officeDocument/2006/relationships/hyperlink" Target="http://www.broadinstitute.org/gsea/msigdb/cards/RODRIGUES_THYROID_CARCINOMA_ANAPLASTIC_DN.html" TargetMode="External"/><Relationship Id="rId256" Type="http://schemas.openxmlformats.org/officeDocument/2006/relationships/hyperlink" Target="http://www.broadinstitute.org/gsea/msigdb/cards/NIKOLSKY_BREAST_CANCER_20Q11_AMPLICON.html" TargetMode="External"/><Relationship Id="rId257" Type="http://schemas.openxmlformats.org/officeDocument/2006/relationships/hyperlink" Target="http://www.broadinstitute.org/gsea/msigdb/cards/PID_CDC42_PATHWAY.html" TargetMode="External"/><Relationship Id="rId258" Type="http://schemas.openxmlformats.org/officeDocument/2006/relationships/hyperlink" Target="http://www.broadinstitute.org/gsea/msigdb/cards/NIKOLSKY_MUTATED_AND_AMPLIFIED_IN_BREAST_CANCER.html" TargetMode="External"/><Relationship Id="rId259" Type="http://schemas.openxmlformats.org/officeDocument/2006/relationships/hyperlink" Target="http://www.broadinstitute.org/gsea/msigdb/cards/MARTINEZ_RESPONSE_TO_TRABECTEDIN.html" TargetMode="External"/><Relationship Id="rId1190" Type="http://schemas.openxmlformats.org/officeDocument/2006/relationships/hyperlink" Target="http://www.broadinstitute.org/gsea/msigdb/cards/GO_ORGANELLE_FISSION.html" TargetMode="External"/><Relationship Id="rId1191" Type="http://schemas.openxmlformats.org/officeDocument/2006/relationships/hyperlink" Target="http://www.broadinstitute.org/gsea/msigdb/cards/GO_RIBONUCLEOPROTEIN_COMPLEX_SUBUNIT_ORGANIZATION.html" TargetMode="External"/><Relationship Id="rId2620" Type="http://schemas.openxmlformats.org/officeDocument/2006/relationships/hyperlink" Target="http://www.broadinstitute.org/gsea/msigdb/cards/GSE40666_NAIVE_VS_EFFECTOR_CD8_TCELL_WITH_IFNA_STIM_90MIN_DN.html" TargetMode="External"/><Relationship Id="rId2621" Type="http://schemas.openxmlformats.org/officeDocument/2006/relationships/hyperlink" Target="http://www.broadinstitute.org/gsea/msigdb/cards/GSE40666_UNTREATED_VS_IFNA_STIM_STAT4_KO_EFFECTOR_CD8_TCELL_90MIN_DN.html" TargetMode="External"/><Relationship Id="rId2622" Type="http://schemas.openxmlformats.org/officeDocument/2006/relationships/hyperlink" Target="http://www.broadinstitute.org/gsea/msigdb/cards/GSE36078_UNTREATED_VS_AD5_T425A_HEXON_INF_MOUSE_LUNG_DC_UP.html" TargetMode="External"/><Relationship Id="rId2623" Type="http://schemas.openxmlformats.org/officeDocument/2006/relationships/hyperlink" Target="http://www.broadinstitute.org/gsea/msigdb/cards/GSE11961_MARGINAL_ZONE_BCELL_VS_GERMINAL_CENTER_BCELL_DAY7_DN.html" TargetMode="External"/><Relationship Id="rId2624" Type="http://schemas.openxmlformats.org/officeDocument/2006/relationships/hyperlink" Target="http://www.broadinstitute.org/gsea/msigdb/cards/GSE11961_MARGINAL_ZONE_BCELL_VS_MEMORY_BCELL_DAY7_UP.html" TargetMode="External"/><Relationship Id="rId2625" Type="http://schemas.openxmlformats.org/officeDocument/2006/relationships/hyperlink" Target="http://www.broadinstitute.org/gsea/msigdb/cards/GSE11961_FOLLICULAR_BCELL_VS_GERMINAL_CENTER_BCELL_DAY7_DN.html" TargetMode="External"/><Relationship Id="rId2626" Type="http://schemas.openxmlformats.org/officeDocument/2006/relationships/hyperlink" Target="http://www.broadinstitute.org/gsea/msigdb/cards/GSE28737_BCL6_HET_VS_BCL6_KO_MARGINAL_ZONE_BCELL_DN.html" TargetMode="External"/><Relationship Id="rId2627" Type="http://schemas.openxmlformats.org/officeDocument/2006/relationships/hyperlink" Target="http://www.broadinstitute.org/gsea/msigdb/cards/GSE39556_CD8A_DC_VS_NK_CELL_MOUSE_3H_POST_POLYIC_INJ_DN.html" TargetMode="External"/><Relationship Id="rId2628" Type="http://schemas.openxmlformats.org/officeDocument/2006/relationships/hyperlink" Target="http://www.broadinstitute.org/gsea/msigdb/cards/GSE24671_BAKIMULC_VS_SENDAI_VIRUS_INFECTED_MOUSE_SPLENOCYTES_DN.html" TargetMode="External"/><Relationship Id="rId2629" Type="http://schemas.openxmlformats.org/officeDocument/2006/relationships/hyperlink" Target="http://www.broadinstitute.org/gsea/msigdb/cards/GSE41867_NAIVE_VS_DAY15_LCMV_EFFECTOR_CD8_TCELL_UP.html" TargetMode="External"/><Relationship Id="rId1192" Type="http://schemas.openxmlformats.org/officeDocument/2006/relationships/hyperlink" Target="http://www.broadinstitute.org/gsea/msigdb/cards/GO_RNA_SPLICING_VIA_TRANSESTERIFICATION_REACTIONS.html" TargetMode="External"/><Relationship Id="rId1193" Type="http://schemas.openxmlformats.org/officeDocument/2006/relationships/hyperlink" Target="http://www.broadinstitute.org/gsea/msigdb/cards/GO_GTPASE_BINDING.html" TargetMode="External"/><Relationship Id="rId1194" Type="http://schemas.openxmlformats.org/officeDocument/2006/relationships/hyperlink" Target="http://www.broadinstitute.org/gsea/msigdb/cards/GO_CHROMOSOME_SEGREGATION.html" TargetMode="External"/><Relationship Id="rId1195" Type="http://schemas.openxmlformats.org/officeDocument/2006/relationships/hyperlink" Target="http://www.broadinstitute.org/gsea/msigdb/cards/GO_NUCLEAR_CHROMOSOME_SEGREGATION.html" TargetMode="External"/><Relationship Id="rId1196" Type="http://schemas.openxmlformats.org/officeDocument/2006/relationships/hyperlink" Target="http://www.broadinstitute.org/gsea/msigdb/cards/GO_NUCLEAR_EXPORT.html" TargetMode="External"/><Relationship Id="rId1197" Type="http://schemas.openxmlformats.org/officeDocument/2006/relationships/hyperlink" Target="http://www.broadinstitute.org/gsea/msigdb/cards/GO_NUCLEAR_TRANSPORT.html" TargetMode="External"/><Relationship Id="rId1198" Type="http://schemas.openxmlformats.org/officeDocument/2006/relationships/hyperlink" Target="http://www.broadinstitute.org/gsea/msigdb/cards/GO_REGULATION_OF_CELLULAR_COMPONENT_BIOGENESIS.html" TargetMode="External"/><Relationship Id="rId1199" Type="http://schemas.openxmlformats.org/officeDocument/2006/relationships/hyperlink" Target="http://www.broadinstitute.org/gsea/msigdb/cards/GO_NUCLEAR_CHROMOSOME.html" TargetMode="External"/><Relationship Id="rId1920" Type="http://schemas.openxmlformats.org/officeDocument/2006/relationships/hyperlink" Target="http://www.broadinstitute.org/gsea/msigdb/cards/GSE2770_UNTREATED_VS_TGFB_AND_IL12_TREATED_ACT_CD4_TCELL_6H_UP.html" TargetMode="External"/><Relationship Id="rId1921" Type="http://schemas.openxmlformats.org/officeDocument/2006/relationships/hyperlink" Target="http://www.broadinstitute.org/gsea/msigdb/cards/GSE4748_CTRL_VS_CYANOBACTERIUM_LPSLIKE_STIM_DC_3H_UP.html" TargetMode="External"/><Relationship Id="rId1922" Type="http://schemas.openxmlformats.org/officeDocument/2006/relationships/hyperlink" Target="http://www.broadinstitute.org/gsea/msigdb/cards/GSE5589_WT_VS_IL6_KO_LPS_STIM_MACROPHAGE_45MIN_UP.html" TargetMode="External"/><Relationship Id="rId1923" Type="http://schemas.openxmlformats.org/officeDocument/2006/relationships/hyperlink" Target="http://www.broadinstitute.org/gsea/msigdb/cards/GSE5503_MLN_DC_VS_PLN_DC_ACTIVATED_ALLOGENIC_TCELL_DN.html" TargetMode="External"/><Relationship Id="rId1924" Type="http://schemas.openxmlformats.org/officeDocument/2006/relationships/hyperlink" Target="http://www.broadinstitute.org/gsea/msigdb/cards/GSE9960_GRAM_NEG_VS_GRAM_NEG_AND_POS_SEPSIS_PBMC_DN.html" TargetMode="External"/><Relationship Id="rId1925" Type="http://schemas.openxmlformats.org/officeDocument/2006/relationships/hyperlink" Target="http://www.broadinstitute.org/gsea/msigdb/cards/GSE19888_CTRL_VS_A3R_INHIBITOR_TREATED_MAST_CELL_DN.html" TargetMode="External"/><Relationship Id="rId1926" Type="http://schemas.openxmlformats.org/officeDocument/2006/relationships/hyperlink" Target="http://www.broadinstitute.org/gsea/msigdb/cards/GSE21670_UNTREATED_VS_TGFB_IL6_TREATED_CD4_TCELL_UP.html" TargetMode="External"/><Relationship Id="rId1927" Type="http://schemas.openxmlformats.org/officeDocument/2006/relationships/hyperlink" Target="http://www.broadinstitute.org/gsea/msigdb/cards/GSE21927_C26GM_VS_4T1_TUMOR_MONOCYTE_BALBC_DN.html" TargetMode="External"/><Relationship Id="rId1928" Type="http://schemas.openxmlformats.org/officeDocument/2006/relationships/hyperlink" Target="http://www.broadinstitute.org/gsea/msigdb/cards/GSE21033_1H_VS_12H_POLYIC_STIM_DC_DN.html" TargetMode="External"/><Relationship Id="rId1929" Type="http://schemas.openxmlformats.org/officeDocument/2006/relationships/hyperlink" Target="http://www.broadinstitute.org/gsea/msigdb/cards/GSE22589_HEALTHY_VS_HIV_AND_SIV_INFECTED_DC_DN.html" TargetMode="External"/><Relationship Id="rId260" Type="http://schemas.openxmlformats.org/officeDocument/2006/relationships/hyperlink" Target="http://www.broadinstitute.org/gsea/msigdb/cards/DORSAM_HOXA9_TARGETS_DN.html" TargetMode="External"/><Relationship Id="rId261" Type="http://schemas.openxmlformats.org/officeDocument/2006/relationships/hyperlink" Target="http://www.broadinstitute.org/gsea/msigdb/cards/ACEVEDO_LIVER_CANCER_WITH_H3K9ME3_DN.html" TargetMode="External"/><Relationship Id="rId262" Type="http://schemas.openxmlformats.org/officeDocument/2006/relationships/hyperlink" Target="http://www.broadinstitute.org/gsea/msigdb/cards/REACTOME_TRANSCRIPTIONAL_REGULATION_OF_WHITE_ADIPOCYTE_DIFFERENTIATION.html" TargetMode="External"/><Relationship Id="rId263" Type="http://schemas.openxmlformats.org/officeDocument/2006/relationships/hyperlink" Target="http://www.broadinstitute.org/gsea/msigdb/cards/LUI_THYROID_CANCER_CLUSTER_1.html" TargetMode="External"/><Relationship Id="rId264" Type="http://schemas.openxmlformats.org/officeDocument/2006/relationships/hyperlink" Target="http://www.broadinstitute.org/gsea/msigdb/cards/WENDT_COHESIN_TARGETS_UP.html" TargetMode="External"/><Relationship Id="rId265" Type="http://schemas.openxmlformats.org/officeDocument/2006/relationships/hyperlink" Target="http://www.broadinstitute.org/gsea/msigdb/cards/PID_E2F_PATHWAY.html" TargetMode="External"/><Relationship Id="rId266" Type="http://schemas.openxmlformats.org/officeDocument/2006/relationships/hyperlink" Target="http://www.broadinstitute.org/gsea/msigdb/cards/DAIRKEE_TERT_TARGETS_DN.html" TargetMode="External"/><Relationship Id="rId267" Type="http://schemas.openxmlformats.org/officeDocument/2006/relationships/hyperlink" Target="http://www.broadinstitute.org/gsea/msigdb/cards/PID_ATM_PATHWAY.html" TargetMode="External"/><Relationship Id="rId268" Type="http://schemas.openxmlformats.org/officeDocument/2006/relationships/hyperlink" Target="http://www.broadinstitute.org/gsea/msigdb/cards/PID_IL2_PI3K_PATHWAY.html" TargetMode="External"/><Relationship Id="rId269" Type="http://schemas.openxmlformats.org/officeDocument/2006/relationships/hyperlink" Target="http://www.broadinstitute.org/gsea/msigdb/cards/WHITFIELD_CELL_CYCLE_G2.html" TargetMode="External"/><Relationship Id="rId2630" Type="http://schemas.openxmlformats.org/officeDocument/2006/relationships/hyperlink" Target="http://www.broadinstitute.org/gsea/msigdb/cards/GSE41867_LCMV_ARMSTRONG_VS_CLONE13_DAY8_EFFECTOR_CD8_TCELL_DN.html" TargetMode="External"/><Relationship Id="rId2631" Type="http://schemas.openxmlformats.org/officeDocument/2006/relationships/hyperlink" Target="http://www.broadinstitute.org/gsea/msigdb/cards/GSE41867_DAY8_EFFECTOR_VS_DAY30_EXHAUSTED_CD8_TCELL_LCMV_CLONE13_DN.html" TargetMode="External"/><Relationship Id="rId2632" Type="http://schemas.openxmlformats.org/officeDocument/2006/relationships/hyperlink" Target="http://www.broadinstitute.org/gsea/msigdb/cards/GSE41867_NAIVE_VS_DAY6_LCMV_ARMSTRONG_EFFECTOR_CD8_TCELL_UP.html" TargetMode="External"/><Relationship Id="rId2633" Type="http://schemas.openxmlformats.org/officeDocument/2006/relationships/hyperlink" Target="http://www.broadinstitute.org/gsea/msigdb/cards/GSE41867_DAY15_EFFECTOR_VS_DAY30_MEMORY_CD8_TCELL_LCMV_ARMSTRONG_UP.html" TargetMode="External"/><Relationship Id="rId2634" Type="http://schemas.openxmlformats.org/officeDocument/2006/relationships/hyperlink" Target="http://www.broadinstitute.org/gsea/msigdb/cards/GSE36826_WT_VS_IL1R_KO_SKIN_DN.html" TargetMode="External"/><Relationship Id="rId2635" Type="http://schemas.openxmlformats.org/officeDocument/2006/relationships/hyperlink" Target="http://www.broadinstitute.org/gsea/msigdb/cards/GSE41978_ID2_KO_VS_BIM_KO_KLRG1_LOW_EFFECTOR_CD8_TCELL_DN.html" TargetMode="External"/><Relationship Id="rId2636" Type="http://schemas.openxmlformats.org/officeDocument/2006/relationships/hyperlink" Target="http://www.broadinstitute.org/gsea/msigdb/cards/GSE42021_TREG_PLN_VS_TREG_PRECURSORS_THYMUS_UP.html" TargetMode="External"/><Relationship Id="rId2637" Type="http://schemas.openxmlformats.org/officeDocument/2006/relationships/hyperlink" Target="http://www.broadinstitute.org/gsea/msigdb/cards/GSE43955_10H_VS_60H_ACT_CD4_TCELL_DN.html" TargetMode="External"/><Relationship Id="rId2638" Type="http://schemas.openxmlformats.org/officeDocument/2006/relationships/hyperlink" Target="http://www.broadinstitute.org/gsea/msigdb/cards/GSE43863_NAIVE_VS_LY6C_INT_CXCR5POS_CD4_EFF_TCELL_D6_LCMV_UP.html" TargetMode="External"/><Relationship Id="rId2639" Type="http://schemas.openxmlformats.org/officeDocument/2006/relationships/hyperlink" Target="http://www.broadinstitute.org/gsea/msigdb/cards/GSE43863_TFH_VS_LY6C_LOW_CXCR5NEG_EFFECTOR_CD4_TCELL_UP.html" TargetMode="External"/><Relationship Id="rId1930" Type="http://schemas.openxmlformats.org/officeDocument/2006/relationships/hyperlink" Target="http://www.broadinstitute.org/gsea/msigdb/cards/GSE17301_CTRL_VS_48H_IFNA2_STIM_CD8_TCELL_UP.html" TargetMode="External"/><Relationship Id="rId1931" Type="http://schemas.openxmlformats.org/officeDocument/2006/relationships/hyperlink" Target="http://www.broadinstitute.org/gsea/msigdb/cards/GSE26559_TCF1_KO_VS_WT_LIN_NEG_CELL_UP.html" TargetMode="External"/><Relationship Id="rId1932" Type="http://schemas.openxmlformats.org/officeDocument/2006/relationships/hyperlink" Target="http://www.broadinstitute.org/gsea/msigdb/cards/GSE33162_UNTREATED_VS_4H_LPS_STIM_HDAC3_HET_MACROPHAGE_UP.html" TargetMode="External"/><Relationship Id="rId1933" Type="http://schemas.openxmlformats.org/officeDocument/2006/relationships/hyperlink" Target="http://www.broadinstitute.org/gsea/msigdb/cards/GSE40068_CXCR5POS_BCL6POS_TFH_VS_CXCR5NEG_BCL6NEG_CD4_TCELL_UP.html" TargetMode="External"/><Relationship Id="rId1934" Type="http://schemas.openxmlformats.org/officeDocument/2006/relationships/hyperlink" Target="http://www.broadinstitute.org/gsea/msigdb/cards/GSE35435_RESTING_VS_IL4_TREATED_MACROPHAGE_UP.html" TargetMode="External"/><Relationship Id="rId1935" Type="http://schemas.openxmlformats.org/officeDocument/2006/relationships/hyperlink" Target="http://www.broadinstitute.org/gsea/msigdb/cards/GSE46606_IRF4_KO_VS_WT_CD40L_IL2_IL5_3DAY_STIMULATED_BCELL_DN.html" TargetMode="External"/><Relationship Id="rId1936" Type="http://schemas.openxmlformats.org/officeDocument/2006/relationships/hyperlink" Target="http://www.broadinstitute.org/gsea/msigdb/cards/GSE41176_UNSTIM_VS_ANTI_IGM_STIM_BCELL_24H_DN.html" TargetMode="External"/><Relationship Id="rId1937" Type="http://schemas.openxmlformats.org/officeDocument/2006/relationships/hyperlink" Target="http://www.broadinstitute.org/gsea/msigdb/cards/GSE37301_CD4_TCELL_VS_RAG2_KO_NK_CELL_DN.html" TargetMode="External"/><Relationship Id="rId1938" Type="http://schemas.openxmlformats.org/officeDocument/2006/relationships/hyperlink" Target="http://www.broadinstitute.org/gsea/msigdb/cards/GSE37563_WT_VS_CTLA4_KO_CD4_TCELL_D4_POST_IMMUNIZATION_UP.html" TargetMode="External"/><Relationship Id="rId1939" Type="http://schemas.openxmlformats.org/officeDocument/2006/relationships/hyperlink" Target="http://www.broadinstitute.org/gsea/msigdb/cards/GSE3920_IFNA_VS_IFNG_TREATED_ENDOTHELIAL_CELL_UP.html" TargetMode="External"/><Relationship Id="rId270" Type="http://schemas.openxmlformats.org/officeDocument/2006/relationships/hyperlink" Target="http://www.broadinstitute.org/gsea/msigdb/cards/REACTOME_TRANSPORT_OF_MATURE_TRANSCRIPT_TO_CYTOPLASM.html" TargetMode="External"/><Relationship Id="rId271" Type="http://schemas.openxmlformats.org/officeDocument/2006/relationships/hyperlink" Target="http://www.broadinstitute.org/gsea/msigdb/cards/PID_PI3KCI_AKT_PATHWAY.html" TargetMode="External"/><Relationship Id="rId272" Type="http://schemas.openxmlformats.org/officeDocument/2006/relationships/hyperlink" Target="http://www.broadinstitute.org/gsea/msigdb/cards/REACTOME_SIGNALING_BY_FGFR1_FUSION_MUTANTS.html" TargetMode="External"/><Relationship Id="rId273" Type="http://schemas.openxmlformats.org/officeDocument/2006/relationships/hyperlink" Target="http://www.broadinstitute.org/gsea/msigdb/cards/REACTOME_SIGNALING_BY_FGFR_IN_DISEASE.html" TargetMode="External"/><Relationship Id="rId274" Type="http://schemas.openxmlformats.org/officeDocument/2006/relationships/hyperlink" Target="http://www.broadinstitute.org/gsea/msigdb/cards/RODRIGUES_THYROID_CARCINOMA_DN.html" TargetMode="External"/><Relationship Id="rId275" Type="http://schemas.openxmlformats.org/officeDocument/2006/relationships/hyperlink" Target="http://www.broadinstitute.org/gsea/msigdb/cards/BYSTRYKH_HEMATOPOIESIS_STEM_CELL_QTL_TRANS.html" TargetMode="External"/><Relationship Id="rId276" Type="http://schemas.openxmlformats.org/officeDocument/2006/relationships/hyperlink" Target="http://www.broadinstitute.org/gsea/msigdb/cards/DOUGLAS_BMI1_TARGETS_DN.html" TargetMode="External"/><Relationship Id="rId277" Type="http://schemas.openxmlformats.org/officeDocument/2006/relationships/hyperlink" Target="http://www.broadinstitute.org/gsea/msigdb/cards/WANG_CLIM2_TARGETS_DN.html" TargetMode="External"/><Relationship Id="rId278" Type="http://schemas.openxmlformats.org/officeDocument/2006/relationships/hyperlink" Target="http://www.broadinstitute.org/gsea/msigdb/cards/KEGG_BASAL_TRANSCRIPTION_FACTORS.html" TargetMode="External"/><Relationship Id="rId279" Type="http://schemas.openxmlformats.org/officeDocument/2006/relationships/hyperlink" Target="http://www.broadinstitute.org/gsea/msigdb/cards/REACTOME_BMAL1_CLOCK_NPAS2_ACTIVATES_CIRCADIAN_EXPRESSION.html" TargetMode="External"/><Relationship Id="rId2640" Type="http://schemas.openxmlformats.org/officeDocument/2006/relationships/hyperlink" Target="http://www.broadinstitute.org/gsea/msigdb/cards/GSE43863_LY6C_INT_CXCR5POS_VS_LY6C_LOW_CXCR5NEG_EFFECTOR_CD4_TCELL_UP.html" TargetMode="External"/><Relationship Id="rId2641" Type="http://schemas.openxmlformats.org/officeDocument/2006/relationships/hyperlink" Target="http://www.broadinstitute.org/gsea/msigdb/cards/GSE42724_B1_BCELL_VS_PLASMABLAST_DN.html" TargetMode="External"/><Relationship Id="rId2642" Type="http://schemas.openxmlformats.org/officeDocument/2006/relationships/hyperlink" Target="http://www.broadinstitute.org/gsea/msigdb/cards/GSE46606_DAY1_VS_DAY3_CD40L_IL2_IL5_STIMULATED_IRF4HIGH_BCELL_UP.html" TargetMode="External"/><Relationship Id="rId2643" Type="http://schemas.openxmlformats.org/officeDocument/2006/relationships/hyperlink" Target="http://www.broadinstitute.org/gsea/msigdb/cards/GSE46606_IRF4HIGH_VS_IRF4MID_CD40L_IL2_IL5_DAY1_STIMULATED_BCELL_UP.html" TargetMode="External"/><Relationship Id="rId2644" Type="http://schemas.openxmlformats.org/officeDocument/2006/relationships/hyperlink" Target="http://www.broadinstitute.org/gsea/msigdb/cards/GSE46606_UNSTIM_VS_CD40L_IL2_IL5_DAY1_STIMULATED_BCELL_UP.html" TargetMode="External"/><Relationship Id="rId2645" Type="http://schemas.openxmlformats.org/officeDocument/2006/relationships/hyperlink" Target="http://www.broadinstitute.org/gsea/msigdb/cards/GSE45365_CD8A_DC_VS_CD11B_DC_IFNAR_KO_DN.html" TargetMode="External"/><Relationship Id="rId2646" Type="http://schemas.openxmlformats.org/officeDocument/2006/relationships/hyperlink" Target="http://www.broadinstitute.org/gsea/msigdb/cards/GSE18804_SPLEEN_MACROPHAGE_VS_TUMORAL_MACROPHAGE_UP.html" TargetMode="External"/><Relationship Id="rId2647" Type="http://schemas.openxmlformats.org/officeDocument/2006/relationships/hyperlink" Target="http://www.broadinstitute.org/gsea/msigdb/cards/GSE27859_MACROPHAGE_VS_CD11C_INT_F480_HI_MACROPHAGE_UP.html" TargetMode="External"/><Relationship Id="rId2648" Type="http://schemas.openxmlformats.org/officeDocument/2006/relationships/hyperlink" Target="http://www.broadinstitute.org/gsea/msigdb/cards/GSE32901_TH17_EMRICHED_VS_TH17_NEG_CD4_TCELL_DN.html" TargetMode="External"/><Relationship Id="rId2649" Type="http://schemas.openxmlformats.org/officeDocument/2006/relationships/hyperlink" Target="http://www.broadinstitute.org/gsea/msigdb/cards/GSE9601_UNTREATED_VS_PI3K_INHIBITOR_TREATED_HCMV_INF_MONOCYTE_DN.html" TargetMode="External"/><Relationship Id="rId1940" Type="http://schemas.openxmlformats.org/officeDocument/2006/relationships/hyperlink" Target="http://www.broadinstitute.org/gsea/msigdb/cards/GSE3565_CTRL_VS_LPS_INJECTED_DUSP1_KO_SPLENOCYTES_DN.html" TargetMode="External"/><Relationship Id="rId1941" Type="http://schemas.openxmlformats.org/officeDocument/2006/relationships/hyperlink" Target="http://www.broadinstitute.org/gsea/msigdb/cards/GSE33292_DN3_THYMOCYTE_VS_TCELL_LYMPHOMA_FROM_TCF1_KO_UP.html" TargetMode="External"/><Relationship Id="rId1942" Type="http://schemas.openxmlformats.org/officeDocument/2006/relationships/hyperlink" Target="http://www.broadinstitute.org/gsea/msigdb/cards/GSE32901_TH1_VS_TH17_ENRICHED_CD4_TCELL_UP.html" TargetMode="External"/><Relationship Id="rId1943" Type="http://schemas.openxmlformats.org/officeDocument/2006/relationships/hyperlink" Target="http://www.broadinstitute.org/gsea/msigdb/cards/GSE13411_SWITCHED_MEMORY_BCELL_VS_PLASMA_CELL_UP.html" TargetMode="External"/><Relationship Id="rId1944" Type="http://schemas.openxmlformats.org/officeDocument/2006/relationships/hyperlink" Target="http://www.broadinstitute.org/gsea/msigdb/cards/GSE13484_UNSTIM_VS_3H_YF17D_VACCINE_STIM_PBMC_UP.html" TargetMode="External"/><Relationship Id="rId1945" Type="http://schemas.openxmlformats.org/officeDocument/2006/relationships/hyperlink" Target="http://www.broadinstitute.org/gsea/msigdb/cards/GSE14000_TRANSLATED_RNA_VS_MRNA_4H_LPS_DC_UP.html" TargetMode="External"/><Relationship Id="rId1946" Type="http://schemas.openxmlformats.org/officeDocument/2006/relationships/hyperlink" Target="http://www.broadinstitute.org/gsea/msigdb/cards/GSE14308_TH1_VS_NATURAL_TREG_DN.html" TargetMode="External"/><Relationship Id="rId1947" Type="http://schemas.openxmlformats.org/officeDocument/2006/relationships/hyperlink" Target="http://www.broadinstitute.org/gsea/msigdb/cards/GSE14769_20MIN_VS_360MIN_LPS_BMDM_DN.html" TargetMode="External"/><Relationship Id="rId1948" Type="http://schemas.openxmlformats.org/officeDocument/2006/relationships/hyperlink" Target="http://www.broadinstitute.org/gsea/msigdb/cards/GSE17721_PAM3CSK4_VS_GADIQUIMOD_8H_BMDC_DN.html" TargetMode="External"/><Relationship Id="rId1949" Type="http://schemas.openxmlformats.org/officeDocument/2006/relationships/hyperlink" Target="http://www.broadinstitute.org/gsea/msigdb/cards/GSE20366_EX_VIVO_VS_HOMEOSTATIC_CONVERSION_TREG_UP.html" TargetMode="External"/><Relationship Id="rId2100" Type="http://schemas.openxmlformats.org/officeDocument/2006/relationships/hyperlink" Target="http://www.broadinstitute.org/gsea/msigdb/cards/GSE12845_NAIVE_VS_DARKZONE_GC_TONSIL_BCELL_UP.html" TargetMode="External"/><Relationship Id="rId2101" Type="http://schemas.openxmlformats.org/officeDocument/2006/relationships/hyperlink" Target="http://www.broadinstitute.org/gsea/msigdb/cards/GSE13411_NAIVE_BCELL_VS_PLASMA_CELL_UP.html" TargetMode="External"/><Relationship Id="rId2102" Type="http://schemas.openxmlformats.org/officeDocument/2006/relationships/hyperlink" Target="http://www.broadinstitute.org/gsea/msigdb/cards/GSE1432_CTRL_VS_IFNG_6H_MICROGLIA_UP.html" TargetMode="External"/><Relationship Id="rId2103" Type="http://schemas.openxmlformats.org/officeDocument/2006/relationships/hyperlink" Target="http://www.broadinstitute.org/gsea/msigdb/cards/GSE15659_CD45RA_NEG_CD4_TCELL_VS_RESTING_TREG_DN.html" TargetMode="External"/><Relationship Id="rId2104" Type="http://schemas.openxmlformats.org/officeDocument/2006/relationships/hyperlink" Target="http://www.broadinstitute.org/gsea/msigdb/cards/GSE15659_NONSUPPRESSIVE_TCELL_VS_ACTIVATED_TREG_DN.html" TargetMode="External"/><Relationship Id="rId2105" Type="http://schemas.openxmlformats.org/officeDocument/2006/relationships/hyperlink" Target="http://www.broadinstitute.org/gsea/msigdb/cards/GSE15930_NAIVE_VS_72H_IN_VITRO_STIM_TRICHOSTATINA_CD8_TCELL_UP.html" TargetMode="External"/><Relationship Id="rId2106" Type="http://schemas.openxmlformats.org/officeDocument/2006/relationships/hyperlink" Target="http://www.broadinstitute.org/gsea/msigdb/cards/GSE17580_TREG_VS_TEFF_DN.html" TargetMode="External"/><Relationship Id="rId2107" Type="http://schemas.openxmlformats.org/officeDocument/2006/relationships/hyperlink" Target="http://www.broadinstitute.org/gsea/msigdb/cards/GSE17580_UNINFECTED_VS_S_MANSONI_INF_TREG_UP.html" TargetMode="External"/><Relationship Id="rId2108" Type="http://schemas.openxmlformats.org/officeDocument/2006/relationships/hyperlink" Target="http://www.broadinstitute.org/gsea/msigdb/cards/GSE17721_CPG_VS_GARDIQUIMOD_0.5H_BMDC_DN.html" TargetMode="External"/><Relationship Id="rId2109" Type="http://schemas.openxmlformats.org/officeDocument/2006/relationships/hyperlink" Target="http://www.broadinstitute.org/gsea/msigdb/cards/GSE17721_CPG_VS_GARDIQUIMOD_8H_BMDC_DN.html" TargetMode="External"/><Relationship Id="rId1400" Type="http://schemas.openxmlformats.org/officeDocument/2006/relationships/hyperlink" Target="http://www.broadinstitute.org/gsea/msigdb/cards/GO_RNA_POLYMERASE_II_CORE_BINDING.html" TargetMode="External"/><Relationship Id="rId1401" Type="http://schemas.openxmlformats.org/officeDocument/2006/relationships/hyperlink" Target="http://www.broadinstitute.org/gsea/msigdb/cards/GO_K63_LINKED_POLYUBIQUITIN_BINDING.html" TargetMode="External"/><Relationship Id="rId1402" Type="http://schemas.openxmlformats.org/officeDocument/2006/relationships/hyperlink" Target="http://www.broadinstitute.org/gsea/msigdb/cards/GO_MULTI_ORGANISM_LOCALIZATION.html" TargetMode="External"/><Relationship Id="rId1403" Type="http://schemas.openxmlformats.org/officeDocument/2006/relationships/hyperlink" Target="http://www.broadinstitute.org/gsea/msigdb/cards/GO_REGULATION_OF_PROTEIN_COMPLEX_DISASSEMBLY.html" TargetMode="External"/><Relationship Id="rId1404" Type="http://schemas.openxmlformats.org/officeDocument/2006/relationships/hyperlink" Target="http://www.broadinstitute.org/gsea/msigdb/cards/GO_3_5_EXONUCLEASE_ACTIVITY.html" TargetMode="External"/><Relationship Id="rId1405" Type="http://schemas.openxmlformats.org/officeDocument/2006/relationships/hyperlink" Target="http://www.broadinstitute.org/gsea/msigdb/cards/GO_CIRCADIAN_RHYTHM.html" TargetMode="External"/><Relationship Id="rId1406" Type="http://schemas.openxmlformats.org/officeDocument/2006/relationships/hyperlink" Target="http://www.broadinstitute.org/gsea/msigdb/cards/GO_SINGLE_STRANDED_RNA_BINDING.html" TargetMode="External"/><Relationship Id="rId1407" Type="http://schemas.openxmlformats.org/officeDocument/2006/relationships/hyperlink" Target="http://www.broadinstitute.org/gsea/msigdb/cards/GO_PLACENTA_DEVELOPMENT.html" TargetMode="External"/><Relationship Id="rId1408" Type="http://schemas.openxmlformats.org/officeDocument/2006/relationships/hyperlink" Target="http://www.broadinstitute.org/gsea/msigdb/cards/GO_REGULATION_OF_PHOSPHORUS_METABOLIC_PROCESS.html" TargetMode="External"/><Relationship Id="rId1409" Type="http://schemas.openxmlformats.org/officeDocument/2006/relationships/hyperlink" Target="http://www.broadinstitute.org/gsea/msigdb/cards/GO_PROTEIN_K48_LINKED_DEUBIQUITINATION.html" TargetMode="External"/><Relationship Id="rId280" Type="http://schemas.openxmlformats.org/officeDocument/2006/relationships/hyperlink" Target="http://www.broadinstitute.org/gsea/msigdb/cards/GINESTIER_BREAST_CANCER_ZNF217_AMPLIFIED_UP.html" TargetMode="External"/><Relationship Id="rId281" Type="http://schemas.openxmlformats.org/officeDocument/2006/relationships/hyperlink" Target="http://www.broadinstitute.org/gsea/msigdb/cards/SHEDDEN_LUNG_CANCER_POOR_SURVIVAL_A6.html" TargetMode="External"/><Relationship Id="rId282" Type="http://schemas.openxmlformats.org/officeDocument/2006/relationships/hyperlink" Target="http://www.broadinstitute.org/gsea/msigdb/cards/REACTOME_PPARA_ACTIVATES_GENE_EXPRESSION.html" TargetMode="External"/><Relationship Id="rId283" Type="http://schemas.openxmlformats.org/officeDocument/2006/relationships/hyperlink" Target="http://www.broadinstitute.org/gsea/msigdb/cards/IWANAGA_CARCINOGENESIS_BY_KRAS_PTEN_DN.html" TargetMode="External"/><Relationship Id="rId284" Type="http://schemas.openxmlformats.org/officeDocument/2006/relationships/hyperlink" Target="http://www.broadinstitute.org/gsea/msigdb/cards/LEE_AGING_NEOCORTEX_DN.html" TargetMode="External"/><Relationship Id="rId285" Type="http://schemas.openxmlformats.org/officeDocument/2006/relationships/hyperlink" Target="http://www.broadinstitute.org/gsea/msigdb/cards/GAL_LEUKEMIC_STEM_CELL_UP.html" TargetMode="External"/><Relationship Id="rId286" Type="http://schemas.openxmlformats.org/officeDocument/2006/relationships/hyperlink" Target="http://www.broadinstitute.org/gsea/msigdb/cards/BLALOCK_ALZHEIMERS_DISEASE_DN.html" TargetMode="External"/><Relationship Id="rId287" Type="http://schemas.openxmlformats.org/officeDocument/2006/relationships/hyperlink" Target="http://www.broadinstitute.org/gsea/msigdb/cards/JI_RESPONSE_TO_FSH_DN.html" TargetMode="External"/><Relationship Id="rId288" Type="http://schemas.openxmlformats.org/officeDocument/2006/relationships/hyperlink" Target="http://www.broadinstitute.org/gsea/msigdb/cards/KYNG_DNA_DAMAGE_BY_GAMMA_RADIATION.html" TargetMode="External"/><Relationship Id="rId289" Type="http://schemas.openxmlformats.org/officeDocument/2006/relationships/hyperlink" Target="http://www.broadinstitute.org/gsea/msigdb/cards/REACTOME_GLUCOSE_TRANSPORT.html" TargetMode="External"/><Relationship Id="rId2650" Type="http://schemas.openxmlformats.org/officeDocument/2006/relationships/hyperlink" Target="http://www.broadinstitute.org/gsea/msigdb/cards/GSE10500_ARTHRITIC_SYNOVIAL_FLUID_VS_HEALTHY_MACROPHAGE_DN.html" TargetMode="External"/><Relationship Id="rId2651" Type="http://schemas.openxmlformats.org/officeDocument/2006/relationships/hyperlink" Target="http://www.broadinstitute.org/gsea/msigdb/cards/GSE6269_HEALTHY_VS_E_COLI_INF_PBMC_UP.html" TargetMode="External"/><Relationship Id="rId2652" Type="http://schemas.openxmlformats.org/officeDocument/2006/relationships/hyperlink" Target="http://www.broadinstitute.org/gsea/msigdb/cards/GSE7568_IL4_VS_IL4_AND_DEXAMETHASONE_TREATED_MACROPHAGE_DN.html" TargetMode="External"/><Relationship Id="rId2653" Type="http://schemas.openxmlformats.org/officeDocument/2006/relationships/hyperlink" Target="http://www.broadinstitute.org/gsea/msigdb/cards/GSE3920_UNTREATED_VS_IFNG_TREATED_FIBROBLAST_DN.html" TargetMode="External"/><Relationship Id="rId2654" Type="http://schemas.openxmlformats.org/officeDocument/2006/relationships/hyperlink" Target="http://www.broadinstitute.org/gsea/msigdb/cards/GSE3920_IFNB_VS_IFNG_TREATED_ENDOTHELIAL_CELL_DN.html" TargetMode="External"/><Relationship Id="rId2655" Type="http://schemas.openxmlformats.org/officeDocument/2006/relationships/hyperlink" Target="http://www.broadinstitute.org/gsea/msigdb/cards/GSE25677_MPL_VS_R848_STIM_BCELL_DN.html" TargetMode="External"/><Relationship Id="rId2656" Type="http://schemas.openxmlformats.org/officeDocument/2006/relationships/hyperlink" Target="http://www.broadinstitute.org/gsea/msigdb/cards/GSE4984_UNTREATED_VS_LPS_TREATED_DC_UP.html" TargetMode="External"/><Relationship Id="rId2657" Type="http://schemas.openxmlformats.org/officeDocument/2006/relationships/hyperlink" Target="http://www.broadinstitute.org/gsea/msigdb/cards/GSE37532_VISCERAL_ADIPOSE_TISSUE_VS_LN_DERIVED_TREG_CD4_TCELL_DN.html" TargetMode="External"/><Relationship Id="rId2658" Type="http://schemas.openxmlformats.org/officeDocument/2006/relationships/hyperlink" Target="http://www.broadinstitute.org/gsea/msigdb/cards/GSE7218_IGM_VS_IGG_SIGNAL_THGOUGH_ANTIGEN_BCELL_UP.html" TargetMode="External"/><Relationship Id="rId2659" Type="http://schemas.openxmlformats.org/officeDocument/2006/relationships/hyperlink" Target="http://www.broadinstitute.org/gsea/msigdb/cards/GSE37301_HEMATOPOIETIC_STEM_CELL_VS_GRAN_MONO_PROGENITOR_UP.html" TargetMode="External"/><Relationship Id="rId1950" Type="http://schemas.openxmlformats.org/officeDocument/2006/relationships/hyperlink" Target="http://www.broadinstitute.org/gsea/msigdb/cards/GSE22886_IGA_VS_IGM_MEMORY_BCELL_DN.html" TargetMode="External"/><Relationship Id="rId1951" Type="http://schemas.openxmlformats.org/officeDocument/2006/relationships/hyperlink" Target="http://www.broadinstitute.org/gsea/msigdb/cards/GSE27786_LSK_VS_CD4_TCELL_DN.html" TargetMode="External"/><Relationship Id="rId1952" Type="http://schemas.openxmlformats.org/officeDocument/2006/relationships/hyperlink" Target="http://www.broadinstitute.org/gsea/msigdb/cards/GSE29617_CTRL_VS_TIV_FLU_VACCINE_PBMC_2008_UP.html" TargetMode="External"/><Relationship Id="rId1953" Type="http://schemas.openxmlformats.org/officeDocument/2006/relationships/hyperlink" Target="http://www.broadinstitute.org/gsea/msigdb/cards/GSE39820_CTRL_VS_TGFBETA3_IL6_IL23A_CD4_TCELL_UP.html" TargetMode="External"/><Relationship Id="rId1954" Type="http://schemas.openxmlformats.org/officeDocument/2006/relationships/hyperlink" Target="http://www.broadinstitute.org/gsea/msigdb/cards/GSE9006_HEALTHY_VS_TYPE_2_DIABETES_PBMC_AT_DX_DN.html" TargetMode="External"/><Relationship Id="rId1955" Type="http://schemas.openxmlformats.org/officeDocument/2006/relationships/hyperlink" Target="http://www.broadinstitute.org/gsea/msigdb/cards/GSE369_IFNG_KO_VS_WT_LIVER_UP.html" TargetMode="External"/><Relationship Id="rId1956" Type="http://schemas.openxmlformats.org/officeDocument/2006/relationships/hyperlink" Target="http://www.broadinstitute.org/gsea/msigdb/cards/GSE411_WT_VS_SOCS3_KO_MACROPHAGE_DN.html" TargetMode="External"/><Relationship Id="rId1957" Type="http://schemas.openxmlformats.org/officeDocument/2006/relationships/hyperlink" Target="http://www.broadinstitute.org/gsea/msigdb/cards/GSE2770_IL12_ACT_VS_ACT_CD4_TCELL_48H_DN.html" TargetMode="External"/><Relationship Id="rId1958" Type="http://schemas.openxmlformats.org/officeDocument/2006/relationships/hyperlink" Target="http://www.broadinstitute.org/gsea/msigdb/cards/GSE2770_UNTREATED_VS_ACT_CD4_TCELL_48H_UP.html" TargetMode="External"/><Relationship Id="rId1959" Type="http://schemas.openxmlformats.org/officeDocument/2006/relationships/hyperlink" Target="http://www.broadinstitute.org/gsea/msigdb/cards/GSE1740_MCSF_VS_MCSF_AND_IFNG_DAY2_DERIVED_MACROPHAGE_DN.html" TargetMode="External"/><Relationship Id="rId2110" Type="http://schemas.openxmlformats.org/officeDocument/2006/relationships/hyperlink" Target="http://www.broadinstitute.org/gsea/msigdb/cards/GSE17721_CPG_VS_GARDIQUIMOD_24H_BMDC_UP.html" TargetMode="External"/><Relationship Id="rId2111" Type="http://schemas.openxmlformats.org/officeDocument/2006/relationships/hyperlink" Target="http://www.broadinstitute.org/gsea/msigdb/cards/GSE17721_POLYIC_VS_CPG_16H_BMDC_UP.html" TargetMode="External"/><Relationship Id="rId2112" Type="http://schemas.openxmlformats.org/officeDocument/2006/relationships/hyperlink" Target="http://www.broadinstitute.org/gsea/msigdb/cards/GSE17721_0.5H_VS_4H_POLYIC_BMDC_DN.html" TargetMode="External"/><Relationship Id="rId2113" Type="http://schemas.openxmlformats.org/officeDocument/2006/relationships/hyperlink" Target="http://www.broadinstitute.org/gsea/msigdb/cards/GSE17974_0.5H_VS_72H_UNTREATED_IN_VITRO_CD4_TCELL_UP.html" TargetMode="External"/><Relationship Id="rId2114" Type="http://schemas.openxmlformats.org/officeDocument/2006/relationships/hyperlink" Target="http://www.broadinstitute.org/gsea/msigdb/cards/GSE17974_1H_VS_72H_UNTREATED_IN_VITRO_CD4_TCELL_UP.html" TargetMode="External"/><Relationship Id="rId2115" Type="http://schemas.openxmlformats.org/officeDocument/2006/relationships/hyperlink" Target="http://www.broadinstitute.org/gsea/msigdb/cards/GSE18791_CTRL_VS_NEWCASTLE_VIRUS_DC_10H_UP.html" TargetMode="External"/><Relationship Id="rId2116" Type="http://schemas.openxmlformats.org/officeDocument/2006/relationships/hyperlink" Target="http://www.broadinstitute.org/gsea/msigdb/cards/GSE20151_CTRL_VS_FUSOBACT_NUCLEATUM_NEUTROPHIL_DN.html" TargetMode="External"/><Relationship Id="rId2117" Type="http://schemas.openxmlformats.org/officeDocument/2006/relationships/hyperlink" Target="http://www.broadinstitute.org/gsea/msigdb/cards/GSE22886_NAIVE_VS_MEMORY_TCELL_UP.html" TargetMode="External"/><Relationship Id="rId2118" Type="http://schemas.openxmlformats.org/officeDocument/2006/relationships/hyperlink" Target="http://www.broadinstitute.org/gsea/msigdb/cards/GSE22886_NAIVE_CD8_TCELL_VS_NEUTROPHIL_UP.html" TargetMode="External"/><Relationship Id="rId2119" Type="http://schemas.openxmlformats.org/officeDocument/2006/relationships/hyperlink" Target="http://www.broadinstitute.org/gsea/msigdb/cards/GSE22886_NAIVE_CD4_TCELL_VS_48H_ACT_TH1_UP.html" TargetMode="External"/><Relationship Id="rId1410" Type="http://schemas.openxmlformats.org/officeDocument/2006/relationships/hyperlink" Target="http://www.broadinstitute.org/gsea/msigdb/cards/GO_REGULATION_OF_NUCLEOCYTOPLASMIC_TRANSPORT.html" TargetMode="External"/><Relationship Id="rId1411" Type="http://schemas.openxmlformats.org/officeDocument/2006/relationships/hyperlink" Target="http://www.broadinstitute.org/gsea/msigdb/cards/GO_ENZYME_REGULATOR_ACTIVITY.html" TargetMode="External"/><Relationship Id="rId1412" Type="http://schemas.openxmlformats.org/officeDocument/2006/relationships/hyperlink" Target="http://www.broadinstitute.org/gsea/msigdb/cards/GO_REGULATION_OF_PROTEIN_COMPLEX_ASSEMBLY.html" TargetMode="External"/><Relationship Id="rId1413" Type="http://schemas.openxmlformats.org/officeDocument/2006/relationships/hyperlink" Target="http://www.broadinstitute.org/gsea/msigdb/cards/GO_CELL_DEATH.html" TargetMode="External"/><Relationship Id="rId1414" Type="http://schemas.openxmlformats.org/officeDocument/2006/relationships/hyperlink" Target="http://www.broadinstitute.org/gsea/msigdb/cards/GO_MULTICELLULAR_ORGANISM_REPRODUCTION.html" TargetMode="External"/><Relationship Id="rId1415" Type="http://schemas.openxmlformats.org/officeDocument/2006/relationships/hyperlink" Target="http://www.broadinstitute.org/gsea/msigdb/cards/GO_NEGATIVE_REGULATION_OF_RESPONSE_TO_DNA_DAMAGE_STIMULUS.html" TargetMode="External"/><Relationship Id="rId1416" Type="http://schemas.openxmlformats.org/officeDocument/2006/relationships/hyperlink" Target="http://www.broadinstitute.org/gsea/msigdb/cards/GO_REGULATION_OF_GENE_SILENCING.html" TargetMode="External"/><Relationship Id="rId1417" Type="http://schemas.openxmlformats.org/officeDocument/2006/relationships/hyperlink" Target="http://www.broadinstitute.org/gsea/msigdb/cards/GO_ESTABLISHMENT_OR_MAINTENANCE_OF_CELL_POLARITY.html" TargetMode="External"/><Relationship Id="rId1418" Type="http://schemas.openxmlformats.org/officeDocument/2006/relationships/hyperlink" Target="http://www.broadinstitute.org/gsea/msigdb/cards/GO_MRNA_CLEAVAGE.html" TargetMode="External"/><Relationship Id="rId1419" Type="http://schemas.openxmlformats.org/officeDocument/2006/relationships/hyperlink" Target="http://www.broadinstitute.org/gsea/msigdb/cards/GO_ENDORIBONUCLEASE_COMPLEX.html" TargetMode="External"/><Relationship Id="rId290" Type="http://schemas.openxmlformats.org/officeDocument/2006/relationships/hyperlink" Target="http://www.broadinstitute.org/gsea/msigdb/cards/RATTENBACHER_BOUND_BY_CELF1.html" TargetMode="External"/><Relationship Id="rId291" Type="http://schemas.openxmlformats.org/officeDocument/2006/relationships/hyperlink" Target="http://www.broadinstitute.org/gsea/msigdb/cards/PID_NOTCH_PATHWAY.html" TargetMode="External"/><Relationship Id="rId292" Type="http://schemas.openxmlformats.org/officeDocument/2006/relationships/hyperlink" Target="http://www.broadinstitute.org/gsea/msigdb/cards/BENPORATH_OCT4_TARGETS.html" TargetMode="External"/><Relationship Id="rId293" Type="http://schemas.openxmlformats.org/officeDocument/2006/relationships/hyperlink" Target="http://www.broadinstitute.org/gsea/msigdb/cards/WATANABE_RECTAL_CANCER_RADIOTHERAPY_RESPONSIVE_UP.html" TargetMode="External"/><Relationship Id="rId294" Type="http://schemas.openxmlformats.org/officeDocument/2006/relationships/hyperlink" Target="http://www.broadinstitute.org/gsea/msigdb/cards/ACEVEDO_LIVER_TUMOR_VS_NORMAL_ADJACENT_TISSUE_UP.html" TargetMode="External"/><Relationship Id="rId295" Type="http://schemas.openxmlformats.org/officeDocument/2006/relationships/hyperlink" Target="http://www.broadinstitute.org/gsea/msigdb/cards/GENTILE_UV_RESPONSE_CLUSTER_D5.html" TargetMode="External"/><Relationship Id="rId296" Type="http://schemas.openxmlformats.org/officeDocument/2006/relationships/hyperlink" Target="http://www.broadinstitute.org/gsea/msigdb/cards/YUAN_ZNF143_PARTNERS.html" TargetMode="External"/><Relationship Id="rId297" Type="http://schemas.openxmlformats.org/officeDocument/2006/relationships/hyperlink" Target="http://www.broadinstitute.org/gsea/msigdb/cards/HADDAD_B_LYMPHOCYTE_PROGENITOR.html" TargetMode="External"/><Relationship Id="rId298" Type="http://schemas.openxmlformats.org/officeDocument/2006/relationships/hyperlink" Target="http://www.broadinstitute.org/gsea/msigdb/cards/LIU_SOX4_TARGETS_UP.html" TargetMode="External"/><Relationship Id="rId299" Type="http://schemas.openxmlformats.org/officeDocument/2006/relationships/hyperlink" Target="http://www.broadinstitute.org/gsea/msigdb/cards/PID_IFNG_PATHWAY.html" TargetMode="External"/><Relationship Id="rId2660" Type="http://schemas.openxmlformats.org/officeDocument/2006/relationships/hyperlink" Target="http://www.broadinstitute.org/gsea/msigdb/cards/GSE15624_CTRL_VS_3H_HALOFUGINONE_TREATED_CD4_TCELL_UP.html" TargetMode="External"/><Relationship Id="rId2661" Type="http://schemas.openxmlformats.org/officeDocument/2006/relationships/hyperlink" Target="http://www.broadinstitute.org/gsea/msigdb/cards/GSE13547_CTRL_VS_ANTI_IGM_STIM_ZFX_KO_BCELL_12H_DN.html" TargetMode="External"/><Relationship Id="rId2662" Type="http://schemas.openxmlformats.org/officeDocument/2006/relationships/hyperlink" Target="http://www.broadinstitute.org/gsea/msigdb/cards/GSE37534_PIOGLITAZONE_VS_ROSIGLITAZONE_TREATED_CD4_TCELL_PPARG1_FOXP3_TRANSDUCED_DN.html" TargetMode="External"/><Relationship Id="rId2663" Type="http://schemas.openxmlformats.org/officeDocument/2006/relationships/hyperlink" Target="http://www.broadinstitute.org/gsea/msigdb/cards/GSE22601_DOUBLE_POSITIVE_VS_CD4_SINGLE_POSITIVE_THYMOCYTE_UP.html" TargetMode="External"/><Relationship Id="rId2664" Type="http://schemas.openxmlformats.org/officeDocument/2006/relationships/hyperlink" Target="http://www.broadinstitute.org/gsea/msigdb/cards/GSE13547_2H_VS_12_H_ANTI_IGM_STIM_ZFX_KO_BCELL_UP.html" TargetMode="External"/><Relationship Id="rId2665" Type="http://schemas.openxmlformats.org/officeDocument/2006/relationships/hyperlink" Target="http://www.broadinstitute.org/gsea/msigdb/cards/GSE27241_WT_VS_RORGT_KO_TH17_POLARIZED_CD4_TCELL_UP.html" TargetMode="External"/><Relationship Id="rId2666" Type="http://schemas.openxmlformats.org/officeDocument/2006/relationships/hyperlink" Target="http://www.broadinstitute.org/gsea/msigdb/cards/GSE7459_UNTREATED_VS_IL6_TREATED_ACT_CD4_TCELL_UP.html" TargetMode="External"/><Relationship Id="rId2667" Type="http://schemas.openxmlformats.org/officeDocument/2006/relationships/hyperlink" Target="http://www.broadinstitute.org/gsea/msigdb/cards/GSE10239_NAIVE_VS_DAY4.5_EFF_CD8_TCELL_UP.html" TargetMode="External"/><Relationship Id="rId2668" Type="http://schemas.openxmlformats.org/officeDocument/2006/relationships/hyperlink" Target="http://www.broadinstitute.org/gsea/msigdb/cards/GSE11057_CD4_CENT_MEM_VS_PBMC_UP.html" TargetMode="External"/><Relationship Id="rId2669" Type="http://schemas.openxmlformats.org/officeDocument/2006/relationships/hyperlink" Target="http://www.broadinstitute.org/gsea/msigdb/cards/GSE11864_UNTREATED_VS_CSF1_IN_MAC_DN.html" TargetMode="External"/><Relationship Id="rId1960" Type="http://schemas.openxmlformats.org/officeDocument/2006/relationships/hyperlink" Target="http://www.broadinstitute.org/gsea/msigdb/cards/GSE5589_LPS_VS_LPS_AND_IL6_STIM_MACROPHAGE_45MIN_UP.html" TargetMode="External"/><Relationship Id="rId1961" Type="http://schemas.openxmlformats.org/officeDocument/2006/relationships/hyperlink" Target="http://www.broadinstitute.org/gsea/msigdb/cards/GSE5503_LIVER_DC_VS_PLN_DC_ACTIVATED_ALLOGENIC_TCELL_DN.html" TargetMode="External"/><Relationship Id="rId1962" Type="http://schemas.openxmlformats.org/officeDocument/2006/relationships/hyperlink" Target="http://www.broadinstitute.org/gsea/msigdb/cards/GSE14699_NAIVE_VS_ACT_CD8_TCELL_DN.html" TargetMode="External"/><Relationship Id="rId1963" Type="http://schemas.openxmlformats.org/officeDocument/2006/relationships/hyperlink" Target="http://www.broadinstitute.org/gsea/msigdb/cards/GSE14908_RESTING_VS_HDM_STIM_CD4_TCELL_NONATOPIC_PATIENT_UP.html" TargetMode="External"/><Relationship Id="rId1964" Type="http://schemas.openxmlformats.org/officeDocument/2006/relationships/hyperlink" Target="http://www.broadinstitute.org/gsea/msigdb/cards/GSE18893_CTRL_VS_TNF_TREATED_TCONV_24H_UP.html" TargetMode="External"/><Relationship Id="rId1965" Type="http://schemas.openxmlformats.org/officeDocument/2006/relationships/hyperlink" Target="http://www.broadinstitute.org/gsea/msigdb/cards/GSE16450_CTRL_VS_IFNA_12H_STIM_IMMATURE_NEURON_CELL_LINE_UP.html" TargetMode="External"/><Relationship Id="rId1966" Type="http://schemas.openxmlformats.org/officeDocument/2006/relationships/hyperlink" Target="http://www.broadinstitute.org/gsea/msigdb/cards/GSE21033_CTRL_VS_POLYIC_STIM_DC_3H_DN.html" TargetMode="External"/><Relationship Id="rId1967" Type="http://schemas.openxmlformats.org/officeDocument/2006/relationships/hyperlink" Target="http://www.broadinstitute.org/gsea/msigdb/cards/GSE25088_CTRL_VS_IL4_AND_ROSIGLITAZONE_STIM_STAT6_KO_MACROPHAGE_UP.html" TargetMode="External"/><Relationship Id="rId1968" Type="http://schemas.openxmlformats.org/officeDocument/2006/relationships/hyperlink" Target="http://www.broadinstitute.org/gsea/msigdb/cards/GSE38304_MYC_NEG_VS_POS_GC_BCELL_UP.html" TargetMode="External"/><Relationship Id="rId1969" Type="http://schemas.openxmlformats.org/officeDocument/2006/relationships/hyperlink" Target="http://www.broadinstitute.org/gsea/msigdb/cards/GSE28737_WT_VS_BCL6_KO_MARGINAL_ZONE_BCELL_DN.html" TargetMode="External"/><Relationship Id="rId2120" Type="http://schemas.openxmlformats.org/officeDocument/2006/relationships/hyperlink" Target="http://www.broadinstitute.org/gsea/msigdb/cards/GSE2706_UNSTIM_VS_2H_R848_DC_UP.html" TargetMode="External"/><Relationship Id="rId2121" Type="http://schemas.openxmlformats.org/officeDocument/2006/relationships/hyperlink" Target="http://www.broadinstitute.org/gsea/msigdb/cards/GSE27786_LIN_NEG_VS_MONO_MAC_UP.html" TargetMode="External"/><Relationship Id="rId2122" Type="http://schemas.openxmlformats.org/officeDocument/2006/relationships/hyperlink" Target="http://www.broadinstitute.org/gsea/msigdb/cards/GSE27786_CD4_TCELL_VS_NKTCELL_UP.html" TargetMode="External"/><Relationship Id="rId2123" Type="http://schemas.openxmlformats.org/officeDocument/2006/relationships/hyperlink" Target="http://www.broadinstitute.org/gsea/msigdb/cards/GSE27786_CD8_TCELL_VS_ERYTHROBLAST_UP.html" TargetMode="External"/><Relationship Id="rId2124" Type="http://schemas.openxmlformats.org/officeDocument/2006/relationships/hyperlink" Target="http://www.broadinstitute.org/gsea/msigdb/cards/GSE29618_PRE_VS_DAY7_FLU_VACCINE_MONOCYTE_DN.html" TargetMode="External"/><Relationship Id="rId2125" Type="http://schemas.openxmlformats.org/officeDocument/2006/relationships/hyperlink" Target="http://www.broadinstitute.org/gsea/msigdb/cards/GSE29618_LAIV_VS_TIV_FLU_VACCINE_DAY7_MDC_UP.html" TargetMode="External"/><Relationship Id="rId2126" Type="http://schemas.openxmlformats.org/officeDocument/2006/relationships/hyperlink" Target="http://www.broadinstitute.org/gsea/msigdb/cards/GSE3982_MAC_VS_NEUTROPHIL_DN.html" TargetMode="External"/><Relationship Id="rId2127" Type="http://schemas.openxmlformats.org/officeDocument/2006/relationships/hyperlink" Target="http://www.broadinstitute.org/gsea/msigdb/cards/GSE3982_BASOPHIL_VS_TH1_UP.html" TargetMode="External"/><Relationship Id="rId2128" Type="http://schemas.openxmlformats.org/officeDocument/2006/relationships/hyperlink" Target="http://www.broadinstitute.org/gsea/msigdb/cards/GSE3982_CENT_MEMORY_CD4_TCELL_VS_TH2_UP.html" TargetMode="External"/><Relationship Id="rId2129" Type="http://schemas.openxmlformats.org/officeDocument/2006/relationships/hyperlink" Target="http://www.broadinstitute.org/gsea/msigdb/cards/GSE39820_CTRL_VS_TGFBETA3_IL6_CD4_TCELL_UP.html" TargetMode="External"/><Relationship Id="rId1420" Type="http://schemas.openxmlformats.org/officeDocument/2006/relationships/hyperlink" Target="http://www.broadinstitute.org/gsea/msigdb/cards/GO_CELLULAR_RESPONSE_TO_ENDOGENOUS_STIMULUS.html" TargetMode="External"/><Relationship Id="rId1421" Type="http://schemas.openxmlformats.org/officeDocument/2006/relationships/hyperlink" Target="http://www.broadinstitute.org/gsea/msigdb/cards/GO_SPLICEOSOMAL_COMPLEX_ASSEMBLY.html" TargetMode="External"/><Relationship Id="rId1422" Type="http://schemas.openxmlformats.org/officeDocument/2006/relationships/hyperlink" Target="http://www.broadinstitute.org/gsea/msigdb/cards/GO_ENVELOPE.html" TargetMode="External"/><Relationship Id="rId1423" Type="http://schemas.openxmlformats.org/officeDocument/2006/relationships/hyperlink" Target="http://www.broadinstitute.org/gsea/msigdb/cards/GO_STRUCTURE_SPECIFIC_DNA_BINDING.html" TargetMode="External"/><Relationship Id="rId1424" Type="http://schemas.openxmlformats.org/officeDocument/2006/relationships/hyperlink" Target="http://www.broadinstitute.org/gsea/msigdb/cards/GO_RNA_POLYMERASE_II_TRANSCRIPTION_FACTOR_ACTIVITY_SEQUENCE_SPECIFIC_DNA_BINDING.html" TargetMode="External"/><Relationship Id="rId1425" Type="http://schemas.openxmlformats.org/officeDocument/2006/relationships/hyperlink" Target="http://www.broadinstitute.org/gsea/msigdb/cards/GO_DEMETHYLATION.html" TargetMode="External"/><Relationship Id="rId1426" Type="http://schemas.openxmlformats.org/officeDocument/2006/relationships/hyperlink" Target="http://www.broadinstitute.org/gsea/msigdb/cards/GO_DNA_SYNTHESIS_INVOLVED_IN_DNA_REPAIR.html" TargetMode="External"/><Relationship Id="rId1427" Type="http://schemas.openxmlformats.org/officeDocument/2006/relationships/hyperlink" Target="http://www.broadinstitute.org/gsea/msigdb/cards/GO_TRANSCRIPTIONAL_REPRESSOR_COMPLEX.html" TargetMode="External"/><Relationship Id="rId1428" Type="http://schemas.openxmlformats.org/officeDocument/2006/relationships/hyperlink" Target="http://www.broadinstitute.org/gsea/msigdb/cards/GO_SIGNAL_TRANSDUCTION_IN_RESPONSE_TO_DNA_DAMAGE.html" TargetMode="External"/><Relationship Id="rId1429" Type="http://schemas.openxmlformats.org/officeDocument/2006/relationships/hyperlink" Target="http://www.broadinstitute.org/gsea/msigdb/cards/GO_NLS_BEARING_PROTEIN_IMPORT_INTO_NUCLEUS.html" TargetMode="External"/><Relationship Id="rId2670" Type="http://schemas.openxmlformats.org/officeDocument/2006/relationships/hyperlink" Target="http://www.broadinstitute.org/gsea/msigdb/cards/GSE11864_UNTREATED_VS_CSF1_PAM3CYS_IN_MAC_UP.html" TargetMode="External"/><Relationship Id="rId2671" Type="http://schemas.openxmlformats.org/officeDocument/2006/relationships/hyperlink" Target="http://www.broadinstitute.org/gsea/msigdb/cards/GSE11864_CSF1_VS_CSF1_IFNG_PAM3CYS_IN_MAC_UP.html" TargetMode="External"/><Relationship Id="rId2672" Type="http://schemas.openxmlformats.org/officeDocument/2006/relationships/hyperlink" Target="http://www.broadinstitute.org/gsea/msigdb/cards/GSE11924_TH1_VS_TH2_CD4_TCELL_UP.html" TargetMode="External"/><Relationship Id="rId2673" Type="http://schemas.openxmlformats.org/officeDocument/2006/relationships/hyperlink" Target="http://www.broadinstitute.org/gsea/msigdb/cards/GSE12366_GC_VS_NAIVE_BCELL_UP.html" TargetMode="External"/><Relationship Id="rId2674" Type="http://schemas.openxmlformats.org/officeDocument/2006/relationships/hyperlink" Target="http://www.broadinstitute.org/gsea/msigdb/cards/GSE13306_TREG_VS_TCONV_UP.html" TargetMode="External"/><Relationship Id="rId2675" Type="http://schemas.openxmlformats.org/officeDocument/2006/relationships/hyperlink" Target="http://www.broadinstitute.org/gsea/msigdb/cards/GSE13485_CTRL_VS_DAY1_YF17D_VACCINE_PBMC_UP.html" TargetMode="External"/><Relationship Id="rId2676" Type="http://schemas.openxmlformats.org/officeDocument/2006/relationships/hyperlink" Target="http://www.broadinstitute.org/gsea/msigdb/cards/GSE14308_TH2_VS_INDUCED_TREG_UP.html" TargetMode="External"/><Relationship Id="rId2677" Type="http://schemas.openxmlformats.org/officeDocument/2006/relationships/hyperlink" Target="http://www.broadinstitute.org/gsea/msigdb/cards/GSE15750_DAY6_VS_DAY10_EFF_CD8_TCELL_DN.html" TargetMode="External"/><Relationship Id="rId2678" Type="http://schemas.openxmlformats.org/officeDocument/2006/relationships/hyperlink" Target="http://www.broadinstitute.org/gsea/msigdb/cards/GSE17580_UNINFECTED_VS_S_MANSONI_INF_TEFF_UP.html" TargetMode="External"/><Relationship Id="rId2679" Type="http://schemas.openxmlformats.org/officeDocument/2006/relationships/hyperlink" Target="http://www.broadinstitute.org/gsea/msigdb/cards/GSE17721_CTRL_VS_LPS_0.5H_BMDC_UP.html" TargetMode="External"/><Relationship Id="rId1970" Type="http://schemas.openxmlformats.org/officeDocument/2006/relationships/hyperlink" Target="http://www.broadinstitute.org/gsea/msigdb/cards/GSE41867_NAIVE_VS_DAY6_LCMV_EFFECTOR_CD8_TCELL_DN.html" TargetMode="External"/><Relationship Id="rId1971" Type="http://schemas.openxmlformats.org/officeDocument/2006/relationships/hyperlink" Target="http://www.broadinstitute.org/gsea/msigdb/cards/GSE45365_CD8A_DC_VS_CD11B_DC_UP.html" TargetMode="External"/><Relationship Id="rId1972" Type="http://schemas.openxmlformats.org/officeDocument/2006/relationships/hyperlink" Target="http://www.broadinstitute.org/gsea/msigdb/cards/GSE37605_C57BL6_VS_NOD_FOXP3_FUSION_GFP_TCONV_DN.html" TargetMode="External"/><Relationship Id="rId1973" Type="http://schemas.openxmlformats.org/officeDocument/2006/relationships/hyperlink" Target="http://www.broadinstitute.org/gsea/msigdb/cards/GSE4590_PRE_BCELL_VS_VPREB_POS_LARGE_PRE_BCELL_DN.html" TargetMode="External"/><Relationship Id="rId1974" Type="http://schemas.openxmlformats.org/officeDocument/2006/relationships/hyperlink" Target="http://www.broadinstitute.org/gsea/msigdb/cards/GSE35825_UNTREATED_VS_IFNG_STIM_MACROPHAGE_DN.html" TargetMode="External"/><Relationship Id="rId1975" Type="http://schemas.openxmlformats.org/officeDocument/2006/relationships/hyperlink" Target="http://www.broadinstitute.org/gsea/msigdb/cards/GSE3565_DUSP1_VS_WT_SPLENOCYTES_POST_LPS_INJECTION_UP.html" TargetMode="External"/><Relationship Id="rId1976" Type="http://schemas.openxmlformats.org/officeDocument/2006/relationships/hyperlink" Target="http://www.broadinstitute.org/gsea/msigdb/cards/GSE15330_HSC_VS_MEGAKARYOCYTE_ERYTHROID_PROGENITOR_DN.html" TargetMode="External"/><Relationship Id="rId1977" Type="http://schemas.openxmlformats.org/officeDocument/2006/relationships/hyperlink" Target="http://www.broadinstitute.org/gsea/msigdb/cards/GSE12366_GC_BCELL_VS_PLASMA_CELL_UP.html" TargetMode="External"/><Relationship Id="rId1978" Type="http://schemas.openxmlformats.org/officeDocument/2006/relationships/hyperlink" Target="http://www.broadinstitute.org/gsea/msigdb/cards/GSE14308_TH17_VS_INDUCED_TREG_UP.html" TargetMode="External"/><Relationship Id="rId1979" Type="http://schemas.openxmlformats.org/officeDocument/2006/relationships/hyperlink" Target="http://www.broadinstitute.org/gsea/msigdb/cards/GSE15215_CD2_POS_VS_NEG_PDC_DN.html" TargetMode="External"/><Relationship Id="rId2130" Type="http://schemas.openxmlformats.org/officeDocument/2006/relationships/hyperlink" Target="http://www.broadinstitute.org/gsea/msigdb/cards/GSE39820_TGFBETA1_IL6_VS_TGFBETA1_IL6_IL23A_TREATED_CD4_TCELL_UP.html" TargetMode="External"/><Relationship Id="rId2131" Type="http://schemas.openxmlformats.org/officeDocument/2006/relationships/hyperlink" Target="http://www.broadinstitute.org/gsea/msigdb/cards/GSE5463_CTRL_VS_DEXAMETHASONE_TREATED_THYMOCYTE_DN.html" TargetMode="External"/><Relationship Id="rId2132" Type="http://schemas.openxmlformats.org/officeDocument/2006/relationships/hyperlink" Target="http://www.broadinstitute.org/gsea/msigdb/cards/GSE7400_CTRL_VS_CSF3_IN_VIVO_TREATED_PBMC_UP.html" TargetMode="External"/><Relationship Id="rId2133" Type="http://schemas.openxmlformats.org/officeDocument/2006/relationships/hyperlink" Target="http://www.broadinstitute.org/gsea/msigdb/cards/GSE9037_CTRL_VS_LPS_1H_STIM_BMDM_UP.html" TargetMode="External"/><Relationship Id="rId2134" Type="http://schemas.openxmlformats.org/officeDocument/2006/relationships/hyperlink" Target="http://www.broadinstitute.org/gsea/msigdb/cards/GSE9988_ANTI_TREM1_VS_VEHICLE_TREATED_MONOCYTES_DN.html" TargetMode="External"/><Relationship Id="rId2135" Type="http://schemas.openxmlformats.org/officeDocument/2006/relationships/hyperlink" Target="http://www.broadinstitute.org/gsea/msigdb/cards/GSE9988_LPS_VS_CTRL_TREATED_MONOCYTE_DN.html" TargetMode="External"/><Relationship Id="rId2136" Type="http://schemas.openxmlformats.org/officeDocument/2006/relationships/hyperlink" Target="http://www.broadinstitute.org/gsea/msigdb/cards/GSE369_PRE_VS_POST_IL6_INJECTION_IFNG_WT_LIVER_DN.html" TargetMode="External"/><Relationship Id="rId2137" Type="http://schemas.openxmlformats.org/officeDocument/2006/relationships/hyperlink" Target="http://www.broadinstitute.org/gsea/msigdb/cards/GSE411_100MIN_VS_400MIN_IL6_STIM_SOCS3_KO_MACROPHAGE_DN.html" TargetMode="External"/><Relationship Id="rId2138" Type="http://schemas.openxmlformats.org/officeDocument/2006/relationships/hyperlink" Target="http://www.broadinstitute.org/gsea/msigdb/cards/GSE2770_IL12_AND_TGFB_ACT_VS_ACT_CD4_TCELL_48H_DN.html" TargetMode="External"/><Relationship Id="rId2139" Type="http://schemas.openxmlformats.org/officeDocument/2006/relationships/hyperlink" Target="http://www.broadinstitute.org/gsea/msigdb/cards/GSE2770_IL12_ACT_VS_ACT_CD4_TCELL_2H_DN.html" TargetMode="External"/><Relationship Id="rId1430" Type="http://schemas.openxmlformats.org/officeDocument/2006/relationships/hyperlink" Target="http://www.broadinstitute.org/gsea/msigdb/cards/GO_RAB_GTPASE_BINDING.html" TargetMode="External"/><Relationship Id="rId1431" Type="http://schemas.openxmlformats.org/officeDocument/2006/relationships/hyperlink" Target="http://www.broadinstitute.org/gsea/msigdb/cards/GO_SPLICEOSOMAL_COMPLEX.html" TargetMode="External"/><Relationship Id="rId1432" Type="http://schemas.openxmlformats.org/officeDocument/2006/relationships/hyperlink" Target="http://www.broadinstitute.org/gsea/msigdb/cards/GO_SPINDLE.html" TargetMode="External"/><Relationship Id="rId1433" Type="http://schemas.openxmlformats.org/officeDocument/2006/relationships/hyperlink" Target="http://www.broadinstitute.org/gsea/msigdb/cards/GO_DNA_TEMPLATED_TRANSCRIPTION_ELONGATION.html" TargetMode="External"/><Relationship Id="rId1434" Type="http://schemas.openxmlformats.org/officeDocument/2006/relationships/hyperlink" Target="http://www.broadinstitute.org/gsea/msigdb/cards/GO_ESTABLISHMENT_OF_LOCALIZATION_BY_MOVEMENT_ALONG_MICROTUBULE.html" TargetMode="External"/><Relationship Id="rId1435" Type="http://schemas.openxmlformats.org/officeDocument/2006/relationships/hyperlink" Target="http://www.broadinstitute.org/gsea/msigdb/cards/GO_NEGATIVE_REGULATION_OF_CELL_CYCLE_PHASE_TRANSITION.html" TargetMode="External"/><Relationship Id="rId1436" Type="http://schemas.openxmlformats.org/officeDocument/2006/relationships/hyperlink" Target="http://www.broadinstitute.org/gsea/msigdb/cards/GO_REGULATION_OF_CELL_CYCLE_G1_S_PHASE_TRANSITION.html" TargetMode="External"/><Relationship Id="rId1437" Type="http://schemas.openxmlformats.org/officeDocument/2006/relationships/hyperlink" Target="http://www.broadinstitute.org/gsea/msigdb/cards/GO_DNA_TEMPLATED_TRANSCRIPTION_INITIATION.html" TargetMode="External"/><Relationship Id="rId1438" Type="http://schemas.openxmlformats.org/officeDocument/2006/relationships/hyperlink" Target="http://www.broadinstitute.org/gsea/msigdb/cards/GO_NEGATIVE_REGULATION_OF_CELL_CYCLE_G1_S_PHASE_TRANSITION.html" TargetMode="External"/><Relationship Id="rId1439" Type="http://schemas.openxmlformats.org/officeDocument/2006/relationships/hyperlink" Target="http://www.broadinstitute.org/gsea/msigdb/cards/GO_NUCLEAR_MATRIX.html" TargetMode="External"/><Relationship Id="rId2680" Type="http://schemas.openxmlformats.org/officeDocument/2006/relationships/hyperlink" Target="http://www.broadinstitute.org/gsea/msigdb/cards/GSE17721_CTRL_VS_POLYIC_6H_BMDC_DN.html" TargetMode="External"/><Relationship Id="rId2681" Type="http://schemas.openxmlformats.org/officeDocument/2006/relationships/hyperlink" Target="http://www.broadinstitute.org/gsea/msigdb/cards/GSE17721_CTRL_VS_POLYIC_24H_BMDC_UP.html" TargetMode="External"/><Relationship Id="rId2682" Type="http://schemas.openxmlformats.org/officeDocument/2006/relationships/hyperlink" Target="http://www.broadinstitute.org/gsea/msigdb/cards/GSE17721_POLYIC_VS_PAM3CSK4_2H_BMDC_UP.html" TargetMode="External"/><Relationship Id="rId2683" Type="http://schemas.openxmlformats.org/officeDocument/2006/relationships/hyperlink" Target="http://www.broadinstitute.org/gsea/msigdb/cards/GSE17721_POLYIC_VS_PAM3CSK4_4H_BMDC_UP.html" TargetMode="External"/><Relationship Id="rId2684" Type="http://schemas.openxmlformats.org/officeDocument/2006/relationships/hyperlink" Target="http://www.broadinstitute.org/gsea/msigdb/cards/GSE17721_POLYIC_VS_PAM3CSK4_8H_BMDC_UP.html" TargetMode="External"/><Relationship Id="rId2685" Type="http://schemas.openxmlformats.org/officeDocument/2006/relationships/hyperlink" Target="http://www.broadinstitute.org/gsea/msigdb/cards/GSE17721_PAM3CSK4_VS_CPG_6H_BMDC_UP.html" TargetMode="External"/><Relationship Id="rId2686" Type="http://schemas.openxmlformats.org/officeDocument/2006/relationships/hyperlink" Target="http://www.broadinstitute.org/gsea/msigdb/cards/GSE17721_CPG_VS_GARDIQUIMOD_1H_BMDC_DN.html" TargetMode="External"/><Relationship Id="rId2687" Type="http://schemas.openxmlformats.org/officeDocument/2006/relationships/hyperlink" Target="http://www.broadinstitute.org/gsea/msigdb/cards/GSE17721_CPG_VS_GARDIQUIMOD_2H_BMDC_DN.html" TargetMode="External"/><Relationship Id="rId2688" Type="http://schemas.openxmlformats.org/officeDocument/2006/relationships/hyperlink" Target="http://www.broadinstitute.org/gsea/msigdb/cards/GSE17721_POLYIC_VS_CPG_6H_BMDC_DN.html" TargetMode="External"/><Relationship Id="rId2689" Type="http://schemas.openxmlformats.org/officeDocument/2006/relationships/hyperlink" Target="http://www.broadinstitute.org/gsea/msigdb/cards/GSE17721_POLYIC_VS_CPG_8H_BMDC_DN.html" TargetMode="External"/><Relationship Id="rId1980" Type="http://schemas.openxmlformats.org/officeDocument/2006/relationships/hyperlink" Target="http://www.broadinstitute.org/gsea/msigdb/cards/GSE15767_MED_VS_SCS_MAC_LN_DN.html" TargetMode="External"/><Relationship Id="rId1981" Type="http://schemas.openxmlformats.org/officeDocument/2006/relationships/hyperlink" Target="http://www.broadinstitute.org/gsea/msigdb/cards/GSE17721_CTRL_VS_PAM3CSK4_2H_BMDC_UP.html" TargetMode="External"/><Relationship Id="rId1982" Type="http://schemas.openxmlformats.org/officeDocument/2006/relationships/hyperlink" Target="http://www.broadinstitute.org/gsea/msigdb/cards/GSE17721_LPS_VS_POLYIC_2H_BMDC_DN.html" TargetMode="External"/><Relationship Id="rId1983" Type="http://schemas.openxmlformats.org/officeDocument/2006/relationships/hyperlink" Target="http://www.broadinstitute.org/gsea/msigdb/cards/GSE17721_LPS_VS_GARDIQUIMOD_2H_BMDC_DN.html" TargetMode="External"/><Relationship Id="rId1984" Type="http://schemas.openxmlformats.org/officeDocument/2006/relationships/hyperlink" Target="http://www.broadinstitute.org/gsea/msigdb/cards/GSE18791_UNSTIM_VS_NEWCATSLE_VIRUS_DC_6H_UP.html" TargetMode="External"/><Relationship Id="rId1985" Type="http://schemas.openxmlformats.org/officeDocument/2006/relationships/hyperlink" Target="http://www.broadinstitute.org/gsea/msigdb/cards/GSE24026_PD1_LIGATION_VS_CTRL_IN_ACT_TCELL_LINE_DN.html" TargetMode="External"/><Relationship Id="rId1986" Type="http://schemas.openxmlformats.org/officeDocument/2006/relationships/hyperlink" Target="http://www.broadinstitute.org/gsea/msigdb/cards/GSE27786_NKTCELL_VS_MONO_MAC_UP.html" TargetMode="External"/><Relationship Id="rId1987" Type="http://schemas.openxmlformats.org/officeDocument/2006/relationships/hyperlink" Target="http://www.broadinstitute.org/gsea/msigdb/cards/GSE29618_PRE_VS_DAY7_FLU_VACCINE_PDC_DN.html" TargetMode="External"/><Relationship Id="rId1988" Type="http://schemas.openxmlformats.org/officeDocument/2006/relationships/hyperlink" Target="http://www.broadinstitute.org/gsea/msigdb/cards/GSE360_L_MAJOR_VS_B_MALAYI_HIGH_DOSE_DC_DN.html" TargetMode="External"/><Relationship Id="rId1989" Type="http://schemas.openxmlformats.org/officeDocument/2006/relationships/hyperlink" Target="http://www.broadinstitute.org/gsea/msigdb/cards/GSE7852_LN_VS_FAT_TREG_UP.html" TargetMode="External"/><Relationship Id="rId2140" Type="http://schemas.openxmlformats.org/officeDocument/2006/relationships/hyperlink" Target="http://www.broadinstitute.org/gsea/msigdb/cards/GSE2124_CTRL_VS_LYMPHOTOXIN_BETA_TREATED_MLN_UP.html" TargetMode="External"/><Relationship Id="rId2141" Type="http://schemas.openxmlformats.org/officeDocument/2006/relationships/hyperlink" Target="http://www.broadinstitute.org/gsea/msigdb/cards/GSE2405_S_AUREUS_VS_A_PHAGOCYTOPHILUM_NEUTROPHIL_DN.html" TargetMode="External"/><Relationship Id="rId2142" Type="http://schemas.openxmlformats.org/officeDocument/2006/relationships/hyperlink" Target="http://www.broadinstitute.org/gsea/msigdb/cards/GSE8921_3H_VS_24H_TLR1_2_STIM_MONOCYTE_UP.html" TargetMode="External"/><Relationship Id="rId2143" Type="http://schemas.openxmlformats.org/officeDocument/2006/relationships/hyperlink" Target="http://www.broadinstitute.org/gsea/msigdb/cards/GSE3039_NKT_CELL_VS_B1_BCELL_DN.html" TargetMode="External"/><Relationship Id="rId2144" Type="http://schemas.openxmlformats.org/officeDocument/2006/relationships/hyperlink" Target="http://www.broadinstitute.org/gsea/msigdb/cards/GSE5589_UNSTIM_VS_45MIN_LPS_STIM_MACROPHAGE_UP.html" TargetMode="External"/><Relationship Id="rId2145" Type="http://schemas.openxmlformats.org/officeDocument/2006/relationships/hyperlink" Target="http://www.broadinstitute.org/gsea/msigdb/cards/GSE8621_LPS_STIM_VS_LPS_PRIMED_AND_LPS_STIM_MACROPHAGE_DN.html" TargetMode="External"/><Relationship Id="rId2146" Type="http://schemas.openxmlformats.org/officeDocument/2006/relationships/hyperlink" Target="http://www.broadinstitute.org/gsea/msigdb/cards/GSE9878_CTRL_VS_EBF_TRANSDUCED_PAX5_KO_PRO_BCELL_DN.html" TargetMode="External"/><Relationship Id="rId2147" Type="http://schemas.openxmlformats.org/officeDocument/2006/relationships/hyperlink" Target="http://www.broadinstitute.org/gsea/msigdb/cards/GSE10240_CTRL_VS_IL17_AND_IL22_STIM_PRIMARY_BRONCHIAL_EPITHELIAL_CELLS_DN.html" TargetMode="External"/><Relationship Id="rId2148" Type="http://schemas.openxmlformats.org/officeDocument/2006/relationships/hyperlink" Target="http://www.broadinstitute.org/gsea/msigdb/cards/GSE13946_CTRL_VS_DSS_COLITIS_GD_TCELL_FROM_COLON_DN.html" TargetMode="External"/><Relationship Id="rId2149" Type="http://schemas.openxmlformats.org/officeDocument/2006/relationships/hyperlink" Target="http://www.broadinstitute.org/gsea/msigdb/cards/GSE14415_NATURAL_TREG_VS_FOXP3_KO_NATURAL_TREG_DN.html" TargetMode="External"/><Relationship Id="rId500" Type="http://schemas.openxmlformats.org/officeDocument/2006/relationships/hyperlink" Target="http://www.broadinstitute.org/gsea/msigdb/cards/TGCCTTA_MIR124A.html" TargetMode="External"/><Relationship Id="rId501" Type="http://schemas.openxmlformats.org/officeDocument/2006/relationships/hyperlink" Target="http://www.broadinstitute.org/gsea/msigdb/cards/ACATTCC_MIR1_MIR206.html" TargetMode="External"/><Relationship Id="rId502" Type="http://schemas.openxmlformats.org/officeDocument/2006/relationships/hyperlink" Target="http://www.broadinstitute.org/gsea/msigdb/cards/CAGCTTT_MIR320.html" TargetMode="External"/><Relationship Id="rId503" Type="http://schemas.openxmlformats.org/officeDocument/2006/relationships/hyperlink" Target="http://www.broadinstitute.org/gsea/msigdb/cards/GGCACTT_MIR519E.html" TargetMode="External"/><Relationship Id="rId504" Type="http://schemas.openxmlformats.org/officeDocument/2006/relationships/hyperlink" Target="http://www.broadinstitute.org/gsea/msigdb/cards/MGGAAGTG_GABP_B.html" TargetMode="External"/><Relationship Id="rId505" Type="http://schemas.openxmlformats.org/officeDocument/2006/relationships/hyperlink" Target="http://www.broadinstitute.org/gsea/msigdb/cards/TATTATA_MIR374.html" TargetMode="External"/><Relationship Id="rId506" Type="http://schemas.openxmlformats.org/officeDocument/2006/relationships/hyperlink" Target="http://www.broadinstitute.org/gsea/msigdb/cards/E2F_Q4_01.html" TargetMode="External"/><Relationship Id="rId507" Type="http://schemas.openxmlformats.org/officeDocument/2006/relationships/hyperlink" Target="http://www.broadinstitute.org/gsea/msigdb/cards/GATTGGY_NFY_Q6_01.html" TargetMode="External"/><Relationship Id="rId508" Type="http://schemas.openxmlformats.org/officeDocument/2006/relationships/hyperlink" Target="http://www.broadinstitute.org/gsea/msigdb/cards/E2F1_Q3.html" TargetMode="External"/><Relationship Id="rId509" Type="http://schemas.openxmlformats.org/officeDocument/2006/relationships/hyperlink" Target="http://www.broadinstitute.org/gsea/msigdb/cards/E2F_Q3.html" TargetMode="External"/><Relationship Id="rId1440" Type="http://schemas.openxmlformats.org/officeDocument/2006/relationships/hyperlink" Target="http://www.broadinstitute.org/gsea/msigdb/cards/GO_RNA_POLYMERASE_COMPLEX.html" TargetMode="External"/><Relationship Id="rId1441" Type="http://schemas.openxmlformats.org/officeDocument/2006/relationships/hyperlink" Target="http://www.broadinstitute.org/gsea/msigdb/cards/GO_NEGATIVE_REGULATION_OF_CATABOLIC_PROCESS.html" TargetMode="External"/><Relationship Id="rId1442" Type="http://schemas.openxmlformats.org/officeDocument/2006/relationships/hyperlink" Target="http://www.broadinstitute.org/gsea/msigdb/cards/GO_LIGAND_DEPENDENT_NUCLEAR_RECEPTOR_BINDING.html" TargetMode="External"/><Relationship Id="rId1443" Type="http://schemas.openxmlformats.org/officeDocument/2006/relationships/hyperlink" Target="http://www.broadinstitute.org/gsea/msigdb/cards/GO_NEGATIVE_REGULATION_OF_RESPONSE_TO_STIMULUS.html" TargetMode="External"/><Relationship Id="rId1444" Type="http://schemas.openxmlformats.org/officeDocument/2006/relationships/hyperlink" Target="http://www.broadinstitute.org/gsea/msigdb/cards/GO_ORGANIC_CYCLIC_COMPOUND_CATABOLIC_PROCESS.html" TargetMode="External"/><Relationship Id="rId1445" Type="http://schemas.openxmlformats.org/officeDocument/2006/relationships/hyperlink" Target="http://www.broadinstitute.org/gsea/msigdb/cards/GO_RIBONUCLEASE_ACTIVITY.html" TargetMode="External"/><Relationship Id="rId1446" Type="http://schemas.openxmlformats.org/officeDocument/2006/relationships/hyperlink" Target="http://www.broadinstitute.org/gsea/msigdb/cards/GO_WNT_SIGNALING_PATHWAY_CALCIUM_MODULATING_PATHWAY.html" TargetMode="External"/><Relationship Id="rId1447" Type="http://schemas.openxmlformats.org/officeDocument/2006/relationships/hyperlink" Target="http://www.broadinstitute.org/gsea/msigdb/cards/GO_REGULATION_OF_CELL_DIFFERENTIATION.html" TargetMode="External"/><Relationship Id="rId1448" Type="http://schemas.openxmlformats.org/officeDocument/2006/relationships/hyperlink" Target="http://www.broadinstitute.org/gsea/msigdb/cards/GO_SIGNAL_SEQUENCE_BINDING.html" TargetMode="External"/><Relationship Id="rId1449" Type="http://schemas.openxmlformats.org/officeDocument/2006/relationships/hyperlink" Target="http://www.broadinstitute.org/gsea/msigdb/cards/GO_VESICLE_MEDIATED_TRANSPORT.html" TargetMode="External"/><Relationship Id="rId2690" Type="http://schemas.openxmlformats.org/officeDocument/2006/relationships/hyperlink" Target="http://www.broadinstitute.org/gsea/msigdb/cards/GSE17721_LPS_VS_CPG_0.5H_BMDC_UP.html" TargetMode="External"/><Relationship Id="rId2691" Type="http://schemas.openxmlformats.org/officeDocument/2006/relationships/hyperlink" Target="http://www.broadinstitute.org/gsea/msigdb/cards/GSE17721_LPS_VS_CPG_4H_BMDC_UP.html" TargetMode="External"/><Relationship Id="rId2692" Type="http://schemas.openxmlformats.org/officeDocument/2006/relationships/hyperlink" Target="http://www.broadinstitute.org/gsea/msigdb/cards/GSE17721_LPS_VS_CPG_8H_BMDC_UP.html" TargetMode="External"/><Relationship Id="rId2693" Type="http://schemas.openxmlformats.org/officeDocument/2006/relationships/hyperlink" Target="http://www.broadinstitute.org/gsea/msigdb/cards/GSE17721_POLYIC_VS_GARDIQUIMOD_16H_BMDC_UP.html" TargetMode="External"/><Relationship Id="rId2694" Type="http://schemas.openxmlformats.org/officeDocument/2006/relationships/hyperlink" Target="http://www.broadinstitute.org/gsea/msigdb/cards/GSE17721_LPS_VS_GARDIQUIMOD_8H_BMDC_DN.html" TargetMode="External"/><Relationship Id="rId2695" Type="http://schemas.openxmlformats.org/officeDocument/2006/relationships/hyperlink" Target="http://www.broadinstitute.org/gsea/msigdb/cards/GSE17721_0.5H_VS_8H_LPS_BMDC_DN.html" TargetMode="External"/><Relationship Id="rId2696" Type="http://schemas.openxmlformats.org/officeDocument/2006/relationships/hyperlink" Target="http://www.broadinstitute.org/gsea/msigdb/cards/GSE17721_0.5H_VS_12H_GARDIQUIMOD_BMDC_DN.html" TargetMode="External"/><Relationship Id="rId2697" Type="http://schemas.openxmlformats.org/officeDocument/2006/relationships/hyperlink" Target="http://www.broadinstitute.org/gsea/msigdb/cards/GSE17721_0.5H_VS_24H_GARDIQUIMOD_BMDC_DN.html" TargetMode="External"/><Relationship Id="rId2698" Type="http://schemas.openxmlformats.org/officeDocument/2006/relationships/hyperlink" Target="http://www.broadinstitute.org/gsea/msigdb/cards/GSE18791_CTRL_VS_NEWCASTLE_VIRUS_DC_6H_DN.html" TargetMode="External"/><Relationship Id="rId2699" Type="http://schemas.openxmlformats.org/officeDocument/2006/relationships/hyperlink" Target="http://www.broadinstitute.org/gsea/msigdb/cards/GSE18791_CTRL_VS_NEWCASTLE_VIRUS_DC_14H_UP.html" TargetMode="External"/><Relationship Id="rId1990" Type="http://schemas.openxmlformats.org/officeDocument/2006/relationships/hyperlink" Target="http://www.broadinstitute.org/gsea/msigdb/cards/GSE9988_LOW_LPS_VS_CTRL_TREATED_MONOCYTE_DN.html" TargetMode="External"/><Relationship Id="rId1991" Type="http://schemas.openxmlformats.org/officeDocument/2006/relationships/hyperlink" Target="http://www.broadinstitute.org/gsea/msigdb/cards/GSE2770_TGFB_AND_IL4_VS_IL12_TREATED_ACT_CD4_TCELL_6H_UP.html" TargetMode="External"/><Relationship Id="rId1992" Type="http://schemas.openxmlformats.org/officeDocument/2006/relationships/hyperlink" Target="http://www.broadinstitute.org/gsea/msigdb/cards/GSE2770_TGFB_AND_IL4_VS_IL4_TREATED_ACT_CD4_TCELL_6H_DN.html" TargetMode="External"/><Relationship Id="rId1993" Type="http://schemas.openxmlformats.org/officeDocument/2006/relationships/hyperlink" Target="http://www.broadinstitute.org/gsea/msigdb/cards/GSE4142_NAIVE_BCELL_VS_PLASMA_CELL_DN.html" TargetMode="External"/><Relationship Id="rId1994" Type="http://schemas.openxmlformats.org/officeDocument/2006/relationships/hyperlink" Target="http://www.broadinstitute.org/gsea/msigdb/cards/GSE4748_LPS_VS_LPS_AND_CYANOBACTERIUM_LPSLIKE_STIM_DC_3H_UP.html" TargetMode="External"/><Relationship Id="rId1995" Type="http://schemas.openxmlformats.org/officeDocument/2006/relationships/hyperlink" Target="http://www.broadinstitute.org/gsea/msigdb/cards/GSE5099_UNSTIM_VS_MCSF_TREATED_MONOCYTE_DAY7_UP.html" TargetMode="External"/><Relationship Id="rId1996" Type="http://schemas.openxmlformats.org/officeDocument/2006/relationships/hyperlink" Target="http://www.broadinstitute.org/gsea/msigdb/cards/GSE6259_BCELL_VS_CD8_TCELL_DN.html" TargetMode="External"/><Relationship Id="rId1997" Type="http://schemas.openxmlformats.org/officeDocument/2006/relationships/hyperlink" Target="http://www.broadinstitute.org/gsea/msigdb/cards/GSE8621_LPS_PRIMED_UNSTIM_VS_LPS_PRIMED_AND_LPS_STIM_MACROPHAGE_DN.html" TargetMode="External"/><Relationship Id="rId1998" Type="http://schemas.openxmlformats.org/officeDocument/2006/relationships/hyperlink" Target="http://www.broadinstitute.org/gsea/msigdb/cards/GSE5503_MLN_DC_VS_SPLEEN_DC_ACTIVATED_ALLOGENIC_TCELL_DN.html" TargetMode="External"/><Relationship Id="rId1999" Type="http://schemas.openxmlformats.org/officeDocument/2006/relationships/hyperlink" Target="http://www.broadinstitute.org/gsea/msigdb/cards/GSE15139_GMCSF_TREATED_VS_UNTREATED_NEUTROPHILS_DN.html" TargetMode="External"/><Relationship Id="rId2150" Type="http://schemas.openxmlformats.org/officeDocument/2006/relationships/hyperlink" Target="http://www.broadinstitute.org/gsea/msigdb/cards/GSE15330_WT_VS_IKAROS_KO_LYMPHOID_MULTIPOTENT_PROGENITOR_DN.html" TargetMode="External"/><Relationship Id="rId2151" Type="http://schemas.openxmlformats.org/officeDocument/2006/relationships/hyperlink" Target="http://www.broadinstitute.org/gsea/msigdb/cards/GSE18893_CTRL_VS_TNF_TREATED_TREG_2H_UP.html" TargetMode="External"/><Relationship Id="rId2152" Type="http://schemas.openxmlformats.org/officeDocument/2006/relationships/hyperlink" Target="http://www.broadinstitute.org/gsea/msigdb/cards/GSE21670_UNTREATED_VS_TGFB_IL6_TREATED_STAT3_KO_CD4_TCELL_DN.html" TargetMode="External"/><Relationship Id="rId2153" Type="http://schemas.openxmlformats.org/officeDocument/2006/relationships/hyperlink" Target="http://www.broadinstitute.org/gsea/msigdb/cards/GSE21774_CD62L_POS_CD56_BRIGHT_VS_CD62L_NEG_CD56_DIM_NK_CELL_DN.html" TargetMode="External"/><Relationship Id="rId2154" Type="http://schemas.openxmlformats.org/officeDocument/2006/relationships/hyperlink" Target="http://www.broadinstitute.org/gsea/msigdb/cards/GSE21379_TFH_VS_NON_TFH_SAP_KO_CD4_TCELL_UP.html" TargetMode="External"/><Relationship Id="rId2155" Type="http://schemas.openxmlformats.org/officeDocument/2006/relationships/hyperlink" Target="http://www.broadinstitute.org/gsea/msigdb/cards/GSE21927_SPLEEN_C57BL6_VS_4T1_TUMOR_BALBC_MONOCYTES_UP.html" TargetMode="External"/><Relationship Id="rId2156" Type="http://schemas.openxmlformats.org/officeDocument/2006/relationships/hyperlink" Target="http://www.broadinstitute.org/gsea/msigdb/cards/GSE19401_UNSTIM_VS_PAM2CSK4_STIM_FOLLICULAR_DC_UP.html" TargetMode="External"/><Relationship Id="rId2157" Type="http://schemas.openxmlformats.org/officeDocument/2006/relationships/hyperlink" Target="http://www.broadinstitute.org/gsea/msigdb/cards/GSE23695_CD57_POS_VS_NEG_NK_CELL_DN.html" TargetMode="External"/><Relationship Id="rId2158" Type="http://schemas.openxmlformats.org/officeDocument/2006/relationships/hyperlink" Target="http://www.broadinstitute.org/gsea/msigdb/cards/GSE22919_RESTING_VS_IL2_IL12_IL15_STIM_NK_CELL_UP.html" TargetMode="External"/><Relationship Id="rId2159" Type="http://schemas.openxmlformats.org/officeDocument/2006/relationships/hyperlink" Target="http://www.broadinstitute.org/gsea/msigdb/cards/GSE23505_IL6_IL1_VS_IL6_IL1_IL23_TREATED_CD4_TCELL_DN.html" TargetMode="External"/><Relationship Id="rId510" Type="http://schemas.openxmlformats.org/officeDocument/2006/relationships/hyperlink" Target="http://www.broadinstitute.org/gsea/msigdb/cards/TCF11_01.html" TargetMode="External"/><Relationship Id="rId511" Type="http://schemas.openxmlformats.org/officeDocument/2006/relationships/hyperlink" Target="http://www.broadinstitute.org/gsea/msigdb/cards/ACCATTT_MIR522.html" TargetMode="External"/><Relationship Id="rId512" Type="http://schemas.openxmlformats.org/officeDocument/2006/relationships/hyperlink" Target="http://www.broadinstitute.org/gsea/msigdb/cards/AAGCCAT_MIR135A_MIR135B.html" TargetMode="External"/><Relationship Id="rId513" Type="http://schemas.openxmlformats.org/officeDocument/2006/relationships/hyperlink" Target="http://www.broadinstitute.org/gsea/msigdb/cards/GTATTAT_MIR3693P.html" TargetMode="External"/><Relationship Id="rId514" Type="http://schemas.openxmlformats.org/officeDocument/2006/relationships/hyperlink" Target="http://www.broadinstitute.org/gsea/msigdb/cards/ATGTTTC_MIR494.html" TargetMode="External"/><Relationship Id="rId515" Type="http://schemas.openxmlformats.org/officeDocument/2006/relationships/hyperlink" Target="http://www.broadinstitute.org/gsea/msigdb/cards/AP2_Q6.html" TargetMode="External"/><Relationship Id="rId516" Type="http://schemas.openxmlformats.org/officeDocument/2006/relationships/hyperlink" Target="http://www.broadinstitute.org/gsea/msigdb/cards/ATGGYGGA_UNKNOWN.html" TargetMode="External"/><Relationship Id="rId517" Type="http://schemas.openxmlformats.org/officeDocument/2006/relationships/hyperlink" Target="http://www.broadinstitute.org/gsea/msigdb/cards/ERR1_Q2.html" TargetMode="External"/><Relationship Id="rId518" Type="http://schemas.openxmlformats.org/officeDocument/2006/relationships/hyperlink" Target="http://www.broadinstitute.org/gsea/msigdb/cards/AACTGGA_MIR145.html" TargetMode="External"/><Relationship Id="rId519" Type="http://schemas.openxmlformats.org/officeDocument/2006/relationships/hyperlink" Target="http://www.broadinstitute.org/gsea/msigdb/cards/CTTTGCA_MIR527.html" TargetMode="External"/><Relationship Id="rId1450" Type="http://schemas.openxmlformats.org/officeDocument/2006/relationships/hyperlink" Target="http://www.broadinstitute.org/gsea/msigdb/cards/GO_NUCLEOSIDE_TRIPHOSPHATASE_REGULATOR_ACTIVITY.html" TargetMode="External"/><Relationship Id="rId1451" Type="http://schemas.openxmlformats.org/officeDocument/2006/relationships/hyperlink" Target="http://www.broadinstitute.org/gsea/msigdb/cards/GO_ANATOMICAL_STRUCTURE_FORMATION_INVOLVED_IN_MORPHOGENESIS.html" TargetMode="External"/><Relationship Id="rId1452" Type="http://schemas.openxmlformats.org/officeDocument/2006/relationships/hyperlink" Target="http://www.broadinstitute.org/gsea/msigdb/cards/GO_DNA_MODIFICATION.html" TargetMode="External"/><Relationship Id="rId1453" Type="http://schemas.openxmlformats.org/officeDocument/2006/relationships/hyperlink" Target="http://www.broadinstitute.org/gsea/msigdb/cards/GO_ESTROGEN_RECEPTOR_BINDING.html" TargetMode="External"/><Relationship Id="rId1454" Type="http://schemas.openxmlformats.org/officeDocument/2006/relationships/hyperlink" Target="http://www.broadinstitute.org/gsea/msigdb/cards/GO_PEPTIDYL_METHIONINE_MODIFICATION.html" TargetMode="External"/><Relationship Id="rId1455" Type="http://schemas.openxmlformats.org/officeDocument/2006/relationships/hyperlink" Target="http://www.broadinstitute.org/gsea/msigdb/cards/GO_RNA_INTERFERENCE.html" TargetMode="External"/><Relationship Id="rId1456" Type="http://schemas.openxmlformats.org/officeDocument/2006/relationships/hyperlink" Target="http://www.broadinstitute.org/gsea/msigdb/cards/GO_POLY_A_SPECIFIC_RIBONUCLEASE_ACTIVITY.html" TargetMode="External"/><Relationship Id="rId1457" Type="http://schemas.openxmlformats.org/officeDocument/2006/relationships/hyperlink" Target="http://www.broadinstitute.org/gsea/msigdb/cards/GO_POSITIVE_REGULATION_OF_CELL_CYCLE.html" TargetMode="External"/><Relationship Id="rId1458" Type="http://schemas.openxmlformats.org/officeDocument/2006/relationships/hyperlink" Target="http://www.broadinstitute.org/gsea/msigdb/cards/GO_TRANSCRIPTION_INITIATION_FROM_RNA_POLYMERASE_II_PROMOTER.html" TargetMode="External"/><Relationship Id="rId1459" Type="http://schemas.openxmlformats.org/officeDocument/2006/relationships/hyperlink" Target="http://www.broadinstitute.org/gsea/msigdb/cards/GO_SIGNAL_TRANSDUCTION_BY_P53_CLASS_MEDIATOR.html" TargetMode="External"/><Relationship Id="rId2160" Type="http://schemas.openxmlformats.org/officeDocument/2006/relationships/hyperlink" Target="http://www.broadinstitute.org/gsea/msigdb/cards/GSE16385_MONOCYTE_VS_12H_ROSIGLITAZONE_IL4_TREATED_MACROPHAGE_DN.html" TargetMode="External"/><Relationship Id="rId2161" Type="http://schemas.openxmlformats.org/officeDocument/2006/relationships/hyperlink" Target="http://www.broadinstitute.org/gsea/msigdb/cards/GSE25123_CTRL_VS_ROSIGLITAZONE_STIM_MACROPHAGE_UP.html" TargetMode="External"/><Relationship Id="rId2162" Type="http://schemas.openxmlformats.org/officeDocument/2006/relationships/hyperlink" Target="http://www.broadinstitute.org/gsea/msigdb/cards/GSE25123_CTRL_VS_IL4_AND_ROSIGLITAZONE_STIM_MACROPHAGE_DN.html" TargetMode="External"/><Relationship Id="rId2163" Type="http://schemas.openxmlformats.org/officeDocument/2006/relationships/hyperlink" Target="http://www.broadinstitute.org/gsea/msigdb/cards/GSE25123_IL4_VS_IL4_AND_ROSIGLITAZONE_STIM_MACROPHAGE_DAY10_DN.html" TargetMode="External"/><Relationship Id="rId2164" Type="http://schemas.openxmlformats.org/officeDocument/2006/relationships/hyperlink" Target="http://www.broadinstitute.org/gsea/msigdb/cards/GSE17301_CTRL_VS_48H_ACD3_ACD28_IFNA5_STIM_CD8_TCELL_UP.html" TargetMode="External"/><Relationship Id="rId2165" Type="http://schemas.openxmlformats.org/officeDocument/2006/relationships/hyperlink" Target="http://www.broadinstitute.org/gsea/msigdb/cards/GSE23502_BM_VS_COLON_TUMOR_MYELOID_DERIVED_SUPPRESSOR_CELL_DN.html" TargetMode="External"/><Relationship Id="rId2166" Type="http://schemas.openxmlformats.org/officeDocument/2006/relationships/hyperlink" Target="http://www.broadinstitute.org/gsea/msigdb/cards/GSE22443_NAIVE_VS_ACT_AND_IL12_TREATED_CD8_TCELL_DN.html" TargetMode="External"/><Relationship Id="rId2167" Type="http://schemas.openxmlformats.org/officeDocument/2006/relationships/hyperlink" Target="http://www.broadinstitute.org/gsea/msigdb/cards/GSE22025_PROGESTERONE_VS_TGFB1_AND_PROGESTERONE_TREATED_CD4_TCELL_UP.html" TargetMode="External"/><Relationship Id="rId2168" Type="http://schemas.openxmlformats.org/officeDocument/2006/relationships/hyperlink" Target="http://www.broadinstitute.org/gsea/msigdb/cards/GSE29949_MICROGLIA_VS_DC_BRAIN_UP.html" TargetMode="External"/><Relationship Id="rId2169" Type="http://schemas.openxmlformats.org/officeDocument/2006/relationships/hyperlink" Target="http://www.broadinstitute.org/gsea/msigdb/cards/GSE32986_GMCSF_VS_GMCSF_AND_CURDLAN_HIGHDOSE_STIM_DC_DN.html" TargetMode="External"/><Relationship Id="rId520" Type="http://schemas.openxmlformats.org/officeDocument/2006/relationships/hyperlink" Target="http://www.broadinstitute.org/gsea/msigdb/cards/SOX9_B1.html" TargetMode="External"/><Relationship Id="rId521" Type="http://schemas.openxmlformats.org/officeDocument/2006/relationships/hyperlink" Target="http://www.broadinstitute.org/gsea/msigdb/cards/KCCGNSWTTT_UNKNOWN.html" TargetMode="External"/><Relationship Id="rId522" Type="http://schemas.openxmlformats.org/officeDocument/2006/relationships/hyperlink" Target="http://www.broadinstitute.org/gsea/msigdb/cards/GTAAGAT_MIR200A.html" TargetMode="External"/><Relationship Id="rId523" Type="http://schemas.openxmlformats.org/officeDocument/2006/relationships/hyperlink" Target="http://www.broadinstitute.org/gsea/msigdb/cards/SGCGSSAAA_E2F1DP2_01.html" TargetMode="External"/><Relationship Id="rId524" Type="http://schemas.openxmlformats.org/officeDocument/2006/relationships/hyperlink" Target="http://www.broadinstitute.org/gsea/msigdb/cards/E2F_03.html" TargetMode="External"/><Relationship Id="rId525" Type="http://schemas.openxmlformats.org/officeDocument/2006/relationships/hyperlink" Target="http://www.broadinstitute.org/gsea/msigdb/cards/ELK1_02.html" TargetMode="External"/><Relationship Id="rId526" Type="http://schemas.openxmlformats.org/officeDocument/2006/relationships/hyperlink" Target="http://www.broadinstitute.org/gsea/msigdb/cards/ATACTGT_MIR144.html" TargetMode="External"/><Relationship Id="rId527" Type="http://schemas.openxmlformats.org/officeDocument/2006/relationships/hyperlink" Target="http://www.broadinstitute.org/gsea/msigdb/cards/CMYB_01.html" TargetMode="External"/><Relationship Id="rId528" Type="http://schemas.openxmlformats.org/officeDocument/2006/relationships/hyperlink" Target="http://www.broadinstitute.org/gsea/msigdb/cards/AAAGGGA_MIR204_MIR211.html" TargetMode="External"/><Relationship Id="rId529" Type="http://schemas.openxmlformats.org/officeDocument/2006/relationships/hyperlink" Target="http://www.broadinstitute.org/gsea/msigdb/cards/TTTTGAG_MIR373.html" TargetMode="External"/><Relationship Id="rId1460" Type="http://schemas.openxmlformats.org/officeDocument/2006/relationships/hyperlink" Target="http://www.broadinstitute.org/gsea/msigdb/cards/GO_EARLY_ENDOSOME.html" TargetMode="External"/><Relationship Id="rId1461" Type="http://schemas.openxmlformats.org/officeDocument/2006/relationships/hyperlink" Target="http://www.broadinstitute.org/gsea/msigdb/cards/GO_PEPTIDYL_LYSINE_TRIMETHYLATION.html" TargetMode="External"/><Relationship Id="rId1462" Type="http://schemas.openxmlformats.org/officeDocument/2006/relationships/hyperlink" Target="http://www.broadinstitute.org/gsea/msigdb/cards/GO_REGULATION_OF_DNA_DEPENDENT_DNA_REPLICATION.html" TargetMode="External"/><Relationship Id="rId1463" Type="http://schemas.openxmlformats.org/officeDocument/2006/relationships/hyperlink" Target="http://www.broadinstitute.org/gsea/msigdb/cards/GO_ORGANELLE_TRANSPORT_ALONG_MICROTUBULE.html" TargetMode="External"/><Relationship Id="rId1464" Type="http://schemas.openxmlformats.org/officeDocument/2006/relationships/hyperlink" Target="http://www.broadinstitute.org/gsea/msigdb/cards/GO_SIGNAL_TRANSDUCTION_BY_PROTEIN_PHOSPHORYLATION.html" TargetMode="External"/><Relationship Id="rId1465" Type="http://schemas.openxmlformats.org/officeDocument/2006/relationships/hyperlink" Target="http://www.broadinstitute.org/gsea/msigdb/cards/GO_HISTONE_DEACETYLASE_BINDING.html" TargetMode="External"/><Relationship Id="rId1466" Type="http://schemas.openxmlformats.org/officeDocument/2006/relationships/hyperlink" Target="http://www.broadinstitute.org/gsea/msigdb/cards/GO_TRANSCRIPTION_ELONGATION_FROM_RNA_POLYMERASE_II_PROMOTER.html" TargetMode="External"/><Relationship Id="rId1467" Type="http://schemas.openxmlformats.org/officeDocument/2006/relationships/hyperlink" Target="http://www.broadinstitute.org/gsea/msigdb/cards/GO_POSITIVE_REGULATION_OF_DNA_METABOLIC_PROCESS.html" TargetMode="External"/><Relationship Id="rId1468" Type="http://schemas.openxmlformats.org/officeDocument/2006/relationships/hyperlink" Target="http://www.broadinstitute.org/gsea/msigdb/cards/GO_CYTOPLASMIC_MRNA_PROCESSING_BODY_ASSEMBLY.html" TargetMode="External"/><Relationship Id="rId1469" Type="http://schemas.openxmlformats.org/officeDocument/2006/relationships/hyperlink" Target="http://www.broadinstitute.org/gsea/msigdb/cards/GO_PRE_MIRNA_PROCESSING.html" TargetMode="External"/><Relationship Id="rId2170" Type="http://schemas.openxmlformats.org/officeDocument/2006/relationships/hyperlink" Target="http://www.broadinstitute.org/gsea/msigdb/cards/GSE40277_GATA1_AND_SATB1_TRANSDUCED_VS_CTRL_CD4_TCELL_DN.html" TargetMode="External"/><Relationship Id="rId2171" Type="http://schemas.openxmlformats.org/officeDocument/2006/relationships/hyperlink" Target="http://www.broadinstitute.org/gsea/msigdb/cards/GSE40666_STAT1_KO_VS_STAT4_KO_CD8_TCELL_WITH_IFNA_STIM_90MIN_UP.html" TargetMode="External"/><Relationship Id="rId2172" Type="http://schemas.openxmlformats.org/officeDocument/2006/relationships/hyperlink" Target="http://www.broadinstitute.org/gsea/msigdb/cards/GSE40068_CXCR5POS_BCL6POS_TFH_VS_CXCR5NEG_BCL6NEG_CD4_TCELL_DN.html" TargetMode="External"/><Relationship Id="rId2173" Type="http://schemas.openxmlformats.org/officeDocument/2006/relationships/hyperlink" Target="http://www.broadinstitute.org/gsea/msigdb/cards/GSE11961_FOLLICULAR_BCELL_VS_PLASMA_CELL_DAY7_DN.html" TargetMode="External"/><Relationship Id="rId2174" Type="http://schemas.openxmlformats.org/officeDocument/2006/relationships/hyperlink" Target="http://www.broadinstitute.org/gsea/msigdb/cards/GSE11961_GERMINAL_CENTER_BCELL_DAY7_VS_GERMINAL_CENTER_BCELL_DAY40_DN.html" TargetMode="External"/><Relationship Id="rId2175" Type="http://schemas.openxmlformats.org/officeDocument/2006/relationships/hyperlink" Target="http://www.broadinstitute.org/gsea/msigdb/cards/GSE24671_CTRL_VS_BAKIMULC_INFECTED_MOUSE_SPLENOCYTES_UP.html" TargetMode="External"/><Relationship Id="rId2176" Type="http://schemas.openxmlformats.org/officeDocument/2006/relationships/hyperlink" Target="http://www.broadinstitute.org/gsea/msigdb/cards/GSE41867_NAIVE_VS_DAY30_LCMV_CLONE13_EXHAUSTED_CD8_TCELL_DN.html" TargetMode="External"/><Relationship Id="rId2177" Type="http://schemas.openxmlformats.org/officeDocument/2006/relationships/hyperlink" Target="http://www.broadinstitute.org/gsea/msigdb/cards/GSE44649_NAIVE_VS_ACTIVATED_CD8_TCELL_MIR155_KO_UP.html" TargetMode="External"/><Relationship Id="rId2178" Type="http://schemas.openxmlformats.org/officeDocument/2006/relationships/hyperlink" Target="http://www.broadinstitute.org/gsea/msigdb/cards/GSE46606_UNSTIM_VS_CD40L_IL2_IL5_1DAY_STIMULATED_IRF4MID_SORTED_BCELL_UP.html" TargetMode="External"/><Relationship Id="rId2179" Type="http://schemas.openxmlformats.org/officeDocument/2006/relationships/hyperlink" Target="http://www.broadinstitute.org/gsea/msigdb/cards/GSE45739_UNSTIM_VS_ACD3_ACD28_STIM_NRAS_KO_CD4_TCELL_UP.html" TargetMode="External"/><Relationship Id="rId530" Type="http://schemas.openxmlformats.org/officeDocument/2006/relationships/hyperlink" Target="http://www.broadinstitute.org/gsea/msigdb/cards/ACATATC_MIR190.html" TargetMode="External"/><Relationship Id="rId531" Type="http://schemas.openxmlformats.org/officeDocument/2006/relationships/hyperlink" Target="http://www.broadinstitute.org/gsea/msigdb/cards/ACACTGG_MIR199A_MIR199B.html" TargetMode="External"/><Relationship Id="rId532" Type="http://schemas.openxmlformats.org/officeDocument/2006/relationships/hyperlink" Target="http://www.broadinstitute.org/gsea/msigdb/cards/ATGCAGT_MIR217.html" TargetMode="External"/><Relationship Id="rId533" Type="http://schemas.openxmlformats.org/officeDocument/2006/relationships/hyperlink" Target="http://www.broadinstitute.org/gsea/msigdb/cards/USF_01.html" TargetMode="External"/><Relationship Id="rId534" Type="http://schemas.openxmlformats.org/officeDocument/2006/relationships/hyperlink" Target="http://www.broadinstitute.org/gsea/msigdb/cards/SF1_Q6.html" TargetMode="External"/><Relationship Id="rId535" Type="http://schemas.openxmlformats.org/officeDocument/2006/relationships/hyperlink" Target="http://www.broadinstitute.org/gsea/msigdb/cards/MAX_01.html" TargetMode="External"/><Relationship Id="rId536" Type="http://schemas.openxmlformats.org/officeDocument/2006/relationships/hyperlink" Target="http://www.broadinstitute.org/gsea/msigdb/cards/CACTTTG_MIR520G_MIR520H.html" TargetMode="External"/><Relationship Id="rId537" Type="http://schemas.openxmlformats.org/officeDocument/2006/relationships/hyperlink" Target="http://www.broadinstitute.org/gsea/msigdb/cards/TCCATTKW_UNKNOWN.html" TargetMode="External"/><Relationship Id="rId538" Type="http://schemas.openxmlformats.org/officeDocument/2006/relationships/hyperlink" Target="http://www.broadinstitute.org/gsea/msigdb/cards/AHR_Q5.html" TargetMode="External"/><Relationship Id="rId539" Type="http://schemas.openxmlformats.org/officeDocument/2006/relationships/hyperlink" Target="http://www.broadinstitute.org/gsea/msigdb/cards/ACTGTAG_MIR139.html" TargetMode="External"/><Relationship Id="rId1470" Type="http://schemas.openxmlformats.org/officeDocument/2006/relationships/hyperlink" Target="http://www.broadinstitute.org/gsea/msigdb/cards/GO_CYTOPLASMIC_UBIQUITIN_LIGASE_COMPLEX.html" TargetMode="External"/><Relationship Id="rId1471" Type="http://schemas.openxmlformats.org/officeDocument/2006/relationships/hyperlink" Target="http://www.broadinstitute.org/gsea/msigdb/cards/GO_NEGATIVE_REGULATION_OF_TELOMERE_MAINTENANCE.html" TargetMode="External"/><Relationship Id="rId1472" Type="http://schemas.openxmlformats.org/officeDocument/2006/relationships/hyperlink" Target="http://www.broadinstitute.org/gsea/msigdb/cards/GO_HISTONE_DEMETHYLASE_ACTIVITY.html" TargetMode="External"/><Relationship Id="rId1473" Type="http://schemas.openxmlformats.org/officeDocument/2006/relationships/hyperlink" Target="http://www.broadinstitute.org/gsea/msigdb/cards/GO_EMBRYONIC_PLACENTA_DEVELOPMENT.html" TargetMode="External"/><Relationship Id="rId1474" Type="http://schemas.openxmlformats.org/officeDocument/2006/relationships/hyperlink" Target="http://www.broadinstitute.org/gsea/msigdb/cards/GO_PROTEIN_DOMAIN_SPECIFIC_BINDING.html" TargetMode="External"/><Relationship Id="rId1475" Type="http://schemas.openxmlformats.org/officeDocument/2006/relationships/hyperlink" Target="http://www.broadinstitute.org/gsea/msigdb/cards/GO_TUBE_DEVELOPMENT.html" TargetMode="External"/><Relationship Id="rId1476" Type="http://schemas.openxmlformats.org/officeDocument/2006/relationships/hyperlink" Target="http://www.broadinstitute.org/gsea/msigdb/cards/GO_TRANSCRIPTION_FACTOR_ACTIVITY_RNA_POLYMERASE_II_TRANSCRIPTION_FACTOR_BINDING.html" TargetMode="External"/><Relationship Id="rId1477" Type="http://schemas.openxmlformats.org/officeDocument/2006/relationships/hyperlink" Target="http://www.broadinstitute.org/gsea/msigdb/cards/GO_REGULATION_OF_CYTOPLASMIC_TRANSPORT.html" TargetMode="External"/><Relationship Id="rId1478" Type="http://schemas.openxmlformats.org/officeDocument/2006/relationships/hyperlink" Target="http://www.broadinstitute.org/gsea/msigdb/cards/GO_CELLULAR_COMPONENT_MORPHOGENESIS.html" TargetMode="External"/><Relationship Id="rId1479" Type="http://schemas.openxmlformats.org/officeDocument/2006/relationships/hyperlink" Target="http://www.broadinstitute.org/gsea/msigdb/cards/GO_BASAL_TRANSCRIPTION_MACHINERY_BINDING.html" TargetMode="External"/><Relationship Id="rId2900" Type="http://schemas.openxmlformats.org/officeDocument/2006/relationships/hyperlink" Target="http://www.broadinstitute.org/gsea/msigdb/cards/GSE12845_NAIVE_VS_PRE_GC_TONSIL_BCELL_UP.html" TargetMode="External"/><Relationship Id="rId2901" Type="http://schemas.openxmlformats.org/officeDocument/2006/relationships/hyperlink" Target="http://www.broadinstitute.org/gsea/msigdb/cards/GSE12845_PRE_GC_VS_DARKZONE_GC_TONSIL_BCELL_UP.html" TargetMode="External"/><Relationship Id="rId2902" Type="http://schemas.openxmlformats.org/officeDocument/2006/relationships/hyperlink" Target="http://www.broadinstitute.org/gsea/msigdb/cards/GSE12845_PRE_GC_VS_DARKZONE_GC_TONSIL_BCELL_DN.html" TargetMode="External"/><Relationship Id="rId2903" Type="http://schemas.openxmlformats.org/officeDocument/2006/relationships/hyperlink" Target="http://www.broadinstitute.org/gsea/msigdb/cards/GSE13306_RA_VS_UNTREATED_MEM_CD4_TCELL_UP.html" TargetMode="External"/><Relationship Id="rId2904" Type="http://schemas.openxmlformats.org/officeDocument/2006/relationships/hyperlink" Target="http://www.broadinstitute.org/gsea/msigdb/cards/GSE13411_IGM_MEMORY_BCELL_VS_PLASMA_CELL_UP.html" TargetMode="External"/><Relationship Id="rId2905" Type="http://schemas.openxmlformats.org/officeDocument/2006/relationships/hyperlink" Target="http://www.broadinstitute.org/gsea/msigdb/cards/GSE13484_12H_VS_3H_YF17D_VACCINE_STIM_PBMC_UP.html" TargetMode="External"/><Relationship Id="rId2906" Type="http://schemas.openxmlformats.org/officeDocument/2006/relationships/hyperlink" Target="http://www.broadinstitute.org/gsea/msigdb/cards/GSE13485_PRE_VS_POST_YF17D_VACCINATION_PBMC_UP.html" TargetMode="External"/><Relationship Id="rId2907" Type="http://schemas.openxmlformats.org/officeDocument/2006/relationships/hyperlink" Target="http://www.broadinstitute.org/gsea/msigdb/cards/GSE13493_DP_VS_CD4INTCD8POS_THYMOCYTE_DN.html" TargetMode="External"/><Relationship Id="rId2908" Type="http://schemas.openxmlformats.org/officeDocument/2006/relationships/hyperlink" Target="http://www.broadinstitute.org/gsea/msigdb/cards/GSE14308_TH17_VS_NATURAL_TREG_DN.html" TargetMode="External"/><Relationship Id="rId2909" Type="http://schemas.openxmlformats.org/officeDocument/2006/relationships/hyperlink" Target="http://www.broadinstitute.org/gsea/msigdb/cards/GSE14308_NAIVE_CD4_TCELL_VS_INDUCED_TREG_DN.html" TargetMode="External"/><Relationship Id="rId2180" Type="http://schemas.openxmlformats.org/officeDocument/2006/relationships/hyperlink" Target="http://www.broadinstitute.org/gsea/msigdb/cards/GSE32901_NAIVE_VS_TH17_ENRICHED_CD4_TCELL_DN.html" TargetMode="External"/><Relationship Id="rId2181" Type="http://schemas.openxmlformats.org/officeDocument/2006/relationships/hyperlink" Target="http://www.broadinstitute.org/gsea/msigdb/cards/GSE4984_UNTREATED_VS_VEHICLE_CTRL_TREATED_DC_UP.html" TargetMode="External"/><Relationship Id="rId2182" Type="http://schemas.openxmlformats.org/officeDocument/2006/relationships/hyperlink" Target="http://www.broadinstitute.org/gsea/msigdb/cards/GSE3565_DUSP1_VS_WT_SPLENOCYTES_DN.html" TargetMode="External"/><Relationship Id="rId2183" Type="http://schemas.openxmlformats.org/officeDocument/2006/relationships/hyperlink" Target="http://www.broadinstitute.org/gsea/msigdb/cards/GSE37301_HEMATOPOIETIC_STEM_CELL_VS_LYMPHOID_PRIMED_MPP_UP.html" TargetMode="External"/><Relationship Id="rId2184" Type="http://schemas.openxmlformats.org/officeDocument/2006/relationships/hyperlink" Target="http://www.broadinstitute.org/gsea/msigdb/cards/GSE12003_4D_VS_8D_CULTURE_BM_PROGENITOR_UP.html" TargetMode="External"/><Relationship Id="rId2185" Type="http://schemas.openxmlformats.org/officeDocument/2006/relationships/hyperlink" Target="http://www.broadinstitute.org/gsea/msigdb/cards/GSE7218_UNSTIM_VS_ANTIGEN_STIM_THROUGH_IGM_BCELL_DN.html" TargetMode="External"/><Relationship Id="rId2186" Type="http://schemas.openxmlformats.org/officeDocument/2006/relationships/hyperlink" Target="http://www.broadinstitute.org/gsea/msigdb/cards/GSE10147_IL3_VS_IL3_AND_CPG_STIM_PDC_DN.html" TargetMode="External"/><Relationship Id="rId2187" Type="http://schemas.openxmlformats.org/officeDocument/2006/relationships/hyperlink" Target="http://www.broadinstitute.org/gsea/msigdb/cards/GSE3920_UNTREATED_VS_IFNA_TREATED_FIBROBLAST_UP.html" TargetMode="External"/><Relationship Id="rId2188" Type="http://schemas.openxmlformats.org/officeDocument/2006/relationships/hyperlink" Target="http://www.broadinstitute.org/gsea/msigdb/cards/GSE20727_CTRL_VS_H2O2_TREATED_DC_DN.html" TargetMode="External"/><Relationship Id="rId2189" Type="http://schemas.openxmlformats.org/officeDocument/2006/relationships/hyperlink" Target="http://www.broadinstitute.org/gsea/msigdb/cards/GSE10239_MEMORY_VS_DAY4.5_EFF_CD8_TCELL_DN.html" TargetMode="External"/><Relationship Id="rId540" Type="http://schemas.openxmlformats.org/officeDocument/2006/relationships/hyperlink" Target="http://www.broadinstitute.org/gsea/msigdb/cards/AGGAGTG_MIR483.html" TargetMode="External"/><Relationship Id="rId541" Type="http://schemas.openxmlformats.org/officeDocument/2006/relationships/hyperlink" Target="http://www.broadinstitute.org/gsea/msigdb/cards/VDR_Q6.html" TargetMode="External"/><Relationship Id="rId542" Type="http://schemas.openxmlformats.org/officeDocument/2006/relationships/hyperlink" Target="http://www.broadinstitute.org/gsea/msigdb/cards/ACTGTGA_MIR27A_MIR27B.html" TargetMode="External"/><Relationship Id="rId543" Type="http://schemas.openxmlformats.org/officeDocument/2006/relationships/hyperlink" Target="http://www.broadinstitute.org/gsea/msigdb/cards/GGGTGGRR_PAX4_03.html" TargetMode="External"/><Relationship Id="rId544" Type="http://schemas.openxmlformats.org/officeDocument/2006/relationships/hyperlink" Target="http://www.broadinstitute.org/gsea/msigdb/cards/MAZ_Q6.html" TargetMode="External"/><Relationship Id="rId545" Type="http://schemas.openxmlformats.org/officeDocument/2006/relationships/hyperlink" Target="http://www.broadinstitute.org/gsea/msigdb/cards/SP3_Q3.html" TargetMode="External"/><Relationship Id="rId546" Type="http://schemas.openxmlformats.org/officeDocument/2006/relationships/hyperlink" Target="http://www.broadinstitute.org/gsea/msigdb/cards/GTGTTGA_MIR505.html" TargetMode="External"/><Relationship Id="rId547" Type="http://schemas.openxmlformats.org/officeDocument/2006/relationships/hyperlink" Target="http://www.broadinstitute.org/gsea/msigdb/cards/GGCCAGT_MIR193A_MIR193B.html" TargetMode="External"/><Relationship Id="rId548" Type="http://schemas.openxmlformats.org/officeDocument/2006/relationships/hyperlink" Target="http://www.broadinstitute.org/gsea/msigdb/cards/GGGACCA_MIR133A_MIR133B.html" TargetMode="External"/><Relationship Id="rId549" Type="http://schemas.openxmlformats.org/officeDocument/2006/relationships/hyperlink" Target="http://www.broadinstitute.org/gsea/msigdb/cards/WHN_B.html" TargetMode="External"/><Relationship Id="rId1480" Type="http://schemas.openxmlformats.org/officeDocument/2006/relationships/hyperlink" Target="http://www.broadinstitute.org/gsea/msigdb/cards/GO_REGULATION_OF_CHROMOSOME_SEGREGATION.html" TargetMode="External"/><Relationship Id="rId1481" Type="http://schemas.openxmlformats.org/officeDocument/2006/relationships/hyperlink" Target="http://www.broadinstitute.org/gsea/msigdb/cards/GO_REGULATION_OF_PROTEIN_MODIFICATION_BY_SMALL_PROTEIN_CONJUGATION_OR_REMOVAL.html" TargetMode="External"/><Relationship Id="rId1482" Type="http://schemas.openxmlformats.org/officeDocument/2006/relationships/hyperlink" Target="http://www.broadinstitute.org/gsea/msigdb/cards/GO_NEUROGENESIS.html" TargetMode="External"/><Relationship Id="rId1483" Type="http://schemas.openxmlformats.org/officeDocument/2006/relationships/hyperlink" Target="http://www.broadinstitute.org/gsea/msigdb/cards/GO_HISTONE_H3_K9_MODIFICATION.html" TargetMode="External"/><Relationship Id="rId1484" Type="http://schemas.openxmlformats.org/officeDocument/2006/relationships/hyperlink" Target="http://www.broadinstitute.org/gsea/msigdb/cards/GO_POSITIVE_REGULATION_OF_PROTEIN_METABOLIC_PROCESS.html" TargetMode="External"/><Relationship Id="rId1485" Type="http://schemas.openxmlformats.org/officeDocument/2006/relationships/hyperlink" Target="http://www.broadinstitute.org/gsea/msigdb/cards/GO_NUCLEUS_ORGANIZATION.html" TargetMode="External"/><Relationship Id="rId1486" Type="http://schemas.openxmlformats.org/officeDocument/2006/relationships/hyperlink" Target="http://www.broadinstitute.org/gsea/msigdb/cards/GO_CENTROSOME_CYCLE.html" TargetMode="External"/><Relationship Id="rId1487" Type="http://schemas.openxmlformats.org/officeDocument/2006/relationships/hyperlink" Target="http://www.broadinstitute.org/gsea/msigdb/cards/GO_REGULATION_OF_MULTICELLULAR_ORGANISMAL_DEVELOPMENT.html" TargetMode="External"/><Relationship Id="rId1488" Type="http://schemas.openxmlformats.org/officeDocument/2006/relationships/hyperlink" Target="http://www.broadinstitute.org/gsea/msigdb/cards/GO_NEGATIVE_REGULATION_OF_CHROMATIN_MODIFICATION.html" TargetMode="External"/><Relationship Id="rId1489" Type="http://schemas.openxmlformats.org/officeDocument/2006/relationships/hyperlink" Target="http://www.broadinstitute.org/gsea/msigdb/cards/GO_PROTEIN_AUTOPHOSPHORYLATION.html" TargetMode="External"/><Relationship Id="rId2910" Type="http://schemas.openxmlformats.org/officeDocument/2006/relationships/hyperlink" Target="http://www.broadinstitute.org/gsea/msigdb/cards/GSE1432_1H_VS_6H_IFNG_MICROGLIA_DN.html" TargetMode="External"/><Relationship Id="rId2911" Type="http://schemas.openxmlformats.org/officeDocument/2006/relationships/hyperlink" Target="http://www.broadinstitute.org/gsea/msigdb/cards/GSE1448_CTRL_VS_ANTI_VALPHA2_DP_THYMOCYTE_UP.html" TargetMode="External"/><Relationship Id="rId2912" Type="http://schemas.openxmlformats.org/officeDocument/2006/relationships/hyperlink" Target="http://www.broadinstitute.org/gsea/msigdb/cards/GSE1460_CD4_THYMOCYTE_VS_THYMIC_STROMAL_CELL_UP.html" TargetMode="External"/><Relationship Id="rId2913" Type="http://schemas.openxmlformats.org/officeDocument/2006/relationships/hyperlink" Target="http://www.broadinstitute.org/gsea/msigdb/cards/GSE1460_CORD_VS_ADULT_BLOOD_NAIVE_CD4_TCELL_UP.html" TargetMode="External"/><Relationship Id="rId2914" Type="http://schemas.openxmlformats.org/officeDocument/2006/relationships/hyperlink" Target="http://www.broadinstitute.org/gsea/msigdb/cards/GSE1460_CORD_VS_ADULT_BLOOD_NAIVE_CD4_TCELL_DN.html" TargetMode="External"/><Relationship Id="rId2915" Type="http://schemas.openxmlformats.org/officeDocument/2006/relationships/hyperlink" Target="http://www.broadinstitute.org/gsea/msigdb/cards/GSE15930_NAIVE_VS_24H_IN_VITRO_STIM_IL12_CD8_TCELL_UP.html" TargetMode="External"/><Relationship Id="rId2916" Type="http://schemas.openxmlformats.org/officeDocument/2006/relationships/hyperlink" Target="http://www.broadinstitute.org/gsea/msigdb/cards/GSE15930_NAIVE_VS_48H_IN_VITRO_STIM_IL12_CD8_TCELL_UP.html" TargetMode="External"/><Relationship Id="rId2917" Type="http://schemas.openxmlformats.org/officeDocument/2006/relationships/hyperlink" Target="http://www.broadinstitute.org/gsea/msigdb/cards/GSE15930_NAIVE_VS_48H_IN_VITRO_STIM_IFNAB_CD8_TCELL_UP.html" TargetMode="External"/><Relationship Id="rId2918" Type="http://schemas.openxmlformats.org/officeDocument/2006/relationships/hyperlink" Target="http://www.broadinstitute.org/gsea/msigdb/cards/GSE15930_NAIVE_VS_72H_IN_VITRO_STIM_IL12_CD8_TCELL_UP.html" TargetMode="External"/><Relationship Id="rId2919" Type="http://schemas.openxmlformats.org/officeDocument/2006/relationships/hyperlink" Target="http://www.broadinstitute.org/gsea/msigdb/cards/GSE17721_CTRL_VS_PAM3CSK4_0.5H_BMDC_UP.html" TargetMode="External"/><Relationship Id="rId2190" Type="http://schemas.openxmlformats.org/officeDocument/2006/relationships/hyperlink" Target="http://www.broadinstitute.org/gsea/msigdb/cards/GSE11924_TFH_VS_TH1_CD4_TCELL_UP.html" TargetMode="External"/><Relationship Id="rId2191" Type="http://schemas.openxmlformats.org/officeDocument/2006/relationships/hyperlink" Target="http://www.broadinstitute.org/gsea/msigdb/cards/GSE11924_TH2_VS_TH17_CD4_TCELL_DN.html" TargetMode="External"/><Relationship Id="rId2192" Type="http://schemas.openxmlformats.org/officeDocument/2006/relationships/hyperlink" Target="http://www.broadinstitute.org/gsea/msigdb/cards/GSE13411_IGM_VS_SWITCHED_MEMORY_BCELL_DN.html" TargetMode="External"/><Relationship Id="rId2193" Type="http://schemas.openxmlformats.org/officeDocument/2006/relationships/hyperlink" Target="http://www.broadinstitute.org/gsea/msigdb/cards/GSE14308_TH1_VS_NAIVE_CD4_TCELL_DN.html" TargetMode="External"/><Relationship Id="rId2194" Type="http://schemas.openxmlformats.org/officeDocument/2006/relationships/hyperlink" Target="http://www.broadinstitute.org/gsea/msigdb/cards/GSE14769_UNSTIM_VS_240MIN_LPS_BMDM_DN.html" TargetMode="External"/><Relationship Id="rId2195" Type="http://schemas.openxmlformats.org/officeDocument/2006/relationships/hyperlink" Target="http://www.broadinstitute.org/gsea/msigdb/cards/GSE15659_CD45RA_NEG_CD4_TCELL_VS_ACTIVATED_TREG_DN.html" TargetMode="External"/><Relationship Id="rId2196" Type="http://schemas.openxmlformats.org/officeDocument/2006/relationships/hyperlink" Target="http://www.broadinstitute.org/gsea/msigdb/cards/GSE17721_CTRL_VS_LPS_1H_BMDC_UP.html" TargetMode="External"/><Relationship Id="rId2197" Type="http://schemas.openxmlformats.org/officeDocument/2006/relationships/hyperlink" Target="http://www.broadinstitute.org/gsea/msigdb/cards/GSE17721_POLYIC_VS_PAM3CSK4_0.5H_BMDC_DN.html" TargetMode="External"/><Relationship Id="rId2198" Type="http://schemas.openxmlformats.org/officeDocument/2006/relationships/hyperlink" Target="http://www.broadinstitute.org/gsea/msigdb/cards/GSE17721_POLYIC_VS_PAM3CSK4_6H_BMDC_UP.html" TargetMode="External"/><Relationship Id="rId2199" Type="http://schemas.openxmlformats.org/officeDocument/2006/relationships/hyperlink" Target="http://www.broadinstitute.org/gsea/msigdb/cards/GSE17721_LPS_VS_PAM3CSK4_0.5H_BMDC_DN.html" TargetMode="External"/><Relationship Id="rId1" Type="http://schemas.openxmlformats.org/officeDocument/2006/relationships/hyperlink" Target="http://www.broadinstitute.org/gsea/msigdb/cards/HALLMARK_MITOTIC_SPINDLE.html" TargetMode="External"/><Relationship Id="rId2" Type="http://schemas.openxmlformats.org/officeDocument/2006/relationships/hyperlink" Target="http://www.broadinstitute.org/gsea/msigdb/cards/HALLMARK_E2F_TARGETS.html" TargetMode="External"/><Relationship Id="rId3" Type="http://schemas.openxmlformats.org/officeDocument/2006/relationships/hyperlink" Target="http://www.broadinstitute.org/gsea/msigdb/cards/HALLMARK_G2M_CHECKPOINT.html" TargetMode="External"/><Relationship Id="rId4" Type="http://schemas.openxmlformats.org/officeDocument/2006/relationships/hyperlink" Target="http://www.broadinstitute.org/gsea/msigdb/cards/chr12q24.html" TargetMode="External"/><Relationship Id="rId5" Type="http://schemas.openxmlformats.org/officeDocument/2006/relationships/hyperlink" Target="http://www.broadinstitute.org/gsea/msigdb/cards/chr2p22.html" TargetMode="External"/><Relationship Id="rId6" Type="http://schemas.openxmlformats.org/officeDocument/2006/relationships/hyperlink" Target="http://www.broadinstitute.org/gsea/msigdb/cards/chr3q29.html" TargetMode="External"/><Relationship Id="rId7" Type="http://schemas.openxmlformats.org/officeDocument/2006/relationships/hyperlink" Target="http://www.broadinstitute.org/gsea/msigdb/cards/DACOSTA_UV_RESPONSE_VIA_ERCC3_DN.html" TargetMode="External"/><Relationship Id="rId8" Type="http://schemas.openxmlformats.org/officeDocument/2006/relationships/hyperlink" Target="http://www.broadinstitute.org/gsea/msigdb/cards/DACOSTA_UV_RESPONSE_VIA_ERCC3_COMMON_DN.html" TargetMode="External"/><Relationship Id="rId9" Type="http://schemas.openxmlformats.org/officeDocument/2006/relationships/hyperlink" Target="http://www.broadinstitute.org/gsea/msigdb/cards/GRAESSMANN_APOPTOSIS_BY_DOXORUBICIN_DN.html" TargetMode="External"/><Relationship Id="rId550" Type="http://schemas.openxmlformats.org/officeDocument/2006/relationships/hyperlink" Target="http://www.broadinstitute.org/gsea/msigdb/cards/ACTGCAG_MIR173P.html" TargetMode="External"/><Relationship Id="rId551" Type="http://schemas.openxmlformats.org/officeDocument/2006/relationships/hyperlink" Target="http://www.broadinstitute.org/gsea/msigdb/cards/CETS1P54_01.html" TargetMode="External"/><Relationship Id="rId552" Type="http://schemas.openxmlformats.org/officeDocument/2006/relationships/hyperlink" Target="http://www.broadinstitute.org/gsea/msigdb/cards/ATF4_Q2.html" TargetMode="External"/><Relationship Id="rId553" Type="http://schemas.openxmlformats.org/officeDocument/2006/relationships/hyperlink" Target="http://www.broadinstitute.org/gsea/msigdb/cards/CAATGCA_MIR33.html" TargetMode="External"/><Relationship Id="rId554" Type="http://schemas.openxmlformats.org/officeDocument/2006/relationships/hyperlink" Target="http://www.broadinstitute.org/gsea/msigdb/cards/ATGAAGG_MIR205.html" TargetMode="External"/><Relationship Id="rId555" Type="http://schemas.openxmlformats.org/officeDocument/2006/relationships/hyperlink" Target="http://www.broadinstitute.org/gsea/msigdb/cards/CTCTGGA_MIR520A_MIR525.html" TargetMode="External"/><Relationship Id="rId556" Type="http://schemas.openxmlformats.org/officeDocument/2006/relationships/hyperlink" Target="http://www.broadinstitute.org/gsea/msigdb/cards/SOX5_01.html" TargetMode="External"/><Relationship Id="rId557" Type="http://schemas.openxmlformats.org/officeDocument/2006/relationships/hyperlink" Target="http://www.broadinstitute.org/gsea/msigdb/cards/MEIS1AHOXA9_01.html" TargetMode="External"/><Relationship Id="rId558" Type="http://schemas.openxmlformats.org/officeDocument/2006/relationships/hyperlink" Target="http://www.broadinstitute.org/gsea/msigdb/cards/ATCTTGC_MIR31.html" TargetMode="External"/><Relationship Id="rId559" Type="http://schemas.openxmlformats.org/officeDocument/2006/relationships/hyperlink" Target="http://www.broadinstitute.org/gsea/msigdb/cards/TITF1_Q3.html" TargetMode="External"/><Relationship Id="rId1490" Type="http://schemas.openxmlformats.org/officeDocument/2006/relationships/hyperlink" Target="http://www.broadinstitute.org/gsea/msigdb/cards/GO_RETINOIC_ACID_RECEPTOR_BINDING.html" TargetMode="External"/><Relationship Id="rId1491" Type="http://schemas.openxmlformats.org/officeDocument/2006/relationships/hyperlink" Target="http://www.broadinstitute.org/gsea/msigdb/cards/GO_ESTABLISHMENT_OF_CELL_POLARITY.html" TargetMode="External"/><Relationship Id="rId1492" Type="http://schemas.openxmlformats.org/officeDocument/2006/relationships/hyperlink" Target="http://www.broadinstitute.org/gsea/msigdb/cards/GO_GOLGI_VESICLE_TRANSPORT.html" TargetMode="External"/><Relationship Id="rId1493" Type="http://schemas.openxmlformats.org/officeDocument/2006/relationships/hyperlink" Target="http://www.broadinstitute.org/gsea/msigdb/cards/GO_REGULATION_OF_CELL_DEVELOPMENT.html" TargetMode="External"/><Relationship Id="rId1494" Type="http://schemas.openxmlformats.org/officeDocument/2006/relationships/hyperlink" Target="http://www.broadinstitute.org/gsea/msigdb/cards/GO_PROTEIN_DEALKYLATION.html" TargetMode="External"/><Relationship Id="rId1495" Type="http://schemas.openxmlformats.org/officeDocument/2006/relationships/hyperlink" Target="http://www.broadinstitute.org/gsea/msigdb/cards/GO_NUCLEAR_CYCLIN_DEPENDENT_PROTEIN_KINASE_HOLOENZYME_COMPLEX.html" TargetMode="External"/><Relationship Id="rId1496" Type="http://schemas.openxmlformats.org/officeDocument/2006/relationships/hyperlink" Target="http://www.broadinstitute.org/gsea/msigdb/cards/GO_CCR4_NOT_COMPLEX.html" TargetMode="External"/><Relationship Id="rId1497" Type="http://schemas.openxmlformats.org/officeDocument/2006/relationships/hyperlink" Target="http://www.broadinstitute.org/gsea/msigdb/cards/GO_POST_EMBRYONIC_DEVELOPMENT.html" TargetMode="External"/><Relationship Id="rId1498" Type="http://schemas.openxmlformats.org/officeDocument/2006/relationships/hyperlink" Target="http://www.broadinstitute.org/gsea/msigdb/cards/GO_CATALYTIC_STEP_2_SPLICEOSOME.html" TargetMode="External"/><Relationship Id="rId1499" Type="http://schemas.openxmlformats.org/officeDocument/2006/relationships/hyperlink" Target="http://www.broadinstitute.org/gsea/msigdb/cards/GO_HETEROCHROMATIN.html" TargetMode="External"/><Relationship Id="rId2920" Type="http://schemas.openxmlformats.org/officeDocument/2006/relationships/hyperlink" Target="http://www.broadinstitute.org/gsea/msigdb/cards/GSE17721_CTRL_VS_PAM3CSK4_8H_BMDC_DN.html" TargetMode="External"/><Relationship Id="rId2921" Type="http://schemas.openxmlformats.org/officeDocument/2006/relationships/hyperlink" Target="http://www.broadinstitute.org/gsea/msigdb/cards/GSE17721_CTRL_VS_CPG_1H_BMDC_DN.html" TargetMode="External"/><Relationship Id="rId2922" Type="http://schemas.openxmlformats.org/officeDocument/2006/relationships/hyperlink" Target="http://www.broadinstitute.org/gsea/msigdb/cards/GSE17721_CTRL_VS_CPG_8H_BMDC_UP.html" TargetMode="External"/><Relationship Id="rId2923" Type="http://schemas.openxmlformats.org/officeDocument/2006/relationships/hyperlink" Target="http://www.broadinstitute.org/gsea/msigdb/cards/GSE17721_CTRL_VS_GARDIQUIMOD_8H_BMDC_DN.html" TargetMode="External"/><Relationship Id="rId2924" Type="http://schemas.openxmlformats.org/officeDocument/2006/relationships/hyperlink" Target="http://www.broadinstitute.org/gsea/msigdb/cards/GSE17721_CTRL_VS_GARDIQUIMOD_24H_BMDC_DN.html" TargetMode="External"/><Relationship Id="rId2925" Type="http://schemas.openxmlformats.org/officeDocument/2006/relationships/hyperlink" Target="http://www.broadinstitute.org/gsea/msigdb/cards/GSE17721_LPS_VS_POLYIC_6H_BMDC_UP.html" TargetMode="External"/><Relationship Id="rId2926" Type="http://schemas.openxmlformats.org/officeDocument/2006/relationships/hyperlink" Target="http://www.broadinstitute.org/gsea/msigdb/cards/GSE17721_LPS_VS_POLYIC_8H_BMDC_UP.html" TargetMode="External"/><Relationship Id="rId2927" Type="http://schemas.openxmlformats.org/officeDocument/2006/relationships/hyperlink" Target="http://www.broadinstitute.org/gsea/msigdb/cards/GSE17721_LPS_VS_POLYIC_12H_BMDC_UP.html" TargetMode="External"/><Relationship Id="rId2928" Type="http://schemas.openxmlformats.org/officeDocument/2006/relationships/hyperlink" Target="http://www.broadinstitute.org/gsea/msigdb/cards/GSE17721_POLYIC_VS_PAM3CSK4_1H_BMDC_UP.html" TargetMode="External"/><Relationship Id="rId2929" Type="http://schemas.openxmlformats.org/officeDocument/2006/relationships/hyperlink" Target="http://www.broadinstitute.org/gsea/msigdb/cards/GSE17721_CPG_VS_GARDIQUIMOD_6H_BMDC_UP.html" TargetMode="External"/><Relationship Id="rId560" Type="http://schemas.openxmlformats.org/officeDocument/2006/relationships/hyperlink" Target="http://www.broadinstitute.org/gsea/msigdb/cards/RGAANNTTC_HSF1_01.html" TargetMode="External"/><Relationship Id="rId561" Type="http://schemas.openxmlformats.org/officeDocument/2006/relationships/hyperlink" Target="http://www.broadinstitute.org/gsea/msigdb/cards/TGGAAA_NFAT_Q4_01.html" TargetMode="External"/><Relationship Id="rId562" Type="http://schemas.openxmlformats.org/officeDocument/2006/relationships/hyperlink" Target="http://www.broadinstitute.org/gsea/msigdb/cards/WGTTNNNNNAAA_UNKNOWN.html" TargetMode="External"/><Relationship Id="rId563" Type="http://schemas.openxmlformats.org/officeDocument/2006/relationships/hyperlink" Target="http://www.broadinstitute.org/gsea/msigdb/cards/WTGAAAT_UNKNOWN.html" TargetMode="External"/><Relationship Id="rId564" Type="http://schemas.openxmlformats.org/officeDocument/2006/relationships/hyperlink" Target="http://www.broadinstitute.org/gsea/msigdb/cards/AGGTGCA_MIR500.html" TargetMode="External"/><Relationship Id="rId565" Type="http://schemas.openxmlformats.org/officeDocument/2006/relationships/hyperlink" Target="http://www.broadinstitute.org/gsea/msigdb/cards/PAX4_04.html" TargetMode="External"/><Relationship Id="rId566" Type="http://schemas.openxmlformats.org/officeDocument/2006/relationships/hyperlink" Target="http://www.broadinstitute.org/gsea/msigdb/cards/DR3_Q4.html" TargetMode="External"/><Relationship Id="rId567" Type="http://schemas.openxmlformats.org/officeDocument/2006/relationships/hyperlink" Target="http://www.broadinstitute.org/gsea/msigdb/cards/ACTACCT_MIR196A_MIR196B.html" TargetMode="External"/><Relationship Id="rId568" Type="http://schemas.openxmlformats.org/officeDocument/2006/relationships/hyperlink" Target="http://www.broadinstitute.org/gsea/msigdb/cards/ACAWNRNSRCGG_UNKNOWN.html" TargetMode="External"/><Relationship Id="rId569" Type="http://schemas.openxmlformats.org/officeDocument/2006/relationships/hyperlink" Target="http://www.broadinstitute.org/gsea/msigdb/cards/GGTAACC_MIR4095P.html" TargetMode="External"/><Relationship Id="rId2930" Type="http://schemas.openxmlformats.org/officeDocument/2006/relationships/hyperlink" Target="http://www.broadinstitute.org/gsea/msigdb/cards/GSE17721_LPS_VS_PAM3CSK4_6H_BMDC_UP.html" TargetMode="External"/><Relationship Id="rId2931" Type="http://schemas.openxmlformats.org/officeDocument/2006/relationships/hyperlink" Target="http://www.broadinstitute.org/gsea/msigdb/cards/GSE17721_POLYIC_VS_CPG_12H_BMDC_UP.html" TargetMode="External"/><Relationship Id="rId2932" Type="http://schemas.openxmlformats.org/officeDocument/2006/relationships/hyperlink" Target="http://www.broadinstitute.org/gsea/msigdb/cards/GSE17721_PAM3CSK4_VS_GADIQUIMOD_0.5H_BMDC_DN.html" TargetMode="External"/><Relationship Id="rId2933" Type="http://schemas.openxmlformats.org/officeDocument/2006/relationships/hyperlink" Target="http://www.broadinstitute.org/gsea/msigdb/cards/GSE17721_PAM3CSK4_VS_GADIQUIMOD_4H_BMDC_UP.html" TargetMode="External"/><Relationship Id="rId2934" Type="http://schemas.openxmlformats.org/officeDocument/2006/relationships/hyperlink" Target="http://www.broadinstitute.org/gsea/msigdb/cards/GSE17721_PAM3CSK4_VS_GADIQUIMOD_16H_BMDC_DN.html" TargetMode="External"/><Relationship Id="rId2935" Type="http://schemas.openxmlformats.org/officeDocument/2006/relationships/hyperlink" Target="http://www.broadinstitute.org/gsea/msigdb/cards/GSE17721_LPS_VS_CPG_12H_BMDC_UP.html" TargetMode="External"/><Relationship Id="rId2936" Type="http://schemas.openxmlformats.org/officeDocument/2006/relationships/hyperlink" Target="http://www.broadinstitute.org/gsea/msigdb/cards/GSE17721_POLYIC_VS_GARDIQUIMOD_4H_BMDC_UP.html" TargetMode="External"/><Relationship Id="rId2937" Type="http://schemas.openxmlformats.org/officeDocument/2006/relationships/hyperlink" Target="http://www.broadinstitute.org/gsea/msigdb/cards/GSE17721_POLYIC_VS_GARDIQUIMOD_6H_BMDC_DN.html" TargetMode="External"/><Relationship Id="rId2938" Type="http://schemas.openxmlformats.org/officeDocument/2006/relationships/hyperlink" Target="http://www.broadinstitute.org/gsea/msigdb/cards/GSE17721_LPS_VS_GARDIQUIMOD_4H_BMDC_DN.html" TargetMode="External"/><Relationship Id="rId2939" Type="http://schemas.openxmlformats.org/officeDocument/2006/relationships/hyperlink" Target="http://www.broadinstitute.org/gsea/msigdb/cards/GSE17721_LPS_VS_GARDIQUIMOD_24H_BMDC_DN.html" TargetMode="External"/><Relationship Id="rId570" Type="http://schemas.openxmlformats.org/officeDocument/2006/relationships/hyperlink" Target="http://www.broadinstitute.org/gsea/msigdb/cards/MYCMAX_03.html" TargetMode="External"/><Relationship Id="rId571" Type="http://schemas.openxmlformats.org/officeDocument/2006/relationships/hyperlink" Target="http://www.broadinstitute.org/gsea/msigdb/cards/CACTGCC_MIR34A_MIR34C_MIR449.html" TargetMode="External"/><Relationship Id="rId572" Type="http://schemas.openxmlformats.org/officeDocument/2006/relationships/hyperlink" Target="http://www.broadinstitute.org/gsea/msigdb/cards/GTGCAAT_MIR25_MIR32_MIR92_MIR363_MIR367.html" TargetMode="External"/><Relationship Id="rId573" Type="http://schemas.openxmlformats.org/officeDocument/2006/relationships/hyperlink" Target="http://www.broadinstitute.org/gsea/msigdb/cards/GCATTTG_MIR105.html" TargetMode="External"/><Relationship Id="rId574" Type="http://schemas.openxmlformats.org/officeDocument/2006/relationships/hyperlink" Target="http://www.broadinstitute.org/gsea/msigdb/cards/ACTGAAA_MIR30A3P_MIR30E3P.html" TargetMode="External"/><Relationship Id="rId575" Type="http://schemas.openxmlformats.org/officeDocument/2006/relationships/hyperlink" Target="http://www.broadinstitute.org/gsea/msigdb/cards/AAAGACA_MIR511.html" TargetMode="External"/><Relationship Id="rId576" Type="http://schemas.openxmlformats.org/officeDocument/2006/relationships/hyperlink" Target="http://www.broadinstitute.org/gsea/msigdb/cards/CCAGGTT_MIR490.html" TargetMode="External"/><Relationship Id="rId577" Type="http://schemas.openxmlformats.org/officeDocument/2006/relationships/hyperlink" Target="http://www.broadinstitute.org/gsea/msigdb/cards/TGTATGA_MIR4853P.html" TargetMode="External"/><Relationship Id="rId578" Type="http://schemas.openxmlformats.org/officeDocument/2006/relationships/hyperlink" Target="http://www.broadinstitute.org/gsea/msigdb/cards/GGGCATT_MIR365.html" TargetMode="External"/><Relationship Id="rId579" Type="http://schemas.openxmlformats.org/officeDocument/2006/relationships/hyperlink" Target="http://www.broadinstitute.org/gsea/msigdb/cards/MZF1_02.html" TargetMode="External"/><Relationship Id="rId2940" Type="http://schemas.openxmlformats.org/officeDocument/2006/relationships/hyperlink" Target="http://www.broadinstitute.org/gsea/msigdb/cards/GSE17721_0.5H_VS_4H_PAM3CSK4_BMDC_DN.html" TargetMode="External"/><Relationship Id="rId2941" Type="http://schemas.openxmlformats.org/officeDocument/2006/relationships/hyperlink" Target="http://www.broadinstitute.org/gsea/msigdb/cards/GSE17721_0.5H_VS_8H_PAM3CSK4_BMDC_DN.html" TargetMode="External"/><Relationship Id="rId2942" Type="http://schemas.openxmlformats.org/officeDocument/2006/relationships/hyperlink" Target="http://www.broadinstitute.org/gsea/msigdb/cards/GSE17721_0.5H_VS_24H_PAM3CSK4_BMDC_DN.html" TargetMode="External"/><Relationship Id="rId2943" Type="http://schemas.openxmlformats.org/officeDocument/2006/relationships/hyperlink" Target="http://www.broadinstitute.org/gsea/msigdb/cards/GSE17721_ALL_VS_24H_PAM3CSK4_BMDC_UP.html" TargetMode="External"/><Relationship Id="rId2944" Type="http://schemas.openxmlformats.org/officeDocument/2006/relationships/hyperlink" Target="http://www.broadinstitute.org/gsea/msigdb/cards/GSE17721_0.5H_VS_8H_CPG_BMDC_DN.html" TargetMode="External"/><Relationship Id="rId2945" Type="http://schemas.openxmlformats.org/officeDocument/2006/relationships/hyperlink" Target="http://www.broadinstitute.org/gsea/msigdb/cards/GSE17721_4_VS_24H_CPG_BMDC_DN.html" TargetMode="External"/><Relationship Id="rId2946" Type="http://schemas.openxmlformats.org/officeDocument/2006/relationships/hyperlink" Target="http://www.broadinstitute.org/gsea/msigdb/cards/GSE17721_0.5H_VS_8H_GARDIQUIMOD_BMDC_DN.html" TargetMode="External"/><Relationship Id="rId2947" Type="http://schemas.openxmlformats.org/officeDocument/2006/relationships/hyperlink" Target="http://www.broadinstitute.org/gsea/msigdb/cards/GSE17721_0.5H_VS_24H_GARDIQUIMOD_BMDC_UP.html" TargetMode="External"/><Relationship Id="rId2948" Type="http://schemas.openxmlformats.org/officeDocument/2006/relationships/hyperlink" Target="http://www.broadinstitute.org/gsea/msigdb/cards/GSE17974_IL4_AND_ANTI_IL12_VS_UNTREATED_12H_ACT_CD4_TCELL_UP.html" TargetMode="External"/><Relationship Id="rId2949" Type="http://schemas.openxmlformats.org/officeDocument/2006/relationships/hyperlink" Target="http://www.broadinstitute.org/gsea/msigdb/cards/GSE17974_2.5H_VS_72H_IL4_AND_ANTI_IL12_ACT_CD4_TCELL_UP.html" TargetMode="External"/><Relationship Id="rId3100" Type="http://schemas.openxmlformats.org/officeDocument/2006/relationships/hyperlink" Target="http://www.broadinstitute.org/gsea/msigdb/cards/GSE28726_ACT_CD4_TCELL_VS_ACT_NKTCELL_DN.html" TargetMode="External"/><Relationship Id="rId3101" Type="http://schemas.openxmlformats.org/officeDocument/2006/relationships/hyperlink" Target="http://www.broadinstitute.org/gsea/msigdb/cards/GSE28783_ANTI_MIR33_VS_UNTREATED_ATHEROSCLEROSIS_MACROPHAGE_DN.html" TargetMode="External"/><Relationship Id="rId3102" Type="http://schemas.openxmlformats.org/officeDocument/2006/relationships/hyperlink" Target="http://www.broadinstitute.org/gsea/msigdb/cards/GSE28783_ANTI_MIR33_VS_CTRL_ATHEROSCLEROSIS_MACROPHAGE_DN.html" TargetMode="External"/><Relationship Id="rId3103" Type="http://schemas.openxmlformats.org/officeDocument/2006/relationships/hyperlink" Target="http://www.broadinstitute.org/gsea/msigdb/cards/GSE29949_CD8_POS_DC_SPLEEN_VS_DC_BRAIN_UP.html" TargetMode="External"/><Relationship Id="rId3104" Type="http://schemas.openxmlformats.org/officeDocument/2006/relationships/hyperlink" Target="http://www.broadinstitute.org/gsea/msigdb/cards/GSE30153_LUPUS_VS_HEALTHY_DONOR_BCELL_UP.html" TargetMode="External"/><Relationship Id="rId3105" Type="http://schemas.openxmlformats.org/officeDocument/2006/relationships/hyperlink" Target="http://www.broadinstitute.org/gsea/msigdb/cards/GSE23321_CD8_STEM_CELL_MEMORY_VS_NAIVE_CD8_TCELL_UP.html" TargetMode="External"/><Relationship Id="rId3106" Type="http://schemas.openxmlformats.org/officeDocument/2006/relationships/hyperlink" Target="http://www.broadinstitute.org/gsea/msigdb/cards/GSE32533_WT_VS_MIR17_KO_ACT_CD4_TCELL_UP.html" TargetMode="External"/><Relationship Id="rId3107" Type="http://schemas.openxmlformats.org/officeDocument/2006/relationships/hyperlink" Target="http://www.broadinstitute.org/gsea/msigdb/cards/GSE31622_WT_VS_KLF3_KO_BCELL_DN.html" TargetMode="External"/><Relationship Id="rId3108" Type="http://schemas.openxmlformats.org/officeDocument/2006/relationships/hyperlink" Target="http://www.broadinstitute.org/gsea/msigdb/cards/GSE29164_UNTREATED_VS_CD8_TCELL_TREATED_MELANOMA_DAY3_DN.html" TargetMode="External"/><Relationship Id="rId3109" Type="http://schemas.openxmlformats.org/officeDocument/2006/relationships/hyperlink" Target="http://www.broadinstitute.org/gsea/msigdb/cards/GSE29164_DAY3_VS_DAY7_UNTREATED_MELANOMA_DN.html" TargetMode="External"/><Relationship Id="rId2400" Type="http://schemas.openxmlformats.org/officeDocument/2006/relationships/hyperlink" Target="http://www.broadinstitute.org/gsea/msigdb/cards/GSE24574_NAIVE_VS_TCONV_CD4_TCELL_DN.html" TargetMode="External"/><Relationship Id="rId2401" Type="http://schemas.openxmlformats.org/officeDocument/2006/relationships/hyperlink" Target="http://www.broadinstitute.org/gsea/msigdb/cards/GSE23321_EFFECTOR_MEMORY_VS_NAIVE_CD8_TCELL_DN.html" TargetMode="External"/><Relationship Id="rId2402" Type="http://schemas.openxmlformats.org/officeDocument/2006/relationships/hyperlink" Target="http://www.broadinstitute.org/gsea/msigdb/cards/GSE27291_0H_VS_7D_STIM_GAMMADELTA_TCELL_DN.html" TargetMode="External"/><Relationship Id="rId2403" Type="http://schemas.openxmlformats.org/officeDocument/2006/relationships/hyperlink" Target="http://www.broadinstitute.org/gsea/msigdb/cards/GSE26351_UNSTIM_VS_WNT_PATHWAY_STIM_HEMATOPOIETIC_PROGENITORS_DN.html" TargetMode="External"/><Relationship Id="rId2404" Type="http://schemas.openxmlformats.org/officeDocument/2006/relationships/hyperlink" Target="http://www.broadinstitute.org/gsea/msigdb/cards/GSE33425_CD161_HIGH_VS_NEG_CD8_TCELL_UP.html" TargetMode="External"/><Relationship Id="rId2405" Type="http://schemas.openxmlformats.org/officeDocument/2006/relationships/hyperlink" Target="http://www.broadinstitute.org/gsea/msigdb/cards/GSE26890_CXCR1_NEG_VS_POS_EFFECTOR_CD8_TCELL_UP.html" TargetMode="External"/><Relationship Id="rId2406" Type="http://schemas.openxmlformats.org/officeDocument/2006/relationships/hyperlink" Target="http://www.broadinstitute.org/gsea/msigdb/cards/GSE32986_UNSTIM_VS_CURDLAN_HIGHDOSE_STIM_DC_UP.html" TargetMode="External"/><Relationship Id="rId2407" Type="http://schemas.openxmlformats.org/officeDocument/2006/relationships/hyperlink" Target="http://www.broadinstitute.org/gsea/msigdb/cards/GSE36888_UNTREATED_VS_IL2_TREATED_TCELL_2H_UP.html" TargetMode="External"/><Relationship Id="rId2408" Type="http://schemas.openxmlformats.org/officeDocument/2006/relationships/hyperlink" Target="http://www.broadinstitute.org/gsea/msigdb/cards/GSE36009_WT_VS_NLRP10_KO_DC_DN.html" TargetMode="External"/><Relationship Id="rId2409" Type="http://schemas.openxmlformats.org/officeDocument/2006/relationships/hyperlink" Target="http://www.broadinstitute.org/gsea/msigdb/cards/GSE37301_LYMPHOID_PRIMED_MPP_VS_COMMON_LYMPHOID_PROGENITOR_DN.html" TargetMode="External"/><Relationship Id="rId1700" Type="http://schemas.openxmlformats.org/officeDocument/2006/relationships/hyperlink" Target="http://www.broadinstitute.org/gsea/msigdb/cards/GO_REGULATION_OF_VIRAL_INDUCED_CYTOPLASMIC_PATTERN_RECOGNITION_RECEPTOR_SIGNALING_PATHWAY.html" TargetMode="External"/><Relationship Id="rId1701" Type="http://schemas.openxmlformats.org/officeDocument/2006/relationships/hyperlink" Target="http://www.broadinstitute.org/gsea/msigdb/cards/GO_POSTREPLICATION_REPAIR.html" TargetMode="External"/><Relationship Id="rId1702" Type="http://schemas.openxmlformats.org/officeDocument/2006/relationships/hyperlink" Target="http://www.broadinstitute.org/gsea/msigdb/cards/GO_VENTRICULAR_SEPTUM_DEVELOPMENT.html" TargetMode="External"/><Relationship Id="rId580" Type="http://schemas.openxmlformats.org/officeDocument/2006/relationships/hyperlink" Target="http://www.broadinstitute.org/gsea/msigdb/cards/CEBPB_01.html" TargetMode="External"/><Relationship Id="rId581" Type="http://schemas.openxmlformats.org/officeDocument/2006/relationships/hyperlink" Target="http://www.broadinstitute.org/gsea/msigdb/cards/GTGACTT_MIR224.html" TargetMode="External"/><Relationship Id="rId582" Type="http://schemas.openxmlformats.org/officeDocument/2006/relationships/hyperlink" Target="http://www.broadinstitute.org/gsea/msigdb/cards/MYCMAX_02.html" TargetMode="External"/><Relationship Id="rId583" Type="http://schemas.openxmlformats.org/officeDocument/2006/relationships/hyperlink" Target="http://www.broadinstitute.org/gsea/msigdb/cards/CCTGCTG_MIR214.html" TargetMode="External"/><Relationship Id="rId584" Type="http://schemas.openxmlformats.org/officeDocument/2006/relationships/hyperlink" Target="http://www.broadinstitute.org/gsea/msigdb/cards/NRF2_01.html" TargetMode="External"/><Relationship Id="rId585" Type="http://schemas.openxmlformats.org/officeDocument/2006/relationships/hyperlink" Target="http://www.broadinstitute.org/gsea/msigdb/cards/YTATTTTNR_MEF2_02.html" TargetMode="External"/><Relationship Id="rId586" Type="http://schemas.openxmlformats.org/officeDocument/2006/relationships/hyperlink" Target="http://www.broadinstitute.org/gsea/msigdb/cards/TGTTTGY_HNF3_Q6.html" TargetMode="External"/><Relationship Id="rId587" Type="http://schemas.openxmlformats.org/officeDocument/2006/relationships/hyperlink" Target="http://www.broadinstitute.org/gsea/msigdb/cards/GCACCTT_MIR18A_MIR18B.html" TargetMode="External"/><Relationship Id="rId588" Type="http://schemas.openxmlformats.org/officeDocument/2006/relationships/hyperlink" Target="http://www.broadinstitute.org/gsea/msigdb/cards/CAGGTG_E12_Q6.html" TargetMode="External"/><Relationship Id="rId589" Type="http://schemas.openxmlformats.org/officeDocument/2006/relationships/hyperlink" Target="http://www.broadinstitute.org/gsea/msigdb/cards/GGCNKCCATNK_UNKNOWN.html" TargetMode="External"/><Relationship Id="rId1703" Type="http://schemas.openxmlformats.org/officeDocument/2006/relationships/hyperlink" Target="http://www.broadinstitute.org/gsea/msigdb/cards/GO_ENDORIBONUCLEASE_ACTIVITY.html" TargetMode="External"/><Relationship Id="rId1704" Type="http://schemas.openxmlformats.org/officeDocument/2006/relationships/hyperlink" Target="http://www.broadinstitute.org/gsea/msigdb/cards/GO_CARDIAC_VENTRICLE_DEVELOPMENT.html" TargetMode="External"/><Relationship Id="rId1705" Type="http://schemas.openxmlformats.org/officeDocument/2006/relationships/hyperlink" Target="http://www.broadinstitute.org/gsea/msigdb/cards/GO_POSITIVE_REGULATION_OF_PHOSPHORUS_METABOLIC_PROCESS.html" TargetMode="External"/><Relationship Id="rId1706" Type="http://schemas.openxmlformats.org/officeDocument/2006/relationships/hyperlink" Target="http://www.broadinstitute.org/gsea/msigdb/cards/GO_ERBB_SIGNALING_PATHWAY.html" TargetMode="External"/><Relationship Id="rId1707" Type="http://schemas.openxmlformats.org/officeDocument/2006/relationships/hyperlink" Target="http://www.broadinstitute.org/gsea/msigdb/cards/GO_POSITIVE_REGULATION_OF_MULTICELLULAR_ORGANISMAL_PROCESS.html" TargetMode="External"/><Relationship Id="rId1708" Type="http://schemas.openxmlformats.org/officeDocument/2006/relationships/hyperlink" Target="http://www.broadinstitute.org/gsea/msigdb/cards/GO_POSITIVE_REGULATION_OF_CELL_PROJECTION_ORGANIZATION.html" TargetMode="External"/><Relationship Id="rId1709" Type="http://schemas.openxmlformats.org/officeDocument/2006/relationships/hyperlink" Target="http://www.broadinstitute.org/gsea/msigdb/cards/GO_SOMATIC_CELL_DNA_RECOMBINATION.html" TargetMode="External"/><Relationship Id="rId2950" Type="http://schemas.openxmlformats.org/officeDocument/2006/relationships/hyperlink" Target="http://www.broadinstitute.org/gsea/msigdb/cards/GSE20715_WT_VS_TLR4_KO_24H_OZONE_LUNG_DN.html" TargetMode="External"/><Relationship Id="rId2951" Type="http://schemas.openxmlformats.org/officeDocument/2006/relationships/hyperlink" Target="http://www.broadinstitute.org/gsea/msigdb/cards/GSE20715_0H_VS_6H_OZONE_LUNG_UP.html" TargetMode="External"/><Relationship Id="rId2952" Type="http://schemas.openxmlformats.org/officeDocument/2006/relationships/hyperlink" Target="http://www.broadinstitute.org/gsea/msigdb/cards/GSE20715_0H_VS_6H_OZONE_TLR4_KO_LUNG_DN.html" TargetMode="External"/><Relationship Id="rId2953" Type="http://schemas.openxmlformats.org/officeDocument/2006/relationships/hyperlink" Target="http://www.broadinstitute.org/gsea/msigdb/cards/GSE2197_IMMUNOSUPPRESSIVE_DNA_VS_UNTREATEDIN_DC_DN.html" TargetMode="External"/><Relationship Id="rId2954" Type="http://schemas.openxmlformats.org/officeDocument/2006/relationships/hyperlink" Target="http://www.broadinstitute.org/gsea/msigdb/cards/GSE22886_IGG_IGA_MEMORY_BCELL_VS_BLOOD_PLASMA_CELL_UP.html" TargetMode="External"/><Relationship Id="rId2955" Type="http://schemas.openxmlformats.org/officeDocument/2006/relationships/hyperlink" Target="http://www.broadinstitute.org/gsea/msigdb/cards/GSE22886_NAIVE_BCELL_VS_NEUTROPHIL_UP.html" TargetMode="External"/><Relationship Id="rId2956" Type="http://schemas.openxmlformats.org/officeDocument/2006/relationships/hyperlink" Target="http://www.broadinstitute.org/gsea/msigdb/cards/GSE22886_NAIVE_CD4_TCELL_VS_NEUTROPHIL_UP.html" TargetMode="External"/><Relationship Id="rId2957" Type="http://schemas.openxmlformats.org/officeDocument/2006/relationships/hyperlink" Target="http://www.broadinstitute.org/gsea/msigdb/cards/GSE24142_ADULT_VS_FETAL_DN3_THYMOCYTE_UP.html" TargetMode="External"/><Relationship Id="rId2958" Type="http://schemas.openxmlformats.org/officeDocument/2006/relationships/hyperlink" Target="http://www.broadinstitute.org/gsea/msigdb/cards/GSE24634_NAIVE_CD4_TCELL_VS_DAY3_IL4_CONV_TREG_DN.html" TargetMode="External"/><Relationship Id="rId2959" Type="http://schemas.openxmlformats.org/officeDocument/2006/relationships/hyperlink" Target="http://www.broadinstitute.org/gsea/msigdb/cards/GSE26669_CTRL_VS_COSTIM_BLOCK_MLR_CD4_TCELL_DN.html" TargetMode="External"/><Relationship Id="rId3110" Type="http://schemas.openxmlformats.org/officeDocument/2006/relationships/hyperlink" Target="http://www.broadinstitute.org/gsea/msigdb/cards/GSE29164_UNTREATED_VS_CD8_TCELL_TREATED_MELANOMA_DAY3_UP.html" TargetMode="External"/><Relationship Id="rId3111" Type="http://schemas.openxmlformats.org/officeDocument/2006/relationships/hyperlink" Target="http://www.broadinstitute.org/gsea/msigdb/cards/GSE27859_DC_VS_CD11C_INT_F480_INT_DC_DN.html" TargetMode="External"/><Relationship Id="rId3112" Type="http://schemas.openxmlformats.org/officeDocument/2006/relationships/hyperlink" Target="http://www.broadinstitute.org/gsea/msigdb/cards/GSE32986_UNSTIM_VS_GMCSF_AND_CURDLAN_LOWDOSE_STIM_DC_DN.html" TargetMode="External"/><Relationship Id="rId3113" Type="http://schemas.openxmlformats.org/officeDocument/2006/relationships/hyperlink" Target="http://www.broadinstitute.org/gsea/msigdb/cards/GSE32986_CURDLAN_HIGHDOSE_VS_GMCSF_AND_CURDLAN_HIGHDOSE_STIM_DC_UP.html" TargetMode="External"/><Relationship Id="rId3114" Type="http://schemas.openxmlformats.org/officeDocument/2006/relationships/hyperlink" Target="http://www.broadinstitute.org/gsea/msigdb/cards/GSE34156_NOD2_LIGAND_VS_NOD2_AND_TLR1_TLR2_LIGAND_6H_TREATED_MONOCYTE_UP.html" TargetMode="External"/><Relationship Id="rId3115" Type="http://schemas.openxmlformats.org/officeDocument/2006/relationships/hyperlink" Target="http://www.broadinstitute.org/gsea/msigdb/cards/GSE37301_LYMPHOID_PRIMED_MPP_VS_PRO_BCELL_DN.html" TargetMode="External"/><Relationship Id="rId3116" Type="http://schemas.openxmlformats.org/officeDocument/2006/relationships/hyperlink" Target="http://www.broadinstitute.org/gsea/msigdb/cards/GSE37301_LYMPHOID_PRIMED_MPP_VS_CD4_TCELL_DN.html" TargetMode="External"/><Relationship Id="rId3117" Type="http://schemas.openxmlformats.org/officeDocument/2006/relationships/hyperlink" Target="http://www.broadinstitute.org/gsea/msigdb/cards/GSE37301_COMMON_LYMPHOID_PROGENITOR_VS_PRO_BCELL_DN.html" TargetMode="External"/><Relationship Id="rId3118" Type="http://schemas.openxmlformats.org/officeDocument/2006/relationships/hyperlink" Target="http://www.broadinstitute.org/gsea/msigdb/cards/GSE32901_NAIVE_VS_TH1_CD4_TCELL_DN.html" TargetMode="External"/><Relationship Id="rId3119" Type="http://schemas.openxmlformats.org/officeDocument/2006/relationships/hyperlink" Target="http://www.broadinstitute.org/gsea/msigdb/cards/GSE34006_UNTREATED_VS_A2AR_AGONIST_TREATED_TREG_UP.html" TargetMode="External"/><Relationship Id="rId2410" Type="http://schemas.openxmlformats.org/officeDocument/2006/relationships/hyperlink" Target="http://www.broadinstitute.org/gsea/msigdb/cards/GSE37301_COMMON_LYMPHOID_PROGENITOR_VS_RAG2_KO_NK_CELL_DN.html" TargetMode="External"/><Relationship Id="rId2411" Type="http://schemas.openxmlformats.org/officeDocument/2006/relationships/hyperlink" Target="http://www.broadinstitute.org/gsea/msigdb/cards/GSE37532_WT_VS_PPARG_KO_VISCERAL_ADIPOSE_TISSUE_TCONV_DN.html" TargetMode="External"/><Relationship Id="rId2412" Type="http://schemas.openxmlformats.org/officeDocument/2006/relationships/hyperlink" Target="http://www.broadinstitute.org/gsea/msigdb/cards/GSE37534_UNTREATED_VS_PIOGLITAZONE_TREATED_CD4_TCELL_PPARG1_AND_FOXP3_TRASDUCED_UP.html" TargetMode="External"/><Relationship Id="rId2413" Type="http://schemas.openxmlformats.org/officeDocument/2006/relationships/hyperlink" Target="http://www.broadinstitute.org/gsea/msigdb/cards/GSE39022_LN_VS_SPLEEN_DC_DN.html" TargetMode="External"/><Relationship Id="rId2414" Type="http://schemas.openxmlformats.org/officeDocument/2006/relationships/hyperlink" Target="http://www.broadinstitute.org/gsea/msigdb/cards/GSE40273_GATA1_KO_VS_WT_TREG_DN.html" TargetMode="External"/><Relationship Id="rId2415" Type="http://schemas.openxmlformats.org/officeDocument/2006/relationships/hyperlink" Target="http://www.broadinstitute.org/gsea/msigdb/cards/GSE40274_XBP1_VS_FOXP3_AND_XBP1_TRANSDUCED_ACTIVATED_CD4_TCELL_DN.html" TargetMode="External"/><Relationship Id="rId2416" Type="http://schemas.openxmlformats.org/officeDocument/2006/relationships/hyperlink" Target="http://www.broadinstitute.org/gsea/msigdb/cards/GSE40666_NAIVE_VS_EFFECTOR_CD8_TCELL_UP.html" TargetMode="External"/><Relationship Id="rId2417" Type="http://schemas.openxmlformats.org/officeDocument/2006/relationships/hyperlink" Target="http://www.broadinstitute.org/gsea/msigdb/cards/GSE41867_DAY8_VS_DAY15_LCMV_CLONE13_EFFECTOR_CD8_TCELL_UP.html" TargetMode="External"/><Relationship Id="rId2418" Type="http://schemas.openxmlformats.org/officeDocument/2006/relationships/hyperlink" Target="http://www.broadinstitute.org/gsea/msigdb/cards/GSE41867_DAY15_EFFECTOR_VS_DAY30_EXHAUSTED_CD8_TCELL_LCMV_CLONE13_DN.html" TargetMode="External"/><Relationship Id="rId2419" Type="http://schemas.openxmlformats.org/officeDocument/2006/relationships/hyperlink" Target="http://www.broadinstitute.org/gsea/msigdb/cards/GSE41867_DAY6_VS_DAY15_LCMV_ARMSTRONG_EFFECTOR_CD8_TCELL_DN.html" TargetMode="External"/><Relationship Id="rId1710" Type="http://schemas.openxmlformats.org/officeDocument/2006/relationships/hyperlink" Target="http://www.broadinstitute.org/gsea/msigdb/cards/GO_POSITIVE_REGULATION_OF_EMBRYONIC_DEVELOPMENT.html" TargetMode="External"/><Relationship Id="rId1711" Type="http://schemas.openxmlformats.org/officeDocument/2006/relationships/hyperlink" Target="http://www.broadinstitute.org/gsea/msigdb/cards/GO_SMALL_SUBUNIT_PROCESSOME.html" TargetMode="External"/><Relationship Id="rId1712" Type="http://schemas.openxmlformats.org/officeDocument/2006/relationships/hyperlink" Target="http://www.broadinstitute.org/gsea/msigdb/cards/GO_INTRACELLULAR_RECEPTOR_SIGNALING_PATHWAY.html" TargetMode="External"/><Relationship Id="rId590" Type="http://schemas.openxmlformats.org/officeDocument/2006/relationships/hyperlink" Target="http://www.broadinstitute.org/gsea/msigdb/cards/AACATTC_MIR4093P.html" TargetMode="External"/><Relationship Id="rId591" Type="http://schemas.openxmlformats.org/officeDocument/2006/relationships/hyperlink" Target="http://www.broadinstitute.org/gsea/msigdb/cards/MAZR_01.html" TargetMode="External"/><Relationship Id="rId592" Type="http://schemas.openxmlformats.org/officeDocument/2006/relationships/hyperlink" Target="http://www.broadinstitute.org/gsea/msigdb/cards/MYB_Q3.html" TargetMode="External"/><Relationship Id="rId593" Type="http://schemas.openxmlformats.org/officeDocument/2006/relationships/hyperlink" Target="http://www.broadinstitute.org/gsea/msigdb/cards/GTCTTCC_MIR7.html" TargetMode="External"/><Relationship Id="rId594" Type="http://schemas.openxmlformats.org/officeDocument/2006/relationships/hyperlink" Target="http://www.broadinstitute.org/gsea/msigdb/cards/CREB_Q3.html" TargetMode="External"/><Relationship Id="rId595" Type="http://schemas.openxmlformats.org/officeDocument/2006/relationships/hyperlink" Target="http://www.broadinstitute.org/gsea/msigdb/cards/GKCGCNNNNNNNTGAYG_UNKNOWN.html" TargetMode="External"/><Relationship Id="rId596" Type="http://schemas.openxmlformats.org/officeDocument/2006/relationships/hyperlink" Target="http://www.broadinstitute.org/gsea/msigdb/cards/PAX4_03.html" TargetMode="External"/><Relationship Id="rId597" Type="http://schemas.openxmlformats.org/officeDocument/2006/relationships/hyperlink" Target="http://www.broadinstitute.org/gsea/msigdb/cards/CREBP1_Q2.html" TargetMode="External"/><Relationship Id="rId598" Type="http://schemas.openxmlformats.org/officeDocument/2006/relationships/hyperlink" Target="http://www.broadinstitute.org/gsea/msigdb/cards/SRY_02.html" TargetMode="External"/><Relationship Id="rId599" Type="http://schemas.openxmlformats.org/officeDocument/2006/relationships/hyperlink" Target="http://www.broadinstitute.org/gsea/msigdb/cards/TGCGCANK_UNKNOWN.html" TargetMode="External"/><Relationship Id="rId1713" Type="http://schemas.openxmlformats.org/officeDocument/2006/relationships/hyperlink" Target="http://www.broadinstitute.org/gsea/msigdb/cards/GO_KINESIN_COMPLEX.html" TargetMode="External"/><Relationship Id="rId1714" Type="http://schemas.openxmlformats.org/officeDocument/2006/relationships/hyperlink" Target="http://www.broadinstitute.org/gsea/msigdb/cards/GO_CHROMATIN_DNA_BINDING.html" TargetMode="External"/><Relationship Id="rId1715" Type="http://schemas.openxmlformats.org/officeDocument/2006/relationships/hyperlink" Target="http://www.broadinstitute.org/gsea/msigdb/cards/GO_REGULATION_OF_CELL_CYCLE_ARREST.html" TargetMode="External"/><Relationship Id="rId1716" Type="http://schemas.openxmlformats.org/officeDocument/2006/relationships/hyperlink" Target="http://www.broadinstitute.org/gsea/msigdb/cards/GO_POSITIVE_REGULATION_OF_NEURON_DIFFERENTIATION.html" TargetMode="External"/><Relationship Id="rId1717" Type="http://schemas.openxmlformats.org/officeDocument/2006/relationships/hyperlink" Target="http://www.broadinstitute.org/gsea/msigdb/cards/GO_APPENDAGE_DEVELOPMENT.html" TargetMode="External"/><Relationship Id="rId1718" Type="http://schemas.openxmlformats.org/officeDocument/2006/relationships/hyperlink" Target="http://www.broadinstitute.org/gsea/msigdb/cards/GO_REGULATION_OF_HISTONE_METHYLATION.html" TargetMode="External"/><Relationship Id="rId1719" Type="http://schemas.openxmlformats.org/officeDocument/2006/relationships/hyperlink" Target="http://www.broadinstitute.org/gsea/msigdb/cards/GO_REGULATION_OF_MAMMARY_GLAND_EPITHELIAL_CELL_PROLIFERATION.html" TargetMode="External"/><Relationship Id="rId2960" Type="http://schemas.openxmlformats.org/officeDocument/2006/relationships/hyperlink" Target="http://www.broadinstitute.org/gsea/msigdb/cards/GSE26669_CD4_VS_CD8_TCELL_IN_MLR_COSTIM_BLOCK_UP.html" TargetMode="External"/><Relationship Id="rId2961" Type="http://schemas.openxmlformats.org/officeDocument/2006/relationships/hyperlink" Target="http://www.broadinstitute.org/gsea/msigdb/cards/GSE26928_NAIVE_VS_CENT_MEMORY_CD4_TCELL_UP.html" TargetMode="External"/><Relationship Id="rId2962" Type="http://schemas.openxmlformats.org/officeDocument/2006/relationships/hyperlink" Target="http://www.broadinstitute.org/gsea/msigdb/cards/GSE27786_LSK_VS_NKCELL_DN.html" TargetMode="External"/><Relationship Id="rId2963" Type="http://schemas.openxmlformats.org/officeDocument/2006/relationships/hyperlink" Target="http://www.broadinstitute.org/gsea/msigdb/cards/GSE27786_BCELL_VS_CD4_TCELL_DN.html" TargetMode="External"/><Relationship Id="rId2964" Type="http://schemas.openxmlformats.org/officeDocument/2006/relationships/hyperlink" Target="http://www.broadinstitute.org/gsea/msigdb/cards/GSE27786_CD8_TCELL_VS_NKCELL_UP.html" TargetMode="External"/><Relationship Id="rId2965" Type="http://schemas.openxmlformats.org/officeDocument/2006/relationships/hyperlink" Target="http://www.broadinstitute.org/gsea/msigdb/cards/GSE28237_FOLLICULAR_VS_LATE_GC_BCELL_DN.html" TargetMode="External"/><Relationship Id="rId2966" Type="http://schemas.openxmlformats.org/officeDocument/2006/relationships/hyperlink" Target="http://www.broadinstitute.org/gsea/msigdb/cards/GSE28237_EARLY_VS_LATE_GC_BCELL_UP.html" TargetMode="External"/><Relationship Id="rId2967" Type="http://schemas.openxmlformats.org/officeDocument/2006/relationships/hyperlink" Target="http://www.broadinstitute.org/gsea/msigdb/cards/GSE2826_WT_VS_BTK_KO_BCELL_UP.html" TargetMode="External"/><Relationship Id="rId2968" Type="http://schemas.openxmlformats.org/officeDocument/2006/relationships/hyperlink" Target="http://www.broadinstitute.org/gsea/msigdb/cards/GSE29615_CTRL_VS_DAY3_LAIV_IFLU_VACCINE_PBMC_DN.html" TargetMode="External"/><Relationship Id="rId2969" Type="http://schemas.openxmlformats.org/officeDocument/2006/relationships/hyperlink" Target="http://www.broadinstitute.org/gsea/msigdb/cards/GSE29617_CTRL_VS_DAY7_TIV_FLU_VACCINE_PBMC_2008_UP.html" TargetMode="External"/><Relationship Id="rId3120" Type="http://schemas.openxmlformats.org/officeDocument/2006/relationships/hyperlink" Target="http://www.broadinstitute.org/gsea/msigdb/cards/GSE39152_CD103_NEG_VS_POS_MEMORY_CD8_TCELL_UP.html" TargetMode="External"/><Relationship Id="rId3121" Type="http://schemas.openxmlformats.org/officeDocument/2006/relationships/hyperlink" Target="http://www.broadinstitute.org/gsea/msigdb/cards/GSE40274_CTRL_VS_FOXP3_AND_HELIOS_TRANSDUCED_ACTIVATED_CD4_TCELL_UP.html" TargetMode="External"/><Relationship Id="rId3122" Type="http://schemas.openxmlformats.org/officeDocument/2006/relationships/hyperlink" Target="http://www.broadinstitute.org/gsea/msigdb/cards/GSE40274_CTRL_VS_FOXP3_TRANSDUCED_ACTIVATED_CD4_TCELL_DN.html" TargetMode="External"/><Relationship Id="rId3123" Type="http://schemas.openxmlformats.org/officeDocument/2006/relationships/hyperlink" Target="http://www.broadinstitute.org/gsea/msigdb/cards/GSE40274_XBP1_VS_FOXP3_AND_XBP1_TRANSDUCED_ACTIVATED_CD4_TCELL_UP.html" TargetMode="External"/><Relationship Id="rId3124" Type="http://schemas.openxmlformats.org/officeDocument/2006/relationships/hyperlink" Target="http://www.broadinstitute.org/gsea/msigdb/cards/GSE40274_GATA1_VS_FOXP3_AND_GATA1_TRANSDUCED_ACTIVATED_CD4_TCELL_UP.html" TargetMode="External"/><Relationship Id="rId3125" Type="http://schemas.openxmlformats.org/officeDocument/2006/relationships/hyperlink" Target="http://www.broadinstitute.org/gsea/msigdb/cards/GSE40274_FOXP3_VS_FOXP3_AND_GATA1_TRANSDUCED_ACTIVATED_CD4_TCELL_DN.html" TargetMode="External"/><Relationship Id="rId3126" Type="http://schemas.openxmlformats.org/officeDocument/2006/relationships/hyperlink" Target="http://www.broadinstitute.org/gsea/msigdb/cards/GSE40274_FOXP3_VS_FOXP3_AND_GATA1_TRANSDUCED_ACTIVATED_CD4_TCELL_UP.html" TargetMode="External"/><Relationship Id="rId3127" Type="http://schemas.openxmlformats.org/officeDocument/2006/relationships/hyperlink" Target="http://www.broadinstitute.org/gsea/msigdb/cards/GSE40666_WT_VS_STAT4_KO_CD8_TCELL_WITH_IFNA_STIM_90MIN_UP.html" TargetMode="External"/><Relationship Id="rId3128" Type="http://schemas.openxmlformats.org/officeDocument/2006/relationships/hyperlink" Target="http://www.broadinstitute.org/gsea/msigdb/cards/GSE36078_WT_VS_IL1R_KO_LUNG_DC_AFTER_AD5_T425A_HEXON_INF_DN.html" TargetMode="External"/><Relationship Id="rId3129" Type="http://schemas.openxmlformats.org/officeDocument/2006/relationships/hyperlink" Target="http://www.broadinstitute.org/gsea/msigdb/cards/GSE36078_UNTREATED_VS_AD5_INF_IL1R_KO_MOUSE_LUNG_DC_DN.html" TargetMode="External"/><Relationship Id="rId2420" Type="http://schemas.openxmlformats.org/officeDocument/2006/relationships/hyperlink" Target="http://www.broadinstitute.org/gsea/msigdb/cards/GSE43700_UNTREATED_VS_IL10_TREATED_PBMC_UP.html" TargetMode="External"/><Relationship Id="rId2421" Type="http://schemas.openxmlformats.org/officeDocument/2006/relationships/hyperlink" Target="http://www.broadinstitute.org/gsea/msigdb/cards/GSE43955_TH0_VS_TGFB_IL6_TH17_ACT_CD4_TCELL_4H_UP.html" TargetMode="External"/><Relationship Id="rId2422" Type="http://schemas.openxmlformats.org/officeDocument/2006/relationships/hyperlink" Target="http://www.broadinstitute.org/gsea/msigdb/cards/GSE43955_1H_VS_60H_ACT_CD4_TCELL_DN.html" TargetMode="External"/><Relationship Id="rId2423" Type="http://schemas.openxmlformats.org/officeDocument/2006/relationships/hyperlink" Target="http://www.broadinstitute.org/gsea/msigdb/cards/GSE43863_NAIVE_VS_TH1_EFF_CD4_TCELL_D6_LCMV_UP.html" TargetMode="External"/><Relationship Id="rId2424" Type="http://schemas.openxmlformats.org/officeDocument/2006/relationships/hyperlink" Target="http://www.broadinstitute.org/gsea/msigdb/cards/GSE43863_TH1_VS_LY6C_INT_CXCR5POS_MEMORY_CD4_TCELL_UP.html" TargetMode="External"/><Relationship Id="rId2425" Type="http://schemas.openxmlformats.org/officeDocument/2006/relationships/hyperlink" Target="http://www.broadinstitute.org/gsea/msigdb/cards/GSE44649_NAIVE_VS_ACTIVATED_CD8_TCELL_DN.html" TargetMode="External"/><Relationship Id="rId2426" Type="http://schemas.openxmlformats.org/officeDocument/2006/relationships/hyperlink" Target="http://www.broadinstitute.org/gsea/msigdb/cards/GSE42724_NAIVE_VS_B1_BCELL_UP.html" TargetMode="External"/><Relationship Id="rId2427" Type="http://schemas.openxmlformats.org/officeDocument/2006/relationships/hyperlink" Target="http://www.broadinstitute.org/gsea/msigdb/cards/GSE46606_UNSTIM_VS_CD40L_IL2_IL5_3DAY_STIMULATED_IRF4_KO_BCELL_DN.html" TargetMode="External"/><Relationship Id="rId2428" Type="http://schemas.openxmlformats.org/officeDocument/2006/relationships/hyperlink" Target="http://www.broadinstitute.org/gsea/msigdb/cards/GSE46606_IRF4MID_VS_WT_CD40L_IL2_IL5_DAY1_STIMULATED_BCELL_UP.html" TargetMode="External"/><Relationship Id="rId2429" Type="http://schemas.openxmlformats.org/officeDocument/2006/relationships/hyperlink" Target="http://www.broadinstitute.org/gsea/msigdb/cards/GSE45739_NRAS_KO_VS_WT_UNSTIM_CD4_TCELL_DN.html" TargetMode="External"/><Relationship Id="rId1720" Type="http://schemas.openxmlformats.org/officeDocument/2006/relationships/hyperlink" Target="http://www.broadinstitute.org/gsea/msigdb/cards/GO_REGULATION_OF_PROTEIN_DEACETYLATION.html" TargetMode="External"/><Relationship Id="rId1721" Type="http://schemas.openxmlformats.org/officeDocument/2006/relationships/hyperlink" Target="http://www.broadinstitute.org/gsea/msigdb/cards/GO_PROTEIN_DESTABILIZATION.html" TargetMode="External"/><Relationship Id="rId1722" Type="http://schemas.openxmlformats.org/officeDocument/2006/relationships/hyperlink" Target="http://www.broadinstitute.org/gsea/msigdb/cards/GO_REGULATION_OF_GENE_EXPRESSION_BY_GENETIC_IMPRINTING.html" TargetMode="External"/><Relationship Id="rId1723" Type="http://schemas.openxmlformats.org/officeDocument/2006/relationships/hyperlink" Target="http://www.broadinstitute.org/gsea/msigdb/cards/GO_PORE_COMPLEX_ASSEMBLY.html" TargetMode="External"/><Relationship Id="rId1724" Type="http://schemas.openxmlformats.org/officeDocument/2006/relationships/hyperlink" Target="http://www.broadinstitute.org/gsea/msigdb/cards/GO_RNA_DESTABILIZATION.html" TargetMode="External"/><Relationship Id="rId1725" Type="http://schemas.openxmlformats.org/officeDocument/2006/relationships/hyperlink" Target="http://www.broadinstitute.org/gsea/msigdb/cards/GO_MEGAKARYOCYTE_DEVELOPMENT.html" TargetMode="External"/><Relationship Id="rId1726" Type="http://schemas.openxmlformats.org/officeDocument/2006/relationships/hyperlink" Target="http://www.broadinstitute.org/gsea/msigdb/cards/GO_NEGATIVE_REGULATION_OF_CELL_DEATH.html" TargetMode="External"/><Relationship Id="rId1727" Type="http://schemas.openxmlformats.org/officeDocument/2006/relationships/hyperlink" Target="http://www.broadinstitute.org/gsea/msigdb/cards/GO_HISTONE_UBIQUITINATION.html" TargetMode="External"/><Relationship Id="rId1728" Type="http://schemas.openxmlformats.org/officeDocument/2006/relationships/hyperlink" Target="http://www.broadinstitute.org/gsea/msigdb/cards/GO_NEGATIVE_REGULATION_OF_PROTEIN_COMPLEX_DISASSEMBLY.html" TargetMode="External"/><Relationship Id="rId1729" Type="http://schemas.openxmlformats.org/officeDocument/2006/relationships/hyperlink" Target="http://www.broadinstitute.org/gsea/msigdb/cards/GO_CARBOHYDRATE_HOMEOSTASIS.html" TargetMode="External"/><Relationship Id="rId2970" Type="http://schemas.openxmlformats.org/officeDocument/2006/relationships/hyperlink" Target="http://www.broadinstitute.org/gsea/msigdb/cards/GSE29618_PDC_VS_MDC_UP.html" TargetMode="External"/><Relationship Id="rId2971" Type="http://schemas.openxmlformats.org/officeDocument/2006/relationships/hyperlink" Target="http://www.broadinstitute.org/gsea/msigdb/cards/GSE29618_PRE_VS_DAY7_FLU_VACCINE_BCELL_DN.html" TargetMode="External"/><Relationship Id="rId2972" Type="http://schemas.openxmlformats.org/officeDocument/2006/relationships/hyperlink" Target="http://www.broadinstitute.org/gsea/msigdb/cards/GSE29618_PRE_VS_DAY7_POST_LAIV_FLU_VACCINE_MDC_DN.html" TargetMode="External"/><Relationship Id="rId2973" Type="http://schemas.openxmlformats.org/officeDocument/2006/relationships/hyperlink" Target="http://www.broadinstitute.org/gsea/msigdb/cards/GSE30962_PRIMARY_VS_SECONDARY_ACUTE_LCMV_INF_CD8_TCELL_DN.html" TargetMode="External"/><Relationship Id="rId2974" Type="http://schemas.openxmlformats.org/officeDocument/2006/relationships/hyperlink" Target="http://www.broadinstitute.org/gsea/msigdb/cards/GSE31082_DN_VS_CD4_SP_THYMOCYTE_DN.html" TargetMode="External"/><Relationship Id="rId2975" Type="http://schemas.openxmlformats.org/officeDocument/2006/relationships/hyperlink" Target="http://www.broadinstitute.org/gsea/msigdb/cards/GSE31082_DN_VS_CD8_SP_THYMOCYTE_DN.html" TargetMode="External"/><Relationship Id="rId2976" Type="http://schemas.openxmlformats.org/officeDocument/2006/relationships/hyperlink" Target="http://www.broadinstitute.org/gsea/msigdb/cards/GSE32423_CTRL_VS_IL4_MEMORY_CD8_TCELL_UP.html" TargetMode="External"/><Relationship Id="rId2977" Type="http://schemas.openxmlformats.org/officeDocument/2006/relationships/hyperlink" Target="http://www.broadinstitute.org/gsea/msigdb/cards/GSE32423_IL7_VS_IL4_MEMORY_CD8_TCELL_UP.html" TargetMode="External"/><Relationship Id="rId2978" Type="http://schemas.openxmlformats.org/officeDocument/2006/relationships/hyperlink" Target="http://www.broadinstitute.org/gsea/msigdb/cards/GSE360_CTRL_VS_L_MAJOR_DC_UP.html" TargetMode="External"/><Relationship Id="rId2979" Type="http://schemas.openxmlformats.org/officeDocument/2006/relationships/hyperlink" Target="http://www.broadinstitute.org/gsea/msigdb/cards/GSE360_CTRL_VS_B_MALAYI_HIGH_DOSE_DC_UP.html" TargetMode="External"/><Relationship Id="rId3130" Type="http://schemas.openxmlformats.org/officeDocument/2006/relationships/hyperlink" Target="http://www.broadinstitute.org/gsea/msigdb/cards/GSE36078_UNTREATED_VS_AD5_INF_IL1R_KO_MOUSE_LUNG_DC_UP.html" TargetMode="External"/><Relationship Id="rId3131" Type="http://schemas.openxmlformats.org/officeDocument/2006/relationships/hyperlink" Target="http://www.broadinstitute.org/gsea/msigdb/cards/GSE11961_FOLLICULAR_BCELL_VS_GERMINAL_CENTER_BCELL_DAY40_DN.html" TargetMode="External"/><Relationship Id="rId3132" Type="http://schemas.openxmlformats.org/officeDocument/2006/relationships/hyperlink" Target="http://www.broadinstitute.org/gsea/msigdb/cards/GSE11961_FOLLICULAR_BCELL_VS_MEMORY_BCELL_DAY7_DN.html" TargetMode="External"/><Relationship Id="rId3133" Type="http://schemas.openxmlformats.org/officeDocument/2006/relationships/hyperlink" Target="http://www.broadinstitute.org/gsea/msigdb/cards/GSE28737_FOLLICULAR_VS_MARGINAL_ZONE_BCELL_BCL6_HET_UP.html" TargetMode="External"/><Relationship Id="rId3134" Type="http://schemas.openxmlformats.org/officeDocument/2006/relationships/hyperlink" Target="http://www.broadinstitute.org/gsea/msigdb/cards/GSE11961_MEMORY_BCELL_DAY7_VS_GERMINAL_CENTER_BCELL_DAY40_UP.html" TargetMode="External"/><Relationship Id="rId3135" Type="http://schemas.openxmlformats.org/officeDocument/2006/relationships/hyperlink" Target="http://www.broadinstitute.org/gsea/msigdb/cards/GSE11961_GERMINAL_CENTER_BCELL_DAY7_VS_PLASMA_CELL_DAY7_UP.html" TargetMode="External"/><Relationship Id="rId3136" Type="http://schemas.openxmlformats.org/officeDocument/2006/relationships/hyperlink" Target="http://www.broadinstitute.org/gsea/msigdb/cards/GSE34179_THPOK_KO_VS_WT_VA14I_NKTCELL_UP.html" TargetMode="External"/><Relationship Id="rId3137" Type="http://schemas.openxmlformats.org/officeDocument/2006/relationships/hyperlink" Target="http://www.broadinstitute.org/gsea/msigdb/cards/GSE41867_LCMV_ARMSTRONG_VS_CLONE13_DAY15_EFFECTOR_CD8_TCELL_UP.html" TargetMode="External"/><Relationship Id="rId3138" Type="http://schemas.openxmlformats.org/officeDocument/2006/relationships/hyperlink" Target="http://www.broadinstitute.org/gsea/msigdb/cards/GSE28408_LY6G_POS_VS_NEG_DC_UP.html" TargetMode="External"/><Relationship Id="rId3139" Type="http://schemas.openxmlformats.org/officeDocument/2006/relationships/hyperlink" Target="http://www.broadinstitute.org/gsea/msigdb/cards/GSE42021_TCONV_PLN_VS_CD24LO_TCONV_THYMUS_UP.html" TargetMode="External"/><Relationship Id="rId2430" Type="http://schemas.openxmlformats.org/officeDocument/2006/relationships/hyperlink" Target="http://www.broadinstitute.org/gsea/msigdb/cards/GSE45837_WT_VS_GFI1_KO_PDC_UP.html" TargetMode="External"/><Relationship Id="rId2431" Type="http://schemas.openxmlformats.org/officeDocument/2006/relationships/hyperlink" Target="http://www.broadinstitute.org/gsea/msigdb/cards/GSE45365_HEALTHY_VS_MCMV_INFECTION_CD8A_DC_IFNAR_KO_DN.html" TargetMode="External"/><Relationship Id="rId2432" Type="http://schemas.openxmlformats.org/officeDocument/2006/relationships/hyperlink" Target="http://www.broadinstitute.org/gsea/msigdb/cards/GSE45365_NK_CELL_VS_BCELL_UP.html" TargetMode="External"/><Relationship Id="rId2433" Type="http://schemas.openxmlformats.org/officeDocument/2006/relationships/hyperlink" Target="http://www.broadinstitute.org/gsea/msigdb/cards/GSE6269_HEALTHY_VS_FLU_INF_PBMC_UP.html" TargetMode="External"/><Relationship Id="rId2434" Type="http://schemas.openxmlformats.org/officeDocument/2006/relationships/hyperlink" Target="http://www.broadinstitute.org/gsea/msigdb/cards/GSE34156_UNTREATED_VS_6H_TLR1_TLR2_LIGAND_TREATED_MONOCYTE_DN.html" TargetMode="External"/><Relationship Id="rId2435" Type="http://schemas.openxmlformats.org/officeDocument/2006/relationships/hyperlink" Target="http://www.broadinstitute.org/gsea/msigdb/cards/GSE3920_IFNA_VS_IFNG_TREATED_FIBROBLAST_UP.html" TargetMode="External"/><Relationship Id="rId2436" Type="http://schemas.openxmlformats.org/officeDocument/2006/relationships/hyperlink" Target="http://www.broadinstitute.org/gsea/msigdb/cards/GSE14699_NAIVE_VS_DELETIONAL_TOLERANCE_CD8_TCELL_UP.html" TargetMode="External"/><Relationship Id="rId2437" Type="http://schemas.openxmlformats.org/officeDocument/2006/relationships/hyperlink" Target="http://www.broadinstitute.org/gsea/msigdb/cards/GSE34156_UNTREATED_VS_6H_NOD2_AND_TLR1_TLR2_LIGAND_TREATED_MONOCYTE_DN.html" TargetMode="External"/><Relationship Id="rId2438" Type="http://schemas.openxmlformats.org/officeDocument/2006/relationships/hyperlink" Target="http://www.broadinstitute.org/gsea/msigdb/cards/GSE4984_GALECTIN1_VS_LPS_STIM_DC_UP.html" TargetMode="External"/><Relationship Id="rId2439" Type="http://schemas.openxmlformats.org/officeDocument/2006/relationships/hyperlink" Target="http://www.broadinstitute.org/gsea/msigdb/cards/GSE7348_UNSTIM_VS_TOLERIZED_AND_LPS_STIM_MACROPHAGE_DN.html" TargetMode="External"/><Relationship Id="rId1730" Type="http://schemas.openxmlformats.org/officeDocument/2006/relationships/hyperlink" Target="http://www.broadinstitute.org/gsea/msigdb/cards/GO_NUCLEAR_ENVELOPE_ORGANIZATION.html" TargetMode="External"/><Relationship Id="rId1731" Type="http://schemas.openxmlformats.org/officeDocument/2006/relationships/hyperlink" Target="http://www.broadinstitute.org/gsea/msigdb/cards/GO_V_D_J_RECOMBINATION.html" TargetMode="External"/><Relationship Id="rId1732" Type="http://schemas.openxmlformats.org/officeDocument/2006/relationships/hyperlink" Target="http://www.broadinstitute.org/gsea/msigdb/cards/GO_SAGA_TYPE_COMPLEX.html" TargetMode="External"/><Relationship Id="rId1733" Type="http://schemas.openxmlformats.org/officeDocument/2006/relationships/hyperlink" Target="http://www.broadinstitute.org/gsea/msigdb/cards/GO_MEDIATOR_COMPLEX.html" TargetMode="External"/><Relationship Id="rId1734" Type="http://schemas.openxmlformats.org/officeDocument/2006/relationships/hyperlink" Target="http://www.broadinstitute.org/gsea/msigdb/cards/GO_MIRNA_BINDING.html" TargetMode="External"/><Relationship Id="rId1735" Type="http://schemas.openxmlformats.org/officeDocument/2006/relationships/hyperlink" Target="http://www.broadinstitute.org/gsea/msigdb/cards/GO_H4_HISTONE_ACETYLTRANSFERASE_ACTIVITY.html" TargetMode="External"/><Relationship Id="rId1736" Type="http://schemas.openxmlformats.org/officeDocument/2006/relationships/hyperlink" Target="http://www.broadinstitute.org/gsea/msigdb/cards/GO_PHOSPHATIDYLINOSITOL_PHOSPHATE_KINASE_ACTIVITY.html" TargetMode="External"/><Relationship Id="rId1737" Type="http://schemas.openxmlformats.org/officeDocument/2006/relationships/hyperlink" Target="http://www.broadinstitute.org/gsea/msigdb/cards/GO_SNRNA_BINDING.html" TargetMode="External"/><Relationship Id="rId1738" Type="http://schemas.openxmlformats.org/officeDocument/2006/relationships/hyperlink" Target="http://www.broadinstitute.org/gsea/msigdb/cards/GO_RNA_POLYMERASE_II_CARBOXY_TERMINAL_DOMAIN_KINASE_ACTIVITY.html" TargetMode="External"/><Relationship Id="rId1739" Type="http://schemas.openxmlformats.org/officeDocument/2006/relationships/hyperlink" Target="http://www.broadinstitute.org/gsea/msigdb/cards/GO_REGULATION_OF_WNT_SIGNALING_PATHWAY.html" TargetMode="External"/><Relationship Id="rId2980" Type="http://schemas.openxmlformats.org/officeDocument/2006/relationships/hyperlink" Target="http://www.broadinstitute.org/gsea/msigdb/cards/GSE360_CTRL_VS_M_TUBERCULOSIS_DC_UP.html" TargetMode="External"/><Relationship Id="rId2981" Type="http://schemas.openxmlformats.org/officeDocument/2006/relationships/hyperlink" Target="http://www.broadinstitute.org/gsea/msigdb/cards/GSE360_CTRL_VS_L_MAJOR_MAC_UP.html" TargetMode="External"/><Relationship Id="rId2982" Type="http://schemas.openxmlformats.org/officeDocument/2006/relationships/hyperlink" Target="http://www.broadinstitute.org/gsea/msigdb/cards/GSE360_CTRL_VS_B_MALAYI_LOW_DOSE_MAC_DN.html" TargetMode="External"/><Relationship Id="rId2983" Type="http://schemas.openxmlformats.org/officeDocument/2006/relationships/hyperlink" Target="http://www.broadinstitute.org/gsea/msigdb/cards/GSE360_CTRL_VS_M_TUBERCULOSIS_MAC_UP.html" TargetMode="External"/><Relationship Id="rId2984" Type="http://schemas.openxmlformats.org/officeDocument/2006/relationships/hyperlink" Target="http://www.broadinstitute.org/gsea/msigdb/cards/GSE360_CTRL_VS_M_TUBERCULOSIS_MAC_DN.html" TargetMode="External"/><Relationship Id="rId2985" Type="http://schemas.openxmlformats.org/officeDocument/2006/relationships/hyperlink" Target="http://www.broadinstitute.org/gsea/msigdb/cards/GSE360_DC_VS_MAC_M_TUBERCULOSIS_DN.html" TargetMode="External"/><Relationship Id="rId2986" Type="http://schemas.openxmlformats.org/officeDocument/2006/relationships/hyperlink" Target="http://www.broadinstitute.org/gsea/msigdb/cards/GSE360_HIGH_DOSE_B_MALAYI_VS_M_TUBERCULOSIS_DC_UP.html" TargetMode="External"/><Relationship Id="rId2987" Type="http://schemas.openxmlformats.org/officeDocument/2006/relationships/hyperlink" Target="http://www.broadinstitute.org/gsea/msigdb/cards/GSE360_L_DONOVANI_VS_B_MALAYI_LOW_DOSE_MAC_UP.html" TargetMode="External"/><Relationship Id="rId2988" Type="http://schemas.openxmlformats.org/officeDocument/2006/relationships/hyperlink" Target="http://www.broadinstitute.org/gsea/msigdb/cards/GSE360_LOW_DOSE_B_MALAYI_VS_M_TUBERCULOSIS_MAC_DN.html" TargetMode="External"/><Relationship Id="rId2989" Type="http://schemas.openxmlformats.org/officeDocument/2006/relationships/hyperlink" Target="http://www.broadinstitute.org/gsea/msigdb/cards/GSE36392_MAC_VS_NEUTROPHIL_IL25_TREATED_LUNG_UP.html" TargetMode="External"/><Relationship Id="rId3140" Type="http://schemas.openxmlformats.org/officeDocument/2006/relationships/hyperlink" Target="http://www.broadinstitute.org/gsea/msigdb/cards/GSE27434_WT_VS_DNMT1_KO_TREG_DN.html" TargetMode="External"/><Relationship Id="rId3141" Type="http://schemas.openxmlformats.org/officeDocument/2006/relationships/hyperlink" Target="http://www.broadinstitute.org/gsea/msigdb/cards/GSE43957_UNTREATED_VS_NACL_TREATED_ANTI_CD3_CD28_STIM_CD4_TCELL_DN.html" TargetMode="External"/><Relationship Id="rId3142" Type="http://schemas.openxmlformats.org/officeDocument/2006/relationships/hyperlink" Target="http://www.broadinstitute.org/gsea/msigdb/cards/GSE43955_TH0_VS_TGFB_IL6_TH17_ACT_CD4_TCELL_1H_DN.html" TargetMode="External"/><Relationship Id="rId3143" Type="http://schemas.openxmlformats.org/officeDocument/2006/relationships/hyperlink" Target="http://www.broadinstitute.org/gsea/msigdb/cards/GSE43955_TH0_VS_TGFB_IL6_TH17_ACT_CD4_TCELL_30H_DN.html" TargetMode="External"/><Relationship Id="rId3144" Type="http://schemas.openxmlformats.org/officeDocument/2006/relationships/hyperlink" Target="http://www.broadinstitute.org/gsea/msigdb/cards/GSE43955_1H_VS_20H_ACT_CD4_TCELL_DN.html" TargetMode="External"/><Relationship Id="rId3145" Type="http://schemas.openxmlformats.org/officeDocument/2006/relationships/hyperlink" Target="http://www.broadinstitute.org/gsea/msigdb/cards/GSE43955_10H_VS_30H_ACT_CD4_TCELL_DN.html" TargetMode="External"/><Relationship Id="rId3146" Type="http://schemas.openxmlformats.org/officeDocument/2006/relationships/hyperlink" Target="http://www.broadinstitute.org/gsea/msigdb/cards/GSE43955_10H_VS_60H_ACT_CD4_TCELL_UP.html" TargetMode="External"/><Relationship Id="rId3147" Type="http://schemas.openxmlformats.org/officeDocument/2006/relationships/hyperlink" Target="http://www.broadinstitute.org/gsea/msigdb/cards/GSE42724_MEMORY_BCELL_VS_PLASMABLAST_DN.html" TargetMode="External"/><Relationship Id="rId3148" Type="http://schemas.openxmlformats.org/officeDocument/2006/relationships/hyperlink" Target="http://www.broadinstitute.org/gsea/msigdb/cards/GSE46606_UNSTIM_VS_CD40L_IL2_IL5_1DAY_STIMULATED_IRF4HIGH_SORTED_BCELL_DN.html" TargetMode="External"/><Relationship Id="rId3149" Type="http://schemas.openxmlformats.org/officeDocument/2006/relationships/hyperlink" Target="http://www.broadinstitute.org/gsea/msigdb/cards/GSE46606_IRF4HIGH_VS_WT_CD40L_IL2_IL5_DAY1_STIMULATED_BCELL_UP.html" TargetMode="External"/><Relationship Id="rId2440" Type="http://schemas.openxmlformats.org/officeDocument/2006/relationships/hyperlink" Target="http://www.broadinstitute.org/gsea/msigdb/cards/GSE6259_FLT3L_INDUCED_DEC205_POS_DC_VS_CD4_TCELL_UP.html" TargetMode="External"/><Relationship Id="rId2441" Type="http://schemas.openxmlformats.org/officeDocument/2006/relationships/hyperlink" Target="http://www.broadinstitute.org/gsea/msigdb/cards/GSE15330_HSC_VS_MEGAKARYOCYTE_ERYTHROID_PROGENITOR_UP.html" TargetMode="External"/><Relationship Id="rId2442" Type="http://schemas.openxmlformats.org/officeDocument/2006/relationships/hyperlink" Target="http://www.broadinstitute.org/gsea/msigdb/cards/GSE37301_HEMATOPOIETIC_STEM_CELL_VS_MULTIPOTENT_PROGENITOR_DN.html" TargetMode="External"/><Relationship Id="rId2443" Type="http://schemas.openxmlformats.org/officeDocument/2006/relationships/hyperlink" Target="http://www.broadinstitute.org/gsea/msigdb/cards/GSE5589_WT_VS_IL6_KO_LPS_STIM_MACROPHAGE_180MIN_DN.html" TargetMode="External"/><Relationship Id="rId2444" Type="http://schemas.openxmlformats.org/officeDocument/2006/relationships/hyperlink" Target="http://www.broadinstitute.org/gsea/msigdb/cards/GSE10239_NAIVE_VS_KLRG1INT_EFF_CD8_TCELL_UP.html" TargetMode="External"/><Relationship Id="rId2445" Type="http://schemas.openxmlformats.org/officeDocument/2006/relationships/hyperlink" Target="http://www.broadinstitute.org/gsea/msigdb/cards/GSE10239_MEMORY_VS_KLRG1INT_EFF_CD8_TCELL_DN.html" TargetMode="External"/><Relationship Id="rId2446" Type="http://schemas.openxmlformats.org/officeDocument/2006/relationships/hyperlink" Target="http://www.broadinstitute.org/gsea/msigdb/cards/GSE10856_CTRL_VS_TNFRSF6B_IN_MACROPHAGE_UP.html" TargetMode="External"/><Relationship Id="rId2447" Type="http://schemas.openxmlformats.org/officeDocument/2006/relationships/hyperlink" Target="http://www.broadinstitute.org/gsea/msigdb/cards/GSE11864_UNTREATED_VS_CSF1_IFNG_IN_MAC_DN.html" TargetMode="External"/><Relationship Id="rId2448" Type="http://schemas.openxmlformats.org/officeDocument/2006/relationships/hyperlink" Target="http://www.broadinstitute.org/gsea/msigdb/cards/GSE11864_CSF1_VS_CSF1_PAM3CYS_IN_MAC_UP.html" TargetMode="External"/><Relationship Id="rId2449" Type="http://schemas.openxmlformats.org/officeDocument/2006/relationships/hyperlink" Target="http://www.broadinstitute.org/gsea/msigdb/cards/GSE12845_IGD_POS_BLOOD_VS_PRE_GC_TONSIL_BCELL_DN.html" TargetMode="External"/><Relationship Id="rId800" Type="http://schemas.openxmlformats.org/officeDocument/2006/relationships/hyperlink" Target="http://www.broadinstitute.org/gsea/msigdb/cards/CCANNAGRKGGC_UNKNOWN.html" TargetMode="External"/><Relationship Id="rId801" Type="http://schemas.openxmlformats.org/officeDocument/2006/relationships/hyperlink" Target="http://www.broadinstitute.org/gsea/msigdb/cards/TAGAACC_MIR182.html" TargetMode="External"/><Relationship Id="rId802" Type="http://schemas.openxmlformats.org/officeDocument/2006/relationships/hyperlink" Target="http://www.broadinstitute.org/gsea/msigdb/cards/FREAC3_01.html" TargetMode="External"/><Relationship Id="rId803" Type="http://schemas.openxmlformats.org/officeDocument/2006/relationships/hyperlink" Target="http://www.broadinstitute.org/gsea/msigdb/cards/CEBP_Q3.html" TargetMode="External"/><Relationship Id="rId804" Type="http://schemas.openxmlformats.org/officeDocument/2006/relationships/hyperlink" Target="http://www.broadinstitute.org/gsea/msigdb/cards/FREAC4_01.html" TargetMode="External"/><Relationship Id="rId805" Type="http://schemas.openxmlformats.org/officeDocument/2006/relationships/hyperlink" Target="http://www.broadinstitute.org/gsea/msigdb/cards/ER_Q6_02.html" TargetMode="External"/><Relationship Id="rId806" Type="http://schemas.openxmlformats.org/officeDocument/2006/relationships/hyperlink" Target="http://www.broadinstitute.org/gsea/msigdb/cards/TTCYRGAA_UNKNOWN.html" TargetMode="External"/><Relationship Id="rId807" Type="http://schemas.openxmlformats.org/officeDocument/2006/relationships/hyperlink" Target="http://www.broadinstitute.org/gsea/msigdb/cards/CAGGTCC_MIR492.html" TargetMode="External"/><Relationship Id="rId808" Type="http://schemas.openxmlformats.org/officeDocument/2006/relationships/hyperlink" Target="http://www.broadinstitute.org/gsea/msigdb/cards/CP2_02.html" TargetMode="External"/><Relationship Id="rId809" Type="http://schemas.openxmlformats.org/officeDocument/2006/relationships/hyperlink" Target="http://www.broadinstitute.org/gsea/msigdb/cards/NFKB_Q6.html" TargetMode="External"/><Relationship Id="rId1740" Type="http://schemas.openxmlformats.org/officeDocument/2006/relationships/hyperlink" Target="http://www.broadinstitute.org/gsea/msigdb/cards/GO_REGULATION_OF_CELLULAR_PROTEIN_CATABOLIC_PROCESS.html" TargetMode="External"/><Relationship Id="rId1741" Type="http://schemas.openxmlformats.org/officeDocument/2006/relationships/hyperlink" Target="http://www.broadinstitute.org/gsea/msigdb/cards/GO_RESPONSE_TO_INSULIN.html" TargetMode="External"/><Relationship Id="rId1742" Type="http://schemas.openxmlformats.org/officeDocument/2006/relationships/hyperlink" Target="http://www.broadinstitute.org/gsea/msigdb/cards/GO_ORGANELLE_SUBCOMPARTMENT.html" TargetMode="External"/><Relationship Id="rId1743" Type="http://schemas.openxmlformats.org/officeDocument/2006/relationships/hyperlink" Target="http://www.broadinstitute.org/gsea/msigdb/cards/GO_CELL_CYCLE_G1_S_PHASE_TRANSITION.html" TargetMode="External"/><Relationship Id="rId1744" Type="http://schemas.openxmlformats.org/officeDocument/2006/relationships/hyperlink" Target="http://www.broadinstitute.org/gsea/msigdb/cards/GO_NEGATIVE_REGULATION_OF_MRNA_METABOLIC_PROCESS.html" TargetMode="External"/><Relationship Id="rId1745" Type="http://schemas.openxmlformats.org/officeDocument/2006/relationships/hyperlink" Target="http://www.broadinstitute.org/gsea/msigdb/cards/GO_RNA_PHOSPHODIESTER_BOND_HYDROLYSIS_EXONUCLEOLYTIC.html" TargetMode="External"/><Relationship Id="rId1746" Type="http://schemas.openxmlformats.org/officeDocument/2006/relationships/hyperlink" Target="http://www.broadinstitute.org/gsea/msigdb/cards/GO_REGULATION_OF_PROTEIN_POLYMERIZATION.html" TargetMode="External"/><Relationship Id="rId1747" Type="http://schemas.openxmlformats.org/officeDocument/2006/relationships/hyperlink" Target="http://www.broadinstitute.org/gsea/msigdb/cards/GO_REGULATION_OF_CELL_SUBSTRATE_ADHESION.html" TargetMode="External"/><Relationship Id="rId1748" Type="http://schemas.openxmlformats.org/officeDocument/2006/relationships/hyperlink" Target="http://www.broadinstitute.org/gsea/msigdb/cards/GO_ENDOSOME.html" TargetMode="External"/><Relationship Id="rId1749" Type="http://schemas.openxmlformats.org/officeDocument/2006/relationships/hyperlink" Target="http://www.broadinstitute.org/gsea/msigdb/cards/GO_MICROTUBULE_ANCHORING.html" TargetMode="External"/><Relationship Id="rId2990" Type="http://schemas.openxmlformats.org/officeDocument/2006/relationships/hyperlink" Target="http://www.broadinstitute.org/gsea/msigdb/cards/GSE36476_CTRL_VS_TSST_ACT_16H_MEMORY_CD4_TCELL_OLD_UP.html" TargetMode="External"/><Relationship Id="rId2991" Type="http://schemas.openxmlformats.org/officeDocument/2006/relationships/hyperlink" Target="http://www.broadinstitute.org/gsea/msigdb/cards/GSE36476_YOUNG_VS_OLD_DONOR_MEMORY_CD4_TCELL_16H_TSST_ACT_DN.html" TargetMode="External"/><Relationship Id="rId2992" Type="http://schemas.openxmlformats.org/officeDocument/2006/relationships/hyperlink" Target="http://www.broadinstitute.org/gsea/msigdb/cards/GSE36476_YOUNG_VS_OLD_DONOR_MEMORY_CD4_TCELL_40H_TSST_ACT_DN.html" TargetMode="External"/><Relationship Id="rId2993" Type="http://schemas.openxmlformats.org/officeDocument/2006/relationships/hyperlink" Target="http://www.broadinstitute.org/gsea/msigdb/cards/GSE37416_0H_VS_24H_F_TULARENSIS_LVS_NEUTROPHIL_DN.html" TargetMode="External"/><Relationship Id="rId2994" Type="http://schemas.openxmlformats.org/officeDocument/2006/relationships/hyperlink" Target="http://www.broadinstitute.org/gsea/msigdb/cards/GSE37416_0H_VS_48H_F_TULARENSIS_LVS_NEUTROPHIL_UP.html" TargetMode="External"/><Relationship Id="rId2995" Type="http://schemas.openxmlformats.org/officeDocument/2006/relationships/hyperlink" Target="http://www.broadinstitute.org/gsea/msigdb/cards/GSE3982_EOSINOPHIL_VS_DC_UP.html" TargetMode="External"/><Relationship Id="rId2996" Type="http://schemas.openxmlformats.org/officeDocument/2006/relationships/hyperlink" Target="http://www.broadinstitute.org/gsea/msigdb/cards/GSE3982_EOSINOPHIL_VS_MAC_UP.html" TargetMode="External"/><Relationship Id="rId2997" Type="http://schemas.openxmlformats.org/officeDocument/2006/relationships/hyperlink" Target="http://www.broadinstitute.org/gsea/msigdb/cards/GSE3982_MAST_CELL_VS_NEUTROPHIL_DN.html" TargetMode="External"/><Relationship Id="rId2998" Type="http://schemas.openxmlformats.org/officeDocument/2006/relationships/hyperlink" Target="http://www.broadinstitute.org/gsea/msigdb/cards/GSE3982_MAST_CELL_VS_TH1_DN.html" TargetMode="External"/><Relationship Id="rId2999" Type="http://schemas.openxmlformats.org/officeDocument/2006/relationships/hyperlink" Target="http://www.broadinstitute.org/gsea/msigdb/cards/GSE3982_DC_VS_NKCELL_DN.html" TargetMode="External"/><Relationship Id="rId3150" Type="http://schemas.openxmlformats.org/officeDocument/2006/relationships/hyperlink" Target="http://www.broadinstitute.org/gsea/msigdb/cards/GSE46025_WT_VS_FOXO1_KO_KLRG1_LOW_CD8_EFFECTOR_TCELL_DN.html" TargetMode="External"/><Relationship Id="rId3151" Type="http://schemas.openxmlformats.org/officeDocument/2006/relationships/hyperlink" Target="http://www.broadinstitute.org/gsea/msigdb/cards/GSE42088_UNINF_VS_LEISHMANIA_INF_DC_24H_UP.html" TargetMode="External"/><Relationship Id="rId3152" Type="http://schemas.openxmlformats.org/officeDocument/2006/relationships/hyperlink" Target="http://www.broadinstitute.org/gsea/msigdb/cards/GSE41176_WT_VS_TAK1_KO_ANTI_IGM_STIM_BCELL_24H_UP.html" TargetMode="External"/><Relationship Id="rId3153" Type="http://schemas.openxmlformats.org/officeDocument/2006/relationships/hyperlink" Target="http://www.broadinstitute.org/gsea/msigdb/cards/GSE45365_WT_VS_IFNAR_KO_CD8A_DC_DN.html" TargetMode="External"/><Relationship Id="rId3154" Type="http://schemas.openxmlformats.org/officeDocument/2006/relationships/hyperlink" Target="http://www.broadinstitute.org/gsea/msigdb/cards/GSE45365_WT_VS_IFNAR_KO_BCELL_UP.html" TargetMode="External"/><Relationship Id="rId3155" Type="http://schemas.openxmlformats.org/officeDocument/2006/relationships/hyperlink" Target="http://www.broadinstitute.org/gsea/msigdb/cards/GSE4984_GALECTIN1_VS_LPS_STIM_DC_DN.html" TargetMode="External"/><Relationship Id="rId3156" Type="http://schemas.openxmlformats.org/officeDocument/2006/relationships/hyperlink" Target="http://www.broadinstitute.org/gsea/msigdb/cards/GSE15624_3H_VS_6H_HALOFUGINONE_TREATED_CD4_TCELL_UP.html" TargetMode="External"/><Relationship Id="rId3157" Type="http://schemas.openxmlformats.org/officeDocument/2006/relationships/hyperlink" Target="http://www.broadinstitute.org/gsea/msigdb/cards/GSE10422_WT_VS_BAFF_TRANSGENIC_LN_BCELL_UP.html" TargetMode="External"/><Relationship Id="rId3158" Type="http://schemas.openxmlformats.org/officeDocument/2006/relationships/hyperlink" Target="http://www.broadinstitute.org/gsea/msigdb/cards/GSE7348_LPS_VS_TOLERIZED_AND_LPS_STIM_MACROPHAGE_DN.html" TargetMode="External"/><Relationship Id="rId3159" Type="http://schemas.openxmlformats.org/officeDocument/2006/relationships/hyperlink" Target="http://www.broadinstitute.org/gsea/msigdb/cards/GSE7219_UNSTIM_VS_LPS_AND_ANTI_CD40_STIM_DC_UP.html" TargetMode="External"/><Relationship Id="rId1200" Type="http://schemas.openxmlformats.org/officeDocument/2006/relationships/hyperlink" Target="http://www.broadinstitute.org/gsea/msigdb/cards/GO_METHYLATION.html" TargetMode="External"/><Relationship Id="rId1201" Type="http://schemas.openxmlformats.org/officeDocument/2006/relationships/hyperlink" Target="http://www.broadinstitute.org/gsea/msigdb/cards/GO_PROTEIN_MODIFICATION_BY_SMALL_PROTEIN_REMOVAL.html" TargetMode="External"/><Relationship Id="rId1202" Type="http://schemas.openxmlformats.org/officeDocument/2006/relationships/hyperlink" Target="http://www.broadinstitute.org/gsea/msigdb/cards/GO_PROTEIN_SUMOYLATION.html" TargetMode="External"/><Relationship Id="rId1203" Type="http://schemas.openxmlformats.org/officeDocument/2006/relationships/hyperlink" Target="http://www.broadinstitute.org/gsea/msigdb/cards/GO_KINASE_ACTIVITY.html" TargetMode="External"/><Relationship Id="rId1204" Type="http://schemas.openxmlformats.org/officeDocument/2006/relationships/hyperlink" Target="http://www.broadinstitute.org/gsea/msigdb/cards/GO_NEGATIVE_REGULATION_OF_CELLULAR_COMPONENT_ORGANIZATION.html" TargetMode="External"/><Relationship Id="rId1205" Type="http://schemas.openxmlformats.org/officeDocument/2006/relationships/hyperlink" Target="http://www.broadinstitute.org/gsea/msigdb/cards/GO_NUCLEOBASE_CONTAINING_COMPOUND_TRANSPORT.html" TargetMode="External"/><Relationship Id="rId1206" Type="http://schemas.openxmlformats.org/officeDocument/2006/relationships/hyperlink" Target="http://www.broadinstitute.org/gsea/msigdb/cards/GO_N_ACETYLTRANSFERASE_ACTIVITY.html" TargetMode="External"/><Relationship Id="rId1207" Type="http://schemas.openxmlformats.org/officeDocument/2006/relationships/hyperlink" Target="http://www.broadinstitute.org/gsea/msigdb/cards/GO_ESTABLISHMENT_OF_PROTEIN_LOCALIZATION.html" TargetMode="External"/><Relationship Id="rId1208" Type="http://schemas.openxmlformats.org/officeDocument/2006/relationships/hyperlink" Target="http://www.broadinstitute.org/gsea/msigdb/cards/GO_HISTONE_METHYLTRANSFERASE_ACTIVITY.html" TargetMode="External"/><Relationship Id="rId1209" Type="http://schemas.openxmlformats.org/officeDocument/2006/relationships/hyperlink" Target="http://www.broadinstitute.org/gsea/msigdb/cards/GO_HISTONE_LYSINE_N_METHYLTRANSFERASE_ACTIVITY.html" TargetMode="External"/><Relationship Id="rId2450" Type="http://schemas.openxmlformats.org/officeDocument/2006/relationships/hyperlink" Target="http://www.broadinstitute.org/gsea/msigdb/cards/GSE12845_IGD_POS_BLOOD_VS_DARKZONE_GC_TONSIL_BCELL_DN.html" TargetMode="External"/><Relationship Id="rId2451" Type="http://schemas.openxmlformats.org/officeDocument/2006/relationships/hyperlink" Target="http://www.broadinstitute.org/gsea/msigdb/cards/GSE12845_IGD_NEG_BLOOD_VS_NAIVE_TONSIL_BCELL_DN.html" TargetMode="External"/><Relationship Id="rId2452" Type="http://schemas.openxmlformats.org/officeDocument/2006/relationships/hyperlink" Target="http://www.broadinstitute.org/gsea/msigdb/cards/GSE13229_IMM_VS_MATURE_NKCELL_UP.html" TargetMode="External"/><Relationship Id="rId2453" Type="http://schemas.openxmlformats.org/officeDocument/2006/relationships/hyperlink" Target="http://www.broadinstitute.org/gsea/msigdb/cards/GSE13306_LAMINA_PROPRIA_VS_SPLEEN_TREG_UP.html" TargetMode="External"/><Relationship Id="rId2454" Type="http://schemas.openxmlformats.org/officeDocument/2006/relationships/hyperlink" Target="http://www.broadinstitute.org/gsea/msigdb/cards/GSE13306_RA_VS_UNTREATED_TREG_UP.html" TargetMode="External"/><Relationship Id="rId2455" Type="http://schemas.openxmlformats.org/officeDocument/2006/relationships/hyperlink" Target="http://www.broadinstitute.org/gsea/msigdb/cards/GSE13484_3H_UNSTIM_VS_YF17D_VACCINE_STIM_PBMC_UP.html" TargetMode="External"/><Relationship Id="rId2456" Type="http://schemas.openxmlformats.org/officeDocument/2006/relationships/hyperlink" Target="http://www.broadinstitute.org/gsea/msigdb/cards/GSE13484_12H_UNSTIM_VS_YF17D_VACCINE_STIM_PBMC_UP.html" TargetMode="External"/><Relationship Id="rId2457" Type="http://schemas.openxmlformats.org/officeDocument/2006/relationships/hyperlink" Target="http://www.broadinstitute.org/gsea/msigdb/cards/GSE13484_12H_VS_3H_YF17D_VACCINE_STIM_PBMC_DN.html" TargetMode="External"/><Relationship Id="rId2458" Type="http://schemas.openxmlformats.org/officeDocument/2006/relationships/hyperlink" Target="http://www.broadinstitute.org/gsea/msigdb/cards/GSE13485_CTRL_VS_DAY21_YF17D_VACCINE_PBMC_UP.html" TargetMode="External"/><Relationship Id="rId2459" Type="http://schemas.openxmlformats.org/officeDocument/2006/relationships/hyperlink" Target="http://www.broadinstitute.org/gsea/msigdb/cards/GSE14000_4H_VS_16H_LPS_DC_TRANSLATED_RNA_UP.html" TargetMode="External"/><Relationship Id="rId810" Type="http://schemas.openxmlformats.org/officeDocument/2006/relationships/hyperlink" Target="http://www.broadinstitute.org/gsea/msigdb/cards/CDX2_Q5.html" TargetMode="External"/><Relationship Id="rId811" Type="http://schemas.openxmlformats.org/officeDocument/2006/relationships/hyperlink" Target="http://www.broadinstitute.org/gsea/msigdb/cards/AAAYWAACM_HFH4_01.html" TargetMode="External"/><Relationship Id="rId812" Type="http://schemas.openxmlformats.org/officeDocument/2006/relationships/hyperlink" Target="http://www.broadinstitute.org/gsea/msigdb/cards/TTCNRGNNNNTTC_HSF_Q6.html" TargetMode="External"/><Relationship Id="rId813" Type="http://schemas.openxmlformats.org/officeDocument/2006/relationships/hyperlink" Target="http://www.broadinstitute.org/gsea/msigdb/cards/FOXO4_02.html" TargetMode="External"/><Relationship Id="rId814" Type="http://schemas.openxmlformats.org/officeDocument/2006/relationships/hyperlink" Target="http://www.broadinstitute.org/gsea/msigdb/cards/CREB_Q2_01.html" TargetMode="External"/><Relationship Id="rId815" Type="http://schemas.openxmlformats.org/officeDocument/2006/relationships/hyperlink" Target="http://www.broadinstitute.org/gsea/msigdb/cards/PXR_Q2.html" TargetMode="External"/><Relationship Id="rId816" Type="http://schemas.openxmlformats.org/officeDocument/2006/relationships/hyperlink" Target="http://www.broadinstitute.org/gsea/msigdb/cards/LXR_DR4_Q3.html" TargetMode="External"/><Relationship Id="rId817" Type="http://schemas.openxmlformats.org/officeDocument/2006/relationships/hyperlink" Target="http://www.broadinstitute.org/gsea/msigdb/cards/AGCYRWTTC_UNKNOWN.html" TargetMode="External"/><Relationship Id="rId818" Type="http://schemas.openxmlformats.org/officeDocument/2006/relationships/hyperlink" Target="http://www.broadinstitute.org/gsea/msigdb/cards/YRCCAKNNGNCGC_UNKNOWN.html" TargetMode="External"/><Relationship Id="rId819" Type="http://schemas.openxmlformats.org/officeDocument/2006/relationships/hyperlink" Target="http://www.broadinstitute.org/gsea/msigdb/cards/STAT6_02.html" TargetMode="External"/><Relationship Id="rId1750" Type="http://schemas.openxmlformats.org/officeDocument/2006/relationships/hyperlink" Target="http://www.broadinstitute.org/gsea/msigdb/cards/GO_NEGATIVE_REGULATION_OF_TELOMERE_MAINTENANCE_VIA_TELOMERE_LENGTHENING.html" TargetMode="External"/><Relationship Id="rId1751" Type="http://schemas.openxmlformats.org/officeDocument/2006/relationships/hyperlink" Target="http://www.broadinstitute.org/gsea/msigdb/cards/GO_REGULATION_OF_DNA_METHYLATION.html" TargetMode="External"/><Relationship Id="rId1752" Type="http://schemas.openxmlformats.org/officeDocument/2006/relationships/hyperlink" Target="http://www.broadinstitute.org/gsea/msigdb/cards/GO_CELLULAR_RESPONSE_TO_NITROGEN_COMPOUND.html" TargetMode="External"/><Relationship Id="rId1753" Type="http://schemas.openxmlformats.org/officeDocument/2006/relationships/hyperlink" Target="http://www.broadinstitute.org/gsea/msigdb/cards/GO_TELOMERE_MAINTENANCE_VIA_TELOMERASE.html" TargetMode="External"/><Relationship Id="rId1754" Type="http://schemas.openxmlformats.org/officeDocument/2006/relationships/hyperlink" Target="http://www.broadinstitute.org/gsea/msigdb/cards/GO_REGULATION_OF_STEM_CELL_POPULATION_MAINTENANCE.html" TargetMode="External"/><Relationship Id="rId1755" Type="http://schemas.openxmlformats.org/officeDocument/2006/relationships/hyperlink" Target="http://www.broadinstitute.org/gsea/msigdb/cards/GO_ESTABLISHMENT_OF_MITOCHONDRION_LOCALIZATION.html" TargetMode="External"/><Relationship Id="rId1756" Type="http://schemas.openxmlformats.org/officeDocument/2006/relationships/hyperlink" Target="http://www.broadinstitute.org/gsea/msigdb/cards/GO_DEFINITIVE_HEMOPOIESIS.html" TargetMode="External"/><Relationship Id="rId1757" Type="http://schemas.openxmlformats.org/officeDocument/2006/relationships/hyperlink" Target="http://www.broadinstitute.org/gsea/msigdb/cards/GO_MRNA_CLEAVAGE_FACTOR_COMPLEX.html" TargetMode="External"/><Relationship Id="rId1758" Type="http://schemas.openxmlformats.org/officeDocument/2006/relationships/hyperlink" Target="http://www.broadinstitute.org/gsea/msigdb/cards/GO_MICROTUBULE_PLUS_END.html" TargetMode="External"/><Relationship Id="rId1759" Type="http://schemas.openxmlformats.org/officeDocument/2006/relationships/hyperlink" Target="http://www.broadinstitute.org/gsea/msigdb/cards/GO_VITAMIN_D_RECEPTOR_BINDING.html" TargetMode="External"/><Relationship Id="rId3160" Type="http://schemas.openxmlformats.org/officeDocument/2006/relationships/hyperlink" Target="http://www.broadinstitute.org/gsea/msigdb/cards/GSE2770_IL12_VS_IL4_TREATED_ACT_CD4_TCELL_2H_UP.html" TargetMode="External"/><Relationship Id="rId3161" Type="http://schemas.openxmlformats.org/officeDocument/2006/relationships/hyperlink" Target="http://www.broadinstitute.org/gsea/msigdb/cards/GSE8685_IL2_ACT_IL2_STARVED_VS_IL21_ACT_IL2_STARVED_CD4_TCELL_DN.html" TargetMode="External"/><Relationship Id="rId3162" Type="http://schemas.openxmlformats.org/officeDocument/2006/relationships/hyperlink" Target="http://www.broadinstitute.org/gsea/msigdb/cards/GSE37532_WT_VS_PPARG_KO_LN_TREG_UP.html" TargetMode="External"/><Relationship Id="rId3163" Type="http://schemas.openxmlformats.org/officeDocument/2006/relationships/hyperlink" Target="http://www.broadinstitute.org/gsea/msigdb/cards/GSE12001_MIR223_KO_VS_WT_NEUTROPHIL_UP.html" TargetMode="External"/><Relationship Id="rId3164" Type="http://schemas.openxmlformats.org/officeDocument/2006/relationships/hyperlink" Target="http://www.broadinstitute.org/gsea/msigdb/cards/GSE37534_PIOGLITAZONE_VS_ROSIGLITAZONE_TREATED_CD4_TCELL_PPARG1_FOXP3_TRANSDUCED_UP.html" TargetMode="External"/><Relationship Id="rId3165" Type="http://schemas.openxmlformats.org/officeDocument/2006/relationships/hyperlink" Target="http://www.broadinstitute.org/gsea/msigdb/cards/GSE40274_CTRL_VS_HELIOS_TRANSDUCED_ACTIVATED_CD4_TCELL_DN.html" TargetMode="External"/><Relationship Id="rId1210" Type="http://schemas.openxmlformats.org/officeDocument/2006/relationships/hyperlink" Target="http://www.broadinstitute.org/gsea/msigdb/cards/GO_CELL_DIVISION.html" TargetMode="External"/><Relationship Id="rId1211" Type="http://schemas.openxmlformats.org/officeDocument/2006/relationships/hyperlink" Target="http://www.broadinstitute.org/gsea/msigdb/cards/GO_PROTEIN_KINASE_ACTIVITY.html" TargetMode="External"/><Relationship Id="rId1212" Type="http://schemas.openxmlformats.org/officeDocument/2006/relationships/hyperlink" Target="http://www.broadinstitute.org/gsea/msigdb/cards/GO_NUCLEAR_MEMBRANE.html" TargetMode="External"/><Relationship Id="rId1213" Type="http://schemas.openxmlformats.org/officeDocument/2006/relationships/hyperlink" Target="http://www.broadinstitute.org/gsea/msigdb/cards/GO_GENE_SILENCING.html" TargetMode="External"/><Relationship Id="rId1214" Type="http://schemas.openxmlformats.org/officeDocument/2006/relationships/hyperlink" Target="http://www.broadinstitute.org/gsea/msigdb/cards/GO_MITOTIC_NUCLEAR_DIVISION.html" TargetMode="External"/><Relationship Id="rId1215" Type="http://schemas.openxmlformats.org/officeDocument/2006/relationships/hyperlink" Target="http://www.broadinstitute.org/gsea/msigdb/cards/GO_NEGATIVE_REGULATION_OF_DNA_METABOLIC_PROCESS.html" TargetMode="External"/><Relationship Id="rId1216" Type="http://schemas.openxmlformats.org/officeDocument/2006/relationships/hyperlink" Target="http://www.broadinstitute.org/gsea/msigdb/cards/GO_TRANSFERASE_COMPLEX_TRANSFERRING_PHOSPHORUS_CONTAINING_GROUPS.html" TargetMode="External"/><Relationship Id="rId1217" Type="http://schemas.openxmlformats.org/officeDocument/2006/relationships/hyperlink" Target="http://www.broadinstitute.org/gsea/msigdb/cards/GO_CELLULAR_MACROMOLECULE_LOCALIZATION.html" TargetMode="External"/><Relationship Id="rId1218" Type="http://schemas.openxmlformats.org/officeDocument/2006/relationships/hyperlink" Target="http://www.broadinstitute.org/gsea/msigdb/cards/GO_REGULATION_OF_CHROMATIN_ORGANIZATION.html" TargetMode="External"/><Relationship Id="rId1219" Type="http://schemas.openxmlformats.org/officeDocument/2006/relationships/hyperlink" Target="http://www.broadinstitute.org/gsea/msigdb/cards/GO_CATABOLIC_PROCESS.html" TargetMode="External"/><Relationship Id="rId2460" Type="http://schemas.openxmlformats.org/officeDocument/2006/relationships/hyperlink" Target="http://www.broadinstitute.org/gsea/msigdb/cards/GSE14308_TH17_VS_NAIVE_CD4_TCELL_DN.html" TargetMode="External"/><Relationship Id="rId2461" Type="http://schemas.openxmlformats.org/officeDocument/2006/relationships/hyperlink" Target="http://www.broadinstitute.org/gsea/msigdb/cards/GSE14308_NAIVE_CD4_TCELL_VS_INDUCED_TREG_UP.html" TargetMode="External"/><Relationship Id="rId2462" Type="http://schemas.openxmlformats.org/officeDocument/2006/relationships/hyperlink" Target="http://www.broadinstitute.org/gsea/msigdb/cards/GSE1448_ANTI_VALPHA2_VS_VBETA5_DP_THYMOCYTE_UP.html" TargetMode="External"/><Relationship Id="rId2463" Type="http://schemas.openxmlformats.org/officeDocument/2006/relationships/hyperlink" Target="http://www.broadinstitute.org/gsea/msigdb/cards/GSE1460_INTRATHYMIC_T_PROGENITOR_VS_THYMIC_STROMAL_CELL_UP.html" TargetMode="External"/><Relationship Id="rId2464" Type="http://schemas.openxmlformats.org/officeDocument/2006/relationships/hyperlink" Target="http://www.broadinstitute.org/gsea/msigdb/cards/GSE1460_DP_THYMOCYTE_VS_THYMIC_STROMAL_CELL_DN.html" TargetMode="External"/><Relationship Id="rId2465" Type="http://schemas.openxmlformats.org/officeDocument/2006/relationships/hyperlink" Target="http://www.broadinstitute.org/gsea/msigdb/cards/GSE1460_CD4_THYMOCYTE_VS_NAIVE_CD4_TCELL_CORD_BLOOD_UP.html" TargetMode="External"/><Relationship Id="rId2466" Type="http://schemas.openxmlformats.org/officeDocument/2006/relationships/hyperlink" Target="http://www.broadinstitute.org/gsea/msigdb/cards/GSE1460_NAIVE_CD4_TCELL_ADULT_BLOOD_VS_THYMIC_STROMAL_CELL_UP.html" TargetMode="External"/><Relationship Id="rId2467" Type="http://schemas.openxmlformats.org/officeDocument/2006/relationships/hyperlink" Target="http://www.broadinstitute.org/gsea/msigdb/cards/GSE14769_UNSTIM_VS_20MIN_LPS_BMDM_DN.html" TargetMode="External"/><Relationship Id="rId2468" Type="http://schemas.openxmlformats.org/officeDocument/2006/relationships/hyperlink" Target="http://www.broadinstitute.org/gsea/msigdb/cards/GSE15324_NAIVE_VS_ACTIVATED_ELF4_KO_CD8_TCELL_DN.html" TargetMode="External"/><Relationship Id="rId2469" Type="http://schemas.openxmlformats.org/officeDocument/2006/relationships/hyperlink" Target="http://www.broadinstitute.org/gsea/msigdb/cards/GSE15733_BM_VS_SPLEEN_MEMORY_CD4_TCELL_DN.html" TargetMode="External"/><Relationship Id="rId820" Type="http://schemas.openxmlformats.org/officeDocument/2006/relationships/hyperlink" Target="http://www.broadinstitute.org/gsea/msigdb/cards/IRF1_Q6.html" TargetMode="External"/><Relationship Id="rId821" Type="http://schemas.openxmlformats.org/officeDocument/2006/relationships/hyperlink" Target="http://www.broadinstitute.org/gsea/msigdb/cards/USF_Q6.html" TargetMode="External"/><Relationship Id="rId822" Type="http://schemas.openxmlformats.org/officeDocument/2006/relationships/hyperlink" Target="http://www.broadinstitute.org/gsea/msigdb/cards/GGCKCATGS_UNKNOWN.html" TargetMode="External"/><Relationship Id="rId823" Type="http://schemas.openxmlformats.org/officeDocument/2006/relationships/hyperlink" Target="http://www.broadinstitute.org/gsea/msigdb/cards/YAATNANRNNNCAG_UNKNOWN.html" TargetMode="External"/><Relationship Id="rId824" Type="http://schemas.openxmlformats.org/officeDocument/2006/relationships/hyperlink" Target="http://www.broadinstitute.org/gsea/msigdb/cards/FREAC2_01.html" TargetMode="External"/><Relationship Id="rId825" Type="http://schemas.openxmlformats.org/officeDocument/2006/relationships/hyperlink" Target="http://www.broadinstitute.org/gsea/msigdb/cards/POU3F2_02.html" TargetMode="External"/><Relationship Id="rId826" Type="http://schemas.openxmlformats.org/officeDocument/2006/relationships/hyperlink" Target="http://www.broadinstitute.org/gsea/msigdb/cards/STAT_Q6.html" TargetMode="External"/><Relationship Id="rId827" Type="http://schemas.openxmlformats.org/officeDocument/2006/relationships/hyperlink" Target="http://www.broadinstitute.org/gsea/msigdb/cards/CGGTGTG_MIR220.html" TargetMode="External"/><Relationship Id="rId828" Type="http://schemas.openxmlformats.org/officeDocument/2006/relationships/hyperlink" Target="http://www.broadinstitute.org/gsea/msigdb/cards/TCTCTCC_MIR185.html" TargetMode="External"/><Relationship Id="rId829" Type="http://schemas.openxmlformats.org/officeDocument/2006/relationships/hyperlink" Target="http://www.broadinstitute.org/gsea/msigdb/cards/CCTGTGA_MIR513.html" TargetMode="External"/><Relationship Id="rId1760" Type="http://schemas.openxmlformats.org/officeDocument/2006/relationships/hyperlink" Target="http://www.broadinstitute.org/gsea/msigdb/cards/GO_RETINOID_X_RECEPTOR_BINDING.html" TargetMode="External"/><Relationship Id="rId1761" Type="http://schemas.openxmlformats.org/officeDocument/2006/relationships/hyperlink" Target="http://www.broadinstitute.org/gsea/msigdb/cards/GO_CYTOKINESIS.html" TargetMode="External"/><Relationship Id="rId1762" Type="http://schemas.openxmlformats.org/officeDocument/2006/relationships/hyperlink" Target="http://www.broadinstitute.org/gsea/msigdb/cards/GO_NEGATIVE_REGULATION_OF_HISTONE_MODIFICATION.html" TargetMode="External"/><Relationship Id="rId1763" Type="http://schemas.openxmlformats.org/officeDocument/2006/relationships/hyperlink" Target="http://www.broadinstitute.org/gsea/msigdb/cards/GO_NEGATIVE_REGULATION_OF_RESPONSE_TO_EXTRACELLULAR_STIMULUS.html" TargetMode="External"/><Relationship Id="rId1764" Type="http://schemas.openxmlformats.org/officeDocument/2006/relationships/hyperlink" Target="http://www.broadinstitute.org/gsea/msigdb/cards/GO_POSITIVE_REGULATION_OF_AXON_EXTENSION.html" TargetMode="External"/><Relationship Id="rId1765" Type="http://schemas.openxmlformats.org/officeDocument/2006/relationships/hyperlink" Target="http://www.broadinstitute.org/gsea/msigdb/cards/GO_HEAD_MORPHOGENESIS.html" TargetMode="External"/><Relationship Id="rId1766" Type="http://schemas.openxmlformats.org/officeDocument/2006/relationships/hyperlink" Target="http://www.broadinstitute.org/gsea/msigdb/cards/GO_LYMPHOCYTE_DIFFERENTIATION.html" TargetMode="External"/><Relationship Id="rId1767" Type="http://schemas.openxmlformats.org/officeDocument/2006/relationships/hyperlink" Target="http://www.broadinstitute.org/gsea/msigdb/cards/GO_REGULATION_OF_INTRACELLULAR_STEROID_HORMONE_RECEPTOR_SIGNALING_PATHWAY.html" TargetMode="External"/><Relationship Id="rId1768" Type="http://schemas.openxmlformats.org/officeDocument/2006/relationships/hyperlink" Target="http://www.broadinstitute.org/gsea/msigdb/cards/GO_POSITIVE_REGULATION_OF_CELL_CYCLE_ARREST.html" TargetMode="External"/><Relationship Id="rId1769" Type="http://schemas.openxmlformats.org/officeDocument/2006/relationships/hyperlink" Target="http://www.broadinstitute.org/gsea/msigdb/cards/GO_CARDIAC_CHAMBER_DEVELOPMENT.html" TargetMode="External"/><Relationship Id="rId1220" Type="http://schemas.openxmlformats.org/officeDocument/2006/relationships/hyperlink" Target="http://www.broadinstitute.org/gsea/msigdb/cards/GO_DNA_DEPENDENT_ATPASE_ACTIVITY.html" TargetMode="External"/><Relationship Id="rId1221" Type="http://schemas.openxmlformats.org/officeDocument/2006/relationships/hyperlink" Target="http://www.broadinstitute.org/gsea/msigdb/cards/GO_NEGATIVE_REGULATION_OF_CHROMOSOME_ORGANIZATION.html" TargetMode="External"/><Relationship Id="rId1222" Type="http://schemas.openxmlformats.org/officeDocument/2006/relationships/hyperlink" Target="http://www.broadinstitute.org/gsea/msigdb/cards/GO_REGULATION_OF_RESPONSE_TO_STRESS.html" TargetMode="External"/><Relationship Id="rId1223" Type="http://schemas.openxmlformats.org/officeDocument/2006/relationships/hyperlink" Target="http://www.broadinstitute.org/gsea/msigdb/cards/GO_PML_BODY.html" TargetMode="External"/><Relationship Id="rId1224" Type="http://schemas.openxmlformats.org/officeDocument/2006/relationships/hyperlink" Target="http://www.broadinstitute.org/gsea/msigdb/cards/GO_REGULATION_OF_CATABOLIC_PROCESS.html" TargetMode="External"/><Relationship Id="rId1225" Type="http://schemas.openxmlformats.org/officeDocument/2006/relationships/hyperlink" Target="http://www.broadinstitute.org/gsea/msigdb/cards/GO_HISTONE_BINDING.html" TargetMode="External"/><Relationship Id="rId1226" Type="http://schemas.openxmlformats.org/officeDocument/2006/relationships/hyperlink" Target="http://www.broadinstitute.org/gsea/msigdb/cards/GO_PROTEIN_METHYLTRANSFERASE_ACTIVITY.html" TargetMode="External"/><Relationship Id="rId1227" Type="http://schemas.openxmlformats.org/officeDocument/2006/relationships/hyperlink" Target="http://www.broadinstitute.org/gsea/msigdb/cards/GO_UBIQUITIN_LIKE_PROTEIN_SPECIFIC_PROTEASE_ACTIVITY.html" TargetMode="External"/><Relationship Id="rId1228" Type="http://schemas.openxmlformats.org/officeDocument/2006/relationships/hyperlink" Target="http://www.broadinstitute.org/gsea/msigdb/cards/GO_GENE_SILENCING_BY_RNA.html" TargetMode="External"/><Relationship Id="rId1229" Type="http://schemas.openxmlformats.org/officeDocument/2006/relationships/hyperlink" Target="http://www.broadinstitute.org/gsea/msigdb/cards/GO_NEGATIVE_REGULATION_OF_PROTEIN_METABOLIC_PROCESS.html" TargetMode="External"/><Relationship Id="rId2470" Type="http://schemas.openxmlformats.org/officeDocument/2006/relationships/hyperlink" Target="http://www.broadinstitute.org/gsea/msigdb/cards/GSE15930_STIM_VS_STIM_AND_TRICHOSTATINA_24H_CD8_T_CELL_DN.html" TargetMode="External"/><Relationship Id="rId2471" Type="http://schemas.openxmlformats.org/officeDocument/2006/relationships/hyperlink" Target="http://www.broadinstitute.org/gsea/msigdb/cards/GSE17721_CTRL_VS_LPS_4H_BMDC_UP.html" TargetMode="External"/><Relationship Id="rId2472" Type="http://schemas.openxmlformats.org/officeDocument/2006/relationships/hyperlink" Target="http://www.broadinstitute.org/gsea/msigdb/cards/GSE17721_CTRL_VS_PAM3CSK4_6H_BMDC_DN.html" TargetMode="External"/><Relationship Id="rId2473" Type="http://schemas.openxmlformats.org/officeDocument/2006/relationships/hyperlink" Target="http://www.broadinstitute.org/gsea/msigdb/cards/GSE17721_CTRL_VS_GARDIQUIMOD_0.5H_BMDC_UP.html" TargetMode="External"/><Relationship Id="rId2474" Type="http://schemas.openxmlformats.org/officeDocument/2006/relationships/hyperlink" Target="http://www.broadinstitute.org/gsea/msigdb/cards/GSE17721_CTRL_VS_GARDIQUIMOD_1H_BMDC_UP.html" TargetMode="External"/><Relationship Id="rId2475" Type="http://schemas.openxmlformats.org/officeDocument/2006/relationships/hyperlink" Target="http://www.broadinstitute.org/gsea/msigdb/cards/GSE17721_POLYIC_VS_PAM3CSK4_4H_BMDC_DN.html" TargetMode="External"/><Relationship Id="rId2476" Type="http://schemas.openxmlformats.org/officeDocument/2006/relationships/hyperlink" Target="http://www.broadinstitute.org/gsea/msigdb/cards/GSE17721_POLYIC_VS_PAM3CSK4_24H_BMDC_UP.html" TargetMode="External"/><Relationship Id="rId2477" Type="http://schemas.openxmlformats.org/officeDocument/2006/relationships/hyperlink" Target="http://www.broadinstitute.org/gsea/msigdb/cards/GSE17721_PAM3CSK4_VS_CPG_0.5H_BMDC_UP.html" TargetMode="External"/><Relationship Id="rId2478" Type="http://schemas.openxmlformats.org/officeDocument/2006/relationships/hyperlink" Target="http://www.broadinstitute.org/gsea/msigdb/cards/GSE17721_CPG_VS_GARDIQUIMOD_4H_BMDC_UP.html" TargetMode="External"/><Relationship Id="rId2479" Type="http://schemas.openxmlformats.org/officeDocument/2006/relationships/hyperlink" Target="http://www.broadinstitute.org/gsea/msigdb/cards/GSE17721_PAM3CSK4_VS_GADIQUIMOD_6H_BMDC_UP.html" TargetMode="External"/><Relationship Id="rId830" Type="http://schemas.openxmlformats.org/officeDocument/2006/relationships/hyperlink" Target="http://www.broadinstitute.org/gsea/msigdb/cards/GACAGGG_MIR339.html" TargetMode="External"/><Relationship Id="rId831" Type="http://schemas.openxmlformats.org/officeDocument/2006/relationships/hyperlink" Target="http://www.broadinstitute.org/gsea/msigdb/cards/AGCTCCT_MIR28.html" TargetMode="External"/><Relationship Id="rId832" Type="http://schemas.openxmlformats.org/officeDocument/2006/relationships/hyperlink" Target="http://www.broadinstitute.org/gsea/msigdb/cards/TST1_01.html" TargetMode="External"/><Relationship Id="rId833" Type="http://schemas.openxmlformats.org/officeDocument/2006/relationships/hyperlink" Target="http://www.broadinstitute.org/gsea/msigdb/cards/CREB_Q2.html" TargetMode="External"/><Relationship Id="rId834" Type="http://schemas.openxmlformats.org/officeDocument/2006/relationships/hyperlink" Target="http://www.broadinstitute.org/gsea/msigdb/cards/NFY_Q6_01.html" TargetMode="External"/><Relationship Id="rId835" Type="http://schemas.openxmlformats.org/officeDocument/2006/relationships/hyperlink" Target="http://www.broadinstitute.org/gsea/msigdb/cards/GGCAGAC_MIR346.html" TargetMode="External"/><Relationship Id="rId836" Type="http://schemas.openxmlformats.org/officeDocument/2006/relationships/hyperlink" Target="http://www.broadinstitute.org/gsea/msigdb/cards/HIF1_Q3.html" TargetMode="External"/><Relationship Id="rId837" Type="http://schemas.openxmlformats.org/officeDocument/2006/relationships/hyperlink" Target="http://www.broadinstitute.org/gsea/msigdb/cards/CREB_Q4.html" TargetMode="External"/><Relationship Id="rId838" Type="http://schemas.openxmlformats.org/officeDocument/2006/relationships/hyperlink" Target="http://www.broadinstitute.org/gsea/msigdb/cards/ER_Q6_01.html" TargetMode="External"/><Relationship Id="rId839" Type="http://schemas.openxmlformats.org/officeDocument/2006/relationships/hyperlink" Target="http://www.broadinstitute.org/gsea/msigdb/cards/POU3F2_01.html" TargetMode="External"/><Relationship Id="rId1770" Type="http://schemas.openxmlformats.org/officeDocument/2006/relationships/hyperlink" Target="http://www.broadinstitute.org/gsea/msigdb/cards/GO_REGULATION_OF_EMBRYONIC_DEVELOPMENT.html" TargetMode="External"/><Relationship Id="rId1771" Type="http://schemas.openxmlformats.org/officeDocument/2006/relationships/hyperlink" Target="http://www.broadinstitute.org/gsea/msigdb/cards/GO_REGULATION_OF_GROWTH.html" TargetMode="External"/><Relationship Id="rId1772" Type="http://schemas.openxmlformats.org/officeDocument/2006/relationships/hyperlink" Target="http://www.broadinstitute.org/gsea/msigdb/cards/GO_CYSTEINE_TYPE_ENDOPEPTIDASE_ACTIVITY.html" TargetMode="External"/><Relationship Id="rId1773" Type="http://schemas.openxmlformats.org/officeDocument/2006/relationships/hyperlink" Target="http://www.broadinstitute.org/gsea/msigdb/cards/GO_CELLULAR_COMPONENT_ASSEMBLY_INVOLVED_IN_MORPHOGENESIS.html" TargetMode="External"/><Relationship Id="rId1774" Type="http://schemas.openxmlformats.org/officeDocument/2006/relationships/hyperlink" Target="http://www.broadinstitute.org/gsea/msigdb/cards/GO_REGULATION_OF_CELL_MATURATION.html" TargetMode="External"/><Relationship Id="rId1775" Type="http://schemas.openxmlformats.org/officeDocument/2006/relationships/hyperlink" Target="http://www.broadinstitute.org/gsea/msigdb/cards/GO_MICROTUBULE_NUCLEATION.html" TargetMode="External"/><Relationship Id="rId1776" Type="http://schemas.openxmlformats.org/officeDocument/2006/relationships/hyperlink" Target="http://www.broadinstitute.org/gsea/msigdb/cards/GO_POSITIVE_REGULATION_OF_MICROTUBULE_POLYMERIZATION.html" TargetMode="External"/><Relationship Id="rId1777" Type="http://schemas.openxmlformats.org/officeDocument/2006/relationships/hyperlink" Target="http://www.broadinstitute.org/gsea/msigdb/cards/GO_FOREBRAIN_DEVELOPMENT.html" TargetMode="External"/><Relationship Id="rId1778" Type="http://schemas.openxmlformats.org/officeDocument/2006/relationships/hyperlink" Target="http://www.broadinstitute.org/gsea/msigdb/cards/GO_RESPONSE_TO_HORMONE.html" TargetMode="External"/><Relationship Id="rId1779" Type="http://schemas.openxmlformats.org/officeDocument/2006/relationships/hyperlink" Target="http://www.broadinstitute.org/gsea/msigdb/cards/GO_HISTONE_DEACETYLASE_COMPLEX.html" TargetMode="External"/><Relationship Id="rId1230" Type="http://schemas.openxmlformats.org/officeDocument/2006/relationships/hyperlink" Target="http://www.broadinstitute.org/gsea/msigdb/cards/GO_ACETYLTRANSFERASE_ACTIVITY.html" TargetMode="External"/><Relationship Id="rId1231" Type="http://schemas.openxmlformats.org/officeDocument/2006/relationships/hyperlink" Target="http://www.broadinstitute.org/gsea/msigdb/cards/GO_THYROID_HORMONE_RECEPTOR_BINDING.html" TargetMode="External"/><Relationship Id="rId1232" Type="http://schemas.openxmlformats.org/officeDocument/2006/relationships/hyperlink" Target="http://www.broadinstitute.org/gsea/msigdb/cards/GO_N_ACYLTRANSFERASE_ACTIVITY.html" TargetMode="External"/><Relationship Id="rId1233" Type="http://schemas.openxmlformats.org/officeDocument/2006/relationships/hyperlink" Target="http://www.broadinstitute.org/gsea/msigdb/cards/GO_POSTTRANSCRIPTIONAL_GENE_SILENCING.html" TargetMode="External"/><Relationship Id="rId1234" Type="http://schemas.openxmlformats.org/officeDocument/2006/relationships/hyperlink" Target="http://www.broadinstitute.org/gsea/msigdb/cards/GO_REGULATION_OF_CYTOSKELETON_ORGANIZATION.html" TargetMode="External"/><Relationship Id="rId1235" Type="http://schemas.openxmlformats.org/officeDocument/2006/relationships/hyperlink" Target="http://www.broadinstitute.org/gsea/msigdb/cards/GO_REGULATION_OF_PROTEIN_MODIFICATION_PROCESS.html" TargetMode="External"/><Relationship Id="rId1236" Type="http://schemas.openxmlformats.org/officeDocument/2006/relationships/hyperlink" Target="http://www.broadinstitute.org/gsea/msigdb/cards/GO_LYSINE_N_METHYLTRANSFERASE_ACTIVITY.html" TargetMode="External"/><Relationship Id="rId1237" Type="http://schemas.openxmlformats.org/officeDocument/2006/relationships/hyperlink" Target="http://www.broadinstitute.org/gsea/msigdb/cards/GO_INTRACELLULAR_SIGNAL_TRANSDUCTION.html" TargetMode="External"/><Relationship Id="rId1238" Type="http://schemas.openxmlformats.org/officeDocument/2006/relationships/hyperlink" Target="http://www.broadinstitute.org/gsea/msigdb/cards/GO_NUCLEAR_PORE.html" TargetMode="External"/><Relationship Id="rId1239" Type="http://schemas.openxmlformats.org/officeDocument/2006/relationships/hyperlink" Target="http://www.broadinstitute.org/gsea/msigdb/cards/GO_PROTEOLYSIS.html" TargetMode="External"/><Relationship Id="rId2480" Type="http://schemas.openxmlformats.org/officeDocument/2006/relationships/hyperlink" Target="http://www.broadinstitute.org/gsea/msigdb/cards/GSE17721_POLYIC_VS_GARDIQUIMOD_24H_BMDC_UP.html" TargetMode="External"/><Relationship Id="rId2481" Type="http://schemas.openxmlformats.org/officeDocument/2006/relationships/hyperlink" Target="http://www.broadinstitute.org/gsea/msigdb/cards/GSE17721_0.5H_VS_24H_POLYIC_BMDC_DN.html" TargetMode="External"/><Relationship Id="rId2482" Type="http://schemas.openxmlformats.org/officeDocument/2006/relationships/hyperlink" Target="http://www.broadinstitute.org/gsea/msigdb/cards/GSE17721_4H_VS_24H_POLYIC_BMDC_DN.html" TargetMode="External"/><Relationship Id="rId2483" Type="http://schemas.openxmlformats.org/officeDocument/2006/relationships/hyperlink" Target="http://www.broadinstitute.org/gsea/msigdb/cards/GSE18791_CTRL_VS_NEWCASTLE_VIRUS_DC_1H_DN.html" TargetMode="External"/><Relationship Id="rId2484" Type="http://schemas.openxmlformats.org/officeDocument/2006/relationships/hyperlink" Target="http://www.broadinstitute.org/gsea/msigdb/cards/GSE18791_CTRL_VS_NEWCASTLE_VIRUS_DC_16H_UP.html" TargetMode="External"/><Relationship Id="rId2485" Type="http://schemas.openxmlformats.org/officeDocument/2006/relationships/hyperlink" Target="http://www.broadinstitute.org/gsea/msigdb/cards/GSE18791_UNSTIM_VS_NEWCATSLE_VIRUS_DC_10H_UP.html" TargetMode="External"/><Relationship Id="rId2486" Type="http://schemas.openxmlformats.org/officeDocument/2006/relationships/hyperlink" Target="http://www.broadinstitute.org/gsea/msigdb/cards/GSE19825_CD24LOW_VS_IL2RA_HIGH_DAY3_EFF_CD8_TCELL_DN.html" TargetMode="External"/><Relationship Id="rId2487" Type="http://schemas.openxmlformats.org/officeDocument/2006/relationships/hyperlink" Target="http://www.broadinstitute.org/gsea/msigdb/cards/GSE20366_TREG_VS_NAIVE_CD4_TCELL_HOMEOSTATIC_CONVERSION_DN.html" TargetMode="External"/><Relationship Id="rId2488" Type="http://schemas.openxmlformats.org/officeDocument/2006/relationships/hyperlink" Target="http://www.broadinstitute.org/gsea/msigdb/cards/GSE20715_WT_VS_TLR4_KO_6H_OZONE_LUNG_DN.html" TargetMode="External"/><Relationship Id="rId2489" Type="http://schemas.openxmlformats.org/officeDocument/2006/relationships/hyperlink" Target="http://www.broadinstitute.org/gsea/msigdb/cards/GSE2197_IMMUNOSUPPRESSIVE_DNA_VS_UNTREATED_IN_DC_UP.html" TargetMode="External"/><Relationship Id="rId840" Type="http://schemas.openxmlformats.org/officeDocument/2006/relationships/hyperlink" Target="http://www.broadinstitute.org/gsea/msigdb/cards/HOX13_01.html" TargetMode="External"/><Relationship Id="rId841" Type="http://schemas.openxmlformats.org/officeDocument/2006/relationships/hyperlink" Target="http://www.broadinstitute.org/gsea/msigdb/cards/AP4_Q5.html" TargetMode="External"/><Relationship Id="rId842" Type="http://schemas.openxmlformats.org/officeDocument/2006/relationships/hyperlink" Target="http://www.broadinstitute.org/gsea/msigdb/cards/PPARG_01.html" TargetMode="External"/><Relationship Id="rId843" Type="http://schemas.openxmlformats.org/officeDocument/2006/relationships/hyperlink" Target="http://www.broadinstitute.org/gsea/msigdb/cards/NFKAPPAB65_01.html" TargetMode="External"/><Relationship Id="rId844" Type="http://schemas.openxmlformats.org/officeDocument/2006/relationships/hyperlink" Target="http://www.broadinstitute.org/gsea/msigdb/cards/ETS2_B.html" TargetMode="External"/><Relationship Id="rId845" Type="http://schemas.openxmlformats.org/officeDocument/2006/relationships/hyperlink" Target="http://www.broadinstitute.org/gsea/msigdb/cards/FOXJ2_02.html" TargetMode="External"/><Relationship Id="rId846" Type="http://schemas.openxmlformats.org/officeDocument/2006/relationships/hyperlink" Target="http://www.broadinstitute.org/gsea/msigdb/cards/ZF5_01.html" TargetMode="External"/><Relationship Id="rId847" Type="http://schemas.openxmlformats.org/officeDocument/2006/relationships/hyperlink" Target="http://www.broadinstitute.org/gsea/msigdb/cards/ACCAATC_MIR509.html" TargetMode="External"/><Relationship Id="rId848" Type="http://schemas.openxmlformats.org/officeDocument/2006/relationships/hyperlink" Target="http://www.broadinstitute.org/gsea/msigdb/cards/ACAWYAAAG_UNKNOWN.html" TargetMode="External"/><Relationship Id="rId849" Type="http://schemas.openxmlformats.org/officeDocument/2006/relationships/hyperlink" Target="http://www.broadinstitute.org/gsea/msigdb/cards/AGGGCAG_MIR18A.html" TargetMode="External"/><Relationship Id="rId1780" Type="http://schemas.openxmlformats.org/officeDocument/2006/relationships/hyperlink" Target="http://www.broadinstitute.org/gsea/msigdb/cards/GO_BEHAVIOR.html" TargetMode="External"/><Relationship Id="rId1781" Type="http://schemas.openxmlformats.org/officeDocument/2006/relationships/hyperlink" Target="http://www.broadinstitute.org/gsea/msigdb/cards/GO_NEGATIVE_REGULATION_OF_INTRACELLULAR_SIGNAL_TRANSDUCTION.html" TargetMode="External"/><Relationship Id="rId1782" Type="http://schemas.openxmlformats.org/officeDocument/2006/relationships/hyperlink" Target="http://www.broadinstitute.org/gsea/msigdb/cards/GO_NCRNA_TRANSCRIPTION.html" TargetMode="External"/><Relationship Id="rId1783" Type="http://schemas.openxmlformats.org/officeDocument/2006/relationships/hyperlink" Target="http://www.broadinstitute.org/gsea/msigdb/cards/GO_REGULATION_OF_PROTEASOMAL_UBIQUITIN_DEPENDENT_PROTEIN_CATABOLIC_PROCESS.html" TargetMode="External"/><Relationship Id="rId1784" Type="http://schemas.openxmlformats.org/officeDocument/2006/relationships/hyperlink" Target="http://www.broadinstitute.org/gsea/msigdb/cards/GO_SPINDLE_LOCALIZATION.html" TargetMode="External"/><Relationship Id="rId1785" Type="http://schemas.openxmlformats.org/officeDocument/2006/relationships/hyperlink" Target="http://www.broadinstitute.org/gsea/msigdb/cards/GO_CELLULAR_RESPONSE_TO_DSRNA.html" TargetMode="External"/><Relationship Id="rId1786" Type="http://schemas.openxmlformats.org/officeDocument/2006/relationships/hyperlink" Target="http://www.broadinstitute.org/gsea/msigdb/cards/GO_REGULATION_OF_PROTEASOMAL_PROTEIN_CATABOLIC_PROCESS.html" TargetMode="External"/><Relationship Id="rId1787" Type="http://schemas.openxmlformats.org/officeDocument/2006/relationships/hyperlink" Target="http://www.broadinstitute.org/gsea/msigdb/cards/GO_TUBE_MORPHOGENESIS.html" TargetMode="External"/><Relationship Id="rId1788" Type="http://schemas.openxmlformats.org/officeDocument/2006/relationships/hyperlink" Target="http://www.broadinstitute.org/gsea/msigdb/cards/GO_TERMINATION_OF_RNA_POLYMERASE_II_TRANSCRIPTION.html" TargetMode="External"/><Relationship Id="rId1789" Type="http://schemas.openxmlformats.org/officeDocument/2006/relationships/hyperlink" Target="http://www.broadinstitute.org/gsea/msigdb/cards/GO_REGULATION_OF_MRNA_SPLICING_VIA_SPLICEOSOME.html" TargetMode="External"/><Relationship Id="rId300" Type="http://schemas.openxmlformats.org/officeDocument/2006/relationships/hyperlink" Target="http://www.broadinstitute.org/gsea/msigdb/cards/MCBRYAN_PUBERTAL_BREAST_6_7WK_UP.html" TargetMode="External"/><Relationship Id="rId301" Type="http://schemas.openxmlformats.org/officeDocument/2006/relationships/hyperlink" Target="http://www.broadinstitute.org/gsea/msigdb/cards/REACTOME_MRNA_SPLICING.html" TargetMode="External"/><Relationship Id="rId302" Type="http://schemas.openxmlformats.org/officeDocument/2006/relationships/hyperlink" Target="http://www.broadinstitute.org/gsea/msigdb/cards/BROWNE_HCMV_INFECTION_12HR_UP.html" TargetMode="External"/><Relationship Id="rId303" Type="http://schemas.openxmlformats.org/officeDocument/2006/relationships/hyperlink" Target="http://www.broadinstitute.org/gsea/msigdb/cards/MULLIGHAN_NPM1_MUTATED_SIGNATURE_2_UP.html" TargetMode="External"/><Relationship Id="rId304" Type="http://schemas.openxmlformats.org/officeDocument/2006/relationships/hyperlink" Target="http://www.broadinstitute.org/gsea/msigdb/cards/REACTOME_MICRORNA_MIRNA_BIOGENESIS.html" TargetMode="External"/><Relationship Id="rId305" Type="http://schemas.openxmlformats.org/officeDocument/2006/relationships/hyperlink" Target="http://www.broadinstitute.org/gsea/msigdb/cards/RIZ_ERYTHROID_DIFFERENTIATION_HBZ.html" TargetMode="External"/><Relationship Id="rId306" Type="http://schemas.openxmlformats.org/officeDocument/2006/relationships/hyperlink" Target="http://www.broadinstitute.org/gsea/msigdb/cards/REACTOME_DNA_REPAIR.html" TargetMode="External"/><Relationship Id="rId307" Type="http://schemas.openxmlformats.org/officeDocument/2006/relationships/hyperlink" Target="http://www.broadinstitute.org/gsea/msigdb/cards/HAN_SATB1_TARGETS_DN.html" TargetMode="External"/><Relationship Id="rId308" Type="http://schemas.openxmlformats.org/officeDocument/2006/relationships/hyperlink" Target="http://www.broadinstitute.org/gsea/msigdb/cards/GAUSSMANN_MLL_AF4_FUSION_TARGETS_C_UP.html" TargetMode="External"/><Relationship Id="rId309" Type="http://schemas.openxmlformats.org/officeDocument/2006/relationships/hyperlink" Target="http://www.broadinstitute.org/gsea/msigdb/cards/KEGG_ERBB_SIGNALING_PATHWAY.html" TargetMode="External"/><Relationship Id="rId1240" Type="http://schemas.openxmlformats.org/officeDocument/2006/relationships/hyperlink" Target="http://www.broadinstitute.org/gsea/msigdb/cards/GO_HEART_DEVELOPMENT.html" TargetMode="External"/><Relationship Id="rId1241" Type="http://schemas.openxmlformats.org/officeDocument/2006/relationships/hyperlink" Target="http://www.broadinstitute.org/gsea/msigdb/cards/GO_REGULATION_OF_CELL_CYCLE_PROCESS.html" TargetMode="External"/><Relationship Id="rId1242" Type="http://schemas.openxmlformats.org/officeDocument/2006/relationships/hyperlink" Target="http://www.broadinstitute.org/gsea/msigdb/cards/GO_MRNA_BINDING.html" TargetMode="External"/><Relationship Id="rId1243" Type="http://schemas.openxmlformats.org/officeDocument/2006/relationships/hyperlink" Target="http://www.broadinstitute.org/gsea/msigdb/cards/GO_DOUBLE_STRANDED_RNA_BINDING.html" TargetMode="External"/><Relationship Id="rId1244" Type="http://schemas.openxmlformats.org/officeDocument/2006/relationships/hyperlink" Target="http://www.broadinstitute.org/gsea/msigdb/cards/GO_SINGLE_ORGANISM_CELLULAR_LOCALIZATION.html" TargetMode="External"/><Relationship Id="rId1245" Type="http://schemas.openxmlformats.org/officeDocument/2006/relationships/hyperlink" Target="http://www.broadinstitute.org/gsea/msigdb/cards/GO_PROTEIN_COMPLEX_BINDING.html" TargetMode="External"/><Relationship Id="rId1246" Type="http://schemas.openxmlformats.org/officeDocument/2006/relationships/hyperlink" Target="http://www.broadinstitute.org/gsea/msigdb/cards/GO_REGULATION_OF_MRNA_METABOLIC_PROCESS.html" TargetMode="External"/><Relationship Id="rId1247" Type="http://schemas.openxmlformats.org/officeDocument/2006/relationships/hyperlink" Target="http://www.broadinstitute.org/gsea/msigdb/cards/GO_RIBONUCLEOPROTEIN_COMPLEX_LOCALIZATION.html" TargetMode="External"/><Relationship Id="rId1248" Type="http://schemas.openxmlformats.org/officeDocument/2006/relationships/hyperlink" Target="http://www.broadinstitute.org/gsea/msigdb/cards/GO_REGULATION_OF_DNA_REPLICATION.html" TargetMode="External"/><Relationship Id="rId1249" Type="http://schemas.openxmlformats.org/officeDocument/2006/relationships/hyperlink" Target="http://www.broadinstitute.org/gsea/msigdb/cards/GO_RNA_PHOSPHODIESTER_BOND_HYDROLYSIS.html" TargetMode="External"/><Relationship Id="rId2490" Type="http://schemas.openxmlformats.org/officeDocument/2006/relationships/hyperlink" Target="http://www.broadinstitute.org/gsea/msigdb/cards/GSE22886_NAIVE_TCELL_VS_DC_UP.html" TargetMode="External"/><Relationship Id="rId2491" Type="http://schemas.openxmlformats.org/officeDocument/2006/relationships/hyperlink" Target="http://www.broadinstitute.org/gsea/msigdb/cards/GSE22886_TH1_VS_TH2_48H_ACT_DN.html" TargetMode="External"/><Relationship Id="rId2492" Type="http://schemas.openxmlformats.org/officeDocument/2006/relationships/hyperlink" Target="http://www.broadinstitute.org/gsea/msigdb/cards/GSE24634_TREG_VS_TCONV_POST_DAY10_IL4_CONVERSION_UP.html" TargetMode="External"/><Relationship Id="rId2493" Type="http://schemas.openxmlformats.org/officeDocument/2006/relationships/hyperlink" Target="http://www.broadinstitute.org/gsea/msigdb/cards/GSE27786_LSK_VS_MONO_MAC_UP.html" TargetMode="External"/><Relationship Id="rId2494" Type="http://schemas.openxmlformats.org/officeDocument/2006/relationships/hyperlink" Target="http://www.broadinstitute.org/gsea/msigdb/cards/GSE27786_LIN_NEG_VS_ERYTHROBLAST_UP.html" TargetMode="External"/><Relationship Id="rId2495" Type="http://schemas.openxmlformats.org/officeDocument/2006/relationships/hyperlink" Target="http://www.broadinstitute.org/gsea/msigdb/cards/GSE27786_BCELL_VS_CD8_TCELL_UP.html" TargetMode="External"/><Relationship Id="rId2496" Type="http://schemas.openxmlformats.org/officeDocument/2006/relationships/hyperlink" Target="http://www.broadinstitute.org/gsea/msigdb/cards/GSE27786_BCELL_VS_ERYTHROBLAST_UP.html" TargetMode="External"/><Relationship Id="rId2497" Type="http://schemas.openxmlformats.org/officeDocument/2006/relationships/hyperlink" Target="http://www.broadinstitute.org/gsea/msigdb/cards/GSE27786_CD4_TCELL_VS_NKCELL_UP.html" TargetMode="External"/><Relationship Id="rId2498" Type="http://schemas.openxmlformats.org/officeDocument/2006/relationships/hyperlink" Target="http://www.broadinstitute.org/gsea/msigdb/cards/GSE27786_CD8_TCELL_VS_NKTCELL_UP.html" TargetMode="External"/><Relationship Id="rId2499" Type="http://schemas.openxmlformats.org/officeDocument/2006/relationships/hyperlink" Target="http://www.broadinstitute.org/gsea/msigdb/cards/GSE27786_ERYTHROBLAST_VS_NEUTROPHIL_UP.html" TargetMode="External"/><Relationship Id="rId850" Type="http://schemas.openxmlformats.org/officeDocument/2006/relationships/hyperlink" Target="http://www.broadinstitute.org/gsea/msigdb/cards/CGTCTTA_MIR208.html" TargetMode="External"/><Relationship Id="rId851" Type="http://schemas.openxmlformats.org/officeDocument/2006/relationships/hyperlink" Target="http://www.broadinstitute.org/gsea/msigdb/cards/SRF_Q6.html" TargetMode="External"/><Relationship Id="rId852" Type="http://schemas.openxmlformats.org/officeDocument/2006/relationships/hyperlink" Target="http://www.broadinstitute.org/gsea/msigdb/cards/TCF4_Q5.html" TargetMode="External"/><Relationship Id="rId853" Type="http://schemas.openxmlformats.org/officeDocument/2006/relationships/hyperlink" Target="http://www.broadinstitute.org/gsea/msigdb/cards/CACBINDINGPROTEIN_Q6.html" TargetMode="External"/><Relationship Id="rId854" Type="http://schemas.openxmlformats.org/officeDocument/2006/relationships/hyperlink" Target="http://www.broadinstitute.org/gsea/msigdb/cards/HNF3ALPHA_Q6.html" TargetMode="External"/><Relationship Id="rId855" Type="http://schemas.openxmlformats.org/officeDocument/2006/relationships/hyperlink" Target="http://www.broadinstitute.org/gsea/msigdb/cards/FOXO3_01.html" TargetMode="External"/><Relationship Id="rId856" Type="http://schemas.openxmlformats.org/officeDocument/2006/relationships/hyperlink" Target="http://www.broadinstitute.org/gsea/msigdb/cards/TGAGATT_MIR216.html" TargetMode="External"/><Relationship Id="rId857" Type="http://schemas.openxmlformats.org/officeDocument/2006/relationships/hyperlink" Target="http://www.broadinstitute.org/gsea/msigdb/cards/LXR_Q3.html" TargetMode="External"/><Relationship Id="rId858" Type="http://schemas.openxmlformats.org/officeDocument/2006/relationships/hyperlink" Target="http://www.broadinstitute.org/gsea/msigdb/cards/LFA1_Q6.html" TargetMode="External"/><Relationship Id="rId859" Type="http://schemas.openxmlformats.org/officeDocument/2006/relationships/hyperlink" Target="http://www.broadinstitute.org/gsea/msigdb/cards/CIZ_01.html" TargetMode="External"/><Relationship Id="rId1790" Type="http://schemas.openxmlformats.org/officeDocument/2006/relationships/hyperlink" Target="http://www.broadinstitute.org/gsea/msigdb/cards/GO_REPLICATION_FORK.html" TargetMode="External"/><Relationship Id="rId1791" Type="http://schemas.openxmlformats.org/officeDocument/2006/relationships/hyperlink" Target="http://www.broadinstitute.org/gsea/msigdb/cards/GO_KINASE_ACTIVATOR_ACTIVITY.html" TargetMode="External"/><Relationship Id="rId1792" Type="http://schemas.openxmlformats.org/officeDocument/2006/relationships/hyperlink" Target="http://www.broadinstitute.org/gsea/msigdb/cards/TBK1.DF_DN.html" TargetMode="External"/><Relationship Id="rId1793" Type="http://schemas.openxmlformats.org/officeDocument/2006/relationships/hyperlink" Target="http://www.broadinstitute.org/gsea/msigdb/cards/EIF4E_DN.html" TargetMode="External"/><Relationship Id="rId1794" Type="http://schemas.openxmlformats.org/officeDocument/2006/relationships/hyperlink" Target="http://www.broadinstitute.org/gsea/msigdb/cards/PIGF_UP.V1_UP.html" TargetMode="External"/><Relationship Id="rId1795" Type="http://schemas.openxmlformats.org/officeDocument/2006/relationships/hyperlink" Target="http://www.broadinstitute.org/gsea/msigdb/cards/GCNP_SHH_UP_LATE.V1_UP.html" TargetMode="External"/><Relationship Id="rId1796" Type="http://schemas.openxmlformats.org/officeDocument/2006/relationships/hyperlink" Target="http://www.broadinstitute.org/gsea/msigdb/cards/GCNP_SHH_UP_EARLY.V1_UP.html" TargetMode="External"/><Relationship Id="rId1797" Type="http://schemas.openxmlformats.org/officeDocument/2006/relationships/hyperlink" Target="http://www.broadinstitute.org/gsea/msigdb/cards/VEGF_A_UP.V1_DN.html" TargetMode="External"/><Relationship Id="rId1798" Type="http://schemas.openxmlformats.org/officeDocument/2006/relationships/hyperlink" Target="http://www.broadinstitute.org/gsea/msigdb/cards/CYCLIN_D1_UP.V1_DN.html" TargetMode="External"/><Relationship Id="rId1799" Type="http://schemas.openxmlformats.org/officeDocument/2006/relationships/hyperlink" Target="http://www.broadinstitute.org/gsea/msigdb/cards/ESC_V6.5_UP_EARLY.V1_UP.html" TargetMode="External"/><Relationship Id="rId310" Type="http://schemas.openxmlformats.org/officeDocument/2006/relationships/hyperlink" Target="http://www.broadinstitute.org/gsea/msigdb/cards/REACTOME_SYNTHESIS_OF_PIPS_AT_THE_LATE_ENDOSOME_MEMBRANE.html" TargetMode="External"/><Relationship Id="rId311" Type="http://schemas.openxmlformats.org/officeDocument/2006/relationships/hyperlink" Target="http://www.broadinstitute.org/gsea/msigdb/cards/MYLLYKANGAS_AMPLIFICATION_HOT_SPOT_23.html" TargetMode="External"/><Relationship Id="rId312" Type="http://schemas.openxmlformats.org/officeDocument/2006/relationships/hyperlink" Target="http://www.broadinstitute.org/gsea/msigdb/cards/TIEN_INTESTINE_PROBIOTICS_2HR_DN.html" TargetMode="External"/><Relationship Id="rId313" Type="http://schemas.openxmlformats.org/officeDocument/2006/relationships/hyperlink" Target="http://www.broadinstitute.org/gsea/msigdb/cards/ZHANG_TLX_TARGETS_DN.html" TargetMode="External"/><Relationship Id="rId314" Type="http://schemas.openxmlformats.org/officeDocument/2006/relationships/hyperlink" Target="http://www.broadinstitute.org/gsea/msigdb/cards/ONKEN_UVEAL_MELANOMA_DN.html" TargetMode="External"/><Relationship Id="rId315" Type="http://schemas.openxmlformats.org/officeDocument/2006/relationships/hyperlink" Target="http://www.broadinstitute.org/gsea/msigdb/cards/MOHANKUMAR_HOXA1_TARGETS_UP.html" TargetMode="External"/><Relationship Id="rId316" Type="http://schemas.openxmlformats.org/officeDocument/2006/relationships/hyperlink" Target="http://www.broadinstitute.org/gsea/msigdb/cards/DOUGLAS_BMI1_TARGETS_UP.html" TargetMode="External"/><Relationship Id="rId317" Type="http://schemas.openxmlformats.org/officeDocument/2006/relationships/hyperlink" Target="http://www.broadinstitute.org/gsea/msigdb/cards/REACTOME_REGULATION_OF_HYPOXIA_INDUCIBLE_FACTOR_HIF_BY_OXYGEN.html" TargetMode="External"/><Relationship Id="rId318" Type="http://schemas.openxmlformats.org/officeDocument/2006/relationships/hyperlink" Target="http://www.broadinstitute.org/gsea/msigdb/cards/IIZUKA_LIVER_CANCER_PROGRESSION_G1_G2_DN.html" TargetMode="External"/><Relationship Id="rId319" Type="http://schemas.openxmlformats.org/officeDocument/2006/relationships/hyperlink" Target="http://www.broadinstitute.org/gsea/msigdb/cards/PID_ERBB2_ERBB3_PATHWAY.html" TargetMode="External"/><Relationship Id="rId1250" Type="http://schemas.openxmlformats.org/officeDocument/2006/relationships/hyperlink" Target="http://www.broadinstitute.org/gsea/msigdb/cards/GO_DNA_REPLICATION.html" TargetMode="External"/><Relationship Id="rId1251" Type="http://schemas.openxmlformats.org/officeDocument/2006/relationships/hyperlink" Target="http://www.broadinstitute.org/gsea/msigdb/cards/GO_HEAD_DEVELOPMENT.html" TargetMode="External"/><Relationship Id="rId1252" Type="http://schemas.openxmlformats.org/officeDocument/2006/relationships/hyperlink" Target="http://www.broadinstitute.org/gsea/msigdb/cards/GO_LYSINE_ACETYLATED_HISTONE_BINDING.html" TargetMode="External"/><Relationship Id="rId1253" Type="http://schemas.openxmlformats.org/officeDocument/2006/relationships/hyperlink" Target="http://www.broadinstitute.org/gsea/msigdb/cards/GO_DNA_HELICASE_ACTIVITY.html" TargetMode="External"/><Relationship Id="rId1254" Type="http://schemas.openxmlformats.org/officeDocument/2006/relationships/hyperlink" Target="http://www.broadinstitute.org/gsea/msigdb/cards/GO_MICROTUBULE_BASED_PROCESS.html" TargetMode="External"/><Relationship Id="rId1255" Type="http://schemas.openxmlformats.org/officeDocument/2006/relationships/hyperlink" Target="http://www.broadinstitute.org/gsea/msigdb/cards/GO_EMBRYO_DEVELOPMENT_ENDING_IN_BIRTH_OR_EGG_HATCHING.html" TargetMode="External"/><Relationship Id="rId1256" Type="http://schemas.openxmlformats.org/officeDocument/2006/relationships/hyperlink" Target="http://www.broadinstitute.org/gsea/msigdb/cards/GO_DNA_RECOMBINATION.html" TargetMode="External"/><Relationship Id="rId1257" Type="http://schemas.openxmlformats.org/officeDocument/2006/relationships/hyperlink" Target="http://www.broadinstitute.org/gsea/msigdb/cards/GO_NEGATIVE_REGULATION_OF_CELL_CYCLE.html" TargetMode="External"/><Relationship Id="rId1258" Type="http://schemas.openxmlformats.org/officeDocument/2006/relationships/hyperlink" Target="http://www.broadinstitute.org/gsea/msigdb/cards/GO_PROTEIN_LOCALIZATION_TO_ORGANELLE.html" TargetMode="External"/><Relationship Id="rId1259" Type="http://schemas.openxmlformats.org/officeDocument/2006/relationships/hyperlink" Target="http://www.broadinstitute.org/gsea/msigdb/cards/GO_EMBRYO_DEVELOPMENT.html" TargetMode="External"/><Relationship Id="rId860" Type="http://schemas.openxmlformats.org/officeDocument/2006/relationships/hyperlink" Target="http://www.broadinstitute.org/gsea/msigdb/cards/AP3_Q6.html" TargetMode="External"/><Relationship Id="rId861" Type="http://schemas.openxmlformats.org/officeDocument/2006/relationships/hyperlink" Target="http://www.broadinstitute.org/gsea/msigdb/cards/GTGCCAT_MIR183.html" TargetMode="External"/><Relationship Id="rId862" Type="http://schemas.openxmlformats.org/officeDocument/2006/relationships/hyperlink" Target="http://www.broadinstitute.org/gsea/msigdb/cards/SRF_C.html" TargetMode="External"/><Relationship Id="rId863" Type="http://schemas.openxmlformats.org/officeDocument/2006/relationships/hyperlink" Target="http://www.broadinstitute.org/gsea/msigdb/cards/TCCAGAT_MIR5165P.html" TargetMode="External"/><Relationship Id="rId864" Type="http://schemas.openxmlformats.org/officeDocument/2006/relationships/hyperlink" Target="http://www.broadinstitute.org/gsea/msigdb/cards/TGACCTTG_SF1_Q6.html" TargetMode="External"/><Relationship Id="rId865" Type="http://schemas.openxmlformats.org/officeDocument/2006/relationships/hyperlink" Target="http://www.broadinstitute.org/gsea/msigdb/cards/CAGTCAC_MIR134.html" TargetMode="External"/><Relationship Id="rId866" Type="http://schemas.openxmlformats.org/officeDocument/2006/relationships/hyperlink" Target="http://www.broadinstitute.org/gsea/msigdb/cards/GTAAACC_MIR2995P.html" TargetMode="External"/><Relationship Id="rId867" Type="http://schemas.openxmlformats.org/officeDocument/2006/relationships/hyperlink" Target="http://www.broadinstitute.org/gsea/msigdb/cards/YTTCCNNNGGAMR_UNKNOWN.html" TargetMode="External"/><Relationship Id="rId868" Type="http://schemas.openxmlformats.org/officeDocument/2006/relationships/hyperlink" Target="http://www.broadinstitute.org/gsea/msigdb/cards/TGCAAAC_MIR452.html" TargetMode="External"/><Relationship Id="rId869" Type="http://schemas.openxmlformats.org/officeDocument/2006/relationships/hyperlink" Target="http://www.broadinstitute.org/gsea/msigdb/cards/TAL1ALPHAE47_01.html" TargetMode="External"/><Relationship Id="rId320" Type="http://schemas.openxmlformats.org/officeDocument/2006/relationships/hyperlink" Target="http://www.broadinstitute.org/gsea/msigdb/cards/REACTOME_SIGNALING_BY_FGFR_MUTANTS.html" TargetMode="External"/><Relationship Id="rId321" Type="http://schemas.openxmlformats.org/officeDocument/2006/relationships/hyperlink" Target="http://www.broadinstitute.org/gsea/msigdb/cards/LUI_THYROID_CANCER_PAX8_PPARG_UP.html" TargetMode="External"/><Relationship Id="rId322" Type="http://schemas.openxmlformats.org/officeDocument/2006/relationships/hyperlink" Target="http://www.broadinstitute.org/gsea/msigdb/cards/PARK_HSC_MARKERS.html" TargetMode="External"/><Relationship Id="rId323" Type="http://schemas.openxmlformats.org/officeDocument/2006/relationships/hyperlink" Target="http://www.broadinstitute.org/gsea/msigdb/cards/UDAYAKUMAR_MED1_TARGETS_DN.html" TargetMode="External"/><Relationship Id="rId324" Type="http://schemas.openxmlformats.org/officeDocument/2006/relationships/hyperlink" Target="http://www.broadinstitute.org/gsea/msigdb/cards/BONCI_TARGETS_OF_MIR15A_AND_MIR16_1.html" TargetMode="External"/><Relationship Id="rId325" Type="http://schemas.openxmlformats.org/officeDocument/2006/relationships/hyperlink" Target="http://www.broadinstitute.org/gsea/msigdb/cards/PURBEY_TARGETS_OF_CTBP1_NOT_SATB1_UP.html" TargetMode="External"/><Relationship Id="rId326" Type="http://schemas.openxmlformats.org/officeDocument/2006/relationships/hyperlink" Target="http://www.broadinstitute.org/gsea/msigdb/cards/CASORELLI_ACUTE_PROMYELOCYTIC_LEUKEMIA_UP.html" TargetMode="External"/><Relationship Id="rId327" Type="http://schemas.openxmlformats.org/officeDocument/2006/relationships/hyperlink" Target="http://www.broadinstitute.org/gsea/msigdb/cards/IVANOVA_HEMATOPOIESIS_EARLY_PROGENITOR.html" TargetMode="External"/><Relationship Id="rId328" Type="http://schemas.openxmlformats.org/officeDocument/2006/relationships/hyperlink" Target="http://www.broadinstitute.org/gsea/msigdb/cards/GINESTIER_BREAST_CANCER_20Q13_AMPLIFICATION_UP.html" TargetMode="External"/><Relationship Id="rId329" Type="http://schemas.openxmlformats.org/officeDocument/2006/relationships/hyperlink" Target="http://www.broadinstitute.org/gsea/msigdb/cards/MULLIGHAN_NPM1_MUTATED_SIGNATURE_1_UP.html" TargetMode="External"/><Relationship Id="rId1260" Type="http://schemas.openxmlformats.org/officeDocument/2006/relationships/hyperlink" Target="http://www.broadinstitute.org/gsea/msigdb/cards/GO_N_METHYLTRANSFERASE_ACTIVITY.html" TargetMode="External"/><Relationship Id="rId1261" Type="http://schemas.openxmlformats.org/officeDocument/2006/relationships/hyperlink" Target="http://www.broadinstitute.org/gsea/msigdb/cards/GO_PHOSPHATE_CONTAINING_COMPOUND_METABOLIC_PROCESS.html" TargetMode="External"/><Relationship Id="rId1262" Type="http://schemas.openxmlformats.org/officeDocument/2006/relationships/hyperlink" Target="http://www.broadinstitute.org/gsea/msigdb/cards/GO_REGULATION_OF_ORGANELLE_ASSEMBLY.html" TargetMode="External"/><Relationship Id="rId1263" Type="http://schemas.openxmlformats.org/officeDocument/2006/relationships/hyperlink" Target="http://www.broadinstitute.org/gsea/msigdb/cards/GO_SWI_SNF_SUPERFAMILY_TYPE_COMPLEX.html" TargetMode="External"/><Relationship Id="rId1264" Type="http://schemas.openxmlformats.org/officeDocument/2006/relationships/hyperlink" Target="http://www.broadinstitute.org/gsea/msigdb/cards/GO_REGULATION_OF_MICROTUBULE_BASED_PROCESS.html" TargetMode="External"/><Relationship Id="rId1265" Type="http://schemas.openxmlformats.org/officeDocument/2006/relationships/hyperlink" Target="http://www.broadinstitute.org/gsea/msigdb/cards/GO_ENZYME_ACTIVATOR_ACTIVITY.html" TargetMode="External"/><Relationship Id="rId1266" Type="http://schemas.openxmlformats.org/officeDocument/2006/relationships/hyperlink" Target="http://www.broadinstitute.org/gsea/msigdb/cards/GO_THIOL_DEPENDENT_UBIQUITIN_SPECIFIC_PROTEASE_ACTIVITY.html" TargetMode="External"/><Relationship Id="rId1267" Type="http://schemas.openxmlformats.org/officeDocument/2006/relationships/hyperlink" Target="http://www.broadinstitute.org/gsea/msigdb/cards/GO_CYTOSKELETON_ORGANIZATION.html" TargetMode="External"/><Relationship Id="rId1268" Type="http://schemas.openxmlformats.org/officeDocument/2006/relationships/hyperlink" Target="http://www.broadinstitute.org/gsea/msigdb/cards/GO_POLYSOME.html" TargetMode="External"/><Relationship Id="rId1269" Type="http://schemas.openxmlformats.org/officeDocument/2006/relationships/hyperlink" Target="http://www.broadinstitute.org/gsea/msigdb/cards/GO_PROTEIN_UBIQUITINATION_INVOLVED_IN_UBIQUITIN_DEPENDENT_PROTEIN_CATABOLIC_PROCESS.html" TargetMode="External"/><Relationship Id="rId870" Type="http://schemas.openxmlformats.org/officeDocument/2006/relationships/hyperlink" Target="http://www.broadinstitute.org/gsea/msigdb/cards/CREBP1_01.html" TargetMode="External"/><Relationship Id="rId871" Type="http://schemas.openxmlformats.org/officeDocument/2006/relationships/hyperlink" Target="http://www.broadinstitute.org/gsea/msigdb/cards/HLF_01.html" TargetMode="External"/><Relationship Id="rId872" Type="http://schemas.openxmlformats.org/officeDocument/2006/relationships/hyperlink" Target="http://www.broadinstitute.org/gsea/msigdb/cards/ZIC3_01.html" TargetMode="External"/><Relationship Id="rId873" Type="http://schemas.openxmlformats.org/officeDocument/2006/relationships/hyperlink" Target="http://www.broadinstitute.org/gsea/msigdb/cards/AP4_Q6_01.html" TargetMode="External"/><Relationship Id="rId874" Type="http://schemas.openxmlformats.org/officeDocument/2006/relationships/hyperlink" Target="http://www.broadinstitute.org/gsea/msigdb/cards/TGATTTRY_GFI1_01.html" TargetMode="External"/><Relationship Id="rId875" Type="http://schemas.openxmlformats.org/officeDocument/2006/relationships/hyperlink" Target="http://www.broadinstitute.org/gsea/msigdb/cards/CREL_01.html" TargetMode="External"/><Relationship Id="rId876" Type="http://schemas.openxmlformats.org/officeDocument/2006/relationships/hyperlink" Target="http://www.broadinstitute.org/gsea/msigdb/cards/STAT3_02.html" TargetMode="External"/><Relationship Id="rId877" Type="http://schemas.openxmlformats.org/officeDocument/2006/relationships/hyperlink" Target="http://www.broadinstitute.org/gsea/msigdb/cards/GCTTGAA_MIR498.html" TargetMode="External"/><Relationship Id="rId878" Type="http://schemas.openxmlformats.org/officeDocument/2006/relationships/hyperlink" Target="http://www.broadinstitute.org/gsea/msigdb/cards/DR1_Q3.html" TargetMode="External"/><Relationship Id="rId879" Type="http://schemas.openxmlformats.org/officeDocument/2006/relationships/hyperlink" Target="http://www.broadinstitute.org/gsea/msigdb/cards/CTCCAAG_MIR432.html" TargetMode="External"/><Relationship Id="rId330" Type="http://schemas.openxmlformats.org/officeDocument/2006/relationships/hyperlink" Target="http://www.broadinstitute.org/gsea/msigdb/cards/SIG_CHEMOTAXIS.html" TargetMode="External"/><Relationship Id="rId331" Type="http://schemas.openxmlformats.org/officeDocument/2006/relationships/hyperlink" Target="http://www.broadinstitute.org/gsea/msigdb/cards/REACTOME_TRANSCRIPTION.html" TargetMode="External"/><Relationship Id="rId332" Type="http://schemas.openxmlformats.org/officeDocument/2006/relationships/hyperlink" Target="http://www.broadinstitute.org/gsea/msigdb/cards/MILI_PSEUDOPODIA_CHEMOTAXIS_DN.html" TargetMode="External"/><Relationship Id="rId333" Type="http://schemas.openxmlformats.org/officeDocument/2006/relationships/hyperlink" Target="http://www.broadinstitute.org/gsea/msigdb/cards/BILD_E2F3_ONCOGENIC_SIGNATURE.html" TargetMode="External"/><Relationship Id="rId334" Type="http://schemas.openxmlformats.org/officeDocument/2006/relationships/hyperlink" Target="http://www.broadinstitute.org/gsea/msigdb/cards/PID_MTOR_4PATHWAY.html" TargetMode="External"/><Relationship Id="rId335" Type="http://schemas.openxmlformats.org/officeDocument/2006/relationships/hyperlink" Target="http://www.broadinstitute.org/gsea/msigdb/cards/PID_VEGFR1_2_PATHWAY.html" TargetMode="External"/><Relationship Id="rId336" Type="http://schemas.openxmlformats.org/officeDocument/2006/relationships/hyperlink" Target="http://www.broadinstitute.org/gsea/msigdb/cards/REACTOME_CHROMOSOME_MAINTENANCE.html" TargetMode="External"/><Relationship Id="rId337" Type="http://schemas.openxmlformats.org/officeDocument/2006/relationships/hyperlink" Target="http://www.broadinstitute.org/gsea/msigdb/cards/REACTOME_SYNTHESIS_OF_PIPS_AT_THE_EARLY_ENDOSOME_MEMBRANE.html" TargetMode="External"/><Relationship Id="rId338" Type="http://schemas.openxmlformats.org/officeDocument/2006/relationships/hyperlink" Target="http://www.broadinstitute.org/gsea/msigdb/cards/BOYLAN_MULTIPLE_MYELOMA_C_UP.html" TargetMode="External"/><Relationship Id="rId339" Type="http://schemas.openxmlformats.org/officeDocument/2006/relationships/hyperlink" Target="http://www.broadinstitute.org/gsea/msigdb/cards/PID_HES_HEY_PATHWAY.html" TargetMode="External"/><Relationship Id="rId1270" Type="http://schemas.openxmlformats.org/officeDocument/2006/relationships/hyperlink" Target="http://www.broadinstitute.org/gsea/msigdb/cards/GO_CELL_CYCLE_PHASE_TRANSITION.html" TargetMode="External"/><Relationship Id="rId1271" Type="http://schemas.openxmlformats.org/officeDocument/2006/relationships/hyperlink" Target="http://www.broadinstitute.org/gsea/msigdb/cards/GO_REPRODUCTION.html" TargetMode="External"/><Relationship Id="rId2700" Type="http://schemas.openxmlformats.org/officeDocument/2006/relationships/hyperlink" Target="http://www.broadinstitute.org/gsea/msigdb/cards/GSE20715_0H_VS_6H_OZONE_LUNG_DN.html" TargetMode="External"/><Relationship Id="rId2701" Type="http://schemas.openxmlformats.org/officeDocument/2006/relationships/hyperlink" Target="http://www.broadinstitute.org/gsea/msigdb/cards/GSE22886_NAIVE_CD8_TCELL_VS_MEMORY_TCELL_UP.html" TargetMode="External"/><Relationship Id="rId2702" Type="http://schemas.openxmlformats.org/officeDocument/2006/relationships/hyperlink" Target="http://www.broadinstitute.org/gsea/msigdb/cards/GSE22886_NAIVE_TCELL_VS_MONOCYTE_UP.html" TargetMode="External"/><Relationship Id="rId2703" Type="http://schemas.openxmlformats.org/officeDocument/2006/relationships/hyperlink" Target="http://www.broadinstitute.org/gsea/msigdb/cards/GSE22886_TH1_VS_TH2_12H_ACT_UP.html" TargetMode="External"/><Relationship Id="rId2704" Type="http://schemas.openxmlformats.org/officeDocument/2006/relationships/hyperlink" Target="http://www.broadinstitute.org/gsea/msigdb/cards/GSE24102_GRANULOCYSTIC_MDSC_VS_NEUTROPHIL_UP.html" TargetMode="External"/><Relationship Id="rId2705" Type="http://schemas.openxmlformats.org/officeDocument/2006/relationships/hyperlink" Target="http://www.broadinstitute.org/gsea/msigdb/cards/GSE24142_EARLY_THYMIC_PROGENITOR_VS_DN2_THYMOCYTE_ADULT_UP.html" TargetMode="External"/><Relationship Id="rId2706" Type="http://schemas.openxmlformats.org/officeDocument/2006/relationships/hyperlink" Target="http://www.broadinstitute.org/gsea/msigdb/cards/GSE24634_NAIVE_CD4_TCELL_VS_DAY5_IL4_CONV_TREG_UP.html" TargetMode="External"/><Relationship Id="rId2707" Type="http://schemas.openxmlformats.org/officeDocument/2006/relationships/hyperlink" Target="http://www.broadinstitute.org/gsea/msigdb/cards/GSE26928_NAIVE_VS_CXCR5_POS_CD4_TCELL_DN.html" TargetMode="External"/><Relationship Id="rId2708" Type="http://schemas.openxmlformats.org/officeDocument/2006/relationships/hyperlink" Target="http://www.broadinstitute.org/gsea/msigdb/cards/GSE26928_EFF_MEM_VS_CENTR_MEM_CD4_TCELL_DN.html" TargetMode="External"/><Relationship Id="rId2709" Type="http://schemas.openxmlformats.org/officeDocument/2006/relationships/hyperlink" Target="http://www.broadinstitute.org/gsea/msigdb/cards/GSE27786_LSK_VS_BCELL_DN.html" TargetMode="External"/><Relationship Id="rId1272" Type="http://schemas.openxmlformats.org/officeDocument/2006/relationships/hyperlink" Target="http://www.broadinstitute.org/gsea/msigdb/cards/GO_PEPTIDYL_LYSINE_DIMETHYLATION.html" TargetMode="External"/><Relationship Id="rId1273" Type="http://schemas.openxmlformats.org/officeDocument/2006/relationships/hyperlink" Target="http://www.broadinstitute.org/gsea/msigdb/cards/GO_MITOTIC_SISTER_CHROMATID_COHESION.html" TargetMode="External"/><Relationship Id="rId1274" Type="http://schemas.openxmlformats.org/officeDocument/2006/relationships/hyperlink" Target="http://www.broadinstitute.org/gsea/msigdb/cards/GO_CELL_CYCLE_G2_M_PHASE_TRANSITION.html" TargetMode="External"/><Relationship Id="rId1275" Type="http://schemas.openxmlformats.org/officeDocument/2006/relationships/hyperlink" Target="http://www.broadinstitute.org/gsea/msigdb/cards/GO_ATPASE_ACTIVITY_COUPLED.html" TargetMode="External"/><Relationship Id="rId1276" Type="http://schemas.openxmlformats.org/officeDocument/2006/relationships/hyperlink" Target="http://www.broadinstitute.org/gsea/msigdb/cards/GO_REGULATION_OF_RNA_STABILITY.html" TargetMode="External"/><Relationship Id="rId1277" Type="http://schemas.openxmlformats.org/officeDocument/2006/relationships/hyperlink" Target="http://www.broadinstitute.org/gsea/msigdb/cards/GO_PURINE_NTP_DEPENDENT_HELICASE_ACTIVITY.html" TargetMode="External"/><Relationship Id="rId1278" Type="http://schemas.openxmlformats.org/officeDocument/2006/relationships/hyperlink" Target="http://www.broadinstitute.org/gsea/msigdb/cards/GO_POSITIVE_REGULATION_OF_CELLULAR_COMPONENT_BIOGENESIS.html" TargetMode="External"/><Relationship Id="rId1279" Type="http://schemas.openxmlformats.org/officeDocument/2006/relationships/hyperlink" Target="http://www.broadinstitute.org/gsea/msigdb/cards/GO_INTERSPECIES_INTERACTION_BETWEEN_ORGANISMS.html" TargetMode="External"/><Relationship Id="rId880" Type="http://schemas.openxmlformats.org/officeDocument/2006/relationships/hyperlink" Target="http://www.broadinstitute.org/gsea/msigdb/cards/SRF_Q5_01.html" TargetMode="External"/><Relationship Id="rId881" Type="http://schemas.openxmlformats.org/officeDocument/2006/relationships/hyperlink" Target="http://www.broadinstitute.org/gsea/msigdb/cards/SREBP_Q3.html" TargetMode="External"/><Relationship Id="rId882" Type="http://schemas.openxmlformats.org/officeDocument/2006/relationships/hyperlink" Target="http://www.broadinstitute.org/gsea/msigdb/cards/SP1_Q4_01.html" TargetMode="External"/><Relationship Id="rId883" Type="http://schemas.openxmlformats.org/officeDocument/2006/relationships/hyperlink" Target="http://www.broadinstitute.org/gsea/msigdb/cards/YATTNATC_UNKNOWN.html" TargetMode="External"/><Relationship Id="rId884" Type="http://schemas.openxmlformats.org/officeDocument/2006/relationships/hyperlink" Target="http://www.broadinstitute.org/gsea/msigdb/cards/ETS1_B.html" TargetMode="External"/><Relationship Id="rId885" Type="http://schemas.openxmlformats.org/officeDocument/2006/relationships/hyperlink" Target="http://www.broadinstitute.org/gsea/msigdb/cards/RYAAAKNNNNNNTTGW_UNKNOWN.html" TargetMode="External"/><Relationship Id="rId886" Type="http://schemas.openxmlformats.org/officeDocument/2006/relationships/hyperlink" Target="http://www.broadinstitute.org/gsea/msigdb/cards/IPF1_Q4.html" TargetMode="External"/><Relationship Id="rId887" Type="http://schemas.openxmlformats.org/officeDocument/2006/relationships/hyperlink" Target="http://www.broadinstitute.org/gsea/msigdb/cards/E4BP4_01.html" TargetMode="External"/><Relationship Id="rId888" Type="http://schemas.openxmlformats.org/officeDocument/2006/relationships/hyperlink" Target="http://www.broadinstitute.org/gsea/msigdb/cards/HNF4_DR1_Q3.html" TargetMode="External"/><Relationship Id="rId889" Type="http://schemas.openxmlformats.org/officeDocument/2006/relationships/hyperlink" Target="http://www.broadinstitute.org/gsea/msigdb/cards/AP4_01.html" TargetMode="External"/><Relationship Id="rId340" Type="http://schemas.openxmlformats.org/officeDocument/2006/relationships/hyperlink" Target="http://www.broadinstitute.org/gsea/msigdb/cards/REACTOME_PI_METABOLISM.html" TargetMode="External"/><Relationship Id="rId341" Type="http://schemas.openxmlformats.org/officeDocument/2006/relationships/hyperlink" Target="http://www.broadinstitute.org/gsea/msigdb/cards/REACTOME_DEADENYLATION_DEPENDENT_MRNA_DECAY.html" TargetMode="External"/><Relationship Id="rId342" Type="http://schemas.openxmlformats.org/officeDocument/2006/relationships/hyperlink" Target="http://www.broadinstitute.org/gsea/msigdb/cards/BYSTRYKH_HEMATOPOIESIS_STEM_CELL_AND_BRAIN_QTL_TRANS.html" TargetMode="External"/><Relationship Id="rId343" Type="http://schemas.openxmlformats.org/officeDocument/2006/relationships/hyperlink" Target="http://www.broadinstitute.org/gsea/msigdb/cards/SHEPARD_CRUSH_AND_BURN_MUTANT_DN.html" TargetMode="External"/><Relationship Id="rId344" Type="http://schemas.openxmlformats.org/officeDocument/2006/relationships/hyperlink" Target="http://www.broadinstitute.org/gsea/msigdb/cards/FLECHNER_BIOPSY_KIDNEY_TRANSPLANT_REJECTED_VS_OK_DN.html" TargetMode="External"/><Relationship Id="rId345" Type="http://schemas.openxmlformats.org/officeDocument/2006/relationships/hyperlink" Target="http://www.broadinstitute.org/gsea/msigdb/cards/FAELT_B_CLL_WITH_VH_REARRANGEMENTS_DN.html" TargetMode="External"/><Relationship Id="rId346" Type="http://schemas.openxmlformats.org/officeDocument/2006/relationships/hyperlink" Target="http://www.broadinstitute.org/gsea/msigdb/cards/STEARMAN_LUNG_CANCER_EARLY_VS_LATE_UP.html" TargetMode="External"/><Relationship Id="rId347" Type="http://schemas.openxmlformats.org/officeDocument/2006/relationships/hyperlink" Target="http://www.broadinstitute.org/gsea/msigdb/cards/HAN_SATB1_TARGETS_UP.html" TargetMode="External"/><Relationship Id="rId348" Type="http://schemas.openxmlformats.org/officeDocument/2006/relationships/hyperlink" Target="http://www.broadinstitute.org/gsea/msigdb/cards/TAKAO_RESPONSE_TO_UVB_RADIATION_DN.html" TargetMode="External"/><Relationship Id="rId349" Type="http://schemas.openxmlformats.org/officeDocument/2006/relationships/hyperlink" Target="http://www.broadinstitute.org/gsea/msigdb/cards/BROWNE_HCMV_INFECTION_14HR_UP.html" TargetMode="External"/><Relationship Id="rId1280" Type="http://schemas.openxmlformats.org/officeDocument/2006/relationships/hyperlink" Target="http://www.broadinstitute.org/gsea/msigdb/cards/GO_MICROTUBULE_CYTOSKELETON_ORGANIZATION.html" TargetMode="External"/><Relationship Id="rId1281" Type="http://schemas.openxmlformats.org/officeDocument/2006/relationships/hyperlink" Target="http://www.broadinstitute.org/gsea/msigdb/cards/GO_DOUBLE_STRAND_BREAK_REPAIR.html" TargetMode="External"/><Relationship Id="rId2710" Type="http://schemas.openxmlformats.org/officeDocument/2006/relationships/hyperlink" Target="http://www.broadinstitute.org/gsea/msigdb/cards/GSE27786_LSK_VS_CD8_TCELL_DN.html" TargetMode="External"/><Relationship Id="rId2711" Type="http://schemas.openxmlformats.org/officeDocument/2006/relationships/hyperlink" Target="http://www.broadinstitute.org/gsea/msigdb/cards/GSE27786_LSK_VS_ERYTHROBLAST_UP.html" TargetMode="External"/><Relationship Id="rId2712" Type="http://schemas.openxmlformats.org/officeDocument/2006/relationships/hyperlink" Target="http://www.broadinstitute.org/gsea/msigdb/cards/GSE27786_LSK_VS_NEUTROPHIL_DN.html" TargetMode="External"/><Relationship Id="rId2713" Type="http://schemas.openxmlformats.org/officeDocument/2006/relationships/hyperlink" Target="http://www.broadinstitute.org/gsea/msigdb/cards/GSE27786_CD8_TCELL_VS_NEUTROPHIL_UP.html" TargetMode="External"/><Relationship Id="rId2714" Type="http://schemas.openxmlformats.org/officeDocument/2006/relationships/hyperlink" Target="http://www.broadinstitute.org/gsea/msigdb/cards/GSE27786_NKCELL_VS_NKTCELL_DN.html" TargetMode="External"/><Relationship Id="rId2715" Type="http://schemas.openxmlformats.org/officeDocument/2006/relationships/hyperlink" Target="http://www.broadinstitute.org/gsea/msigdb/cards/GSE27786_NKCELL_VS_ERYTHROBLAST_UP.html" TargetMode="External"/><Relationship Id="rId2716" Type="http://schemas.openxmlformats.org/officeDocument/2006/relationships/hyperlink" Target="http://www.broadinstitute.org/gsea/msigdb/cards/GSE27786_NKTCELL_VS_ERYTHROBLAST_UP.html" TargetMode="External"/><Relationship Id="rId2717" Type="http://schemas.openxmlformats.org/officeDocument/2006/relationships/hyperlink" Target="http://www.broadinstitute.org/gsea/msigdb/cards/GSE27786_NKTCELL_VS_NEUTROPHIL_DN.html" TargetMode="External"/><Relationship Id="rId2718" Type="http://schemas.openxmlformats.org/officeDocument/2006/relationships/hyperlink" Target="http://www.broadinstitute.org/gsea/msigdb/cards/GSE29615_CTRL_VS_DAY3_LAIV_IFLU_VACCINE_PBMC_UP.html" TargetMode="External"/><Relationship Id="rId2719" Type="http://schemas.openxmlformats.org/officeDocument/2006/relationships/hyperlink" Target="http://www.broadinstitute.org/gsea/msigdb/cards/GSE29617_DAY3_VS_DAY7_TIV_FLU_VACCINE_PBMC_2008_DN.html" TargetMode="External"/><Relationship Id="rId1282" Type="http://schemas.openxmlformats.org/officeDocument/2006/relationships/hyperlink" Target="http://www.broadinstitute.org/gsea/msigdb/cards/GO_NUCLEAR_PERIPHERY.html" TargetMode="External"/><Relationship Id="rId1283" Type="http://schemas.openxmlformats.org/officeDocument/2006/relationships/hyperlink" Target="http://www.broadinstitute.org/gsea/msigdb/cards/GO_CENTRAL_NERVOUS_SYSTEM_DEVELOPMENT.html" TargetMode="External"/><Relationship Id="rId1284" Type="http://schemas.openxmlformats.org/officeDocument/2006/relationships/hyperlink" Target="http://www.broadinstitute.org/gsea/msigdb/cards/GO_CORE_PROMOTER_SEQUENCE_SPECIFIC_DNA_BINDING.html" TargetMode="External"/><Relationship Id="rId1285" Type="http://schemas.openxmlformats.org/officeDocument/2006/relationships/hyperlink" Target="http://www.broadinstitute.org/gsea/msigdb/cards/GO_PROTEIN_COMPLEX_SUBUNIT_ORGANIZATION.html" TargetMode="External"/><Relationship Id="rId1286" Type="http://schemas.openxmlformats.org/officeDocument/2006/relationships/hyperlink" Target="http://www.broadinstitute.org/gsea/msigdb/cards/GO_HISTONE_H4_ACETYLATION.html" TargetMode="External"/><Relationship Id="rId1287" Type="http://schemas.openxmlformats.org/officeDocument/2006/relationships/hyperlink" Target="http://www.broadinstitute.org/gsea/msigdb/cards/GO_REGULATION_OF_RESPONSE_TO_DNA_DAMAGE_STIMULUS.html" TargetMode="External"/><Relationship Id="rId1288" Type="http://schemas.openxmlformats.org/officeDocument/2006/relationships/hyperlink" Target="http://www.broadinstitute.org/gsea/msigdb/cards/GO_MICROTUBULE_ORGANIZING_CENTER_PART.html" TargetMode="External"/><Relationship Id="rId1289" Type="http://schemas.openxmlformats.org/officeDocument/2006/relationships/hyperlink" Target="http://www.broadinstitute.org/gsea/msigdb/cards/GO_HORMONE_RECEPTOR_BINDING.html" TargetMode="External"/><Relationship Id="rId890" Type="http://schemas.openxmlformats.org/officeDocument/2006/relationships/hyperlink" Target="http://www.broadinstitute.org/gsea/msigdb/cards/COUP_01.html" TargetMode="External"/><Relationship Id="rId891" Type="http://schemas.openxmlformats.org/officeDocument/2006/relationships/hyperlink" Target="http://www.broadinstitute.org/gsea/msigdb/cards/RNCTGNYNRNCTGNY_UNKNOWN.html" TargetMode="External"/><Relationship Id="rId892" Type="http://schemas.openxmlformats.org/officeDocument/2006/relationships/hyperlink" Target="http://www.broadinstitute.org/gsea/msigdb/cards/IK3_01.html" TargetMode="External"/><Relationship Id="rId893" Type="http://schemas.openxmlformats.org/officeDocument/2006/relationships/hyperlink" Target="http://www.broadinstitute.org/gsea/msigdb/cards/STAT6_01.html" TargetMode="External"/><Relationship Id="rId894" Type="http://schemas.openxmlformats.org/officeDocument/2006/relationships/hyperlink" Target="http://www.broadinstitute.org/gsea/msigdb/cards/AFP1_Q6.html" TargetMode="External"/><Relationship Id="rId895" Type="http://schemas.openxmlformats.org/officeDocument/2006/relationships/hyperlink" Target="http://www.broadinstitute.org/gsea/msigdb/cards/AP4_Q6.html" TargetMode="External"/><Relationship Id="rId896" Type="http://schemas.openxmlformats.org/officeDocument/2006/relationships/hyperlink" Target="http://www.broadinstitute.org/gsea/msigdb/cards/CTCTAGA_MIR526C_MIR518F_MIR526A.html" TargetMode="External"/><Relationship Id="rId897" Type="http://schemas.openxmlformats.org/officeDocument/2006/relationships/hyperlink" Target="http://www.broadinstitute.org/gsea/msigdb/cards/GGCACAT_MIR455.html" TargetMode="External"/><Relationship Id="rId898" Type="http://schemas.openxmlformats.org/officeDocument/2006/relationships/hyperlink" Target="http://www.broadinstitute.org/gsea/msigdb/cards/HSF1_01.html" TargetMode="External"/><Relationship Id="rId899" Type="http://schemas.openxmlformats.org/officeDocument/2006/relationships/hyperlink" Target="http://www.broadinstitute.org/gsea/msigdb/cards/HFH3_01.html" TargetMode="External"/><Relationship Id="rId350" Type="http://schemas.openxmlformats.org/officeDocument/2006/relationships/hyperlink" Target="http://www.broadinstitute.org/gsea/msigdb/cards/REACTOME_METABOLISM_OF_NON_CODING_RNA.html" TargetMode="External"/><Relationship Id="rId351" Type="http://schemas.openxmlformats.org/officeDocument/2006/relationships/hyperlink" Target="http://www.broadinstitute.org/gsea/msigdb/cards/STAMBOLSKY_TARGETS_OF_MUTATED_TP53_UP.html" TargetMode="External"/><Relationship Id="rId352" Type="http://schemas.openxmlformats.org/officeDocument/2006/relationships/hyperlink" Target="http://www.broadinstitute.org/gsea/msigdb/cards/PID_REELIN_PATHWAY.html" TargetMode="External"/><Relationship Id="rId353" Type="http://schemas.openxmlformats.org/officeDocument/2006/relationships/hyperlink" Target="http://www.broadinstitute.org/gsea/msigdb/cards/MANALO_HYPOXIA_DN.html" TargetMode="External"/><Relationship Id="rId354" Type="http://schemas.openxmlformats.org/officeDocument/2006/relationships/hyperlink" Target="http://www.broadinstitute.org/gsea/msigdb/cards/LIN_MELANOMA_COPY_NUMBER_UP.html" TargetMode="External"/><Relationship Id="rId355" Type="http://schemas.openxmlformats.org/officeDocument/2006/relationships/hyperlink" Target="http://www.broadinstitute.org/gsea/msigdb/cards/KEGG_CELL_CYCLE.html" TargetMode="External"/><Relationship Id="rId356" Type="http://schemas.openxmlformats.org/officeDocument/2006/relationships/hyperlink" Target="http://www.broadinstitute.org/gsea/msigdb/cards/BENPORATH_ES_CORE_NINE_CORRELATED.html" TargetMode="External"/><Relationship Id="rId357" Type="http://schemas.openxmlformats.org/officeDocument/2006/relationships/hyperlink" Target="http://www.broadinstitute.org/gsea/msigdb/cards/REACTOME_G_ALPHA1213_SIGNALLING_EVENTS.html" TargetMode="External"/><Relationship Id="rId358" Type="http://schemas.openxmlformats.org/officeDocument/2006/relationships/hyperlink" Target="http://www.broadinstitute.org/gsea/msigdb/cards/REACTOME_INTERFERON_SIGNALING.html" TargetMode="External"/><Relationship Id="rId359" Type="http://schemas.openxmlformats.org/officeDocument/2006/relationships/hyperlink" Target="http://www.broadinstitute.org/gsea/msigdb/cards/RAY_TUMORIGENESIS_BY_ERBB2_CDC25A_DN.html" TargetMode="External"/><Relationship Id="rId1290" Type="http://schemas.openxmlformats.org/officeDocument/2006/relationships/hyperlink" Target="http://www.broadinstitute.org/gsea/msigdb/cards/GO_RNA_POLYMERASE_BINDING.html" TargetMode="External"/><Relationship Id="rId1291" Type="http://schemas.openxmlformats.org/officeDocument/2006/relationships/hyperlink" Target="http://www.broadinstitute.org/gsea/msigdb/cards/GO_PROTEIN_POLYUBIQUITINATION.html" TargetMode="External"/><Relationship Id="rId2720" Type="http://schemas.openxmlformats.org/officeDocument/2006/relationships/hyperlink" Target="http://www.broadinstitute.org/gsea/msigdb/cards/GSE29618_BCELL_VS_MONOCYTE_UP.html" TargetMode="External"/><Relationship Id="rId2721" Type="http://schemas.openxmlformats.org/officeDocument/2006/relationships/hyperlink" Target="http://www.broadinstitute.org/gsea/msigdb/cards/GSE29618_MONOCYTE_VS_PDC_DN.html" TargetMode="External"/><Relationship Id="rId2722" Type="http://schemas.openxmlformats.org/officeDocument/2006/relationships/hyperlink" Target="http://www.broadinstitute.org/gsea/msigdb/cards/GSE29618_PRE_VS_DAY7_POST_TIV_FLU_VACCINE_MONOCYTE_DN.html" TargetMode="External"/><Relationship Id="rId2723" Type="http://schemas.openxmlformats.org/officeDocument/2006/relationships/hyperlink" Target="http://www.broadinstitute.org/gsea/msigdb/cards/GSE32423_MEMORY_VS_NAIVE_CD8_TCELL_IL7_DN.html" TargetMode="External"/><Relationship Id="rId2724" Type="http://schemas.openxmlformats.org/officeDocument/2006/relationships/hyperlink" Target="http://www.broadinstitute.org/gsea/msigdb/cards/GSE339_CD8POS_VS_CD4CD8DN_DC_IN_CULTURE_DN.html" TargetMode="External"/><Relationship Id="rId2725" Type="http://schemas.openxmlformats.org/officeDocument/2006/relationships/hyperlink" Target="http://www.broadinstitute.org/gsea/msigdb/cards/GSE339_EX_VIVO_VS_IN_CULTURE_CD8POS_DC_UP.html" TargetMode="External"/><Relationship Id="rId2726" Type="http://schemas.openxmlformats.org/officeDocument/2006/relationships/hyperlink" Target="http://www.broadinstitute.org/gsea/msigdb/cards/GSE34205_HEALTHY_VS_RSV_INF_INFANT_PBMC_UP.html" TargetMode="External"/><Relationship Id="rId2727" Type="http://schemas.openxmlformats.org/officeDocument/2006/relationships/hyperlink" Target="http://www.broadinstitute.org/gsea/msigdb/cards/GSE360_CTRL_VS_T_GONDII_MAC_UP.html" TargetMode="External"/><Relationship Id="rId2728" Type="http://schemas.openxmlformats.org/officeDocument/2006/relationships/hyperlink" Target="http://www.broadinstitute.org/gsea/msigdb/cards/GSE360_DC_VS_MAC_B_MALAYI_LOW_DOSE_UP.html" TargetMode="External"/><Relationship Id="rId2729" Type="http://schemas.openxmlformats.org/officeDocument/2006/relationships/hyperlink" Target="http://www.broadinstitute.org/gsea/msigdb/cards/GSE360_L_DONOVANI_VS_B_MALAYI_HIGH_DOSE_DC_DN.html" TargetMode="External"/><Relationship Id="rId1292" Type="http://schemas.openxmlformats.org/officeDocument/2006/relationships/hyperlink" Target="http://www.broadinstitute.org/gsea/msigdb/cards/GO_DNA_INTEGRITY_CHECKPOINT.html" TargetMode="External"/><Relationship Id="rId1293" Type="http://schemas.openxmlformats.org/officeDocument/2006/relationships/hyperlink" Target="http://www.broadinstitute.org/gsea/msigdb/cards/GO_CELL_CYCLE_CHECKPOINT.html" TargetMode="External"/><Relationship Id="rId1294" Type="http://schemas.openxmlformats.org/officeDocument/2006/relationships/hyperlink" Target="http://www.broadinstitute.org/gsea/msigdb/cards/GO_PEPTIDYL_SERINE_MODIFICATION.html" TargetMode="External"/><Relationship Id="rId1295" Type="http://schemas.openxmlformats.org/officeDocument/2006/relationships/hyperlink" Target="http://www.broadinstitute.org/gsea/msigdb/cards/GO_DNA_CONFORMATION_CHANGE.html" TargetMode="External"/><Relationship Id="rId1296" Type="http://schemas.openxmlformats.org/officeDocument/2006/relationships/hyperlink" Target="http://www.broadinstitute.org/gsea/msigdb/cards/GO_POSITIVE_REGULATION_OF_CHROMOSOME_ORGANIZATION.html" TargetMode="External"/><Relationship Id="rId1297" Type="http://schemas.openxmlformats.org/officeDocument/2006/relationships/hyperlink" Target="http://www.broadinstitute.org/gsea/msigdb/cards/GO_N_TERMINAL_PROTEIN_AMINO_ACID_ACETYLATION.html" TargetMode="External"/><Relationship Id="rId1298" Type="http://schemas.openxmlformats.org/officeDocument/2006/relationships/hyperlink" Target="http://www.broadinstitute.org/gsea/msigdb/cards/GO_PEROXISOME_PROLIFERATOR_ACTIVATED_RECEPTOR_BINDING.html" TargetMode="External"/><Relationship Id="rId1299" Type="http://schemas.openxmlformats.org/officeDocument/2006/relationships/hyperlink" Target="http://www.broadinstitute.org/gsea/msigdb/cards/GO_CIRCULATORY_SYSTEM_DEVELOPMENT.html" TargetMode="External"/><Relationship Id="rId360" Type="http://schemas.openxmlformats.org/officeDocument/2006/relationships/hyperlink" Target="http://www.broadinstitute.org/gsea/msigdb/cards/PID_PDGFRB_PATHWAY.html" TargetMode="External"/><Relationship Id="rId361" Type="http://schemas.openxmlformats.org/officeDocument/2006/relationships/hyperlink" Target="http://www.broadinstitute.org/gsea/msigdb/cards/RAO_BOUND_BY_SALL4_ISOFORM_B.html" TargetMode="External"/><Relationship Id="rId362" Type="http://schemas.openxmlformats.org/officeDocument/2006/relationships/hyperlink" Target="http://www.broadinstitute.org/gsea/msigdb/cards/REACTOME_SIGNALING_BY_FGFR1_MUTANTS.html" TargetMode="External"/><Relationship Id="rId363" Type="http://schemas.openxmlformats.org/officeDocument/2006/relationships/hyperlink" Target="http://www.broadinstitute.org/gsea/msigdb/cards/TIEN_INTESTINE_PROBIOTICS_24HR_UP.html" TargetMode="External"/><Relationship Id="rId364" Type="http://schemas.openxmlformats.org/officeDocument/2006/relationships/hyperlink" Target="http://www.broadinstitute.org/gsea/msigdb/cards/BROWNE_HCMV_INFECTION_12HR_DN.html" TargetMode="External"/><Relationship Id="rId365" Type="http://schemas.openxmlformats.org/officeDocument/2006/relationships/hyperlink" Target="http://www.broadinstitute.org/gsea/msigdb/cards/KYNG_WERNER_SYNDROM_AND_NORMAL_AGING_DN.html" TargetMode="External"/><Relationship Id="rId366" Type="http://schemas.openxmlformats.org/officeDocument/2006/relationships/hyperlink" Target="http://www.broadinstitute.org/gsea/msigdb/cards/REACTOME_IMMUNE_SYSTEM.html" TargetMode="External"/><Relationship Id="rId367" Type="http://schemas.openxmlformats.org/officeDocument/2006/relationships/hyperlink" Target="http://www.broadinstitute.org/gsea/msigdb/cards/ROME_INSULIN_TARGETS_IN_MUSCLE_UP.html" TargetMode="External"/><Relationship Id="rId368" Type="http://schemas.openxmlformats.org/officeDocument/2006/relationships/hyperlink" Target="http://www.broadinstitute.org/gsea/msigdb/cards/DER_IFN_BETA_RESPONSE_UP.html" TargetMode="External"/><Relationship Id="rId369" Type="http://schemas.openxmlformats.org/officeDocument/2006/relationships/hyperlink" Target="http://www.broadinstitute.org/gsea/msigdb/cards/KEGG_NON_HOMOLOGOUS_END_JOINING.html" TargetMode="External"/><Relationship Id="rId2730" Type="http://schemas.openxmlformats.org/officeDocument/2006/relationships/hyperlink" Target="http://www.broadinstitute.org/gsea/msigdb/cards/GSE360_L_MAJOR_VS_M_TUBERCULOSIS_DC_DN.html" TargetMode="External"/><Relationship Id="rId2731" Type="http://schemas.openxmlformats.org/officeDocument/2006/relationships/hyperlink" Target="http://www.broadinstitute.org/gsea/msigdb/cards/GSE360_L_DONOVANI_VS_M_TUBERCULOSIS_MAC_UP.html" TargetMode="External"/><Relationship Id="rId2732" Type="http://schemas.openxmlformats.org/officeDocument/2006/relationships/hyperlink" Target="http://www.broadinstitute.org/gsea/msigdb/cards/GSE36392_TYPE_2_MYELOID_VS_MAC_IL25_TREATED_LUNG_DN.html" TargetMode="External"/><Relationship Id="rId2733" Type="http://schemas.openxmlformats.org/officeDocument/2006/relationships/hyperlink" Target="http://www.broadinstitute.org/gsea/msigdb/cards/GSE3982_CTRL_VS_IGE_STIM_MAST_CELL_UP.html" TargetMode="External"/><Relationship Id="rId2734" Type="http://schemas.openxmlformats.org/officeDocument/2006/relationships/hyperlink" Target="http://www.broadinstitute.org/gsea/msigdb/cards/GSE3982_EOSINOPHIL_VS_NEUTROPHIL_UP.html" TargetMode="External"/><Relationship Id="rId2735" Type="http://schemas.openxmlformats.org/officeDocument/2006/relationships/hyperlink" Target="http://www.broadinstitute.org/gsea/msigdb/cards/GSE3982_EOSINOPHIL_VS_BASOPHIL_DN.html" TargetMode="External"/><Relationship Id="rId2736" Type="http://schemas.openxmlformats.org/officeDocument/2006/relationships/hyperlink" Target="http://www.broadinstitute.org/gsea/msigdb/cards/GSE3982_EOSINOPHIL_VS_TH1_UP.html" TargetMode="External"/><Relationship Id="rId2737" Type="http://schemas.openxmlformats.org/officeDocument/2006/relationships/hyperlink" Target="http://www.broadinstitute.org/gsea/msigdb/cards/GSE3982_MAST_CELL_VS_NEUTROPHIL_UP.html" TargetMode="External"/><Relationship Id="rId2738" Type="http://schemas.openxmlformats.org/officeDocument/2006/relationships/hyperlink" Target="http://www.broadinstitute.org/gsea/msigdb/cards/GSE3982_MAST_CELL_VS_BASOPHIL_DN.html" TargetMode="External"/><Relationship Id="rId2739" Type="http://schemas.openxmlformats.org/officeDocument/2006/relationships/hyperlink" Target="http://www.broadinstitute.org/gsea/msigdb/cards/GSE3982_MAST_CELL_VS_TH2_DN.html" TargetMode="External"/><Relationship Id="rId370" Type="http://schemas.openxmlformats.org/officeDocument/2006/relationships/hyperlink" Target="http://www.broadinstitute.org/gsea/msigdb/cards/REACTOME_PROCESSING_OF_INTRONLESS_PRE_MRNAS.html" TargetMode="External"/><Relationship Id="rId371" Type="http://schemas.openxmlformats.org/officeDocument/2006/relationships/hyperlink" Target="http://www.broadinstitute.org/gsea/msigdb/cards/KYNG_DNA_DAMAGE_UP.html" TargetMode="External"/><Relationship Id="rId372" Type="http://schemas.openxmlformats.org/officeDocument/2006/relationships/hyperlink" Target="http://www.broadinstitute.org/gsea/msigdb/cards/PEART_HDAC_PROLIFERATION_CLUSTER_DN.html" TargetMode="External"/><Relationship Id="rId373" Type="http://schemas.openxmlformats.org/officeDocument/2006/relationships/hyperlink" Target="http://www.broadinstitute.org/gsea/msigdb/cards/KEGG_MTOR_SIGNALING_PATHWAY.html" TargetMode="External"/><Relationship Id="rId374" Type="http://schemas.openxmlformats.org/officeDocument/2006/relationships/hyperlink" Target="http://www.broadinstitute.org/gsea/msigdb/cards/PID_KIT_PATHWAY.html" TargetMode="External"/><Relationship Id="rId375" Type="http://schemas.openxmlformats.org/officeDocument/2006/relationships/hyperlink" Target="http://www.broadinstitute.org/gsea/msigdb/cards/KIM_MYCN_AMPLIFICATION_TARGETS_DN.html" TargetMode="External"/><Relationship Id="rId376" Type="http://schemas.openxmlformats.org/officeDocument/2006/relationships/hyperlink" Target="http://www.broadinstitute.org/gsea/msigdb/cards/KRIEG_HYPOXIA_NOT_VIA_KDM3A.html" TargetMode="External"/><Relationship Id="rId377" Type="http://schemas.openxmlformats.org/officeDocument/2006/relationships/hyperlink" Target="http://www.broadinstitute.org/gsea/msigdb/cards/MUELLER_PLURINET.html" TargetMode="External"/><Relationship Id="rId378" Type="http://schemas.openxmlformats.org/officeDocument/2006/relationships/hyperlink" Target="http://www.broadinstitute.org/gsea/msigdb/cards/PURBEY_TARGETS_OF_CTBP1_NOT_SATB1_DN.html" TargetMode="External"/><Relationship Id="rId379" Type="http://schemas.openxmlformats.org/officeDocument/2006/relationships/hyperlink" Target="http://www.broadinstitute.org/gsea/msigdb/cards/PID_AR_TF_PATHWAY.html" TargetMode="External"/><Relationship Id="rId2740" Type="http://schemas.openxmlformats.org/officeDocument/2006/relationships/hyperlink" Target="http://www.broadinstitute.org/gsea/msigdb/cards/GSE3982_DC_VS_MAC_UP.html" TargetMode="External"/><Relationship Id="rId2741" Type="http://schemas.openxmlformats.org/officeDocument/2006/relationships/hyperlink" Target="http://www.broadinstitute.org/gsea/msigdb/cards/GSE3982_DC_VS_NEUTROPHIL_UP.html" TargetMode="External"/><Relationship Id="rId2742" Type="http://schemas.openxmlformats.org/officeDocument/2006/relationships/hyperlink" Target="http://www.broadinstitute.org/gsea/msigdb/cards/GSE3982_DC_VS_CENT_MEMORY_CD4_TCELL_DN.html" TargetMode="External"/><Relationship Id="rId2743" Type="http://schemas.openxmlformats.org/officeDocument/2006/relationships/hyperlink" Target="http://www.broadinstitute.org/gsea/msigdb/cards/GSE3982_MAC_VS_BCELL_DN.html" TargetMode="External"/><Relationship Id="rId2744" Type="http://schemas.openxmlformats.org/officeDocument/2006/relationships/hyperlink" Target="http://www.broadinstitute.org/gsea/msigdb/cards/GSE3982_MAC_VS_EFF_MEMORY_CD4_TCELL_DN.html" TargetMode="External"/><Relationship Id="rId2745" Type="http://schemas.openxmlformats.org/officeDocument/2006/relationships/hyperlink" Target="http://www.broadinstitute.org/gsea/msigdb/cards/GSE3982_NEUTROPHIL_VS_NKCELL_DN.html" TargetMode="External"/><Relationship Id="rId2746" Type="http://schemas.openxmlformats.org/officeDocument/2006/relationships/hyperlink" Target="http://www.broadinstitute.org/gsea/msigdb/cards/GSE3982_BCELL_VS_CENT_MEMORY_CD4_TCELL_DN.html" TargetMode="External"/><Relationship Id="rId2747" Type="http://schemas.openxmlformats.org/officeDocument/2006/relationships/hyperlink" Target="http://www.broadinstitute.org/gsea/msigdb/cards/GSE39820_TGFBETA3_IL6_VS_TGFBETA3_IL6_IL23A_TREATED_CD4_TCELL_UP.html" TargetMode="External"/><Relationship Id="rId2748" Type="http://schemas.openxmlformats.org/officeDocument/2006/relationships/hyperlink" Target="http://www.broadinstitute.org/gsea/msigdb/cards/GSE39820_TGFBETA1_VS_TGFBETA3_IN_IL6_IL23A_TREATED_CD4_TCELL_UP.html" TargetMode="External"/><Relationship Id="rId2749" Type="http://schemas.openxmlformats.org/officeDocument/2006/relationships/hyperlink" Target="http://www.broadinstitute.org/gsea/msigdb/cards/GSE5960_TH1_VS_ANERGIC_TH1_UP.html" TargetMode="External"/><Relationship Id="rId2200" Type="http://schemas.openxmlformats.org/officeDocument/2006/relationships/hyperlink" Target="http://www.broadinstitute.org/gsea/msigdb/cards/GSE17721_0.5H_VS_12H_LPS_BMDC_DN.html" TargetMode="External"/><Relationship Id="rId2201" Type="http://schemas.openxmlformats.org/officeDocument/2006/relationships/hyperlink" Target="http://www.broadinstitute.org/gsea/msigdb/cards/GSE17974_2H_VS_72H_UNTREATED_IN_VITRO_CD4_TCELL_UP.html" TargetMode="External"/><Relationship Id="rId2202" Type="http://schemas.openxmlformats.org/officeDocument/2006/relationships/hyperlink" Target="http://www.broadinstitute.org/gsea/msigdb/cards/GSE17974_1.5H_VS_72H_IL4_AND_ANTI_IL12_ACT_CD4_TCELL_UP.html" TargetMode="External"/><Relationship Id="rId2203" Type="http://schemas.openxmlformats.org/officeDocument/2006/relationships/hyperlink" Target="http://www.broadinstitute.org/gsea/msigdb/cards/GSE18791_CTRL_VS_NEWCASTLE_VIRUS_DC_18H_UP.html" TargetMode="External"/><Relationship Id="rId2204" Type="http://schemas.openxmlformats.org/officeDocument/2006/relationships/hyperlink" Target="http://www.broadinstitute.org/gsea/msigdb/cards/GSE19825_NAIVE_VS_IL2RALOW_DAY3_EFF_CD8_TCELL_DN.html" TargetMode="External"/><Relationship Id="rId2205" Type="http://schemas.openxmlformats.org/officeDocument/2006/relationships/hyperlink" Target="http://www.broadinstitute.org/gsea/msigdb/cards/GSE20366_EX_VIVO_VS_DEC205_CONVERSION_DN.html" TargetMode="External"/><Relationship Id="rId2206" Type="http://schemas.openxmlformats.org/officeDocument/2006/relationships/hyperlink" Target="http://www.broadinstitute.org/gsea/msigdb/cards/GSE22886_DAY1_VS_DAY7_MONOCYTE_IN_CULTURE_UP.html" TargetMode="External"/><Relationship Id="rId2207" Type="http://schemas.openxmlformats.org/officeDocument/2006/relationships/hyperlink" Target="http://www.broadinstitute.org/gsea/msigdb/cards/GSE22886_NAIVE_CD4_TCELL_VS_12H_ACT_TH1_UP.html" TargetMode="External"/><Relationship Id="rId2208" Type="http://schemas.openxmlformats.org/officeDocument/2006/relationships/hyperlink" Target="http://www.broadinstitute.org/gsea/msigdb/cards/GSE22886_UNSTIM_VS_IL2_STIM_NKCELL_UP.html" TargetMode="External"/><Relationship Id="rId2209" Type="http://schemas.openxmlformats.org/officeDocument/2006/relationships/hyperlink" Target="http://www.broadinstitute.org/gsea/msigdb/cards/GSE27786_LIN_NEG_VS_CD4_TCELL_DN.html" TargetMode="External"/><Relationship Id="rId1500" Type="http://schemas.openxmlformats.org/officeDocument/2006/relationships/hyperlink" Target="http://www.broadinstitute.org/gsea/msigdb/cards/GO_RNA_HELICASE_ACTIVITY.html" TargetMode="External"/><Relationship Id="rId1501" Type="http://schemas.openxmlformats.org/officeDocument/2006/relationships/hyperlink" Target="http://www.broadinstitute.org/gsea/msigdb/cards/GO_P53_BINDING.html" TargetMode="External"/><Relationship Id="rId1502" Type="http://schemas.openxmlformats.org/officeDocument/2006/relationships/hyperlink" Target="http://www.broadinstitute.org/gsea/msigdb/cards/GO_MEMBRANE_DISASSEMBLY.html" TargetMode="External"/><Relationship Id="rId1503" Type="http://schemas.openxmlformats.org/officeDocument/2006/relationships/hyperlink" Target="http://www.broadinstitute.org/gsea/msigdb/cards/GO_POSITIVE_REGULATION_OF_TELOMERE_MAINTENANCE.html" TargetMode="External"/><Relationship Id="rId1504" Type="http://schemas.openxmlformats.org/officeDocument/2006/relationships/hyperlink" Target="http://www.broadinstitute.org/gsea/msigdb/cards/GO_RIBOSOME_BINDING.html" TargetMode="External"/><Relationship Id="rId1505" Type="http://schemas.openxmlformats.org/officeDocument/2006/relationships/hyperlink" Target="http://www.broadinstitute.org/gsea/msigdb/cards/GO_POSITIVE_REGULATION_OF_PROTEIN_COMPLEX_ASSEMBLY.html" TargetMode="External"/><Relationship Id="rId1506" Type="http://schemas.openxmlformats.org/officeDocument/2006/relationships/hyperlink" Target="http://www.broadinstitute.org/gsea/msigdb/cards/GO_RNA_POLYMERASE_II_TRANSCRIPTION_COFACTOR_ACTIVITY.html" TargetMode="External"/><Relationship Id="rId1507" Type="http://schemas.openxmlformats.org/officeDocument/2006/relationships/hyperlink" Target="http://www.broadinstitute.org/gsea/msigdb/cards/GO_CYTOSKELETON_DEPENDENT_INTRACELLULAR_TRANSPORT.html" TargetMode="External"/><Relationship Id="rId1508" Type="http://schemas.openxmlformats.org/officeDocument/2006/relationships/hyperlink" Target="http://www.broadinstitute.org/gsea/msigdb/cards/GO_MRNA_3_UTR_BINDING.html" TargetMode="External"/><Relationship Id="rId1509" Type="http://schemas.openxmlformats.org/officeDocument/2006/relationships/hyperlink" Target="http://www.broadinstitute.org/gsea/msigdb/cards/GO_RAS_PROTEIN_SIGNAL_TRANSDUCTION.html" TargetMode="External"/><Relationship Id="rId380" Type="http://schemas.openxmlformats.org/officeDocument/2006/relationships/hyperlink" Target="http://www.broadinstitute.org/gsea/msigdb/cards/REACTOME_CIRCADIAN_CLOCK.html" TargetMode="External"/><Relationship Id="rId381" Type="http://schemas.openxmlformats.org/officeDocument/2006/relationships/hyperlink" Target="http://www.broadinstitute.org/gsea/msigdb/cards/PID_ERBB1_DOWNSTREAM_PATHWAY.html" TargetMode="External"/><Relationship Id="rId382" Type="http://schemas.openxmlformats.org/officeDocument/2006/relationships/hyperlink" Target="http://www.broadinstitute.org/gsea/msigdb/cards/REACTOME_RNA_POL_II_TRANSCRIPTION.html" TargetMode="External"/><Relationship Id="rId383" Type="http://schemas.openxmlformats.org/officeDocument/2006/relationships/hyperlink" Target="http://www.broadinstitute.org/gsea/msigdb/cards/REACTOME_CD28_CO_STIMULATION.html" TargetMode="External"/><Relationship Id="rId384" Type="http://schemas.openxmlformats.org/officeDocument/2006/relationships/hyperlink" Target="http://www.broadinstitute.org/gsea/msigdb/cards/SCHLOSSER_SERUM_RESPONSE_UP.html" TargetMode="External"/><Relationship Id="rId385" Type="http://schemas.openxmlformats.org/officeDocument/2006/relationships/hyperlink" Target="http://www.broadinstitute.org/gsea/msigdb/cards/PASQUALUCCI_LYMPHOMA_BY_GC_STAGE_DN.html" TargetMode="External"/><Relationship Id="rId386" Type="http://schemas.openxmlformats.org/officeDocument/2006/relationships/hyperlink" Target="http://www.broadinstitute.org/gsea/msigdb/cards/BLALOCK_ALZHEIMERS_DISEASE_INCIPIENT_DN.html" TargetMode="External"/><Relationship Id="rId387" Type="http://schemas.openxmlformats.org/officeDocument/2006/relationships/hyperlink" Target="http://www.broadinstitute.org/gsea/msigdb/cards/PENG_GLUTAMINE_DEPRIVATION_DN.html" TargetMode="External"/><Relationship Id="rId388" Type="http://schemas.openxmlformats.org/officeDocument/2006/relationships/hyperlink" Target="http://www.broadinstitute.org/gsea/msigdb/cards/BIOCARTA_HIF_PATHWAY.html" TargetMode="External"/><Relationship Id="rId389" Type="http://schemas.openxmlformats.org/officeDocument/2006/relationships/hyperlink" Target="http://www.broadinstitute.org/gsea/msigdb/cards/REACTOME_MRNA_DECAY_BY_5_TO_3_EXORIBONUCLEASE.html" TargetMode="External"/><Relationship Id="rId2750" Type="http://schemas.openxmlformats.org/officeDocument/2006/relationships/hyperlink" Target="http://www.broadinstitute.org/gsea/msigdb/cards/GSE7460_TREG_VS_TCONV_ACT_UP.html" TargetMode="External"/><Relationship Id="rId2751" Type="http://schemas.openxmlformats.org/officeDocument/2006/relationships/hyperlink" Target="http://www.broadinstitute.org/gsea/msigdb/cards/GSE7460_CTRL_VS_TGFB_TREATED_ACT_FOXP3_HET_TCONV_UP.html" TargetMode="External"/><Relationship Id="rId2752" Type="http://schemas.openxmlformats.org/officeDocument/2006/relationships/hyperlink" Target="http://www.broadinstitute.org/gsea/msigdb/cards/GSE7460_FOXP3_MUT_VS_WT_ACT_WITH_TGFB_TCONV_UP.html" TargetMode="External"/><Relationship Id="rId2753" Type="http://schemas.openxmlformats.org/officeDocument/2006/relationships/hyperlink" Target="http://www.broadinstitute.org/gsea/msigdb/cards/GSE7460_FOXP3_MUT_VS_HET_ACT_TCONV_DN.html" TargetMode="External"/><Relationship Id="rId2754" Type="http://schemas.openxmlformats.org/officeDocument/2006/relationships/hyperlink" Target="http://www.broadinstitute.org/gsea/msigdb/cards/GSE7460_WT_VS_FOXP3_HET_ACT_WITH_TGFB_TCONV_DN.html" TargetMode="External"/><Relationship Id="rId2755" Type="http://schemas.openxmlformats.org/officeDocument/2006/relationships/hyperlink" Target="http://www.broadinstitute.org/gsea/msigdb/cards/GSE9006_TYPE_1_DIABETES_AT_DX_VS_1MONTH_POST_DX_PBMC_UP.html" TargetMode="External"/><Relationship Id="rId2756" Type="http://schemas.openxmlformats.org/officeDocument/2006/relationships/hyperlink" Target="http://www.broadinstitute.org/gsea/msigdb/cards/GSE9037_WT_VS_IRAK4_KO_LPS_1H_STIM_BMDM_UP.html" TargetMode="External"/><Relationship Id="rId2757" Type="http://schemas.openxmlformats.org/officeDocument/2006/relationships/hyperlink" Target="http://www.broadinstitute.org/gsea/msigdb/cards/GSE9037_WT_VS_IRAK4_KO_LPS_4H_STIM_BMDM_UP.html" TargetMode="External"/><Relationship Id="rId2758" Type="http://schemas.openxmlformats.org/officeDocument/2006/relationships/hyperlink" Target="http://www.broadinstitute.org/gsea/msigdb/cards/GSE9988_LOW_LPS_VS_VEHICLE_TREATED_MONOCYTE_DN.html" TargetMode="External"/><Relationship Id="rId2759" Type="http://schemas.openxmlformats.org/officeDocument/2006/relationships/hyperlink" Target="http://www.broadinstitute.org/gsea/msigdb/cards/GSE411_UNSTIM_VS_400MIN_IL6_STIM_MACROPHAGE_DN.html" TargetMode="External"/><Relationship Id="rId2210" Type="http://schemas.openxmlformats.org/officeDocument/2006/relationships/hyperlink" Target="http://www.broadinstitute.org/gsea/msigdb/cards/GSE27786_BCELL_VS_CD4_TCELL_UP.html" TargetMode="External"/><Relationship Id="rId2211" Type="http://schemas.openxmlformats.org/officeDocument/2006/relationships/hyperlink" Target="http://www.broadinstitute.org/gsea/msigdb/cards/GSE27786_NKCELL_VS_MONO_MAC_UP.html" TargetMode="External"/><Relationship Id="rId2212" Type="http://schemas.openxmlformats.org/officeDocument/2006/relationships/hyperlink" Target="http://www.broadinstitute.org/gsea/msigdb/cards/GSE29618_PRE_VS_DAY7_POST_LAIV_FLU_VACCINE_MONOCYTE_DN.html" TargetMode="External"/><Relationship Id="rId2213" Type="http://schemas.openxmlformats.org/officeDocument/2006/relationships/hyperlink" Target="http://www.broadinstitute.org/gsea/msigdb/cards/GSE29618_PRE_VS_DAY7_POST_TIV_FLU_VACCINE_PDC_DN.html" TargetMode="External"/><Relationship Id="rId2214" Type="http://schemas.openxmlformats.org/officeDocument/2006/relationships/hyperlink" Target="http://www.broadinstitute.org/gsea/msigdb/cards/GSE360_DC_VS_MAC_L_MAJOR_DN.html" TargetMode="External"/><Relationship Id="rId2215" Type="http://schemas.openxmlformats.org/officeDocument/2006/relationships/hyperlink" Target="http://www.broadinstitute.org/gsea/msigdb/cards/GSE360_L_MAJOR_VS_B_MALAYI_LOW_DOSE_DC_DN.html" TargetMode="External"/><Relationship Id="rId2216" Type="http://schemas.openxmlformats.org/officeDocument/2006/relationships/hyperlink" Target="http://www.broadinstitute.org/gsea/msigdb/cards/GSE37416_CTRL_VS_6H_F_TULARENSIS_LVS_NEUTROPHIL_UP.html" TargetMode="External"/><Relationship Id="rId2217" Type="http://schemas.openxmlformats.org/officeDocument/2006/relationships/hyperlink" Target="http://www.broadinstitute.org/gsea/msigdb/cards/GSE37416_CTRL_VS_24H_F_TULARENSIS_LVS_NEUTROPHIL_DN.html" TargetMode="External"/><Relationship Id="rId2218" Type="http://schemas.openxmlformats.org/officeDocument/2006/relationships/hyperlink" Target="http://www.broadinstitute.org/gsea/msigdb/cards/GSE3982_CTRL_VS_LPS_1H_NEUTROPHIL_UP.html" TargetMode="External"/><Relationship Id="rId2219" Type="http://schemas.openxmlformats.org/officeDocument/2006/relationships/hyperlink" Target="http://www.broadinstitute.org/gsea/msigdb/cards/GSE3982_NEUTROPHIL_VS_TH2_UP.html" TargetMode="External"/><Relationship Id="rId1510" Type="http://schemas.openxmlformats.org/officeDocument/2006/relationships/hyperlink" Target="http://www.broadinstitute.org/gsea/msigdb/cards/GO_NEGATIVE_REGULATION_OF_DNA_DEPENDENT_DNA_REPLICATION.html" TargetMode="External"/><Relationship Id="rId1511" Type="http://schemas.openxmlformats.org/officeDocument/2006/relationships/hyperlink" Target="http://www.broadinstitute.org/gsea/msigdb/cards/GO_ESTABLISHMENT_OF_PROTEIN_LOCALIZATION_TO_ORGANELLE.html" TargetMode="External"/><Relationship Id="rId1512" Type="http://schemas.openxmlformats.org/officeDocument/2006/relationships/hyperlink" Target="http://www.broadinstitute.org/gsea/msigdb/cards/GO_NEGATIVE_REGULATION_OF_CYTOPLASMIC_TRANSPORT.html" TargetMode="External"/><Relationship Id="rId1513" Type="http://schemas.openxmlformats.org/officeDocument/2006/relationships/hyperlink" Target="http://www.broadinstitute.org/gsea/msigdb/cards/GO_POSITIVE_REGULATION_OF_NEURON_PROJECTION_DEVELOPMENT.html" TargetMode="External"/><Relationship Id="rId1514" Type="http://schemas.openxmlformats.org/officeDocument/2006/relationships/hyperlink" Target="http://www.broadinstitute.org/gsea/msigdb/cards/GO_CYCLIN_DEPENDENT_PROTEIN_KINASE_HOLOENZYME_COMPLEX.html" TargetMode="External"/><Relationship Id="rId1515" Type="http://schemas.openxmlformats.org/officeDocument/2006/relationships/hyperlink" Target="http://www.broadinstitute.org/gsea/msigdb/cards/GO_REGULATION_OF_PEPTIDYL_SERINE_PHOSPHORYLATION.html" TargetMode="External"/><Relationship Id="rId1516" Type="http://schemas.openxmlformats.org/officeDocument/2006/relationships/hyperlink" Target="http://www.broadinstitute.org/gsea/msigdb/cards/GO_MICROTUBULE_ASSOCIATED_COMPLEX.html" TargetMode="External"/><Relationship Id="rId1517" Type="http://schemas.openxmlformats.org/officeDocument/2006/relationships/hyperlink" Target="http://www.broadinstitute.org/gsea/msigdb/cards/GO_REGULATION_OF_KINASE_ACTIVITY.html" TargetMode="External"/><Relationship Id="rId1518" Type="http://schemas.openxmlformats.org/officeDocument/2006/relationships/hyperlink" Target="http://www.broadinstitute.org/gsea/msigdb/cards/GO_NEURON_PROJECTION_DEVELOPMENT.html" TargetMode="External"/><Relationship Id="rId1519" Type="http://schemas.openxmlformats.org/officeDocument/2006/relationships/hyperlink" Target="http://www.broadinstitute.org/gsea/msigdb/cards/GO_INTRACELLULAR_STEROID_HORMONE_RECEPTOR_SIGNALING_PATHWAY.html" TargetMode="External"/><Relationship Id="rId390" Type="http://schemas.openxmlformats.org/officeDocument/2006/relationships/hyperlink" Target="http://www.broadinstitute.org/gsea/msigdb/cards/GOBERT_OLIGODENDROCYTE_DIFFERENTIATION_UP.html" TargetMode="External"/><Relationship Id="rId391" Type="http://schemas.openxmlformats.org/officeDocument/2006/relationships/hyperlink" Target="http://www.broadinstitute.org/gsea/msigdb/cards/MARIADASON_REGULATED_BY_HISTONE_ACETYLATION_DN.html" TargetMode="External"/><Relationship Id="rId392" Type="http://schemas.openxmlformats.org/officeDocument/2006/relationships/hyperlink" Target="http://www.broadinstitute.org/gsea/msigdb/cards/WAMUNYOKOLI_OVARIAN_CANCER_LMP_DN.html" TargetMode="External"/><Relationship Id="rId393" Type="http://schemas.openxmlformats.org/officeDocument/2006/relationships/hyperlink" Target="http://www.broadinstitute.org/gsea/msigdb/cards/OSWALD_HEMATOPOIETIC_STEM_CELL_IN_COLLAGEN_GEL_UP.html" TargetMode="External"/><Relationship Id="rId394" Type="http://schemas.openxmlformats.org/officeDocument/2006/relationships/hyperlink" Target="http://www.broadinstitute.org/gsea/msigdb/cards/TIEN_INTESTINE_PROBIOTICS_6HR_DN.html" TargetMode="External"/><Relationship Id="rId395" Type="http://schemas.openxmlformats.org/officeDocument/2006/relationships/hyperlink" Target="http://www.broadinstitute.org/gsea/msigdb/cards/FERREIRA_EWINGS_SARCOMA_UNSTABLE_VS_STABLE_UP.html" TargetMode="External"/><Relationship Id="rId396" Type="http://schemas.openxmlformats.org/officeDocument/2006/relationships/hyperlink" Target="http://www.broadinstitute.org/gsea/msigdb/cards/PID_NCADHERIN_PATHWAY.html" TargetMode="External"/><Relationship Id="rId397" Type="http://schemas.openxmlformats.org/officeDocument/2006/relationships/hyperlink" Target="http://www.broadinstitute.org/gsea/msigdb/cards/PID_MET_PATHWAY.html" TargetMode="External"/><Relationship Id="rId398" Type="http://schemas.openxmlformats.org/officeDocument/2006/relationships/hyperlink" Target="http://www.broadinstitute.org/gsea/msigdb/cards/LAU_APOPTOSIS_CDKN2A_UP.html" TargetMode="External"/><Relationship Id="rId399" Type="http://schemas.openxmlformats.org/officeDocument/2006/relationships/hyperlink" Target="http://www.broadinstitute.org/gsea/msigdb/cards/PEREZ_TP53_TARGETS.html" TargetMode="External"/><Relationship Id="rId2760" Type="http://schemas.openxmlformats.org/officeDocument/2006/relationships/hyperlink" Target="http://www.broadinstitute.org/gsea/msigdb/cards/GSE411_100MIN_VS_400MIN_IL6_STIM_MACROPHAGE_DN.html" TargetMode="External"/><Relationship Id="rId2761" Type="http://schemas.openxmlformats.org/officeDocument/2006/relationships/hyperlink" Target="http://www.broadinstitute.org/gsea/msigdb/cards/GSE557_WT_VS_I_AB_KO_DC_UP.html" TargetMode="External"/><Relationship Id="rId2762" Type="http://schemas.openxmlformats.org/officeDocument/2006/relationships/hyperlink" Target="http://www.broadinstitute.org/gsea/msigdb/cards/GSE2770_TGFB_AND_IL4_ACT_VS_ACT_CD4_TCELL_2H_UP.html" TargetMode="External"/><Relationship Id="rId2763" Type="http://schemas.openxmlformats.org/officeDocument/2006/relationships/hyperlink" Target="http://www.broadinstitute.org/gsea/msigdb/cards/GSE1791_CTRL_VS_NEUROMEDINU_IN_T_CELL_LINE_6H_UP.html" TargetMode="External"/><Relationship Id="rId2764" Type="http://schemas.openxmlformats.org/officeDocument/2006/relationships/hyperlink" Target="http://www.broadinstitute.org/gsea/msigdb/cards/GSE2405_HEAT_KILLED_LYSATE_VS_LIVE_A_PHAGOCYTOPHILUM_STIM_NEUTROPHIL_24H_DN.html" TargetMode="External"/><Relationship Id="rId2765" Type="http://schemas.openxmlformats.org/officeDocument/2006/relationships/hyperlink" Target="http://www.broadinstitute.org/gsea/msigdb/cards/GSE1566_WT_VS_EZH2_KO_LN_TCELL_DN.html" TargetMode="External"/><Relationship Id="rId2766" Type="http://schemas.openxmlformats.org/officeDocument/2006/relationships/hyperlink" Target="http://www.broadinstitute.org/gsea/msigdb/cards/GSE2585_CTEC_VS_THYMIC_MACROPHAGE_DN.html" TargetMode="External"/><Relationship Id="rId2767" Type="http://schemas.openxmlformats.org/officeDocument/2006/relationships/hyperlink" Target="http://www.broadinstitute.org/gsea/msigdb/cards/GSE1925_3H_VS_24H_IFNG_STIM_IFNG_PRIMED_MACROPHAGE_DN.html" TargetMode="External"/><Relationship Id="rId2768" Type="http://schemas.openxmlformats.org/officeDocument/2006/relationships/hyperlink" Target="http://www.broadinstitute.org/gsea/msigdb/cards/GSE3720_LPS_VS_PMA_STIM_VD2_GAMMADELTA_TCELL_UP.html" TargetMode="External"/><Relationship Id="rId2769" Type="http://schemas.openxmlformats.org/officeDocument/2006/relationships/hyperlink" Target="http://www.broadinstitute.org/gsea/msigdb/cards/GSE3994_WT_VS_PAC1_KO_ACTIVATED_MAST_CELL_DN.html" TargetMode="External"/><Relationship Id="rId2220" Type="http://schemas.openxmlformats.org/officeDocument/2006/relationships/hyperlink" Target="http://www.broadinstitute.org/gsea/msigdb/cards/GSE3982_NEUTROPHIL_VS_TH2_DN.html" TargetMode="External"/><Relationship Id="rId2221" Type="http://schemas.openxmlformats.org/officeDocument/2006/relationships/hyperlink" Target="http://www.broadinstitute.org/gsea/msigdb/cards/GSE3982_EFF_MEMORY_CD4_TCELL_VS_TH2_UP.html" TargetMode="External"/><Relationship Id="rId2222" Type="http://schemas.openxmlformats.org/officeDocument/2006/relationships/hyperlink" Target="http://www.broadinstitute.org/gsea/msigdb/cards/GSE7460_CTRL_VS_TGFB_TREATED_ACT_CD8_TCELL_DN.html" TargetMode="External"/><Relationship Id="rId2223" Type="http://schemas.openxmlformats.org/officeDocument/2006/relationships/hyperlink" Target="http://www.broadinstitute.org/gsea/msigdb/cards/GSE8868_SPLEEN_VS_INTESTINE_CD11B_POS_CD11C_NEG_DC_UP.html" TargetMode="External"/><Relationship Id="rId2224" Type="http://schemas.openxmlformats.org/officeDocument/2006/relationships/hyperlink" Target="http://www.broadinstitute.org/gsea/msigdb/cards/GSE9037_WT_VS_IRAK4_KO_BMDM_UP.html" TargetMode="External"/><Relationship Id="rId2225" Type="http://schemas.openxmlformats.org/officeDocument/2006/relationships/hyperlink" Target="http://www.broadinstitute.org/gsea/msigdb/cards/GSE9988_ANTI_TREM1_AND_LPS_VS_CTRL_TREATED_MONOCYTES_DN.html" TargetMode="External"/><Relationship Id="rId2226" Type="http://schemas.openxmlformats.org/officeDocument/2006/relationships/hyperlink" Target="http://www.broadinstitute.org/gsea/msigdb/cards/GSE411_UNSTIM_VS_400MIN_IL6_STIM_SOCS3_KO_MACROPHAGE_DN.html" TargetMode="External"/><Relationship Id="rId2227" Type="http://schemas.openxmlformats.org/officeDocument/2006/relationships/hyperlink" Target="http://www.broadinstitute.org/gsea/msigdb/cards/GSE411_UNSTIM_VS_100MIN_IL6_STIM_SOCS3_KO_MACROPHAGE_UP.html" TargetMode="External"/><Relationship Id="rId2228" Type="http://schemas.openxmlformats.org/officeDocument/2006/relationships/hyperlink" Target="http://www.broadinstitute.org/gsea/msigdb/cards/GSE2770_IL12_VS_TGFB_AND_IL12_TREATED_ACT_CD4_TCELL_6H_DN.html" TargetMode="External"/><Relationship Id="rId2229" Type="http://schemas.openxmlformats.org/officeDocument/2006/relationships/hyperlink" Target="http://www.broadinstitute.org/gsea/msigdb/cards/GSE2770_TGFB_AND_IL4_ACT_VS_ACT_CD4_TCELL_6H_DN.html" TargetMode="External"/><Relationship Id="rId1520" Type="http://schemas.openxmlformats.org/officeDocument/2006/relationships/hyperlink" Target="http://www.broadinstitute.org/gsea/msigdb/cards/GO_NEGATIVE_REGULATION_OF_NUCLEOCYTOPLASMIC_TRANSPORT.html" TargetMode="External"/><Relationship Id="rId1521" Type="http://schemas.openxmlformats.org/officeDocument/2006/relationships/hyperlink" Target="http://www.broadinstitute.org/gsea/msigdb/cards/GO_REGULATION_OF_TELOMERE_MAINTENANCE_VIA_TELOMERE_LENGTHENING.html" TargetMode="External"/><Relationship Id="rId1522" Type="http://schemas.openxmlformats.org/officeDocument/2006/relationships/hyperlink" Target="http://www.broadinstitute.org/gsea/msigdb/cards/GO_REGULATION_OF_INTRACELLULAR_TRANSPORT.html" TargetMode="External"/><Relationship Id="rId1523" Type="http://schemas.openxmlformats.org/officeDocument/2006/relationships/hyperlink" Target="http://www.broadinstitute.org/gsea/msigdb/cards/GO_REGULATION_OF_CHROMATIN_BINDING.html" TargetMode="External"/><Relationship Id="rId1524" Type="http://schemas.openxmlformats.org/officeDocument/2006/relationships/hyperlink" Target="http://www.broadinstitute.org/gsea/msigdb/cards/GO_CELLULAR_RESPONSE_TO_ORGANIC_SUBSTANCE.html" TargetMode="External"/><Relationship Id="rId1525" Type="http://schemas.openxmlformats.org/officeDocument/2006/relationships/hyperlink" Target="http://www.broadinstitute.org/gsea/msigdb/cards/GO_REGULATION_OF_TRANSCRIPTION_FROM_RNA_POLYMERASE_II_PROMOTER_IN_RESPONSE_TO_HYPOXIA.html" TargetMode="External"/><Relationship Id="rId1526" Type="http://schemas.openxmlformats.org/officeDocument/2006/relationships/hyperlink" Target="http://www.broadinstitute.org/gsea/msigdb/cards/GO_MEMBRANE_ORGANIZATION.html" TargetMode="External"/><Relationship Id="rId1527" Type="http://schemas.openxmlformats.org/officeDocument/2006/relationships/hyperlink" Target="http://www.broadinstitute.org/gsea/msigdb/cards/GO_CENTROSOME_DUPLICATION.html" TargetMode="External"/><Relationship Id="rId1528" Type="http://schemas.openxmlformats.org/officeDocument/2006/relationships/hyperlink" Target="http://www.broadinstitute.org/gsea/msigdb/cards/GO_DEVELOPMENTAL_GROWTH.html" TargetMode="External"/><Relationship Id="rId1529" Type="http://schemas.openxmlformats.org/officeDocument/2006/relationships/hyperlink" Target="http://www.broadinstitute.org/gsea/msigdb/cards/GO_PROTEIN_DNA_COMPLEX.html" TargetMode="External"/><Relationship Id="rId2770" Type="http://schemas.openxmlformats.org/officeDocument/2006/relationships/hyperlink" Target="http://www.broadinstitute.org/gsea/msigdb/cards/GSE4142_PLASMA_CELL_VS_GC_BCELL_UP.html" TargetMode="External"/><Relationship Id="rId2771" Type="http://schemas.openxmlformats.org/officeDocument/2006/relationships/hyperlink" Target="http://www.broadinstitute.org/gsea/msigdb/cards/GSE3039_CD4_TCELL_VS_NKT_CELL_UP.html" TargetMode="External"/><Relationship Id="rId2772" Type="http://schemas.openxmlformats.org/officeDocument/2006/relationships/hyperlink" Target="http://www.broadinstitute.org/gsea/msigdb/cards/GSE4984_GALECTIN1_VS_VEHICLE_CTRL_TREATED_DC_DN.html" TargetMode="External"/><Relationship Id="rId2773" Type="http://schemas.openxmlformats.org/officeDocument/2006/relationships/hyperlink" Target="http://www.broadinstitute.org/gsea/msigdb/cards/GSE5542_IFNG_VS_IFNA_TREATED_EPITHELIAL_CELLS_6H_UP.html" TargetMode="External"/><Relationship Id="rId2774" Type="http://schemas.openxmlformats.org/officeDocument/2006/relationships/hyperlink" Target="http://www.broadinstitute.org/gsea/msigdb/cards/GSE5099_UNSTIM_VS_MCSF_TREATED_MONOCYTE_DAY3_UP.html" TargetMode="External"/><Relationship Id="rId2775" Type="http://schemas.openxmlformats.org/officeDocument/2006/relationships/hyperlink" Target="http://www.broadinstitute.org/gsea/msigdb/cards/GSE5099_CLASSICAL_M1_VS_ALTERNATIVE_M2_MACROPHAGE_DN.html" TargetMode="External"/><Relationship Id="rId2776" Type="http://schemas.openxmlformats.org/officeDocument/2006/relationships/hyperlink" Target="http://www.broadinstitute.org/gsea/msigdb/cards/GSE5589_UNSTIM_VS_180MIN_LPS_STIM_MACROPHAGE_UP.html" TargetMode="External"/><Relationship Id="rId2777" Type="http://schemas.openxmlformats.org/officeDocument/2006/relationships/hyperlink" Target="http://www.broadinstitute.org/gsea/msigdb/cards/GSE5589_LPS_VS_LPS_AND_IL6_STIM_MACROPHAGE_45MIN_DN.html" TargetMode="External"/><Relationship Id="rId2778" Type="http://schemas.openxmlformats.org/officeDocument/2006/relationships/hyperlink" Target="http://www.broadinstitute.org/gsea/msigdb/cards/GSE5589_WT_VS_IL6_KO_LPS_AND_IL10_STIM_MACROPHAGE_45MIN_UP.html" TargetMode="External"/><Relationship Id="rId2779" Type="http://schemas.openxmlformats.org/officeDocument/2006/relationships/hyperlink" Target="http://www.broadinstitute.org/gsea/msigdb/cards/GSE6092_UNSTIM_VS_IFNG_STIM_AND_B_BURGDORFERI_INF_ENDOTHELIAL_CELL_UP.html" TargetMode="External"/><Relationship Id="rId2230" Type="http://schemas.openxmlformats.org/officeDocument/2006/relationships/hyperlink" Target="http://www.broadinstitute.org/gsea/msigdb/cards/GSE1791_CTRL_VS_NEUROMEDINU_IN_T_CELL_LINE_6H_DN.html" TargetMode="External"/><Relationship Id="rId2231" Type="http://schemas.openxmlformats.org/officeDocument/2006/relationships/hyperlink" Target="http://www.broadinstitute.org/gsea/msigdb/cards/GSE3691_IFN_PRODUCING_KILLER_DC_VS_PLASMACYTOID_DC_SPLEEN_UP.html" TargetMode="External"/><Relationship Id="rId2232" Type="http://schemas.openxmlformats.org/officeDocument/2006/relationships/hyperlink" Target="http://www.broadinstitute.org/gsea/msigdb/cards/GSE3039_NKT_CELL_VS_ALPHAALPHA_CD8_TCELL_UP.html" TargetMode="External"/><Relationship Id="rId2233" Type="http://schemas.openxmlformats.org/officeDocument/2006/relationships/hyperlink" Target="http://www.broadinstitute.org/gsea/msigdb/cards/GSE5679_CTRL_VS_PPARG_LIGAND_ROSIGLITAZONE_AND_RARA_AGONIST_AM580_TREATED_DC_UP.html" TargetMode="External"/><Relationship Id="rId2234" Type="http://schemas.openxmlformats.org/officeDocument/2006/relationships/hyperlink" Target="http://www.broadinstitute.org/gsea/msigdb/cards/GSE5099_MONOCYTE_VS_ALTERNATIVE_M2_MACROPHAGE_DN.html" TargetMode="External"/><Relationship Id="rId2235" Type="http://schemas.openxmlformats.org/officeDocument/2006/relationships/hyperlink" Target="http://www.broadinstitute.org/gsea/msigdb/cards/GSE5589_LPS_VS_LPS_AND_IL10_STIM_IL10_KO_MACROPHAGE_45MIN_UP.html" TargetMode="External"/><Relationship Id="rId2236" Type="http://schemas.openxmlformats.org/officeDocument/2006/relationships/hyperlink" Target="http://www.broadinstitute.org/gsea/msigdb/cards/GSE5589_LPS_VS_LPS_AND_IL6_STIM_IL10_KO_MACROPHAGE_45MIN_DN.html" TargetMode="External"/><Relationship Id="rId2237" Type="http://schemas.openxmlformats.org/officeDocument/2006/relationships/hyperlink" Target="http://www.broadinstitute.org/gsea/msigdb/cards/GSE5589_IL6_KO_VS_IL10_KO_LPS_AND_IL6_STIM_MACROPHAGE_45MIN_DN.html" TargetMode="External"/><Relationship Id="rId2238" Type="http://schemas.openxmlformats.org/officeDocument/2006/relationships/hyperlink" Target="http://www.broadinstitute.org/gsea/msigdb/cards/GSE3920_UNTREATED_VS_IFNB_TREATED_ENDOTHELIAL_CELL_UP.html" TargetMode="External"/><Relationship Id="rId2239" Type="http://schemas.openxmlformats.org/officeDocument/2006/relationships/hyperlink" Target="http://www.broadinstitute.org/gsea/msigdb/cards/GSE6875_WT_VS_FOXP3_KO_TREG_UP.html" TargetMode="External"/><Relationship Id="rId1530" Type="http://schemas.openxmlformats.org/officeDocument/2006/relationships/hyperlink" Target="http://www.broadinstitute.org/gsea/msigdb/cards/GO_NUCLEAR_HETEROCHROMATIN.html" TargetMode="External"/><Relationship Id="rId1531" Type="http://schemas.openxmlformats.org/officeDocument/2006/relationships/hyperlink" Target="http://www.broadinstitute.org/gsea/msigdb/cards/GO_MICROTUBULE_BASED_MOVEMENT.html" TargetMode="External"/><Relationship Id="rId1532" Type="http://schemas.openxmlformats.org/officeDocument/2006/relationships/hyperlink" Target="http://www.broadinstitute.org/gsea/msigdb/cards/GO_RESPONSE_TO_ENDOGENOUS_STIMULUS.html" TargetMode="External"/><Relationship Id="rId1533" Type="http://schemas.openxmlformats.org/officeDocument/2006/relationships/hyperlink" Target="http://www.broadinstitute.org/gsea/msigdb/cards/GO_NEGATIVE_REGULATION_OF_CELL_COMMUNICATION.html" TargetMode="External"/><Relationship Id="rId1534" Type="http://schemas.openxmlformats.org/officeDocument/2006/relationships/hyperlink" Target="http://www.broadinstitute.org/gsea/msigdb/cards/GO_RESPONSE_TO_ABIOTIC_STIMULUS.html" TargetMode="External"/><Relationship Id="rId1535" Type="http://schemas.openxmlformats.org/officeDocument/2006/relationships/hyperlink" Target="http://www.broadinstitute.org/gsea/msigdb/cards/GO_UBIQUITIN_LIKE_PROTEIN_BINDING.html" TargetMode="External"/><Relationship Id="rId1536" Type="http://schemas.openxmlformats.org/officeDocument/2006/relationships/hyperlink" Target="http://www.broadinstitute.org/gsea/msigdb/cards/GO_REGULATION_OF_TRANSFERASE_ACTIVITY.html" TargetMode="External"/><Relationship Id="rId1537" Type="http://schemas.openxmlformats.org/officeDocument/2006/relationships/hyperlink" Target="http://www.broadinstitute.org/gsea/msigdb/cards/GO_SITE_OF_POLARIZED_GROWTH.html" TargetMode="External"/><Relationship Id="rId1538" Type="http://schemas.openxmlformats.org/officeDocument/2006/relationships/hyperlink" Target="http://www.broadinstitute.org/gsea/msigdb/cards/GO_REGULATION_OF_HYDROLASE_ACTIVITY.html" TargetMode="External"/><Relationship Id="rId1539" Type="http://schemas.openxmlformats.org/officeDocument/2006/relationships/hyperlink" Target="http://www.broadinstitute.org/gsea/msigdb/cards/GO_PROTEIN_TARGETING.html" TargetMode="External"/><Relationship Id="rId2780" Type="http://schemas.openxmlformats.org/officeDocument/2006/relationships/hyperlink" Target="http://www.broadinstitute.org/gsea/msigdb/cards/GSE6259_BCELL_VS_CD4_TCELL_DN.html" TargetMode="External"/><Relationship Id="rId2781" Type="http://schemas.openxmlformats.org/officeDocument/2006/relationships/hyperlink" Target="http://www.broadinstitute.org/gsea/msigdb/cards/GSE3203_INFLUENZA_INF_VS_IFNB_TREATED_LN_BCELL_DN.html" TargetMode="External"/><Relationship Id="rId2782" Type="http://schemas.openxmlformats.org/officeDocument/2006/relationships/hyperlink" Target="http://www.broadinstitute.org/gsea/msigdb/cards/GSE3203_UNTREATED_VS_IFNB_TREATED_LN_BCELL_UP.html" TargetMode="External"/><Relationship Id="rId2783" Type="http://schemas.openxmlformats.org/officeDocument/2006/relationships/hyperlink" Target="http://www.broadinstitute.org/gsea/msigdb/cards/GSE7831_CPG_VS_INFLUENZA_STIM_PDC_1H_UP.html" TargetMode="External"/><Relationship Id="rId2784" Type="http://schemas.openxmlformats.org/officeDocument/2006/relationships/hyperlink" Target="http://www.broadinstitute.org/gsea/msigdb/cards/GSE10273_LOW_IL7_VS_HIGH_IL7_AND_IRF4_IN_IRF4_8_NULL_PRE_BCELL_DN.html" TargetMode="External"/><Relationship Id="rId2785" Type="http://schemas.openxmlformats.org/officeDocument/2006/relationships/hyperlink" Target="http://www.broadinstitute.org/gsea/msigdb/cards/GSE8685_IL2_STARVED_VS_IL21_ACT_IL2_STARVED_CD4_TCELL_DN.html" TargetMode="External"/><Relationship Id="rId2786" Type="http://schemas.openxmlformats.org/officeDocument/2006/relationships/hyperlink" Target="http://www.broadinstitute.org/gsea/msigdb/cards/GSE14699_NAIVE_VS_DELETIONAL_TOLERANCE_CD8_TCELL_DN.html" TargetMode="External"/><Relationship Id="rId2787" Type="http://schemas.openxmlformats.org/officeDocument/2006/relationships/hyperlink" Target="http://www.broadinstitute.org/gsea/msigdb/cards/GSE14908_ATOPIC_VS_NONATOPIC_PATIENT_RESTING_CD4_TCELL_DN.html" TargetMode="External"/><Relationship Id="rId2788" Type="http://schemas.openxmlformats.org/officeDocument/2006/relationships/hyperlink" Target="http://www.broadinstitute.org/gsea/msigdb/cards/GSE9960_GRAM_POS_VS_GRAM_NEG_AND_POS_SEPSIS_PBMC_UP.html" TargetMode="External"/><Relationship Id="rId2789" Type="http://schemas.openxmlformats.org/officeDocument/2006/relationships/hyperlink" Target="http://www.broadinstitute.org/gsea/msigdb/cards/GSE12392_WT_VS_IFNB_KO_CD8A_NEG_SPLEEN_DC_DN.html" TargetMode="External"/><Relationship Id="rId2240" Type="http://schemas.openxmlformats.org/officeDocument/2006/relationships/hyperlink" Target="http://www.broadinstitute.org/gsea/msigdb/cards/GSE9239_CTRL_VS_TNF_INHIBITOR_TREATED_DC_DN.html" TargetMode="External"/><Relationship Id="rId2241" Type="http://schemas.openxmlformats.org/officeDocument/2006/relationships/hyperlink" Target="http://www.broadinstitute.org/gsea/msigdb/cards/GSE8621_UNSTIM_VS_LPS_PRIMED_UNSTIM_MACROPHAGE_DN.html" TargetMode="External"/><Relationship Id="rId2242" Type="http://schemas.openxmlformats.org/officeDocument/2006/relationships/hyperlink" Target="http://www.broadinstitute.org/gsea/msigdb/cards/GSE5503_LIVER_DC_VS_MLN_DC_ACTIVATED_ALLOGENIC_TCELL_DN.html" TargetMode="External"/><Relationship Id="rId2243" Type="http://schemas.openxmlformats.org/officeDocument/2006/relationships/hyperlink" Target="http://www.broadinstitute.org/gsea/msigdb/cards/GSE10240_CTRL_VS_IL22_STIM_PRIMARY_BRONCHIAL_EPITHELIAL_CELLS_UP.html" TargetMode="External"/><Relationship Id="rId2244" Type="http://schemas.openxmlformats.org/officeDocument/2006/relationships/hyperlink" Target="http://www.broadinstitute.org/gsea/msigdb/cards/GSE10240_IL17_VS_IL17_AND_IL22_STIM_PRIMARY_BRONCHIAL_EPITHELIAL_CELLS_DN.html" TargetMode="External"/><Relationship Id="rId2245" Type="http://schemas.openxmlformats.org/officeDocument/2006/relationships/hyperlink" Target="http://www.broadinstitute.org/gsea/msigdb/cards/GSE10273_HIGH_VS_LOW_IL7_TREATED_IRF4_8_NULL_PRE_BCELL_DN.html" TargetMode="External"/><Relationship Id="rId2246" Type="http://schemas.openxmlformats.org/officeDocument/2006/relationships/hyperlink" Target="http://www.broadinstitute.org/gsea/msigdb/cards/GSE8685_IL2_STARVED_VS_IL21_ACT_IL2_STARVED_CD4_TCELL_UP.html" TargetMode="External"/><Relationship Id="rId2247" Type="http://schemas.openxmlformats.org/officeDocument/2006/relationships/hyperlink" Target="http://www.broadinstitute.org/gsea/msigdb/cards/GSE7568_CTRL_VS_24H_TGFB_TREATED_MACROPHAGES_WITH_IL4_AND_DEXAMETHASONE_UP.html" TargetMode="External"/><Relationship Id="rId2248" Type="http://schemas.openxmlformats.org/officeDocument/2006/relationships/hyperlink" Target="http://www.broadinstitute.org/gsea/msigdb/cards/GSE14415_ACT_TCONV_VS_ACT_NATURAL_TREG_UP.html" TargetMode="External"/><Relationship Id="rId2249" Type="http://schemas.openxmlformats.org/officeDocument/2006/relationships/hyperlink" Target="http://www.broadinstitute.org/gsea/msigdb/cards/GSE12198_LOW_IL2_STIM_NK_CELL_VS_HIGH_IL2_STIM_NK_CELL_UP.html" TargetMode="External"/><Relationship Id="rId600" Type="http://schemas.openxmlformats.org/officeDocument/2006/relationships/hyperlink" Target="http://www.broadinstitute.org/gsea/msigdb/cards/AATGGAG_MIR136.html" TargetMode="External"/><Relationship Id="rId601" Type="http://schemas.openxmlformats.org/officeDocument/2006/relationships/hyperlink" Target="http://www.broadinstitute.org/gsea/msigdb/cards/TCATCTC_MIR143.html" TargetMode="External"/><Relationship Id="rId602" Type="http://schemas.openxmlformats.org/officeDocument/2006/relationships/hyperlink" Target="http://www.broadinstitute.org/gsea/msigdb/cards/MAF_Q6.html" TargetMode="External"/><Relationship Id="rId603" Type="http://schemas.openxmlformats.org/officeDocument/2006/relationships/hyperlink" Target="http://www.broadinstitute.org/gsea/msigdb/cards/TGACCTY_ERR1_Q2.html" TargetMode="External"/><Relationship Id="rId604" Type="http://schemas.openxmlformats.org/officeDocument/2006/relationships/hyperlink" Target="http://www.broadinstitute.org/gsea/msigdb/cards/TCF11MAFG_01.html" TargetMode="External"/><Relationship Id="rId605" Type="http://schemas.openxmlformats.org/officeDocument/2006/relationships/hyperlink" Target="http://www.broadinstitute.org/gsea/msigdb/cards/PAX5_01.html" TargetMode="External"/><Relationship Id="rId606" Type="http://schemas.openxmlformats.org/officeDocument/2006/relationships/hyperlink" Target="http://www.broadinstitute.org/gsea/msigdb/cards/CATTGTYY_SOX9_B1.html" TargetMode="External"/><Relationship Id="rId607" Type="http://schemas.openxmlformats.org/officeDocument/2006/relationships/hyperlink" Target="http://www.broadinstitute.org/gsea/msigdb/cards/TTGCCAA_MIR182.html" TargetMode="External"/><Relationship Id="rId608" Type="http://schemas.openxmlformats.org/officeDocument/2006/relationships/hyperlink" Target="http://www.broadinstitute.org/gsea/msigdb/cards/CAGGGTC_MIR504.html" TargetMode="External"/><Relationship Id="rId609" Type="http://schemas.openxmlformats.org/officeDocument/2006/relationships/hyperlink" Target="http://www.broadinstitute.org/gsea/msigdb/cards/GATGKMRGCG_UNKNOWN.html" TargetMode="External"/><Relationship Id="rId1540" Type="http://schemas.openxmlformats.org/officeDocument/2006/relationships/hyperlink" Target="http://www.broadinstitute.org/gsea/msigdb/cards/GO_REGULATION_OF_CELLULAR_PROTEIN_LOCALIZATION.html" TargetMode="External"/><Relationship Id="rId1541" Type="http://schemas.openxmlformats.org/officeDocument/2006/relationships/hyperlink" Target="http://www.broadinstitute.org/gsea/msigdb/cards/GO_REGULATION_OF_PROTEIN_EXPORT_FROM_NUCLEUS.html" TargetMode="External"/><Relationship Id="rId1542" Type="http://schemas.openxmlformats.org/officeDocument/2006/relationships/hyperlink" Target="http://www.broadinstitute.org/gsea/msigdb/cards/GO_REGULATION_OF_MICROTUBULE_POLYMERIZATION_OR_DEPOLYMERIZATION.html" TargetMode="External"/><Relationship Id="rId1543" Type="http://schemas.openxmlformats.org/officeDocument/2006/relationships/hyperlink" Target="http://www.broadinstitute.org/gsea/msigdb/cards/GO_CELLULAR_COMPONENT_DISASSEMBLY.html" TargetMode="External"/><Relationship Id="rId1544" Type="http://schemas.openxmlformats.org/officeDocument/2006/relationships/hyperlink" Target="http://www.broadinstitute.org/gsea/msigdb/cards/GO_REGULATION_OF_RNA_SPLICING.html" TargetMode="External"/><Relationship Id="rId1545" Type="http://schemas.openxmlformats.org/officeDocument/2006/relationships/hyperlink" Target="http://www.broadinstitute.org/gsea/msigdb/cards/GO_CAJAL_BODY.html" TargetMode="External"/><Relationship Id="rId1546" Type="http://schemas.openxmlformats.org/officeDocument/2006/relationships/hyperlink" Target="http://www.broadinstitute.org/gsea/msigdb/cards/GO_RETROGRADE_TRANSPORT_ENDOSOME_TO_GOLGI.html" TargetMode="External"/><Relationship Id="rId1547" Type="http://schemas.openxmlformats.org/officeDocument/2006/relationships/hyperlink" Target="http://www.broadinstitute.org/gsea/msigdb/cards/GO_NEGATIVE_REGULATION_OF_AUTOPHAGY.html" TargetMode="External"/><Relationship Id="rId1548" Type="http://schemas.openxmlformats.org/officeDocument/2006/relationships/hyperlink" Target="http://www.broadinstitute.org/gsea/msigdb/cards/GO_TRNA_TRANSPORT.html" TargetMode="External"/><Relationship Id="rId1549" Type="http://schemas.openxmlformats.org/officeDocument/2006/relationships/hyperlink" Target="http://www.broadinstitute.org/gsea/msigdb/cards/GO_INTRINSIC_APOPTOTIC_SIGNALING_PATHWAY.html" TargetMode="External"/><Relationship Id="rId2790" Type="http://schemas.openxmlformats.org/officeDocument/2006/relationships/hyperlink" Target="http://www.broadinstitute.org/gsea/msigdb/cards/GSE18281_CORTICAL_THYMOCYTE_VS_WHOLE_CORTEX_THYMUS_DN.html" TargetMode="External"/><Relationship Id="rId2791" Type="http://schemas.openxmlformats.org/officeDocument/2006/relationships/hyperlink" Target="http://www.broadinstitute.org/gsea/msigdb/cards/GSE18281_SUBCAPSULAR_CORTICAL_REGION_VS_WHOLE_MEDULLA_THYMUS_UP.html" TargetMode="External"/><Relationship Id="rId2792" Type="http://schemas.openxmlformats.org/officeDocument/2006/relationships/hyperlink" Target="http://www.broadinstitute.org/gsea/msigdb/cards/GSE18281_PERIMEDULLARY_CORTICAL_REGION_VS_WHOLE_MEDULLA_THYMUS_UP.html" TargetMode="External"/><Relationship Id="rId2793" Type="http://schemas.openxmlformats.org/officeDocument/2006/relationships/hyperlink" Target="http://www.broadinstitute.org/gsea/msigdb/cards/GSE19374_UNINF_VS_LISTERIA_INFECTED_MACROPHAGE_DN.html" TargetMode="External"/><Relationship Id="rId2794" Type="http://schemas.openxmlformats.org/officeDocument/2006/relationships/hyperlink" Target="http://www.broadinstitute.org/gsea/msigdb/cards/GSE19923_HEB_KO_VS_HEB_AND_E2A_KO_DP_THYMOCYTE_DN.html" TargetMode="External"/><Relationship Id="rId2795" Type="http://schemas.openxmlformats.org/officeDocument/2006/relationships/hyperlink" Target="http://www.broadinstitute.org/gsea/msigdb/cards/GSE18893_TCONV_VS_TREG_2H_CULTURE_DN.html" TargetMode="External"/><Relationship Id="rId2796" Type="http://schemas.openxmlformats.org/officeDocument/2006/relationships/hyperlink" Target="http://www.broadinstitute.org/gsea/msigdb/cards/GSE19888_CTRL_VS_T_CELL_MEMBRANES_ACT_MAST_CELL_DN.html" TargetMode="External"/><Relationship Id="rId2797" Type="http://schemas.openxmlformats.org/officeDocument/2006/relationships/hyperlink" Target="http://www.broadinstitute.org/gsea/msigdb/cards/GSE17322_CD103_POS_VS_CD11B_HIGH_LUNG_DC_DN.html" TargetMode="External"/><Relationship Id="rId2798" Type="http://schemas.openxmlformats.org/officeDocument/2006/relationships/hyperlink" Target="http://www.broadinstitute.org/gsea/msigdb/cards/GSE16450_IMMATURE_VS_MATURE_NEURON_CELL_LINE_6H_IFNA_STIM_UP.html" TargetMode="External"/><Relationship Id="rId2799" Type="http://schemas.openxmlformats.org/officeDocument/2006/relationships/hyperlink" Target="http://www.broadinstitute.org/gsea/msigdb/cards/GSE16450_CTRL_VS_IFNA_6H_STIM_MATURE_NEURON_CELL_LINE_DN.html" TargetMode="External"/><Relationship Id="rId1000" Type="http://schemas.openxmlformats.org/officeDocument/2006/relationships/hyperlink" Target="http://www.broadinstitute.org/gsea/msigdb/cards/MORF_CCNF.html" TargetMode="External"/><Relationship Id="rId1001" Type="http://schemas.openxmlformats.org/officeDocument/2006/relationships/hyperlink" Target="http://www.broadinstitute.org/gsea/msigdb/cards/MODULE_239.html" TargetMode="External"/><Relationship Id="rId1002" Type="http://schemas.openxmlformats.org/officeDocument/2006/relationships/hyperlink" Target="http://www.broadinstitute.org/gsea/msigdb/cards/MORF_SP3.html" TargetMode="External"/><Relationship Id="rId1003" Type="http://schemas.openxmlformats.org/officeDocument/2006/relationships/hyperlink" Target="http://www.broadinstitute.org/gsea/msigdb/cards/MODULE_197.html" TargetMode="External"/><Relationship Id="rId1004" Type="http://schemas.openxmlformats.org/officeDocument/2006/relationships/hyperlink" Target="http://www.broadinstitute.org/gsea/msigdb/cards/MORF_XRCC5.html" TargetMode="External"/><Relationship Id="rId1005" Type="http://schemas.openxmlformats.org/officeDocument/2006/relationships/hyperlink" Target="http://www.broadinstitute.org/gsea/msigdb/cards/MORF_TERF1.html" TargetMode="External"/><Relationship Id="rId1006" Type="http://schemas.openxmlformats.org/officeDocument/2006/relationships/hyperlink" Target="http://www.broadinstitute.org/gsea/msigdb/cards/MODULE_69.html" TargetMode="External"/><Relationship Id="rId1007" Type="http://schemas.openxmlformats.org/officeDocument/2006/relationships/hyperlink" Target="http://www.broadinstitute.org/gsea/msigdb/cards/MORF_TERF2IP.html" TargetMode="External"/><Relationship Id="rId1008" Type="http://schemas.openxmlformats.org/officeDocument/2006/relationships/hyperlink" Target="http://www.broadinstitute.org/gsea/msigdb/cards/MORF_UBE2N.html" TargetMode="External"/><Relationship Id="rId1009" Type="http://schemas.openxmlformats.org/officeDocument/2006/relationships/hyperlink" Target="http://www.broadinstitute.org/gsea/msigdb/cards/GCM_RAD21.html" TargetMode="External"/><Relationship Id="rId2250" Type="http://schemas.openxmlformats.org/officeDocument/2006/relationships/hyperlink" Target="http://www.broadinstitute.org/gsea/msigdb/cards/GSE12198_NK_VS_NK_ACT_EXPANSION_SYSTEM_DERIVED_NK_CELL_UP.html" TargetMode="External"/><Relationship Id="rId2251" Type="http://schemas.openxmlformats.org/officeDocument/2006/relationships/hyperlink" Target="http://www.broadinstitute.org/gsea/msigdb/cards/GSE12198_CTRL_VS_LOW_IL2_STIM_NK_CELL_UP.html" TargetMode="External"/><Relationship Id="rId2252" Type="http://schemas.openxmlformats.org/officeDocument/2006/relationships/hyperlink" Target="http://www.broadinstitute.org/gsea/msigdb/cards/GSE18281_PERIMEDULLARY_CORTICAL_REGION_VS_WHOLE_CORTEX_THYMUS_UP.html" TargetMode="External"/><Relationship Id="rId2253" Type="http://schemas.openxmlformats.org/officeDocument/2006/relationships/hyperlink" Target="http://www.broadinstitute.org/gsea/msigdb/cards/GSE20198_IL12_VS_IL12_IL18_TREATED_ACT_CD4_TCELL_DN.html" TargetMode="External"/><Relationship Id="rId2254" Type="http://schemas.openxmlformats.org/officeDocument/2006/relationships/hyperlink" Target="http://www.broadinstitute.org/gsea/msigdb/cards/GSE19401_PAM2CSK4_VS_RETINOIC_ACID_STIM_FOLLICULAR_DC_DN.html" TargetMode="External"/><Relationship Id="rId2255" Type="http://schemas.openxmlformats.org/officeDocument/2006/relationships/hyperlink" Target="http://www.broadinstitute.org/gsea/msigdb/cards/GSE22935_24H_VS_48H_MBOVIS_BCG_STIM_MACROPHAGE_UP.html" TargetMode="External"/><Relationship Id="rId2256" Type="http://schemas.openxmlformats.org/officeDocument/2006/relationships/hyperlink" Target="http://www.broadinstitute.org/gsea/msigdb/cards/GSE23505_UNTREATED_VS_4DAY_IL6_IL1_IL23_TREATED_CD4_TCELL_UP.html" TargetMode="External"/><Relationship Id="rId2257" Type="http://schemas.openxmlformats.org/officeDocument/2006/relationships/hyperlink" Target="http://www.broadinstitute.org/gsea/msigdb/cards/GSE25123_CTRL_VS_IL4_AND_ROSIGLITAZONE_STIM_MACROPHAGE_UP.html" TargetMode="External"/><Relationship Id="rId2258" Type="http://schemas.openxmlformats.org/officeDocument/2006/relationships/hyperlink" Target="http://www.broadinstitute.org/gsea/msigdb/cards/GSE16385_MONOCYTE_VS_12H_ROSIGLITAZONE_IFNG_TNF_TREATED_MACROPHAGE_DN.html" TargetMode="External"/><Relationship Id="rId2259" Type="http://schemas.openxmlformats.org/officeDocument/2006/relationships/hyperlink" Target="http://www.broadinstitute.org/gsea/msigdb/cards/GSE16385_IFNG_TNF_VS_ROSIGLITAZONE_STIM_MACROPHAGE_UP.html" TargetMode="External"/><Relationship Id="rId610" Type="http://schemas.openxmlformats.org/officeDocument/2006/relationships/hyperlink" Target="http://www.broadinstitute.org/gsea/msigdb/cards/TAGGTCA_MIR192_MIR215.html" TargetMode="External"/><Relationship Id="rId611" Type="http://schemas.openxmlformats.org/officeDocument/2006/relationships/hyperlink" Target="http://www.broadinstitute.org/gsea/msigdb/cards/GAGCCTG_MIR484.html" TargetMode="External"/><Relationship Id="rId612" Type="http://schemas.openxmlformats.org/officeDocument/2006/relationships/hyperlink" Target="http://www.broadinstitute.org/gsea/msigdb/cards/ATATGCA_MIR448.html" TargetMode="External"/><Relationship Id="rId613" Type="http://schemas.openxmlformats.org/officeDocument/2006/relationships/hyperlink" Target="http://www.broadinstitute.org/gsea/msigdb/cards/GGGATGC_MIR3245P.html" TargetMode="External"/><Relationship Id="rId614" Type="http://schemas.openxmlformats.org/officeDocument/2006/relationships/hyperlink" Target="http://www.broadinstitute.org/gsea/msigdb/cards/GTTAAAG_MIR302B.html" TargetMode="External"/><Relationship Id="rId615" Type="http://schemas.openxmlformats.org/officeDocument/2006/relationships/hyperlink" Target="http://www.broadinstitute.org/gsea/msigdb/cards/ARNT_02.html" TargetMode="External"/><Relationship Id="rId616" Type="http://schemas.openxmlformats.org/officeDocument/2006/relationships/hyperlink" Target="http://www.broadinstitute.org/gsea/msigdb/cards/GTATGAT_MIR154_MIR487.html" TargetMode="External"/><Relationship Id="rId617" Type="http://schemas.openxmlformats.org/officeDocument/2006/relationships/hyperlink" Target="http://www.broadinstitute.org/gsea/msigdb/cards/TCANNTGAY_SREBP1_01.html" TargetMode="External"/><Relationship Id="rId618" Type="http://schemas.openxmlformats.org/officeDocument/2006/relationships/hyperlink" Target="http://www.broadinstitute.org/gsea/msigdb/cards/ATGCTGG_MIR338.html" TargetMode="External"/><Relationship Id="rId619" Type="http://schemas.openxmlformats.org/officeDocument/2006/relationships/hyperlink" Target="http://www.broadinstitute.org/gsea/msigdb/cards/ATGTAGC_MIR221_MIR222.html" TargetMode="External"/><Relationship Id="rId1550" Type="http://schemas.openxmlformats.org/officeDocument/2006/relationships/hyperlink" Target="http://www.broadinstitute.org/gsea/msigdb/cards/GO_ATP_DEPENDENT_DNA_HELICASE_ACTIVITY.html" TargetMode="External"/><Relationship Id="rId1551" Type="http://schemas.openxmlformats.org/officeDocument/2006/relationships/hyperlink" Target="http://www.broadinstitute.org/gsea/msigdb/cards/GO_DEMETHYLASE_ACTIVITY.html" TargetMode="External"/><Relationship Id="rId1552" Type="http://schemas.openxmlformats.org/officeDocument/2006/relationships/hyperlink" Target="http://www.broadinstitute.org/gsea/msigdb/cards/GO_RIBOSOME_BIOGENESIS.html" TargetMode="External"/><Relationship Id="rId1553" Type="http://schemas.openxmlformats.org/officeDocument/2006/relationships/hyperlink" Target="http://www.broadinstitute.org/gsea/msigdb/cards/GO_HEART_MORPHOGENESIS.html" TargetMode="External"/><Relationship Id="rId1554" Type="http://schemas.openxmlformats.org/officeDocument/2006/relationships/hyperlink" Target="http://www.broadinstitute.org/gsea/msigdb/cards/GO_REGULATION_OF_CELL_DEATH.html" TargetMode="External"/><Relationship Id="rId1555" Type="http://schemas.openxmlformats.org/officeDocument/2006/relationships/hyperlink" Target="http://www.broadinstitute.org/gsea/msigdb/cards/GO_ORGANELLE_LOCALIZATION.html" TargetMode="External"/><Relationship Id="rId1556" Type="http://schemas.openxmlformats.org/officeDocument/2006/relationships/hyperlink" Target="http://www.broadinstitute.org/gsea/msigdb/cards/GO_HISTONE_H4_K16_ACETYLATION.html" TargetMode="External"/><Relationship Id="rId1557" Type="http://schemas.openxmlformats.org/officeDocument/2006/relationships/hyperlink" Target="http://www.broadinstitute.org/gsea/msigdb/cards/GO_NUCLEAR_TRANSCRIPTION_FACTOR_COMPLEX.html" TargetMode="External"/><Relationship Id="rId1558" Type="http://schemas.openxmlformats.org/officeDocument/2006/relationships/hyperlink" Target="http://www.broadinstitute.org/gsea/msigdb/cards/GO_REGULATION_OF_ACTIN_FILAMENT_BUNDLE_ASSEMBLY.html" TargetMode="External"/><Relationship Id="rId1559" Type="http://schemas.openxmlformats.org/officeDocument/2006/relationships/hyperlink" Target="http://www.broadinstitute.org/gsea/msigdb/cards/GO_EPIDERMAL_GROWTH_FACTOR_RECEPTOR_SIGNALING_PATHWAY.html" TargetMode="External"/><Relationship Id="rId1010" Type="http://schemas.openxmlformats.org/officeDocument/2006/relationships/hyperlink" Target="http://www.broadinstitute.org/gsea/msigdb/cards/MORF_HAT1.html" TargetMode="External"/><Relationship Id="rId1011" Type="http://schemas.openxmlformats.org/officeDocument/2006/relationships/hyperlink" Target="http://www.broadinstitute.org/gsea/msigdb/cards/GCM_BAG5.html" TargetMode="External"/><Relationship Id="rId1012" Type="http://schemas.openxmlformats.org/officeDocument/2006/relationships/hyperlink" Target="http://www.broadinstitute.org/gsea/msigdb/cards/GCM_PTPRD.html" TargetMode="External"/><Relationship Id="rId1013" Type="http://schemas.openxmlformats.org/officeDocument/2006/relationships/hyperlink" Target="http://www.broadinstitute.org/gsea/msigdb/cards/MORF_HEAB.html" TargetMode="External"/><Relationship Id="rId1014" Type="http://schemas.openxmlformats.org/officeDocument/2006/relationships/hyperlink" Target="http://www.broadinstitute.org/gsea/msigdb/cards/MORF_MSH2.html" TargetMode="External"/><Relationship Id="rId1015" Type="http://schemas.openxmlformats.org/officeDocument/2006/relationships/hyperlink" Target="http://www.broadinstitute.org/gsea/msigdb/cards/GNF2_MLH1.html" TargetMode="External"/><Relationship Id="rId1016" Type="http://schemas.openxmlformats.org/officeDocument/2006/relationships/hyperlink" Target="http://www.broadinstitute.org/gsea/msigdb/cards/GCM_PPM1D.html" TargetMode="External"/><Relationship Id="rId1017" Type="http://schemas.openxmlformats.org/officeDocument/2006/relationships/hyperlink" Target="http://www.broadinstitute.org/gsea/msigdb/cards/MORF_PTEN.html" TargetMode="External"/><Relationship Id="rId1018" Type="http://schemas.openxmlformats.org/officeDocument/2006/relationships/hyperlink" Target="http://www.broadinstitute.org/gsea/msigdb/cards/MODULE_36.html" TargetMode="External"/><Relationship Id="rId1019" Type="http://schemas.openxmlformats.org/officeDocument/2006/relationships/hyperlink" Target="http://www.broadinstitute.org/gsea/msigdb/cards/MODULE_337.html" TargetMode="External"/><Relationship Id="rId2260" Type="http://schemas.openxmlformats.org/officeDocument/2006/relationships/hyperlink" Target="http://www.broadinstitute.org/gsea/msigdb/cards/GSE21063_CTRL_VS_ANTI_IGM_STIM_BCELL_NFATC1_KO_16H_DN.html" TargetMode="External"/><Relationship Id="rId2261" Type="http://schemas.openxmlformats.org/officeDocument/2006/relationships/hyperlink" Target="http://www.broadinstitute.org/gsea/msigdb/cards/GSE29949_MICROGLIA_BRAIN_VS_CD8_POS_DC_SPLEEN_UP.html" TargetMode="External"/><Relationship Id="rId2262" Type="http://schemas.openxmlformats.org/officeDocument/2006/relationships/hyperlink" Target="http://www.broadinstitute.org/gsea/msigdb/cards/GSE29949_CD8_NEG_DC_SPLEEN_VS_MONOCYTE_BONE_MARROW_UP.html" TargetMode="External"/><Relationship Id="rId2263" Type="http://schemas.openxmlformats.org/officeDocument/2006/relationships/hyperlink" Target="http://www.broadinstitute.org/gsea/msigdb/cards/GSE26351_WNT_VS_BMP_PATHWAY_STIM_HEMATOPOIETIC_PROGENITORS_DN.html" TargetMode="External"/><Relationship Id="rId2264" Type="http://schemas.openxmlformats.org/officeDocument/2006/relationships/hyperlink" Target="http://www.broadinstitute.org/gsea/msigdb/cards/GSE32986_UNSTIM_VS_GMCSF_STIM_DC_UP.html" TargetMode="External"/><Relationship Id="rId2265" Type="http://schemas.openxmlformats.org/officeDocument/2006/relationships/hyperlink" Target="http://www.broadinstitute.org/gsea/msigdb/cards/GSE32986_UNSTIM_VS_CURDLAN_LOWDOSE_STIM_DC_UP.html" TargetMode="External"/><Relationship Id="rId2266" Type="http://schemas.openxmlformats.org/officeDocument/2006/relationships/hyperlink" Target="http://www.broadinstitute.org/gsea/msigdb/cards/GSE36888_STAT5_AB_KNOCKIN_VS_WT_TCELL_IL2_TREATED_17H_UP.html" TargetMode="External"/><Relationship Id="rId2267" Type="http://schemas.openxmlformats.org/officeDocument/2006/relationships/hyperlink" Target="http://www.broadinstitute.org/gsea/msigdb/cards/GSE36009_UNSTIM_VS_LPS_STIM_DC_DN.html" TargetMode="External"/><Relationship Id="rId2268" Type="http://schemas.openxmlformats.org/officeDocument/2006/relationships/hyperlink" Target="http://www.broadinstitute.org/gsea/msigdb/cards/GSE32255_WT_UNSTIM_VS_JMJD2D_KNOCKDOWN_4H_LPS_STIM_DC_UP.html" TargetMode="External"/><Relationship Id="rId2269" Type="http://schemas.openxmlformats.org/officeDocument/2006/relationships/hyperlink" Target="http://www.broadinstitute.org/gsea/msigdb/cards/GSE37533_PPARG1_FOXP3_VS_FOXP3_TRANSDUCED_CD4_TCELL_PIOGLITAZONE_TREATED_DN.html" TargetMode="External"/><Relationship Id="rId620" Type="http://schemas.openxmlformats.org/officeDocument/2006/relationships/hyperlink" Target="http://www.broadinstitute.org/gsea/msigdb/cards/RRAGTTGT_UNKNOWN.html" TargetMode="External"/><Relationship Id="rId621" Type="http://schemas.openxmlformats.org/officeDocument/2006/relationships/hyperlink" Target="http://www.broadinstitute.org/gsea/msigdb/cards/NRF1_Q6.html" TargetMode="External"/><Relationship Id="rId622" Type="http://schemas.openxmlformats.org/officeDocument/2006/relationships/hyperlink" Target="http://www.broadinstitute.org/gsea/msigdb/cards/GAGACTG_MIR452.html" TargetMode="External"/><Relationship Id="rId623" Type="http://schemas.openxmlformats.org/officeDocument/2006/relationships/hyperlink" Target="http://www.broadinstitute.org/gsea/msigdb/cards/AREB6_02.html" TargetMode="External"/><Relationship Id="rId624" Type="http://schemas.openxmlformats.org/officeDocument/2006/relationships/hyperlink" Target="http://www.broadinstitute.org/gsea/msigdb/cards/MYCMAX_01.html" TargetMode="External"/><Relationship Id="rId625" Type="http://schemas.openxmlformats.org/officeDocument/2006/relationships/hyperlink" Target="http://www.broadinstitute.org/gsea/msigdb/cards/CART1_01.html" TargetMode="External"/><Relationship Id="rId626" Type="http://schemas.openxmlformats.org/officeDocument/2006/relationships/hyperlink" Target="http://www.broadinstitute.org/gsea/msigdb/cards/CREBP1CJUN_01.html" TargetMode="External"/><Relationship Id="rId627" Type="http://schemas.openxmlformats.org/officeDocument/2006/relationships/hyperlink" Target="http://www.broadinstitute.org/gsea/msigdb/cards/GGCNNMSMYNTTG_UNKNOWN.html" TargetMode="External"/><Relationship Id="rId628" Type="http://schemas.openxmlformats.org/officeDocument/2006/relationships/hyperlink" Target="http://www.broadinstitute.org/gsea/msigdb/cards/CAGCTG_AP4_Q5.html" TargetMode="External"/><Relationship Id="rId629" Type="http://schemas.openxmlformats.org/officeDocument/2006/relationships/hyperlink" Target="http://www.broadinstitute.org/gsea/msigdb/cards/SPZ1_01.html" TargetMode="External"/><Relationship Id="rId1560" Type="http://schemas.openxmlformats.org/officeDocument/2006/relationships/hyperlink" Target="http://www.broadinstitute.org/gsea/msigdb/cards/GO_POSITIVE_REGULATION_OF_CELL_CYCLE_PROCESS.html" TargetMode="External"/><Relationship Id="rId1561" Type="http://schemas.openxmlformats.org/officeDocument/2006/relationships/hyperlink" Target="http://www.broadinstitute.org/gsea/msigdb/cards/GO_POSITIVE_REGULATION_OF_GENE_EXPRESSION_EPIGENETIC.html" TargetMode="External"/><Relationship Id="rId1562" Type="http://schemas.openxmlformats.org/officeDocument/2006/relationships/hyperlink" Target="http://www.broadinstitute.org/gsea/msigdb/cards/GO_SINGLE_ORGANISM_BEHAVIOR.html" TargetMode="External"/><Relationship Id="rId1563" Type="http://schemas.openxmlformats.org/officeDocument/2006/relationships/hyperlink" Target="http://www.broadinstitute.org/gsea/msigdb/cards/GO_MOLECULAR_FUNCTION_REGULATOR.html" TargetMode="External"/><Relationship Id="rId1564" Type="http://schemas.openxmlformats.org/officeDocument/2006/relationships/hyperlink" Target="http://www.broadinstitute.org/gsea/msigdb/cards/GO_HORMONE_MEDIATED_SIGNALING_PATHWAY.html" TargetMode="External"/><Relationship Id="rId1565" Type="http://schemas.openxmlformats.org/officeDocument/2006/relationships/hyperlink" Target="http://www.broadinstitute.org/gsea/msigdb/cards/GO_MEGAKARYOCYTE_DIFFERENTIATION.html" TargetMode="External"/><Relationship Id="rId1566" Type="http://schemas.openxmlformats.org/officeDocument/2006/relationships/hyperlink" Target="http://www.broadinstitute.org/gsea/msigdb/cards/GO_PHOSPHATIDYLINOSITOL_3_KINASE_COMPLEX.html" TargetMode="External"/><Relationship Id="rId1567" Type="http://schemas.openxmlformats.org/officeDocument/2006/relationships/hyperlink" Target="http://www.broadinstitute.org/gsea/msigdb/cards/GO_NCRNA_PROCESSING.html" TargetMode="External"/><Relationship Id="rId1568" Type="http://schemas.openxmlformats.org/officeDocument/2006/relationships/hyperlink" Target="http://www.broadinstitute.org/gsea/msigdb/cards/GO_POSITIVE_REGULATION_OF_DEVELOPMENTAL_PROCESS.html" TargetMode="External"/><Relationship Id="rId1569" Type="http://schemas.openxmlformats.org/officeDocument/2006/relationships/hyperlink" Target="http://www.broadinstitute.org/gsea/msigdb/cards/GO_PROTEIN_STABILIZATION.html" TargetMode="External"/><Relationship Id="rId1020" Type="http://schemas.openxmlformats.org/officeDocument/2006/relationships/hyperlink" Target="http://www.broadinstitute.org/gsea/msigdb/cards/MODULE_332.html" TargetMode="External"/><Relationship Id="rId1021" Type="http://schemas.openxmlformats.org/officeDocument/2006/relationships/hyperlink" Target="http://www.broadinstitute.org/gsea/msigdb/cards/MODULE_136.html" TargetMode="External"/><Relationship Id="rId1022" Type="http://schemas.openxmlformats.org/officeDocument/2006/relationships/hyperlink" Target="http://www.broadinstitute.org/gsea/msigdb/cards/MORF_DEK.html" TargetMode="External"/><Relationship Id="rId1023" Type="http://schemas.openxmlformats.org/officeDocument/2006/relationships/hyperlink" Target="http://www.broadinstitute.org/gsea/msigdb/cards/GCM_TPR.html" TargetMode="External"/><Relationship Id="rId1024" Type="http://schemas.openxmlformats.org/officeDocument/2006/relationships/hyperlink" Target="http://www.broadinstitute.org/gsea/msigdb/cards/GNF2_FBL.html" TargetMode="External"/><Relationship Id="rId1025" Type="http://schemas.openxmlformats.org/officeDocument/2006/relationships/hyperlink" Target="http://www.broadinstitute.org/gsea/msigdb/cards/GCM_CHUK.html" TargetMode="External"/><Relationship Id="rId1026" Type="http://schemas.openxmlformats.org/officeDocument/2006/relationships/hyperlink" Target="http://www.broadinstitute.org/gsea/msigdb/cards/GNF2_NPM1.html" TargetMode="External"/><Relationship Id="rId1027" Type="http://schemas.openxmlformats.org/officeDocument/2006/relationships/hyperlink" Target="http://www.broadinstitute.org/gsea/msigdb/cards/MODULE_567.html" TargetMode="External"/><Relationship Id="rId1028" Type="http://schemas.openxmlformats.org/officeDocument/2006/relationships/hyperlink" Target="http://www.broadinstitute.org/gsea/msigdb/cards/GCM_RAP2A.html" TargetMode="External"/><Relationship Id="rId1029" Type="http://schemas.openxmlformats.org/officeDocument/2006/relationships/hyperlink" Target="http://www.broadinstitute.org/gsea/msigdb/cards/MORF_RAD23A.html" TargetMode="External"/><Relationship Id="rId2270" Type="http://schemas.openxmlformats.org/officeDocument/2006/relationships/hyperlink" Target="http://www.broadinstitute.org/gsea/msigdb/cards/GSE40666_WT_VS_STAT1_KO_CD8_TCELL_UP.html" TargetMode="External"/><Relationship Id="rId2271" Type="http://schemas.openxmlformats.org/officeDocument/2006/relationships/hyperlink" Target="http://www.broadinstitute.org/gsea/msigdb/cards/GSE40666_STAT1_KO_VS_STAT4_KO_CD8_TCELL_UP.html" TargetMode="External"/><Relationship Id="rId2272" Type="http://schemas.openxmlformats.org/officeDocument/2006/relationships/hyperlink" Target="http://www.broadinstitute.org/gsea/msigdb/cards/GSE36826_NORMAL_VS_STAPH_AUREUS_INF_IL1R_KO_SKIN_DN.html" TargetMode="External"/><Relationship Id="rId2273" Type="http://schemas.openxmlformats.org/officeDocument/2006/relationships/hyperlink" Target="http://www.broadinstitute.org/gsea/msigdb/cards/GSE43863_DAY6_EFF_VS_DAY150_MEM_TH1_CD4_TCELL_DN.html" TargetMode="External"/><Relationship Id="rId2274" Type="http://schemas.openxmlformats.org/officeDocument/2006/relationships/hyperlink" Target="http://www.broadinstitute.org/gsea/msigdb/cards/GSE43863_TH1_VS_LY6C_INT_CXCR5POS_EFFECTOR_CD4_TCELL_DN.html" TargetMode="External"/><Relationship Id="rId2275" Type="http://schemas.openxmlformats.org/officeDocument/2006/relationships/hyperlink" Target="http://www.broadinstitute.org/gsea/msigdb/cards/GSE46606_UNSTIM_VS_CD40L_IL2_IL5_1DAY_STIMULATED_IRF4_KO_BCELL_DN.html" TargetMode="External"/><Relationship Id="rId2276" Type="http://schemas.openxmlformats.org/officeDocument/2006/relationships/hyperlink" Target="http://www.broadinstitute.org/gsea/msigdb/cards/GSE41176_UNSTIM_VS_ANTI_IGM_STIM_BCELL_6H_DN.html" TargetMode="External"/><Relationship Id="rId2277" Type="http://schemas.openxmlformats.org/officeDocument/2006/relationships/hyperlink" Target="http://www.broadinstitute.org/gsea/msigdb/cards/GSE3565_CTRL_VS_LPS_INJECTED_SPLENOCYTES_DN.html" TargetMode="External"/><Relationship Id="rId2278" Type="http://schemas.openxmlformats.org/officeDocument/2006/relationships/hyperlink" Target="http://www.broadinstitute.org/gsea/msigdb/cards/GSE21033_1H_VS_12H_POLYIC_STIM_DC_UP.html" TargetMode="External"/><Relationship Id="rId2279" Type="http://schemas.openxmlformats.org/officeDocument/2006/relationships/hyperlink" Target="http://www.broadinstitute.org/gsea/msigdb/cards/GSE37533_PPARG1_FOXP3_VS_PPARG2_FOXP3_TRANSDUCED_CD4_TCELL_UP.html" TargetMode="External"/><Relationship Id="rId630" Type="http://schemas.openxmlformats.org/officeDocument/2006/relationships/hyperlink" Target="http://www.broadinstitute.org/gsea/msigdb/cards/TCCAGAG_MIR518C.html" TargetMode="External"/><Relationship Id="rId631" Type="http://schemas.openxmlformats.org/officeDocument/2006/relationships/hyperlink" Target="http://www.broadinstitute.org/gsea/msigdb/cards/TAANNYSGCG_UNKNOWN.html" TargetMode="External"/><Relationship Id="rId632" Type="http://schemas.openxmlformats.org/officeDocument/2006/relationships/hyperlink" Target="http://www.broadinstitute.org/gsea/msigdb/cards/E2F_Q6_01.html" TargetMode="External"/><Relationship Id="rId633" Type="http://schemas.openxmlformats.org/officeDocument/2006/relationships/hyperlink" Target="http://www.broadinstitute.org/gsea/msigdb/cards/GGGNRMNNYCAT_UNKNOWN.html" TargetMode="External"/><Relationship Id="rId634" Type="http://schemas.openxmlformats.org/officeDocument/2006/relationships/hyperlink" Target="http://www.broadinstitute.org/gsea/msigdb/cards/TCCCRNNRTGC_UNKNOWN.html" TargetMode="External"/><Relationship Id="rId635" Type="http://schemas.openxmlformats.org/officeDocument/2006/relationships/hyperlink" Target="http://www.broadinstitute.org/gsea/msigdb/cards/HAND1E47_01.html" TargetMode="External"/><Relationship Id="rId636" Type="http://schemas.openxmlformats.org/officeDocument/2006/relationships/hyperlink" Target="http://www.broadinstitute.org/gsea/msigdb/cards/TCTATGA_MIR376A_MIR376B.html" TargetMode="External"/><Relationship Id="rId637" Type="http://schemas.openxmlformats.org/officeDocument/2006/relationships/hyperlink" Target="http://www.broadinstitute.org/gsea/msigdb/cards/TCTGGAC_MIR198.html" TargetMode="External"/><Relationship Id="rId638" Type="http://schemas.openxmlformats.org/officeDocument/2006/relationships/hyperlink" Target="http://www.broadinstitute.org/gsea/msigdb/cards/E2F1_Q3_01.html" TargetMode="External"/><Relationship Id="rId639" Type="http://schemas.openxmlformats.org/officeDocument/2006/relationships/hyperlink" Target="http://www.broadinstitute.org/gsea/msigdb/cards/TGACATY_UNKNOWN.html" TargetMode="External"/><Relationship Id="rId1570" Type="http://schemas.openxmlformats.org/officeDocument/2006/relationships/hyperlink" Target="http://www.broadinstitute.org/gsea/msigdb/cards/GO_NEGATIVE_REGULATION_OF_BINDING.html" TargetMode="External"/><Relationship Id="rId1571" Type="http://schemas.openxmlformats.org/officeDocument/2006/relationships/hyperlink" Target="http://www.broadinstitute.org/gsea/msigdb/cards/GO_RESPONSE_TO_NERVE_GROWTH_FACTOR.html" TargetMode="External"/><Relationship Id="rId1572" Type="http://schemas.openxmlformats.org/officeDocument/2006/relationships/hyperlink" Target="http://www.broadinstitute.org/gsea/msigdb/cards/GO_NUCLEAR_TRANSCRIBED_MRNA_CATABOLIC_PROCESS_DEADENYLATION_DEPENDENT_DECAY.html" TargetMode="External"/><Relationship Id="rId1573" Type="http://schemas.openxmlformats.org/officeDocument/2006/relationships/hyperlink" Target="http://www.broadinstitute.org/gsea/msigdb/cards/GO_ANATOMICAL_STRUCTURE_HOMEOSTASIS.html" TargetMode="External"/><Relationship Id="rId1574" Type="http://schemas.openxmlformats.org/officeDocument/2006/relationships/hyperlink" Target="http://www.broadinstitute.org/gsea/msigdb/cards/GO_REGULATION_OF_ANATOMICAL_STRUCTURE_MORPHOGENESIS.html" TargetMode="External"/><Relationship Id="rId1575" Type="http://schemas.openxmlformats.org/officeDocument/2006/relationships/hyperlink" Target="http://www.broadinstitute.org/gsea/msigdb/cards/GO_REGULATION_OF_CELL_CYCLE_PHASE_TRANSITION.html" TargetMode="External"/><Relationship Id="rId1576" Type="http://schemas.openxmlformats.org/officeDocument/2006/relationships/hyperlink" Target="http://www.broadinstitute.org/gsea/msigdb/cards/GO_REGULATION_OF_DNA_RECOMBINATION.html" TargetMode="External"/><Relationship Id="rId1577" Type="http://schemas.openxmlformats.org/officeDocument/2006/relationships/hyperlink" Target="http://www.broadinstitute.org/gsea/msigdb/cards/GO_REGULATION_OF_POSTTRANSCRIPTIONAL_GENE_SILENCING.html" TargetMode="External"/><Relationship Id="rId1578" Type="http://schemas.openxmlformats.org/officeDocument/2006/relationships/hyperlink" Target="http://www.broadinstitute.org/gsea/msigdb/cards/GO_CELLULAR_RESPONSE_TO_ORGANIC_CYCLIC_COMPOUND.html" TargetMode="External"/><Relationship Id="rId1579" Type="http://schemas.openxmlformats.org/officeDocument/2006/relationships/hyperlink" Target="http://www.broadinstitute.org/gsea/msigdb/cards/GO_REGULATION_OF_DEVELOPMENTAL_GROWTH.html" TargetMode="External"/><Relationship Id="rId1030" Type="http://schemas.openxmlformats.org/officeDocument/2006/relationships/hyperlink" Target="http://www.broadinstitute.org/gsea/msigdb/cards/MODULE_72.html" TargetMode="External"/><Relationship Id="rId1031" Type="http://schemas.openxmlformats.org/officeDocument/2006/relationships/hyperlink" Target="http://www.broadinstitute.org/gsea/msigdb/cards/MORF_PAPSS1.html" TargetMode="External"/><Relationship Id="rId1032" Type="http://schemas.openxmlformats.org/officeDocument/2006/relationships/hyperlink" Target="http://www.broadinstitute.org/gsea/msigdb/cards/MORF_RRM1.html" TargetMode="External"/><Relationship Id="rId1033" Type="http://schemas.openxmlformats.org/officeDocument/2006/relationships/hyperlink" Target="http://www.broadinstitute.org/gsea/msigdb/cards/MODULE_244.html" TargetMode="External"/><Relationship Id="rId1034" Type="http://schemas.openxmlformats.org/officeDocument/2006/relationships/hyperlink" Target="http://www.broadinstitute.org/gsea/msigdb/cards/MORF_BMI1.html" TargetMode="External"/><Relationship Id="rId1035" Type="http://schemas.openxmlformats.org/officeDocument/2006/relationships/hyperlink" Target="http://www.broadinstitute.org/gsea/msigdb/cards/MORF_RPA2.html" TargetMode="External"/><Relationship Id="rId1036" Type="http://schemas.openxmlformats.org/officeDocument/2006/relationships/hyperlink" Target="http://www.broadinstitute.org/gsea/msigdb/cards/MORF_RAB11A.html" TargetMode="External"/><Relationship Id="rId1037" Type="http://schemas.openxmlformats.org/officeDocument/2006/relationships/hyperlink" Target="http://www.broadinstitute.org/gsea/msigdb/cards/MORF_FDXR.html" TargetMode="External"/><Relationship Id="rId1038" Type="http://schemas.openxmlformats.org/officeDocument/2006/relationships/hyperlink" Target="http://www.broadinstitute.org/gsea/msigdb/cards/MORF_RAF1.html" TargetMode="External"/><Relationship Id="rId1039" Type="http://schemas.openxmlformats.org/officeDocument/2006/relationships/hyperlink" Target="http://www.broadinstitute.org/gsea/msigdb/cards/MODULE_179.html" TargetMode="External"/><Relationship Id="rId2280" Type="http://schemas.openxmlformats.org/officeDocument/2006/relationships/hyperlink" Target="http://www.broadinstitute.org/gsea/msigdb/cards/GSE11818_WT_VS_DICER_KO_TREG_DN.html" TargetMode="External"/><Relationship Id="rId2281" Type="http://schemas.openxmlformats.org/officeDocument/2006/relationships/hyperlink" Target="http://www.broadinstitute.org/gsea/msigdb/cards/GSE12507_PDC_CELL_LINE_VS_IMMATUE_T_CELL_LINE_UP.html" TargetMode="External"/><Relationship Id="rId2282" Type="http://schemas.openxmlformats.org/officeDocument/2006/relationships/hyperlink" Target="http://www.broadinstitute.org/gsea/msigdb/cards/GSE3920_UNTREATED_VS_IFNG_TREATED_ENDOTHELIAL_CELL_DN.html" TargetMode="External"/><Relationship Id="rId2283" Type="http://schemas.openxmlformats.org/officeDocument/2006/relationships/hyperlink" Target="http://www.broadinstitute.org/gsea/msigdb/cards/GSE21033_3H_VS_24H_POLYIC_STIM_DC_UP.html" TargetMode="External"/><Relationship Id="rId2284" Type="http://schemas.openxmlformats.org/officeDocument/2006/relationships/hyperlink" Target="http://www.broadinstitute.org/gsea/msigdb/cards/GSE6269_FLU_VS_E_COLI_INF_PBMC_UP.html" TargetMode="External"/><Relationship Id="rId2285" Type="http://schemas.openxmlformats.org/officeDocument/2006/relationships/hyperlink" Target="http://www.broadinstitute.org/gsea/msigdb/cards/GSE7768_OVA_ALONE_VS_OVA_WITH_MPL_IMMUNIZED_MOUSE_WHOLE_SPLEEN_6H_DN.html" TargetMode="External"/><Relationship Id="rId2286" Type="http://schemas.openxmlformats.org/officeDocument/2006/relationships/hyperlink" Target="http://www.broadinstitute.org/gsea/msigdb/cards/GSE3920_UNTREATED_VS_IFNA_TREATED_ENDOTHELIAL_CELL_DN.html" TargetMode="External"/><Relationship Id="rId2287" Type="http://schemas.openxmlformats.org/officeDocument/2006/relationships/hyperlink" Target="http://www.broadinstitute.org/gsea/msigdb/cards/GSE15330_LYMPHOID_MULTIPOTENT_VS_MEGAKARYOCYTE_ERYTHROID_PROGENITOR_IKAROS_KO_UP.html" TargetMode="External"/><Relationship Id="rId2288" Type="http://schemas.openxmlformats.org/officeDocument/2006/relationships/hyperlink" Target="http://www.broadinstitute.org/gsea/msigdb/cards/GSE4984_LPS_VS_VEHICLE_CTRL_TREATED_DC_DN.html" TargetMode="External"/><Relationship Id="rId2289" Type="http://schemas.openxmlformats.org/officeDocument/2006/relationships/hyperlink" Target="http://www.broadinstitute.org/gsea/msigdb/cards/GSE32986_UNSTIM_VS_GMCSF_AND_CURDLAN_HIGHDOSE_STIM_DC_DN.html" TargetMode="External"/><Relationship Id="rId640" Type="http://schemas.openxmlformats.org/officeDocument/2006/relationships/hyperlink" Target="http://www.broadinstitute.org/gsea/msigdb/cards/TMTCGCGANR_UNKNOWN.html" TargetMode="External"/><Relationship Id="rId641" Type="http://schemas.openxmlformats.org/officeDocument/2006/relationships/hyperlink" Target="http://www.broadinstitute.org/gsea/msigdb/cards/ICSBP_Q6.html" TargetMode="External"/><Relationship Id="rId642" Type="http://schemas.openxmlformats.org/officeDocument/2006/relationships/hyperlink" Target="http://www.broadinstitute.org/gsea/msigdb/cards/AGCATTA_MIR155.html" TargetMode="External"/><Relationship Id="rId643" Type="http://schemas.openxmlformats.org/officeDocument/2006/relationships/hyperlink" Target="http://www.broadinstitute.org/gsea/msigdb/cards/CTTTGA_LEF1_Q2.html" TargetMode="External"/><Relationship Id="rId644" Type="http://schemas.openxmlformats.org/officeDocument/2006/relationships/hyperlink" Target="http://www.broadinstitute.org/gsea/msigdb/cards/ACTAYRNNNCCCR_UNKNOWN.html" TargetMode="External"/><Relationship Id="rId645" Type="http://schemas.openxmlformats.org/officeDocument/2006/relationships/hyperlink" Target="http://www.broadinstitute.org/gsea/msigdb/cards/CTAGGAA_MIR384.html" TargetMode="External"/><Relationship Id="rId646" Type="http://schemas.openxmlformats.org/officeDocument/2006/relationships/hyperlink" Target="http://www.broadinstitute.org/gsea/msigdb/cards/SRF_Q4.html" TargetMode="External"/><Relationship Id="rId647" Type="http://schemas.openxmlformats.org/officeDocument/2006/relationships/hyperlink" Target="http://www.broadinstitute.org/gsea/msigdb/cards/AREB6_04.html" TargetMode="External"/><Relationship Id="rId648" Type="http://schemas.openxmlformats.org/officeDocument/2006/relationships/hyperlink" Target="http://www.broadinstitute.org/gsea/msigdb/cards/TACAATC_MIR508.html" TargetMode="External"/><Relationship Id="rId649" Type="http://schemas.openxmlformats.org/officeDocument/2006/relationships/hyperlink" Target="http://www.broadinstitute.org/gsea/msigdb/cards/TAXCREB_01.html" TargetMode="External"/><Relationship Id="rId1580" Type="http://schemas.openxmlformats.org/officeDocument/2006/relationships/hyperlink" Target="http://www.broadinstitute.org/gsea/msigdb/cards/GO_APOPTOTIC_SIGNALING_PATHWAY.html" TargetMode="External"/><Relationship Id="rId1581" Type="http://schemas.openxmlformats.org/officeDocument/2006/relationships/hyperlink" Target="http://www.broadinstitute.org/gsea/msigdb/cards/GO_POSITIVE_REGULATION_OF_CATABOLIC_PROCESS.html" TargetMode="External"/><Relationship Id="rId1582" Type="http://schemas.openxmlformats.org/officeDocument/2006/relationships/hyperlink" Target="http://www.broadinstitute.org/gsea/msigdb/cards/GO_BONE_CELL_DEVELOPMENT.html" TargetMode="External"/><Relationship Id="rId1583" Type="http://schemas.openxmlformats.org/officeDocument/2006/relationships/hyperlink" Target="http://www.broadinstitute.org/gsea/msigdb/cards/GO_NEGATIVE_REGULATION_OF_MACROAUTOPHAGY.html" TargetMode="External"/><Relationship Id="rId1584" Type="http://schemas.openxmlformats.org/officeDocument/2006/relationships/hyperlink" Target="http://www.broadinstitute.org/gsea/msigdb/cards/GO_DSRNA_FRAGMENTATION.html" TargetMode="External"/><Relationship Id="rId1585" Type="http://schemas.openxmlformats.org/officeDocument/2006/relationships/hyperlink" Target="http://www.broadinstitute.org/gsea/msigdb/cards/GO_REGULATION_OF_TELOMERE_CAPPING.html" TargetMode="External"/><Relationship Id="rId1586" Type="http://schemas.openxmlformats.org/officeDocument/2006/relationships/hyperlink" Target="http://www.broadinstitute.org/gsea/msigdb/cards/GO_PHOSPHOPROTEIN_BINDING.html" TargetMode="External"/><Relationship Id="rId1587" Type="http://schemas.openxmlformats.org/officeDocument/2006/relationships/hyperlink" Target="http://www.broadinstitute.org/gsea/msigdb/cards/GO_CELL_DEVELOPMENT.html" TargetMode="External"/><Relationship Id="rId1588" Type="http://schemas.openxmlformats.org/officeDocument/2006/relationships/hyperlink" Target="http://www.broadinstitute.org/gsea/msigdb/cards/GO_ER_TO_GOLGI_VESICLE_MEDIATED_TRANSPORT.html" TargetMode="External"/><Relationship Id="rId1589" Type="http://schemas.openxmlformats.org/officeDocument/2006/relationships/hyperlink" Target="http://www.broadinstitute.org/gsea/msigdb/cards/GO_RESPONSE_TO_GROWTH_FACTOR.html" TargetMode="External"/><Relationship Id="rId10" Type="http://schemas.openxmlformats.org/officeDocument/2006/relationships/hyperlink" Target="http://www.broadinstitute.org/gsea/msigdb/cards/PILON_KLF1_TARGETS_DN.html" TargetMode="External"/><Relationship Id="rId11" Type="http://schemas.openxmlformats.org/officeDocument/2006/relationships/hyperlink" Target="http://www.broadinstitute.org/gsea/msigdb/cards/DAZARD_RESPONSE_TO_UV_NHEK_DN.html" TargetMode="External"/><Relationship Id="rId12" Type="http://schemas.openxmlformats.org/officeDocument/2006/relationships/hyperlink" Target="http://www.broadinstitute.org/gsea/msigdb/cards/HAMAI_APOPTOSIS_VIA_TRAIL_UP.html" TargetMode="External"/><Relationship Id="rId13" Type="http://schemas.openxmlformats.org/officeDocument/2006/relationships/hyperlink" Target="http://www.broadinstitute.org/gsea/msigdb/cards/PUJANA_ATM_PCC_NETWORK.html" TargetMode="External"/><Relationship Id="rId14" Type="http://schemas.openxmlformats.org/officeDocument/2006/relationships/hyperlink" Target="http://www.broadinstitute.org/gsea/msigdb/cards/SHEN_SMARCA2_TARGETS_UP.html" TargetMode="External"/><Relationship Id="rId15" Type="http://schemas.openxmlformats.org/officeDocument/2006/relationships/hyperlink" Target="http://www.broadinstitute.org/gsea/msigdb/cards/PUJANA_BRCA1_PCC_NETWORK.html" TargetMode="External"/><Relationship Id="rId16" Type="http://schemas.openxmlformats.org/officeDocument/2006/relationships/hyperlink" Target="http://www.broadinstitute.org/gsea/msigdb/cards/BUYTAERT_PHOTODYNAMIC_THERAPY_STRESS_UP.html" TargetMode="External"/><Relationship Id="rId17" Type="http://schemas.openxmlformats.org/officeDocument/2006/relationships/hyperlink" Target="http://www.broadinstitute.org/gsea/msigdb/cards/GABRIELY_MIR21_TARGETS.html" TargetMode="External"/><Relationship Id="rId18" Type="http://schemas.openxmlformats.org/officeDocument/2006/relationships/hyperlink" Target="http://www.broadinstitute.org/gsea/msigdb/cards/ZHANG_TLX_TARGETS_36HR_DN.html" TargetMode="External"/><Relationship Id="rId19" Type="http://schemas.openxmlformats.org/officeDocument/2006/relationships/hyperlink" Target="http://www.broadinstitute.org/gsea/msigdb/cards/RODRIGUES_THYROID_CARCINOMA_ANAPLASTIC_UP.html" TargetMode="External"/><Relationship Id="rId100" Type="http://schemas.openxmlformats.org/officeDocument/2006/relationships/hyperlink" Target="http://www.broadinstitute.org/gsea/msigdb/cards/MARSON_BOUND_BY_E2F4_UNSTIMULATED.html" TargetMode="External"/><Relationship Id="rId101" Type="http://schemas.openxmlformats.org/officeDocument/2006/relationships/hyperlink" Target="http://www.broadinstitute.org/gsea/msigdb/cards/PARENT_MTOR_SIGNALING_UP.html" TargetMode="External"/><Relationship Id="rId102" Type="http://schemas.openxmlformats.org/officeDocument/2006/relationships/hyperlink" Target="http://www.broadinstitute.org/gsea/msigdb/cards/REACTOME_MITOTIC_G2_G2_M_PHASES.html" TargetMode="External"/><Relationship Id="rId103" Type="http://schemas.openxmlformats.org/officeDocument/2006/relationships/hyperlink" Target="http://www.broadinstitute.org/gsea/msigdb/cards/REACTOME_RECRUITMENT_OF_MITOTIC_CENTROSOME_PROTEINS_AND_COMPLEXES.html" TargetMode="External"/><Relationship Id="rId104" Type="http://schemas.openxmlformats.org/officeDocument/2006/relationships/hyperlink" Target="http://www.broadinstitute.org/gsea/msigdb/cards/MARTINEZ_RB1_TARGETS_UP.html" TargetMode="External"/><Relationship Id="rId105" Type="http://schemas.openxmlformats.org/officeDocument/2006/relationships/hyperlink" Target="http://www.broadinstitute.org/gsea/msigdb/cards/BILANGES_SERUM_SENSITIVE_VIA_TSC2.html" TargetMode="External"/><Relationship Id="rId106" Type="http://schemas.openxmlformats.org/officeDocument/2006/relationships/hyperlink" Target="http://www.broadinstitute.org/gsea/msigdb/cards/KRIGE_RESPONSE_TO_TOSEDOSTAT_24HR_UP.html" TargetMode="External"/><Relationship Id="rId107" Type="http://schemas.openxmlformats.org/officeDocument/2006/relationships/hyperlink" Target="http://www.broadinstitute.org/gsea/msigdb/cards/ZHENG_BOUND_BY_FOXP3.html" TargetMode="External"/><Relationship Id="rId108" Type="http://schemas.openxmlformats.org/officeDocument/2006/relationships/hyperlink" Target="http://www.broadinstitute.org/gsea/msigdb/cards/KRIGE_RESPONSE_TO_TOSEDOSTAT_24HR_DN.html" TargetMode="External"/><Relationship Id="rId1040" Type="http://schemas.openxmlformats.org/officeDocument/2006/relationships/hyperlink" Target="http://www.broadinstitute.org/gsea/msigdb/cards/GCM_DDX5.html" TargetMode="External"/><Relationship Id="rId1041" Type="http://schemas.openxmlformats.org/officeDocument/2006/relationships/hyperlink" Target="http://www.broadinstitute.org/gsea/msigdb/cards/GCM_MAP1B.html" TargetMode="External"/><Relationship Id="rId1042" Type="http://schemas.openxmlformats.org/officeDocument/2006/relationships/hyperlink" Target="http://www.broadinstitute.org/gsea/msigdb/cards/MODULE_183.html" TargetMode="External"/><Relationship Id="rId1043" Type="http://schemas.openxmlformats.org/officeDocument/2006/relationships/hyperlink" Target="http://www.broadinstitute.org/gsea/msigdb/cards/MODULE_532.html" TargetMode="External"/><Relationship Id="rId1044" Type="http://schemas.openxmlformats.org/officeDocument/2006/relationships/hyperlink" Target="http://www.broadinstitute.org/gsea/msigdb/cards/MODULE_525.html" TargetMode="External"/><Relationship Id="rId1045" Type="http://schemas.openxmlformats.org/officeDocument/2006/relationships/hyperlink" Target="http://www.broadinstitute.org/gsea/msigdb/cards/GNF2_DAP3.html" TargetMode="External"/><Relationship Id="rId1046" Type="http://schemas.openxmlformats.org/officeDocument/2006/relationships/hyperlink" Target="http://www.broadinstitute.org/gsea/msigdb/cards/MORF_RFC4.html" TargetMode="External"/><Relationship Id="rId1047" Type="http://schemas.openxmlformats.org/officeDocument/2006/relationships/hyperlink" Target="http://www.broadinstitute.org/gsea/msigdb/cards/GCM_CASP2.html" TargetMode="External"/><Relationship Id="rId1048" Type="http://schemas.openxmlformats.org/officeDocument/2006/relationships/hyperlink" Target="http://www.broadinstitute.org/gsea/msigdb/cards/MORF_CSNK1D.html" TargetMode="External"/><Relationship Id="rId1049" Type="http://schemas.openxmlformats.org/officeDocument/2006/relationships/hyperlink" Target="http://www.broadinstitute.org/gsea/msigdb/cards/GCM_DEAF1.html" TargetMode="External"/><Relationship Id="rId109" Type="http://schemas.openxmlformats.org/officeDocument/2006/relationships/hyperlink" Target="http://www.broadinstitute.org/gsea/msigdb/cards/OSWALD_HEMATOPOIETIC_STEM_CELL_IN_COLLAGEN_GEL_DN.html" TargetMode="External"/><Relationship Id="rId2290" Type="http://schemas.openxmlformats.org/officeDocument/2006/relationships/hyperlink" Target="http://www.broadinstitute.org/gsea/msigdb/cards/GSE21927_UNTREATED_VS_GMCSF_GCSF_TREATED_BONE_MARROW_UP.html" TargetMode="External"/><Relationship Id="rId2291" Type="http://schemas.openxmlformats.org/officeDocument/2006/relationships/hyperlink" Target="http://www.broadinstitute.org/gsea/msigdb/cards/KAECH_NAIVE_VS_DAY8_EFF_CD8_TCELL_UP.html" TargetMode="External"/><Relationship Id="rId2292" Type="http://schemas.openxmlformats.org/officeDocument/2006/relationships/hyperlink" Target="http://www.broadinstitute.org/gsea/msigdb/cards/KAECH_NAIVE_VS_MEMORY_CD8_TCELL_UP.html" TargetMode="External"/><Relationship Id="rId2293" Type="http://schemas.openxmlformats.org/officeDocument/2006/relationships/hyperlink" Target="http://www.broadinstitute.org/gsea/msigdb/cards/GOLDRATH_NAIVE_VS_EFF_CD8_TCELL_UP.html" TargetMode="External"/><Relationship Id="rId2294" Type="http://schemas.openxmlformats.org/officeDocument/2006/relationships/hyperlink" Target="http://www.broadinstitute.org/gsea/msigdb/cards/GSE10239_KLRG1INT_VS_KLRG1HIGH_EFF_CD8_TCELL_DN.html" TargetMode="External"/><Relationship Id="rId2295" Type="http://schemas.openxmlformats.org/officeDocument/2006/relationships/hyperlink" Target="http://www.broadinstitute.org/gsea/msigdb/cards/GSE12366_PLASMA_CELL_VS_NAIVE_BCELL_DN.html" TargetMode="External"/><Relationship Id="rId2296" Type="http://schemas.openxmlformats.org/officeDocument/2006/relationships/hyperlink" Target="http://www.broadinstitute.org/gsea/msigdb/cards/GSE13306_RA_VS_UNTREATED_TCONV_UP.html" TargetMode="External"/><Relationship Id="rId2297" Type="http://schemas.openxmlformats.org/officeDocument/2006/relationships/hyperlink" Target="http://www.broadinstitute.org/gsea/msigdb/cards/GSE13411_PLASMA_CELL_VS_MEMORY_BCELL_DN.html" TargetMode="External"/><Relationship Id="rId2298" Type="http://schemas.openxmlformats.org/officeDocument/2006/relationships/hyperlink" Target="http://www.broadinstitute.org/gsea/msigdb/cards/GSE13484_UNSTIM_VS_12H_YF17D_VACCINE_STIM_PBMC_UP.html" TargetMode="External"/><Relationship Id="rId2299" Type="http://schemas.openxmlformats.org/officeDocument/2006/relationships/hyperlink" Target="http://www.broadinstitute.org/gsea/msigdb/cards/GSE13493_DP_VS_CD8POS_THYMOCYTE_UP.html" TargetMode="External"/><Relationship Id="rId650" Type="http://schemas.openxmlformats.org/officeDocument/2006/relationships/hyperlink" Target="http://www.broadinstitute.org/gsea/msigdb/cards/TTANTCA_UNKNOWN.html" TargetMode="External"/><Relationship Id="rId651" Type="http://schemas.openxmlformats.org/officeDocument/2006/relationships/hyperlink" Target="http://www.broadinstitute.org/gsea/msigdb/cards/ATGTCAC_MIR489.html" TargetMode="External"/><Relationship Id="rId652" Type="http://schemas.openxmlformats.org/officeDocument/2006/relationships/hyperlink" Target="http://www.broadinstitute.org/gsea/msigdb/cards/SRY_01.html" TargetMode="External"/><Relationship Id="rId653" Type="http://schemas.openxmlformats.org/officeDocument/2006/relationships/hyperlink" Target="http://www.broadinstitute.org/gsea/msigdb/cards/SMAD_Q6.html" TargetMode="External"/><Relationship Id="rId654" Type="http://schemas.openxmlformats.org/officeDocument/2006/relationships/hyperlink" Target="http://www.broadinstitute.org/gsea/msigdb/cards/GGTGTGT_MIR329.html" TargetMode="External"/><Relationship Id="rId655" Type="http://schemas.openxmlformats.org/officeDocument/2006/relationships/hyperlink" Target="http://www.broadinstitute.org/gsea/msigdb/cards/TEF1_Q6.html" TargetMode="External"/><Relationship Id="rId656" Type="http://schemas.openxmlformats.org/officeDocument/2006/relationships/hyperlink" Target="http://www.broadinstitute.org/gsea/msigdb/cards/RYTTCCTG_ETS2_B.html" TargetMode="External"/><Relationship Id="rId657" Type="http://schemas.openxmlformats.org/officeDocument/2006/relationships/hyperlink" Target="http://www.broadinstitute.org/gsea/msigdb/cards/DR4_Q2.html" TargetMode="External"/><Relationship Id="rId658" Type="http://schemas.openxmlformats.org/officeDocument/2006/relationships/hyperlink" Target="http://www.broadinstitute.org/gsea/msigdb/cards/RACCACAR_AML_Q6.html" TargetMode="External"/><Relationship Id="rId659" Type="http://schemas.openxmlformats.org/officeDocument/2006/relationships/hyperlink" Target="http://www.broadinstitute.org/gsea/msigdb/cards/TGCTGAY_UNKNOWN.html" TargetMode="External"/><Relationship Id="rId1590" Type="http://schemas.openxmlformats.org/officeDocument/2006/relationships/hyperlink" Target="http://www.broadinstitute.org/gsea/msigdb/cards/GO_REGULATION_OF_TYPE_I_INTERFERON_PRODUCTION.html" TargetMode="External"/><Relationship Id="rId1591" Type="http://schemas.openxmlformats.org/officeDocument/2006/relationships/hyperlink" Target="http://www.broadinstitute.org/gsea/msigdb/cards/GO_REGULATION_OF_CELL_MORPHOGENESIS.html" TargetMode="External"/><Relationship Id="rId1592" Type="http://schemas.openxmlformats.org/officeDocument/2006/relationships/hyperlink" Target="http://www.broadinstitute.org/gsea/msigdb/cards/GO_NEURON_DIFFERENTIATION.html" TargetMode="External"/><Relationship Id="rId1593" Type="http://schemas.openxmlformats.org/officeDocument/2006/relationships/hyperlink" Target="http://www.broadinstitute.org/gsea/msigdb/cards/GO_NEUROTROPHIN_SIGNALING_PATHWAY.html" TargetMode="External"/><Relationship Id="rId1594" Type="http://schemas.openxmlformats.org/officeDocument/2006/relationships/hyperlink" Target="http://www.broadinstitute.org/gsea/msigdb/cards/GO_EXON_EXON_JUNCTION_COMPLEX.html" TargetMode="External"/><Relationship Id="rId1595" Type="http://schemas.openxmlformats.org/officeDocument/2006/relationships/hyperlink" Target="http://www.broadinstitute.org/gsea/msigdb/cards/GO_BAF_TYPE_COMPLEX.html" TargetMode="External"/><Relationship Id="rId1596" Type="http://schemas.openxmlformats.org/officeDocument/2006/relationships/hyperlink" Target="http://www.broadinstitute.org/gsea/msigdb/cards/GO_RNA_PHOSPHODIESTER_BOND_HYDROLYSIS_ENDONUCLEOLYTIC.html" TargetMode="External"/><Relationship Id="rId1597" Type="http://schemas.openxmlformats.org/officeDocument/2006/relationships/hyperlink" Target="http://www.broadinstitute.org/gsea/msigdb/cards/GO_MITOTIC_RECOMBINATION.html" TargetMode="External"/><Relationship Id="rId1598" Type="http://schemas.openxmlformats.org/officeDocument/2006/relationships/hyperlink" Target="http://www.broadinstitute.org/gsea/msigdb/cards/GO_ANDROGEN_RECEPTOR_SIGNALING_PATHWAY.html" TargetMode="External"/><Relationship Id="rId1599" Type="http://schemas.openxmlformats.org/officeDocument/2006/relationships/hyperlink" Target="http://www.broadinstitute.org/gsea/msigdb/cards/GO_CELL_PART_MORPHOGENESIS.html" TargetMode="External"/><Relationship Id="rId20" Type="http://schemas.openxmlformats.org/officeDocument/2006/relationships/hyperlink" Target="http://www.broadinstitute.org/gsea/msigdb/cards/BLALOCK_ALZHEIMERS_DISEASE_UP.html" TargetMode="External"/><Relationship Id="rId21" Type="http://schemas.openxmlformats.org/officeDocument/2006/relationships/hyperlink" Target="http://www.broadinstitute.org/gsea/msigdb/cards/FISCHER_DREAM_TARGETS.html" TargetMode="External"/><Relationship Id="rId22" Type="http://schemas.openxmlformats.org/officeDocument/2006/relationships/hyperlink" Target="http://www.broadinstitute.org/gsea/msigdb/cards/MILI_PSEUDOPODIA_HAPTOTAXIS_UP.html" TargetMode="External"/><Relationship Id="rId23" Type="http://schemas.openxmlformats.org/officeDocument/2006/relationships/hyperlink" Target="http://www.broadinstitute.org/gsea/msigdb/cards/JOHNSTONE_PARVB_TARGETS_3_DN.html" TargetMode="External"/><Relationship Id="rId24" Type="http://schemas.openxmlformats.org/officeDocument/2006/relationships/hyperlink" Target="http://www.broadinstitute.org/gsea/msigdb/cards/SCHAEFFER_PROSTATE_DEVELOPMENT_6HR_DN.html" TargetMode="External"/><Relationship Id="rId25" Type="http://schemas.openxmlformats.org/officeDocument/2006/relationships/hyperlink" Target="http://www.broadinstitute.org/gsea/msigdb/cards/DAZARD_UV_RESPONSE_CLUSTER_G6.html" TargetMode="External"/><Relationship Id="rId26" Type="http://schemas.openxmlformats.org/officeDocument/2006/relationships/hyperlink" Target="http://www.broadinstitute.org/gsea/msigdb/cards/DODD_NASOPHARYNGEAL_CARCINOMA_DN.html" TargetMode="External"/><Relationship Id="rId27" Type="http://schemas.openxmlformats.org/officeDocument/2006/relationships/hyperlink" Target="http://www.broadinstitute.org/gsea/msigdb/cards/OSMAN_BLADDER_CANCER_UP.html" TargetMode="External"/><Relationship Id="rId28" Type="http://schemas.openxmlformats.org/officeDocument/2006/relationships/hyperlink" Target="http://www.broadinstitute.org/gsea/msigdb/cards/LASTOWSKA_NEUROBLASTOMA_COPY_NUMBER_DN.html" TargetMode="External"/><Relationship Id="rId110" Type="http://schemas.openxmlformats.org/officeDocument/2006/relationships/hyperlink" Target="http://www.broadinstitute.org/gsea/msigdb/cards/REACTOME_LOSS_OF_NLP_FROM_MITOTIC_CENTROSOMES.html" TargetMode="External"/><Relationship Id="rId111" Type="http://schemas.openxmlformats.org/officeDocument/2006/relationships/hyperlink" Target="http://www.broadinstitute.org/gsea/msigdb/cards/BENPORATH_NANOG_TARGETS.html" TargetMode="External"/><Relationship Id="rId112" Type="http://schemas.openxmlformats.org/officeDocument/2006/relationships/hyperlink" Target="http://www.broadinstitute.org/gsea/msigdb/cards/BROWNE_HCMV_INFECTION_18HR_UP.html" TargetMode="External"/><Relationship Id="rId113" Type="http://schemas.openxmlformats.org/officeDocument/2006/relationships/hyperlink" Target="http://www.broadinstitute.org/gsea/msigdb/cards/GINESTIER_BREAST_CANCER_20Q13_AMPLIFICATION_DN.html" TargetMode="External"/><Relationship Id="rId114" Type="http://schemas.openxmlformats.org/officeDocument/2006/relationships/hyperlink" Target="http://www.broadinstitute.org/gsea/msigdb/cards/HOEBEKE_LYMPHOID_STEM_CELL_UP.html" TargetMode="External"/><Relationship Id="rId115" Type="http://schemas.openxmlformats.org/officeDocument/2006/relationships/hyperlink" Target="http://www.broadinstitute.org/gsea/msigdb/cards/KAUFFMANN_DNA_REPAIR_GENES.html" TargetMode="External"/><Relationship Id="rId116" Type="http://schemas.openxmlformats.org/officeDocument/2006/relationships/hyperlink" Target="http://www.broadinstitute.org/gsea/msigdb/cards/IKEDA_MIR30_TARGETS_UP.html" TargetMode="External"/><Relationship Id="rId117" Type="http://schemas.openxmlformats.org/officeDocument/2006/relationships/hyperlink" Target="http://www.broadinstitute.org/gsea/msigdb/cards/SESTO_RESPONSE_TO_UV_C5.html" TargetMode="External"/><Relationship Id="rId118" Type="http://schemas.openxmlformats.org/officeDocument/2006/relationships/hyperlink" Target="http://www.broadinstitute.org/gsea/msigdb/cards/MULLIGHAN_NPM1_SIGNATURE_3_UP.html" TargetMode="External"/><Relationship Id="rId119" Type="http://schemas.openxmlformats.org/officeDocument/2006/relationships/hyperlink" Target="http://www.broadinstitute.org/gsea/msigdb/cards/GRYDER_PAX3FOXO1_TOP_ENHANCERS.html" TargetMode="External"/><Relationship Id="rId1050" Type="http://schemas.openxmlformats.org/officeDocument/2006/relationships/hyperlink" Target="http://www.broadinstitute.org/gsea/msigdb/cards/GNF2_RPA1.html" TargetMode="External"/><Relationship Id="rId1051" Type="http://schemas.openxmlformats.org/officeDocument/2006/relationships/hyperlink" Target="http://www.broadinstitute.org/gsea/msigdb/cards/MORF_UBE2A.html" TargetMode="External"/><Relationship Id="rId1052" Type="http://schemas.openxmlformats.org/officeDocument/2006/relationships/hyperlink" Target="http://www.broadinstitute.org/gsea/msigdb/cards/MODULE_459.html" TargetMode="External"/><Relationship Id="rId1053" Type="http://schemas.openxmlformats.org/officeDocument/2006/relationships/hyperlink" Target="http://www.broadinstitute.org/gsea/msigdb/cards/GNF2_HAT1.html" TargetMode="External"/><Relationship Id="rId1054" Type="http://schemas.openxmlformats.org/officeDocument/2006/relationships/hyperlink" Target="http://www.broadinstitute.org/gsea/msigdb/cards/MORF_BECN1.html" TargetMode="External"/><Relationship Id="rId1055" Type="http://schemas.openxmlformats.org/officeDocument/2006/relationships/hyperlink" Target="http://www.broadinstitute.org/gsea/msigdb/cards/MODULE_378.html" TargetMode="External"/><Relationship Id="rId1056" Type="http://schemas.openxmlformats.org/officeDocument/2006/relationships/hyperlink" Target="http://www.broadinstitute.org/gsea/msigdb/cards/MODULE_331.html" TargetMode="External"/><Relationship Id="rId1057" Type="http://schemas.openxmlformats.org/officeDocument/2006/relationships/hyperlink" Target="http://www.broadinstitute.org/gsea/msigdb/cards/MORF_RAB1A.html" TargetMode="External"/><Relationship Id="rId1058" Type="http://schemas.openxmlformats.org/officeDocument/2006/relationships/hyperlink" Target="http://www.broadinstitute.org/gsea/msigdb/cards/MODULE_229.html" TargetMode="External"/><Relationship Id="rId1059" Type="http://schemas.openxmlformats.org/officeDocument/2006/relationships/hyperlink" Target="http://www.broadinstitute.org/gsea/msigdb/cards/MODULE_317.html" TargetMode="External"/><Relationship Id="rId29" Type="http://schemas.openxmlformats.org/officeDocument/2006/relationships/hyperlink" Target="http://www.broadinstitute.org/gsea/msigdb/cards/MARTORIATI_MDM4_TARGETS_FETAL_LIVER_DN.html" TargetMode="External"/><Relationship Id="rId660" Type="http://schemas.openxmlformats.org/officeDocument/2006/relationships/hyperlink" Target="http://www.broadinstitute.org/gsea/msigdb/cards/PAX4_01.html" TargetMode="External"/><Relationship Id="rId661" Type="http://schemas.openxmlformats.org/officeDocument/2006/relationships/hyperlink" Target="http://www.broadinstitute.org/gsea/msigdb/cards/CTCAGGG_MIR125B_MIR125A.html" TargetMode="External"/><Relationship Id="rId662" Type="http://schemas.openxmlformats.org/officeDocument/2006/relationships/hyperlink" Target="http://www.broadinstitute.org/gsea/msigdb/cards/CAGCCTC_MIR4855P.html" TargetMode="External"/><Relationship Id="rId663" Type="http://schemas.openxmlformats.org/officeDocument/2006/relationships/hyperlink" Target="http://www.broadinstitute.org/gsea/msigdb/cards/TEL2_Q6.html" TargetMode="External"/><Relationship Id="rId664" Type="http://schemas.openxmlformats.org/officeDocument/2006/relationships/hyperlink" Target="http://www.broadinstitute.org/gsea/msigdb/cards/YNGTTNNNATT_UNKNOWN.html" TargetMode="External"/><Relationship Id="rId665" Type="http://schemas.openxmlformats.org/officeDocument/2006/relationships/hyperlink" Target="http://www.broadinstitute.org/gsea/msigdb/cards/TCF1P_Q6.html" TargetMode="External"/><Relationship Id="rId666" Type="http://schemas.openxmlformats.org/officeDocument/2006/relationships/hyperlink" Target="http://www.broadinstitute.org/gsea/msigdb/cards/SYATTGTG_UNKNOWN.html" TargetMode="External"/><Relationship Id="rId667" Type="http://schemas.openxmlformats.org/officeDocument/2006/relationships/hyperlink" Target="http://www.broadinstitute.org/gsea/msigdb/cards/ACAACTT_MIR382.html" TargetMode="External"/><Relationship Id="rId668" Type="http://schemas.openxmlformats.org/officeDocument/2006/relationships/hyperlink" Target="http://www.broadinstitute.org/gsea/msigdb/cards/CGTSACG_PAX3_B.html" TargetMode="External"/><Relationship Id="rId669" Type="http://schemas.openxmlformats.org/officeDocument/2006/relationships/hyperlink" Target="http://www.broadinstitute.org/gsea/msigdb/cards/AACTGAC_MIR223.html" TargetMode="External"/><Relationship Id="rId30" Type="http://schemas.openxmlformats.org/officeDocument/2006/relationships/hyperlink" Target="http://www.broadinstitute.org/gsea/msigdb/cards/ZHANG_BREAST_CANCER_PROGENITORS_UP.html" TargetMode="External"/><Relationship Id="rId31" Type="http://schemas.openxmlformats.org/officeDocument/2006/relationships/hyperlink" Target="http://www.broadinstitute.org/gsea/msigdb/cards/ENK_UV_RESPONSE_KERATINOCYTE_DN.html" TargetMode="External"/><Relationship Id="rId32" Type="http://schemas.openxmlformats.org/officeDocument/2006/relationships/hyperlink" Target="http://www.broadinstitute.org/gsea/msigdb/cards/KINSEY_TARGETS_OF_EWSR1_FLII_FUSION_UP.html" TargetMode="External"/><Relationship Id="rId33" Type="http://schemas.openxmlformats.org/officeDocument/2006/relationships/hyperlink" Target="http://www.broadinstitute.org/gsea/msigdb/cards/RODRIGUES_THYROID_CARCINOMA_POORLY_DIFFERENTIATED_DN.html" TargetMode="External"/><Relationship Id="rId34" Type="http://schemas.openxmlformats.org/officeDocument/2006/relationships/hyperlink" Target="http://www.broadinstitute.org/gsea/msigdb/cards/MITSIADES_RESPONSE_TO_APLIDIN_DN.html" TargetMode="External"/><Relationship Id="rId35" Type="http://schemas.openxmlformats.org/officeDocument/2006/relationships/hyperlink" Target="http://www.broadinstitute.org/gsea/msigdb/cards/PUJANA_BRCA2_PCC_NETWORK.html" TargetMode="External"/><Relationship Id="rId36" Type="http://schemas.openxmlformats.org/officeDocument/2006/relationships/hyperlink" Target="http://www.broadinstitute.org/gsea/msigdb/cards/SENESE_HDAC3_TARGETS_UP.html" TargetMode="External"/><Relationship Id="rId37" Type="http://schemas.openxmlformats.org/officeDocument/2006/relationships/hyperlink" Target="http://www.broadinstitute.org/gsea/msigdb/cards/CHANDRAN_METASTASIS_UP.html" TargetMode="External"/><Relationship Id="rId38" Type="http://schemas.openxmlformats.org/officeDocument/2006/relationships/hyperlink" Target="http://www.broadinstitute.org/gsea/msigdb/cards/RODRIGUES_THYROID_CARCINOMA_POORLY_DIFFERENTIATED_UP.html" TargetMode="External"/><Relationship Id="rId120" Type="http://schemas.openxmlformats.org/officeDocument/2006/relationships/hyperlink" Target="http://www.broadinstitute.org/gsea/msigdb/cards/BROWNE_HCMV_INFECTION_20HR_UP.html" TargetMode="External"/><Relationship Id="rId121" Type="http://schemas.openxmlformats.org/officeDocument/2006/relationships/hyperlink" Target="http://www.broadinstitute.org/gsea/msigdb/cards/WEST_ADRENOCORTICAL_TUMOR_UP.html" TargetMode="External"/><Relationship Id="rId122" Type="http://schemas.openxmlformats.org/officeDocument/2006/relationships/hyperlink" Target="http://www.broadinstitute.org/gsea/msigdb/cards/CHARAFE_BREAST_CANCER_LUMINAL_VS_BASAL_UP.html" TargetMode="External"/><Relationship Id="rId123" Type="http://schemas.openxmlformats.org/officeDocument/2006/relationships/hyperlink" Target="http://www.broadinstitute.org/gsea/msigdb/cards/BURTON_ADIPOGENESIS_12.html" TargetMode="External"/><Relationship Id="rId124" Type="http://schemas.openxmlformats.org/officeDocument/2006/relationships/hyperlink" Target="http://www.broadinstitute.org/gsea/msigdb/cards/BASAKI_YBX1_TARGETS_DN.html" TargetMode="External"/><Relationship Id="rId125" Type="http://schemas.openxmlformats.org/officeDocument/2006/relationships/hyperlink" Target="http://www.broadinstitute.org/gsea/msigdb/cards/REACTOME_MITOTIC_PROMETAPHASE.html" TargetMode="External"/><Relationship Id="rId126" Type="http://schemas.openxmlformats.org/officeDocument/2006/relationships/hyperlink" Target="http://www.broadinstitute.org/gsea/msigdb/cards/ZHANG_TLX_TARGETS_60HR_DN.html" TargetMode="External"/><Relationship Id="rId127" Type="http://schemas.openxmlformats.org/officeDocument/2006/relationships/hyperlink" Target="http://www.broadinstitute.org/gsea/msigdb/cards/KOINUMA_TARGETS_OF_SMAD2_OR_SMAD3.html" TargetMode="External"/><Relationship Id="rId128" Type="http://schemas.openxmlformats.org/officeDocument/2006/relationships/hyperlink" Target="http://www.broadinstitute.org/gsea/msigdb/cards/REACTOME_REGULATORY_RNA_PATHWAYS.html" TargetMode="External"/><Relationship Id="rId129" Type="http://schemas.openxmlformats.org/officeDocument/2006/relationships/hyperlink" Target="http://www.broadinstitute.org/gsea/msigdb/cards/SESTO_RESPONSE_TO_UV_C2.html" TargetMode="External"/><Relationship Id="rId1060" Type="http://schemas.openxmlformats.org/officeDocument/2006/relationships/hyperlink" Target="http://www.broadinstitute.org/gsea/msigdb/cards/MORF_EIF4A2.html" TargetMode="External"/><Relationship Id="rId1061" Type="http://schemas.openxmlformats.org/officeDocument/2006/relationships/hyperlink" Target="http://www.broadinstitute.org/gsea/msigdb/cards/MODULE_255.html" TargetMode="External"/><Relationship Id="rId1062" Type="http://schemas.openxmlformats.org/officeDocument/2006/relationships/hyperlink" Target="http://www.broadinstitute.org/gsea/msigdb/cards/MORF_PTPN11.html" TargetMode="External"/><Relationship Id="rId1063" Type="http://schemas.openxmlformats.org/officeDocument/2006/relationships/hyperlink" Target="http://www.broadinstitute.org/gsea/msigdb/cards/GNF2_BNIP2.html" TargetMode="External"/><Relationship Id="rId1064" Type="http://schemas.openxmlformats.org/officeDocument/2006/relationships/hyperlink" Target="http://www.broadinstitute.org/gsea/msigdb/cards/MODULE_8.html" TargetMode="External"/><Relationship Id="rId1065" Type="http://schemas.openxmlformats.org/officeDocument/2006/relationships/hyperlink" Target="http://www.broadinstitute.org/gsea/msigdb/cards/MORF_PPP2R5E.html" TargetMode="External"/><Relationship Id="rId1066" Type="http://schemas.openxmlformats.org/officeDocument/2006/relationships/hyperlink" Target="http://www.broadinstitute.org/gsea/msigdb/cards/GCM_BCL2L1.html" TargetMode="External"/><Relationship Id="rId1067" Type="http://schemas.openxmlformats.org/officeDocument/2006/relationships/hyperlink" Target="http://www.broadinstitute.org/gsea/msigdb/cards/MORF_BUB3.html" TargetMode="External"/><Relationship Id="rId1068" Type="http://schemas.openxmlformats.org/officeDocument/2006/relationships/hyperlink" Target="http://www.broadinstitute.org/gsea/msigdb/cards/MODULE_237.html" TargetMode="External"/><Relationship Id="rId1069" Type="http://schemas.openxmlformats.org/officeDocument/2006/relationships/hyperlink" Target="http://www.broadinstitute.org/gsea/msigdb/cards/MORF_MAGEA9.html" TargetMode="External"/><Relationship Id="rId39" Type="http://schemas.openxmlformats.org/officeDocument/2006/relationships/hyperlink" Target="http://www.broadinstitute.org/gsea/msigdb/cards/MONNIER_POSTRADIATION_TUMOR_ESCAPE_UP.html" TargetMode="External"/><Relationship Id="rId670" Type="http://schemas.openxmlformats.org/officeDocument/2006/relationships/hyperlink" Target="http://www.broadinstitute.org/gsea/msigdb/cards/RREB1_01.html" TargetMode="External"/><Relationship Id="rId671" Type="http://schemas.openxmlformats.org/officeDocument/2006/relationships/hyperlink" Target="http://www.broadinstitute.org/gsea/msigdb/cards/WTTGKCTG_UNKNOWN.html" TargetMode="External"/><Relationship Id="rId672" Type="http://schemas.openxmlformats.org/officeDocument/2006/relationships/hyperlink" Target="http://www.broadinstitute.org/gsea/msigdb/cards/GCTGAGT_MIR5125P.html" TargetMode="External"/><Relationship Id="rId673" Type="http://schemas.openxmlformats.org/officeDocument/2006/relationships/hyperlink" Target="http://www.broadinstitute.org/gsea/msigdb/cards/OLF1_01.html" TargetMode="External"/><Relationship Id="rId674" Type="http://schemas.openxmlformats.org/officeDocument/2006/relationships/hyperlink" Target="http://www.broadinstitute.org/gsea/msigdb/cards/AP2_Q6_01.html" TargetMode="External"/><Relationship Id="rId675" Type="http://schemas.openxmlformats.org/officeDocument/2006/relationships/hyperlink" Target="http://www.broadinstitute.org/gsea/msigdb/cards/AGGAAGC_MIR5163P.html" TargetMode="External"/><Relationship Id="rId676" Type="http://schemas.openxmlformats.org/officeDocument/2006/relationships/hyperlink" Target="http://www.broadinstitute.org/gsea/msigdb/cards/CREB_Q4_01.html" TargetMode="External"/><Relationship Id="rId677" Type="http://schemas.openxmlformats.org/officeDocument/2006/relationships/hyperlink" Target="http://www.broadinstitute.org/gsea/msigdb/cards/AAGGGAT_MIR188.html" TargetMode="External"/><Relationship Id="rId678" Type="http://schemas.openxmlformats.org/officeDocument/2006/relationships/hyperlink" Target="http://www.broadinstitute.org/gsea/msigdb/cards/AAAGGAT_MIR501.html" TargetMode="External"/><Relationship Id="rId679" Type="http://schemas.openxmlformats.org/officeDocument/2006/relationships/hyperlink" Target="http://www.broadinstitute.org/gsea/msigdb/cards/SP1_Q2_01.html" TargetMode="External"/><Relationship Id="rId40" Type="http://schemas.openxmlformats.org/officeDocument/2006/relationships/hyperlink" Target="http://www.broadinstitute.org/gsea/msigdb/cards/PUJANA_CHEK2_PCC_NETWORK.html" TargetMode="External"/><Relationship Id="rId41" Type="http://schemas.openxmlformats.org/officeDocument/2006/relationships/hyperlink" Target="http://www.broadinstitute.org/gsea/msigdb/cards/LEE_BMP2_TARGETS_DN.html" TargetMode="External"/><Relationship Id="rId42" Type="http://schemas.openxmlformats.org/officeDocument/2006/relationships/hyperlink" Target="http://www.broadinstitute.org/gsea/msigdb/cards/CHEN_HOXA5_TARGETS_9HR_UP.html" TargetMode="External"/><Relationship Id="rId43" Type="http://schemas.openxmlformats.org/officeDocument/2006/relationships/hyperlink" Target="http://www.broadinstitute.org/gsea/msigdb/cards/BILD_CTNNB1_ONCOGENIC_SIGNATURE.html" TargetMode="External"/><Relationship Id="rId44" Type="http://schemas.openxmlformats.org/officeDocument/2006/relationships/hyperlink" Target="http://www.broadinstitute.org/gsea/msigdb/cards/ONKEN_UVEAL_MELANOMA_UP.html" TargetMode="External"/><Relationship Id="rId45" Type="http://schemas.openxmlformats.org/officeDocument/2006/relationships/hyperlink" Target="http://www.broadinstitute.org/gsea/msigdb/cards/WANG_LMO4_TARGETS_DN.html" TargetMode="External"/><Relationship Id="rId46" Type="http://schemas.openxmlformats.org/officeDocument/2006/relationships/hyperlink" Target="http://www.broadinstitute.org/gsea/msigdb/cards/PATIL_LIVER_CANCER.html" TargetMode="External"/><Relationship Id="rId47" Type="http://schemas.openxmlformats.org/officeDocument/2006/relationships/hyperlink" Target="http://www.broadinstitute.org/gsea/msigdb/cards/FLECHNER_BIOPSY_KIDNEY_TRANSPLANT_OK_VS_DONOR_UP.html" TargetMode="External"/><Relationship Id="rId48" Type="http://schemas.openxmlformats.org/officeDocument/2006/relationships/hyperlink" Target="http://www.broadinstitute.org/gsea/msigdb/cards/DING_LUNG_CANCER_EXPRESSION_BY_COPY_NUMBER.html" TargetMode="External"/><Relationship Id="rId130" Type="http://schemas.openxmlformats.org/officeDocument/2006/relationships/hyperlink" Target="http://www.broadinstitute.org/gsea/msigdb/cards/DEBIASI_APOPTOSIS_BY_REOVIRUS_INFECTION_UP.html" TargetMode="External"/><Relationship Id="rId131" Type="http://schemas.openxmlformats.org/officeDocument/2006/relationships/hyperlink" Target="http://www.broadinstitute.org/gsea/msigdb/cards/UDAYAKUMAR_MED1_TARGETS_UP.html" TargetMode="External"/><Relationship Id="rId132" Type="http://schemas.openxmlformats.org/officeDocument/2006/relationships/hyperlink" Target="http://www.broadinstitute.org/gsea/msigdb/cards/EPPERT_PROGENITOR.html" TargetMode="External"/><Relationship Id="rId133" Type="http://schemas.openxmlformats.org/officeDocument/2006/relationships/hyperlink" Target="http://www.broadinstitute.org/gsea/msigdb/cards/OISHI_CHOLANGIOMA_STEM_CELL_LIKE_UP.html" TargetMode="External"/><Relationship Id="rId134" Type="http://schemas.openxmlformats.org/officeDocument/2006/relationships/hyperlink" Target="http://www.broadinstitute.org/gsea/msigdb/cards/DEURIG_T_CELL_PROLYMPHOCYTIC_LEUKEMIA_DN.html" TargetMode="External"/><Relationship Id="rId135" Type="http://schemas.openxmlformats.org/officeDocument/2006/relationships/hyperlink" Target="http://www.broadinstitute.org/gsea/msigdb/cards/REACTOME_PRE_NOTCH_TRANSCRIPTION_AND_TRANSLATION.html" TargetMode="External"/><Relationship Id="rId136" Type="http://schemas.openxmlformats.org/officeDocument/2006/relationships/hyperlink" Target="http://www.broadinstitute.org/gsea/msigdb/cards/REACTOME_PROCESSING_OF_CAPPED_INTRON_CONTAINING_PRE_MRNA.html" TargetMode="External"/><Relationship Id="rId137" Type="http://schemas.openxmlformats.org/officeDocument/2006/relationships/hyperlink" Target="http://www.broadinstitute.org/gsea/msigdb/cards/KEGG_LYSINE_DEGRADATION.html" TargetMode="External"/><Relationship Id="rId138" Type="http://schemas.openxmlformats.org/officeDocument/2006/relationships/hyperlink" Target="http://www.broadinstitute.org/gsea/msigdb/cards/WANG_CLIM2_TARGETS_UP.html" TargetMode="External"/><Relationship Id="rId139" Type="http://schemas.openxmlformats.org/officeDocument/2006/relationships/hyperlink" Target="http://www.broadinstitute.org/gsea/msigdb/cards/BILD_SRC_ONCOGENIC_SIGNATURE.html" TargetMode="External"/><Relationship Id="rId1070" Type="http://schemas.openxmlformats.org/officeDocument/2006/relationships/hyperlink" Target="http://www.broadinstitute.org/gsea/msigdb/cards/MORF_DMPK.html" TargetMode="External"/><Relationship Id="rId1071" Type="http://schemas.openxmlformats.org/officeDocument/2006/relationships/hyperlink" Target="http://www.broadinstitute.org/gsea/msigdb/cards/MORF_RAC1.html" TargetMode="External"/><Relationship Id="rId2500" Type="http://schemas.openxmlformats.org/officeDocument/2006/relationships/hyperlink" Target="http://www.broadinstitute.org/gsea/msigdb/cards/GSE29618_PRE_VS_DAY7_FLU_VACCINE_MDC_DN.html" TargetMode="External"/><Relationship Id="rId2501" Type="http://schemas.openxmlformats.org/officeDocument/2006/relationships/hyperlink" Target="http://www.broadinstitute.org/gsea/msigdb/cards/GSE31082_DN_VS_CD8_SP_THYMOCYTE_UP.html" TargetMode="External"/><Relationship Id="rId2502" Type="http://schemas.openxmlformats.org/officeDocument/2006/relationships/hyperlink" Target="http://www.broadinstitute.org/gsea/msigdb/cards/GSE33513_TCF7_KO_VS_HET_EARLY_THYMIC_PROGENITOR_DN.html" TargetMode="External"/><Relationship Id="rId2503" Type="http://schemas.openxmlformats.org/officeDocument/2006/relationships/hyperlink" Target="http://www.broadinstitute.org/gsea/msigdb/cards/GSE360_CTRL_VS_L_DONOVANI_MAC_DN.html" TargetMode="External"/><Relationship Id="rId2504" Type="http://schemas.openxmlformats.org/officeDocument/2006/relationships/hyperlink" Target="http://www.broadinstitute.org/gsea/msigdb/cards/GSE360_DC_VS_MAC_L_DONOVANI_DN.html" TargetMode="External"/><Relationship Id="rId2505" Type="http://schemas.openxmlformats.org/officeDocument/2006/relationships/hyperlink" Target="http://www.broadinstitute.org/gsea/msigdb/cards/GSE360_L_DONOVANI_VS_L_MAJOR_DC_UP.html" TargetMode="External"/><Relationship Id="rId2506" Type="http://schemas.openxmlformats.org/officeDocument/2006/relationships/hyperlink" Target="http://www.broadinstitute.org/gsea/msigdb/cards/GSE360_L_DONOVANI_VS_L_MAJOR_MAC_UP.html" TargetMode="External"/><Relationship Id="rId2507" Type="http://schemas.openxmlformats.org/officeDocument/2006/relationships/hyperlink" Target="http://www.broadinstitute.org/gsea/msigdb/cards/GSE36476_CTRL_VS_TSST_ACT_16H_MEMORY_CD4_TCELL_YOUNG_UP.html" TargetMode="External"/><Relationship Id="rId2508" Type="http://schemas.openxmlformats.org/officeDocument/2006/relationships/hyperlink" Target="http://www.broadinstitute.org/gsea/msigdb/cards/GSE36476_CTRL_VS_TSST_ACT_40H_MEMORY_CD4_TCELL_YOUNG_UP.html" TargetMode="External"/><Relationship Id="rId2509" Type="http://schemas.openxmlformats.org/officeDocument/2006/relationships/hyperlink" Target="http://www.broadinstitute.org/gsea/msigdb/cards/GSE36476_CTRL_VS_TSST_ACT_72H_MEMORY_CD4_TCELL_YOUNG_UP.html" TargetMode="External"/><Relationship Id="rId1072" Type="http://schemas.openxmlformats.org/officeDocument/2006/relationships/hyperlink" Target="http://www.broadinstitute.org/gsea/msigdb/cards/GCM_SMO.html" TargetMode="External"/><Relationship Id="rId1073" Type="http://schemas.openxmlformats.org/officeDocument/2006/relationships/hyperlink" Target="http://www.broadinstitute.org/gsea/msigdb/cards/MORF_RPA1.html" TargetMode="External"/><Relationship Id="rId1074" Type="http://schemas.openxmlformats.org/officeDocument/2006/relationships/hyperlink" Target="http://www.broadinstitute.org/gsea/msigdb/cards/GNF2_MCM5.html" TargetMode="External"/><Relationship Id="rId1075" Type="http://schemas.openxmlformats.org/officeDocument/2006/relationships/hyperlink" Target="http://www.broadinstitute.org/gsea/msigdb/cards/MODULE_323.html" TargetMode="External"/><Relationship Id="rId1076" Type="http://schemas.openxmlformats.org/officeDocument/2006/relationships/hyperlink" Target="http://www.broadinstitute.org/gsea/msigdb/cards/MORF_XPC.html" TargetMode="External"/><Relationship Id="rId1077" Type="http://schemas.openxmlformats.org/officeDocument/2006/relationships/hyperlink" Target="http://www.broadinstitute.org/gsea/msigdb/cards/MODULE_17.html" TargetMode="External"/><Relationship Id="rId1078" Type="http://schemas.openxmlformats.org/officeDocument/2006/relationships/hyperlink" Target="http://www.broadinstitute.org/gsea/msigdb/cards/MORF_BCL2.html" TargetMode="External"/><Relationship Id="rId1079" Type="http://schemas.openxmlformats.org/officeDocument/2006/relationships/hyperlink" Target="http://www.broadinstitute.org/gsea/msigdb/cards/MORF_ATF2.html" TargetMode="External"/><Relationship Id="rId49" Type="http://schemas.openxmlformats.org/officeDocument/2006/relationships/hyperlink" Target="http://www.broadinstitute.org/gsea/msigdb/cards/KRIGE_RESPONSE_TO_TOSEDOSTAT_6HR_UP.html" TargetMode="External"/><Relationship Id="rId1800" Type="http://schemas.openxmlformats.org/officeDocument/2006/relationships/hyperlink" Target="http://www.broadinstitute.org/gsea/msigdb/cards/BCAT_BILD_ET_AL_DN.html" TargetMode="External"/><Relationship Id="rId1801" Type="http://schemas.openxmlformats.org/officeDocument/2006/relationships/hyperlink" Target="http://www.broadinstitute.org/gsea/msigdb/cards/ERB2_UP.V1_DN.html" TargetMode="External"/><Relationship Id="rId1802" Type="http://schemas.openxmlformats.org/officeDocument/2006/relationships/hyperlink" Target="http://www.broadinstitute.org/gsea/msigdb/cards/MTOR_UP.N4.V1_DN.html" TargetMode="External"/><Relationship Id="rId1803" Type="http://schemas.openxmlformats.org/officeDocument/2006/relationships/hyperlink" Target="http://www.broadinstitute.org/gsea/msigdb/cards/GSE27241_WT_VS_RORGT_KO_TH17_POLARIZED_CD4_TCELL_TREATED_WITH_DIGOXIN_UP.html" TargetMode="External"/><Relationship Id="rId1804" Type="http://schemas.openxmlformats.org/officeDocument/2006/relationships/hyperlink" Target="http://www.broadinstitute.org/gsea/msigdb/cards/GSE45881_CXCR6HI_VS_CXCR1LO_COLONIC_LAMINA_PROPRIA_UP.html" TargetMode="External"/><Relationship Id="rId1805" Type="http://schemas.openxmlformats.org/officeDocument/2006/relationships/hyperlink" Target="http://www.broadinstitute.org/gsea/msigdb/cards/GSE12003_MIR223_KO_VS_WT_BM_PROGENITOR_4D_CULTURE_UP.html" TargetMode="External"/><Relationship Id="rId1806" Type="http://schemas.openxmlformats.org/officeDocument/2006/relationships/hyperlink" Target="http://www.broadinstitute.org/gsea/msigdb/cards/GSE40655_FOXO1_KO_VS_WT_NTREG_UP.html" TargetMode="External"/><Relationship Id="rId1807" Type="http://schemas.openxmlformats.org/officeDocument/2006/relationships/hyperlink" Target="http://www.broadinstitute.org/gsea/msigdb/cards/GSE7509_UNSTIM_VS_FCGRIIB_STIM_MONOCYTE_DN.html" TargetMode="External"/><Relationship Id="rId1808" Type="http://schemas.openxmlformats.org/officeDocument/2006/relationships/hyperlink" Target="http://www.broadinstitute.org/gsea/msigdb/cards/GSE6674_CPG_VS_PL2_3_STIM_BCELL_DN.html" TargetMode="External"/><Relationship Id="rId1809" Type="http://schemas.openxmlformats.org/officeDocument/2006/relationships/hyperlink" Target="http://www.broadinstitute.org/gsea/msigdb/cards/GSE21360_PRIMARY_VS_QUATERNARY_MEMORY_CD8_TCELL_DN.html" TargetMode="External"/><Relationship Id="rId680" Type="http://schemas.openxmlformats.org/officeDocument/2006/relationships/hyperlink" Target="http://www.broadinstitute.org/gsea/msigdb/cards/CTATGCA_MIR153.html" TargetMode="External"/><Relationship Id="rId681" Type="http://schemas.openxmlformats.org/officeDocument/2006/relationships/hyperlink" Target="http://www.broadinstitute.org/gsea/msigdb/cards/ATTACAT_MIR3803P.html" TargetMode="External"/><Relationship Id="rId682" Type="http://schemas.openxmlformats.org/officeDocument/2006/relationships/hyperlink" Target="http://www.broadinstitute.org/gsea/msigdb/cards/CTGCAGY_UNKNOWN.html" TargetMode="External"/><Relationship Id="rId683" Type="http://schemas.openxmlformats.org/officeDocument/2006/relationships/hyperlink" Target="http://www.broadinstitute.org/gsea/msigdb/cards/ACTWSNACTNY_UNKNOWN.html" TargetMode="External"/><Relationship Id="rId684" Type="http://schemas.openxmlformats.org/officeDocument/2006/relationships/hyperlink" Target="http://www.broadinstitute.org/gsea/msigdb/cards/STAT1_02.html" TargetMode="External"/><Relationship Id="rId685" Type="http://schemas.openxmlformats.org/officeDocument/2006/relationships/hyperlink" Target="http://www.broadinstitute.org/gsea/msigdb/cards/CREB_02.html" TargetMode="External"/><Relationship Id="rId686" Type="http://schemas.openxmlformats.org/officeDocument/2006/relationships/hyperlink" Target="http://www.broadinstitute.org/gsea/msigdb/cards/FAC1_01.html" TargetMode="External"/><Relationship Id="rId687" Type="http://schemas.openxmlformats.org/officeDocument/2006/relationships/hyperlink" Target="http://www.broadinstitute.org/gsea/msigdb/cards/TAATAAT_MIR126.html" TargetMode="External"/><Relationship Id="rId688" Type="http://schemas.openxmlformats.org/officeDocument/2006/relationships/hyperlink" Target="http://www.broadinstitute.org/gsea/msigdb/cards/GTACAGG_MIR486.html" TargetMode="External"/><Relationship Id="rId689" Type="http://schemas.openxmlformats.org/officeDocument/2006/relationships/hyperlink" Target="http://www.broadinstitute.org/gsea/msigdb/cards/RFX1_01.html" TargetMode="External"/><Relationship Id="rId50" Type="http://schemas.openxmlformats.org/officeDocument/2006/relationships/hyperlink" Target="http://www.broadinstitute.org/gsea/msigdb/cards/CUI_TCF21_TARGETS_2_DN.html" TargetMode="External"/><Relationship Id="rId51" Type="http://schemas.openxmlformats.org/officeDocument/2006/relationships/hyperlink" Target="http://www.broadinstitute.org/gsea/msigdb/cards/RICKMAN_TUMOR_DIFFERENTIATED_WELL_VS_POORLY_UP.html" TargetMode="External"/><Relationship Id="rId52" Type="http://schemas.openxmlformats.org/officeDocument/2006/relationships/hyperlink" Target="http://www.broadinstitute.org/gsea/msigdb/cards/GOBERT_OLIGODENDROCYTE_DIFFERENTIATION_DN.html" TargetMode="External"/><Relationship Id="rId53" Type="http://schemas.openxmlformats.org/officeDocument/2006/relationships/hyperlink" Target="http://www.broadinstitute.org/gsea/msigdb/cards/GEORGES_TARGETS_OF_MIR192_AND_MIR215.html" TargetMode="External"/><Relationship Id="rId54" Type="http://schemas.openxmlformats.org/officeDocument/2006/relationships/hyperlink" Target="http://www.broadinstitute.org/gsea/msigdb/cards/GRAESSMANN_RESPONSE_TO_MC_AND_DOXORUBICIN_DN.html" TargetMode="External"/><Relationship Id="rId55" Type="http://schemas.openxmlformats.org/officeDocument/2006/relationships/hyperlink" Target="http://www.broadinstitute.org/gsea/msigdb/cards/SCHLOSSER_SERUM_RESPONSE_DN.html" TargetMode="External"/><Relationship Id="rId56" Type="http://schemas.openxmlformats.org/officeDocument/2006/relationships/hyperlink" Target="http://www.broadinstitute.org/gsea/msigdb/cards/DACOSTA_UV_RESPONSE_VIA_ERCC3_TTD_DN.html" TargetMode="External"/><Relationship Id="rId57" Type="http://schemas.openxmlformats.org/officeDocument/2006/relationships/hyperlink" Target="http://www.broadinstitute.org/gsea/msigdb/cards/GRESHOCK_CANCER_COPY_NUMBER_UP.html" TargetMode="External"/><Relationship Id="rId58" Type="http://schemas.openxmlformats.org/officeDocument/2006/relationships/hyperlink" Target="http://www.broadinstitute.org/gsea/msigdb/cards/PYEON_CANCER_HEAD_AND_NECK_VS_CERVICAL_UP.html" TargetMode="External"/><Relationship Id="rId140" Type="http://schemas.openxmlformats.org/officeDocument/2006/relationships/hyperlink" Target="http://www.broadinstitute.org/gsea/msigdb/cards/IVANOVA_HEMATOPOIESIS_STEM_CELL_SHORT_TERM.html" TargetMode="External"/><Relationship Id="rId141" Type="http://schemas.openxmlformats.org/officeDocument/2006/relationships/hyperlink" Target="http://www.broadinstitute.org/gsea/msigdb/cards/DANG_BOUND_BY_MYC.html" TargetMode="External"/><Relationship Id="rId142" Type="http://schemas.openxmlformats.org/officeDocument/2006/relationships/hyperlink" Target="http://www.broadinstitute.org/gsea/msigdb/cards/GINESTIER_BREAST_CANCER_ZNF217_AMPLIFIED_DN.html" TargetMode="External"/><Relationship Id="rId143" Type="http://schemas.openxmlformats.org/officeDocument/2006/relationships/hyperlink" Target="http://www.broadinstitute.org/gsea/msigdb/cards/SAKAI_CHRONIC_HEPATITIS_VS_LIVER_CANCER_UP.html" TargetMode="External"/><Relationship Id="rId144" Type="http://schemas.openxmlformats.org/officeDocument/2006/relationships/hyperlink" Target="http://www.broadinstitute.org/gsea/msigdb/cards/REACTOME_INTERACTIONS_OF_VPR_WITH_HOST_CELLULAR_PROTEINS.html" TargetMode="External"/><Relationship Id="rId145" Type="http://schemas.openxmlformats.org/officeDocument/2006/relationships/hyperlink" Target="http://www.broadinstitute.org/gsea/msigdb/cards/REACTOME_ANTIVIRAL_MECHANISM_BY_IFN_STIMULATED_GENES.html" TargetMode="External"/><Relationship Id="rId146" Type="http://schemas.openxmlformats.org/officeDocument/2006/relationships/hyperlink" Target="http://www.broadinstitute.org/gsea/msigdb/cards/PLASARI_TGFB1_SIGNALING_VIA_NFIC_1HR_DN.html" TargetMode="External"/><Relationship Id="rId147" Type="http://schemas.openxmlformats.org/officeDocument/2006/relationships/hyperlink" Target="http://www.broadinstitute.org/gsea/msigdb/cards/HAHTOLA_MYCOSIS_FUNGOIDES_SKIN_UP.html" TargetMode="External"/><Relationship Id="rId148" Type="http://schemas.openxmlformats.org/officeDocument/2006/relationships/hyperlink" Target="http://www.broadinstitute.org/gsea/msigdb/cards/VANHARANTA_UTERINE_FIBROID_WITH_7Q_DELETION_UP.html" TargetMode="External"/><Relationship Id="rId149" Type="http://schemas.openxmlformats.org/officeDocument/2006/relationships/hyperlink" Target="http://www.broadinstitute.org/gsea/msigdb/cards/BRUINS_UVC_RESPONSE_EARLY_LATE.html" TargetMode="External"/><Relationship Id="rId1080" Type="http://schemas.openxmlformats.org/officeDocument/2006/relationships/hyperlink" Target="http://www.broadinstitute.org/gsea/msigdb/cards/MORF_FOSL1.html" TargetMode="External"/><Relationship Id="rId1081" Type="http://schemas.openxmlformats.org/officeDocument/2006/relationships/hyperlink" Target="http://www.broadinstitute.org/gsea/msigdb/cards/MORF_RAB6A.html" TargetMode="External"/><Relationship Id="rId2510" Type="http://schemas.openxmlformats.org/officeDocument/2006/relationships/hyperlink" Target="http://www.broadinstitute.org/gsea/msigdb/cards/GSE37416_CTRL_VS_12H_F_TULARENSIS_LVS_NEUTROPHIL_UP.html" TargetMode="External"/><Relationship Id="rId2511" Type="http://schemas.openxmlformats.org/officeDocument/2006/relationships/hyperlink" Target="http://www.broadinstitute.org/gsea/msigdb/cards/GSE37416_0H_VS_3H_F_TULARENSIS_LVS_NEUTROPHIL_UP.html" TargetMode="External"/><Relationship Id="rId2512" Type="http://schemas.openxmlformats.org/officeDocument/2006/relationships/hyperlink" Target="http://www.broadinstitute.org/gsea/msigdb/cards/GSE3982_MAC_VS_NEUTROPHIL_LPS_STIM_UP.html" TargetMode="External"/><Relationship Id="rId2513" Type="http://schemas.openxmlformats.org/officeDocument/2006/relationships/hyperlink" Target="http://www.broadinstitute.org/gsea/msigdb/cards/GSE3982_DC_VS_BCELL_DN.html" TargetMode="External"/><Relationship Id="rId2514" Type="http://schemas.openxmlformats.org/officeDocument/2006/relationships/hyperlink" Target="http://www.broadinstitute.org/gsea/msigdb/cards/GSE3982_DC_VS_BASOPHIL_DN.html" TargetMode="External"/><Relationship Id="rId2515" Type="http://schemas.openxmlformats.org/officeDocument/2006/relationships/hyperlink" Target="http://www.broadinstitute.org/gsea/msigdb/cards/GSE3982_DC_VS_EFF_MEMORY_CD4_TCELL_DN.html" TargetMode="External"/><Relationship Id="rId2516" Type="http://schemas.openxmlformats.org/officeDocument/2006/relationships/hyperlink" Target="http://www.broadinstitute.org/gsea/msigdb/cards/GSE3982_NEUTROPHIL_VS_BCELL_DN.html" TargetMode="External"/><Relationship Id="rId2517" Type="http://schemas.openxmlformats.org/officeDocument/2006/relationships/hyperlink" Target="http://www.broadinstitute.org/gsea/msigdb/cards/GSE3982_BASOPHIL_VS_EFF_MEMORY_CD4_TCELL_UP.html" TargetMode="External"/><Relationship Id="rId2518" Type="http://schemas.openxmlformats.org/officeDocument/2006/relationships/hyperlink" Target="http://www.broadinstitute.org/gsea/msigdb/cards/GSE7460_FOXP3_MUT_VS_WT_ACT_TCONV_DN.html" TargetMode="External"/><Relationship Id="rId2519" Type="http://schemas.openxmlformats.org/officeDocument/2006/relationships/hyperlink" Target="http://www.broadinstitute.org/gsea/msigdb/cards/GSE7460_WT_VS_FOXP3_HET_ACT_TCONV_UP.html" TargetMode="External"/><Relationship Id="rId1082" Type="http://schemas.openxmlformats.org/officeDocument/2006/relationships/hyperlink" Target="http://www.broadinstitute.org/gsea/msigdb/cards/GCM_USP6.html" TargetMode="External"/><Relationship Id="rId1083" Type="http://schemas.openxmlformats.org/officeDocument/2006/relationships/hyperlink" Target="http://www.broadinstitute.org/gsea/msigdb/cards/MODULE_67.html" TargetMode="External"/><Relationship Id="rId1084" Type="http://schemas.openxmlformats.org/officeDocument/2006/relationships/hyperlink" Target="http://www.broadinstitute.org/gsea/msigdb/cards/GO_RNA_BINDING.html" TargetMode="External"/><Relationship Id="rId1085" Type="http://schemas.openxmlformats.org/officeDocument/2006/relationships/hyperlink" Target="http://www.broadinstitute.org/gsea/msigdb/cards/GO_CHROMOSOME_ORGANIZATION.html" TargetMode="External"/><Relationship Id="rId1086" Type="http://schemas.openxmlformats.org/officeDocument/2006/relationships/hyperlink" Target="http://www.broadinstitute.org/gsea/msigdb/cards/GO_POLY_A_RNA_BINDING.html" TargetMode="External"/><Relationship Id="rId1087" Type="http://schemas.openxmlformats.org/officeDocument/2006/relationships/hyperlink" Target="http://www.broadinstitute.org/gsea/msigdb/cards/GO_NUCLEOPLASM_PART.html" TargetMode="External"/><Relationship Id="rId1088" Type="http://schemas.openxmlformats.org/officeDocument/2006/relationships/hyperlink" Target="http://www.broadinstitute.org/gsea/msigdb/cards/GO_CHROMATIN_MODIFICATION.html" TargetMode="External"/><Relationship Id="rId1089" Type="http://schemas.openxmlformats.org/officeDocument/2006/relationships/hyperlink" Target="http://www.broadinstitute.org/gsea/msigdb/cards/GO_CHROMATIN_ORGANIZATION.html" TargetMode="External"/><Relationship Id="rId59" Type="http://schemas.openxmlformats.org/officeDocument/2006/relationships/hyperlink" Target="http://www.broadinstitute.org/gsea/msigdb/cards/VILLANUEVA_LIVER_CANCER_KRT19_UP.html" TargetMode="External"/><Relationship Id="rId1810" Type="http://schemas.openxmlformats.org/officeDocument/2006/relationships/hyperlink" Target="http://www.broadinstitute.org/gsea/msigdb/cards/GSE40493_BCL6_KO_VS_WT_TREG_UP.html" TargetMode="External"/><Relationship Id="rId1811" Type="http://schemas.openxmlformats.org/officeDocument/2006/relationships/hyperlink" Target="http://www.broadinstitute.org/gsea/msigdb/cards/GSE21927_SPLEEN_C57BL6_VS_EL4_TUMOR_BALBC_MONOCYTES_UP.html" TargetMode="External"/><Relationship Id="rId1812" Type="http://schemas.openxmlformats.org/officeDocument/2006/relationships/hyperlink" Target="http://www.broadinstitute.org/gsea/msigdb/cards/GSE21063_CTRL_VS_ANTI_IGM_STIM_BCELL_NFATC1_KO_8H_UP.html" TargetMode="External"/><Relationship Id="rId1813" Type="http://schemas.openxmlformats.org/officeDocument/2006/relationships/hyperlink" Target="http://www.broadinstitute.org/gsea/msigdb/cards/GSE24671_CTRL_VS_SENDAI_VIRUS_INFECTED_MOUSE_SPLENOCYTES_DN.html" TargetMode="External"/><Relationship Id="rId1814" Type="http://schemas.openxmlformats.org/officeDocument/2006/relationships/hyperlink" Target="http://www.broadinstitute.org/gsea/msigdb/cards/GSE9601_UNTREATED_VS_NFKB_INHIBITOR_TREATED_HCMV_INF_MONOCYTE_DN.html" TargetMode="External"/><Relationship Id="rId1815" Type="http://schemas.openxmlformats.org/officeDocument/2006/relationships/hyperlink" Target="http://www.broadinstitute.org/gsea/msigdb/cards/GSE17974_0.5H_VS_72H_IL4_AND_ANTI_IL12_ACT_CD4_TCELL_UP.html" TargetMode="External"/><Relationship Id="rId1816" Type="http://schemas.openxmlformats.org/officeDocument/2006/relationships/hyperlink" Target="http://www.broadinstitute.org/gsea/msigdb/cards/GSE9960_HEALTHY_VS_GRAM_NEG_AND_POS_SEPSIS_PBMC_DN.html" TargetMode="External"/><Relationship Id="rId1817" Type="http://schemas.openxmlformats.org/officeDocument/2006/relationships/hyperlink" Target="http://www.broadinstitute.org/gsea/msigdb/cards/GSE20484_MCSG_VS_CXCL4_MONOCYTE_DERIVED_MACROPHAGE_DN.html" TargetMode="External"/><Relationship Id="rId1818" Type="http://schemas.openxmlformats.org/officeDocument/2006/relationships/hyperlink" Target="http://www.broadinstitute.org/gsea/msigdb/cards/GSE21033_CTRL_VS_POLYIC_STIM_DC_6H_DN.html" TargetMode="External"/><Relationship Id="rId1819" Type="http://schemas.openxmlformats.org/officeDocument/2006/relationships/hyperlink" Target="http://www.broadinstitute.org/gsea/msigdb/cards/GSE7348_LPS_VS_TOLERIZED_AND_LPS_STIM_MACROPHAGE_UP.html" TargetMode="External"/><Relationship Id="rId690" Type="http://schemas.openxmlformats.org/officeDocument/2006/relationships/hyperlink" Target="http://www.broadinstitute.org/gsea/msigdb/cards/VDR_Q3.html" TargetMode="External"/><Relationship Id="rId691" Type="http://schemas.openxmlformats.org/officeDocument/2006/relationships/hyperlink" Target="http://www.broadinstitute.org/gsea/msigdb/cards/ATF_01.html" TargetMode="External"/><Relationship Id="rId692" Type="http://schemas.openxmlformats.org/officeDocument/2006/relationships/hyperlink" Target="http://www.broadinstitute.org/gsea/msigdb/cards/AR_Q6.html" TargetMode="External"/><Relationship Id="rId693" Type="http://schemas.openxmlformats.org/officeDocument/2006/relationships/hyperlink" Target="http://www.broadinstitute.org/gsea/msigdb/cards/AGTCAGC_MIR345.html" TargetMode="External"/><Relationship Id="rId694" Type="http://schemas.openxmlformats.org/officeDocument/2006/relationships/hyperlink" Target="http://www.broadinstitute.org/gsea/msigdb/cards/CCATCCA_MIR432.html" TargetMode="External"/><Relationship Id="rId695" Type="http://schemas.openxmlformats.org/officeDocument/2006/relationships/hyperlink" Target="http://www.broadinstitute.org/gsea/msigdb/cards/CCAWNWWNNNGGC_UNKNOWN.html" TargetMode="External"/><Relationship Id="rId696" Type="http://schemas.openxmlformats.org/officeDocument/2006/relationships/hyperlink" Target="http://www.broadinstitute.org/gsea/msigdb/cards/LEF1_Q6.html" TargetMode="External"/><Relationship Id="rId697" Type="http://schemas.openxmlformats.org/officeDocument/2006/relationships/hyperlink" Target="http://www.broadinstitute.org/gsea/msigdb/cards/AAACCAC_MIR140.html" TargetMode="External"/><Relationship Id="rId698" Type="http://schemas.openxmlformats.org/officeDocument/2006/relationships/hyperlink" Target="http://www.broadinstitute.org/gsea/msigdb/cards/SREBP1_01.html" TargetMode="External"/><Relationship Id="rId699" Type="http://schemas.openxmlformats.org/officeDocument/2006/relationships/hyperlink" Target="http://www.broadinstitute.org/gsea/msigdb/cards/TACGGGT_MIR99A_MIR100_MIR99B.html" TargetMode="External"/><Relationship Id="rId60" Type="http://schemas.openxmlformats.org/officeDocument/2006/relationships/hyperlink" Target="http://www.broadinstitute.org/gsea/msigdb/cards/DACOSTA_UV_RESPONSE_VIA_ERCC3_XPCS_DN.html" TargetMode="External"/><Relationship Id="rId61" Type="http://schemas.openxmlformats.org/officeDocument/2006/relationships/hyperlink" Target="http://www.broadinstitute.org/gsea/msigdb/cards/SENGUPTA_NASOPHARYNGEAL_CARCINOMA_WITH_LMP1_UP.html" TargetMode="External"/><Relationship Id="rId62" Type="http://schemas.openxmlformats.org/officeDocument/2006/relationships/hyperlink" Target="http://www.broadinstitute.org/gsea/msigdb/cards/DAZARD_RESPONSE_TO_UV_SCC_DN.html" TargetMode="External"/><Relationship Id="rId63" Type="http://schemas.openxmlformats.org/officeDocument/2006/relationships/hyperlink" Target="http://www.broadinstitute.org/gsea/msigdb/cards/GRYDER_PAX3FOXO1_ENHANCERS_IN_TADS.html" TargetMode="External"/><Relationship Id="rId64" Type="http://schemas.openxmlformats.org/officeDocument/2006/relationships/hyperlink" Target="http://www.broadinstitute.org/gsea/msigdb/cards/PILON_KLF1_TARGETS_UP.html" TargetMode="External"/><Relationship Id="rId65" Type="http://schemas.openxmlformats.org/officeDocument/2006/relationships/hyperlink" Target="http://www.broadinstitute.org/gsea/msigdb/cards/PUJANA_XPRSS_INT_NETWORK.html" TargetMode="External"/><Relationship Id="rId66" Type="http://schemas.openxmlformats.org/officeDocument/2006/relationships/hyperlink" Target="http://www.broadinstitute.org/gsea/msigdb/cards/LIU_SOX4_TARGETS_DN.html" TargetMode="External"/><Relationship Id="rId67" Type="http://schemas.openxmlformats.org/officeDocument/2006/relationships/hyperlink" Target="http://www.broadinstitute.org/gsea/msigdb/cards/MARTINEZ_RESPONSE_TO_TRABECTEDIN_DN.html" TargetMode="External"/><Relationship Id="rId68" Type="http://schemas.openxmlformats.org/officeDocument/2006/relationships/hyperlink" Target="http://www.broadinstitute.org/gsea/msigdb/cards/SENESE_HDAC1_TARGETS_UP.html" TargetMode="External"/><Relationship Id="rId150" Type="http://schemas.openxmlformats.org/officeDocument/2006/relationships/hyperlink" Target="http://www.broadinstitute.org/gsea/msigdb/cards/CAIRO_HEPATOBLASTOMA_UP.html" TargetMode="External"/><Relationship Id="rId151" Type="http://schemas.openxmlformats.org/officeDocument/2006/relationships/hyperlink" Target="http://www.broadinstitute.org/gsea/msigdb/cards/KEGG_RENAL_CELL_CARCINOMA.html" TargetMode="External"/><Relationship Id="rId152" Type="http://schemas.openxmlformats.org/officeDocument/2006/relationships/hyperlink" Target="http://www.broadinstitute.org/gsea/msigdb/cards/IVANOVA_HEMATOPOIESIS_MATURE_CELL.html" TargetMode="External"/><Relationship Id="rId153" Type="http://schemas.openxmlformats.org/officeDocument/2006/relationships/hyperlink" Target="http://www.broadinstitute.org/gsea/msigdb/cards/INAMURA_LUNG_CANCER_SCC_SUBTYPES_DN.html" TargetMode="External"/><Relationship Id="rId154" Type="http://schemas.openxmlformats.org/officeDocument/2006/relationships/hyperlink" Target="http://www.broadinstitute.org/gsea/msigdb/cards/PICCALUGA_ANGIOIMMUNOBLASTIC_LYMPHOMA_DN.html" TargetMode="External"/><Relationship Id="rId155" Type="http://schemas.openxmlformats.org/officeDocument/2006/relationships/hyperlink" Target="http://www.broadinstitute.org/gsea/msigdb/cards/DE_YY1_TARGETS_DN.html" TargetMode="External"/><Relationship Id="rId156" Type="http://schemas.openxmlformats.org/officeDocument/2006/relationships/hyperlink" Target="http://www.broadinstitute.org/gsea/msigdb/cards/REACTOME_MRNA_PROCESSING.html" TargetMode="External"/><Relationship Id="rId157" Type="http://schemas.openxmlformats.org/officeDocument/2006/relationships/hyperlink" Target="http://www.broadinstitute.org/gsea/msigdb/cards/PUJANA_BRCA_CENTERED_NETWORK.html" TargetMode="External"/><Relationship Id="rId158" Type="http://schemas.openxmlformats.org/officeDocument/2006/relationships/hyperlink" Target="http://www.broadinstitute.org/gsea/msigdb/cards/GAUSSMANN_MLL_AF4_FUSION_TARGETS_A_UP.html" TargetMode="External"/><Relationship Id="rId159" Type="http://schemas.openxmlformats.org/officeDocument/2006/relationships/hyperlink" Target="http://www.broadinstitute.org/gsea/msigdb/cards/JAIN_NFKB_SIGNALING.html" TargetMode="External"/><Relationship Id="rId1090" Type="http://schemas.openxmlformats.org/officeDocument/2006/relationships/hyperlink" Target="http://www.broadinstitute.org/gsea/msigdb/cards/GO_REGULATION_OF_TRANSCRIPTION_FROM_RNA_POLYMERASE_II_PROMOTER.html" TargetMode="External"/><Relationship Id="rId1091" Type="http://schemas.openxmlformats.org/officeDocument/2006/relationships/hyperlink" Target="http://www.broadinstitute.org/gsea/msigdb/cards/GO_CHROMOSOME.html" TargetMode="External"/><Relationship Id="rId2520" Type="http://schemas.openxmlformats.org/officeDocument/2006/relationships/hyperlink" Target="http://www.broadinstitute.org/gsea/msigdb/cards/GSE7460_WT_VS_FOXP3_HET_ACT_WITH_TGFB_TCONV_UP.html" TargetMode="External"/><Relationship Id="rId2521" Type="http://schemas.openxmlformats.org/officeDocument/2006/relationships/hyperlink" Target="http://www.broadinstitute.org/gsea/msigdb/cards/GSE7764_IL15_TREATED_VS_CTRL_NK_CELL_24H_DN.html" TargetMode="External"/><Relationship Id="rId2522" Type="http://schemas.openxmlformats.org/officeDocument/2006/relationships/hyperlink" Target="http://www.broadinstitute.org/gsea/msigdb/cards/GSE7764_IL15_NK_CELL_24H_VS_SPLENOCYTE_DN.html" TargetMode="External"/><Relationship Id="rId2523" Type="http://schemas.openxmlformats.org/officeDocument/2006/relationships/hyperlink" Target="http://www.broadinstitute.org/gsea/msigdb/cards/GSE9006_HEALTHY_VS_TYPE_1_DIABETES_PBMC_1MONTH_POST_DX_UP.html" TargetMode="External"/><Relationship Id="rId2524" Type="http://schemas.openxmlformats.org/officeDocument/2006/relationships/hyperlink" Target="http://www.broadinstitute.org/gsea/msigdb/cards/GSE9650_NAIVE_VS_EFF_CD8_TCELL_UP.html" TargetMode="External"/><Relationship Id="rId2525" Type="http://schemas.openxmlformats.org/officeDocument/2006/relationships/hyperlink" Target="http://www.broadinstitute.org/gsea/msigdb/cards/GSE9650_NAIVE_VS_MEMORY_CD8_TCELL_UP.html" TargetMode="External"/><Relationship Id="rId2526" Type="http://schemas.openxmlformats.org/officeDocument/2006/relationships/hyperlink" Target="http://www.broadinstitute.org/gsea/msigdb/cards/GSE9988_LPS_VS_VEHICLE_TREATED_MONOCYTE_DN.html" TargetMode="External"/><Relationship Id="rId2527" Type="http://schemas.openxmlformats.org/officeDocument/2006/relationships/hyperlink" Target="http://www.broadinstitute.org/gsea/msigdb/cards/GSE369_SOCS3_KO_VS_WT_LIVER_DN.html" TargetMode="External"/><Relationship Id="rId2528" Type="http://schemas.openxmlformats.org/officeDocument/2006/relationships/hyperlink" Target="http://www.broadinstitute.org/gsea/msigdb/cards/GSE411_UNSTIM_VS_100MIN_IL6_STIM_MACROPHAGE_DN.html" TargetMode="External"/><Relationship Id="rId2529" Type="http://schemas.openxmlformats.org/officeDocument/2006/relationships/hyperlink" Target="http://www.broadinstitute.org/gsea/msigdb/cards/GSE411_100MIN_VS_400MIN_IL6_STIM_MACROPHAGE_UP.html" TargetMode="External"/><Relationship Id="rId1092" Type="http://schemas.openxmlformats.org/officeDocument/2006/relationships/hyperlink" Target="http://www.broadinstitute.org/gsea/msigdb/cards/GO_PROTEIN_MODIFICATION_BY_SMALL_PROTEIN_CONJUGATION_OR_REMOVAL.html" TargetMode="External"/><Relationship Id="rId1093" Type="http://schemas.openxmlformats.org/officeDocument/2006/relationships/hyperlink" Target="http://www.broadinstitute.org/gsea/msigdb/cards/GO_NEGATIVE_REGULATION_OF_NITROGEN_COMPOUND_METABOLIC_PROCESS.html" TargetMode="External"/><Relationship Id="rId1094" Type="http://schemas.openxmlformats.org/officeDocument/2006/relationships/hyperlink" Target="http://www.broadinstitute.org/gsea/msigdb/cards/GO_TRANSFERASE_COMPLEX.html" TargetMode="External"/><Relationship Id="rId1095" Type="http://schemas.openxmlformats.org/officeDocument/2006/relationships/hyperlink" Target="http://www.broadinstitute.org/gsea/msigdb/cards/GO_CATALYTIC_COMPLEX.html" TargetMode="External"/><Relationship Id="rId1096" Type="http://schemas.openxmlformats.org/officeDocument/2006/relationships/hyperlink" Target="http://www.broadinstitute.org/gsea/msigdb/cards/GO_CELL_CYCLE.html" TargetMode="External"/><Relationship Id="rId1097" Type="http://schemas.openxmlformats.org/officeDocument/2006/relationships/hyperlink" Target="http://www.broadinstitute.org/gsea/msigdb/cards/GO_ZINC_ION_BINDING.html" TargetMode="External"/><Relationship Id="rId1098" Type="http://schemas.openxmlformats.org/officeDocument/2006/relationships/hyperlink" Target="http://www.broadinstitute.org/gsea/msigdb/cards/GO_PEPTIDYL_LYSINE_MODIFICATION.html" TargetMode="External"/><Relationship Id="rId1099" Type="http://schemas.openxmlformats.org/officeDocument/2006/relationships/hyperlink" Target="http://www.broadinstitute.org/gsea/msigdb/cards/GO_NUCLEAR_BODY.html" TargetMode="External"/><Relationship Id="rId69" Type="http://schemas.openxmlformats.org/officeDocument/2006/relationships/hyperlink" Target="http://www.broadinstitute.org/gsea/msigdb/cards/GARY_CD5_TARGETS_DN.html" TargetMode="External"/><Relationship Id="rId1820" Type="http://schemas.openxmlformats.org/officeDocument/2006/relationships/hyperlink" Target="http://www.broadinstitute.org/gsea/msigdb/cards/GSE10094_LCMV_VS_LISTERIA_IND_EFF_CD4_TCELL_UP.html" TargetMode="External"/><Relationship Id="rId1821" Type="http://schemas.openxmlformats.org/officeDocument/2006/relationships/hyperlink" Target="http://www.broadinstitute.org/gsea/msigdb/cards/GSE14350_TREG_VS_TEFF_UP.html" TargetMode="External"/><Relationship Id="rId1822" Type="http://schemas.openxmlformats.org/officeDocument/2006/relationships/hyperlink" Target="http://www.broadinstitute.org/gsea/msigdb/cards/GSE14350_TREG_VS_TEFF_IN_IL2RB_KO_UP.html" TargetMode="External"/><Relationship Id="rId1823" Type="http://schemas.openxmlformats.org/officeDocument/2006/relationships/hyperlink" Target="http://www.broadinstitute.org/gsea/msigdb/cards/GSE31082_DN_VS_DP_THYMOCYTE_DN.html" TargetMode="External"/><Relationship Id="rId1824" Type="http://schemas.openxmlformats.org/officeDocument/2006/relationships/hyperlink" Target="http://www.broadinstitute.org/gsea/msigdb/cards/GSE18893_TCONV_VS_TREG_2H_TNF_STIM_DN.html" TargetMode="External"/><Relationship Id="rId1825" Type="http://schemas.openxmlformats.org/officeDocument/2006/relationships/hyperlink" Target="http://www.broadinstitute.org/gsea/msigdb/cards/GSE25146_UNSTIM_VS_HELIOBACTER_PYLORI_LPS_STIM_AGS_CELL_DN.html" TargetMode="External"/><Relationship Id="rId1826" Type="http://schemas.openxmlformats.org/officeDocument/2006/relationships/hyperlink" Target="http://www.broadinstitute.org/gsea/msigdb/cards/GSE37533_PPARG1_FOXP3_VS_PPARG2_FOXP3_TRANSDUCED_CD4_TCELL_DN.html" TargetMode="External"/><Relationship Id="rId1827" Type="http://schemas.openxmlformats.org/officeDocument/2006/relationships/hyperlink" Target="http://www.broadinstitute.org/gsea/msigdb/cards/GSE22611_UNSTIM_VS_2H_MDP_STIM_MUTANT_NOD2_TRANSDUCED_HEK293T_CELL_DN.html" TargetMode="External"/><Relationship Id="rId1828" Type="http://schemas.openxmlformats.org/officeDocument/2006/relationships/hyperlink" Target="http://www.broadinstitute.org/gsea/msigdb/cards/GSE11924_TFH_VS_TH17_CD4_TCELL_UP.html" TargetMode="External"/><Relationship Id="rId1829" Type="http://schemas.openxmlformats.org/officeDocument/2006/relationships/hyperlink" Target="http://www.broadinstitute.org/gsea/msigdb/cards/GSE13484_UNSTIM_VS_YF17D_VACCINE_STIM_PBMC_UP.html" TargetMode="External"/><Relationship Id="rId70" Type="http://schemas.openxmlformats.org/officeDocument/2006/relationships/hyperlink" Target="http://www.broadinstitute.org/gsea/msigdb/cards/WHITFIELD_CELL_CYCLE_M_G1.html" TargetMode="External"/><Relationship Id="rId71" Type="http://schemas.openxmlformats.org/officeDocument/2006/relationships/hyperlink" Target="http://www.broadinstitute.org/gsea/msigdb/cards/TOYOTA_TARGETS_OF_MIR34B_AND_MIR34C.html" TargetMode="External"/><Relationship Id="rId72" Type="http://schemas.openxmlformats.org/officeDocument/2006/relationships/hyperlink" Target="http://www.broadinstitute.org/gsea/msigdb/cards/DIAZ_CHRONIC_MEYLOGENOUS_LEUKEMIA_UP.html" TargetMode="External"/><Relationship Id="rId73" Type="http://schemas.openxmlformats.org/officeDocument/2006/relationships/hyperlink" Target="http://www.broadinstitute.org/gsea/msigdb/cards/JOHNSTONE_PARVB_TARGETS_2_DN.html" TargetMode="External"/><Relationship Id="rId74" Type="http://schemas.openxmlformats.org/officeDocument/2006/relationships/hyperlink" Target="http://www.broadinstitute.org/gsea/msigdb/cards/GENTILE_UV_HIGH_DOSE_DN.html" TargetMode="External"/><Relationship Id="rId75" Type="http://schemas.openxmlformats.org/officeDocument/2006/relationships/hyperlink" Target="http://www.broadinstitute.org/gsea/msigdb/cards/BLALOCK_ALZHEIMERS_DISEASE_INCIPIENT_UP.html" TargetMode="External"/><Relationship Id="rId76" Type="http://schemas.openxmlformats.org/officeDocument/2006/relationships/hyperlink" Target="http://www.broadinstitute.org/gsea/msigdb/cards/NUYTTEN_NIPP1_TARGETS_DN.html" TargetMode="External"/><Relationship Id="rId77" Type="http://schemas.openxmlformats.org/officeDocument/2006/relationships/hyperlink" Target="http://www.broadinstitute.org/gsea/msigdb/cards/MARSON_BOUND_BY_FOXP3_STIMULATED.html" TargetMode="External"/><Relationship Id="rId78" Type="http://schemas.openxmlformats.org/officeDocument/2006/relationships/hyperlink" Target="http://www.broadinstitute.org/gsea/msigdb/cards/MARSON_BOUND_BY_FOXP3_UNSTIMULATED.html" TargetMode="External"/><Relationship Id="rId160" Type="http://schemas.openxmlformats.org/officeDocument/2006/relationships/hyperlink" Target="http://www.broadinstitute.org/gsea/msigdb/cards/REACTOME_DNA_REPLICATION.html" TargetMode="External"/><Relationship Id="rId161" Type="http://schemas.openxmlformats.org/officeDocument/2006/relationships/hyperlink" Target="http://www.broadinstitute.org/gsea/msigdb/cards/RIGGINS_TAMOXIFEN_RESISTANCE_DN.html" TargetMode="External"/><Relationship Id="rId162" Type="http://schemas.openxmlformats.org/officeDocument/2006/relationships/hyperlink" Target="http://www.broadinstitute.org/gsea/msigdb/cards/ONDER_CDH1_TARGETS_1_DN.html" TargetMode="External"/><Relationship Id="rId163" Type="http://schemas.openxmlformats.org/officeDocument/2006/relationships/hyperlink" Target="http://www.broadinstitute.org/gsea/msigdb/cards/REACTOME_NEP_NS2_INTERACTS_WITH_THE_CELLULAR_EXPORT_MACHINERY.html" TargetMode="External"/><Relationship Id="rId164" Type="http://schemas.openxmlformats.org/officeDocument/2006/relationships/hyperlink" Target="http://www.broadinstitute.org/gsea/msigdb/cards/REACTOME_TRANSPORT_OF_RIBONUCLEOPROTEINS_INTO_THE_HOST_NUCLEUS.html" TargetMode="External"/><Relationship Id="rId165" Type="http://schemas.openxmlformats.org/officeDocument/2006/relationships/hyperlink" Target="http://www.broadinstitute.org/gsea/msigdb/cards/ZHENG_FOXP3_TARGETS_IN_THYMUS_UP.html" TargetMode="External"/><Relationship Id="rId166" Type="http://schemas.openxmlformats.org/officeDocument/2006/relationships/hyperlink" Target="http://www.broadinstitute.org/gsea/msigdb/cards/FINETTI_BREAST_CANCERS_KINOME_GRAY.html" TargetMode="External"/><Relationship Id="rId167" Type="http://schemas.openxmlformats.org/officeDocument/2006/relationships/hyperlink" Target="http://www.broadinstitute.org/gsea/msigdb/cards/CHICAS_RB1_TARGETS_SENESCENT.html" TargetMode="External"/><Relationship Id="rId168" Type="http://schemas.openxmlformats.org/officeDocument/2006/relationships/hyperlink" Target="http://www.broadinstitute.org/gsea/msigdb/cards/OSMAN_BLADDER_CANCER_DN.html" TargetMode="External"/><Relationship Id="rId169" Type="http://schemas.openxmlformats.org/officeDocument/2006/relationships/hyperlink" Target="http://www.broadinstitute.org/gsea/msigdb/cards/EPPERT_LSC_R.html" TargetMode="External"/><Relationship Id="rId79" Type="http://schemas.openxmlformats.org/officeDocument/2006/relationships/hyperlink" Target="http://www.broadinstitute.org/gsea/msigdb/cards/REACTOME_CELL_CYCLE.html" TargetMode="External"/><Relationship Id="rId2530" Type="http://schemas.openxmlformats.org/officeDocument/2006/relationships/hyperlink" Target="http://www.broadinstitute.org/gsea/msigdb/cards/GSE2770_UNTREATED_VS_IL4_TREATED_ACT_CD4_TCELL_6H_DN.html" TargetMode="External"/><Relationship Id="rId2531" Type="http://schemas.openxmlformats.org/officeDocument/2006/relationships/hyperlink" Target="http://www.broadinstitute.org/gsea/msigdb/cards/GSE2770_IL12_AND_TGFB_VS_IL4_TREATED_ACT_CD4_TCELL_48H_UP.html" TargetMode="External"/><Relationship Id="rId2532" Type="http://schemas.openxmlformats.org/officeDocument/2006/relationships/hyperlink" Target="http://www.broadinstitute.org/gsea/msigdb/cards/GSE2770_IL4_ACT_VS_ACT_CD4_TCELL_2H_DN.html" TargetMode="External"/><Relationship Id="rId2533" Type="http://schemas.openxmlformats.org/officeDocument/2006/relationships/hyperlink" Target="http://www.broadinstitute.org/gsea/msigdb/cards/GSE2770_TGFB_AND_IL4_VS_IL4_TREATED_ACT_CD4_TCELL_6H_UP.html" TargetMode="External"/><Relationship Id="rId2534" Type="http://schemas.openxmlformats.org/officeDocument/2006/relationships/hyperlink" Target="http://www.broadinstitute.org/gsea/msigdb/cards/GSE2770_IL12_AND_TGFB_VS_IL4_TREATED_ACT_CD4_TCELL_2H_UP.html" TargetMode="External"/><Relationship Id="rId2535" Type="http://schemas.openxmlformats.org/officeDocument/2006/relationships/hyperlink" Target="http://www.broadinstitute.org/gsea/msigdb/cards/GSE1112_OT1_VS_HY_CD8AB_THYMOCYTE_RTOC_CULTURE_DN.html" TargetMode="External"/><Relationship Id="rId2536" Type="http://schemas.openxmlformats.org/officeDocument/2006/relationships/hyperlink" Target="http://www.broadinstitute.org/gsea/msigdb/cards/GSE22601_DOUBLE_NEGATIVE_VS_DOUBLE_POSITIVE_THYMOCYTE_DN.html" TargetMode="External"/><Relationship Id="rId2537" Type="http://schemas.openxmlformats.org/officeDocument/2006/relationships/hyperlink" Target="http://www.broadinstitute.org/gsea/msigdb/cards/GSE22601_CD4_SINGLE_POSITIVE_VS_CD8_SINGLE_POSITIVE_THYMOCYTE_DN.html" TargetMode="External"/><Relationship Id="rId2538" Type="http://schemas.openxmlformats.org/officeDocument/2006/relationships/hyperlink" Target="http://www.broadinstitute.org/gsea/msigdb/cards/GSE3720_VD1_VS_VD2_GAMMADELTA_TCELL_WITH_PMA_STIM_UP.html" TargetMode="External"/><Relationship Id="rId2539" Type="http://schemas.openxmlformats.org/officeDocument/2006/relationships/hyperlink" Target="http://www.broadinstitute.org/gsea/msigdb/cards/GSE3691_IFN_PRODUCING_KILLER_DC_VS_CONVENTIONAL_DC_SPLEEN_UP.html" TargetMode="External"/><Relationship Id="rId1830" Type="http://schemas.openxmlformats.org/officeDocument/2006/relationships/hyperlink" Target="http://www.broadinstitute.org/gsea/msigdb/cards/GSE24142_DN2_VS_DN3_THYMOCYTE_ADULT_DN.html" TargetMode="External"/><Relationship Id="rId1831" Type="http://schemas.openxmlformats.org/officeDocument/2006/relationships/hyperlink" Target="http://www.broadinstitute.org/gsea/msigdb/cards/GSE8835_CD4_VS_CD8_TCELL_UP.html" TargetMode="External"/><Relationship Id="rId1832" Type="http://schemas.openxmlformats.org/officeDocument/2006/relationships/hyperlink" Target="http://www.broadinstitute.org/gsea/msigdb/cards/GSE3039_ALPHABETA_CD8_TCELL_VS_B1_BCELL_UP.html" TargetMode="External"/><Relationship Id="rId1833" Type="http://schemas.openxmlformats.org/officeDocument/2006/relationships/hyperlink" Target="http://www.broadinstitute.org/gsea/msigdb/cards/GSE21379_TFH_VS_NON_TFH_CD4_TCELL_UP.html" TargetMode="External"/><Relationship Id="rId1834" Type="http://schemas.openxmlformats.org/officeDocument/2006/relationships/hyperlink" Target="http://www.broadinstitute.org/gsea/msigdb/cards/GSE21927_SPLENIC_VS_TUMOR_MONOCYTES_FROM_C26GM_TUMOROUS_MICE_BALBC_DN.html" TargetMode="External"/><Relationship Id="rId1835" Type="http://schemas.openxmlformats.org/officeDocument/2006/relationships/hyperlink" Target="http://www.broadinstitute.org/gsea/msigdb/cards/GSE21033_1H_VS_24H_POLYIC_STIM_DC_UP.html" TargetMode="External"/><Relationship Id="rId1836" Type="http://schemas.openxmlformats.org/officeDocument/2006/relationships/hyperlink" Target="http://www.broadinstitute.org/gsea/msigdb/cards/GSE21063_CTRL_VS_ANTI_IGM_STIM_BCELL_NFATC1_KO_3H_DN.html" TargetMode="External"/><Relationship Id="rId1837" Type="http://schemas.openxmlformats.org/officeDocument/2006/relationships/hyperlink" Target="http://www.broadinstitute.org/gsea/msigdb/cards/GSE21063_WT_VS_NFATC1_KO_8H_ANTI_IGM_STIM_BCELL_DN.html" TargetMode="External"/><Relationship Id="rId1838" Type="http://schemas.openxmlformats.org/officeDocument/2006/relationships/hyperlink" Target="http://www.broadinstitute.org/gsea/msigdb/cards/GSE41867_NAIVE_VS_DAY8_LCMV_EFFECTOR_CD8_TCELL_DN.html" TargetMode="External"/><Relationship Id="rId1839" Type="http://schemas.openxmlformats.org/officeDocument/2006/relationships/hyperlink" Target="http://www.broadinstitute.org/gsea/msigdb/cards/GSE38696_LIGHT_ZONE_VS_DARK_ZONE_BCELL_UP.html" TargetMode="External"/><Relationship Id="rId80" Type="http://schemas.openxmlformats.org/officeDocument/2006/relationships/hyperlink" Target="http://www.broadinstitute.org/gsea/msigdb/cards/DURCHDEWALD_SKIN_CARCINOGENESIS_DN.html" TargetMode="External"/><Relationship Id="rId81" Type="http://schemas.openxmlformats.org/officeDocument/2006/relationships/hyperlink" Target="http://www.broadinstitute.org/gsea/msigdb/cards/STARK_PREFRONTAL_CORTEX_22Q11_DELETION_UP.html" TargetMode="External"/><Relationship Id="rId82" Type="http://schemas.openxmlformats.org/officeDocument/2006/relationships/hyperlink" Target="http://www.broadinstitute.org/gsea/msigdb/cards/WEI_MYCN_TARGETS_WITH_E_BOX.html" TargetMode="External"/><Relationship Id="rId83" Type="http://schemas.openxmlformats.org/officeDocument/2006/relationships/hyperlink" Target="http://www.broadinstitute.org/gsea/msigdb/cards/RICKMAN_METASTASIS_UP.html" TargetMode="External"/><Relationship Id="rId84" Type="http://schemas.openxmlformats.org/officeDocument/2006/relationships/hyperlink" Target="http://www.broadinstitute.org/gsea/msigdb/cards/BENPORATH_SOX2_TARGETS.html" TargetMode="External"/><Relationship Id="rId85" Type="http://schemas.openxmlformats.org/officeDocument/2006/relationships/hyperlink" Target="http://www.broadinstitute.org/gsea/msigdb/cards/BROWNE_HCMV_INFECTION_16HR_UP.html" TargetMode="External"/><Relationship Id="rId86" Type="http://schemas.openxmlformats.org/officeDocument/2006/relationships/hyperlink" Target="http://www.broadinstitute.org/gsea/msigdb/cards/REACTOME_CELL_CYCLE_MITOTIC.html" TargetMode="External"/><Relationship Id="rId87" Type="http://schemas.openxmlformats.org/officeDocument/2006/relationships/hyperlink" Target="http://www.broadinstitute.org/gsea/msigdb/cards/FEVR_CTNNB1_TARGETS_DN.html" TargetMode="External"/><Relationship Id="rId88" Type="http://schemas.openxmlformats.org/officeDocument/2006/relationships/hyperlink" Target="http://www.broadinstitute.org/gsea/msigdb/cards/RAMALHO_STEMNESS_UP.html" TargetMode="External"/><Relationship Id="rId170" Type="http://schemas.openxmlformats.org/officeDocument/2006/relationships/hyperlink" Target="http://www.broadinstitute.org/gsea/msigdb/cards/REACTOME_MITOTIC_M_M_G1_PHASES.html" TargetMode="External"/><Relationship Id="rId171" Type="http://schemas.openxmlformats.org/officeDocument/2006/relationships/hyperlink" Target="http://www.broadinstitute.org/gsea/msigdb/cards/GARGALOVIC_RESPONSE_TO_OXIDIZED_PHOSPHOLIPIDS_TURQUOISE_UP.html" TargetMode="External"/><Relationship Id="rId172" Type="http://schemas.openxmlformats.org/officeDocument/2006/relationships/hyperlink" Target="http://www.broadinstitute.org/gsea/msigdb/cards/KRIGE_RESPONSE_TO_TOSEDOSTAT_6HR_DN.html" TargetMode="External"/><Relationship Id="rId173" Type="http://schemas.openxmlformats.org/officeDocument/2006/relationships/hyperlink" Target="http://www.broadinstitute.org/gsea/msigdb/cards/PUJANA_BREAST_CANCER_LIT_INT_NETWORK.html" TargetMode="External"/><Relationship Id="rId174" Type="http://schemas.openxmlformats.org/officeDocument/2006/relationships/hyperlink" Target="http://www.broadinstitute.org/gsea/msigdb/cards/LEE_DIFFERENTIATING_T_LYMPHOCYTE.html" TargetMode="External"/><Relationship Id="rId175" Type="http://schemas.openxmlformats.org/officeDocument/2006/relationships/hyperlink" Target="http://www.broadinstitute.org/gsea/msigdb/cards/KOYAMA_SEMA3B_TARGETS_DN.html" TargetMode="External"/><Relationship Id="rId176" Type="http://schemas.openxmlformats.org/officeDocument/2006/relationships/hyperlink" Target="http://www.broadinstitute.org/gsea/msigdb/cards/REACTOME_HIV_LIFE_CYCLE.html" TargetMode="External"/><Relationship Id="rId177" Type="http://schemas.openxmlformats.org/officeDocument/2006/relationships/hyperlink" Target="http://www.broadinstitute.org/gsea/msigdb/cards/REACTOME_PRE_NOTCH_EXPRESSION_AND_PROCESSING.html" TargetMode="External"/><Relationship Id="rId178" Type="http://schemas.openxmlformats.org/officeDocument/2006/relationships/hyperlink" Target="http://www.broadinstitute.org/gsea/msigdb/cards/WAKABAYASHI_ADIPOGENESIS_PPARG_RXRA_BOUND_8D.html" TargetMode="External"/><Relationship Id="rId179" Type="http://schemas.openxmlformats.org/officeDocument/2006/relationships/hyperlink" Target="http://www.broadinstitute.org/gsea/msigdb/cards/REACTOME_GENERIC_TRANSCRIPTION_PATHWAY.html" TargetMode="External"/><Relationship Id="rId89" Type="http://schemas.openxmlformats.org/officeDocument/2006/relationships/hyperlink" Target="http://www.broadinstitute.org/gsea/msigdb/cards/MARKEY_RB1_ACUTE_LOF_UP.html" TargetMode="External"/><Relationship Id="rId2540" Type="http://schemas.openxmlformats.org/officeDocument/2006/relationships/hyperlink" Target="http://www.broadinstitute.org/gsea/msigdb/cards/GSE3691_CONVENTIONAL_VS_PLASMACYTOID_DC_SPLEEN_UP.html" TargetMode="External"/><Relationship Id="rId2541" Type="http://schemas.openxmlformats.org/officeDocument/2006/relationships/hyperlink" Target="http://www.broadinstitute.org/gsea/msigdb/cards/GSE8921_UNSTIM_0H_VS_TLR1_2_STIM_MONOCYTE_12H_DN.html" TargetMode="External"/><Relationship Id="rId2542" Type="http://schemas.openxmlformats.org/officeDocument/2006/relationships/hyperlink" Target="http://www.broadinstitute.org/gsea/msigdb/cards/GSE3039_NKT_CELL_VS_B2_BCELL_UP.html" TargetMode="External"/><Relationship Id="rId2543" Type="http://schemas.openxmlformats.org/officeDocument/2006/relationships/hyperlink" Target="http://www.broadinstitute.org/gsea/msigdb/cards/GSE4748_CTRL_VS_LPS_STIM_DC_3H_UP.html" TargetMode="External"/><Relationship Id="rId2544" Type="http://schemas.openxmlformats.org/officeDocument/2006/relationships/hyperlink" Target="http://www.broadinstitute.org/gsea/msigdb/cards/GSE5589_LPS_VS_LPS_AND_IL10_STIM_IL6_KO_MACROPHAGE_180MIN_UP.html" TargetMode="External"/><Relationship Id="rId2545" Type="http://schemas.openxmlformats.org/officeDocument/2006/relationships/hyperlink" Target="http://www.broadinstitute.org/gsea/msigdb/cards/GSE5589_WT_VS_IL6_KO_LPS_AND_IL6_STIM_MACROPHAGE_45MIN_DN.html" TargetMode="External"/><Relationship Id="rId2546" Type="http://schemas.openxmlformats.org/officeDocument/2006/relationships/hyperlink" Target="http://www.broadinstitute.org/gsea/msigdb/cards/GSE5589_IL6_KO_VS_IL10_KO_LPS_STIM_MACROPHAGE_45MIN_UP.html" TargetMode="External"/><Relationship Id="rId2547" Type="http://schemas.openxmlformats.org/officeDocument/2006/relationships/hyperlink" Target="http://www.broadinstitute.org/gsea/msigdb/cards/GSE5589_IL6_KO_VS_IL10_KO_LPS_AND_IL10_STIM_MACROPHAGE_180MIN_UP.html" TargetMode="External"/><Relationship Id="rId2548" Type="http://schemas.openxmlformats.org/officeDocument/2006/relationships/hyperlink" Target="http://www.broadinstitute.org/gsea/msigdb/cards/GSE3920_UNTREATED_VS_IFNA_TREATED_FIBROBLAST_DN.html" TargetMode="External"/><Relationship Id="rId2549" Type="http://schemas.openxmlformats.org/officeDocument/2006/relationships/hyperlink" Target="http://www.broadinstitute.org/gsea/msigdb/cards/GSE7548_DAY7_VS_DAY28_PCC_IMMUNIZATION_CD4_TCELL_UP.html" TargetMode="External"/><Relationship Id="rId900" Type="http://schemas.openxmlformats.org/officeDocument/2006/relationships/hyperlink" Target="http://www.broadinstitute.org/gsea/msigdb/cards/MYB_Q5_01.html" TargetMode="External"/><Relationship Id="rId901" Type="http://schemas.openxmlformats.org/officeDocument/2006/relationships/hyperlink" Target="http://www.broadinstitute.org/gsea/msigdb/cards/YYCATTCAWW_UNKNOWN.html" TargetMode="External"/><Relationship Id="rId902" Type="http://schemas.openxmlformats.org/officeDocument/2006/relationships/hyperlink" Target="http://www.broadinstitute.org/gsea/msigdb/cards/OCT1_03.html" TargetMode="External"/><Relationship Id="rId903" Type="http://schemas.openxmlformats.org/officeDocument/2006/relationships/hyperlink" Target="http://www.broadinstitute.org/gsea/msigdb/cards/HP1SITEFACTOR_Q6.html" TargetMode="External"/><Relationship Id="rId904" Type="http://schemas.openxmlformats.org/officeDocument/2006/relationships/hyperlink" Target="http://www.broadinstitute.org/gsea/msigdb/cards/AACGGTT_MIR451.html" TargetMode="External"/><Relationship Id="rId905" Type="http://schemas.openxmlformats.org/officeDocument/2006/relationships/hyperlink" Target="http://www.broadinstitute.org/gsea/msigdb/cards/EGR1_01.html" TargetMode="External"/><Relationship Id="rId906" Type="http://schemas.openxmlformats.org/officeDocument/2006/relationships/hyperlink" Target="http://www.broadinstitute.org/gsea/msigdb/cards/CTGAGCC_MIR24.html" TargetMode="External"/><Relationship Id="rId907" Type="http://schemas.openxmlformats.org/officeDocument/2006/relationships/hyperlink" Target="http://www.broadinstitute.org/gsea/msigdb/cards/PAX3_B.html" TargetMode="External"/><Relationship Id="rId908" Type="http://schemas.openxmlformats.org/officeDocument/2006/relationships/hyperlink" Target="http://www.broadinstitute.org/gsea/msigdb/cards/TTGGGAG_MIR150.html" TargetMode="External"/><Relationship Id="rId909" Type="http://schemas.openxmlformats.org/officeDocument/2006/relationships/hyperlink" Target="http://www.broadinstitute.org/gsea/msigdb/cards/SNACANNNYSYAGA_UNKNOWN.html" TargetMode="External"/><Relationship Id="rId1840" Type="http://schemas.openxmlformats.org/officeDocument/2006/relationships/hyperlink" Target="http://www.broadinstitute.org/gsea/msigdb/cards/GSE11057_EFF_MEM_VS_CENT_MEM_CD4_TCELL_DN.html" TargetMode="External"/><Relationship Id="rId1841" Type="http://schemas.openxmlformats.org/officeDocument/2006/relationships/hyperlink" Target="http://www.broadinstitute.org/gsea/msigdb/cards/GSE29617_CTRL_VS_DAY3_TIV_FLU_VACCINE_PBMC_2008_UP.html" TargetMode="External"/><Relationship Id="rId1842" Type="http://schemas.openxmlformats.org/officeDocument/2006/relationships/hyperlink" Target="http://www.broadinstitute.org/gsea/msigdb/cards/GSE39820_CTRL_VS_TGFBETA1_IL6_IL23A_CD4_TCELL_UP.html" TargetMode="External"/><Relationship Id="rId1843" Type="http://schemas.openxmlformats.org/officeDocument/2006/relationships/hyperlink" Target="http://www.broadinstitute.org/gsea/msigdb/cards/GSE8621_UNSTIM_VS_LPS_PRIMED_AND_LPS_STIM_MACROPHAGE_DN.html" TargetMode="External"/><Relationship Id="rId1844" Type="http://schemas.openxmlformats.org/officeDocument/2006/relationships/hyperlink" Target="http://www.broadinstitute.org/gsea/msigdb/cards/GSE19888_ADENOSINE_A3R_INH_PRETREAT_AND_ACT_BY_A3R_VS_A3R_INH_AND_TCELL_MEMBRANES_ACT_MAST_CELL_UP.html" TargetMode="External"/><Relationship Id="rId1845" Type="http://schemas.openxmlformats.org/officeDocument/2006/relationships/hyperlink" Target="http://www.broadinstitute.org/gsea/msigdb/cards/GSE16385_ROSIGLITAZONE_IL4_VS_IL4_ALONE_STIM_MACROPHAGE_12H_UP.html" TargetMode="External"/><Relationship Id="rId1846" Type="http://schemas.openxmlformats.org/officeDocument/2006/relationships/hyperlink" Target="http://www.broadinstitute.org/gsea/msigdb/cards/GSE16385_ROSIGLITAZONE_IL4_VS_IFNG_TNF_STIM_MACROPHAGE_UP.html" TargetMode="External"/><Relationship Id="rId1847" Type="http://schemas.openxmlformats.org/officeDocument/2006/relationships/hyperlink" Target="http://www.broadinstitute.org/gsea/msigdb/cards/GSE29164_CD8_TCELL_VS_CD8_TCELL_AND_IL12_TREATED_MELANOMA_DAY3_UP.html" TargetMode="External"/><Relationship Id="rId1848" Type="http://schemas.openxmlformats.org/officeDocument/2006/relationships/hyperlink" Target="http://www.broadinstitute.org/gsea/msigdb/cards/GSE36009_WT_VS_NLRP10_KO_DC_LPS_STIM_DN.html" TargetMode="External"/><Relationship Id="rId1849" Type="http://schemas.openxmlformats.org/officeDocument/2006/relationships/hyperlink" Target="http://www.broadinstitute.org/gsea/msigdb/cards/GSE40068_BCL6_POS_VS_NEG_CXCR5_POS_TFH_DN.html" TargetMode="External"/><Relationship Id="rId2000" Type="http://schemas.openxmlformats.org/officeDocument/2006/relationships/hyperlink" Target="http://www.broadinstitute.org/gsea/msigdb/cards/GSE16450_IMMATURE_VS_MATURE_NEURON_CELL_LINE_UP.html" TargetMode="External"/><Relationship Id="rId2001" Type="http://schemas.openxmlformats.org/officeDocument/2006/relationships/hyperlink" Target="http://www.broadinstitute.org/gsea/msigdb/cards/GSE21360_NAIVE_VS_QUATERNARY_MEMORY_CD8_TCELL_DN.html" TargetMode="External"/><Relationship Id="rId2002" Type="http://schemas.openxmlformats.org/officeDocument/2006/relationships/hyperlink" Target="http://www.broadinstitute.org/gsea/msigdb/cards/GSE19401_RETINOIC_ACID_VS_RETINOIC_ACID_AND_PAM2CSK4_STIM_FOLLICULAR_DC_DN.html" TargetMode="External"/><Relationship Id="rId2003" Type="http://schemas.openxmlformats.org/officeDocument/2006/relationships/hyperlink" Target="http://www.broadinstitute.org/gsea/msigdb/cards/GSE22103_UNSTIM_VS_GMCSF_AND_IFNG_STIM_NEUTROPHIL_UP.html" TargetMode="External"/><Relationship Id="rId2004" Type="http://schemas.openxmlformats.org/officeDocument/2006/relationships/hyperlink" Target="http://www.broadinstitute.org/gsea/msigdb/cards/GSE24210_CTRL_VS_IL35_TREATED_TCONV_CD4_TCELL_UP.html" TargetMode="External"/><Relationship Id="rId2005" Type="http://schemas.openxmlformats.org/officeDocument/2006/relationships/hyperlink" Target="http://www.broadinstitute.org/gsea/msigdb/cards/GSE24210_IL35_TREATED_VS_UNTREATED_TCONV_CD4_TCELL_DN.html" TargetMode="External"/><Relationship Id="rId2006" Type="http://schemas.openxmlformats.org/officeDocument/2006/relationships/hyperlink" Target="http://www.broadinstitute.org/gsea/msigdb/cards/GSE25088_WT_VS_STAT6_KO_MACROPHAGE_ROSIGLITAZONE_STIM_UP.html" TargetMode="External"/><Relationship Id="rId2007" Type="http://schemas.openxmlformats.org/officeDocument/2006/relationships/hyperlink" Target="http://www.broadinstitute.org/gsea/msigdb/cards/GSE21063_3H_VS_16H_ANTI_IGM_STIM_BCELL_DN.html" TargetMode="External"/><Relationship Id="rId2008" Type="http://schemas.openxmlformats.org/officeDocument/2006/relationships/hyperlink" Target="http://www.broadinstitute.org/gsea/msigdb/cards/GSE29949_CD8_NEG_DC_SPLEEN_VS_DC_BRAIN_DN.html" TargetMode="External"/><Relationship Id="rId2009" Type="http://schemas.openxmlformats.org/officeDocument/2006/relationships/hyperlink" Target="http://www.broadinstitute.org/gsea/msigdb/cards/GSE23321_CD8_STEM_CELL_MEMORY_VS_NAIVE_CD8_TCELL_DN.html" TargetMode="External"/><Relationship Id="rId90" Type="http://schemas.openxmlformats.org/officeDocument/2006/relationships/hyperlink" Target="http://www.broadinstitute.org/gsea/msigdb/cards/BIDUS_METASTASIS_UP.html" TargetMode="External"/><Relationship Id="rId91" Type="http://schemas.openxmlformats.org/officeDocument/2006/relationships/hyperlink" Target="http://www.broadinstitute.org/gsea/msigdb/cards/CAIRO_HEPATOBLASTOMA_CLASSES_UP.html" TargetMode="External"/><Relationship Id="rId92" Type="http://schemas.openxmlformats.org/officeDocument/2006/relationships/hyperlink" Target="http://www.broadinstitute.org/gsea/msigdb/cards/KIM_WT1_TARGETS_DN.html" TargetMode="External"/><Relationship Id="rId93" Type="http://schemas.openxmlformats.org/officeDocument/2006/relationships/hyperlink" Target="http://www.broadinstitute.org/gsea/msigdb/cards/BENPORATH_MYC_MAX_TARGETS.html" TargetMode="External"/><Relationship Id="rId94" Type="http://schemas.openxmlformats.org/officeDocument/2006/relationships/hyperlink" Target="http://www.broadinstitute.org/gsea/msigdb/cards/THUM_SYSTOLIC_HEART_FAILURE_DN.html" TargetMode="External"/><Relationship Id="rId95" Type="http://schemas.openxmlformats.org/officeDocument/2006/relationships/hyperlink" Target="http://www.broadinstitute.org/gsea/msigdb/cards/BENPORATH_CYCLING_GENES.html" TargetMode="External"/><Relationship Id="rId96" Type="http://schemas.openxmlformats.org/officeDocument/2006/relationships/hyperlink" Target="http://www.broadinstitute.org/gsea/msigdb/cards/BOYAULT_LIVER_CANCER_SUBCLASS_G1_UP.html" TargetMode="External"/><Relationship Id="rId97" Type="http://schemas.openxmlformats.org/officeDocument/2006/relationships/hyperlink" Target="http://www.broadinstitute.org/gsea/msigdb/cards/HOSHIDA_LIVER_CANCER_SUBCLASS_S2.html" TargetMode="External"/><Relationship Id="rId98" Type="http://schemas.openxmlformats.org/officeDocument/2006/relationships/hyperlink" Target="http://www.broadinstitute.org/gsea/msigdb/cards/WAKABAYASHI_ADIPOGENESIS_PPARG_BOUND_8D.html" TargetMode="External"/><Relationship Id="rId180" Type="http://schemas.openxmlformats.org/officeDocument/2006/relationships/hyperlink" Target="http://www.broadinstitute.org/gsea/msigdb/cards/REACTOME_LATE_PHASE_OF_HIV_LIFE_CYCLE.html" TargetMode="External"/><Relationship Id="rId181" Type="http://schemas.openxmlformats.org/officeDocument/2006/relationships/hyperlink" Target="http://www.broadinstitute.org/gsea/msigdb/cards/MARTINEZ_RB1_AND_TP53_TARGETS_DN.html" TargetMode="External"/><Relationship Id="rId182" Type="http://schemas.openxmlformats.org/officeDocument/2006/relationships/hyperlink" Target="http://www.broadinstitute.org/gsea/msigdb/cards/REACTOME_HIV_INFECTION.html" TargetMode="External"/><Relationship Id="rId183" Type="http://schemas.openxmlformats.org/officeDocument/2006/relationships/hyperlink" Target="http://www.broadinstitute.org/gsea/msigdb/cards/MARTINEZ_TP53_TARGETS_DN.html" TargetMode="External"/><Relationship Id="rId184" Type="http://schemas.openxmlformats.org/officeDocument/2006/relationships/hyperlink" Target="http://www.broadinstitute.org/gsea/msigdb/cards/ZWANG_TRANSIENTLY_UP_BY_1ST_EGF_PULSE_ONLY.html" TargetMode="External"/><Relationship Id="rId185" Type="http://schemas.openxmlformats.org/officeDocument/2006/relationships/hyperlink" Target="http://www.broadinstitute.org/gsea/msigdb/cards/LASTOWSKA_NEUROBLASTOMA_COPY_NUMBER_UP.html" TargetMode="External"/><Relationship Id="rId186" Type="http://schemas.openxmlformats.org/officeDocument/2006/relationships/hyperlink" Target="http://www.broadinstitute.org/gsea/msigdb/cards/RAMASWAMY_METASTASIS_UP.html" TargetMode="External"/><Relationship Id="rId187" Type="http://schemas.openxmlformats.org/officeDocument/2006/relationships/hyperlink" Target="http://www.broadinstitute.org/gsea/msigdb/cards/SCHAEFFER_PROSTATE_DEVELOPMENT_AND_CANCER_BOX4_DN.html" TargetMode="External"/><Relationship Id="rId188" Type="http://schemas.openxmlformats.org/officeDocument/2006/relationships/hyperlink" Target="http://www.broadinstitute.org/gsea/msigdb/cards/NUYTTEN_EZH2_TARGETS_DN.html" TargetMode="External"/><Relationship Id="rId189" Type="http://schemas.openxmlformats.org/officeDocument/2006/relationships/hyperlink" Target="http://www.broadinstitute.org/gsea/msigdb/cards/LOCKWOOD_AMPLIFIED_IN_LUNG_CANCER.html" TargetMode="External"/><Relationship Id="rId99" Type="http://schemas.openxmlformats.org/officeDocument/2006/relationships/hyperlink" Target="http://www.broadinstitute.org/gsea/msigdb/cards/MCBRYAN_PUBERTAL_BREAST_5_6WK_DN.html" TargetMode="External"/><Relationship Id="rId1300" Type="http://schemas.openxmlformats.org/officeDocument/2006/relationships/hyperlink" Target="http://www.broadinstitute.org/gsea/msigdb/cards/GO_NUCLEAR_IMPORT.html" TargetMode="External"/><Relationship Id="rId2550" Type="http://schemas.openxmlformats.org/officeDocument/2006/relationships/hyperlink" Target="http://www.broadinstitute.org/gsea/msigdb/cards/GSE7768_OVA_ALONE_VS_OVA_WITH_LPS_IMMUNIZED_MOUSE_WHOLE_SPLEEN_6H_UP.html" TargetMode="External"/><Relationship Id="rId2551" Type="http://schemas.openxmlformats.org/officeDocument/2006/relationships/hyperlink" Target="http://www.broadinstitute.org/gsea/msigdb/cards/GSE6674_UNSTIM_VS_PL2_3_STIM_BCELL_DN.html" TargetMode="External"/><Relationship Id="rId2552" Type="http://schemas.openxmlformats.org/officeDocument/2006/relationships/hyperlink" Target="http://www.broadinstitute.org/gsea/msigdb/cards/GSE6674_ANTI_IGM_VS_CPG_STIM_BCELL_DN.html" TargetMode="External"/><Relationship Id="rId2553" Type="http://schemas.openxmlformats.org/officeDocument/2006/relationships/hyperlink" Target="http://www.broadinstitute.org/gsea/msigdb/cards/GSE5503_PLN_DC_VS_SPLEEN_DC_ACTIVATED_ALLOGENIC_TCELL_DN.html" TargetMode="External"/><Relationship Id="rId2554" Type="http://schemas.openxmlformats.org/officeDocument/2006/relationships/hyperlink" Target="http://www.broadinstitute.org/gsea/msigdb/cards/GSE10273_HIGH_VS_LOW_IL7_TREATED_IRF4_8_NULL_PRE_BCELL_UP.html" TargetMode="External"/><Relationship Id="rId2555" Type="http://schemas.openxmlformats.org/officeDocument/2006/relationships/hyperlink" Target="http://www.broadinstitute.org/gsea/msigdb/cards/GSE14415_TCONV_VS_FOXP3_KO_INDUCED_TREG_UP.html" TargetMode="External"/><Relationship Id="rId2556" Type="http://schemas.openxmlformats.org/officeDocument/2006/relationships/hyperlink" Target="http://www.broadinstitute.org/gsea/msigdb/cards/GSE15330_LYMPHOID_MULTIPOTENT_VS_MEGAKARYOCYTE_ERYTHROID_PROGENITOR_UP.html" TargetMode="External"/><Relationship Id="rId2557" Type="http://schemas.openxmlformats.org/officeDocument/2006/relationships/hyperlink" Target="http://www.broadinstitute.org/gsea/msigdb/cards/GSE15330_WT_VS_IKAROS_KO_LYMPHOID_MULTIPOTENT_PROGENITOR_UP.html" TargetMode="External"/><Relationship Id="rId2558" Type="http://schemas.openxmlformats.org/officeDocument/2006/relationships/hyperlink" Target="http://www.broadinstitute.org/gsea/msigdb/cards/GSE15330_LYMPHOID_MULTIPOTENT_VS_GRANULOCYTE_MONOCYTE_PROGENITOR_IKAROS_KO_UP.html" TargetMode="External"/><Relationship Id="rId2559" Type="http://schemas.openxmlformats.org/officeDocument/2006/relationships/hyperlink" Target="http://www.broadinstitute.org/gsea/msigdb/cards/GSE15330_HSC_VS_GRANULOCYTE_MONOCYTE_PROGENITOR_UP.html" TargetMode="External"/><Relationship Id="rId1301" Type="http://schemas.openxmlformats.org/officeDocument/2006/relationships/hyperlink" Target="http://www.broadinstitute.org/gsea/msigdb/cards/GO_NON_RECOMBINATIONAL_REPAIR.html" TargetMode="External"/><Relationship Id="rId1302" Type="http://schemas.openxmlformats.org/officeDocument/2006/relationships/hyperlink" Target="http://www.broadinstitute.org/gsea/msigdb/cards/GO_REGULATION_OF_MRNA_CATABOLIC_PROCESS.html" TargetMode="External"/><Relationship Id="rId1303" Type="http://schemas.openxmlformats.org/officeDocument/2006/relationships/hyperlink" Target="http://www.broadinstitute.org/gsea/msigdb/cards/GO_N_TERMINAL_PROTEIN_AMINO_ACID_MODIFICATION.html" TargetMode="External"/><Relationship Id="rId1304" Type="http://schemas.openxmlformats.org/officeDocument/2006/relationships/hyperlink" Target="http://www.broadinstitute.org/gsea/msigdb/cards/GO_VACUOLAR_TRANSPORT.html" TargetMode="External"/><Relationship Id="rId1305" Type="http://schemas.openxmlformats.org/officeDocument/2006/relationships/hyperlink" Target="http://www.broadinstitute.org/gsea/msigdb/cards/GO_IN_UTERO_EMBRYONIC_DEVELOPMENT.html" TargetMode="External"/><Relationship Id="rId1306" Type="http://schemas.openxmlformats.org/officeDocument/2006/relationships/hyperlink" Target="http://www.broadinstitute.org/gsea/msigdb/cards/GO_PROTEIN_LOCALIZATION_TO_NUCLEUS.html" TargetMode="External"/><Relationship Id="rId1307" Type="http://schemas.openxmlformats.org/officeDocument/2006/relationships/hyperlink" Target="http://www.broadinstitute.org/gsea/msigdb/cards/GO_G1_DNA_DAMAGE_CHECKPOINT.html" TargetMode="External"/><Relationship Id="rId1308" Type="http://schemas.openxmlformats.org/officeDocument/2006/relationships/hyperlink" Target="http://www.broadinstitute.org/gsea/msigdb/cards/GO_REGULATION_OF_MRNA_3_END_PROCESSING.html" TargetMode="External"/><Relationship Id="rId1309" Type="http://schemas.openxmlformats.org/officeDocument/2006/relationships/hyperlink" Target="http://www.broadinstitute.org/gsea/msigdb/cards/GO_MLL1_2_COMPLEX.html" TargetMode="External"/><Relationship Id="rId910" Type="http://schemas.openxmlformats.org/officeDocument/2006/relationships/hyperlink" Target="http://www.broadinstitute.org/gsea/msigdb/cards/BACH2_01.html" TargetMode="External"/><Relationship Id="rId911" Type="http://schemas.openxmlformats.org/officeDocument/2006/relationships/hyperlink" Target="http://www.broadinstitute.org/gsea/msigdb/cards/HNF4ALPHA_Q6.html" TargetMode="External"/><Relationship Id="rId912" Type="http://schemas.openxmlformats.org/officeDocument/2006/relationships/hyperlink" Target="http://www.broadinstitute.org/gsea/msigdb/cards/CEBP_Q2.html" TargetMode="External"/><Relationship Id="rId913" Type="http://schemas.openxmlformats.org/officeDocument/2006/relationships/hyperlink" Target="http://www.broadinstitute.org/gsea/msigdb/cards/HNF6_Q6.html" TargetMode="External"/><Relationship Id="rId914" Type="http://schemas.openxmlformats.org/officeDocument/2006/relationships/hyperlink" Target="http://www.broadinstitute.org/gsea/msigdb/cards/TCCGTCC_MIR184.html" TargetMode="External"/><Relationship Id="rId915" Type="http://schemas.openxmlformats.org/officeDocument/2006/relationships/hyperlink" Target="http://www.broadinstitute.org/gsea/msigdb/cards/GRE_C.html" TargetMode="External"/><Relationship Id="rId916" Type="http://schemas.openxmlformats.org/officeDocument/2006/relationships/hyperlink" Target="http://www.broadinstitute.org/gsea/msigdb/cards/YGCANTGCR_UNKNOWN.html" TargetMode="External"/><Relationship Id="rId917" Type="http://schemas.openxmlformats.org/officeDocument/2006/relationships/hyperlink" Target="http://www.broadinstitute.org/gsea/msigdb/cards/TATCTGG_MIR488.html" TargetMode="External"/><Relationship Id="rId918" Type="http://schemas.openxmlformats.org/officeDocument/2006/relationships/hyperlink" Target="http://www.broadinstitute.org/gsea/msigdb/cards/YKACATTT_UNKNOWN.html" TargetMode="External"/><Relationship Id="rId919" Type="http://schemas.openxmlformats.org/officeDocument/2006/relationships/hyperlink" Target="http://www.broadinstitute.org/gsea/msigdb/cards/BRN2_01.html" TargetMode="External"/><Relationship Id="rId1850" Type="http://schemas.openxmlformats.org/officeDocument/2006/relationships/hyperlink" Target="http://www.broadinstitute.org/gsea/msigdb/cards/GSE6269_HEALTHY_VS_STAPH_AUREUS_INF_PBMC_UP.html" TargetMode="External"/><Relationship Id="rId1851" Type="http://schemas.openxmlformats.org/officeDocument/2006/relationships/hyperlink" Target="http://www.broadinstitute.org/gsea/msigdb/cards/GSE14415_FOXP3_KO_NATURAL_TREG_VS_TCONV_UP.html" TargetMode="External"/><Relationship Id="rId1852" Type="http://schemas.openxmlformats.org/officeDocument/2006/relationships/hyperlink" Target="http://www.broadinstitute.org/gsea/msigdb/cards/GSE40225_WT_VS_RIP_B7X_DIABETIC_MOUSE_PANCREATIC_CD8_TCELL_UP.html" TargetMode="External"/><Relationship Id="rId1853" Type="http://schemas.openxmlformats.org/officeDocument/2006/relationships/hyperlink" Target="http://www.broadinstitute.org/gsea/msigdb/cards/GSE11386_NAIVE_VS_MEMORY_BCELL_DN.html" TargetMode="External"/><Relationship Id="rId1854" Type="http://schemas.openxmlformats.org/officeDocument/2006/relationships/hyperlink" Target="http://www.broadinstitute.org/gsea/msigdb/cards/GSE26928_CENTR_MEMORY_VS_CXCR5_POS_CD4_TCELL_DN.html" TargetMode="External"/><Relationship Id="rId1855" Type="http://schemas.openxmlformats.org/officeDocument/2006/relationships/hyperlink" Target="http://www.broadinstitute.org/gsea/msigdb/cards/GSE31082_CD4_VS_CD8_SP_THYMOCYTE_UP.html" TargetMode="External"/><Relationship Id="rId1856" Type="http://schemas.openxmlformats.org/officeDocument/2006/relationships/hyperlink" Target="http://www.broadinstitute.org/gsea/msigdb/cards/GSE39820_TGFBETA1_VS_TGFBETA3_IN_IL6_TREATED_CD4_TCELL_UP.html" TargetMode="External"/><Relationship Id="rId1857" Type="http://schemas.openxmlformats.org/officeDocument/2006/relationships/hyperlink" Target="http://www.broadinstitute.org/gsea/msigdb/cards/GSE9988_ANTI_TREM1_VS_CTRL_TREATED_MONOCYTES_DN.html" TargetMode="External"/><Relationship Id="rId1858" Type="http://schemas.openxmlformats.org/officeDocument/2006/relationships/hyperlink" Target="http://www.broadinstitute.org/gsea/msigdb/cards/GSE21380_NON_TFH_VS_GERMINAL_CENTER_TFH_CD4_TCELL_DN.html" TargetMode="External"/><Relationship Id="rId1859" Type="http://schemas.openxmlformats.org/officeDocument/2006/relationships/hyperlink" Target="http://www.broadinstitute.org/gsea/msigdb/cards/GSE33162_HDAC3_KO_VS_HDAC3_KO_4H_LPS_STIM_MACROPHAGE_UP.html" TargetMode="External"/><Relationship Id="rId2010" Type="http://schemas.openxmlformats.org/officeDocument/2006/relationships/hyperlink" Target="http://www.broadinstitute.org/gsea/msigdb/cards/GSE27859_DC_VS_CD11C_INT_F480_HI_MACROPHAGE_UP.html" TargetMode="External"/><Relationship Id="rId2011" Type="http://schemas.openxmlformats.org/officeDocument/2006/relationships/hyperlink" Target="http://www.broadinstitute.org/gsea/msigdb/cards/GSE40274_FOXP3_VS_FOXP3_AND_LEF1_TRANSDUCED_ACTIVATED_CD4_TCELL_DN.html" TargetMode="External"/><Relationship Id="rId2012" Type="http://schemas.openxmlformats.org/officeDocument/2006/relationships/hyperlink" Target="http://www.broadinstitute.org/gsea/msigdb/cards/GSE41867_DAY6_VS_DAY8_LCMV_CLONE13_EFFECTOR_CD8_TCELL_DN.html" TargetMode="External"/><Relationship Id="rId2013" Type="http://schemas.openxmlformats.org/officeDocument/2006/relationships/hyperlink" Target="http://www.broadinstitute.org/gsea/msigdb/cards/GSE41867_NAIVE_VS_DAY8_LCMV_ARMSTRONG_EFFECTOR_CD8_TCELL_DN.html" TargetMode="External"/><Relationship Id="rId2014" Type="http://schemas.openxmlformats.org/officeDocument/2006/relationships/hyperlink" Target="http://www.broadinstitute.org/gsea/msigdb/cards/GSE43956_WT_VS_SGK1_KO_TH17_DIFFERENTIATED_CD4_TCELL_DN.html" TargetMode="External"/><Relationship Id="rId2015" Type="http://schemas.openxmlformats.org/officeDocument/2006/relationships/hyperlink" Target="http://www.broadinstitute.org/gsea/msigdb/cards/GSE46606_IRF4_KO_VS_WT_UNSTIM_BCELL_UP.html" TargetMode="External"/><Relationship Id="rId2016" Type="http://schemas.openxmlformats.org/officeDocument/2006/relationships/hyperlink" Target="http://www.broadinstitute.org/gsea/msigdb/cards/GSE45739_NRAS_KO_VS_WT_ACD3_ACD28_STIM_CD4_TCELL_DN.html" TargetMode="External"/><Relationship Id="rId2017" Type="http://schemas.openxmlformats.org/officeDocument/2006/relationships/hyperlink" Target="http://www.broadinstitute.org/gsea/msigdb/cards/GSE12003_4D_VS_8D_CULTURE_BM_PROGENITOR_DN.html" TargetMode="External"/><Relationship Id="rId2018" Type="http://schemas.openxmlformats.org/officeDocument/2006/relationships/hyperlink" Target="http://www.broadinstitute.org/gsea/msigdb/cards/GSE6269_FLU_VS_STAPH_AUREUS_INF_PBMC_UP.html" TargetMode="External"/><Relationship Id="rId2019" Type="http://schemas.openxmlformats.org/officeDocument/2006/relationships/hyperlink" Target="http://www.broadinstitute.org/gsea/msigdb/cards/GSE7348_UNSTIM_VS_TOLERIZED_AND_LPS_STIM_MACROPHAGE_UP.html" TargetMode="External"/><Relationship Id="rId1310" Type="http://schemas.openxmlformats.org/officeDocument/2006/relationships/hyperlink" Target="http://www.broadinstitute.org/gsea/msigdb/cards/GO_UBIQUITIN_LIGASE_COMPLEX.html" TargetMode="External"/><Relationship Id="rId1311" Type="http://schemas.openxmlformats.org/officeDocument/2006/relationships/hyperlink" Target="http://www.broadinstitute.org/gsea/msigdb/cards/GO_NUCLEASE_ACTIVITY.html" TargetMode="External"/><Relationship Id="rId1312" Type="http://schemas.openxmlformats.org/officeDocument/2006/relationships/hyperlink" Target="http://www.broadinstitute.org/gsea/msigdb/cards/GO_DEVELOPMENTAL_PROCESS_INVOLVED_IN_REPRODUCTION.html" TargetMode="External"/><Relationship Id="rId190" Type="http://schemas.openxmlformats.org/officeDocument/2006/relationships/hyperlink" Target="http://www.broadinstitute.org/gsea/msigdb/cards/IVANOVA_HEMATOPOIESIS_STEM_CELL_AND_PROGENITOR.html" TargetMode="External"/><Relationship Id="rId191" Type="http://schemas.openxmlformats.org/officeDocument/2006/relationships/hyperlink" Target="http://www.broadinstitute.org/gsea/msigdb/cards/REACTOME_TRANSPORT_OF_MATURE_MRNA_DERIVED_FROM_AN_INTRONLESS_TRANSCRIPT.html" TargetMode="External"/><Relationship Id="rId192" Type="http://schemas.openxmlformats.org/officeDocument/2006/relationships/hyperlink" Target="http://www.broadinstitute.org/gsea/msigdb/cards/GARGALOVIC_RESPONSE_TO_OXIDIZED_PHOSPHOLIPIDS_BLUE_UP.html" TargetMode="External"/><Relationship Id="rId193" Type="http://schemas.openxmlformats.org/officeDocument/2006/relationships/hyperlink" Target="http://www.broadinstitute.org/gsea/msigdb/cards/WHITFIELD_CELL_CYCLE_G2_M.html" TargetMode="External"/><Relationship Id="rId194" Type="http://schemas.openxmlformats.org/officeDocument/2006/relationships/hyperlink" Target="http://www.broadinstitute.org/gsea/msigdb/cards/LIAO_METASTASIS.html" TargetMode="External"/><Relationship Id="rId195" Type="http://schemas.openxmlformats.org/officeDocument/2006/relationships/hyperlink" Target="http://www.broadinstitute.org/gsea/msigdb/cards/AMUNDSON_RESPONSE_TO_ARSENITE.html" TargetMode="External"/><Relationship Id="rId196" Type="http://schemas.openxmlformats.org/officeDocument/2006/relationships/hyperlink" Target="http://www.broadinstitute.org/gsea/msigdb/cards/BONOME_OVARIAN_CANCER_SURVIVAL_OPTIMAL_DEBULKING.html" TargetMode="External"/><Relationship Id="rId197" Type="http://schemas.openxmlformats.org/officeDocument/2006/relationships/hyperlink" Target="http://www.broadinstitute.org/gsea/msigdb/cards/HEDENFALK_BREAST_CANCER_BRCA1_VS_BRCA2.html" TargetMode="External"/><Relationship Id="rId198" Type="http://schemas.openxmlformats.org/officeDocument/2006/relationships/hyperlink" Target="http://www.broadinstitute.org/gsea/msigdb/cards/KEGG_UBIQUITIN_MEDIATED_PROTEOLYSIS.html" TargetMode="External"/><Relationship Id="rId199" Type="http://schemas.openxmlformats.org/officeDocument/2006/relationships/hyperlink" Target="http://www.broadinstitute.org/gsea/msigdb/cards/GARY_CD5_TARGETS_UP.html" TargetMode="External"/><Relationship Id="rId1313" Type="http://schemas.openxmlformats.org/officeDocument/2006/relationships/hyperlink" Target="http://www.broadinstitute.org/gsea/msigdb/cards/GO_CYSTEINE_TYPE_PEPTIDASE_ACTIVITY.html" TargetMode="External"/><Relationship Id="rId1314" Type="http://schemas.openxmlformats.org/officeDocument/2006/relationships/hyperlink" Target="http://www.broadinstitute.org/gsea/msigdb/cards/GO_REGULATION_OF_CELLULAR_RESPONSE_TO_HEAT.html" TargetMode="External"/><Relationship Id="rId2560" Type="http://schemas.openxmlformats.org/officeDocument/2006/relationships/hyperlink" Target="http://www.broadinstitute.org/gsea/msigdb/cards/GSE12392_WT_VS_IFNB_KO_CD8A_NEG_SPLEEN_DC_UP.html" TargetMode="External"/><Relationship Id="rId2561" Type="http://schemas.openxmlformats.org/officeDocument/2006/relationships/hyperlink" Target="http://www.broadinstitute.org/gsea/msigdb/cards/GSE17186_NAIVE_VS_CD21HIGH_TRANSITIONAL_BCELL_UP.html" TargetMode="External"/><Relationship Id="rId2562" Type="http://schemas.openxmlformats.org/officeDocument/2006/relationships/hyperlink" Target="http://www.broadinstitute.org/gsea/msigdb/cards/GSE17186_MEMORY_VS_CD21HIGH_TRANSITIONAL_BCELL_DN.html" TargetMode="External"/><Relationship Id="rId2563" Type="http://schemas.openxmlformats.org/officeDocument/2006/relationships/hyperlink" Target="http://www.broadinstitute.org/gsea/msigdb/cards/GSE19198_6H_VS_24H_IL21_TREATED_TCELL_DN.html" TargetMode="External"/><Relationship Id="rId2564" Type="http://schemas.openxmlformats.org/officeDocument/2006/relationships/hyperlink" Target="http://www.broadinstitute.org/gsea/msigdb/cards/GSE18281_PERIMEDULLARY_CORTICAL_REGION_VS_WHOLE_CORTEX_THYMUS_DN.html" TargetMode="External"/><Relationship Id="rId2565" Type="http://schemas.openxmlformats.org/officeDocument/2006/relationships/hyperlink" Target="http://www.broadinstitute.org/gsea/msigdb/cards/GSE19772_CTRL_VS_HCMV_INF_MONOCYTES_AND_PI3K_INHIBITION_UP.html" TargetMode="External"/><Relationship Id="rId2566" Type="http://schemas.openxmlformats.org/officeDocument/2006/relationships/hyperlink" Target="http://www.broadinstitute.org/gsea/msigdb/cards/GSE18893_CTRL_VS_TNF_TREATED_TREG_24H_DN.html" TargetMode="External"/><Relationship Id="rId2567" Type="http://schemas.openxmlformats.org/officeDocument/2006/relationships/hyperlink" Target="http://www.broadinstitute.org/gsea/msigdb/cards/GSE18893_TCONV_VS_TREG_2H_CULTURE_UP.html" TargetMode="External"/><Relationship Id="rId2568" Type="http://schemas.openxmlformats.org/officeDocument/2006/relationships/hyperlink" Target="http://www.broadinstitute.org/gsea/msigdb/cards/GSE20198_UNTREATED_VS_IFNA_TREATED_ACT_CD4_TCELL_UP.html" TargetMode="External"/><Relationship Id="rId2569" Type="http://schemas.openxmlformats.org/officeDocument/2006/relationships/hyperlink" Target="http://www.broadinstitute.org/gsea/msigdb/cards/GSE20198_IL12_IL18_VS_IFNA_TREATED_ACT_CD4_TCELL_DN.html" TargetMode="External"/><Relationship Id="rId1315" Type="http://schemas.openxmlformats.org/officeDocument/2006/relationships/hyperlink" Target="http://www.broadinstitute.org/gsea/msigdb/cards/GO_PROTEIN_C_TERMINUS_BINDING.html" TargetMode="External"/><Relationship Id="rId1316" Type="http://schemas.openxmlformats.org/officeDocument/2006/relationships/hyperlink" Target="http://www.broadinstitute.org/gsea/msigdb/cards/GO_REGULATION_OF_SIGNAL_TRANSDUCTION_BY_P53_CLASS_MEDIATOR.html" TargetMode="External"/><Relationship Id="rId1317" Type="http://schemas.openxmlformats.org/officeDocument/2006/relationships/hyperlink" Target="http://www.broadinstitute.org/gsea/msigdb/cards/GO_MITOTIC_CELL_CYCLE_CHECKPOINT.html" TargetMode="External"/><Relationship Id="rId1318" Type="http://schemas.openxmlformats.org/officeDocument/2006/relationships/hyperlink" Target="http://www.broadinstitute.org/gsea/msigdb/cards/GO_S_ADENOSYLMETHIONINE_DEPENDENT_METHYLTRANSFERASE_ACTIVITY.html" TargetMode="External"/><Relationship Id="rId1319" Type="http://schemas.openxmlformats.org/officeDocument/2006/relationships/hyperlink" Target="http://www.broadinstitute.org/gsea/msigdb/cards/GO_PERINUCLEAR_REGION_OF_CYTOPLASM.html" TargetMode="External"/><Relationship Id="rId920" Type="http://schemas.openxmlformats.org/officeDocument/2006/relationships/hyperlink" Target="http://www.broadinstitute.org/gsea/msigdb/cards/PAX4_02.html" TargetMode="External"/><Relationship Id="rId921" Type="http://schemas.openxmlformats.org/officeDocument/2006/relationships/hyperlink" Target="http://www.broadinstitute.org/gsea/msigdb/cards/IK1_01.html" TargetMode="External"/><Relationship Id="rId922" Type="http://schemas.openxmlformats.org/officeDocument/2006/relationships/hyperlink" Target="http://www.broadinstitute.org/gsea/msigdb/cards/CCACACA_MIR147.html" TargetMode="External"/><Relationship Id="rId923" Type="http://schemas.openxmlformats.org/officeDocument/2006/relationships/hyperlink" Target="http://www.broadinstitute.org/gsea/msigdb/cards/HFH8_01.html" TargetMode="External"/><Relationship Id="rId924" Type="http://schemas.openxmlformats.org/officeDocument/2006/relationships/hyperlink" Target="http://www.broadinstitute.org/gsea/msigdb/cards/GCM_Q2.html" TargetMode="External"/><Relationship Id="rId925" Type="http://schemas.openxmlformats.org/officeDocument/2006/relationships/hyperlink" Target="http://www.broadinstitute.org/gsea/msigdb/cards/GCM_UBE2N.html" TargetMode="External"/><Relationship Id="rId926" Type="http://schemas.openxmlformats.org/officeDocument/2006/relationships/hyperlink" Target="http://www.broadinstitute.org/gsea/msigdb/cards/GCM_DFFA.html" TargetMode="External"/><Relationship Id="rId927" Type="http://schemas.openxmlformats.org/officeDocument/2006/relationships/hyperlink" Target="http://www.broadinstitute.org/gsea/msigdb/cards/GCM_MLL.html" TargetMode="External"/><Relationship Id="rId928" Type="http://schemas.openxmlformats.org/officeDocument/2006/relationships/hyperlink" Target="http://www.broadinstitute.org/gsea/msigdb/cards/GCM_MYST2.html" TargetMode="External"/><Relationship Id="rId929" Type="http://schemas.openxmlformats.org/officeDocument/2006/relationships/hyperlink" Target="http://www.broadinstitute.org/gsea/msigdb/cards/GCM_RAB10.html" TargetMode="External"/><Relationship Id="rId1860" Type="http://schemas.openxmlformats.org/officeDocument/2006/relationships/hyperlink" Target="http://www.broadinstitute.org/gsea/msigdb/cards/GSE20727_H2O2_VS_ROS_INHIBITOR_TREATED_DC_DN.html" TargetMode="External"/><Relationship Id="rId1861" Type="http://schemas.openxmlformats.org/officeDocument/2006/relationships/hyperlink" Target="http://www.broadinstitute.org/gsea/msigdb/cards/GSE43863_TH1_VS_TFH_EFFECTOR_CD4_TCELL_DN.html" TargetMode="External"/><Relationship Id="rId1862" Type="http://schemas.openxmlformats.org/officeDocument/2006/relationships/hyperlink" Target="http://www.broadinstitute.org/gsea/msigdb/cards/GSE7568_CTRL_VS_3H_TGFB_TREATED_MACROPHAGES_WITH_IL4_AND_DEXAMETHASONE_DN.html" TargetMode="External"/><Relationship Id="rId1863" Type="http://schemas.openxmlformats.org/officeDocument/2006/relationships/hyperlink" Target="http://www.broadinstitute.org/gsea/msigdb/cards/GSE6269_FLU_VS_STREP_PNEUMO_INF_PBMC_UP.html" TargetMode="External"/><Relationship Id="rId1864" Type="http://schemas.openxmlformats.org/officeDocument/2006/relationships/hyperlink" Target="http://www.broadinstitute.org/gsea/msigdb/cards/GSE25146_UNSTIM_VS_HELIOBACTER_PYLORI_LPS_STIM_AGS_CELL_UP.html" TargetMode="External"/><Relationship Id="rId1865" Type="http://schemas.openxmlformats.org/officeDocument/2006/relationships/hyperlink" Target="http://www.broadinstitute.org/gsea/msigdb/cards/GSE11924_TFH_VS_TH2_CD4_TCELL_UP.html" TargetMode="External"/><Relationship Id="rId1866" Type="http://schemas.openxmlformats.org/officeDocument/2006/relationships/hyperlink" Target="http://www.broadinstitute.org/gsea/msigdb/cards/GSE14308_TH1_VS_TH17_DN.html" TargetMode="External"/><Relationship Id="rId1867" Type="http://schemas.openxmlformats.org/officeDocument/2006/relationships/hyperlink" Target="http://www.broadinstitute.org/gsea/msigdb/cards/GSE32423_MEMORY_VS_NAIVE_CD8_TCELL_IL7_IL4_DN.html" TargetMode="External"/><Relationship Id="rId1868" Type="http://schemas.openxmlformats.org/officeDocument/2006/relationships/hyperlink" Target="http://www.broadinstitute.org/gsea/msigdb/cards/GSE3982_MEMORY_CD4_TCELL_VS_TH1_UP.html" TargetMode="External"/><Relationship Id="rId1869" Type="http://schemas.openxmlformats.org/officeDocument/2006/relationships/hyperlink" Target="http://www.broadinstitute.org/gsea/msigdb/cards/GSE2770_TGFB_AND_IL4_VS_TGFB_AND_IL12_TREATED_ACT_CD4_TCELL_6H_DN.html" TargetMode="External"/><Relationship Id="rId2020" Type="http://schemas.openxmlformats.org/officeDocument/2006/relationships/hyperlink" Target="http://www.broadinstitute.org/gsea/msigdb/cards/GSE19941_IL10_KO_VS_IL10_KO_AND_NFKBP50_KO_LPS_AND_IL10_STIM_MACROPHAGE_DN.html" TargetMode="External"/><Relationship Id="rId2021" Type="http://schemas.openxmlformats.org/officeDocument/2006/relationships/hyperlink" Target="http://www.broadinstitute.org/gsea/msigdb/cards/GSE4590_SMALL_VS_VPREB_POS_LARGE_PRE_BCELL_UP.html" TargetMode="External"/><Relationship Id="rId2022" Type="http://schemas.openxmlformats.org/officeDocument/2006/relationships/hyperlink" Target="http://www.broadinstitute.org/gsea/msigdb/cards/GSE7568_IL4_VS_IL4_AND_TGFB_TREATED_MACROPHAGE_24H_UP.html" TargetMode="External"/><Relationship Id="rId2023" Type="http://schemas.openxmlformats.org/officeDocument/2006/relationships/hyperlink" Target="http://www.broadinstitute.org/gsea/msigdb/cards/GSE27896_HDAC6_KO_VS_WT_TREG_UP.html" TargetMode="External"/><Relationship Id="rId2024" Type="http://schemas.openxmlformats.org/officeDocument/2006/relationships/hyperlink" Target="http://www.broadinstitute.org/gsea/msigdb/cards/GSE22342_CD11C_HIGH_VS_LOW_DECIDUAL_MACROPHAGES_UP.html" TargetMode="External"/><Relationship Id="rId2025" Type="http://schemas.openxmlformats.org/officeDocument/2006/relationships/hyperlink" Target="http://www.broadinstitute.org/gsea/msigdb/cards/GSE14415_INDUCED_TREG_VS_FOXP3_KO_INDUCED_TREG_UP.html" TargetMode="External"/><Relationship Id="rId2026" Type="http://schemas.openxmlformats.org/officeDocument/2006/relationships/hyperlink" Target="http://www.broadinstitute.org/gsea/msigdb/cards/GSE27291_0H_VS_7D_STIM_GAMMADELTA_TCELL_UP.html" TargetMode="External"/><Relationship Id="rId2027" Type="http://schemas.openxmlformats.org/officeDocument/2006/relationships/hyperlink" Target="http://www.broadinstitute.org/gsea/msigdb/cards/GSE10239_NAIVE_VS_MEMORY_CD8_TCELL_UP.html" TargetMode="External"/><Relationship Id="rId2028" Type="http://schemas.openxmlformats.org/officeDocument/2006/relationships/hyperlink" Target="http://www.broadinstitute.org/gsea/msigdb/cards/GSE10239_MEMORY_VS_KLRG1HIGH_EFF_CD8_TCELL_DN.html" TargetMode="External"/><Relationship Id="rId2029" Type="http://schemas.openxmlformats.org/officeDocument/2006/relationships/hyperlink" Target="http://www.broadinstitute.org/gsea/msigdb/cards/GSE12845_IGD_NEG_BLOOD_VS_DARKZONE_GC_TONSIL_BCELL_DN.html" TargetMode="External"/><Relationship Id="rId1320" Type="http://schemas.openxmlformats.org/officeDocument/2006/relationships/hyperlink" Target="http://www.broadinstitute.org/gsea/msigdb/cards/GO_NEGATIVE_REGULATION_OF_CELL_CYCLE_PROCESS.html" TargetMode="External"/><Relationship Id="rId1321" Type="http://schemas.openxmlformats.org/officeDocument/2006/relationships/hyperlink" Target="http://www.broadinstitute.org/gsea/msigdb/cards/GO_HEMATOPOIETIC_PROGENITOR_CELL_DIFFERENTIATION.html" TargetMode="External"/><Relationship Id="rId1322" Type="http://schemas.openxmlformats.org/officeDocument/2006/relationships/hyperlink" Target="http://www.broadinstitute.org/gsea/msigdb/cards/GO_DNA_DEPENDENT_DNA_REPLICATION.html" TargetMode="External"/><Relationship Id="rId1323" Type="http://schemas.openxmlformats.org/officeDocument/2006/relationships/hyperlink" Target="http://www.broadinstitute.org/gsea/msigdb/cards/GO_RAN_GTPASE_BINDING.html" TargetMode="External"/><Relationship Id="rId1324" Type="http://schemas.openxmlformats.org/officeDocument/2006/relationships/hyperlink" Target="http://www.broadinstitute.org/gsea/msigdb/cards/GO_POSITIVE_REGULATION_OF_CELL_COMMUNICATION.html" TargetMode="External"/><Relationship Id="rId1325" Type="http://schemas.openxmlformats.org/officeDocument/2006/relationships/hyperlink" Target="http://www.broadinstitute.org/gsea/msigdb/cards/GO_MITOTIC_DNA_INTEGRITY_CHECKPOINT.html" TargetMode="External"/><Relationship Id="rId1326" Type="http://schemas.openxmlformats.org/officeDocument/2006/relationships/hyperlink" Target="http://www.broadinstitute.org/gsea/msigdb/cards/GO_TUBULIN_BINDING.html" TargetMode="External"/><Relationship Id="rId1327" Type="http://schemas.openxmlformats.org/officeDocument/2006/relationships/hyperlink" Target="http://www.broadinstitute.org/gsea/msigdb/cards/GO_DNA_GEOMETRIC_CHANGE.html" TargetMode="External"/><Relationship Id="rId1328" Type="http://schemas.openxmlformats.org/officeDocument/2006/relationships/hyperlink" Target="http://www.broadinstitute.org/gsea/msigdb/cards/GO_HISTONE_H3_K4_METHYLATION.html" TargetMode="External"/><Relationship Id="rId1329" Type="http://schemas.openxmlformats.org/officeDocument/2006/relationships/hyperlink" Target="http://www.broadinstitute.org/gsea/msigdb/cards/GO_CENTRIOLE.html" TargetMode="External"/><Relationship Id="rId2570" Type="http://schemas.openxmlformats.org/officeDocument/2006/relationships/hyperlink" Target="http://www.broadinstitute.org/gsea/msigdb/cards/GSE16450_IMMATURE_VS_MATURE_NEURON_CELL_LINE_12H_IFNA_STIM_DN.html" TargetMode="External"/><Relationship Id="rId2571" Type="http://schemas.openxmlformats.org/officeDocument/2006/relationships/hyperlink" Target="http://www.broadinstitute.org/gsea/msigdb/cards/GSE21670_TGFB_VS_TGFB_AND_IL6_TREATED_CD4_TCELL_DN.html" TargetMode="External"/><Relationship Id="rId2572" Type="http://schemas.openxmlformats.org/officeDocument/2006/relationships/hyperlink" Target="http://www.broadinstitute.org/gsea/msigdb/cards/GSE21670_TGFB_VS_IL6_TREATED_CD4_TCELL_DN.html" TargetMode="External"/><Relationship Id="rId2573" Type="http://schemas.openxmlformats.org/officeDocument/2006/relationships/hyperlink" Target="http://www.broadinstitute.org/gsea/msigdb/cards/GSE21670_STAT3_KO_VS_WT_CD4_TCELL_DN.html" TargetMode="External"/><Relationship Id="rId2574" Type="http://schemas.openxmlformats.org/officeDocument/2006/relationships/hyperlink" Target="http://www.broadinstitute.org/gsea/msigdb/cards/GSE21670_UNTREATED_VS_IL6_TREATED_STAT3_KO_CD4_TCELL_DN.html" TargetMode="External"/><Relationship Id="rId2575" Type="http://schemas.openxmlformats.org/officeDocument/2006/relationships/hyperlink" Target="http://www.broadinstitute.org/gsea/msigdb/cards/GSE22229_UNTREATED_VS_IMMUNOSUPP_THERAPY_RENAL_TRANSPLANT_PATIENT_PBMC_UP.html" TargetMode="External"/><Relationship Id="rId2576" Type="http://schemas.openxmlformats.org/officeDocument/2006/relationships/hyperlink" Target="http://www.broadinstitute.org/gsea/msigdb/cards/GSE22229_RENAL_TRANSPLANT_VS_HEALTHY_PBMC_DN.html" TargetMode="External"/><Relationship Id="rId2577" Type="http://schemas.openxmlformats.org/officeDocument/2006/relationships/hyperlink" Target="http://www.broadinstitute.org/gsea/msigdb/cards/GSE21546_SAP1A_KO_VS_SAP1A_KO_AND_ELK1_KO_DP_THYMOCYTES_DN.html" TargetMode="External"/><Relationship Id="rId2578" Type="http://schemas.openxmlformats.org/officeDocument/2006/relationships/hyperlink" Target="http://www.broadinstitute.org/gsea/msigdb/cards/GSE21546_WT_VS_SAP1A_KO_ANTI_CD3_STIM_DP_THYMOCYTES_DN.html" TargetMode="External"/><Relationship Id="rId2579" Type="http://schemas.openxmlformats.org/officeDocument/2006/relationships/hyperlink" Target="http://www.broadinstitute.org/gsea/msigdb/cards/GSE21927_SPLEEN_VS_TUMOR_MONOCYTE_BALBC_DN.html" TargetMode="External"/><Relationship Id="rId930" Type="http://schemas.openxmlformats.org/officeDocument/2006/relationships/hyperlink" Target="http://www.broadinstitute.org/gsea/msigdb/cards/GCM_ZNF198.html" TargetMode="External"/><Relationship Id="rId931" Type="http://schemas.openxmlformats.org/officeDocument/2006/relationships/hyperlink" Target="http://www.broadinstitute.org/gsea/msigdb/cards/GCM_GSPT1.html" TargetMode="External"/><Relationship Id="rId932" Type="http://schemas.openxmlformats.org/officeDocument/2006/relationships/hyperlink" Target="http://www.broadinstitute.org/gsea/msigdb/cards/MORF_ATRX.html" TargetMode="External"/><Relationship Id="rId933" Type="http://schemas.openxmlformats.org/officeDocument/2006/relationships/hyperlink" Target="http://www.broadinstitute.org/gsea/msigdb/cards/GCM_RAN.html" TargetMode="External"/><Relationship Id="rId934" Type="http://schemas.openxmlformats.org/officeDocument/2006/relationships/hyperlink" Target="http://www.broadinstitute.org/gsea/msigdb/cards/MODULE_182.html" TargetMode="External"/><Relationship Id="rId935" Type="http://schemas.openxmlformats.org/officeDocument/2006/relationships/hyperlink" Target="http://www.broadinstitute.org/gsea/msigdb/cards/MORF_RAP1A.html" TargetMode="External"/><Relationship Id="rId936" Type="http://schemas.openxmlformats.org/officeDocument/2006/relationships/hyperlink" Target="http://www.broadinstitute.org/gsea/msigdb/cards/GNF2_RBBP6.html" TargetMode="External"/><Relationship Id="rId937" Type="http://schemas.openxmlformats.org/officeDocument/2006/relationships/hyperlink" Target="http://www.broadinstitute.org/gsea/msigdb/cards/MODULE_97.html" TargetMode="External"/><Relationship Id="rId938" Type="http://schemas.openxmlformats.org/officeDocument/2006/relationships/hyperlink" Target="http://www.broadinstitute.org/gsea/msigdb/cards/GCM_NF2.html" TargetMode="External"/><Relationship Id="rId939" Type="http://schemas.openxmlformats.org/officeDocument/2006/relationships/hyperlink" Target="http://www.broadinstitute.org/gsea/msigdb/cards/GCM_SUFU.html" TargetMode="External"/><Relationship Id="rId1870" Type="http://schemas.openxmlformats.org/officeDocument/2006/relationships/hyperlink" Target="http://www.broadinstitute.org/gsea/msigdb/cards/GSE3039_ALPHABETA_CD8_TCELL_VS_B2_BCELL_UP.html" TargetMode="External"/><Relationship Id="rId1871" Type="http://schemas.openxmlformats.org/officeDocument/2006/relationships/hyperlink" Target="http://www.broadinstitute.org/gsea/msigdb/cards/GSE6259_33D1_POS_VS_DEC205_POS_SPLENIC_DC_UP.html" TargetMode="External"/><Relationship Id="rId1872" Type="http://schemas.openxmlformats.org/officeDocument/2006/relationships/hyperlink" Target="http://www.broadinstitute.org/gsea/msigdb/cards/GSE6674_UNSTIM_VS_ANTI_IGM_AND_CPG_STIM_BCELL_DN.html" TargetMode="External"/><Relationship Id="rId1873" Type="http://schemas.openxmlformats.org/officeDocument/2006/relationships/hyperlink" Target="http://www.broadinstitute.org/gsea/msigdb/cards/GSE6674_ANTI_IGM_VS_PL2_3_STIM_BCELL_DN.html" TargetMode="External"/><Relationship Id="rId1874" Type="http://schemas.openxmlformats.org/officeDocument/2006/relationships/hyperlink" Target="http://www.broadinstitute.org/gsea/msigdb/cards/GSE16385_IL4_VS_ROSIGLITAZONE_STIM_MACROPHAGE_UP.html" TargetMode="External"/><Relationship Id="rId1875" Type="http://schemas.openxmlformats.org/officeDocument/2006/relationships/hyperlink" Target="http://www.broadinstitute.org/gsea/msigdb/cards/GSE16385_IFNG_TNF_VS_UNSTIM_MACROPHAGE_ROSIGLITAZONE_TREATED_DN.html" TargetMode="External"/><Relationship Id="rId1876" Type="http://schemas.openxmlformats.org/officeDocument/2006/relationships/hyperlink" Target="http://www.broadinstitute.org/gsea/msigdb/cards/GSE29164_UNTREATED_VS_CD8_TCELL_AND_IL12_TREATED_MELANOMA_DAY7_UP.html" TargetMode="External"/><Relationship Id="rId1877" Type="http://schemas.openxmlformats.org/officeDocument/2006/relationships/hyperlink" Target="http://www.broadinstitute.org/gsea/msigdb/cards/GSE29164_CD8_TCELL_VS_CD8_TCELL_AND_IL12_TREATED_MELANOMA_DAY7_UP.html" TargetMode="External"/><Relationship Id="rId1878" Type="http://schemas.openxmlformats.org/officeDocument/2006/relationships/hyperlink" Target="http://www.broadinstitute.org/gsea/msigdb/cards/GSE37532_WT_VS_PPARG_KO_LN_TCONV_UP.html" TargetMode="External"/><Relationship Id="rId1879" Type="http://schemas.openxmlformats.org/officeDocument/2006/relationships/hyperlink" Target="http://www.broadinstitute.org/gsea/msigdb/cards/GSE40274_FOXP3_VS_FOXP3_AND_HELIOS_TRANSDUCED_ACTIVATED_CD4_TCELL_DN.html" TargetMode="External"/><Relationship Id="rId2030" Type="http://schemas.openxmlformats.org/officeDocument/2006/relationships/hyperlink" Target="http://www.broadinstitute.org/gsea/msigdb/cards/GSE13493_DP_VS_CD4INTCD8POS_THYMOCYTE_UP.html" TargetMode="External"/><Relationship Id="rId2031" Type="http://schemas.openxmlformats.org/officeDocument/2006/relationships/hyperlink" Target="http://www.broadinstitute.org/gsea/msigdb/cards/GSE13738_RESTING_VS_TCR_ACTIVATED_CD4_TCELL_UP.html" TargetMode="External"/><Relationship Id="rId2032" Type="http://schemas.openxmlformats.org/officeDocument/2006/relationships/hyperlink" Target="http://www.broadinstitute.org/gsea/msigdb/cards/GSE14000_UNSTIM_VS_4H_LPS_DC_TRANSLATED_RNA_UP.html" TargetMode="External"/><Relationship Id="rId2033" Type="http://schemas.openxmlformats.org/officeDocument/2006/relationships/hyperlink" Target="http://www.broadinstitute.org/gsea/msigdb/cards/GSE14308_TH1_VS_INDUCED_TREG_UP.html" TargetMode="External"/><Relationship Id="rId2034" Type="http://schemas.openxmlformats.org/officeDocument/2006/relationships/hyperlink" Target="http://www.broadinstitute.org/gsea/msigdb/cards/GSE1460_DP_THYMOCYTE_VS_NAIVE_CD4_TCELL_CORD_BLOOD_UP.html" TargetMode="External"/><Relationship Id="rId2035" Type="http://schemas.openxmlformats.org/officeDocument/2006/relationships/hyperlink" Target="http://www.broadinstitute.org/gsea/msigdb/cards/GSE14769_40MIN_VS_360MIN_LPS_BMDM_DN.html" TargetMode="External"/><Relationship Id="rId2036" Type="http://schemas.openxmlformats.org/officeDocument/2006/relationships/hyperlink" Target="http://www.broadinstitute.org/gsea/msigdb/cards/GSE17721_POLYIC_VS_GARDIQUIMOD_1H_BMDC_UP.html" TargetMode="External"/><Relationship Id="rId2037" Type="http://schemas.openxmlformats.org/officeDocument/2006/relationships/hyperlink" Target="http://www.broadinstitute.org/gsea/msigdb/cards/GSE17721_LPS_VS_GARDIQUIMOD_0.5H_BMDC_DN.html" TargetMode="External"/><Relationship Id="rId2038" Type="http://schemas.openxmlformats.org/officeDocument/2006/relationships/hyperlink" Target="http://www.broadinstitute.org/gsea/msigdb/cards/GSE17721_LPS_VS_GARDIQUIMOD_1H_BMDC_DN.html" TargetMode="External"/><Relationship Id="rId2039" Type="http://schemas.openxmlformats.org/officeDocument/2006/relationships/hyperlink" Target="http://www.broadinstitute.org/gsea/msigdb/cards/GSE20715_WT_VS_TLR4_KO_LUNG_DN.html" TargetMode="External"/><Relationship Id="rId1330" Type="http://schemas.openxmlformats.org/officeDocument/2006/relationships/hyperlink" Target="http://www.broadinstitute.org/gsea/msigdb/cards/GO_INOSITOL_LIPID_MEDIATED_SIGNALING.html" TargetMode="External"/><Relationship Id="rId1331" Type="http://schemas.openxmlformats.org/officeDocument/2006/relationships/hyperlink" Target="http://www.broadinstitute.org/gsea/msigdb/cards/GO_POSITIVE_REGULATION_OF_RESPONSE_TO_STIMULUS.html" TargetMode="External"/><Relationship Id="rId1332" Type="http://schemas.openxmlformats.org/officeDocument/2006/relationships/hyperlink" Target="http://www.broadinstitute.org/gsea/msigdb/cards/GO_TRANSFERASE_ACTIVITY_TRANSFERRING_ONE_CARBON_GROUPS.html" TargetMode="External"/><Relationship Id="rId1333" Type="http://schemas.openxmlformats.org/officeDocument/2006/relationships/hyperlink" Target="http://www.broadinstitute.org/gsea/msigdb/cards/GO_NEGATIVE_REGULATION_OF_MITOTIC_CELL_CYCLE.html" TargetMode="External"/><Relationship Id="rId1334" Type="http://schemas.openxmlformats.org/officeDocument/2006/relationships/hyperlink" Target="http://www.broadinstitute.org/gsea/msigdb/cards/GO_UBIQUITIN_LIKE_PROTEIN_LIGASE_ACTIVITY.html" TargetMode="External"/><Relationship Id="rId1335" Type="http://schemas.openxmlformats.org/officeDocument/2006/relationships/hyperlink" Target="http://www.broadinstitute.org/gsea/msigdb/cards/GO_MICROTUBULE_ORGANIZING_CENTER_ORGANIZATION.html" TargetMode="External"/><Relationship Id="rId1336" Type="http://schemas.openxmlformats.org/officeDocument/2006/relationships/hyperlink" Target="http://www.broadinstitute.org/gsea/msigdb/cards/GO_REGULATION_OF_NUCLEAR_TRANSCRIBED_MRNA_POLY_A_TAIL_SHORTENING.html" TargetMode="External"/><Relationship Id="rId1337" Type="http://schemas.openxmlformats.org/officeDocument/2006/relationships/hyperlink" Target="http://www.broadinstitute.org/gsea/msigdb/cards/GO_N_TERMINAL_PROTEIN_ACETYLTRANSFERASE_COMPLEX.html" TargetMode="External"/><Relationship Id="rId1338" Type="http://schemas.openxmlformats.org/officeDocument/2006/relationships/hyperlink" Target="http://www.broadinstitute.org/gsea/msigdb/cards/GO_RNAI_EFFECTOR_COMPLEX.html" TargetMode="External"/><Relationship Id="rId1339" Type="http://schemas.openxmlformats.org/officeDocument/2006/relationships/hyperlink" Target="http://www.broadinstitute.org/gsea/msigdb/cards/GO_NUCLEAR_LOCALIZATION_SEQUENCE_BINDING.html" TargetMode="External"/><Relationship Id="rId2580" Type="http://schemas.openxmlformats.org/officeDocument/2006/relationships/hyperlink" Target="http://www.broadinstitute.org/gsea/msigdb/cards/GSE21927_SPLEEN_VS_TUMOR_MONOCYTE_C57BL6_DN.html" TargetMode="External"/><Relationship Id="rId2581" Type="http://schemas.openxmlformats.org/officeDocument/2006/relationships/hyperlink" Target="http://www.broadinstitute.org/gsea/msigdb/cards/GSE21360_NAIVE_VS_QUATERNARY_MEMORY_CD8_TCELL_UP.html" TargetMode="External"/><Relationship Id="rId2582" Type="http://schemas.openxmlformats.org/officeDocument/2006/relationships/hyperlink" Target="http://www.broadinstitute.org/gsea/msigdb/cards/GSE20152_SPHK1_KO_VS_HTNFA_OVEREXPRESS_ANKLE_UP.html" TargetMode="External"/><Relationship Id="rId2583" Type="http://schemas.openxmlformats.org/officeDocument/2006/relationships/hyperlink" Target="http://www.broadinstitute.org/gsea/msigdb/cards/GSE20500_RETINOIC_ACID_VS_RARA_ANTAGONIST_TREATED_CD4_TCELL_DN.html" TargetMode="External"/><Relationship Id="rId2584" Type="http://schemas.openxmlformats.org/officeDocument/2006/relationships/hyperlink" Target="http://www.broadinstitute.org/gsea/msigdb/cards/GSE22527_ANTI_CD3_INVIVO_VS_UNTREATED_MOUSE_TREG_UP.html" TargetMode="External"/><Relationship Id="rId2585" Type="http://schemas.openxmlformats.org/officeDocument/2006/relationships/hyperlink" Target="http://www.broadinstitute.org/gsea/msigdb/cards/GSE21033_CTRL_VS_POLYIC_STIM_DC_6H_UP.html" TargetMode="External"/><Relationship Id="rId2586" Type="http://schemas.openxmlformats.org/officeDocument/2006/relationships/hyperlink" Target="http://www.broadinstitute.org/gsea/msigdb/cards/GSE22935_WT_VS_MYD88_KO_MACROPHAGE_24H_MBOVIS_BCG_STIM_UP.html" TargetMode="External"/><Relationship Id="rId2587" Type="http://schemas.openxmlformats.org/officeDocument/2006/relationships/hyperlink" Target="http://www.broadinstitute.org/gsea/msigdb/cards/GSE22935_24H_VS_48H_MBOVIS_BCG_STIM_MACROPHAGE_DN.html" TargetMode="External"/><Relationship Id="rId2588" Type="http://schemas.openxmlformats.org/officeDocument/2006/relationships/hyperlink" Target="http://www.broadinstitute.org/gsea/msigdb/cards/GSE22935_UNSTIM_VS_48H_MBOVIS_BCG_STIM_MYD88_KO_MACROPHAGE_UP.html" TargetMode="External"/><Relationship Id="rId2589" Type="http://schemas.openxmlformats.org/officeDocument/2006/relationships/hyperlink" Target="http://www.broadinstitute.org/gsea/msigdb/cards/GSE22935_UNSTIM_VS_24H_MBOVIS_BCG_STIM_MYD88_KO_MACROPHAGE_UP.html" TargetMode="External"/><Relationship Id="rId940" Type="http://schemas.openxmlformats.org/officeDocument/2006/relationships/hyperlink" Target="http://www.broadinstitute.org/gsea/msigdb/cards/MORF_CDC10.html" TargetMode="External"/><Relationship Id="rId941" Type="http://schemas.openxmlformats.org/officeDocument/2006/relationships/hyperlink" Target="http://www.broadinstitute.org/gsea/msigdb/cards/MORF_TPR.html" TargetMode="External"/><Relationship Id="rId942" Type="http://schemas.openxmlformats.org/officeDocument/2006/relationships/hyperlink" Target="http://www.broadinstitute.org/gsea/msigdb/cards/MODULE_98.html" TargetMode="External"/><Relationship Id="rId943" Type="http://schemas.openxmlformats.org/officeDocument/2006/relationships/hyperlink" Target="http://www.broadinstitute.org/gsea/msigdb/cards/GNF2_DDX5.html" TargetMode="External"/><Relationship Id="rId944" Type="http://schemas.openxmlformats.org/officeDocument/2006/relationships/hyperlink" Target="http://www.broadinstitute.org/gsea/msigdb/cards/MORF_RFC1.html" TargetMode="External"/><Relationship Id="rId945" Type="http://schemas.openxmlformats.org/officeDocument/2006/relationships/hyperlink" Target="http://www.broadinstitute.org/gsea/msigdb/cards/GCM_HBP1.html" TargetMode="External"/><Relationship Id="rId946" Type="http://schemas.openxmlformats.org/officeDocument/2006/relationships/hyperlink" Target="http://www.broadinstitute.org/gsea/msigdb/cards/GCM_MAP4K4.html" TargetMode="External"/><Relationship Id="rId947" Type="http://schemas.openxmlformats.org/officeDocument/2006/relationships/hyperlink" Target="http://www.broadinstitute.org/gsea/msigdb/cards/GNF2_DEK.html" TargetMode="External"/><Relationship Id="rId948" Type="http://schemas.openxmlformats.org/officeDocument/2006/relationships/hyperlink" Target="http://www.broadinstitute.org/gsea/msigdb/cards/GNF2_HDAC1.html" TargetMode="External"/><Relationship Id="rId949" Type="http://schemas.openxmlformats.org/officeDocument/2006/relationships/hyperlink" Target="http://www.broadinstitute.org/gsea/msigdb/cards/MORF_REV3L.html" TargetMode="External"/><Relationship Id="rId1880" Type="http://schemas.openxmlformats.org/officeDocument/2006/relationships/hyperlink" Target="http://www.broadinstitute.org/gsea/msigdb/cards/GSE11961_MARGINAL_ZONE_BCELL_VS_GERMINAL_CENTER_BCELL_DAY40_UP.html" TargetMode="External"/><Relationship Id="rId1881" Type="http://schemas.openxmlformats.org/officeDocument/2006/relationships/hyperlink" Target="http://www.broadinstitute.org/gsea/msigdb/cards/GSE41867_DAY6_EFFECTOR_VS_DAY30_MEMORY_CD8_TCELL_LCMV_ARMSTRONG_DN.html" TargetMode="External"/><Relationship Id="rId1882" Type="http://schemas.openxmlformats.org/officeDocument/2006/relationships/hyperlink" Target="http://www.broadinstitute.org/gsea/msigdb/cards/GSE10147_IL3_VS_IL3_AND_HIVP17_STIM_PDC_UP.html" TargetMode="External"/><Relationship Id="rId1883" Type="http://schemas.openxmlformats.org/officeDocument/2006/relationships/hyperlink" Target="http://www.broadinstitute.org/gsea/msigdb/cards/GSE12366_PLASMA_CELL_VS_MEMORY_BCELL_DN.html" TargetMode="External"/><Relationship Id="rId1884" Type="http://schemas.openxmlformats.org/officeDocument/2006/relationships/hyperlink" Target="http://www.broadinstitute.org/gsea/msigdb/cards/GSE12845_IGD_POS_BLOOD_VS_NAIVE_TONSIL_BCELL_DN.html" TargetMode="External"/><Relationship Id="rId1885" Type="http://schemas.openxmlformats.org/officeDocument/2006/relationships/hyperlink" Target="http://www.broadinstitute.org/gsea/msigdb/cards/GSE14308_TH2_VS_NAIVE_CD4_TCELL_DN.html" TargetMode="External"/><Relationship Id="rId1886" Type="http://schemas.openxmlformats.org/officeDocument/2006/relationships/hyperlink" Target="http://www.broadinstitute.org/gsea/msigdb/cards/GSE17721_POLYIC_VS_CPG_6H_BMDC_UP.html" TargetMode="External"/><Relationship Id="rId1887" Type="http://schemas.openxmlformats.org/officeDocument/2006/relationships/hyperlink" Target="http://www.broadinstitute.org/gsea/msigdb/cards/GSE27786_BCELL_VS_MONO_MAC_UP.html" TargetMode="External"/><Relationship Id="rId1888" Type="http://schemas.openxmlformats.org/officeDocument/2006/relationships/hyperlink" Target="http://www.broadinstitute.org/gsea/msigdb/cards/GSE27786_ERYTHROBLAST_VS_NEUTROPHIL_DN.html" TargetMode="External"/><Relationship Id="rId1889" Type="http://schemas.openxmlformats.org/officeDocument/2006/relationships/hyperlink" Target="http://www.broadinstitute.org/gsea/msigdb/cards/GSE3982_MEMORY_CD4_TCELL_VS_TH2_UP.html" TargetMode="External"/><Relationship Id="rId2040" Type="http://schemas.openxmlformats.org/officeDocument/2006/relationships/hyperlink" Target="http://www.broadinstitute.org/gsea/msigdb/cards/GSE22886_NAIVE_CD8_TCELL_VS_NKCELL_DN.html" TargetMode="External"/><Relationship Id="rId2041" Type="http://schemas.openxmlformats.org/officeDocument/2006/relationships/hyperlink" Target="http://www.broadinstitute.org/gsea/msigdb/cards/GSE22886_NAIVE_CD4_TCELL_VS_NKCELL_DN.html" TargetMode="External"/><Relationship Id="rId2042" Type="http://schemas.openxmlformats.org/officeDocument/2006/relationships/hyperlink" Target="http://www.broadinstitute.org/gsea/msigdb/cards/GSE22886_NAIVE_BCELL_VS_BM_PLASMA_CELL_UP.html" TargetMode="External"/><Relationship Id="rId2043" Type="http://schemas.openxmlformats.org/officeDocument/2006/relationships/hyperlink" Target="http://www.broadinstitute.org/gsea/msigdb/cards/GSE22886_DAY0_VS_DAY7_MONOCYTE_IN_CULTURE_UP.html" TargetMode="External"/><Relationship Id="rId2044" Type="http://schemas.openxmlformats.org/officeDocument/2006/relationships/hyperlink" Target="http://www.broadinstitute.org/gsea/msigdb/cards/GSE24634_NAIVE_CD4_TCELL_VS_DAY7_IL4_CONV_TREG_UP.html" TargetMode="External"/><Relationship Id="rId2045" Type="http://schemas.openxmlformats.org/officeDocument/2006/relationships/hyperlink" Target="http://www.broadinstitute.org/gsea/msigdb/cards/GSE26928_EFF_MEMORY_VS_CXCR5_POS_CD4_TCELL_DN.html" TargetMode="External"/><Relationship Id="rId2046" Type="http://schemas.openxmlformats.org/officeDocument/2006/relationships/hyperlink" Target="http://www.broadinstitute.org/gsea/msigdb/cards/GSE27786_LIN_NEG_VS_BCELL_DN.html" TargetMode="External"/><Relationship Id="rId2047" Type="http://schemas.openxmlformats.org/officeDocument/2006/relationships/hyperlink" Target="http://www.broadinstitute.org/gsea/msigdb/cards/GSE27786_BCELL_VS_NKTCELL_UP.html" TargetMode="External"/><Relationship Id="rId2048" Type="http://schemas.openxmlformats.org/officeDocument/2006/relationships/hyperlink" Target="http://www.broadinstitute.org/gsea/msigdb/cards/GSE27786_BCELL_VS_NEUTROPHIL_UP.html" TargetMode="External"/><Relationship Id="rId2049" Type="http://schemas.openxmlformats.org/officeDocument/2006/relationships/hyperlink" Target="http://www.broadinstitute.org/gsea/msigdb/cards/GSE27786_CD4_TCELL_VS_ERYTHTROBLAST_UP.html" TargetMode="External"/><Relationship Id="rId400" Type="http://schemas.openxmlformats.org/officeDocument/2006/relationships/hyperlink" Target="http://www.broadinstitute.org/gsea/msigdb/cards/REACTOME_CYTOKINE_SIGNALING_IN_IMMUNE_SYSTEM.html" TargetMode="External"/><Relationship Id="rId401" Type="http://schemas.openxmlformats.org/officeDocument/2006/relationships/hyperlink" Target="http://www.broadinstitute.org/gsea/msigdb/cards/SAKAI_TUMOR_INFILTRATING_MONOCYTES_DN.html" TargetMode="External"/><Relationship Id="rId402" Type="http://schemas.openxmlformats.org/officeDocument/2006/relationships/hyperlink" Target="http://www.broadinstitute.org/gsea/msigdb/cards/GUO_HEX_TARGETS_UP.html" TargetMode="External"/><Relationship Id="rId403" Type="http://schemas.openxmlformats.org/officeDocument/2006/relationships/hyperlink" Target="http://www.broadinstitute.org/gsea/msigdb/cards/NIKOLSKY_BREAST_CANCER_21Q22_AMPLICON.html" TargetMode="External"/><Relationship Id="rId404" Type="http://schemas.openxmlformats.org/officeDocument/2006/relationships/hyperlink" Target="http://www.broadinstitute.org/gsea/msigdb/cards/BROWNE_HCMV_INFECTION_10HR_DN.html" TargetMode="External"/><Relationship Id="rId405" Type="http://schemas.openxmlformats.org/officeDocument/2006/relationships/hyperlink" Target="http://www.broadinstitute.org/gsea/msigdb/cards/BRUINS_UVC_RESPONSE_LATE.html" TargetMode="External"/><Relationship Id="rId406" Type="http://schemas.openxmlformats.org/officeDocument/2006/relationships/hyperlink" Target="http://www.broadinstitute.org/gsea/msigdb/cards/ST_INTEGRIN_SIGNALING_PATHWAY.html" TargetMode="External"/><Relationship Id="rId407" Type="http://schemas.openxmlformats.org/officeDocument/2006/relationships/hyperlink" Target="http://www.broadinstitute.org/gsea/msigdb/cards/SENESE_HDAC1_AND_HDAC2_TARGETS_UP.html" TargetMode="External"/><Relationship Id="rId408" Type="http://schemas.openxmlformats.org/officeDocument/2006/relationships/hyperlink" Target="http://www.broadinstitute.org/gsea/msigdb/cards/NFMUE1_Q6.html" TargetMode="External"/><Relationship Id="rId409" Type="http://schemas.openxmlformats.org/officeDocument/2006/relationships/hyperlink" Target="http://www.broadinstitute.org/gsea/msigdb/cards/TGCACTT_MIR519C_MIR519B_MIR519A.html" TargetMode="External"/><Relationship Id="rId1340" Type="http://schemas.openxmlformats.org/officeDocument/2006/relationships/hyperlink" Target="http://www.broadinstitute.org/gsea/msigdb/cards/GO_RNA_CATABOLIC_PROCESS.html" TargetMode="External"/><Relationship Id="rId1341" Type="http://schemas.openxmlformats.org/officeDocument/2006/relationships/hyperlink" Target="http://www.broadinstitute.org/gsea/msigdb/cards/GO_REGULATION_OF_MITOTIC_CELL_CYCLE.html" TargetMode="External"/><Relationship Id="rId1342" Type="http://schemas.openxmlformats.org/officeDocument/2006/relationships/hyperlink" Target="http://www.broadinstitute.org/gsea/msigdb/cards/GO_REGULATION_OF_TELOMERE_MAINTENANCE.html" TargetMode="External"/><Relationship Id="rId1343" Type="http://schemas.openxmlformats.org/officeDocument/2006/relationships/hyperlink" Target="http://www.broadinstitute.org/gsea/msigdb/cards/GO_WASH_COMPLEX.html" TargetMode="External"/><Relationship Id="rId1344" Type="http://schemas.openxmlformats.org/officeDocument/2006/relationships/hyperlink" Target="http://www.broadinstitute.org/gsea/msigdb/cards/GO_PROTEIN_COMPLEX_BIOGENESIS.html" TargetMode="External"/><Relationship Id="rId1345" Type="http://schemas.openxmlformats.org/officeDocument/2006/relationships/hyperlink" Target="http://www.broadinstitute.org/gsea/msigdb/cards/GO_CELL_PROJECTION_ORGANIZATION.html" TargetMode="External"/><Relationship Id="rId1346" Type="http://schemas.openxmlformats.org/officeDocument/2006/relationships/hyperlink" Target="http://www.broadinstitute.org/gsea/msigdb/cards/GO_NUCLEAR_CHROMATIN.html" TargetMode="External"/><Relationship Id="rId1347" Type="http://schemas.openxmlformats.org/officeDocument/2006/relationships/hyperlink" Target="http://www.broadinstitute.org/gsea/msigdb/cards/GO_RNA_POLYMERASE_CORE_ENZYME_BINDING.html" TargetMode="External"/><Relationship Id="rId1348" Type="http://schemas.openxmlformats.org/officeDocument/2006/relationships/hyperlink" Target="http://www.broadinstitute.org/gsea/msigdb/cards/GO_TRANSFERASE_ACTIVITY_TRANSFERRING_ACYL_GROUPS_OTHER_THAN_AMINO_ACYL_GROUPS.html" TargetMode="External"/><Relationship Id="rId1349" Type="http://schemas.openxmlformats.org/officeDocument/2006/relationships/hyperlink" Target="http://www.broadinstitute.org/gsea/msigdb/cards/GO_REGULATION_OF_DOUBLE_STRAND_BREAK_REPAIR.html" TargetMode="External"/><Relationship Id="rId2590" Type="http://schemas.openxmlformats.org/officeDocument/2006/relationships/hyperlink" Target="http://www.broadinstitute.org/gsea/msigdb/cards/GSE22432_MULTIPOTENT_PROGENITOR_VS_PDC_DN.html" TargetMode="External"/><Relationship Id="rId2591" Type="http://schemas.openxmlformats.org/officeDocument/2006/relationships/hyperlink" Target="http://www.broadinstitute.org/gsea/msigdb/cards/GSE22432_PDC_VS_TGFB1_TREATEDCOMMON_DC_PROGENITOR_DN.html" TargetMode="External"/><Relationship Id="rId2592" Type="http://schemas.openxmlformats.org/officeDocument/2006/relationships/hyperlink" Target="http://www.broadinstitute.org/gsea/msigdb/cards/GSE23925_LIGHT_ZONE_VS_NAIVE_BCELL_DN.html" TargetMode="External"/><Relationship Id="rId2593" Type="http://schemas.openxmlformats.org/officeDocument/2006/relationships/hyperlink" Target="http://www.broadinstitute.org/gsea/msigdb/cards/GSE16385_MONOCYTE_VS_12H_ROSIGLITAZONE_IL4_TREATED_MACROPHAGE_UP.html" TargetMode="External"/><Relationship Id="rId2594" Type="http://schemas.openxmlformats.org/officeDocument/2006/relationships/hyperlink" Target="http://www.broadinstitute.org/gsea/msigdb/cards/GSE16385_MONOCYTE_VS_MACROPHAGE_DN.html" TargetMode="External"/><Relationship Id="rId2595" Type="http://schemas.openxmlformats.org/officeDocument/2006/relationships/hyperlink" Target="http://www.broadinstitute.org/gsea/msigdb/cards/GSE16385_MONOCYTE_VS_12H_ROSIGLITAZONE_TREATED_MACROPHAGE_UP.html" TargetMode="External"/><Relationship Id="rId2596" Type="http://schemas.openxmlformats.org/officeDocument/2006/relationships/hyperlink" Target="http://www.broadinstitute.org/gsea/msigdb/cards/GSE25123_CTRL_VS_ROSIGLITAZONE_STIM_MACROPHAGE_DN.html" TargetMode="External"/><Relationship Id="rId2597" Type="http://schemas.openxmlformats.org/officeDocument/2006/relationships/hyperlink" Target="http://www.broadinstitute.org/gsea/msigdb/cards/GSE16385_UNTREATED_VS_12H_ROSIGLITAZONE_IL4_TREATED_MACROPHAGE_UP.html" TargetMode="External"/><Relationship Id="rId2598" Type="http://schemas.openxmlformats.org/officeDocument/2006/relationships/hyperlink" Target="http://www.broadinstitute.org/gsea/msigdb/cards/GSE16385_UNTREATED_VS_12H_ROSIGLITAZONE_IL4_TREATED_MACROPHAGE_DN.html" TargetMode="External"/><Relationship Id="rId2599" Type="http://schemas.openxmlformats.org/officeDocument/2006/relationships/hyperlink" Target="http://www.broadinstitute.org/gsea/msigdb/cards/GSE25088_ROSIGLITAZONE_VS_IL4_AND_ROSIGLITAZONE_STIM_STAT6_KO_MACROPHAGE_DAY10_UP.html" TargetMode="External"/><Relationship Id="rId950" Type="http://schemas.openxmlformats.org/officeDocument/2006/relationships/hyperlink" Target="http://www.broadinstitute.org/gsea/msigdb/cards/GNF2_KPNB1.html" TargetMode="External"/><Relationship Id="rId951" Type="http://schemas.openxmlformats.org/officeDocument/2006/relationships/hyperlink" Target="http://www.broadinstitute.org/gsea/msigdb/cards/GNF2_TDG.html" TargetMode="External"/><Relationship Id="rId952" Type="http://schemas.openxmlformats.org/officeDocument/2006/relationships/hyperlink" Target="http://www.broadinstitute.org/gsea/msigdb/cards/GCM_NCAM1.html" TargetMode="External"/><Relationship Id="rId953" Type="http://schemas.openxmlformats.org/officeDocument/2006/relationships/hyperlink" Target="http://www.broadinstitute.org/gsea/msigdb/cards/MORF_BRCA1.html" TargetMode="External"/><Relationship Id="rId954" Type="http://schemas.openxmlformats.org/officeDocument/2006/relationships/hyperlink" Target="http://www.broadinstitute.org/gsea/msigdb/cards/MORF_DDB1.html" TargetMode="External"/><Relationship Id="rId955" Type="http://schemas.openxmlformats.org/officeDocument/2006/relationships/hyperlink" Target="http://www.broadinstitute.org/gsea/msigdb/cards/MORF_CDC2L5.html" TargetMode="External"/><Relationship Id="rId956" Type="http://schemas.openxmlformats.org/officeDocument/2006/relationships/hyperlink" Target="http://www.broadinstitute.org/gsea/msigdb/cards/MORF_HDAC2.html" TargetMode="External"/><Relationship Id="rId957" Type="http://schemas.openxmlformats.org/officeDocument/2006/relationships/hyperlink" Target="http://www.broadinstitute.org/gsea/msigdb/cards/MORF_PSMF1.html" TargetMode="External"/><Relationship Id="rId958" Type="http://schemas.openxmlformats.org/officeDocument/2006/relationships/hyperlink" Target="http://www.broadinstitute.org/gsea/msigdb/cards/MORF_PRKAG1.html" TargetMode="External"/><Relationship Id="rId959" Type="http://schemas.openxmlformats.org/officeDocument/2006/relationships/hyperlink" Target="http://www.broadinstitute.org/gsea/msigdb/cards/MORF_SS18.html" TargetMode="External"/><Relationship Id="rId1890" Type="http://schemas.openxmlformats.org/officeDocument/2006/relationships/hyperlink" Target="http://www.broadinstitute.org/gsea/msigdb/cards/GSE2770_UNTREATED_VS_TGFB_AND_IL12_TREATED_ACT_CD4_TCELL_48H_DN.html" TargetMode="External"/><Relationship Id="rId1891" Type="http://schemas.openxmlformats.org/officeDocument/2006/relationships/hyperlink" Target="http://www.broadinstitute.org/gsea/msigdb/cards/GSE6681_DELETED_FOXP3_VS_WT_TREG_DN.html" TargetMode="External"/><Relationship Id="rId1892" Type="http://schemas.openxmlformats.org/officeDocument/2006/relationships/hyperlink" Target="http://www.broadinstitute.org/gsea/msigdb/cards/GSE7548_NAIVE_VS_DAY28_PCC_IMMUNIZATION_CD4_TCELL_UP.html" TargetMode="External"/><Relationship Id="rId1893" Type="http://schemas.openxmlformats.org/officeDocument/2006/relationships/hyperlink" Target="http://www.broadinstitute.org/gsea/msigdb/cards/GSE7596_AKT_TRANSD_VS_CTRL_CD4_TCONV_WITH_TGFB_UP.html" TargetMode="External"/><Relationship Id="rId1894" Type="http://schemas.openxmlformats.org/officeDocument/2006/relationships/hyperlink" Target="http://www.broadinstitute.org/gsea/msigdb/cards/GSE12001_MIR223_KO_VS_WT_NEUTROPHIL_DN.html" TargetMode="External"/><Relationship Id="rId1895" Type="http://schemas.openxmlformats.org/officeDocument/2006/relationships/hyperlink" Target="http://www.broadinstitute.org/gsea/msigdb/cards/GSE19888_ADENOSINE_A3R_ACT_VS_TCELL_MEMBRANES_ACT_IN_MAST_CELL_DN.html" TargetMode="External"/><Relationship Id="rId1896" Type="http://schemas.openxmlformats.org/officeDocument/2006/relationships/hyperlink" Target="http://www.broadinstitute.org/gsea/msigdb/cards/GSE25123_WT_VS_PPARG_KO_MACROPHAGE_IL4_AND_ROSIGLITAZONE_STIM_DN.html" TargetMode="External"/><Relationship Id="rId1897" Type="http://schemas.openxmlformats.org/officeDocument/2006/relationships/hyperlink" Target="http://www.broadinstitute.org/gsea/msigdb/cards/GSE23502_WT_VS_HDC_KO_MYELOID_DERIVED_SUPPRESSOR_CELL_BM_UP.html" TargetMode="External"/><Relationship Id="rId1898" Type="http://schemas.openxmlformats.org/officeDocument/2006/relationships/hyperlink" Target="http://www.broadinstitute.org/gsea/msigdb/cards/GSE32533_WT_VS_MIR17_KO_ACT_CD4_TCELL_DN.html" TargetMode="External"/><Relationship Id="rId1899" Type="http://schemas.openxmlformats.org/officeDocument/2006/relationships/hyperlink" Target="http://www.broadinstitute.org/gsea/msigdb/cards/GSE29164_UNTREATED_VS_CD8_TCELL_AND_IL12_TREATED_MELANOMA_DAY3_DN.html" TargetMode="External"/><Relationship Id="rId2050" Type="http://schemas.openxmlformats.org/officeDocument/2006/relationships/hyperlink" Target="http://www.broadinstitute.org/gsea/msigdb/cards/GSE27786_CD4_TCELL_VS_NEUTROPHIL_UP.html" TargetMode="External"/><Relationship Id="rId2051" Type="http://schemas.openxmlformats.org/officeDocument/2006/relationships/hyperlink" Target="http://www.broadinstitute.org/gsea/msigdb/cards/GSE27786_CD4_TCELL_VS_MONO_MAC_UP.html" TargetMode="External"/><Relationship Id="rId2052" Type="http://schemas.openxmlformats.org/officeDocument/2006/relationships/hyperlink" Target="http://www.broadinstitute.org/gsea/msigdb/cards/GSE27786_CD8_TCELL_VS_MONO_MAC_UP.html" TargetMode="External"/><Relationship Id="rId2053" Type="http://schemas.openxmlformats.org/officeDocument/2006/relationships/hyperlink" Target="http://www.broadinstitute.org/gsea/msigdb/cards/GSE27786_ERYTHROBLAST_VS_MONO_MAC_DN.html" TargetMode="External"/><Relationship Id="rId2054" Type="http://schemas.openxmlformats.org/officeDocument/2006/relationships/hyperlink" Target="http://www.broadinstitute.org/gsea/msigdb/cards/GSE29618_PRE_VS_DAY7_POST_LAIV_FLU_VACCINE_BCELL_UP.html" TargetMode="External"/><Relationship Id="rId2055" Type="http://schemas.openxmlformats.org/officeDocument/2006/relationships/hyperlink" Target="http://www.broadinstitute.org/gsea/msigdb/cards/GSE31082_DP_VS_CD8_SP_THYMOCYTE_UP.html" TargetMode="External"/><Relationship Id="rId2056" Type="http://schemas.openxmlformats.org/officeDocument/2006/relationships/hyperlink" Target="http://www.broadinstitute.org/gsea/msigdb/cards/GSE32423_IL7_VS_IL7_IL4_NAIVE_CD8_TCELL_DN.html" TargetMode="External"/><Relationship Id="rId2057" Type="http://schemas.openxmlformats.org/officeDocument/2006/relationships/hyperlink" Target="http://www.broadinstitute.org/gsea/msigdb/cards/GSE37416_0H_VS_6H_F_TULARENSIS_LVS_NEUTROPHIL_UP.html" TargetMode="External"/><Relationship Id="rId2058" Type="http://schemas.openxmlformats.org/officeDocument/2006/relationships/hyperlink" Target="http://www.broadinstitute.org/gsea/msigdb/cards/GSE3982_DC_VS_MAC_LPS_STIM_UP.html" TargetMode="External"/><Relationship Id="rId2059" Type="http://schemas.openxmlformats.org/officeDocument/2006/relationships/hyperlink" Target="http://www.broadinstitute.org/gsea/msigdb/cards/GSE7852_LN_VS_FAT_TCONV_UP.html" TargetMode="External"/><Relationship Id="rId410" Type="http://schemas.openxmlformats.org/officeDocument/2006/relationships/hyperlink" Target="http://www.broadinstitute.org/gsea/msigdb/cards/SCGGAAGY_ELK1_02.html" TargetMode="External"/><Relationship Id="rId411" Type="http://schemas.openxmlformats.org/officeDocument/2006/relationships/hyperlink" Target="http://www.broadinstitute.org/gsea/msigdb/cards/TGAATGT_MIR181A_MIR181B_MIR181C_MIR181D.html" TargetMode="External"/><Relationship Id="rId412" Type="http://schemas.openxmlformats.org/officeDocument/2006/relationships/hyperlink" Target="http://www.broadinstitute.org/gsea/msigdb/cards/TTGCACT_MIR130A_MIR301_MIR130B.html" TargetMode="External"/><Relationship Id="rId413" Type="http://schemas.openxmlformats.org/officeDocument/2006/relationships/hyperlink" Target="http://www.broadinstitute.org/gsea/msigdb/cards/GCCATNTTG_YY1_Q6.html" TargetMode="External"/><Relationship Id="rId414" Type="http://schemas.openxmlformats.org/officeDocument/2006/relationships/hyperlink" Target="http://www.broadinstitute.org/gsea/msigdb/cards/GCACTTT_MIR175P_MIR20A_MIR106A_MIR106B_MIR20B_MIR519D.html" TargetMode="External"/><Relationship Id="rId415" Type="http://schemas.openxmlformats.org/officeDocument/2006/relationships/hyperlink" Target="http://www.broadinstitute.org/gsea/msigdb/cards/GGGCGGR_SP1_Q6.html" TargetMode="External"/><Relationship Id="rId416" Type="http://schemas.openxmlformats.org/officeDocument/2006/relationships/hyperlink" Target="http://www.broadinstitute.org/gsea/msigdb/cards/CTTGTAT_MIR381.html" TargetMode="External"/><Relationship Id="rId417" Type="http://schemas.openxmlformats.org/officeDocument/2006/relationships/hyperlink" Target="http://www.broadinstitute.org/gsea/msigdb/cards/CTTTGTA_MIR524.html" TargetMode="External"/><Relationship Id="rId418" Type="http://schemas.openxmlformats.org/officeDocument/2006/relationships/hyperlink" Target="http://www.broadinstitute.org/gsea/msigdb/cards/TTGTTT_FOXO4_01.html" TargetMode="External"/><Relationship Id="rId419" Type="http://schemas.openxmlformats.org/officeDocument/2006/relationships/hyperlink" Target="http://www.broadinstitute.org/gsea/msigdb/cards/ATGTACA_MIR493.html" TargetMode="External"/><Relationship Id="rId1350" Type="http://schemas.openxmlformats.org/officeDocument/2006/relationships/hyperlink" Target="http://www.broadinstitute.org/gsea/msigdb/cards/GO_RHYTHMIC_PROCESS.html" TargetMode="External"/><Relationship Id="rId1351" Type="http://schemas.openxmlformats.org/officeDocument/2006/relationships/hyperlink" Target="http://www.broadinstitute.org/gsea/msigdb/cards/GO_TRANSCRIPTION_FACTOR_COMPLEX.html" TargetMode="External"/><Relationship Id="rId1352" Type="http://schemas.openxmlformats.org/officeDocument/2006/relationships/hyperlink" Target="http://www.broadinstitute.org/gsea/msigdb/cards/GO_CHROMOSOME_TELOMERIC_REGION.html" TargetMode="External"/><Relationship Id="rId1353" Type="http://schemas.openxmlformats.org/officeDocument/2006/relationships/hyperlink" Target="http://www.broadinstitute.org/gsea/msigdb/cards/GO_NEGATIVE_REGULATION_OF_DNA_REPLICATION.html" TargetMode="External"/><Relationship Id="rId1354" Type="http://schemas.openxmlformats.org/officeDocument/2006/relationships/hyperlink" Target="http://www.broadinstitute.org/gsea/msigdb/cards/GO_RIBONUCLEOPROTEIN_COMPLEX_BINDING.html" TargetMode="External"/><Relationship Id="rId1355" Type="http://schemas.openxmlformats.org/officeDocument/2006/relationships/hyperlink" Target="http://www.broadinstitute.org/gsea/msigdb/cards/GO_NEGATIVE_REGULATION_OF_DNA_REPAIR.html" TargetMode="External"/><Relationship Id="rId1356" Type="http://schemas.openxmlformats.org/officeDocument/2006/relationships/hyperlink" Target="http://www.broadinstitute.org/gsea/msigdb/cards/GO_ORGANELLE_ASSEMBLY.html" TargetMode="External"/><Relationship Id="rId1357" Type="http://schemas.openxmlformats.org/officeDocument/2006/relationships/hyperlink" Target="http://www.broadinstitute.org/gsea/msigdb/cards/GO_REGULATION_OF_INTRACELLULAR_SIGNAL_TRANSDUCTION.html" TargetMode="External"/><Relationship Id="rId1358" Type="http://schemas.openxmlformats.org/officeDocument/2006/relationships/hyperlink" Target="http://www.broadinstitute.org/gsea/msigdb/cards/GO_REGULATION_OF_DNA_REPAIR.html" TargetMode="External"/><Relationship Id="rId1359" Type="http://schemas.openxmlformats.org/officeDocument/2006/relationships/hyperlink" Target="http://www.broadinstitute.org/gsea/msigdb/cards/GO_INTRACELLULAR_PROTEIN_TRANSPORT.html" TargetMode="External"/><Relationship Id="rId960" Type="http://schemas.openxmlformats.org/officeDocument/2006/relationships/hyperlink" Target="http://www.broadinstitute.org/gsea/msigdb/cards/MODULE_123.html" TargetMode="External"/><Relationship Id="rId961" Type="http://schemas.openxmlformats.org/officeDocument/2006/relationships/hyperlink" Target="http://www.broadinstitute.org/gsea/msigdb/cards/GCM_RBM8A.html" TargetMode="External"/><Relationship Id="rId962" Type="http://schemas.openxmlformats.org/officeDocument/2006/relationships/hyperlink" Target="http://www.broadinstitute.org/gsea/msigdb/cards/GNF2_DENR.html" TargetMode="External"/><Relationship Id="rId963" Type="http://schemas.openxmlformats.org/officeDocument/2006/relationships/hyperlink" Target="http://www.broadinstitute.org/gsea/msigdb/cards/MORF_ERCC2.html" TargetMode="External"/><Relationship Id="rId964" Type="http://schemas.openxmlformats.org/officeDocument/2006/relationships/hyperlink" Target="http://www.broadinstitute.org/gsea/msigdb/cards/GCM_GSTA4.html" TargetMode="External"/><Relationship Id="rId965" Type="http://schemas.openxmlformats.org/officeDocument/2006/relationships/hyperlink" Target="http://www.broadinstitute.org/gsea/msigdb/cards/GCM_BMPR2.html" TargetMode="External"/><Relationship Id="rId966" Type="http://schemas.openxmlformats.org/officeDocument/2006/relationships/hyperlink" Target="http://www.broadinstitute.org/gsea/msigdb/cards/MODULE_252.html" TargetMode="External"/><Relationship Id="rId967" Type="http://schemas.openxmlformats.org/officeDocument/2006/relationships/hyperlink" Target="http://www.broadinstitute.org/gsea/msigdb/cards/GCM_PTK2.html" TargetMode="External"/><Relationship Id="rId968" Type="http://schemas.openxmlformats.org/officeDocument/2006/relationships/hyperlink" Target="http://www.broadinstitute.org/gsea/msigdb/cards/MODULE_277.html" TargetMode="External"/><Relationship Id="rId969" Type="http://schemas.openxmlformats.org/officeDocument/2006/relationships/hyperlink" Target="http://www.broadinstitute.org/gsea/msigdb/cards/MORF_ESR1.html" TargetMode="External"/><Relationship Id="rId2060" Type="http://schemas.openxmlformats.org/officeDocument/2006/relationships/hyperlink" Target="http://www.broadinstitute.org/gsea/msigdb/cards/GSE9037_CTRL_VS_LPS_4H_STIM_BMDM_DN.html" TargetMode="External"/><Relationship Id="rId2061" Type="http://schemas.openxmlformats.org/officeDocument/2006/relationships/hyperlink" Target="http://www.broadinstitute.org/gsea/msigdb/cards/GSE557_WT_VS_I_AB_KO_DC_DN.html" TargetMode="External"/><Relationship Id="rId2062" Type="http://schemas.openxmlformats.org/officeDocument/2006/relationships/hyperlink" Target="http://www.broadinstitute.org/gsea/msigdb/cards/GSE2770_UNTREATED_VS_TGFB_AND_IL4_TREATED_ACT_CD4_TCELL_2H_DN.html" TargetMode="External"/><Relationship Id="rId2063" Type="http://schemas.openxmlformats.org/officeDocument/2006/relationships/hyperlink" Target="http://www.broadinstitute.org/gsea/msigdb/cards/GSE2770_IL12_ACT_VS_ACT_CD4_TCELL_6H_DN.html" TargetMode="External"/><Relationship Id="rId2064" Type="http://schemas.openxmlformats.org/officeDocument/2006/relationships/hyperlink" Target="http://www.broadinstitute.org/gsea/msigdb/cards/GSE2770_TGFB_AND_IL4_VS_IL12_TREATED_ACT_CD4_TCELL_48H_DN.html" TargetMode="External"/><Relationship Id="rId2065" Type="http://schemas.openxmlformats.org/officeDocument/2006/relationships/hyperlink" Target="http://www.broadinstitute.org/gsea/msigdb/cards/GSE1925_CTRL_VS_IFNG_PRIMED_MACROPHAGE_3H_IFNG_STIM_UP.html" TargetMode="External"/><Relationship Id="rId2066" Type="http://schemas.openxmlformats.org/officeDocument/2006/relationships/hyperlink" Target="http://www.broadinstitute.org/gsea/msigdb/cards/GSE8921_UNSTIM_0H_VS_TLR1_2_STIM_MONOCYTE_24H_DN.html" TargetMode="External"/><Relationship Id="rId2067" Type="http://schemas.openxmlformats.org/officeDocument/2006/relationships/hyperlink" Target="http://www.broadinstitute.org/gsea/msigdb/cards/GSE5542_IFNG_VS_IFNA_AND_IFNG_TREATED_EPITHELIAL_CELLS_24H_UP.html" TargetMode="External"/><Relationship Id="rId2068" Type="http://schemas.openxmlformats.org/officeDocument/2006/relationships/hyperlink" Target="http://www.broadinstitute.org/gsea/msigdb/cards/GSE5542_IFNA_VS_IFNA_AND_IFNG_TREATED_EPITHELIAL_CELLS_6H_UP.html" TargetMode="External"/><Relationship Id="rId2069" Type="http://schemas.openxmlformats.org/officeDocument/2006/relationships/hyperlink" Target="http://www.broadinstitute.org/gsea/msigdb/cards/GSE9316_CD4_TCELL_BALBC_VS_TH17_ENRI_CD4_TCELL_SKG_PMA_IONO_STIM_FR4NEG_DN.html" TargetMode="External"/><Relationship Id="rId420" Type="http://schemas.openxmlformats.org/officeDocument/2006/relationships/hyperlink" Target="http://www.broadinstitute.org/gsea/msigdb/cards/TGCTGCT_MIR15A_MIR16_MIR15B_MIR195_MIR424_MIR497.html" TargetMode="External"/><Relationship Id="rId421" Type="http://schemas.openxmlformats.org/officeDocument/2006/relationships/hyperlink" Target="http://www.broadinstitute.org/gsea/msigdb/cards/YY1_02.html" TargetMode="External"/><Relationship Id="rId422" Type="http://schemas.openxmlformats.org/officeDocument/2006/relationships/hyperlink" Target="http://www.broadinstitute.org/gsea/msigdb/cards/TGTTTAC_MIR30A5P_MIR30C_MIR30D_MIR30B_MIR30E5P.html" TargetMode="External"/><Relationship Id="rId423" Type="http://schemas.openxmlformats.org/officeDocument/2006/relationships/hyperlink" Target="http://www.broadinstitute.org/gsea/msigdb/cards/TTTGCAC_MIR19A_MIR19B.html" TargetMode="External"/><Relationship Id="rId424" Type="http://schemas.openxmlformats.org/officeDocument/2006/relationships/hyperlink" Target="http://www.broadinstitute.org/gsea/msigdb/cards/ATGTTAA_MIR302C.html" TargetMode="External"/><Relationship Id="rId425" Type="http://schemas.openxmlformats.org/officeDocument/2006/relationships/hyperlink" Target="http://www.broadinstitute.org/gsea/msigdb/cards/AATGTGA_MIR23A_MIR23B.html" TargetMode="External"/><Relationship Id="rId426" Type="http://schemas.openxmlformats.org/officeDocument/2006/relationships/hyperlink" Target="http://www.broadinstitute.org/gsea/msigdb/cards/CATGTAA_MIR496.html" TargetMode="External"/><Relationship Id="rId427" Type="http://schemas.openxmlformats.org/officeDocument/2006/relationships/hyperlink" Target="http://www.broadinstitute.org/gsea/msigdb/cards/TGCTTTG_MIR330.html" TargetMode="External"/><Relationship Id="rId428" Type="http://schemas.openxmlformats.org/officeDocument/2006/relationships/hyperlink" Target="http://www.broadinstitute.org/gsea/msigdb/cards/RCGCANGCGY_NRF1_Q6.html" TargetMode="External"/><Relationship Id="rId429" Type="http://schemas.openxmlformats.org/officeDocument/2006/relationships/hyperlink" Target="http://www.broadinstitute.org/gsea/msigdb/cards/TACTTGA_MIR26A_MIR26B.html" TargetMode="External"/><Relationship Id="rId1360" Type="http://schemas.openxmlformats.org/officeDocument/2006/relationships/hyperlink" Target="http://www.broadinstitute.org/gsea/msigdb/cards/GO_MULTICELLULAR_ORGANISM_GROWTH.html" TargetMode="External"/><Relationship Id="rId1361" Type="http://schemas.openxmlformats.org/officeDocument/2006/relationships/hyperlink" Target="http://www.broadinstitute.org/gsea/msigdb/cards/GO_POSITIVE_REGULATION_OF_MOLECULAR_FUNCTION.html" TargetMode="External"/><Relationship Id="rId1362" Type="http://schemas.openxmlformats.org/officeDocument/2006/relationships/hyperlink" Target="http://www.broadinstitute.org/gsea/msigdb/cards/GO_REGULATION_OF_AUTOPHAGY.html" TargetMode="External"/><Relationship Id="rId1363" Type="http://schemas.openxmlformats.org/officeDocument/2006/relationships/hyperlink" Target="http://www.broadinstitute.org/gsea/msigdb/cards/GO_REGULATION_OF_PROTEIN_STABILITY.html" TargetMode="External"/><Relationship Id="rId1364" Type="http://schemas.openxmlformats.org/officeDocument/2006/relationships/hyperlink" Target="http://www.broadinstitute.org/gsea/msigdb/cards/GO_TRANSFERASE_ACTIVITY_TRANSFERRING_ACYL_GROUPS.html" TargetMode="External"/><Relationship Id="rId1365" Type="http://schemas.openxmlformats.org/officeDocument/2006/relationships/hyperlink" Target="http://www.broadinstitute.org/gsea/msigdb/cards/GO_KINETOCHORE.html" TargetMode="External"/><Relationship Id="rId1366" Type="http://schemas.openxmlformats.org/officeDocument/2006/relationships/hyperlink" Target="http://www.broadinstitute.org/gsea/msigdb/cards/GO_REGULATION_OF_NUCLEAR_TRANSCRIBED_MRNA_CATABOLIC_PROCESS_DEADENYLATION_DEPENDENT_DECAY.html" TargetMode="External"/><Relationship Id="rId1367" Type="http://schemas.openxmlformats.org/officeDocument/2006/relationships/hyperlink" Target="http://www.broadinstitute.org/gsea/msigdb/cards/GO_RESPONSE_TO_IONIZING_RADIATION.html" TargetMode="External"/><Relationship Id="rId1368" Type="http://schemas.openxmlformats.org/officeDocument/2006/relationships/hyperlink" Target="http://www.broadinstitute.org/gsea/msigdb/cards/GO_DNA_METHYLATION_OR_DEMETHYLATION.html" TargetMode="External"/><Relationship Id="rId1369" Type="http://schemas.openxmlformats.org/officeDocument/2006/relationships/hyperlink" Target="http://www.broadinstitute.org/gsea/msigdb/cards/GO_NITROGEN_COMPOUND_TRANSPORT.html" TargetMode="External"/><Relationship Id="rId970" Type="http://schemas.openxmlformats.org/officeDocument/2006/relationships/hyperlink" Target="http://www.broadinstitute.org/gsea/msigdb/cards/MORF_MSH3.html" TargetMode="External"/><Relationship Id="rId971" Type="http://schemas.openxmlformats.org/officeDocument/2006/relationships/hyperlink" Target="http://www.broadinstitute.org/gsea/msigdb/cards/GCM_CALM1.html" TargetMode="External"/><Relationship Id="rId972" Type="http://schemas.openxmlformats.org/officeDocument/2006/relationships/hyperlink" Target="http://www.broadinstitute.org/gsea/msigdb/cards/GCM_MAX.html" TargetMode="External"/><Relationship Id="rId973" Type="http://schemas.openxmlformats.org/officeDocument/2006/relationships/hyperlink" Target="http://www.broadinstitute.org/gsea/msigdb/cards/MODULE_198.html" TargetMode="External"/><Relationship Id="rId974" Type="http://schemas.openxmlformats.org/officeDocument/2006/relationships/hyperlink" Target="http://www.broadinstitute.org/gsea/msigdb/cards/MORF_RFC5.html" TargetMode="External"/><Relationship Id="rId975" Type="http://schemas.openxmlformats.org/officeDocument/2006/relationships/hyperlink" Target="http://www.broadinstitute.org/gsea/msigdb/cards/GNF2_ELAC2.html" TargetMode="External"/><Relationship Id="rId976" Type="http://schemas.openxmlformats.org/officeDocument/2006/relationships/hyperlink" Target="http://www.broadinstitute.org/gsea/msigdb/cards/GCM_CRKL.html" TargetMode="External"/><Relationship Id="rId977" Type="http://schemas.openxmlformats.org/officeDocument/2006/relationships/hyperlink" Target="http://www.broadinstitute.org/gsea/msigdb/cards/MORF_RBBP8.html" TargetMode="External"/><Relationship Id="rId978" Type="http://schemas.openxmlformats.org/officeDocument/2006/relationships/hyperlink" Target="http://www.broadinstitute.org/gsea/msigdb/cards/MORF_FANCG.html" TargetMode="External"/><Relationship Id="rId979" Type="http://schemas.openxmlformats.org/officeDocument/2006/relationships/hyperlink" Target="http://www.broadinstitute.org/gsea/msigdb/cards/MORF_EIF4E.html" TargetMode="External"/><Relationship Id="rId2070" Type="http://schemas.openxmlformats.org/officeDocument/2006/relationships/hyperlink" Target="http://www.broadinstitute.org/gsea/msigdb/cards/GSE7831_1H_VS_4H_INFLUENZA_STIM_PDC_DN.html" TargetMode="External"/><Relationship Id="rId2071" Type="http://schemas.openxmlformats.org/officeDocument/2006/relationships/hyperlink" Target="http://www.broadinstitute.org/gsea/msigdb/cards/GSE10240_IL22_VS_IL17_STIM_PRIMARY_BRONCHIAL_EPITHELIAL_CELLS_UP.html" TargetMode="External"/><Relationship Id="rId2072" Type="http://schemas.openxmlformats.org/officeDocument/2006/relationships/hyperlink" Target="http://www.broadinstitute.org/gsea/msigdb/cards/GSE7568_IL4_TGFB_DEXAMETHASONE_VS_IL4_TGFB_TREATED_MACROPHAGE_DN.html" TargetMode="External"/><Relationship Id="rId2073" Type="http://schemas.openxmlformats.org/officeDocument/2006/relationships/hyperlink" Target="http://www.broadinstitute.org/gsea/msigdb/cards/GSE12963_ENV_NEF_VS_ENV_NEF_AND_VPR_DEFICIENT_HIV1_INF_CD4_TCELL_UP.html" TargetMode="External"/><Relationship Id="rId2074" Type="http://schemas.openxmlformats.org/officeDocument/2006/relationships/hyperlink" Target="http://www.broadinstitute.org/gsea/msigdb/cards/GSE14908_RESTING_VS_HDM_STIM_CD4_TCELL_ATOPIC_PATIENT_DN.html" TargetMode="External"/><Relationship Id="rId2075" Type="http://schemas.openxmlformats.org/officeDocument/2006/relationships/hyperlink" Target="http://www.broadinstitute.org/gsea/msigdb/cards/GSE25890_CTRL_VS_IL33_IL7_TREATED_NUOCYTES_DN.html" TargetMode="External"/><Relationship Id="rId2076" Type="http://schemas.openxmlformats.org/officeDocument/2006/relationships/hyperlink" Target="http://www.broadinstitute.org/gsea/msigdb/cards/GSE20198_UNTREATED_VS_IL12_TREATED_ACT_CD4_TCELL_UP.html" TargetMode="External"/><Relationship Id="rId2077" Type="http://schemas.openxmlformats.org/officeDocument/2006/relationships/hyperlink" Target="http://www.broadinstitute.org/gsea/msigdb/cards/GSE21670_UNTREATED_VS_IL6_TREATED_CD4_TCELL_DN.html" TargetMode="External"/><Relationship Id="rId2078" Type="http://schemas.openxmlformats.org/officeDocument/2006/relationships/hyperlink" Target="http://www.broadinstitute.org/gsea/msigdb/cards/GSE21546_ELK1_KO_VS_SAP1A_KO_AND_ELK1_KO_ANTI_CD3_STIM_DP_THYMOCYTES_UP.html" TargetMode="External"/><Relationship Id="rId2079" Type="http://schemas.openxmlformats.org/officeDocument/2006/relationships/hyperlink" Target="http://www.broadinstitute.org/gsea/msigdb/cards/GSE22103_LPS_VS_GMCSF_AND_IFNG_STIM_NEUTROPHIL_DN.html" TargetMode="External"/><Relationship Id="rId430" Type="http://schemas.openxmlformats.org/officeDocument/2006/relationships/hyperlink" Target="http://www.broadinstitute.org/gsea/msigdb/cards/CAGTATT_MIR200B_MIR200C_MIR429.html" TargetMode="External"/><Relationship Id="rId431" Type="http://schemas.openxmlformats.org/officeDocument/2006/relationships/hyperlink" Target="http://www.broadinstitute.org/gsea/msigdb/cards/GGGAGGRR_MAZ_Q6.html" TargetMode="External"/><Relationship Id="rId432" Type="http://schemas.openxmlformats.org/officeDocument/2006/relationships/hyperlink" Target="http://www.broadinstitute.org/gsea/msigdb/cards/E2F_Q4.html" TargetMode="External"/><Relationship Id="rId433" Type="http://schemas.openxmlformats.org/officeDocument/2006/relationships/hyperlink" Target="http://www.broadinstitute.org/gsea/msigdb/cards/CAGTGTT_MIR141_MIR200A.html" TargetMode="External"/><Relationship Id="rId434" Type="http://schemas.openxmlformats.org/officeDocument/2006/relationships/hyperlink" Target="http://www.broadinstitute.org/gsea/msigdb/cards/ACTTTAT_MIR1425P.html" TargetMode="External"/><Relationship Id="rId435" Type="http://schemas.openxmlformats.org/officeDocument/2006/relationships/hyperlink" Target="http://www.broadinstitute.org/gsea/msigdb/cards/CAGCAGG_MIR370.html" TargetMode="External"/><Relationship Id="rId436" Type="http://schemas.openxmlformats.org/officeDocument/2006/relationships/hyperlink" Target="http://www.broadinstitute.org/gsea/msigdb/cards/ATTCTTT_MIR186.html" TargetMode="External"/><Relationship Id="rId437" Type="http://schemas.openxmlformats.org/officeDocument/2006/relationships/hyperlink" Target="http://www.broadinstitute.org/gsea/msigdb/cards/E2F_Q6.html" TargetMode="External"/><Relationship Id="rId438" Type="http://schemas.openxmlformats.org/officeDocument/2006/relationships/hyperlink" Target="http://www.broadinstitute.org/gsea/msigdb/cards/TGCACTG_MIR148A_MIR152_MIR148B.html" TargetMode="External"/><Relationship Id="rId439" Type="http://schemas.openxmlformats.org/officeDocument/2006/relationships/hyperlink" Target="http://www.broadinstitute.org/gsea/msigdb/cards/CTACTGT_MIR199A.html" TargetMode="External"/><Relationship Id="rId1370" Type="http://schemas.openxmlformats.org/officeDocument/2006/relationships/hyperlink" Target="http://www.broadinstitute.org/gsea/msigdb/cards/GO_REPRODUCTIVE_SYSTEM_DEVELOPMENT.html" TargetMode="External"/><Relationship Id="rId1371" Type="http://schemas.openxmlformats.org/officeDocument/2006/relationships/hyperlink" Target="http://www.broadinstitute.org/gsea/msigdb/cards/GO_EXONUCLEASE_ACTIVITY.html" TargetMode="External"/><Relationship Id="rId1372" Type="http://schemas.openxmlformats.org/officeDocument/2006/relationships/hyperlink" Target="http://www.broadinstitute.org/gsea/msigdb/cards/GO_MICROTUBULE_BINDING.html" TargetMode="External"/><Relationship Id="rId1373" Type="http://schemas.openxmlformats.org/officeDocument/2006/relationships/hyperlink" Target="http://www.broadinstitute.org/gsea/msigdb/cards/GO_IMMUNE_SYSTEM_DEVELOPMENT.html" TargetMode="External"/><Relationship Id="rId1374" Type="http://schemas.openxmlformats.org/officeDocument/2006/relationships/hyperlink" Target="http://www.broadinstitute.org/gsea/msigdb/cards/GO_PROTEIN_DNA_COMPLEX_SUBUNIT_ORGANIZATION.html" TargetMode="External"/><Relationship Id="rId1375" Type="http://schemas.openxmlformats.org/officeDocument/2006/relationships/hyperlink" Target="http://www.broadinstitute.org/gsea/msigdb/cards/GO_RESPONSE_TO_RADIATION.html" TargetMode="External"/><Relationship Id="rId1376" Type="http://schemas.openxmlformats.org/officeDocument/2006/relationships/hyperlink" Target="http://www.broadinstitute.org/gsea/msigdb/cards/GO_STEROID_HORMONE_RECEPTOR_BINDING.html" TargetMode="External"/><Relationship Id="rId1377" Type="http://schemas.openxmlformats.org/officeDocument/2006/relationships/hyperlink" Target="http://www.broadinstitute.org/gsea/msigdb/cards/GO_RNA_SECONDARY_STRUCTURE_UNWINDING.html" TargetMode="External"/><Relationship Id="rId1378" Type="http://schemas.openxmlformats.org/officeDocument/2006/relationships/hyperlink" Target="http://www.broadinstitute.org/gsea/msigdb/cards/GO_CHROMATIN_REMODELING.html" TargetMode="External"/><Relationship Id="rId1379" Type="http://schemas.openxmlformats.org/officeDocument/2006/relationships/hyperlink" Target="http://www.broadinstitute.org/gsea/msigdb/cards/GO_WNT_SIGNALING_PATHWAY.html" TargetMode="External"/><Relationship Id="rId2800" Type="http://schemas.openxmlformats.org/officeDocument/2006/relationships/hyperlink" Target="http://www.broadinstitute.org/gsea/msigdb/cards/GSE21670_IL6_VS_TGFB_AND_IL6_TREATED_STAT3_KO_CD4_TCELL_DN.html" TargetMode="External"/><Relationship Id="rId2801" Type="http://schemas.openxmlformats.org/officeDocument/2006/relationships/hyperlink" Target="http://www.broadinstitute.org/gsea/msigdb/cards/GSE21546_SAP1A_KO_VS_SAP1A_KO_AND_ELK1_KO_ANTI_CD3_STIM_DP_THYMOCYTES_UP.html" TargetMode="External"/><Relationship Id="rId2802" Type="http://schemas.openxmlformats.org/officeDocument/2006/relationships/hyperlink" Target="http://www.broadinstitute.org/gsea/msigdb/cards/GSE21546_ELK1_KO_VS_SAP1A_KO_AND_ELK1_KO_ANTI_CD3_STIM_DP_THYMOCYTES_DN.html" TargetMode="External"/><Relationship Id="rId2803" Type="http://schemas.openxmlformats.org/officeDocument/2006/relationships/hyperlink" Target="http://www.broadinstitute.org/gsea/msigdb/cards/GSE21927_HEALTHY_VS_TUMOROUS_BALBC_MOUSE_MONOCYTE_UP.html" TargetMode="External"/><Relationship Id="rId2804" Type="http://schemas.openxmlformats.org/officeDocument/2006/relationships/hyperlink" Target="http://www.broadinstitute.org/gsea/msigdb/cards/GSE21927_SPLENIC_C26GM_TUMOROUS_VS_4T1_TUMOR_MONOCYTES_DN.html" TargetMode="External"/><Relationship Id="rId2805" Type="http://schemas.openxmlformats.org/officeDocument/2006/relationships/hyperlink" Target="http://www.broadinstitute.org/gsea/msigdb/cards/GSE19401_PLN_VS_PEYERS_PATCH_FOLLICULAR_DC_UP.html" TargetMode="External"/><Relationship Id="rId2806" Type="http://schemas.openxmlformats.org/officeDocument/2006/relationships/hyperlink" Target="http://www.broadinstitute.org/gsea/msigdb/cards/GSE19401_PAM2CSK4_VS_RETINOIC_ACID_STIM_FOLLICULAR_DC_UP.html" TargetMode="External"/><Relationship Id="rId2807" Type="http://schemas.openxmlformats.org/officeDocument/2006/relationships/hyperlink" Target="http://www.broadinstitute.org/gsea/msigdb/cards/GSE20152_SPHK1_KO_VS_HTNFA_OVEREXPRESS_ANKLE_DN.html" TargetMode="External"/><Relationship Id="rId2808" Type="http://schemas.openxmlformats.org/officeDocument/2006/relationships/hyperlink" Target="http://www.broadinstitute.org/gsea/msigdb/cards/GSE20152_SPHK1_KO_VS_WT_HTNFA_OVERXPRESS_ANKLE_UP.html" TargetMode="External"/><Relationship Id="rId2809" Type="http://schemas.openxmlformats.org/officeDocument/2006/relationships/hyperlink" Target="http://www.broadinstitute.org/gsea/msigdb/cards/GSE22033_WT_VS_PPARG_KO_MEF_UP.html" TargetMode="External"/><Relationship Id="rId980" Type="http://schemas.openxmlformats.org/officeDocument/2006/relationships/hyperlink" Target="http://www.broadinstitute.org/gsea/msigdb/cards/GCM_FANCL.html" TargetMode="External"/><Relationship Id="rId981" Type="http://schemas.openxmlformats.org/officeDocument/2006/relationships/hyperlink" Target="http://www.broadinstitute.org/gsea/msigdb/cards/MODULE_206.html" TargetMode="External"/><Relationship Id="rId982" Type="http://schemas.openxmlformats.org/officeDocument/2006/relationships/hyperlink" Target="http://www.broadinstitute.org/gsea/msigdb/cards/MORF_AATF.html" TargetMode="External"/><Relationship Id="rId983" Type="http://schemas.openxmlformats.org/officeDocument/2006/relationships/hyperlink" Target="http://www.broadinstitute.org/gsea/msigdb/cards/MODULE_352.html" TargetMode="External"/><Relationship Id="rId984" Type="http://schemas.openxmlformats.org/officeDocument/2006/relationships/hyperlink" Target="http://www.broadinstitute.org/gsea/msigdb/cards/MORF_DNMT1.html" TargetMode="External"/><Relationship Id="rId985" Type="http://schemas.openxmlformats.org/officeDocument/2006/relationships/hyperlink" Target="http://www.broadinstitute.org/gsea/msigdb/cards/MORF_PRKDC.html" TargetMode="External"/><Relationship Id="rId986" Type="http://schemas.openxmlformats.org/officeDocument/2006/relationships/hyperlink" Target="http://www.broadinstitute.org/gsea/msigdb/cards/MODULE_261.html" TargetMode="External"/><Relationship Id="rId987" Type="http://schemas.openxmlformats.org/officeDocument/2006/relationships/hyperlink" Target="http://www.broadinstitute.org/gsea/msigdb/cards/MODULE_358.html" TargetMode="External"/><Relationship Id="rId988" Type="http://schemas.openxmlformats.org/officeDocument/2006/relationships/hyperlink" Target="http://www.broadinstitute.org/gsea/msigdb/cards/GCM_ERBB2IP.html" TargetMode="External"/><Relationship Id="rId989" Type="http://schemas.openxmlformats.org/officeDocument/2006/relationships/hyperlink" Target="http://www.broadinstitute.org/gsea/msigdb/cards/MORF_RAD54L.html" TargetMode="External"/><Relationship Id="rId2080" Type="http://schemas.openxmlformats.org/officeDocument/2006/relationships/hyperlink" Target="http://www.broadinstitute.org/gsea/msigdb/cards/GSE24210_RESTING_TREG_VS_TCONV_UP.html" TargetMode="External"/><Relationship Id="rId2081" Type="http://schemas.openxmlformats.org/officeDocument/2006/relationships/hyperlink" Target="http://www.broadinstitute.org/gsea/msigdb/cards/GSE23505_IL6_IL1_VS_IL6_IL1_TGFB_TREATED_CD4_TCELL_UP.html" TargetMode="External"/><Relationship Id="rId2082" Type="http://schemas.openxmlformats.org/officeDocument/2006/relationships/hyperlink" Target="http://www.broadinstitute.org/gsea/msigdb/cards/GSE17301_IFNA2_VS_IFNA5_STIM_ACD3_ACD28_ACT_CD8_TCELL_UP.html" TargetMode="External"/><Relationship Id="rId2083" Type="http://schemas.openxmlformats.org/officeDocument/2006/relationships/hyperlink" Target="http://www.broadinstitute.org/gsea/msigdb/cards/GSE17301_IFNA2_VS_IFNA2_AND_ACD3_ACD28_STIM_CD8_TCELL_UP.html" TargetMode="External"/><Relationship Id="rId2084" Type="http://schemas.openxmlformats.org/officeDocument/2006/relationships/hyperlink" Target="http://www.broadinstitute.org/gsea/msigdb/cards/GSE27670_BLIMP1_VS_LMP1_TRANSDUCED_GC_BCELL_DN.html" TargetMode="External"/><Relationship Id="rId2085" Type="http://schemas.openxmlformats.org/officeDocument/2006/relationships/hyperlink" Target="http://www.broadinstitute.org/gsea/msigdb/cards/GSE24814_STAT5_KO_VS_WT_PRE_BCELL_DN.html" TargetMode="External"/><Relationship Id="rId2086" Type="http://schemas.openxmlformats.org/officeDocument/2006/relationships/hyperlink" Target="http://www.broadinstitute.org/gsea/msigdb/cards/GSE26343_WT_VS_NFAT5_KO_MACROPHAGE_UP.html" TargetMode="External"/><Relationship Id="rId2087" Type="http://schemas.openxmlformats.org/officeDocument/2006/relationships/hyperlink" Target="http://www.broadinstitute.org/gsea/msigdb/cards/GSE34156_NOD2_LIGAND_VS_NOD2_AND_TLR1_TLR2_LIGAND_24H_TREATED_MONOCYTE_DN.html" TargetMode="External"/><Relationship Id="rId2088" Type="http://schemas.openxmlformats.org/officeDocument/2006/relationships/hyperlink" Target="http://www.broadinstitute.org/gsea/msigdb/cards/GSE34515_CD16_POS_MONOCYTE_VS_DC_UP.html" TargetMode="External"/><Relationship Id="rId2089" Type="http://schemas.openxmlformats.org/officeDocument/2006/relationships/hyperlink" Target="http://www.broadinstitute.org/gsea/msigdb/cards/GSE36009_UNSTIM_VS_LPS_STIM_NLRP10_KO_DC_DN.html" TargetMode="External"/><Relationship Id="rId440" Type="http://schemas.openxmlformats.org/officeDocument/2006/relationships/hyperlink" Target="http://www.broadinstitute.org/gsea/msigdb/cards/TTTGCAG_MIR518A2.html" TargetMode="External"/><Relationship Id="rId441" Type="http://schemas.openxmlformats.org/officeDocument/2006/relationships/hyperlink" Target="http://www.broadinstitute.org/gsea/msigdb/cards/GTACTGT_MIR101.html" TargetMode="External"/><Relationship Id="rId442" Type="http://schemas.openxmlformats.org/officeDocument/2006/relationships/hyperlink" Target="http://www.broadinstitute.org/gsea/msigdb/cards/CTTTGT_LEF1_Q2.html" TargetMode="External"/><Relationship Id="rId443" Type="http://schemas.openxmlformats.org/officeDocument/2006/relationships/hyperlink" Target="http://www.broadinstitute.org/gsea/msigdb/cards/CACGTG_MYC_Q2.html" TargetMode="External"/><Relationship Id="rId444" Type="http://schemas.openxmlformats.org/officeDocument/2006/relationships/hyperlink" Target="http://www.broadinstitute.org/gsea/msigdb/cards/YY1_Q6.html" TargetMode="External"/><Relationship Id="rId445" Type="http://schemas.openxmlformats.org/officeDocument/2006/relationships/hyperlink" Target="http://www.broadinstitute.org/gsea/msigdb/cards/AGCACTT_MIR93_MIR302A_MIR302B_MIR302C_MIR302D_MIR372_MIR373_MIR520E_MIR520A_MIR526B_MIR520B_MIR520C_MIR520D.html" TargetMode="External"/><Relationship Id="rId446" Type="http://schemas.openxmlformats.org/officeDocument/2006/relationships/hyperlink" Target="http://www.broadinstitute.org/gsea/msigdb/cards/TGGTGCT_MIR29A_MIR29B_MIR29C.html" TargetMode="External"/><Relationship Id="rId447" Type="http://schemas.openxmlformats.org/officeDocument/2006/relationships/hyperlink" Target="http://www.broadinstitute.org/gsea/msigdb/cards/AAGCACT_MIR520F.html" TargetMode="External"/><Relationship Id="rId448" Type="http://schemas.openxmlformats.org/officeDocument/2006/relationships/hyperlink" Target="http://www.broadinstitute.org/gsea/msigdb/cards/GTTATAT_MIR410.html" TargetMode="External"/><Relationship Id="rId449" Type="http://schemas.openxmlformats.org/officeDocument/2006/relationships/hyperlink" Target="http://www.broadinstitute.org/gsea/msigdb/cards/ACTGCCT_MIR34B.html" TargetMode="External"/><Relationship Id="rId1380" Type="http://schemas.openxmlformats.org/officeDocument/2006/relationships/hyperlink" Target="http://www.broadinstitute.org/gsea/msigdb/cards/GO_GOLGI_APPARATUS.html" TargetMode="External"/><Relationship Id="rId1381" Type="http://schemas.openxmlformats.org/officeDocument/2006/relationships/hyperlink" Target="http://www.broadinstitute.org/gsea/msigdb/cards/GO_TELOMERE_ORGANIZATION.html" TargetMode="External"/><Relationship Id="rId1382" Type="http://schemas.openxmlformats.org/officeDocument/2006/relationships/hyperlink" Target="http://www.broadinstitute.org/gsea/msigdb/cards/GO_POSITIVE_REGULATION_OF_MRNA_METABOLIC_PROCESS.html" TargetMode="External"/><Relationship Id="rId1383" Type="http://schemas.openxmlformats.org/officeDocument/2006/relationships/hyperlink" Target="http://www.broadinstitute.org/gsea/msigdb/cards/GO_DNA_ALKYLATION.html" TargetMode="External"/><Relationship Id="rId1384" Type="http://schemas.openxmlformats.org/officeDocument/2006/relationships/hyperlink" Target="http://www.broadinstitute.org/gsea/msigdb/cards/GO_POSITIVE_REGULATION_OF_MRNA_3_END_PROCESSING.html" TargetMode="External"/><Relationship Id="rId1385" Type="http://schemas.openxmlformats.org/officeDocument/2006/relationships/hyperlink" Target="http://www.broadinstitute.org/gsea/msigdb/cards/GO_PROTEIN_IMPORT.html" TargetMode="External"/><Relationship Id="rId1386" Type="http://schemas.openxmlformats.org/officeDocument/2006/relationships/hyperlink" Target="http://www.broadinstitute.org/gsea/msigdb/cards/GO_POSITIVE_REGULATION_OF_CHROMATIN_MODIFICATION.html" TargetMode="External"/><Relationship Id="rId1387" Type="http://schemas.openxmlformats.org/officeDocument/2006/relationships/hyperlink" Target="http://www.broadinstitute.org/gsea/msigdb/cards/GO_NEGATIVE_REGULATION_OF_CELLULAR_CATABOLIC_PROCESS.html" TargetMode="External"/><Relationship Id="rId1388" Type="http://schemas.openxmlformats.org/officeDocument/2006/relationships/hyperlink" Target="http://www.broadinstitute.org/gsea/msigdb/cards/GO_SITE_OF_DOUBLE_STRAND_BREAK.html" TargetMode="External"/><Relationship Id="rId1389" Type="http://schemas.openxmlformats.org/officeDocument/2006/relationships/hyperlink" Target="http://www.broadinstitute.org/gsea/msigdb/cards/GO_POSITIVE_REGULATION_OF_ORGANELLE_ASSEMBLY.html" TargetMode="External"/><Relationship Id="rId2810" Type="http://schemas.openxmlformats.org/officeDocument/2006/relationships/hyperlink" Target="http://www.broadinstitute.org/gsea/msigdb/cards/GSE20500_CTRL_VS_RETINOIC_ACID_TREATED_CD4_TCELL_DN.html" TargetMode="External"/><Relationship Id="rId2811" Type="http://schemas.openxmlformats.org/officeDocument/2006/relationships/hyperlink" Target="http://www.broadinstitute.org/gsea/msigdb/cards/GSE20500_CTRL_VS_RARA_ANTAGONIST_TREATED_CD4_TCELL_UP.html" TargetMode="External"/><Relationship Id="rId2812" Type="http://schemas.openxmlformats.org/officeDocument/2006/relationships/hyperlink" Target="http://www.broadinstitute.org/gsea/msigdb/cards/GSE21033_CTRL_VS_POLYIC_STIM_DC_1H_DN.html" TargetMode="External"/><Relationship Id="rId2813" Type="http://schemas.openxmlformats.org/officeDocument/2006/relationships/hyperlink" Target="http://www.broadinstitute.org/gsea/msigdb/cards/GSE21033_CTRL_VS_POLYIC_STIM_DC_12H_DN.html" TargetMode="External"/><Relationship Id="rId2814" Type="http://schemas.openxmlformats.org/officeDocument/2006/relationships/hyperlink" Target="http://www.broadinstitute.org/gsea/msigdb/cards/GSE22935_UNSTIM_VS_12H_MBOVIS_BCG_STIM_MYD88_KO_MACROPHAGE_DN.html" TargetMode="External"/><Relationship Id="rId2815" Type="http://schemas.openxmlformats.org/officeDocument/2006/relationships/hyperlink" Target="http://www.broadinstitute.org/gsea/msigdb/cards/GSE23695_CD57_POS_VS_NEG_NK_CELL_UP.html" TargetMode="External"/><Relationship Id="rId2816" Type="http://schemas.openxmlformats.org/officeDocument/2006/relationships/hyperlink" Target="http://www.broadinstitute.org/gsea/msigdb/cards/GSE22432_MULTIPOTENT_VS_COMMON_DC_PROGENITOR_UNTREATED_DN.html" TargetMode="External"/><Relationship Id="rId2817" Type="http://schemas.openxmlformats.org/officeDocument/2006/relationships/hyperlink" Target="http://www.broadinstitute.org/gsea/msigdb/cards/GSE16385_MONOCYTE_VS_12H_ROSIGLITAZONE_TREATED_MACROPHAGE_DN.html" TargetMode="External"/><Relationship Id="rId2818" Type="http://schemas.openxmlformats.org/officeDocument/2006/relationships/hyperlink" Target="http://www.broadinstitute.org/gsea/msigdb/cards/GSE25088_CTRL_VS_IL4_AND_ROSIGLITAZONE_STIM_MACROPHAGE_UP.html" TargetMode="External"/><Relationship Id="rId2819" Type="http://schemas.openxmlformats.org/officeDocument/2006/relationships/hyperlink" Target="http://www.broadinstitute.org/gsea/msigdb/cards/GSE25088_IL4_VS_IL4_AND_ROSIGLITAZONE_STIM_STAT6_KO_MACROPHAGE_DAY10_UP.html" TargetMode="External"/><Relationship Id="rId990" Type="http://schemas.openxmlformats.org/officeDocument/2006/relationships/hyperlink" Target="http://www.broadinstitute.org/gsea/msigdb/cards/MORF_RUNX1.html" TargetMode="External"/><Relationship Id="rId991" Type="http://schemas.openxmlformats.org/officeDocument/2006/relationships/hyperlink" Target="http://www.broadinstitute.org/gsea/msigdb/cards/GCM_CSNK1A1.html" TargetMode="External"/><Relationship Id="rId992" Type="http://schemas.openxmlformats.org/officeDocument/2006/relationships/hyperlink" Target="http://www.broadinstitute.org/gsea/msigdb/cards/MORF_PPP5C.html" TargetMode="External"/><Relationship Id="rId993" Type="http://schemas.openxmlformats.org/officeDocument/2006/relationships/hyperlink" Target="http://www.broadinstitute.org/gsea/msigdb/cards/MORF_ACP1.html" TargetMode="External"/><Relationship Id="rId994" Type="http://schemas.openxmlformats.org/officeDocument/2006/relationships/hyperlink" Target="http://www.broadinstitute.org/gsea/msigdb/cards/GNF2_APEX1.html" TargetMode="External"/><Relationship Id="rId995" Type="http://schemas.openxmlformats.org/officeDocument/2006/relationships/hyperlink" Target="http://www.broadinstitute.org/gsea/msigdb/cards/MORF_CDC16.html" TargetMode="External"/><Relationship Id="rId996" Type="http://schemas.openxmlformats.org/officeDocument/2006/relationships/hyperlink" Target="http://www.broadinstitute.org/gsea/msigdb/cards/MORF_PPP1CC.html" TargetMode="External"/><Relationship Id="rId997" Type="http://schemas.openxmlformats.org/officeDocument/2006/relationships/hyperlink" Target="http://www.broadinstitute.org/gsea/msigdb/cards/MORF_GNB1.html" TargetMode="External"/><Relationship Id="rId998" Type="http://schemas.openxmlformats.org/officeDocument/2006/relationships/hyperlink" Target="http://www.broadinstitute.org/gsea/msigdb/cards/GCM_NUMA1.html" TargetMode="External"/><Relationship Id="rId999" Type="http://schemas.openxmlformats.org/officeDocument/2006/relationships/hyperlink" Target="http://www.broadinstitute.org/gsea/msigdb/cards/MORF_MT4.html" TargetMode="External"/><Relationship Id="rId2090" Type="http://schemas.openxmlformats.org/officeDocument/2006/relationships/hyperlink" Target="http://www.broadinstitute.org/gsea/msigdb/cards/GSE37301_COMMON_LYMPHOID_PROGENITOR_VS_CD4_TCELL_DN.html" TargetMode="External"/><Relationship Id="rId2091" Type="http://schemas.openxmlformats.org/officeDocument/2006/relationships/hyperlink" Target="http://www.broadinstitute.org/gsea/msigdb/cards/GSE37532_TREG_VS_TCONV_PPARG_KO_CD4_TCELL_FROM_LN_UP.html" TargetMode="External"/><Relationship Id="rId2092" Type="http://schemas.openxmlformats.org/officeDocument/2006/relationships/hyperlink" Target="http://www.broadinstitute.org/gsea/msigdb/cards/GSE33162_UNTREATED_VS_4H_LPS_STIM_HDAC3_HET_MACROPHAGE_DN.html" TargetMode="External"/><Relationship Id="rId2093" Type="http://schemas.openxmlformats.org/officeDocument/2006/relationships/hyperlink" Target="http://www.broadinstitute.org/gsea/msigdb/cards/GSE40273_XBP1_KO_VS_WT_TREG_DN.html" TargetMode="External"/><Relationship Id="rId2094" Type="http://schemas.openxmlformats.org/officeDocument/2006/relationships/hyperlink" Target="http://www.broadinstitute.org/gsea/msigdb/cards/GSE39916_B_CELL_SPLEEN_VS_PLASMA_CELL_BONE_MARROW_UP.html" TargetMode="External"/><Relationship Id="rId2095" Type="http://schemas.openxmlformats.org/officeDocument/2006/relationships/hyperlink" Target="http://www.broadinstitute.org/gsea/msigdb/cards/GSE41867_NAIVE_VS_DAY15_LCMV_CONE13_EFFECTOR_CD8_TCELL_DN.html" TargetMode="External"/><Relationship Id="rId2096" Type="http://schemas.openxmlformats.org/officeDocument/2006/relationships/hyperlink" Target="http://www.broadinstitute.org/gsea/msigdb/cards/GSE45365_WT_VS_IFNAR_KO_CD8A_DC_MCMV_INFECTION_UP.html" TargetMode="External"/><Relationship Id="rId2097" Type="http://schemas.openxmlformats.org/officeDocument/2006/relationships/hyperlink" Target="http://www.broadinstitute.org/gsea/msigdb/cards/GSE5589_WT_VS_IL6_KO_LPS_AND_IL10_STIM_MACROPHAGE_180MIN_DN.html" TargetMode="External"/><Relationship Id="rId2098" Type="http://schemas.openxmlformats.org/officeDocument/2006/relationships/hyperlink" Target="http://www.broadinstitute.org/gsea/msigdb/cards/GSE45365_WT_VS_IFNAR_KO_BCELL_MCMV_INFECTION_UP.html" TargetMode="External"/><Relationship Id="rId2099" Type="http://schemas.openxmlformats.org/officeDocument/2006/relationships/hyperlink" Target="http://www.broadinstitute.org/gsea/msigdb/cards/GSE20727_CTRL_VS_H2O2_TREATED_DC_UP.html" TargetMode="External"/><Relationship Id="rId450" Type="http://schemas.openxmlformats.org/officeDocument/2006/relationships/hyperlink" Target="http://www.broadinstitute.org/gsea/msigdb/cards/E2F1_Q4_01.html" TargetMode="External"/><Relationship Id="rId451" Type="http://schemas.openxmlformats.org/officeDocument/2006/relationships/hyperlink" Target="http://www.broadinstitute.org/gsea/msigdb/cards/E2F1DP1RB_01.html" TargetMode="External"/><Relationship Id="rId452" Type="http://schemas.openxmlformats.org/officeDocument/2006/relationships/hyperlink" Target="http://www.broadinstitute.org/gsea/msigdb/cards/GGCAGCT_MIR22.html" TargetMode="External"/><Relationship Id="rId453" Type="http://schemas.openxmlformats.org/officeDocument/2006/relationships/hyperlink" Target="http://www.broadinstitute.org/gsea/msigdb/cards/AAGCACA_MIR218.html" TargetMode="External"/><Relationship Id="rId454" Type="http://schemas.openxmlformats.org/officeDocument/2006/relationships/hyperlink" Target="http://www.broadinstitute.org/gsea/msigdb/cards/GTTTGTT_MIR495.html" TargetMode="External"/><Relationship Id="rId455" Type="http://schemas.openxmlformats.org/officeDocument/2006/relationships/hyperlink" Target="http://www.broadinstitute.org/gsea/msigdb/cards/TAGCTTT_MIR9.html" TargetMode="External"/><Relationship Id="rId456" Type="http://schemas.openxmlformats.org/officeDocument/2006/relationships/hyperlink" Target="http://www.broadinstitute.org/gsea/msigdb/cards/E2F1_Q6_01.html" TargetMode="External"/><Relationship Id="rId457" Type="http://schemas.openxmlformats.org/officeDocument/2006/relationships/hyperlink" Target="http://www.broadinstitute.org/gsea/msigdb/cards/GTGACGY_E4F1_Q6.html" TargetMode="External"/><Relationship Id="rId458" Type="http://schemas.openxmlformats.org/officeDocument/2006/relationships/hyperlink" Target="http://www.broadinstitute.org/gsea/msigdb/cards/GACTGTT_MIR212_MIR132.html" TargetMode="External"/><Relationship Id="rId459" Type="http://schemas.openxmlformats.org/officeDocument/2006/relationships/hyperlink" Target="http://www.broadinstitute.org/gsea/msigdb/cards/TTTGTAG_MIR520D.html" TargetMode="External"/><Relationship Id="rId1390" Type="http://schemas.openxmlformats.org/officeDocument/2006/relationships/hyperlink" Target="http://www.broadinstitute.org/gsea/msigdb/cards/GO_HISTONE_METHYLTRANSFERASE_ACTIVITY_H3_K4_SPECIFIC_.html" TargetMode="External"/><Relationship Id="rId1391" Type="http://schemas.openxmlformats.org/officeDocument/2006/relationships/hyperlink" Target="http://www.broadinstitute.org/gsea/msigdb/cards/GO_POSITIVE_REGULATION_OF_PROTEIN_MODIFICATION_PROCESS.html" TargetMode="External"/><Relationship Id="rId1392" Type="http://schemas.openxmlformats.org/officeDocument/2006/relationships/hyperlink" Target="http://www.broadinstitute.org/gsea/msigdb/cards/GO_REGULATION_OF_GTPASE_ACTIVITY.html" TargetMode="External"/><Relationship Id="rId1393" Type="http://schemas.openxmlformats.org/officeDocument/2006/relationships/hyperlink" Target="http://www.broadinstitute.org/gsea/msigdb/cards/GO_POSITIVE_REGULATION_OF_MRNA_PROCESSING.html" TargetMode="External"/><Relationship Id="rId1394" Type="http://schemas.openxmlformats.org/officeDocument/2006/relationships/hyperlink" Target="http://www.broadinstitute.org/gsea/msigdb/cards/GO_CYTOPLASMIC_STRESS_GRANULE.html" TargetMode="External"/><Relationship Id="rId1395" Type="http://schemas.openxmlformats.org/officeDocument/2006/relationships/hyperlink" Target="http://www.broadinstitute.org/gsea/msigdb/cards/GO_NCRNA_METABOLIC_PROCESS.html" TargetMode="External"/><Relationship Id="rId1396" Type="http://schemas.openxmlformats.org/officeDocument/2006/relationships/hyperlink" Target="http://www.broadinstitute.org/gsea/msigdb/cards/GO_REGULATION_OF_DNA_TEMPLATED_TRANSCRIPTION_IN_RESPONSE_TO_STRESS.html" TargetMode="External"/><Relationship Id="rId1397" Type="http://schemas.openxmlformats.org/officeDocument/2006/relationships/hyperlink" Target="http://www.broadinstitute.org/gsea/msigdb/cards/GO_ENDOMEMBRANE_SYSTEM_ORGANIZATION.html" TargetMode="External"/><Relationship Id="rId1398" Type="http://schemas.openxmlformats.org/officeDocument/2006/relationships/hyperlink" Target="http://www.broadinstitute.org/gsea/msigdb/cards/GO_POSITIVE_REGULATION_OF_CATALYTIC_ACTIVITY.html" TargetMode="External"/><Relationship Id="rId1399" Type="http://schemas.openxmlformats.org/officeDocument/2006/relationships/hyperlink" Target="http://www.broadinstitute.org/gsea/msigdb/cards/GO_PHOSPHATIDYLINOSITOL_3_PHOSPHATE_BIOSYNTHETIC_PROCESS.html" TargetMode="External"/><Relationship Id="rId2820" Type="http://schemas.openxmlformats.org/officeDocument/2006/relationships/hyperlink" Target="http://www.broadinstitute.org/gsea/msigdb/cards/GSE25123_ROSIGLITAZONE_VS_IL4_AND_ROSIGLITAZONE_STIM_PPARG_KO_MACROPHAGE_DAY10_DN.html" TargetMode="External"/><Relationship Id="rId2821" Type="http://schemas.openxmlformats.org/officeDocument/2006/relationships/hyperlink" Target="http://www.broadinstitute.org/gsea/msigdb/cards/GSE25088_CTRL_VS_IL4_STIM_MACROPHAGE_UP.html" TargetMode="External"/><Relationship Id="rId2822" Type="http://schemas.openxmlformats.org/officeDocument/2006/relationships/hyperlink" Target="http://www.broadinstitute.org/gsea/msigdb/cards/GSE23984_CTRL_VS_HYPOCALEMIC_VITAMIND_ANALOG_TCELL_DN.html" TargetMode="External"/><Relationship Id="rId2823" Type="http://schemas.openxmlformats.org/officeDocument/2006/relationships/hyperlink" Target="http://www.broadinstitute.org/gsea/msigdb/cards/GSE24726_WT_VS_E2_2_KO_PDC_DAY6_POST_DELETION_DN.html" TargetMode="External"/><Relationship Id="rId2824" Type="http://schemas.openxmlformats.org/officeDocument/2006/relationships/hyperlink" Target="http://www.broadinstitute.org/gsea/msigdb/cards/GSE25085_FETAL_LIVER_VS_ADULT_BM_SP4_THYMIC_IMPLANT_DN.html" TargetMode="External"/><Relationship Id="rId2825" Type="http://schemas.openxmlformats.org/officeDocument/2006/relationships/hyperlink" Target="http://www.broadinstitute.org/gsea/msigdb/cards/GSE23398_WT_VS_IL2_KO_CD4_TCELL_SCURFY_MOUSE_DN.html" TargetMode="External"/><Relationship Id="rId2826" Type="http://schemas.openxmlformats.org/officeDocument/2006/relationships/hyperlink" Target="http://www.broadinstitute.org/gsea/msigdb/cards/GSE22611_UNSTIM_VS_2H_MDP_STIM_NOD2_TRANSDUCED_HEK293T_CELL_UP.html" TargetMode="External"/><Relationship Id="rId2827" Type="http://schemas.openxmlformats.org/officeDocument/2006/relationships/hyperlink" Target="http://www.broadinstitute.org/gsea/msigdb/cards/GSE22611_NOD2_VS_CTRL_TRANSDUCED_HEK293T_CELL_DN.html" TargetMode="External"/><Relationship Id="rId2828" Type="http://schemas.openxmlformats.org/officeDocument/2006/relationships/hyperlink" Target="http://www.broadinstitute.org/gsea/msigdb/cards/GSE21063_WT_VS_NFATC1_KO_BCELL_DN.html" TargetMode="External"/><Relationship Id="rId2829" Type="http://schemas.openxmlformats.org/officeDocument/2006/relationships/hyperlink" Target="http://www.broadinstitute.org/gsea/msigdb/cards/GSE28726_NAIVE_CD4_TCELL_VS_NAIVE_NKTCELL_UP.html" TargetMode="External"/><Relationship Id="rId460" Type="http://schemas.openxmlformats.org/officeDocument/2006/relationships/hyperlink" Target="http://www.broadinstitute.org/gsea/msigdb/cards/GCAAAAA_MIR129.html" TargetMode="External"/><Relationship Id="rId461" Type="http://schemas.openxmlformats.org/officeDocument/2006/relationships/hyperlink" Target="http://www.broadinstitute.org/gsea/msigdb/cards/AACTTT_UNKNOWN.html" TargetMode="External"/><Relationship Id="rId462" Type="http://schemas.openxmlformats.org/officeDocument/2006/relationships/hyperlink" Target="http://www.broadinstitute.org/gsea/msigdb/cards/USF_02.html" TargetMode="External"/><Relationship Id="rId463" Type="http://schemas.openxmlformats.org/officeDocument/2006/relationships/hyperlink" Target="http://www.broadinstitute.org/gsea/msigdb/cards/E2F1_Q6.html" TargetMode="External"/><Relationship Id="rId464" Type="http://schemas.openxmlformats.org/officeDocument/2006/relationships/hyperlink" Target="http://www.broadinstitute.org/gsea/msigdb/cards/SMTTTTGT_UNKNOWN.html" TargetMode="External"/><Relationship Id="rId465" Type="http://schemas.openxmlformats.org/officeDocument/2006/relationships/hyperlink" Target="http://www.broadinstitute.org/gsea/msigdb/cards/GCGSCMNTTT_UNKNOWN.html" TargetMode="External"/><Relationship Id="rId466" Type="http://schemas.openxmlformats.org/officeDocument/2006/relationships/hyperlink" Target="http://www.broadinstitute.org/gsea/msigdb/cards/E2F_02.html" TargetMode="External"/><Relationship Id="rId467" Type="http://schemas.openxmlformats.org/officeDocument/2006/relationships/hyperlink" Target="http://www.broadinstitute.org/gsea/msigdb/cards/E2F_Q3_01.html" TargetMode="External"/><Relationship Id="rId468" Type="http://schemas.openxmlformats.org/officeDocument/2006/relationships/hyperlink" Target="http://www.broadinstitute.org/gsea/msigdb/cards/E2F1_Q4.html" TargetMode="External"/><Relationship Id="rId469" Type="http://schemas.openxmlformats.org/officeDocument/2006/relationships/hyperlink" Target="http://www.broadinstitute.org/gsea/msigdb/cards/TAATGTG_MIR323.html" TargetMode="External"/><Relationship Id="rId2830" Type="http://schemas.openxmlformats.org/officeDocument/2006/relationships/hyperlink" Target="http://www.broadinstitute.org/gsea/msigdb/cards/GSE22501_PERIPHERAL_BLOOD_VS_CORD_BLOOD_TREG_DN.html" TargetMode="External"/><Relationship Id="rId2831" Type="http://schemas.openxmlformats.org/officeDocument/2006/relationships/hyperlink" Target="http://www.broadinstitute.org/gsea/msigdb/cards/GSE23321_CD8_STEM_CELL_MEMORY_VS_EFFECTOR_MEMORY_CD8_TCELL_DN.html" TargetMode="External"/><Relationship Id="rId2832" Type="http://schemas.openxmlformats.org/officeDocument/2006/relationships/hyperlink" Target="http://www.broadinstitute.org/gsea/msigdb/cards/GSE29164_CD8_TCELL_VS_CD8_TCELL_AND_IL12_TREATED_MELANOMA_DAY3_DN.html" TargetMode="External"/><Relationship Id="rId2833" Type="http://schemas.openxmlformats.org/officeDocument/2006/relationships/hyperlink" Target="http://www.broadinstitute.org/gsea/msigdb/cards/GSE27859_MACROPHAGE_VS_CD11C_INT_F480_INT_DC_UP.html" TargetMode="External"/><Relationship Id="rId2834" Type="http://schemas.openxmlformats.org/officeDocument/2006/relationships/hyperlink" Target="http://www.broadinstitute.org/gsea/msigdb/cards/GSE32128_INOS_DEPENDENT_VS_INOS_INDEPENDENT_ACTIVATED_TCELL_DN.html" TargetMode="External"/><Relationship Id="rId2835" Type="http://schemas.openxmlformats.org/officeDocument/2006/relationships/hyperlink" Target="http://www.broadinstitute.org/gsea/msigdb/cards/GSE32986_CURDLAN_LOWDOSE_VS_GMCSF_AND_CURDLAN_LOWDOSE_STIM_DC_DN.html" TargetMode="External"/><Relationship Id="rId2836" Type="http://schemas.openxmlformats.org/officeDocument/2006/relationships/hyperlink" Target="http://www.broadinstitute.org/gsea/msigdb/cards/GSE32986_GMCSF_AND_CURDLAN_LOWDOSE_VS_GMCSF_AND_CURDLAN_HIGHDOSE_STIM_DC_UP.html" TargetMode="External"/><Relationship Id="rId2837" Type="http://schemas.openxmlformats.org/officeDocument/2006/relationships/hyperlink" Target="http://www.broadinstitute.org/gsea/msigdb/cards/GSE34156_UNTREATED_VS_24H_TLR1_TLR2_LIGAND_TREATED_MONOCYTE_DN.html" TargetMode="External"/><Relationship Id="rId2838" Type="http://schemas.openxmlformats.org/officeDocument/2006/relationships/hyperlink" Target="http://www.broadinstitute.org/gsea/msigdb/cards/GSE30971_CTRL_VS_LPS_STIM_MACROPHAGE_WBP7_HET_4H_UP.html" TargetMode="External"/><Relationship Id="rId2839" Type="http://schemas.openxmlformats.org/officeDocument/2006/relationships/hyperlink" Target="http://www.broadinstitute.org/gsea/msigdb/cards/GSE30971_WBP7_HET_VS_KO_MACROPHAGE_DN.html" TargetMode="External"/><Relationship Id="rId470" Type="http://schemas.openxmlformats.org/officeDocument/2006/relationships/hyperlink" Target="http://www.broadinstitute.org/gsea/msigdb/cards/ACAGGGT_MIR10A_MIR10B.html" TargetMode="External"/><Relationship Id="rId471" Type="http://schemas.openxmlformats.org/officeDocument/2006/relationships/hyperlink" Target="http://www.broadinstitute.org/gsea/msigdb/cards/CACCAGC_MIR138.html" TargetMode="External"/><Relationship Id="rId472" Type="http://schemas.openxmlformats.org/officeDocument/2006/relationships/hyperlink" Target="http://www.broadinstitute.org/gsea/msigdb/cards/ACACTAC_MIR1423P.html" TargetMode="External"/><Relationship Id="rId473" Type="http://schemas.openxmlformats.org/officeDocument/2006/relationships/hyperlink" Target="http://www.broadinstitute.org/gsea/msigdb/cards/E2F1DP1_01.html" TargetMode="External"/><Relationship Id="rId474" Type="http://schemas.openxmlformats.org/officeDocument/2006/relationships/hyperlink" Target="http://www.broadinstitute.org/gsea/msigdb/cards/E2F1DP2_01.html" TargetMode="External"/><Relationship Id="rId475" Type="http://schemas.openxmlformats.org/officeDocument/2006/relationships/hyperlink" Target="http://www.broadinstitute.org/gsea/msigdb/cards/E2F4DP2_01.html" TargetMode="External"/><Relationship Id="rId476" Type="http://schemas.openxmlformats.org/officeDocument/2006/relationships/hyperlink" Target="http://www.broadinstitute.org/gsea/msigdb/cards/GTGCAAA_MIR507.html" TargetMode="External"/><Relationship Id="rId477" Type="http://schemas.openxmlformats.org/officeDocument/2006/relationships/hyperlink" Target="http://www.broadinstitute.org/gsea/msigdb/cards/GABP_B.html" TargetMode="External"/><Relationship Id="rId478" Type="http://schemas.openxmlformats.org/officeDocument/2006/relationships/hyperlink" Target="http://www.broadinstitute.org/gsea/msigdb/cards/ATCATGA_MIR433.html" TargetMode="External"/><Relationship Id="rId479" Type="http://schemas.openxmlformats.org/officeDocument/2006/relationships/hyperlink" Target="http://www.broadinstitute.org/gsea/msigdb/cards/ARNT_01.html" TargetMode="External"/><Relationship Id="rId2840" Type="http://schemas.openxmlformats.org/officeDocument/2006/relationships/hyperlink" Target="http://www.broadinstitute.org/gsea/msigdb/cards/GSE36888_UNTREATED_VS_IL2_TREATED_STAT5_AB_KNOCKIN_TCELL_6H_UP.html" TargetMode="External"/><Relationship Id="rId2841" Type="http://schemas.openxmlformats.org/officeDocument/2006/relationships/hyperlink" Target="http://www.broadinstitute.org/gsea/msigdb/cards/GSE34515_CD16_NEG_MONOCYTE_VS_DC_UP.html" TargetMode="External"/><Relationship Id="rId2842" Type="http://schemas.openxmlformats.org/officeDocument/2006/relationships/hyperlink" Target="http://www.broadinstitute.org/gsea/msigdb/cards/GSE34515_CD16_POS_MONOCYTE_VS_DC_DN.html" TargetMode="External"/><Relationship Id="rId2843" Type="http://schemas.openxmlformats.org/officeDocument/2006/relationships/hyperlink" Target="http://www.broadinstitute.org/gsea/msigdb/cards/GSE37301_HEMATOPOIETIC_STEM_CELL_VS_MULTIPOTENT_PROGENITOR_UP.html" TargetMode="External"/><Relationship Id="rId2844" Type="http://schemas.openxmlformats.org/officeDocument/2006/relationships/hyperlink" Target="http://www.broadinstitute.org/gsea/msigdb/cards/GSE37301_MULTIPOTENT_PROGENITOR_VS_PRO_BCELL_UP.html" TargetMode="External"/><Relationship Id="rId2845" Type="http://schemas.openxmlformats.org/officeDocument/2006/relationships/hyperlink" Target="http://www.broadinstitute.org/gsea/msigdb/cards/GSE37532_WT_VS_PPARG_KO_VISCERAL_ADIPOSE_TISSUE_TREG_UP.html" TargetMode="External"/><Relationship Id="rId2846" Type="http://schemas.openxmlformats.org/officeDocument/2006/relationships/hyperlink" Target="http://www.broadinstitute.org/gsea/msigdb/cards/GSE37534_UNTREATED_VS_GW1929_TREATED_CD4_TCELL_PPARG1_AND_FOXP3_TRASDUCED_DN.html" TargetMode="External"/><Relationship Id="rId2847" Type="http://schemas.openxmlformats.org/officeDocument/2006/relationships/hyperlink" Target="http://www.broadinstitute.org/gsea/msigdb/cards/GSE36527_CD62L_HIGH_VS_CD62L_LOW_TREG_CD69_NEG_KLRG1_NEG_UP.html" TargetMode="External"/><Relationship Id="rId2848" Type="http://schemas.openxmlformats.org/officeDocument/2006/relationships/hyperlink" Target="http://www.broadinstitute.org/gsea/msigdb/cards/GSE34006_A2AR_KO_VS_A2AR_AGONIST_TREATED_TREG_UP.html" TargetMode="External"/><Relationship Id="rId2849" Type="http://schemas.openxmlformats.org/officeDocument/2006/relationships/hyperlink" Target="http://www.broadinstitute.org/gsea/msigdb/cards/GSE32034_LY6C_HIGH_VS_LOW_MONOCYTE_DN.html" TargetMode="External"/><Relationship Id="rId3000" Type="http://schemas.openxmlformats.org/officeDocument/2006/relationships/hyperlink" Target="http://www.broadinstitute.org/gsea/msigdb/cards/GSE3982_MAC_VS_NEUTROPHIL_UP.html" TargetMode="External"/><Relationship Id="rId3001" Type="http://schemas.openxmlformats.org/officeDocument/2006/relationships/hyperlink" Target="http://www.broadinstitute.org/gsea/msigdb/cards/GSE3982_MAC_VS_CENT_MEMORY_CD4_TCELL_DN.html" TargetMode="External"/><Relationship Id="rId3002" Type="http://schemas.openxmlformats.org/officeDocument/2006/relationships/hyperlink" Target="http://www.broadinstitute.org/gsea/msigdb/cards/GSE3982_MAC_VS_TH2_UP.html" TargetMode="External"/><Relationship Id="rId3003" Type="http://schemas.openxmlformats.org/officeDocument/2006/relationships/hyperlink" Target="http://www.broadinstitute.org/gsea/msigdb/cards/GSE3982_NEUTROPHIL_VS_TH1_UP.html" TargetMode="External"/><Relationship Id="rId3004" Type="http://schemas.openxmlformats.org/officeDocument/2006/relationships/hyperlink" Target="http://www.broadinstitute.org/gsea/msigdb/cards/GSE3982_BASOPHIL_VS_CENT_MEMORY_CD4_TCELL_UP.html" TargetMode="External"/><Relationship Id="rId3005" Type="http://schemas.openxmlformats.org/officeDocument/2006/relationships/hyperlink" Target="http://www.broadinstitute.org/gsea/msigdb/cards/GSE3982_EFF_MEMORY_CD4_TCELL_VS_TH1_UP.html" TargetMode="External"/><Relationship Id="rId3006" Type="http://schemas.openxmlformats.org/officeDocument/2006/relationships/hyperlink" Target="http://www.broadinstitute.org/gsea/msigdb/cards/GSE3982_CENT_MEMORY_CD4_TCELL_VS_TH1_UP.html" TargetMode="External"/><Relationship Id="rId3007" Type="http://schemas.openxmlformats.org/officeDocument/2006/relationships/hyperlink" Target="http://www.broadinstitute.org/gsea/msigdb/cards/GSE39820_CTRL_VS_IL1B_IL6_CD4_TCELL_UP.html" TargetMode="External"/><Relationship Id="rId3008" Type="http://schemas.openxmlformats.org/officeDocument/2006/relationships/hyperlink" Target="http://www.broadinstitute.org/gsea/msigdb/cards/GSE39820_CTRL_VS_IL1B_IL6_IL23A_CD4_TCELL_UP.html" TargetMode="External"/><Relationship Id="rId3009" Type="http://schemas.openxmlformats.org/officeDocument/2006/relationships/hyperlink" Target="http://www.broadinstitute.org/gsea/msigdb/cards/GSE7460_CD8_TCELL_VS_TREG_ACT_DN.html" TargetMode="External"/><Relationship Id="rId2300" Type="http://schemas.openxmlformats.org/officeDocument/2006/relationships/hyperlink" Target="http://www.broadinstitute.org/gsea/msigdb/cards/GSE14000_UNSTIM_VS_4H_LPS_DC_UP.html" TargetMode="External"/><Relationship Id="rId2301" Type="http://schemas.openxmlformats.org/officeDocument/2006/relationships/hyperlink" Target="http://www.broadinstitute.org/gsea/msigdb/cards/GSE14000_4H_VS_16H_LPS_DC_UP.html" TargetMode="External"/><Relationship Id="rId2302" Type="http://schemas.openxmlformats.org/officeDocument/2006/relationships/hyperlink" Target="http://www.broadinstitute.org/gsea/msigdb/cards/GSE14000_4H_VS_16H_LPS_DC_DN.html" TargetMode="External"/><Relationship Id="rId2303" Type="http://schemas.openxmlformats.org/officeDocument/2006/relationships/hyperlink" Target="http://www.broadinstitute.org/gsea/msigdb/cards/GSE14308_TH2_VS_TH1_UP.html" TargetMode="External"/><Relationship Id="rId2304" Type="http://schemas.openxmlformats.org/officeDocument/2006/relationships/hyperlink" Target="http://www.broadinstitute.org/gsea/msigdb/cards/GSE14308_TH2_VS_NATURAL_TREG_DN.html" TargetMode="External"/><Relationship Id="rId2305" Type="http://schemas.openxmlformats.org/officeDocument/2006/relationships/hyperlink" Target="http://www.broadinstitute.org/gsea/msigdb/cards/GSE1460_INTRATHYMIC_T_PROGENITOR_VS_NAIVE_CD4_TCELL_CORD_BLOOD_UP.html" TargetMode="External"/><Relationship Id="rId2306" Type="http://schemas.openxmlformats.org/officeDocument/2006/relationships/hyperlink" Target="http://www.broadinstitute.org/gsea/msigdb/cards/GSE15324_NAIVE_VS_ACTIVATED_CD8_TCELL_DN.html" TargetMode="External"/><Relationship Id="rId2307" Type="http://schemas.openxmlformats.org/officeDocument/2006/relationships/hyperlink" Target="http://www.broadinstitute.org/gsea/msigdb/cards/GSE16755_CTRL_VS_IFNA_TREATED_MAC_UP.html" TargetMode="External"/><Relationship Id="rId2308" Type="http://schemas.openxmlformats.org/officeDocument/2006/relationships/hyperlink" Target="http://www.broadinstitute.org/gsea/msigdb/cards/GSE17721_LPS_VS_POLYIC_1H_BMDC_DN.html" TargetMode="External"/><Relationship Id="rId2309" Type="http://schemas.openxmlformats.org/officeDocument/2006/relationships/hyperlink" Target="http://www.broadinstitute.org/gsea/msigdb/cards/GSE17721_PAM3CSK4_VS_CPG_4H_BMDC_UP.html" TargetMode="External"/><Relationship Id="rId1600" Type="http://schemas.openxmlformats.org/officeDocument/2006/relationships/hyperlink" Target="http://www.broadinstitute.org/gsea/msigdb/cards/GO_MICROTUBULE.html" TargetMode="External"/><Relationship Id="rId1601" Type="http://schemas.openxmlformats.org/officeDocument/2006/relationships/hyperlink" Target="http://www.broadinstitute.org/gsea/msigdb/cards/GO_GAMETE_GENERATION.html" TargetMode="External"/><Relationship Id="rId1602" Type="http://schemas.openxmlformats.org/officeDocument/2006/relationships/hyperlink" Target="http://www.broadinstitute.org/gsea/msigdb/cards/GO_REGULATION_OF_RESPONSE_TO_EXTRACELLULAR_STIMULUS.html" TargetMode="External"/><Relationship Id="rId1603" Type="http://schemas.openxmlformats.org/officeDocument/2006/relationships/hyperlink" Target="http://www.broadinstitute.org/gsea/msigdb/cards/GO_POLYUBIQUITIN_BINDING.html" TargetMode="External"/><Relationship Id="rId1604" Type="http://schemas.openxmlformats.org/officeDocument/2006/relationships/hyperlink" Target="http://www.broadinstitute.org/gsea/msigdb/cards/GO_DNA_DEPENDENT_DNA_REPLICATION_MAINTENANCE_OF_FIDELITY.html" TargetMode="External"/><Relationship Id="rId1605" Type="http://schemas.openxmlformats.org/officeDocument/2006/relationships/hyperlink" Target="http://www.broadinstitute.org/gsea/msigdb/cards/GO_POSITIVE_REGULATION_OF_DNA_TEMPLATED_TRANSCRIPTION_INITIATION.html" TargetMode="External"/><Relationship Id="rId1606" Type="http://schemas.openxmlformats.org/officeDocument/2006/relationships/hyperlink" Target="http://www.broadinstitute.org/gsea/msigdb/cards/GO_PROTEIN_K63_LINKED_DEUBIQUITINATION.html" TargetMode="External"/><Relationship Id="rId1607" Type="http://schemas.openxmlformats.org/officeDocument/2006/relationships/hyperlink" Target="http://www.broadinstitute.org/gsea/msigdb/cards/GO_POSITIVE_REGULATION_OF_PEPTIDYL_SERINE_PHOSPHORYLATION.html" TargetMode="External"/><Relationship Id="rId1608" Type="http://schemas.openxmlformats.org/officeDocument/2006/relationships/hyperlink" Target="http://www.broadinstitute.org/gsea/msigdb/cards/GO_DIOXYGENASE_ACTIVITY.html" TargetMode="External"/><Relationship Id="rId1609" Type="http://schemas.openxmlformats.org/officeDocument/2006/relationships/hyperlink" Target="http://www.broadinstitute.org/gsea/msigdb/cards/GO_POSITIVE_REGULATION_OF_RESPONSE_TO_DNA_DAMAGE_STIMULUS.html" TargetMode="External"/><Relationship Id="rId480" Type="http://schemas.openxmlformats.org/officeDocument/2006/relationships/hyperlink" Target="http://www.broadinstitute.org/gsea/msigdb/cards/E2F4DP1_01.html" TargetMode="External"/><Relationship Id="rId481" Type="http://schemas.openxmlformats.org/officeDocument/2006/relationships/hyperlink" Target="http://www.broadinstitute.org/gsea/msigdb/cards/ACCAAAG_MIR9.html" TargetMode="External"/><Relationship Id="rId482" Type="http://schemas.openxmlformats.org/officeDocument/2006/relationships/hyperlink" Target="http://www.broadinstitute.org/gsea/msigdb/cards/CACTGTG_MIR128A_MIR128B.html" TargetMode="External"/><Relationship Id="rId483" Type="http://schemas.openxmlformats.org/officeDocument/2006/relationships/hyperlink" Target="http://www.broadinstitute.org/gsea/msigdb/cards/ETF_Q6.html" TargetMode="External"/><Relationship Id="rId484" Type="http://schemas.openxmlformats.org/officeDocument/2006/relationships/hyperlink" Target="http://www.broadinstitute.org/gsea/msigdb/cards/E2F_Q2.html" TargetMode="External"/><Relationship Id="rId485" Type="http://schemas.openxmlformats.org/officeDocument/2006/relationships/hyperlink" Target="http://www.broadinstitute.org/gsea/msigdb/cards/ATAGGAA_MIR202.html" TargetMode="External"/><Relationship Id="rId486" Type="http://schemas.openxmlformats.org/officeDocument/2006/relationships/hyperlink" Target="http://www.broadinstitute.org/gsea/msigdb/cards/TGTGTGA_MIR377.html" TargetMode="External"/><Relationship Id="rId487" Type="http://schemas.openxmlformats.org/officeDocument/2006/relationships/hyperlink" Target="http://www.broadinstitute.org/gsea/msigdb/cards/YY1_01.html" TargetMode="External"/><Relationship Id="rId488" Type="http://schemas.openxmlformats.org/officeDocument/2006/relationships/hyperlink" Target="http://www.broadinstitute.org/gsea/msigdb/cards/AAGCAAT_MIR137.html" TargetMode="External"/><Relationship Id="rId489" Type="http://schemas.openxmlformats.org/officeDocument/2006/relationships/hyperlink" Target="http://www.broadinstitute.org/gsea/msigdb/cards/GTGCCTT_MIR506.html" TargetMode="External"/><Relationship Id="rId2850" Type="http://schemas.openxmlformats.org/officeDocument/2006/relationships/hyperlink" Target="http://www.broadinstitute.org/gsea/msigdb/cards/GSE35685_CD34POS_CD10NEG_CD62LPOS_VS_CD34POS_CD10POS_BONE_MARROW_UP.html" TargetMode="External"/><Relationship Id="rId2851" Type="http://schemas.openxmlformats.org/officeDocument/2006/relationships/hyperlink" Target="http://www.broadinstitute.org/gsea/msigdb/cards/GSE40273_EOS_KO_VS_WT_TREG_DN.html" TargetMode="External"/><Relationship Id="rId2852" Type="http://schemas.openxmlformats.org/officeDocument/2006/relationships/hyperlink" Target="http://www.broadinstitute.org/gsea/msigdb/cards/GSE40277_EOS_AND_LEF1_TRANSDUCED_VS_CTRL_CD4_TCELL_UP.html" TargetMode="External"/><Relationship Id="rId2853" Type="http://schemas.openxmlformats.org/officeDocument/2006/relationships/hyperlink" Target="http://www.broadinstitute.org/gsea/msigdb/cards/GSE40441_NRP1_POS_INDUCED_TREG_VS_NRP1_NEG_NATURAL_TREG_DN.html" TargetMode="External"/><Relationship Id="rId2854" Type="http://schemas.openxmlformats.org/officeDocument/2006/relationships/hyperlink" Target="http://www.broadinstitute.org/gsea/msigdb/cards/GSE11961_FOLLICULAR_BCELL_VS_GERMINAL_CENTER_BCELL_DAY40_UP.html" TargetMode="External"/><Relationship Id="rId2855" Type="http://schemas.openxmlformats.org/officeDocument/2006/relationships/hyperlink" Target="http://www.broadinstitute.org/gsea/msigdb/cards/GSE11961_MEMORY_BCELL_DAY40_VS_GERMINAL_CENTER_BCELL_DAY40_DN.html" TargetMode="External"/><Relationship Id="rId2856" Type="http://schemas.openxmlformats.org/officeDocument/2006/relationships/hyperlink" Target="http://www.broadinstitute.org/gsea/msigdb/cards/GSE39556_UNTREATED_VS_3H_POLYIC_INJ_MOUSE_NK_CELL_DN.html" TargetMode="External"/><Relationship Id="rId2857" Type="http://schemas.openxmlformats.org/officeDocument/2006/relationships/hyperlink" Target="http://www.broadinstitute.org/gsea/msigdb/cards/GSE41867_NAIVE_VS_EFFECTOR_CD8_TCELL_DN.html" TargetMode="External"/><Relationship Id="rId2858" Type="http://schemas.openxmlformats.org/officeDocument/2006/relationships/hyperlink" Target="http://www.broadinstitute.org/gsea/msigdb/cards/GSE41867_NAIVE_VS_DAY8_LCMV_CLONE13_EFFECTOR_CD8_TCELL_DN.html" TargetMode="External"/><Relationship Id="rId2859" Type="http://schemas.openxmlformats.org/officeDocument/2006/relationships/hyperlink" Target="http://www.broadinstitute.org/gsea/msigdb/cards/GSE36826_NORMAL_VS_STAPH_AUREUS_INF_SKIN_UP.html" TargetMode="External"/><Relationship Id="rId3010" Type="http://schemas.openxmlformats.org/officeDocument/2006/relationships/hyperlink" Target="http://www.broadinstitute.org/gsea/msigdb/cards/GSE7460_CD8_TCELL_VS_CD4_TCELL_ACT_DN.html" TargetMode="External"/><Relationship Id="rId3011" Type="http://schemas.openxmlformats.org/officeDocument/2006/relationships/hyperlink" Target="http://www.broadinstitute.org/gsea/msigdb/cards/GSE7460_FOXP3_MUT_VS_WT_ACT_WITH_TGFB_TCONV_DN.html" TargetMode="External"/><Relationship Id="rId3012" Type="http://schemas.openxmlformats.org/officeDocument/2006/relationships/hyperlink" Target="http://www.broadinstitute.org/gsea/msigdb/cards/GSE7852_TREG_VS_TCONV_THYMUS_DN.html" TargetMode="External"/><Relationship Id="rId3013" Type="http://schemas.openxmlformats.org/officeDocument/2006/relationships/hyperlink" Target="http://www.broadinstitute.org/gsea/msigdb/cards/GSE7852_TREG_VS_TCONV_DN.html" TargetMode="External"/><Relationship Id="rId3014" Type="http://schemas.openxmlformats.org/officeDocument/2006/relationships/hyperlink" Target="http://www.broadinstitute.org/gsea/msigdb/cards/GSE8384_CTRL_VS_B_ABORTUS_4H_MAC_CELL_LINE_DN.html" TargetMode="External"/><Relationship Id="rId3015" Type="http://schemas.openxmlformats.org/officeDocument/2006/relationships/hyperlink" Target="http://www.broadinstitute.org/gsea/msigdb/cards/GSE8515_IL1_VS_IL6_4H_STIM_MAC_UP.html" TargetMode="External"/><Relationship Id="rId3016" Type="http://schemas.openxmlformats.org/officeDocument/2006/relationships/hyperlink" Target="http://www.broadinstitute.org/gsea/msigdb/cards/GSE9037_CTRL_VS_LPS_4H_STIM_IRAK4_KO_BMDM_DN.html" TargetMode="External"/><Relationship Id="rId3017" Type="http://schemas.openxmlformats.org/officeDocument/2006/relationships/hyperlink" Target="http://www.broadinstitute.org/gsea/msigdb/cards/GSE411_100MIN_VS_400MIN_IL6_STIM_SOCS3_KO_MACROPHAGE_UP.html" TargetMode="External"/><Relationship Id="rId3018" Type="http://schemas.openxmlformats.org/officeDocument/2006/relationships/hyperlink" Target="http://www.broadinstitute.org/gsea/msigdb/cards/GSE2770_UNTREATED_VS_IL12_TREATED_ACT_CD4_TCELL_48H_UP.html" TargetMode="External"/><Relationship Id="rId3019" Type="http://schemas.openxmlformats.org/officeDocument/2006/relationships/hyperlink" Target="http://www.broadinstitute.org/gsea/msigdb/cards/GSE2770_UNTREATED_VS_IL12_TREATED_ACT_CD4_TCELL_48H_DN.html" TargetMode="External"/><Relationship Id="rId2310" Type="http://schemas.openxmlformats.org/officeDocument/2006/relationships/hyperlink" Target="http://www.broadinstitute.org/gsea/msigdb/cards/GSE17721_PAM3CSK4_VS_CPG_8H_BMDC_DN.html" TargetMode="External"/><Relationship Id="rId2311" Type="http://schemas.openxmlformats.org/officeDocument/2006/relationships/hyperlink" Target="http://www.broadinstitute.org/gsea/msigdb/cards/GSE17721_PAM3CSK4_VS_CPG_16H_BMDC_UP.html" TargetMode="External"/><Relationship Id="rId2312" Type="http://schemas.openxmlformats.org/officeDocument/2006/relationships/hyperlink" Target="http://www.broadinstitute.org/gsea/msigdb/cards/GSE17721_LPS_VS_PAM3CSK4_4H_BMDC_DN.html" TargetMode="External"/><Relationship Id="rId2313" Type="http://schemas.openxmlformats.org/officeDocument/2006/relationships/hyperlink" Target="http://www.broadinstitute.org/gsea/msigdb/cards/GSE17721_POLYIC_VS_CPG_1H_BMDC_UP.html" TargetMode="External"/><Relationship Id="rId2314" Type="http://schemas.openxmlformats.org/officeDocument/2006/relationships/hyperlink" Target="http://www.broadinstitute.org/gsea/msigdb/cards/GSE17721_POLYIC_VS_CPG_2H_BMDC_UP.html" TargetMode="External"/><Relationship Id="rId2315" Type="http://schemas.openxmlformats.org/officeDocument/2006/relationships/hyperlink" Target="http://www.broadinstitute.org/gsea/msigdb/cards/GSE17721_POLYIC_VS_CPG_4H_BMDC_UP.html" TargetMode="External"/><Relationship Id="rId2316" Type="http://schemas.openxmlformats.org/officeDocument/2006/relationships/hyperlink" Target="http://www.broadinstitute.org/gsea/msigdb/cards/GSE17721_PAM3CSK4_VS_GADIQUIMOD_2H_BMDC_DN.html" TargetMode="External"/><Relationship Id="rId2317" Type="http://schemas.openxmlformats.org/officeDocument/2006/relationships/hyperlink" Target="http://www.broadinstitute.org/gsea/msigdb/cards/GSE17974_0H_VS_48H_IN_VITRO_ACT_CD4_TCELL_UP.html" TargetMode="External"/><Relationship Id="rId2318" Type="http://schemas.openxmlformats.org/officeDocument/2006/relationships/hyperlink" Target="http://www.broadinstitute.org/gsea/msigdb/cards/GSE17974_CTRL_VS_ACT_IL4_AND_ANTI_IL12_72H_CD4_TCELL_UP.html" TargetMode="External"/><Relationship Id="rId2319" Type="http://schemas.openxmlformats.org/officeDocument/2006/relationships/hyperlink" Target="http://www.broadinstitute.org/gsea/msigdb/cards/GSE18791_CTRL_VS_NEWCASTLE_VIRUS_DC_12H_UP.html" TargetMode="External"/><Relationship Id="rId1610" Type="http://schemas.openxmlformats.org/officeDocument/2006/relationships/hyperlink" Target="http://www.broadinstitute.org/gsea/msigdb/cards/GO_GROWTH.html" TargetMode="External"/><Relationship Id="rId1611" Type="http://schemas.openxmlformats.org/officeDocument/2006/relationships/hyperlink" Target="http://www.broadinstitute.org/gsea/msigdb/cards/GO_CELLULAR_RESPONSE_TO_OXYGEN_LEVELS.html" TargetMode="External"/><Relationship Id="rId1612" Type="http://schemas.openxmlformats.org/officeDocument/2006/relationships/hyperlink" Target="http://www.broadinstitute.org/gsea/msigdb/cards/GO_NEGATIVE_REGULATION_OF_INTRACELLULAR_TRANSPORT.html" TargetMode="External"/><Relationship Id="rId1613" Type="http://schemas.openxmlformats.org/officeDocument/2006/relationships/hyperlink" Target="http://www.broadinstitute.org/gsea/msigdb/cards/GO_POSITIVE_REGULATION_OF_PROTEIN_POLYMERIZATION.html" TargetMode="External"/><Relationship Id="rId1614" Type="http://schemas.openxmlformats.org/officeDocument/2006/relationships/hyperlink" Target="http://www.broadinstitute.org/gsea/msigdb/cards/GO_POSITIVE_REGULATION_OF_CYTOSKELETON_ORGANIZATION.html" TargetMode="External"/><Relationship Id="rId1615" Type="http://schemas.openxmlformats.org/officeDocument/2006/relationships/hyperlink" Target="http://www.broadinstitute.org/gsea/msigdb/cards/GO_REGULATION_OF_CELL_MATRIX_ADHESION.html" TargetMode="External"/><Relationship Id="rId1616" Type="http://schemas.openxmlformats.org/officeDocument/2006/relationships/hyperlink" Target="http://www.broadinstitute.org/gsea/msigdb/cards/GO_NUCLEAR_TRANSCRIBED_MRNA_POLY_A_TAIL_SHORTENING.html" TargetMode="External"/><Relationship Id="rId1617" Type="http://schemas.openxmlformats.org/officeDocument/2006/relationships/hyperlink" Target="http://www.broadinstitute.org/gsea/msigdb/cards/GO_REGULATION_OF_MULTICELLULAR_ORGANISM_GROWTH.html" TargetMode="External"/><Relationship Id="rId1618" Type="http://schemas.openxmlformats.org/officeDocument/2006/relationships/hyperlink" Target="http://www.broadinstitute.org/gsea/msigdb/cards/GO_OXIDOREDUCTASE_ACTIVITY_ACTING_ON_PAIRED_DONORS_WITH_INCORPORATION_OR_REDUCTION_OF_MOLECULAR_OXYGEN_2_OXOGLUTARATE_AS_ONE_DONOR_AND_INCORPORATION_OF_ONE_ATOM_EACH_OF_OXYGEN_INTO_BOTH_DONORS.html" TargetMode="External"/><Relationship Id="rId1619" Type="http://schemas.openxmlformats.org/officeDocument/2006/relationships/hyperlink" Target="http://www.broadinstitute.org/gsea/msigdb/cards/GO_CHROMATIN_ASSEMBLY_OR_DISASSEMBLY.html" TargetMode="External"/><Relationship Id="rId490" Type="http://schemas.openxmlformats.org/officeDocument/2006/relationships/hyperlink" Target="http://www.broadinstitute.org/gsea/msigdb/cards/TGACAGNY_MEIS1_01.html" TargetMode="External"/><Relationship Id="rId491" Type="http://schemas.openxmlformats.org/officeDocument/2006/relationships/hyperlink" Target="http://www.broadinstitute.org/gsea/msigdb/cards/AGGCACT_MIR5153P.html" TargetMode="External"/><Relationship Id="rId492" Type="http://schemas.openxmlformats.org/officeDocument/2006/relationships/hyperlink" Target="http://www.broadinstitute.org/gsea/msigdb/cards/CTGTTAC_MIR194.html" TargetMode="External"/><Relationship Id="rId493" Type="http://schemas.openxmlformats.org/officeDocument/2006/relationships/hyperlink" Target="http://www.broadinstitute.org/gsea/msigdb/cards/CTACCTC_LET7A_LET7B_LET7C_LET7D_LET7E_LET7F_MIR98_LET7G_LET7I.html" TargetMode="External"/><Relationship Id="rId494" Type="http://schemas.openxmlformats.org/officeDocument/2006/relationships/hyperlink" Target="http://www.broadinstitute.org/gsea/msigdb/cards/CATTTCA_MIR203.html" TargetMode="External"/><Relationship Id="rId495" Type="http://schemas.openxmlformats.org/officeDocument/2006/relationships/hyperlink" Target="http://www.broadinstitute.org/gsea/msigdb/cards/YGCGYRCGC_UNKNOWN.html" TargetMode="External"/><Relationship Id="rId496" Type="http://schemas.openxmlformats.org/officeDocument/2006/relationships/hyperlink" Target="http://www.broadinstitute.org/gsea/msigdb/cards/ATGCTGC_MIR103_MIR107.html" TargetMode="External"/><Relationship Id="rId497" Type="http://schemas.openxmlformats.org/officeDocument/2006/relationships/hyperlink" Target="http://www.broadinstitute.org/gsea/msigdb/cards/ATAAGCT_MIR21.html" TargetMode="External"/><Relationship Id="rId498" Type="http://schemas.openxmlformats.org/officeDocument/2006/relationships/hyperlink" Target="http://www.broadinstitute.org/gsea/msigdb/cards/ATACCTC_MIR202.html" TargetMode="External"/><Relationship Id="rId499" Type="http://schemas.openxmlformats.org/officeDocument/2006/relationships/hyperlink" Target="http://www.broadinstitute.org/gsea/msigdb/cards/AAGWWRNYGGC_UNKNOWN.html" TargetMode="External"/><Relationship Id="rId2860" Type="http://schemas.openxmlformats.org/officeDocument/2006/relationships/hyperlink" Target="http://www.broadinstitute.org/gsea/msigdb/cards/GSE42021_TREG_PLN_VS_CD24LO_TREG_THYMUS_UP.html" TargetMode="External"/><Relationship Id="rId2861" Type="http://schemas.openxmlformats.org/officeDocument/2006/relationships/hyperlink" Target="http://www.broadinstitute.org/gsea/msigdb/cards/GSE42021_CD24LO_TREG_VS_CD24LO_TCONV_THYMUS_UP.html" TargetMode="External"/><Relationship Id="rId2862" Type="http://schemas.openxmlformats.org/officeDocument/2006/relationships/hyperlink" Target="http://www.broadinstitute.org/gsea/msigdb/cards/GSE43955_TH0_VS_TGFB_IL6_TH17_ACT_CD4_TCELL_20H_UP.html" TargetMode="External"/><Relationship Id="rId2863" Type="http://schemas.openxmlformats.org/officeDocument/2006/relationships/hyperlink" Target="http://www.broadinstitute.org/gsea/msigdb/cards/GSE43955_TH0_VS_TGFB_IL6_TH17_ACT_CD4_TCELL_60H_UP.html" TargetMode="External"/><Relationship Id="rId2864" Type="http://schemas.openxmlformats.org/officeDocument/2006/relationships/hyperlink" Target="http://www.broadinstitute.org/gsea/msigdb/cards/GSE43955_1H_VS_20H_ACT_CD4_TCELL_UP.html" TargetMode="External"/><Relationship Id="rId2865" Type="http://schemas.openxmlformats.org/officeDocument/2006/relationships/hyperlink" Target="http://www.broadinstitute.org/gsea/msigdb/cards/GSE43955_1H_VS_42H_ACT_CD4_TCELL_UP.html" TargetMode="External"/><Relationship Id="rId2866" Type="http://schemas.openxmlformats.org/officeDocument/2006/relationships/hyperlink" Target="http://www.broadinstitute.org/gsea/msigdb/cards/GSE43955_1H_VS_42H_ACT_CD4_TCELL_WITH_TGFB_IL6_UP.html" TargetMode="External"/><Relationship Id="rId2867" Type="http://schemas.openxmlformats.org/officeDocument/2006/relationships/hyperlink" Target="http://www.broadinstitute.org/gsea/msigdb/cards/GSE43863_NAIVE_VS_TFH_CD4_EFF_TCELL_D6_LCMV_UP.html" TargetMode="External"/><Relationship Id="rId2868" Type="http://schemas.openxmlformats.org/officeDocument/2006/relationships/hyperlink" Target="http://www.broadinstitute.org/gsea/msigdb/cards/GSE43863_NAIVE_VS_MEMORY_LY6C_INT_CXCR5POS_CD4_TCELL_D150_LCMV_DN.html" TargetMode="External"/><Relationship Id="rId2869" Type="http://schemas.openxmlformats.org/officeDocument/2006/relationships/hyperlink" Target="http://www.broadinstitute.org/gsea/msigdb/cards/GSE42724_NAIVE_VS_MEMORY_BCELL_DN.html" TargetMode="External"/><Relationship Id="rId3020" Type="http://schemas.openxmlformats.org/officeDocument/2006/relationships/hyperlink" Target="http://www.broadinstitute.org/gsea/msigdb/cards/GSE2770_TGFB_AND_IL4_VS_TGFB_AND_IL12_TREATED_ACT_CD4_TCELL_48H_UP.html" TargetMode="External"/><Relationship Id="rId3021" Type="http://schemas.openxmlformats.org/officeDocument/2006/relationships/hyperlink" Target="http://www.broadinstitute.org/gsea/msigdb/cards/GSE2405_S_AUREUS_VS_UNTREATED_NEUTROPHIL_UP.html" TargetMode="External"/><Relationship Id="rId3022" Type="http://schemas.openxmlformats.org/officeDocument/2006/relationships/hyperlink" Target="http://www.broadinstitute.org/gsea/msigdb/cards/GSE2405_0H_VS_9H_A_PHAGOCYTOPHILUM_STIM_NEUTROPHIL_UP.html" TargetMode="External"/><Relationship Id="rId3023" Type="http://schemas.openxmlformats.org/officeDocument/2006/relationships/hyperlink" Target="http://www.broadinstitute.org/gsea/msigdb/cards/GSE22601_DOUBLE_NEGATIVE_VS_IMMATURE_CD4_SP_THYMOCYTE_UP.html" TargetMode="External"/><Relationship Id="rId3024" Type="http://schemas.openxmlformats.org/officeDocument/2006/relationships/hyperlink" Target="http://www.broadinstitute.org/gsea/msigdb/cards/GSE22601_DOUBLE_POSITIVE_VS_CD8_SINGLE_POSITIVE_THYMOCYTE_DN.html" TargetMode="External"/><Relationship Id="rId3025" Type="http://schemas.openxmlformats.org/officeDocument/2006/relationships/hyperlink" Target="http://www.broadinstitute.org/gsea/msigdb/cards/GSE22601_DOUBLE_POSITIVE_VS_CD4_SINGLE_POSITIVE_THYMOCYTE_DN.html" TargetMode="External"/><Relationship Id="rId3026" Type="http://schemas.openxmlformats.org/officeDocument/2006/relationships/hyperlink" Target="http://www.broadinstitute.org/gsea/msigdb/cards/GSE8835_HEALTHY_VS_CLL_CD8_TCELL_UP.html" TargetMode="External"/><Relationship Id="rId3027" Type="http://schemas.openxmlformats.org/officeDocument/2006/relationships/hyperlink" Target="http://www.broadinstitute.org/gsea/msigdb/cards/GSE2585_THYMIC_DC_VS_MTEC_DN.html" TargetMode="External"/><Relationship Id="rId3028" Type="http://schemas.openxmlformats.org/officeDocument/2006/relationships/hyperlink" Target="http://www.broadinstitute.org/gsea/msigdb/cards/GSE1925_CTRL_VS_3H_IFNG_STIM_MACROPHAGE_UP.html" TargetMode="External"/><Relationship Id="rId3029" Type="http://schemas.openxmlformats.org/officeDocument/2006/relationships/hyperlink" Target="http://www.broadinstitute.org/gsea/msigdb/cards/GSE4142_NAIVE_VS_GC_BCELL_UP.html" TargetMode="External"/><Relationship Id="rId2320" Type="http://schemas.openxmlformats.org/officeDocument/2006/relationships/hyperlink" Target="http://www.broadinstitute.org/gsea/msigdb/cards/GSE18791_UNSTIM_VS_NEWCATSLE_VIRUS_DC_18H_UP.html" TargetMode="External"/><Relationship Id="rId2321" Type="http://schemas.openxmlformats.org/officeDocument/2006/relationships/hyperlink" Target="http://www.broadinstitute.org/gsea/msigdb/cards/GSE20366_EX_VIVO_VS_HOMEOSTATIC_CONVERSION_NAIVE_CD4_TCELL_UP.html" TargetMode="External"/><Relationship Id="rId2322" Type="http://schemas.openxmlformats.org/officeDocument/2006/relationships/hyperlink" Target="http://www.broadinstitute.org/gsea/msigdb/cards/GSE22886_UNSTIM_VS_STIM_MEMORY_TCELL_DN.html" TargetMode="External"/><Relationship Id="rId2323" Type="http://schemas.openxmlformats.org/officeDocument/2006/relationships/hyperlink" Target="http://www.broadinstitute.org/gsea/msigdb/cards/GSE22886_IGG_IGA_MEMORY_BCELL_VS_BM_PLASMA_CELL_UP.html" TargetMode="External"/><Relationship Id="rId2324" Type="http://schemas.openxmlformats.org/officeDocument/2006/relationships/hyperlink" Target="http://www.broadinstitute.org/gsea/msigdb/cards/GSE22886_NAIVE_CD4_TCELL_VS_12H_ACT_TH2_UP.html" TargetMode="External"/><Relationship Id="rId2325" Type="http://schemas.openxmlformats.org/officeDocument/2006/relationships/hyperlink" Target="http://www.broadinstitute.org/gsea/msigdb/cards/GSE2706_UNSTIM_VS_2H_LPS_DC_UP.html" TargetMode="External"/><Relationship Id="rId2326" Type="http://schemas.openxmlformats.org/officeDocument/2006/relationships/hyperlink" Target="http://www.broadinstitute.org/gsea/msigdb/cards/GSE2706_UNSTIM_VS_2H_LPS_AND_R848_DC_UP.html" TargetMode="External"/><Relationship Id="rId2327" Type="http://schemas.openxmlformats.org/officeDocument/2006/relationships/hyperlink" Target="http://www.broadinstitute.org/gsea/msigdb/cards/GSE27786_LSK_VS_NKTCELL_DN.html" TargetMode="External"/><Relationship Id="rId2328" Type="http://schemas.openxmlformats.org/officeDocument/2006/relationships/hyperlink" Target="http://www.broadinstitute.org/gsea/msigdb/cards/GSE27786_LIN_NEG_VS_NKTCELL_DN.html" TargetMode="External"/><Relationship Id="rId2329" Type="http://schemas.openxmlformats.org/officeDocument/2006/relationships/hyperlink" Target="http://www.broadinstitute.org/gsea/msigdb/cards/GSE27786_BCELL_VS_CD8_TCELL_DN.html" TargetMode="External"/><Relationship Id="rId1620" Type="http://schemas.openxmlformats.org/officeDocument/2006/relationships/hyperlink" Target="http://www.broadinstitute.org/gsea/msigdb/cards/GO_REGULATION_OF_INTRACELLULAR_PROTEIN_TRANSPORT.html" TargetMode="External"/><Relationship Id="rId1621" Type="http://schemas.openxmlformats.org/officeDocument/2006/relationships/hyperlink" Target="http://www.broadinstitute.org/gsea/msigdb/cards/GO_NUCLEAR_PORE_COMPLEX_ASSEMBLY.html" TargetMode="External"/><Relationship Id="rId1622" Type="http://schemas.openxmlformats.org/officeDocument/2006/relationships/hyperlink" Target="http://www.broadinstitute.org/gsea/msigdb/cards/GO_RESPONSE_TO_OXYGEN_LEVELS.html" TargetMode="External"/><Relationship Id="rId1623" Type="http://schemas.openxmlformats.org/officeDocument/2006/relationships/hyperlink" Target="http://www.broadinstitute.org/gsea/msigdb/cards/GO_MRNA_SPLICE_SITE_SELECTION.html" TargetMode="External"/><Relationship Id="rId1624" Type="http://schemas.openxmlformats.org/officeDocument/2006/relationships/hyperlink" Target="http://www.broadinstitute.org/gsea/msigdb/cards/GO_DYNEIN_BINDING.html" TargetMode="External"/><Relationship Id="rId1625" Type="http://schemas.openxmlformats.org/officeDocument/2006/relationships/hyperlink" Target="http://www.broadinstitute.org/gsea/msigdb/cards/GO_REGULATION_OF_ACTIN_FILAMENT_BASED_PROCESS.html" TargetMode="External"/><Relationship Id="rId1626" Type="http://schemas.openxmlformats.org/officeDocument/2006/relationships/hyperlink" Target="http://www.broadinstitute.org/gsea/msigdb/cards/GO_NEURAL_TUBE_DEVELOPMENT.html" TargetMode="External"/><Relationship Id="rId1627" Type="http://schemas.openxmlformats.org/officeDocument/2006/relationships/hyperlink" Target="http://www.broadinstitute.org/gsea/msigdb/cards/GO_ENHANCER_BINDING.html" TargetMode="External"/><Relationship Id="rId1628" Type="http://schemas.openxmlformats.org/officeDocument/2006/relationships/hyperlink" Target="http://www.broadinstitute.org/gsea/msigdb/cards/GO_REGULATION_OF_CELL_JUNCTION_ASSEMBLY.html" TargetMode="External"/><Relationship Id="rId1629" Type="http://schemas.openxmlformats.org/officeDocument/2006/relationships/hyperlink" Target="http://www.broadinstitute.org/gsea/msigdb/cards/GO_NEGATIVE_REGULATION_OF_PROTEIN_MODIFICATION_PROCESS.html" TargetMode="External"/><Relationship Id="rId2870" Type="http://schemas.openxmlformats.org/officeDocument/2006/relationships/hyperlink" Target="http://www.broadinstitute.org/gsea/msigdb/cards/GSE46606_UNSTIM_VS_CD40L_IL2_IL5_3DAY_STIMULATED_IRF4MID_SORTED_BCELL_UP.html" TargetMode="External"/><Relationship Id="rId2871" Type="http://schemas.openxmlformats.org/officeDocument/2006/relationships/hyperlink" Target="http://www.broadinstitute.org/gsea/msigdb/cards/GSE46606_IRF4HIGH_VS_IRF4MID_CD40L_IL2_IL5_DAY3_STIMULATED_BCELL_DN.html" TargetMode="External"/><Relationship Id="rId2872" Type="http://schemas.openxmlformats.org/officeDocument/2006/relationships/hyperlink" Target="http://www.broadinstitute.org/gsea/msigdb/cards/GSE46606_IRF4HIGH_VS_WT_CD40L_IL2_IL5_DAY3_STIMULATED_BCELL_UP.html" TargetMode="External"/><Relationship Id="rId2873" Type="http://schemas.openxmlformats.org/officeDocument/2006/relationships/hyperlink" Target="http://www.broadinstitute.org/gsea/msigdb/cards/GSE46606_IRF4MID_VS_WT_CD40L_IL2_IL5_DAY3_STIMULATED_BCELL_UP.html" TargetMode="External"/><Relationship Id="rId2874" Type="http://schemas.openxmlformats.org/officeDocument/2006/relationships/hyperlink" Target="http://www.broadinstitute.org/gsea/msigdb/cards/GSE41176_UNSTIM_VS_ANTI_IGM_STIM_BCELL_3H_DN.html" TargetMode="External"/><Relationship Id="rId2875" Type="http://schemas.openxmlformats.org/officeDocument/2006/relationships/hyperlink" Target="http://www.broadinstitute.org/gsea/msigdb/cards/GSE41176_UNSTIM_VS_ANTI_IGM_STIM_BCELL_6H_UP.html" TargetMode="External"/><Relationship Id="rId2876" Type="http://schemas.openxmlformats.org/officeDocument/2006/relationships/hyperlink" Target="http://www.broadinstitute.org/gsea/msigdb/cards/GSE41176_UNSTIM_VS_ANTI_IGM_STIM_TAK1_KO_BCELL_1H_UP.html" TargetMode="External"/><Relationship Id="rId2877" Type="http://schemas.openxmlformats.org/officeDocument/2006/relationships/hyperlink" Target="http://www.broadinstitute.org/gsea/msigdb/cards/GSE41176_WT_VS_TAK1_KO_ANTI_IGM_STIM_BCELL_1H_UP.html" TargetMode="External"/><Relationship Id="rId2878" Type="http://schemas.openxmlformats.org/officeDocument/2006/relationships/hyperlink" Target="http://www.broadinstitute.org/gsea/msigdb/cards/GSE45365_CD8A_DC_VS_CD11B_DC_IFNAR_KO_MCMV_INFECTION_UP.html" TargetMode="External"/><Relationship Id="rId2879" Type="http://schemas.openxmlformats.org/officeDocument/2006/relationships/hyperlink" Target="http://www.broadinstitute.org/gsea/msigdb/cards/GSE45365_CTRL_VS_MCMV_INFECTION_NK_CELL_DN.html" TargetMode="External"/><Relationship Id="rId3030" Type="http://schemas.openxmlformats.org/officeDocument/2006/relationships/hyperlink" Target="http://www.broadinstitute.org/gsea/msigdb/cards/GSE4142_NAIVE_BCELL_VS_PLASMA_CELL_UP.html" TargetMode="External"/><Relationship Id="rId3031" Type="http://schemas.openxmlformats.org/officeDocument/2006/relationships/hyperlink" Target="http://www.broadinstitute.org/gsea/msigdb/cards/GSE8921_UNSTIM_0H_VS_TLR1_2_STIM_MONOCYTE_6H_DN.html" TargetMode="External"/><Relationship Id="rId3032" Type="http://schemas.openxmlformats.org/officeDocument/2006/relationships/hyperlink" Target="http://www.broadinstitute.org/gsea/msigdb/cards/GSE3039_NKT_CELL_VS_ALPHABETA_CD8_TCELL_DN.html" TargetMode="External"/><Relationship Id="rId3033" Type="http://schemas.openxmlformats.org/officeDocument/2006/relationships/hyperlink" Target="http://www.broadinstitute.org/gsea/msigdb/cards/GSE4748_CTRL_VS_CYANOBACTERIUM_LPSLIKE_STIM_DC_1H_DN.html" TargetMode="External"/><Relationship Id="rId3034" Type="http://schemas.openxmlformats.org/officeDocument/2006/relationships/hyperlink" Target="http://www.broadinstitute.org/gsea/msigdb/cards/GSE5542_UNTREATED_VS_IFNA_AND_IFNG_TREATED_EPITHELIAL_CELLS_24H_DN.html" TargetMode="External"/><Relationship Id="rId3035" Type="http://schemas.openxmlformats.org/officeDocument/2006/relationships/hyperlink" Target="http://www.broadinstitute.org/gsea/msigdb/cards/GSE5542_IFNG_VS_IFNA_AND_IFNG_TREATED_EPITHELIAL_CELLS_6H_UP.html" TargetMode="External"/><Relationship Id="rId3036" Type="http://schemas.openxmlformats.org/officeDocument/2006/relationships/hyperlink" Target="http://www.broadinstitute.org/gsea/msigdb/cards/GSE5142_CTRL_VS_HTERT_TRANSDUCED_CD8_TCELL_EARLY_PASSAGE_CLONE_DN.html" TargetMode="External"/><Relationship Id="rId3037" Type="http://schemas.openxmlformats.org/officeDocument/2006/relationships/hyperlink" Target="http://www.broadinstitute.org/gsea/msigdb/cards/GSE5679_CTRL_VS_PPARG_LIGAND_ROSIGLITAZONE_TREATED_DC_DN.html" TargetMode="External"/><Relationship Id="rId3038" Type="http://schemas.openxmlformats.org/officeDocument/2006/relationships/hyperlink" Target="http://www.broadinstitute.org/gsea/msigdb/cards/GSE5679_PPARG_LIGAND_ROSIGLITAZONE_VS_ROSIGLITAZONE_AND_RARA_AGONIST_AM580_TREATED_DC_DN.html" TargetMode="External"/><Relationship Id="rId3039" Type="http://schemas.openxmlformats.org/officeDocument/2006/relationships/hyperlink" Target="http://www.broadinstitute.org/gsea/msigdb/cards/GSE4535_BM_DERIVED_DC_VS_FOLLICULAR_DC_DN.html" TargetMode="External"/><Relationship Id="rId2330" Type="http://schemas.openxmlformats.org/officeDocument/2006/relationships/hyperlink" Target="http://www.broadinstitute.org/gsea/msigdb/cards/GSE27786_BCELL_VS_NKCELL_UP.html" TargetMode="External"/><Relationship Id="rId2331" Type="http://schemas.openxmlformats.org/officeDocument/2006/relationships/hyperlink" Target="http://www.broadinstitute.org/gsea/msigdb/cards/GSE27786_NKTCELL_VS_NEUTROPHIL_UP.html" TargetMode="External"/><Relationship Id="rId2332" Type="http://schemas.openxmlformats.org/officeDocument/2006/relationships/hyperlink" Target="http://www.broadinstitute.org/gsea/msigdb/cards/GSE28237_FOLLICULAR_VS_LATE_GC_BCELL_UP.html" TargetMode="External"/><Relationship Id="rId2333" Type="http://schemas.openxmlformats.org/officeDocument/2006/relationships/hyperlink" Target="http://www.broadinstitute.org/gsea/msigdb/cards/GSE29618_BCELL_VS_MONOCYTE_DAY7_FLU_VACCINE_UP.html" TargetMode="External"/><Relationship Id="rId2334" Type="http://schemas.openxmlformats.org/officeDocument/2006/relationships/hyperlink" Target="http://www.broadinstitute.org/gsea/msigdb/cards/GSE29618_BCELL_VS_MDC_DAY7_FLU_VACCINE_UP.html" TargetMode="External"/><Relationship Id="rId2335" Type="http://schemas.openxmlformats.org/officeDocument/2006/relationships/hyperlink" Target="http://www.broadinstitute.org/gsea/msigdb/cards/GSE29618_MONOCYTE_VS_PDC_DAY7_FLU_VACCINE_DN.html" TargetMode="External"/><Relationship Id="rId2336" Type="http://schemas.openxmlformats.org/officeDocument/2006/relationships/hyperlink" Target="http://www.broadinstitute.org/gsea/msigdb/cards/GSE29618_PRE_VS_DAY7_POST_LAIV_FLU_VACCINE_PDC_DN.html" TargetMode="External"/><Relationship Id="rId2337" Type="http://schemas.openxmlformats.org/officeDocument/2006/relationships/hyperlink" Target="http://www.broadinstitute.org/gsea/msigdb/cards/GSE29618_LAIV_VS_TIV_FLU_VACCINE_DAY7_PDC_UP.html" TargetMode="External"/><Relationship Id="rId2338" Type="http://schemas.openxmlformats.org/officeDocument/2006/relationships/hyperlink" Target="http://www.broadinstitute.org/gsea/msigdb/cards/GSE31082_DN_VS_CD4_SP_THYMOCYTE_UP.html" TargetMode="External"/><Relationship Id="rId2339" Type="http://schemas.openxmlformats.org/officeDocument/2006/relationships/hyperlink" Target="http://www.broadinstitute.org/gsea/msigdb/cards/GSE34205_HEALTHY_VS_FLU_INF_INFANT_PBMC_UP.html" TargetMode="External"/><Relationship Id="rId1630" Type="http://schemas.openxmlformats.org/officeDocument/2006/relationships/hyperlink" Target="http://www.broadinstitute.org/gsea/msigdb/cards/GO_PEPTIDYL_THREONINE_MODIFICATION.html" TargetMode="External"/><Relationship Id="rId1631" Type="http://schemas.openxmlformats.org/officeDocument/2006/relationships/hyperlink" Target="http://www.broadinstitute.org/gsea/msigdb/cards/GO_DNA_BIOSYNTHETIC_PROCESS.html" TargetMode="External"/><Relationship Id="rId1632" Type="http://schemas.openxmlformats.org/officeDocument/2006/relationships/hyperlink" Target="http://www.broadinstitute.org/gsea/msigdb/cards/GO_EXONUCLEASE_ACTIVITY_ACTIVE_WITH_EITHER_RIBO_OR_DEOXYRIBONUCLEIC_ACIDS_AND_PRODUCING_5_PHOSPHOMONOESTERS.html" TargetMode="External"/><Relationship Id="rId1633" Type="http://schemas.openxmlformats.org/officeDocument/2006/relationships/hyperlink" Target="http://www.broadinstitute.org/gsea/msigdb/cards/GO_POSITIVE_REGULATION_OF_HYDROLASE_ACTIVITY.html" TargetMode="External"/><Relationship Id="rId1634" Type="http://schemas.openxmlformats.org/officeDocument/2006/relationships/hyperlink" Target="http://www.broadinstitute.org/gsea/msigdb/cards/GO_REGULATION_OF_DNA_BIOSYNTHETIC_PROCESS.html" TargetMode="External"/><Relationship Id="rId1635" Type="http://schemas.openxmlformats.org/officeDocument/2006/relationships/hyperlink" Target="http://www.broadinstitute.org/gsea/msigdb/cards/GO_REGULATION_OF_KERATINOCYTE_DIFFERENTIATION.html" TargetMode="External"/><Relationship Id="rId1636" Type="http://schemas.openxmlformats.org/officeDocument/2006/relationships/hyperlink" Target="http://www.broadinstitute.org/gsea/msigdb/cards/GO_SEX_CHROMOSOME.html" TargetMode="External"/><Relationship Id="rId1637" Type="http://schemas.openxmlformats.org/officeDocument/2006/relationships/hyperlink" Target="http://www.broadinstitute.org/gsea/msigdb/cards/GO_REGULATION_OF_NUCLEOBASE_CONTAINING_COMPOUND_TRANSPORT.html" TargetMode="External"/><Relationship Id="rId1638" Type="http://schemas.openxmlformats.org/officeDocument/2006/relationships/hyperlink" Target="http://www.broadinstitute.org/gsea/msigdb/cards/GO_NUCLEAR_INCLUSION_BODY.html" TargetMode="External"/><Relationship Id="rId1639" Type="http://schemas.openxmlformats.org/officeDocument/2006/relationships/hyperlink" Target="http://www.broadinstitute.org/gsea/msigdb/cards/GO_CYTOSOLIC_TRANSPORT.html" TargetMode="External"/><Relationship Id="rId2880" Type="http://schemas.openxmlformats.org/officeDocument/2006/relationships/hyperlink" Target="http://www.broadinstitute.org/gsea/msigdb/cards/GSE6259_DEC205_POS_DC_VS_BCELL_DN.html" TargetMode="External"/><Relationship Id="rId2881" Type="http://schemas.openxmlformats.org/officeDocument/2006/relationships/hyperlink" Target="http://www.broadinstitute.org/gsea/msigdb/cards/GSE37301_MULTIPOTENT_PROGENITOR_VS_CD4_TCELL_UP.html" TargetMode="External"/><Relationship Id="rId2882" Type="http://schemas.openxmlformats.org/officeDocument/2006/relationships/hyperlink" Target="http://www.broadinstitute.org/gsea/msigdb/cards/GSE14415_FOXP3_KO_NATURAL_TREG_VS_TCONV_DN.html" TargetMode="External"/><Relationship Id="rId2883" Type="http://schemas.openxmlformats.org/officeDocument/2006/relationships/hyperlink" Target="http://www.broadinstitute.org/gsea/msigdb/cards/GSE27241_WT_CTRL_VS_DIGOXIN_TREATED_RORGT_KO_CD4_TCELL_IN_TH17_POLARIZING_CONDITIONS_UP.html" TargetMode="External"/><Relationship Id="rId2884" Type="http://schemas.openxmlformats.org/officeDocument/2006/relationships/hyperlink" Target="http://www.broadinstitute.org/gsea/msigdb/cards/GSE7509_FCGRIIB_VS_TNFA_IL1B_IL6_PGE_STIM_DC_DN.html" TargetMode="External"/><Relationship Id="rId2885" Type="http://schemas.openxmlformats.org/officeDocument/2006/relationships/hyperlink" Target="http://www.broadinstitute.org/gsea/msigdb/cards/GSE40274_CTRL_VS_EOS_TRANSDUCED_ACTIVATED_CD4_TCELL_DN.html" TargetMode="External"/><Relationship Id="rId2886" Type="http://schemas.openxmlformats.org/officeDocument/2006/relationships/hyperlink" Target="http://www.broadinstitute.org/gsea/msigdb/cards/GSE4590_LARGE_PRE_BCELL_VS_VPREB_POS_LARGE_PRE_BCELL_DN.html" TargetMode="External"/><Relationship Id="rId2887" Type="http://schemas.openxmlformats.org/officeDocument/2006/relationships/hyperlink" Target="http://www.broadinstitute.org/gsea/msigdb/cards/GSE12484_HEALTHY_VS_PERIDONTITIS_NEUTROPHILS_DN.html" TargetMode="External"/><Relationship Id="rId2888" Type="http://schemas.openxmlformats.org/officeDocument/2006/relationships/hyperlink" Target="http://www.broadinstitute.org/gsea/msigdb/cards/GSE14415_INDUCED_VS_NATURAL_TREG_UP.html" TargetMode="External"/><Relationship Id="rId2889" Type="http://schemas.openxmlformats.org/officeDocument/2006/relationships/hyperlink" Target="http://www.broadinstitute.org/gsea/msigdb/cards/GSE32034_UNTREATED_VS_ROSIGLIZATONE_TREATED_LY6C_LOW_MONOCYTE_UP.html" TargetMode="External"/><Relationship Id="rId3040" Type="http://schemas.openxmlformats.org/officeDocument/2006/relationships/hyperlink" Target="http://www.broadinstitute.org/gsea/msigdb/cards/GSE5455_EX_VIVO_VS_POST_24H_INCUBATION_MONOCYTES_FROM_TUMOR_BEARING_MOUSE_DN.html" TargetMode="External"/><Relationship Id="rId3041" Type="http://schemas.openxmlformats.org/officeDocument/2006/relationships/hyperlink" Target="http://www.broadinstitute.org/gsea/msigdb/cards/GSE5099_DAY3_VS_DAY7_MCSF_TREATED_MACROPHAGE_DN.html" TargetMode="External"/><Relationship Id="rId3042" Type="http://schemas.openxmlformats.org/officeDocument/2006/relationships/hyperlink" Target="http://www.broadinstitute.org/gsea/msigdb/cards/GSE5589_UNSTIM_VS_180MIN_LPS_STIM_MACROPHAGE_DN.html" TargetMode="External"/><Relationship Id="rId3043" Type="http://schemas.openxmlformats.org/officeDocument/2006/relationships/hyperlink" Target="http://www.broadinstitute.org/gsea/msigdb/cards/GSE5589_UNSTIM_VS_180MIN_LPS_AND_IL10_STIM_MACROPHAGE_UP.html" TargetMode="External"/><Relationship Id="rId3044" Type="http://schemas.openxmlformats.org/officeDocument/2006/relationships/hyperlink" Target="http://www.broadinstitute.org/gsea/msigdb/cards/GSE5589_UNSTIM_VS_180MIN_LPS_AND_IL10_STIM_MACROPHAGE_DN.html" TargetMode="External"/><Relationship Id="rId3045" Type="http://schemas.openxmlformats.org/officeDocument/2006/relationships/hyperlink" Target="http://www.broadinstitute.org/gsea/msigdb/cards/GSE5589_UNSTIM_VS_45MIN_LPS_AND_IL6_STIM_MACROPHAGE_UP.html" TargetMode="External"/><Relationship Id="rId3046" Type="http://schemas.openxmlformats.org/officeDocument/2006/relationships/hyperlink" Target="http://www.broadinstitute.org/gsea/msigdb/cards/GSE5589_WT_VS_IL10_KO_LPS_STIM_MACROPHAGE_45MIN_DN.html" TargetMode="External"/><Relationship Id="rId3047" Type="http://schemas.openxmlformats.org/officeDocument/2006/relationships/hyperlink" Target="http://www.broadinstitute.org/gsea/msigdb/cards/GSE5589_WT_VS_IL10_KO_LPS_AND_IL6_STIM_MACROPHAGE_45MIN_DN.html" TargetMode="External"/><Relationship Id="rId3048" Type="http://schemas.openxmlformats.org/officeDocument/2006/relationships/hyperlink" Target="http://www.broadinstitute.org/gsea/msigdb/cards/GSE6092_UNSTIM_VS_IFNG_STIM_ENDOTHELIAL_CELL_DN.html" TargetMode="External"/><Relationship Id="rId3049" Type="http://schemas.openxmlformats.org/officeDocument/2006/relationships/hyperlink" Target="http://www.broadinstitute.org/gsea/msigdb/cards/GSE6259_DEC205_POS_DC_VS_CD4_TCELL_DN.html" TargetMode="External"/><Relationship Id="rId2340" Type="http://schemas.openxmlformats.org/officeDocument/2006/relationships/hyperlink" Target="http://www.broadinstitute.org/gsea/msigdb/cards/GSE360_DC_VS_MAC_UP.html" TargetMode="External"/><Relationship Id="rId2341" Type="http://schemas.openxmlformats.org/officeDocument/2006/relationships/hyperlink" Target="http://www.broadinstitute.org/gsea/msigdb/cards/GSE360_L_DONOVANI_VS_B_MALAYI_HIGH_DOSE_MAC_UP.html" TargetMode="External"/><Relationship Id="rId2342" Type="http://schemas.openxmlformats.org/officeDocument/2006/relationships/hyperlink" Target="http://www.broadinstitute.org/gsea/msigdb/cards/GSE360_L_MAJOR_VS_B_MALAYI_HIGH_DOSE_MAC_DN.html" TargetMode="External"/><Relationship Id="rId2343" Type="http://schemas.openxmlformats.org/officeDocument/2006/relationships/hyperlink" Target="http://www.broadinstitute.org/gsea/msigdb/cards/GSE360_L_MAJOR_VS_B_MALAYI_LOW_DOSE_MAC_DN.html" TargetMode="External"/><Relationship Id="rId2344" Type="http://schemas.openxmlformats.org/officeDocument/2006/relationships/hyperlink" Target="http://www.broadinstitute.org/gsea/msigdb/cards/GSE360_T_GONDII_VS_B_MALAYI_LOW_DOSE_MAC_UP.html" TargetMode="External"/><Relationship Id="rId2345" Type="http://schemas.openxmlformats.org/officeDocument/2006/relationships/hyperlink" Target="http://www.broadinstitute.org/gsea/msigdb/cards/GSE36476_YOUNG_VS_OLD_DONOR_MEMORY_CD4_TCELL_72H_TSST_ACT_DN.html" TargetMode="External"/><Relationship Id="rId2346" Type="http://schemas.openxmlformats.org/officeDocument/2006/relationships/hyperlink" Target="http://www.broadinstitute.org/gsea/msigdb/cards/GSE37416_CTRL_VS_48H_F_TULARENSIS_LVS_NEUTROPHIL_DN.html" TargetMode="External"/><Relationship Id="rId2347" Type="http://schemas.openxmlformats.org/officeDocument/2006/relationships/hyperlink" Target="http://www.broadinstitute.org/gsea/msigdb/cards/GSE37416_0H_VS_3H_F_TULARENSIS_LVS_NEUTROPHIL_DN.html" TargetMode="External"/><Relationship Id="rId2348" Type="http://schemas.openxmlformats.org/officeDocument/2006/relationships/hyperlink" Target="http://www.broadinstitute.org/gsea/msigdb/cards/GSE37416_0H_VS_6H_F_TULARENSIS_LVS_NEUTROPHIL_DN.html" TargetMode="External"/><Relationship Id="rId2349" Type="http://schemas.openxmlformats.org/officeDocument/2006/relationships/hyperlink" Target="http://www.broadinstitute.org/gsea/msigdb/cards/GSE3982_CTRL_VS_IGE_STIM_MAST_CELL_DN.html" TargetMode="External"/><Relationship Id="rId700" Type="http://schemas.openxmlformats.org/officeDocument/2006/relationships/hyperlink" Target="http://www.broadinstitute.org/gsea/msigdb/cards/OSF2_Q6.html" TargetMode="External"/><Relationship Id="rId701" Type="http://schemas.openxmlformats.org/officeDocument/2006/relationships/hyperlink" Target="http://www.broadinstitute.org/gsea/msigdb/cards/ATAACCT_MIR154.html" TargetMode="External"/><Relationship Id="rId702" Type="http://schemas.openxmlformats.org/officeDocument/2006/relationships/hyperlink" Target="http://www.broadinstitute.org/gsea/msigdb/cards/TGACGTCA_ATF3_Q6.html" TargetMode="External"/><Relationship Id="rId703" Type="http://schemas.openxmlformats.org/officeDocument/2006/relationships/hyperlink" Target="http://www.broadinstitute.org/gsea/msigdb/cards/CEBP_C.html" TargetMode="External"/><Relationship Id="rId704" Type="http://schemas.openxmlformats.org/officeDocument/2006/relationships/hyperlink" Target="http://www.broadinstitute.org/gsea/msigdb/cards/MYOD_01.html" TargetMode="External"/><Relationship Id="rId705" Type="http://schemas.openxmlformats.org/officeDocument/2006/relationships/hyperlink" Target="http://www.broadinstitute.org/gsea/msigdb/cards/NFKB_Q6_01.html" TargetMode="External"/><Relationship Id="rId706" Type="http://schemas.openxmlformats.org/officeDocument/2006/relationships/hyperlink" Target="http://www.broadinstitute.org/gsea/msigdb/cards/RTAAACA_FREAC2_01.html" TargetMode="External"/><Relationship Id="rId707" Type="http://schemas.openxmlformats.org/officeDocument/2006/relationships/hyperlink" Target="http://www.broadinstitute.org/gsea/msigdb/cards/OCT1_06.html" TargetMode="External"/><Relationship Id="rId708" Type="http://schemas.openxmlformats.org/officeDocument/2006/relationships/hyperlink" Target="http://www.broadinstitute.org/gsea/msigdb/cards/AML_Q6.html" TargetMode="External"/><Relationship Id="rId709" Type="http://schemas.openxmlformats.org/officeDocument/2006/relationships/hyperlink" Target="http://www.broadinstitute.org/gsea/msigdb/cards/RRCCGTTA_UNKNOWN.html" TargetMode="External"/><Relationship Id="rId1640" Type="http://schemas.openxmlformats.org/officeDocument/2006/relationships/hyperlink" Target="http://www.broadinstitute.org/gsea/msigdb/cards/GO_POSITIVE_REGULATION_OF_TYPE_I_INTERFERON_PRODUCTION.html" TargetMode="External"/><Relationship Id="rId1641" Type="http://schemas.openxmlformats.org/officeDocument/2006/relationships/hyperlink" Target="http://www.broadinstitute.org/gsea/msigdb/cards/GO_INCLUSION_BODY.html" TargetMode="External"/><Relationship Id="rId1642" Type="http://schemas.openxmlformats.org/officeDocument/2006/relationships/hyperlink" Target="http://www.broadinstitute.org/gsea/msigdb/cards/GO_REGULATION_OF_BINDING.html" TargetMode="External"/><Relationship Id="rId1643" Type="http://schemas.openxmlformats.org/officeDocument/2006/relationships/hyperlink" Target="http://www.broadinstitute.org/gsea/msigdb/cards/GO_NEGATIVE_REGULATION_OF_CHROMOSOME_SEGREGATION.html" TargetMode="External"/><Relationship Id="rId1644" Type="http://schemas.openxmlformats.org/officeDocument/2006/relationships/hyperlink" Target="http://www.broadinstitute.org/gsea/msigdb/cards/GO_REGULATION_OF_INTRACELLULAR_ESTROGEN_RECEPTOR_SIGNALING_PATHWAY.html" TargetMode="External"/><Relationship Id="rId1645" Type="http://schemas.openxmlformats.org/officeDocument/2006/relationships/hyperlink" Target="http://www.broadinstitute.org/gsea/msigdb/cards/GO_DNA_DIRECTED_RNA_POLYMERASE_II_HOLOENZYME.html" TargetMode="External"/><Relationship Id="rId1646" Type="http://schemas.openxmlformats.org/officeDocument/2006/relationships/hyperlink" Target="http://www.broadinstitute.org/gsea/msigdb/cards/GO_VASCULATURE_DEVELOPMENT.html" TargetMode="External"/><Relationship Id="rId1647" Type="http://schemas.openxmlformats.org/officeDocument/2006/relationships/hyperlink" Target="http://www.broadinstitute.org/gsea/msigdb/cards/GO_STEROID_HORMONE_MEDIATED_SIGNALING_PATHWAY.html" TargetMode="External"/><Relationship Id="rId1648" Type="http://schemas.openxmlformats.org/officeDocument/2006/relationships/hyperlink" Target="http://www.broadinstitute.org/gsea/msigdb/cards/GO_CELLULAR_RESPONSE_TO_STEROID_HORMONE_STIMULUS.html" TargetMode="External"/><Relationship Id="rId1649" Type="http://schemas.openxmlformats.org/officeDocument/2006/relationships/hyperlink" Target="http://www.broadinstitute.org/gsea/msigdb/cards/GO_MEIOTIC_CELL_CYCLE.html" TargetMode="External"/><Relationship Id="rId2890" Type="http://schemas.openxmlformats.org/officeDocument/2006/relationships/hyperlink" Target="http://www.broadinstitute.org/gsea/msigdb/cards/GSE37605_NOD_VS_C57BL6_IRES_GFP_TREG_UP.html" TargetMode="External"/><Relationship Id="rId2891" Type="http://schemas.openxmlformats.org/officeDocument/2006/relationships/hyperlink" Target="http://www.broadinstitute.org/gsea/msigdb/cards/GSE7218_UNSTIM_VS_ANTIGEN_STIM_THROUGH_IGG_BCELL_UP.html" TargetMode="External"/><Relationship Id="rId2892" Type="http://schemas.openxmlformats.org/officeDocument/2006/relationships/hyperlink" Target="http://www.broadinstitute.org/gsea/msigdb/cards/GSE4590_PRE_BCELL_VS_LARGE_PRE_BCELL_DN.html" TargetMode="External"/><Relationship Id="rId2893" Type="http://schemas.openxmlformats.org/officeDocument/2006/relationships/hyperlink" Target="http://www.broadinstitute.org/gsea/msigdb/cards/GSE6674_UNSTIM_VS_ANTI_IGM_STIM_BCELL_UP.html" TargetMode="External"/><Relationship Id="rId2894" Type="http://schemas.openxmlformats.org/officeDocument/2006/relationships/hyperlink" Target="http://www.broadinstitute.org/gsea/msigdb/cards/KAECH_NAIVE_VS_DAY15_EFF_CD8_TCELL_UP.html" TargetMode="External"/><Relationship Id="rId2895" Type="http://schemas.openxmlformats.org/officeDocument/2006/relationships/hyperlink" Target="http://www.broadinstitute.org/gsea/msigdb/cards/GOLDRATH_EFF_VS_MEMORY_CD8_TCELL_DN.html" TargetMode="External"/><Relationship Id="rId2896" Type="http://schemas.openxmlformats.org/officeDocument/2006/relationships/hyperlink" Target="http://www.broadinstitute.org/gsea/msigdb/cards/GSE10325_LUPUS_BCELL_VS_LUPUS_MYELOID_UP.html" TargetMode="External"/><Relationship Id="rId2897" Type="http://schemas.openxmlformats.org/officeDocument/2006/relationships/hyperlink" Target="http://www.broadinstitute.org/gsea/msigdb/cards/GSE11057_NAIVE_VS_EFF_MEMORY_CD4_TCELL_UP.html" TargetMode="External"/><Relationship Id="rId2898" Type="http://schemas.openxmlformats.org/officeDocument/2006/relationships/hyperlink" Target="http://www.broadinstitute.org/gsea/msigdb/cards/GSE11057_NAIVE_CD4_VS_PBMC_CD4_TCELL_UP.html" TargetMode="External"/><Relationship Id="rId2899" Type="http://schemas.openxmlformats.org/officeDocument/2006/relationships/hyperlink" Target="http://www.broadinstitute.org/gsea/msigdb/cards/GSE12845_IGD_POS_BLOOD_VS_DARKZONE_GC_TONSIL_BCELL_UP.html" TargetMode="External"/><Relationship Id="rId3050" Type="http://schemas.openxmlformats.org/officeDocument/2006/relationships/hyperlink" Target="http://www.broadinstitute.org/gsea/msigdb/cards/GSE6875_TCONV_VS_TREG_UP.html" TargetMode="External"/><Relationship Id="rId3051" Type="http://schemas.openxmlformats.org/officeDocument/2006/relationships/hyperlink" Target="http://www.broadinstitute.org/gsea/msigdb/cards/GSE6090_UNSTIM_VS_DC_SIGN_STIM_DC_UP.html" TargetMode="External"/><Relationship Id="rId3052" Type="http://schemas.openxmlformats.org/officeDocument/2006/relationships/hyperlink" Target="http://www.broadinstitute.org/gsea/msigdb/cards/GSE7509_DC_VS_MONOCYTE_WITH_FCGRIIB_STIM_UP.html" TargetMode="External"/><Relationship Id="rId3053" Type="http://schemas.openxmlformats.org/officeDocument/2006/relationships/hyperlink" Target="http://www.broadinstitute.org/gsea/msigdb/cards/GSE7548_NAIVE_VS_DAY7_PCC_IMMUNIZATION_CD4_TCELL_DN.html" TargetMode="External"/><Relationship Id="rId3054" Type="http://schemas.openxmlformats.org/officeDocument/2006/relationships/hyperlink" Target="http://www.broadinstitute.org/gsea/msigdb/cards/GSE9509_LPS_VS_LPS_AND_IL10_STIM_IL10_KO_MACROPHAGE_10MIN_DN.html" TargetMode="External"/><Relationship Id="rId3055" Type="http://schemas.openxmlformats.org/officeDocument/2006/relationships/hyperlink" Target="http://www.broadinstitute.org/gsea/msigdb/cards/GSE6674_ANTI_IGM_VS_ANTI_IGM_AND_CPG_STIM_BCELL_DN.html" TargetMode="External"/><Relationship Id="rId3056" Type="http://schemas.openxmlformats.org/officeDocument/2006/relationships/hyperlink" Target="http://www.broadinstitute.org/gsea/msigdb/cards/GSE6674_CPG_VS_CPG_AND_ANTI_IGM_STIM_BCELL_DN.html" TargetMode="External"/><Relationship Id="rId3057" Type="http://schemas.openxmlformats.org/officeDocument/2006/relationships/hyperlink" Target="http://www.broadinstitute.org/gsea/msigdb/cards/GSE7831_UNSTIM_VS_CPG_STIM_PDC_1H_UP.html" TargetMode="External"/><Relationship Id="rId3058" Type="http://schemas.openxmlformats.org/officeDocument/2006/relationships/hyperlink" Target="http://www.broadinstitute.org/gsea/msigdb/cards/GSE5503_LIVER_DC_VS_SPLEEN_DC_ACTIVATED_ALLOGENIC_TCELL_DN.html" TargetMode="External"/><Relationship Id="rId3059" Type="http://schemas.openxmlformats.org/officeDocument/2006/relationships/hyperlink" Target="http://www.broadinstitute.org/gsea/msigdb/cards/GSE8685_IL2_STARVED_VS_IL2_ACT_IL2_STARVED_CD4_TCELL_UP.html" TargetMode="External"/><Relationship Id="rId1100" Type="http://schemas.openxmlformats.org/officeDocument/2006/relationships/hyperlink" Target="http://www.broadinstitute.org/gsea/msigdb/cards/GO_TRANSITION_METAL_ION_BINDING.html" TargetMode="External"/><Relationship Id="rId1101" Type="http://schemas.openxmlformats.org/officeDocument/2006/relationships/hyperlink" Target="http://www.broadinstitute.org/gsea/msigdb/cards/GO_COVALENT_CHROMATIN_MODIFICATION.html" TargetMode="External"/><Relationship Id="rId1102" Type="http://schemas.openxmlformats.org/officeDocument/2006/relationships/hyperlink" Target="http://www.broadinstitute.org/gsea/msigdb/cards/GO_PEPTIDYL_AMINO_ACID_MODIFICATION.html" TargetMode="External"/><Relationship Id="rId1103" Type="http://schemas.openxmlformats.org/officeDocument/2006/relationships/hyperlink" Target="http://www.broadinstitute.org/gsea/msigdb/cards/GO_NEGATIVE_REGULATION_OF_GENE_EXPRESSION.html" TargetMode="External"/><Relationship Id="rId1104" Type="http://schemas.openxmlformats.org/officeDocument/2006/relationships/hyperlink" Target="http://www.broadinstitute.org/gsea/msigdb/cards/GO_CELL_CYCLE_PROCESS.html" TargetMode="External"/><Relationship Id="rId1105" Type="http://schemas.openxmlformats.org/officeDocument/2006/relationships/hyperlink" Target="http://www.broadinstitute.org/gsea/msigdb/cards/GO_REGULATION_OF_ORGANELLE_ORGANIZATION.html" TargetMode="External"/><Relationship Id="rId1106" Type="http://schemas.openxmlformats.org/officeDocument/2006/relationships/hyperlink" Target="http://www.broadinstitute.org/gsea/msigdb/cards/GO_ADENYL_NUCLEOTIDE_BINDING.html" TargetMode="External"/><Relationship Id="rId1107" Type="http://schemas.openxmlformats.org/officeDocument/2006/relationships/hyperlink" Target="http://www.broadinstitute.org/gsea/msigdb/cards/GO_MACROMOLECULAR_COMPLEX_BINDING.html" TargetMode="External"/><Relationship Id="rId1108" Type="http://schemas.openxmlformats.org/officeDocument/2006/relationships/hyperlink" Target="http://www.broadinstitute.org/gsea/msigdb/cards/GO_CELLULAR_RESPONSE_TO_DNA_DAMAGE_STIMULUS.html" TargetMode="External"/><Relationship Id="rId1109" Type="http://schemas.openxmlformats.org/officeDocument/2006/relationships/hyperlink" Target="http://www.broadinstitute.org/gsea/msigdb/cards/GO_NUCLEOLUS.html" TargetMode="External"/><Relationship Id="rId2350" Type="http://schemas.openxmlformats.org/officeDocument/2006/relationships/hyperlink" Target="http://www.broadinstitute.org/gsea/msigdb/cards/GSE3982_EOSINOPHIL_VS_MAST_CELL_UP.html" TargetMode="External"/><Relationship Id="rId2351" Type="http://schemas.openxmlformats.org/officeDocument/2006/relationships/hyperlink" Target="http://www.broadinstitute.org/gsea/msigdb/cards/GSE3982_MAST_CELL_VS_MAC_UP.html" TargetMode="External"/><Relationship Id="rId2352" Type="http://schemas.openxmlformats.org/officeDocument/2006/relationships/hyperlink" Target="http://www.broadinstitute.org/gsea/msigdb/cards/GSE3982_NEUTROPHIL_VS_BASOPHIL_DN.html" TargetMode="External"/><Relationship Id="rId2353" Type="http://schemas.openxmlformats.org/officeDocument/2006/relationships/hyperlink" Target="http://www.broadinstitute.org/gsea/msigdb/cards/GSE3982_NEUTROPHIL_VS_EFF_MEMORY_CD4_TCELL_DN.html" TargetMode="External"/><Relationship Id="rId2354" Type="http://schemas.openxmlformats.org/officeDocument/2006/relationships/hyperlink" Target="http://www.broadinstitute.org/gsea/msigdb/cards/GSE3982_NEUTROPHIL_VS_CENT_MEMORY_CD4_TCELL_DN.html" TargetMode="External"/><Relationship Id="rId2355" Type="http://schemas.openxmlformats.org/officeDocument/2006/relationships/hyperlink" Target="http://www.broadinstitute.org/gsea/msigdb/cards/GSE3982_BASOPHIL_VS_TH2_UP.html" TargetMode="External"/><Relationship Id="rId2356" Type="http://schemas.openxmlformats.org/officeDocument/2006/relationships/hyperlink" Target="http://www.broadinstitute.org/gsea/msigdb/cards/GSE7460_WT_VS_FOXP3_HET_ACT_TCONV_DN.html" TargetMode="External"/><Relationship Id="rId2357" Type="http://schemas.openxmlformats.org/officeDocument/2006/relationships/hyperlink" Target="http://www.broadinstitute.org/gsea/msigdb/cards/GSE369_PRE_VS_POST_IL6_INJECTION_IFNG_KO_LIVER_DN.html" TargetMode="External"/><Relationship Id="rId2358" Type="http://schemas.openxmlformats.org/officeDocument/2006/relationships/hyperlink" Target="http://www.broadinstitute.org/gsea/msigdb/cards/GSE2770_UNTREATED_VS_TGFB_AND_IL4_TREATED_ACT_CD4_TCELL_4H_UP.html" TargetMode="External"/><Relationship Id="rId2359" Type="http://schemas.openxmlformats.org/officeDocument/2006/relationships/hyperlink" Target="http://www.broadinstitute.org/gsea/msigdb/cards/GSE2770_IL12_AND_TGFB_ACT_VS_ACT_CD4_TCELL_2H_UP.html" TargetMode="External"/><Relationship Id="rId710" Type="http://schemas.openxmlformats.org/officeDocument/2006/relationships/hyperlink" Target="http://www.broadinstitute.org/gsea/msigdb/cards/PIT1_Q6.html" TargetMode="External"/><Relationship Id="rId711" Type="http://schemas.openxmlformats.org/officeDocument/2006/relationships/hyperlink" Target="http://www.broadinstitute.org/gsea/msigdb/cards/GACAATC_MIR219.html" TargetMode="External"/><Relationship Id="rId712" Type="http://schemas.openxmlformats.org/officeDocument/2006/relationships/hyperlink" Target="http://www.broadinstitute.org/gsea/msigdb/cards/TGCCAAR_NF1_Q6.html" TargetMode="External"/><Relationship Id="rId713" Type="http://schemas.openxmlformats.org/officeDocument/2006/relationships/hyperlink" Target="http://www.broadinstitute.org/gsea/msigdb/cards/SP1_01.html" TargetMode="External"/><Relationship Id="rId714" Type="http://schemas.openxmlformats.org/officeDocument/2006/relationships/hyperlink" Target="http://www.broadinstitute.org/gsea/msigdb/cards/ACAACCT_MIR453.html" TargetMode="External"/><Relationship Id="rId715" Type="http://schemas.openxmlformats.org/officeDocument/2006/relationships/hyperlink" Target="http://www.broadinstitute.org/gsea/msigdb/cards/CTTTAAR_UNKNOWN.html" TargetMode="External"/><Relationship Id="rId716" Type="http://schemas.openxmlformats.org/officeDocument/2006/relationships/hyperlink" Target="http://www.broadinstitute.org/gsea/msigdb/cards/TFIII_Q6.html" TargetMode="External"/><Relationship Id="rId717" Type="http://schemas.openxmlformats.org/officeDocument/2006/relationships/hyperlink" Target="http://www.broadinstitute.org/gsea/msigdb/cards/NMYC_01.html" TargetMode="External"/><Relationship Id="rId718" Type="http://schemas.openxmlformats.org/officeDocument/2006/relationships/hyperlink" Target="http://www.broadinstitute.org/gsea/msigdb/cards/CHOP_01.html" TargetMode="External"/><Relationship Id="rId719" Type="http://schemas.openxmlformats.org/officeDocument/2006/relationships/hyperlink" Target="http://www.broadinstitute.org/gsea/msigdb/cards/POU1F1_Q6.html" TargetMode="External"/><Relationship Id="rId1650" Type="http://schemas.openxmlformats.org/officeDocument/2006/relationships/hyperlink" Target="http://www.broadinstitute.org/gsea/msigdb/cards/GO_KINASE_REGULATOR_ACTIVITY.html" TargetMode="External"/><Relationship Id="rId1651" Type="http://schemas.openxmlformats.org/officeDocument/2006/relationships/hyperlink" Target="http://www.broadinstitute.org/gsea/msigdb/cards/GO_EXTRINSIC_COMPONENT_OF_MEMBRANE.html" TargetMode="External"/><Relationship Id="rId1652" Type="http://schemas.openxmlformats.org/officeDocument/2006/relationships/hyperlink" Target="http://www.broadinstitute.org/gsea/msigdb/cards/GO_RESPONSE_TO_DSRNA.html" TargetMode="External"/><Relationship Id="rId1653" Type="http://schemas.openxmlformats.org/officeDocument/2006/relationships/hyperlink" Target="http://www.broadinstitute.org/gsea/msigdb/cards/GO_SMAD_BINDING.html" TargetMode="External"/><Relationship Id="rId1654" Type="http://schemas.openxmlformats.org/officeDocument/2006/relationships/hyperlink" Target="http://www.broadinstitute.org/gsea/msigdb/cards/GO_BONE_DEVELOPMENT.html" TargetMode="External"/><Relationship Id="rId1655" Type="http://schemas.openxmlformats.org/officeDocument/2006/relationships/hyperlink" Target="http://www.broadinstitute.org/gsea/msigdb/cards/GO_POSITIVE_REGULATION_OF_DEVELOPMENTAL_GROWTH.html" TargetMode="External"/><Relationship Id="rId1656" Type="http://schemas.openxmlformats.org/officeDocument/2006/relationships/hyperlink" Target="http://www.broadinstitute.org/gsea/msigdb/cards/GO_POSITIVE_REGULATION_OF_PROTEIN_IMPORT_INTO_NUCLEUS_TRANSLOCATION.html" TargetMode="External"/><Relationship Id="rId1657" Type="http://schemas.openxmlformats.org/officeDocument/2006/relationships/hyperlink" Target="http://www.broadinstitute.org/gsea/msigdb/cards/GO_RNA_POLYADENYLATION.html" TargetMode="External"/><Relationship Id="rId1658" Type="http://schemas.openxmlformats.org/officeDocument/2006/relationships/hyperlink" Target="http://www.broadinstitute.org/gsea/msigdb/cards/GO_REGULATION_OF_PROTEIN_POLYUBIQUITINATION.html" TargetMode="External"/><Relationship Id="rId1659" Type="http://schemas.openxmlformats.org/officeDocument/2006/relationships/hyperlink" Target="http://www.broadinstitute.org/gsea/msigdb/cards/GO_REPLISOME.html" TargetMode="External"/><Relationship Id="rId3060" Type="http://schemas.openxmlformats.org/officeDocument/2006/relationships/hyperlink" Target="http://www.broadinstitute.org/gsea/msigdb/cards/GSE15330_HSC_VS_LYMPHOID_PRIMED_MULTIPOTENT_PROGENITOR_UP.html" TargetMode="External"/><Relationship Id="rId3061" Type="http://schemas.openxmlformats.org/officeDocument/2006/relationships/hyperlink" Target="http://www.broadinstitute.org/gsea/msigdb/cards/GSE15330_HSC_VS_LYMPHOID_PRIMED_MULTIPOTENT_PROGENITOR_IKAROS_KO_DN.html" TargetMode="External"/><Relationship Id="rId3062" Type="http://schemas.openxmlformats.org/officeDocument/2006/relationships/hyperlink" Target="http://www.broadinstitute.org/gsea/msigdb/cards/GSE14908_ATOPIC_VS_NONATOPIC_PATIENT_HDM_STIM_CD4_TCELL_DN.html" TargetMode="External"/><Relationship Id="rId3063" Type="http://schemas.openxmlformats.org/officeDocument/2006/relationships/hyperlink" Target="http://www.broadinstitute.org/gsea/msigdb/cards/GSE9960_GRAM_NEG_VS_GRAM_POS_SEPSIS_PBMC_DN.html" TargetMode="External"/><Relationship Id="rId3064" Type="http://schemas.openxmlformats.org/officeDocument/2006/relationships/hyperlink" Target="http://www.broadinstitute.org/gsea/msigdb/cards/GSE17186_BLOOD_VS_CORD_BLOOD_CD21LOW_TRANSITIONAL_BCELL_UP.html" TargetMode="External"/><Relationship Id="rId3065" Type="http://schemas.openxmlformats.org/officeDocument/2006/relationships/hyperlink" Target="http://www.broadinstitute.org/gsea/msigdb/cards/GSE18203_CTRL_VS_INTRATUMORAL_CPG_INJ_MC38_TUMOR_UP.html" TargetMode="External"/><Relationship Id="rId3066" Type="http://schemas.openxmlformats.org/officeDocument/2006/relationships/hyperlink" Target="http://www.broadinstitute.org/gsea/msigdb/cards/GSE19198_CTRL_VS_IL21_TREATED_TCELL_6H_DN.html" TargetMode="External"/><Relationship Id="rId3067" Type="http://schemas.openxmlformats.org/officeDocument/2006/relationships/hyperlink" Target="http://www.broadinstitute.org/gsea/msigdb/cards/GSE18281_CORTEX_VS_MEDULLA_THYMUS_UP.html" TargetMode="External"/><Relationship Id="rId3068" Type="http://schemas.openxmlformats.org/officeDocument/2006/relationships/hyperlink" Target="http://www.broadinstitute.org/gsea/msigdb/cards/GSE18281_SUBCAPSULAR_VS_CENTRAL_CORTICAL_REGION_OF_THYMUS_UP.html" TargetMode="External"/><Relationship Id="rId3069" Type="http://schemas.openxmlformats.org/officeDocument/2006/relationships/hyperlink" Target="http://www.broadinstitute.org/gsea/msigdb/cards/GSE19923_WT_VS_E2A_KO_DP_THYMOCYTE_DN.html" TargetMode="External"/><Relationship Id="rId1110" Type="http://schemas.openxmlformats.org/officeDocument/2006/relationships/hyperlink" Target="http://www.broadinstitute.org/gsea/msigdb/cards/GO_CELLULAR_RESPONSE_TO_STRESS.html" TargetMode="External"/><Relationship Id="rId1111" Type="http://schemas.openxmlformats.org/officeDocument/2006/relationships/hyperlink" Target="http://www.broadinstitute.org/gsea/msigdb/cards/GO_MITOTIC_CELL_CYCLE.html" TargetMode="External"/><Relationship Id="rId1112" Type="http://schemas.openxmlformats.org/officeDocument/2006/relationships/hyperlink" Target="http://www.broadinstitute.org/gsea/msigdb/cards/GO_POSITIVE_REGULATION_OF_GENE_EXPRESSION.html" TargetMode="External"/><Relationship Id="rId1113" Type="http://schemas.openxmlformats.org/officeDocument/2006/relationships/hyperlink" Target="http://www.broadinstitute.org/gsea/msigdb/cards/GO_CHROMATIN_BINDING.html" TargetMode="External"/><Relationship Id="rId1114" Type="http://schemas.openxmlformats.org/officeDocument/2006/relationships/hyperlink" Target="http://www.broadinstitute.org/gsea/msigdb/cards/GO_DNA_METABOLIC_PROCESS.html" TargetMode="External"/><Relationship Id="rId1115" Type="http://schemas.openxmlformats.org/officeDocument/2006/relationships/hyperlink" Target="http://www.broadinstitute.org/gsea/msigdb/cards/GO_RIBONUCLEOTIDE_BINDING.html" TargetMode="External"/><Relationship Id="rId1116" Type="http://schemas.openxmlformats.org/officeDocument/2006/relationships/hyperlink" Target="http://www.broadinstitute.org/gsea/msigdb/cards/GO_RIBONUCLEOPROTEIN_COMPLEX.html" TargetMode="External"/><Relationship Id="rId1117" Type="http://schemas.openxmlformats.org/officeDocument/2006/relationships/hyperlink" Target="http://www.broadinstitute.org/gsea/msigdb/cards/GO_POSTTRANSCRIPTIONAL_REGULATION_OF_GENE_EXPRESSION.html" TargetMode="External"/><Relationship Id="rId1118" Type="http://schemas.openxmlformats.org/officeDocument/2006/relationships/hyperlink" Target="http://www.broadinstitute.org/gsea/msigdb/cards/GO_HELICASE_ACTIVITY.html" TargetMode="External"/><Relationship Id="rId1119" Type="http://schemas.openxmlformats.org/officeDocument/2006/relationships/hyperlink" Target="http://www.broadinstitute.org/gsea/msigdb/cards/GO_MICROTUBULE_CYTOSKELETON.html" TargetMode="External"/><Relationship Id="rId2360" Type="http://schemas.openxmlformats.org/officeDocument/2006/relationships/hyperlink" Target="http://www.broadinstitute.org/gsea/msigdb/cards/GSE1112_OT1_CD8AB_VS_HY_CD8AA_THYMOCYTE_RTOC_CULTURE_DN.html" TargetMode="External"/><Relationship Id="rId2361" Type="http://schemas.openxmlformats.org/officeDocument/2006/relationships/hyperlink" Target="http://www.broadinstitute.org/gsea/msigdb/cards/GSE1740_MCSF_VS_MCSF_AND_IFNG_DAY2_DERIVED_MACROPHAGE_WITH_IFNA_STIM_UP.html" TargetMode="External"/><Relationship Id="rId2362" Type="http://schemas.openxmlformats.org/officeDocument/2006/relationships/hyperlink" Target="http://www.broadinstitute.org/gsea/msigdb/cards/GSE2405_0H_VS_6H_A_PHAGOCYTOPHILUM_STIM_NEUTROPHIL_UP.html" TargetMode="External"/><Relationship Id="rId2363" Type="http://schemas.openxmlformats.org/officeDocument/2006/relationships/hyperlink" Target="http://www.broadinstitute.org/gsea/msigdb/cards/GSE1925_CTRL_VS_24H_IFNG_STIM_IFNG_PRIMED_MACROPHAGE_DN.html" TargetMode="External"/><Relationship Id="rId2364" Type="http://schemas.openxmlformats.org/officeDocument/2006/relationships/hyperlink" Target="http://www.broadinstitute.org/gsea/msigdb/cards/GSE2935_UV_INACTIVATED_VS_LIVE_SENDAI_VIRUS_INF_MACROPHAGE_UP.html" TargetMode="External"/><Relationship Id="rId2365" Type="http://schemas.openxmlformats.org/officeDocument/2006/relationships/hyperlink" Target="http://www.broadinstitute.org/gsea/msigdb/cards/GSE3720_VD1_VS_VD2_GAMMADELTA_TCELL_WITH_LPS_STIM_UP.html" TargetMode="External"/><Relationship Id="rId2366" Type="http://schemas.openxmlformats.org/officeDocument/2006/relationships/hyperlink" Target="http://www.broadinstitute.org/gsea/msigdb/cards/GSE3720_UNSTIM_VS_LPS_STIM_VD1_GAMMADELTA_TCELL_UP.html" TargetMode="External"/><Relationship Id="rId2367" Type="http://schemas.openxmlformats.org/officeDocument/2006/relationships/hyperlink" Target="http://www.broadinstitute.org/gsea/msigdb/cards/GSE8921_UNSTIM_VS_TLR1_2_STIM_MONOCYTE_3H_DN.html" TargetMode="External"/><Relationship Id="rId2368" Type="http://schemas.openxmlformats.org/officeDocument/2006/relationships/hyperlink" Target="http://www.broadinstitute.org/gsea/msigdb/cards/GSE8921_UNSTIM_VS_TLR1_2_STIM_MONOCYTE_6H_UP.html" TargetMode="External"/><Relationship Id="rId2369" Type="http://schemas.openxmlformats.org/officeDocument/2006/relationships/hyperlink" Target="http://www.broadinstitute.org/gsea/msigdb/cards/GSE4984_GALECTIN1_VS_VEHICLE_CTRL_TREATED_DC_UP.html" TargetMode="External"/><Relationship Id="rId720" Type="http://schemas.openxmlformats.org/officeDocument/2006/relationships/hyperlink" Target="http://www.broadinstitute.org/gsea/msigdb/cards/GCTNWTTGK_UNKNOWN.html" TargetMode="External"/><Relationship Id="rId721" Type="http://schemas.openxmlformats.org/officeDocument/2006/relationships/hyperlink" Target="http://www.broadinstitute.org/gsea/msigdb/cards/KMCATNNWGGA_UNKNOWN.html" TargetMode="External"/><Relationship Id="rId722" Type="http://schemas.openxmlformats.org/officeDocument/2006/relationships/hyperlink" Target="http://www.broadinstitute.org/gsea/msigdb/cards/FOXO1_02.html" TargetMode="External"/><Relationship Id="rId723" Type="http://schemas.openxmlformats.org/officeDocument/2006/relationships/hyperlink" Target="http://www.broadinstitute.org/gsea/msigdb/cards/TCTGATA_MIR361.html" TargetMode="External"/><Relationship Id="rId724" Type="http://schemas.openxmlformats.org/officeDocument/2006/relationships/hyperlink" Target="http://www.broadinstitute.org/gsea/msigdb/cards/ER_Q6.html" TargetMode="External"/><Relationship Id="rId725" Type="http://schemas.openxmlformats.org/officeDocument/2006/relationships/hyperlink" Target="http://www.broadinstitute.org/gsea/msigdb/cards/GATA1_01.html" TargetMode="External"/><Relationship Id="rId726" Type="http://schemas.openxmlformats.org/officeDocument/2006/relationships/hyperlink" Target="http://www.broadinstitute.org/gsea/msigdb/cards/CEBPA_01.html" TargetMode="External"/><Relationship Id="rId727" Type="http://schemas.openxmlformats.org/officeDocument/2006/relationships/hyperlink" Target="http://www.broadinstitute.org/gsea/msigdb/cards/PTF1BETA_Q6.html" TargetMode="External"/><Relationship Id="rId728" Type="http://schemas.openxmlformats.org/officeDocument/2006/relationships/hyperlink" Target="http://www.broadinstitute.org/gsea/msigdb/cards/TTGGAGA_MIR5155P_MIR519E.html" TargetMode="External"/><Relationship Id="rId729" Type="http://schemas.openxmlformats.org/officeDocument/2006/relationships/hyperlink" Target="http://www.broadinstitute.org/gsea/msigdb/cards/GTGTGAG_MIR342.html" TargetMode="External"/><Relationship Id="rId1660" Type="http://schemas.openxmlformats.org/officeDocument/2006/relationships/hyperlink" Target="http://www.broadinstitute.org/gsea/msigdb/cards/GO_ARMADILLO_REPEAT_DOMAIN_BINDING.html" TargetMode="External"/><Relationship Id="rId1661" Type="http://schemas.openxmlformats.org/officeDocument/2006/relationships/hyperlink" Target="http://www.broadinstitute.org/gsea/msigdb/cards/GO_POSITIVE_REGULATION_OF_PROTEIN_BINDING.html" TargetMode="External"/><Relationship Id="rId1662" Type="http://schemas.openxmlformats.org/officeDocument/2006/relationships/hyperlink" Target="http://www.broadinstitute.org/gsea/msigdb/cards/GO_CELLULAR_RESPONSE_TO_HORMONE_STIMULUS.html" TargetMode="External"/><Relationship Id="rId1663" Type="http://schemas.openxmlformats.org/officeDocument/2006/relationships/hyperlink" Target="http://www.broadinstitute.org/gsea/msigdb/cards/GO_PROTEIN_TRANSPORTER_ACTIVITY.html" TargetMode="External"/><Relationship Id="rId1664" Type="http://schemas.openxmlformats.org/officeDocument/2006/relationships/hyperlink" Target="http://www.broadinstitute.org/gsea/msigdb/cards/GO_TRANSCRIPTION_COREPRESSOR_ACTIVITY.html" TargetMode="External"/><Relationship Id="rId1665" Type="http://schemas.openxmlformats.org/officeDocument/2006/relationships/hyperlink" Target="http://www.broadinstitute.org/gsea/msigdb/cards/GO_HEPATICOBILIARY_SYSTEM_DEVELOPMENT.html" TargetMode="External"/><Relationship Id="rId1666" Type="http://schemas.openxmlformats.org/officeDocument/2006/relationships/hyperlink" Target="http://www.broadinstitute.org/gsea/msigdb/cards/GO_REGULATION_OF_ADHERENS_JUNCTION_ORGANIZATION.html" TargetMode="External"/><Relationship Id="rId1667" Type="http://schemas.openxmlformats.org/officeDocument/2006/relationships/hyperlink" Target="http://www.broadinstitute.org/gsea/msigdb/cards/GO_FACE_DEVELOPMENT.html" TargetMode="External"/><Relationship Id="rId1668" Type="http://schemas.openxmlformats.org/officeDocument/2006/relationships/hyperlink" Target="http://www.broadinstitute.org/gsea/msigdb/cards/GO_RESPONSE_TO_GAMMA_RADIATION.html" TargetMode="External"/><Relationship Id="rId1669" Type="http://schemas.openxmlformats.org/officeDocument/2006/relationships/hyperlink" Target="http://www.broadinstitute.org/gsea/msigdb/cards/GO_ATP_DEPENDENT_CHROMATIN_REMODELING.html" TargetMode="External"/><Relationship Id="rId3070" Type="http://schemas.openxmlformats.org/officeDocument/2006/relationships/hyperlink" Target="http://www.broadinstitute.org/gsea/msigdb/cards/GSE18893_CTRL_VS_TNF_TREATED_TCONV_2H_DN.html" TargetMode="External"/><Relationship Id="rId3071" Type="http://schemas.openxmlformats.org/officeDocument/2006/relationships/hyperlink" Target="http://www.broadinstitute.org/gsea/msigdb/cards/GSE19888_ADENOSINE_A3R_ACT_VS_TCELL_MEMBRANES_ACT_AND_A3R_INH_PRETREAT_IN_MAST_CELL_DN.html" TargetMode="External"/><Relationship Id="rId3072" Type="http://schemas.openxmlformats.org/officeDocument/2006/relationships/hyperlink" Target="http://www.broadinstitute.org/gsea/msigdb/cards/GSE20198_IL12_VS_IFNA_TREATED_ACT_CD4_TCELL_DN.html" TargetMode="External"/><Relationship Id="rId3073" Type="http://schemas.openxmlformats.org/officeDocument/2006/relationships/hyperlink" Target="http://www.broadinstitute.org/gsea/msigdb/cards/GSE16450_CTRL_VS_IFNA_12H_STIM_MATURE_NEURON_CELL_LINE_DN.html" TargetMode="External"/><Relationship Id="rId3074" Type="http://schemas.openxmlformats.org/officeDocument/2006/relationships/hyperlink" Target="http://www.broadinstitute.org/gsea/msigdb/cards/GSE21774_CD56_BRIGHT_VS_DIM_CD62L_POSITIVE_NK_CELL_UP.html" TargetMode="External"/><Relationship Id="rId3075" Type="http://schemas.openxmlformats.org/officeDocument/2006/relationships/hyperlink" Target="http://www.broadinstitute.org/gsea/msigdb/cards/GSE21379_WT_VS_SAP_KO_TFH_CD4_TCELL_DN.html" TargetMode="External"/><Relationship Id="rId3076" Type="http://schemas.openxmlformats.org/officeDocument/2006/relationships/hyperlink" Target="http://www.broadinstitute.org/gsea/msigdb/cards/GSE21379_WT_VS_SAP_KO_CD4_TCELL_DN.html" TargetMode="External"/><Relationship Id="rId3077" Type="http://schemas.openxmlformats.org/officeDocument/2006/relationships/hyperlink" Target="http://www.broadinstitute.org/gsea/msigdb/cards/GSE21546_WT_VS_SAP1A_KO_AND_ELK1_KO_ANTI_CD3_STIM_DP_THYMOCYTES_DN.html" TargetMode="External"/><Relationship Id="rId3078" Type="http://schemas.openxmlformats.org/officeDocument/2006/relationships/hyperlink" Target="http://www.broadinstitute.org/gsea/msigdb/cards/GSE21546_UNSTIM_VS_ANTI_CD3_STIM_DP_THYMOCYTES_DN.html" TargetMode="External"/><Relationship Id="rId3079" Type="http://schemas.openxmlformats.org/officeDocument/2006/relationships/hyperlink" Target="http://www.broadinstitute.org/gsea/msigdb/cards/GSE21927_SPLEEN_VS_TUMOR_MONOCYTE_BALBC_UP.html" TargetMode="External"/><Relationship Id="rId1120" Type="http://schemas.openxmlformats.org/officeDocument/2006/relationships/hyperlink" Target="http://www.broadinstitute.org/gsea/msigdb/cards/GO_MICROTUBULE_ORGANIZING_CENTER.html" TargetMode="External"/><Relationship Id="rId1121" Type="http://schemas.openxmlformats.org/officeDocument/2006/relationships/hyperlink" Target="http://www.broadinstitute.org/gsea/msigdb/cards/GO_PROTEIN_UBIQUITINATION.html" TargetMode="External"/><Relationship Id="rId1122" Type="http://schemas.openxmlformats.org/officeDocument/2006/relationships/hyperlink" Target="http://www.broadinstitute.org/gsea/msigdb/cards/GO_MRNA_METABOLIC_PROCESS.html" TargetMode="External"/><Relationship Id="rId1123" Type="http://schemas.openxmlformats.org/officeDocument/2006/relationships/hyperlink" Target="http://www.broadinstitute.org/gsea/msigdb/cards/GO_MACROMOLECULE_CATABOLIC_PROCESS.html" TargetMode="External"/><Relationship Id="rId1124" Type="http://schemas.openxmlformats.org/officeDocument/2006/relationships/hyperlink" Target="http://www.broadinstitute.org/gsea/msigdb/cards/GO_DNA_REPAIR.html" TargetMode="External"/><Relationship Id="rId1125" Type="http://schemas.openxmlformats.org/officeDocument/2006/relationships/hyperlink" Target="http://www.broadinstitute.org/gsea/msigdb/cards/GO_ENZYME_BINDING.html" TargetMode="External"/><Relationship Id="rId1126" Type="http://schemas.openxmlformats.org/officeDocument/2006/relationships/hyperlink" Target="http://www.broadinstitute.org/gsea/msigdb/cards/GO_NUCLEAR_SPECK.html" TargetMode="External"/><Relationship Id="rId1127" Type="http://schemas.openxmlformats.org/officeDocument/2006/relationships/hyperlink" Target="http://www.broadinstitute.org/gsea/msigdb/cards/GO_RNA_PROCESSING.html" TargetMode="External"/><Relationship Id="rId1128" Type="http://schemas.openxmlformats.org/officeDocument/2006/relationships/hyperlink" Target="http://www.broadinstitute.org/gsea/msigdb/cards/GO_CENTROSOME.html" TargetMode="External"/><Relationship Id="rId1129" Type="http://schemas.openxmlformats.org/officeDocument/2006/relationships/hyperlink" Target="http://www.broadinstitute.org/gsea/msigdb/cards/GO_POSITIVE_REGULATION_OF_BIOSYNTHETIC_PROCESS.html" TargetMode="External"/><Relationship Id="rId2370" Type="http://schemas.openxmlformats.org/officeDocument/2006/relationships/hyperlink" Target="http://www.broadinstitute.org/gsea/msigdb/cards/GSE5589_UNSTIM_VS_45MIN_LPS_AND_IL6_STIM_MACROPHAGE_DN.html" TargetMode="External"/><Relationship Id="rId2371" Type="http://schemas.openxmlformats.org/officeDocument/2006/relationships/hyperlink" Target="http://www.broadinstitute.org/gsea/msigdb/cards/GSE5589_LPS_AND_IL10_VS_LPS_AND_IL6_STIM_MACROPHAGE_45MIN_UP.html" TargetMode="External"/><Relationship Id="rId2372" Type="http://schemas.openxmlformats.org/officeDocument/2006/relationships/hyperlink" Target="http://www.broadinstitute.org/gsea/msigdb/cards/GSE5589_LPS_VS_LPS_AND_IL10_STIM_IL6_KO_MACROPHAGE_45MIN_UP.html" TargetMode="External"/><Relationship Id="rId2373" Type="http://schemas.openxmlformats.org/officeDocument/2006/relationships/hyperlink" Target="http://www.broadinstitute.org/gsea/msigdb/cards/GSE6259_FLT3L_INDUCED_33D1_POS_DC_VS_BCELL_DN.html" TargetMode="External"/><Relationship Id="rId2374" Type="http://schemas.openxmlformats.org/officeDocument/2006/relationships/hyperlink" Target="http://www.broadinstitute.org/gsea/msigdb/cards/GSE7509_DC_VS_MONOCYTE_WITH_FCGRIIB_STIM_DN.html" TargetMode="External"/><Relationship Id="rId2375" Type="http://schemas.openxmlformats.org/officeDocument/2006/relationships/hyperlink" Target="http://www.broadinstitute.org/gsea/msigdb/cards/GSE7768_OVA_WITH_LPS_VS_OVA_WITH_MPL_IMMUNIZED_MOUSE_WHOLE_SPLEEN_6H_UP.html" TargetMode="External"/><Relationship Id="rId2376" Type="http://schemas.openxmlformats.org/officeDocument/2006/relationships/hyperlink" Target="http://www.broadinstitute.org/gsea/msigdb/cards/GSE8621_UNSTIM_VS_LPS_STIM_MACROPHAGE_DN.html" TargetMode="External"/><Relationship Id="rId2377" Type="http://schemas.openxmlformats.org/officeDocument/2006/relationships/hyperlink" Target="http://www.broadinstitute.org/gsea/msigdb/cards/GSE10240_IL22_VS_IL22_AND_IL17_STIM_PRIMARY_BRONCHIAL_EPITHELIAL_CELLS_UP.html" TargetMode="External"/><Relationship Id="rId2378" Type="http://schemas.openxmlformats.org/officeDocument/2006/relationships/hyperlink" Target="http://www.broadinstitute.org/gsea/msigdb/cards/GSE15330_WT_VS_IKAROS_KO_GRANULOCYTE_MONOCYTE_PROGENITOR_UP.html" TargetMode="External"/><Relationship Id="rId2379" Type="http://schemas.openxmlformats.org/officeDocument/2006/relationships/hyperlink" Target="http://www.broadinstitute.org/gsea/msigdb/cards/GSE15330_WT_VS_IKAROS_KO_MEGAKARYOCYTE_ERYTHROID_PROGENITOR_UP.html" TargetMode="External"/><Relationship Id="rId730" Type="http://schemas.openxmlformats.org/officeDocument/2006/relationships/hyperlink" Target="http://www.broadinstitute.org/gsea/msigdb/cards/SREBP1_Q6.html" TargetMode="External"/><Relationship Id="rId731" Type="http://schemas.openxmlformats.org/officeDocument/2006/relationships/hyperlink" Target="http://www.broadinstitute.org/gsea/msigdb/cards/TGAYRTCA_ATF3_Q6.html" TargetMode="External"/><Relationship Id="rId732" Type="http://schemas.openxmlformats.org/officeDocument/2006/relationships/hyperlink" Target="http://www.broadinstitute.org/gsea/msigdb/cards/TGIF_01.html" TargetMode="External"/><Relationship Id="rId733" Type="http://schemas.openxmlformats.org/officeDocument/2006/relationships/hyperlink" Target="http://www.broadinstitute.org/gsea/msigdb/cards/ZIC2_01.html" TargetMode="External"/><Relationship Id="rId734" Type="http://schemas.openxmlformats.org/officeDocument/2006/relationships/hyperlink" Target="http://www.broadinstitute.org/gsea/msigdb/cards/ETS_Q4.html" TargetMode="External"/><Relationship Id="rId735" Type="http://schemas.openxmlformats.org/officeDocument/2006/relationships/hyperlink" Target="http://www.broadinstitute.org/gsea/msigdb/cards/GCGNNANTTCC_UNKNOWN.html" TargetMode="External"/><Relationship Id="rId736" Type="http://schemas.openxmlformats.org/officeDocument/2006/relationships/hyperlink" Target="http://www.broadinstitute.org/gsea/msigdb/cards/GATA4_Q3.html" TargetMode="External"/><Relationship Id="rId737" Type="http://schemas.openxmlformats.org/officeDocument/2006/relationships/hyperlink" Target="http://www.broadinstitute.org/gsea/msigdb/cards/IRF1_01.html" TargetMode="External"/><Relationship Id="rId738" Type="http://schemas.openxmlformats.org/officeDocument/2006/relationships/hyperlink" Target="http://www.broadinstitute.org/gsea/msigdb/cards/AP2GAMMA_01.html" TargetMode="External"/><Relationship Id="rId739" Type="http://schemas.openxmlformats.org/officeDocument/2006/relationships/hyperlink" Target="http://www.broadinstitute.org/gsea/msigdb/cards/AAGTCCA_MIR422B_MIR422A.html" TargetMode="External"/><Relationship Id="rId1670" Type="http://schemas.openxmlformats.org/officeDocument/2006/relationships/hyperlink" Target="http://www.broadinstitute.org/gsea/msigdb/cards/GO_BLASTOCYST_FORMATION.html" TargetMode="External"/><Relationship Id="rId1671" Type="http://schemas.openxmlformats.org/officeDocument/2006/relationships/hyperlink" Target="http://www.broadinstitute.org/gsea/msigdb/cards/GO_TELOMERIC_DNA_BINDING.html" TargetMode="External"/><Relationship Id="rId1672" Type="http://schemas.openxmlformats.org/officeDocument/2006/relationships/hyperlink" Target="http://www.broadinstitute.org/gsea/msigdb/cards/GO_NF_KAPPAB_BINDING.html" TargetMode="External"/><Relationship Id="rId1673" Type="http://schemas.openxmlformats.org/officeDocument/2006/relationships/hyperlink" Target="http://www.broadinstitute.org/gsea/msigdb/cards/GO_ACTIVATION_OF_GTPASE_ACTIVITY.html" TargetMode="External"/><Relationship Id="rId1674" Type="http://schemas.openxmlformats.org/officeDocument/2006/relationships/hyperlink" Target="http://www.broadinstitute.org/gsea/msigdb/cards/GO_CELLULAR_GLUCOSE_HOMEOSTASIS.html" TargetMode="External"/><Relationship Id="rId1675" Type="http://schemas.openxmlformats.org/officeDocument/2006/relationships/hyperlink" Target="http://www.broadinstitute.org/gsea/msigdb/cards/GO_PHOSPHATIDYLINOSITOL_KINASE_ACTIVITY.html" TargetMode="External"/><Relationship Id="rId1676" Type="http://schemas.openxmlformats.org/officeDocument/2006/relationships/hyperlink" Target="http://www.broadinstitute.org/gsea/msigdb/cards/GO_ENDONUCLEASE_ACTIVITY.html" TargetMode="External"/><Relationship Id="rId1677" Type="http://schemas.openxmlformats.org/officeDocument/2006/relationships/hyperlink" Target="http://www.broadinstitute.org/gsea/msigdb/cards/GO_MULTI_ORGANISM_REPRODUCTIVE_PROCESS.html" TargetMode="External"/><Relationship Id="rId1678" Type="http://schemas.openxmlformats.org/officeDocument/2006/relationships/hyperlink" Target="http://www.broadinstitute.org/gsea/msigdb/cards/GO_RETROGRADE_TRANSPORT_ENDOSOME_TO_PLASMA_MEMBRANE.html" TargetMode="External"/><Relationship Id="rId1679" Type="http://schemas.openxmlformats.org/officeDocument/2006/relationships/hyperlink" Target="http://www.broadinstitute.org/gsea/msigdb/cards/GO_TRANSCRIPTION_FACTOR_TFTC_COMPLEX.html" TargetMode="External"/><Relationship Id="rId3080" Type="http://schemas.openxmlformats.org/officeDocument/2006/relationships/hyperlink" Target="http://www.broadinstitute.org/gsea/msigdb/cards/GSE21927_EL4_VS_MCA203_TUMOR_MONOCYTES_DN.html" TargetMode="External"/><Relationship Id="rId3081" Type="http://schemas.openxmlformats.org/officeDocument/2006/relationships/hyperlink" Target="http://www.broadinstitute.org/gsea/msigdb/cards/GSE21927_SPLENIC_VS_TUMOR_MONOCYTES_FROM_C26GM_TUMOROUS_MICE_BALBC_UP.html" TargetMode="External"/><Relationship Id="rId3082" Type="http://schemas.openxmlformats.org/officeDocument/2006/relationships/hyperlink" Target="http://www.broadinstitute.org/gsea/msigdb/cards/GSE19401_UNSTIM_VS_PAM2CSK4_STIM_FOLLICULAR_DC_DN.html" TargetMode="External"/><Relationship Id="rId3083" Type="http://schemas.openxmlformats.org/officeDocument/2006/relationships/hyperlink" Target="http://www.broadinstitute.org/gsea/msigdb/cards/GSE22033_WT_VS_PPARG_KO_MEF_DN.html" TargetMode="External"/><Relationship Id="rId3084" Type="http://schemas.openxmlformats.org/officeDocument/2006/relationships/hyperlink" Target="http://www.broadinstitute.org/gsea/msigdb/cards/GSE20500_CTRL_VS_RETINOIC_ACID_TREATED_CD4_TCELL_UP.html" TargetMode="External"/><Relationship Id="rId3085" Type="http://schemas.openxmlformats.org/officeDocument/2006/relationships/hyperlink" Target="http://www.broadinstitute.org/gsea/msigdb/cards/GSE22432_MULTIPOTENT_VS_COMMON_DC_PROGENITOR_UP.html" TargetMode="External"/><Relationship Id="rId3086" Type="http://schemas.openxmlformats.org/officeDocument/2006/relationships/hyperlink" Target="http://www.broadinstitute.org/gsea/msigdb/cards/GSE22432_CDC_VS_COMMON_DC_PROGENITOR_UP.html" TargetMode="External"/><Relationship Id="rId3087" Type="http://schemas.openxmlformats.org/officeDocument/2006/relationships/hyperlink" Target="http://www.broadinstitute.org/gsea/msigdb/cards/GSE24210_IL35_TREATED_VS_UNTREATED_TCONV_CD4_TCELL_UP.html" TargetMode="External"/><Relationship Id="rId3088" Type="http://schemas.openxmlformats.org/officeDocument/2006/relationships/hyperlink" Target="http://www.broadinstitute.org/gsea/msigdb/cards/GSE23505_UNTREATED_VS_4DAY_IL6_IL1_TGFB_TREATED_CD4_TCELL_DN.html" TargetMode="External"/><Relationship Id="rId3089" Type="http://schemas.openxmlformats.org/officeDocument/2006/relationships/hyperlink" Target="http://www.broadinstitute.org/gsea/msigdb/cards/GSE25123_CTRL_VS_IL4_STIM_PPARG_KO_MACROPHAGE_DN.html" TargetMode="External"/><Relationship Id="rId1130" Type="http://schemas.openxmlformats.org/officeDocument/2006/relationships/hyperlink" Target="http://www.broadinstitute.org/gsea/msigdb/cards/GO_UBIQUITIN_LIKE_PROTEIN_TRANSFERASE_ACTIVITY.html" TargetMode="External"/><Relationship Id="rId1131" Type="http://schemas.openxmlformats.org/officeDocument/2006/relationships/hyperlink" Target="http://www.broadinstitute.org/gsea/msigdb/cards/GO_NEGATIVE_REGULATION_OF_TRANSCRIPTION_FROM_RNA_POLYMERASE_II_PROMOTER.html" TargetMode="External"/><Relationship Id="rId1132" Type="http://schemas.openxmlformats.org/officeDocument/2006/relationships/hyperlink" Target="http://www.broadinstitute.org/gsea/msigdb/cards/GO_ESTABLISHMENT_OF_LOCALIZATION_IN_CELL.html" TargetMode="External"/><Relationship Id="rId1133" Type="http://schemas.openxmlformats.org/officeDocument/2006/relationships/hyperlink" Target="http://www.broadinstitute.org/gsea/msigdb/cards/GO_REGULATION_OF_CELLULAR_AMIDE_METABOLIC_PROCESS.html" TargetMode="External"/><Relationship Id="rId1134" Type="http://schemas.openxmlformats.org/officeDocument/2006/relationships/hyperlink" Target="http://www.broadinstitute.org/gsea/msigdb/cards/GO_REGULATION_OF_GENE_EXPRESSION_EPIGENETIC.html" TargetMode="External"/><Relationship Id="rId1135" Type="http://schemas.openxmlformats.org/officeDocument/2006/relationships/hyperlink" Target="http://www.broadinstitute.org/gsea/msigdb/cards/GO_NUCLEIC_ACID_BINDING_TRANSCRIPTION_FACTOR_ACTIVITY.html" TargetMode="External"/><Relationship Id="rId1136" Type="http://schemas.openxmlformats.org/officeDocument/2006/relationships/hyperlink" Target="http://www.broadinstitute.org/gsea/msigdb/cards/GO_ACETYLTRANSFERASE_COMPLEX.html" TargetMode="External"/><Relationship Id="rId1137" Type="http://schemas.openxmlformats.org/officeDocument/2006/relationships/hyperlink" Target="http://www.broadinstitute.org/gsea/msigdb/cards/GO_CHROMATIN.html" TargetMode="External"/><Relationship Id="rId1138" Type="http://schemas.openxmlformats.org/officeDocument/2006/relationships/hyperlink" Target="http://www.broadinstitute.org/gsea/msigdb/cards/GO_CHROMOSOMAL_REGION.html" TargetMode="External"/><Relationship Id="rId1139" Type="http://schemas.openxmlformats.org/officeDocument/2006/relationships/hyperlink" Target="http://www.broadinstitute.org/gsea/msigdb/cards/GO_TRANSCRIPTION_FROM_RNA_POLYMERASE_II_PROMOTER.html" TargetMode="External"/><Relationship Id="rId2380" Type="http://schemas.openxmlformats.org/officeDocument/2006/relationships/hyperlink" Target="http://www.broadinstitute.org/gsea/msigdb/cards/GSE15330_WT_VS_IKAROS_KO_HSC_UP.html" TargetMode="External"/><Relationship Id="rId2381" Type="http://schemas.openxmlformats.org/officeDocument/2006/relationships/hyperlink" Target="http://www.broadinstitute.org/gsea/msigdb/cards/GSE15330_GRANULOCYTE_MONOCYTE_PROGENITOR_VS_PRO_BCELL_DN.html" TargetMode="External"/><Relationship Id="rId2382" Type="http://schemas.openxmlformats.org/officeDocument/2006/relationships/hyperlink" Target="http://www.broadinstitute.org/gsea/msigdb/cards/GSE15330_HSC_VS_GRANULOCYTE_MONOCYTE_PROGENITOR_DN.html" TargetMode="External"/><Relationship Id="rId2383" Type="http://schemas.openxmlformats.org/officeDocument/2006/relationships/hyperlink" Target="http://www.broadinstitute.org/gsea/msigdb/cards/GSE14908_RESTING_VS_HDM_STIM_CD4_TCELL_NONATOPIC_PATIENT_DN.html" TargetMode="External"/><Relationship Id="rId2384" Type="http://schemas.openxmlformats.org/officeDocument/2006/relationships/hyperlink" Target="http://www.broadinstitute.org/gsea/msigdb/cards/GSE12392_IFNAR_KO_VS_IFNB_KO_CD8_NEG_SPLEEN_DC_UP.html" TargetMode="External"/><Relationship Id="rId2385" Type="http://schemas.openxmlformats.org/officeDocument/2006/relationships/hyperlink" Target="http://www.broadinstitute.org/gsea/msigdb/cards/GSE19888_CTRL_VS_A3R_ACTIVATION_MAST_CELL_UP.html" TargetMode="External"/><Relationship Id="rId2386" Type="http://schemas.openxmlformats.org/officeDocument/2006/relationships/hyperlink" Target="http://www.broadinstitute.org/gsea/msigdb/cards/GSE19888_CTRL_VS_T_CELL_MEMBRANES_ACT_MAST_CELL_UP.html" TargetMode="External"/><Relationship Id="rId2387" Type="http://schemas.openxmlformats.org/officeDocument/2006/relationships/hyperlink" Target="http://www.broadinstitute.org/gsea/msigdb/cards/GSE16450_CTRL_VS_IFNA_6H_STIM_IMMATURE_NEURON_CELL_LINE_UP.html" TargetMode="External"/><Relationship Id="rId2388" Type="http://schemas.openxmlformats.org/officeDocument/2006/relationships/hyperlink" Target="http://www.broadinstitute.org/gsea/msigdb/cards/GSE21670_TGFB_VS_IL6_TREATED_STAT3_KO_CD4_TCELL_DN.html" TargetMode="External"/><Relationship Id="rId2389" Type="http://schemas.openxmlformats.org/officeDocument/2006/relationships/hyperlink" Target="http://www.broadinstitute.org/gsea/msigdb/cards/GSE21670_TGFB_VS_IL6_TREATED_STAT3_KO_CD4_TCELL_UP.html" TargetMode="External"/><Relationship Id="rId740" Type="http://schemas.openxmlformats.org/officeDocument/2006/relationships/hyperlink" Target="http://www.broadinstitute.org/gsea/msigdb/cards/NFKAPPAB_01.html" TargetMode="External"/><Relationship Id="rId741" Type="http://schemas.openxmlformats.org/officeDocument/2006/relationships/hyperlink" Target="http://www.broadinstitute.org/gsea/msigdb/cards/TFIIA_Q6.html" TargetMode="External"/><Relationship Id="rId742" Type="http://schemas.openxmlformats.org/officeDocument/2006/relationships/hyperlink" Target="http://www.broadinstitute.org/gsea/msigdb/cards/USF2_Q6.html" TargetMode="External"/><Relationship Id="rId743" Type="http://schemas.openxmlformats.org/officeDocument/2006/relationships/hyperlink" Target="http://www.broadinstitute.org/gsea/msigdb/cards/AP2_Q3.html" TargetMode="External"/><Relationship Id="rId744" Type="http://schemas.openxmlformats.org/officeDocument/2006/relationships/hyperlink" Target="http://www.broadinstitute.org/gsea/msigdb/cards/GGCAGTG_MIR3243P.html" TargetMode="External"/><Relationship Id="rId745" Type="http://schemas.openxmlformats.org/officeDocument/2006/relationships/hyperlink" Target="http://www.broadinstitute.org/gsea/msigdb/cards/CCAGGGG_MIR331.html" TargetMode="External"/><Relationship Id="rId746" Type="http://schemas.openxmlformats.org/officeDocument/2006/relationships/hyperlink" Target="http://www.broadinstitute.org/gsea/msigdb/cards/IRF2_01.html" TargetMode="External"/><Relationship Id="rId747" Type="http://schemas.openxmlformats.org/officeDocument/2006/relationships/hyperlink" Target="http://www.broadinstitute.org/gsea/msigdb/cards/GGATTA_PITX2_Q2.html" TargetMode="External"/><Relationship Id="rId748" Type="http://schemas.openxmlformats.org/officeDocument/2006/relationships/hyperlink" Target="http://www.broadinstitute.org/gsea/msigdb/cards/PBX1_01.html" TargetMode="External"/><Relationship Id="rId749" Type="http://schemas.openxmlformats.org/officeDocument/2006/relationships/hyperlink" Target="http://www.broadinstitute.org/gsea/msigdb/cards/IRF7_01.html" TargetMode="External"/><Relationship Id="rId1680" Type="http://schemas.openxmlformats.org/officeDocument/2006/relationships/hyperlink" Target="http://www.broadinstitute.org/gsea/msigdb/cards/GO_EMBRYONIC_ORGAN_DEVELOPMENT.html" TargetMode="External"/><Relationship Id="rId1681" Type="http://schemas.openxmlformats.org/officeDocument/2006/relationships/hyperlink" Target="http://www.broadinstitute.org/gsea/msigdb/cards/GO_RNA_STABILIZATION.html" TargetMode="External"/><Relationship Id="rId1682" Type="http://schemas.openxmlformats.org/officeDocument/2006/relationships/hyperlink" Target="http://www.broadinstitute.org/gsea/msigdb/cards/GO_REGULATION_OF_DNA_TEMPLATED_TRANSCRIPTION_INITIATION.html" TargetMode="External"/><Relationship Id="rId1683" Type="http://schemas.openxmlformats.org/officeDocument/2006/relationships/hyperlink" Target="http://www.broadinstitute.org/gsea/msigdb/cards/GO_METHYLATED_HISTONE_BINDING.html" TargetMode="External"/><Relationship Id="rId1684" Type="http://schemas.openxmlformats.org/officeDocument/2006/relationships/hyperlink" Target="http://www.broadinstitute.org/gsea/msigdb/cards/GO_TISSUE_DEVELOPMENT.html" TargetMode="External"/><Relationship Id="rId1685" Type="http://schemas.openxmlformats.org/officeDocument/2006/relationships/hyperlink" Target="http://www.broadinstitute.org/gsea/msigdb/cards/GO_NUCLEAR_CHROMOSOME_TELOMERIC_REGION.html" TargetMode="External"/><Relationship Id="rId1686" Type="http://schemas.openxmlformats.org/officeDocument/2006/relationships/hyperlink" Target="http://www.broadinstitute.org/gsea/msigdb/cards/GO_CONDENSED_CHROMOSOME.html" TargetMode="External"/><Relationship Id="rId1687" Type="http://schemas.openxmlformats.org/officeDocument/2006/relationships/hyperlink" Target="http://www.broadinstitute.org/gsea/msigdb/cards/GO_CORE_PROMOTER_PROXIMAL_REGION_DNA_BINDING.html" TargetMode="External"/><Relationship Id="rId1688" Type="http://schemas.openxmlformats.org/officeDocument/2006/relationships/hyperlink" Target="http://www.broadinstitute.org/gsea/msigdb/cards/GO_POSITIVE_REGULATION_OF_CELL_DEATH.html" TargetMode="External"/><Relationship Id="rId1689" Type="http://schemas.openxmlformats.org/officeDocument/2006/relationships/hyperlink" Target="http://www.broadinstitute.org/gsea/msigdb/cards/GO_NEURON_DEVELOPMENT.html" TargetMode="External"/><Relationship Id="rId3090" Type="http://schemas.openxmlformats.org/officeDocument/2006/relationships/hyperlink" Target="http://www.broadinstitute.org/gsea/msigdb/cards/GSE24726_WT_VS_E2_2_KO_PDC_UP.html" TargetMode="External"/><Relationship Id="rId3091" Type="http://schemas.openxmlformats.org/officeDocument/2006/relationships/hyperlink" Target="http://www.broadinstitute.org/gsea/msigdb/cards/GSE24726_WT_VS_E2_2_KO_PDC_DAY6_POST_DELETION_UP.html" TargetMode="External"/><Relationship Id="rId3092" Type="http://schemas.openxmlformats.org/officeDocument/2006/relationships/hyperlink" Target="http://www.broadinstitute.org/gsea/msigdb/cards/GSE24972_WT_VS_IRF8_KO_MARGINAL_ZONE_SPLEEN_BCELL_UP.html" TargetMode="External"/><Relationship Id="rId3093" Type="http://schemas.openxmlformats.org/officeDocument/2006/relationships/hyperlink" Target="http://www.broadinstitute.org/gsea/msigdb/cards/GSE19941_UNSTIM_VS_LPS_STIM_IL10_KO_MACROPHAGE_DN.html" TargetMode="External"/><Relationship Id="rId3094" Type="http://schemas.openxmlformats.org/officeDocument/2006/relationships/hyperlink" Target="http://www.broadinstitute.org/gsea/msigdb/cards/GSE22611_NOD2_TRANSD_VS_CTRL_TRANSD_HEK293_MDP_STIM_2H_UP.html" TargetMode="External"/><Relationship Id="rId3095" Type="http://schemas.openxmlformats.org/officeDocument/2006/relationships/hyperlink" Target="http://www.broadinstitute.org/gsea/msigdb/cards/GSE26488_WT_VS_HDAC7_KO_DOUBLE_POSITIVE_THYMOCYTE_UP.html" TargetMode="External"/><Relationship Id="rId3096" Type="http://schemas.openxmlformats.org/officeDocument/2006/relationships/hyperlink" Target="http://www.broadinstitute.org/gsea/msigdb/cards/GSE21063_3H_VS_16H_ANTI_IGM_STIM_NFATC1_KOBCELL_DN.html" TargetMode="External"/><Relationship Id="rId3097" Type="http://schemas.openxmlformats.org/officeDocument/2006/relationships/hyperlink" Target="http://www.broadinstitute.org/gsea/msigdb/cards/GSE23114_WT_VS_SLE2C1_MOUSE_PERITONEAL_CAVITY_B1A_BCELL_UP.html" TargetMode="External"/><Relationship Id="rId3098" Type="http://schemas.openxmlformats.org/officeDocument/2006/relationships/hyperlink" Target="http://www.broadinstitute.org/gsea/msigdb/cards/GSE23114_PERITONEAL_CAVITY_B1A_BCELL_VS_SPLEEN_BCELL_IN_SLE2C1_MOUSE_DN.html" TargetMode="External"/><Relationship Id="rId3099" Type="http://schemas.openxmlformats.org/officeDocument/2006/relationships/hyperlink" Target="http://www.broadinstitute.org/gsea/msigdb/cards/GSE28726_ACT_CD4_TCELL_VS_ACT_VA24NEG_NKTCELL_UP.html" TargetMode="External"/><Relationship Id="rId200" Type="http://schemas.openxmlformats.org/officeDocument/2006/relationships/hyperlink" Target="http://www.broadinstitute.org/gsea/msigdb/cards/WANG_LMO4_TARGETS_UP.html" TargetMode="External"/><Relationship Id="rId201" Type="http://schemas.openxmlformats.org/officeDocument/2006/relationships/hyperlink" Target="http://www.broadinstitute.org/gsea/msigdb/cards/CREIGHTON_ENDOCRINE_THERAPY_RESISTANCE_2.html" TargetMode="External"/><Relationship Id="rId202" Type="http://schemas.openxmlformats.org/officeDocument/2006/relationships/hyperlink" Target="http://www.broadinstitute.org/gsea/msigdb/cards/LINDGREN_BLADDER_CANCER_WITH_LOH_IN_CHR9Q.html" TargetMode="External"/><Relationship Id="rId203" Type="http://schemas.openxmlformats.org/officeDocument/2006/relationships/hyperlink" Target="http://www.broadinstitute.org/gsea/msigdb/cards/KENNY_CTNNB1_TARGETS_DN.html" TargetMode="External"/><Relationship Id="rId204" Type="http://schemas.openxmlformats.org/officeDocument/2006/relationships/hyperlink" Target="http://www.broadinstitute.org/gsea/msigdb/cards/MARIADASON_RESPONSE_TO_BUTYRATE_SULINDAC_6.html" TargetMode="External"/><Relationship Id="rId205" Type="http://schemas.openxmlformats.org/officeDocument/2006/relationships/hyperlink" Target="http://www.broadinstitute.org/gsea/msigdb/cards/IVANOVA_HEMATOPOIESIS_STEM_CELL.html" TargetMode="External"/><Relationship Id="rId206" Type="http://schemas.openxmlformats.org/officeDocument/2006/relationships/hyperlink" Target="http://www.broadinstitute.org/gsea/msigdb/cards/ROESSLER_LIVER_CANCER_METASTASIS_DN.html" TargetMode="External"/><Relationship Id="rId207" Type="http://schemas.openxmlformats.org/officeDocument/2006/relationships/hyperlink" Target="http://www.broadinstitute.org/gsea/msigdb/cards/LU_EZH2_TARGETS_DN.html" TargetMode="External"/><Relationship Id="rId208" Type="http://schemas.openxmlformats.org/officeDocument/2006/relationships/hyperlink" Target="http://www.broadinstitute.org/gsea/msigdb/cards/NOUZOVA_TRETINOIN_AND_H4_ACETYLATION.html" TargetMode="External"/><Relationship Id="rId209" Type="http://schemas.openxmlformats.org/officeDocument/2006/relationships/hyperlink" Target="http://www.broadinstitute.org/gsea/msigdb/cards/ACEVEDO_LIVER_CANCER_UP.html" TargetMode="External"/><Relationship Id="rId1140" Type="http://schemas.openxmlformats.org/officeDocument/2006/relationships/hyperlink" Target="http://www.broadinstitute.org/gsea/msigdb/cards/GO_POSITIVE_REGULATION_OF_TRANSCRIPTION_FROM_RNA_POLYMERASE_II_PROMOTER.html" TargetMode="External"/><Relationship Id="rId1141" Type="http://schemas.openxmlformats.org/officeDocument/2006/relationships/hyperlink" Target="http://www.broadinstitute.org/gsea/msigdb/cards/GO_CYTOSKELETAL_PART.html" TargetMode="External"/><Relationship Id="rId1142" Type="http://schemas.openxmlformats.org/officeDocument/2006/relationships/hyperlink" Target="http://www.broadinstitute.org/gsea/msigdb/cards/GO_REGULATORY_REGION_NUCLEIC_ACID_BINDING.html" TargetMode="External"/><Relationship Id="rId1143" Type="http://schemas.openxmlformats.org/officeDocument/2006/relationships/hyperlink" Target="http://www.broadinstitute.org/gsea/msigdb/cards/GO_TRANSCRIPTION_FACTOR_ACTIVITY_PROTEIN_BINDING.html" TargetMode="External"/><Relationship Id="rId1144" Type="http://schemas.openxmlformats.org/officeDocument/2006/relationships/hyperlink" Target="http://www.broadinstitute.org/gsea/msigdb/cards/GO_REGULATION_OF_DNA_METABOLIC_PROCESS.html" TargetMode="External"/><Relationship Id="rId1145" Type="http://schemas.openxmlformats.org/officeDocument/2006/relationships/hyperlink" Target="http://www.broadinstitute.org/gsea/msigdb/cards/GO_RNA_SPLICING.html" TargetMode="External"/><Relationship Id="rId1146" Type="http://schemas.openxmlformats.org/officeDocument/2006/relationships/hyperlink" Target="http://www.broadinstitute.org/gsea/msigdb/cards/GO_TRANSCRIPTION_FACTOR_BINDING.html" TargetMode="External"/><Relationship Id="rId1147" Type="http://schemas.openxmlformats.org/officeDocument/2006/relationships/hyperlink" Target="http://www.broadinstitute.org/gsea/msigdb/cards/GO_PROTEIN_CATABOLIC_PROCESS.html" TargetMode="External"/><Relationship Id="rId1148" Type="http://schemas.openxmlformats.org/officeDocument/2006/relationships/hyperlink" Target="http://www.broadinstitute.org/gsea/msigdb/cards/GO_HISTONE_METHYLATION.html" TargetMode="External"/><Relationship Id="rId1149" Type="http://schemas.openxmlformats.org/officeDocument/2006/relationships/hyperlink" Target="http://www.broadinstitute.org/gsea/msigdb/cards/GO_PROTEIN_PHOSPHORYLATION.html" TargetMode="External"/><Relationship Id="rId2390" Type="http://schemas.openxmlformats.org/officeDocument/2006/relationships/hyperlink" Target="http://www.broadinstitute.org/gsea/msigdb/cards/GSE21927_SPLEEN_VS_C26GM_TUMOR_MONOCYTE_BALBC_DN.html" TargetMode="External"/><Relationship Id="rId2391" Type="http://schemas.openxmlformats.org/officeDocument/2006/relationships/hyperlink" Target="http://www.broadinstitute.org/gsea/msigdb/cards/GSE19401_UNSTIM_VS_RETINOIC_ACID_STIM_FOLLICULAR_DC_DN.html" TargetMode="External"/><Relationship Id="rId2392" Type="http://schemas.openxmlformats.org/officeDocument/2006/relationships/hyperlink" Target="http://www.broadinstitute.org/gsea/msigdb/cards/GSE22033_UNTREATED_VS_MRL24_TREATED_MEF_DN.html" TargetMode="External"/><Relationship Id="rId2393" Type="http://schemas.openxmlformats.org/officeDocument/2006/relationships/hyperlink" Target="http://www.broadinstitute.org/gsea/msigdb/cards/GSE22527_ANTI_CD3_INVIVO_VS_UNTREATED_MOUSE_TREG_DN.html" TargetMode="External"/><Relationship Id="rId2394" Type="http://schemas.openxmlformats.org/officeDocument/2006/relationships/hyperlink" Target="http://www.broadinstitute.org/gsea/msigdb/cards/GSE23308_CTRL_VS_CORTICOSTERONE_TREATED_MACROPHAGE_MINERALCORTICOID_REC_KO_DN.html" TargetMode="External"/><Relationship Id="rId2395" Type="http://schemas.openxmlformats.org/officeDocument/2006/relationships/hyperlink" Target="http://www.broadinstitute.org/gsea/msigdb/cards/GSE22103_UNSTIM_VS_LPS_STIM_NEUTROPHIL_UP.html" TargetMode="External"/><Relationship Id="rId2396" Type="http://schemas.openxmlformats.org/officeDocument/2006/relationships/hyperlink" Target="http://www.broadinstitute.org/gsea/msigdb/cards/GSE22589_HIV_VS_HIV_AND_SIV_INFECTED_DC_DN.html" TargetMode="External"/><Relationship Id="rId2397" Type="http://schemas.openxmlformats.org/officeDocument/2006/relationships/hyperlink" Target="http://www.broadinstitute.org/gsea/msigdb/cards/GSE25088_IL4_VS_IL4_AND_ROSIGLITAZONE_STIM_MACROPHAGE_DAY10_UP.html" TargetMode="External"/><Relationship Id="rId2398" Type="http://schemas.openxmlformats.org/officeDocument/2006/relationships/hyperlink" Target="http://www.broadinstitute.org/gsea/msigdb/cards/GSE17301_ACD3_ACD28_VS_ACD3_ACD28_AND_IFNA2_STIM_CD8_TCELL_DN.html" TargetMode="External"/><Relationship Id="rId2399" Type="http://schemas.openxmlformats.org/officeDocument/2006/relationships/hyperlink" Target="http://www.broadinstitute.org/gsea/msigdb/cards/GSE25502_WT_VS_KLF13_KO_THYMIC_MEMORY_LIKE_CD8_TCELL_UP.html" TargetMode="External"/><Relationship Id="rId750" Type="http://schemas.openxmlformats.org/officeDocument/2006/relationships/hyperlink" Target="http://www.broadinstitute.org/gsea/msigdb/cards/GTGGTGA_MIR197.html" TargetMode="External"/><Relationship Id="rId751" Type="http://schemas.openxmlformats.org/officeDocument/2006/relationships/hyperlink" Target="http://www.broadinstitute.org/gsea/msigdb/cards/GTAGGCA_MIR189.html" TargetMode="External"/><Relationship Id="rId752" Type="http://schemas.openxmlformats.org/officeDocument/2006/relationships/hyperlink" Target="http://www.broadinstitute.org/gsea/msigdb/cards/WCAANNNYCAG_UNKNOWN.html" TargetMode="External"/><Relationship Id="rId753" Type="http://schemas.openxmlformats.org/officeDocument/2006/relationships/hyperlink" Target="http://www.broadinstitute.org/gsea/msigdb/cards/E4F1_Q6.html" TargetMode="External"/><Relationship Id="rId754" Type="http://schemas.openxmlformats.org/officeDocument/2006/relationships/hyperlink" Target="http://www.broadinstitute.org/gsea/msigdb/cards/PEA3_Q6.html" TargetMode="External"/><Relationship Id="rId755" Type="http://schemas.openxmlformats.org/officeDocument/2006/relationships/hyperlink" Target="http://www.broadinstitute.org/gsea/msigdb/cards/NRF2_Q4.html" TargetMode="External"/><Relationship Id="rId756" Type="http://schemas.openxmlformats.org/officeDocument/2006/relationships/hyperlink" Target="http://www.broadinstitute.org/gsea/msigdb/cards/PBX1_02.html" TargetMode="External"/><Relationship Id="rId757" Type="http://schemas.openxmlformats.org/officeDocument/2006/relationships/hyperlink" Target="http://www.broadinstitute.org/gsea/msigdb/cards/CAGCACT_MIR5123P.html" TargetMode="External"/><Relationship Id="rId758" Type="http://schemas.openxmlformats.org/officeDocument/2006/relationships/hyperlink" Target="http://www.broadinstitute.org/gsea/msigdb/cards/TCTGATC_MIR383.html" TargetMode="External"/><Relationship Id="rId759" Type="http://schemas.openxmlformats.org/officeDocument/2006/relationships/hyperlink" Target="http://www.broadinstitute.org/gsea/msigdb/cards/NKX22_01.html" TargetMode="External"/><Relationship Id="rId1690" Type="http://schemas.openxmlformats.org/officeDocument/2006/relationships/hyperlink" Target="http://www.broadinstitute.org/gsea/msigdb/cards/GO_MICROTUBULE_MOTOR_ACTIVITY.html" TargetMode="External"/><Relationship Id="rId1691" Type="http://schemas.openxmlformats.org/officeDocument/2006/relationships/hyperlink" Target="http://www.broadinstitute.org/gsea/msigdb/cards/GO_RNA_POLYMERASE_II_TRANSCRIPTION_FACTOR_BINDING.html" TargetMode="External"/><Relationship Id="rId1692" Type="http://schemas.openxmlformats.org/officeDocument/2006/relationships/hyperlink" Target="http://www.broadinstitute.org/gsea/msigdb/cards/GO_KINASE_BINDING.html" TargetMode="External"/><Relationship Id="rId1693" Type="http://schemas.openxmlformats.org/officeDocument/2006/relationships/hyperlink" Target="http://www.broadinstitute.org/gsea/msigdb/cards/GO_SEXUAL_REPRODUCTION.html" TargetMode="External"/><Relationship Id="rId1694" Type="http://schemas.openxmlformats.org/officeDocument/2006/relationships/hyperlink" Target="http://www.broadinstitute.org/gsea/msigdb/cards/GO_RNA_POLYMERASE_II_CORE_PROMOTER_SEQUENCE_SPECIFIC_DNA_BINDING.html" TargetMode="External"/><Relationship Id="rId1695" Type="http://schemas.openxmlformats.org/officeDocument/2006/relationships/hyperlink" Target="http://www.broadinstitute.org/gsea/msigdb/cards/GO_LIGAND_DEPENDENT_NUCLEAR_RECEPTOR_TRANSCRIPTION_COACTIVATOR_ACTIVITY.html" TargetMode="External"/><Relationship Id="rId1696" Type="http://schemas.openxmlformats.org/officeDocument/2006/relationships/hyperlink" Target="http://www.broadinstitute.org/gsea/msigdb/cards/GO_TELOMERE_MAINTENANCE_VIA_RECOMBINATION.html" TargetMode="External"/><Relationship Id="rId1697" Type="http://schemas.openxmlformats.org/officeDocument/2006/relationships/hyperlink" Target="http://www.broadinstitute.org/gsea/msigdb/cards/GO_EPITHELIUM_DEVELOPMENT.html" TargetMode="External"/><Relationship Id="rId1698" Type="http://schemas.openxmlformats.org/officeDocument/2006/relationships/hyperlink" Target="http://www.broadinstitute.org/gsea/msigdb/cards/GO_NUCLEAR_PORE_ORGANIZATION.html" TargetMode="External"/><Relationship Id="rId1699" Type="http://schemas.openxmlformats.org/officeDocument/2006/relationships/hyperlink" Target="http://www.broadinstitute.org/gsea/msigdb/cards/GO_HISTONE_H2A_ACETYLATION.html" TargetMode="External"/><Relationship Id="rId210" Type="http://schemas.openxmlformats.org/officeDocument/2006/relationships/hyperlink" Target="http://www.broadinstitute.org/gsea/msigdb/cards/GOLDRATH_HOMEOSTATIC_PROLIFERATION.html" TargetMode="External"/><Relationship Id="rId211" Type="http://schemas.openxmlformats.org/officeDocument/2006/relationships/hyperlink" Target="http://www.broadinstitute.org/gsea/msigdb/cards/OUILLETTE_CLL_13Q14_DELETION_UP.html" TargetMode="External"/><Relationship Id="rId212" Type="http://schemas.openxmlformats.org/officeDocument/2006/relationships/hyperlink" Target="http://www.broadinstitute.org/gsea/msigdb/cards/MOREAUX_MULTIPLE_MYELOMA_BY_TACI_DN.html" TargetMode="External"/><Relationship Id="rId213" Type="http://schemas.openxmlformats.org/officeDocument/2006/relationships/hyperlink" Target="http://www.broadinstitute.org/gsea/msigdb/cards/PECE_MAMMARY_STEM_CELL_DN.html" TargetMode="External"/><Relationship Id="rId214" Type="http://schemas.openxmlformats.org/officeDocument/2006/relationships/hyperlink" Target="http://www.broadinstitute.org/gsea/msigdb/cards/GENTILE_UV_RESPONSE_CLUSTER_D4.html" TargetMode="External"/><Relationship Id="rId215" Type="http://schemas.openxmlformats.org/officeDocument/2006/relationships/hyperlink" Target="http://www.broadinstitute.org/gsea/msigdb/cards/CHANDRAN_METASTASIS_TOP50_UP.html" TargetMode="External"/><Relationship Id="rId216" Type="http://schemas.openxmlformats.org/officeDocument/2006/relationships/hyperlink" Target="http://www.broadinstitute.org/gsea/msigdb/cards/BIOCARTA_MTOR_PATHWAY.html" TargetMode="External"/><Relationship Id="rId217" Type="http://schemas.openxmlformats.org/officeDocument/2006/relationships/hyperlink" Target="http://www.broadinstitute.org/gsea/msigdb/cards/REACTOME_CIRCADIAN_REPRESSION_OF_EXPRESSION_BY_REV_ERBA.html" TargetMode="External"/><Relationship Id="rId218" Type="http://schemas.openxmlformats.org/officeDocument/2006/relationships/hyperlink" Target="http://www.broadinstitute.org/gsea/msigdb/cards/SAGIV_CD24_TARGETS_UP.html" TargetMode="External"/><Relationship Id="rId219" Type="http://schemas.openxmlformats.org/officeDocument/2006/relationships/hyperlink" Target="http://www.broadinstitute.org/gsea/msigdb/cards/SENGUPTA_NASOPHARYNGEAL_CARCINOMA_UP.html" TargetMode="External"/><Relationship Id="rId1150" Type="http://schemas.openxmlformats.org/officeDocument/2006/relationships/hyperlink" Target="http://www.broadinstitute.org/gsea/msigdb/cards/GO_RIBONUCLEOPROTEIN_GRANULE.html" TargetMode="External"/><Relationship Id="rId1151" Type="http://schemas.openxmlformats.org/officeDocument/2006/relationships/hyperlink" Target="http://www.broadinstitute.org/gsea/msigdb/cards/GO_MRNA_PROCESSING.html" TargetMode="External"/><Relationship Id="rId1152" Type="http://schemas.openxmlformats.org/officeDocument/2006/relationships/hyperlink" Target="http://www.broadinstitute.org/gsea/msigdb/cards/GO_REGULATION_OF_CELLULAR_RESPONSE_TO_STRESS.html" TargetMode="External"/><Relationship Id="rId1153" Type="http://schemas.openxmlformats.org/officeDocument/2006/relationships/hyperlink" Target="http://www.broadinstitute.org/gsea/msigdb/cards/GO_NUCLEIC_ACID_PHOSPHODIESTER_BOND_HYDROLYSIS.html" TargetMode="External"/><Relationship Id="rId1154" Type="http://schemas.openxmlformats.org/officeDocument/2006/relationships/hyperlink" Target="http://www.broadinstitute.org/gsea/msigdb/cards/GO_PROTEIN_LOCALIZATION.html" TargetMode="External"/><Relationship Id="rId1155" Type="http://schemas.openxmlformats.org/officeDocument/2006/relationships/hyperlink" Target="http://www.broadinstitute.org/gsea/msigdb/cards/GO_SEQUENCE_SPECIFIC_DNA_BINDING.html" TargetMode="External"/><Relationship Id="rId1156" Type="http://schemas.openxmlformats.org/officeDocument/2006/relationships/hyperlink" Target="http://www.broadinstitute.org/gsea/msigdb/cards/GO_REGULATION_OF_CHROMOSOME_ORGANIZATION.html" TargetMode="External"/><Relationship Id="rId1157" Type="http://schemas.openxmlformats.org/officeDocument/2006/relationships/hyperlink" Target="http://www.broadinstitute.org/gsea/msigdb/cards/GO_HYDROLASE_ACTIVITY_ACTING_ON_ACID_ANHYDRIDES.html" TargetMode="External"/><Relationship Id="rId1158" Type="http://schemas.openxmlformats.org/officeDocument/2006/relationships/hyperlink" Target="http://www.broadinstitute.org/gsea/msigdb/cards/GO_PROTEIN_ACYLATION.html" TargetMode="External"/><Relationship Id="rId1159" Type="http://schemas.openxmlformats.org/officeDocument/2006/relationships/hyperlink" Target="http://www.broadinstitute.org/gsea/msigdb/cards/GO_SISTER_CHROMATID_COHESION.html" TargetMode="External"/><Relationship Id="rId760" Type="http://schemas.openxmlformats.org/officeDocument/2006/relationships/hyperlink" Target="http://www.broadinstitute.org/gsea/msigdb/cards/GAGCTGG_MIR337.html" TargetMode="External"/><Relationship Id="rId761" Type="http://schemas.openxmlformats.org/officeDocument/2006/relationships/hyperlink" Target="http://www.broadinstitute.org/gsea/msigdb/cards/CEBPB_02.html" TargetMode="External"/><Relationship Id="rId762" Type="http://schemas.openxmlformats.org/officeDocument/2006/relationships/hyperlink" Target="http://www.broadinstitute.org/gsea/msigdb/cards/LBP1_Q6.html" TargetMode="External"/><Relationship Id="rId763" Type="http://schemas.openxmlformats.org/officeDocument/2006/relationships/hyperlink" Target="http://www.broadinstitute.org/gsea/msigdb/cards/ATCMNTCCGY_UNKNOWN.html" TargetMode="External"/><Relationship Id="rId764" Type="http://schemas.openxmlformats.org/officeDocument/2006/relationships/hyperlink" Target="http://www.broadinstitute.org/gsea/msigdb/cards/ZID_01.html" TargetMode="External"/><Relationship Id="rId765" Type="http://schemas.openxmlformats.org/officeDocument/2006/relationships/hyperlink" Target="http://www.broadinstitute.org/gsea/msigdb/cards/PPAR_DR1_Q2.html" TargetMode="External"/><Relationship Id="rId766" Type="http://schemas.openxmlformats.org/officeDocument/2006/relationships/hyperlink" Target="http://www.broadinstitute.org/gsea/msigdb/cards/ACACTCC_MIR122A.html" TargetMode="External"/><Relationship Id="rId767" Type="http://schemas.openxmlformats.org/officeDocument/2006/relationships/hyperlink" Target="http://www.broadinstitute.org/gsea/msigdb/cards/ALPHACP1_01.html" TargetMode="External"/><Relationship Id="rId768" Type="http://schemas.openxmlformats.org/officeDocument/2006/relationships/hyperlink" Target="http://www.broadinstitute.org/gsea/msigdb/cards/ZIC1_01.html" TargetMode="External"/><Relationship Id="rId769" Type="http://schemas.openxmlformats.org/officeDocument/2006/relationships/hyperlink" Target="http://www.broadinstitute.org/gsea/msigdb/cards/CACGTTT_MIR302A.html" TargetMode="External"/><Relationship Id="rId220" Type="http://schemas.openxmlformats.org/officeDocument/2006/relationships/hyperlink" Target="http://www.broadinstitute.org/gsea/msigdb/cards/BURTON_ADIPOGENESIS_11.html" TargetMode="External"/><Relationship Id="rId221" Type="http://schemas.openxmlformats.org/officeDocument/2006/relationships/hyperlink" Target="http://www.broadinstitute.org/gsea/msigdb/cards/BROWNE_HCMV_INFECTION_10HR_UP.html" TargetMode="External"/><Relationship Id="rId222" Type="http://schemas.openxmlformats.org/officeDocument/2006/relationships/hyperlink" Target="http://www.broadinstitute.org/gsea/msigdb/cards/REACTOME_RORA_ACTIVATES_CIRCADIAN_EXPRESSION.html" TargetMode="External"/><Relationship Id="rId223" Type="http://schemas.openxmlformats.org/officeDocument/2006/relationships/hyperlink" Target="http://www.broadinstitute.org/gsea/msigdb/cards/REACTOME_METABOLISM_OF_RNA.html" TargetMode="External"/><Relationship Id="rId224" Type="http://schemas.openxmlformats.org/officeDocument/2006/relationships/hyperlink" Target="http://www.broadinstitute.org/gsea/msigdb/cards/BIOCARTA_VDR_PATHWAY.html" TargetMode="External"/><Relationship Id="rId225" Type="http://schemas.openxmlformats.org/officeDocument/2006/relationships/hyperlink" Target="http://www.broadinstitute.org/gsea/msigdb/cards/DAVICIONI_MOLECULAR_ARMS_VS_ERMS_UP.html" TargetMode="External"/><Relationship Id="rId226" Type="http://schemas.openxmlformats.org/officeDocument/2006/relationships/hyperlink" Target="http://www.broadinstitute.org/gsea/msigdb/cards/KEGG_RNA_DEGRADATION.html" TargetMode="External"/><Relationship Id="rId227" Type="http://schemas.openxmlformats.org/officeDocument/2006/relationships/hyperlink" Target="http://www.broadinstitute.org/gsea/msigdb/cards/PID_P53_REGULATION_PATHWAY.html" TargetMode="External"/><Relationship Id="rId228" Type="http://schemas.openxmlformats.org/officeDocument/2006/relationships/hyperlink" Target="http://www.broadinstitute.org/gsea/msigdb/cards/YOSHIMURA_MAPK8_TARGETS_DN.html" TargetMode="External"/><Relationship Id="rId229" Type="http://schemas.openxmlformats.org/officeDocument/2006/relationships/hyperlink" Target="http://www.broadinstitute.org/gsea/msigdb/cards/MCCABE_BOUND_BY_HOXC6.html" TargetMode="External"/><Relationship Id="rId1160" Type="http://schemas.openxmlformats.org/officeDocument/2006/relationships/hyperlink" Target="http://www.broadinstitute.org/gsea/msigdb/cards/GO_PHOSPHORYLATION.html" TargetMode="External"/><Relationship Id="rId1161" Type="http://schemas.openxmlformats.org/officeDocument/2006/relationships/hyperlink" Target="http://www.broadinstitute.org/gsea/msigdb/cards/GO_PROTEIN_ACETYLATION.html" TargetMode="External"/><Relationship Id="rId1162" Type="http://schemas.openxmlformats.org/officeDocument/2006/relationships/hyperlink" Target="http://www.broadinstitute.org/gsea/msigdb/cards/GO_MACROMOLECULE_METHYLATION.html" TargetMode="External"/><Relationship Id="rId1163" Type="http://schemas.openxmlformats.org/officeDocument/2006/relationships/hyperlink" Target="http://www.broadinstitute.org/gsea/msigdb/cards/GO_RIBONUCLEOPROTEIN_COMPLEX_BIOGENESIS.html" TargetMode="External"/><Relationship Id="rId1164" Type="http://schemas.openxmlformats.org/officeDocument/2006/relationships/hyperlink" Target="http://www.broadinstitute.org/gsea/msigdb/cards/GO_CYTOSKELETON.html" TargetMode="External"/><Relationship Id="rId1165" Type="http://schemas.openxmlformats.org/officeDocument/2006/relationships/hyperlink" Target="http://www.broadinstitute.org/gsea/msigdb/cards/GO_NUCLEAR_ENVELOPE.html" TargetMode="External"/><Relationship Id="rId1166" Type="http://schemas.openxmlformats.org/officeDocument/2006/relationships/hyperlink" Target="http://www.broadinstitute.org/gsea/msigdb/cards/GO_TRANSCRIPTION_COACTIVATOR_ACTIVITY.html" TargetMode="External"/><Relationship Id="rId1167" Type="http://schemas.openxmlformats.org/officeDocument/2006/relationships/hyperlink" Target="http://www.broadinstitute.org/gsea/msigdb/cards/GO_PROTEIN_SERINE_THREONINE_KINASE_ACTIVITY.html" TargetMode="External"/><Relationship Id="rId1168" Type="http://schemas.openxmlformats.org/officeDocument/2006/relationships/hyperlink" Target="http://www.broadinstitute.org/gsea/msigdb/cards/GO_HISTONE_METHYLTRANSFERASE_COMPLEX.html" TargetMode="External"/><Relationship Id="rId1169" Type="http://schemas.openxmlformats.org/officeDocument/2006/relationships/hyperlink" Target="http://www.broadinstitute.org/gsea/msigdb/cards/GO_PROTEIN_ALKYLATION.html" TargetMode="External"/><Relationship Id="rId770" Type="http://schemas.openxmlformats.org/officeDocument/2006/relationships/hyperlink" Target="http://www.broadinstitute.org/gsea/msigdb/cards/CREB_01.html" TargetMode="External"/><Relationship Id="rId771" Type="http://schemas.openxmlformats.org/officeDocument/2006/relationships/hyperlink" Target="http://www.broadinstitute.org/gsea/msigdb/cards/AML1_01.html" TargetMode="External"/><Relationship Id="rId772" Type="http://schemas.openxmlformats.org/officeDocument/2006/relationships/hyperlink" Target="http://www.broadinstitute.org/gsea/msigdb/cards/CCGNMNNTNACG_UNKNOWN.html" TargetMode="External"/><Relationship Id="rId773" Type="http://schemas.openxmlformats.org/officeDocument/2006/relationships/hyperlink" Target="http://www.broadinstitute.org/gsea/msigdb/cards/AML1_Q6.html" TargetMode="External"/><Relationship Id="rId774" Type="http://schemas.openxmlformats.org/officeDocument/2006/relationships/hyperlink" Target="http://www.broadinstitute.org/gsea/msigdb/cards/GNCF_01.html" TargetMode="External"/><Relationship Id="rId775" Type="http://schemas.openxmlformats.org/officeDocument/2006/relationships/hyperlink" Target="http://www.broadinstitute.org/gsea/msigdb/cards/STAT4_01.html" TargetMode="External"/><Relationship Id="rId776" Type="http://schemas.openxmlformats.org/officeDocument/2006/relationships/hyperlink" Target="http://www.broadinstitute.org/gsea/msigdb/cards/GTGCCAA_MIR96.html" TargetMode="External"/><Relationship Id="rId777" Type="http://schemas.openxmlformats.org/officeDocument/2006/relationships/hyperlink" Target="http://www.broadinstitute.org/gsea/msigdb/cards/CRX_Q4.html" TargetMode="External"/><Relationship Id="rId778" Type="http://schemas.openxmlformats.org/officeDocument/2006/relationships/hyperlink" Target="http://www.broadinstitute.org/gsea/msigdb/cards/MZF1_01.html" TargetMode="External"/><Relationship Id="rId779" Type="http://schemas.openxmlformats.org/officeDocument/2006/relationships/hyperlink" Target="http://www.broadinstitute.org/gsea/msigdb/cards/AHRARNT_01.html" TargetMode="External"/></Relationships>
</file>

<file path=xl/worksheets/_rels/sheet6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broadinstitute.org/gsea/msigdb/cards/MULLIGHAN_NPM1_SIGNATURE_3_UP.html" TargetMode="External"/><Relationship Id="rId501" Type="http://schemas.openxmlformats.org/officeDocument/2006/relationships/hyperlink" Target="http://www.broadinstitute.org/gsea/msigdb/cards/SESTO_RESPONSE_TO_UV_C7.html" TargetMode="External"/><Relationship Id="rId502" Type="http://schemas.openxmlformats.org/officeDocument/2006/relationships/hyperlink" Target="http://www.broadinstitute.org/gsea/msigdb/cards/JOHANSSON_BRAIN_CANCER_EARLY_VS_LATE_UP.html" TargetMode="External"/><Relationship Id="rId503" Type="http://schemas.openxmlformats.org/officeDocument/2006/relationships/hyperlink" Target="http://www.broadinstitute.org/gsea/msigdb/cards/MODY_HIPPOCAMPUS_PRENATAL.html" TargetMode="External"/><Relationship Id="rId110" Type="http://schemas.openxmlformats.org/officeDocument/2006/relationships/hyperlink" Target="http://www.broadinstitute.org/gsea/msigdb/cards/MOLENAAR_TARGETS_OF_CCND1_AND_CDK4_DN.html" TargetMode="External"/><Relationship Id="rId111" Type="http://schemas.openxmlformats.org/officeDocument/2006/relationships/hyperlink" Target="http://www.broadinstitute.org/gsea/msigdb/cards/KAUFFMANN_DNA_REPAIR_GENES.html" TargetMode="External"/><Relationship Id="rId112" Type="http://schemas.openxmlformats.org/officeDocument/2006/relationships/hyperlink" Target="http://www.broadinstitute.org/gsea/msigdb/cards/SHEPARD_CRUSH_AND_BURN_MUTANT_DN.html" TargetMode="External"/><Relationship Id="rId113" Type="http://schemas.openxmlformats.org/officeDocument/2006/relationships/hyperlink" Target="http://www.broadinstitute.org/gsea/msigdb/cards/SONG_TARGETS_OF_IE86_CMV_PROTEIN.html" TargetMode="External"/><Relationship Id="rId114" Type="http://schemas.openxmlformats.org/officeDocument/2006/relationships/hyperlink" Target="http://www.broadinstitute.org/gsea/msigdb/cards/RHODES_UNDIFFERENTIATED_CANCER.html" TargetMode="External"/><Relationship Id="rId115" Type="http://schemas.openxmlformats.org/officeDocument/2006/relationships/hyperlink" Target="http://www.broadinstitute.org/gsea/msigdb/cards/REACTOME_MITOTIC_G1_G1_S_PHASES.html" TargetMode="External"/><Relationship Id="rId116" Type="http://schemas.openxmlformats.org/officeDocument/2006/relationships/hyperlink" Target="http://www.broadinstitute.org/gsea/msigdb/cards/PUJANA_BREAST_CANCER_WITH_BRCA1_MUTATED_UP.html" TargetMode="External"/><Relationship Id="rId117" Type="http://schemas.openxmlformats.org/officeDocument/2006/relationships/hyperlink" Target="http://www.broadinstitute.org/gsea/msigdb/cards/RHEIN_ALL_GLUCOCORTICOID_THERAPY_DN.html" TargetMode="External"/><Relationship Id="rId118" Type="http://schemas.openxmlformats.org/officeDocument/2006/relationships/hyperlink" Target="http://www.broadinstitute.org/gsea/msigdb/cards/PUJANA_ATM_PCC_NETWORK.html" TargetMode="External"/><Relationship Id="rId119" Type="http://schemas.openxmlformats.org/officeDocument/2006/relationships/hyperlink" Target="http://www.broadinstitute.org/gsea/msigdb/cards/NAKAYAMA_SOFT_TISSUE_TUMORS_PCA2_UP.html" TargetMode="External"/><Relationship Id="rId504" Type="http://schemas.openxmlformats.org/officeDocument/2006/relationships/hyperlink" Target="http://www.broadinstitute.org/gsea/msigdb/cards/ZHAN_EARLY_DIFFERENTIATION_GENES_DN.html" TargetMode="External"/><Relationship Id="rId505" Type="http://schemas.openxmlformats.org/officeDocument/2006/relationships/hyperlink" Target="http://www.broadinstitute.org/gsea/msigdb/cards/GLINSKY_CANCER_DEATH_UP.html" TargetMode="External"/><Relationship Id="rId506" Type="http://schemas.openxmlformats.org/officeDocument/2006/relationships/hyperlink" Target="http://www.broadinstitute.org/gsea/msigdb/cards/POMEROY_MEDULLOBLASTOMA_PROGNOSIS_DN.html" TargetMode="External"/><Relationship Id="rId507" Type="http://schemas.openxmlformats.org/officeDocument/2006/relationships/hyperlink" Target="http://www.broadinstitute.org/gsea/msigdb/cards/PID_P53_DOWNSTREAM_PATHWAY.html" TargetMode="External"/><Relationship Id="rId508" Type="http://schemas.openxmlformats.org/officeDocument/2006/relationships/hyperlink" Target="http://www.broadinstitute.org/gsea/msigdb/cards/BROWNE_HCMV_INFECTION_18HR_UP.html" TargetMode="External"/><Relationship Id="rId509" Type="http://schemas.openxmlformats.org/officeDocument/2006/relationships/hyperlink" Target="http://www.broadinstitute.org/gsea/msigdb/cards/PID_PRL_SIGNALING_EVENTS_PATHWAY.html" TargetMode="External"/><Relationship Id="rId1760" Type="http://schemas.openxmlformats.org/officeDocument/2006/relationships/hyperlink" Target="http://www.broadinstitute.org/gsea/msigdb/cards/GSE37532_TREG_VS_TCONV_PPARG_KO_CD4_TCELL_FROM_LN_UP.html" TargetMode="External"/><Relationship Id="rId1761" Type="http://schemas.openxmlformats.org/officeDocument/2006/relationships/hyperlink" Target="http://www.broadinstitute.org/gsea/msigdb/cards/GSE43863_TH1_VS_LY6C_INT_CXCR5POS_EFFECTOR_CD4_TCELL_UP.html" TargetMode="External"/><Relationship Id="rId1762" Type="http://schemas.openxmlformats.org/officeDocument/2006/relationships/hyperlink" Target="http://www.broadinstitute.org/gsea/msigdb/cards/GSE8921_UNSTIM_VS_TLR1_2_STIM_MONOCYTE_3H_UP.html" TargetMode="External"/><Relationship Id="rId1763" Type="http://schemas.openxmlformats.org/officeDocument/2006/relationships/hyperlink" Target="http://www.broadinstitute.org/gsea/msigdb/cards/GSE27241_CTRL_VS_DIGOXIN_TREATED_RORGT_KO_CD4_TCELL_IN_TH17_POLARIZING_CONDITIONS_UP.html" TargetMode="External"/><Relationship Id="rId1370" Type="http://schemas.openxmlformats.org/officeDocument/2006/relationships/hyperlink" Target="http://www.broadinstitute.org/gsea/msigdb/cards/GO_SEX_CHROMOSOME.html" TargetMode="External"/><Relationship Id="rId1371" Type="http://schemas.openxmlformats.org/officeDocument/2006/relationships/hyperlink" Target="http://www.broadinstitute.org/gsea/msigdb/cards/GO_LATERAL_ELEMENT.html" TargetMode="External"/><Relationship Id="rId1372" Type="http://schemas.openxmlformats.org/officeDocument/2006/relationships/hyperlink" Target="http://www.broadinstitute.org/gsea/msigdb/cards/GO_CELL_CYCLE_ARREST.html" TargetMode="External"/><Relationship Id="rId1373" Type="http://schemas.openxmlformats.org/officeDocument/2006/relationships/hyperlink" Target="http://www.broadinstitute.org/gsea/msigdb/cards/GO_CYTOSKELETON_DEPENDENT_INTRACELLULAR_TRANSPORT.html" TargetMode="External"/><Relationship Id="rId1374" Type="http://schemas.openxmlformats.org/officeDocument/2006/relationships/hyperlink" Target="http://www.broadinstitute.org/gsea/msigdb/cards/GO_CELLULAR_RESPONSE_TO_IONIZING_RADIATION.html" TargetMode="External"/><Relationship Id="rId1375" Type="http://schemas.openxmlformats.org/officeDocument/2006/relationships/hyperlink" Target="http://www.broadinstitute.org/gsea/msigdb/cards/GO_REGULATION_OF_GENE_SILENCING.html" TargetMode="External"/><Relationship Id="rId1376" Type="http://schemas.openxmlformats.org/officeDocument/2006/relationships/hyperlink" Target="http://www.broadinstitute.org/gsea/msigdb/cards/GO_DNA_DIRECTED_DNA_POLYMERASE_ACTIVITY.html" TargetMode="External"/><Relationship Id="rId1377" Type="http://schemas.openxmlformats.org/officeDocument/2006/relationships/hyperlink" Target="http://www.broadinstitute.org/gsea/msigdb/cards/GO_PROTEIN_LOCALIZATION_TO_NUCLEUS.html" TargetMode="External"/><Relationship Id="rId1378" Type="http://schemas.openxmlformats.org/officeDocument/2006/relationships/hyperlink" Target="http://www.broadinstitute.org/gsea/msigdb/cards/GO_SEQUENCE_SPECIFIC_DNA_BINDING.html" TargetMode="External"/><Relationship Id="rId1379" Type="http://schemas.openxmlformats.org/officeDocument/2006/relationships/hyperlink" Target="http://www.broadinstitute.org/gsea/msigdb/cards/GO_REGULATION_OF_CELL_CYCLE_CHECKPOINT.html" TargetMode="External"/><Relationship Id="rId1764" Type="http://schemas.openxmlformats.org/officeDocument/2006/relationships/hyperlink" Target="http://www.broadinstitute.org/gsea/msigdb/cards/KAECH_NAIVE_VS_DAY8_EFF_CD8_TCELL_DN.html" TargetMode="External"/><Relationship Id="rId1765" Type="http://schemas.openxmlformats.org/officeDocument/2006/relationships/hyperlink" Target="http://www.broadinstitute.org/gsea/msigdb/cards/GSE12845_NAIVE_VS_PRE_GC_TONSIL_BCELL_DN.html" TargetMode="External"/><Relationship Id="rId1766" Type="http://schemas.openxmlformats.org/officeDocument/2006/relationships/hyperlink" Target="http://www.broadinstitute.org/gsea/msigdb/cards/GSE1460_DP_THYMOCYTE_VS_NAIVE_CD4_TCELL_ADULT_BLOOD_UP.html" TargetMode="External"/><Relationship Id="rId1767" Type="http://schemas.openxmlformats.org/officeDocument/2006/relationships/hyperlink" Target="http://www.broadinstitute.org/gsea/msigdb/cards/GSE3039_CD4_TCELL_VS_NKT_CELL_DN.html" TargetMode="External"/><Relationship Id="rId1768" Type="http://schemas.openxmlformats.org/officeDocument/2006/relationships/hyperlink" Target="http://www.broadinstitute.org/gsea/msigdb/cards/GSE3039_ALPHAALPHA_CD8_TCELL_VS_B1_BCELL_DN.html" TargetMode="External"/><Relationship Id="rId1769" Type="http://schemas.openxmlformats.org/officeDocument/2006/relationships/hyperlink" Target="http://www.broadinstitute.org/gsea/msigdb/cards/GSE7831_CPG_VS_INFLUENZA_STIM_PDC_4H_DN.html" TargetMode="External"/><Relationship Id="rId2060" Type="http://schemas.openxmlformats.org/officeDocument/2006/relationships/hyperlink" Target="http://www.broadinstitute.org/gsea/msigdb/cards/GSE19923_HEB_KO_VS_HEB_AND_E2A_KO_DP_THYMOCYTE_UP.html" TargetMode="External"/><Relationship Id="rId2061" Type="http://schemas.openxmlformats.org/officeDocument/2006/relationships/hyperlink" Target="http://www.broadinstitute.org/gsea/msigdb/cards/GSE21927_SPLEEN_VS_4T1_TUMOR_MONOCYTE_BALBC_DN.html" TargetMode="External"/><Relationship Id="rId2062" Type="http://schemas.openxmlformats.org/officeDocument/2006/relationships/hyperlink" Target="http://www.broadinstitute.org/gsea/msigdb/cards/GSE22589_HEALTHY_VS_HIV_AND_SIV_INFECTED_DC_UP.html" TargetMode="External"/><Relationship Id="rId2063" Type="http://schemas.openxmlformats.org/officeDocument/2006/relationships/hyperlink" Target="http://www.broadinstitute.org/gsea/msigdb/cards/GSE23398_WT_VS_IL2_KO_CD4_TCELL_SCURFY_MOUSE_UP.html" TargetMode="External"/><Relationship Id="rId2064" Type="http://schemas.openxmlformats.org/officeDocument/2006/relationships/hyperlink" Target="http://www.broadinstitute.org/gsea/msigdb/cards/GSE26343_WT_VS_NFAT5_KO_MACROPHAGE_UP.html" TargetMode="External"/><Relationship Id="rId2065" Type="http://schemas.openxmlformats.org/officeDocument/2006/relationships/hyperlink" Target="http://www.broadinstitute.org/gsea/msigdb/cards/GSE37301_COMMON_LYMPHOID_PROGENITOR_VS_CD4_TCELL_DN.html" TargetMode="External"/><Relationship Id="rId2066" Type="http://schemas.openxmlformats.org/officeDocument/2006/relationships/hyperlink" Target="http://www.broadinstitute.org/gsea/msigdb/cards/GSE40273_GATA1_KO_VS_WT_TREG_UP.html" TargetMode="External"/><Relationship Id="rId2067" Type="http://schemas.openxmlformats.org/officeDocument/2006/relationships/hyperlink" Target="http://www.broadinstitute.org/gsea/msigdb/cards/GSE36078_WT_VS_IL1R_KO_LUNG_DC_AFTER_AD5_T425A_HEXON_INF_UP.html" TargetMode="External"/><Relationship Id="rId2068" Type="http://schemas.openxmlformats.org/officeDocument/2006/relationships/hyperlink" Target="http://www.broadinstitute.org/gsea/msigdb/cards/GSE11961_MARGINAL_ZONE_BCELL_VS_MEMORY_BCELL_DAY40_DN.html" TargetMode="External"/><Relationship Id="rId2069" Type="http://schemas.openxmlformats.org/officeDocument/2006/relationships/hyperlink" Target="http://www.broadinstitute.org/gsea/msigdb/cards/GSE11961_GERMINAL_CENTER_BCELL_DAY7_VS_PLASMA_CELL_DAY7_UP.html" TargetMode="External"/><Relationship Id="rId2450" Type="http://schemas.openxmlformats.org/officeDocument/2006/relationships/hyperlink" Target="http://www.broadinstitute.org/gsea/msigdb/cards/GSE22589_HEALTHY_VS_HIV_AND_SIV_INFECTED_DC_DN.html" TargetMode="External"/><Relationship Id="rId2451" Type="http://schemas.openxmlformats.org/officeDocument/2006/relationships/hyperlink" Target="http://www.broadinstitute.org/gsea/msigdb/cards/GSE16386_IL4_VS_IL4_AND_ROSIGLITAZONE_STIM_MACROPHAGE_6H_DN.html" TargetMode="External"/><Relationship Id="rId2452" Type="http://schemas.openxmlformats.org/officeDocument/2006/relationships/hyperlink" Target="http://www.broadinstitute.org/gsea/msigdb/cards/GSE25088_CTRL_VS_ROSIGLITAZONE_STIM_MACROPHAGE_DN.html" TargetMode="External"/><Relationship Id="rId2453" Type="http://schemas.openxmlformats.org/officeDocument/2006/relationships/hyperlink" Target="http://www.broadinstitute.org/gsea/msigdb/cards/GSE17301_IFNA2_VS_IFNA2_AND_ACD3_ACD28_STIM_CD8_TCELL_DN.html" TargetMode="External"/><Relationship Id="rId2454" Type="http://schemas.openxmlformats.org/officeDocument/2006/relationships/hyperlink" Target="http://www.broadinstitute.org/gsea/msigdb/cards/GSE24292_WT_VS_PPARG_KO_MACROPHAGE_DN.html" TargetMode="External"/><Relationship Id="rId2455" Type="http://schemas.openxmlformats.org/officeDocument/2006/relationships/hyperlink" Target="http://www.broadinstitute.org/gsea/msigdb/cards/GSE25846_IL10_POS_VS_NEG_CD8_TCELL_DAY7_POST_CORONAVIRUS_BRAIN_UP.html" TargetMode="External"/><Relationship Id="rId2456" Type="http://schemas.openxmlformats.org/officeDocument/2006/relationships/hyperlink" Target="http://www.broadinstitute.org/gsea/msigdb/cards/GSE22611_UNSTIM_VS_6H_MDP_STIM_NOD2_TRANSDUCED_HEK293T_CELL_UP.html" TargetMode="External"/><Relationship Id="rId2457" Type="http://schemas.openxmlformats.org/officeDocument/2006/relationships/hyperlink" Target="http://www.broadinstitute.org/gsea/msigdb/cards/GSE22611_UNSTIM_VS_2H_MDP_STIM_NOD2_TRANSDUCED_HEK293T_CELL_DN.html" TargetMode="External"/><Relationship Id="rId2458" Type="http://schemas.openxmlformats.org/officeDocument/2006/relationships/hyperlink" Target="http://www.broadinstitute.org/gsea/msigdb/cards/GSE22611_NOD2_VS_CTRL_TRANSDUCED_HEK293T_CELL_UP.html" TargetMode="External"/><Relationship Id="rId2459" Type="http://schemas.openxmlformats.org/officeDocument/2006/relationships/hyperlink" Target="http://www.broadinstitute.org/gsea/msigdb/cards/GSE22611_MUTANT_NOD2_VS_CTRL_TRANSDUCED_HEK293T_CELL_DN.html" TargetMode="External"/><Relationship Id="rId900" Type="http://schemas.openxmlformats.org/officeDocument/2006/relationships/hyperlink" Target="http://www.broadinstitute.org/gsea/msigdb/cards/MODULE_453.html" TargetMode="External"/><Relationship Id="rId901" Type="http://schemas.openxmlformats.org/officeDocument/2006/relationships/hyperlink" Target="http://www.broadinstitute.org/gsea/msigdb/cards/MODULE_533.html" TargetMode="External"/><Relationship Id="rId902" Type="http://schemas.openxmlformats.org/officeDocument/2006/relationships/hyperlink" Target="http://www.broadinstitute.org/gsea/msigdb/cards/MODULE_69.html" TargetMode="External"/><Relationship Id="rId903" Type="http://schemas.openxmlformats.org/officeDocument/2006/relationships/hyperlink" Target="http://www.broadinstitute.org/gsea/msigdb/cards/MORF_ACP1.html" TargetMode="External"/><Relationship Id="rId904" Type="http://schemas.openxmlformats.org/officeDocument/2006/relationships/hyperlink" Target="http://www.broadinstitute.org/gsea/msigdb/cards/MORF_EIF3S6.html" TargetMode="External"/><Relationship Id="rId905" Type="http://schemas.openxmlformats.org/officeDocument/2006/relationships/hyperlink" Target="http://www.broadinstitute.org/gsea/msigdb/cards/GCM_PSME1.html" TargetMode="External"/><Relationship Id="rId906" Type="http://schemas.openxmlformats.org/officeDocument/2006/relationships/hyperlink" Target="http://www.broadinstitute.org/gsea/msigdb/cards/GNF2_DENR.html" TargetMode="External"/><Relationship Id="rId907" Type="http://schemas.openxmlformats.org/officeDocument/2006/relationships/hyperlink" Target="http://www.broadinstitute.org/gsea/msigdb/cards/MODULE_136.html" TargetMode="External"/><Relationship Id="rId120" Type="http://schemas.openxmlformats.org/officeDocument/2006/relationships/hyperlink" Target="http://www.broadinstitute.org/gsea/msigdb/cards/VERNELL_RETINOBLASTOMA_PATHWAY_UP.html" TargetMode="External"/><Relationship Id="rId121" Type="http://schemas.openxmlformats.org/officeDocument/2006/relationships/hyperlink" Target="http://www.broadinstitute.org/gsea/msigdb/cards/ZHANG_BREAST_CANCER_PROGENITORS_UP.html" TargetMode="External"/><Relationship Id="rId122" Type="http://schemas.openxmlformats.org/officeDocument/2006/relationships/hyperlink" Target="http://www.broadinstitute.org/gsea/msigdb/cards/KEGG_CELL_CYCLE.html" TargetMode="External"/><Relationship Id="rId123" Type="http://schemas.openxmlformats.org/officeDocument/2006/relationships/hyperlink" Target="http://www.broadinstitute.org/gsea/msigdb/cards/WHITFIELD_CELL_CYCLE_G2_M.html" TargetMode="External"/><Relationship Id="rId124" Type="http://schemas.openxmlformats.org/officeDocument/2006/relationships/hyperlink" Target="http://www.broadinstitute.org/gsea/msigdb/cards/SHEPARD_BMYB_MORPHOLINO_DN.html" TargetMode="External"/><Relationship Id="rId125" Type="http://schemas.openxmlformats.org/officeDocument/2006/relationships/hyperlink" Target="http://www.broadinstitute.org/gsea/msigdb/cards/CHICAS_RB1_TARGETS_SENESCENT.html" TargetMode="External"/><Relationship Id="rId126" Type="http://schemas.openxmlformats.org/officeDocument/2006/relationships/hyperlink" Target="http://www.broadinstitute.org/gsea/msigdb/cards/CUI_TCF21_TARGETS_2_UP.html" TargetMode="External"/><Relationship Id="rId127" Type="http://schemas.openxmlformats.org/officeDocument/2006/relationships/hyperlink" Target="http://www.broadinstitute.org/gsea/msigdb/cards/REACTOME_G1_S_TRANSITION.html" TargetMode="External"/><Relationship Id="rId128" Type="http://schemas.openxmlformats.org/officeDocument/2006/relationships/hyperlink" Target="http://www.broadinstitute.org/gsea/msigdb/cards/KAUFFMANN_DNA_REPLICATION_GENES.html" TargetMode="External"/><Relationship Id="rId129" Type="http://schemas.openxmlformats.org/officeDocument/2006/relationships/hyperlink" Target="http://www.broadinstitute.org/gsea/msigdb/cards/WHITFIELD_CELL_CYCLE_S.html" TargetMode="External"/><Relationship Id="rId908" Type="http://schemas.openxmlformats.org/officeDocument/2006/relationships/hyperlink" Target="http://www.broadinstitute.org/gsea/msigdb/cards/MODULE_95.html" TargetMode="External"/><Relationship Id="rId909" Type="http://schemas.openxmlformats.org/officeDocument/2006/relationships/hyperlink" Target="http://www.broadinstitute.org/gsea/msigdb/cards/MODULE_163.html" TargetMode="External"/><Relationship Id="rId510" Type="http://schemas.openxmlformats.org/officeDocument/2006/relationships/hyperlink" Target="http://www.broadinstitute.org/gsea/msigdb/cards/REACTOME_LATE_PHASE_OF_HIV_LIFE_CYCLE.html" TargetMode="External"/><Relationship Id="rId511" Type="http://schemas.openxmlformats.org/officeDocument/2006/relationships/hyperlink" Target="http://www.broadinstitute.org/gsea/msigdb/cards/REACTOME_PHOSPHORYLATION_OF_THE_APC_C.html" TargetMode="External"/><Relationship Id="rId512" Type="http://schemas.openxmlformats.org/officeDocument/2006/relationships/hyperlink" Target="http://www.broadinstitute.org/gsea/msigdb/cards/RAO_BOUND_BY_SALL4_ISOFORM_B.html" TargetMode="External"/><Relationship Id="rId513" Type="http://schemas.openxmlformats.org/officeDocument/2006/relationships/hyperlink" Target="http://www.broadinstitute.org/gsea/msigdb/cards/SMITH_LIVER_CANCER.html" TargetMode="External"/><Relationship Id="rId514" Type="http://schemas.openxmlformats.org/officeDocument/2006/relationships/hyperlink" Target="http://www.broadinstitute.org/gsea/msigdb/cards/SA_G2_AND_M_PHASES.html" TargetMode="External"/><Relationship Id="rId515" Type="http://schemas.openxmlformats.org/officeDocument/2006/relationships/hyperlink" Target="http://www.broadinstitute.org/gsea/msigdb/cards/NAKAMURA_LUNG_CANCER.html" TargetMode="External"/><Relationship Id="rId516" Type="http://schemas.openxmlformats.org/officeDocument/2006/relationships/hyperlink" Target="http://www.broadinstitute.org/gsea/msigdb/cards/MILI_PSEUDOPODIA_HAPTOTAXIS_UP.html" TargetMode="External"/><Relationship Id="rId517" Type="http://schemas.openxmlformats.org/officeDocument/2006/relationships/hyperlink" Target="http://www.broadinstitute.org/gsea/msigdb/cards/GINESTIER_BREAST_CANCER_20Q13_AMPLIFICATION_DN.html" TargetMode="External"/><Relationship Id="rId518" Type="http://schemas.openxmlformats.org/officeDocument/2006/relationships/hyperlink" Target="http://www.broadinstitute.org/gsea/msigdb/cards/WELCSH_BRCA1_TARGETS_DN.html" TargetMode="External"/><Relationship Id="rId519" Type="http://schemas.openxmlformats.org/officeDocument/2006/relationships/hyperlink" Target="http://www.broadinstitute.org/gsea/msigdb/cards/KUNINGER_IGF1_VS_PDGFB_TARGETS_DN.html" TargetMode="External"/><Relationship Id="rId1770" Type="http://schemas.openxmlformats.org/officeDocument/2006/relationships/hyperlink" Target="http://www.broadinstitute.org/gsea/msigdb/cards/GSE7831_1H_VS_4H_CPG_STIM_PDC_DN.html" TargetMode="External"/><Relationship Id="rId1771" Type="http://schemas.openxmlformats.org/officeDocument/2006/relationships/hyperlink" Target="http://www.broadinstitute.org/gsea/msigdb/cards/GSE17186_CD21LOW_VS_CD21HIGH_TRANSITIONAL_BCELL_DN.html" TargetMode="External"/><Relationship Id="rId1772" Type="http://schemas.openxmlformats.org/officeDocument/2006/relationships/hyperlink" Target="http://www.broadinstitute.org/gsea/msigdb/cards/GSE19923_WT_VS_HEB_AND_E2A_KO_DP_THYMOCYTE_UP.html" TargetMode="External"/><Relationship Id="rId1773" Type="http://schemas.openxmlformats.org/officeDocument/2006/relationships/hyperlink" Target="http://www.broadinstitute.org/gsea/msigdb/cards/GSE22229_RENAL_TRANSPLANT_VS_HEALTHY_PBMC_UP.html" TargetMode="External"/><Relationship Id="rId1380" Type="http://schemas.openxmlformats.org/officeDocument/2006/relationships/hyperlink" Target="http://www.broadinstitute.org/gsea/msigdb/cards/GO_REGULATION_OF_MITOTIC_SPINDLE_CHECKPOINT.html" TargetMode="External"/><Relationship Id="rId1381" Type="http://schemas.openxmlformats.org/officeDocument/2006/relationships/hyperlink" Target="http://www.broadinstitute.org/gsea/msigdb/cards/GO_REGULATION_OF_NUCLEAR_CELL_CYCLE_DNA_REPLICATION.html" TargetMode="External"/><Relationship Id="rId1382" Type="http://schemas.openxmlformats.org/officeDocument/2006/relationships/hyperlink" Target="http://www.broadinstitute.org/gsea/msigdb/cards/GO_LAGGING_STRAND_ELONGATION.html" TargetMode="External"/><Relationship Id="rId1383" Type="http://schemas.openxmlformats.org/officeDocument/2006/relationships/hyperlink" Target="http://www.broadinstitute.org/gsea/msigdb/cards/GO_POSITIVE_REGULATION_OF_CELL_CYCLE_G1_S_PHASE_TRANSITION.html" TargetMode="External"/><Relationship Id="rId1384" Type="http://schemas.openxmlformats.org/officeDocument/2006/relationships/hyperlink" Target="http://www.broadinstitute.org/gsea/msigdb/cards/GO_COHESIN_COMPLEX.html" TargetMode="External"/><Relationship Id="rId1385" Type="http://schemas.openxmlformats.org/officeDocument/2006/relationships/hyperlink" Target="http://www.broadinstitute.org/gsea/msigdb/cards/GO_NEGATIVE_REGULATION_OF_CATABOLIC_PROCESS.html" TargetMode="External"/><Relationship Id="rId1386" Type="http://schemas.openxmlformats.org/officeDocument/2006/relationships/hyperlink" Target="http://www.broadinstitute.org/gsea/msigdb/cards/GO_LIGASE_ACTIVITY_FORMING_CARBON_NITROGEN_BONDS.html" TargetMode="External"/><Relationship Id="rId1387" Type="http://schemas.openxmlformats.org/officeDocument/2006/relationships/hyperlink" Target="http://www.broadinstitute.org/gsea/msigdb/cards/GO_PROTEIN_LOCALIZATION.html" TargetMode="External"/><Relationship Id="rId1388" Type="http://schemas.openxmlformats.org/officeDocument/2006/relationships/hyperlink" Target="http://www.broadinstitute.org/gsea/msigdb/cards/GO_CELLULAR_PROCESS_INVOLVED_IN_REPRODUCTION_IN_MULTICELLULAR_ORGANISM.html" TargetMode="External"/><Relationship Id="rId1389" Type="http://schemas.openxmlformats.org/officeDocument/2006/relationships/hyperlink" Target="http://www.broadinstitute.org/gsea/msigdb/cards/GO_TROPHOBLAST_GIANT_CELL_DIFFERENTIATION.html" TargetMode="External"/><Relationship Id="rId1774" Type="http://schemas.openxmlformats.org/officeDocument/2006/relationships/hyperlink" Target="http://www.broadinstitute.org/gsea/msigdb/cards/GSE17301_CTRL_VS_48H_ACD3_ACD28_IFNA5_STIM_CD8_TCELL_DN.html" TargetMode="External"/><Relationship Id="rId1775" Type="http://schemas.openxmlformats.org/officeDocument/2006/relationships/hyperlink" Target="http://www.broadinstitute.org/gsea/msigdb/cards/GSE27859_DC_VS_CD11C_INT_F480_INT_DC_DN.html" TargetMode="External"/><Relationship Id="rId1776" Type="http://schemas.openxmlformats.org/officeDocument/2006/relationships/hyperlink" Target="http://www.broadinstitute.org/gsea/msigdb/cards/GSE7218_UNSTIM_VS_ANTIGEN_STIM_THROUGH_IGG_BCELL_UP.html" TargetMode="External"/><Relationship Id="rId1777" Type="http://schemas.openxmlformats.org/officeDocument/2006/relationships/hyperlink" Target="http://www.broadinstitute.org/gsea/msigdb/cards/GSE20727_CTRL_VS_ROS_INH_AND_DNFB_ALLERGEN_TREATED_DC_DN.html" TargetMode="External"/><Relationship Id="rId1778" Type="http://schemas.openxmlformats.org/officeDocument/2006/relationships/hyperlink" Target="http://www.broadinstitute.org/gsea/msigdb/cards/GSE30962_PRIMARY_VS_SECONDARY_CHRONIC_LCMV_INF_CD8_TCELL_UP.html" TargetMode="External"/><Relationship Id="rId1779" Type="http://schemas.openxmlformats.org/officeDocument/2006/relationships/hyperlink" Target="http://www.broadinstitute.org/gsea/msigdb/cards/GSE9509_LPS_VS_LPS_AND_IL10_STIM_IL10_KO_MACROPHAGE_30MIN_DN.html" TargetMode="External"/><Relationship Id="rId2070" Type="http://schemas.openxmlformats.org/officeDocument/2006/relationships/hyperlink" Target="http://www.broadinstitute.org/gsea/msigdb/cards/GSE41978_WT_VS_ID2_KO_AND_BIM_KO_KLRG1_LOW_EFFECTOR_CD8_TCELL_DN.html" TargetMode="External"/><Relationship Id="rId2071" Type="http://schemas.openxmlformats.org/officeDocument/2006/relationships/hyperlink" Target="http://www.broadinstitute.org/gsea/msigdb/cards/GSE41978_KLRG1_HIGH_VS_LOW_EFFECTOR_CD8_TCELL_DN.html" TargetMode="External"/><Relationship Id="rId2072" Type="http://schemas.openxmlformats.org/officeDocument/2006/relationships/hyperlink" Target="http://www.broadinstitute.org/gsea/msigdb/cards/GSE40274_CTRL_VS_FOXP3_AND_LEF1_TRANSDUCED_ACTIVATED_CD4_TCELL_DN.html" TargetMode="External"/><Relationship Id="rId2073" Type="http://schemas.openxmlformats.org/officeDocument/2006/relationships/hyperlink" Target="http://www.broadinstitute.org/gsea/msigdb/cards/GSE9601_UNTREATED_VS_PI3K_INHIBITOR_TREATED_HCMV_INF_MONOCYTE_UP.html" TargetMode="External"/><Relationship Id="rId2074" Type="http://schemas.openxmlformats.org/officeDocument/2006/relationships/hyperlink" Target="http://www.broadinstitute.org/gsea/msigdb/cards/GSE3920_IFNB_VS_IFNG_TREATED_ENDOTHELIAL_CELL_DN.html" TargetMode="External"/><Relationship Id="rId2075" Type="http://schemas.openxmlformats.org/officeDocument/2006/relationships/hyperlink" Target="http://www.broadinstitute.org/gsea/msigdb/cards/GSE12839_CTRL_VS_IL12_TREATED_PBMC_UP.html" TargetMode="External"/><Relationship Id="rId2076" Type="http://schemas.openxmlformats.org/officeDocument/2006/relationships/hyperlink" Target="http://www.broadinstitute.org/gsea/msigdb/cards/GSE7509_UNSTIM_VS_TNFA_IL1B_IL6_PGE_STIM_DC_UP.html" TargetMode="External"/><Relationship Id="rId2077" Type="http://schemas.openxmlformats.org/officeDocument/2006/relationships/hyperlink" Target="http://www.broadinstitute.org/gsea/msigdb/cards/GSE21033_3H_VS_24H_POLYIC_STIM_DC_DN.html" TargetMode="External"/><Relationship Id="rId2078" Type="http://schemas.openxmlformats.org/officeDocument/2006/relationships/hyperlink" Target="http://www.broadinstitute.org/gsea/msigdb/cards/GSE45739_NRAS_KO_VS_WT_ACD3_ACD28_STIM_CD4_TCELL_UP.html" TargetMode="External"/><Relationship Id="rId2079" Type="http://schemas.openxmlformats.org/officeDocument/2006/relationships/hyperlink" Target="http://www.broadinstitute.org/gsea/msigdb/cards/GSE13485_CTRL_VS_DAY1_YF17D_VACCINE_PBMC_UP.html" TargetMode="External"/><Relationship Id="rId2460" Type="http://schemas.openxmlformats.org/officeDocument/2006/relationships/hyperlink" Target="http://www.broadinstitute.org/gsea/msigdb/cards/GSE23321_CD8_STEM_CELL_MEMORY_VS_NAIVE_CD8_TCELL_DN.html" TargetMode="External"/><Relationship Id="rId2461" Type="http://schemas.openxmlformats.org/officeDocument/2006/relationships/hyperlink" Target="http://www.broadinstitute.org/gsea/msigdb/cards/GSE31622_WT_VS_KLF3_KO_BCELL_DN.html" TargetMode="External"/><Relationship Id="rId2462" Type="http://schemas.openxmlformats.org/officeDocument/2006/relationships/hyperlink" Target="http://www.broadinstitute.org/gsea/msigdb/cards/GSE32986_CURDLAN_LOWDOSE_VS_CURDLAN_HIGHDOSE_STIM_DC_UP.html" TargetMode="External"/><Relationship Id="rId2463" Type="http://schemas.openxmlformats.org/officeDocument/2006/relationships/hyperlink" Target="http://www.broadinstitute.org/gsea/msigdb/cards/GSE32986_CURDLAN_HIGHDOSE_VS_GMCSF_AND_CURDLAN_HIGHDOSE_STIM_DC_UP.html" TargetMode="External"/><Relationship Id="rId2464" Type="http://schemas.openxmlformats.org/officeDocument/2006/relationships/hyperlink" Target="http://www.broadinstitute.org/gsea/msigdb/cards/GSE34392_ST2_KO_VS_WT_DAY8_LCMV_EFFECTOR_CD8_TCELL_UP.html" TargetMode="External"/><Relationship Id="rId2465" Type="http://schemas.openxmlformats.org/officeDocument/2006/relationships/hyperlink" Target="http://www.broadinstitute.org/gsea/msigdb/cards/GSE37301_HEMATOPOIETIC_STEM_CELL_VS_MULTIPOTENT_PROGENITOR_UP.html" TargetMode="External"/><Relationship Id="rId2466" Type="http://schemas.openxmlformats.org/officeDocument/2006/relationships/hyperlink" Target="http://www.broadinstitute.org/gsea/msigdb/cards/GSE37301_MULTIPOTENT_PROGENITOR_VS_PRO_BCELL_UP.html" TargetMode="External"/><Relationship Id="rId2467" Type="http://schemas.openxmlformats.org/officeDocument/2006/relationships/hyperlink" Target="http://www.broadinstitute.org/gsea/msigdb/cards/GSE37301_LYMPHOID_PRIMED_MPP_VS_GRAN_MONO_PROGENITOR_DN.html" TargetMode="External"/><Relationship Id="rId2468" Type="http://schemas.openxmlformats.org/officeDocument/2006/relationships/hyperlink" Target="http://www.broadinstitute.org/gsea/msigdb/cards/GSE37532_TREG_VS_TCONV_PPARG_KO_CD4_TCELL_FROM_VISCERAL_ADIPOSE_TISSUE_UP.html" TargetMode="External"/><Relationship Id="rId2469" Type="http://schemas.openxmlformats.org/officeDocument/2006/relationships/hyperlink" Target="http://www.broadinstitute.org/gsea/msigdb/cards/GSE37532_TREG_VS_TCONV_CD4_TCELL_FROM_LN_UP.html" TargetMode="External"/><Relationship Id="rId910" Type="http://schemas.openxmlformats.org/officeDocument/2006/relationships/hyperlink" Target="http://www.broadinstitute.org/gsea/msigdb/cards/GCM_SUPT4H1.html" TargetMode="External"/><Relationship Id="rId911" Type="http://schemas.openxmlformats.org/officeDocument/2006/relationships/hyperlink" Target="http://www.broadinstitute.org/gsea/msigdb/cards/MORF_RAP1A.html" TargetMode="External"/><Relationship Id="rId912" Type="http://schemas.openxmlformats.org/officeDocument/2006/relationships/hyperlink" Target="http://www.broadinstitute.org/gsea/msigdb/cards/MORF_PAPSS1.html" TargetMode="External"/><Relationship Id="rId913" Type="http://schemas.openxmlformats.org/officeDocument/2006/relationships/hyperlink" Target="http://www.broadinstitute.org/gsea/msigdb/cards/MORF_DAP3.html" TargetMode="External"/><Relationship Id="rId914" Type="http://schemas.openxmlformats.org/officeDocument/2006/relationships/hyperlink" Target="http://www.broadinstitute.org/gsea/msigdb/cards/GCM_TPR.html" TargetMode="External"/><Relationship Id="rId915" Type="http://schemas.openxmlformats.org/officeDocument/2006/relationships/hyperlink" Target="http://www.broadinstitute.org/gsea/msigdb/cards/MODULE_21.html" TargetMode="External"/><Relationship Id="rId916" Type="http://schemas.openxmlformats.org/officeDocument/2006/relationships/hyperlink" Target="http://www.broadinstitute.org/gsea/msigdb/cards/MODULE_456.html" TargetMode="External"/><Relationship Id="rId917" Type="http://schemas.openxmlformats.org/officeDocument/2006/relationships/hyperlink" Target="http://www.broadinstitute.org/gsea/msigdb/cards/MORF_ATRX.html" TargetMode="External"/><Relationship Id="rId130" Type="http://schemas.openxmlformats.org/officeDocument/2006/relationships/hyperlink" Target="http://www.broadinstitute.org/gsea/msigdb/cards/PYEON_CANCER_HEAD_AND_NECK_VS_CERVICAL_UP.html" TargetMode="External"/><Relationship Id="rId131" Type="http://schemas.openxmlformats.org/officeDocument/2006/relationships/hyperlink" Target="http://www.broadinstitute.org/gsea/msigdb/cards/VANTVEER_BREAST_CANCER_METASTASIS_DN.html" TargetMode="External"/><Relationship Id="rId132" Type="http://schemas.openxmlformats.org/officeDocument/2006/relationships/hyperlink" Target="http://www.broadinstitute.org/gsea/msigdb/cards/REACTOME_S_PHASE.html" TargetMode="External"/><Relationship Id="rId133" Type="http://schemas.openxmlformats.org/officeDocument/2006/relationships/hyperlink" Target="http://www.broadinstitute.org/gsea/msigdb/cards/REACTOME_MITOTIC_PROMETAPHASE.html" TargetMode="External"/><Relationship Id="rId134" Type="http://schemas.openxmlformats.org/officeDocument/2006/relationships/hyperlink" Target="http://www.broadinstitute.org/gsea/msigdb/cards/POOLA_INVASIVE_BREAST_CANCER_UP.html" TargetMode="External"/><Relationship Id="rId135" Type="http://schemas.openxmlformats.org/officeDocument/2006/relationships/hyperlink" Target="http://www.broadinstitute.org/gsea/msigdb/cards/FRASOR_RESPONSE_TO_SERM_OR_FULVESTRANT_DN.html" TargetMode="External"/><Relationship Id="rId136" Type="http://schemas.openxmlformats.org/officeDocument/2006/relationships/hyperlink" Target="http://www.broadinstitute.org/gsea/msigdb/cards/ALCALAY_AML_BY_NPM1_LOCALIZATION_DN.html" TargetMode="External"/><Relationship Id="rId137" Type="http://schemas.openxmlformats.org/officeDocument/2006/relationships/hyperlink" Target="http://www.broadinstitute.org/gsea/msigdb/cards/ODONNELL_TARGETS_OF_MYC_AND_TFRC_DN.html" TargetMode="External"/><Relationship Id="rId138" Type="http://schemas.openxmlformats.org/officeDocument/2006/relationships/hyperlink" Target="http://www.broadinstitute.org/gsea/msigdb/cards/SMID_BREAST_CANCER_BASAL_UP.html" TargetMode="External"/><Relationship Id="rId139" Type="http://schemas.openxmlformats.org/officeDocument/2006/relationships/hyperlink" Target="http://www.broadinstitute.org/gsea/msigdb/cards/KAMMINGA_EZH2_TARGETS.html" TargetMode="External"/><Relationship Id="rId918" Type="http://schemas.openxmlformats.org/officeDocument/2006/relationships/hyperlink" Target="http://www.broadinstitute.org/gsea/msigdb/cards/MORF_ERH.html" TargetMode="External"/><Relationship Id="rId919" Type="http://schemas.openxmlformats.org/officeDocument/2006/relationships/hyperlink" Target="http://www.broadinstitute.org/gsea/msigdb/cards/MODULE_91.html" TargetMode="External"/><Relationship Id="rId520" Type="http://schemas.openxmlformats.org/officeDocument/2006/relationships/hyperlink" Target="http://www.broadinstitute.org/gsea/msigdb/cards/REACTOME_INHIBITION_OF_THE_PROTEOLYTIC_ACTIVITY_OF_APC_C_REQUIRED_FOR_THE_ONSET_OF_ANAPHASE_BY_MITOTIC_SPINDLE_CHECKPOINT_COMPONENTS.html" TargetMode="External"/><Relationship Id="rId521" Type="http://schemas.openxmlformats.org/officeDocument/2006/relationships/hyperlink" Target="http://www.broadinstitute.org/gsea/msigdb/cards/REACTOME_DOUBLE_STRAND_BREAK_REPAIR.html" TargetMode="External"/><Relationship Id="rId522" Type="http://schemas.openxmlformats.org/officeDocument/2006/relationships/hyperlink" Target="http://www.broadinstitute.org/gsea/msigdb/cards/LEE_RECENT_THYMIC_EMIGRANT.html" TargetMode="External"/><Relationship Id="rId523" Type="http://schemas.openxmlformats.org/officeDocument/2006/relationships/hyperlink" Target="http://www.broadinstitute.org/gsea/msigdb/cards/MORI_SMALL_PRE_BII_LYMPHOCYTE_DN.html" TargetMode="External"/><Relationship Id="rId524" Type="http://schemas.openxmlformats.org/officeDocument/2006/relationships/hyperlink" Target="http://www.broadinstitute.org/gsea/msigdb/cards/BENPORATH_MYC_TARGETS_WITH_EBOX.html" TargetMode="External"/><Relationship Id="rId525" Type="http://schemas.openxmlformats.org/officeDocument/2006/relationships/hyperlink" Target="http://www.broadinstitute.org/gsea/msigdb/cards/ZHU_SKIL_TARGETS_DN.html" TargetMode="External"/><Relationship Id="rId526" Type="http://schemas.openxmlformats.org/officeDocument/2006/relationships/hyperlink" Target="http://www.broadinstitute.org/gsea/msigdb/cards/BROWNE_HCMV_INFECTION_24HR_UP.html" TargetMode="External"/><Relationship Id="rId527" Type="http://schemas.openxmlformats.org/officeDocument/2006/relationships/hyperlink" Target="http://www.broadinstitute.org/gsea/msigdb/cards/WHITFIELD_CELL_CYCLE_M_G1.html" TargetMode="External"/><Relationship Id="rId528" Type="http://schemas.openxmlformats.org/officeDocument/2006/relationships/hyperlink" Target="http://www.broadinstitute.org/gsea/msigdb/cards/PID_FOXO_PATHWAY.html" TargetMode="External"/><Relationship Id="rId529" Type="http://schemas.openxmlformats.org/officeDocument/2006/relationships/hyperlink" Target="http://www.broadinstitute.org/gsea/msigdb/cards/WONG_PROTEASOME_GENE_MODULE.html" TargetMode="External"/><Relationship Id="rId1780" Type="http://schemas.openxmlformats.org/officeDocument/2006/relationships/hyperlink" Target="http://www.broadinstitute.org/gsea/msigdb/cards/GSE24026_PD1_LIGATION_VS_CTRL_IN_ACT_TCELL_LINE_DN.html" TargetMode="External"/><Relationship Id="rId1781" Type="http://schemas.openxmlformats.org/officeDocument/2006/relationships/hyperlink" Target="http://www.broadinstitute.org/gsea/msigdb/cards/GSE24634_NAIVE_CD4_TCELL_VS_DAY3_IL4_CONV_TREG_DN.html" TargetMode="External"/><Relationship Id="rId1782" Type="http://schemas.openxmlformats.org/officeDocument/2006/relationships/hyperlink" Target="http://www.broadinstitute.org/gsea/msigdb/cards/GSE31082_DP_VS_CD8_SP_THYMOCYTE_UP.html" TargetMode="External"/><Relationship Id="rId1783" Type="http://schemas.openxmlformats.org/officeDocument/2006/relationships/hyperlink" Target="http://www.broadinstitute.org/gsea/msigdb/cards/GSE3982_BCELL_VS_TH2_DN.html" TargetMode="External"/><Relationship Id="rId1390" Type="http://schemas.openxmlformats.org/officeDocument/2006/relationships/hyperlink" Target="http://www.broadinstitute.org/gsea/msigdb/cards/GO_MITOTIC_SISTER_CHROMATID_COHESION.html" TargetMode="External"/><Relationship Id="rId1391" Type="http://schemas.openxmlformats.org/officeDocument/2006/relationships/hyperlink" Target="http://www.broadinstitute.org/gsea/msigdb/cards/GO_5_3_EXONUCLEASE_ACTIVITY.html" TargetMode="External"/><Relationship Id="rId1392" Type="http://schemas.openxmlformats.org/officeDocument/2006/relationships/hyperlink" Target="http://www.broadinstitute.org/gsea/msigdb/cards/GO_RNA_DNA_HYBRID_RIBONUCLEASE_ACTIVITY.html" TargetMode="External"/><Relationship Id="rId1393" Type="http://schemas.openxmlformats.org/officeDocument/2006/relationships/hyperlink" Target="http://www.broadinstitute.org/gsea/msigdb/cards/GO_ANNEALING_ACTIVITY.html" TargetMode="External"/><Relationship Id="rId1394" Type="http://schemas.openxmlformats.org/officeDocument/2006/relationships/hyperlink" Target="http://www.broadinstitute.org/gsea/msigdb/cards/GO_PYRIMIDINE_NUCLEOTIDE_BIOSYNTHETIC_PROCESS.html" TargetMode="External"/><Relationship Id="rId1395" Type="http://schemas.openxmlformats.org/officeDocument/2006/relationships/hyperlink" Target="http://www.broadinstitute.org/gsea/msigdb/cards/GO_NEGATIVE_REGULATION_OF_TRANSFERASE_ACTIVITY.html" TargetMode="External"/><Relationship Id="rId1396" Type="http://schemas.openxmlformats.org/officeDocument/2006/relationships/hyperlink" Target="http://www.broadinstitute.org/gsea/msigdb/cards/GO_RAN_GTPASE_BINDING.html" TargetMode="External"/><Relationship Id="rId1397" Type="http://schemas.openxmlformats.org/officeDocument/2006/relationships/hyperlink" Target="http://www.broadinstitute.org/gsea/msigdb/cards/GO_GERM_CELL_DEVELOPMENT.html" TargetMode="External"/><Relationship Id="rId1398" Type="http://schemas.openxmlformats.org/officeDocument/2006/relationships/hyperlink" Target="http://www.broadinstitute.org/gsea/msigdb/cards/GO_PYRIMIDINE_NUCLEOSIDE_BIOSYNTHETIC_PROCESS.html" TargetMode="External"/><Relationship Id="rId1399" Type="http://schemas.openxmlformats.org/officeDocument/2006/relationships/hyperlink" Target="http://www.broadinstitute.org/gsea/msigdb/cards/GO_REGULATION_OF_CENTROSOME_DUPLICATION.html" TargetMode="External"/><Relationship Id="rId1784" Type="http://schemas.openxmlformats.org/officeDocument/2006/relationships/hyperlink" Target="http://www.broadinstitute.org/gsea/msigdb/cards/GSE17186_NAIVE_VS_CD21LOW_TRANSITIONAL_BCELL_CORD_BLOOD_DN.html" TargetMode="External"/><Relationship Id="rId1785" Type="http://schemas.openxmlformats.org/officeDocument/2006/relationships/hyperlink" Target="http://www.broadinstitute.org/gsea/msigdb/cards/GSE22432_CDC_VS_COMMON_DC_PROGENITOR_DN.html" TargetMode="External"/><Relationship Id="rId1786" Type="http://schemas.openxmlformats.org/officeDocument/2006/relationships/hyperlink" Target="http://www.broadinstitute.org/gsea/msigdb/cards/GSE17301_IFNA2_VS_IFNA5_STIM_ACD3_ACD28_ACT_CD8_TCELL_DN.html" TargetMode="External"/><Relationship Id="rId1787" Type="http://schemas.openxmlformats.org/officeDocument/2006/relationships/hyperlink" Target="http://www.broadinstitute.org/gsea/msigdb/cards/GSE33424_CD161_HIGH_VS_INT_CD8_TCELL_DN.html" TargetMode="External"/><Relationship Id="rId1788" Type="http://schemas.openxmlformats.org/officeDocument/2006/relationships/hyperlink" Target="http://www.broadinstitute.org/gsea/msigdb/cards/GSE36888_STAT5_AB_KNOCKIN_VS_WT_TCELL_IL2_TREATED_6H_DN.html" TargetMode="External"/><Relationship Id="rId1789" Type="http://schemas.openxmlformats.org/officeDocument/2006/relationships/hyperlink" Target="http://www.broadinstitute.org/gsea/msigdb/cards/GSE7218_IGM_VS_IGG_SIGNAL_THGOUGH_ANTIGEN_BCELL_UP.html" TargetMode="External"/><Relationship Id="rId2080" Type="http://schemas.openxmlformats.org/officeDocument/2006/relationships/hyperlink" Target="http://www.broadinstitute.org/gsea/msigdb/cards/GSE1460_INTRATHYMIC_T_PROGENITOR_VS_CD4_THYMOCYTE_UP.html" TargetMode="External"/><Relationship Id="rId2081" Type="http://schemas.openxmlformats.org/officeDocument/2006/relationships/hyperlink" Target="http://www.broadinstitute.org/gsea/msigdb/cards/GSE15324_NAIVE_VS_ACTIVATED_ELF4_KO_CD8_TCELL_DN.html" TargetMode="External"/><Relationship Id="rId2082" Type="http://schemas.openxmlformats.org/officeDocument/2006/relationships/hyperlink" Target="http://www.broadinstitute.org/gsea/msigdb/cards/GSE15930_STIM_VS_STIM_AND_IL12_72H_CD8_T_CELL_UP.html" TargetMode="External"/><Relationship Id="rId2083" Type="http://schemas.openxmlformats.org/officeDocument/2006/relationships/hyperlink" Target="http://www.broadinstitute.org/gsea/msigdb/cards/GSE17721_CTRL_VS_LPS_0.5H_BMDC_UP.html" TargetMode="External"/><Relationship Id="rId2084" Type="http://schemas.openxmlformats.org/officeDocument/2006/relationships/hyperlink" Target="http://www.broadinstitute.org/gsea/msigdb/cards/GSE17721_CTRL_VS_CPG_0.5H_BMDC_UP.html" TargetMode="External"/><Relationship Id="rId2085" Type="http://schemas.openxmlformats.org/officeDocument/2006/relationships/hyperlink" Target="http://www.broadinstitute.org/gsea/msigdb/cards/GSE17721_CTRL_VS_GARDIQUIMOD_8H_BMDC_UP.html" TargetMode="External"/><Relationship Id="rId2086" Type="http://schemas.openxmlformats.org/officeDocument/2006/relationships/hyperlink" Target="http://www.broadinstitute.org/gsea/msigdb/cards/GSE17721_0.5H_VS_24H_LPS_BMDC_UP.html" TargetMode="External"/><Relationship Id="rId2087" Type="http://schemas.openxmlformats.org/officeDocument/2006/relationships/hyperlink" Target="http://www.broadinstitute.org/gsea/msigdb/cards/GSE20366_TREG_VS_NAIVE_CD4_TCELL_HOMEOSTATIC_CONVERSION_UP.html" TargetMode="External"/><Relationship Id="rId2088" Type="http://schemas.openxmlformats.org/officeDocument/2006/relationships/hyperlink" Target="http://www.broadinstitute.org/gsea/msigdb/cards/GSE25087_FETAL_VS_ADULT_TREG_UP.html" TargetMode="External"/><Relationship Id="rId2089" Type="http://schemas.openxmlformats.org/officeDocument/2006/relationships/hyperlink" Target="http://www.broadinstitute.org/gsea/msigdb/cards/GSE27786_LSK_VS_LIN_NEG_CELL_DN.html" TargetMode="External"/><Relationship Id="rId2470" Type="http://schemas.openxmlformats.org/officeDocument/2006/relationships/hyperlink" Target="http://www.broadinstitute.org/gsea/msigdb/cards/GSE40666_WT_VS_STAT4_KO_CD8_TCELL_WITH_IFNA_STIM_90MIN_DN.html" TargetMode="External"/><Relationship Id="rId2471" Type="http://schemas.openxmlformats.org/officeDocument/2006/relationships/hyperlink" Target="http://www.broadinstitute.org/gsea/msigdb/cards/GSE11961_FOLLICULAR_BCELL_VS_PLASMA_CELL_DAY7_UP.html" TargetMode="External"/><Relationship Id="rId2472" Type="http://schemas.openxmlformats.org/officeDocument/2006/relationships/hyperlink" Target="http://www.broadinstitute.org/gsea/msigdb/cards/GSE28737_WT_VS_BCL6_HET_MARGINAL_ZONE_BCELL_DN.html" TargetMode="External"/><Relationship Id="rId2473" Type="http://schemas.openxmlformats.org/officeDocument/2006/relationships/hyperlink" Target="http://www.broadinstitute.org/gsea/msigdb/cards/GSE24671_BAKIMULC_VS_SENDAI_VIRUS_INFECTED_MOUSE_SPLENOCYTES_DN.html" TargetMode="External"/><Relationship Id="rId2474" Type="http://schemas.openxmlformats.org/officeDocument/2006/relationships/hyperlink" Target="http://www.broadinstitute.org/gsea/msigdb/cards/GSE41867_NAIVE_VS_DAY15_LCMV_EFFECTOR_CD8_TCELL_UP.html" TargetMode="External"/><Relationship Id="rId2475" Type="http://schemas.openxmlformats.org/officeDocument/2006/relationships/hyperlink" Target="http://www.broadinstitute.org/gsea/msigdb/cards/GSE41867_NAIVE_VS_EFFECTOR_CD8_TCELL_DN.html" TargetMode="External"/><Relationship Id="rId2476" Type="http://schemas.openxmlformats.org/officeDocument/2006/relationships/hyperlink" Target="http://www.broadinstitute.org/gsea/msigdb/cards/GSE42021_TREG_PLN_VS_TREG_PRECURSORS_THYMUS_UP.html" TargetMode="External"/><Relationship Id="rId2477" Type="http://schemas.openxmlformats.org/officeDocument/2006/relationships/hyperlink" Target="http://www.broadinstitute.org/gsea/msigdb/cards/GSE42021_CD24HI_VS_CD24LOW_TCONV_THYMUS_UP.html" TargetMode="External"/><Relationship Id="rId2478" Type="http://schemas.openxmlformats.org/officeDocument/2006/relationships/hyperlink" Target="http://www.broadinstitute.org/gsea/msigdb/cards/GSE43955_TH0_VS_TGFB_IL6_TH17_ACT_CD4_TCELL_60H_UP.html" TargetMode="External"/><Relationship Id="rId2479" Type="http://schemas.openxmlformats.org/officeDocument/2006/relationships/hyperlink" Target="http://www.broadinstitute.org/gsea/msigdb/cards/GSE43955_1H_VS_42H_ACT_CD4_TCELL_DN.html" TargetMode="External"/><Relationship Id="rId1" Type="http://schemas.openxmlformats.org/officeDocument/2006/relationships/hyperlink" Target="http://www.broadinstitute.org/gsea/msigdb/cards/HALLMARK_E2F_TARGETS.html" TargetMode="External"/><Relationship Id="rId2" Type="http://schemas.openxmlformats.org/officeDocument/2006/relationships/hyperlink" Target="http://www.broadinstitute.org/gsea/msigdb/cards/HALLMARK_G2M_CHECKPOINT.html" TargetMode="External"/><Relationship Id="rId3" Type="http://schemas.openxmlformats.org/officeDocument/2006/relationships/hyperlink" Target="http://www.broadinstitute.org/gsea/msigdb/cards/HALLMARK_MITOTIC_SPINDLE.html" TargetMode="External"/><Relationship Id="rId920" Type="http://schemas.openxmlformats.org/officeDocument/2006/relationships/hyperlink" Target="http://www.broadinstitute.org/gsea/msigdb/cards/MODULE_36.html" TargetMode="External"/><Relationship Id="rId921" Type="http://schemas.openxmlformats.org/officeDocument/2006/relationships/hyperlink" Target="http://www.broadinstitute.org/gsea/msigdb/cards/GCM_NPM1.html" TargetMode="External"/><Relationship Id="rId922" Type="http://schemas.openxmlformats.org/officeDocument/2006/relationships/hyperlink" Target="http://www.broadinstitute.org/gsea/msigdb/cards/MODULE_56.html" TargetMode="External"/><Relationship Id="rId923" Type="http://schemas.openxmlformats.org/officeDocument/2006/relationships/hyperlink" Target="http://www.broadinstitute.org/gsea/msigdb/cards/GCM_AIP.html" TargetMode="External"/><Relationship Id="rId924" Type="http://schemas.openxmlformats.org/officeDocument/2006/relationships/hyperlink" Target="http://www.broadinstitute.org/gsea/msigdb/cards/MORF_PPP1CA.html" TargetMode="External"/><Relationship Id="rId925" Type="http://schemas.openxmlformats.org/officeDocument/2006/relationships/hyperlink" Target="http://www.broadinstitute.org/gsea/msigdb/cards/GO_CELL_CYCLE.html" TargetMode="External"/><Relationship Id="rId926" Type="http://schemas.openxmlformats.org/officeDocument/2006/relationships/hyperlink" Target="http://www.broadinstitute.org/gsea/msigdb/cards/GO_CELL_CYCLE_PROCESS.html" TargetMode="External"/><Relationship Id="rId927" Type="http://schemas.openxmlformats.org/officeDocument/2006/relationships/hyperlink" Target="http://www.broadinstitute.org/gsea/msigdb/cards/GO_MITOTIC_CELL_CYCLE.html" TargetMode="External"/><Relationship Id="rId140" Type="http://schemas.openxmlformats.org/officeDocument/2006/relationships/hyperlink" Target="http://www.broadinstitute.org/gsea/msigdb/cards/WEI_MYCN_TARGETS_WITH_E_BOX.html" TargetMode="External"/><Relationship Id="rId141" Type="http://schemas.openxmlformats.org/officeDocument/2006/relationships/hyperlink" Target="http://www.broadinstitute.org/gsea/msigdb/cards/GAL_LEUKEMIC_STEM_CELL_DN.html" TargetMode="External"/><Relationship Id="rId142" Type="http://schemas.openxmlformats.org/officeDocument/2006/relationships/hyperlink" Target="http://www.broadinstitute.org/gsea/msigdb/cards/DUTERTRE_ESTRADIOL_RESPONSE_6HR_UP.html" TargetMode="External"/><Relationship Id="rId143" Type="http://schemas.openxmlformats.org/officeDocument/2006/relationships/hyperlink" Target="http://www.broadinstitute.org/gsea/msigdb/cards/PILON_KLF1_TARGETS_DN.html" TargetMode="External"/><Relationship Id="rId144" Type="http://schemas.openxmlformats.org/officeDocument/2006/relationships/hyperlink" Target="http://www.broadinstitute.org/gsea/msigdb/cards/AMUNDSON_GAMMA_RADIATION_RESPONSE.html" TargetMode="External"/><Relationship Id="rId145" Type="http://schemas.openxmlformats.org/officeDocument/2006/relationships/hyperlink" Target="http://www.broadinstitute.org/gsea/msigdb/cards/KIM_WT1_TARGETS_DN.html" TargetMode="External"/><Relationship Id="rId146" Type="http://schemas.openxmlformats.org/officeDocument/2006/relationships/hyperlink" Target="http://www.broadinstitute.org/gsea/msigdb/cards/MORI_PRE_BI_LYMPHOCYTE_UP.html" TargetMode="External"/><Relationship Id="rId147" Type="http://schemas.openxmlformats.org/officeDocument/2006/relationships/hyperlink" Target="http://www.broadinstitute.org/gsea/msigdb/cards/EGUCHI_CELL_CYCLE_RB1_TARGETS.html" TargetMode="External"/><Relationship Id="rId148" Type="http://schemas.openxmlformats.org/officeDocument/2006/relationships/hyperlink" Target="http://www.broadinstitute.org/gsea/msigdb/cards/YANG_BCL3_TARGETS_UP.html" TargetMode="External"/><Relationship Id="rId149" Type="http://schemas.openxmlformats.org/officeDocument/2006/relationships/hyperlink" Target="http://www.broadinstitute.org/gsea/msigdb/cards/CROONQUIST_NRAS_VS_STROMAL_STIMULATION_DN.html" TargetMode="External"/><Relationship Id="rId928" Type="http://schemas.openxmlformats.org/officeDocument/2006/relationships/hyperlink" Target="http://www.broadinstitute.org/gsea/msigdb/cards/GO_CHROMOSOME.html" TargetMode="External"/><Relationship Id="rId929" Type="http://schemas.openxmlformats.org/officeDocument/2006/relationships/hyperlink" Target="http://www.broadinstitute.org/gsea/msigdb/cards/GO_CHROMOSOME_ORGANIZATION.html" TargetMode="External"/><Relationship Id="rId530" Type="http://schemas.openxmlformats.org/officeDocument/2006/relationships/hyperlink" Target="http://www.broadinstitute.org/gsea/msigdb/cards/REACTOME_APC_C_CDC20_MEDIATED_DEGRADATION_OF_CYCLIN_B.html" TargetMode="External"/><Relationship Id="rId531" Type="http://schemas.openxmlformats.org/officeDocument/2006/relationships/hyperlink" Target="http://www.broadinstitute.org/gsea/msigdb/cards/REACTOME_ADAPTIVE_IMMUNE_SYSTEM.html" TargetMode="External"/><Relationship Id="rId532" Type="http://schemas.openxmlformats.org/officeDocument/2006/relationships/hyperlink" Target="http://www.broadinstitute.org/gsea/msigdb/cards/HEDENFALK_BREAST_CANCER_HEREDITARY_VS_SPORADIC.html" TargetMode="External"/><Relationship Id="rId533" Type="http://schemas.openxmlformats.org/officeDocument/2006/relationships/hyperlink" Target="http://www.broadinstitute.org/gsea/msigdb/cards/CHOW_RASSF1_TARGETS_UP.html" TargetMode="External"/><Relationship Id="rId534" Type="http://schemas.openxmlformats.org/officeDocument/2006/relationships/hyperlink" Target="http://www.broadinstitute.org/gsea/msigdb/cards/CHIN_BREAST_CANCER_COPY_NUMBER_UP.html" TargetMode="External"/><Relationship Id="rId535" Type="http://schemas.openxmlformats.org/officeDocument/2006/relationships/hyperlink" Target="http://www.broadinstitute.org/gsea/msigdb/cards/REACTOME_RECRUITMENT_OF_NUMA_TO_MITOTIC_CENTROSOMES.html" TargetMode="External"/><Relationship Id="rId536" Type="http://schemas.openxmlformats.org/officeDocument/2006/relationships/hyperlink" Target="http://www.broadinstitute.org/gsea/msigdb/cards/REACTOME_REMOVAL_OF_THE_FLAP_INTERMEDIATE_FROM_THE_C_STRAND.html" TargetMode="External"/><Relationship Id="rId537" Type="http://schemas.openxmlformats.org/officeDocument/2006/relationships/hyperlink" Target="http://www.broadinstitute.org/gsea/msigdb/cards/MANN_RESPONSE_TO_AMIFOSTINE_DN.html" TargetMode="External"/><Relationship Id="rId538" Type="http://schemas.openxmlformats.org/officeDocument/2006/relationships/hyperlink" Target="http://www.broadinstitute.org/gsea/msigdb/cards/OXFORD_RALA_AND_RALB_TARGETS_UP.html" TargetMode="External"/><Relationship Id="rId539" Type="http://schemas.openxmlformats.org/officeDocument/2006/relationships/hyperlink" Target="http://www.broadinstitute.org/gsea/msigdb/cards/MARIADASON_RESPONSE_TO_BUTYRATE_SULINDAC_6.html" TargetMode="External"/><Relationship Id="rId4" Type="http://schemas.openxmlformats.org/officeDocument/2006/relationships/hyperlink" Target="http://www.broadinstitute.org/gsea/msigdb/cards/HALLMARK_MYC_TARGETS_V1.html" TargetMode="External"/><Relationship Id="rId5" Type="http://schemas.openxmlformats.org/officeDocument/2006/relationships/hyperlink" Target="http://www.broadinstitute.org/gsea/msigdb/cards/HALLMARK_DNA_REPAIR.html" TargetMode="External"/><Relationship Id="rId6" Type="http://schemas.openxmlformats.org/officeDocument/2006/relationships/hyperlink" Target="http://www.broadinstitute.org/gsea/msigdb/cards/HALLMARK_SPERMATOGENESIS.html" TargetMode="External"/><Relationship Id="rId7" Type="http://schemas.openxmlformats.org/officeDocument/2006/relationships/hyperlink" Target="http://www.broadinstitute.org/gsea/msigdb/cards/HALLMARK_MTORC1_SIGNALING.html" TargetMode="External"/><Relationship Id="rId8" Type="http://schemas.openxmlformats.org/officeDocument/2006/relationships/hyperlink" Target="http://www.broadinstitute.org/gsea/msigdb/cards/HALLMARK_ESTROGEN_RESPONSE_LATE.html" TargetMode="External"/><Relationship Id="rId9" Type="http://schemas.openxmlformats.org/officeDocument/2006/relationships/hyperlink" Target="http://www.broadinstitute.org/gsea/msigdb/cards/HALLMARK_MYC_TARGETS_V2.html" TargetMode="External"/><Relationship Id="rId1790" Type="http://schemas.openxmlformats.org/officeDocument/2006/relationships/hyperlink" Target="http://www.broadinstitute.org/gsea/msigdb/cards/GSE37301_HEMATOPOIETIC_STEM_CELL_VS_CD4_TCELL_UP.html" TargetMode="External"/><Relationship Id="rId1791" Type="http://schemas.openxmlformats.org/officeDocument/2006/relationships/hyperlink" Target="http://www.broadinstitute.org/gsea/msigdb/cards/GSE14415_ACT_TCONV_VS_ACT_NATURAL_TREG_DN.html" TargetMode="External"/><Relationship Id="rId1792" Type="http://schemas.openxmlformats.org/officeDocument/2006/relationships/hyperlink" Target="http://www.broadinstitute.org/gsea/msigdb/cards/GSE40225_WT_VS_RIP_B7X_DIABETIC_MOUSE_PANCREATIC_CD8_TCELL_DN.html" TargetMode="External"/><Relationship Id="rId1793" Type="http://schemas.openxmlformats.org/officeDocument/2006/relationships/hyperlink" Target="http://www.broadinstitute.org/gsea/msigdb/cards/GSE15930_NAIVE_VS_48H_IN_VITRO_STIM_IL12_CD8_TCELL_DN.html" TargetMode="External"/><Relationship Id="rId1794" Type="http://schemas.openxmlformats.org/officeDocument/2006/relationships/hyperlink" Target="http://www.broadinstitute.org/gsea/msigdb/cards/GSE3982_DC_VS_TH1_DN.html" TargetMode="External"/><Relationship Id="rId1795" Type="http://schemas.openxmlformats.org/officeDocument/2006/relationships/hyperlink" Target="http://www.broadinstitute.org/gsea/msigdb/cards/GSE369_SOCS3_KO_VS_IFNG_KO_LIVER_DN.html" TargetMode="External"/><Relationship Id="rId1796" Type="http://schemas.openxmlformats.org/officeDocument/2006/relationships/hyperlink" Target="http://www.broadinstitute.org/gsea/msigdb/cards/GSE3039_B2_VS_B1_BCELL_DN.html" TargetMode="External"/><Relationship Id="rId1797" Type="http://schemas.openxmlformats.org/officeDocument/2006/relationships/hyperlink" Target="http://www.broadinstitute.org/gsea/msigdb/cards/GSE9878_CTRL_VS_EBF_TRANSDUCED_PAX5_KO_PRO_BCELL_DN.html" TargetMode="External"/><Relationship Id="rId1798" Type="http://schemas.openxmlformats.org/officeDocument/2006/relationships/hyperlink" Target="http://www.broadinstitute.org/gsea/msigdb/cards/GSE10273_LOW_IL7_VS_HIGH_IL7_AND_IRF4_IN_IRF4_8_NULL_PRE_BCELL_UP.html" TargetMode="External"/><Relationship Id="rId1799" Type="http://schemas.openxmlformats.org/officeDocument/2006/relationships/hyperlink" Target="http://www.broadinstitute.org/gsea/msigdb/cards/GSE15735_2H_VS_12H_HDAC_INHIBITOR_TREATED_CD4_TCELL_DN.html" TargetMode="External"/><Relationship Id="rId2480" Type="http://schemas.openxmlformats.org/officeDocument/2006/relationships/hyperlink" Target="http://www.broadinstitute.org/gsea/msigdb/cards/GSE43955_TGFB_IL6_VS_TGFB_IL6_IL23_TH17_ACT_CD4_TCELL_60H_DN.html" TargetMode="External"/><Relationship Id="rId2481" Type="http://schemas.openxmlformats.org/officeDocument/2006/relationships/hyperlink" Target="http://www.broadinstitute.org/gsea/msigdb/cards/GSE18804_SPLEEN_MACROPHAGE_VS_BRAIN_TUMORAL_MACROPHAGE_DN.html" TargetMode="External"/><Relationship Id="rId2482" Type="http://schemas.openxmlformats.org/officeDocument/2006/relationships/hyperlink" Target="http://www.broadinstitute.org/gsea/msigdb/cards/GSE18804_SPLEEN_MACROPHAGE_VS_TUMORAL_MACROPHAGE_UP.html" TargetMode="External"/><Relationship Id="rId2483" Type="http://schemas.openxmlformats.org/officeDocument/2006/relationships/hyperlink" Target="http://www.broadinstitute.org/gsea/msigdb/cards/GSE21033_3H_VS_12H_POLYIC_STIM_DC_UP.html" TargetMode="External"/><Relationship Id="rId2090" Type="http://schemas.openxmlformats.org/officeDocument/2006/relationships/hyperlink" Target="http://www.broadinstitute.org/gsea/msigdb/cards/GSE27786_LSK_VS_CD4_TCELL_UP.html" TargetMode="External"/><Relationship Id="rId2091" Type="http://schemas.openxmlformats.org/officeDocument/2006/relationships/hyperlink" Target="http://www.broadinstitute.org/gsea/msigdb/cards/GSE27786_BCELL_VS_CD8_TCELL_UP.html" TargetMode="External"/><Relationship Id="rId2092" Type="http://schemas.openxmlformats.org/officeDocument/2006/relationships/hyperlink" Target="http://www.broadinstitute.org/gsea/msigdb/cards/GSE27786_ERYTHROBLAST_VS_NEUTROPHIL_UP.html" TargetMode="External"/><Relationship Id="rId2093" Type="http://schemas.openxmlformats.org/officeDocument/2006/relationships/hyperlink" Target="http://www.broadinstitute.org/gsea/msigdb/cards/GSE27786_ERYTHROBLAST_VS_MONO_MAC_UP.html" TargetMode="External"/><Relationship Id="rId2094" Type="http://schemas.openxmlformats.org/officeDocument/2006/relationships/hyperlink" Target="http://www.broadinstitute.org/gsea/msigdb/cards/GSE3337_CTRL_VS_16H_IFNG_IN_CD8POS_DC_DN.html" TargetMode="External"/><Relationship Id="rId2095" Type="http://schemas.openxmlformats.org/officeDocument/2006/relationships/hyperlink" Target="http://www.broadinstitute.org/gsea/msigdb/cards/GSE36476_YOUNG_VS_OLD_DONOR_MEMORY_CD4_TCELL_72H_TSST_ACT_UP.html" TargetMode="External"/><Relationship Id="rId2096" Type="http://schemas.openxmlformats.org/officeDocument/2006/relationships/hyperlink" Target="http://www.broadinstitute.org/gsea/msigdb/cards/GSE3982_DC_VS_MAC_LPS_STIM_DN.html" TargetMode="External"/><Relationship Id="rId2097" Type="http://schemas.openxmlformats.org/officeDocument/2006/relationships/hyperlink" Target="http://www.broadinstitute.org/gsea/msigdb/cards/GSE39820_CTRL_VS_TGFBETA1_IL6_CD4_TCELL_UP.html" TargetMode="External"/><Relationship Id="rId2098" Type="http://schemas.openxmlformats.org/officeDocument/2006/relationships/hyperlink" Target="http://www.broadinstitute.org/gsea/msigdb/cards/GSE7852_LN_VS_FAT_TREG_UP.html" TargetMode="External"/><Relationship Id="rId2099" Type="http://schemas.openxmlformats.org/officeDocument/2006/relationships/hyperlink" Target="http://www.broadinstitute.org/gsea/msigdb/cards/GSE411_100MIN_VS_400MIN_IL6_STIM_SOCS3_KO_MACROPHAGE_UP.html" TargetMode="External"/><Relationship Id="rId2484" Type="http://schemas.openxmlformats.org/officeDocument/2006/relationships/hyperlink" Target="http://www.broadinstitute.org/gsea/msigdb/cards/GSE10211_UV_INACT_SENDAI_VS_LIVE_SENDAI_VIRUS_TRACHEAL_EPITHELIAL_CELLS_DN.html" TargetMode="External"/><Relationship Id="rId2485" Type="http://schemas.openxmlformats.org/officeDocument/2006/relationships/hyperlink" Target="http://www.broadinstitute.org/gsea/msigdb/cards/GSE40274_CTRL_VS_FOXP3_AND_EOS_TRANSDUCED_ACTIVATED_CD4_TCELL_UP.html" TargetMode="External"/><Relationship Id="rId2486" Type="http://schemas.openxmlformats.org/officeDocument/2006/relationships/hyperlink" Target="http://www.broadinstitute.org/gsea/msigdb/cards/GSE40274_CTRL_VS_FOXP3_AND_SATB1_TRANSDUCED_ACTIVATED_CD4_TCELL_UP.html" TargetMode="External"/><Relationship Id="rId2487" Type="http://schemas.openxmlformats.org/officeDocument/2006/relationships/hyperlink" Target="http://www.broadinstitute.org/gsea/msigdb/cards/GSE3920_UNTREATED_VS_IFNG_TREATED_FIBROBLAST_UP.html" TargetMode="External"/><Relationship Id="rId2488" Type="http://schemas.openxmlformats.org/officeDocument/2006/relationships/hyperlink" Target="http://www.broadinstitute.org/gsea/msigdb/cards/GSE4984_GALECTIN1_VS_LPS_STIM_DC_DN.html" TargetMode="External"/><Relationship Id="rId2489" Type="http://schemas.openxmlformats.org/officeDocument/2006/relationships/hyperlink" Target="http://www.broadinstitute.org/gsea/msigdb/cards/GSE6269_FLU_VS_STREP_PNEUMO_INF_PBMC_UP.html" TargetMode="External"/><Relationship Id="rId1000" Type="http://schemas.openxmlformats.org/officeDocument/2006/relationships/hyperlink" Target="http://www.broadinstitute.org/gsea/msigdb/cards/GO_DNA_BIOSYNTHETIC_PROCESS.html" TargetMode="External"/><Relationship Id="rId1001" Type="http://schemas.openxmlformats.org/officeDocument/2006/relationships/hyperlink" Target="http://www.broadinstitute.org/gsea/msigdb/cards/GO_MITOTIC_CELL_CYCLE_CHECKPOINT.html" TargetMode="External"/><Relationship Id="rId1002" Type="http://schemas.openxmlformats.org/officeDocument/2006/relationships/hyperlink" Target="http://www.broadinstitute.org/gsea/msigdb/cards/GO_DOUBLE_STRAND_BREAK_REPAIR.html" TargetMode="External"/><Relationship Id="rId1003" Type="http://schemas.openxmlformats.org/officeDocument/2006/relationships/hyperlink" Target="http://www.broadinstitute.org/gsea/msigdb/cards/GO_MACROMOLECULAR_COMPLEX_BINDING.html" TargetMode="External"/><Relationship Id="rId930" Type="http://schemas.openxmlformats.org/officeDocument/2006/relationships/hyperlink" Target="http://www.broadinstitute.org/gsea/msigdb/cards/GO_ORGANELLE_FISSION.html" TargetMode="External"/><Relationship Id="rId931" Type="http://schemas.openxmlformats.org/officeDocument/2006/relationships/hyperlink" Target="http://www.broadinstitute.org/gsea/msigdb/cards/GO_DNA_METABOLIC_PROCESS.html" TargetMode="External"/><Relationship Id="rId932" Type="http://schemas.openxmlformats.org/officeDocument/2006/relationships/hyperlink" Target="http://www.broadinstitute.org/gsea/msigdb/cards/GO_MITOTIC_NUCLEAR_DIVISION.html" TargetMode="External"/><Relationship Id="rId933" Type="http://schemas.openxmlformats.org/officeDocument/2006/relationships/hyperlink" Target="http://www.broadinstitute.org/gsea/msigdb/cards/GO_CHROMOSOME_SEGREGATION.html" TargetMode="External"/><Relationship Id="rId934" Type="http://schemas.openxmlformats.org/officeDocument/2006/relationships/hyperlink" Target="http://www.broadinstitute.org/gsea/msigdb/cards/GO_CELL_DIVISION.html" TargetMode="External"/><Relationship Id="rId935" Type="http://schemas.openxmlformats.org/officeDocument/2006/relationships/hyperlink" Target="http://www.broadinstitute.org/gsea/msigdb/cards/GO_NUCLEAR_CHROMOSOME_SEGREGATION.html" TargetMode="External"/><Relationship Id="rId936" Type="http://schemas.openxmlformats.org/officeDocument/2006/relationships/hyperlink" Target="http://www.broadinstitute.org/gsea/msigdb/cards/GO_SISTER_CHROMATID_SEGREGATION.html" TargetMode="External"/><Relationship Id="rId937" Type="http://schemas.openxmlformats.org/officeDocument/2006/relationships/hyperlink" Target="http://www.broadinstitute.org/gsea/msigdb/cards/GO_CHROMOSOMAL_REGION.html" TargetMode="External"/><Relationship Id="rId150" Type="http://schemas.openxmlformats.org/officeDocument/2006/relationships/hyperlink" Target="http://www.broadinstitute.org/gsea/msigdb/cards/FARMER_BREAST_CANCER_CLUSTER_2.html" TargetMode="External"/><Relationship Id="rId151" Type="http://schemas.openxmlformats.org/officeDocument/2006/relationships/hyperlink" Target="http://www.broadinstitute.org/gsea/msigdb/cards/REACTOME_SYNTHESIS_OF_DNA.html" TargetMode="External"/><Relationship Id="rId152" Type="http://schemas.openxmlformats.org/officeDocument/2006/relationships/hyperlink" Target="http://www.broadinstitute.org/gsea/msigdb/cards/YU_MYC_TARGETS_UP.html" TargetMode="External"/><Relationship Id="rId153" Type="http://schemas.openxmlformats.org/officeDocument/2006/relationships/hyperlink" Target="http://www.broadinstitute.org/gsea/msigdb/cards/WHITFIELD_CELL_CYCLE_G1_S.html" TargetMode="External"/><Relationship Id="rId154" Type="http://schemas.openxmlformats.org/officeDocument/2006/relationships/hyperlink" Target="http://www.broadinstitute.org/gsea/msigdb/cards/REACTOME_CELL_CYCLE_CHECKPOINTS.html" TargetMode="External"/><Relationship Id="rId155" Type="http://schemas.openxmlformats.org/officeDocument/2006/relationships/hyperlink" Target="http://www.broadinstitute.org/gsea/msigdb/cards/BUYTAERT_PHOTODYNAMIC_THERAPY_STRESS_DN.html" TargetMode="External"/><Relationship Id="rId156" Type="http://schemas.openxmlformats.org/officeDocument/2006/relationships/hyperlink" Target="http://www.broadinstitute.org/gsea/msigdb/cards/LY_AGING_OLD_DN.html" TargetMode="External"/><Relationship Id="rId157" Type="http://schemas.openxmlformats.org/officeDocument/2006/relationships/hyperlink" Target="http://www.broadinstitute.org/gsea/msigdb/cards/LEE_LIVER_CANCER_SURVIVAL_DN.html" TargetMode="External"/><Relationship Id="rId158" Type="http://schemas.openxmlformats.org/officeDocument/2006/relationships/hyperlink" Target="http://www.broadinstitute.org/gsea/msigdb/cards/SHEPARD_BMYB_TARGETS.html" TargetMode="External"/><Relationship Id="rId159" Type="http://schemas.openxmlformats.org/officeDocument/2006/relationships/hyperlink" Target="http://www.broadinstitute.org/gsea/msigdb/cards/REACTOME_G2_M_CHECKPOINTS.html" TargetMode="External"/><Relationship Id="rId938" Type="http://schemas.openxmlformats.org/officeDocument/2006/relationships/hyperlink" Target="http://www.broadinstitute.org/gsea/msigdb/cards/GO_DNA_REPLICATION.html" TargetMode="External"/><Relationship Id="rId939" Type="http://schemas.openxmlformats.org/officeDocument/2006/relationships/hyperlink" Target="http://www.broadinstitute.org/gsea/msigdb/cards/GO_REGULATION_OF_CELL_CYCLE.html" TargetMode="External"/><Relationship Id="rId1004" Type="http://schemas.openxmlformats.org/officeDocument/2006/relationships/hyperlink" Target="http://www.broadinstitute.org/gsea/msigdb/cards/GO_MITOTIC_RECOMBINATION.html" TargetMode="External"/><Relationship Id="rId1005" Type="http://schemas.openxmlformats.org/officeDocument/2006/relationships/hyperlink" Target="http://www.broadinstitute.org/gsea/msigdb/cards/GO_PROTEIN_COMPLEX_BIOGENESIS.html" TargetMode="External"/><Relationship Id="rId1006" Type="http://schemas.openxmlformats.org/officeDocument/2006/relationships/hyperlink" Target="http://www.broadinstitute.org/gsea/msigdb/cards/GO_CELL_PROLIFERATION.html" TargetMode="External"/><Relationship Id="rId1007" Type="http://schemas.openxmlformats.org/officeDocument/2006/relationships/hyperlink" Target="http://www.broadinstitute.org/gsea/msigdb/cards/GO_REPRODUCTION.html" TargetMode="External"/><Relationship Id="rId1008" Type="http://schemas.openxmlformats.org/officeDocument/2006/relationships/hyperlink" Target="http://www.broadinstitute.org/gsea/msigdb/cards/GO_CELL_CYCLE_G2_M_PHASE_TRANSITION.html" TargetMode="External"/><Relationship Id="rId1009" Type="http://schemas.openxmlformats.org/officeDocument/2006/relationships/hyperlink" Target="http://www.broadinstitute.org/gsea/msigdb/cards/GO_CHROMATIN.html" TargetMode="External"/><Relationship Id="rId540" Type="http://schemas.openxmlformats.org/officeDocument/2006/relationships/hyperlink" Target="http://www.broadinstitute.org/gsea/msigdb/cards/ONKEN_UVEAL_MELANOMA_UP.html" TargetMode="External"/><Relationship Id="rId541" Type="http://schemas.openxmlformats.org/officeDocument/2006/relationships/hyperlink" Target="http://www.broadinstitute.org/gsea/msigdb/cards/WELCSH_BRCA1_TARGETS_UP.html" TargetMode="External"/><Relationship Id="rId542" Type="http://schemas.openxmlformats.org/officeDocument/2006/relationships/hyperlink" Target="http://www.broadinstitute.org/gsea/msigdb/cards/LEE_TARGETS_OF_PTCH1_AND_SUFU_UP.html" TargetMode="External"/><Relationship Id="rId543" Type="http://schemas.openxmlformats.org/officeDocument/2006/relationships/hyperlink" Target="http://www.broadinstitute.org/gsea/msigdb/cards/MENSSEN_MYC_TARGETS.html" TargetMode="External"/><Relationship Id="rId544" Type="http://schemas.openxmlformats.org/officeDocument/2006/relationships/hyperlink" Target="http://www.broadinstitute.org/gsea/msigdb/cards/BENPORATH_OCT4_TARGETS.html" TargetMode="External"/><Relationship Id="rId545" Type="http://schemas.openxmlformats.org/officeDocument/2006/relationships/hyperlink" Target="http://www.broadinstitute.org/gsea/msigdb/cards/STANELLE_E2F1_TARGETS.html" TargetMode="External"/><Relationship Id="rId546" Type="http://schemas.openxmlformats.org/officeDocument/2006/relationships/hyperlink" Target="http://www.broadinstitute.org/gsea/msigdb/cards/AUNG_GASTRIC_CANCER.html" TargetMode="External"/><Relationship Id="rId547" Type="http://schemas.openxmlformats.org/officeDocument/2006/relationships/hyperlink" Target="http://www.broadinstitute.org/gsea/msigdb/cards/LEE_LIVER_CANCER_MYC_UP.html" TargetMode="External"/><Relationship Id="rId548" Type="http://schemas.openxmlformats.org/officeDocument/2006/relationships/hyperlink" Target="http://www.broadinstitute.org/gsea/msigdb/cards/ENK_UV_RESPONSE_EPIDERMIS_UP.html" TargetMode="External"/><Relationship Id="rId549" Type="http://schemas.openxmlformats.org/officeDocument/2006/relationships/hyperlink" Target="http://www.broadinstitute.org/gsea/msigdb/cards/KEGG_PURINE_METABOLISM.html" TargetMode="External"/><Relationship Id="rId2490" Type="http://schemas.openxmlformats.org/officeDocument/2006/relationships/hyperlink" Target="http://www.broadinstitute.org/gsea/msigdb/cards/GSE4984_UNTREATED_VS_LPS_TREATED_DC_DN.html" TargetMode="External"/><Relationship Id="rId2491" Type="http://schemas.openxmlformats.org/officeDocument/2006/relationships/hyperlink" Target="http://www.broadinstitute.org/gsea/msigdb/cards/GSE6269_HEALTHY_VS_STAPH_AUREUS_INF_PBMC_UP.html" TargetMode="External"/><Relationship Id="rId2492" Type="http://schemas.openxmlformats.org/officeDocument/2006/relationships/hyperlink" Target="http://www.broadinstitute.org/gsea/msigdb/cards/GSE7568_IL4_TGFB_DEXAMETHASONE_VS_IL4_TGFB_TREATED_MACROPHAGE_UP.html" TargetMode="External"/><Relationship Id="rId2493" Type="http://schemas.openxmlformats.org/officeDocument/2006/relationships/hyperlink" Target="http://www.broadinstitute.org/gsea/msigdb/cards/GSE37534_PIOGLITAZONE_VS_ROSIGLITAZONE_TREATED_CD4_TCELL_PPARG1_FOXP3_TRANSDUCED_UP.html" TargetMode="External"/><Relationship Id="rId2494" Type="http://schemas.openxmlformats.org/officeDocument/2006/relationships/hyperlink" Target="http://www.broadinstitute.org/gsea/msigdb/cards/GSE37301_PRO_BCELL_VS_RAG2_KO_NK_CELL_DN.html" TargetMode="External"/><Relationship Id="rId2495" Type="http://schemas.openxmlformats.org/officeDocument/2006/relationships/hyperlink" Target="http://www.broadinstitute.org/gsea/msigdb/cards/GSE3920_UNTREATED_VS_IFNG_TREATED_ENDOTHELIAL_CELL_DN.html" TargetMode="External"/><Relationship Id="rId2496" Type="http://schemas.openxmlformats.org/officeDocument/2006/relationships/hyperlink" Target="http://www.broadinstitute.org/gsea/msigdb/cards/GSE32255_UNSTIM_VS_4H_LPS_STIM_DC_UP.html" TargetMode="External"/><Relationship Id="rId2497" Type="http://schemas.openxmlformats.org/officeDocument/2006/relationships/hyperlink" Target="http://www.broadinstitute.org/gsea/msigdb/cards/GSE7509_FCGRIIB_VS_TNFA_IL1B_IL6_PGE_STIM_DC_UP.html" TargetMode="External"/><Relationship Id="rId2498" Type="http://schemas.openxmlformats.org/officeDocument/2006/relationships/hyperlink" Target="http://www.broadinstitute.org/gsea/msigdb/cards/GSE25123_IL4_VS_IL4_AND_ROSIGLITAZONE_STIM_PPARG_KO_MACROPHAGE_DAY10_UP.html" TargetMode="External"/><Relationship Id="rId2499" Type="http://schemas.openxmlformats.org/officeDocument/2006/relationships/hyperlink" Target="http://www.broadinstitute.org/gsea/msigdb/cards/GSE10239_NAIVE_VS_MEMORY_CD8_TCELL_UP.html" TargetMode="External"/><Relationship Id="rId1400" Type="http://schemas.openxmlformats.org/officeDocument/2006/relationships/hyperlink" Target="http://www.broadinstitute.org/gsea/msigdb/cards/GO_DNA_REPLICATION_DEPENDENT_NUCLEOSOME_ORGANIZATION.html" TargetMode="External"/><Relationship Id="rId1401" Type="http://schemas.openxmlformats.org/officeDocument/2006/relationships/hyperlink" Target="http://www.broadinstitute.org/gsea/msigdb/cards/GO_HEPATICOBILIARY_SYSTEM_DEVELOPMENT.html" TargetMode="External"/><Relationship Id="rId1402" Type="http://schemas.openxmlformats.org/officeDocument/2006/relationships/hyperlink" Target="http://www.broadinstitute.org/gsea/msigdb/cards/GO_PROTEIN_LOCALIZATION_TO_CHROMATIN.html" TargetMode="External"/><Relationship Id="rId1403" Type="http://schemas.openxmlformats.org/officeDocument/2006/relationships/hyperlink" Target="http://www.broadinstitute.org/gsea/msigdb/cards/GO_DNA_POLYMERASE_COMPLEX.html" TargetMode="External"/><Relationship Id="rId1404" Type="http://schemas.openxmlformats.org/officeDocument/2006/relationships/hyperlink" Target="http://www.broadinstitute.org/gsea/msigdb/cards/GO_FANCONI_ANAEMIA_NUCLEAR_COMPLEX.html" TargetMode="External"/><Relationship Id="rId1405" Type="http://schemas.openxmlformats.org/officeDocument/2006/relationships/hyperlink" Target="http://www.broadinstitute.org/gsea/msigdb/cards/GO_POSITIVE_REGULATION_OF_PROTEIN_LOCALIZATION_TO_NUCLEUS.html" TargetMode="External"/><Relationship Id="rId1406" Type="http://schemas.openxmlformats.org/officeDocument/2006/relationships/hyperlink" Target="http://www.broadinstitute.org/gsea/msigdb/cards/GO_NUCLEAR_IMPORT.html" TargetMode="External"/><Relationship Id="rId1407" Type="http://schemas.openxmlformats.org/officeDocument/2006/relationships/hyperlink" Target="http://www.broadinstitute.org/gsea/msigdb/cards/GO_PROTEOLYSIS.html" TargetMode="External"/><Relationship Id="rId1408" Type="http://schemas.openxmlformats.org/officeDocument/2006/relationships/hyperlink" Target="http://www.broadinstitute.org/gsea/msigdb/cards/GO_REGULATION_OF_PROTEIN_LOCALIZATION.html" TargetMode="External"/><Relationship Id="rId1409" Type="http://schemas.openxmlformats.org/officeDocument/2006/relationships/hyperlink" Target="http://www.broadinstitute.org/gsea/msigdb/cards/GO_CELLULAR_RESPONSE_TO_HYDROGEN_PEROXIDE.html" TargetMode="External"/><Relationship Id="rId940" Type="http://schemas.openxmlformats.org/officeDocument/2006/relationships/hyperlink" Target="http://www.broadinstitute.org/gsea/msigdb/cards/GO_CELLULAR_RESPONSE_TO_DNA_DAMAGE_STIMULUS.html" TargetMode="External"/><Relationship Id="rId941" Type="http://schemas.openxmlformats.org/officeDocument/2006/relationships/hyperlink" Target="http://www.broadinstitute.org/gsea/msigdb/cards/GO_CONDENSED_CHROMOSOME.html" TargetMode="External"/><Relationship Id="rId942" Type="http://schemas.openxmlformats.org/officeDocument/2006/relationships/hyperlink" Target="http://www.broadinstitute.org/gsea/msigdb/cards/GO_CHROMOSOME_CENTROMERIC_REGION.html" TargetMode="External"/><Relationship Id="rId943" Type="http://schemas.openxmlformats.org/officeDocument/2006/relationships/hyperlink" Target="http://www.broadinstitute.org/gsea/msigdb/cards/GO_CELL_CYCLE_PHASE_TRANSITION.html" TargetMode="External"/><Relationship Id="rId944" Type="http://schemas.openxmlformats.org/officeDocument/2006/relationships/hyperlink" Target="http://www.broadinstitute.org/gsea/msigdb/cards/GO_MICROTUBULE_CYTOSKELETON.html" TargetMode="External"/><Relationship Id="rId945" Type="http://schemas.openxmlformats.org/officeDocument/2006/relationships/hyperlink" Target="http://www.broadinstitute.org/gsea/msigdb/cards/GO_DNA_REPAIR.html" TargetMode="External"/><Relationship Id="rId160" Type="http://schemas.openxmlformats.org/officeDocument/2006/relationships/hyperlink" Target="http://www.broadinstitute.org/gsea/msigdb/cards/OXFORD_RALA_OR_RALB_TARGETS_UP.html" TargetMode="External"/><Relationship Id="rId161" Type="http://schemas.openxmlformats.org/officeDocument/2006/relationships/hyperlink" Target="http://www.broadinstitute.org/gsea/msigdb/cards/PAL_PRMT5_TARGETS_UP.html" TargetMode="External"/><Relationship Id="rId162" Type="http://schemas.openxmlformats.org/officeDocument/2006/relationships/hyperlink" Target="http://www.broadinstitute.org/gsea/msigdb/cards/STEIN_ESRRA_TARGETS_RESPONSIVE_TO_ESTROGEN_DN.html" TargetMode="External"/><Relationship Id="rId163" Type="http://schemas.openxmlformats.org/officeDocument/2006/relationships/hyperlink" Target="http://www.broadinstitute.org/gsea/msigdb/cards/BURTON_ADIPOGENESIS_PEAK_AT_24HR.html" TargetMode="External"/><Relationship Id="rId164" Type="http://schemas.openxmlformats.org/officeDocument/2006/relationships/hyperlink" Target="http://www.broadinstitute.org/gsea/msigdb/cards/REICHERT_MITOSIS_LIN9_TARGETS.html" TargetMode="External"/><Relationship Id="rId165" Type="http://schemas.openxmlformats.org/officeDocument/2006/relationships/hyperlink" Target="http://www.broadinstitute.org/gsea/msigdb/cards/PUJANA_BREAST_CANCER_LIT_INT_NETWORK.html" TargetMode="External"/><Relationship Id="rId166" Type="http://schemas.openxmlformats.org/officeDocument/2006/relationships/hyperlink" Target="http://www.broadinstitute.org/gsea/msigdb/cards/PID_PLK1_PATHWAY.html" TargetMode="External"/><Relationship Id="rId167" Type="http://schemas.openxmlformats.org/officeDocument/2006/relationships/hyperlink" Target="http://www.broadinstitute.org/gsea/msigdb/cards/BOYAULT_LIVER_CANCER_SUBCLASS_G23_UP.html" TargetMode="External"/><Relationship Id="rId168" Type="http://schemas.openxmlformats.org/officeDocument/2006/relationships/hyperlink" Target="http://www.broadinstitute.org/gsea/msigdb/cards/PETROVA_ENDOTHELIUM_LYMPHATIC_VS_BLOOD_UP.html" TargetMode="External"/><Relationship Id="rId169" Type="http://schemas.openxmlformats.org/officeDocument/2006/relationships/hyperlink" Target="http://www.broadinstitute.org/gsea/msigdb/cards/WILCOX_RESPONSE_TO_PROGESTERONE_UP.html" TargetMode="External"/><Relationship Id="rId946" Type="http://schemas.openxmlformats.org/officeDocument/2006/relationships/hyperlink" Target="http://www.broadinstitute.org/gsea/msigdb/cards/GO_REGULATION_OF_CELL_CYCLE_PROCESS.html" TargetMode="External"/><Relationship Id="rId947" Type="http://schemas.openxmlformats.org/officeDocument/2006/relationships/hyperlink" Target="http://www.broadinstitute.org/gsea/msigdb/cards/GO_NUCLEAR_CHROMOSOME.html" TargetMode="External"/><Relationship Id="rId948" Type="http://schemas.openxmlformats.org/officeDocument/2006/relationships/hyperlink" Target="http://www.broadinstitute.org/gsea/msigdb/cards/GO_CELLULAR_RESPONSE_TO_STRESS.html" TargetMode="External"/><Relationship Id="rId949" Type="http://schemas.openxmlformats.org/officeDocument/2006/relationships/hyperlink" Target="http://www.broadinstitute.org/gsea/msigdb/cards/GO_SPINDLE.html" TargetMode="External"/><Relationship Id="rId1010" Type="http://schemas.openxmlformats.org/officeDocument/2006/relationships/hyperlink" Target="http://www.broadinstitute.org/gsea/msigdb/cards/GO_PROTEIN_DNA_COMPLEX_SUBUNIT_ORGANIZATION.html" TargetMode="External"/><Relationship Id="rId1011" Type="http://schemas.openxmlformats.org/officeDocument/2006/relationships/hyperlink" Target="http://www.broadinstitute.org/gsea/msigdb/cards/GO_NEGATIVE_REGULATION_OF_CELL_CYCLE_PHASE_TRANSITION.html" TargetMode="External"/><Relationship Id="rId1012" Type="http://schemas.openxmlformats.org/officeDocument/2006/relationships/hyperlink" Target="http://www.broadinstitute.org/gsea/msigdb/cards/GO_DNA_GEOMETRIC_CHANGE.html" TargetMode="External"/><Relationship Id="rId1013" Type="http://schemas.openxmlformats.org/officeDocument/2006/relationships/hyperlink" Target="http://www.broadinstitute.org/gsea/msigdb/cards/GO_MITOTIC_SPINDLE_ORGANIZATION.html" TargetMode="External"/><Relationship Id="rId1014" Type="http://schemas.openxmlformats.org/officeDocument/2006/relationships/hyperlink" Target="http://www.broadinstitute.org/gsea/msigdb/cards/GO_CONDENSED_NUCLEAR_CHROMOSOME.html" TargetMode="External"/><Relationship Id="rId1015" Type="http://schemas.openxmlformats.org/officeDocument/2006/relationships/hyperlink" Target="http://www.broadinstitute.org/gsea/msigdb/cards/GO_CENTROMERE_COMPLEX_ASSEMBLY.html" TargetMode="External"/><Relationship Id="rId1016" Type="http://schemas.openxmlformats.org/officeDocument/2006/relationships/hyperlink" Target="http://www.broadinstitute.org/gsea/msigdb/cards/GO_DNA_SYNTHESIS_INVOLVED_IN_DNA_REPAIR.html" TargetMode="External"/><Relationship Id="rId1017" Type="http://schemas.openxmlformats.org/officeDocument/2006/relationships/hyperlink" Target="http://www.broadinstitute.org/gsea/msigdb/cards/GO_CELLULAR_MACROMOLECULAR_COMPLEX_ASSEMBLY.html" TargetMode="External"/><Relationship Id="rId1018" Type="http://schemas.openxmlformats.org/officeDocument/2006/relationships/hyperlink" Target="http://www.broadinstitute.org/gsea/msigdb/cards/GO_DNA_DEPENDENT_ATPASE_ACTIVITY.html" TargetMode="External"/><Relationship Id="rId1019" Type="http://schemas.openxmlformats.org/officeDocument/2006/relationships/hyperlink" Target="http://www.broadinstitute.org/gsea/msigdb/cards/GO_CHROMATIN_ORGANIZATION.html" TargetMode="External"/><Relationship Id="rId550" Type="http://schemas.openxmlformats.org/officeDocument/2006/relationships/hyperlink" Target="http://www.broadinstitute.org/gsea/msigdb/cards/SANA_RESPONSE_TO_IFNG_DN.html" TargetMode="External"/><Relationship Id="rId551" Type="http://schemas.openxmlformats.org/officeDocument/2006/relationships/hyperlink" Target="http://www.broadinstitute.org/gsea/msigdb/cards/PURBEY_TARGETS_OF_CTBP1_NOT_SATB1_DN.html" TargetMode="External"/><Relationship Id="rId552" Type="http://schemas.openxmlformats.org/officeDocument/2006/relationships/hyperlink" Target="http://www.broadinstitute.org/gsea/msigdb/cards/GENTILE_UV_RESPONSE_CLUSTER_D4.html" TargetMode="External"/><Relationship Id="rId553" Type="http://schemas.openxmlformats.org/officeDocument/2006/relationships/hyperlink" Target="http://www.broadinstitute.org/gsea/msigdb/cards/LEE_LIVER_CANCER_MYC_E2F1_UP.html" TargetMode="External"/><Relationship Id="rId554" Type="http://schemas.openxmlformats.org/officeDocument/2006/relationships/hyperlink" Target="http://www.broadinstitute.org/gsea/msigdb/cards/LINSLEY_MIR16_TARGETS.html" TargetMode="External"/><Relationship Id="rId555" Type="http://schemas.openxmlformats.org/officeDocument/2006/relationships/hyperlink" Target="http://www.broadinstitute.org/gsea/msigdb/cards/BIOCARTA_AKAP95_PATHWAY.html" TargetMode="External"/><Relationship Id="rId556" Type="http://schemas.openxmlformats.org/officeDocument/2006/relationships/hyperlink" Target="http://www.broadinstitute.org/gsea/msigdb/cards/REACTOME_P53_DEPENDENT_G1_DNA_DAMAGE_RESPONSE.html" TargetMode="External"/><Relationship Id="rId557" Type="http://schemas.openxmlformats.org/officeDocument/2006/relationships/hyperlink" Target="http://www.broadinstitute.org/gsea/msigdb/cards/BORLAK_LIVER_CANCER_EGF_UP.html" TargetMode="External"/><Relationship Id="rId558" Type="http://schemas.openxmlformats.org/officeDocument/2006/relationships/hyperlink" Target="http://www.broadinstitute.org/gsea/msigdb/cards/REACTOME_IMMUNE_SYSTEM.html" TargetMode="External"/><Relationship Id="rId559" Type="http://schemas.openxmlformats.org/officeDocument/2006/relationships/hyperlink" Target="http://www.broadinstitute.org/gsea/msigdb/cards/KEGG_PROSTATE_CANCER.html" TargetMode="External"/><Relationship Id="rId1800" Type="http://schemas.openxmlformats.org/officeDocument/2006/relationships/hyperlink" Target="http://www.broadinstitute.org/gsea/msigdb/cards/GSE23505_IL6_IL1_IL23_VS_IL6_IL1_TGFB_TREATED_CD4_TCELL_DN.html" TargetMode="External"/><Relationship Id="rId1801" Type="http://schemas.openxmlformats.org/officeDocument/2006/relationships/hyperlink" Target="http://www.broadinstitute.org/gsea/msigdb/cards/GSE33162_UNTREATED_VS_4H_LPS_STIM_HDAC3_KO_MACROPHAGE_UP.html" TargetMode="External"/><Relationship Id="rId1802" Type="http://schemas.openxmlformats.org/officeDocument/2006/relationships/hyperlink" Target="http://www.broadinstitute.org/gsea/msigdb/cards/GSE3920_UNTREATED_VS_IFNB_TREATED_ENDOTHELIAL_CELL_DN.html" TargetMode="External"/><Relationship Id="rId1803" Type="http://schemas.openxmlformats.org/officeDocument/2006/relationships/hyperlink" Target="http://www.broadinstitute.org/gsea/msigdb/cards/GSE1460_DP_THYMOCYTE_VS_NAIVE_CD4_TCELL_CORD_BLOOD_UP.html" TargetMode="External"/><Relationship Id="rId1410" Type="http://schemas.openxmlformats.org/officeDocument/2006/relationships/hyperlink" Target="http://www.broadinstitute.org/gsea/msigdb/cards/GO_CELLULAR_RESPONSE_TO_ABIOTIC_STIMULUS.html" TargetMode="External"/><Relationship Id="rId1411" Type="http://schemas.openxmlformats.org/officeDocument/2006/relationships/hyperlink" Target="http://www.broadinstitute.org/gsea/msigdb/cards/GO_NUCLEOTIDYLTRANSFERASE_ACTIVITY.html" TargetMode="External"/><Relationship Id="rId1412" Type="http://schemas.openxmlformats.org/officeDocument/2006/relationships/hyperlink" Target="http://www.broadinstitute.org/gsea/msigdb/cards/GO_PROTEIN_DIMERIZATION_ACTIVITY.html" TargetMode="External"/><Relationship Id="rId1413" Type="http://schemas.openxmlformats.org/officeDocument/2006/relationships/hyperlink" Target="http://www.broadinstitute.org/gsea/msigdb/cards/GO_CYCLIN_DEPENDENT_PROTEIN_KINASE_ACTIVITY.html" TargetMode="External"/><Relationship Id="rId1414" Type="http://schemas.openxmlformats.org/officeDocument/2006/relationships/hyperlink" Target="http://www.broadinstitute.org/gsea/msigdb/cards/GO_NEGATIVE_REGULATION_OF_CATALYTIC_ACTIVITY.html" TargetMode="External"/><Relationship Id="rId1415" Type="http://schemas.openxmlformats.org/officeDocument/2006/relationships/hyperlink" Target="http://www.broadinstitute.org/gsea/msigdb/cards/GO_CYTOKINETIC_PROCESS.html" TargetMode="External"/><Relationship Id="rId1416" Type="http://schemas.openxmlformats.org/officeDocument/2006/relationships/hyperlink" Target="http://www.broadinstitute.org/gsea/msigdb/cards/GO_STRUCTURAL_CONSTITUENT_OF_NUCLEAR_PORE.html" TargetMode="External"/><Relationship Id="rId1417" Type="http://schemas.openxmlformats.org/officeDocument/2006/relationships/hyperlink" Target="http://www.broadinstitute.org/gsea/msigdb/cards/GO_SYNAPTONEMAL_COMPLEX.html" TargetMode="External"/><Relationship Id="rId1418" Type="http://schemas.openxmlformats.org/officeDocument/2006/relationships/hyperlink" Target="http://www.broadinstitute.org/gsea/msigdb/cards/GO_PML_BODY.html" TargetMode="External"/><Relationship Id="rId1419" Type="http://schemas.openxmlformats.org/officeDocument/2006/relationships/hyperlink" Target="http://www.broadinstitute.org/gsea/msigdb/cards/GO_PROTEIN_K63_LINKED_UBIQUITINATION.html" TargetMode="External"/><Relationship Id="rId950" Type="http://schemas.openxmlformats.org/officeDocument/2006/relationships/hyperlink" Target="http://www.broadinstitute.org/gsea/msigdb/cards/GO_CONDENSED_CHROMOSOME_CENTROMERIC_REGION.html" TargetMode="External"/><Relationship Id="rId951" Type="http://schemas.openxmlformats.org/officeDocument/2006/relationships/hyperlink" Target="http://www.broadinstitute.org/gsea/msigdb/cards/GO_CYTOSKELETAL_PART.html" TargetMode="External"/><Relationship Id="rId952" Type="http://schemas.openxmlformats.org/officeDocument/2006/relationships/hyperlink" Target="http://www.broadinstitute.org/gsea/msigdb/cards/GO_KINETOCHORE.html" TargetMode="External"/><Relationship Id="rId953" Type="http://schemas.openxmlformats.org/officeDocument/2006/relationships/hyperlink" Target="http://www.broadinstitute.org/gsea/msigdb/cards/GO_DNA_CONFORMATION_CHANGE.html" TargetMode="External"/><Relationship Id="rId954" Type="http://schemas.openxmlformats.org/officeDocument/2006/relationships/hyperlink" Target="http://www.broadinstitute.org/gsea/msigdb/cards/GO_MICROTUBULE_CYTOSKELETON_ORGANIZATION.html" TargetMode="External"/><Relationship Id="rId955" Type="http://schemas.openxmlformats.org/officeDocument/2006/relationships/hyperlink" Target="http://www.broadinstitute.org/gsea/msigdb/cards/GO_DNA_DEPENDENT_DNA_REPLICATION.html" TargetMode="External"/><Relationship Id="rId170" Type="http://schemas.openxmlformats.org/officeDocument/2006/relationships/hyperlink" Target="http://www.broadinstitute.org/gsea/msigdb/cards/REACTOME_ACTIVATION_OF_ATR_IN_RESPONSE_TO_REPLICATION_STRESS.html" TargetMode="External"/><Relationship Id="rId171" Type="http://schemas.openxmlformats.org/officeDocument/2006/relationships/hyperlink" Target="http://www.broadinstitute.org/gsea/msigdb/cards/REACTOME_DNA_STRAND_ELONGATION.html" TargetMode="External"/><Relationship Id="rId172" Type="http://schemas.openxmlformats.org/officeDocument/2006/relationships/hyperlink" Target="http://www.broadinstitute.org/gsea/msigdb/cards/REACTOME_M_G1_TRANSITION.html" TargetMode="External"/><Relationship Id="rId173" Type="http://schemas.openxmlformats.org/officeDocument/2006/relationships/hyperlink" Target="http://www.broadinstitute.org/gsea/msigdb/cards/REACTOME_ACTIVATION_OF_THE_PRE_REPLICATIVE_COMPLEX.html" TargetMode="External"/><Relationship Id="rId174" Type="http://schemas.openxmlformats.org/officeDocument/2006/relationships/hyperlink" Target="http://www.broadinstitute.org/gsea/msigdb/cards/GARCIA_TARGETS_OF_FLI1_AND_DAX1_DN.html" TargetMode="External"/><Relationship Id="rId175" Type="http://schemas.openxmlformats.org/officeDocument/2006/relationships/hyperlink" Target="http://www.broadinstitute.org/gsea/msigdb/cards/COLINA_TARGETS_OF_4EBP1_AND_4EBP2.html" TargetMode="External"/><Relationship Id="rId176" Type="http://schemas.openxmlformats.org/officeDocument/2006/relationships/hyperlink" Target="http://www.broadinstitute.org/gsea/msigdb/cards/GRAHAM_CML_QUIESCENT_VS_NORMAL_QUIESCENT_UP.html" TargetMode="External"/><Relationship Id="rId177" Type="http://schemas.openxmlformats.org/officeDocument/2006/relationships/hyperlink" Target="http://www.broadinstitute.org/gsea/msigdb/cards/GRAESSMANN_APOPTOSIS_BY_DOXORUBICIN_DN.html" TargetMode="External"/><Relationship Id="rId178" Type="http://schemas.openxmlformats.org/officeDocument/2006/relationships/hyperlink" Target="http://www.broadinstitute.org/gsea/msigdb/cards/SASAKI_ADULT_T_CELL_LEUKEMIA.html" TargetMode="External"/><Relationship Id="rId179" Type="http://schemas.openxmlformats.org/officeDocument/2006/relationships/hyperlink" Target="http://www.broadinstitute.org/gsea/msigdb/cards/HAMAI_APOPTOSIS_VIA_TRAIL_UP.html" TargetMode="External"/><Relationship Id="rId956" Type="http://schemas.openxmlformats.org/officeDocument/2006/relationships/hyperlink" Target="http://www.broadinstitute.org/gsea/msigdb/cards/GO_SISTER_CHROMATID_COHESION.html" TargetMode="External"/><Relationship Id="rId957" Type="http://schemas.openxmlformats.org/officeDocument/2006/relationships/hyperlink" Target="http://www.broadinstitute.org/gsea/msigdb/cards/GO_REGULATION_OF_MITOTIC_CELL_CYCLE.html" TargetMode="External"/><Relationship Id="rId958" Type="http://schemas.openxmlformats.org/officeDocument/2006/relationships/hyperlink" Target="http://www.broadinstitute.org/gsea/msigdb/cards/GO_MITOTIC_SISTER_CHROMATID_SEGREGATION.html" TargetMode="External"/><Relationship Id="rId959" Type="http://schemas.openxmlformats.org/officeDocument/2006/relationships/hyperlink" Target="http://www.broadinstitute.org/gsea/msigdb/cards/GO_MICROTUBULE_BASED_PROCESS.html" TargetMode="External"/><Relationship Id="rId1020" Type="http://schemas.openxmlformats.org/officeDocument/2006/relationships/hyperlink" Target="http://www.broadinstitute.org/gsea/msigdb/cards/GO_MIDBODY.html" TargetMode="External"/><Relationship Id="rId1021" Type="http://schemas.openxmlformats.org/officeDocument/2006/relationships/hyperlink" Target="http://www.broadinstitute.org/gsea/msigdb/cards/GO_HELICASE_ACTIVITY.html" TargetMode="External"/><Relationship Id="rId1022" Type="http://schemas.openxmlformats.org/officeDocument/2006/relationships/hyperlink" Target="http://www.broadinstitute.org/gsea/msigdb/cards/GO_SPINDLE_MICROTUBULE.html" TargetMode="External"/><Relationship Id="rId1023" Type="http://schemas.openxmlformats.org/officeDocument/2006/relationships/hyperlink" Target="http://www.broadinstitute.org/gsea/msigdb/cards/GO_POSITIVE_REGULATION_OF_MITOTIC_CELL_CYCLE.html" TargetMode="External"/><Relationship Id="rId1024" Type="http://schemas.openxmlformats.org/officeDocument/2006/relationships/hyperlink" Target="http://www.broadinstitute.org/gsea/msigdb/cards/GO_NEGATIVE_REGULATION_OF_CELL_DIVISION.html" TargetMode="External"/><Relationship Id="rId1025" Type="http://schemas.openxmlformats.org/officeDocument/2006/relationships/hyperlink" Target="http://www.broadinstitute.org/gsea/msigdb/cards/GO_ENZYME_BINDING.html" TargetMode="External"/><Relationship Id="rId1026" Type="http://schemas.openxmlformats.org/officeDocument/2006/relationships/hyperlink" Target="http://www.broadinstitute.org/gsea/msigdb/cards/GO_SUPRAMOLECULAR_FIBER.html" TargetMode="External"/><Relationship Id="rId1027" Type="http://schemas.openxmlformats.org/officeDocument/2006/relationships/hyperlink" Target="http://www.broadinstitute.org/gsea/msigdb/cards/GO_DNA_STRAND_ELONGATION.html" TargetMode="External"/><Relationship Id="rId1028" Type="http://schemas.openxmlformats.org/officeDocument/2006/relationships/hyperlink" Target="http://www.broadinstitute.org/gsea/msigdb/cards/GO_DNA_REPLICATION_INDEPENDENT_NUCLEOSOME_ORGANIZATION.html" TargetMode="External"/><Relationship Id="rId1029" Type="http://schemas.openxmlformats.org/officeDocument/2006/relationships/hyperlink" Target="http://www.broadinstitute.org/gsea/msigdb/cards/GO_DNA_HELICASE_ACTIVITY.html" TargetMode="External"/><Relationship Id="rId560" Type="http://schemas.openxmlformats.org/officeDocument/2006/relationships/hyperlink" Target="http://www.broadinstitute.org/gsea/msigdb/cards/MARTORIATI_MDM4_TARGETS_FETAL_LIVER_DN.html" TargetMode="External"/><Relationship Id="rId561" Type="http://schemas.openxmlformats.org/officeDocument/2006/relationships/hyperlink" Target="http://www.broadinstitute.org/gsea/msigdb/cards/BONCI_TARGETS_OF_MIR15A_AND_MIR16_1.html" TargetMode="External"/><Relationship Id="rId562" Type="http://schemas.openxmlformats.org/officeDocument/2006/relationships/hyperlink" Target="http://www.broadinstitute.org/gsea/msigdb/cards/KEGG_PATHOGENIC_ESCHERICHIA_COLI_INFECTION.html" TargetMode="External"/><Relationship Id="rId563" Type="http://schemas.openxmlformats.org/officeDocument/2006/relationships/hyperlink" Target="http://www.broadinstitute.org/gsea/msigdb/cards/PID_P53_REGULATION_PATHWAY.html" TargetMode="External"/><Relationship Id="rId564" Type="http://schemas.openxmlformats.org/officeDocument/2006/relationships/hyperlink" Target="http://www.broadinstitute.org/gsea/msigdb/cards/DE_YY1_TARGETS_DN.html" TargetMode="External"/><Relationship Id="rId565" Type="http://schemas.openxmlformats.org/officeDocument/2006/relationships/hyperlink" Target="http://www.broadinstitute.org/gsea/msigdb/cards/CUI_GLUCOSE_DEPRIVATION.html" TargetMode="External"/><Relationship Id="rId566" Type="http://schemas.openxmlformats.org/officeDocument/2006/relationships/hyperlink" Target="http://www.broadinstitute.org/gsea/msigdb/cards/KYNG_WERNER_SYNDROM_AND_NORMAL_AGING_UP.html" TargetMode="External"/><Relationship Id="rId567" Type="http://schemas.openxmlformats.org/officeDocument/2006/relationships/hyperlink" Target="http://www.broadinstitute.org/gsea/msigdb/cards/INAMURA_LUNG_CANCER_SCC_UP.html" TargetMode="External"/><Relationship Id="rId568" Type="http://schemas.openxmlformats.org/officeDocument/2006/relationships/hyperlink" Target="http://www.broadinstitute.org/gsea/msigdb/cards/MINGUEZ_LIVER_CANCER_VASCULAR_INVASION_UP.html" TargetMode="External"/><Relationship Id="rId569" Type="http://schemas.openxmlformats.org/officeDocument/2006/relationships/hyperlink" Target="http://www.broadinstitute.org/gsea/msigdb/cards/HADDAD_T_LYMPHOCYTE_AND_NK_PROGENITOR_DN.html" TargetMode="External"/><Relationship Id="rId1804" Type="http://schemas.openxmlformats.org/officeDocument/2006/relationships/hyperlink" Target="http://www.broadinstitute.org/gsea/msigdb/cards/GSE17974_CTRL_VS_ACT_IL4_AND_ANTI_IL12_48H_CD4_TCELL_DN.html" TargetMode="External"/><Relationship Id="rId1805" Type="http://schemas.openxmlformats.org/officeDocument/2006/relationships/hyperlink" Target="http://www.broadinstitute.org/gsea/msigdb/cards/GSE22886_UNSTIM_VS_STIM_MEMORY_TCELL_DN.html" TargetMode="External"/><Relationship Id="rId1806" Type="http://schemas.openxmlformats.org/officeDocument/2006/relationships/hyperlink" Target="http://www.broadinstitute.org/gsea/msigdb/cards/GSE22886_NAIVE_CD4_TCELL_VS_48H_ACT_TH2_DN.html" TargetMode="External"/><Relationship Id="rId1807" Type="http://schemas.openxmlformats.org/officeDocument/2006/relationships/hyperlink" Target="http://www.broadinstitute.org/gsea/msigdb/cards/GSE28237_FOLLICULAR_VS_EARLY_GC_BCELL_DN.html" TargetMode="External"/><Relationship Id="rId1808" Type="http://schemas.openxmlformats.org/officeDocument/2006/relationships/hyperlink" Target="http://www.broadinstitute.org/gsea/msigdb/cards/GSE411_WT_VS_SOCS3_KO_MACROPHAGE_IL6_STIM_100MIN_UP.html" TargetMode="External"/><Relationship Id="rId1809" Type="http://schemas.openxmlformats.org/officeDocument/2006/relationships/hyperlink" Target="http://www.broadinstitute.org/gsea/msigdb/cards/GSE2405_0H_VS_24H_A_PHAGOCYTOPHILUM_STIM_NEUTROPHIL_DN.html" TargetMode="External"/><Relationship Id="rId2100" Type="http://schemas.openxmlformats.org/officeDocument/2006/relationships/hyperlink" Target="http://www.broadinstitute.org/gsea/msigdb/cards/GSE2405_0H_VS_9H_A_PHAGOCYTOPHILUM_STIM_NEUTROPHIL_DN.html" TargetMode="External"/><Relationship Id="rId2101" Type="http://schemas.openxmlformats.org/officeDocument/2006/relationships/hyperlink" Target="http://www.broadinstitute.org/gsea/msigdb/cards/GSE3920_IFNB_VS_IFNG_TREATED_ENDOTHELIAL_CELL_UP.html" TargetMode="External"/><Relationship Id="rId2102" Type="http://schemas.openxmlformats.org/officeDocument/2006/relationships/hyperlink" Target="http://www.broadinstitute.org/gsea/msigdb/cards/GSE6674_ANTI_IGM_VS_CPG_STIM_BCELL_UP.html" TargetMode="External"/><Relationship Id="rId2103" Type="http://schemas.openxmlformats.org/officeDocument/2006/relationships/hyperlink" Target="http://www.broadinstitute.org/gsea/msigdb/cards/GSE7831_UNSTIM_VS_INFLUENZA_STIM_PDC_1H_UP.html" TargetMode="External"/><Relationship Id="rId2104" Type="http://schemas.openxmlformats.org/officeDocument/2006/relationships/hyperlink" Target="http://www.broadinstitute.org/gsea/msigdb/cards/GSE5503_PLN_DC_VS_SPLEEN_DC_ACTIVATED_ALLOGENIC_TCELL_UP.html" TargetMode="External"/><Relationship Id="rId2105" Type="http://schemas.openxmlformats.org/officeDocument/2006/relationships/hyperlink" Target="http://www.broadinstitute.org/gsea/msigdb/cards/GSE12963_UNINF_VS_ENV_AND_NEF_AND_VPR_DEFICIENT_HIV1_INF_CD4_TCELL_DN.html" TargetMode="External"/><Relationship Id="rId2106" Type="http://schemas.openxmlformats.org/officeDocument/2006/relationships/hyperlink" Target="http://www.broadinstitute.org/gsea/msigdb/cards/GSE15139_GMCSF_TREATED_VS_UNTREATED_NEUTROPHILS_DN.html" TargetMode="External"/><Relationship Id="rId2107" Type="http://schemas.openxmlformats.org/officeDocument/2006/relationships/hyperlink" Target="http://www.broadinstitute.org/gsea/msigdb/cards/GSE16451_CTRL_VS_WEST_EQUINE_ENC_VIRUS_MATURE_NEURON_CELL_LINE_UP.html" TargetMode="External"/><Relationship Id="rId2108" Type="http://schemas.openxmlformats.org/officeDocument/2006/relationships/hyperlink" Target="http://www.broadinstitute.org/gsea/msigdb/cards/GSE21360_NAIVE_VS_TERTIARY_MEMORY_CD8_TCELL_DN.html" TargetMode="External"/><Relationship Id="rId2109" Type="http://schemas.openxmlformats.org/officeDocument/2006/relationships/hyperlink" Target="http://www.broadinstitute.org/gsea/msigdb/cards/GSE19401_PAM2CSK4_VS_RETINOIC_ACID_STIM_FOLLICULAR_DC_UP.html" TargetMode="External"/><Relationship Id="rId1810" Type="http://schemas.openxmlformats.org/officeDocument/2006/relationships/hyperlink" Target="http://www.broadinstitute.org/gsea/msigdb/cards/GSE22601_CD4_SINGLE_POSITIVE_VS_CD8_SINGLE_POSITIVE_THYMOCYTE_UP.html" TargetMode="External"/><Relationship Id="rId1811" Type="http://schemas.openxmlformats.org/officeDocument/2006/relationships/hyperlink" Target="http://www.broadinstitute.org/gsea/msigdb/cards/GSE5542_IFNA_VS_IFNA_AND_IFNG_TREATED_EPITHELIAL_CELLS_24H_DN.html" TargetMode="External"/><Relationship Id="rId1812" Type="http://schemas.openxmlformats.org/officeDocument/2006/relationships/hyperlink" Target="http://www.broadinstitute.org/gsea/msigdb/cards/GSE5542_IFNG_VS_IFNA_TREATED_EPITHELIAL_CELLS_6H_UP.html" TargetMode="External"/><Relationship Id="rId1813" Type="http://schemas.openxmlformats.org/officeDocument/2006/relationships/hyperlink" Target="http://www.broadinstitute.org/gsea/msigdb/cards/GSE19941_IL10_KO_VS_IL10_KO_AND_NFKBP50_KO_LPS_AND_IL10_STIM_MACROPHAGE_DN.html" TargetMode="External"/><Relationship Id="rId1420" Type="http://schemas.openxmlformats.org/officeDocument/2006/relationships/hyperlink" Target="http://www.broadinstitute.org/gsea/msigdb/cards/GO_RESPONSE_TO_ALKALOID.html" TargetMode="External"/><Relationship Id="rId1421" Type="http://schemas.openxmlformats.org/officeDocument/2006/relationships/hyperlink" Target="http://www.broadinstitute.org/gsea/msigdb/cards/GO_DNA_DAMAGE_RESPONSE_SIGNAL_TRANSDUCTION_RESULTING_IN_TRANSCRIPTION.html" TargetMode="External"/><Relationship Id="rId1422" Type="http://schemas.openxmlformats.org/officeDocument/2006/relationships/hyperlink" Target="http://www.broadinstitute.org/gsea/msigdb/cards/GO_OOGENESIS.html" TargetMode="External"/><Relationship Id="rId1423" Type="http://schemas.openxmlformats.org/officeDocument/2006/relationships/hyperlink" Target="http://www.broadinstitute.org/gsea/msigdb/cards/GO_MRNA_PROCESSING.html" TargetMode="External"/><Relationship Id="rId1424" Type="http://schemas.openxmlformats.org/officeDocument/2006/relationships/hyperlink" Target="http://www.broadinstitute.org/gsea/msigdb/cards/GO_CELLULAR_RESPONSE_TO_UV.html" TargetMode="External"/><Relationship Id="rId1425" Type="http://schemas.openxmlformats.org/officeDocument/2006/relationships/hyperlink" Target="http://www.broadinstitute.org/gsea/msigdb/cards/GO_RESPONSE_TO_ENDOGENOUS_STIMULUS.html" TargetMode="External"/><Relationship Id="rId1426" Type="http://schemas.openxmlformats.org/officeDocument/2006/relationships/hyperlink" Target="http://www.broadinstitute.org/gsea/msigdb/cards/GO_RNA_HELICASE_ACTIVITY.html" TargetMode="External"/><Relationship Id="rId1427" Type="http://schemas.openxmlformats.org/officeDocument/2006/relationships/hyperlink" Target="http://www.broadinstitute.org/gsea/msigdb/cards/GO_OOCYTE_DIFFERENTIATION.html" TargetMode="External"/><Relationship Id="rId1428" Type="http://schemas.openxmlformats.org/officeDocument/2006/relationships/hyperlink" Target="http://www.broadinstitute.org/gsea/msigdb/cards/GO_NEGATIVE_REGULATION_OF_PROTEOLYSIS.html" TargetMode="External"/><Relationship Id="rId1429" Type="http://schemas.openxmlformats.org/officeDocument/2006/relationships/hyperlink" Target="http://www.broadinstitute.org/gsea/msigdb/cards/GO_POSITIVE_REGULATION_OF_HISTONE_H3_K4_METHYLATION.html" TargetMode="External"/><Relationship Id="rId960" Type="http://schemas.openxmlformats.org/officeDocument/2006/relationships/hyperlink" Target="http://www.broadinstitute.org/gsea/msigdb/cards/GO_DNA_RECOMBINATION.html" TargetMode="External"/><Relationship Id="rId961" Type="http://schemas.openxmlformats.org/officeDocument/2006/relationships/hyperlink" Target="http://www.broadinstitute.org/gsea/msigdb/cards/GO_CELL_CYCLE_G1_S_PHASE_TRANSITION.html" TargetMode="External"/><Relationship Id="rId962" Type="http://schemas.openxmlformats.org/officeDocument/2006/relationships/hyperlink" Target="http://www.broadinstitute.org/gsea/msigdb/cards/GO_CYTOSKELETON.html" TargetMode="External"/><Relationship Id="rId963" Type="http://schemas.openxmlformats.org/officeDocument/2006/relationships/hyperlink" Target="http://www.broadinstitute.org/gsea/msigdb/cards/GO_CELL_CYCLE_CHECKPOINT.html" TargetMode="External"/><Relationship Id="rId964" Type="http://schemas.openxmlformats.org/officeDocument/2006/relationships/hyperlink" Target="http://www.broadinstitute.org/gsea/msigdb/cards/GO_REGULATION_OF_CELL_DIVISION.html" TargetMode="External"/><Relationship Id="rId965" Type="http://schemas.openxmlformats.org/officeDocument/2006/relationships/hyperlink" Target="http://www.broadinstitute.org/gsea/msigdb/cards/GO_REGULATION_OF_CELL_CYCLE_PHASE_TRANSITION.html" TargetMode="External"/><Relationship Id="rId180" Type="http://schemas.openxmlformats.org/officeDocument/2006/relationships/hyperlink" Target="http://www.broadinstitute.org/gsea/msigdb/cards/STEIN_ESR1_TARGETS.html" TargetMode="External"/><Relationship Id="rId181" Type="http://schemas.openxmlformats.org/officeDocument/2006/relationships/hyperlink" Target="http://www.broadinstitute.org/gsea/msigdb/cards/GREENBAUM_E2A_TARGETS_UP.html" TargetMode="External"/><Relationship Id="rId182" Type="http://schemas.openxmlformats.org/officeDocument/2006/relationships/hyperlink" Target="http://www.broadinstitute.org/gsea/msigdb/cards/BOYAULT_LIVER_CANCER_SUBCLASS_G3_UP.html" TargetMode="External"/><Relationship Id="rId183" Type="http://schemas.openxmlformats.org/officeDocument/2006/relationships/hyperlink" Target="http://www.broadinstitute.org/gsea/msigdb/cards/REACTOME_CHROMOSOME_MAINTENANCE.html" TargetMode="External"/><Relationship Id="rId184" Type="http://schemas.openxmlformats.org/officeDocument/2006/relationships/hyperlink" Target="http://www.broadinstitute.org/gsea/msigdb/cards/KEGG_DNA_REPLICATION.html" TargetMode="External"/><Relationship Id="rId185" Type="http://schemas.openxmlformats.org/officeDocument/2006/relationships/hyperlink" Target="http://www.broadinstitute.org/gsea/msigdb/cards/NAKAMURA_TUMOR_ZONE_PERIPHERAL_VS_CENTRAL_UP.html" TargetMode="External"/><Relationship Id="rId186" Type="http://schemas.openxmlformats.org/officeDocument/2006/relationships/hyperlink" Target="http://www.broadinstitute.org/gsea/msigdb/cards/PID_AURORA_B_PATHWAY.html" TargetMode="External"/><Relationship Id="rId187" Type="http://schemas.openxmlformats.org/officeDocument/2006/relationships/hyperlink" Target="http://www.broadinstitute.org/gsea/msigdb/cards/PID_ATR_PATHWAY.html" TargetMode="External"/><Relationship Id="rId188" Type="http://schemas.openxmlformats.org/officeDocument/2006/relationships/hyperlink" Target="http://www.broadinstitute.org/gsea/msigdb/cards/NADERI_BREAST_CANCER_PROGNOSIS_UP.html" TargetMode="External"/><Relationship Id="rId189" Type="http://schemas.openxmlformats.org/officeDocument/2006/relationships/hyperlink" Target="http://www.broadinstitute.org/gsea/msigdb/cards/PID_E2F_PATHWAY.html" TargetMode="External"/><Relationship Id="rId966" Type="http://schemas.openxmlformats.org/officeDocument/2006/relationships/hyperlink" Target="http://www.broadinstitute.org/gsea/msigdb/cards/GO_MICROTUBULE_ORGANIZING_CENTER.html" TargetMode="External"/><Relationship Id="rId967" Type="http://schemas.openxmlformats.org/officeDocument/2006/relationships/hyperlink" Target="http://www.broadinstitute.org/gsea/msigdb/cards/GO_REGULATION_OF_MICROTUBULE_BASED_PROCESS.html" TargetMode="External"/><Relationship Id="rId968" Type="http://schemas.openxmlformats.org/officeDocument/2006/relationships/hyperlink" Target="http://www.broadinstitute.org/gsea/msigdb/cards/GO_ADENYL_NUCLEOTIDE_BINDING.html" TargetMode="External"/><Relationship Id="rId969" Type="http://schemas.openxmlformats.org/officeDocument/2006/relationships/hyperlink" Target="http://www.broadinstitute.org/gsea/msigdb/cards/GO_REGULATION_OF_ORGANELLE_ORGANIZATION.html" TargetMode="External"/><Relationship Id="rId1030" Type="http://schemas.openxmlformats.org/officeDocument/2006/relationships/hyperlink" Target="http://www.broadinstitute.org/gsea/msigdb/cards/GO_TELOMERE_MAINTENANCE_VIA_RECOMBINATION.html" TargetMode="External"/><Relationship Id="rId1031" Type="http://schemas.openxmlformats.org/officeDocument/2006/relationships/hyperlink" Target="http://www.broadinstitute.org/gsea/msigdb/cards/GO_REGULATION_OF_DNA_REPLICATION.html" TargetMode="External"/><Relationship Id="rId1032" Type="http://schemas.openxmlformats.org/officeDocument/2006/relationships/hyperlink" Target="http://www.broadinstitute.org/gsea/msigdb/cards/GO_DNA_STRAND_ELONGATION_INVOLVED_IN_DNA_REPLICATION.html" TargetMode="External"/><Relationship Id="rId1033" Type="http://schemas.openxmlformats.org/officeDocument/2006/relationships/hyperlink" Target="http://www.broadinstitute.org/gsea/msigdb/cards/GO_CHROMATIN_MODIFICATION.html" TargetMode="External"/><Relationship Id="rId1034" Type="http://schemas.openxmlformats.org/officeDocument/2006/relationships/hyperlink" Target="http://www.broadinstitute.org/gsea/msigdb/cards/GO_CHROMOSOME_LOCALIZATION.html" TargetMode="External"/><Relationship Id="rId1035" Type="http://schemas.openxmlformats.org/officeDocument/2006/relationships/hyperlink" Target="http://www.broadinstitute.org/gsea/msigdb/cards/GO_CHROMATIN_ASSEMBLY_OR_DISASSEMBLY.html" TargetMode="External"/><Relationship Id="rId1036" Type="http://schemas.openxmlformats.org/officeDocument/2006/relationships/hyperlink" Target="http://www.broadinstitute.org/gsea/msigdb/cards/GO_REGULATION_OF_CHROMOSOME_ORGANIZATION.html" TargetMode="External"/><Relationship Id="rId1037" Type="http://schemas.openxmlformats.org/officeDocument/2006/relationships/hyperlink" Target="http://www.broadinstitute.org/gsea/msigdb/cards/GO_RECOMBINATIONAL_REPAIR.html" TargetMode="External"/><Relationship Id="rId1038" Type="http://schemas.openxmlformats.org/officeDocument/2006/relationships/hyperlink" Target="http://www.broadinstitute.org/gsea/msigdb/cards/GO_CHROMATIN_BINDING.html" TargetMode="External"/><Relationship Id="rId1039" Type="http://schemas.openxmlformats.org/officeDocument/2006/relationships/hyperlink" Target="http://www.broadinstitute.org/gsea/msigdb/cards/GO_REGULATION_OF_SISTER_CHROMATID_SEGREGATION.html" TargetMode="External"/><Relationship Id="rId570" Type="http://schemas.openxmlformats.org/officeDocument/2006/relationships/hyperlink" Target="http://www.broadinstitute.org/gsea/msigdb/cards/UDAYAKUMAR_MED1_TARGETS_UP.html" TargetMode="External"/><Relationship Id="rId571" Type="http://schemas.openxmlformats.org/officeDocument/2006/relationships/hyperlink" Target="http://www.broadinstitute.org/gsea/msigdb/cards/WANG_LMO4_TARGETS_UP.html" TargetMode="External"/><Relationship Id="rId572" Type="http://schemas.openxmlformats.org/officeDocument/2006/relationships/hyperlink" Target="http://www.broadinstitute.org/gsea/msigdb/cards/BURTON_ADIPOGENESIS_12.html" TargetMode="External"/><Relationship Id="rId573" Type="http://schemas.openxmlformats.org/officeDocument/2006/relationships/hyperlink" Target="http://www.broadinstitute.org/gsea/msigdb/cards/MMS_MOUSE_LYMPH_HIGH_4HRS_UP.html" TargetMode="External"/><Relationship Id="rId574" Type="http://schemas.openxmlformats.org/officeDocument/2006/relationships/hyperlink" Target="http://www.broadinstitute.org/gsea/msigdb/cards/BENPORATH_NOS_TARGETS.html" TargetMode="External"/><Relationship Id="rId575" Type="http://schemas.openxmlformats.org/officeDocument/2006/relationships/hyperlink" Target="http://www.broadinstitute.org/gsea/msigdb/cards/SA_G1_AND_S_PHASES.html" TargetMode="External"/><Relationship Id="rId576" Type="http://schemas.openxmlformats.org/officeDocument/2006/relationships/hyperlink" Target="http://www.broadinstitute.org/gsea/msigdb/cards/MARKS_HDAC_TARGETS_DN.html" TargetMode="External"/><Relationship Id="rId577" Type="http://schemas.openxmlformats.org/officeDocument/2006/relationships/hyperlink" Target="http://www.broadinstitute.org/gsea/msigdb/cards/BOYLAN_MULTIPLE_MYELOMA_C_D_UP.html" TargetMode="External"/><Relationship Id="rId578" Type="http://schemas.openxmlformats.org/officeDocument/2006/relationships/hyperlink" Target="http://www.broadinstitute.org/gsea/msigdb/cards/REACTOME_ANTIVIRAL_MECHANISM_BY_IFN_STIMULATED_GENES.html" TargetMode="External"/><Relationship Id="rId579" Type="http://schemas.openxmlformats.org/officeDocument/2006/relationships/hyperlink" Target="http://www.broadinstitute.org/gsea/msigdb/cards/TENEDINI_MEGAKARYOCYTE_MARKERS.html" TargetMode="External"/><Relationship Id="rId1814" Type="http://schemas.openxmlformats.org/officeDocument/2006/relationships/hyperlink" Target="http://www.broadinstitute.org/gsea/msigdb/cards/GSE40274_CTRL_VS_FOXP3_AND_XBP1_TRANSDUCED_ACTIVATED_CD4_TCELL_UP.html" TargetMode="External"/><Relationship Id="rId1815" Type="http://schemas.openxmlformats.org/officeDocument/2006/relationships/hyperlink" Target="http://www.broadinstitute.org/gsea/msigdb/cards/GSE12963_ENV_NEF_VS_ENV_NEF_AND_VPR_DEFICIENT_HIV1_INF_CD4_TCELL_DN.html" TargetMode="External"/><Relationship Id="rId1816" Type="http://schemas.openxmlformats.org/officeDocument/2006/relationships/hyperlink" Target="http://www.broadinstitute.org/gsea/msigdb/cards/GSE13547_WT_VS_ZFX_KO_BCELL_DN.html" TargetMode="External"/><Relationship Id="rId1817" Type="http://schemas.openxmlformats.org/officeDocument/2006/relationships/hyperlink" Target="http://www.broadinstitute.org/gsea/msigdb/cards/GSE32986_UNSTIM_VS_GMCSF_AND_CURDLAN_HIGHDOSE_STIM_DC_UP.html" TargetMode="External"/><Relationship Id="rId1818" Type="http://schemas.openxmlformats.org/officeDocument/2006/relationships/hyperlink" Target="http://www.broadinstitute.org/gsea/msigdb/cards/GSE10239_MEMORY_VS_DAY4.5_EFF_CD8_TCELL_DN.html" TargetMode="External"/><Relationship Id="rId1819" Type="http://schemas.openxmlformats.org/officeDocument/2006/relationships/hyperlink" Target="http://www.broadinstitute.org/gsea/msigdb/cards/GSE22886_NAIVE_CD4_TCELL_VS_12H_ACT_TH1_DN.html" TargetMode="External"/><Relationship Id="rId2110" Type="http://schemas.openxmlformats.org/officeDocument/2006/relationships/hyperlink" Target="http://www.broadinstitute.org/gsea/msigdb/cards/GSE22033_UNTREATED_VS_MRL24_TREATED_MEF_UP.html" TargetMode="External"/><Relationship Id="rId2111" Type="http://schemas.openxmlformats.org/officeDocument/2006/relationships/hyperlink" Target="http://www.broadinstitute.org/gsea/msigdb/cards/GSE22033_UNTREATED_VS_ROSIGLITAZONE_TREATED_MEF_UP.html" TargetMode="External"/><Relationship Id="rId2112" Type="http://schemas.openxmlformats.org/officeDocument/2006/relationships/hyperlink" Target="http://www.broadinstitute.org/gsea/msigdb/cards/GSE21033_CTRL_VS_POLYIC_STIM_DC_3H_UP.html" TargetMode="External"/><Relationship Id="rId2113" Type="http://schemas.openxmlformats.org/officeDocument/2006/relationships/hyperlink" Target="http://www.broadinstitute.org/gsea/msigdb/cards/GSE22432_MULTIPOTENT_VS_COMMON_DC_PROGENITOR_UNTREATED_UP.html" TargetMode="External"/><Relationship Id="rId2114" Type="http://schemas.openxmlformats.org/officeDocument/2006/relationships/hyperlink" Target="http://www.broadinstitute.org/gsea/msigdb/cards/GSE24210_CTRL_VS_IL35_TREATED_TCONV_CD4_TCELL_DN.html" TargetMode="External"/><Relationship Id="rId2115" Type="http://schemas.openxmlformats.org/officeDocument/2006/relationships/hyperlink" Target="http://www.broadinstitute.org/gsea/msigdb/cards/GSE25088_CTRL_VS_ROSIGLITAZONE_STIM_STAT6_KO_MACROPHAGE_DN.html" TargetMode="External"/><Relationship Id="rId2116" Type="http://schemas.openxmlformats.org/officeDocument/2006/relationships/hyperlink" Target="http://www.broadinstitute.org/gsea/msigdb/cards/GSE25088_CTRL_VS_ROSIGLITAZONE_STIM_MACROPHAGE_UP.html" TargetMode="External"/><Relationship Id="rId2117" Type="http://schemas.openxmlformats.org/officeDocument/2006/relationships/hyperlink" Target="http://www.broadinstitute.org/gsea/msigdb/cards/GSE17301_CTRL_VS_48H_ACD3_ACD28_IFNA5_STIM_CD8_TCELL_UP.html" TargetMode="External"/><Relationship Id="rId2118" Type="http://schemas.openxmlformats.org/officeDocument/2006/relationships/hyperlink" Target="http://www.broadinstitute.org/gsea/msigdb/cards/GSE22443_NAIVE_VS_ACT_AND_IL12_TREATED_CD8_TCELL_UP.html" TargetMode="External"/><Relationship Id="rId2119" Type="http://schemas.openxmlformats.org/officeDocument/2006/relationships/hyperlink" Target="http://www.broadinstitute.org/gsea/msigdb/cards/GSE32986_CURDLAN_LOWDOSE_VS_GMCSF_AND_CURDLAN_LOWDOSE_STIM_DC_UP.html" TargetMode="External"/><Relationship Id="rId2500" Type="http://schemas.openxmlformats.org/officeDocument/2006/relationships/hyperlink" Target="http://www.broadinstitute.org/gsea/msigdb/cards/GSE10325_LUPUS_BCELL_VS_LUPUS_MYELOID_UP.html" TargetMode="External"/><Relationship Id="rId2501" Type="http://schemas.openxmlformats.org/officeDocument/2006/relationships/hyperlink" Target="http://www.broadinstitute.org/gsea/msigdb/cards/GSE11864_CSF1_VS_CSF1_IFNG_IN_MAC_DN.html" TargetMode="External"/><Relationship Id="rId2502" Type="http://schemas.openxmlformats.org/officeDocument/2006/relationships/hyperlink" Target="http://www.broadinstitute.org/gsea/msigdb/cards/GSE11864_CSF1_IFNG_VS_CSF1_IFNG_PAM3CYS_IN_MAC_UP.html" TargetMode="External"/><Relationship Id="rId2503" Type="http://schemas.openxmlformats.org/officeDocument/2006/relationships/hyperlink" Target="http://www.broadinstitute.org/gsea/msigdb/cards/GSE13485_DAY1_VS_DAY21_YF17D_VACCINE_PBMC_DN.html" TargetMode="External"/><Relationship Id="rId2504" Type="http://schemas.openxmlformats.org/officeDocument/2006/relationships/hyperlink" Target="http://www.broadinstitute.org/gsea/msigdb/cards/GSE13493_DP_VS_CD4INTCD8POS_THYMOCYTE_DN.html" TargetMode="External"/><Relationship Id="rId2505" Type="http://schemas.openxmlformats.org/officeDocument/2006/relationships/hyperlink" Target="http://www.broadinstitute.org/gsea/msigdb/cards/GSE14000_TRANSLATED_RNA_VS_MRNA_16H_LPS_DC_UP.html" TargetMode="External"/><Relationship Id="rId2506" Type="http://schemas.openxmlformats.org/officeDocument/2006/relationships/hyperlink" Target="http://www.broadinstitute.org/gsea/msigdb/cards/GSE14308_TH2_VS_NATURAL_TREG_UP.html" TargetMode="External"/><Relationship Id="rId2507" Type="http://schemas.openxmlformats.org/officeDocument/2006/relationships/hyperlink" Target="http://www.broadinstitute.org/gsea/msigdb/cards/GSE14308_TH1_VS_NATURAL_TREG_UP.html" TargetMode="External"/><Relationship Id="rId2508" Type="http://schemas.openxmlformats.org/officeDocument/2006/relationships/hyperlink" Target="http://www.broadinstitute.org/gsea/msigdb/cards/GSE1432_6H_VS_24H_IFNG_MICROGLIA_DN.html" TargetMode="External"/><Relationship Id="rId2509" Type="http://schemas.openxmlformats.org/officeDocument/2006/relationships/hyperlink" Target="http://www.broadinstitute.org/gsea/msigdb/cards/GSE1460_CD4_THYMOCYTE_VS_NAIVE_CD4_TCELL_CORD_BLOOD_UP.html" TargetMode="External"/><Relationship Id="rId1820" Type="http://schemas.openxmlformats.org/officeDocument/2006/relationships/hyperlink" Target="http://www.broadinstitute.org/gsea/msigdb/cards/GSE24142_EARLY_THYMIC_PROGENITOR_VS_DN2_THYMOCYTE_ADULT_DN.html" TargetMode="External"/><Relationship Id="rId1821" Type="http://schemas.openxmlformats.org/officeDocument/2006/relationships/hyperlink" Target="http://www.broadinstitute.org/gsea/msigdb/cards/GSE27786_NEUTROPHIL_VS_MONO_MAC_DN.html" TargetMode="External"/><Relationship Id="rId1822" Type="http://schemas.openxmlformats.org/officeDocument/2006/relationships/hyperlink" Target="http://www.broadinstitute.org/gsea/msigdb/cards/GSE31082_DN_VS_CD8_SP_THYMOCYTE_UP.html" TargetMode="External"/><Relationship Id="rId1823" Type="http://schemas.openxmlformats.org/officeDocument/2006/relationships/hyperlink" Target="http://www.broadinstitute.org/gsea/msigdb/cards/GSE3982_MAST_CELL_VS_TH1_DN.html" TargetMode="External"/><Relationship Id="rId1430" Type="http://schemas.openxmlformats.org/officeDocument/2006/relationships/hyperlink" Target="http://www.broadinstitute.org/gsea/msigdb/cards/GO_NEGATIVE_REGULATION_OF_HISTONE_METHYLATION.html" TargetMode="External"/><Relationship Id="rId1431" Type="http://schemas.openxmlformats.org/officeDocument/2006/relationships/hyperlink" Target="http://www.broadinstitute.org/gsea/msigdb/cards/GO_ISOTYPE_SWITCHING.html" TargetMode="External"/><Relationship Id="rId1432" Type="http://schemas.openxmlformats.org/officeDocument/2006/relationships/hyperlink" Target="http://www.broadinstitute.org/gsea/msigdb/cards/GO_RNA_LOCALIZATION.html" TargetMode="External"/><Relationship Id="rId1433" Type="http://schemas.openxmlformats.org/officeDocument/2006/relationships/hyperlink" Target="http://www.broadinstitute.org/gsea/msigdb/cards/GO_MULTI_ORGANISM_LOCALIZATION.html" TargetMode="External"/><Relationship Id="rId1434" Type="http://schemas.openxmlformats.org/officeDocument/2006/relationships/hyperlink" Target="http://www.broadinstitute.org/gsea/msigdb/cards/GO_NUCLEAR_MEMBRANE.html" TargetMode="External"/><Relationship Id="rId1435" Type="http://schemas.openxmlformats.org/officeDocument/2006/relationships/hyperlink" Target="http://www.broadinstitute.org/gsea/msigdb/cards/GO_NUCLEOBASE_METABOLIC_PROCESS.html" TargetMode="External"/><Relationship Id="rId1436" Type="http://schemas.openxmlformats.org/officeDocument/2006/relationships/hyperlink" Target="http://www.broadinstitute.org/gsea/msigdb/cards/GO_MALE_MEIOSIS.html" TargetMode="External"/><Relationship Id="rId1437" Type="http://schemas.openxmlformats.org/officeDocument/2006/relationships/hyperlink" Target="http://www.broadinstitute.org/gsea/msigdb/cards/GO_CELLULAR_RESPONSE_TO_OXYGEN_CONTAINING_COMPOUND.html" TargetMode="External"/><Relationship Id="rId1438" Type="http://schemas.openxmlformats.org/officeDocument/2006/relationships/hyperlink" Target="http://www.broadinstitute.org/gsea/msigdb/cards/GO_RESPONSE_TO_METAL_ION.html" TargetMode="External"/><Relationship Id="rId1439" Type="http://schemas.openxmlformats.org/officeDocument/2006/relationships/hyperlink" Target="http://www.broadinstitute.org/gsea/msigdb/cards/GO_RESPONSE_TO_EXTRACELLULAR_STIMULUS.html" TargetMode="External"/><Relationship Id="rId970" Type="http://schemas.openxmlformats.org/officeDocument/2006/relationships/hyperlink" Target="http://www.broadinstitute.org/gsea/msigdb/cards/GO_CENTROSOME.html" TargetMode="External"/><Relationship Id="rId971" Type="http://schemas.openxmlformats.org/officeDocument/2006/relationships/hyperlink" Target="http://www.broadinstitute.org/gsea/msigdb/cards/GO_RIBONUCLEOTIDE_BINDING.html" TargetMode="External"/><Relationship Id="rId972" Type="http://schemas.openxmlformats.org/officeDocument/2006/relationships/hyperlink" Target="http://www.broadinstitute.org/gsea/msigdb/cards/GO_NEGATIVE_REGULATION_OF_ORGANELLE_ORGANIZATION.html" TargetMode="External"/><Relationship Id="rId973" Type="http://schemas.openxmlformats.org/officeDocument/2006/relationships/hyperlink" Target="http://www.broadinstitute.org/gsea/msigdb/cards/GO_NEGATIVE_REGULATION_OF_CELL_CYCLE.html" TargetMode="External"/><Relationship Id="rId974" Type="http://schemas.openxmlformats.org/officeDocument/2006/relationships/hyperlink" Target="http://www.broadinstitute.org/gsea/msigdb/cards/GO_REGULATION_OF_MICROTUBULE_POLYMERIZATION_OR_DEPOLYMERIZATION.html" TargetMode="External"/><Relationship Id="rId975" Type="http://schemas.openxmlformats.org/officeDocument/2006/relationships/hyperlink" Target="http://www.broadinstitute.org/gsea/msigdb/cards/GO_PROTEIN_COMPLEX_SUBUNIT_ORGANIZATION.html" TargetMode="External"/><Relationship Id="rId190" Type="http://schemas.openxmlformats.org/officeDocument/2006/relationships/hyperlink" Target="http://www.broadinstitute.org/gsea/msigdb/cards/GARGALOVIC_RESPONSE_TO_OXIDIZED_PHOSPHOLIPIDS_TURQUOISE_DN.html" TargetMode="External"/><Relationship Id="rId191" Type="http://schemas.openxmlformats.org/officeDocument/2006/relationships/hyperlink" Target="http://www.broadinstitute.org/gsea/msigdb/cards/GRADE_COLON_AND_RECTAL_CANCER_UP.html" TargetMode="External"/><Relationship Id="rId192" Type="http://schemas.openxmlformats.org/officeDocument/2006/relationships/hyperlink" Target="http://www.broadinstitute.org/gsea/msigdb/cards/PYEON_HPV_POSITIVE_TUMORS_UP.html" TargetMode="External"/><Relationship Id="rId193" Type="http://schemas.openxmlformats.org/officeDocument/2006/relationships/hyperlink" Target="http://www.broadinstitute.org/gsea/msigdb/cards/BURTON_ADIPOGENESIS_PEAK_AT_16HR.html" TargetMode="External"/><Relationship Id="rId194" Type="http://schemas.openxmlformats.org/officeDocument/2006/relationships/hyperlink" Target="http://www.broadinstitute.org/gsea/msigdb/cards/GEORGES_CELL_CYCLE_MIR192_TARGETS.html" TargetMode="External"/><Relationship Id="rId195" Type="http://schemas.openxmlformats.org/officeDocument/2006/relationships/hyperlink" Target="http://www.broadinstitute.org/gsea/msigdb/cards/RIZ_ERYTHROID_DIFFERENTIATION.html" TargetMode="External"/><Relationship Id="rId196" Type="http://schemas.openxmlformats.org/officeDocument/2006/relationships/hyperlink" Target="http://www.broadinstitute.org/gsea/msigdb/cards/REACTOME_E2F_MEDIATED_REGULATION_OF_DNA_REPLICATION.html" TargetMode="External"/><Relationship Id="rId197" Type="http://schemas.openxmlformats.org/officeDocument/2006/relationships/hyperlink" Target="http://www.broadinstitute.org/gsea/msigdb/cards/LI_WILMS_TUMOR_ANAPLASTIC_UP.html" TargetMode="External"/><Relationship Id="rId198" Type="http://schemas.openxmlformats.org/officeDocument/2006/relationships/hyperlink" Target="http://www.broadinstitute.org/gsea/msigdb/cards/CHANG_CORE_SERUM_RESPONSE_UP.html" TargetMode="External"/><Relationship Id="rId199" Type="http://schemas.openxmlformats.org/officeDocument/2006/relationships/hyperlink" Target="http://www.broadinstitute.org/gsea/msigdb/cards/FERRANDO_T_ALL_WITH_MLL_ENL_FUSION_DN.html" TargetMode="External"/><Relationship Id="rId976" Type="http://schemas.openxmlformats.org/officeDocument/2006/relationships/hyperlink" Target="http://www.broadinstitute.org/gsea/msigdb/cards/GO_HYDROLASE_ACTIVITY_ACTING_ON_ACID_ANHYDRIDES.html" TargetMode="External"/><Relationship Id="rId977" Type="http://schemas.openxmlformats.org/officeDocument/2006/relationships/hyperlink" Target="http://www.broadinstitute.org/gsea/msigdb/cards/GO_POSITIVE_REGULATION_OF_CELL_CYCLE.html" TargetMode="External"/><Relationship Id="rId978" Type="http://schemas.openxmlformats.org/officeDocument/2006/relationships/hyperlink" Target="http://www.broadinstitute.org/gsea/msigdb/cards/GO_POSITIVE_REGULATION_OF_CELL_CYCLE_PROCESS.html" TargetMode="External"/><Relationship Id="rId979" Type="http://schemas.openxmlformats.org/officeDocument/2006/relationships/hyperlink" Target="http://www.broadinstitute.org/gsea/msigdb/cards/GO_REGULATION_OF_NUCLEAR_DIVISION.html" TargetMode="External"/><Relationship Id="rId1040" Type="http://schemas.openxmlformats.org/officeDocument/2006/relationships/hyperlink" Target="http://www.broadinstitute.org/gsea/msigdb/cards/GO_REGULATION_OF_DNA_DEPENDENT_DNA_REPLICATION.html" TargetMode="External"/><Relationship Id="rId1041" Type="http://schemas.openxmlformats.org/officeDocument/2006/relationships/hyperlink" Target="http://www.broadinstitute.org/gsea/msigdb/cards/GO_MICROTUBULE_ORGANIZING_CENTER_ORGANIZATION.html" TargetMode="External"/><Relationship Id="rId1042" Type="http://schemas.openxmlformats.org/officeDocument/2006/relationships/hyperlink" Target="http://www.broadinstitute.org/gsea/msigdb/cards/GO_METAPHASE_PLATE_CONGRESSION.html" TargetMode="External"/><Relationship Id="rId1043" Type="http://schemas.openxmlformats.org/officeDocument/2006/relationships/hyperlink" Target="http://www.broadinstitute.org/gsea/msigdb/cards/GO_ATP_DEPENDENT_CHROMATIN_REMODELING.html" TargetMode="External"/><Relationship Id="rId1044" Type="http://schemas.openxmlformats.org/officeDocument/2006/relationships/hyperlink" Target="http://www.broadinstitute.org/gsea/msigdb/cards/GO_NUCLEOLUS.html" TargetMode="External"/><Relationship Id="rId1045" Type="http://schemas.openxmlformats.org/officeDocument/2006/relationships/hyperlink" Target="http://www.broadinstitute.org/gsea/msigdb/cards/GO_MICROTUBULE_BINDING.html" TargetMode="External"/><Relationship Id="rId1046" Type="http://schemas.openxmlformats.org/officeDocument/2006/relationships/hyperlink" Target="http://www.broadinstitute.org/gsea/msigdb/cards/GO_REGULATION_OF_TRANSFERASE_ACTIVITY.html" TargetMode="External"/><Relationship Id="rId1047" Type="http://schemas.openxmlformats.org/officeDocument/2006/relationships/hyperlink" Target="http://www.broadinstitute.org/gsea/msigdb/cards/GO_REGULATION_OF_TRANSCRIPTION_INVOLVED_IN_G1_S_TRANSITION_OF_MITOTIC_CELL_CYCLE.html" TargetMode="External"/><Relationship Id="rId1048" Type="http://schemas.openxmlformats.org/officeDocument/2006/relationships/hyperlink" Target="http://www.broadinstitute.org/gsea/msigdb/cards/GO_POSITIVE_REGULATION_OF_DNA_METABOLIC_PROCESS.html" TargetMode="External"/><Relationship Id="rId1049" Type="http://schemas.openxmlformats.org/officeDocument/2006/relationships/hyperlink" Target="http://www.broadinstitute.org/gsea/msigdb/cards/GO_REGULATION_OF_SIGNAL_TRANSDUCTION_BY_P53_CLASS_MEDIATOR.html" TargetMode="External"/><Relationship Id="rId580" Type="http://schemas.openxmlformats.org/officeDocument/2006/relationships/hyperlink" Target="http://www.broadinstitute.org/gsea/msigdb/cards/DAIRKEE_TERT_TARGETS_UP.html" TargetMode="External"/><Relationship Id="rId581" Type="http://schemas.openxmlformats.org/officeDocument/2006/relationships/hyperlink" Target="http://www.broadinstitute.org/gsea/msigdb/cards/FLORIO_NEOCORTEX_BASAL_RADIAL_GLIA_UP.html" TargetMode="External"/><Relationship Id="rId582" Type="http://schemas.openxmlformats.org/officeDocument/2006/relationships/hyperlink" Target="http://www.broadinstitute.org/gsea/msigdb/cards/LOPEZ_MESOTHELIOMA_SURVIVAL_OVERALL_DN.html" TargetMode="External"/><Relationship Id="rId583" Type="http://schemas.openxmlformats.org/officeDocument/2006/relationships/hyperlink" Target="http://www.broadinstitute.org/gsea/msigdb/cards/PID_TELOMERASE_PATHWAY.html" TargetMode="External"/><Relationship Id="rId584" Type="http://schemas.openxmlformats.org/officeDocument/2006/relationships/hyperlink" Target="http://www.broadinstitute.org/gsea/msigdb/cards/HIRSCH_CELLULAR_TRANSFORMATION_SIGNATURE_DN.html" TargetMode="External"/><Relationship Id="rId585" Type="http://schemas.openxmlformats.org/officeDocument/2006/relationships/hyperlink" Target="http://www.broadinstitute.org/gsea/msigdb/cards/HELLER_SILENCED_BY_METHYLATION_UP.html" TargetMode="External"/><Relationship Id="rId586" Type="http://schemas.openxmlformats.org/officeDocument/2006/relationships/hyperlink" Target="http://www.broadinstitute.org/gsea/msigdb/cards/REACTOME_RNA_POL_II_TRANSCRIPTION.html" TargetMode="External"/><Relationship Id="rId587" Type="http://schemas.openxmlformats.org/officeDocument/2006/relationships/hyperlink" Target="http://www.broadinstitute.org/gsea/msigdb/cards/REACTOME_RESOLUTION_OF_AP_SITES_VIA_THE_MULTIPLE_NUCLEOTIDE_PATCH_REPLACEMENT_PATHWAY.html" TargetMode="External"/><Relationship Id="rId588" Type="http://schemas.openxmlformats.org/officeDocument/2006/relationships/hyperlink" Target="http://www.broadinstitute.org/gsea/msigdb/cards/KEGG_PANCREATIC_CANCER.html" TargetMode="External"/><Relationship Id="rId589" Type="http://schemas.openxmlformats.org/officeDocument/2006/relationships/hyperlink" Target="http://www.broadinstitute.org/gsea/msigdb/cards/ZHONG_RESPONSE_TO_AZACITIDINE_AND_TSA_DN.html" TargetMode="External"/><Relationship Id="rId1824" Type="http://schemas.openxmlformats.org/officeDocument/2006/relationships/hyperlink" Target="http://www.broadinstitute.org/gsea/msigdb/cards/GSE3982_BASOPHIL_VS_TH1_DN.html" TargetMode="External"/><Relationship Id="rId1825" Type="http://schemas.openxmlformats.org/officeDocument/2006/relationships/hyperlink" Target="http://www.broadinstitute.org/gsea/msigdb/cards/GSE2770_UNTREATED_VS_IL4_TREATED_ACT_CD4_TCELL_2H_UP.html" TargetMode="External"/><Relationship Id="rId1826" Type="http://schemas.openxmlformats.org/officeDocument/2006/relationships/hyperlink" Target="http://www.broadinstitute.org/gsea/msigdb/cards/GSE8921_UNSTIM_VS_TLR1_2_STIM_MONOCYTE_6H_DN.html" TargetMode="External"/><Relationship Id="rId1827" Type="http://schemas.openxmlformats.org/officeDocument/2006/relationships/hyperlink" Target="http://www.broadinstitute.org/gsea/msigdb/cards/GSE5589_LPS_AND_IL10_VS_LPS_AND_IL6_STIM_MACROPHAGE_45MIN_DN.html" TargetMode="External"/><Relationship Id="rId1828" Type="http://schemas.openxmlformats.org/officeDocument/2006/relationships/hyperlink" Target="http://www.broadinstitute.org/gsea/msigdb/cards/GSE10240_CTRL_VS_IL17_AND_IL22_STIM_PRIMARY_BRONCHIAL_EPITHELIAL_CELLS_DN.html" TargetMode="External"/><Relationship Id="rId1829" Type="http://schemas.openxmlformats.org/officeDocument/2006/relationships/hyperlink" Target="http://www.broadinstitute.org/gsea/msigdb/cards/GSE21670_IL6_VS_TGFB_AND_IL6_TREATED_CD4_TCELL_DN.html" TargetMode="External"/><Relationship Id="rId2120" Type="http://schemas.openxmlformats.org/officeDocument/2006/relationships/hyperlink" Target="http://www.broadinstitute.org/gsea/msigdb/cards/GSE37605_FOXP3_FUSION_GFP_VS_IRES_GFP_TREG_NOD_UP.html" TargetMode="External"/><Relationship Id="rId2121" Type="http://schemas.openxmlformats.org/officeDocument/2006/relationships/hyperlink" Target="http://www.broadinstitute.org/gsea/msigdb/cards/GSE40273_XBP1_KO_VS_WT_TREG_UP.html" TargetMode="External"/><Relationship Id="rId2122" Type="http://schemas.openxmlformats.org/officeDocument/2006/relationships/hyperlink" Target="http://www.broadinstitute.org/gsea/msigdb/cards/GSE11961_PLASMA_CELL_DAY7_VS_GERMINAL_CENTER_BCELL_DAY40_UP.html" TargetMode="External"/><Relationship Id="rId2123" Type="http://schemas.openxmlformats.org/officeDocument/2006/relationships/hyperlink" Target="http://www.broadinstitute.org/gsea/msigdb/cards/GSE41867_DAY8_VS_DAY15_LCMV_CLONE13_EFFECTOR_CD8_TCELL_DN.html" TargetMode="External"/><Relationship Id="rId2124" Type="http://schemas.openxmlformats.org/officeDocument/2006/relationships/hyperlink" Target="http://www.broadinstitute.org/gsea/msigdb/cards/GSE41867_NAIVE_VS_DAY8_LCMV_EFFECTOR_CD8_TCELL_UP.html" TargetMode="External"/><Relationship Id="rId2125" Type="http://schemas.openxmlformats.org/officeDocument/2006/relationships/hyperlink" Target="http://www.broadinstitute.org/gsea/msigdb/cards/GSE46606_DAY1_VS_DAY3_CD40L_IL2_IL5_STIMULATED_IRF4_KO_BCELL_DN.html" TargetMode="External"/><Relationship Id="rId2126" Type="http://schemas.openxmlformats.org/officeDocument/2006/relationships/hyperlink" Target="http://www.broadinstitute.org/gsea/msigdb/cards/GSE46606_UNSTIM_VS_CD40L_IL2_IL5_DAY3_STIMULATED_BCELL_DN.html" TargetMode="External"/><Relationship Id="rId2127" Type="http://schemas.openxmlformats.org/officeDocument/2006/relationships/hyperlink" Target="http://www.broadinstitute.org/gsea/msigdb/cards/GSE45365_NK_CELL_VS_CD11B_DC_MCMV_INFECTION_UP.html" TargetMode="External"/><Relationship Id="rId2128" Type="http://schemas.openxmlformats.org/officeDocument/2006/relationships/hyperlink" Target="http://www.broadinstitute.org/gsea/msigdb/cards/GSE9509_10MIN_VS_30MIN_LPS_AND_IL10_STIM_IL10_KO_MACROPHAGE_UP.html" TargetMode="External"/><Relationship Id="rId2129" Type="http://schemas.openxmlformats.org/officeDocument/2006/relationships/hyperlink" Target="http://www.broadinstitute.org/gsea/msigdb/cards/GSE9946_IMMATURE_VS_PROSTAGLANDINE2_TREATED_MATURE_DC_DN.html" TargetMode="External"/><Relationship Id="rId2510" Type="http://schemas.openxmlformats.org/officeDocument/2006/relationships/hyperlink" Target="http://www.broadinstitute.org/gsea/msigdb/cards/GSE14769_UNSTIM_VS_20MIN_LPS_BMDM_DN.html" TargetMode="External"/><Relationship Id="rId2511" Type="http://schemas.openxmlformats.org/officeDocument/2006/relationships/hyperlink" Target="http://www.broadinstitute.org/gsea/msigdb/cards/GSE15659_NAIVE_CD4_TCELL_VS_RESTING_TREG_UP.html" TargetMode="External"/><Relationship Id="rId2512" Type="http://schemas.openxmlformats.org/officeDocument/2006/relationships/hyperlink" Target="http://www.broadinstitute.org/gsea/msigdb/cards/GSE16522_MEMORY_VS_NAIVE_ANTI_CD3CD28_STIM_CD8_TCELL_DN.html" TargetMode="External"/><Relationship Id="rId2513" Type="http://schemas.openxmlformats.org/officeDocument/2006/relationships/hyperlink" Target="http://www.broadinstitute.org/gsea/msigdb/cards/GSE16522_ANTI_CD3CD28_STIM_VS_UNSTIM_MEMORY_CD8_TCELL_UP.html" TargetMode="External"/><Relationship Id="rId2514" Type="http://schemas.openxmlformats.org/officeDocument/2006/relationships/hyperlink" Target="http://www.broadinstitute.org/gsea/msigdb/cards/GSE17580_TREG_VS_TEFF_S_MANSONI_INF_UP.html" TargetMode="External"/><Relationship Id="rId2515" Type="http://schemas.openxmlformats.org/officeDocument/2006/relationships/hyperlink" Target="http://www.broadinstitute.org/gsea/msigdb/cards/GSE17580_UNINFECTED_VS_S_MANSONI_INF_TREG_DN.html" TargetMode="External"/><Relationship Id="rId2516" Type="http://schemas.openxmlformats.org/officeDocument/2006/relationships/hyperlink" Target="http://www.broadinstitute.org/gsea/msigdb/cards/GSE17721_CTRL_VS_LPS_6H_BMDC_DN.html" TargetMode="External"/><Relationship Id="rId2517" Type="http://schemas.openxmlformats.org/officeDocument/2006/relationships/hyperlink" Target="http://www.broadinstitute.org/gsea/msigdb/cards/GSE17721_CTRL_VS_POLYIC_0.5H_BMDC_UP.html" TargetMode="External"/><Relationship Id="rId2518" Type="http://schemas.openxmlformats.org/officeDocument/2006/relationships/hyperlink" Target="http://www.broadinstitute.org/gsea/msigdb/cards/GSE17721_CTRL_VS_POLYIC_2H_BMDC_UP.html" TargetMode="External"/><Relationship Id="rId2519" Type="http://schemas.openxmlformats.org/officeDocument/2006/relationships/hyperlink" Target="http://www.broadinstitute.org/gsea/msigdb/cards/GSE17721_CTRL_VS_POLYIC_6H_BMDC_UP.html" TargetMode="External"/><Relationship Id="rId1830" Type="http://schemas.openxmlformats.org/officeDocument/2006/relationships/hyperlink" Target="http://www.broadinstitute.org/gsea/msigdb/cards/GSE22103_UNSTIM_VS_GMCSF_AND_IFNG_STIM_NEUTROPHIL_DN.html" TargetMode="External"/><Relationship Id="rId1831" Type="http://schemas.openxmlformats.org/officeDocument/2006/relationships/hyperlink" Target="http://www.broadinstitute.org/gsea/msigdb/cards/GSE22432_CONVENTIONAL_CDC_VS_PLASMACYTOID_PDC_UP.html" TargetMode="External"/><Relationship Id="rId1832" Type="http://schemas.openxmlformats.org/officeDocument/2006/relationships/hyperlink" Target="http://www.broadinstitute.org/gsea/msigdb/cards/GSE22443_IL2_VS_IL12_TREATED_ACT_CD8_TCELL_DN.html" TargetMode="External"/><Relationship Id="rId1833" Type="http://schemas.openxmlformats.org/officeDocument/2006/relationships/hyperlink" Target="http://www.broadinstitute.org/gsea/msigdb/cards/GSE40277_EOS_AND_LEF1_TRANSDUCED_VS_GATA1_AND_SATB1_TRANSDUCED_CD4_TCELL_DN.html" TargetMode="External"/><Relationship Id="rId1440" Type="http://schemas.openxmlformats.org/officeDocument/2006/relationships/hyperlink" Target="http://www.broadinstitute.org/gsea/msigdb/cards/GO_NEGATIVE_REGULATION_OF_TRANSCRIPTION_FROM_RNA_POLYMERASE_II_PROMOTER.html" TargetMode="External"/><Relationship Id="rId1441" Type="http://schemas.openxmlformats.org/officeDocument/2006/relationships/hyperlink" Target="http://www.broadinstitute.org/gsea/msigdb/cards/GO_PROTEIN_LOCALIZATION_TO_CENTROSOME.html" TargetMode="External"/><Relationship Id="rId1442" Type="http://schemas.openxmlformats.org/officeDocument/2006/relationships/hyperlink" Target="http://www.broadinstitute.org/gsea/msigdb/cards/GO_REGULATION_OF_DNA_METHYLATION.html" TargetMode="External"/><Relationship Id="rId1443" Type="http://schemas.openxmlformats.org/officeDocument/2006/relationships/hyperlink" Target="http://www.broadinstitute.org/gsea/msigdb/cards/GO_REGULATION_OF_HISTONE_H3_K9_METHYLATION.html" TargetMode="External"/><Relationship Id="rId1444" Type="http://schemas.openxmlformats.org/officeDocument/2006/relationships/hyperlink" Target="http://www.broadinstitute.org/gsea/msigdb/cards/GO_REGULATION_OF_SISTER_CHROMATID_COHESION.html" TargetMode="External"/><Relationship Id="rId1445" Type="http://schemas.openxmlformats.org/officeDocument/2006/relationships/hyperlink" Target="http://www.broadinstitute.org/gsea/msigdb/cards/GO_POLY_PYRIMIDINE_TRACT_BINDING.html" TargetMode="External"/><Relationship Id="rId1446" Type="http://schemas.openxmlformats.org/officeDocument/2006/relationships/hyperlink" Target="http://www.broadinstitute.org/gsea/msigdb/cards/GO_REGULATION_OF_MEIOTIC_CELL_CYCLE.html" TargetMode="External"/><Relationship Id="rId1447" Type="http://schemas.openxmlformats.org/officeDocument/2006/relationships/hyperlink" Target="http://www.broadinstitute.org/gsea/msigdb/cards/GO_NON_RECOMBINATIONAL_REPAIR.html" TargetMode="External"/><Relationship Id="rId1448" Type="http://schemas.openxmlformats.org/officeDocument/2006/relationships/hyperlink" Target="http://www.broadinstitute.org/gsea/msigdb/cards/GO_RESPONSE_TO_CADMIUM_ION.html" TargetMode="External"/><Relationship Id="rId1449" Type="http://schemas.openxmlformats.org/officeDocument/2006/relationships/hyperlink" Target="http://www.broadinstitute.org/gsea/msigdb/cards/GO_DNA_POLYMERASE_ACTIVITY.html" TargetMode="External"/><Relationship Id="rId980" Type="http://schemas.openxmlformats.org/officeDocument/2006/relationships/hyperlink" Target="http://www.broadinstitute.org/gsea/msigdb/cards/GO_MEIOTIC_CELL_CYCLE.html" TargetMode="External"/><Relationship Id="rId981" Type="http://schemas.openxmlformats.org/officeDocument/2006/relationships/hyperlink" Target="http://www.broadinstitute.org/gsea/msigdb/cards/GO_SPINDLE_POLE.html" TargetMode="External"/><Relationship Id="rId982" Type="http://schemas.openxmlformats.org/officeDocument/2006/relationships/hyperlink" Target="http://www.broadinstitute.org/gsea/msigdb/cards/GO_DNA_PACKAGING.html" TargetMode="External"/><Relationship Id="rId983" Type="http://schemas.openxmlformats.org/officeDocument/2006/relationships/hyperlink" Target="http://www.broadinstitute.org/gsea/msigdb/cards/GO_NEGATIVE_REGULATION_OF_CELL_CYCLE_PROCESS.html" TargetMode="External"/><Relationship Id="rId984" Type="http://schemas.openxmlformats.org/officeDocument/2006/relationships/hyperlink" Target="http://www.broadinstitute.org/gsea/msigdb/cards/GO_CYTOSKELETON_ORGANIZATION.html" TargetMode="External"/><Relationship Id="rId985" Type="http://schemas.openxmlformats.org/officeDocument/2006/relationships/hyperlink" Target="http://www.broadinstitute.org/gsea/msigdb/cards/GO_DNA_REPLICATION_INITIATION.html" TargetMode="External"/><Relationship Id="rId986" Type="http://schemas.openxmlformats.org/officeDocument/2006/relationships/hyperlink" Target="http://www.broadinstitute.org/gsea/msigdb/cards/GO_REGULATION_OF_DNA_METABOLIC_PROCESS.html" TargetMode="External"/><Relationship Id="rId987" Type="http://schemas.openxmlformats.org/officeDocument/2006/relationships/hyperlink" Target="http://www.broadinstitute.org/gsea/msigdb/cards/GO_REPLICATION_FORK.html" TargetMode="External"/><Relationship Id="rId988" Type="http://schemas.openxmlformats.org/officeDocument/2006/relationships/hyperlink" Target="http://www.broadinstitute.org/gsea/msigdb/cards/GO_MEIOTIC_CELL_CYCLE_PROCESS.html" TargetMode="External"/><Relationship Id="rId989" Type="http://schemas.openxmlformats.org/officeDocument/2006/relationships/hyperlink" Target="http://www.broadinstitute.org/gsea/msigdb/cards/GO_ATPASE_ACTIVITY.html" TargetMode="External"/><Relationship Id="rId1050" Type="http://schemas.openxmlformats.org/officeDocument/2006/relationships/hyperlink" Target="http://www.broadinstitute.org/gsea/msigdb/cards/GO_CHROMOSOME_TELOMERIC_REGION.html" TargetMode="External"/><Relationship Id="rId1051" Type="http://schemas.openxmlformats.org/officeDocument/2006/relationships/hyperlink" Target="http://www.broadinstitute.org/gsea/msigdb/cards/GO_MITOTIC_DNA_INTEGRITY_CHECKPOINT.html" TargetMode="External"/><Relationship Id="rId1052" Type="http://schemas.openxmlformats.org/officeDocument/2006/relationships/hyperlink" Target="http://www.broadinstitute.org/gsea/msigdb/cards/GO_HISTONE_EXCHANGE.html" TargetMode="External"/><Relationship Id="rId1053" Type="http://schemas.openxmlformats.org/officeDocument/2006/relationships/hyperlink" Target="http://www.broadinstitute.org/gsea/msigdb/cards/GO_CYTOKINESIS.html" TargetMode="External"/><Relationship Id="rId1054" Type="http://schemas.openxmlformats.org/officeDocument/2006/relationships/hyperlink" Target="http://www.broadinstitute.org/gsea/msigdb/cards/GO_TUBULIN_BINDING.html" TargetMode="External"/><Relationship Id="rId1055" Type="http://schemas.openxmlformats.org/officeDocument/2006/relationships/hyperlink" Target="http://www.broadinstitute.org/gsea/msigdb/cards/GO_MITOTIC_SPINDLE.html" TargetMode="External"/><Relationship Id="rId1056" Type="http://schemas.openxmlformats.org/officeDocument/2006/relationships/hyperlink" Target="http://www.broadinstitute.org/gsea/msigdb/cards/GO_SPINDLE_ASSEMBLY.html" TargetMode="External"/><Relationship Id="rId1057" Type="http://schemas.openxmlformats.org/officeDocument/2006/relationships/hyperlink" Target="http://www.broadinstitute.org/gsea/msigdb/cards/GO_CHROMOSOME_CONDENSATION.html" TargetMode="External"/><Relationship Id="rId1058" Type="http://schemas.openxmlformats.org/officeDocument/2006/relationships/hyperlink" Target="http://www.broadinstitute.org/gsea/msigdb/cards/GO_ATPASE_ACTIVITY_COUPLED.html" TargetMode="External"/><Relationship Id="rId1059" Type="http://schemas.openxmlformats.org/officeDocument/2006/relationships/hyperlink" Target="http://www.broadinstitute.org/gsea/msigdb/cards/GO_POSITIVE_REGULATION_OF_CELL_DIVISION.html" TargetMode="External"/><Relationship Id="rId590" Type="http://schemas.openxmlformats.org/officeDocument/2006/relationships/hyperlink" Target="http://www.broadinstitute.org/gsea/msigdb/cards/SHETH_LIVER_CANCER_VS_TXNIP_LOSS_PAM3.html" TargetMode="External"/><Relationship Id="rId591" Type="http://schemas.openxmlformats.org/officeDocument/2006/relationships/hyperlink" Target="http://www.broadinstitute.org/gsea/msigdb/cards/RICKMAN_TUMOR_DIFFERENTIATED_WELL_VS_POORLY_UP.html" TargetMode="External"/><Relationship Id="rId592" Type="http://schemas.openxmlformats.org/officeDocument/2006/relationships/hyperlink" Target="http://www.broadinstitute.org/gsea/msigdb/cards/LI_LUNG_CANCER.html" TargetMode="External"/><Relationship Id="rId593" Type="http://schemas.openxmlformats.org/officeDocument/2006/relationships/hyperlink" Target="http://www.broadinstitute.org/gsea/msigdb/cards/KAMMINGA_SENESCENCE.html" TargetMode="External"/><Relationship Id="rId594" Type="http://schemas.openxmlformats.org/officeDocument/2006/relationships/hyperlink" Target="http://www.broadinstitute.org/gsea/msigdb/cards/SCHLOSSER_SERUM_RESPONSE_AUGMENTED_BY_MYC.html" TargetMode="External"/><Relationship Id="rId595" Type="http://schemas.openxmlformats.org/officeDocument/2006/relationships/hyperlink" Target="http://www.broadinstitute.org/gsea/msigdb/cards/BIOCARTA_ETS_PATHWAY.html" TargetMode="External"/><Relationship Id="rId596" Type="http://schemas.openxmlformats.org/officeDocument/2006/relationships/hyperlink" Target="http://www.broadinstitute.org/gsea/msigdb/cards/WIERENGA_PML_INTERACTOME.html" TargetMode="External"/><Relationship Id="rId597" Type="http://schemas.openxmlformats.org/officeDocument/2006/relationships/hyperlink" Target="http://www.broadinstitute.org/gsea/msigdb/cards/KOINUMA_TARGETS_OF_SMAD2_OR_SMAD3.html" TargetMode="External"/><Relationship Id="rId598" Type="http://schemas.openxmlformats.org/officeDocument/2006/relationships/hyperlink" Target="http://www.broadinstitute.org/gsea/msigdb/cards/REACTOME_BASE_EXCISION_REPAIR.html" TargetMode="External"/><Relationship Id="rId599" Type="http://schemas.openxmlformats.org/officeDocument/2006/relationships/hyperlink" Target="http://www.broadinstitute.org/gsea/msigdb/cards/OUYANG_PROSTATE_CANCER_MARKERS.html" TargetMode="External"/><Relationship Id="rId1834" Type="http://schemas.openxmlformats.org/officeDocument/2006/relationships/hyperlink" Target="http://www.broadinstitute.org/gsea/msigdb/cards/GSE39556_CD8A_DC_VS_NK_CELL_UP.html" TargetMode="External"/><Relationship Id="rId1835" Type="http://schemas.openxmlformats.org/officeDocument/2006/relationships/hyperlink" Target="http://www.broadinstitute.org/gsea/msigdb/cards/GSE33425_CD161_HIGH_VS_INT_CD8_TCELL_DN.html" TargetMode="External"/><Relationship Id="rId1836" Type="http://schemas.openxmlformats.org/officeDocument/2006/relationships/hyperlink" Target="http://www.broadinstitute.org/gsea/msigdb/cards/GSE17974_1H_VS_72H_UNTREATED_IN_VITRO_CD4_TCELL_DN.html" TargetMode="External"/><Relationship Id="rId1837" Type="http://schemas.openxmlformats.org/officeDocument/2006/relationships/hyperlink" Target="http://www.broadinstitute.org/gsea/msigdb/cards/GSE24634_NAIVE_CD4_TCELL_VS_DAY10_IL4_CONV_TREG_DN.html" TargetMode="External"/><Relationship Id="rId1838" Type="http://schemas.openxmlformats.org/officeDocument/2006/relationships/hyperlink" Target="http://www.broadinstitute.org/gsea/msigdb/cards/GSE31082_CD4_VS_CD8_SP_THYMOCYTE_DN.html" TargetMode="External"/><Relationship Id="rId1839" Type="http://schemas.openxmlformats.org/officeDocument/2006/relationships/hyperlink" Target="http://www.broadinstitute.org/gsea/msigdb/cards/GSE3982_DC_VS_MAC_DN.html" TargetMode="External"/><Relationship Id="rId2130" Type="http://schemas.openxmlformats.org/officeDocument/2006/relationships/hyperlink" Target="http://www.broadinstitute.org/gsea/msigdb/cards/GSE40274_CTRL_VS_FOXP3_AND_GATA1_TRANSDUCED_ACTIVATED_CD4_TCELL_DN.html" TargetMode="External"/><Relationship Id="rId2131" Type="http://schemas.openxmlformats.org/officeDocument/2006/relationships/hyperlink" Target="http://www.broadinstitute.org/gsea/msigdb/cards/GSE7596_AKT_TRANSD_VS_CTRL_CD4_TCONV_WITH_TGFB_UP.html" TargetMode="External"/><Relationship Id="rId2132" Type="http://schemas.openxmlformats.org/officeDocument/2006/relationships/hyperlink" Target="http://www.broadinstitute.org/gsea/msigdb/cards/GSE6259_FLT3L_INDUCED_VS_WT_SPLENIC_DC_33D1_POS_DN.html" TargetMode="External"/><Relationship Id="rId2133" Type="http://schemas.openxmlformats.org/officeDocument/2006/relationships/hyperlink" Target="http://www.broadinstitute.org/gsea/msigdb/cards/GSE40666_UNTREATED_VS_IFNA_STIM_STAT4_KO_EFFECTOR_CD8_TCELL_90MIN_UP.html" TargetMode="External"/><Relationship Id="rId2134" Type="http://schemas.openxmlformats.org/officeDocument/2006/relationships/hyperlink" Target="http://www.broadinstitute.org/gsea/msigdb/cards/GSE20727_CTRL_VS_ROS_INHIBITOR_TREATED_DC_DN.html" TargetMode="External"/><Relationship Id="rId2135" Type="http://schemas.openxmlformats.org/officeDocument/2006/relationships/hyperlink" Target="http://www.broadinstitute.org/gsea/msigdb/cards/GSE13485_CTRL_VS_DAY7_YF17D_VACCINE_PBMC_DN.html" TargetMode="External"/><Relationship Id="rId2136" Type="http://schemas.openxmlformats.org/officeDocument/2006/relationships/hyperlink" Target="http://www.broadinstitute.org/gsea/msigdb/cards/GSE14000_TRANSLATED_RNA_VS_MRNA_DC_UP.html" TargetMode="External"/><Relationship Id="rId2137" Type="http://schemas.openxmlformats.org/officeDocument/2006/relationships/hyperlink" Target="http://www.broadinstitute.org/gsea/msigdb/cards/GSE14769_40MIN_VS_360MIN_LPS_BMDM_UP.html" TargetMode="External"/><Relationship Id="rId2138" Type="http://schemas.openxmlformats.org/officeDocument/2006/relationships/hyperlink" Target="http://www.broadinstitute.org/gsea/msigdb/cards/GSE15324_ELF4_KO_VS_WT_NAIVE_CD8_TCELL_UP.html" TargetMode="External"/><Relationship Id="rId2139" Type="http://schemas.openxmlformats.org/officeDocument/2006/relationships/hyperlink" Target="http://www.broadinstitute.org/gsea/msigdb/cards/GSE16522_ANTI_CD3CD28_STIM_VS_UNSTIM_NAIVE_CD8_TCELL_DN.html" TargetMode="External"/><Relationship Id="rId2520" Type="http://schemas.openxmlformats.org/officeDocument/2006/relationships/hyperlink" Target="http://www.broadinstitute.org/gsea/msigdb/cards/GSE17721_CTRL_VS_POLYIC_8H_BMDC_DN.html" TargetMode="External"/><Relationship Id="rId2521" Type="http://schemas.openxmlformats.org/officeDocument/2006/relationships/hyperlink" Target="http://www.broadinstitute.org/gsea/msigdb/cards/GSE17721_CTRL_VS_PAM3CSK4_1H_BMDC_UP.html" TargetMode="External"/><Relationship Id="rId2522" Type="http://schemas.openxmlformats.org/officeDocument/2006/relationships/hyperlink" Target="http://www.broadinstitute.org/gsea/msigdb/cards/GSE17721_CTRL_VS_PAM3CSK4_12H_BMDC_UP.html" TargetMode="External"/><Relationship Id="rId2523" Type="http://schemas.openxmlformats.org/officeDocument/2006/relationships/hyperlink" Target="http://www.broadinstitute.org/gsea/msigdb/cards/GSE17721_CTRL_VS_CPG_24H_BMDC_DN.html" TargetMode="External"/><Relationship Id="rId2524" Type="http://schemas.openxmlformats.org/officeDocument/2006/relationships/hyperlink" Target="http://www.broadinstitute.org/gsea/msigdb/cards/GSE17721_CTRL_VS_GARDIQUIMOD_1H_BMDC_DN.html" TargetMode="External"/><Relationship Id="rId2525" Type="http://schemas.openxmlformats.org/officeDocument/2006/relationships/hyperlink" Target="http://www.broadinstitute.org/gsea/msigdb/cards/GSE17721_CTRL_VS_GARDIQUIMOD_2H_BMDC_UP.html" TargetMode="External"/><Relationship Id="rId2526" Type="http://schemas.openxmlformats.org/officeDocument/2006/relationships/hyperlink" Target="http://www.broadinstitute.org/gsea/msigdb/cards/GSE17721_LPS_VS_POLYIC_1H_BMDC_DN.html" TargetMode="External"/><Relationship Id="rId2527" Type="http://schemas.openxmlformats.org/officeDocument/2006/relationships/hyperlink" Target="http://www.broadinstitute.org/gsea/msigdb/cards/GSE17721_LPS_VS_POLYIC_4H_BMDC_DN.html" TargetMode="External"/><Relationship Id="rId2528" Type="http://schemas.openxmlformats.org/officeDocument/2006/relationships/hyperlink" Target="http://www.broadinstitute.org/gsea/msigdb/cards/GSE17721_PAM3CSK4_VS_CPG_1H_BMDC_DN.html" TargetMode="External"/><Relationship Id="rId2529" Type="http://schemas.openxmlformats.org/officeDocument/2006/relationships/hyperlink" Target="http://www.broadinstitute.org/gsea/msigdb/cards/GSE17721_PAM3CSK4_VS_CPG_6H_BMDC_DN.html" TargetMode="External"/><Relationship Id="rId1840" Type="http://schemas.openxmlformats.org/officeDocument/2006/relationships/hyperlink" Target="http://www.broadinstitute.org/gsea/msigdb/cards/GSE22601_DOUBLE_POSITIVE_VS_CD8_SINGLE_POSITIVE_THYMOCYTE_DN.html" TargetMode="External"/><Relationship Id="rId1841" Type="http://schemas.openxmlformats.org/officeDocument/2006/relationships/hyperlink" Target="http://www.broadinstitute.org/gsea/msigdb/cards/GSE2585_CD80_HIGH_VS_LOW_AIRE_KO_MTEC_DN.html" TargetMode="External"/><Relationship Id="rId1842" Type="http://schemas.openxmlformats.org/officeDocument/2006/relationships/hyperlink" Target="http://www.broadinstitute.org/gsea/msigdb/cards/GSE5503_MLN_DC_VS_PLN_DC_ACTIVATED_ALLOGENIC_TCELL_UP.html" TargetMode="External"/><Relationship Id="rId1843" Type="http://schemas.openxmlformats.org/officeDocument/2006/relationships/hyperlink" Target="http://www.broadinstitute.org/gsea/msigdb/cards/GSE36078_UNTREATED_VS_AD5_INF_MOUSE_LUNG_DC_DN.html" TargetMode="External"/><Relationship Id="rId1450" Type="http://schemas.openxmlformats.org/officeDocument/2006/relationships/hyperlink" Target="http://www.broadinstitute.org/gsea/msigdb/cards/GO_SINGLE_ORGANISM_BIOSYNTHETIC_PROCESS.html" TargetMode="External"/><Relationship Id="rId1451" Type="http://schemas.openxmlformats.org/officeDocument/2006/relationships/hyperlink" Target="http://www.broadinstitute.org/gsea/msigdb/cards/GO_INTRINSIC_APOPTOTIC_SIGNALING_PATHWAY_IN_RESPONSE_TO_DNA_DAMAGE.html" TargetMode="External"/><Relationship Id="rId1452" Type="http://schemas.openxmlformats.org/officeDocument/2006/relationships/hyperlink" Target="http://www.broadinstitute.org/gsea/msigdb/cards/GO_RESPONSE_TO_NUTRIENT.html" TargetMode="External"/><Relationship Id="rId1453" Type="http://schemas.openxmlformats.org/officeDocument/2006/relationships/hyperlink" Target="http://www.broadinstitute.org/gsea/msigdb/cards/GO_ENDONUCLEASE_ACTIVITY_ACTIVE_WITH_EITHER_RIBO_OR_DEOXYRIBONUCLEIC_ACIDS_AND_PRODUCING_5_PHOSPHOMONOESTERS.html" TargetMode="External"/><Relationship Id="rId1454" Type="http://schemas.openxmlformats.org/officeDocument/2006/relationships/hyperlink" Target="http://www.broadinstitute.org/gsea/msigdb/cards/GO_4_IRON_4_SULFUR_CLUSTER_BINDING.html" TargetMode="External"/><Relationship Id="rId1455" Type="http://schemas.openxmlformats.org/officeDocument/2006/relationships/hyperlink" Target="http://www.broadinstitute.org/gsea/msigdb/cards/GO_MOVEMENT_OF_CELL_OR_SUBCELLULAR_COMPONENT.html" TargetMode="External"/><Relationship Id="rId1456" Type="http://schemas.openxmlformats.org/officeDocument/2006/relationships/hyperlink" Target="http://www.broadinstitute.org/gsea/msigdb/cards/GO_EXODEOXYRIBONUCLEASE_ACTIVITY.html" TargetMode="External"/><Relationship Id="rId1457" Type="http://schemas.openxmlformats.org/officeDocument/2006/relationships/hyperlink" Target="http://www.broadinstitute.org/gsea/msigdb/cards/GO_RESPONSE_TO_TOXIC_SUBSTANCE.html" TargetMode="External"/><Relationship Id="rId1458" Type="http://schemas.openxmlformats.org/officeDocument/2006/relationships/hyperlink" Target="http://www.broadinstitute.org/gsea/msigdb/cards/GO_CULLIN_RING_UBIQUITIN_LIGASE_COMPLEX.html" TargetMode="External"/><Relationship Id="rId1459" Type="http://schemas.openxmlformats.org/officeDocument/2006/relationships/hyperlink" Target="http://www.broadinstitute.org/gsea/msigdb/cards/GO_REGULATION_OF_TRANSCRIPTION_FROM_RNA_POLYMERASE_II_PROMOTER.html" TargetMode="External"/><Relationship Id="rId990" Type="http://schemas.openxmlformats.org/officeDocument/2006/relationships/hyperlink" Target="http://www.broadinstitute.org/gsea/msigdb/cards/GO_REGULATION_OF_PROTEIN_COMPLEX_DISASSEMBLY.html" TargetMode="External"/><Relationship Id="rId991" Type="http://schemas.openxmlformats.org/officeDocument/2006/relationships/hyperlink" Target="http://www.broadinstitute.org/gsea/msigdb/cards/GO_MACROMOLECULAR_COMPLEX_ASSEMBLY.html" TargetMode="External"/><Relationship Id="rId992" Type="http://schemas.openxmlformats.org/officeDocument/2006/relationships/hyperlink" Target="http://www.broadinstitute.org/gsea/msigdb/cards/GO_NEGATIVE_REGULATION_OF_PROTEIN_COMPLEX_DISASSEMBLY.html" TargetMode="External"/><Relationship Id="rId993" Type="http://schemas.openxmlformats.org/officeDocument/2006/relationships/hyperlink" Target="http://www.broadinstitute.org/gsea/msigdb/cards/GO_NEGATIVE_REGULATION_OF_CELLULAR_COMPONENT_ORGANIZATION.html" TargetMode="External"/><Relationship Id="rId994" Type="http://schemas.openxmlformats.org/officeDocument/2006/relationships/hyperlink" Target="http://www.broadinstitute.org/gsea/msigdb/cards/GO_NEGATIVE_REGULATION_OF_MITOTIC_CELL_CYCLE.html" TargetMode="External"/><Relationship Id="rId995" Type="http://schemas.openxmlformats.org/officeDocument/2006/relationships/hyperlink" Target="http://www.broadinstitute.org/gsea/msigdb/cards/GO_REGULATION_OF_CYTOSKELETON_ORGANIZATION.html" TargetMode="External"/><Relationship Id="rId996" Type="http://schemas.openxmlformats.org/officeDocument/2006/relationships/hyperlink" Target="http://www.broadinstitute.org/gsea/msigdb/cards/GO_NEGATIVE_REGULATION_OF_CYTOSKELETON_ORGANIZATION.html" TargetMode="External"/><Relationship Id="rId997" Type="http://schemas.openxmlformats.org/officeDocument/2006/relationships/hyperlink" Target="http://www.broadinstitute.org/gsea/msigdb/cards/GO_DNA_INTEGRITY_CHECKPOINT.html" TargetMode="External"/><Relationship Id="rId998" Type="http://schemas.openxmlformats.org/officeDocument/2006/relationships/hyperlink" Target="http://www.broadinstitute.org/gsea/msigdb/cards/GO_REGULATION_OF_CHROMOSOME_SEGREGATION.html" TargetMode="External"/><Relationship Id="rId999" Type="http://schemas.openxmlformats.org/officeDocument/2006/relationships/hyperlink" Target="http://www.broadinstitute.org/gsea/msigdb/cards/GO_MICROTUBULE.html" TargetMode="External"/><Relationship Id="rId1060" Type="http://schemas.openxmlformats.org/officeDocument/2006/relationships/hyperlink" Target="http://www.broadinstitute.org/gsea/msigdb/cards/GO_RESPONSE_TO_RADIATION.html" TargetMode="External"/><Relationship Id="rId1061" Type="http://schemas.openxmlformats.org/officeDocument/2006/relationships/hyperlink" Target="http://www.broadinstitute.org/gsea/msigdb/cards/GO_ORGANELLE_ASSEMBLY.html" TargetMode="External"/><Relationship Id="rId1062" Type="http://schemas.openxmlformats.org/officeDocument/2006/relationships/hyperlink" Target="http://www.broadinstitute.org/gsea/msigdb/cards/GO_SPINDLE_MIDZONE.html" TargetMode="External"/><Relationship Id="rId1063" Type="http://schemas.openxmlformats.org/officeDocument/2006/relationships/hyperlink" Target="http://www.broadinstitute.org/gsea/msigdb/cards/GO_NUCLEAR_REPLICATION_FORK.html" TargetMode="External"/><Relationship Id="rId1064" Type="http://schemas.openxmlformats.org/officeDocument/2006/relationships/hyperlink" Target="http://www.broadinstitute.org/gsea/msigdb/cards/GO_TELOMERE_ORGANIZATION.html" TargetMode="External"/><Relationship Id="rId1065" Type="http://schemas.openxmlformats.org/officeDocument/2006/relationships/hyperlink" Target="http://www.broadinstitute.org/gsea/msigdb/cards/GO_REGULATION_OF_CELL_CYCLE_G1_S_PHASE_TRANSITION.html" TargetMode="External"/><Relationship Id="rId1066" Type="http://schemas.openxmlformats.org/officeDocument/2006/relationships/hyperlink" Target="http://www.broadinstitute.org/gsea/msigdb/cards/GO_CHROMATIN_REMODELING.html" TargetMode="External"/><Relationship Id="rId1067" Type="http://schemas.openxmlformats.org/officeDocument/2006/relationships/hyperlink" Target="http://www.broadinstitute.org/gsea/msigdb/cards/GO_MEIOSIS_I.html" TargetMode="External"/><Relationship Id="rId1068" Type="http://schemas.openxmlformats.org/officeDocument/2006/relationships/hyperlink" Target="http://www.broadinstitute.org/gsea/msigdb/cards/GO_KINESIN_COMPLEX.html" TargetMode="External"/><Relationship Id="rId1069" Type="http://schemas.openxmlformats.org/officeDocument/2006/relationships/hyperlink" Target="http://www.broadinstitute.org/gsea/msigdb/cards/GO_CONDENSED_CHROMOSOME_OUTER_KINETOCHORE.html" TargetMode="External"/><Relationship Id="rId1844" Type="http://schemas.openxmlformats.org/officeDocument/2006/relationships/hyperlink" Target="http://www.broadinstitute.org/gsea/msigdb/cards/GSE11961_GERMINAL_CENTER_BCELL_DAY7_VS_GERMINAL_CENTER_BCELL_DAY40_UP.html" TargetMode="External"/><Relationship Id="rId1845" Type="http://schemas.openxmlformats.org/officeDocument/2006/relationships/hyperlink" Target="http://www.broadinstitute.org/gsea/msigdb/cards/GSE12963_UNINF_VS_ENV_AND_NEF_DEFICIENT_HIV1_INF_CD4_TCELL_DN.html" TargetMode="External"/><Relationship Id="rId1846" Type="http://schemas.openxmlformats.org/officeDocument/2006/relationships/hyperlink" Target="http://www.broadinstitute.org/gsea/msigdb/cards/GSE37532_VISCERAL_ADIPOSE_TISSUE_VS_LN_DERIVED_PPARG_KO_TCONV_CD4_TCELL_UP.html" TargetMode="External"/><Relationship Id="rId1847" Type="http://schemas.openxmlformats.org/officeDocument/2006/relationships/hyperlink" Target="http://www.broadinstitute.org/gsea/msigdb/cards/GSE6259_FLT3L_INDUCED_33D1_POS_DC_VS_CD4_TCELL_DN.html" TargetMode="External"/><Relationship Id="rId1848" Type="http://schemas.openxmlformats.org/officeDocument/2006/relationships/hyperlink" Target="http://www.broadinstitute.org/gsea/msigdb/cards/GSE17974_0H_VS_72H_IN_VITRO_ACT_CD4_TCELL_DN.html" TargetMode="External"/><Relationship Id="rId1849" Type="http://schemas.openxmlformats.org/officeDocument/2006/relationships/hyperlink" Target="http://www.broadinstitute.org/gsea/msigdb/cards/GSE27786_LIN_NEG_VS_NKTCELL_UP.html" TargetMode="External"/><Relationship Id="rId2140" Type="http://schemas.openxmlformats.org/officeDocument/2006/relationships/hyperlink" Target="http://www.broadinstitute.org/gsea/msigdb/cards/GSE17721_CTRL_VS_PAM3CSK4_8H_BMDC_UP.html" TargetMode="External"/><Relationship Id="rId2141" Type="http://schemas.openxmlformats.org/officeDocument/2006/relationships/hyperlink" Target="http://www.broadinstitute.org/gsea/msigdb/cards/GSE17721_CTRL_VS_GARDIQUIMOD_12H_BMDC_UP.html" TargetMode="External"/><Relationship Id="rId2142" Type="http://schemas.openxmlformats.org/officeDocument/2006/relationships/hyperlink" Target="http://www.broadinstitute.org/gsea/msigdb/cards/GSE17721_POLYIC_VS_PAM3CSK4_4H_BMDC_UP.html" TargetMode="External"/><Relationship Id="rId2143" Type="http://schemas.openxmlformats.org/officeDocument/2006/relationships/hyperlink" Target="http://www.broadinstitute.org/gsea/msigdb/cards/GSE17721_POLYIC_VS_PAM3CSK4_24H_BMDC_DN.html" TargetMode="External"/><Relationship Id="rId2144" Type="http://schemas.openxmlformats.org/officeDocument/2006/relationships/hyperlink" Target="http://www.broadinstitute.org/gsea/msigdb/cards/GSE17721_4H_VS_24H_POLYIC_BMDC_UP.html" TargetMode="External"/><Relationship Id="rId2145" Type="http://schemas.openxmlformats.org/officeDocument/2006/relationships/hyperlink" Target="http://www.broadinstitute.org/gsea/msigdb/cards/GSE18791_CTRL_VS_NEWCASTLE_VIRUS_DC_2H_UP.html" TargetMode="External"/><Relationship Id="rId2146" Type="http://schemas.openxmlformats.org/officeDocument/2006/relationships/hyperlink" Target="http://www.broadinstitute.org/gsea/msigdb/cards/GSE18791_CTRL_VS_NEWCASTLE_VIRUS_DC_16H_UP.html" TargetMode="External"/><Relationship Id="rId2147" Type="http://schemas.openxmlformats.org/officeDocument/2006/relationships/hyperlink" Target="http://www.broadinstitute.org/gsea/msigdb/cards/GSE25087_FETAL_VS_ADULT_TCONV_UP.html" TargetMode="External"/><Relationship Id="rId2148" Type="http://schemas.openxmlformats.org/officeDocument/2006/relationships/hyperlink" Target="http://www.broadinstitute.org/gsea/msigdb/cards/GSE25087_TREG_VS_TCONV_ADULT_UP.html" TargetMode="External"/><Relationship Id="rId2149" Type="http://schemas.openxmlformats.org/officeDocument/2006/relationships/hyperlink" Target="http://www.broadinstitute.org/gsea/msigdb/cards/GSE26928_NAIVE_VS_CENT_MEMORY_CD4_TCELL_DN.html" TargetMode="External"/><Relationship Id="rId2530" Type="http://schemas.openxmlformats.org/officeDocument/2006/relationships/hyperlink" Target="http://www.broadinstitute.org/gsea/msigdb/cards/GSE17721_CPG_VS_GARDIQUIMOD_4H_BMDC_UP.html" TargetMode="External"/><Relationship Id="rId2531" Type="http://schemas.openxmlformats.org/officeDocument/2006/relationships/hyperlink" Target="http://www.broadinstitute.org/gsea/msigdb/cards/GSE17721_CPG_VS_GARDIQUIMOD_6H_BMDC_DN.html" TargetMode="External"/><Relationship Id="rId2532" Type="http://schemas.openxmlformats.org/officeDocument/2006/relationships/hyperlink" Target="http://www.broadinstitute.org/gsea/msigdb/cards/GSE17721_LPS_VS_PAM3CSK4_4H_BMDC_UP.html" TargetMode="External"/><Relationship Id="rId2533" Type="http://schemas.openxmlformats.org/officeDocument/2006/relationships/hyperlink" Target="http://www.broadinstitute.org/gsea/msigdb/cards/GSE17721_LPS_VS_PAM3CSK4_6H_BMDC_DN.html" TargetMode="External"/><Relationship Id="rId2534" Type="http://schemas.openxmlformats.org/officeDocument/2006/relationships/hyperlink" Target="http://www.broadinstitute.org/gsea/msigdb/cards/GSE17721_LPS_VS_PAM3CSK4_12H_BMDC_DN.html" TargetMode="External"/><Relationship Id="rId2535" Type="http://schemas.openxmlformats.org/officeDocument/2006/relationships/hyperlink" Target="http://www.broadinstitute.org/gsea/msigdb/cards/GSE17721_LPS_VS_PAM3CSK4_24H_BMDC_DN.html" TargetMode="External"/><Relationship Id="rId2536" Type="http://schemas.openxmlformats.org/officeDocument/2006/relationships/hyperlink" Target="http://www.broadinstitute.org/gsea/msigdb/cards/GSE17721_POLYIC_VS_CPG_16H_BMDC_DN.html" TargetMode="External"/><Relationship Id="rId2537" Type="http://schemas.openxmlformats.org/officeDocument/2006/relationships/hyperlink" Target="http://www.broadinstitute.org/gsea/msigdb/cards/GSE17721_PAM3CSK4_VS_GADIQUIMOD_0.5H_BMDC_DN.html" TargetMode="External"/><Relationship Id="rId2538" Type="http://schemas.openxmlformats.org/officeDocument/2006/relationships/hyperlink" Target="http://www.broadinstitute.org/gsea/msigdb/cards/GSE17721_PAM3CSK4_VS_GADIQUIMOD_1H_BMDC_DN.html" TargetMode="External"/><Relationship Id="rId2539" Type="http://schemas.openxmlformats.org/officeDocument/2006/relationships/hyperlink" Target="http://www.broadinstitute.org/gsea/msigdb/cards/GSE17721_PAM3CSK4_VS_GADIQUIMOD_2H_BMDC_DN.html" TargetMode="External"/><Relationship Id="rId200" Type="http://schemas.openxmlformats.org/officeDocument/2006/relationships/hyperlink" Target="http://www.broadinstitute.org/gsea/msigdb/cards/VANTVEER_BREAST_CANCER_ESR1_DN.html" TargetMode="External"/><Relationship Id="rId201" Type="http://schemas.openxmlformats.org/officeDocument/2006/relationships/hyperlink" Target="http://www.broadinstitute.org/gsea/msigdb/cards/SCIAN_CELL_CYCLE_TARGETS_OF_TP53_AND_TP73_DN.html" TargetMode="External"/><Relationship Id="rId202" Type="http://schemas.openxmlformats.org/officeDocument/2006/relationships/hyperlink" Target="http://www.broadinstitute.org/gsea/msigdb/cards/KRIEG_HYPOXIA_NOT_VIA_KDM3A.html" TargetMode="External"/><Relationship Id="rId203" Type="http://schemas.openxmlformats.org/officeDocument/2006/relationships/hyperlink" Target="http://www.broadinstitute.org/gsea/msigdb/cards/WANG_CISPLATIN_RESPONSE_AND_XPC_UP.html" TargetMode="External"/><Relationship Id="rId204" Type="http://schemas.openxmlformats.org/officeDocument/2006/relationships/hyperlink" Target="http://www.broadinstitute.org/gsea/msigdb/cards/FINETTI_BREAST_CANCER_KINOME_RED.html" TargetMode="External"/><Relationship Id="rId205" Type="http://schemas.openxmlformats.org/officeDocument/2006/relationships/hyperlink" Target="http://www.broadinstitute.org/gsea/msigdb/cards/SMIRNOV_RESPONSE_TO_IR_6HR_DN.html" TargetMode="External"/><Relationship Id="rId206" Type="http://schemas.openxmlformats.org/officeDocument/2006/relationships/hyperlink" Target="http://www.broadinstitute.org/gsea/msigdb/cards/PID_FANCONI_PATHWAY.html" TargetMode="External"/><Relationship Id="rId207" Type="http://schemas.openxmlformats.org/officeDocument/2006/relationships/hyperlink" Target="http://www.broadinstitute.org/gsea/msigdb/cards/BORCZUK_MALIGNANT_MESOTHELIOMA_UP.html" TargetMode="External"/><Relationship Id="rId208" Type="http://schemas.openxmlformats.org/officeDocument/2006/relationships/hyperlink" Target="http://www.broadinstitute.org/gsea/msigdb/cards/CHIARADONNA_NEOPLASTIC_TRANSFORMATION_KRAS_UP.html" TargetMode="External"/><Relationship Id="rId209" Type="http://schemas.openxmlformats.org/officeDocument/2006/relationships/hyperlink" Target="http://www.broadinstitute.org/gsea/msigdb/cards/PID_FOXM1_PATHWAY.html" TargetMode="External"/><Relationship Id="rId1850" Type="http://schemas.openxmlformats.org/officeDocument/2006/relationships/hyperlink" Target="http://www.broadinstitute.org/gsea/msigdb/cards/GSE31082_DP_VS_CD4_SP_THYMOCYTE_UP.html" TargetMode="External"/><Relationship Id="rId1851" Type="http://schemas.openxmlformats.org/officeDocument/2006/relationships/hyperlink" Target="http://www.broadinstitute.org/gsea/msigdb/cards/GSE39820_CTRL_VS_TGFBETA3_IL6_IL23A_CD4_TCELL_UP.html" TargetMode="External"/><Relationship Id="rId1852" Type="http://schemas.openxmlformats.org/officeDocument/2006/relationships/hyperlink" Target="http://www.broadinstitute.org/gsea/msigdb/cards/GSE5542_IFNG_VS_IFNA_TREATED_EPITHELIAL_CELLS_24H_UP.html" TargetMode="External"/><Relationship Id="rId1853" Type="http://schemas.openxmlformats.org/officeDocument/2006/relationships/hyperlink" Target="http://www.broadinstitute.org/gsea/msigdb/cards/GSE10273_HIGH_IL7_VS_HIGH_IL7_AND_IRF4_IN_IRF4_8_NULL_PRE_BCELL_UP.html" TargetMode="External"/><Relationship Id="rId1460" Type="http://schemas.openxmlformats.org/officeDocument/2006/relationships/hyperlink" Target="http://www.broadinstitute.org/gsea/msigdb/cards/GO_INTRINSIC_APOPTOTIC_SIGNALING_PATHWAY.html" TargetMode="External"/><Relationship Id="rId1461" Type="http://schemas.openxmlformats.org/officeDocument/2006/relationships/hyperlink" Target="http://www.broadinstitute.org/gsea/msigdb/cards/GO_CELLULAR_COMPONENT_DISASSEMBLY_INVOLVED_IN_EXECUTION_PHASE_OF_APOPTOSIS.html" TargetMode="External"/><Relationship Id="rId1462" Type="http://schemas.openxmlformats.org/officeDocument/2006/relationships/hyperlink" Target="http://www.broadinstitute.org/gsea/msigdb/cards/GO_DNA_REPAIR_COMPLEX.html" TargetMode="External"/><Relationship Id="rId1463" Type="http://schemas.openxmlformats.org/officeDocument/2006/relationships/hyperlink" Target="http://www.broadinstitute.org/gsea/msigdb/cards/GO_PYRIMIDINE_NUCLEOBASE_METABOLIC_PROCESS.html" TargetMode="External"/><Relationship Id="rId1464" Type="http://schemas.openxmlformats.org/officeDocument/2006/relationships/hyperlink" Target="http://www.broadinstitute.org/gsea/msigdb/cards/GO_DEOXYRIBONUCLEOSIDE_TRIPHOSPHATE_METABOLIC_PROCESS.html" TargetMode="External"/><Relationship Id="rId1465" Type="http://schemas.openxmlformats.org/officeDocument/2006/relationships/hyperlink" Target="http://www.broadinstitute.org/gsea/msigdb/cards/GO_POLY_PURINE_TRACT_BINDING.html" TargetMode="External"/><Relationship Id="rId1466" Type="http://schemas.openxmlformats.org/officeDocument/2006/relationships/hyperlink" Target="http://www.broadinstitute.org/gsea/msigdb/cards/GO_NUCLEAR_BODY.html" TargetMode="External"/><Relationship Id="rId1467" Type="http://schemas.openxmlformats.org/officeDocument/2006/relationships/hyperlink" Target="http://www.broadinstitute.org/gsea/msigdb/cards/GO_ENVELOPE.html" TargetMode="External"/><Relationship Id="rId1468" Type="http://schemas.openxmlformats.org/officeDocument/2006/relationships/hyperlink" Target="http://www.broadinstitute.org/gsea/msigdb/cards/GO_NUCLEOBASE_CONTAINING_COMPOUND_TRANSPORT.html" TargetMode="External"/><Relationship Id="rId1469" Type="http://schemas.openxmlformats.org/officeDocument/2006/relationships/hyperlink" Target="http://www.broadinstitute.org/gsea/msigdb/cards/GO_TRANSCRIPTION_FACTOR_COMPLEX.html" TargetMode="External"/><Relationship Id="rId1070" Type="http://schemas.openxmlformats.org/officeDocument/2006/relationships/hyperlink" Target="http://www.broadinstitute.org/gsea/msigdb/cards/GO_NUCLEAR_CHROMOSOME_TELOMERIC_REGION.html" TargetMode="External"/><Relationship Id="rId1071" Type="http://schemas.openxmlformats.org/officeDocument/2006/relationships/hyperlink" Target="http://www.broadinstitute.org/gsea/msigdb/cards/GO_SINGLE_STRANDED_DNA_DEPENDENT_ATPASE_ACTIVITY.html" TargetMode="External"/><Relationship Id="rId1072" Type="http://schemas.openxmlformats.org/officeDocument/2006/relationships/hyperlink" Target="http://www.broadinstitute.org/gsea/msigdb/cards/GO_CENTROSOME_CYCLE.html" TargetMode="External"/><Relationship Id="rId1073" Type="http://schemas.openxmlformats.org/officeDocument/2006/relationships/hyperlink" Target="http://www.broadinstitute.org/gsea/msigdb/cards/GO_ANAPHASE_PROMOTING_COMPLEX_DEPENDENT_CATABOLIC_PROCESS.html" TargetMode="External"/><Relationship Id="rId1074" Type="http://schemas.openxmlformats.org/officeDocument/2006/relationships/hyperlink" Target="http://www.broadinstitute.org/gsea/msigdb/cards/GO_DAMAGED_DNA_BINDING.html" TargetMode="External"/><Relationship Id="rId1075" Type="http://schemas.openxmlformats.org/officeDocument/2006/relationships/hyperlink" Target="http://www.broadinstitute.org/gsea/msigdb/cards/GO_RESPONSE_TO_IONIZING_RADIATION.html" TargetMode="External"/><Relationship Id="rId1076" Type="http://schemas.openxmlformats.org/officeDocument/2006/relationships/hyperlink" Target="http://www.broadinstitute.org/gsea/msigdb/cards/GO_MICROTUBULE_ASSOCIATED_COMPLEX.html" TargetMode="External"/><Relationship Id="rId1077" Type="http://schemas.openxmlformats.org/officeDocument/2006/relationships/hyperlink" Target="http://www.broadinstitute.org/gsea/msigdb/cards/GO_KINASE_BINDING.html" TargetMode="External"/><Relationship Id="rId1078" Type="http://schemas.openxmlformats.org/officeDocument/2006/relationships/hyperlink" Target="http://www.broadinstitute.org/gsea/msigdb/cards/GO_STRAND_DISPLACEMENT.html" TargetMode="External"/><Relationship Id="rId1079" Type="http://schemas.openxmlformats.org/officeDocument/2006/relationships/hyperlink" Target="http://www.broadinstitute.org/gsea/msigdb/cards/GO_POSITIVE_REGULATION_OF_CELL_CYCLE_PHASE_TRANSITION.html" TargetMode="External"/><Relationship Id="rId1854" Type="http://schemas.openxmlformats.org/officeDocument/2006/relationships/hyperlink" Target="http://www.broadinstitute.org/gsea/msigdb/cards/GSE18893_TCONV_VS_TREG_24H_CULTURE_DN.html" TargetMode="External"/><Relationship Id="rId1855" Type="http://schemas.openxmlformats.org/officeDocument/2006/relationships/hyperlink" Target="http://www.broadinstitute.org/gsea/msigdb/cards/GSE21670_STAT3_KO_VS_WT_CD4_TCELL_TGFB_TREATED_UP.html" TargetMode="External"/><Relationship Id="rId1856" Type="http://schemas.openxmlformats.org/officeDocument/2006/relationships/hyperlink" Target="http://www.broadinstitute.org/gsea/msigdb/cards/GSE21546_SAP1A_KO_VS_SAP1A_KO_AND_ELK1_KO_DP_THYMOCYTES_DN.html" TargetMode="External"/><Relationship Id="rId1857" Type="http://schemas.openxmlformats.org/officeDocument/2006/relationships/hyperlink" Target="http://www.broadinstitute.org/gsea/msigdb/cards/GSE37301_COMMON_LYMPHOID_PROGENITOR_VS_PRO_BCELL_DN.html" TargetMode="External"/><Relationship Id="rId1858" Type="http://schemas.openxmlformats.org/officeDocument/2006/relationships/hyperlink" Target="http://www.broadinstitute.org/gsea/msigdb/cards/GSE36078_UNTREATED_VS_AD5_T425A_HEXON_INF_MOUSE_LUNG_DC_DN.html" TargetMode="External"/><Relationship Id="rId1859" Type="http://schemas.openxmlformats.org/officeDocument/2006/relationships/hyperlink" Target="http://www.broadinstitute.org/gsea/msigdb/cards/GSE41087_WT_VS_FOXP3_MUT_ANTI_CD3_CD28_STIM_CD4_TCELL_DN.html" TargetMode="External"/><Relationship Id="rId2150" Type="http://schemas.openxmlformats.org/officeDocument/2006/relationships/hyperlink" Target="http://www.broadinstitute.org/gsea/msigdb/cards/GSE27786_LIN_NEG_VS_NKCELL_UP.html" TargetMode="External"/><Relationship Id="rId2151" Type="http://schemas.openxmlformats.org/officeDocument/2006/relationships/hyperlink" Target="http://www.broadinstitute.org/gsea/msigdb/cards/GSE27786_CD8_TCELL_VS_NEUTROPHIL_DN.html" TargetMode="External"/><Relationship Id="rId2152" Type="http://schemas.openxmlformats.org/officeDocument/2006/relationships/hyperlink" Target="http://www.broadinstitute.org/gsea/msigdb/cards/GSE28237_FOLLICULAR_VS_LATE_GC_BCELL_DN.html" TargetMode="External"/><Relationship Id="rId2153" Type="http://schemas.openxmlformats.org/officeDocument/2006/relationships/hyperlink" Target="http://www.broadinstitute.org/gsea/msigdb/cards/GSE2826_WT_VS_XID_BCELL_UP.html" TargetMode="External"/><Relationship Id="rId2154" Type="http://schemas.openxmlformats.org/officeDocument/2006/relationships/hyperlink" Target="http://www.broadinstitute.org/gsea/msigdb/cards/GSE3337_4H_VS_16H_IFNG_IN_CD8POS_DC_UP.html" TargetMode="External"/><Relationship Id="rId2155" Type="http://schemas.openxmlformats.org/officeDocument/2006/relationships/hyperlink" Target="http://www.broadinstitute.org/gsea/msigdb/cards/GSE360_L_DONOVANI_VS_T_GONDII_MAC_DN.html" TargetMode="External"/><Relationship Id="rId2156" Type="http://schemas.openxmlformats.org/officeDocument/2006/relationships/hyperlink" Target="http://www.broadinstitute.org/gsea/msigdb/cards/GSE36476_YOUNG_VS_OLD_DONOR_MEMORY_CD4_TCELL_UP.html" TargetMode="External"/><Relationship Id="rId2157" Type="http://schemas.openxmlformats.org/officeDocument/2006/relationships/hyperlink" Target="http://www.broadinstitute.org/gsea/msigdb/cards/GSE3982_MAC_VS_NEUTROPHIL_UP.html" TargetMode="External"/><Relationship Id="rId2158" Type="http://schemas.openxmlformats.org/officeDocument/2006/relationships/hyperlink" Target="http://www.broadinstitute.org/gsea/msigdb/cards/GSE3982_MAC_VS_CENT_MEMORY_CD4_TCELL_UP.html" TargetMode="External"/><Relationship Id="rId2159" Type="http://schemas.openxmlformats.org/officeDocument/2006/relationships/hyperlink" Target="http://www.broadinstitute.org/gsea/msigdb/cards/GSE39820_CTRL_VS_IL1B_IL6_CD4_TCELL_UP.html" TargetMode="External"/><Relationship Id="rId2540" Type="http://schemas.openxmlformats.org/officeDocument/2006/relationships/hyperlink" Target="http://www.broadinstitute.org/gsea/msigdb/cards/GSE17721_PAM3CSK4_VS_GADIQUIMOD_4H_BMDC_UP.html" TargetMode="External"/><Relationship Id="rId2541" Type="http://schemas.openxmlformats.org/officeDocument/2006/relationships/hyperlink" Target="http://www.broadinstitute.org/gsea/msigdb/cards/GSE17721_LPS_VS_CPG_1H_BMDC_UP.html" TargetMode="External"/><Relationship Id="rId2542" Type="http://schemas.openxmlformats.org/officeDocument/2006/relationships/hyperlink" Target="http://www.broadinstitute.org/gsea/msigdb/cards/GSE17721_LPS_VS_GARDIQUIMOD_0.5H_BMDC_DN.html" TargetMode="External"/><Relationship Id="rId2543" Type="http://schemas.openxmlformats.org/officeDocument/2006/relationships/hyperlink" Target="http://www.broadinstitute.org/gsea/msigdb/cards/GSE17721_LPS_VS_GARDIQUIMOD_4H_BMDC_DN.html" TargetMode="External"/><Relationship Id="rId2544" Type="http://schemas.openxmlformats.org/officeDocument/2006/relationships/hyperlink" Target="http://www.broadinstitute.org/gsea/msigdb/cards/GSE17721_0.5H_VS_4H_PAM3CSK4_BMDC_UP.html" TargetMode="External"/><Relationship Id="rId2545" Type="http://schemas.openxmlformats.org/officeDocument/2006/relationships/hyperlink" Target="http://www.broadinstitute.org/gsea/msigdb/cards/GSE17974_0H_VS_6H_IN_VITRO_ACT_CD4_TCELL_DN.html" TargetMode="External"/><Relationship Id="rId2546" Type="http://schemas.openxmlformats.org/officeDocument/2006/relationships/hyperlink" Target="http://www.broadinstitute.org/gsea/msigdb/cards/GSE19825_NAIVE_VS_IL2RAHIGH_DAY3_EFF_CD8_TCELL_DN.html" TargetMode="External"/><Relationship Id="rId2547" Type="http://schemas.openxmlformats.org/officeDocument/2006/relationships/hyperlink" Target="http://www.broadinstitute.org/gsea/msigdb/cards/GSE22886_NAIVE_BCELL_VS_BM_PLASMA_CELL_UP.html" TargetMode="External"/><Relationship Id="rId2548" Type="http://schemas.openxmlformats.org/officeDocument/2006/relationships/hyperlink" Target="http://www.broadinstitute.org/gsea/msigdb/cards/GSE24142_DN2_VS_DN3_THYMOCYTE_ADULT_UP.html" TargetMode="External"/><Relationship Id="rId2549" Type="http://schemas.openxmlformats.org/officeDocument/2006/relationships/hyperlink" Target="http://www.broadinstitute.org/gsea/msigdb/cards/GSE26928_NAIVE_VS_EFF_MEMORY_CD4_TCELL_DN.html" TargetMode="External"/><Relationship Id="rId600" Type="http://schemas.openxmlformats.org/officeDocument/2006/relationships/hyperlink" Target="http://www.broadinstitute.org/gsea/msigdb/cards/SHETH_LIVER_CANCER_VS_TXNIP_LOSS_PAM2.html" TargetMode="External"/><Relationship Id="rId601" Type="http://schemas.openxmlformats.org/officeDocument/2006/relationships/hyperlink" Target="http://www.broadinstitute.org/gsea/msigdb/cards/TURASHVILI_BREAST_DUCTAL_CARCINOMA_VS_DUCTAL_NORMAL_UP.html" TargetMode="External"/><Relationship Id="rId602" Type="http://schemas.openxmlformats.org/officeDocument/2006/relationships/hyperlink" Target="http://www.broadinstitute.org/gsea/msigdb/cards/STREICHER_LSM1_TARGETS_UP.html" TargetMode="External"/><Relationship Id="rId603" Type="http://schemas.openxmlformats.org/officeDocument/2006/relationships/hyperlink" Target="http://www.broadinstitute.org/gsea/msigdb/cards/LIANG_HEMATOPOIESIS_STEM_CELL_NUMBER_LARGE_VS_TINY_UP.html" TargetMode="External"/><Relationship Id="rId604" Type="http://schemas.openxmlformats.org/officeDocument/2006/relationships/hyperlink" Target="http://www.broadinstitute.org/gsea/msigdb/cards/DELACROIX_RAR_BOUND_ES.html" TargetMode="External"/><Relationship Id="rId605" Type="http://schemas.openxmlformats.org/officeDocument/2006/relationships/hyperlink" Target="http://www.broadinstitute.org/gsea/msigdb/cards/BOSCO_TH1_CYTOTOXIC_MODULE.html" TargetMode="External"/><Relationship Id="rId606" Type="http://schemas.openxmlformats.org/officeDocument/2006/relationships/hyperlink" Target="http://www.broadinstitute.org/gsea/msigdb/cards/CARD_MIR302A_TARGETS.html" TargetMode="External"/><Relationship Id="rId607" Type="http://schemas.openxmlformats.org/officeDocument/2006/relationships/hyperlink" Target="http://www.broadinstitute.org/gsea/msigdb/cards/BIOCARTA_ATM_PATHWAY.html" TargetMode="External"/><Relationship Id="rId608" Type="http://schemas.openxmlformats.org/officeDocument/2006/relationships/hyperlink" Target="http://www.broadinstitute.org/gsea/msigdb/cards/SESTO_RESPONSE_TO_UV_C4.html" TargetMode="External"/><Relationship Id="rId609" Type="http://schemas.openxmlformats.org/officeDocument/2006/relationships/hyperlink" Target="http://www.broadinstitute.org/gsea/msigdb/cards/MARZEC_IL2_SIGNALING_UP.html" TargetMode="External"/><Relationship Id="rId210" Type="http://schemas.openxmlformats.org/officeDocument/2006/relationships/hyperlink" Target="http://www.broadinstitute.org/gsea/msigdb/cards/LY_AGING_MIDDLE_DN.html" TargetMode="External"/><Relationship Id="rId211" Type="http://schemas.openxmlformats.org/officeDocument/2006/relationships/hyperlink" Target="http://www.broadinstitute.org/gsea/msigdb/cards/MARKEY_RB1_CHRONIC_LOF_UP.html" TargetMode="External"/><Relationship Id="rId212" Type="http://schemas.openxmlformats.org/officeDocument/2006/relationships/hyperlink" Target="http://www.broadinstitute.org/gsea/msigdb/cards/MOHANKUMAR_HOXA1_TARGETS_UP.html" TargetMode="External"/><Relationship Id="rId213" Type="http://schemas.openxmlformats.org/officeDocument/2006/relationships/hyperlink" Target="http://www.broadinstitute.org/gsea/msigdb/cards/GROSS_HYPOXIA_VIA_ELK3_UP.html" TargetMode="External"/><Relationship Id="rId214" Type="http://schemas.openxmlformats.org/officeDocument/2006/relationships/hyperlink" Target="http://www.broadinstitute.org/gsea/msigdb/cards/GARY_CD5_TARGETS_DN.html" TargetMode="External"/><Relationship Id="rId215" Type="http://schemas.openxmlformats.org/officeDocument/2006/relationships/hyperlink" Target="http://www.broadinstitute.org/gsea/msigdb/cards/REACTOME_DNA_REPAIR.html" TargetMode="External"/><Relationship Id="rId216" Type="http://schemas.openxmlformats.org/officeDocument/2006/relationships/hyperlink" Target="http://www.broadinstitute.org/gsea/msigdb/cards/CONCANNON_APOPTOSIS_BY_EPOXOMICIN_DN.html" TargetMode="External"/><Relationship Id="rId217" Type="http://schemas.openxmlformats.org/officeDocument/2006/relationships/hyperlink" Target="http://www.broadinstitute.org/gsea/msigdb/cards/SCIBETTA_KDM5B_TARGETS_DN.html" TargetMode="External"/><Relationship Id="rId218" Type="http://schemas.openxmlformats.org/officeDocument/2006/relationships/hyperlink" Target="http://www.broadinstitute.org/gsea/msigdb/cards/SUNG_METASTASIS_STROMA_DN.html" TargetMode="External"/><Relationship Id="rId219" Type="http://schemas.openxmlformats.org/officeDocument/2006/relationships/hyperlink" Target="http://www.broadinstitute.org/gsea/msigdb/cards/PEDERSEN_METASTASIS_BY_ERBB2_ISOFORM_7.html" TargetMode="External"/><Relationship Id="rId1860" Type="http://schemas.openxmlformats.org/officeDocument/2006/relationships/hyperlink" Target="http://www.broadinstitute.org/gsea/msigdb/cards/GSE44649_NAIVE_VS_ACTIVATED_CD8_TCELL_DN.html" TargetMode="External"/><Relationship Id="rId1861" Type="http://schemas.openxmlformats.org/officeDocument/2006/relationships/hyperlink" Target="http://www.broadinstitute.org/gsea/msigdb/cards/GSE37532_TREG_VS_TCONV_CD4_TCELL_FROM_VISCERAL_ADIPOSE_TISSUE_DN.html" TargetMode="External"/><Relationship Id="rId1862" Type="http://schemas.openxmlformats.org/officeDocument/2006/relationships/hyperlink" Target="http://www.broadinstitute.org/gsea/msigdb/cards/GSE19825_CD24LOW_VS_IL2RA_HIGH_DAY3_EFF_CD8_TCELL_DN.html" TargetMode="External"/><Relationship Id="rId1863" Type="http://schemas.openxmlformats.org/officeDocument/2006/relationships/hyperlink" Target="http://www.broadinstitute.org/gsea/msigdb/cards/GSE14308_TH2_VS_TH17_UP.html" TargetMode="External"/><Relationship Id="rId1470" Type="http://schemas.openxmlformats.org/officeDocument/2006/relationships/hyperlink" Target="http://www.broadinstitute.org/gsea/msigdb/cards/GO_PROTEIN_IMPORT.html" TargetMode="External"/><Relationship Id="rId1471" Type="http://schemas.openxmlformats.org/officeDocument/2006/relationships/hyperlink" Target="http://www.broadinstitute.org/gsea/msigdb/cards/GO_NEGATIVE_REGULATION_OF_CHROMATIN_MODIFICATION.html" TargetMode="External"/><Relationship Id="rId1472" Type="http://schemas.openxmlformats.org/officeDocument/2006/relationships/hyperlink" Target="http://www.broadinstitute.org/gsea/msigdb/cards/GO_NUCLEOSOME_BINDING.html" TargetMode="External"/><Relationship Id="rId1473" Type="http://schemas.openxmlformats.org/officeDocument/2006/relationships/hyperlink" Target="http://www.broadinstitute.org/gsea/msigdb/cards/GO_RESPONSE_TO_VITAMIN_A.html" TargetMode="External"/><Relationship Id="rId1474" Type="http://schemas.openxmlformats.org/officeDocument/2006/relationships/hyperlink" Target="http://www.broadinstitute.org/gsea/msigdb/cards/GO_GERM_CELL_NUCLEUS.html" TargetMode="External"/><Relationship Id="rId1475" Type="http://schemas.openxmlformats.org/officeDocument/2006/relationships/hyperlink" Target="http://www.broadinstitute.org/gsea/msigdb/cards/GO_NUCLEAR_TRANSPORT.html" TargetMode="External"/><Relationship Id="rId1476" Type="http://schemas.openxmlformats.org/officeDocument/2006/relationships/hyperlink" Target="http://www.broadinstitute.org/gsea/msigdb/cards/GO_CELLULAR_RESPONSE_TO_ALCOHOL.html" TargetMode="External"/><Relationship Id="rId1477" Type="http://schemas.openxmlformats.org/officeDocument/2006/relationships/hyperlink" Target="http://www.broadinstitute.org/gsea/msigdb/cards/GO_PROTEIN_HETERODIMERIZATION_ACTIVITY.html" TargetMode="External"/><Relationship Id="rId1478" Type="http://schemas.openxmlformats.org/officeDocument/2006/relationships/hyperlink" Target="http://www.broadinstitute.org/gsea/msigdb/cards/GO_RESPONSE_TO_PURINE_CONTAINING_COMPOUND.html" TargetMode="External"/><Relationship Id="rId1479" Type="http://schemas.openxmlformats.org/officeDocument/2006/relationships/hyperlink" Target="http://www.broadinstitute.org/gsea/msigdb/cards/GO_RESPONSE_TO_OXYGEN_CONTAINING_COMPOUND.html" TargetMode="External"/><Relationship Id="rId1080" Type="http://schemas.openxmlformats.org/officeDocument/2006/relationships/hyperlink" Target="http://www.broadinstitute.org/gsea/msigdb/cards/GO_CONDENSED_NUCLEAR_CHROMOSOME_CENTROMERIC_REGION.html" TargetMode="External"/><Relationship Id="rId1081" Type="http://schemas.openxmlformats.org/officeDocument/2006/relationships/hyperlink" Target="http://www.broadinstitute.org/gsea/msigdb/cards/GO_MITOTIC_SPINDLE_ASSEMBLY.html" TargetMode="External"/><Relationship Id="rId1082" Type="http://schemas.openxmlformats.org/officeDocument/2006/relationships/hyperlink" Target="http://www.broadinstitute.org/gsea/msigdb/cards/GO_SINGLE_STRANDED_DNA_BINDING.html" TargetMode="External"/><Relationship Id="rId1083" Type="http://schemas.openxmlformats.org/officeDocument/2006/relationships/hyperlink" Target="http://www.broadinstitute.org/gsea/msigdb/cards/GO_MCM_COMPLEX.html" TargetMode="External"/><Relationship Id="rId1084" Type="http://schemas.openxmlformats.org/officeDocument/2006/relationships/hyperlink" Target="http://www.broadinstitute.org/gsea/msigdb/cards/GO_PROTEIN_MODIFICATION_BY_SMALL_PROTEIN_CONJUGATION_OR_REMOVAL.html" TargetMode="External"/><Relationship Id="rId1085" Type="http://schemas.openxmlformats.org/officeDocument/2006/relationships/hyperlink" Target="http://www.broadinstitute.org/gsea/msigdb/cards/GO_ORGANELLE_LOCALIZATION.html" TargetMode="External"/><Relationship Id="rId1086" Type="http://schemas.openxmlformats.org/officeDocument/2006/relationships/hyperlink" Target="http://www.broadinstitute.org/gsea/msigdb/cards/GO_REGULATION_OF_CELL_CYCLE_G2_M_PHASE_TRANSITION.html" TargetMode="External"/><Relationship Id="rId1087" Type="http://schemas.openxmlformats.org/officeDocument/2006/relationships/hyperlink" Target="http://www.broadinstitute.org/gsea/msigdb/cards/GO_SIGNAL_TRANSDUCTION_IN_RESPONSE_TO_DNA_DAMAGE.html" TargetMode="External"/><Relationship Id="rId1088" Type="http://schemas.openxmlformats.org/officeDocument/2006/relationships/hyperlink" Target="http://www.broadinstitute.org/gsea/msigdb/cards/GO_MICROTUBULE_MOTOR_ACTIVITY.html" TargetMode="External"/><Relationship Id="rId1089" Type="http://schemas.openxmlformats.org/officeDocument/2006/relationships/hyperlink" Target="http://www.broadinstitute.org/gsea/msigdb/cards/GO_POSITIVE_REGULATION_OF_TRANSFERASE_ACTIVITY.html" TargetMode="External"/><Relationship Id="rId1864" Type="http://schemas.openxmlformats.org/officeDocument/2006/relationships/hyperlink" Target="http://www.broadinstitute.org/gsea/msigdb/cards/GSE27786_LIN_NEG_VS_CD8_TCELL_UP.html" TargetMode="External"/><Relationship Id="rId1865" Type="http://schemas.openxmlformats.org/officeDocument/2006/relationships/hyperlink" Target="http://www.broadinstitute.org/gsea/msigdb/cards/GSE3982_EOSINOPHIL_VS_TH2_DN.html" TargetMode="External"/><Relationship Id="rId1866" Type="http://schemas.openxmlformats.org/officeDocument/2006/relationships/hyperlink" Target="http://www.broadinstitute.org/gsea/msigdb/cards/GSE3982_MAC_VS_TH1_DN.html" TargetMode="External"/><Relationship Id="rId1867" Type="http://schemas.openxmlformats.org/officeDocument/2006/relationships/hyperlink" Target="http://www.broadinstitute.org/gsea/msigdb/cards/GSE2770_IL12_VS_IL4_TREATED_ACT_CD4_TCELL_48H_UP.html" TargetMode="External"/><Relationship Id="rId1868" Type="http://schemas.openxmlformats.org/officeDocument/2006/relationships/hyperlink" Target="http://www.broadinstitute.org/gsea/msigdb/cards/GSE4142_NAIVE_VS_GC_BCELL_DN.html" TargetMode="External"/><Relationship Id="rId1869" Type="http://schemas.openxmlformats.org/officeDocument/2006/relationships/hyperlink" Target="http://www.broadinstitute.org/gsea/msigdb/cards/GSE5503_LIVER_DC_VS_MLN_DC_ACTIVATED_ALLOGENIC_TCELL_UP.html" TargetMode="External"/><Relationship Id="rId2160" Type="http://schemas.openxmlformats.org/officeDocument/2006/relationships/hyperlink" Target="http://www.broadinstitute.org/gsea/msigdb/cards/GSE9006_TYPE_1_DIABETES_AT_DX_VS_1MONTH_POST_DX_PBMC_UP.html" TargetMode="External"/><Relationship Id="rId2161" Type="http://schemas.openxmlformats.org/officeDocument/2006/relationships/hyperlink" Target="http://www.broadinstitute.org/gsea/msigdb/cards/GSE9037_WT_VS_IRAK4_KO_LPS_1H_STIM_BMDM_DN.html" TargetMode="External"/><Relationship Id="rId2162" Type="http://schemas.openxmlformats.org/officeDocument/2006/relationships/hyperlink" Target="http://www.broadinstitute.org/gsea/msigdb/cards/GSE411_UNSTIM_VS_400MIN_IL6_STIM_MACROPHAGE_DN.html" TargetMode="External"/><Relationship Id="rId2163" Type="http://schemas.openxmlformats.org/officeDocument/2006/relationships/hyperlink" Target="http://www.broadinstitute.org/gsea/msigdb/cards/GSE2770_UNTREATED_VS_IL4_TREATED_ACT_CD4_TCELL_6H_DN.html" TargetMode="External"/><Relationship Id="rId2164" Type="http://schemas.openxmlformats.org/officeDocument/2006/relationships/hyperlink" Target="http://www.broadinstitute.org/gsea/msigdb/cards/GSE8835_CD4_VS_CD8_TCELL_UP.html" TargetMode="External"/><Relationship Id="rId2165" Type="http://schemas.openxmlformats.org/officeDocument/2006/relationships/hyperlink" Target="http://www.broadinstitute.org/gsea/msigdb/cards/GSE8835_HEALTHY_VS_CLL_CD8_TCELL_UP.html" TargetMode="External"/><Relationship Id="rId2166" Type="http://schemas.openxmlformats.org/officeDocument/2006/relationships/hyperlink" Target="http://www.broadinstitute.org/gsea/msigdb/cards/GSE2585_CTEC_VS_THYMIC_MACROPHAGE_DN.html" TargetMode="External"/><Relationship Id="rId2167" Type="http://schemas.openxmlformats.org/officeDocument/2006/relationships/hyperlink" Target="http://www.broadinstitute.org/gsea/msigdb/cards/GSE3691_IFN_PRODUCING_KILLER_DC_VS_PLASMACYTOID_DC_SPLEEN_DN.html" TargetMode="External"/><Relationship Id="rId2168" Type="http://schemas.openxmlformats.org/officeDocument/2006/relationships/hyperlink" Target="http://www.broadinstitute.org/gsea/msigdb/cards/GSE4984_GALECTIN1_VS_VEHICLE_CTRL_TREATED_DC_DN.html" TargetMode="External"/><Relationship Id="rId2169" Type="http://schemas.openxmlformats.org/officeDocument/2006/relationships/hyperlink" Target="http://www.broadinstitute.org/gsea/msigdb/cards/GSE5542_IFNG_VS_IFNA_AND_IFNG_TREATED_EPITHELIAL_CELLS_24H_UP.html" TargetMode="External"/><Relationship Id="rId2550" Type="http://schemas.openxmlformats.org/officeDocument/2006/relationships/hyperlink" Target="http://www.broadinstitute.org/gsea/msigdb/cards/GSE27786_LSK_VS_ERYTHROBLAST_DN.html" TargetMode="External"/><Relationship Id="rId2551" Type="http://schemas.openxmlformats.org/officeDocument/2006/relationships/hyperlink" Target="http://www.broadinstitute.org/gsea/msigdb/cards/GSE27786_LSK_VS_NEUTROPHIL_UP.html" TargetMode="External"/><Relationship Id="rId2552" Type="http://schemas.openxmlformats.org/officeDocument/2006/relationships/hyperlink" Target="http://www.broadinstitute.org/gsea/msigdb/cards/GSE27786_BCELL_VS_CD4_TCELL_UP.html" TargetMode="External"/><Relationship Id="rId2553" Type="http://schemas.openxmlformats.org/officeDocument/2006/relationships/hyperlink" Target="http://www.broadinstitute.org/gsea/msigdb/cards/GSE27786_BCELL_VS_NKCELL_UP.html" TargetMode="External"/><Relationship Id="rId2554" Type="http://schemas.openxmlformats.org/officeDocument/2006/relationships/hyperlink" Target="http://www.broadinstitute.org/gsea/msigdb/cards/GSE27786_BCELL_VS_NKTCELL_UP.html" TargetMode="External"/><Relationship Id="rId2555" Type="http://schemas.openxmlformats.org/officeDocument/2006/relationships/hyperlink" Target="http://www.broadinstitute.org/gsea/msigdb/cards/GSE27786_CD4_TCELL_VS_NKTCELL_DN.html" TargetMode="External"/><Relationship Id="rId2556" Type="http://schemas.openxmlformats.org/officeDocument/2006/relationships/hyperlink" Target="http://www.broadinstitute.org/gsea/msigdb/cards/GSE29617_CTRL_VS_DAY7_TIV_FLU_VACCINE_PBMC_2008_DN.html" TargetMode="External"/><Relationship Id="rId2557" Type="http://schemas.openxmlformats.org/officeDocument/2006/relationships/hyperlink" Target="http://www.broadinstitute.org/gsea/msigdb/cards/GSE32423_IL7_VS_IL7_IL4_MEMORY_CD8_TCELL_DN.html" TargetMode="External"/><Relationship Id="rId2558" Type="http://schemas.openxmlformats.org/officeDocument/2006/relationships/hyperlink" Target="http://www.broadinstitute.org/gsea/msigdb/cards/GSE32423_IL7_VS_IL4_MEMORY_CD8_TCELL_UP.html" TargetMode="External"/><Relationship Id="rId2559" Type="http://schemas.openxmlformats.org/officeDocument/2006/relationships/hyperlink" Target="http://www.broadinstitute.org/gsea/msigdb/cards/GSE360_L_DONOVANI_VS_B_MALAYI_LOW_DOSE_MAC_UP.html" TargetMode="External"/><Relationship Id="rId610" Type="http://schemas.openxmlformats.org/officeDocument/2006/relationships/hyperlink" Target="http://www.broadinstitute.org/gsea/msigdb/cards/KOYAMA_SEMA3B_TARGETS_DN.html" TargetMode="External"/><Relationship Id="rId611" Type="http://schemas.openxmlformats.org/officeDocument/2006/relationships/hyperlink" Target="http://www.broadinstitute.org/gsea/msigdb/cards/SCHLOSSER_MYC_TARGETS_REPRESSED_BY_SERUM.html" TargetMode="External"/><Relationship Id="rId612" Type="http://schemas.openxmlformats.org/officeDocument/2006/relationships/hyperlink" Target="http://www.broadinstitute.org/gsea/msigdb/cards/KANNAN_TP53_TARGETS_DN.html" TargetMode="External"/><Relationship Id="rId613" Type="http://schemas.openxmlformats.org/officeDocument/2006/relationships/hyperlink" Target="http://www.broadinstitute.org/gsea/msigdb/cards/PID_DELTA_NP63_PATHWAY.html" TargetMode="External"/><Relationship Id="rId614" Type="http://schemas.openxmlformats.org/officeDocument/2006/relationships/hyperlink" Target="http://www.broadinstitute.org/gsea/msigdb/cards/BOYLAN_MULTIPLE_MYELOMA_C_UP.html" TargetMode="External"/><Relationship Id="rId615" Type="http://schemas.openxmlformats.org/officeDocument/2006/relationships/hyperlink" Target="http://www.broadinstitute.org/gsea/msigdb/cards/IRITANI_MAD1_TARGETS_DN.html" TargetMode="External"/><Relationship Id="rId616" Type="http://schemas.openxmlformats.org/officeDocument/2006/relationships/hyperlink" Target="http://www.broadinstitute.org/gsea/msigdb/cards/REACTOME_MRNA_PROCESSING.html" TargetMode="External"/><Relationship Id="rId617" Type="http://schemas.openxmlformats.org/officeDocument/2006/relationships/hyperlink" Target="http://www.broadinstitute.org/gsea/msigdb/cards/LIU_SOX4_TARGETS_DN.html" TargetMode="External"/><Relationship Id="rId618" Type="http://schemas.openxmlformats.org/officeDocument/2006/relationships/hyperlink" Target="http://www.broadinstitute.org/gsea/msigdb/cards/REACTOME_CDK_MEDIATED_PHOSPHORYLATION_AND_REMOVAL_OF_CDC6.html" TargetMode="External"/><Relationship Id="rId619" Type="http://schemas.openxmlformats.org/officeDocument/2006/relationships/hyperlink" Target="http://www.broadinstitute.org/gsea/msigdb/cards/YUAN_ZNF143_PARTNERS.html" TargetMode="External"/><Relationship Id="rId220" Type="http://schemas.openxmlformats.org/officeDocument/2006/relationships/hyperlink" Target="http://www.broadinstitute.org/gsea/msigdb/cards/NAKAMURA_CANCER_MICROENVIRONMENT_DN.html" TargetMode="External"/><Relationship Id="rId221" Type="http://schemas.openxmlformats.org/officeDocument/2006/relationships/hyperlink" Target="http://www.broadinstitute.org/gsea/msigdb/cards/DANG_BOUND_BY_MYC.html" TargetMode="External"/><Relationship Id="rId222" Type="http://schemas.openxmlformats.org/officeDocument/2006/relationships/hyperlink" Target="http://www.broadinstitute.org/gsea/msigdb/cards/MORI_MATURE_B_LYMPHOCYTE_DN.html" TargetMode="External"/><Relationship Id="rId223" Type="http://schemas.openxmlformats.org/officeDocument/2006/relationships/hyperlink" Target="http://www.broadinstitute.org/gsea/msigdb/cards/SPIELMAN_LYMPHOBLAST_EUROPEAN_VS_ASIAN_UP.html" TargetMode="External"/><Relationship Id="rId224" Type="http://schemas.openxmlformats.org/officeDocument/2006/relationships/hyperlink" Target="http://www.broadinstitute.org/gsea/msigdb/cards/BIOCARTA_MCM_PATHWAY.html" TargetMode="External"/><Relationship Id="rId225" Type="http://schemas.openxmlformats.org/officeDocument/2006/relationships/hyperlink" Target="http://www.broadinstitute.org/gsea/msigdb/cards/CHIANG_LIVER_CANCER_SUBCLASS_UNANNOTATED_DN.html" TargetMode="External"/><Relationship Id="rId226" Type="http://schemas.openxmlformats.org/officeDocument/2006/relationships/hyperlink" Target="http://www.broadinstitute.org/gsea/msigdb/cards/PEART_HDAC_PROLIFERATION_CLUSTER_DN.html" TargetMode="External"/><Relationship Id="rId227" Type="http://schemas.openxmlformats.org/officeDocument/2006/relationships/hyperlink" Target="http://www.broadinstitute.org/gsea/msigdb/cards/SU_TESTIS.html" TargetMode="External"/><Relationship Id="rId228" Type="http://schemas.openxmlformats.org/officeDocument/2006/relationships/hyperlink" Target="http://www.broadinstitute.org/gsea/msigdb/cards/BENPORATH_NANOG_TARGETS.html" TargetMode="External"/><Relationship Id="rId229" Type="http://schemas.openxmlformats.org/officeDocument/2006/relationships/hyperlink" Target="http://www.broadinstitute.org/gsea/msigdb/cards/MORI_EMU_MYC_LYMPHOMA_BY_ONSET_TIME_UP.html" TargetMode="External"/><Relationship Id="rId1870" Type="http://schemas.openxmlformats.org/officeDocument/2006/relationships/hyperlink" Target="http://www.broadinstitute.org/gsea/msigdb/cards/GSE10273_HIGH_IL7_VS_HIGH_IL7_AND_IRF4_IN_IRF4_8_NULL_PRE_BCELL_DN.html" TargetMode="External"/><Relationship Id="rId1871" Type="http://schemas.openxmlformats.org/officeDocument/2006/relationships/hyperlink" Target="http://www.broadinstitute.org/gsea/msigdb/cards/GSE7219_WT_VS_NIK_NFKB2_KO_LPS_AND_ANTI_CD40_STIM_DC_UP.html" TargetMode="External"/><Relationship Id="rId1872" Type="http://schemas.openxmlformats.org/officeDocument/2006/relationships/hyperlink" Target="http://www.broadinstitute.org/gsea/msigdb/cards/GSE19923_E2A_KO_VS_E2A_AND_HEB_KO_DP_THYMOCYTE_UP.html" TargetMode="External"/><Relationship Id="rId1873" Type="http://schemas.openxmlformats.org/officeDocument/2006/relationships/hyperlink" Target="http://www.broadinstitute.org/gsea/msigdb/cards/GSE21670_TGFB_VS_TGFB_AND_IL6_TREATED_CD4_TCELL_UP.html" TargetMode="External"/><Relationship Id="rId1480" Type="http://schemas.openxmlformats.org/officeDocument/2006/relationships/hyperlink" Target="http://www.broadinstitute.org/gsea/msigdb/cards/GO_PEPTIDYL_THREONINE_MODIFICATION.html" TargetMode="External"/><Relationship Id="rId1481" Type="http://schemas.openxmlformats.org/officeDocument/2006/relationships/hyperlink" Target="http://www.broadinstitute.org/gsea/msigdb/cards/GO_DNA_MODIFICATION.html" TargetMode="External"/><Relationship Id="rId1482" Type="http://schemas.openxmlformats.org/officeDocument/2006/relationships/hyperlink" Target="http://www.broadinstitute.org/gsea/msigdb/cards/GO_DEOXYRIBOSE_PHOSPHATE_CATABOLIC_PROCESS.html" TargetMode="External"/><Relationship Id="rId1483" Type="http://schemas.openxmlformats.org/officeDocument/2006/relationships/hyperlink" Target="http://www.broadinstitute.org/gsea/msigdb/cards/GO_REGULATION_OF_MRNA_METABOLIC_PROCESS.html" TargetMode="External"/><Relationship Id="rId1484" Type="http://schemas.openxmlformats.org/officeDocument/2006/relationships/hyperlink" Target="http://www.broadinstitute.org/gsea/msigdb/cards/GO_RIBONUCLEOPROTEIN_COMPLEX_LOCALIZATION.html" TargetMode="External"/><Relationship Id="rId1485" Type="http://schemas.openxmlformats.org/officeDocument/2006/relationships/hyperlink" Target="http://www.broadinstitute.org/gsea/msigdb/cards/GO_UBIQUITIN_LIKE_PROTEIN_TRANSFERASE_ACTIVITY.html" TargetMode="External"/><Relationship Id="rId1486" Type="http://schemas.openxmlformats.org/officeDocument/2006/relationships/hyperlink" Target="http://www.broadinstitute.org/gsea/msigdb/cards/GO_PROTEIN_HOMODIMERIZATION_ACTIVITY.html" TargetMode="External"/><Relationship Id="rId1487" Type="http://schemas.openxmlformats.org/officeDocument/2006/relationships/hyperlink" Target="http://www.broadinstitute.org/gsea/msigdb/cards/GO_POSITIVE_REGULATION_OF_NUCLEOCYTOPLASMIC_TRANSPORT.html" TargetMode="External"/><Relationship Id="rId1488" Type="http://schemas.openxmlformats.org/officeDocument/2006/relationships/hyperlink" Target="http://www.broadinstitute.org/gsea/msigdb/cards/GO_RNA_SPLICING.html" TargetMode="External"/><Relationship Id="rId1489" Type="http://schemas.openxmlformats.org/officeDocument/2006/relationships/hyperlink" Target="http://www.broadinstitute.org/gsea/msigdb/cards/GO_UBIQUITIN_LIGASE_COMPLEX.html" TargetMode="External"/><Relationship Id="rId1090" Type="http://schemas.openxmlformats.org/officeDocument/2006/relationships/hyperlink" Target="http://www.broadinstitute.org/gsea/msigdb/cards/GO_PROTEIN_LOCALIZATION_TO_CHROMOSOME.html" TargetMode="External"/><Relationship Id="rId1091" Type="http://schemas.openxmlformats.org/officeDocument/2006/relationships/hyperlink" Target="http://www.broadinstitute.org/gsea/msigdb/cards/GO_PROTEIN_COMPLEX_BINDING.html" TargetMode="External"/><Relationship Id="rId1092" Type="http://schemas.openxmlformats.org/officeDocument/2006/relationships/hyperlink" Target="http://www.broadinstitute.org/gsea/msigdb/cards/GO_NEGATIVE_REGULATION_OF_NUCLEAR_DIVISION.html" TargetMode="External"/><Relationship Id="rId1093" Type="http://schemas.openxmlformats.org/officeDocument/2006/relationships/hyperlink" Target="http://www.broadinstitute.org/gsea/msigdb/cards/GO_MEIOTIC_CHROMOSOME_SEGREGATION.html" TargetMode="External"/><Relationship Id="rId1094" Type="http://schemas.openxmlformats.org/officeDocument/2006/relationships/hyperlink" Target="http://www.broadinstitute.org/gsea/msigdb/cards/GO_SIGNAL_TRANSDUCTION_BY_P53_CLASS_MEDIATOR.html" TargetMode="External"/><Relationship Id="rId1095" Type="http://schemas.openxmlformats.org/officeDocument/2006/relationships/hyperlink" Target="http://www.broadinstitute.org/gsea/msigdb/cards/GO_MITOTIC_CHROMOSOME_CONDENSATION.html" TargetMode="External"/><Relationship Id="rId1096" Type="http://schemas.openxmlformats.org/officeDocument/2006/relationships/hyperlink" Target="http://www.broadinstitute.org/gsea/msigdb/cards/GO_SPINDLE_CHECKPOINT.html" TargetMode="External"/><Relationship Id="rId1097" Type="http://schemas.openxmlformats.org/officeDocument/2006/relationships/hyperlink" Target="http://www.broadinstitute.org/gsea/msigdb/cards/GO_CYTOSKELETON_DEPENDENT_CYTOKINESIS.html" TargetMode="External"/><Relationship Id="rId1098" Type="http://schemas.openxmlformats.org/officeDocument/2006/relationships/hyperlink" Target="http://www.broadinstitute.org/gsea/msigdb/cards/GO_REGULATION_OF_PROTEIN_MODIFICATION_PROCESS.html" TargetMode="External"/><Relationship Id="rId1099" Type="http://schemas.openxmlformats.org/officeDocument/2006/relationships/hyperlink" Target="http://www.broadinstitute.org/gsea/msigdb/cards/GO_STRUCTURE_SPECIFIC_DNA_BINDING.html" TargetMode="External"/><Relationship Id="rId1874" Type="http://schemas.openxmlformats.org/officeDocument/2006/relationships/hyperlink" Target="http://www.broadinstitute.org/gsea/msigdb/cards/GSE22432_MULTIPOTENT_PROGENITOR_VS_CDC_DN.html" TargetMode="External"/><Relationship Id="rId1875" Type="http://schemas.openxmlformats.org/officeDocument/2006/relationships/hyperlink" Target="http://www.broadinstitute.org/gsea/msigdb/cards/GSE25088_WT_VS_STAT6_KO_MACROPHAGE_ROSIGLITAZONE_AND_IL4_STIM_UP.html" TargetMode="External"/><Relationship Id="rId1876" Type="http://schemas.openxmlformats.org/officeDocument/2006/relationships/hyperlink" Target="http://www.broadinstitute.org/gsea/msigdb/cards/GSE24726_WT_VS_E2_2_KO_PDC_UP.html" TargetMode="External"/><Relationship Id="rId1877" Type="http://schemas.openxmlformats.org/officeDocument/2006/relationships/hyperlink" Target="http://www.broadinstitute.org/gsea/msigdb/cards/GSE25085_FETAL_LIVER_VS_FETAL_BM_SP4_THYMIC_IMPLANT_UP.html" TargetMode="External"/><Relationship Id="rId1878" Type="http://schemas.openxmlformats.org/officeDocument/2006/relationships/hyperlink" Target="http://www.broadinstitute.org/gsea/msigdb/cards/GSE29164_UNTREATED_VS_CD8_TCELL_AND_IL12_TREATED_MELANOMA_DAY3_DN.html" TargetMode="External"/><Relationship Id="rId1879" Type="http://schemas.openxmlformats.org/officeDocument/2006/relationships/hyperlink" Target="http://www.broadinstitute.org/gsea/msigdb/cards/GSE40068_CXCR5NEG_BCL6NEG_CD4_TCELL_VS_CXCR5POS_BCL6NEG_TFH_UP.html" TargetMode="External"/><Relationship Id="rId2170" Type="http://schemas.openxmlformats.org/officeDocument/2006/relationships/hyperlink" Target="http://www.broadinstitute.org/gsea/msigdb/cards/GSE6090_UNSTIM_VS_DC_SIGN_STIM_DC_UP.html" TargetMode="External"/><Relationship Id="rId2171" Type="http://schemas.openxmlformats.org/officeDocument/2006/relationships/hyperlink" Target="http://www.broadinstitute.org/gsea/msigdb/cards/GSE8621_UNSTIM_VS_LPS_PRIMED_UNSTIM_MACROPHAGE_DN.html" TargetMode="External"/><Relationship Id="rId2172" Type="http://schemas.openxmlformats.org/officeDocument/2006/relationships/hyperlink" Target="http://www.broadinstitute.org/gsea/msigdb/cards/GSE8685_IL2_STARVED_VS_IL21_ACT_IL2_STARVED_CD4_TCELL_UP.html" TargetMode="External"/><Relationship Id="rId2173" Type="http://schemas.openxmlformats.org/officeDocument/2006/relationships/hyperlink" Target="http://www.broadinstitute.org/gsea/msigdb/cards/GSE15330_LYMPHOID_MULTIPOTENT_VS_GRANULOCYTE_MONOCYTE_PROGENITOR_UP.html" TargetMode="External"/><Relationship Id="rId2174" Type="http://schemas.openxmlformats.org/officeDocument/2006/relationships/hyperlink" Target="http://www.broadinstitute.org/gsea/msigdb/cards/GSE15330_GRANULOCYTE_MONOCYTE_PROGENITOR_VS_PRO_BCELL_UP.html" TargetMode="External"/><Relationship Id="rId2175" Type="http://schemas.openxmlformats.org/officeDocument/2006/relationships/hyperlink" Target="http://www.broadinstitute.org/gsea/msigdb/cards/GSE15330_LYMPHOID_MULTIPOTENT_VS_GRANULOCYTE_MONOCYTE_PROGENITOR_IKAROS_KO_UP.html" TargetMode="External"/><Relationship Id="rId2176" Type="http://schemas.openxmlformats.org/officeDocument/2006/relationships/hyperlink" Target="http://www.broadinstitute.org/gsea/msigdb/cards/GSE15330_MEGAKARYOCYTE_ERYTHROID_PROGENITOR_VS_PRO_BCELL_UP.html" TargetMode="External"/><Relationship Id="rId2177" Type="http://schemas.openxmlformats.org/officeDocument/2006/relationships/hyperlink" Target="http://www.broadinstitute.org/gsea/msigdb/cards/GSE14908_RESTING_VS_HDM_STIM_CD4_TCELL_ATOPIC_PATIENT_UP.html" TargetMode="External"/><Relationship Id="rId2178" Type="http://schemas.openxmlformats.org/officeDocument/2006/relationships/hyperlink" Target="http://www.broadinstitute.org/gsea/msigdb/cards/GSE22229_RENAL_TRANSPLANT_IMMUNOSUPP_THERAPY_VS_HEALTHY_PBMC_UP.html" TargetMode="External"/><Relationship Id="rId2179" Type="http://schemas.openxmlformats.org/officeDocument/2006/relationships/hyperlink" Target="http://www.broadinstitute.org/gsea/msigdb/cards/GSE21360_NAIVE_VS_TERTIARY_MEMORY_CD8_TCELL_UP.html" TargetMode="External"/><Relationship Id="rId2560" Type="http://schemas.openxmlformats.org/officeDocument/2006/relationships/hyperlink" Target="http://www.broadinstitute.org/gsea/msigdb/cards/GSE36392_TYPE_2_MYELOID_VS_EOSINOPHIL_IL25_TREATED_LUNG_UP.html" TargetMode="External"/><Relationship Id="rId2561" Type="http://schemas.openxmlformats.org/officeDocument/2006/relationships/hyperlink" Target="http://www.broadinstitute.org/gsea/msigdb/cards/GSE36392_TYPE_2_MYELOID_VS_NEUTROPHIL_IL25_TREATED_LUNG_DN.html" TargetMode="External"/><Relationship Id="rId2562" Type="http://schemas.openxmlformats.org/officeDocument/2006/relationships/hyperlink" Target="http://www.broadinstitute.org/gsea/msigdb/cards/GSE36476_CTRL_VS_TSST_ACT_16H_MEMORY_CD4_TCELL_YOUNG_DN.html" TargetMode="External"/><Relationship Id="rId2563" Type="http://schemas.openxmlformats.org/officeDocument/2006/relationships/hyperlink" Target="http://www.broadinstitute.org/gsea/msigdb/cards/GSE36476_CTRL_VS_TSST_ACT_16H_MEMORY_CD4_TCELL_OLD_DN.html" TargetMode="External"/><Relationship Id="rId2564" Type="http://schemas.openxmlformats.org/officeDocument/2006/relationships/hyperlink" Target="http://www.broadinstitute.org/gsea/msigdb/cards/GSE3982_CTRL_VS_LPS_48H_DC_UP.html" TargetMode="External"/><Relationship Id="rId2565" Type="http://schemas.openxmlformats.org/officeDocument/2006/relationships/hyperlink" Target="http://www.broadinstitute.org/gsea/msigdb/cards/GSE3982_EOSINOPHIL_VS_CENT_MEMORY_CD4_TCELL_DN.html" TargetMode="External"/><Relationship Id="rId2566" Type="http://schemas.openxmlformats.org/officeDocument/2006/relationships/hyperlink" Target="http://www.broadinstitute.org/gsea/msigdb/cards/GSE3982_NEUTROPHIL_VS_BCELL_DN.html" TargetMode="External"/><Relationship Id="rId2567" Type="http://schemas.openxmlformats.org/officeDocument/2006/relationships/hyperlink" Target="http://www.broadinstitute.org/gsea/msigdb/cards/GSE3982_NEUTROPHIL_VS_NKCELL_DN.html" TargetMode="External"/><Relationship Id="rId2568" Type="http://schemas.openxmlformats.org/officeDocument/2006/relationships/hyperlink" Target="http://www.broadinstitute.org/gsea/msigdb/cards/GSE39820_TGFBETA3_IL6_VS_TGFBETA3_IL6_IL23A_TREATED_CD4_TCELL_DN.html" TargetMode="External"/><Relationship Id="rId2569" Type="http://schemas.openxmlformats.org/officeDocument/2006/relationships/hyperlink" Target="http://www.broadinstitute.org/gsea/msigdb/cards/GSE7460_FOXP3_MUT_VS_WT_ACT_WITH_TGFB_TCONV_UP.html" TargetMode="External"/><Relationship Id="rId620" Type="http://schemas.openxmlformats.org/officeDocument/2006/relationships/hyperlink" Target="http://www.broadinstitute.org/gsea/msigdb/cards/BOQUEST_STEM_CELL_CULTURED_VS_FRESH_UP.html" TargetMode="External"/><Relationship Id="rId621" Type="http://schemas.openxmlformats.org/officeDocument/2006/relationships/hyperlink" Target="http://www.broadinstitute.org/gsea/msigdb/cards/LEE_CALORIE_RESTRICTION_NEOCORTEX_UP.html" TargetMode="External"/><Relationship Id="rId622" Type="http://schemas.openxmlformats.org/officeDocument/2006/relationships/hyperlink" Target="http://www.broadinstitute.org/gsea/msigdb/cards/SAKAI_CHRONIC_HEPATITIS_VS_LIVER_CANCER_UP.html" TargetMode="External"/><Relationship Id="rId623" Type="http://schemas.openxmlformats.org/officeDocument/2006/relationships/hyperlink" Target="http://www.broadinstitute.org/gsea/msigdb/cards/HOFMANN_CELL_LYMPHOMA_UP.html" TargetMode="External"/><Relationship Id="rId624" Type="http://schemas.openxmlformats.org/officeDocument/2006/relationships/hyperlink" Target="http://www.broadinstitute.org/gsea/msigdb/cards/HELLER_HDAC_TARGETS_UP.html" TargetMode="External"/><Relationship Id="rId625" Type="http://schemas.openxmlformats.org/officeDocument/2006/relationships/hyperlink" Target="http://www.broadinstitute.org/gsea/msigdb/cards/HOFFMANN_SMALL_PRE_BII_TO_IMMATURE_B_LYMPHOCYTE_DN.html" TargetMode="External"/><Relationship Id="rId626" Type="http://schemas.openxmlformats.org/officeDocument/2006/relationships/hyperlink" Target="http://www.broadinstitute.org/gsea/msigdb/cards/BRUINS_UVC_RESPONSE_EARLY_LATE.html" TargetMode="External"/><Relationship Id="rId627" Type="http://schemas.openxmlformats.org/officeDocument/2006/relationships/hyperlink" Target="http://www.broadinstitute.org/gsea/msigdb/cards/YANG_BREAST_CANCER_ESR1_BULK_DN.html" TargetMode="External"/><Relationship Id="rId628" Type="http://schemas.openxmlformats.org/officeDocument/2006/relationships/hyperlink" Target="http://www.broadinstitute.org/gsea/msigdb/cards/MARTINEZ_RB1_TARGETS_UP.html" TargetMode="External"/><Relationship Id="rId629" Type="http://schemas.openxmlformats.org/officeDocument/2006/relationships/hyperlink" Target="http://www.broadinstitute.org/gsea/msigdb/cards/REACTOME_P53_INDEPENDENT_G1_S_DNA_DAMAGE_CHECKPOINT.html" TargetMode="External"/><Relationship Id="rId230" Type="http://schemas.openxmlformats.org/officeDocument/2006/relationships/hyperlink" Target="http://www.broadinstitute.org/gsea/msigdb/cards/REACTOME_G1_S_SPECIFIC_TRANSCRIPTION.html" TargetMode="External"/><Relationship Id="rId231" Type="http://schemas.openxmlformats.org/officeDocument/2006/relationships/hyperlink" Target="http://www.broadinstitute.org/gsea/msigdb/cards/LABBE_WNT3A_TARGETS_UP.html" TargetMode="External"/><Relationship Id="rId232" Type="http://schemas.openxmlformats.org/officeDocument/2006/relationships/hyperlink" Target="http://www.broadinstitute.org/gsea/msigdb/cards/MONTERO_THYROID_CANCER_POOR_SURVIVAL_UP.html" TargetMode="External"/><Relationship Id="rId233" Type="http://schemas.openxmlformats.org/officeDocument/2006/relationships/hyperlink" Target="http://www.broadinstitute.org/gsea/msigdb/cards/CREIGHTON_ENDOCRINE_THERAPY_RESISTANCE_1.html" TargetMode="External"/><Relationship Id="rId234" Type="http://schemas.openxmlformats.org/officeDocument/2006/relationships/hyperlink" Target="http://www.broadinstitute.org/gsea/msigdb/cards/SERVITJA_LIVER_HNF1A_TARGETS_UP.html" TargetMode="External"/><Relationship Id="rId235" Type="http://schemas.openxmlformats.org/officeDocument/2006/relationships/hyperlink" Target="http://www.broadinstitute.org/gsea/msigdb/cards/YU_BAP1_TARGETS.html" TargetMode="External"/><Relationship Id="rId236" Type="http://schemas.openxmlformats.org/officeDocument/2006/relationships/hyperlink" Target="http://www.broadinstitute.org/gsea/msigdb/cards/EPPERT_PROGENITOR.html" TargetMode="External"/><Relationship Id="rId237" Type="http://schemas.openxmlformats.org/officeDocument/2006/relationships/hyperlink" Target="http://www.broadinstitute.org/gsea/msigdb/cards/LY_AGING_PREMATURE_DN.html" TargetMode="External"/><Relationship Id="rId238" Type="http://schemas.openxmlformats.org/officeDocument/2006/relationships/hyperlink" Target="http://www.broadinstitute.org/gsea/msigdb/cards/YAMAZAKI_TCEB3_TARGETS_DN.html" TargetMode="External"/><Relationship Id="rId239" Type="http://schemas.openxmlformats.org/officeDocument/2006/relationships/hyperlink" Target="http://www.broadinstitute.org/gsea/msigdb/cards/HU_GENOTOXIC_DAMAGE_4HR.html" TargetMode="External"/><Relationship Id="rId1880" Type="http://schemas.openxmlformats.org/officeDocument/2006/relationships/hyperlink" Target="http://www.broadinstitute.org/gsea/msigdb/cards/GSE41867_DAY8_EFFECTOR_VS_DAY30_EXHAUSTED_CD8_TCELL_LCMV_CLONE13_UP.html" TargetMode="External"/><Relationship Id="rId1881" Type="http://schemas.openxmlformats.org/officeDocument/2006/relationships/hyperlink" Target="http://www.broadinstitute.org/gsea/msigdb/cards/GSE14415_ACT_VS_CTRL_NATURAL_TREG_UP.html" TargetMode="External"/><Relationship Id="rId1882" Type="http://schemas.openxmlformats.org/officeDocument/2006/relationships/hyperlink" Target="http://www.broadinstitute.org/gsea/msigdb/cards/GSE12366_GC_BCELL_VS_PLASMA_CELL_UP.html" TargetMode="External"/><Relationship Id="rId1883" Type="http://schemas.openxmlformats.org/officeDocument/2006/relationships/hyperlink" Target="http://www.broadinstitute.org/gsea/msigdb/cards/GSE13411_NAIVE_BCELL_VS_PLASMA_CELL_DN.html" TargetMode="External"/><Relationship Id="rId1490" Type="http://schemas.openxmlformats.org/officeDocument/2006/relationships/hyperlink" Target="http://www.broadinstitute.org/gsea/msigdb/cards/GO_POSITIVE_REGULATION_OF_INTRACELLULAR_TRANSPORT.html" TargetMode="External"/><Relationship Id="rId1491" Type="http://schemas.openxmlformats.org/officeDocument/2006/relationships/hyperlink" Target="http://www.broadinstitute.org/gsea/msigdb/cards/GO_ORGANIC_CYCLIC_COMPOUND_CATABOLIC_PROCESS.html" TargetMode="External"/><Relationship Id="rId1492" Type="http://schemas.openxmlformats.org/officeDocument/2006/relationships/hyperlink" Target="http://www.broadinstitute.org/gsea/msigdb/cards/GO_RESPONSE_TO_GAMMA_RADIATION.html" TargetMode="External"/><Relationship Id="rId1493" Type="http://schemas.openxmlformats.org/officeDocument/2006/relationships/hyperlink" Target="http://www.broadinstitute.org/gsea/msigdb/cards/GO_GLUTAMINE_METABOLIC_PROCESS.html" TargetMode="External"/><Relationship Id="rId1494" Type="http://schemas.openxmlformats.org/officeDocument/2006/relationships/hyperlink" Target="http://www.broadinstitute.org/gsea/msigdb/cards/GO_MRNA_METABOLIC_PROCESS.html" TargetMode="External"/><Relationship Id="rId1495" Type="http://schemas.openxmlformats.org/officeDocument/2006/relationships/hyperlink" Target="http://www.broadinstitute.org/gsea/msigdb/cards/GO_PYRIMIDINE_NUCLEOSIDE_METABOLIC_PROCESS.html" TargetMode="External"/><Relationship Id="rId1496" Type="http://schemas.openxmlformats.org/officeDocument/2006/relationships/hyperlink" Target="http://www.broadinstitute.org/gsea/msigdb/cards/GO_REGULATION_OF_PROTEIN_LOCALIZATION_TO_NUCLEUS.html" TargetMode="External"/><Relationship Id="rId1497" Type="http://schemas.openxmlformats.org/officeDocument/2006/relationships/hyperlink" Target="http://www.broadinstitute.org/gsea/msigdb/cards/GO_POSITIVE_REGULATION_OF_G1_S_TRANSITION_OF_MITOTIC_CELL_CYCLE.html" TargetMode="External"/><Relationship Id="rId1498" Type="http://schemas.openxmlformats.org/officeDocument/2006/relationships/hyperlink" Target="http://www.broadinstitute.org/gsea/msigdb/cards/GO_IMMUNOGLOBULIN_PRODUCTION_INVOLVED_IN_IMMUNOGLOBULIN_MEDIATED_IMMUNE_RESPONSE.html" TargetMode="External"/><Relationship Id="rId1499" Type="http://schemas.openxmlformats.org/officeDocument/2006/relationships/hyperlink" Target="http://www.broadinstitute.org/gsea/msigdb/cards/GO_GAMMA_TUBULIN_BINDING.html" TargetMode="External"/><Relationship Id="rId1884" Type="http://schemas.openxmlformats.org/officeDocument/2006/relationships/hyperlink" Target="http://www.broadinstitute.org/gsea/msigdb/cards/GSE15930_NAIVE_VS_48H_IN_VITRO_STIM_IFNAB_CD8_TCELL_DN.html" TargetMode="External"/><Relationship Id="rId1885" Type="http://schemas.openxmlformats.org/officeDocument/2006/relationships/hyperlink" Target="http://www.broadinstitute.org/gsea/msigdb/cards/GSE17974_0.5H_VS_72H_IL4_AND_ANTI_IL12_ACT_CD4_TCELL_DN.html" TargetMode="External"/><Relationship Id="rId1886" Type="http://schemas.openxmlformats.org/officeDocument/2006/relationships/hyperlink" Target="http://www.broadinstitute.org/gsea/msigdb/cards/GSE17974_1.5H_VS_72H_IL4_AND_ANTI_IL12_ACT_CD4_TCELL_DN.html" TargetMode="External"/><Relationship Id="rId1887" Type="http://schemas.openxmlformats.org/officeDocument/2006/relationships/hyperlink" Target="http://www.broadinstitute.org/gsea/msigdb/cards/GSE24634_NAIVE_CD4_TCELL_VS_DAY5_IL4_CONV_TREG_DN.html" TargetMode="External"/><Relationship Id="rId1888" Type="http://schemas.openxmlformats.org/officeDocument/2006/relationships/hyperlink" Target="http://www.broadinstitute.org/gsea/msigdb/cards/GSE411_WT_VS_SOCS3_KO_MACROPHAGE_UP.html" TargetMode="External"/><Relationship Id="rId1889" Type="http://schemas.openxmlformats.org/officeDocument/2006/relationships/hyperlink" Target="http://www.broadinstitute.org/gsea/msigdb/cards/GSE2770_IL12_AND_TGFB_ACT_VS_ACT_CD4_TCELL_48H_DN.html" TargetMode="External"/><Relationship Id="rId2180" Type="http://schemas.openxmlformats.org/officeDocument/2006/relationships/hyperlink" Target="http://www.broadinstitute.org/gsea/msigdb/cards/GSE22527_ANTI_CD3_INVIVO_VS_UNTREATED_MOUSE_TREG_DN.html" TargetMode="External"/><Relationship Id="rId2181" Type="http://schemas.openxmlformats.org/officeDocument/2006/relationships/hyperlink" Target="http://www.broadinstitute.org/gsea/msigdb/cards/GSE23695_CD57_POS_VS_NEG_NK_CELL_UP.html" TargetMode="External"/><Relationship Id="rId2182" Type="http://schemas.openxmlformats.org/officeDocument/2006/relationships/hyperlink" Target="http://www.broadinstitute.org/gsea/msigdb/cards/GSE22589_HEALTHY_VS_SIV_INFECTED_DC_UP.html" TargetMode="External"/><Relationship Id="rId2183" Type="http://schemas.openxmlformats.org/officeDocument/2006/relationships/hyperlink" Target="http://www.broadinstitute.org/gsea/msigdb/cards/GSE25088_IL4_VS_IL4_AND_ROSIGLITAZONE_STIM_MACROPHAGE_DAY10_UP.html" TargetMode="External"/><Relationship Id="rId2184" Type="http://schemas.openxmlformats.org/officeDocument/2006/relationships/hyperlink" Target="http://www.broadinstitute.org/gsea/msigdb/cards/GSE19941_UNSTIM_VS_LPS_AND_IL10_STIM_IL10_KO_NFKBP50_KO_MACROPHAGE_DN.html" TargetMode="External"/><Relationship Id="rId10" Type="http://schemas.openxmlformats.org/officeDocument/2006/relationships/hyperlink" Target="http://www.broadinstitute.org/gsea/msigdb/cards/HALLMARK_UV_RESPONSE_UP.html" TargetMode="External"/><Relationship Id="rId11" Type="http://schemas.openxmlformats.org/officeDocument/2006/relationships/hyperlink" Target="http://www.broadinstitute.org/gsea/msigdb/cards/FISCHER_DREAM_TARGETS.html" TargetMode="External"/><Relationship Id="rId12" Type="http://schemas.openxmlformats.org/officeDocument/2006/relationships/hyperlink" Target="http://www.broadinstitute.org/gsea/msigdb/cards/GOBERT_OLIGODENDROCYTE_DIFFERENTIATION_UP.html" TargetMode="External"/><Relationship Id="rId13" Type="http://schemas.openxmlformats.org/officeDocument/2006/relationships/hyperlink" Target="http://www.broadinstitute.org/gsea/msigdb/cards/DUTERTRE_ESTRADIOL_RESPONSE_24HR_UP.html" TargetMode="External"/><Relationship Id="rId14" Type="http://schemas.openxmlformats.org/officeDocument/2006/relationships/hyperlink" Target="http://www.broadinstitute.org/gsea/msigdb/cards/KINSEY_TARGETS_OF_EWSR1_FLII_FUSION_UP.html" TargetMode="External"/><Relationship Id="rId15" Type="http://schemas.openxmlformats.org/officeDocument/2006/relationships/hyperlink" Target="http://www.broadinstitute.org/gsea/msigdb/cards/DODD_NASOPHARYNGEAL_CARCINOMA_DN.html" TargetMode="External"/><Relationship Id="rId16" Type="http://schemas.openxmlformats.org/officeDocument/2006/relationships/hyperlink" Target="http://www.broadinstitute.org/gsea/msigdb/cards/MARSON_BOUND_BY_E2F4_UNSTIMULATED.html" TargetMode="External"/><Relationship Id="rId17" Type="http://schemas.openxmlformats.org/officeDocument/2006/relationships/hyperlink" Target="http://www.broadinstitute.org/gsea/msigdb/cards/KOBAYASHI_EGFR_SIGNALING_24HR_DN.html" TargetMode="External"/><Relationship Id="rId18" Type="http://schemas.openxmlformats.org/officeDocument/2006/relationships/hyperlink" Target="http://www.broadinstitute.org/gsea/msigdb/cards/SHEDDEN_LUNG_CANCER_POOR_SURVIVAL_A6.html" TargetMode="External"/><Relationship Id="rId19" Type="http://schemas.openxmlformats.org/officeDocument/2006/relationships/hyperlink" Target="http://www.broadinstitute.org/gsea/msigdb/cards/NUYTTEN_EZH2_TARGETS_DN.html" TargetMode="External"/><Relationship Id="rId2185" Type="http://schemas.openxmlformats.org/officeDocument/2006/relationships/hyperlink" Target="http://www.broadinstitute.org/gsea/msigdb/cards/GSE26912_TUMORICIDAL_VS_CTRL_MACROPHAGE_DN.html" TargetMode="External"/><Relationship Id="rId2186" Type="http://schemas.openxmlformats.org/officeDocument/2006/relationships/hyperlink" Target="http://www.broadinstitute.org/gsea/msigdb/cards/GSE40274_FOXP3_VS_FOXP3_AND_SATB1_TRANSDUCED_ACTIVATED_CD4_TCELL_UP.html" TargetMode="External"/><Relationship Id="rId2187" Type="http://schemas.openxmlformats.org/officeDocument/2006/relationships/hyperlink" Target="http://www.broadinstitute.org/gsea/msigdb/cards/GSE11961_MARGINAL_ZONE_BCELL_VS_GERMINAL_CENTER_BCELL_DAY7_DN.html" TargetMode="External"/><Relationship Id="rId2188" Type="http://schemas.openxmlformats.org/officeDocument/2006/relationships/hyperlink" Target="http://www.broadinstitute.org/gsea/msigdb/cards/GSE40655_FOXO1_KO_VS_WT_NTREG_DN.html" TargetMode="External"/><Relationship Id="rId2189" Type="http://schemas.openxmlformats.org/officeDocument/2006/relationships/hyperlink" Target="http://www.broadinstitute.org/gsea/msigdb/cards/GSE41867_LCMV_ARMSTRONG_VS_CLONE13_DAY6_EFFECTOR_CD8_TCELL_DN.html" TargetMode="External"/><Relationship Id="rId2570" Type="http://schemas.openxmlformats.org/officeDocument/2006/relationships/hyperlink" Target="http://www.broadinstitute.org/gsea/msigdb/cards/GSE9988_ANTI_TREM1_VS_LPS_MONOCYTE_DN.html" TargetMode="External"/><Relationship Id="rId2571" Type="http://schemas.openxmlformats.org/officeDocument/2006/relationships/hyperlink" Target="http://www.broadinstitute.org/gsea/msigdb/cards/GSE9988_ANTI_TREM1_VS_LOW_LPS_MONOCYTE_DN.html" TargetMode="External"/><Relationship Id="rId2572" Type="http://schemas.openxmlformats.org/officeDocument/2006/relationships/hyperlink" Target="http://www.broadinstitute.org/gsea/msigdb/cards/GSE9988_LPS_VS_LOW_LPS_MONOCYTE_UP.html" TargetMode="External"/><Relationship Id="rId2573" Type="http://schemas.openxmlformats.org/officeDocument/2006/relationships/hyperlink" Target="http://www.broadinstitute.org/gsea/msigdb/cards/GSE369_SOCS3_KO_VS_WT_LIVER_DN.html" TargetMode="External"/><Relationship Id="rId2574" Type="http://schemas.openxmlformats.org/officeDocument/2006/relationships/hyperlink" Target="http://www.broadinstitute.org/gsea/msigdb/cards/GSE2770_IL12_VS_TGFB_AND_IL12_TREATED_ACT_CD4_TCELL_48H_DN.html" TargetMode="External"/><Relationship Id="rId2575" Type="http://schemas.openxmlformats.org/officeDocument/2006/relationships/hyperlink" Target="http://www.broadinstitute.org/gsea/msigdb/cards/GSE2770_UNTREATED_VS_IL12_TREATED_ACT_CD4_TCELL_48H_DN.html" TargetMode="External"/><Relationship Id="rId2576" Type="http://schemas.openxmlformats.org/officeDocument/2006/relationships/hyperlink" Target="http://www.broadinstitute.org/gsea/msigdb/cards/GSE1740_UNSTIM_VS_IFNA_STIMULATED_MCSF_IFNG_DERIVED_MACROPHAGE_UP.html" TargetMode="External"/><Relationship Id="rId2577" Type="http://schemas.openxmlformats.org/officeDocument/2006/relationships/hyperlink" Target="http://www.broadinstitute.org/gsea/msigdb/cards/GSE22601_DOUBLE_NEGATIVE_VS_CD4_SINGLE_POSITIVE_THYMOCYTE_UP.html" TargetMode="External"/><Relationship Id="rId2578" Type="http://schemas.openxmlformats.org/officeDocument/2006/relationships/hyperlink" Target="http://www.broadinstitute.org/gsea/msigdb/cards/GSE2585_CTEC_VS_THYMIC_DC_DN.html" TargetMode="External"/><Relationship Id="rId2579" Type="http://schemas.openxmlformats.org/officeDocument/2006/relationships/hyperlink" Target="http://www.broadinstitute.org/gsea/msigdb/cards/GSE2585_THYMIC_DC_VS_THYMIC_MACROPHAGE_DN.html" TargetMode="External"/><Relationship Id="rId630" Type="http://schemas.openxmlformats.org/officeDocument/2006/relationships/hyperlink" Target="http://www.broadinstitute.org/gsea/msigdb/cards/REACTOME_SCF_BETA_TRCP_MEDIATED_DEGRADATION_OF_EMI1.html" TargetMode="External"/><Relationship Id="rId631" Type="http://schemas.openxmlformats.org/officeDocument/2006/relationships/hyperlink" Target="http://www.broadinstitute.org/gsea/msigdb/cards/DAIRKEE_CANCER_PRONE_RESPONSE_BPA.html" TargetMode="External"/><Relationship Id="rId632" Type="http://schemas.openxmlformats.org/officeDocument/2006/relationships/hyperlink" Target="http://www.broadinstitute.org/gsea/msigdb/cards/CHAUHAN_RESPONSE_TO_METHOXYESTRADIOL_UP.html" TargetMode="External"/><Relationship Id="rId633" Type="http://schemas.openxmlformats.org/officeDocument/2006/relationships/hyperlink" Target="http://www.broadinstitute.org/gsea/msigdb/cards/WANG_CLIM2_TARGETS_UP.html" TargetMode="External"/><Relationship Id="rId634" Type="http://schemas.openxmlformats.org/officeDocument/2006/relationships/hyperlink" Target="http://www.broadinstitute.org/gsea/msigdb/cards/REACTOME_PYRIMIDINE_METABOLISM.html" TargetMode="External"/><Relationship Id="rId635" Type="http://schemas.openxmlformats.org/officeDocument/2006/relationships/hyperlink" Target="http://www.broadinstitute.org/gsea/msigdb/cards/YIH_RESPONSE_TO_ARSENITE_C1.html" TargetMode="External"/><Relationship Id="rId636" Type="http://schemas.openxmlformats.org/officeDocument/2006/relationships/hyperlink" Target="http://www.broadinstitute.org/gsea/msigdb/cards/RADAEVA_RESPONSE_TO_IFNA1_UP.html" TargetMode="External"/><Relationship Id="rId637" Type="http://schemas.openxmlformats.org/officeDocument/2006/relationships/hyperlink" Target="http://www.broadinstitute.org/gsea/msigdb/cards/VANOEVELEN_MYOGENESIS_SIN3A_TARGETS.html" TargetMode="External"/><Relationship Id="rId638" Type="http://schemas.openxmlformats.org/officeDocument/2006/relationships/hyperlink" Target="http://www.broadinstitute.org/gsea/msigdb/cards/CHANDRAN_METASTASIS_UP.html" TargetMode="External"/><Relationship Id="rId639" Type="http://schemas.openxmlformats.org/officeDocument/2006/relationships/hyperlink" Target="http://www.broadinstitute.org/gsea/msigdb/cards/BUSA_SAM68_TARGETS_DN.html" TargetMode="External"/><Relationship Id="rId240" Type="http://schemas.openxmlformats.org/officeDocument/2006/relationships/hyperlink" Target="http://www.broadinstitute.org/gsea/msigdb/cards/ANDERSEN_CHOLANGIOCARCINOMA_CLASS2.html" TargetMode="External"/><Relationship Id="rId241" Type="http://schemas.openxmlformats.org/officeDocument/2006/relationships/hyperlink" Target="http://www.broadinstitute.org/gsea/msigdb/cards/REACTOME_G0_AND_EARLY_G1.html" TargetMode="External"/><Relationship Id="rId242" Type="http://schemas.openxmlformats.org/officeDocument/2006/relationships/hyperlink" Target="http://www.broadinstitute.org/gsea/msigdb/cards/GRAESSMANN_RESPONSE_TO_MC_AND_DOXORUBICIN_DN.html" TargetMode="External"/><Relationship Id="rId243" Type="http://schemas.openxmlformats.org/officeDocument/2006/relationships/hyperlink" Target="http://www.broadinstitute.org/gsea/msigdb/cards/KEGG_OOCYTE_MEIOSIS.html" TargetMode="External"/><Relationship Id="rId244" Type="http://schemas.openxmlformats.org/officeDocument/2006/relationships/hyperlink" Target="http://www.broadinstitute.org/gsea/msigdb/cards/OLSSON_E2F3_TARGETS_DN.html" TargetMode="External"/><Relationship Id="rId245" Type="http://schemas.openxmlformats.org/officeDocument/2006/relationships/hyperlink" Target="http://www.broadinstitute.org/gsea/msigdb/cards/SMID_BREAST_CANCER_LUMINAL_A_DN.html" TargetMode="External"/><Relationship Id="rId246" Type="http://schemas.openxmlformats.org/officeDocument/2006/relationships/hyperlink" Target="http://www.broadinstitute.org/gsea/msigdb/cards/REACTOME_EXTENSION_OF_TELOMERES.html" TargetMode="External"/><Relationship Id="rId247" Type="http://schemas.openxmlformats.org/officeDocument/2006/relationships/hyperlink" Target="http://www.broadinstitute.org/gsea/msigdb/cards/REACTOME_UNWINDING_OF_DNA.html" TargetMode="External"/><Relationship Id="rId248" Type="http://schemas.openxmlformats.org/officeDocument/2006/relationships/hyperlink" Target="http://www.broadinstitute.org/gsea/msigdb/cards/REACTOME_ASSEMBLY_OF_THE_PRE_REPLICATIVE_COMPLEX.html" TargetMode="External"/><Relationship Id="rId249" Type="http://schemas.openxmlformats.org/officeDocument/2006/relationships/hyperlink" Target="http://www.broadinstitute.org/gsea/msigdb/cards/PETROVA_PROX1_TARGETS_UP.html" TargetMode="External"/><Relationship Id="rId1890" Type="http://schemas.openxmlformats.org/officeDocument/2006/relationships/hyperlink" Target="http://www.broadinstitute.org/gsea/msigdb/cards/GSE2770_UNTREATED_VS_TGFB_AND_IL12_TREATED_ACT_CD4_TCELL_2H_DN.html" TargetMode="External"/><Relationship Id="rId1891" Type="http://schemas.openxmlformats.org/officeDocument/2006/relationships/hyperlink" Target="http://www.broadinstitute.org/gsea/msigdb/cards/GSE1925_3H_VS_24H_IFNG_STIM_IFNG_PRIMED_MACROPHAGE_DN.html" TargetMode="External"/><Relationship Id="rId1892" Type="http://schemas.openxmlformats.org/officeDocument/2006/relationships/hyperlink" Target="http://www.broadinstitute.org/gsea/msigdb/cards/GSE5589_UNSTIM_VS_180MIN_LPS_STIM_MACROPHAGE_DN.html" TargetMode="External"/><Relationship Id="rId1893" Type="http://schemas.openxmlformats.org/officeDocument/2006/relationships/hyperlink" Target="http://www.broadinstitute.org/gsea/msigdb/cards/GSE6674_CPG_VS_CPG_AND_ANTI_IGM_STIM_BCELL_UP.html" TargetMode="External"/><Relationship Id="rId1894" Type="http://schemas.openxmlformats.org/officeDocument/2006/relationships/hyperlink" Target="http://www.broadinstitute.org/gsea/msigdb/cards/GSE17186_BLOOD_VS_CORD_BLOOD_CD21HIGH_TRANSITIONAL_BCELL_UP.html" TargetMode="External"/><Relationship Id="rId1895" Type="http://schemas.openxmlformats.org/officeDocument/2006/relationships/hyperlink" Target="http://www.broadinstitute.org/gsea/msigdb/cards/GSE21670_TGFB_VS_TGFB_AND_IL6_TREATED_STAT3_KO_CD4_TCELL_DN.html" TargetMode="External"/><Relationship Id="rId1896" Type="http://schemas.openxmlformats.org/officeDocument/2006/relationships/hyperlink" Target="http://www.broadinstitute.org/gsea/msigdb/cards/GSE21927_SPLEEN_C57BL6_VS_EL4_TUMOR_BALBC_MONOCYTES_DN.html" TargetMode="External"/><Relationship Id="rId1897" Type="http://schemas.openxmlformats.org/officeDocument/2006/relationships/hyperlink" Target="http://www.broadinstitute.org/gsea/msigdb/cards/GSE22935_UNSTIM_VS_12H_MBOVIS_BCG_STIM_MYD88_KO_MACROPHAGE_DN.html" TargetMode="External"/><Relationship Id="rId1898" Type="http://schemas.openxmlformats.org/officeDocument/2006/relationships/hyperlink" Target="http://www.broadinstitute.org/gsea/msigdb/cards/GSE25123_ROSIGLITAZONE_VS_IL4_AND_ROSIGLITAZONE_STIM_PPARG_KO_MACROPHAGE_DAY10_UP.html" TargetMode="External"/><Relationship Id="rId1899" Type="http://schemas.openxmlformats.org/officeDocument/2006/relationships/hyperlink" Target="http://www.broadinstitute.org/gsea/msigdb/cards/GSE24726_WT_VS_E2_2_KO_PDC_DAY6_POST_DELETION_UP.html" TargetMode="External"/><Relationship Id="rId2580" Type="http://schemas.openxmlformats.org/officeDocument/2006/relationships/hyperlink" Target="http://www.broadinstitute.org/gsea/msigdb/cards/GSE4142_PLASMA_CELL_VS_MEMORY_BCELL_DN.html" TargetMode="External"/><Relationship Id="rId2581" Type="http://schemas.openxmlformats.org/officeDocument/2006/relationships/hyperlink" Target="http://www.broadinstitute.org/gsea/msigdb/cards/GSE8921_UNSTIM_VS_TLR1_2_STIM_MONOCYTE_12H_DN.html" TargetMode="External"/><Relationship Id="rId2582" Type="http://schemas.openxmlformats.org/officeDocument/2006/relationships/hyperlink" Target="http://www.broadinstitute.org/gsea/msigdb/cards/GSE4748_CTRL_VS_CYANOBACTERIUM_LPSLIKE_STIM_DC_3H_DN.html" TargetMode="External"/><Relationship Id="rId2583" Type="http://schemas.openxmlformats.org/officeDocument/2006/relationships/hyperlink" Target="http://www.broadinstitute.org/gsea/msigdb/cards/GSE5142_CTRL_VS_HTERT_TRANSDUCED_CD8_TCELL_EARLY_PASSAGE_CLONE_UP.html" TargetMode="External"/><Relationship Id="rId2190" Type="http://schemas.openxmlformats.org/officeDocument/2006/relationships/hyperlink" Target="http://www.broadinstitute.org/gsea/msigdb/cards/GSE46606_IRF4MID_VS_WT_CD40L_IL2_IL5_DAY1_STIMULATED_BCELL_UP.html" TargetMode="External"/><Relationship Id="rId2191" Type="http://schemas.openxmlformats.org/officeDocument/2006/relationships/hyperlink" Target="http://www.broadinstitute.org/gsea/msigdb/cards/GSE46606_IRF4_KO_VS_WT_UNSTIM_BCELL_UP.html" TargetMode="External"/><Relationship Id="rId2192" Type="http://schemas.openxmlformats.org/officeDocument/2006/relationships/hyperlink" Target="http://www.broadinstitute.org/gsea/msigdb/cards/GSE46606_UNSTIM_VS_CD40L_IL2_IL5_DAY1_STIMULATED_BCELL_DN.html" TargetMode="External"/><Relationship Id="rId2193" Type="http://schemas.openxmlformats.org/officeDocument/2006/relationships/hyperlink" Target="http://www.broadinstitute.org/gsea/msigdb/cards/GSE45365_WT_VS_IFNAR_KO_BCELL_UP.html" TargetMode="External"/><Relationship Id="rId2194" Type="http://schemas.openxmlformats.org/officeDocument/2006/relationships/hyperlink" Target="http://www.broadinstitute.org/gsea/msigdb/cards/GSE45365_CD8A_DC_VS_CD11B_DC_UP.html" TargetMode="External"/><Relationship Id="rId2195" Type="http://schemas.openxmlformats.org/officeDocument/2006/relationships/hyperlink" Target="http://www.broadinstitute.org/gsea/msigdb/cards/GSE6259_CD4_TCELL_VS_CD8_TCELL_UP.html" TargetMode="External"/><Relationship Id="rId2196" Type="http://schemas.openxmlformats.org/officeDocument/2006/relationships/hyperlink" Target="http://www.broadinstitute.org/gsea/msigdb/cards/GSE6674_UNSTIM_VS_PL2_3_STIM_BCELL_UP.html" TargetMode="External"/><Relationship Id="rId20" Type="http://schemas.openxmlformats.org/officeDocument/2006/relationships/hyperlink" Target="http://www.broadinstitute.org/gsea/msigdb/cards/FLORIO_NEOCORTEX_BASAL_RADIAL_GLIA_DN.html" TargetMode="External"/><Relationship Id="rId21" Type="http://schemas.openxmlformats.org/officeDocument/2006/relationships/hyperlink" Target="http://www.broadinstitute.org/gsea/msigdb/cards/ROSTY_CERVICAL_CANCER_PROLIFERATION_CLUSTER.html" TargetMode="External"/><Relationship Id="rId22" Type="http://schemas.openxmlformats.org/officeDocument/2006/relationships/hyperlink" Target="http://www.broadinstitute.org/gsea/msigdb/cards/SOTIRIOU_BREAST_CANCER_GRADE_1_VS_3_UP.html" TargetMode="External"/><Relationship Id="rId23" Type="http://schemas.openxmlformats.org/officeDocument/2006/relationships/hyperlink" Target="http://www.broadinstitute.org/gsea/msigdb/cards/BENPORATH_CYCLING_GENES.html" TargetMode="External"/><Relationship Id="rId24" Type="http://schemas.openxmlformats.org/officeDocument/2006/relationships/hyperlink" Target="http://www.broadinstitute.org/gsea/msigdb/cards/ZHANG_TLX_TARGETS_60HR_DN.html" TargetMode="External"/><Relationship Id="rId25" Type="http://schemas.openxmlformats.org/officeDocument/2006/relationships/hyperlink" Target="http://www.broadinstitute.org/gsea/msigdb/cards/PUJANA_CHEK2_PCC_NETWORK.html" TargetMode="External"/><Relationship Id="rId26" Type="http://schemas.openxmlformats.org/officeDocument/2006/relationships/hyperlink" Target="http://www.broadinstitute.org/gsea/msigdb/cards/CHANG_CYCLING_GENES.html" TargetMode="External"/><Relationship Id="rId27" Type="http://schemas.openxmlformats.org/officeDocument/2006/relationships/hyperlink" Target="http://www.broadinstitute.org/gsea/msigdb/cards/BLUM_RESPONSE_TO_SALIRASIB_DN.html" TargetMode="External"/><Relationship Id="rId28" Type="http://schemas.openxmlformats.org/officeDocument/2006/relationships/hyperlink" Target="http://www.broadinstitute.org/gsea/msigdb/cards/PUJANA_BRCA1_PCC_NETWORK.html" TargetMode="External"/><Relationship Id="rId29" Type="http://schemas.openxmlformats.org/officeDocument/2006/relationships/hyperlink" Target="http://www.broadinstitute.org/gsea/msigdb/cards/PUJANA_BRCA2_PCC_NETWORK.html" TargetMode="External"/><Relationship Id="rId2197" Type="http://schemas.openxmlformats.org/officeDocument/2006/relationships/hyperlink" Target="http://www.broadinstitute.org/gsea/msigdb/cards/GSE14386_UNTREATED_VS_IFNA_TREATED_ACT_PBMC_MS_PATIENT_DN.html" TargetMode="External"/><Relationship Id="rId2198" Type="http://schemas.openxmlformats.org/officeDocument/2006/relationships/hyperlink" Target="http://www.broadinstitute.org/gsea/msigdb/cards/GSE40274_SATB1_VS_FOXP3_AND_SATB1_TRANSDUCED_ACTIVATED_CD4_TCELL_DN.html" TargetMode="External"/><Relationship Id="rId2199" Type="http://schemas.openxmlformats.org/officeDocument/2006/relationships/hyperlink" Target="http://www.broadinstitute.org/gsea/msigdb/cards/GSE32901_TH1_VS_TH17_NEG_CD4_TCELL_DN.html" TargetMode="External"/><Relationship Id="rId2584" Type="http://schemas.openxmlformats.org/officeDocument/2006/relationships/hyperlink" Target="http://www.broadinstitute.org/gsea/msigdb/cards/GSE6259_BCELL_VS_CD8_TCELL_DN.html" TargetMode="External"/><Relationship Id="rId2585" Type="http://schemas.openxmlformats.org/officeDocument/2006/relationships/hyperlink" Target="http://www.broadinstitute.org/gsea/msigdb/cards/GSE6259_DEC205_POS_DC_VS_CD4_TCELL_UP.html" TargetMode="External"/><Relationship Id="rId2586" Type="http://schemas.openxmlformats.org/officeDocument/2006/relationships/hyperlink" Target="http://www.broadinstitute.org/gsea/msigdb/cards/GSE3203_HEALTHY_VS_INFLUENZA_INFECTED_LN_BCELL_UP.html" TargetMode="External"/><Relationship Id="rId2587" Type="http://schemas.openxmlformats.org/officeDocument/2006/relationships/hyperlink" Target="http://www.broadinstitute.org/gsea/msigdb/cards/GSE7548_DAY7_VS_DAY28_PCC_IMMUNIZATION_CD4_TCELL_UP.html" TargetMode="External"/><Relationship Id="rId2588" Type="http://schemas.openxmlformats.org/officeDocument/2006/relationships/hyperlink" Target="http://www.broadinstitute.org/gsea/msigdb/cards/GSE7831_UNSTIM_VS_CPG_STIM_PDC_1H_UP.html" TargetMode="External"/><Relationship Id="rId2589" Type="http://schemas.openxmlformats.org/officeDocument/2006/relationships/hyperlink" Target="http://www.broadinstitute.org/gsea/msigdb/cards/GSE7831_1H_VS_4H_INFLUENZA_STIM_PDC_DN.html" TargetMode="External"/><Relationship Id="rId1100" Type="http://schemas.openxmlformats.org/officeDocument/2006/relationships/hyperlink" Target="http://www.broadinstitute.org/gsea/msigdb/cards/GO_NEGATIVE_REGULATION_OF_CHROMOSOME_ORGANIZATION.html" TargetMode="External"/><Relationship Id="rId1101" Type="http://schemas.openxmlformats.org/officeDocument/2006/relationships/hyperlink" Target="http://www.broadinstitute.org/gsea/msigdb/cards/GO_REGULATION_OF_DNA_RECOMBINATION.html" TargetMode="External"/><Relationship Id="rId1102" Type="http://schemas.openxmlformats.org/officeDocument/2006/relationships/hyperlink" Target="http://www.broadinstitute.org/gsea/msigdb/cards/GO_MICROTUBULE_ORGANIZING_CENTER_PART.html" TargetMode="External"/><Relationship Id="rId1103" Type="http://schemas.openxmlformats.org/officeDocument/2006/relationships/hyperlink" Target="http://www.broadinstitute.org/gsea/msigdb/cards/GO_REPLISOME.html" TargetMode="External"/><Relationship Id="rId1104" Type="http://schemas.openxmlformats.org/officeDocument/2006/relationships/hyperlink" Target="http://www.broadinstitute.org/gsea/msigdb/cards/GO_CENTRIOLE.html" TargetMode="External"/><Relationship Id="rId1105" Type="http://schemas.openxmlformats.org/officeDocument/2006/relationships/hyperlink" Target="http://www.broadinstitute.org/gsea/msigdb/cards/GO_MITOTIC_CYTOKINESIS.html" TargetMode="External"/><Relationship Id="rId1106" Type="http://schemas.openxmlformats.org/officeDocument/2006/relationships/hyperlink" Target="http://www.broadinstitute.org/gsea/msigdb/cards/GO_PROTEASOMAL_PROTEIN_CATABOLIC_PROCESS.html" TargetMode="External"/><Relationship Id="rId1107" Type="http://schemas.openxmlformats.org/officeDocument/2006/relationships/hyperlink" Target="http://www.broadinstitute.org/gsea/msigdb/cards/GO_REGULATION_OF_CELLULAR_PROTEIN_CATABOLIC_PROCESS.html" TargetMode="External"/><Relationship Id="rId1108" Type="http://schemas.openxmlformats.org/officeDocument/2006/relationships/hyperlink" Target="http://www.broadinstitute.org/gsea/msigdb/cards/GO_REGULATION_OF_CYTOKINESIS.html" TargetMode="External"/><Relationship Id="rId1109" Type="http://schemas.openxmlformats.org/officeDocument/2006/relationships/hyperlink" Target="http://www.broadinstitute.org/gsea/msigdb/cards/GO_REGULATION_OF_LIGASE_ACTIVITY.html" TargetMode="External"/><Relationship Id="rId640" Type="http://schemas.openxmlformats.org/officeDocument/2006/relationships/hyperlink" Target="http://www.broadinstitute.org/gsea/msigdb/cards/COURTOIS_SENESCENCE_TRIGGERS.html" TargetMode="External"/><Relationship Id="rId641" Type="http://schemas.openxmlformats.org/officeDocument/2006/relationships/hyperlink" Target="http://www.broadinstitute.org/gsea/msigdb/cards/COLLER_MYC_TARGETS_UP.html" TargetMode="External"/><Relationship Id="rId642" Type="http://schemas.openxmlformats.org/officeDocument/2006/relationships/hyperlink" Target="http://www.broadinstitute.org/gsea/msigdb/cards/JACKSON_DNMT1_TARGETS_DN.html" TargetMode="External"/><Relationship Id="rId643" Type="http://schemas.openxmlformats.org/officeDocument/2006/relationships/hyperlink" Target="http://www.broadinstitute.org/gsea/msigdb/cards/LU_TUMOR_ANGIOGENESIS_UP.html" TargetMode="External"/><Relationship Id="rId644" Type="http://schemas.openxmlformats.org/officeDocument/2006/relationships/hyperlink" Target="http://www.broadinstitute.org/gsea/msigdb/cards/PID_TAP63_PATHWAY.html" TargetMode="External"/><Relationship Id="rId645" Type="http://schemas.openxmlformats.org/officeDocument/2006/relationships/hyperlink" Target="http://www.broadinstitute.org/gsea/msigdb/cards/MULLIGHAN_NPM1_MUTATED_SIGNATURE_1_UP.html" TargetMode="External"/><Relationship Id="rId646" Type="http://schemas.openxmlformats.org/officeDocument/2006/relationships/hyperlink" Target="http://www.broadinstitute.org/gsea/msigdb/cards/VERHAAK_GLIOBLASTOMA_PRONEURAL.html" TargetMode="External"/><Relationship Id="rId647" Type="http://schemas.openxmlformats.org/officeDocument/2006/relationships/hyperlink" Target="http://www.broadinstitute.org/gsea/msigdb/cards/REACTOME_HOST_INTERACTIONS_OF_HIV_FACTORS.html" TargetMode="External"/><Relationship Id="rId648" Type="http://schemas.openxmlformats.org/officeDocument/2006/relationships/hyperlink" Target="http://www.broadinstitute.org/gsea/msigdb/cards/BIOCARTA_RACCYCD_PATHWAY.html" TargetMode="External"/><Relationship Id="rId649" Type="http://schemas.openxmlformats.org/officeDocument/2006/relationships/hyperlink" Target="http://www.broadinstitute.org/gsea/msigdb/cards/LAU_APOPTOSIS_CDKN2A_UP.html" TargetMode="External"/><Relationship Id="rId250" Type="http://schemas.openxmlformats.org/officeDocument/2006/relationships/hyperlink" Target="http://www.broadinstitute.org/gsea/msigdb/cards/REACTOME_REGULATION_OF_MITOTIC_CELL_CYCLE.html" TargetMode="External"/><Relationship Id="rId251" Type="http://schemas.openxmlformats.org/officeDocument/2006/relationships/hyperlink" Target="http://www.broadinstitute.org/gsea/msigdb/cards/LIAO_METASTASIS.html" TargetMode="External"/><Relationship Id="rId252" Type="http://schemas.openxmlformats.org/officeDocument/2006/relationships/hyperlink" Target="http://www.broadinstitute.org/gsea/msigdb/cards/WANG_METASTASIS_OF_BREAST_CANCER_ESR1_UP.html" TargetMode="External"/><Relationship Id="rId253" Type="http://schemas.openxmlformats.org/officeDocument/2006/relationships/hyperlink" Target="http://www.broadinstitute.org/gsea/msigdb/cards/KOKKINAKIS_METHIONINE_DEPRIVATION_96HR_DN.html" TargetMode="External"/><Relationship Id="rId254" Type="http://schemas.openxmlformats.org/officeDocument/2006/relationships/hyperlink" Target="http://www.broadinstitute.org/gsea/msigdb/cards/NUYTTEN_NIPP1_TARGETS_DN.html" TargetMode="External"/><Relationship Id="rId255" Type="http://schemas.openxmlformats.org/officeDocument/2006/relationships/hyperlink" Target="http://www.broadinstitute.org/gsea/msigdb/cards/DACOSTA_UV_RESPONSE_VIA_ERCC3_DN.html" TargetMode="External"/><Relationship Id="rId256" Type="http://schemas.openxmlformats.org/officeDocument/2006/relationships/hyperlink" Target="http://www.broadinstitute.org/gsea/msigdb/cards/RHODES_CANCER_META_SIGNATURE.html" TargetMode="External"/><Relationship Id="rId257" Type="http://schemas.openxmlformats.org/officeDocument/2006/relationships/hyperlink" Target="http://www.broadinstitute.org/gsea/msigdb/cards/FARMER_BREAST_CANCER_BASAL_VS_LULMINAL.html" TargetMode="External"/><Relationship Id="rId258" Type="http://schemas.openxmlformats.org/officeDocument/2006/relationships/hyperlink" Target="http://www.broadinstitute.org/gsea/msigdb/cards/REACTOME_MITOTIC_G2_G2_M_PHASES.html" TargetMode="External"/><Relationship Id="rId259" Type="http://schemas.openxmlformats.org/officeDocument/2006/relationships/hyperlink" Target="http://www.broadinstitute.org/gsea/msigdb/cards/MARTINEZ_RESPONSE_TO_TRABECTEDIN_DN.html" TargetMode="External"/><Relationship Id="rId2590" Type="http://schemas.openxmlformats.org/officeDocument/2006/relationships/hyperlink" Target="http://www.broadinstitute.org/gsea/msigdb/cards/GSE8621_UNSTIM_VS_LPS_STIM_MACROPHAGE_UP.html" TargetMode="External"/><Relationship Id="rId2591" Type="http://schemas.openxmlformats.org/officeDocument/2006/relationships/hyperlink" Target="http://www.broadinstitute.org/gsea/msigdb/cards/GSE5503_LIVER_DC_VS_SPLEEN_DC_ACTIVATED_ALLOGENIC_TCELL_UP.html" TargetMode="External"/><Relationship Id="rId2592" Type="http://schemas.openxmlformats.org/officeDocument/2006/relationships/hyperlink" Target="http://www.broadinstitute.org/gsea/msigdb/cards/GSE10273_HIGH_VS_LOW_IL7_TREATED_IRF4_8_NULL_PRE_BCELL_UP.html" TargetMode="External"/><Relationship Id="rId2593" Type="http://schemas.openxmlformats.org/officeDocument/2006/relationships/hyperlink" Target="http://www.broadinstitute.org/gsea/msigdb/cards/GSE7568_CTRL_VS_3H_TGFB_TREATED_MACROPHAGES_WITH_IL4_AND_DEXAMETHASONE_UP.html" TargetMode="External"/><Relationship Id="rId2594" Type="http://schemas.openxmlformats.org/officeDocument/2006/relationships/hyperlink" Target="http://www.broadinstitute.org/gsea/msigdb/cards/GSE11973_MIR223_KOVS_WT_BONE_MARROW_NEUTROPHIL_UP.html" TargetMode="External"/><Relationship Id="rId2595" Type="http://schemas.openxmlformats.org/officeDocument/2006/relationships/hyperlink" Target="http://www.broadinstitute.org/gsea/msigdb/cards/GSE12001_MIR223_KO_VS_WT_NEUTROPHIL_DN.html" TargetMode="External"/><Relationship Id="rId2596" Type="http://schemas.openxmlformats.org/officeDocument/2006/relationships/hyperlink" Target="http://www.broadinstitute.org/gsea/msigdb/cards/GSE15330_LYMPHOID_MULTIPOTENT_VS_PRO_BCELL_DN.html" TargetMode="External"/><Relationship Id="rId2597" Type="http://schemas.openxmlformats.org/officeDocument/2006/relationships/hyperlink" Target="http://www.broadinstitute.org/gsea/msigdb/cards/GSE15330_WT_VS_IKAROS_KO_HSC_DN.html" TargetMode="External"/><Relationship Id="rId2598" Type="http://schemas.openxmlformats.org/officeDocument/2006/relationships/hyperlink" Target="http://www.broadinstitute.org/gsea/msigdb/cards/GSE15330_LYMPHOID_MULTIPOTENT_VS_GRANULOCYTE_MONOCYTE_PROGENITOR_DN.html" TargetMode="External"/><Relationship Id="rId2599" Type="http://schemas.openxmlformats.org/officeDocument/2006/relationships/hyperlink" Target="http://www.broadinstitute.org/gsea/msigdb/cards/GSE9960_GRAM_POS_VS_GRAM_NEG_AND_POS_SEPSIS_PBMC_DN.html" TargetMode="External"/><Relationship Id="rId30" Type="http://schemas.openxmlformats.org/officeDocument/2006/relationships/hyperlink" Target="http://www.broadinstitute.org/gsea/msigdb/cards/BERENJENO_TRANSFORMED_BY_RHOA_UP.html" TargetMode="External"/><Relationship Id="rId31" Type="http://schemas.openxmlformats.org/officeDocument/2006/relationships/hyperlink" Target="http://www.broadinstitute.org/gsea/msigdb/cards/BASAKI_YBX1_TARGETS_UP.html" TargetMode="External"/><Relationship Id="rId32" Type="http://schemas.openxmlformats.org/officeDocument/2006/relationships/hyperlink" Target="http://www.broadinstitute.org/gsea/msigdb/cards/CAIRO_HEPATOBLASTOMA_CLASSES_UP.html" TargetMode="External"/><Relationship Id="rId33" Type="http://schemas.openxmlformats.org/officeDocument/2006/relationships/hyperlink" Target="http://www.broadinstitute.org/gsea/msigdb/cards/FEVR_CTNNB1_TARGETS_DN.html" TargetMode="External"/><Relationship Id="rId34" Type="http://schemas.openxmlformats.org/officeDocument/2006/relationships/hyperlink" Target="http://www.broadinstitute.org/gsea/msigdb/cards/GRAHAM_CML_DIVIDING_VS_NORMAL_QUIESCENT_UP.html" TargetMode="External"/><Relationship Id="rId35" Type="http://schemas.openxmlformats.org/officeDocument/2006/relationships/hyperlink" Target="http://www.broadinstitute.org/gsea/msigdb/cards/VECCHI_GASTRIC_CANCER_EARLY_UP.html" TargetMode="External"/><Relationship Id="rId36" Type="http://schemas.openxmlformats.org/officeDocument/2006/relationships/hyperlink" Target="http://www.broadinstitute.org/gsea/msigdb/cards/REACTOME_CELL_CYCLE.html" TargetMode="External"/><Relationship Id="rId37" Type="http://schemas.openxmlformats.org/officeDocument/2006/relationships/hyperlink" Target="http://www.broadinstitute.org/gsea/msigdb/cards/REACTOME_CELL_CYCLE_MITOTIC.html" TargetMode="External"/><Relationship Id="rId38" Type="http://schemas.openxmlformats.org/officeDocument/2006/relationships/hyperlink" Target="http://www.broadinstitute.org/gsea/msigdb/cards/FISCHER_G2_M_CELL_CYCLE.html" TargetMode="External"/><Relationship Id="rId39" Type="http://schemas.openxmlformats.org/officeDocument/2006/relationships/hyperlink" Target="http://www.broadinstitute.org/gsea/msigdb/cards/RODRIGUES_THYROID_CARCINOMA_POORLY_DIFFERENTIATED_UP.html" TargetMode="External"/><Relationship Id="rId1500" Type="http://schemas.openxmlformats.org/officeDocument/2006/relationships/hyperlink" Target="http://www.broadinstitute.org/gsea/msigdb/cards/GO_NEGATIVE_REGULATION_OF_CELL_DEATH.html" TargetMode="External"/><Relationship Id="rId1501" Type="http://schemas.openxmlformats.org/officeDocument/2006/relationships/hyperlink" Target="http://www.broadinstitute.org/gsea/msigdb/cards/GO_METHYLATED_HISTONE_BINDING.html" TargetMode="External"/><Relationship Id="rId1502" Type="http://schemas.openxmlformats.org/officeDocument/2006/relationships/hyperlink" Target="http://www.broadinstitute.org/gsea/msigdb/cards/GO_REGULATION_OF_NUCLEOCYTOPLASMIC_TRANSPORT.html" TargetMode="External"/><Relationship Id="rId1503" Type="http://schemas.openxmlformats.org/officeDocument/2006/relationships/hyperlink" Target="http://www.broadinstitute.org/gsea/msigdb/cards/GO_POSITIVE_REGULATION_OF_FIBROBLAST_PROLIFERATION.html" TargetMode="External"/><Relationship Id="rId1110" Type="http://schemas.openxmlformats.org/officeDocument/2006/relationships/hyperlink" Target="http://www.broadinstitute.org/gsea/msigdb/cards/GO_G2_DNA_DAMAGE_CHECKPOINT.html" TargetMode="External"/><Relationship Id="rId1111" Type="http://schemas.openxmlformats.org/officeDocument/2006/relationships/hyperlink" Target="http://www.broadinstitute.org/gsea/msigdb/cards/GO_MOTOR_ACTIVITY.html" TargetMode="External"/><Relationship Id="rId1112" Type="http://schemas.openxmlformats.org/officeDocument/2006/relationships/hyperlink" Target="http://www.broadinstitute.org/gsea/msigdb/cards/GO_NEGATIVE_REGULATION_OF_MITOTIC_NUCLEAR_DIVISION.html" TargetMode="External"/><Relationship Id="rId1113" Type="http://schemas.openxmlformats.org/officeDocument/2006/relationships/hyperlink" Target="http://www.broadinstitute.org/gsea/msigdb/cards/GO_KINETOCHORE_ORGANIZATION.html" TargetMode="External"/><Relationship Id="rId1114" Type="http://schemas.openxmlformats.org/officeDocument/2006/relationships/hyperlink" Target="http://www.broadinstitute.org/gsea/msigdb/cards/GO_REGULATION_OF_PROTEIN_CATABOLIC_PROCESS.html" TargetMode="External"/><Relationship Id="rId1115" Type="http://schemas.openxmlformats.org/officeDocument/2006/relationships/hyperlink" Target="http://www.broadinstitute.org/gsea/msigdb/cards/GO_RESPONSE_TO_ABIOTIC_STIMULUS.html" TargetMode="External"/><Relationship Id="rId1116" Type="http://schemas.openxmlformats.org/officeDocument/2006/relationships/hyperlink" Target="http://www.broadinstitute.org/gsea/msigdb/cards/GO_MACROMOLECULE_CATABOLIC_PROCESS.html" TargetMode="External"/><Relationship Id="rId1117" Type="http://schemas.openxmlformats.org/officeDocument/2006/relationships/hyperlink" Target="http://www.broadinstitute.org/gsea/msigdb/cards/GO_POSITIVE_REGULATION_OF_MITOTIC_NUCLEAR_DIVISION.html" TargetMode="External"/><Relationship Id="rId1118" Type="http://schemas.openxmlformats.org/officeDocument/2006/relationships/hyperlink" Target="http://www.broadinstitute.org/gsea/msigdb/cards/GO_NUCLEAR_CHROMATIN.html" TargetMode="External"/><Relationship Id="rId1119" Type="http://schemas.openxmlformats.org/officeDocument/2006/relationships/hyperlink" Target="http://www.broadinstitute.org/gsea/msigdb/cards/GO_PROTEIN_LOCALIZATION_TO_CHROMOSOME_CENTROMERIC_REGION.html" TargetMode="External"/><Relationship Id="rId650" Type="http://schemas.openxmlformats.org/officeDocument/2006/relationships/hyperlink" Target="http://www.broadinstitute.org/gsea/msigdb/cards/GAZIN_EPIGENETIC_SILENCING_BY_KRAS.html" TargetMode="External"/><Relationship Id="rId651" Type="http://schemas.openxmlformats.org/officeDocument/2006/relationships/hyperlink" Target="http://www.broadinstitute.org/gsea/msigdb/cards/BLALOCK_ALZHEIMERS_DISEASE_INCIPIENT_UP.html" TargetMode="External"/><Relationship Id="rId652" Type="http://schemas.openxmlformats.org/officeDocument/2006/relationships/hyperlink" Target="http://www.broadinstitute.org/gsea/msigdb/cards/GALE_APL_WITH_FLT3_MUTATED_UP.html" TargetMode="External"/><Relationship Id="rId653" Type="http://schemas.openxmlformats.org/officeDocument/2006/relationships/hyperlink" Target="http://www.broadinstitute.org/gsea/msigdb/cards/REACTOME_TRANSPORT_OF_RIBONUCLEOPROTEINS_INTO_THE_HOST_NUCLEUS.html" TargetMode="External"/><Relationship Id="rId654" Type="http://schemas.openxmlformats.org/officeDocument/2006/relationships/hyperlink" Target="http://www.broadinstitute.org/gsea/msigdb/cards/DARWICHE_SQUAMOUS_CELL_CARCINOMA_DN.html" TargetMode="External"/><Relationship Id="rId655" Type="http://schemas.openxmlformats.org/officeDocument/2006/relationships/hyperlink" Target="http://www.broadinstitute.org/gsea/msigdb/cards/JI_RESPONSE_TO_FSH_DN.html" TargetMode="External"/><Relationship Id="rId656" Type="http://schemas.openxmlformats.org/officeDocument/2006/relationships/hyperlink" Target="http://www.broadinstitute.org/gsea/msigdb/cards/SENESE_HDAC1_TARGETS_UP.html" TargetMode="External"/><Relationship Id="rId657" Type="http://schemas.openxmlformats.org/officeDocument/2006/relationships/hyperlink" Target="http://www.broadinstitute.org/gsea/msigdb/cards/KEGG_UBIQUITIN_MEDIATED_PROTEOLYSIS.html" TargetMode="External"/><Relationship Id="rId658" Type="http://schemas.openxmlformats.org/officeDocument/2006/relationships/hyperlink" Target="http://www.broadinstitute.org/gsea/msigdb/cards/JIANG_VHL_TARGETS.html" TargetMode="External"/><Relationship Id="rId659" Type="http://schemas.openxmlformats.org/officeDocument/2006/relationships/hyperlink" Target="http://www.broadinstitute.org/gsea/msigdb/cards/DEBIASI_APOPTOSIS_BY_REOVIRUS_INFECTION_DN.html" TargetMode="External"/><Relationship Id="rId1504" Type="http://schemas.openxmlformats.org/officeDocument/2006/relationships/hyperlink" Target="http://www.broadinstitute.org/gsea/msigdb/cards/GO_INTRINSIC_APOPTOTIC_SIGNALING_PATHWAY_BY_P53_CLASS_MEDIATOR.html" TargetMode="External"/><Relationship Id="rId1505" Type="http://schemas.openxmlformats.org/officeDocument/2006/relationships/hyperlink" Target="http://www.broadinstitute.org/gsea/msigdb/cards/GO_REGULATION_OF_REPRODUCTIVE_PROCESS.html" TargetMode="External"/><Relationship Id="rId1506" Type="http://schemas.openxmlformats.org/officeDocument/2006/relationships/hyperlink" Target="http://www.broadinstitute.org/gsea/msigdb/cards/GO_RIBONUCLEOPROTEIN_COMPLEX_BIOGENESIS.html" TargetMode="External"/><Relationship Id="rId1507" Type="http://schemas.openxmlformats.org/officeDocument/2006/relationships/hyperlink" Target="http://www.broadinstitute.org/gsea/msigdb/cards/GO_CELL_DIFFERENTIATION_INVOLVED_IN_EMBRYONIC_PLACENTA_DEVELOPMENT.html" TargetMode="External"/><Relationship Id="rId1508" Type="http://schemas.openxmlformats.org/officeDocument/2006/relationships/hyperlink" Target="http://www.broadinstitute.org/gsea/msigdb/cards/GO_APOPTOTIC_NUCLEAR_CHANGES.html" TargetMode="External"/><Relationship Id="rId1509" Type="http://schemas.openxmlformats.org/officeDocument/2006/relationships/hyperlink" Target="http://www.broadinstitute.org/gsea/msigdb/cards/GO_PROTEIN_DOMAIN_SPECIFIC_BINDING.html" TargetMode="External"/><Relationship Id="rId260" Type="http://schemas.openxmlformats.org/officeDocument/2006/relationships/hyperlink" Target="http://www.broadinstitute.org/gsea/msigdb/cards/CHICAS_RB1_TARGETS_LOW_SERUM.html" TargetMode="External"/><Relationship Id="rId261" Type="http://schemas.openxmlformats.org/officeDocument/2006/relationships/hyperlink" Target="http://www.broadinstitute.org/gsea/msigdb/cards/KUMAMOTO_RESPONSE_TO_NUTLIN_3A_DN.html" TargetMode="External"/><Relationship Id="rId262" Type="http://schemas.openxmlformats.org/officeDocument/2006/relationships/hyperlink" Target="http://www.broadinstitute.org/gsea/msigdb/cards/REACTOME_ORC1_REMOVAL_FROM_CHROMATIN.html" TargetMode="External"/><Relationship Id="rId263" Type="http://schemas.openxmlformats.org/officeDocument/2006/relationships/hyperlink" Target="http://www.broadinstitute.org/gsea/msigdb/cards/BHATI_G2M_ARREST_BY_2METHOXYESTRADIOL_UP.html" TargetMode="External"/><Relationship Id="rId264" Type="http://schemas.openxmlformats.org/officeDocument/2006/relationships/hyperlink" Target="http://www.broadinstitute.org/gsea/msigdb/cards/LIANG_SILENCED_BY_METHYLATION_DN.html" TargetMode="External"/><Relationship Id="rId265" Type="http://schemas.openxmlformats.org/officeDocument/2006/relationships/hyperlink" Target="http://www.broadinstitute.org/gsea/msigdb/cards/REACTOME_LAGGING_STRAND_SYNTHESIS.html" TargetMode="External"/><Relationship Id="rId266" Type="http://schemas.openxmlformats.org/officeDocument/2006/relationships/hyperlink" Target="http://www.broadinstitute.org/gsea/msigdb/cards/LE_NEURONAL_DIFFERENTIATION_DN.html" TargetMode="External"/><Relationship Id="rId267" Type="http://schemas.openxmlformats.org/officeDocument/2006/relationships/hyperlink" Target="http://www.broadinstitute.org/gsea/msigdb/cards/MARSON_BOUND_BY_FOXP3_UNSTIMULATED.html" TargetMode="External"/><Relationship Id="rId268" Type="http://schemas.openxmlformats.org/officeDocument/2006/relationships/hyperlink" Target="http://www.broadinstitute.org/gsea/msigdb/cards/DELPUECH_FOXO3_TARGETS_DN.html" TargetMode="External"/><Relationship Id="rId269" Type="http://schemas.openxmlformats.org/officeDocument/2006/relationships/hyperlink" Target="http://www.broadinstitute.org/gsea/msigdb/cards/BENPORATH_MYC_MAX_TARGETS.html" TargetMode="External"/><Relationship Id="rId40" Type="http://schemas.openxmlformats.org/officeDocument/2006/relationships/hyperlink" Target="http://www.broadinstitute.org/gsea/msigdb/cards/ZHOU_CELL_CYCLE_GENES_IN_IR_RESPONSE_24HR.html" TargetMode="External"/><Relationship Id="rId41" Type="http://schemas.openxmlformats.org/officeDocument/2006/relationships/hyperlink" Target="http://www.broadinstitute.org/gsea/msigdb/cards/HORIUCHI_WTAP_TARGETS_DN.html" TargetMode="External"/><Relationship Id="rId42" Type="http://schemas.openxmlformats.org/officeDocument/2006/relationships/hyperlink" Target="http://www.broadinstitute.org/gsea/msigdb/cards/WANG_RESPONSE_TO_GSK3_INHIBITOR_SB216763_DN.html" TargetMode="External"/><Relationship Id="rId43" Type="http://schemas.openxmlformats.org/officeDocument/2006/relationships/hyperlink" Target="http://www.broadinstitute.org/gsea/msigdb/cards/CROONQUIST_IL6_DEPRIVATION_DN.html" TargetMode="External"/><Relationship Id="rId44" Type="http://schemas.openxmlformats.org/officeDocument/2006/relationships/hyperlink" Target="http://www.broadinstitute.org/gsea/msigdb/cards/FUJII_YBX1_TARGETS_DN.html" TargetMode="External"/><Relationship Id="rId45" Type="http://schemas.openxmlformats.org/officeDocument/2006/relationships/hyperlink" Target="http://www.broadinstitute.org/gsea/msigdb/cards/LINDGREN_BLADDER_CANCER_CLUSTER_3_UP.html" TargetMode="External"/><Relationship Id="rId46" Type="http://schemas.openxmlformats.org/officeDocument/2006/relationships/hyperlink" Target="http://www.broadinstitute.org/gsea/msigdb/cards/JOHNSTONE_PARVB_TARGETS_3_DN.html" TargetMode="External"/><Relationship Id="rId47" Type="http://schemas.openxmlformats.org/officeDocument/2006/relationships/hyperlink" Target="http://www.broadinstitute.org/gsea/msigdb/cards/MARKEY_RB1_ACUTE_LOF_UP.html" TargetMode="External"/><Relationship Id="rId48" Type="http://schemas.openxmlformats.org/officeDocument/2006/relationships/hyperlink" Target="http://www.broadinstitute.org/gsea/msigdb/cards/KONG_E2F3_TARGETS.html" TargetMode="External"/><Relationship Id="rId49" Type="http://schemas.openxmlformats.org/officeDocument/2006/relationships/hyperlink" Target="http://www.broadinstitute.org/gsea/msigdb/cards/WHITEFORD_PEDIATRIC_CANCER_MARKERS.html" TargetMode="External"/><Relationship Id="rId1900" Type="http://schemas.openxmlformats.org/officeDocument/2006/relationships/hyperlink" Target="http://www.broadinstitute.org/gsea/msigdb/cards/GSE27859_DC_VS_CD11C_INT_F480_HI_MACROPHAGE_UP.html" TargetMode="External"/><Relationship Id="rId1901" Type="http://schemas.openxmlformats.org/officeDocument/2006/relationships/hyperlink" Target="http://www.broadinstitute.org/gsea/msigdb/cards/GSE40274_CTRL_VS_FOXP3_AND_HELIOS_TRANSDUCED_ACTIVATED_CD4_TCELL_DN.html" TargetMode="External"/><Relationship Id="rId1902" Type="http://schemas.openxmlformats.org/officeDocument/2006/relationships/hyperlink" Target="http://www.broadinstitute.org/gsea/msigdb/cards/GSE15271_CXCR4_POS_VS_NEG_GC_BCELL_UP.html" TargetMode="External"/><Relationship Id="rId1903" Type="http://schemas.openxmlformats.org/officeDocument/2006/relationships/hyperlink" Target="http://www.broadinstitute.org/gsea/msigdb/cards/GSE14699_DELETIONAL_TOLERANCE_VS_ACTIVATED_CD8_TCELL_DN.html" TargetMode="External"/><Relationship Id="rId1510" Type="http://schemas.openxmlformats.org/officeDocument/2006/relationships/hyperlink" Target="http://www.broadinstitute.org/gsea/msigdb/cards/GO_NUCLEAR_INNER_MEMBRANE.html" TargetMode="External"/><Relationship Id="rId1511" Type="http://schemas.openxmlformats.org/officeDocument/2006/relationships/hyperlink" Target="http://www.broadinstitute.org/gsea/msigdb/cards/GO_CELL_MATURATION.html" TargetMode="External"/><Relationship Id="rId1512" Type="http://schemas.openxmlformats.org/officeDocument/2006/relationships/hyperlink" Target="http://www.broadinstitute.org/gsea/msigdb/cards/GO_REGULATION_OF_GLIOGENESIS.html" TargetMode="External"/><Relationship Id="rId1513" Type="http://schemas.openxmlformats.org/officeDocument/2006/relationships/hyperlink" Target="http://www.broadinstitute.org/gsea/msigdb/cards/GO_REGULATION_OF_CELLULAR_RESPONSE_TO_STRESS.html" TargetMode="External"/><Relationship Id="rId1120" Type="http://schemas.openxmlformats.org/officeDocument/2006/relationships/hyperlink" Target="http://www.broadinstitute.org/gsea/msigdb/cards/GO_PEPTIDYL_AMINO_ACID_MODIFICATION.html" TargetMode="External"/><Relationship Id="rId1121" Type="http://schemas.openxmlformats.org/officeDocument/2006/relationships/hyperlink" Target="http://www.broadinstitute.org/gsea/msigdb/cards/GO_DNA_SECONDARY_STRUCTURE_BINDING.html" TargetMode="External"/><Relationship Id="rId1122" Type="http://schemas.openxmlformats.org/officeDocument/2006/relationships/hyperlink" Target="http://www.broadinstitute.org/gsea/msigdb/cards/GO_POSTREPLICATION_REPAIR.html" TargetMode="External"/><Relationship Id="rId1123" Type="http://schemas.openxmlformats.org/officeDocument/2006/relationships/hyperlink" Target="http://www.broadinstitute.org/gsea/msigdb/cards/GO_REGULATION_OF_CENTROSOME_CYCLE.html" TargetMode="External"/><Relationship Id="rId1124" Type="http://schemas.openxmlformats.org/officeDocument/2006/relationships/hyperlink" Target="http://www.broadinstitute.org/gsea/msigdb/cards/GO_REGULATION_OF_DNA_REPAIR.html" TargetMode="External"/><Relationship Id="rId1125" Type="http://schemas.openxmlformats.org/officeDocument/2006/relationships/hyperlink" Target="http://www.broadinstitute.org/gsea/msigdb/cards/GO_REGULATION_OF_CYCLIN_DEPENDENT_PROTEIN_KINASE_ACTIVITY.html" TargetMode="External"/><Relationship Id="rId1126" Type="http://schemas.openxmlformats.org/officeDocument/2006/relationships/hyperlink" Target="http://www.broadinstitute.org/gsea/msigdb/cards/GO_PROTEIN_DNA_COMPLEX.html" TargetMode="External"/><Relationship Id="rId1127" Type="http://schemas.openxmlformats.org/officeDocument/2006/relationships/hyperlink" Target="http://www.broadinstitute.org/gsea/msigdb/cards/GO_NUCLEAR_PERIPHERY.html" TargetMode="External"/><Relationship Id="rId1128" Type="http://schemas.openxmlformats.org/officeDocument/2006/relationships/hyperlink" Target="http://www.broadinstitute.org/gsea/msigdb/cards/GO_MICROTUBULE_BASED_MOVEMENT.html" TargetMode="External"/><Relationship Id="rId1129" Type="http://schemas.openxmlformats.org/officeDocument/2006/relationships/hyperlink" Target="http://www.broadinstitute.org/gsea/msigdb/cards/GO_REGULATION_OF_PROTEASOMAL_UBIQUITIN_DEPENDENT_PROTEIN_CATABOLIC_PROCESS.html" TargetMode="External"/><Relationship Id="rId660" Type="http://schemas.openxmlformats.org/officeDocument/2006/relationships/hyperlink" Target="http://www.broadinstitute.org/gsea/msigdb/cards/SCHLOSSER_SERUM_RESPONSE_DN.html" TargetMode="External"/><Relationship Id="rId661" Type="http://schemas.openxmlformats.org/officeDocument/2006/relationships/hyperlink" Target="http://www.broadinstitute.org/gsea/msigdb/cards/REACTOME_PROCESSING_OF_CAPPED_INTRON_CONTAINING_PRE_MRNA.html" TargetMode="External"/><Relationship Id="rId662" Type="http://schemas.openxmlformats.org/officeDocument/2006/relationships/hyperlink" Target="http://www.broadinstitute.org/gsea/msigdb/cards/FLOTHO_PEDIATRIC_ALL_THERAPY_RESPONSE_DN.html" TargetMode="External"/><Relationship Id="rId663" Type="http://schemas.openxmlformats.org/officeDocument/2006/relationships/hyperlink" Target="http://www.broadinstitute.org/gsea/msigdb/cards/MARSHALL_VIRAL_INFECTION_RESPONSE_DN.html" TargetMode="External"/><Relationship Id="rId664" Type="http://schemas.openxmlformats.org/officeDocument/2006/relationships/hyperlink" Target="http://www.broadinstitute.org/gsea/msigdb/cards/HELLER_HDAC_TARGETS_DN.html" TargetMode="External"/><Relationship Id="rId665" Type="http://schemas.openxmlformats.org/officeDocument/2006/relationships/hyperlink" Target="http://www.broadinstitute.org/gsea/msigdb/cards/REACTOME_HEMOSTASIS.html" TargetMode="External"/><Relationship Id="rId666" Type="http://schemas.openxmlformats.org/officeDocument/2006/relationships/hyperlink" Target="http://www.broadinstitute.org/gsea/msigdb/cards/REACTOME_RNA_POL_II_PRE_TRANSCRIPTION_EVENTS.html" TargetMode="External"/><Relationship Id="rId667" Type="http://schemas.openxmlformats.org/officeDocument/2006/relationships/hyperlink" Target="http://www.broadinstitute.org/gsea/msigdb/cards/SENGUPTA_NASOPHARYNGEAL_CARCINOMA_WITH_LMP1_UP.html" TargetMode="External"/><Relationship Id="rId668" Type="http://schemas.openxmlformats.org/officeDocument/2006/relationships/hyperlink" Target="http://www.broadinstitute.org/gsea/msigdb/cards/DASU_IL6_SIGNALING_SCAR_UP.html" TargetMode="External"/><Relationship Id="rId669" Type="http://schemas.openxmlformats.org/officeDocument/2006/relationships/hyperlink" Target="http://www.broadinstitute.org/gsea/msigdb/cards/WAKABAYASHI_ADIPOGENESIS_PPARG_BOUND_8D.html" TargetMode="External"/><Relationship Id="rId1514" Type="http://schemas.openxmlformats.org/officeDocument/2006/relationships/hyperlink" Target="http://www.broadinstitute.org/gsea/msigdb/cards/GO_ESTABLISHMENT_OF_SPINDLE_ORIENTATION.html" TargetMode="External"/><Relationship Id="rId1515" Type="http://schemas.openxmlformats.org/officeDocument/2006/relationships/hyperlink" Target="http://www.broadinstitute.org/gsea/msigdb/cards/GO_CELLULAR_RESPONSE_TO_LIGHT_STIMULUS.html" TargetMode="External"/><Relationship Id="rId1516" Type="http://schemas.openxmlformats.org/officeDocument/2006/relationships/hyperlink" Target="http://www.broadinstitute.org/gsea/msigdb/cards/GO_TELOMERE_MAINTENANCE_VIA_TELOMERE_LENGTHENING.html" TargetMode="External"/><Relationship Id="rId1517" Type="http://schemas.openxmlformats.org/officeDocument/2006/relationships/hyperlink" Target="http://www.broadinstitute.org/gsea/msigdb/cards/GO_EXECUTION_PHASE_OF_APOPTOSIS.html" TargetMode="External"/><Relationship Id="rId1518" Type="http://schemas.openxmlformats.org/officeDocument/2006/relationships/hyperlink" Target="http://www.broadinstitute.org/gsea/msigdb/cards/GO_NEGATIVE_REGULATION_OF_DNA_REPLICATION.html" TargetMode="External"/><Relationship Id="rId1519" Type="http://schemas.openxmlformats.org/officeDocument/2006/relationships/hyperlink" Target="http://www.broadinstitute.org/gsea/msigdb/cards/GO_ALPHA_AMINO_ACID_METABOLIC_PROCESS.html" TargetMode="External"/><Relationship Id="rId270" Type="http://schemas.openxmlformats.org/officeDocument/2006/relationships/hyperlink" Target="http://www.broadinstitute.org/gsea/msigdb/cards/ACEVEDO_LIVER_TUMOR_VS_NORMAL_ADJACENT_TISSUE_UP.html" TargetMode="External"/><Relationship Id="rId271" Type="http://schemas.openxmlformats.org/officeDocument/2006/relationships/hyperlink" Target="http://www.broadinstitute.org/gsea/msigdb/cards/WAKASUGI_HAVE_ZNF143_BINDING_SITES.html" TargetMode="External"/><Relationship Id="rId272" Type="http://schemas.openxmlformats.org/officeDocument/2006/relationships/hyperlink" Target="http://www.broadinstitute.org/gsea/msigdb/cards/WEST_ADRENOCORTICAL_TUMOR_MARKERS_UP.html" TargetMode="External"/><Relationship Id="rId273" Type="http://schemas.openxmlformats.org/officeDocument/2006/relationships/hyperlink" Target="http://www.broadinstitute.org/gsea/msigdb/cards/FOURNIER_ACINAR_DEVELOPMENT_LATE_DN.html" TargetMode="External"/><Relationship Id="rId274" Type="http://schemas.openxmlformats.org/officeDocument/2006/relationships/hyperlink" Target="http://www.broadinstitute.org/gsea/msigdb/cards/PENG_LEUCINE_DEPRIVATION_DN.html" TargetMode="External"/><Relationship Id="rId275" Type="http://schemas.openxmlformats.org/officeDocument/2006/relationships/hyperlink" Target="http://www.broadinstitute.org/gsea/msigdb/cards/REACTOME_KINESINS.html" TargetMode="External"/><Relationship Id="rId276" Type="http://schemas.openxmlformats.org/officeDocument/2006/relationships/hyperlink" Target="http://www.broadinstitute.org/gsea/msigdb/cards/DAZARD_RESPONSE_TO_UV_NHEK_DN.html" TargetMode="External"/><Relationship Id="rId277" Type="http://schemas.openxmlformats.org/officeDocument/2006/relationships/hyperlink" Target="http://www.broadinstitute.org/gsea/msigdb/cards/SLEBOS_HEAD_AND_NECK_CANCER_WITH_HPV_UP.html" TargetMode="External"/><Relationship Id="rId278" Type="http://schemas.openxmlformats.org/officeDocument/2006/relationships/hyperlink" Target="http://www.broadinstitute.org/gsea/msigdb/cards/ZAMORA_NOS2_TARGETS_UP.html" TargetMode="External"/><Relationship Id="rId279" Type="http://schemas.openxmlformats.org/officeDocument/2006/relationships/hyperlink" Target="http://www.broadinstitute.org/gsea/msigdb/cards/SIMBULAN_PARP1_TARGETS_DN.html" TargetMode="External"/><Relationship Id="rId1904" Type="http://schemas.openxmlformats.org/officeDocument/2006/relationships/hyperlink" Target="http://www.broadinstitute.org/gsea/msigdb/cards/GSE12507_PDC_CELL_LINE_VS_IMMATUE_T_CELL_LINE_UP.html" TargetMode="External"/><Relationship Id="rId1905" Type="http://schemas.openxmlformats.org/officeDocument/2006/relationships/hyperlink" Target="http://www.broadinstitute.org/gsea/msigdb/cards/GSE14415_INDUCED_TREG_VS_FAILED_INDUCED_TREG_DN.html" TargetMode="External"/><Relationship Id="rId1906" Type="http://schemas.openxmlformats.org/officeDocument/2006/relationships/hyperlink" Target="http://www.broadinstitute.org/gsea/msigdb/cards/GSE40274_CTRL_VS_XBP1_TRANSDUCED_ACTIVATED_CD4_TCELL_DN.html" TargetMode="External"/><Relationship Id="rId1907" Type="http://schemas.openxmlformats.org/officeDocument/2006/relationships/hyperlink" Target="http://www.broadinstitute.org/gsea/msigdb/cards/GSE7509_UNSTIM_VS_FCGRIIB_STIM_DC_UP.html" TargetMode="External"/><Relationship Id="rId1908" Type="http://schemas.openxmlformats.org/officeDocument/2006/relationships/hyperlink" Target="http://www.broadinstitute.org/gsea/msigdb/cards/GSE21670_STAT3_KO_VS_WT_CD4_TCELL_TGFB_TREATED_DN.html" TargetMode="External"/><Relationship Id="rId1909" Type="http://schemas.openxmlformats.org/officeDocument/2006/relationships/hyperlink" Target="http://www.broadinstitute.org/gsea/msigdb/cards/GSE1448_CTRL_VS_ANTI_VALPHA2_DP_THYMOCYTE_UP.html" TargetMode="External"/><Relationship Id="rId2200" Type="http://schemas.openxmlformats.org/officeDocument/2006/relationships/hyperlink" Target="http://www.broadinstitute.org/gsea/msigdb/cards/GSE21927_SPLEEN_VS_C26GM_TUMOR_MONOCYTE_BALBC_DN.html" TargetMode="External"/><Relationship Id="rId2201" Type="http://schemas.openxmlformats.org/officeDocument/2006/relationships/hyperlink" Target="http://www.broadinstitute.org/gsea/msigdb/cards/GOLDRATH_NAIVE_VS_MEMORY_CD8_TCELL_UP.html" TargetMode="External"/><Relationship Id="rId2202" Type="http://schemas.openxmlformats.org/officeDocument/2006/relationships/hyperlink" Target="http://www.broadinstitute.org/gsea/msigdb/cards/GSE10325_BCELL_VS_LUPUS_BCELL_DN.html" TargetMode="External"/><Relationship Id="rId2203" Type="http://schemas.openxmlformats.org/officeDocument/2006/relationships/hyperlink" Target="http://www.broadinstitute.org/gsea/msigdb/cards/GSE11924_TFH_VS_TH2_CD4_TCELL_DN.html" TargetMode="External"/><Relationship Id="rId2204" Type="http://schemas.openxmlformats.org/officeDocument/2006/relationships/hyperlink" Target="http://www.broadinstitute.org/gsea/msigdb/cards/GSE12845_IGD_POS_VS_NEG_BLOOD_BCELL_DN.html" TargetMode="External"/><Relationship Id="rId2205" Type="http://schemas.openxmlformats.org/officeDocument/2006/relationships/hyperlink" Target="http://www.broadinstitute.org/gsea/msigdb/cards/GSE12845_NAIVE_VS_DARKZONE_GC_TONSIL_BCELL_DN.html" TargetMode="External"/><Relationship Id="rId2206" Type="http://schemas.openxmlformats.org/officeDocument/2006/relationships/hyperlink" Target="http://www.broadinstitute.org/gsea/msigdb/cards/GSE13306_LAMINA_PROPRIA_VS_SPLEEN_TREG_DN.html" TargetMode="External"/><Relationship Id="rId2207" Type="http://schemas.openxmlformats.org/officeDocument/2006/relationships/hyperlink" Target="http://www.broadinstitute.org/gsea/msigdb/cards/GSE14350_TREG_VS_TEFF_DN.html" TargetMode="External"/><Relationship Id="rId2208" Type="http://schemas.openxmlformats.org/officeDocument/2006/relationships/hyperlink" Target="http://www.broadinstitute.org/gsea/msigdb/cards/GSE15324_ELF4_KO_VS_WT_ACTIVATED_CD8_TCELL_DN.html" TargetMode="External"/><Relationship Id="rId2209" Type="http://schemas.openxmlformats.org/officeDocument/2006/relationships/hyperlink" Target="http://www.broadinstitute.org/gsea/msigdb/cards/GSE15659_CD45RA_NEG_CD4_TCELL_VS_RESTING_TREG_UP.html" TargetMode="External"/><Relationship Id="rId50" Type="http://schemas.openxmlformats.org/officeDocument/2006/relationships/hyperlink" Target="http://www.broadinstitute.org/gsea/msigdb/cards/CHIANG_LIVER_CANCER_SUBCLASS_PROLIFERATION_UP.html" TargetMode="External"/><Relationship Id="rId51" Type="http://schemas.openxmlformats.org/officeDocument/2006/relationships/hyperlink" Target="http://www.broadinstitute.org/gsea/msigdb/cards/HOFFMANN_LARGE_TO_SMALL_PRE_BII_LYMPHOCYTE_UP.html" TargetMode="External"/><Relationship Id="rId52" Type="http://schemas.openxmlformats.org/officeDocument/2006/relationships/hyperlink" Target="http://www.broadinstitute.org/gsea/msigdb/cards/SARRIO_EPITHELIAL_MESENCHYMAL_TRANSITION_UP.html" TargetMode="External"/><Relationship Id="rId53" Type="http://schemas.openxmlformats.org/officeDocument/2006/relationships/hyperlink" Target="http://www.broadinstitute.org/gsea/msigdb/cards/WINNEPENNINCKX_MELANOMA_METASTASIS_UP.html" TargetMode="External"/><Relationship Id="rId54" Type="http://schemas.openxmlformats.org/officeDocument/2006/relationships/hyperlink" Target="http://www.broadinstitute.org/gsea/msigdb/cards/BURTON_ADIPOGENESIS_3.html" TargetMode="External"/><Relationship Id="rId55" Type="http://schemas.openxmlformats.org/officeDocument/2006/relationships/hyperlink" Target="http://www.broadinstitute.org/gsea/msigdb/cards/GRAHAM_NORMAL_QUIESCENT_VS_NORMAL_DIVIDING_DN.html" TargetMode="External"/><Relationship Id="rId56" Type="http://schemas.openxmlformats.org/officeDocument/2006/relationships/hyperlink" Target="http://www.broadinstitute.org/gsea/msigdb/cards/REACTOME_DNA_REPLICATION.html" TargetMode="External"/><Relationship Id="rId57" Type="http://schemas.openxmlformats.org/officeDocument/2006/relationships/hyperlink" Target="http://www.broadinstitute.org/gsea/msigdb/cards/GOLDRATH_ANTIGEN_RESPONSE.html" TargetMode="External"/><Relationship Id="rId58" Type="http://schemas.openxmlformats.org/officeDocument/2006/relationships/hyperlink" Target="http://www.broadinstitute.org/gsea/msigdb/cards/ZHANG_TLX_TARGETS_36HR_DN.html" TargetMode="External"/><Relationship Id="rId59" Type="http://schemas.openxmlformats.org/officeDocument/2006/relationships/hyperlink" Target="http://www.broadinstitute.org/gsea/msigdb/cards/LEE_EARLY_T_LYMPHOCYTE_UP.html" TargetMode="External"/><Relationship Id="rId1910" Type="http://schemas.openxmlformats.org/officeDocument/2006/relationships/hyperlink" Target="http://www.broadinstitute.org/gsea/msigdb/cards/GSE14769_UNSTIM_VS_240MIN_LPS_BMDM_UP.html" TargetMode="External"/><Relationship Id="rId1911" Type="http://schemas.openxmlformats.org/officeDocument/2006/relationships/hyperlink" Target="http://www.broadinstitute.org/gsea/msigdb/cards/GSE14769_UNSTIM_VS_360MIN_LPS_BMDM_UP.html" TargetMode="External"/><Relationship Id="rId1912" Type="http://schemas.openxmlformats.org/officeDocument/2006/relationships/hyperlink" Target="http://www.broadinstitute.org/gsea/msigdb/cards/GSE26669_CTRL_VS_COSTIM_BLOCK_MLR_CD8_TCELL_UP.html" TargetMode="External"/><Relationship Id="rId1913" Type="http://schemas.openxmlformats.org/officeDocument/2006/relationships/hyperlink" Target="http://www.broadinstitute.org/gsea/msigdb/cards/GSE27786_NKTCELL_VS_MONO_MAC_DN.html" TargetMode="External"/><Relationship Id="rId1520" Type="http://schemas.openxmlformats.org/officeDocument/2006/relationships/hyperlink" Target="http://www.broadinstitute.org/gsea/msigdb/cards/GO_REGULATION_OF_DNA_BINDING.html" TargetMode="External"/><Relationship Id="rId1521" Type="http://schemas.openxmlformats.org/officeDocument/2006/relationships/hyperlink" Target="http://www.broadinstitute.org/gsea/msigdb/cards/GO_ENHANCER_BINDING.html" TargetMode="External"/><Relationship Id="rId1522" Type="http://schemas.openxmlformats.org/officeDocument/2006/relationships/hyperlink" Target="http://www.broadinstitute.org/gsea/msigdb/cards/GO_PROTEIN_K11_LINKED_UBIQUITINATION.html" TargetMode="External"/><Relationship Id="rId1523" Type="http://schemas.openxmlformats.org/officeDocument/2006/relationships/hyperlink" Target="http://www.broadinstitute.org/gsea/msigdb/cards/GO_REGULATION_OF_HISTONE_H3_K4_METHYLATION.html" TargetMode="External"/><Relationship Id="rId1130" Type="http://schemas.openxmlformats.org/officeDocument/2006/relationships/hyperlink" Target="http://www.broadinstitute.org/gsea/msigdb/cards/GO_NEGATIVE_REGULATION_OF_CELL_CYCLE_G1_S_PHASE_TRANSITION.html" TargetMode="External"/><Relationship Id="rId1131" Type="http://schemas.openxmlformats.org/officeDocument/2006/relationships/hyperlink" Target="http://www.broadinstitute.org/gsea/msigdb/cards/GO_HISTONE_BINDING.html" TargetMode="External"/><Relationship Id="rId1132" Type="http://schemas.openxmlformats.org/officeDocument/2006/relationships/hyperlink" Target="http://www.broadinstitute.org/gsea/msigdb/cards/GO_NEGATIVE_REGULATION_OF_CHROMOSOME_SEGREGATION.html" TargetMode="External"/><Relationship Id="rId1133" Type="http://schemas.openxmlformats.org/officeDocument/2006/relationships/hyperlink" Target="http://www.broadinstitute.org/gsea/msigdb/cards/GO_INTERSTRAND_CROSS_LINK_REPAIR.html" TargetMode="External"/><Relationship Id="rId1134" Type="http://schemas.openxmlformats.org/officeDocument/2006/relationships/hyperlink" Target="http://www.broadinstitute.org/gsea/msigdb/cards/GO_IDENTICAL_PROTEIN_BINDING.html" TargetMode="External"/><Relationship Id="rId1135" Type="http://schemas.openxmlformats.org/officeDocument/2006/relationships/hyperlink" Target="http://www.broadinstitute.org/gsea/msigdb/cards/GO_POSITIVE_REGULATION_OF_NUCLEAR_DIVISION.html" TargetMode="External"/><Relationship Id="rId1136" Type="http://schemas.openxmlformats.org/officeDocument/2006/relationships/hyperlink" Target="http://www.broadinstitute.org/gsea/msigdb/cards/GO_NUCLEIC_ACID_PHOSPHODIESTER_BOND_HYDROLYSIS.html" TargetMode="External"/><Relationship Id="rId1137" Type="http://schemas.openxmlformats.org/officeDocument/2006/relationships/hyperlink" Target="http://www.broadinstitute.org/gsea/msigdb/cards/GO_REGULATION_OF_CELL_CYCLE_ARREST.html" TargetMode="External"/><Relationship Id="rId1138" Type="http://schemas.openxmlformats.org/officeDocument/2006/relationships/hyperlink" Target="http://www.broadinstitute.org/gsea/msigdb/cards/GO_POSITIVE_REGULATION_OF_CELL_CYCLE_ARREST.html" TargetMode="External"/><Relationship Id="rId1139" Type="http://schemas.openxmlformats.org/officeDocument/2006/relationships/hyperlink" Target="http://www.broadinstitute.org/gsea/msigdb/cards/GO_PROTEIN_SERINE_THREONINE_KINASE_ACTIVITY.html" TargetMode="External"/><Relationship Id="rId670" Type="http://schemas.openxmlformats.org/officeDocument/2006/relationships/hyperlink" Target="http://www.broadinstitute.org/gsea/msigdb/cards/BROWNE_HCMV_INFECTION_12HR_DN.html" TargetMode="External"/><Relationship Id="rId671" Type="http://schemas.openxmlformats.org/officeDocument/2006/relationships/hyperlink" Target="http://www.broadinstitute.org/gsea/msigdb/cards/SMITH_TERT_TARGETS_UP.html" TargetMode="External"/><Relationship Id="rId280" Type="http://schemas.openxmlformats.org/officeDocument/2006/relationships/hyperlink" Target="http://www.broadinstitute.org/gsea/msigdb/cards/BHATTACHARYA_EMBRYONIC_STEM_CELL.html" TargetMode="External"/><Relationship Id="rId281" Type="http://schemas.openxmlformats.org/officeDocument/2006/relationships/hyperlink" Target="http://www.broadinstitute.org/gsea/msigdb/cards/VANTVEER_BREAST_CANCER_POOR_PROGNOSIS.html" TargetMode="External"/><Relationship Id="rId282" Type="http://schemas.openxmlformats.org/officeDocument/2006/relationships/hyperlink" Target="http://www.broadinstitute.org/gsea/msigdb/cards/PENG_GLUTAMINE_DEPRIVATION_DN.html" TargetMode="External"/><Relationship Id="rId283" Type="http://schemas.openxmlformats.org/officeDocument/2006/relationships/hyperlink" Target="http://www.broadinstitute.org/gsea/msigdb/cards/PID_BARD1_PATHWAY.html" TargetMode="External"/><Relationship Id="rId284" Type="http://schemas.openxmlformats.org/officeDocument/2006/relationships/hyperlink" Target="http://www.broadinstitute.org/gsea/msigdb/cards/REACTOME_TELOMERE_MAINTENANCE.html" TargetMode="External"/><Relationship Id="rId285" Type="http://schemas.openxmlformats.org/officeDocument/2006/relationships/hyperlink" Target="http://www.broadinstitute.org/gsea/msigdb/cards/KALMA_E2F1_TARGETS.html" TargetMode="External"/><Relationship Id="rId286" Type="http://schemas.openxmlformats.org/officeDocument/2006/relationships/hyperlink" Target="http://www.broadinstitute.org/gsea/msigdb/cards/THILLAINADESAN_ZNF217_TARGETS_UP.html" TargetMode="External"/><Relationship Id="rId287" Type="http://schemas.openxmlformats.org/officeDocument/2006/relationships/hyperlink" Target="http://www.broadinstitute.org/gsea/msigdb/cards/IWANAGA_E2F1_TARGETS_INDUCED_BY_SERUM.html" TargetMode="External"/><Relationship Id="rId288" Type="http://schemas.openxmlformats.org/officeDocument/2006/relationships/hyperlink" Target="http://www.broadinstitute.org/gsea/msigdb/cards/CAFFAREL_RESPONSE_TO_THC_DN.html" TargetMode="External"/><Relationship Id="rId289" Type="http://schemas.openxmlformats.org/officeDocument/2006/relationships/hyperlink" Target="http://www.broadinstitute.org/gsea/msigdb/cards/REACTOME_DEPOSITION_OF_NEW_CENPA_CONTAINING_NUCLEOSOMES_AT_THE_CENTROMERE.html" TargetMode="External"/><Relationship Id="rId672" Type="http://schemas.openxmlformats.org/officeDocument/2006/relationships/hyperlink" Target="http://www.broadinstitute.org/gsea/msigdb/cards/BROWNE_HCMV_INFECTION_14HR_DN.html" TargetMode="External"/><Relationship Id="rId673" Type="http://schemas.openxmlformats.org/officeDocument/2006/relationships/hyperlink" Target="http://www.broadinstitute.org/gsea/msigdb/cards/ROYLANCE_BREAST_CANCER_16Q_COPY_NUMBER_UP.html" TargetMode="External"/><Relationship Id="rId674" Type="http://schemas.openxmlformats.org/officeDocument/2006/relationships/hyperlink" Target="http://www.broadinstitute.org/gsea/msigdb/cards/STEIN_ESRRA_TARGETS_RESPONSIVE_TO_ESTROGEN_UP.html" TargetMode="External"/><Relationship Id="rId675" Type="http://schemas.openxmlformats.org/officeDocument/2006/relationships/hyperlink" Target="http://www.broadinstitute.org/gsea/msigdb/cards/KYNG_DNA_DAMAGE_BY_4NQO_OR_UV.html" TargetMode="External"/><Relationship Id="rId676" Type="http://schemas.openxmlformats.org/officeDocument/2006/relationships/hyperlink" Target="http://www.broadinstitute.org/gsea/msigdb/cards/STEIN_ESRRA_TARGETS.html" TargetMode="External"/><Relationship Id="rId677" Type="http://schemas.openxmlformats.org/officeDocument/2006/relationships/hyperlink" Target="http://www.broadinstitute.org/gsea/msigdb/cards/ELVIDGE_HYPOXIA_DN.html" TargetMode="External"/><Relationship Id="rId678" Type="http://schemas.openxmlformats.org/officeDocument/2006/relationships/hyperlink" Target="http://www.broadinstitute.org/gsea/msigdb/cards/BYSTRYKH_HEMATOPOIESIS_STEM_CELL_FLI1.html" TargetMode="External"/><Relationship Id="rId679" Type="http://schemas.openxmlformats.org/officeDocument/2006/relationships/hyperlink" Target="http://www.broadinstitute.org/gsea/msigdb/cards/REACTOME_APOPTOSIS.html" TargetMode="External"/><Relationship Id="rId1524" Type="http://schemas.openxmlformats.org/officeDocument/2006/relationships/hyperlink" Target="http://www.broadinstitute.org/gsea/msigdb/cards/GO_MACROMOLECULAR_COMPLEX_DISASSEMBLY.html" TargetMode="External"/><Relationship Id="rId1525" Type="http://schemas.openxmlformats.org/officeDocument/2006/relationships/hyperlink" Target="http://www.broadinstitute.org/gsea/msigdb/cards/GO_RESPONSE_TO_ETHANOL.html" TargetMode="External"/><Relationship Id="rId1526" Type="http://schemas.openxmlformats.org/officeDocument/2006/relationships/hyperlink" Target="http://www.broadinstitute.org/gsea/msigdb/cards/GO_CHROMATIN_SILENCING.html" TargetMode="External"/><Relationship Id="rId1527" Type="http://schemas.openxmlformats.org/officeDocument/2006/relationships/hyperlink" Target="http://www.broadinstitute.org/gsea/msigdb/cards/GO_REGULATION_OF_INTRACELLULAR_ESTROGEN_RECEPTOR_SIGNALING_PATHWAY.html" TargetMode="External"/><Relationship Id="rId1528" Type="http://schemas.openxmlformats.org/officeDocument/2006/relationships/hyperlink" Target="http://www.broadinstitute.org/gsea/msigdb/cards/GO_RESPONSE_TO_GONADOTROPIN.html" TargetMode="External"/><Relationship Id="rId1529" Type="http://schemas.openxmlformats.org/officeDocument/2006/relationships/hyperlink" Target="http://www.broadinstitute.org/gsea/msigdb/cards/GO_CYCLIN_DEPENDENT_PROTEIN_SERINE_THREONINE_KINASE_REGULATOR_ACTIVITY.html" TargetMode="External"/><Relationship Id="rId1914" Type="http://schemas.openxmlformats.org/officeDocument/2006/relationships/hyperlink" Target="http://www.broadinstitute.org/gsea/msigdb/cards/GSE3982_EOSINOPHIL_VS_TH1_DN.html" TargetMode="External"/><Relationship Id="rId1915" Type="http://schemas.openxmlformats.org/officeDocument/2006/relationships/hyperlink" Target="http://www.broadinstitute.org/gsea/msigdb/cards/GSE3982_MAC_VS_TH2_DN.html" TargetMode="External"/><Relationship Id="rId1916" Type="http://schemas.openxmlformats.org/officeDocument/2006/relationships/hyperlink" Target="http://www.broadinstitute.org/gsea/msigdb/cards/GSE1925_CTRL_VS_IFNG_PRIMED_MACROPHAGE_UP.html" TargetMode="External"/><Relationship Id="rId1917" Type="http://schemas.openxmlformats.org/officeDocument/2006/relationships/hyperlink" Target="http://www.broadinstitute.org/gsea/msigdb/cards/GSE3720_VD1_VS_VD2_GAMMADELTA_TCELL_UP.html" TargetMode="External"/><Relationship Id="rId1918" Type="http://schemas.openxmlformats.org/officeDocument/2006/relationships/hyperlink" Target="http://www.broadinstitute.org/gsea/msigdb/cards/GSE3039_NKT_CELL_VS_B1_BCELL_DN.html" TargetMode="External"/><Relationship Id="rId1919" Type="http://schemas.openxmlformats.org/officeDocument/2006/relationships/hyperlink" Target="http://www.broadinstitute.org/gsea/msigdb/cards/GSE6674_UNSTIM_VS_ANTI_IGM_AND_CPG_STIM_BCELL_UP.html" TargetMode="External"/><Relationship Id="rId2210" Type="http://schemas.openxmlformats.org/officeDocument/2006/relationships/hyperlink" Target="http://www.broadinstitute.org/gsea/msigdb/cards/GSE15930_STIM_VS_STIM_AND_IL12_24H_CD8_T_CELL_UP.html" TargetMode="External"/><Relationship Id="rId2211" Type="http://schemas.openxmlformats.org/officeDocument/2006/relationships/hyperlink" Target="http://www.broadinstitute.org/gsea/msigdb/cards/GSE17721_CTRL_VS_LPS_2H_BMDC_UP.html" TargetMode="External"/><Relationship Id="rId2212" Type="http://schemas.openxmlformats.org/officeDocument/2006/relationships/hyperlink" Target="http://www.broadinstitute.org/gsea/msigdb/cards/GSE17721_CTRL_VS_CPG_12H_BMDC_UP.html" TargetMode="External"/><Relationship Id="rId2213" Type="http://schemas.openxmlformats.org/officeDocument/2006/relationships/hyperlink" Target="http://www.broadinstitute.org/gsea/msigdb/cards/GSE17721_POLYIC_VS_PAM3CSK4_2H_BMDC_UP.html" TargetMode="External"/><Relationship Id="rId2214" Type="http://schemas.openxmlformats.org/officeDocument/2006/relationships/hyperlink" Target="http://www.broadinstitute.org/gsea/msigdb/cards/GSE17721_LPS_VS_CPG_16H_BMDC_DN.html" TargetMode="External"/><Relationship Id="rId2215" Type="http://schemas.openxmlformats.org/officeDocument/2006/relationships/hyperlink" Target="http://www.broadinstitute.org/gsea/msigdb/cards/GSE17721_LPS_VS_GARDIQUIMOD_24H_BMDC_DN.html" TargetMode="External"/><Relationship Id="rId2216" Type="http://schemas.openxmlformats.org/officeDocument/2006/relationships/hyperlink" Target="http://www.broadinstitute.org/gsea/msigdb/cards/GSE17721_0.5H_VS_12H_LPS_BMDC_UP.html" TargetMode="External"/><Relationship Id="rId2217" Type="http://schemas.openxmlformats.org/officeDocument/2006/relationships/hyperlink" Target="http://www.broadinstitute.org/gsea/msigdb/cards/GSE17974_0H_VS_12H_IN_VITRO_ACT_CD4_TCELL_DN.html" TargetMode="External"/><Relationship Id="rId2218" Type="http://schemas.openxmlformats.org/officeDocument/2006/relationships/hyperlink" Target="http://www.broadinstitute.org/gsea/msigdb/cards/GSE18791_CTRL_VS_NEWCASTLE_VIRUS_DC_4H_UP.html" TargetMode="External"/><Relationship Id="rId2219" Type="http://schemas.openxmlformats.org/officeDocument/2006/relationships/hyperlink" Target="http://www.broadinstitute.org/gsea/msigdb/cards/GSE2197_IMMUNOSUPPRESSIVE_DNA_VS_UNTREATEDIN_DC_DN.html" TargetMode="External"/><Relationship Id="rId2600" Type="http://schemas.openxmlformats.org/officeDocument/2006/relationships/hyperlink" Target="http://www.broadinstitute.org/gsea/msigdb/cards/GSE12392_CD8A_POS_VS_NEG_SPLEEN_IFNB_KO_DC_DN.html" TargetMode="External"/><Relationship Id="rId2601" Type="http://schemas.openxmlformats.org/officeDocument/2006/relationships/hyperlink" Target="http://www.broadinstitute.org/gsea/msigdb/cards/GSE18281_SUBCAPSULAR_CORTICAL_REGION_VS_WHOLE_CORTEX_THYMUS_UP.html" TargetMode="External"/><Relationship Id="rId2602" Type="http://schemas.openxmlformats.org/officeDocument/2006/relationships/hyperlink" Target="http://www.broadinstitute.org/gsea/msigdb/cards/GSE18281_PERIMEDULLARY_CORTICAL_REGION_VS_WHOLE_MEDULLA_THYMUS_UP.html" TargetMode="External"/><Relationship Id="rId2603" Type="http://schemas.openxmlformats.org/officeDocument/2006/relationships/hyperlink" Target="http://www.broadinstitute.org/gsea/msigdb/cards/GSE19923_WT_VS_E2A_KO_DP_THYMOCYTE_DN.html" TargetMode="External"/><Relationship Id="rId2604" Type="http://schemas.openxmlformats.org/officeDocument/2006/relationships/hyperlink" Target="http://www.broadinstitute.org/gsea/msigdb/cards/GSE19772_HCMV_INFL_VS_HCMV_INF_MONOCYTES_AND_PI3K_INHIBITION_UP.html" TargetMode="External"/><Relationship Id="rId2605" Type="http://schemas.openxmlformats.org/officeDocument/2006/relationships/hyperlink" Target="http://www.broadinstitute.org/gsea/msigdb/cards/GSE19772_HCMV_INFL_VS_HCMV_INF_MONOCYTES_AND_PI3K_INHIBITION_DN.html" TargetMode="External"/><Relationship Id="rId2606" Type="http://schemas.openxmlformats.org/officeDocument/2006/relationships/hyperlink" Target="http://www.broadinstitute.org/gsea/msigdb/cards/GSE18893_CTRL_VS_TNF_TREATED_TCONV_24H_UP.html" TargetMode="External"/><Relationship Id="rId2607" Type="http://schemas.openxmlformats.org/officeDocument/2006/relationships/hyperlink" Target="http://www.broadinstitute.org/gsea/msigdb/cards/GSE19888_ADENOSINE_A3R_ACT_VS_A3R_ACT_WITH_A3R_INH_PRETREATMENT_IN_MAST_CELL_DN.html" TargetMode="External"/><Relationship Id="rId2608" Type="http://schemas.openxmlformats.org/officeDocument/2006/relationships/hyperlink" Target="http://www.broadinstitute.org/gsea/msigdb/cards/GSE20198_IL12_VS_IFNA_TREATED_ACT_CD4_TCELL_DN.html" TargetMode="External"/><Relationship Id="rId2609" Type="http://schemas.openxmlformats.org/officeDocument/2006/relationships/hyperlink" Target="http://www.broadinstitute.org/gsea/msigdb/cards/GSE21678_WT_VS_FOXO1_FOXO3_KO_TREG_UP.html" TargetMode="External"/><Relationship Id="rId60" Type="http://schemas.openxmlformats.org/officeDocument/2006/relationships/hyperlink" Target="http://www.broadinstitute.org/gsea/msigdb/cards/ZHOU_CELL_CYCLE_GENES_IN_IR_RESPONSE_6HR.html" TargetMode="External"/><Relationship Id="rId61" Type="http://schemas.openxmlformats.org/officeDocument/2006/relationships/hyperlink" Target="http://www.broadinstitute.org/gsea/msigdb/cards/BENPORATH_PROLIFERATION.html" TargetMode="External"/><Relationship Id="rId62" Type="http://schemas.openxmlformats.org/officeDocument/2006/relationships/hyperlink" Target="http://www.broadinstitute.org/gsea/msigdb/cards/ZHANG_TLX_TARGETS_DN.html" TargetMode="External"/><Relationship Id="rId63" Type="http://schemas.openxmlformats.org/officeDocument/2006/relationships/hyperlink" Target="http://www.broadinstitute.org/gsea/msigdb/cards/MITSIADES_RESPONSE_TO_APLIDIN_DN.html" TargetMode="External"/><Relationship Id="rId64" Type="http://schemas.openxmlformats.org/officeDocument/2006/relationships/hyperlink" Target="http://www.broadinstitute.org/gsea/msigdb/cards/CASORELLI_ACUTE_PROMYELOCYTIC_LEUKEMIA_DN.html" TargetMode="External"/><Relationship Id="rId65" Type="http://schemas.openxmlformats.org/officeDocument/2006/relationships/hyperlink" Target="http://www.broadinstitute.org/gsea/msigdb/cards/MANALO_HYPOXIA_DN.html" TargetMode="External"/><Relationship Id="rId66" Type="http://schemas.openxmlformats.org/officeDocument/2006/relationships/hyperlink" Target="http://www.broadinstitute.org/gsea/msigdb/cards/SENGUPTA_NASOPHARYNGEAL_CARCINOMA_UP.html" TargetMode="External"/><Relationship Id="rId67" Type="http://schemas.openxmlformats.org/officeDocument/2006/relationships/hyperlink" Target="http://www.broadinstitute.org/gsea/msigdb/cards/PUJANA_XPRSS_INT_NETWORK.html" TargetMode="External"/><Relationship Id="rId68" Type="http://schemas.openxmlformats.org/officeDocument/2006/relationships/hyperlink" Target="http://www.broadinstitute.org/gsea/msigdb/cards/LINDGREN_BLADDER_CANCER_CLUSTER_1_DN.html" TargetMode="External"/><Relationship Id="rId69" Type="http://schemas.openxmlformats.org/officeDocument/2006/relationships/hyperlink" Target="http://www.broadinstitute.org/gsea/msigdb/cards/WONG_EMBRYONIC_STEM_CELL_CORE.html" TargetMode="External"/><Relationship Id="rId1920" Type="http://schemas.openxmlformats.org/officeDocument/2006/relationships/hyperlink" Target="http://www.broadinstitute.org/gsea/msigdb/cards/GSE21379_WT_VS_SAP_KO_CD4_TCELL_DN.html" TargetMode="External"/><Relationship Id="rId1921" Type="http://schemas.openxmlformats.org/officeDocument/2006/relationships/hyperlink" Target="http://www.broadinstitute.org/gsea/msigdb/cards/GSE21360_SECONDARY_VS_TERTIARY_MEMORY_CD8_TCELL_UP.html" TargetMode="External"/><Relationship Id="rId1922" Type="http://schemas.openxmlformats.org/officeDocument/2006/relationships/hyperlink" Target="http://www.broadinstitute.org/gsea/msigdb/cards/GSE23505_IL6_IL1_VS_IL6_IL1_TGFB_TREATED_CD4_TCELL_DN.html" TargetMode="External"/><Relationship Id="rId1923" Type="http://schemas.openxmlformats.org/officeDocument/2006/relationships/hyperlink" Target="http://www.broadinstitute.org/gsea/msigdb/cards/GSE26351_WNT_VS_BMP_PATHWAY_STIM_HEMATOPOIETIC_PROGENITORS_UP.html" TargetMode="External"/><Relationship Id="rId1530" Type="http://schemas.openxmlformats.org/officeDocument/2006/relationships/hyperlink" Target="http://www.broadinstitute.org/gsea/msigdb/cards/GO_FEMALE_GAMETE_GENERATION.html" TargetMode="External"/><Relationship Id="rId1531" Type="http://schemas.openxmlformats.org/officeDocument/2006/relationships/hyperlink" Target="http://www.broadinstitute.org/gsea/msigdb/cards/GO_IMMUNE_SYSTEM_DEVELOPMENT.html" TargetMode="External"/><Relationship Id="rId1532" Type="http://schemas.openxmlformats.org/officeDocument/2006/relationships/hyperlink" Target="http://www.broadinstitute.org/gsea/msigdb/cards/GO_DNA_METHYLATION_OR_DEMETHYLATION.html" TargetMode="External"/><Relationship Id="rId1533" Type="http://schemas.openxmlformats.org/officeDocument/2006/relationships/hyperlink" Target="http://www.broadinstitute.org/gsea/msigdb/cards/GO_REGULATION_OF_GLIAL_CELL_DIFFERENTIATION.html" TargetMode="External"/><Relationship Id="rId1140" Type="http://schemas.openxmlformats.org/officeDocument/2006/relationships/hyperlink" Target="http://www.broadinstitute.org/gsea/msigdb/cards/GO_POSITIVE_REGULATION_OF_LIGASE_ACTIVITY.html" TargetMode="External"/><Relationship Id="rId1141" Type="http://schemas.openxmlformats.org/officeDocument/2006/relationships/hyperlink" Target="http://www.broadinstitute.org/gsea/msigdb/cards/GO_NEGATIVE_REGULATION_OF_NITROGEN_COMPOUND_METABOLIC_PROCESS.html" TargetMode="External"/><Relationship Id="rId1142" Type="http://schemas.openxmlformats.org/officeDocument/2006/relationships/hyperlink" Target="http://www.broadinstitute.org/gsea/msigdb/cards/GO_POSITIVE_REGULATION_OF_CATALYTIC_ACTIVITY.html" TargetMode="External"/><Relationship Id="rId1143" Type="http://schemas.openxmlformats.org/officeDocument/2006/relationships/hyperlink" Target="http://www.broadinstitute.org/gsea/msigdb/cards/GO_HISTONE_KINASE_ACTIVITY.html" TargetMode="External"/><Relationship Id="rId1144" Type="http://schemas.openxmlformats.org/officeDocument/2006/relationships/hyperlink" Target="http://www.broadinstitute.org/gsea/msigdb/cards/GO_POSITIVE_REGULATION_OF_PROTEIN_MODIFICATION_BY_SMALL_PROTEIN_CONJUGATION_OR_REMOVAL.html" TargetMode="External"/><Relationship Id="rId1145" Type="http://schemas.openxmlformats.org/officeDocument/2006/relationships/hyperlink" Target="http://www.broadinstitute.org/gsea/msigdb/cards/GO_PROTEIN_UBIQUITINATION.html" TargetMode="External"/><Relationship Id="rId1146" Type="http://schemas.openxmlformats.org/officeDocument/2006/relationships/hyperlink" Target="http://www.broadinstitute.org/gsea/msigdb/cards/GO_HETEROCHROMATIN.html" TargetMode="External"/><Relationship Id="rId1147" Type="http://schemas.openxmlformats.org/officeDocument/2006/relationships/hyperlink" Target="http://www.broadinstitute.org/gsea/msigdb/cards/GO_PROTEIN_SUMOYLATION.html" TargetMode="External"/><Relationship Id="rId1148" Type="http://schemas.openxmlformats.org/officeDocument/2006/relationships/hyperlink" Target="http://www.broadinstitute.org/gsea/msigdb/cards/GO_CHROMOSOME_ORGANIZATION_INVOLVED_IN_MEIOTIC_CELL_CYCLE.html" TargetMode="External"/><Relationship Id="rId1149" Type="http://schemas.openxmlformats.org/officeDocument/2006/relationships/hyperlink" Target="http://www.broadinstitute.org/gsea/msigdb/cards/GO_TRANSFERASE_ACTIVITY_TRANSFERRING_PHOSPHORUS_CONTAINING_GROUPS.html" TargetMode="External"/><Relationship Id="rId680" Type="http://schemas.openxmlformats.org/officeDocument/2006/relationships/hyperlink" Target="http://www.broadinstitute.org/gsea/msigdb/cards/SHAFFER_IRF4_TARGETS_IN_ACTIVATED_DENDRITIC_CELL.html" TargetMode="External"/><Relationship Id="rId681" Type="http://schemas.openxmlformats.org/officeDocument/2006/relationships/hyperlink" Target="http://www.broadinstitute.org/gsea/msigdb/cards/BROWNE_HCMV_INFECTION_30MIN_DN.html" TargetMode="External"/><Relationship Id="rId290" Type="http://schemas.openxmlformats.org/officeDocument/2006/relationships/hyperlink" Target="http://www.broadinstitute.org/gsea/msigdb/cards/REACTOME_POL_SWITCHING.html" TargetMode="External"/><Relationship Id="rId291" Type="http://schemas.openxmlformats.org/officeDocument/2006/relationships/hyperlink" Target="http://www.broadinstitute.org/gsea/msigdb/cards/HESS_TARGETS_OF_HOXA9_AND_MEIS1_UP.html" TargetMode="External"/><Relationship Id="rId292" Type="http://schemas.openxmlformats.org/officeDocument/2006/relationships/hyperlink" Target="http://www.broadinstitute.org/gsea/msigdb/cards/BROWNE_HCMV_INFECTION_48HR_UP.html" TargetMode="External"/><Relationship Id="rId293" Type="http://schemas.openxmlformats.org/officeDocument/2006/relationships/hyperlink" Target="http://www.broadinstitute.org/gsea/msigdb/cards/LOPEZ_MESOTELIOMA_SURVIVAL_TIME_UP.html" TargetMode="External"/><Relationship Id="rId294" Type="http://schemas.openxmlformats.org/officeDocument/2006/relationships/hyperlink" Target="http://www.broadinstitute.org/gsea/msigdb/cards/SANSOM_APC_TARGETS_REQUIRE_MYC.html" TargetMode="External"/><Relationship Id="rId295" Type="http://schemas.openxmlformats.org/officeDocument/2006/relationships/hyperlink" Target="http://www.broadinstitute.org/gsea/msigdb/cards/REACTOME_CYCLIN_A_B1_ASSOCIATED_EVENTS_DURING_G2_M_TRANSITION.html" TargetMode="External"/><Relationship Id="rId296" Type="http://schemas.openxmlformats.org/officeDocument/2006/relationships/hyperlink" Target="http://www.broadinstitute.org/gsea/msigdb/cards/GENTILE_UV_HIGH_DOSE_DN.html" TargetMode="External"/><Relationship Id="rId297" Type="http://schemas.openxmlformats.org/officeDocument/2006/relationships/hyperlink" Target="http://www.broadinstitute.org/gsea/msigdb/cards/KORKOLA_TERATOMA.html" TargetMode="External"/><Relationship Id="rId298" Type="http://schemas.openxmlformats.org/officeDocument/2006/relationships/hyperlink" Target="http://www.broadinstitute.org/gsea/msigdb/cards/MOREAUX_B_LYMPHOCYTE_MATURATION_BY_TACI_DN.html" TargetMode="External"/><Relationship Id="rId299" Type="http://schemas.openxmlformats.org/officeDocument/2006/relationships/hyperlink" Target="http://www.broadinstitute.org/gsea/msigdb/cards/XU_HGF_TARGETS_INDUCED_BY_AKT1_48HR_DN.html" TargetMode="External"/><Relationship Id="rId682" Type="http://schemas.openxmlformats.org/officeDocument/2006/relationships/hyperlink" Target="http://www.broadinstitute.org/gsea/msigdb/cards/GRAESSMANN_RESPONSE_TO_MC_AND_DOXORUBICIN_UP.html" TargetMode="External"/><Relationship Id="rId683" Type="http://schemas.openxmlformats.org/officeDocument/2006/relationships/hyperlink" Target="http://www.broadinstitute.org/gsea/msigdb/cards/BIOCARTA_DNAFRAGMENT_PATHWAY.html" TargetMode="External"/><Relationship Id="rId684" Type="http://schemas.openxmlformats.org/officeDocument/2006/relationships/hyperlink" Target="http://www.broadinstitute.org/gsea/msigdb/cards/KONG_E2F1_TARGETS.html" TargetMode="External"/><Relationship Id="rId685" Type="http://schemas.openxmlformats.org/officeDocument/2006/relationships/hyperlink" Target="http://www.broadinstitute.org/gsea/msigdb/cards/BIOCARTA_MPR_PATHWAY.html" TargetMode="External"/><Relationship Id="rId686" Type="http://schemas.openxmlformats.org/officeDocument/2006/relationships/hyperlink" Target="http://www.broadinstitute.org/gsea/msigdb/cards/DEBIASI_APOPTOSIS_BY_REOVIRUS_INFECTION_UP.html" TargetMode="External"/><Relationship Id="rId687" Type="http://schemas.openxmlformats.org/officeDocument/2006/relationships/hyperlink" Target="http://www.broadinstitute.org/gsea/msigdb/cards/E2F_Q4.html" TargetMode="External"/><Relationship Id="rId688" Type="http://schemas.openxmlformats.org/officeDocument/2006/relationships/hyperlink" Target="http://www.broadinstitute.org/gsea/msigdb/cards/E2F_Q6.html" TargetMode="External"/><Relationship Id="rId689" Type="http://schemas.openxmlformats.org/officeDocument/2006/relationships/hyperlink" Target="http://www.broadinstitute.org/gsea/msigdb/cards/E2F1_Q6.html" TargetMode="External"/><Relationship Id="rId1534" Type="http://schemas.openxmlformats.org/officeDocument/2006/relationships/hyperlink" Target="http://www.broadinstitute.org/gsea/msigdb/cards/GO_REGULATION_OF_MEIOTIC_NUCLEAR_DIVISION.html" TargetMode="External"/><Relationship Id="rId1535" Type="http://schemas.openxmlformats.org/officeDocument/2006/relationships/hyperlink" Target="http://www.broadinstitute.org/gsea/msigdb/cards/GO_NEUROBLAST_PROLIFERATION.html" TargetMode="External"/><Relationship Id="rId1536" Type="http://schemas.openxmlformats.org/officeDocument/2006/relationships/hyperlink" Target="http://www.broadinstitute.org/gsea/msigdb/cards/GO_UBIQUITIN_LIKE_PROTEIN_CONJUGATING_ENZYME_ACTIVITY.html" TargetMode="External"/><Relationship Id="rId1537" Type="http://schemas.openxmlformats.org/officeDocument/2006/relationships/hyperlink" Target="http://www.broadinstitute.org/gsea/msigdb/cards/GO_POSITIVE_REGULATION_OF_PROTEASOMAL_PROTEIN_CATABOLIC_PROCESS.html" TargetMode="External"/><Relationship Id="rId1538" Type="http://schemas.openxmlformats.org/officeDocument/2006/relationships/hyperlink" Target="http://www.broadinstitute.org/gsea/msigdb/cards/GO_RESPONSE_TO_VITAMIN.html" TargetMode="External"/><Relationship Id="rId1539" Type="http://schemas.openxmlformats.org/officeDocument/2006/relationships/hyperlink" Target="http://www.broadinstitute.org/gsea/msigdb/cards/GO_LIGASE_ACTIVITY.html" TargetMode="External"/><Relationship Id="rId1924" Type="http://schemas.openxmlformats.org/officeDocument/2006/relationships/hyperlink" Target="http://www.broadinstitute.org/gsea/msigdb/cards/GSE39022_LN_VS_SPLEEN_DC_UP.html" TargetMode="External"/><Relationship Id="rId1925" Type="http://schemas.openxmlformats.org/officeDocument/2006/relationships/hyperlink" Target="http://www.broadinstitute.org/gsea/msigdb/cards/GSE14699_DELETIONAL_TOLERANCE_VS_ACTIVATED_CD8_TCELL_UP.html" TargetMode="External"/><Relationship Id="rId1926" Type="http://schemas.openxmlformats.org/officeDocument/2006/relationships/hyperlink" Target="http://www.broadinstitute.org/gsea/msigdb/cards/GSE32901_NAIVE_VS_TH1_CD4_TCELL_DN.html" TargetMode="External"/><Relationship Id="rId1927" Type="http://schemas.openxmlformats.org/officeDocument/2006/relationships/hyperlink" Target="http://www.broadinstitute.org/gsea/msigdb/cards/GSE21360_SECONDARY_VS_TERTIARY_MEMORY_CD8_TCELL_DN.html" TargetMode="External"/><Relationship Id="rId1928" Type="http://schemas.openxmlformats.org/officeDocument/2006/relationships/hyperlink" Target="http://www.broadinstitute.org/gsea/msigdb/cards/GSE20727_CTRL_VS_ROS_INHIBITOR_TREATED_DC_UP.html" TargetMode="External"/><Relationship Id="rId1929" Type="http://schemas.openxmlformats.org/officeDocument/2006/relationships/hyperlink" Target="http://www.broadinstitute.org/gsea/msigdb/cards/GSE2770_UNTREATED_VS_IL4_TREATED_ACT_CD4_TCELL_2H_DN.html" TargetMode="External"/><Relationship Id="rId2220" Type="http://schemas.openxmlformats.org/officeDocument/2006/relationships/hyperlink" Target="http://www.broadinstitute.org/gsea/msigdb/cards/GSE22886_IGM_MEMORY_BCELL_VS_BLOOD_PLASMA_CELL_DN.html" TargetMode="External"/><Relationship Id="rId2221" Type="http://schemas.openxmlformats.org/officeDocument/2006/relationships/hyperlink" Target="http://www.broadinstitute.org/gsea/msigdb/cards/GSE22886_DC_VS_MONOCYTE_UP.html" TargetMode="External"/><Relationship Id="rId2222" Type="http://schemas.openxmlformats.org/officeDocument/2006/relationships/hyperlink" Target="http://www.broadinstitute.org/gsea/msigdb/cards/GSE22886_NAIVE_CD4_TCELL_VS_12H_ACT_TH2_DN.html" TargetMode="External"/><Relationship Id="rId2223" Type="http://schemas.openxmlformats.org/officeDocument/2006/relationships/hyperlink" Target="http://www.broadinstitute.org/gsea/msigdb/cards/GSE27786_LSK_VS_NKCELL_UP.html" TargetMode="External"/><Relationship Id="rId2224" Type="http://schemas.openxmlformats.org/officeDocument/2006/relationships/hyperlink" Target="http://www.broadinstitute.org/gsea/msigdb/cards/GSE339_CD4POS_VS_CD4CD8DN_DC_DN.html" TargetMode="External"/><Relationship Id="rId2225" Type="http://schemas.openxmlformats.org/officeDocument/2006/relationships/hyperlink" Target="http://www.broadinstitute.org/gsea/msigdb/cards/GSE339_EX_VIVO_VS_IN_CULTURE_CD8POS_DC_UP.html" TargetMode="External"/><Relationship Id="rId2226" Type="http://schemas.openxmlformats.org/officeDocument/2006/relationships/hyperlink" Target="http://www.broadinstitute.org/gsea/msigdb/cards/GSE37416_CTRL_VS_48H_F_TULARENSIS_LVS_NEUTROPHIL_UP.html" TargetMode="External"/><Relationship Id="rId2227" Type="http://schemas.openxmlformats.org/officeDocument/2006/relationships/hyperlink" Target="http://www.broadinstitute.org/gsea/msigdb/cards/GSE3982_NEUTROPHIL_VS_TH2_DN.html" TargetMode="External"/><Relationship Id="rId2228" Type="http://schemas.openxmlformats.org/officeDocument/2006/relationships/hyperlink" Target="http://www.broadinstitute.org/gsea/msigdb/cards/GSE5463_CTRL_VS_DEXAMETHASONE_TREATED_THYMOCYTE_DN.html" TargetMode="External"/><Relationship Id="rId2229" Type="http://schemas.openxmlformats.org/officeDocument/2006/relationships/hyperlink" Target="http://www.broadinstitute.org/gsea/msigdb/cards/GSE7764_IL15_NK_CELL_24H_VS_SPLENOCYTE_UP.html" TargetMode="External"/><Relationship Id="rId2610" Type="http://schemas.openxmlformats.org/officeDocument/2006/relationships/hyperlink" Target="http://www.broadinstitute.org/gsea/msigdb/cards/GSE16450_CTRL_VS_IFNA_12H_STIM_MATURE_NEURON_CELL_LINE_DN.html" TargetMode="External"/><Relationship Id="rId2611" Type="http://schemas.openxmlformats.org/officeDocument/2006/relationships/hyperlink" Target="http://www.broadinstitute.org/gsea/msigdb/cards/GSE21546_SAP1A_KO_VS_SAP1A_KO_AND_ELK1_KO_ANTI_CD3_STIM_DP_THYMOCYTES_UP.html" TargetMode="External"/><Relationship Id="rId2612" Type="http://schemas.openxmlformats.org/officeDocument/2006/relationships/hyperlink" Target="http://www.broadinstitute.org/gsea/msigdb/cards/GSE19401_PLN_VS_PEYERS_PATCH_FOLLICULAR_DC_DN.html" TargetMode="External"/><Relationship Id="rId2613" Type="http://schemas.openxmlformats.org/officeDocument/2006/relationships/hyperlink" Target="http://www.broadinstitute.org/gsea/msigdb/cards/GSE23308_WT_VS_MINERALCORTICOID_REC_KO_MACROPHAGE_CORTICOSTERONE_TREATED_UP.html" TargetMode="External"/><Relationship Id="rId2614" Type="http://schemas.openxmlformats.org/officeDocument/2006/relationships/hyperlink" Target="http://www.broadinstitute.org/gsea/msigdb/cards/GSE23308_CTRL_VS_CORTICOSTERONE_TREATED_MACROPHAGE_MINERALCORTICOID_REC_KO_UP.html" TargetMode="External"/><Relationship Id="rId2615" Type="http://schemas.openxmlformats.org/officeDocument/2006/relationships/hyperlink" Target="http://www.broadinstitute.org/gsea/msigdb/cards/GSE22589_HIV_VS_HIV_AND_SIV_INFECTED_DC_DN.html" TargetMode="External"/><Relationship Id="rId2616" Type="http://schemas.openxmlformats.org/officeDocument/2006/relationships/hyperlink" Target="http://www.broadinstitute.org/gsea/msigdb/cards/GSE22432_MULTIPOTENT_VS_COMMON_DC_PROGENITOR_UNTREATED_DN.html" TargetMode="External"/><Relationship Id="rId2617" Type="http://schemas.openxmlformats.org/officeDocument/2006/relationships/hyperlink" Target="http://www.broadinstitute.org/gsea/msigdb/cards/GSE22919_RESTING_VS_IL2_IL12_IL15_STIM_NK_CELL_DN.html" TargetMode="External"/><Relationship Id="rId2618" Type="http://schemas.openxmlformats.org/officeDocument/2006/relationships/hyperlink" Target="http://www.broadinstitute.org/gsea/msigdb/cards/GSE25123_CTRL_VS_IL4_AND_ROSIGLITAZONE_STIM_MACROPHAGE_DN.html" TargetMode="External"/><Relationship Id="rId2619" Type="http://schemas.openxmlformats.org/officeDocument/2006/relationships/hyperlink" Target="http://www.broadinstitute.org/gsea/msigdb/cards/GSE25088_WT_VS_STAT6_KO_MACROPHAGE_UP.html" TargetMode="External"/><Relationship Id="rId70" Type="http://schemas.openxmlformats.org/officeDocument/2006/relationships/hyperlink" Target="http://www.broadinstitute.org/gsea/msigdb/cards/PATIL_LIVER_CANCER.html" TargetMode="External"/><Relationship Id="rId71" Type="http://schemas.openxmlformats.org/officeDocument/2006/relationships/hyperlink" Target="http://www.broadinstitute.org/gsea/msigdb/cards/LEE_BMP2_TARGETS_DN.html" TargetMode="External"/><Relationship Id="rId72" Type="http://schemas.openxmlformats.org/officeDocument/2006/relationships/hyperlink" Target="http://www.broadinstitute.org/gsea/msigdb/cards/FERREIRA_EWINGS_SARCOMA_UNSTABLE_VS_STABLE_UP.html" TargetMode="External"/><Relationship Id="rId73" Type="http://schemas.openxmlformats.org/officeDocument/2006/relationships/hyperlink" Target="http://www.broadinstitute.org/gsea/msigdb/cards/ODONNELL_TFRC_TARGETS_DN.html" TargetMode="External"/><Relationship Id="rId74" Type="http://schemas.openxmlformats.org/officeDocument/2006/relationships/hyperlink" Target="http://www.broadinstitute.org/gsea/msigdb/cards/TOYOTA_TARGETS_OF_MIR34B_AND_MIR34C.html" TargetMode="External"/><Relationship Id="rId75" Type="http://schemas.openxmlformats.org/officeDocument/2006/relationships/hyperlink" Target="http://www.broadinstitute.org/gsea/msigdb/cards/GEORGES_TARGETS_OF_MIR192_AND_MIR215.html" TargetMode="External"/><Relationship Id="rId76" Type="http://schemas.openxmlformats.org/officeDocument/2006/relationships/hyperlink" Target="http://www.broadinstitute.org/gsea/msigdb/cards/RUIZ_TNC_TARGETS_DN.html" TargetMode="External"/><Relationship Id="rId77" Type="http://schemas.openxmlformats.org/officeDocument/2006/relationships/hyperlink" Target="http://www.broadinstitute.org/gsea/msigdb/cards/KANG_DOXORUBICIN_RESISTANCE_UP.html" TargetMode="External"/><Relationship Id="rId78" Type="http://schemas.openxmlformats.org/officeDocument/2006/relationships/hyperlink" Target="http://www.broadinstitute.org/gsea/msigdb/cards/CROONQUIST_NRAS_SIGNALING_DN.html" TargetMode="External"/><Relationship Id="rId79" Type="http://schemas.openxmlformats.org/officeDocument/2006/relationships/hyperlink" Target="http://www.broadinstitute.org/gsea/msigdb/cards/REACTOME_MITOTIC_M_M_G1_PHASES.html" TargetMode="External"/><Relationship Id="rId1930" Type="http://schemas.openxmlformats.org/officeDocument/2006/relationships/hyperlink" Target="http://www.broadinstitute.org/gsea/msigdb/cards/GSE32986_UNSTIM_VS_CURDLAN_LOWDOSE_STIM_DC_DN.html" TargetMode="External"/><Relationship Id="rId1931" Type="http://schemas.openxmlformats.org/officeDocument/2006/relationships/hyperlink" Target="http://www.broadinstitute.org/gsea/msigdb/cards/GSE45365_HEALTHY_VS_MCMV_INFECTION_BCELL_IFNAR_KO_UP.html" TargetMode="External"/><Relationship Id="rId1932" Type="http://schemas.openxmlformats.org/officeDocument/2006/relationships/hyperlink" Target="http://www.broadinstitute.org/gsea/msigdb/cards/GSE12845_IGD_POS_BLOOD_VS_DARKZONE_GC_TONSIL_BCELL_DN.html" TargetMode="External"/><Relationship Id="rId1933" Type="http://schemas.openxmlformats.org/officeDocument/2006/relationships/hyperlink" Target="http://www.broadinstitute.org/gsea/msigdb/cards/GSE1460_NAIVE_CD4_TCELL_ADULT_BLOOD_VS_THYMIC_STROMAL_CELL_DN.html" TargetMode="External"/><Relationship Id="rId1540" Type="http://schemas.openxmlformats.org/officeDocument/2006/relationships/hyperlink" Target="http://www.broadinstitute.org/gsea/msigdb/cards/GO_NUCLEOSOMAL_DNA_BINDING.html" TargetMode="External"/><Relationship Id="rId1541" Type="http://schemas.openxmlformats.org/officeDocument/2006/relationships/hyperlink" Target="http://www.broadinstitute.org/gsea/msigdb/cards/GO_RESPONSE_TO_REACTIVE_OXYGEN_SPECIES.html" TargetMode="External"/><Relationship Id="rId1542" Type="http://schemas.openxmlformats.org/officeDocument/2006/relationships/hyperlink" Target="http://www.broadinstitute.org/gsea/msigdb/cards/GO_STRUCTURAL_CONSTITUENT_OF_CYTOSKELETON.html" TargetMode="External"/><Relationship Id="rId1543" Type="http://schemas.openxmlformats.org/officeDocument/2006/relationships/hyperlink" Target="http://www.broadinstitute.org/gsea/msigdb/cards/GO_RESPONSE_TO_OXIDATIVE_STRESS.html" TargetMode="External"/><Relationship Id="rId1150" Type="http://schemas.openxmlformats.org/officeDocument/2006/relationships/hyperlink" Target="http://www.broadinstitute.org/gsea/msigdb/cards/GO_PROTEIN_LOCALIZATION_TO_ORGANELLE.html" TargetMode="External"/><Relationship Id="rId1151" Type="http://schemas.openxmlformats.org/officeDocument/2006/relationships/hyperlink" Target="http://www.broadinstitute.org/gsea/msigdb/cards/GO_PROTEIN_LOCALIZATION_TO_KINETOCHORE.html" TargetMode="External"/><Relationship Id="rId1152" Type="http://schemas.openxmlformats.org/officeDocument/2006/relationships/hyperlink" Target="http://www.broadinstitute.org/gsea/msigdb/cards/GO_REGULATION_OF_ATTACHMENT_OF_SPINDLE_MICROTUBULES_TO_KINETOCHORE.html" TargetMode="External"/><Relationship Id="rId1153" Type="http://schemas.openxmlformats.org/officeDocument/2006/relationships/hyperlink" Target="http://www.broadinstitute.org/gsea/msigdb/cards/GO_G1_DNA_DAMAGE_CHECKPOINT.html" TargetMode="External"/><Relationship Id="rId1154" Type="http://schemas.openxmlformats.org/officeDocument/2006/relationships/hyperlink" Target="http://www.broadinstitute.org/gsea/msigdb/cards/GO_REGULATION_OF_PROTEIN_MODIFICATION_BY_SMALL_PROTEIN_CONJUGATION_OR_REMOVAL.html" TargetMode="External"/><Relationship Id="rId1155" Type="http://schemas.openxmlformats.org/officeDocument/2006/relationships/hyperlink" Target="http://www.broadinstitute.org/gsea/msigdb/cards/GO_REGULATION_OF_PROTEASOMAL_PROTEIN_CATABOLIC_PROCESS.html" TargetMode="External"/><Relationship Id="rId1156" Type="http://schemas.openxmlformats.org/officeDocument/2006/relationships/hyperlink" Target="http://www.broadinstitute.org/gsea/msigdb/cards/GO_PURINE_NTP_DEPENDENT_HELICASE_ACTIVITY.html" TargetMode="External"/><Relationship Id="rId1157" Type="http://schemas.openxmlformats.org/officeDocument/2006/relationships/hyperlink" Target="http://www.broadinstitute.org/gsea/msigdb/cards/GO_3_5_DNA_HELICASE_ACTIVITY.html" TargetMode="External"/><Relationship Id="rId1158" Type="http://schemas.openxmlformats.org/officeDocument/2006/relationships/hyperlink" Target="http://www.broadinstitute.org/gsea/msigdb/cards/GO_ANATOMICAL_STRUCTURE_HOMEOSTASIS.html" TargetMode="External"/><Relationship Id="rId1159" Type="http://schemas.openxmlformats.org/officeDocument/2006/relationships/hyperlink" Target="http://www.broadinstitute.org/gsea/msigdb/cards/GO_REGULATION_OF_DOUBLE_STRAND_BREAK_REPAIR.html" TargetMode="External"/><Relationship Id="rId690" Type="http://schemas.openxmlformats.org/officeDocument/2006/relationships/hyperlink" Target="http://www.broadinstitute.org/gsea/msigdb/cards/E2F_Q4_01.html" TargetMode="External"/><Relationship Id="rId691" Type="http://schemas.openxmlformats.org/officeDocument/2006/relationships/hyperlink" Target="http://www.broadinstitute.org/gsea/msigdb/cards/E2F_Q3_01.html" TargetMode="External"/><Relationship Id="rId692" Type="http://schemas.openxmlformats.org/officeDocument/2006/relationships/hyperlink" Target="http://www.broadinstitute.org/gsea/msigdb/cards/E2F1_Q4_01.html" TargetMode="External"/><Relationship Id="rId693" Type="http://schemas.openxmlformats.org/officeDocument/2006/relationships/hyperlink" Target="http://www.broadinstitute.org/gsea/msigdb/cards/E2F_02.html" TargetMode="External"/><Relationship Id="rId694" Type="http://schemas.openxmlformats.org/officeDocument/2006/relationships/hyperlink" Target="http://www.broadinstitute.org/gsea/msigdb/cards/E2F1DP1_01.html" TargetMode="External"/><Relationship Id="rId695" Type="http://schemas.openxmlformats.org/officeDocument/2006/relationships/hyperlink" Target="http://www.broadinstitute.org/gsea/msigdb/cards/E2F1DP2_01.html" TargetMode="External"/><Relationship Id="rId696" Type="http://schemas.openxmlformats.org/officeDocument/2006/relationships/hyperlink" Target="http://www.broadinstitute.org/gsea/msigdb/cards/E2F4DP2_01.html" TargetMode="External"/><Relationship Id="rId697" Type="http://schemas.openxmlformats.org/officeDocument/2006/relationships/hyperlink" Target="http://www.broadinstitute.org/gsea/msigdb/cards/E2F4DP1_01.html" TargetMode="External"/><Relationship Id="rId698" Type="http://schemas.openxmlformats.org/officeDocument/2006/relationships/hyperlink" Target="http://www.broadinstitute.org/gsea/msigdb/cards/E2F1_Q6_01.html" TargetMode="External"/><Relationship Id="rId699" Type="http://schemas.openxmlformats.org/officeDocument/2006/relationships/hyperlink" Target="http://www.broadinstitute.org/gsea/msigdb/cards/E2F_Q6_01.html" TargetMode="External"/><Relationship Id="rId1544" Type="http://schemas.openxmlformats.org/officeDocument/2006/relationships/hyperlink" Target="http://www.broadinstitute.org/gsea/msigdb/cards/GO_TERMINATION_OF_RNA_POLYMERASE_II_TRANSCRIPTION.html" TargetMode="External"/><Relationship Id="rId1545" Type="http://schemas.openxmlformats.org/officeDocument/2006/relationships/hyperlink" Target="http://www.broadinstitute.org/gsea/msigdb/cards/GO_REGULATION_OF_MRNA_SPLICING_VIA_SPLICEOSOME.html" TargetMode="External"/><Relationship Id="rId1546" Type="http://schemas.openxmlformats.org/officeDocument/2006/relationships/hyperlink" Target="http://www.broadinstitute.org/gsea/msigdb/cards/GO_TRANSCRIPTION_FROM_RNA_POLYMERASE_II_PROMOTER.html" TargetMode="External"/><Relationship Id="rId1547" Type="http://schemas.openxmlformats.org/officeDocument/2006/relationships/hyperlink" Target="http://www.broadinstitute.org/gsea/msigdb/cards/GO_DNA_TEMPLATED_TRANSCRIPTION_TERMINATION.html" TargetMode="External"/><Relationship Id="rId1548" Type="http://schemas.openxmlformats.org/officeDocument/2006/relationships/hyperlink" Target="http://www.broadinstitute.org/gsea/msigdb/cards/GO_RHYTHMIC_PROCESS.html" TargetMode="External"/><Relationship Id="rId1549" Type="http://schemas.openxmlformats.org/officeDocument/2006/relationships/hyperlink" Target="http://www.broadinstitute.org/gsea/msigdb/cards/GO_EUCHROMATIN.html" TargetMode="External"/><Relationship Id="rId1934" Type="http://schemas.openxmlformats.org/officeDocument/2006/relationships/hyperlink" Target="http://www.broadinstitute.org/gsea/msigdb/cards/GSE17974_0H_VS_48H_IN_VITRO_ACT_CD4_TCELL_DN.html" TargetMode="External"/><Relationship Id="rId1935" Type="http://schemas.openxmlformats.org/officeDocument/2006/relationships/hyperlink" Target="http://www.broadinstitute.org/gsea/msigdb/cards/GSE17974_0.5H_VS_72H_UNTREATED_IN_VITRO_CD4_TCELL_DN.html" TargetMode="External"/><Relationship Id="rId1936" Type="http://schemas.openxmlformats.org/officeDocument/2006/relationships/hyperlink" Target="http://www.broadinstitute.org/gsea/msigdb/cards/GSE17974_2H_VS_72H_UNTREATED_IN_VITRO_CD4_TCELL_DN.html" TargetMode="External"/><Relationship Id="rId1937" Type="http://schemas.openxmlformats.org/officeDocument/2006/relationships/hyperlink" Target="http://www.broadinstitute.org/gsea/msigdb/cards/GSE20715_0H_VS_48H_OZONE_TLR4_KO_LUNG_DN.html" TargetMode="External"/><Relationship Id="rId1938" Type="http://schemas.openxmlformats.org/officeDocument/2006/relationships/hyperlink" Target="http://www.broadinstitute.org/gsea/msigdb/cards/GSE22886_NAIVE_BCELL_VS_BLOOD_PLASMA_CELL_DN.html" TargetMode="External"/><Relationship Id="rId1939" Type="http://schemas.openxmlformats.org/officeDocument/2006/relationships/hyperlink" Target="http://www.broadinstitute.org/gsea/msigdb/cards/GSE339_EX_VIVO_VS_IN_CULTURE_CD4CD8DN_DC_UP.html" TargetMode="External"/><Relationship Id="rId2230" Type="http://schemas.openxmlformats.org/officeDocument/2006/relationships/hyperlink" Target="http://www.broadinstitute.org/gsea/msigdb/cards/GSE9006_HEALTHY_VS_TYPE_1_DIABETES_PBMC_AT_DX_DN.html" TargetMode="External"/><Relationship Id="rId2231" Type="http://schemas.openxmlformats.org/officeDocument/2006/relationships/hyperlink" Target="http://www.broadinstitute.org/gsea/msigdb/cards/GSE9650_GP33_VS_GP276_LCMV_SPECIFIC_EXHAUSTED_CD8_TCELL_DN.html" TargetMode="External"/><Relationship Id="rId2232" Type="http://schemas.openxmlformats.org/officeDocument/2006/relationships/hyperlink" Target="http://www.broadinstitute.org/gsea/msigdb/cards/GSE557_WT_VS_I_AB_KO_DC_DN.html" TargetMode="External"/><Relationship Id="rId2233" Type="http://schemas.openxmlformats.org/officeDocument/2006/relationships/hyperlink" Target="http://www.broadinstitute.org/gsea/msigdb/cards/GSE557_CIITA_KO_VS_I_AB_KO_DC_DN.html" TargetMode="External"/><Relationship Id="rId2234" Type="http://schemas.openxmlformats.org/officeDocument/2006/relationships/hyperlink" Target="http://www.broadinstitute.org/gsea/msigdb/cards/GSE2770_TGFB_AND_IL4_VS_IL12_TREATED_ACT_CD4_TCELL_48H_DN.html" TargetMode="External"/><Relationship Id="rId2235" Type="http://schemas.openxmlformats.org/officeDocument/2006/relationships/hyperlink" Target="http://www.broadinstitute.org/gsea/msigdb/cards/GSE2405_0H_VS_1.5H_A_PHAGOCYTOPHILUM_STIM_NEUTROPHIL_DN.html" TargetMode="External"/><Relationship Id="rId2236" Type="http://schemas.openxmlformats.org/officeDocument/2006/relationships/hyperlink" Target="http://www.broadinstitute.org/gsea/msigdb/cards/GSE8835_HEALTHY_VS_CLL_CD4_TCELL_DN.html" TargetMode="External"/><Relationship Id="rId2237" Type="http://schemas.openxmlformats.org/officeDocument/2006/relationships/hyperlink" Target="http://www.broadinstitute.org/gsea/msigdb/cards/GSE1925_CTRL_VS_IFNG_PRIMED_MACROPHAGE_24H_IFNG_STIM_DN.html" TargetMode="External"/><Relationship Id="rId2238" Type="http://schemas.openxmlformats.org/officeDocument/2006/relationships/hyperlink" Target="http://www.broadinstitute.org/gsea/msigdb/cards/GSE5589_LPS_VS_LPS_AND_IL10_STIM_IL10_KO_MACROPHAGE_45MIN_DN.html" TargetMode="External"/><Relationship Id="rId2239" Type="http://schemas.openxmlformats.org/officeDocument/2006/relationships/hyperlink" Target="http://www.broadinstitute.org/gsea/msigdb/cards/GSE5589_WT_VS_IL10_KO_LPS_AND_IL10_STIM_MACROPHAGE_45MIN_UP.html" TargetMode="External"/><Relationship Id="rId2620" Type="http://schemas.openxmlformats.org/officeDocument/2006/relationships/hyperlink" Target="http://www.broadinstitute.org/gsea/msigdb/cards/GSE25088_IL4_VS_IL4_AND_ROSIGLITAZONE_STIM_MACROPHAGE_DAY10_DN.html" TargetMode="External"/><Relationship Id="rId2621" Type="http://schemas.openxmlformats.org/officeDocument/2006/relationships/hyperlink" Target="http://www.broadinstitute.org/gsea/msigdb/cards/GSE24972_MARGINAL_ZONE_BCELL_VS_FOLLICULAR_BCELL_DN.html" TargetMode="External"/><Relationship Id="rId2622" Type="http://schemas.openxmlformats.org/officeDocument/2006/relationships/hyperlink" Target="http://www.broadinstitute.org/gsea/msigdb/cards/GSE27092_WT_VS_HDAC7_PHOSPHO_DEFICIENT_CD8_TCELL_DN.html" TargetMode="External"/><Relationship Id="rId2623" Type="http://schemas.openxmlformats.org/officeDocument/2006/relationships/hyperlink" Target="http://www.broadinstitute.org/gsea/msigdb/cards/GSE22443_NAIVE_VS_ACT_AND_IL12_TREATED_CD8_TCELL_DN.html" TargetMode="External"/><Relationship Id="rId2624" Type="http://schemas.openxmlformats.org/officeDocument/2006/relationships/hyperlink" Target="http://www.broadinstitute.org/gsea/msigdb/cards/GSE23114_WT_VS_SLE2C1_MOUSE_SPLEEN_B1A_BCELL_DN.html" TargetMode="External"/><Relationship Id="rId2625" Type="http://schemas.openxmlformats.org/officeDocument/2006/relationships/hyperlink" Target="http://www.broadinstitute.org/gsea/msigdb/cards/GSE28726_NAIVE_VS_ACTIVATED_VA24NEG_NKTCELL_UP.html" TargetMode="External"/><Relationship Id="rId2626" Type="http://schemas.openxmlformats.org/officeDocument/2006/relationships/hyperlink" Target="http://www.broadinstitute.org/gsea/msigdb/cards/GSE28130_ACTIVATED_VS_INDUCEED_TREG_DN.html" TargetMode="External"/><Relationship Id="rId2627" Type="http://schemas.openxmlformats.org/officeDocument/2006/relationships/hyperlink" Target="http://www.broadinstitute.org/gsea/msigdb/cards/GSE29949_CD8_NEG_DC_SPLEEN_VS_DC_BRAIN_DN.html" TargetMode="External"/><Relationship Id="rId2628" Type="http://schemas.openxmlformats.org/officeDocument/2006/relationships/hyperlink" Target="http://www.broadinstitute.org/gsea/msigdb/cards/GSE29949_CD8_NEG_DC_SPLEEN_VS_MONOCYTE_BONE_MARROW_UP.html" TargetMode="External"/><Relationship Id="rId2629" Type="http://schemas.openxmlformats.org/officeDocument/2006/relationships/hyperlink" Target="http://www.broadinstitute.org/gsea/msigdb/cards/GSE26030_UNSTIM_VS_RESTIM_TH1_DAY15_POST_POLARIZATION_DN.html" TargetMode="External"/><Relationship Id="rId80" Type="http://schemas.openxmlformats.org/officeDocument/2006/relationships/hyperlink" Target="http://www.broadinstitute.org/gsea/msigdb/cards/ZHENG_GLIOBLASTOMA_PLASTICITY_UP.html" TargetMode="External"/><Relationship Id="rId81" Type="http://schemas.openxmlformats.org/officeDocument/2006/relationships/hyperlink" Target="http://www.broadinstitute.org/gsea/msigdb/cards/FOURNIER_ACINAR_DEVELOPMENT_LATE_2.html" TargetMode="External"/><Relationship Id="rId82" Type="http://schemas.openxmlformats.org/officeDocument/2006/relationships/hyperlink" Target="http://www.broadinstitute.org/gsea/msigdb/cards/MISSIAGLIA_REGULATED_BY_METHYLATION_DN.html" TargetMode="External"/><Relationship Id="rId83" Type="http://schemas.openxmlformats.org/officeDocument/2006/relationships/hyperlink" Target="http://www.broadinstitute.org/gsea/msigdb/cards/CHEMNITZ_RESPONSE_TO_PROSTAGLANDIN_E2_UP.html" TargetMode="External"/><Relationship Id="rId84" Type="http://schemas.openxmlformats.org/officeDocument/2006/relationships/hyperlink" Target="http://www.broadinstitute.org/gsea/msigdb/cards/LI_WILMS_TUMOR_VS_FETAL_KIDNEY_1_DN.html" TargetMode="External"/><Relationship Id="rId85" Type="http://schemas.openxmlformats.org/officeDocument/2006/relationships/hyperlink" Target="http://www.broadinstitute.org/gsea/msigdb/cards/LE_EGR2_TARGETS_UP.html" TargetMode="External"/><Relationship Id="rId86" Type="http://schemas.openxmlformats.org/officeDocument/2006/relationships/hyperlink" Target="http://www.broadinstitute.org/gsea/msigdb/cards/MORI_IMMATURE_B_LYMPHOCYTE_DN.html" TargetMode="External"/><Relationship Id="rId87" Type="http://schemas.openxmlformats.org/officeDocument/2006/relationships/hyperlink" Target="http://www.broadinstitute.org/gsea/msigdb/cards/RODRIGUES_THYROID_CARCINOMA_ANAPLASTIC_UP.html" TargetMode="External"/><Relationship Id="rId88" Type="http://schemas.openxmlformats.org/officeDocument/2006/relationships/hyperlink" Target="http://www.broadinstitute.org/gsea/msigdb/cards/TIEN_INTESTINE_PROBIOTICS_24HR_UP.html" TargetMode="External"/><Relationship Id="rId89" Type="http://schemas.openxmlformats.org/officeDocument/2006/relationships/hyperlink" Target="http://www.broadinstitute.org/gsea/msigdb/cards/PUJANA_BRCA_CENTERED_NETWORK.html" TargetMode="External"/><Relationship Id="rId1940" Type="http://schemas.openxmlformats.org/officeDocument/2006/relationships/hyperlink" Target="http://www.broadinstitute.org/gsea/msigdb/cards/GSE39820_CTRL_VS_IL1B_IL6_IL23A_CD4_TCELL_UP.html" TargetMode="External"/><Relationship Id="rId1941" Type="http://schemas.openxmlformats.org/officeDocument/2006/relationships/hyperlink" Target="http://www.broadinstitute.org/gsea/msigdb/cards/GSE9650_NAIVE_VS_EFF_CD8_TCELL_DN.html" TargetMode="External"/><Relationship Id="rId1942" Type="http://schemas.openxmlformats.org/officeDocument/2006/relationships/hyperlink" Target="http://www.broadinstitute.org/gsea/msigdb/cards/GSE411_UNSTIM_VS_400MIN_IL6_STIM_SOCS3_KO_MACROPHAGE_DN.html" TargetMode="External"/><Relationship Id="rId1943" Type="http://schemas.openxmlformats.org/officeDocument/2006/relationships/hyperlink" Target="http://www.broadinstitute.org/gsea/msigdb/cards/GSE3039_NKT_CELL_VS_ALPHABETA_CD8_TCELL_UP.html" TargetMode="External"/><Relationship Id="rId1550" Type="http://schemas.openxmlformats.org/officeDocument/2006/relationships/hyperlink" Target="http://www.broadinstitute.org/gsea/msigdb/cards/GO_SITE_OF_DOUBLE_STRAND_BREAK.html" TargetMode="External"/><Relationship Id="rId1551" Type="http://schemas.openxmlformats.org/officeDocument/2006/relationships/hyperlink" Target="http://www.broadinstitute.org/gsea/msigdb/cards/RB_P107_DN.V1_UP.html" TargetMode="External"/><Relationship Id="rId1552" Type="http://schemas.openxmlformats.org/officeDocument/2006/relationships/hyperlink" Target="http://www.broadinstitute.org/gsea/msigdb/cards/CSR_LATE_UP.V1_UP.html" TargetMode="External"/><Relationship Id="rId1553" Type="http://schemas.openxmlformats.org/officeDocument/2006/relationships/hyperlink" Target="http://www.broadinstitute.org/gsea/msigdb/cards/RPS14_DN.V1_DN.html" TargetMode="External"/><Relationship Id="rId1160" Type="http://schemas.openxmlformats.org/officeDocument/2006/relationships/hyperlink" Target="http://www.broadinstitute.org/gsea/msigdb/cards/GO_RESPONSE_TO_UV.html" TargetMode="External"/><Relationship Id="rId1161" Type="http://schemas.openxmlformats.org/officeDocument/2006/relationships/hyperlink" Target="http://www.broadinstitute.org/gsea/msigdb/cards/GO_PROTEIN_CATABOLIC_PROCESS.html" TargetMode="External"/><Relationship Id="rId1162" Type="http://schemas.openxmlformats.org/officeDocument/2006/relationships/hyperlink" Target="http://www.broadinstitute.org/gsea/msigdb/cards/GO_RNA_BINDING.html" TargetMode="External"/><Relationship Id="rId1163" Type="http://schemas.openxmlformats.org/officeDocument/2006/relationships/hyperlink" Target="http://www.broadinstitute.org/gsea/msigdb/cards/GO_HISTONE_PHOSPHORYLATION.html" TargetMode="External"/><Relationship Id="rId1164" Type="http://schemas.openxmlformats.org/officeDocument/2006/relationships/hyperlink" Target="http://www.broadinstitute.org/gsea/msigdb/cards/GO_POSITIVE_REGULATION_OF_MOLECULAR_FUNCTION.html" TargetMode="External"/><Relationship Id="rId1165" Type="http://schemas.openxmlformats.org/officeDocument/2006/relationships/hyperlink" Target="http://www.broadinstitute.org/gsea/msigdb/cards/GO_ESTABLISHMENT_OF_LOCALIZATION_IN_CELL.html" TargetMode="External"/><Relationship Id="rId1166" Type="http://schemas.openxmlformats.org/officeDocument/2006/relationships/hyperlink" Target="http://www.broadinstitute.org/gsea/msigdb/cards/GO_TRANSLESION_SYNTHESIS.html" TargetMode="External"/><Relationship Id="rId1167" Type="http://schemas.openxmlformats.org/officeDocument/2006/relationships/hyperlink" Target="http://www.broadinstitute.org/gsea/msigdb/cards/GO_ATTACHMENT_OF_SPINDLE_MICROTUBULES_TO_KINETOCHORE.html" TargetMode="External"/><Relationship Id="rId1168" Type="http://schemas.openxmlformats.org/officeDocument/2006/relationships/hyperlink" Target="http://www.broadinstitute.org/gsea/msigdb/cards/GO_PROTEIN_UBIQUITINATION_INVOLVED_IN_UBIQUITIN_DEPENDENT_PROTEIN_CATABOLIC_PROCESS.html" TargetMode="External"/><Relationship Id="rId1169" Type="http://schemas.openxmlformats.org/officeDocument/2006/relationships/hyperlink" Target="http://www.broadinstitute.org/gsea/msigdb/cards/GO_DNA_REPLICATION_CHECKPOINT.html" TargetMode="External"/><Relationship Id="rId1554" Type="http://schemas.openxmlformats.org/officeDocument/2006/relationships/hyperlink" Target="http://www.broadinstitute.org/gsea/msigdb/cards/E2F1_UP.V1_UP.html" TargetMode="External"/><Relationship Id="rId1555" Type="http://schemas.openxmlformats.org/officeDocument/2006/relationships/hyperlink" Target="http://www.broadinstitute.org/gsea/msigdb/cards/PRC2_EZH2_UP.V1_DN.html" TargetMode="External"/><Relationship Id="rId1556" Type="http://schemas.openxmlformats.org/officeDocument/2006/relationships/hyperlink" Target="http://www.broadinstitute.org/gsea/msigdb/cards/GCNP_SHH_UP_LATE.V1_UP.html" TargetMode="External"/><Relationship Id="rId1557" Type="http://schemas.openxmlformats.org/officeDocument/2006/relationships/hyperlink" Target="http://www.broadinstitute.org/gsea/msigdb/cards/VEGF_A_UP.V1_DN.html" TargetMode="External"/><Relationship Id="rId1558" Type="http://schemas.openxmlformats.org/officeDocument/2006/relationships/hyperlink" Target="http://www.broadinstitute.org/gsea/msigdb/cards/PRC2_EED_UP.V1_DN.html" TargetMode="External"/><Relationship Id="rId1559" Type="http://schemas.openxmlformats.org/officeDocument/2006/relationships/hyperlink" Target="http://www.broadinstitute.org/gsea/msigdb/cards/GCNP_SHH_UP_EARLY.V1_UP.html" TargetMode="External"/><Relationship Id="rId1944" Type="http://schemas.openxmlformats.org/officeDocument/2006/relationships/hyperlink" Target="http://www.broadinstitute.org/gsea/msigdb/cards/GSE3039_CD4_TCELL_VS_ALPHAALPHA_CD8_TCELL_DN.html" TargetMode="External"/><Relationship Id="rId1945" Type="http://schemas.openxmlformats.org/officeDocument/2006/relationships/hyperlink" Target="http://www.broadinstitute.org/gsea/msigdb/cards/GSE17186_MEMORY_VS_NAIVE_BCELL_DN.html" TargetMode="External"/><Relationship Id="rId1946" Type="http://schemas.openxmlformats.org/officeDocument/2006/relationships/hyperlink" Target="http://www.broadinstitute.org/gsea/msigdb/cards/GSE17186_MEMORY_VS_CD21LOW_TRANSITIONAL_BCELL_UP.html" TargetMode="External"/><Relationship Id="rId1947" Type="http://schemas.openxmlformats.org/officeDocument/2006/relationships/hyperlink" Target="http://www.broadinstitute.org/gsea/msigdb/cards/GSE18281_PERIMEDULLARY_CORTICAL_REGION_VS_WHOLE_CORTEX_THYMUS_UP.html" TargetMode="External"/><Relationship Id="rId1948" Type="http://schemas.openxmlformats.org/officeDocument/2006/relationships/hyperlink" Target="http://www.broadinstitute.org/gsea/msigdb/cards/GSE16385_ROSIGLITAZONE_IL4_VS_ROSIGLITAZONE_ALONE_STIM_MACROPHAGE_DN.html" TargetMode="External"/><Relationship Id="rId1949" Type="http://schemas.openxmlformats.org/officeDocument/2006/relationships/hyperlink" Target="http://www.broadinstitute.org/gsea/msigdb/cards/GSE33162_HDAC3_KO_VS_HDAC3_KO_MACROPHAGE_DN.html" TargetMode="External"/><Relationship Id="rId2240" Type="http://schemas.openxmlformats.org/officeDocument/2006/relationships/hyperlink" Target="http://www.broadinstitute.org/gsea/msigdb/cards/GSE6674_PL2_3_VS_ANTI_IGM_AND_CPG_STIM_BCELL_UP.html" TargetMode="External"/><Relationship Id="rId2241" Type="http://schemas.openxmlformats.org/officeDocument/2006/relationships/hyperlink" Target="http://www.broadinstitute.org/gsea/msigdb/cards/GSE7831_CPG_VS_INFLUENZA_STIM_PDC_1H_UP.html" TargetMode="External"/><Relationship Id="rId2242" Type="http://schemas.openxmlformats.org/officeDocument/2006/relationships/hyperlink" Target="http://www.broadinstitute.org/gsea/msigdb/cards/GSE14908_ATOPIC_VS_NONATOPIC_PATIENT_HDM_STIM_CD4_TCELL_DN.html" TargetMode="External"/><Relationship Id="rId2243" Type="http://schemas.openxmlformats.org/officeDocument/2006/relationships/hyperlink" Target="http://www.broadinstitute.org/gsea/msigdb/cards/GSE16266_CTRL_VS_HEATSHOCK_AND_LPS_STIM_MEF_DN.html" TargetMode="External"/><Relationship Id="rId2244" Type="http://schemas.openxmlformats.org/officeDocument/2006/relationships/hyperlink" Target="http://www.broadinstitute.org/gsea/msigdb/cards/GSE18893_CTRL_VS_TNF_TREATED_TCONV_2H_DN.html" TargetMode="External"/><Relationship Id="rId2245" Type="http://schemas.openxmlformats.org/officeDocument/2006/relationships/hyperlink" Target="http://www.broadinstitute.org/gsea/msigdb/cards/GSE19888_CTRL_VS_A3R_ACTIVATION_MAST_CELL_UP.html" TargetMode="External"/><Relationship Id="rId2246" Type="http://schemas.openxmlformats.org/officeDocument/2006/relationships/hyperlink" Target="http://www.broadinstitute.org/gsea/msigdb/cards/GSE21927_C26GM_VS_4T1_TUMOR_MONOCYTE_BALBC_UP.html" TargetMode="External"/><Relationship Id="rId2247" Type="http://schemas.openxmlformats.org/officeDocument/2006/relationships/hyperlink" Target="http://www.broadinstitute.org/gsea/msigdb/cards/GSE21927_SPLEEN_VS_TUMOR_MONOCYTE_BALBC_DN.html" TargetMode="External"/><Relationship Id="rId2248" Type="http://schemas.openxmlformats.org/officeDocument/2006/relationships/hyperlink" Target="http://www.broadinstitute.org/gsea/msigdb/cards/GSE20152_SPHK1_KO_VS_WT_HTNFA_OVERXPRESS_ANKLE_DN.html" TargetMode="External"/><Relationship Id="rId2249" Type="http://schemas.openxmlformats.org/officeDocument/2006/relationships/hyperlink" Target="http://www.broadinstitute.org/gsea/msigdb/cards/GSE22935_WT_VS_MYD88_KO_MACROPHAGE_24H_MBOVIS_BCG_STIM_UP.html" TargetMode="External"/><Relationship Id="rId2630" Type="http://schemas.openxmlformats.org/officeDocument/2006/relationships/hyperlink" Target="http://www.broadinstitute.org/gsea/msigdb/cards/GSE26343_WT_VS_NFAT5_KO_MACROPHAGE_LPS_STIM_DN.html" TargetMode="External"/><Relationship Id="rId2631" Type="http://schemas.openxmlformats.org/officeDocument/2006/relationships/hyperlink" Target="http://www.broadinstitute.org/gsea/msigdb/cards/GSE35825_IFNA_VS_IFNG_STIM_MACROPHAGE_DN.html" TargetMode="External"/><Relationship Id="rId2632" Type="http://schemas.openxmlformats.org/officeDocument/2006/relationships/hyperlink" Target="http://www.broadinstitute.org/gsea/msigdb/cards/GSE34156_UNTREATED_VS_24H_TLR1_TLR2_LIGAND_TREATED_MONOCYTE_DN.html" TargetMode="External"/><Relationship Id="rId2633" Type="http://schemas.openxmlformats.org/officeDocument/2006/relationships/hyperlink" Target="http://www.broadinstitute.org/gsea/msigdb/cards/GSE34515_CD16_POS_MONOCYTE_VS_DC_UP.html" TargetMode="External"/><Relationship Id="rId2634" Type="http://schemas.openxmlformats.org/officeDocument/2006/relationships/hyperlink" Target="http://www.broadinstitute.org/gsea/msigdb/cards/GSE36009_UNSTIM_VS_LPS_STIM_NLRP10_KO_DC_DN.html" TargetMode="External"/><Relationship Id="rId2635" Type="http://schemas.openxmlformats.org/officeDocument/2006/relationships/hyperlink" Target="http://www.broadinstitute.org/gsea/msigdb/cards/GSE36009_WT_VS_NLRP10_KO_DC_LPS_STIM_UP.html" TargetMode="External"/><Relationship Id="rId2636" Type="http://schemas.openxmlformats.org/officeDocument/2006/relationships/hyperlink" Target="http://www.broadinstitute.org/gsea/msigdb/cards/GSE37301_GRANULOCYTE_MONOCYTE_PROGENITOR_VS_RAG2_KO_NK_CELL_DN.html" TargetMode="External"/><Relationship Id="rId2637" Type="http://schemas.openxmlformats.org/officeDocument/2006/relationships/hyperlink" Target="http://www.broadinstitute.org/gsea/msigdb/cards/GSE37301_MULTIPOTENT_PROGENITOR_VS_GRAN_MONO_PROGENITOR_UP.html" TargetMode="External"/><Relationship Id="rId2638" Type="http://schemas.openxmlformats.org/officeDocument/2006/relationships/hyperlink" Target="http://www.broadinstitute.org/gsea/msigdb/cards/GSE37301_LYMPHOID_PRIMED_MPP_VS_CD4_TCELL_DN.html" TargetMode="External"/><Relationship Id="rId2639" Type="http://schemas.openxmlformats.org/officeDocument/2006/relationships/hyperlink" Target="http://www.broadinstitute.org/gsea/msigdb/cards/GSE37301_HEMATOPOIETIC_STEM_CELL_VS_COMMON_LYMPHOID_PROGENITOR_UP.html" TargetMode="External"/><Relationship Id="rId300" Type="http://schemas.openxmlformats.org/officeDocument/2006/relationships/hyperlink" Target="http://www.broadinstitute.org/gsea/msigdb/cards/OUELLET_OVARIAN_CANCER_INVASIVE_VS_LMP_UP.html" TargetMode="External"/><Relationship Id="rId301" Type="http://schemas.openxmlformats.org/officeDocument/2006/relationships/hyperlink" Target="http://www.broadinstitute.org/gsea/msigdb/cards/PEART_HDAC_PROLIFERATION_CLUSTER_UP.html" TargetMode="External"/><Relationship Id="rId302" Type="http://schemas.openxmlformats.org/officeDocument/2006/relationships/hyperlink" Target="http://www.broadinstitute.org/gsea/msigdb/cards/BASSO_B_LYMPHOCYTE_NETWORK.html" TargetMode="External"/><Relationship Id="rId303" Type="http://schemas.openxmlformats.org/officeDocument/2006/relationships/hyperlink" Target="http://www.broadinstitute.org/gsea/msigdb/cards/DANG_MYC_TARGETS_UP.html" TargetMode="External"/><Relationship Id="rId304" Type="http://schemas.openxmlformats.org/officeDocument/2006/relationships/hyperlink" Target="http://www.broadinstitute.org/gsea/msigdb/cards/GRADE_COLON_CANCER_UP.html" TargetMode="External"/><Relationship Id="rId305" Type="http://schemas.openxmlformats.org/officeDocument/2006/relationships/hyperlink" Target="http://www.broadinstitute.org/gsea/msigdb/cards/JOHANSSON_GLIOMAGENESIS_BY_PDGFB_UP.html" TargetMode="External"/><Relationship Id="rId306" Type="http://schemas.openxmlformats.org/officeDocument/2006/relationships/hyperlink" Target="http://www.broadinstitute.org/gsea/msigdb/cards/DACOSTA_UV_RESPONSE_VIA_ERCC3_COMMON_DN.html" TargetMode="External"/><Relationship Id="rId307" Type="http://schemas.openxmlformats.org/officeDocument/2006/relationships/hyperlink" Target="http://www.broadinstitute.org/gsea/msigdb/cards/BENPORATH_ES_CORE_NINE_CORRELATED.html" TargetMode="External"/><Relationship Id="rId308" Type="http://schemas.openxmlformats.org/officeDocument/2006/relationships/hyperlink" Target="http://www.broadinstitute.org/gsea/msigdb/cards/JAEGER_METASTASIS_UP.html" TargetMode="External"/><Relationship Id="rId309" Type="http://schemas.openxmlformats.org/officeDocument/2006/relationships/hyperlink" Target="http://www.broadinstitute.org/gsea/msigdb/cards/SEMBA_FHIT_TARGETS_DN.html" TargetMode="External"/><Relationship Id="rId90" Type="http://schemas.openxmlformats.org/officeDocument/2006/relationships/hyperlink" Target="http://www.broadinstitute.org/gsea/msigdb/cards/CHICAS_RB1_TARGETS_GROWING.html" TargetMode="External"/><Relationship Id="rId91" Type="http://schemas.openxmlformats.org/officeDocument/2006/relationships/hyperlink" Target="http://www.broadinstitute.org/gsea/msigdb/cards/FISCHER_G1_S_CELL_CYCLE.html" TargetMode="External"/><Relationship Id="rId92" Type="http://schemas.openxmlformats.org/officeDocument/2006/relationships/hyperlink" Target="http://www.broadinstitute.org/gsea/msigdb/cards/BENPORATH_ES_1.html" TargetMode="External"/><Relationship Id="rId93" Type="http://schemas.openxmlformats.org/officeDocument/2006/relationships/hyperlink" Target="http://www.broadinstitute.org/gsea/msigdb/cards/VILLANUEVA_LIVER_CANCER_KRT19_UP.html" TargetMode="External"/><Relationship Id="rId94" Type="http://schemas.openxmlformats.org/officeDocument/2006/relationships/hyperlink" Target="http://www.broadinstitute.org/gsea/msigdb/cards/ISHIDA_E2F_TARGETS.html" TargetMode="External"/><Relationship Id="rId95" Type="http://schemas.openxmlformats.org/officeDocument/2006/relationships/hyperlink" Target="http://www.broadinstitute.org/gsea/msigdb/cards/GAVIN_FOXP3_TARGETS_CLUSTER_P6.html" TargetMode="External"/><Relationship Id="rId96" Type="http://schemas.openxmlformats.org/officeDocument/2006/relationships/hyperlink" Target="http://www.broadinstitute.org/gsea/msigdb/cards/ZHAN_MULTIPLE_MYELOMA_PR_UP.html" TargetMode="External"/><Relationship Id="rId97" Type="http://schemas.openxmlformats.org/officeDocument/2006/relationships/hyperlink" Target="http://www.broadinstitute.org/gsea/msigdb/cards/TARTE_PLASMA_CELL_VS_PLASMABLAST_DN.html" TargetMode="External"/><Relationship Id="rId98" Type="http://schemas.openxmlformats.org/officeDocument/2006/relationships/hyperlink" Target="http://www.broadinstitute.org/gsea/msigdb/cards/KAUFFMANN_MELANOMA_RELAPSE_UP.html" TargetMode="External"/><Relationship Id="rId99" Type="http://schemas.openxmlformats.org/officeDocument/2006/relationships/hyperlink" Target="http://www.broadinstitute.org/gsea/msigdb/cards/MUELLER_PLURINET.html" TargetMode="External"/><Relationship Id="rId1950" Type="http://schemas.openxmlformats.org/officeDocument/2006/relationships/hyperlink" Target="http://www.broadinstitute.org/gsea/msigdb/cards/GSE34179_THPOK_KO_VS_WT_VA14I_NKTCELL_DN.html" TargetMode="External"/><Relationship Id="rId1951" Type="http://schemas.openxmlformats.org/officeDocument/2006/relationships/hyperlink" Target="http://www.broadinstitute.org/gsea/msigdb/cards/GSE41867_NAIVE_VS_EFFECTOR_CD8_TCELL_UP.html" TargetMode="External"/><Relationship Id="rId1952" Type="http://schemas.openxmlformats.org/officeDocument/2006/relationships/hyperlink" Target="http://www.broadinstitute.org/gsea/msigdb/cards/GSE41978_WT_VS_ID2_KO_AND_BIM_KO_KLRG1_LOW_EFFECTOR_CD8_TCELL_UP.html" TargetMode="External"/><Relationship Id="rId1953" Type="http://schemas.openxmlformats.org/officeDocument/2006/relationships/hyperlink" Target="http://www.broadinstitute.org/gsea/msigdb/cards/GSE32901_NAIVE_VS_TH17_NEG_CD4_TCELL_DN.html" TargetMode="External"/><Relationship Id="rId1560" Type="http://schemas.openxmlformats.org/officeDocument/2006/relationships/hyperlink" Target="http://www.broadinstitute.org/gsea/msigdb/cards/HOXA9_DN.V1_DN.html" TargetMode="External"/><Relationship Id="rId1561" Type="http://schemas.openxmlformats.org/officeDocument/2006/relationships/hyperlink" Target="http://www.broadinstitute.org/gsea/msigdb/cards/RB_DN.V1_UP.html" TargetMode="External"/><Relationship Id="rId1562" Type="http://schemas.openxmlformats.org/officeDocument/2006/relationships/hyperlink" Target="http://www.broadinstitute.org/gsea/msigdb/cards/RB_P130_DN.V1_UP.html" TargetMode="External"/><Relationship Id="rId1563" Type="http://schemas.openxmlformats.org/officeDocument/2006/relationships/hyperlink" Target="http://www.broadinstitute.org/gsea/msigdb/cards/ERB2_UP.V1_DN.html" TargetMode="External"/><Relationship Id="rId1170" Type="http://schemas.openxmlformats.org/officeDocument/2006/relationships/hyperlink" Target="http://www.broadinstitute.org/gsea/msigdb/cards/GO_ACTIVATION_OF_ANAPHASE_PROMOTING_COMPLEX_ACTIVITY.html" TargetMode="External"/><Relationship Id="rId1171" Type="http://schemas.openxmlformats.org/officeDocument/2006/relationships/hyperlink" Target="http://www.broadinstitute.org/gsea/msigdb/cards/GO_POSITIVE_REGULATION_OF_DNA_REPLICATION.html" TargetMode="External"/><Relationship Id="rId1172" Type="http://schemas.openxmlformats.org/officeDocument/2006/relationships/hyperlink" Target="http://www.broadinstitute.org/gsea/msigdb/cards/GO_NUCLEOPLASM_PART.html" TargetMode="External"/><Relationship Id="rId1173" Type="http://schemas.openxmlformats.org/officeDocument/2006/relationships/hyperlink" Target="http://www.broadinstitute.org/gsea/msigdb/cards/GO_PEPTIDYL_LYSINE_MODIFICATION.html" TargetMode="External"/><Relationship Id="rId1174" Type="http://schemas.openxmlformats.org/officeDocument/2006/relationships/hyperlink" Target="http://www.broadinstitute.org/gsea/msigdb/cards/GO_POSITIVE_REGULATION_OF_ORGANELLE_ORGANIZATION.html" TargetMode="External"/><Relationship Id="rId1175" Type="http://schemas.openxmlformats.org/officeDocument/2006/relationships/hyperlink" Target="http://www.broadinstitute.org/gsea/msigdb/cards/GO_CYTOSKELETAL_PROTEIN_BINDING.html" TargetMode="External"/><Relationship Id="rId1176" Type="http://schemas.openxmlformats.org/officeDocument/2006/relationships/hyperlink" Target="http://www.broadinstitute.org/gsea/msigdb/cards/GO_REGULATION_OF_CELL_PROLIFERATION.html" TargetMode="External"/><Relationship Id="rId1177" Type="http://schemas.openxmlformats.org/officeDocument/2006/relationships/hyperlink" Target="http://www.broadinstitute.org/gsea/msigdb/cards/GO_ATP_DEPENDENT_MICROTUBULE_MOTOR_ACTIVITY.html" TargetMode="External"/><Relationship Id="rId1178" Type="http://schemas.openxmlformats.org/officeDocument/2006/relationships/hyperlink" Target="http://www.broadinstitute.org/gsea/msigdb/cards/GO_DEOXYRIBONUCLEASE_ACTIVITY.html" TargetMode="External"/><Relationship Id="rId1179" Type="http://schemas.openxmlformats.org/officeDocument/2006/relationships/hyperlink" Target="http://www.broadinstitute.org/gsea/msigdb/cards/GO_ANTIGEN_PROCESSING_AND_PRESENTATION_OF_PEPTIDE_OR_POLYSACCHARIDE_ANTIGEN_VIA_MHC_CLASS_II.html" TargetMode="External"/><Relationship Id="rId1564" Type="http://schemas.openxmlformats.org/officeDocument/2006/relationships/hyperlink" Target="http://www.broadinstitute.org/gsea/msigdb/cards/E2F3_UP.V1_UP.html" TargetMode="External"/><Relationship Id="rId1565" Type="http://schemas.openxmlformats.org/officeDocument/2006/relationships/hyperlink" Target="http://www.broadinstitute.org/gsea/msigdb/cards/SNF5_DN.V1_UP.html" TargetMode="External"/><Relationship Id="rId1566" Type="http://schemas.openxmlformats.org/officeDocument/2006/relationships/hyperlink" Target="http://www.broadinstitute.org/gsea/msigdb/cards/CORDENONSI_YAP_CONSERVED_SIGNATURE.html" TargetMode="External"/><Relationship Id="rId1567" Type="http://schemas.openxmlformats.org/officeDocument/2006/relationships/hyperlink" Target="http://www.broadinstitute.org/gsea/msigdb/cards/MTOR_UP.V1_UP.html" TargetMode="External"/><Relationship Id="rId1568" Type="http://schemas.openxmlformats.org/officeDocument/2006/relationships/hyperlink" Target="http://www.broadinstitute.org/gsea/msigdb/cards/SRC_UP.V1_DN.html" TargetMode="External"/><Relationship Id="rId1569" Type="http://schemas.openxmlformats.org/officeDocument/2006/relationships/hyperlink" Target="http://www.broadinstitute.org/gsea/msigdb/cards/NFE2L2.V2.html" TargetMode="External"/><Relationship Id="rId1954" Type="http://schemas.openxmlformats.org/officeDocument/2006/relationships/hyperlink" Target="http://www.broadinstitute.org/gsea/msigdb/cards/GSE6259_33D1_POS_DC_VS_BCELL_DN.html" TargetMode="External"/><Relationship Id="rId1955" Type="http://schemas.openxmlformats.org/officeDocument/2006/relationships/hyperlink" Target="http://www.broadinstitute.org/gsea/msigdb/cards/GSE15624_CTRL_VS_3H_HALOFUGINONE_TREATED_CD4_TCELL_DN.html" TargetMode="External"/><Relationship Id="rId1956" Type="http://schemas.openxmlformats.org/officeDocument/2006/relationships/hyperlink" Target="http://www.broadinstitute.org/gsea/msigdb/cards/GSE7768_OVA_WITH_LPS_VS_OVA_WITH_MPL_IMMUNIZED_MOUSE_WHOLE_SPLEEN_6H_UP.html" TargetMode="External"/><Relationship Id="rId1957" Type="http://schemas.openxmlformats.org/officeDocument/2006/relationships/hyperlink" Target="http://www.broadinstitute.org/gsea/msigdb/cards/GSE14308_TH1_VS_TH17_UP.html" TargetMode="External"/><Relationship Id="rId1958" Type="http://schemas.openxmlformats.org/officeDocument/2006/relationships/hyperlink" Target="http://www.broadinstitute.org/gsea/msigdb/cards/GSE7831_UNSTIM_VS_CPG_STIM_PDC_4H_UP.html" TargetMode="External"/><Relationship Id="rId1959" Type="http://schemas.openxmlformats.org/officeDocument/2006/relationships/hyperlink" Target="http://www.broadinstitute.org/gsea/msigdb/cards/GSE13411_IGM_MEMORY_BCELL_VS_PLASMA_CELL_DN.html" TargetMode="External"/><Relationship Id="rId2250" Type="http://schemas.openxmlformats.org/officeDocument/2006/relationships/hyperlink" Target="http://www.broadinstitute.org/gsea/msigdb/cards/GSE22432_PDC_VS_TGFB1_TREATEDCOMMON_DC_PROGENITOR_UP.html" TargetMode="External"/><Relationship Id="rId2251" Type="http://schemas.openxmlformats.org/officeDocument/2006/relationships/hyperlink" Target="http://www.broadinstitute.org/gsea/msigdb/cards/GSE24210_TCONV_VS_TREG_DN.html" TargetMode="External"/><Relationship Id="rId2252" Type="http://schemas.openxmlformats.org/officeDocument/2006/relationships/hyperlink" Target="http://www.broadinstitute.org/gsea/msigdb/cards/GSE23505_UNTREATED_VS_4DAY_IL6_IL1_TREATED_CD4_TCELL_UP.html" TargetMode="External"/><Relationship Id="rId2253" Type="http://schemas.openxmlformats.org/officeDocument/2006/relationships/hyperlink" Target="http://www.broadinstitute.org/gsea/msigdb/cards/GSE25123_CTRL_VS_ROSIGLITAZONE_STIM_MACROPHAGE_DN.html" TargetMode="External"/><Relationship Id="rId2254" Type="http://schemas.openxmlformats.org/officeDocument/2006/relationships/hyperlink" Target="http://www.broadinstitute.org/gsea/msigdb/cards/GSE25123_ROSIGLITAZONE_VS_IL4_AND_ROSIGLITAZONE_STIM_MACROPHAGE_DAY10_UP.html" TargetMode="External"/><Relationship Id="rId2255" Type="http://schemas.openxmlformats.org/officeDocument/2006/relationships/hyperlink" Target="http://www.broadinstitute.org/gsea/msigdb/cards/GSE16386_IL4_VS_IL4_AND_ROSIGLITAZONE_STIM_MACROPHAGE_6H_UP.html" TargetMode="External"/><Relationship Id="rId2256" Type="http://schemas.openxmlformats.org/officeDocument/2006/relationships/hyperlink" Target="http://www.broadinstitute.org/gsea/msigdb/cards/GSE24972_WT_VS_IRF8_KO_SPLEEN_FOLLICULAR_BCELL_UP.html" TargetMode="External"/><Relationship Id="rId2257" Type="http://schemas.openxmlformats.org/officeDocument/2006/relationships/hyperlink" Target="http://www.broadinstitute.org/gsea/msigdb/cards/GSE24972_MARGINAL_ZONE_BCELL_VS_FOLLICULAR_BCELL_IRF8_KO_UP.html" TargetMode="External"/><Relationship Id="rId2258" Type="http://schemas.openxmlformats.org/officeDocument/2006/relationships/hyperlink" Target="http://www.broadinstitute.org/gsea/msigdb/cards/GSE28783_ANTI_MIR33_VS_UNTREATED_ATHEROSCLEROSIS_MACROPHAGE_UP.html" TargetMode="External"/><Relationship Id="rId2259" Type="http://schemas.openxmlformats.org/officeDocument/2006/relationships/hyperlink" Target="http://www.broadinstitute.org/gsea/msigdb/cards/GSE29949_CD8_POS_DC_SPLEEN_VS_DC_BRAIN_UP.html" TargetMode="External"/><Relationship Id="rId2640" Type="http://schemas.openxmlformats.org/officeDocument/2006/relationships/hyperlink" Target="http://www.broadinstitute.org/gsea/msigdb/cards/GSE37534_UNTREATED_VS_PIOGLITAZONE_TREATED_CD4_TCELL_PPARG1_AND_FOXP3_TRASDUCED_UP.html" TargetMode="External"/><Relationship Id="rId2641" Type="http://schemas.openxmlformats.org/officeDocument/2006/relationships/hyperlink" Target="http://www.broadinstitute.org/gsea/msigdb/cards/GSE37533_PPARG1_FOXP3_VS_FOXP3_TRANSDUCED_CD4_TCELL_UP.html" TargetMode="External"/><Relationship Id="rId2642" Type="http://schemas.openxmlformats.org/officeDocument/2006/relationships/hyperlink" Target="http://www.broadinstitute.org/gsea/msigdb/cards/GSE34006_UNTREATED_VS_A2AR_AGONIST_TREATED_TREG_UP.html" TargetMode="External"/><Relationship Id="rId2643" Type="http://schemas.openxmlformats.org/officeDocument/2006/relationships/hyperlink" Target="http://www.broadinstitute.org/gsea/msigdb/cards/GSE40274_XBP1_VS_FOXP3_AND_XBP1_TRANSDUCED_ACTIVATED_CD4_TCELL_DN.html" TargetMode="External"/><Relationship Id="rId2644" Type="http://schemas.openxmlformats.org/officeDocument/2006/relationships/hyperlink" Target="http://www.broadinstitute.org/gsea/msigdb/cards/GSE40666_WT_VS_STAT1_KO_CD8_TCELL_UP.html" TargetMode="External"/><Relationship Id="rId2645" Type="http://schemas.openxmlformats.org/officeDocument/2006/relationships/hyperlink" Target="http://www.broadinstitute.org/gsea/msigdb/cards/GSE40666_STAT1_KO_VS_STAT4_KO_CD8_TCELL_WITH_IFNA_STIM_90MIN_UP.html" TargetMode="External"/><Relationship Id="rId2646" Type="http://schemas.openxmlformats.org/officeDocument/2006/relationships/hyperlink" Target="http://www.broadinstitute.org/gsea/msigdb/cards/GSE36078_WT_VS_IL1R_KO_LUNG_DC_AFTER_AD5_INF_UP.html" TargetMode="External"/><Relationship Id="rId2647" Type="http://schemas.openxmlformats.org/officeDocument/2006/relationships/hyperlink" Target="http://www.broadinstitute.org/gsea/msigdb/cards/GSE11961_PLASMA_CELL_DAY7_VS_MEMORY_BCELL_DAY40_UP.html" TargetMode="External"/><Relationship Id="rId2648" Type="http://schemas.openxmlformats.org/officeDocument/2006/relationships/hyperlink" Target="http://www.broadinstitute.org/gsea/msigdb/cards/GSE11961_MEMORY_BCELL_DAY40_VS_GERMINAL_CENTER_BCELL_DAY40_UP.html" TargetMode="External"/><Relationship Id="rId2649" Type="http://schemas.openxmlformats.org/officeDocument/2006/relationships/hyperlink" Target="http://www.broadinstitute.org/gsea/msigdb/cards/GSE41867_DAY6_VS_DAY8_LCMV_ARMSTRONG_EFFECTOR_CD8_TCELL_DN.html" TargetMode="External"/><Relationship Id="rId700" Type="http://schemas.openxmlformats.org/officeDocument/2006/relationships/hyperlink" Target="http://www.broadinstitute.org/gsea/msigdb/cards/E2F1_Q3.html" TargetMode="External"/><Relationship Id="rId701" Type="http://schemas.openxmlformats.org/officeDocument/2006/relationships/hyperlink" Target="http://www.broadinstitute.org/gsea/msigdb/cards/E2F1DP1RB_01.html" TargetMode="External"/><Relationship Id="rId702" Type="http://schemas.openxmlformats.org/officeDocument/2006/relationships/hyperlink" Target="http://www.broadinstitute.org/gsea/msigdb/cards/SGCGSSAAA_E2F1DP2_01.html" TargetMode="External"/><Relationship Id="rId703" Type="http://schemas.openxmlformats.org/officeDocument/2006/relationships/hyperlink" Target="http://www.broadinstitute.org/gsea/msigdb/cards/E2F_Q3.html" TargetMode="External"/><Relationship Id="rId310" Type="http://schemas.openxmlformats.org/officeDocument/2006/relationships/hyperlink" Target="http://www.broadinstitute.org/gsea/msigdb/cards/GENTILE_RESPONSE_CLUSTER_D3.html" TargetMode="External"/><Relationship Id="rId311" Type="http://schemas.openxmlformats.org/officeDocument/2006/relationships/hyperlink" Target="http://www.broadinstitute.org/gsea/msigdb/cards/CHIARETTI_T_ALL_RELAPSE_PROGNOSIS.html" TargetMode="External"/><Relationship Id="rId312" Type="http://schemas.openxmlformats.org/officeDocument/2006/relationships/hyperlink" Target="http://www.broadinstitute.org/gsea/msigdb/cards/BOYAULT_LIVER_CANCER_SUBCLASS_G123_UP.html" TargetMode="External"/><Relationship Id="rId313" Type="http://schemas.openxmlformats.org/officeDocument/2006/relationships/hyperlink" Target="http://www.broadinstitute.org/gsea/msigdb/cards/ABRAMSON_INTERACT_WITH_AIRE.html" TargetMode="External"/><Relationship Id="rId314" Type="http://schemas.openxmlformats.org/officeDocument/2006/relationships/hyperlink" Target="http://www.broadinstitute.org/gsea/msigdb/cards/DACOSTA_UV_RESPONSE_VIA_ERCC3_UP.html" TargetMode="External"/><Relationship Id="rId315" Type="http://schemas.openxmlformats.org/officeDocument/2006/relationships/hyperlink" Target="http://www.broadinstitute.org/gsea/msigdb/cards/PLASARI_TGFB1_TARGETS_10HR_DN.html" TargetMode="External"/><Relationship Id="rId316" Type="http://schemas.openxmlformats.org/officeDocument/2006/relationships/hyperlink" Target="http://www.broadinstitute.org/gsea/msigdb/cards/BILD_E2F3_ONCOGENIC_SIGNATURE.html" TargetMode="External"/><Relationship Id="rId317" Type="http://schemas.openxmlformats.org/officeDocument/2006/relationships/hyperlink" Target="http://www.broadinstitute.org/gsea/msigdb/cards/ACEVEDO_LIVER_CANCER_UP.html" TargetMode="External"/><Relationship Id="rId318" Type="http://schemas.openxmlformats.org/officeDocument/2006/relationships/hyperlink" Target="http://www.broadinstitute.org/gsea/msigdb/cards/BENPORATH_SOX2_TARGETS.html" TargetMode="External"/><Relationship Id="rId319" Type="http://schemas.openxmlformats.org/officeDocument/2006/relationships/hyperlink" Target="http://www.broadinstitute.org/gsea/msigdb/cards/RIGGI_EWING_SARCOMA_PROGENITOR_DN.html" TargetMode="External"/><Relationship Id="rId704" Type="http://schemas.openxmlformats.org/officeDocument/2006/relationships/hyperlink" Target="http://www.broadinstitute.org/gsea/msigdb/cards/E2F_03.html" TargetMode="External"/><Relationship Id="rId705" Type="http://schemas.openxmlformats.org/officeDocument/2006/relationships/hyperlink" Target="http://www.broadinstitute.org/gsea/msigdb/cards/GATTGGY_NFY_Q6_01.html" TargetMode="External"/><Relationship Id="rId706" Type="http://schemas.openxmlformats.org/officeDocument/2006/relationships/hyperlink" Target="http://www.broadinstitute.org/gsea/msigdb/cards/E2F1_Q4.html" TargetMode="External"/><Relationship Id="rId707" Type="http://schemas.openxmlformats.org/officeDocument/2006/relationships/hyperlink" Target="http://www.broadinstitute.org/gsea/msigdb/cards/GGGCGGR_SP1_Q6.html" TargetMode="External"/><Relationship Id="rId708" Type="http://schemas.openxmlformats.org/officeDocument/2006/relationships/hyperlink" Target="http://www.broadinstitute.org/gsea/msigdb/cards/E2F_01.html" TargetMode="External"/><Relationship Id="rId709" Type="http://schemas.openxmlformats.org/officeDocument/2006/relationships/hyperlink" Target="http://www.broadinstitute.org/gsea/msigdb/cards/KTGGYRSGAA_UNKNOWN.html" TargetMode="External"/><Relationship Id="rId1960" Type="http://schemas.openxmlformats.org/officeDocument/2006/relationships/hyperlink" Target="http://www.broadinstitute.org/gsea/msigdb/cards/GSE15930_NAIVE_VS_72H_IN_VITRO_STIM_IL12_CD8_TCELL_DN.html" TargetMode="External"/><Relationship Id="rId1961" Type="http://schemas.openxmlformats.org/officeDocument/2006/relationships/hyperlink" Target="http://www.broadinstitute.org/gsea/msigdb/cards/GSE17721_LPS_VS_CPG_24H_BMDC_DN.html" TargetMode="External"/><Relationship Id="rId1962" Type="http://schemas.openxmlformats.org/officeDocument/2006/relationships/hyperlink" Target="http://www.broadinstitute.org/gsea/msigdb/cards/GSE22045_TREG_VS_TCONV_UP.html" TargetMode="External"/><Relationship Id="rId1963" Type="http://schemas.openxmlformats.org/officeDocument/2006/relationships/hyperlink" Target="http://www.broadinstitute.org/gsea/msigdb/cards/GSE27786_LIN_NEG_VS_BCELL_UP.html" TargetMode="External"/><Relationship Id="rId1570" Type="http://schemas.openxmlformats.org/officeDocument/2006/relationships/hyperlink" Target="http://www.broadinstitute.org/gsea/msigdb/cards/ATF2_UP.V1_UP.html" TargetMode="External"/><Relationship Id="rId1571" Type="http://schemas.openxmlformats.org/officeDocument/2006/relationships/hyperlink" Target="http://www.broadinstitute.org/gsea/msigdb/cards/EGFR_UP.V1_DN.html" TargetMode="External"/><Relationship Id="rId1572" Type="http://schemas.openxmlformats.org/officeDocument/2006/relationships/hyperlink" Target="http://www.broadinstitute.org/gsea/msigdb/cards/ATF2_S_UP.V1_UP.html" TargetMode="External"/><Relationship Id="rId1573" Type="http://schemas.openxmlformats.org/officeDocument/2006/relationships/hyperlink" Target="http://www.broadinstitute.org/gsea/msigdb/cards/PRC2_SUZ12_UP.V1_DN.html" TargetMode="External"/><Relationship Id="rId1180" Type="http://schemas.openxmlformats.org/officeDocument/2006/relationships/hyperlink" Target="http://www.broadinstitute.org/gsea/msigdb/cards/GO_CENTROSOME_DUPLICATION.html" TargetMode="External"/><Relationship Id="rId1181" Type="http://schemas.openxmlformats.org/officeDocument/2006/relationships/hyperlink" Target="http://www.broadinstitute.org/gsea/msigdb/cards/GO_ENDODEOXYRIBONUCLEASE_ACTIVITY.html" TargetMode="External"/><Relationship Id="rId1182" Type="http://schemas.openxmlformats.org/officeDocument/2006/relationships/hyperlink" Target="http://www.broadinstitute.org/gsea/msigdb/cards/GO_REGULATION_OF_DOUBLE_STRAND_BREAK_REPAIR_VIA_HOMOLOGOUS_RECOMBINATION.html" TargetMode="External"/><Relationship Id="rId1183" Type="http://schemas.openxmlformats.org/officeDocument/2006/relationships/hyperlink" Target="http://www.broadinstitute.org/gsea/msigdb/cards/GO_MITOTIC_G2_M_TRANSITION_CHECKPOINT.html" TargetMode="External"/><Relationship Id="rId1184" Type="http://schemas.openxmlformats.org/officeDocument/2006/relationships/hyperlink" Target="http://www.broadinstitute.org/gsea/msigdb/cards/GO_ERROR_PRONE_TRANSLESION_SYNTHESIS.html" TargetMode="External"/><Relationship Id="rId1185" Type="http://schemas.openxmlformats.org/officeDocument/2006/relationships/hyperlink" Target="http://www.broadinstitute.org/gsea/msigdb/cards/GO_ATP_DEPENDENT_DNA_HELICASE_ACTIVITY.html" TargetMode="External"/><Relationship Id="rId1186" Type="http://schemas.openxmlformats.org/officeDocument/2006/relationships/hyperlink" Target="http://www.broadinstitute.org/gsea/msigdb/cards/GO_CELLULAR_COMPONENT_DISASSEMBLY.html" TargetMode="External"/><Relationship Id="rId1187" Type="http://schemas.openxmlformats.org/officeDocument/2006/relationships/hyperlink" Target="http://www.broadinstitute.org/gsea/msigdb/cards/GO_POSITIVE_REGULATION_OF_CELLULAR_PROTEIN_CATABOLIC_PROCESS.html" TargetMode="External"/><Relationship Id="rId1188" Type="http://schemas.openxmlformats.org/officeDocument/2006/relationships/hyperlink" Target="http://www.broadinstitute.org/gsea/msigdb/cards/GO_POSITIVE_REGULATION_OF_PROTEIN_METABOLIC_PROCESS.html" TargetMode="External"/><Relationship Id="rId1189" Type="http://schemas.openxmlformats.org/officeDocument/2006/relationships/hyperlink" Target="http://www.broadinstitute.org/gsea/msigdb/cards/GO_POSITIVE_REGULATION_OF_CYTOKINESIS.html" TargetMode="External"/><Relationship Id="rId1574" Type="http://schemas.openxmlformats.org/officeDocument/2006/relationships/hyperlink" Target="http://www.broadinstitute.org/gsea/msigdb/cards/SIRNA_EIF4GI_DN.html" TargetMode="External"/><Relationship Id="rId1575" Type="http://schemas.openxmlformats.org/officeDocument/2006/relationships/hyperlink" Target="http://www.broadinstitute.org/gsea/msigdb/cards/GSE15750_DAY6_VS_DAY10_TRAF6KO_EFF_CD8_TCELL_UP.html" TargetMode="External"/><Relationship Id="rId1576" Type="http://schemas.openxmlformats.org/officeDocument/2006/relationships/hyperlink" Target="http://www.broadinstitute.org/gsea/msigdb/cards/GSE15750_DAY6_VS_DAY10_EFF_CD8_TCELL_UP.html" TargetMode="External"/><Relationship Id="rId1577" Type="http://schemas.openxmlformats.org/officeDocument/2006/relationships/hyperlink" Target="http://www.broadinstitute.org/gsea/msigdb/cards/GSE13547_CTRL_VS_ANTI_IGM_STIM_BCELL_12H_UP.html" TargetMode="External"/><Relationship Id="rId1578" Type="http://schemas.openxmlformats.org/officeDocument/2006/relationships/hyperlink" Target="http://www.broadinstitute.org/gsea/msigdb/cards/GSE30962_PRIMARY_VS_SECONDARY_ACUTE_LCMV_INF_CD8_TCELL_UP.html" TargetMode="External"/><Relationship Id="rId1579" Type="http://schemas.openxmlformats.org/officeDocument/2006/relationships/hyperlink" Target="http://www.broadinstitute.org/gsea/msigdb/cards/GSE39556_CD8A_DC_VS_NK_CELL_MOUSE_3H_POST_POLYIC_INJ_UP.html" TargetMode="External"/><Relationship Id="rId1964" Type="http://schemas.openxmlformats.org/officeDocument/2006/relationships/hyperlink" Target="http://www.broadinstitute.org/gsea/msigdb/cards/GSE34205_HEALTHY_VS_FLU_INF_INFANT_PBMC_DN.html" TargetMode="External"/><Relationship Id="rId1965" Type="http://schemas.openxmlformats.org/officeDocument/2006/relationships/hyperlink" Target="http://www.broadinstitute.org/gsea/msigdb/cards/GSE360_L_MAJOR_VS_T_GONDII_MAC_DN.html" TargetMode="External"/><Relationship Id="rId1966" Type="http://schemas.openxmlformats.org/officeDocument/2006/relationships/hyperlink" Target="http://www.broadinstitute.org/gsea/msigdb/cards/GSE7460_CTRL_VS_FOXP3_OVEREXPR_TCONV_1_UP.html" TargetMode="External"/><Relationship Id="rId1967" Type="http://schemas.openxmlformats.org/officeDocument/2006/relationships/hyperlink" Target="http://www.broadinstitute.org/gsea/msigdb/cards/GSE5503_MLN_DC_VS_SPLEEN_DC_ACTIVATED_ALLOGENIC_TCELL_DN.html" TargetMode="External"/><Relationship Id="rId1968" Type="http://schemas.openxmlformats.org/officeDocument/2006/relationships/hyperlink" Target="http://www.broadinstitute.org/gsea/msigdb/cards/GSE17186_NAIVE_VS_CD21HIGH_TRANSITIONAL_BCELL_DN.html" TargetMode="External"/><Relationship Id="rId1969" Type="http://schemas.openxmlformats.org/officeDocument/2006/relationships/hyperlink" Target="http://www.broadinstitute.org/gsea/msigdb/cards/GSE25085_FETAL_LIVER_VS_ADULT_BM_SP4_THYMIC_IMPLANT_UP.html" TargetMode="External"/><Relationship Id="rId2260" Type="http://schemas.openxmlformats.org/officeDocument/2006/relationships/hyperlink" Target="http://www.broadinstitute.org/gsea/msigdb/cards/GSE24814_STAT5_KO_VS_WT_PRE_BCELL_DN.html" TargetMode="External"/><Relationship Id="rId2261" Type="http://schemas.openxmlformats.org/officeDocument/2006/relationships/hyperlink" Target="http://www.broadinstitute.org/gsea/msigdb/cards/GSE26351_UNSTIM_VS_BMP_PATHWAY_STIM_HEMATOPOIETIC_PROGENITORS_DN.html" TargetMode="External"/><Relationship Id="rId2262" Type="http://schemas.openxmlformats.org/officeDocument/2006/relationships/hyperlink" Target="http://www.broadinstitute.org/gsea/msigdb/cards/GSE33425_CD161_HIGH_VS_NEG_CD8_TCELL_UP.html" TargetMode="External"/><Relationship Id="rId2263" Type="http://schemas.openxmlformats.org/officeDocument/2006/relationships/hyperlink" Target="http://www.broadinstitute.org/gsea/msigdb/cards/GSE32986_GMCSF_AND_CURDLAN_LOWDOSE_VS_GMCSF_AND_CURDLAN_HIGHDOSE_STIM_DC_UP.html" TargetMode="External"/><Relationship Id="rId2264" Type="http://schemas.openxmlformats.org/officeDocument/2006/relationships/hyperlink" Target="http://www.broadinstitute.org/gsea/msigdb/cards/GSE36888_UNTREATED_VS_IL2_TREATED_TCELL_2H_UP.html" TargetMode="External"/><Relationship Id="rId2265" Type="http://schemas.openxmlformats.org/officeDocument/2006/relationships/hyperlink" Target="http://www.broadinstitute.org/gsea/msigdb/cards/GSE36888_UNTREATED_VS_IL2_TREATED_STAT5_AB_KNOCKIN_TCELL_2H_DN.html" TargetMode="External"/><Relationship Id="rId2266" Type="http://schemas.openxmlformats.org/officeDocument/2006/relationships/hyperlink" Target="http://www.broadinstitute.org/gsea/msigdb/cards/GSE37534_UNTREATED_VS_ROSIGLITAZONE_TREATED_CD4_TCELL_PPARG1_AND_FOXP3_TRASDUCED_UP.html" TargetMode="External"/><Relationship Id="rId2267" Type="http://schemas.openxmlformats.org/officeDocument/2006/relationships/hyperlink" Target="http://www.broadinstitute.org/gsea/msigdb/cards/GSE40666_STAT1_KO_VS_STAT4_KO_CD8_TCELL_UP.html" TargetMode="External"/><Relationship Id="rId2268" Type="http://schemas.openxmlformats.org/officeDocument/2006/relationships/hyperlink" Target="http://www.broadinstitute.org/gsea/msigdb/cards/GSE40666_UNTREATED_VS_IFNA_STIM_EFFECTOR_CD8_TCELL_90MIN_DN.html" TargetMode="External"/><Relationship Id="rId2269" Type="http://schemas.openxmlformats.org/officeDocument/2006/relationships/hyperlink" Target="http://www.broadinstitute.org/gsea/msigdb/cards/GSE11961_PLASMA_CELL_DAY7_VS_MEMORY_BCELL_DAY40_DN.html" TargetMode="External"/><Relationship Id="rId2650" Type="http://schemas.openxmlformats.org/officeDocument/2006/relationships/hyperlink" Target="http://www.broadinstitute.org/gsea/msigdb/cards/GSE41867_NAIVE_VS_DAY30_LCMV_ARMSTRONG_MEMORY_CD8_TCELL_DN.html" TargetMode="External"/><Relationship Id="rId2651" Type="http://schemas.openxmlformats.org/officeDocument/2006/relationships/hyperlink" Target="http://www.broadinstitute.org/gsea/msigdb/cards/GSE42021_CD24HI_VS_CD24LOW_TREG_THYMUS_UP.html" TargetMode="External"/><Relationship Id="rId2652" Type="http://schemas.openxmlformats.org/officeDocument/2006/relationships/hyperlink" Target="http://www.broadinstitute.org/gsea/msigdb/cards/GSE42021_TCONV_PLN_VS_CD24HI_TCONV_THYMUS_DN.html" TargetMode="External"/><Relationship Id="rId2653" Type="http://schemas.openxmlformats.org/officeDocument/2006/relationships/hyperlink" Target="http://www.broadinstitute.org/gsea/msigdb/cards/GSE42021_TCONV_PLN_VS_CD24LO_TCONV_THYMUS_DN.html" TargetMode="External"/><Relationship Id="rId2654" Type="http://schemas.openxmlformats.org/officeDocument/2006/relationships/hyperlink" Target="http://www.broadinstitute.org/gsea/msigdb/cards/GSE43700_UNTREATED_VS_IL10_TREATED_PBMC_UP.html" TargetMode="External"/><Relationship Id="rId2655" Type="http://schemas.openxmlformats.org/officeDocument/2006/relationships/hyperlink" Target="http://www.broadinstitute.org/gsea/msigdb/cards/GSE43957_UNTREATED_VS_NACL_TREATED_ANTI_CD3_CD28_STIM_CD4_TCELL_UP.html" TargetMode="External"/><Relationship Id="rId2656" Type="http://schemas.openxmlformats.org/officeDocument/2006/relationships/hyperlink" Target="http://www.broadinstitute.org/gsea/msigdb/cards/GSE43955_TH0_VS_TGFB_IL6_TH17_ACT_CD4_TCELL_60H_DN.html" TargetMode="External"/><Relationship Id="rId2657" Type="http://schemas.openxmlformats.org/officeDocument/2006/relationships/hyperlink" Target="http://www.broadinstitute.org/gsea/msigdb/cards/GSE43955_1H_VS_20H_ACT_CD4_TCELL_DN.html" TargetMode="External"/><Relationship Id="rId2658" Type="http://schemas.openxmlformats.org/officeDocument/2006/relationships/hyperlink" Target="http://www.broadinstitute.org/gsea/msigdb/cards/GSE43863_NAIVE_VS_LY6C_INT_CXCR5POS_CD4_EFF_TCELL_D6_LCMV_UP.html" TargetMode="External"/><Relationship Id="rId2659" Type="http://schemas.openxmlformats.org/officeDocument/2006/relationships/hyperlink" Target="http://www.broadinstitute.org/gsea/msigdb/cards/GSE45382_UNTREATED_VS_TGFB_TREATED_MACROPHAGES_DN.html" TargetMode="External"/><Relationship Id="rId710" Type="http://schemas.openxmlformats.org/officeDocument/2006/relationships/hyperlink" Target="http://www.broadinstitute.org/gsea/msigdb/cards/NFY_Q6.html" TargetMode="External"/><Relationship Id="rId711" Type="http://schemas.openxmlformats.org/officeDocument/2006/relationships/hyperlink" Target="http://www.broadinstitute.org/gsea/msigdb/cards/E2F1_Q3_01.html" TargetMode="External"/><Relationship Id="rId712" Type="http://schemas.openxmlformats.org/officeDocument/2006/relationships/hyperlink" Target="http://www.broadinstitute.org/gsea/msigdb/cards/ACTAYRNNNCCCR_UNKNOWN.html" TargetMode="External"/><Relationship Id="rId713" Type="http://schemas.openxmlformats.org/officeDocument/2006/relationships/hyperlink" Target="http://www.broadinstitute.org/gsea/msigdb/cards/TCCCRNNRTGC_UNKNOWN.html" TargetMode="External"/><Relationship Id="rId320" Type="http://schemas.openxmlformats.org/officeDocument/2006/relationships/hyperlink" Target="http://www.broadinstitute.org/gsea/msigdb/cards/MATSUDA_NATURAL_KILLER_DIFFERENTIATION.html" TargetMode="External"/><Relationship Id="rId321" Type="http://schemas.openxmlformats.org/officeDocument/2006/relationships/hyperlink" Target="http://www.broadinstitute.org/gsea/msigdb/cards/KEGG_MISMATCH_REPAIR.html" TargetMode="External"/><Relationship Id="rId322" Type="http://schemas.openxmlformats.org/officeDocument/2006/relationships/hyperlink" Target="http://www.broadinstitute.org/gsea/msigdb/cards/CHEN_ETV5_TARGETS_TESTIS.html" TargetMode="External"/><Relationship Id="rId323" Type="http://schemas.openxmlformats.org/officeDocument/2006/relationships/hyperlink" Target="http://www.broadinstitute.org/gsea/msigdb/cards/ZWANG_DOWN_BY_2ND_EGF_PULSE.html" TargetMode="External"/><Relationship Id="rId324" Type="http://schemas.openxmlformats.org/officeDocument/2006/relationships/hyperlink" Target="http://www.broadinstitute.org/gsea/msigdb/cards/CROSBY_E2F4_TARGETS.html" TargetMode="External"/><Relationship Id="rId325" Type="http://schemas.openxmlformats.org/officeDocument/2006/relationships/hyperlink" Target="http://www.broadinstitute.org/gsea/msigdb/cards/BIOCARTA_G2_PATHWAY.html" TargetMode="External"/><Relationship Id="rId326" Type="http://schemas.openxmlformats.org/officeDocument/2006/relationships/hyperlink" Target="http://www.broadinstitute.org/gsea/msigdb/cards/HERNANDEZ_MITOTIC_ARREST_BY_DOCETAXEL_1_DN.html" TargetMode="External"/><Relationship Id="rId327" Type="http://schemas.openxmlformats.org/officeDocument/2006/relationships/hyperlink" Target="http://www.broadinstitute.org/gsea/msigdb/cards/TURASHVILI_BREAST_DUCTAL_CARCINOMA_VS_LOBULAR_NORMAL_UP.html" TargetMode="External"/><Relationship Id="rId328" Type="http://schemas.openxmlformats.org/officeDocument/2006/relationships/hyperlink" Target="http://www.broadinstitute.org/gsea/msigdb/cards/REACTOME_REPAIR_SYNTHESIS_FOR_GAP_FILLING_BY_DNA_POL_IN_TC_NER.html" TargetMode="External"/><Relationship Id="rId329" Type="http://schemas.openxmlformats.org/officeDocument/2006/relationships/hyperlink" Target="http://www.broadinstitute.org/gsea/msigdb/cards/REACTOME_FANCONI_ANEMIA_PATHWAY.html" TargetMode="External"/><Relationship Id="rId714" Type="http://schemas.openxmlformats.org/officeDocument/2006/relationships/hyperlink" Target="http://www.broadinstitute.org/gsea/msigdb/cards/RCGCANGCGY_NRF1_Q6.html" TargetMode="External"/><Relationship Id="rId715" Type="http://schemas.openxmlformats.org/officeDocument/2006/relationships/hyperlink" Target="http://www.broadinstitute.org/gsea/msigdb/cards/SCGGAAGY_ELK1_02.html" TargetMode="External"/><Relationship Id="rId716" Type="http://schemas.openxmlformats.org/officeDocument/2006/relationships/hyperlink" Target="http://www.broadinstitute.org/gsea/msigdb/cards/NFY_C.html" TargetMode="External"/><Relationship Id="rId717" Type="http://schemas.openxmlformats.org/officeDocument/2006/relationships/hyperlink" Target="http://www.broadinstitute.org/gsea/msigdb/cards/CCAWYNNGAAR_UNKNOWN.html" TargetMode="External"/><Relationship Id="rId718" Type="http://schemas.openxmlformats.org/officeDocument/2006/relationships/hyperlink" Target="http://www.broadinstitute.org/gsea/msigdb/cards/CCAATNNSNNNGCG_UNKNOWN.html" TargetMode="External"/><Relationship Id="rId719" Type="http://schemas.openxmlformats.org/officeDocument/2006/relationships/hyperlink" Target="http://www.broadinstitute.org/gsea/msigdb/cards/NFY_01.html" TargetMode="External"/><Relationship Id="rId1970" Type="http://schemas.openxmlformats.org/officeDocument/2006/relationships/hyperlink" Target="http://www.broadinstitute.org/gsea/msigdb/cards/GSE23502_BM_VS_COLON_TUMOR_MYELOID_DERIVED_SUPPRESSOR_CELL_DN.html" TargetMode="External"/><Relationship Id="rId1971" Type="http://schemas.openxmlformats.org/officeDocument/2006/relationships/hyperlink" Target="http://www.broadinstitute.org/gsea/msigdb/cards/GSE41867_LCMV_ARMSTRONG_VS_CLONE13_DAY6_EFFECTOR_CD8_TCELL_UP.html" TargetMode="External"/><Relationship Id="rId1972" Type="http://schemas.openxmlformats.org/officeDocument/2006/relationships/hyperlink" Target="http://www.broadinstitute.org/gsea/msigdb/cards/GSE8685_IL2_ACT_IL2_STARVED_VS_IL21_ACT_IL2_STARVED_CD4_TCELL_UP.html" TargetMode="External"/><Relationship Id="rId1973" Type="http://schemas.openxmlformats.org/officeDocument/2006/relationships/hyperlink" Target="http://www.broadinstitute.org/gsea/msigdb/cards/GSE36095_WT_VS_HDAC9_KO_TREG_UP.html" TargetMode="External"/><Relationship Id="rId1580" Type="http://schemas.openxmlformats.org/officeDocument/2006/relationships/hyperlink" Target="http://www.broadinstitute.org/gsea/msigdb/cards/GSE14415_NATURAL_TREG_VS_TCONV_DN.html" TargetMode="External"/><Relationship Id="rId1581" Type="http://schemas.openxmlformats.org/officeDocument/2006/relationships/hyperlink" Target="http://www.broadinstitute.org/gsea/msigdb/cards/GSE24634_TEFF_VS_TCONV_DAY7_IN_CULTURE_UP.html" TargetMode="External"/><Relationship Id="rId1582" Type="http://schemas.openxmlformats.org/officeDocument/2006/relationships/hyperlink" Target="http://www.broadinstitute.org/gsea/msigdb/cards/GSE39110_DAY3_VS_DAY6_POST_IMMUNIZATION_CD8_TCELL_DN.html" TargetMode="External"/><Relationship Id="rId1583" Type="http://schemas.openxmlformats.org/officeDocument/2006/relationships/hyperlink" Target="http://www.broadinstitute.org/gsea/msigdb/cards/GSE36476_CTRL_VS_TSST_ACT_72H_MEMORY_CD4_TCELL_YOUNG_DN.html" TargetMode="External"/><Relationship Id="rId1190" Type="http://schemas.openxmlformats.org/officeDocument/2006/relationships/hyperlink" Target="http://www.broadinstitute.org/gsea/msigdb/cards/GO_DEOXYRIBONUCLEOTIDE_METABOLIC_PROCESS.html" TargetMode="External"/><Relationship Id="rId1191" Type="http://schemas.openxmlformats.org/officeDocument/2006/relationships/hyperlink" Target="http://www.broadinstitute.org/gsea/msigdb/cards/GO_DNA_DAMAGE_RESPONSE_DETECTION_OF_DNA_DAMAGE.html" TargetMode="External"/><Relationship Id="rId1192" Type="http://schemas.openxmlformats.org/officeDocument/2006/relationships/hyperlink" Target="http://www.broadinstitute.org/gsea/msigdb/cards/GO_RETROGRADE_VESICLE_MEDIATED_TRANSPORT_GOLGI_TO_ER.html" TargetMode="External"/><Relationship Id="rId1193" Type="http://schemas.openxmlformats.org/officeDocument/2006/relationships/hyperlink" Target="http://www.broadinstitute.org/gsea/msigdb/cards/GO_DOUBLE_STRANDED_DNA_BINDING.html" TargetMode="External"/><Relationship Id="rId1194" Type="http://schemas.openxmlformats.org/officeDocument/2006/relationships/hyperlink" Target="http://www.broadinstitute.org/gsea/msigdb/cards/GO_REGULATION_OF_PROTEIN_UBIQUITINATION_INVOLVED_IN_UBIQUITIN_DEPENDENT_PROTEIN_CATABOLIC_PROCESS.html" TargetMode="External"/><Relationship Id="rId1195" Type="http://schemas.openxmlformats.org/officeDocument/2006/relationships/hyperlink" Target="http://www.broadinstitute.org/gsea/msigdb/cards/GO_CELLULAR_CATABOLIC_PROCESS.html" TargetMode="External"/><Relationship Id="rId1196" Type="http://schemas.openxmlformats.org/officeDocument/2006/relationships/hyperlink" Target="http://www.broadinstitute.org/gsea/msigdb/cards/GO_SPINDLE_LOCALIZATION.html" TargetMode="External"/><Relationship Id="rId1197" Type="http://schemas.openxmlformats.org/officeDocument/2006/relationships/hyperlink" Target="http://www.broadinstitute.org/gsea/msigdb/cards/GO_BASE_EXCISION_REPAIR.html" TargetMode="External"/><Relationship Id="rId1198" Type="http://schemas.openxmlformats.org/officeDocument/2006/relationships/hyperlink" Target="http://www.broadinstitute.org/gsea/msigdb/cards/GO_INNER_CELL_MASS_CELL_PROLIFERATION.html" TargetMode="External"/><Relationship Id="rId1199" Type="http://schemas.openxmlformats.org/officeDocument/2006/relationships/hyperlink" Target="http://www.broadinstitute.org/gsea/msigdb/cards/GO_PHOSPHATE_CONTAINING_COMPOUND_METABOLIC_PROCESS.html" TargetMode="External"/><Relationship Id="rId1584" Type="http://schemas.openxmlformats.org/officeDocument/2006/relationships/hyperlink" Target="http://www.broadinstitute.org/gsea/msigdb/cards/GSE21063_WT_VS_NFATC1_KO_8H_ANTI_IGM_STIM_BCELL_UP.html" TargetMode="External"/><Relationship Id="rId1585" Type="http://schemas.openxmlformats.org/officeDocument/2006/relationships/hyperlink" Target="http://www.broadinstitute.org/gsea/msigdb/cards/GSE36476_CTRL_VS_TSST_ACT_40H_MEMORY_CD4_TCELL_YOUNG_DN.html" TargetMode="External"/><Relationship Id="rId1586" Type="http://schemas.openxmlformats.org/officeDocument/2006/relationships/hyperlink" Target="http://www.broadinstitute.org/gsea/msigdb/cards/GSE36476_CTRL_VS_TSST_ACT_72H_MEMORY_CD4_TCELL_OLD_DN.html" TargetMode="External"/><Relationship Id="rId1587" Type="http://schemas.openxmlformats.org/officeDocument/2006/relationships/hyperlink" Target="http://www.broadinstitute.org/gsea/msigdb/cards/GSE36476_CTRL_VS_TSST_ACT_40H_MEMORY_CD4_TCELL_OLD_DN.html" TargetMode="External"/><Relationship Id="rId1588" Type="http://schemas.openxmlformats.org/officeDocument/2006/relationships/hyperlink" Target="http://www.broadinstitute.org/gsea/msigdb/cards/GSE14415_INDUCED_VS_NATURAL_TREG_DN.html" TargetMode="External"/><Relationship Id="rId1589" Type="http://schemas.openxmlformats.org/officeDocument/2006/relationships/hyperlink" Target="http://www.broadinstitute.org/gsea/msigdb/cards/GSE14415_TCONV_VS_FOXP3_KO_INDUCED_TREG_DN.html" TargetMode="External"/><Relationship Id="rId1974" Type="http://schemas.openxmlformats.org/officeDocument/2006/relationships/hyperlink" Target="http://www.broadinstitute.org/gsea/msigdb/cards/GSE12003_4D_VS_8D_CULTURE_MIR223_KO_BM_PROGENITOR_DN.html" TargetMode="External"/><Relationship Id="rId1975" Type="http://schemas.openxmlformats.org/officeDocument/2006/relationships/hyperlink" Target="http://www.broadinstitute.org/gsea/msigdb/cards/GSE12845_IGD_NEG_BLOOD_VS_DARKZONE_GC_TONSIL_BCELL_DN.html" TargetMode="External"/><Relationship Id="rId1976" Type="http://schemas.openxmlformats.org/officeDocument/2006/relationships/hyperlink" Target="http://www.broadinstitute.org/gsea/msigdb/cards/GSE17974_CTRL_VS_ACT_IL4_AND_ANTI_IL12_72H_CD4_TCELL_DN.html" TargetMode="External"/><Relationship Id="rId1977" Type="http://schemas.openxmlformats.org/officeDocument/2006/relationships/hyperlink" Target="http://www.broadinstitute.org/gsea/msigdb/cards/GSE20366_EX_VIVO_VS_DEC205_CONVERSION_NAIVE_CD4_TCELL_UP.html" TargetMode="External"/><Relationship Id="rId1978" Type="http://schemas.openxmlformats.org/officeDocument/2006/relationships/hyperlink" Target="http://www.broadinstitute.org/gsea/msigdb/cards/GSE27786_LSK_VS_CD8_TCELL_UP.html" TargetMode="External"/><Relationship Id="rId1979" Type="http://schemas.openxmlformats.org/officeDocument/2006/relationships/hyperlink" Target="http://www.broadinstitute.org/gsea/msigdb/cards/GSE27786_LSK_VS_NKTCELL_UP.html" TargetMode="External"/><Relationship Id="rId2270" Type="http://schemas.openxmlformats.org/officeDocument/2006/relationships/hyperlink" Target="http://www.broadinstitute.org/gsea/msigdb/cards/GSE13762_CTRL_VS_125_VITAMIND_DAY12_DC_DN.html" TargetMode="External"/><Relationship Id="rId2271" Type="http://schemas.openxmlformats.org/officeDocument/2006/relationships/hyperlink" Target="http://www.broadinstitute.org/gsea/msigdb/cards/GSE14415_TCONV_VS_FOXP3_KO_INDUCED_TREG_UP.html" TargetMode="External"/><Relationship Id="rId2272" Type="http://schemas.openxmlformats.org/officeDocument/2006/relationships/hyperlink" Target="http://www.broadinstitute.org/gsea/msigdb/cards/GSE27241_WT_VS_RORGT_KO_TH17_POLARIZED_CD4_TCELL_DN.html" TargetMode="External"/><Relationship Id="rId2273" Type="http://schemas.openxmlformats.org/officeDocument/2006/relationships/hyperlink" Target="http://www.broadinstitute.org/gsea/msigdb/cards/GSE13547_CTRL_VS_ANTI_IGM_STIM_ZFX_KO_BCELL_2H_DN.html" TargetMode="External"/><Relationship Id="rId2274" Type="http://schemas.openxmlformats.org/officeDocument/2006/relationships/hyperlink" Target="http://www.broadinstitute.org/gsea/msigdb/cards/GSE37532_VISCERAL_ADIPOSE_TISSUE_VS_LN_DERIVED_PPARG_KO_TREG_CD4_TCELL_UP.html" TargetMode="External"/><Relationship Id="rId2275" Type="http://schemas.openxmlformats.org/officeDocument/2006/relationships/hyperlink" Target="http://www.broadinstitute.org/gsea/msigdb/cards/GSE22611_NOD2_TRANSDUCED_VS_CTRL_HEK293T_STIMULATED_WITH_MDP_2H_DN.html" TargetMode="External"/><Relationship Id="rId2276" Type="http://schemas.openxmlformats.org/officeDocument/2006/relationships/hyperlink" Target="http://www.broadinstitute.org/gsea/msigdb/cards/GSE7568_IL4_VS_IL4_AND_TGFB_TREATED_MACROPHAGE_24H_DN.html" TargetMode="External"/><Relationship Id="rId2277" Type="http://schemas.openxmlformats.org/officeDocument/2006/relationships/hyperlink" Target="http://www.broadinstitute.org/gsea/msigdb/cards/GSE40274_FOXP3_VS_FOXP3_AND_XBP1_TRANSDUCED_ACTIVATED_CD4_TCELL_UP.html" TargetMode="External"/><Relationship Id="rId2278" Type="http://schemas.openxmlformats.org/officeDocument/2006/relationships/hyperlink" Target="http://www.broadinstitute.org/gsea/msigdb/cards/GSE40274_CTRL_VS_FOXP3_AND_PBX1_TRANSDUCED_ACTIVATED_CD4_TCELL_DN.html" TargetMode="External"/><Relationship Id="rId2279" Type="http://schemas.openxmlformats.org/officeDocument/2006/relationships/hyperlink" Target="http://www.broadinstitute.org/gsea/msigdb/cards/GSE1740_MCSF_VS_MCSF_AND_IFNG_DAY2_DERIVED_MACROPHAGE_WITH_IFNA_STIM_DN.html" TargetMode="External"/><Relationship Id="rId2660" Type="http://schemas.openxmlformats.org/officeDocument/2006/relationships/hyperlink" Target="http://www.broadinstitute.org/gsea/msigdb/cards/GSE46606_UNSTIM_VS_CD40L_IL2_IL5_1DAY_STIMULATED_IRF4_KO_BCELL_DN.html" TargetMode="External"/><Relationship Id="rId2661" Type="http://schemas.openxmlformats.org/officeDocument/2006/relationships/hyperlink" Target="http://www.broadinstitute.org/gsea/msigdb/cards/GSE46606_UNSTIM_VS_CD40L_IL2_IL5_3DAY_STIMULATED_IRF4_KO_BCELL_DN.html" TargetMode="External"/><Relationship Id="rId2662" Type="http://schemas.openxmlformats.org/officeDocument/2006/relationships/hyperlink" Target="http://www.broadinstitute.org/gsea/msigdb/cards/GSE46606_IRF4HIGH_VS_IRF4MID_CD40L_IL2_IL5_DAY3_STIMULATED_BCELL_UP.html" TargetMode="External"/><Relationship Id="rId2663" Type="http://schemas.openxmlformats.org/officeDocument/2006/relationships/hyperlink" Target="http://www.broadinstitute.org/gsea/msigdb/cards/GSE42088_2H_VS_24H_LEISHMANIA_INF_DC_DN.html" TargetMode="External"/><Relationship Id="rId2664" Type="http://schemas.openxmlformats.org/officeDocument/2006/relationships/hyperlink" Target="http://www.broadinstitute.org/gsea/msigdb/cards/GSE45365_WT_VS_IFNAR_KO_BCELL_MCMV_INFECTION_UP.html" TargetMode="External"/><Relationship Id="rId2665" Type="http://schemas.openxmlformats.org/officeDocument/2006/relationships/hyperlink" Target="http://www.broadinstitute.org/gsea/msigdb/cards/GSE45365_NK_CELL_VS_CD8A_DC_MCMV_INFECTION_DN.html" TargetMode="External"/><Relationship Id="rId2666" Type="http://schemas.openxmlformats.org/officeDocument/2006/relationships/hyperlink" Target="http://www.broadinstitute.org/gsea/msigdb/cards/GSE45365_CTRL_VS_MCMV_INFECTION_NK_CELL_DN.html" TargetMode="External"/><Relationship Id="rId2667" Type="http://schemas.openxmlformats.org/officeDocument/2006/relationships/hyperlink" Target="http://www.broadinstitute.org/gsea/msigdb/cards/GSE5589_WT_VS_IL10_KO_LPS_AND_IL10_STIM_MACROPHAGE_180MIN_UP.html" TargetMode="External"/><Relationship Id="rId2668" Type="http://schemas.openxmlformats.org/officeDocument/2006/relationships/hyperlink" Target="http://www.broadinstitute.org/gsea/msigdb/cards/GSE9509_10MIN_VS_30MIN_LPS_AND_IL10_STIM_IL10_KO_MACROPHAGE_DN.html" TargetMode="External"/><Relationship Id="rId2669" Type="http://schemas.openxmlformats.org/officeDocument/2006/relationships/hyperlink" Target="http://www.broadinstitute.org/gsea/msigdb/cards/GSE40274_CTRL_VS_HELIOS_TRANSDUCED_ACTIVATED_CD4_TCELL_UP.html" TargetMode="External"/><Relationship Id="rId720" Type="http://schemas.openxmlformats.org/officeDocument/2006/relationships/hyperlink" Target="http://www.broadinstitute.org/gsea/msigdb/cards/ALPHACP1_01.html" TargetMode="External"/><Relationship Id="rId721" Type="http://schemas.openxmlformats.org/officeDocument/2006/relationships/hyperlink" Target="http://www.broadinstitute.org/gsea/msigdb/cards/NFY_Q6_01.html" TargetMode="External"/><Relationship Id="rId722" Type="http://schemas.openxmlformats.org/officeDocument/2006/relationships/hyperlink" Target="http://www.broadinstitute.org/gsea/msigdb/cards/YGCGYRCGC_UNKNOWN.html" TargetMode="External"/><Relationship Id="rId723" Type="http://schemas.openxmlformats.org/officeDocument/2006/relationships/hyperlink" Target="http://www.broadinstitute.org/gsea/msigdb/cards/TGCACTT_MIR519C_MIR519B_MIR519A.html" TargetMode="External"/><Relationship Id="rId330" Type="http://schemas.openxmlformats.org/officeDocument/2006/relationships/hyperlink" Target="http://www.broadinstitute.org/gsea/msigdb/cards/WILLIAMS_ESR1_TARGETS_UP.html" TargetMode="External"/><Relationship Id="rId331" Type="http://schemas.openxmlformats.org/officeDocument/2006/relationships/hyperlink" Target="http://www.broadinstitute.org/gsea/msigdb/cards/BENPORATH_ES_2.html" TargetMode="External"/><Relationship Id="rId332" Type="http://schemas.openxmlformats.org/officeDocument/2006/relationships/hyperlink" Target="http://www.broadinstitute.org/gsea/msigdb/cards/KEGG_PYRIMIDINE_METABOLISM.html" TargetMode="External"/><Relationship Id="rId333" Type="http://schemas.openxmlformats.org/officeDocument/2006/relationships/hyperlink" Target="http://www.broadinstitute.org/gsea/msigdb/cards/IVANOVA_HEMATOPOIESIS_LATE_PROGENITOR.html" TargetMode="External"/><Relationship Id="rId334" Type="http://schemas.openxmlformats.org/officeDocument/2006/relationships/hyperlink" Target="http://www.broadinstitute.org/gsea/msigdb/cards/PID_P73PATHWAY.html" TargetMode="External"/><Relationship Id="rId335" Type="http://schemas.openxmlformats.org/officeDocument/2006/relationships/hyperlink" Target="http://www.broadinstitute.org/gsea/msigdb/cards/DAZARD_UV_RESPONSE_CLUSTER_G6.html" TargetMode="External"/><Relationship Id="rId336" Type="http://schemas.openxmlformats.org/officeDocument/2006/relationships/hyperlink" Target="http://www.broadinstitute.org/gsea/msigdb/cards/ZHANG_RESPONSE_TO_IKK_INHIBITOR_AND_TNF_DN.html" TargetMode="External"/><Relationship Id="rId337" Type="http://schemas.openxmlformats.org/officeDocument/2006/relationships/hyperlink" Target="http://www.broadinstitute.org/gsea/msigdb/cards/REICHERT_G1S_REGULATORS_AS_PI3K_TARGETS.html" TargetMode="External"/><Relationship Id="rId338" Type="http://schemas.openxmlformats.org/officeDocument/2006/relationships/hyperlink" Target="http://www.broadinstitute.org/gsea/msigdb/cards/RAY_TUMORIGENESIS_BY_ERBB2_CDC25A_UP.html" TargetMode="External"/><Relationship Id="rId339" Type="http://schemas.openxmlformats.org/officeDocument/2006/relationships/hyperlink" Target="http://www.broadinstitute.org/gsea/msigdb/cards/MARTENS_TRETINOIN_RESPONSE_DN.html" TargetMode="External"/><Relationship Id="rId724" Type="http://schemas.openxmlformats.org/officeDocument/2006/relationships/hyperlink" Target="http://www.broadinstitute.org/gsea/msigdb/cards/AACYNNNNTTCCS_UNKNOWN.html" TargetMode="External"/><Relationship Id="rId725" Type="http://schemas.openxmlformats.org/officeDocument/2006/relationships/hyperlink" Target="http://www.broadinstitute.org/gsea/msigdb/cards/MGGAAGTG_GABP_B.html" TargetMode="External"/><Relationship Id="rId726" Type="http://schemas.openxmlformats.org/officeDocument/2006/relationships/hyperlink" Target="http://www.broadinstitute.org/gsea/msigdb/cards/NRF1_Q6.html" TargetMode="External"/><Relationship Id="rId727" Type="http://schemas.openxmlformats.org/officeDocument/2006/relationships/hyperlink" Target="http://www.broadinstitute.org/gsea/msigdb/cards/YNGTTNNNATT_UNKNOWN.html" TargetMode="External"/><Relationship Id="rId728" Type="http://schemas.openxmlformats.org/officeDocument/2006/relationships/hyperlink" Target="http://www.broadinstitute.org/gsea/msigdb/cards/GCCATNTTG_YY1_Q6.html" TargetMode="External"/><Relationship Id="rId729" Type="http://schemas.openxmlformats.org/officeDocument/2006/relationships/hyperlink" Target="http://www.broadinstitute.org/gsea/msigdb/cards/TCF1P_Q6.html" TargetMode="External"/><Relationship Id="rId1980" Type="http://schemas.openxmlformats.org/officeDocument/2006/relationships/hyperlink" Target="http://www.broadinstitute.org/gsea/msigdb/cards/GSE27786_LIN_NEG_VS_CD4_TCELL_UP.html" TargetMode="External"/><Relationship Id="rId1981" Type="http://schemas.openxmlformats.org/officeDocument/2006/relationships/hyperlink" Target="http://www.broadinstitute.org/gsea/msigdb/cards/GSE27786_LIN_NEG_VS_ERYTHROBLAST_DN.html" TargetMode="External"/><Relationship Id="rId1982" Type="http://schemas.openxmlformats.org/officeDocument/2006/relationships/hyperlink" Target="http://www.broadinstitute.org/gsea/msigdb/cards/GSE27786_CD4_TCELL_VS_MONO_MAC_DN.html" TargetMode="External"/><Relationship Id="rId1983" Type="http://schemas.openxmlformats.org/officeDocument/2006/relationships/hyperlink" Target="http://www.broadinstitute.org/gsea/msigdb/cards/GSE27786_NKCELL_VS_MONO_MAC_DN.html" TargetMode="External"/><Relationship Id="rId1590" Type="http://schemas.openxmlformats.org/officeDocument/2006/relationships/hyperlink" Target="http://www.broadinstitute.org/gsea/msigdb/cards/GOLDRATH_EFF_VS_MEMORY_CD8_TCELL_UP.html" TargetMode="External"/><Relationship Id="rId1591" Type="http://schemas.openxmlformats.org/officeDocument/2006/relationships/hyperlink" Target="http://www.broadinstitute.org/gsea/msigdb/cards/GSE25088_WT_VS_STAT6_KO_MACROPHAGE_IL4_STIM_DN.html" TargetMode="External"/><Relationship Id="rId1592" Type="http://schemas.openxmlformats.org/officeDocument/2006/relationships/hyperlink" Target="http://www.broadinstitute.org/gsea/msigdb/cards/GSE13547_CTRL_VS_ANTI_IGM_STIM_BCELL_2H_UP.html" TargetMode="External"/><Relationship Id="rId1593" Type="http://schemas.openxmlformats.org/officeDocument/2006/relationships/hyperlink" Target="http://www.broadinstitute.org/gsea/msigdb/cards/GSE24634_TREG_VS_TCONV_POST_DAY7_IL4_CONVERSION_UP.html" TargetMode="External"/><Relationship Id="rId1594" Type="http://schemas.openxmlformats.org/officeDocument/2006/relationships/hyperlink" Target="http://www.broadinstitute.org/gsea/msigdb/cards/GSE18893_TCONV_VS_TREG_24H_TNF_STIM_UP.html" TargetMode="External"/><Relationship Id="rId1595" Type="http://schemas.openxmlformats.org/officeDocument/2006/relationships/hyperlink" Target="http://www.broadinstitute.org/gsea/msigdb/cards/GSE37532_WT_VS_PPARG_KO_VISCERAL_ADIPOSE_TISSUE_TREG_UP.html" TargetMode="External"/><Relationship Id="rId1596" Type="http://schemas.openxmlformats.org/officeDocument/2006/relationships/hyperlink" Target="http://www.broadinstitute.org/gsea/msigdb/cards/GSE33292_WT_VS_TCF1_KO_DN3_THYMOCYTE_DN.html" TargetMode="External"/><Relationship Id="rId1597" Type="http://schemas.openxmlformats.org/officeDocument/2006/relationships/hyperlink" Target="http://www.broadinstitute.org/gsea/msigdb/cards/GSE40274_CTRL_VS_FOXP3_TRANSDUCED_ACTIVATED_CD4_TCELL_UP.html" TargetMode="External"/><Relationship Id="rId1598" Type="http://schemas.openxmlformats.org/officeDocument/2006/relationships/hyperlink" Target="http://www.broadinstitute.org/gsea/msigdb/cards/GSE27241_WT_VS_RORGT_KO_TH17_POLARIZED_CD4_TCELL_UP.html" TargetMode="External"/><Relationship Id="rId1599" Type="http://schemas.openxmlformats.org/officeDocument/2006/relationships/hyperlink" Target="http://www.broadinstitute.org/gsea/msigdb/cards/GSE2405_S_AUREUS_VS_UNTREATED_NEUTROPHIL_DN.html" TargetMode="External"/><Relationship Id="rId1984" Type="http://schemas.openxmlformats.org/officeDocument/2006/relationships/hyperlink" Target="http://www.broadinstitute.org/gsea/msigdb/cards/GSE2826_XID_VS_BTK_KO_BCELL_DN.html" TargetMode="External"/><Relationship Id="rId1985" Type="http://schemas.openxmlformats.org/officeDocument/2006/relationships/hyperlink" Target="http://www.broadinstitute.org/gsea/msigdb/cards/GSE3982_NEUTROPHIL_VS_TH1_DN.html" TargetMode="External"/><Relationship Id="rId1986" Type="http://schemas.openxmlformats.org/officeDocument/2006/relationships/hyperlink" Target="http://www.broadinstitute.org/gsea/msigdb/cards/GSE7852_TREG_VS_TCONV_FAT_DN.html" TargetMode="External"/><Relationship Id="rId1987" Type="http://schemas.openxmlformats.org/officeDocument/2006/relationships/hyperlink" Target="http://www.broadinstitute.org/gsea/msigdb/cards/GSE2770_IL12_ACT_VS_ACT_CD4_TCELL_48H_DN.html" TargetMode="External"/><Relationship Id="rId1988" Type="http://schemas.openxmlformats.org/officeDocument/2006/relationships/hyperlink" Target="http://www.broadinstitute.org/gsea/msigdb/cards/GSE3720_VD1_VS_VD2_GAMMADELTA_TCELL_WITH_LPS_STIM_DN.html" TargetMode="External"/><Relationship Id="rId1989" Type="http://schemas.openxmlformats.org/officeDocument/2006/relationships/hyperlink" Target="http://www.broadinstitute.org/gsea/msigdb/cards/GSE4811_CLASSSICALY_ACTIVATED_VS_TYPE_2_ACTIVATED_MACROPHAGE_UP.html" TargetMode="External"/><Relationship Id="rId2280" Type="http://schemas.openxmlformats.org/officeDocument/2006/relationships/hyperlink" Target="http://www.broadinstitute.org/gsea/msigdb/cards/GSE25088_CTRL_VS_IL4_AND_ROSIGLITAZONE_STIM_STAT6_KO_MACROPHAGE_DN.html" TargetMode="External"/><Relationship Id="rId2281" Type="http://schemas.openxmlformats.org/officeDocument/2006/relationships/hyperlink" Target="http://www.broadinstitute.org/gsea/msigdb/cards/GSE10325_CD4_TCELL_VS_LUPUS_CD4_TCELL_DN.html" TargetMode="External"/><Relationship Id="rId2282" Type="http://schemas.openxmlformats.org/officeDocument/2006/relationships/hyperlink" Target="http://www.broadinstitute.org/gsea/msigdb/cards/GSE11924_TFH_VS_TH1_CD4_TCELL_DN.html" TargetMode="External"/><Relationship Id="rId2283" Type="http://schemas.openxmlformats.org/officeDocument/2006/relationships/hyperlink" Target="http://www.broadinstitute.org/gsea/msigdb/cards/GSE13306_TREG_VS_TCONV_DN.html" TargetMode="External"/><Relationship Id="rId2284" Type="http://schemas.openxmlformats.org/officeDocument/2006/relationships/hyperlink" Target="http://www.broadinstitute.org/gsea/msigdb/cards/GSE13493_DP_VS_CD8POS_THYMOCYTE_DN.html" TargetMode="External"/><Relationship Id="rId2285" Type="http://schemas.openxmlformats.org/officeDocument/2006/relationships/hyperlink" Target="http://www.broadinstitute.org/gsea/msigdb/cards/GSE14000_UNSTIM_VS_4H_LPS_DC_UP.html" TargetMode="External"/><Relationship Id="rId2286" Type="http://schemas.openxmlformats.org/officeDocument/2006/relationships/hyperlink" Target="http://www.broadinstitute.org/gsea/msigdb/cards/GSE14308_TH1_VS_NAIVE_CD4_TCELL_UP.html" TargetMode="External"/><Relationship Id="rId2287" Type="http://schemas.openxmlformats.org/officeDocument/2006/relationships/hyperlink" Target="http://www.broadinstitute.org/gsea/msigdb/cards/GSE1432_CTRL_VS_IFNG_6H_MICROGLIA_UP.html" TargetMode="External"/><Relationship Id="rId2288" Type="http://schemas.openxmlformats.org/officeDocument/2006/relationships/hyperlink" Target="http://www.broadinstitute.org/gsea/msigdb/cards/GSE1432_1H_VS_6H_IFNG_MICROGLIA_UP.html" TargetMode="External"/><Relationship Id="rId2289" Type="http://schemas.openxmlformats.org/officeDocument/2006/relationships/hyperlink" Target="http://www.broadinstitute.org/gsea/msigdb/cards/GSE1460_DP_THYMOCYTE_VS_THYMIC_STROMAL_CELL_UP.html" TargetMode="External"/><Relationship Id="rId2670" Type="http://schemas.openxmlformats.org/officeDocument/2006/relationships/hyperlink" Target="http://www.broadinstitute.org/gsea/msigdb/cards/GSE3920_UNTREATED_VS_IFNA_TREATED_ENDOTHELIAL_CELL_DN.html" TargetMode="External"/><Relationship Id="rId2671" Type="http://schemas.openxmlformats.org/officeDocument/2006/relationships/hyperlink" Target="http://www.broadinstitute.org/gsea/msigdb/cards/GSE3920_IFNA_VS_IFNG_TREATED_ENDOTHELIAL_CELL_DN.html" TargetMode="External"/><Relationship Id="rId2672" Type="http://schemas.openxmlformats.org/officeDocument/2006/relationships/hyperlink" Target="http://www.broadinstitute.org/gsea/msigdb/cards/GSE14415_INDUCED_TREG_VS_FOXP3_KO_INDUCED_TREG_IL2_CULTURE_UP.html" TargetMode="External"/><Relationship Id="rId730" Type="http://schemas.openxmlformats.org/officeDocument/2006/relationships/hyperlink" Target="http://www.broadinstitute.org/gsea/msigdb/cards/CREB_Q4.html" TargetMode="External"/><Relationship Id="rId731" Type="http://schemas.openxmlformats.org/officeDocument/2006/relationships/hyperlink" Target="http://www.broadinstitute.org/gsea/msigdb/cards/MODULE_54.html" TargetMode="External"/><Relationship Id="rId732" Type="http://schemas.openxmlformats.org/officeDocument/2006/relationships/hyperlink" Target="http://www.broadinstitute.org/gsea/msigdb/cards/GNF2_CCNA2.html" TargetMode="External"/><Relationship Id="rId733" Type="http://schemas.openxmlformats.org/officeDocument/2006/relationships/hyperlink" Target="http://www.broadinstitute.org/gsea/msigdb/cards/GNF2_CENPF.html" TargetMode="External"/><Relationship Id="rId734" Type="http://schemas.openxmlformats.org/officeDocument/2006/relationships/hyperlink" Target="http://www.broadinstitute.org/gsea/msigdb/cards/GNF2_PCNA.html" TargetMode="External"/><Relationship Id="rId735" Type="http://schemas.openxmlformats.org/officeDocument/2006/relationships/hyperlink" Target="http://www.broadinstitute.org/gsea/msigdb/cards/GNF2_CDC2.html" TargetMode="External"/><Relationship Id="rId736" Type="http://schemas.openxmlformats.org/officeDocument/2006/relationships/hyperlink" Target="http://www.broadinstitute.org/gsea/msigdb/cards/GNF2_RRM1.html" TargetMode="External"/><Relationship Id="rId737" Type="http://schemas.openxmlformats.org/officeDocument/2006/relationships/hyperlink" Target="http://www.broadinstitute.org/gsea/msigdb/cards/GNF2_SMC4L1.html" TargetMode="External"/><Relationship Id="rId738" Type="http://schemas.openxmlformats.org/officeDocument/2006/relationships/hyperlink" Target="http://www.broadinstitute.org/gsea/msigdb/cards/GNF2_CCNB2.html" TargetMode="External"/><Relationship Id="rId739" Type="http://schemas.openxmlformats.org/officeDocument/2006/relationships/hyperlink" Target="http://www.broadinstitute.org/gsea/msigdb/cards/MODULE_198.html" TargetMode="External"/><Relationship Id="rId340" Type="http://schemas.openxmlformats.org/officeDocument/2006/relationships/hyperlink" Target="http://www.broadinstitute.org/gsea/msigdb/cards/PUIFFE_INVASION_INHIBITED_BY_ASCITES_UP.html" TargetMode="External"/><Relationship Id="rId341" Type="http://schemas.openxmlformats.org/officeDocument/2006/relationships/hyperlink" Target="http://www.broadinstitute.org/gsea/msigdb/cards/ZHAN_MULTIPLE_MYELOMA_SUBGROUPS.html" TargetMode="External"/><Relationship Id="rId342" Type="http://schemas.openxmlformats.org/officeDocument/2006/relationships/hyperlink" Target="http://www.broadinstitute.org/gsea/msigdb/cards/HONRADO_BREAST_CANCER_BRCA1_VS_BRCA2.html" TargetMode="External"/><Relationship Id="rId343" Type="http://schemas.openxmlformats.org/officeDocument/2006/relationships/hyperlink" Target="http://www.broadinstitute.org/gsea/msigdb/cards/LOPEZ_MBD_TARGETS.html" TargetMode="External"/><Relationship Id="rId344" Type="http://schemas.openxmlformats.org/officeDocument/2006/relationships/hyperlink" Target="http://www.broadinstitute.org/gsea/msigdb/cards/HEDENFALK_BREAST_CANCER_BRCA1_VS_BRCA2.html" TargetMode="External"/><Relationship Id="rId345" Type="http://schemas.openxmlformats.org/officeDocument/2006/relationships/hyperlink" Target="http://www.broadinstitute.org/gsea/msigdb/cards/PID_AURORA_A_PATHWAY.html" TargetMode="External"/><Relationship Id="rId346" Type="http://schemas.openxmlformats.org/officeDocument/2006/relationships/hyperlink" Target="http://www.broadinstitute.org/gsea/msigdb/cards/KEGG_PROGESTERONE_MEDIATED_OOCYTE_MATURATION.html" TargetMode="External"/><Relationship Id="rId347" Type="http://schemas.openxmlformats.org/officeDocument/2006/relationships/hyperlink" Target="http://www.broadinstitute.org/gsea/msigdb/cards/REACTOME_CYCLIN_E_ASSOCIATED_EVENTS_DURING_G1_S_TRANSITION_.html" TargetMode="External"/><Relationship Id="rId348" Type="http://schemas.openxmlformats.org/officeDocument/2006/relationships/hyperlink" Target="http://www.broadinstitute.org/gsea/msigdb/cards/MEISSNER_BRAIN_HCP_WITH_H3K4ME3_AND_H3K27ME3.html" TargetMode="External"/><Relationship Id="rId349" Type="http://schemas.openxmlformats.org/officeDocument/2006/relationships/hyperlink" Target="http://www.broadinstitute.org/gsea/msigdb/cards/BOHN_PRIMARY_IMMUNODEFICIENCY_SYNDROM_UP.html" TargetMode="External"/><Relationship Id="rId1990" Type="http://schemas.openxmlformats.org/officeDocument/2006/relationships/hyperlink" Target="http://www.broadinstitute.org/gsea/msigdb/cards/GSE6092_UNSTIM_VS_IFNG_STIM_AND_B_BURGDORFERI_INF_ENDOTHELIAL_CELL_UP.html" TargetMode="External"/><Relationship Id="rId1991" Type="http://schemas.openxmlformats.org/officeDocument/2006/relationships/hyperlink" Target="http://www.broadinstitute.org/gsea/msigdb/cards/GSE6875_WT_VS_FOXP3_KO_TREG_DN.html" TargetMode="External"/><Relationship Id="rId1992" Type="http://schemas.openxmlformats.org/officeDocument/2006/relationships/hyperlink" Target="http://www.broadinstitute.org/gsea/msigdb/cards/GSE6674_ANTI_IGM_VS_PL2_3_STIM_BCELL_UP.html" TargetMode="External"/><Relationship Id="rId1993" Type="http://schemas.openxmlformats.org/officeDocument/2006/relationships/hyperlink" Target="http://www.broadinstitute.org/gsea/msigdb/cards/GSE8621_LPS_PRIMED_UNSTIM_VS_LPS_PRIMED_AND_LPS_STIM_MACROPHAGE_DN.html" TargetMode="External"/><Relationship Id="rId1994" Type="http://schemas.openxmlformats.org/officeDocument/2006/relationships/hyperlink" Target="http://www.broadinstitute.org/gsea/msigdb/cards/GSE10240_IL22_VS_IL17_STIM_PRIMARY_BRONCHIAL_EPITHELIAL_CELLS_DN.html" TargetMode="External"/><Relationship Id="rId1995" Type="http://schemas.openxmlformats.org/officeDocument/2006/relationships/hyperlink" Target="http://www.broadinstitute.org/gsea/msigdb/cards/GSE16451_IMMATURE_VS_MATURE_NEURON_CELL_LINE_WEST_EQUINE_ENC_VIRUS_DN.html" TargetMode="External"/><Relationship Id="rId1996" Type="http://schemas.openxmlformats.org/officeDocument/2006/relationships/hyperlink" Target="http://www.broadinstitute.org/gsea/msigdb/cards/GSE21546_WT_VS_SAP1A_KO_AND_ELK1_KO_ANTI_CD3_STIM_DP_THYMOCYTES_DN.html" TargetMode="External"/><Relationship Id="rId1997" Type="http://schemas.openxmlformats.org/officeDocument/2006/relationships/hyperlink" Target="http://www.broadinstitute.org/gsea/msigdb/cards/GSE21927_GMCSF_IL6_VS_GMCSF_GCSF_TREATED_BONE_MARROW_DN.html" TargetMode="External"/><Relationship Id="rId1998" Type="http://schemas.openxmlformats.org/officeDocument/2006/relationships/hyperlink" Target="http://www.broadinstitute.org/gsea/msigdb/cards/GSE20500_CTRL_VS_RETINOIC_ACID_TREATED_CD4_TCELL_UP.html" TargetMode="External"/><Relationship Id="rId1999" Type="http://schemas.openxmlformats.org/officeDocument/2006/relationships/hyperlink" Target="http://www.broadinstitute.org/gsea/msigdb/cards/GSE22432_MULTIPOTENT_PROGENITOR_VS_PDC_DN.html" TargetMode="External"/><Relationship Id="rId2290" Type="http://schemas.openxmlformats.org/officeDocument/2006/relationships/hyperlink" Target="http://www.broadinstitute.org/gsea/msigdb/cards/GSE1460_CD4_THYMOCYTE_VS_NAIVE_CD4_TCELL_ADULT_BLOOD_UP.html" TargetMode="External"/><Relationship Id="rId2291" Type="http://schemas.openxmlformats.org/officeDocument/2006/relationships/hyperlink" Target="http://www.broadinstitute.org/gsea/msigdb/cards/GSE15930_STIM_VS_STIM_AND_IFNAB_72H_CD8_T_CELL_DN.html" TargetMode="External"/><Relationship Id="rId2292" Type="http://schemas.openxmlformats.org/officeDocument/2006/relationships/hyperlink" Target="http://www.broadinstitute.org/gsea/msigdb/cards/GSE17721_CTRL_VS_LPS_24H_BMDC_UP.html" TargetMode="External"/><Relationship Id="rId2293" Type="http://schemas.openxmlformats.org/officeDocument/2006/relationships/hyperlink" Target="http://www.broadinstitute.org/gsea/msigdb/cards/GSE17721_CTRL_VS_POLYIC_1H_BMDC_UP.html" TargetMode="External"/><Relationship Id="rId2294" Type="http://schemas.openxmlformats.org/officeDocument/2006/relationships/hyperlink" Target="http://www.broadinstitute.org/gsea/msigdb/cards/GSE17721_CTRL_VS_POLYIC_12H_BMDC_UP.html" TargetMode="External"/><Relationship Id="rId2295" Type="http://schemas.openxmlformats.org/officeDocument/2006/relationships/hyperlink" Target="http://www.broadinstitute.org/gsea/msigdb/cards/GSE17721_CTRL_VS_PAM3CSK4_0.5H_BMDC_UP.html" TargetMode="External"/><Relationship Id="rId2296" Type="http://schemas.openxmlformats.org/officeDocument/2006/relationships/hyperlink" Target="http://www.broadinstitute.org/gsea/msigdb/cards/GSE17721_CTRL_VS_CPG_2H_BMDC_UP.html" TargetMode="External"/><Relationship Id="rId2297" Type="http://schemas.openxmlformats.org/officeDocument/2006/relationships/hyperlink" Target="http://www.broadinstitute.org/gsea/msigdb/cards/GSE17721_CTRL_VS_GARDIQUIMOD_4H_BMDC_UP.html" TargetMode="External"/><Relationship Id="rId2298" Type="http://schemas.openxmlformats.org/officeDocument/2006/relationships/hyperlink" Target="http://www.broadinstitute.org/gsea/msigdb/cards/GSE17721_CTRL_VS_GARDIQUIMOD_6H_BMDC_UP.html" TargetMode="External"/><Relationship Id="rId2299" Type="http://schemas.openxmlformats.org/officeDocument/2006/relationships/hyperlink" Target="http://www.broadinstitute.org/gsea/msigdb/cards/GSE17721_LPS_VS_PAM3CSK4_16H_BMDC_DN.html" TargetMode="External"/><Relationship Id="rId1200" Type="http://schemas.openxmlformats.org/officeDocument/2006/relationships/hyperlink" Target="http://www.broadinstitute.org/gsea/msigdb/cards/GO_RECIPROCAL_DNA_RECOMBINATION.html" TargetMode="External"/><Relationship Id="rId1201" Type="http://schemas.openxmlformats.org/officeDocument/2006/relationships/hyperlink" Target="http://www.broadinstitute.org/gsea/msigdb/cards/GO_SINGLE_ORGANISM_CELLULAR_LOCALIZATION.html" TargetMode="External"/><Relationship Id="rId1202" Type="http://schemas.openxmlformats.org/officeDocument/2006/relationships/hyperlink" Target="http://www.broadinstitute.org/gsea/msigdb/cards/GO_DNA_DEPENDENT_DNA_REPLICATION_MAINTENANCE_OF_FIDELITY.html" TargetMode="External"/><Relationship Id="rId1203" Type="http://schemas.openxmlformats.org/officeDocument/2006/relationships/hyperlink" Target="http://www.broadinstitute.org/gsea/msigdb/cards/GO_NUCLEOTIDE_EXCISION_REPAIR_DNA_GAP_FILLING.html" TargetMode="External"/><Relationship Id="rId1204" Type="http://schemas.openxmlformats.org/officeDocument/2006/relationships/hyperlink" Target="http://www.broadinstitute.org/gsea/msigdb/cards/GO_RESPONSE_TO_ALCOHOL.html" TargetMode="External"/><Relationship Id="rId1205" Type="http://schemas.openxmlformats.org/officeDocument/2006/relationships/hyperlink" Target="http://www.broadinstitute.org/gsea/msigdb/cards/GO_PROTEIN_KINASE_ACTIVITY.html" TargetMode="External"/><Relationship Id="rId1206" Type="http://schemas.openxmlformats.org/officeDocument/2006/relationships/hyperlink" Target="http://www.broadinstitute.org/gsea/msigdb/cards/GO_CELL_CYCLE_DNA_REPLICATION.html" TargetMode="External"/><Relationship Id="rId1207" Type="http://schemas.openxmlformats.org/officeDocument/2006/relationships/hyperlink" Target="http://www.broadinstitute.org/gsea/msigdb/cards/GO_POSITIVE_REGULATION_OF_DNA_DEPENDENT_DNA_REPLICATION.html" TargetMode="External"/><Relationship Id="rId740" Type="http://schemas.openxmlformats.org/officeDocument/2006/relationships/hyperlink" Target="http://www.broadinstitute.org/gsea/msigdb/cards/GNF2_CDC20.html" TargetMode="External"/><Relationship Id="rId741" Type="http://schemas.openxmlformats.org/officeDocument/2006/relationships/hyperlink" Target="http://www.broadinstitute.org/gsea/msigdb/cards/MODULE_252.html" TargetMode="External"/><Relationship Id="rId742" Type="http://schemas.openxmlformats.org/officeDocument/2006/relationships/hyperlink" Target="http://www.broadinstitute.org/gsea/msigdb/cards/GNF2_MCM4.html" TargetMode="External"/><Relationship Id="rId743" Type="http://schemas.openxmlformats.org/officeDocument/2006/relationships/hyperlink" Target="http://www.broadinstitute.org/gsea/msigdb/cards/GNF2_RFC4.html" TargetMode="External"/><Relationship Id="rId744" Type="http://schemas.openxmlformats.org/officeDocument/2006/relationships/hyperlink" Target="http://www.broadinstitute.org/gsea/msigdb/cards/GNF2_HMMR.html" TargetMode="External"/><Relationship Id="rId745" Type="http://schemas.openxmlformats.org/officeDocument/2006/relationships/hyperlink" Target="http://www.broadinstitute.org/gsea/msigdb/cards/MODULE_98.html" TargetMode="External"/><Relationship Id="rId746" Type="http://schemas.openxmlformats.org/officeDocument/2006/relationships/hyperlink" Target="http://www.broadinstitute.org/gsea/msigdb/cards/MODULE_53.html" TargetMode="External"/><Relationship Id="rId747" Type="http://schemas.openxmlformats.org/officeDocument/2006/relationships/hyperlink" Target="http://www.broadinstitute.org/gsea/msigdb/cards/GNF2_BUB1B.html" TargetMode="External"/><Relationship Id="rId748" Type="http://schemas.openxmlformats.org/officeDocument/2006/relationships/hyperlink" Target="http://www.broadinstitute.org/gsea/msigdb/cards/GNF2_FEN1.html" TargetMode="External"/><Relationship Id="rId749" Type="http://schemas.openxmlformats.org/officeDocument/2006/relationships/hyperlink" Target="http://www.broadinstitute.org/gsea/msigdb/cards/GNF2_CKS2.html" TargetMode="External"/><Relationship Id="rId350" Type="http://schemas.openxmlformats.org/officeDocument/2006/relationships/hyperlink" Target="http://www.broadinstitute.org/gsea/msigdb/cards/JEON_SMAD6_TARGETS_DN.html" TargetMode="External"/><Relationship Id="rId351" Type="http://schemas.openxmlformats.org/officeDocument/2006/relationships/hyperlink" Target="http://www.broadinstitute.org/gsea/msigdb/cards/BIOCARTA_RANMS_PATHWAY.html" TargetMode="External"/><Relationship Id="rId352" Type="http://schemas.openxmlformats.org/officeDocument/2006/relationships/hyperlink" Target="http://www.broadinstitute.org/gsea/msigdb/cards/OHASHI_AURKB_TARGETS.html" TargetMode="External"/><Relationship Id="rId353" Type="http://schemas.openxmlformats.org/officeDocument/2006/relationships/hyperlink" Target="http://www.broadinstitute.org/gsea/msigdb/cards/XU_HGF_SIGNALING_NOT_VIA_AKT1_48HR_DN.html" TargetMode="External"/><Relationship Id="rId354" Type="http://schemas.openxmlformats.org/officeDocument/2006/relationships/hyperlink" Target="http://www.broadinstitute.org/gsea/msigdb/cards/ZHANG_RESPONSE_TO_CANTHARIDIN_DN.html" TargetMode="External"/><Relationship Id="rId355" Type="http://schemas.openxmlformats.org/officeDocument/2006/relationships/hyperlink" Target="http://www.broadinstitute.org/gsea/msigdb/cards/MATTIOLI_MGUS_VS_PCL.html" TargetMode="External"/><Relationship Id="rId356" Type="http://schemas.openxmlformats.org/officeDocument/2006/relationships/hyperlink" Target="http://www.broadinstitute.org/gsea/msigdb/cards/MOREAUX_MULTIPLE_MYELOMA_BY_TACI_DN.html" TargetMode="External"/><Relationship Id="rId357" Type="http://schemas.openxmlformats.org/officeDocument/2006/relationships/hyperlink" Target="http://www.broadinstitute.org/gsea/msigdb/cards/DAIRKEE_CANCER_PRONE_RESPONSE_BPA_E2.html" TargetMode="External"/><Relationship Id="rId358" Type="http://schemas.openxmlformats.org/officeDocument/2006/relationships/hyperlink" Target="http://www.broadinstitute.org/gsea/msigdb/cards/REACTOME_GLOBAL_GENOMIC_NER_GG_NER.html" TargetMode="External"/><Relationship Id="rId359" Type="http://schemas.openxmlformats.org/officeDocument/2006/relationships/hyperlink" Target="http://www.broadinstitute.org/gsea/msigdb/cards/REACTOME_CDC6_ASSOCIATION_WITH_THE_ORC_ORIGIN_COMPLEX.html" TargetMode="External"/><Relationship Id="rId1208" Type="http://schemas.openxmlformats.org/officeDocument/2006/relationships/hyperlink" Target="http://www.broadinstitute.org/gsea/msigdb/cards/GO_GAMETE_GENERATION.html" TargetMode="External"/><Relationship Id="rId1209" Type="http://schemas.openxmlformats.org/officeDocument/2006/relationships/hyperlink" Target="http://www.broadinstitute.org/gsea/msigdb/cards/GO_NUCLEOTIDE_EXCISION_REPAIR.html" TargetMode="External"/><Relationship Id="rId1600" Type="http://schemas.openxmlformats.org/officeDocument/2006/relationships/hyperlink" Target="http://www.broadinstitute.org/gsea/msigdb/cards/GSE25088_WT_VS_STAT6_KO_MACROPHAGE_DN.html" TargetMode="External"/><Relationship Id="rId1601" Type="http://schemas.openxmlformats.org/officeDocument/2006/relationships/hyperlink" Target="http://www.broadinstitute.org/gsea/msigdb/cards/GSE35543_IN_VITRO_ITREG_VS_CONVERTED_EX_ITREG_UP.html" TargetMode="External"/><Relationship Id="rId1602" Type="http://schemas.openxmlformats.org/officeDocument/2006/relationships/hyperlink" Target="http://www.broadinstitute.org/gsea/msigdb/cards/GSE14415_INDUCED_TREG_VS_TCONV_UP.html" TargetMode="External"/><Relationship Id="rId1603" Type="http://schemas.openxmlformats.org/officeDocument/2006/relationships/hyperlink" Target="http://www.broadinstitute.org/gsea/msigdb/cards/GSE21670_UNTREATED_VS_TGFB_IL6_TREATED_CD4_TCELL_UP.html" TargetMode="External"/><Relationship Id="rId1604" Type="http://schemas.openxmlformats.org/officeDocument/2006/relationships/hyperlink" Target="http://www.broadinstitute.org/gsea/msigdb/cards/GSE10239_NAIVE_VS_DAY4.5_EFF_CD8_TCELL_DN.html" TargetMode="External"/><Relationship Id="rId1605" Type="http://schemas.openxmlformats.org/officeDocument/2006/relationships/hyperlink" Target="http://www.broadinstitute.org/gsea/msigdb/cards/GOLDRATH_NAIVE_VS_EFF_CD8_TCELL_DN.html" TargetMode="External"/><Relationship Id="rId1606" Type="http://schemas.openxmlformats.org/officeDocument/2006/relationships/hyperlink" Target="http://www.broadinstitute.org/gsea/msigdb/cards/GSE5679_CTRL_VS_PPARG_LIGAND_ROSIGLITAZONE_TREATED_DC_UP.html" TargetMode="External"/><Relationship Id="rId1607" Type="http://schemas.openxmlformats.org/officeDocument/2006/relationships/hyperlink" Target="http://www.broadinstitute.org/gsea/msigdb/cards/GSE5679_CTRL_VS_RARA_AGONIST_AM580_TREATED_DC_UP.html" TargetMode="External"/><Relationship Id="rId1608" Type="http://schemas.openxmlformats.org/officeDocument/2006/relationships/hyperlink" Target="http://www.broadinstitute.org/gsea/msigdb/cards/GSE40274_FOXP3_VS_FOXP3_AND_EOS_TRANSDUCED_ACTIVATED_CD4_TCELL_DN.html" TargetMode="External"/><Relationship Id="rId1609" Type="http://schemas.openxmlformats.org/officeDocument/2006/relationships/hyperlink" Target="http://www.broadinstitute.org/gsea/msigdb/cards/GSE40274_CTRL_VS_EOS_TRANSDUCED_ACTIVATED_CD4_TCELL_UP.html" TargetMode="External"/><Relationship Id="rId1210" Type="http://schemas.openxmlformats.org/officeDocument/2006/relationships/hyperlink" Target="http://www.broadinstitute.org/gsea/msigdb/cards/GO_NEGATIVE_REGULATION_OF_CELL_CYCLE_G2_M_PHASE_TRANSITION.html" TargetMode="External"/><Relationship Id="rId1211" Type="http://schemas.openxmlformats.org/officeDocument/2006/relationships/hyperlink" Target="http://www.broadinstitute.org/gsea/msigdb/cards/GO_POSITIVE_REGULATION_OF_CHROMOSOME_SEGREGATION.html" TargetMode="External"/><Relationship Id="rId750" Type="http://schemas.openxmlformats.org/officeDocument/2006/relationships/hyperlink" Target="http://www.broadinstitute.org/gsea/msigdb/cards/GNF2_RRM2.html" TargetMode="External"/><Relationship Id="rId751" Type="http://schemas.openxmlformats.org/officeDocument/2006/relationships/hyperlink" Target="http://www.broadinstitute.org/gsea/msigdb/cards/GNF2_CENPE.html" TargetMode="External"/><Relationship Id="rId752" Type="http://schemas.openxmlformats.org/officeDocument/2006/relationships/hyperlink" Target="http://www.broadinstitute.org/gsea/msigdb/cards/GNF2_TTK.html" TargetMode="External"/><Relationship Id="rId753" Type="http://schemas.openxmlformats.org/officeDocument/2006/relationships/hyperlink" Target="http://www.broadinstitute.org/gsea/msigdb/cards/GNF2_ESPL1.html" TargetMode="External"/><Relationship Id="rId754" Type="http://schemas.openxmlformats.org/officeDocument/2006/relationships/hyperlink" Target="http://www.broadinstitute.org/gsea/msigdb/cards/MODULE_118.html" TargetMode="External"/><Relationship Id="rId755" Type="http://schemas.openxmlformats.org/officeDocument/2006/relationships/hyperlink" Target="http://www.broadinstitute.org/gsea/msigdb/cards/GNF2_SMC2L1.html" TargetMode="External"/><Relationship Id="rId756" Type="http://schemas.openxmlformats.org/officeDocument/2006/relationships/hyperlink" Target="http://www.broadinstitute.org/gsea/msigdb/cards/GNF2_RFC3.html" TargetMode="External"/><Relationship Id="rId757" Type="http://schemas.openxmlformats.org/officeDocument/2006/relationships/hyperlink" Target="http://www.broadinstitute.org/gsea/msigdb/cards/MODULE_57.html" TargetMode="External"/><Relationship Id="rId758" Type="http://schemas.openxmlformats.org/officeDocument/2006/relationships/hyperlink" Target="http://www.broadinstitute.org/gsea/msigdb/cards/GNF2_H2AFX.html" TargetMode="External"/><Relationship Id="rId759" Type="http://schemas.openxmlformats.org/officeDocument/2006/relationships/hyperlink" Target="http://www.broadinstitute.org/gsea/msigdb/cards/MODULE_52.html" TargetMode="External"/><Relationship Id="rId360" Type="http://schemas.openxmlformats.org/officeDocument/2006/relationships/hyperlink" Target="http://www.broadinstitute.org/gsea/msigdb/cards/MATHEW_FANCONI_ANEMIA_GENES.html" TargetMode="External"/><Relationship Id="rId361" Type="http://schemas.openxmlformats.org/officeDocument/2006/relationships/hyperlink" Target="http://www.broadinstitute.org/gsea/msigdb/cards/CHICAS_RB1_TARGETS_CONFLUENT.html" TargetMode="External"/><Relationship Id="rId362" Type="http://schemas.openxmlformats.org/officeDocument/2006/relationships/hyperlink" Target="http://www.broadinstitute.org/gsea/msigdb/cards/LASTOWSKA_NEUROBLASTOMA_COPY_NUMBER_UP.html" TargetMode="External"/><Relationship Id="rId363" Type="http://schemas.openxmlformats.org/officeDocument/2006/relationships/hyperlink" Target="http://www.broadinstitute.org/gsea/msigdb/cards/BIOCARTA_CELLCYCLE_PATHWAY.html" TargetMode="External"/><Relationship Id="rId364" Type="http://schemas.openxmlformats.org/officeDocument/2006/relationships/hyperlink" Target="http://www.broadinstitute.org/gsea/msigdb/cards/FERRANDO_HOX11_NEIGHBORS.html" TargetMode="External"/><Relationship Id="rId365" Type="http://schemas.openxmlformats.org/officeDocument/2006/relationships/hyperlink" Target="http://www.broadinstitute.org/gsea/msigdb/cards/MARSON_BOUND_BY_FOXP3_STIMULATED.html" TargetMode="External"/><Relationship Id="rId366" Type="http://schemas.openxmlformats.org/officeDocument/2006/relationships/hyperlink" Target="http://www.broadinstitute.org/gsea/msigdb/cards/SANSOM_APC_TARGETS_UP.html" TargetMode="External"/><Relationship Id="rId367" Type="http://schemas.openxmlformats.org/officeDocument/2006/relationships/hyperlink" Target="http://www.broadinstitute.org/gsea/msigdb/cards/BRUINS_UVC_RESPONSE_LATE.html" TargetMode="External"/><Relationship Id="rId368" Type="http://schemas.openxmlformats.org/officeDocument/2006/relationships/hyperlink" Target="http://www.broadinstitute.org/gsea/msigdb/cards/SA_REG_CASCADE_OF_CYCLIN_EXPR.html" TargetMode="External"/><Relationship Id="rId369" Type="http://schemas.openxmlformats.org/officeDocument/2006/relationships/hyperlink" Target="http://www.broadinstitute.org/gsea/msigdb/cards/KOKKINAKIS_METHIONINE_DEPRIVATION_48HR_UP.html" TargetMode="External"/><Relationship Id="rId1212" Type="http://schemas.openxmlformats.org/officeDocument/2006/relationships/hyperlink" Target="http://www.broadinstitute.org/gsea/msigdb/cards/GO_SOMATIC_DIVERSIFICATION_OF_IMMUNE_RECEPTORS.html" TargetMode="External"/><Relationship Id="rId1213" Type="http://schemas.openxmlformats.org/officeDocument/2006/relationships/hyperlink" Target="http://www.broadinstitute.org/gsea/msigdb/cards/GO_NEGATIVE_REGULATION_OF_GENE_EXPRESSION.html" TargetMode="External"/><Relationship Id="rId1214" Type="http://schemas.openxmlformats.org/officeDocument/2006/relationships/hyperlink" Target="http://www.broadinstitute.org/gsea/msigdb/cards/GO_ANTIGEN_PROCESSING_AND_PRESENTATION_OF_PEPTIDE_ANTIGEN.html" TargetMode="External"/><Relationship Id="rId1215" Type="http://schemas.openxmlformats.org/officeDocument/2006/relationships/hyperlink" Target="http://www.broadinstitute.org/gsea/msigdb/cards/GO_REGULATION_OF_RESPONSE_TO_DNA_DAMAGE_STIMULUS.html" TargetMode="External"/><Relationship Id="rId1216" Type="http://schemas.openxmlformats.org/officeDocument/2006/relationships/hyperlink" Target="http://www.broadinstitute.org/gsea/msigdb/cards/GO_NEGATIVE_REGULATION_OF_CELLULAR_PROTEIN_CATABOLIC_PROCESS.html" TargetMode="External"/><Relationship Id="rId1217" Type="http://schemas.openxmlformats.org/officeDocument/2006/relationships/hyperlink" Target="http://www.broadinstitute.org/gsea/msigdb/cards/GO_CHROMOCENTER.html" TargetMode="External"/><Relationship Id="rId1218" Type="http://schemas.openxmlformats.org/officeDocument/2006/relationships/hyperlink" Target="http://www.broadinstitute.org/gsea/msigdb/cards/GO_POSITIVE_REGULATION_OF_CELL_PROLIFERATION.html" TargetMode="External"/><Relationship Id="rId1219" Type="http://schemas.openxmlformats.org/officeDocument/2006/relationships/hyperlink" Target="http://www.broadinstitute.org/gsea/msigdb/cards/GO_MULTICELLULAR_ORGANISM_REPRODUCTION.html" TargetMode="External"/><Relationship Id="rId1610" Type="http://schemas.openxmlformats.org/officeDocument/2006/relationships/hyperlink" Target="http://www.broadinstitute.org/gsea/msigdb/cards/GSE13547_2H_VS_12_H_ANTI_IGM_STIM_BCELL_DN.html" TargetMode="External"/><Relationship Id="rId1611" Type="http://schemas.openxmlformats.org/officeDocument/2006/relationships/hyperlink" Target="http://www.broadinstitute.org/gsea/msigdb/cards/GSE13547_2H_VS_12_H_ANTI_IGM_STIM_BCELL_UP.html" TargetMode="External"/><Relationship Id="rId1612" Type="http://schemas.openxmlformats.org/officeDocument/2006/relationships/hyperlink" Target="http://www.broadinstitute.org/gsea/msigdb/cards/GSE23568_CTRL_VS_ID3_TRANSDUCED_CD8_TCELL_DN.html" TargetMode="External"/><Relationship Id="rId1613" Type="http://schemas.openxmlformats.org/officeDocument/2006/relationships/hyperlink" Target="http://www.broadinstitute.org/gsea/msigdb/cards/GSE40666_WT_VS_STAT1_KO_CD8_TCELL_WITH_IFNA_STIM_90MIN_DN.html" TargetMode="External"/><Relationship Id="rId1614" Type="http://schemas.openxmlformats.org/officeDocument/2006/relationships/hyperlink" Target="http://www.broadinstitute.org/gsea/msigdb/cards/GSE21546_ELK1_KO_VS_SAP1A_KO_AND_ELK1_KO_DP_THYMOCYTES_DN.html" TargetMode="External"/><Relationship Id="rId1615" Type="http://schemas.openxmlformats.org/officeDocument/2006/relationships/hyperlink" Target="http://www.broadinstitute.org/gsea/msigdb/cards/GSE12845_IGD_POS_BLOOD_VS_PRE_GC_TONSIL_BCELL_DN.html" TargetMode="External"/><Relationship Id="rId1616" Type="http://schemas.openxmlformats.org/officeDocument/2006/relationships/hyperlink" Target="http://www.broadinstitute.org/gsea/msigdb/cards/GSE25085_FETAL_LIVER_VS_ADULT_BM_SP4_THYMIC_IMPLANT_DN.html" TargetMode="External"/><Relationship Id="rId1617" Type="http://schemas.openxmlformats.org/officeDocument/2006/relationships/hyperlink" Target="http://www.broadinstitute.org/gsea/msigdb/cards/GSE45365_HEALTHY_VS_MCMV_INFECTION_CD11B_DC_DN.html" TargetMode="External"/><Relationship Id="rId1618" Type="http://schemas.openxmlformats.org/officeDocument/2006/relationships/hyperlink" Target="http://www.broadinstitute.org/gsea/msigdb/cards/GSE10239_NAIVE_VS_KLRG1HIGH_EFF_CD8_TCELL_DN.html" TargetMode="External"/><Relationship Id="rId1619" Type="http://schemas.openxmlformats.org/officeDocument/2006/relationships/hyperlink" Target="http://www.broadinstitute.org/gsea/msigdb/cards/GSE7852_LN_VS_THYMUS_TCONV_DN.html" TargetMode="External"/><Relationship Id="rId1220" Type="http://schemas.openxmlformats.org/officeDocument/2006/relationships/hyperlink" Target="http://www.broadinstitute.org/gsea/msigdb/cards/GO_MEMBRANE_DISASSEMBLY.html" TargetMode="External"/><Relationship Id="rId1221" Type="http://schemas.openxmlformats.org/officeDocument/2006/relationships/hyperlink" Target="http://www.broadinstitute.org/gsea/msigdb/cards/GO_PROTEIN_PHOSPHORYLATION.html" TargetMode="External"/><Relationship Id="rId760" Type="http://schemas.openxmlformats.org/officeDocument/2006/relationships/hyperlink" Target="http://www.broadinstitute.org/gsea/msigdb/cards/MODULE_244.html" TargetMode="External"/><Relationship Id="rId761" Type="http://schemas.openxmlformats.org/officeDocument/2006/relationships/hyperlink" Target="http://www.broadinstitute.org/gsea/msigdb/cards/MODULE_126.html" TargetMode="External"/><Relationship Id="rId762" Type="http://schemas.openxmlformats.org/officeDocument/2006/relationships/hyperlink" Target="http://www.broadinstitute.org/gsea/msigdb/cards/GNF2_MKI67.html" TargetMode="External"/><Relationship Id="rId763" Type="http://schemas.openxmlformats.org/officeDocument/2006/relationships/hyperlink" Target="http://www.broadinstitute.org/gsea/msigdb/cards/MODULE_18.html" TargetMode="External"/><Relationship Id="rId764" Type="http://schemas.openxmlformats.org/officeDocument/2006/relationships/hyperlink" Target="http://www.broadinstitute.org/gsea/msigdb/cards/MORF_RFC4.html" TargetMode="External"/><Relationship Id="rId765" Type="http://schemas.openxmlformats.org/officeDocument/2006/relationships/hyperlink" Target="http://www.broadinstitute.org/gsea/msigdb/cards/GNF2_CKS1B.html" TargetMode="External"/><Relationship Id="rId766" Type="http://schemas.openxmlformats.org/officeDocument/2006/relationships/hyperlink" Target="http://www.broadinstitute.org/gsea/msigdb/cards/MODULE_158.html" TargetMode="External"/><Relationship Id="rId767" Type="http://schemas.openxmlformats.org/officeDocument/2006/relationships/hyperlink" Target="http://www.broadinstitute.org/gsea/msigdb/cards/GNF2_BUB1.html" TargetMode="External"/><Relationship Id="rId768" Type="http://schemas.openxmlformats.org/officeDocument/2006/relationships/hyperlink" Target="http://www.broadinstitute.org/gsea/msigdb/cards/MODULE_3.html" TargetMode="External"/><Relationship Id="rId769" Type="http://schemas.openxmlformats.org/officeDocument/2006/relationships/hyperlink" Target="http://www.broadinstitute.org/gsea/msigdb/cards/MODULE_16.html" TargetMode="External"/><Relationship Id="rId370" Type="http://schemas.openxmlformats.org/officeDocument/2006/relationships/hyperlink" Target="http://www.broadinstitute.org/gsea/msigdb/cards/FARMER_BREAST_CANCER_APOCRINE_VS_BASAL.html" TargetMode="External"/><Relationship Id="rId371" Type="http://schemas.openxmlformats.org/officeDocument/2006/relationships/hyperlink" Target="http://www.broadinstitute.org/gsea/msigdb/cards/REACTOME_FACTORS_INVOLVED_IN_MEGAKARYOCYTE_DEVELOPMENT_AND_PLATELET_PRODUCTION.html" TargetMode="External"/><Relationship Id="rId372" Type="http://schemas.openxmlformats.org/officeDocument/2006/relationships/hyperlink" Target="http://www.broadinstitute.org/gsea/msigdb/cards/REACTOME_ASSOCIATION_OF_LICENSING_FACTORS_WITH_THE_PRE_REPLICATIVE_COMPLEX.html" TargetMode="External"/><Relationship Id="rId373" Type="http://schemas.openxmlformats.org/officeDocument/2006/relationships/hyperlink" Target="http://www.broadinstitute.org/gsea/msigdb/cards/CHARAFE_BREAST_CANCER_LUMINAL_VS_MESENCHYMAL_DN.html" TargetMode="External"/><Relationship Id="rId374" Type="http://schemas.openxmlformats.org/officeDocument/2006/relationships/hyperlink" Target="http://www.broadinstitute.org/gsea/msigdb/cards/REACTOME_PROCESSIVE_SYNTHESIS_ON_THE_LAGGING_STRAND.html" TargetMode="External"/><Relationship Id="rId375" Type="http://schemas.openxmlformats.org/officeDocument/2006/relationships/hyperlink" Target="http://www.broadinstitute.org/gsea/msigdb/cards/KEGG_NUCLEOTIDE_EXCISION_REPAIR.html" TargetMode="External"/><Relationship Id="rId376" Type="http://schemas.openxmlformats.org/officeDocument/2006/relationships/hyperlink" Target="http://www.broadinstitute.org/gsea/msigdb/cards/KEGG_HOMOLOGOUS_RECOMBINATION.html" TargetMode="External"/><Relationship Id="rId377" Type="http://schemas.openxmlformats.org/officeDocument/2006/relationships/hyperlink" Target="http://www.broadinstitute.org/gsea/msigdb/cards/PENG_GLUCOSE_DEPRIVATION_DN.html" TargetMode="External"/><Relationship Id="rId378" Type="http://schemas.openxmlformats.org/officeDocument/2006/relationships/hyperlink" Target="http://www.broadinstitute.org/gsea/msigdb/cards/REACTOME_TRANSCRIPTION_COUPLED_NER_TC_NER.html" TargetMode="External"/><Relationship Id="rId379" Type="http://schemas.openxmlformats.org/officeDocument/2006/relationships/hyperlink" Target="http://www.broadinstitute.org/gsea/msigdb/cards/SHIPP_DLBCL_VS_FOLLICULAR_LYMPHOMA_UP.html" TargetMode="External"/><Relationship Id="rId1222" Type="http://schemas.openxmlformats.org/officeDocument/2006/relationships/hyperlink" Target="http://www.broadinstitute.org/gsea/msigdb/cards/GO_POSITIVE_REGULATION_OF_PROTEIN_CATABOLIC_PROCESS.html" TargetMode="External"/><Relationship Id="rId1223" Type="http://schemas.openxmlformats.org/officeDocument/2006/relationships/hyperlink" Target="http://www.broadinstitute.org/gsea/msigdb/cards/GO_SOMATIC_DIVERSIFICATION_OF_IMMUNOGLOBULINS.html" TargetMode="External"/><Relationship Id="rId1224" Type="http://schemas.openxmlformats.org/officeDocument/2006/relationships/hyperlink" Target="http://www.broadinstitute.org/gsea/msigdb/cards/GO_SOMATIC_DIVERSIFICATION_OF_IMMUNE_RECEPTORS_VIA_SOMATIC_MUTATION.html" TargetMode="External"/><Relationship Id="rId1225" Type="http://schemas.openxmlformats.org/officeDocument/2006/relationships/hyperlink" Target="http://www.broadinstitute.org/gsea/msigdb/cards/GO_PERICENTRIC_HETEROCHROMATIN.html" TargetMode="External"/><Relationship Id="rId1226" Type="http://schemas.openxmlformats.org/officeDocument/2006/relationships/hyperlink" Target="http://www.broadinstitute.org/gsea/msigdb/cards/GO_FOUR_WAY_JUNCTION_DNA_BINDING.html" TargetMode="External"/><Relationship Id="rId1227" Type="http://schemas.openxmlformats.org/officeDocument/2006/relationships/hyperlink" Target="http://www.broadinstitute.org/gsea/msigdb/cards/GO_HOMOLOGOUS_CHROMOSOME_SEGREGATION.html" TargetMode="External"/><Relationship Id="rId1228" Type="http://schemas.openxmlformats.org/officeDocument/2006/relationships/hyperlink" Target="http://www.broadinstitute.org/gsea/msigdb/cards/GO_KINASE_ACTIVITY.html" TargetMode="External"/><Relationship Id="rId1229" Type="http://schemas.openxmlformats.org/officeDocument/2006/relationships/hyperlink" Target="http://www.broadinstitute.org/gsea/msigdb/cards/GO_REGULATION_OF_GENE_EXPRESSION_EPIGENETIC.html" TargetMode="External"/><Relationship Id="rId2300" Type="http://schemas.openxmlformats.org/officeDocument/2006/relationships/hyperlink" Target="http://www.broadinstitute.org/gsea/msigdb/cards/GSE17721_POLYIC_VS_CPG_1H_BMDC_UP.html" TargetMode="External"/><Relationship Id="rId2301" Type="http://schemas.openxmlformats.org/officeDocument/2006/relationships/hyperlink" Target="http://www.broadinstitute.org/gsea/msigdb/cards/GSE17721_0.5H_VS_24H_POLYIC_BMDC_UP.html" TargetMode="External"/><Relationship Id="rId2302" Type="http://schemas.openxmlformats.org/officeDocument/2006/relationships/hyperlink" Target="http://www.broadinstitute.org/gsea/msigdb/cards/GSE17974_2.5H_VS_72H_IL4_AND_ANTI_IL12_ACT_CD4_TCELL_DN.html" TargetMode="External"/><Relationship Id="rId2303" Type="http://schemas.openxmlformats.org/officeDocument/2006/relationships/hyperlink" Target="http://www.broadinstitute.org/gsea/msigdb/cards/GSE18791_CTRL_VS_NEWCASTLE_VIRUS_DC_6H_UP.html" TargetMode="External"/><Relationship Id="rId2304" Type="http://schemas.openxmlformats.org/officeDocument/2006/relationships/hyperlink" Target="http://www.broadinstitute.org/gsea/msigdb/cards/GSE20366_EX_VIVO_VS_HOMEOSTATIC_CONVERSION_NAIVE_CD4_TCELL_DN.html" TargetMode="External"/><Relationship Id="rId2305" Type="http://schemas.openxmlformats.org/officeDocument/2006/relationships/hyperlink" Target="http://www.broadinstitute.org/gsea/msigdb/cards/GSE2706_UNSTIM_VS_8H_LPS_AND_R848_DC_UP.html" TargetMode="External"/><Relationship Id="rId2306" Type="http://schemas.openxmlformats.org/officeDocument/2006/relationships/hyperlink" Target="http://www.broadinstitute.org/gsea/msigdb/cards/GSE27786_CD4_TCELL_VS_ERYTHTROBLAST_DN.html" TargetMode="External"/><Relationship Id="rId2307" Type="http://schemas.openxmlformats.org/officeDocument/2006/relationships/hyperlink" Target="http://www.broadinstitute.org/gsea/msigdb/cards/GSE27786_NKCELL_VS_ERYTHROBLAST_DN.html" TargetMode="External"/><Relationship Id="rId2308" Type="http://schemas.openxmlformats.org/officeDocument/2006/relationships/hyperlink" Target="http://www.broadinstitute.org/gsea/msigdb/cards/GSE27786_NKTCELL_VS_ERYTHROBLAST_DN.html" TargetMode="External"/><Relationship Id="rId2309" Type="http://schemas.openxmlformats.org/officeDocument/2006/relationships/hyperlink" Target="http://www.broadinstitute.org/gsea/msigdb/cards/GSE31082_DN_VS_CD4_SP_THYMOCYTE_UP.html" TargetMode="External"/><Relationship Id="rId1620" Type="http://schemas.openxmlformats.org/officeDocument/2006/relationships/hyperlink" Target="http://www.broadinstitute.org/gsea/msigdb/cards/GSE29614_CTRL_VS_DAY7_TIV_FLU_VACCINE_PBMC_DN.html" TargetMode="External"/><Relationship Id="rId1621" Type="http://schemas.openxmlformats.org/officeDocument/2006/relationships/hyperlink" Target="http://www.broadinstitute.org/gsea/msigdb/cards/GSE19941_LPS_VS_LPS_AND_IL10_STIM_IL10_KO_MACROPHAGE_UP.html" TargetMode="External"/><Relationship Id="rId1622" Type="http://schemas.openxmlformats.org/officeDocument/2006/relationships/hyperlink" Target="http://www.broadinstitute.org/gsea/msigdb/cards/GSE45365_WT_VS_IFNAR_KO_BCELL_MCMV_INFECTION_DN.html" TargetMode="External"/><Relationship Id="rId1623" Type="http://schemas.openxmlformats.org/officeDocument/2006/relationships/hyperlink" Target="http://www.broadinstitute.org/gsea/msigdb/cards/GSE39110_DAY3_VS_DAY6_POST_IMMUNIZATION_CD8_TCELL_WITH_IL2_TREATMENT_UP.html" TargetMode="External"/><Relationship Id="rId1624" Type="http://schemas.openxmlformats.org/officeDocument/2006/relationships/hyperlink" Target="http://www.broadinstitute.org/gsea/msigdb/cards/GSE24634_IL4_VS_CTRL_TREATED_NAIVE_CD4_TCELL_DAY7_UP.html" TargetMode="External"/><Relationship Id="rId1625" Type="http://schemas.openxmlformats.org/officeDocument/2006/relationships/hyperlink" Target="http://www.broadinstitute.org/gsea/msigdb/cards/GSE32164_RESTING_DIFFERENTIATED_VS_ALTERNATIVELY_ACT_M2_MACROPHAGE_UP.html" TargetMode="External"/><Relationship Id="rId1626" Type="http://schemas.openxmlformats.org/officeDocument/2006/relationships/hyperlink" Target="http://www.broadinstitute.org/gsea/msigdb/cards/GSE45365_WT_VS_IFNAR_KO_BCELL_DN.html" TargetMode="External"/><Relationship Id="rId1627" Type="http://schemas.openxmlformats.org/officeDocument/2006/relationships/hyperlink" Target="http://www.broadinstitute.org/gsea/msigdb/cards/GSE13547_2H_VS_12_H_ANTI_IGM_STIM_ZFX_KO_BCELL_DN.html" TargetMode="External"/><Relationship Id="rId1628" Type="http://schemas.openxmlformats.org/officeDocument/2006/relationships/hyperlink" Target="http://www.broadinstitute.org/gsea/msigdb/cards/GSE22313_HEALTHY_VS_SLE_MOUSE_CD4_TCELL_DN.html" TargetMode="External"/><Relationship Id="rId1629" Type="http://schemas.openxmlformats.org/officeDocument/2006/relationships/hyperlink" Target="http://www.broadinstitute.org/gsea/msigdb/cards/GSE22601_DOUBLE_POSITIVE_VS_CD4_SINGLE_POSITIVE_THYMOCYTE_DN.html" TargetMode="External"/><Relationship Id="rId1230" Type="http://schemas.openxmlformats.org/officeDocument/2006/relationships/hyperlink" Target="http://www.broadinstitute.org/gsea/msigdb/cards/GO_POSITIVE_REGULATION_OF_BIOSYNTHETIC_PROCESS.html" TargetMode="External"/><Relationship Id="rId1231" Type="http://schemas.openxmlformats.org/officeDocument/2006/relationships/hyperlink" Target="http://www.broadinstitute.org/gsea/msigdb/cards/GO_MALE_GAMETE_GENERATION.html" TargetMode="External"/><Relationship Id="rId770" Type="http://schemas.openxmlformats.org/officeDocument/2006/relationships/hyperlink" Target="http://www.broadinstitute.org/gsea/msigdb/cards/MODULE_125.html" TargetMode="External"/><Relationship Id="rId771" Type="http://schemas.openxmlformats.org/officeDocument/2006/relationships/hyperlink" Target="http://www.broadinstitute.org/gsea/msigdb/cards/MODULE_403.html" TargetMode="External"/><Relationship Id="rId772" Type="http://schemas.openxmlformats.org/officeDocument/2006/relationships/hyperlink" Target="http://www.broadinstitute.org/gsea/msigdb/cards/MORF_BUB3.html" TargetMode="External"/><Relationship Id="rId773" Type="http://schemas.openxmlformats.org/officeDocument/2006/relationships/hyperlink" Target="http://www.broadinstitute.org/gsea/msigdb/cards/MORF_RRM1.html" TargetMode="External"/><Relationship Id="rId774" Type="http://schemas.openxmlformats.org/officeDocument/2006/relationships/hyperlink" Target="http://www.broadinstitute.org/gsea/msigdb/cards/MODULE_8.html" TargetMode="External"/><Relationship Id="rId775" Type="http://schemas.openxmlformats.org/officeDocument/2006/relationships/hyperlink" Target="http://www.broadinstitute.org/gsea/msigdb/cards/GNF2_MCM5.html" TargetMode="External"/><Relationship Id="rId776" Type="http://schemas.openxmlformats.org/officeDocument/2006/relationships/hyperlink" Target="http://www.broadinstitute.org/gsea/msigdb/cards/MODULE_17.html" TargetMode="External"/><Relationship Id="rId777" Type="http://schemas.openxmlformats.org/officeDocument/2006/relationships/hyperlink" Target="http://www.broadinstitute.org/gsea/msigdb/cards/MODULE_197.html" TargetMode="External"/><Relationship Id="rId778" Type="http://schemas.openxmlformats.org/officeDocument/2006/relationships/hyperlink" Target="http://www.broadinstitute.org/gsea/msigdb/cards/MORF_BUB1B.html" TargetMode="External"/><Relationship Id="rId779" Type="http://schemas.openxmlformats.org/officeDocument/2006/relationships/hyperlink" Target="http://www.broadinstitute.org/gsea/msigdb/cards/MORF_ESPL1.html" TargetMode="External"/><Relationship Id="rId380" Type="http://schemas.openxmlformats.org/officeDocument/2006/relationships/hyperlink" Target="http://www.broadinstitute.org/gsea/msigdb/cards/PID_RB_1PATHWAY.html" TargetMode="External"/><Relationship Id="rId381" Type="http://schemas.openxmlformats.org/officeDocument/2006/relationships/hyperlink" Target="http://www.broadinstitute.org/gsea/msigdb/cards/DOANE_RESPONSE_TO_ANDROGEN_DN.html" TargetMode="External"/><Relationship Id="rId382" Type="http://schemas.openxmlformats.org/officeDocument/2006/relationships/hyperlink" Target="http://www.broadinstitute.org/gsea/msigdb/cards/GRUETZMANN_PANCREATIC_CANCER_UP.html" TargetMode="External"/><Relationship Id="rId383" Type="http://schemas.openxmlformats.org/officeDocument/2006/relationships/hyperlink" Target="http://www.broadinstitute.org/gsea/msigdb/cards/REACTOME_MHC_CLASS_II_ANTIGEN_PRESENTATION.html" TargetMode="External"/><Relationship Id="rId384" Type="http://schemas.openxmlformats.org/officeDocument/2006/relationships/hyperlink" Target="http://www.broadinstitute.org/gsea/msigdb/cards/DIAZ_CHRONIC_MEYLOGENOUS_LEUKEMIA_UP.html" TargetMode="External"/><Relationship Id="rId385" Type="http://schemas.openxmlformats.org/officeDocument/2006/relationships/hyperlink" Target="http://www.broadinstitute.org/gsea/msigdb/cards/KEGG_P53_SIGNALING_PATHWAY.html" TargetMode="External"/><Relationship Id="rId386" Type="http://schemas.openxmlformats.org/officeDocument/2006/relationships/hyperlink" Target="http://www.broadinstitute.org/gsea/msigdb/cards/BROWNE_HCMV_INFECTION_2HR_DN.html" TargetMode="External"/><Relationship Id="rId387" Type="http://schemas.openxmlformats.org/officeDocument/2006/relationships/hyperlink" Target="http://www.broadinstitute.org/gsea/msigdb/cards/KENNY_CTNNB1_TARGETS_UP.html" TargetMode="External"/><Relationship Id="rId388" Type="http://schemas.openxmlformats.org/officeDocument/2006/relationships/hyperlink" Target="http://www.broadinstitute.org/gsea/msigdb/cards/REACTOME_APC_C_CDH1_MEDIATED_DEGRADATION_OF_CDC20_AND_OTHER_APC_C_CDH1_TARGETED_PROTEINS_IN_LATE_MITOSIS_EARLY_G1.html" TargetMode="External"/><Relationship Id="rId389" Type="http://schemas.openxmlformats.org/officeDocument/2006/relationships/hyperlink" Target="http://www.broadinstitute.org/gsea/msigdb/cards/REACTOME_NUCLEOTIDE_EXCISION_REPAIR.html" TargetMode="External"/><Relationship Id="rId1232" Type="http://schemas.openxmlformats.org/officeDocument/2006/relationships/hyperlink" Target="http://www.broadinstitute.org/gsea/msigdb/cards/GO_NUCLEAR_MATRIX.html" TargetMode="External"/><Relationship Id="rId1233" Type="http://schemas.openxmlformats.org/officeDocument/2006/relationships/hyperlink" Target="http://www.broadinstitute.org/gsea/msigdb/cards/GO_REGULATION_OF_PHOSPHORUS_METABOLIC_PROCESS.html" TargetMode="External"/><Relationship Id="rId1234" Type="http://schemas.openxmlformats.org/officeDocument/2006/relationships/hyperlink" Target="http://www.broadinstitute.org/gsea/msigdb/cards/GO_POSITIVE_REGULATION_OF_PROTEIN_MODIFICATION_PROCESS.html" TargetMode="External"/><Relationship Id="rId1235" Type="http://schemas.openxmlformats.org/officeDocument/2006/relationships/hyperlink" Target="http://www.broadinstitute.org/gsea/msigdb/cards/GO_NEGATIVE_REGULATION_OF_DNA_RECOMBINATION.html" TargetMode="External"/><Relationship Id="rId1236" Type="http://schemas.openxmlformats.org/officeDocument/2006/relationships/hyperlink" Target="http://www.broadinstitute.org/gsea/msigdb/cards/GO_REGULATION_OF_EXIT_FROM_MITOSIS.html" TargetMode="External"/><Relationship Id="rId1237" Type="http://schemas.openxmlformats.org/officeDocument/2006/relationships/hyperlink" Target="http://www.broadinstitute.org/gsea/msigdb/cards/GO_MISMATCH_REPAIR.html" TargetMode="External"/><Relationship Id="rId1238" Type="http://schemas.openxmlformats.org/officeDocument/2006/relationships/hyperlink" Target="http://www.broadinstitute.org/gsea/msigdb/cards/GO_NEGATIVE_REGULATION_OF_PROTEIN_METABOLIC_PROCESS.html" TargetMode="External"/><Relationship Id="rId1239" Type="http://schemas.openxmlformats.org/officeDocument/2006/relationships/hyperlink" Target="http://www.broadinstitute.org/gsea/msigdb/cards/GO_BLASTOCYST_GROWTH.html" TargetMode="External"/><Relationship Id="rId2310" Type="http://schemas.openxmlformats.org/officeDocument/2006/relationships/hyperlink" Target="http://www.broadinstitute.org/gsea/msigdb/cards/GSE33513_TCF7_KO_VS_HET_EARLY_THYMIC_PROGENITOR_DN.html" TargetMode="External"/><Relationship Id="rId2311" Type="http://schemas.openxmlformats.org/officeDocument/2006/relationships/hyperlink" Target="http://www.broadinstitute.org/gsea/msigdb/cards/GSE360_CTRL_VS_L_DONOVANI_DC_UP.html" TargetMode="External"/><Relationship Id="rId2312" Type="http://schemas.openxmlformats.org/officeDocument/2006/relationships/hyperlink" Target="http://www.broadinstitute.org/gsea/msigdb/cards/GSE360_L_MAJOR_VS_B_MALAYI_HIGH_DOSE_DC_UP.html" TargetMode="External"/><Relationship Id="rId2313" Type="http://schemas.openxmlformats.org/officeDocument/2006/relationships/hyperlink" Target="http://www.broadinstitute.org/gsea/msigdb/cards/GSE360_L_DONOVANI_VS_L_MAJOR_MAC_UP.html" TargetMode="External"/><Relationship Id="rId2314" Type="http://schemas.openxmlformats.org/officeDocument/2006/relationships/hyperlink" Target="http://www.broadinstitute.org/gsea/msigdb/cards/GSE360_T_GONDII_VS_B_MALAYI_HIGH_DOSE_MAC_UP.html" TargetMode="External"/><Relationship Id="rId2315" Type="http://schemas.openxmlformats.org/officeDocument/2006/relationships/hyperlink" Target="http://www.broadinstitute.org/gsea/msigdb/cards/GSE3982_CTRL_VS_LPS_4H_MAC_UP.html" TargetMode="External"/><Relationship Id="rId2316" Type="http://schemas.openxmlformats.org/officeDocument/2006/relationships/hyperlink" Target="http://www.broadinstitute.org/gsea/msigdb/cards/GSE3982_DC_VS_NEUTROPHIL_UP.html" TargetMode="External"/><Relationship Id="rId2317" Type="http://schemas.openxmlformats.org/officeDocument/2006/relationships/hyperlink" Target="http://www.broadinstitute.org/gsea/msigdb/cards/GSE3982_MAC_VS_NKCELL_UP.html" TargetMode="External"/><Relationship Id="rId2318" Type="http://schemas.openxmlformats.org/officeDocument/2006/relationships/hyperlink" Target="http://www.broadinstitute.org/gsea/msigdb/cards/GSE7764_NKCELL_VS_SPLENOCYTE_DN.html" TargetMode="External"/><Relationship Id="rId2319" Type="http://schemas.openxmlformats.org/officeDocument/2006/relationships/hyperlink" Target="http://www.broadinstitute.org/gsea/msigdb/cards/GSE2770_IL4_ACT_VS_ACT_CD4_TCELL_2H_UP.html" TargetMode="External"/><Relationship Id="rId1630" Type="http://schemas.openxmlformats.org/officeDocument/2006/relationships/hyperlink" Target="http://www.broadinstitute.org/gsea/msigdb/cards/GSE1460_INTRATHYMIC_T_PROGENITOR_VS_NAIVE_CD4_TCELL_ADULT_BLOOD_UP.html" TargetMode="External"/><Relationship Id="rId1631" Type="http://schemas.openxmlformats.org/officeDocument/2006/relationships/hyperlink" Target="http://www.broadinstitute.org/gsea/msigdb/cards/GSE28726_NAIVE_CD4_TCELL_VS_NAIVE_VA24NEG_NKTCELL_UP.html" TargetMode="External"/><Relationship Id="rId1632" Type="http://schemas.openxmlformats.org/officeDocument/2006/relationships/hyperlink" Target="http://www.broadinstitute.org/gsea/msigdb/cards/GSE12392_CD8A_POS_VS_NEG_SPLEEN_DC_DN.html" TargetMode="External"/><Relationship Id="rId1633" Type="http://schemas.openxmlformats.org/officeDocument/2006/relationships/hyperlink" Target="http://www.broadinstitute.org/gsea/msigdb/cards/GSE28726_NAIVE_VS_ACTIVATED_CD4_TCELL_DN.html" TargetMode="External"/><Relationship Id="rId1634" Type="http://schemas.openxmlformats.org/officeDocument/2006/relationships/hyperlink" Target="http://www.broadinstitute.org/gsea/msigdb/cards/GSE7764_IL15_TREATED_VS_CTRL_NK_CELL_24H_UP.html" TargetMode="External"/><Relationship Id="rId1635" Type="http://schemas.openxmlformats.org/officeDocument/2006/relationships/hyperlink" Target="http://www.broadinstitute.org/gsea/msigdb/cards/GSE12366_GC_VS_MEMORY_BCELL_UP.html" TargetMode="External"/><Relationship Id="rId1636" Type="http://schemas.openxmlformats.org/officeDocument/2006/relationships/hyperlink" Target="http://www.broadinstitute.org/gsea/msigdb/cards/GSE22886_UNSTIM_VS_IL15_STIM_NKCELL_DN.html" TargetMode="External"/><Relationship Id="rId1637" Type="http://schemas.openxmlformats.org/officeDocument/2006/relationships/hyperlink" Target="http://www.broadinstitute.org/gsea/msigdb/cards/GSE24634_TEFF_VS_TCONV_DAY3_IN_CULTURE_UP.html" TargetMode="External"/><Relationship Id="rId1638" Type="http://schemas.openxmlformats.org/officeDocument/2006/relationships/hyperlink" Target="http://www.broadinstitute.org/gsea/msigdb/cards/GSE24634_TEFF_VS_TCONV_DAY10_IN_CULTURE_UP.html" TargetMode="External"/><Relationship Id="rId1639" Type="http://schemas.openxmlformats.org/officeDocument/2006/relationships/hyperlink" Target="http://www.broadinstitute.org/gsea/msigdb/cards/GSE23568_ID3_KO_VS_WT_CD8_TCELL_UP.html" TargetMode="External"/><Relationship Id="rId1240" Type="http://schemas.openxmlformats.org/officeDocument/2006/relationships/hyperlink" Target="http://www.broadinstitute.org/gsea/msigdb/cards/GO_TRANSFERASE_COMPLEX.html" TargetMode="External"/><Relationship Id="rId1241" Type="http://schemas.openxmlformats.org/officeDocument/2006/relationships/hyperlink" Target="http://www.broadinstitute.org/gsea/msigdb/cards/GO_DEVELOPMENTAL_PROCESS_INVOLVED_IN_REPRODUCTION.html" TargetMode="External"/><Relationship Id="rId780" Type="http://schemas.openxmlformats.org/officeDocument/2006/relationships/hyperlink" Target="http://www.broadinstitute.org/gsea/msigdb/cards/MORF_BUB1.html" TargetMode="External"/><Relationship Id="rId781" Type="http://schemas.openxmlformats.org/officeDocument/2006/relationships/hyperlink" Target="http://www.broadinstitute.org/gsea/msigdb/cards/MODULE_124.html" TargetMode="External"/><Relationship Id="rId782" Type="http://schemas.openxmlformats.org/officeDocument/2006/relationships/hyperlink" Target="http://www.broadinstitute.org/gsea/msigdb/cards/MORF_DNMT1.html" TargetMode="External"/><Relationship Id="rId783" Type="http://schemas.openxmlformats.org/officeDocument/2006/relationships/hyperlink" Target="http://www.broadinstitute.org/gsea/msigdb/cards/MODULE_397.html" TargetMode="External"/><Relationship Id="rId784" Type="http://schemas.openxmlformats.org/officeDocument/2006/relationships/hyperlink" Target="http://www.broadinstitute.org/gsea/msigdb/cards/GNF2_MSH2.html" TargetMode="External"/><Relationship Id="rId785" Type="http://schemas.openxmlformats.org/officeDocument/2006/relationships/hyperlink" Target="http://www.broadinstitute.org/gsea/msigdb/cards/MORF_PPP1CC.html" TargetMode="External"/><Relationship Id="rId786" Type="http://schemas.openxmlformats.org/officeDocument/2006/relationships/hyperlink" Target="http://www.broadinstitute.org/gsea/msigdb/cards/MORF_PRKDC.html" TargetMode="External"/><Relationship Id="rId787" Type="http://schemas.openxmlformats.org/officeDocument/2006/relationships/hyperlink" Target="http://www.broadinstitute.org/gsea/msigdb/cards/MORF_FEN1.html" TargetMode="External"/><Relationship Id="rId788" Type="http://schemas.openxmlformats.org/officeDocument/2006/relationships/hyperlink" Target="http://www.broadinstitute.org/gsea/msigdb/cards/GNF2_PA2G4.html" TargetMode="External"/><Relationship Id="rId789" Type="http://schemas.openxmlformats.org/officeDocument/2006/relationships/hyperlink" Target="http://www.broadinstitute.org/gsea/msigdb/cards/MORF_HDAC2.html" TargetMode="External"/><Relationship Id="rId390" Type="http://schemas.openxmlformats.org/officeDocument/2006/relationships/hyperlink" Target="http://www.broadinstitute.org/gsea/msigdb/cards/PRAMOONJAGO_SOX4_TARGETS_DN.html" TargetMode="External"/><Relationship Id="rId391" Type="http://schemas.openxmlformats.org/officeDocument/2006/relationships/hyperlink" Target="http://www.broadinstitute.org/gsea/msigdb/cards/GENTLES_LEUKEMIC_STEM_CELL_DN.html" TargetMode="External"/><Relationship Id="rId392" Type="http://schemas.openxmlformats.org/officeDocument/2006/relationships/hyperlink" Target="http://www.broadinstitute.org/gsea/msigdb/cards/REACTOME_APC_C_CDC20_MEDIATED_DEGRADATION_OF_MITOTIC_PROTEINS.html" TargetMode="External"/><Relationship Id="rId393" Type="http://schemas.openxmlformats.org/officeDocument/2006/relationships/hyperlink" Target="http://www.broadinstitute.org/gsea/msigdb/cards/KEGG_BASE_EXCISION_REPAIR.html" TargetMode="External"/><Relationship Id="rId394" Type="http://schemas.openxmlformats.org/officeDocument/2006/relationships/hyperlink" Target="http://www.broadinstitute.org/gsea/msigdb/cards/GRYDER_PAX3FOXO1_ENHANCERS_IN_TADS.html" TargetMode="External"/><Relationship Id="rId395" Type="http://schemas.openxmlformats.org/officeDocument/2006/relationships/hyperlink" Target="http://www.broadinstitute.org/gsea/msigdb/cards/BIOCARTA_ATRBRCA_PATHWAY.html" TargetMode="External"/><Relationship Id="rId396" Type="http://schemas.openxmlformats.org/officeDocument/2006/relationships/hyperlink" Target="http://www.broadinstitute.org/gsea/msigdb/cards/REACTOME_E2F_ENABLED_INHIBITION_OF_PRE_REPLICATION_COMPLEX_FORMATION.html" TargetMode="External"/><Relationship Id="rId397" Type="http://schemas.openxmlformats.org/officeDocument/2006/relationships/hyperlink" Target="http://www.broadinstitute.org/gsea/msigdb/cards/REACTOME_SCFSKP2_MEDIATED_DEGRADATION_OF_P27_P21.html" TargetMode="External"/><Relationship Id="rId398" Type="http://schemas.openxmlformats.org/officeDocument/2006/relationships/hyperlink" Target="http://www.broadinstitute.org/gsea/msigdb/cards/AMUNDSON_GENOTOXIC_SIGNATURE.html" TargetMode="External"/><Relationship Id="rId399" Type="http://schemas.openxmlformats.org/officeDocument/2006/relationships/hyperlink" Target="http://www.broadinstitute.org/gsea/msigdb/cards/BIOCARTA_PTC1_PATHWAY.html" TargetMode="External"/><Relationship Id="rId1242" Type="http://schemas.openxmlformats.org/officeDocument/2006/relationships/hyperlink" Target="http://www.broadinstitute.org/gsea/msigdb/cards/GO_REGULATION_OF_CELLULAR_PROTEIN_LOCALIZATION.html" TargetMode="External"/><Relationship Id="rId1243" Type="http://schemas.openxmlformats.org/officeDocument/2006/relationships/hyperlink" Target="http://www.broadinstitute.org/gsea/msigdb/cards/GO_SOMATIC_CELL_DNA_RECOMBINATION.html" TargetMode="External"/><Relationship Id="rId1244" Type="http://schemas.openxmlformats.org/officeDocument/2006/relationships/hyperlink" Target="http://www.broadinstitute.org/gsea/msigdb/cards/GO_EMBRYO_DEVELOPMENT_ENDING_IN_BIRTH_OR_EGG_HATCHING.html" TargetMode="External"/><Relationship Id="rId1245" Type="http://schemas.openxmlformats.org/officeDocument/2006/relationships/hyperlink" Target="http://www.broadinstitute.org/gsea/msigdb/cards/GO_NUCLEUS_ORGANIZATION.html" TargetMode="External"/><Relationship Id="rId1246" Type="http://schemas.openxmlformats.org/officeDocument/2006/relationships/hyperlink" Target="http://www.broadinstitute.org/gsea/msigdb/cards/GO_REGULATION_OF_PROTEOLYSIS.html" TargetMode="External"/><Relationship Id="rId1247" Type="http://schemas.openxmlformats.org/officeDocument/2006/relationships/hyperlink" Target="http://www.broadinstitute.org/gsea/msigdb/cards/GO_REGULATION_OF_UBIQUITIN_PROTEIN_LIGASE_ACTIVITY.html" TargetMode="External"/><Relationship Id="rId1248" Type="http://schemas.openxmlformats.org/officeDocument/2006/relationships/hyperlink" Target="http://www.broadinstitute.org/gsea/msigdb/cards/GO_CELLULAR_RESPONSE_TO_RADIATION.html" TargetMode="External"/><Relationship Id="rId1249" Type="http://schemas.openxmlformats.org/officeDocument/2006/relationships/hyperlink" Target="http://www.broadinstitute.org/gsea/msigdb/cards/GO_NUCLEAR_ENVELOPE.html" TargetMode="External"/><Relationship Id="rId2320" Type="http://schemas.openxmlformats.org/officeDocument/2006/relationships/hyperlink" Target="http://www.broadinstitute.org/gsea/msigdb/cards/GSE2405_HEAT_KILLED_LYSATE_VS_LIVE_A_PHAGOCYTOPHILUM_STIM_NEUTROPHIL_24H_DN.html" TargetMode="External"/><Relationship Id="rId2321" Type="http://schemas.openxmlformats.org/officeDocument/2006/relationships/hyperlink" Target="http://www.broadinstitute.org/gsea/msigdb/cards/GSE4142_GC_BCELL_VS_MEMORY_BCELL_DN.html" TargetMode="External"/><Relationship Id="rId2322" Type="http://schemas.openxmlformats.org/officeDocument/2006/relationships/hyperlink" Target="http://www.broadinstitute.org/gsea/msigdb/cards/GSE3039_ALPHABETA_CD8_TCELL_VS_B2_BCELL_DN.html" TargetMode="External"/><Relationship Id="rId2323" Type="http://schemas.openxmlformats.org/officeDocument/2006/relationships/hyperlink" Target="http://www.broadinstitute.org/gsea/msigdb/cards/GSE5503_LIVER_DC_VS_PLN_DC_ACTIVATED_ALLOGENIC_TCELL_DN.html" TargetMode="External"/><Relationship Id="rId2324" Type="http://schemas.openxmlformats.org/officeDocument/2006/relationships/hyperlink" Target="http://www.broadinstitute.org/gsea/msigdb/cards/GSE5503_LIVER_DC_VS_SPLEEN_DC_ACTIVATED_ALLOGENIC_TCELL_DN.html" TargetMode="External"/><Relationship Id="rId2325" Type="http://schemas.openxmlformats.org/officeDocument/2006/relationships/hyperlink" Target="http://www.broadinstitute.org/gsea/msigdb/cards/GSE10240_IL17_VS_IL17_AND_IL22_STIM_PRIMARY_BRONCHIAL_EPITHELIAL_CELLS_UP.html" TargetMode="External"/><Relationship Id="rId2326" Type="http://schemas.openxmlformats.org/officeDocument/2006/relationships/hyperlink" Target="http://www.broadinstitute.org/gsea/msigdb/cards/GSE8685_IL2_STARVED_VS_IL15_ACT_IL2_STARVED_CD4_TCELL_DN.html" TargetMode="External"/><Relationship Id="rId2327" Type="http://schemas.openxmlformats.org/officeDocument/2006/relationships/hyperlink" Target="http://www.broadinstitute.org/gsea/msigdb/cards/GSE15330_MEGAKARYOCYTE_ERYTHROID_VS_GRANULOCYTE_MONOCYTE_PROGENITOR_IKAROS_KO_UP.html" TargetMode="External"/><Relationship Id="rId2328" Type="http://schemas.openxmlformats.org/officeDocument/2006/relationships/hyperlink" Target="http://www.broadinstitute.org/gsea/msigdb/cards/GSE15330_HSC_VS_PRO_BCELL_UP.html" TargetMode="External"/><Relationship Id="rId2329" Type="http://schemas.openxmlformats.org/officeDocument/2006/relationships/hyperlink" Target="http://www.broadinstitute.org/gsea/msigdb/cards/GSE15139_GMCSF_TREATED_VS_UNTREATED_NEUTROPHILS_UP.html" TargetMode="External"/><Relationship Id="rId1640" Type="http://schemas.openxmlformats.org/officeDocument/2006/relationships/hyperlink" Target="http://www.broadinstitute.org/gsea/msigdb/cards/GSE11386_NAIVE_VS_MEMORY_BCELL_UP.html" TargetMode="External"/><Relationship Id="rId1641" Type="http://schemas.openxmlformats.org/officeDocument/2006/relationships/hyperlink" Target="http://www.broadinstitute.org/gsea/msigdb/cards/KAECH_DAY8_EFF_VS_MEMORY_CD8_TCELL_UP.html" TargetMode="External"/><Relationship Id="rId1642" Type="http://schemas.openxmlformats.org/officeDocument/2006/relationships/hyperlink" Target="http://www.broadinstitute.org/gsea/msigdb/cards/GSE30962_ACUTE_VS_CHRONIC_LCMV_PRIMARY_INF_CD8_TCELL_DN.html" TargetMode="External"/><Relationship Id="rId1643" Type="http://schemas.openxmlformats.org/officeDocument/2006/relationships/hyperlink" Target="http://www.broadinstitute.org/gsea/msigdb/cards/GSE22886_UNSTIM_VS_IL2_STIM_NKCELL_DN.html" TargetMode="External"/><Relationship Id="rId1644" Type="http://schemas.openxmlformats.org/officeDocument/2006/relationships/hyperlink" Target="http://www.broadinstitute.org/gsea/msigdb/cards/GSE24634_TEFF_VS_TCONV_DAY5_IN_CULTURE_UP.html" TargetMode="External"/><Relationship Id="rId1645" Type="http://schemas.openxmlformats.org/officeDocument/2006/relationships/hyperlink" Target="http://www.broadinstitute.org/gsea/msigdb/cards/GSE3982_NKCELL_VS_TH2_DN.html" TargetMode="External"/><Relationship Id="rId1646" Type="http://schemas.openxmlformats.org/officeDocument/2006/relationships/hyperlink" Target="http://www.broadinstitute.org/gsea/msigdb/cards/GSE17301_ACD3_ACD28_VS_ACD3_ACD28_AND_IFNA5_STIM_CD8_TCELL_UP.html" TargetMode="External"/><Relationship Id="rId1647" Type="http://schemas.openxmlformats.org/officeDocument/2006/relationships/hyperlink" Target="http://www.broadinstitute.org/gsea/msigdb/cards/GSE13547_CTRL_VS_ANTI_IGM_STIM_ZFX_KO_BCELL_2H_UP.html" TargetMode="External"/><Relationship Id="rId1648" Type="http://schemas.openxmlformats.org/officeDocument/2006/relationships/hyperlink" Target="http://www.broadinstitute.org/gsea/msigdb/cards/GSE9509_LPS_VS_LPS_AND_IL10_STIM_IL10_KO_MACROPHAGE_20MIN_DN.html" TargetMode="External"/><Relationship Id="rId1649" Type="http://schemas.openxmlformats.org/officeDocument/2006/relationships/hyperlink" Target="http://www.broadinstitute.org/gsea/msigdb/cards/GSE21063_CTRL_VS_ANTI_IGM_STIM_BCELL_NFATC1_KO_8H_DN.html" TargetMode="External"/><Relationship Id="rId1250" Type="http://schemas.openxmlformats.org/officeDocument/2006/relationships/hyperlink" Target="http://www.broadinstitute.org/gsea/msigdb/cards/GO_PYRIMIDINE_CONTAINING_COMPOUND_METABOLIC_PROCESS.html" TargetMode="External"/><Relationship Id="rId1251" Type="http://schemas.openxmlformats.org/officeDocument/2006/relationships/hyperlink" Target="http://www.broadinstitute.org/gsea/msigdb/cards/GO_POLY_A_RNA_BINDING.html" TargetMode="External"/><Relationship Id="rId790" Type="http://schemas.openxmlformats.org/officeDocument/2006/relationships/hyperlink" Target="http://www.broadinstitute.org/gsea/msigdb/cards/MORF_RAD23A.html" TargetMode="External"/><Relationship Id="rId791" Type="http://schemas.openxmlformats.org/officeDocument/2006/relationships/hyperlink" Target="http://www.broadinstitute.org/gsea/msigdb/cards/MODULE_451.html" TargetMode="External"/><Relationship Id="rId792" Type="http://schemas.openxmlformats.org/officeDocument/2006/relationships/hyperlink" Target="http://www.broadinstitute.org/gsea/msigdb/cards/MODULE_105.html" TargetMode="External"/><Relationship Id="rId793" Type="http://schemas.openxmlformats.org/officeDocument/2006/relationships/hyperlink" Target="http://www.broadinstitute.org/gsea/msigdb/cards/MORF_MSH2.html" TargetMode="External"/><Relationship Id="rId794" Type="http://schemas.openxmlformats.org/officeDocument/2006/relationships/hyperlink" Target="http://www.broadinstitute.org/gsea/msigdb/cards/MORF_HAT1.html" TargetMode="External"/><Relationship Id="rId795" Type="http://schemas.openxmlformats.org/officeDocument/2006/relationships/hyperlink" Target="http://www.broadinstitute.org/gsea/msigdb/cards/MORF_PCNA.html" TargetMode="External"/><Relationship Id="rId796" Type="http://schemas.openxmlformats.org/officeDocument/2006/relationships/hyperlink" Target="http://www.broadinstitute.org/gsea/msigdb/cards/MORF_CCNF.html" TargetMode="External"/><Relationship Id="rId797" Type="http://schemas.openxmlformats.org/officeDocument/2006/relationships/hyperlink" Target="http://www.broadinstitute.org/gsea/msigdb/cards/MORF_GNB1.html" TargetMode="External"/><Relationship Id="rId798" Type="http://schemas.openxmlformats.org/officeDocument/2006/relationships/hyperlink" Target="http://www.broadinstitute.org/gsea/msigdb/cards/MORF_XRCC5.html" TargetMode="External"/><Relationship Id="rId799" Type="http://schemas.openxmlformats.org/officeDocument/2006/relationships/hyperlink" Target="http://www.broadinstitute.org/gsea/msigdb/cards/MORF_DEK.html" TargetMode="External"/><Relationship Id="rId1252" Type="http://schemas.openxmlformats.org/officeDocument/2006/relationships/hyperlink" Target="http://www.broadinstitute.org/gsea/msigdb/cards/GO_NEGATIVE_REGULATION_OF_PROTEIN_MODIFICATION_BY_SMALL_PROTEIN_CONJUGATION_OR_REMOVAL.html" TargetMode="External"/><Relationship Id="rId1253" Type="http://schemas.openxmlformats.org/officeDocument/2006/relationships/hyperlink" Target="http://www.broadinstitute.org/gsea/msigdb/cards/GO_NEGATIVE_REGULATION_OF_PROTEIN_MODIFICATION_PROCESS.html" TargetMode="External"/><Relationship Id="rId1254" Type="http://schemas.openxmlformats.org/officeDocument/2006/relationships/hyperlink" Target="http://www.broadinstitute.org/gsea/msigdb/cards/GO_REGULATION_OF_KINASE_ACTIVITY.html" TargetMode="External"/><Relationship Id="rId1255" Type="http://schemas.openxmlformats.org/officeDocument/2006/relationships/hyperlink" Target="http://www.broadinstitute.org/gsea/msigdb/cards/GO_NEGATIVE_REGULATION_OF_PROTEIN_CATABOLIC_PROCESS.html" TargetMode="External"/><Relationship Id="rId1256" Type="http://schemas.openxmlformats.org/officeDocument/2006/relationships/hyperlink" Target="http://www.broadinstitute.org/gsea/msigdb/cards/GO_ERROR_FREE_TRANSLESION_SYNTHESIS.html" TargetMode="External"/><Relationship Id="rId1257" Type="http://schemas.openxmlformats.org/officeDocument/2006/relationships/hyperlink" Target="http://www.broadinstitute.org/gsea/msigdb/cards/GO_CYTOPLASMIC_MICROTUBULE.html" TargetMode="External"/><Relationship Id="rId1258" Type="http://schemas.openxmlformats.org/officeDocument/2006/relationships/hyperlink" Target="http://www.broadinstitute.org/gsea/msigdb/cards/GO_ANTIGEN_PROCESSING_AND_PRESENTATION.html" TargetMode="External"/><Relationship Id="rId1259" Type="http://schemas.openxmlformats.org/officeDocument/2006/relationships/hyperlink" Target="http://www.broadinstitute.org/gsea/msigdb/cards/GO_SEXUAL_REPRODUCTION.html" TargetMode="External"/><Relationship Id="rId2330" Type="http://schemas.openxmlformats.org/officeDocument/2006/relationships/hyperlink" Target="http://www.broadinstitute.org/gsea/msigdb/cards/GSE17186_BLOOD_VS_CORD_BLOOD_CD21LOW_TRANSITIONAL_BCELL_DN.html" TargetMode="External"/><Relationship Id="rId2331" Type="http://schemas.openxmlformats.org/officeDocument/2006/relationships/hyperlink" Target="http://www.broadinstitute.org/gsea/msigdb/cards/GSE16266_CTRL_VS_HEATSHOCK_AND_LPS_STIM_MEF_UP.html" TargetMode="External"/><Relationship Id="rId2332" Type="http://schemas.openxmlformats.org/officeDocument/2006/relationships/hyperlink" Target="http://www.broadinstitute.org/gsea/msigdb/cards/GSE16451_IMMATURE_VS_MATURE_NEURON_CELL_LINE_WEST_EQUINE_ENC_VIRUS_UP.html" TargetMode="External"/><Relationship Id="rId2333" Type="http://schemas.openxmlformats.org/officeDocument/2006/relationships/hyperlink" Target="http://www.broadinstitute.org/gsea/msigdb/cards/GSE19401_RETINOIC_ACID_VS_RETINOIC_ACID_AND_PAM2CSK4_STIM_FOLLICULAR_DC_DN.html" TargetMode="External"/><Relationship Id="rId2334" Type="http://schemas.openxmlformats.org/officeDocument/2006/relationships/hyperlink" Target="http://www.broadinstitute.org/gsea/msigdb/cards/GSE20152_SPHK1_KO_VS_HTNFA_OVEREXPRESS_ANKLE_DN.html" TargetMode="External"/><Relationship Id="rId2335" Type="http://schemas.openxmlformats.org/officeDocument/2006/relationships/hyperlink" Target="http://www.broadinstitute.org/gsea/msigdb/cards/GSE21033_CTRL_VS_POLYIC_STIM_DC_3H_DN.html" TargetMode="External"/><Relationship Id="rId2336" Type="http://schemas.openxmlformats.org/officeDocument/2006/relationships/hyperlink" Target="http://www.broadinstitute.org/gsea/msigdb/cards/GSE24210_RESTING_TREG_VS_TCONV_UP.html" TargetMode="External"/><Relationship Id="rId2337" Type="http://schemas.openxmlformats.org/officeDocument/2006/relationships/hyperlink" Target="http://www.broadinstitute.org/gsea/msigdb/cards/GSE24210_IL35_TREATED_VS_RESTING_TREG_UP.html" TargetMode="External"/><Relationship Id="rId2338" Type="http://schemas.openxmlformats.org/officeDocument/2006/relationships/hyperlink" Target="http://www.broadinstitute.org/gsea/msigdb/cards/GSE16385_MONOCYTE_VS_12H_IFNG_TNF_TREATED_MACROPHAGE_DN.html" TargetMode="External"/><Relationship Id="rId2339" Type="http://schemas.openxmlformats.org/officeDocument/2006/relationships/hyperlink" Target="http://www.broadinstitute.org/gsea/msigdb/cards/GSE25123_IL4_VS_IL4_AND_ROSIGLITAZONE_STIM_MACROPHAGE_DAY10_UP.html" TargetMode="External"/><Relationship Id="rId1650" Type="http://schemas.openxmlformats.org/officeDocument/2006/relationships/hyperlink" Target="http://www.broadinstitute.org/gsea/msigdb/cards/GSE21546_UNSTIM_VS_ANTI_CD3_STIM_DP_THYMOCYTES_DN.html" TargetMode="External"/><Relationship Id="rId1651" Type="http://schemas.openxmlformats.org/officeDocument/2006/relationships/hyperlink" Target="http://www.broadinstitute.org/gsea/msigdb/cards/GSE2405_HEAT_KILLED_LYSATE_VS_LIVE_A_PHAGOCYTOPHILUM_STIM_NEUTROPHIL_9H_UP.html" TargetMode="External"/><Relationship Id="rId1652" Type="http://schemas.openxmlformats.org/officeDocument/2006/relationships/hyperlink" Target="http://www.broadinstitute.org/gsea/msigdb/cards/GSE2405_0H_VS_12H_A_PHAGOCYTOPHILUM_STIM_NEUTROPHIL_DN.html" TargetMode="External"/><Relationship Id="rId1653" Type="http://schemas.openxmlformats.org/officeDocument/2006/relationships/hyperlink" Target="http://www.broadinstitute.org/gsea/msigdb/cards/GSE33162_UNTREATED_VS_4H_LPS_STIM_HDAC3_KO_MACROPHAGE_DN.html" TargetMode="External"/><Relationship Id="rId1654" Type="http://schemas.openxmlformats.org/officeDocument/2006/relationships/hyperlink" Target="http://www.broadinstitute.org/gsea/msigdb/cards/GSE45365_WT_VS_IFNAR_KO_CD11B_DC_MCMV_INFECTION_DN.html" TargetMode="External"/><Relationship Id="rId1655" Type="http://schemas.openxmlformats.org/officeDocument/2006/relationships/hyperlink" Target="http://www.broadinstitute.org/gsea/msigdb/cards/GSE32901_NAIVE_VS_TH17_NEG_CD4_TCELL_UP.html" TargetMode="External"/><Relationship Id="rId1656" Type="http://schemas.openxmlformats.org/officeDocument/2006/relationships/hyperlink" Target="http://www.broadinstitute.org/gsea/msigdb/cards/GSE20366_EX_VIVO_VS_HOMEOSTATIC_CONVERSION_TREG_DN.html" TargetMode="External"/><Relationship Id="rId1657" Type="http://schemas.openxmlformats.org/officeDocument/2006/relationships/hyperlink" Target="http://www.broadinstitute.org/gsea/msigdb/cards/GSE5589_WT_VS_IL6_KO_LPS_AND_IL10_STIM_MACROPHAGE_45MIN_UP.html" TargetMode="External"/><Relationship Id="rId1658" Type="http://schemas.openxmlformats.org/officeDocument/2006/relationships/hyperlink" Target="http://www.broadinstitute.org/gsea/msigdb/cards/GSE21063_CTRL_VS_ANTI_IGM_STIM_BCELL_16H_UP.html" TargetMode="External"/><Relationship Id="rId1659" Type="http://schemas.openxmlformats.org/officeDocument/2006/relationships/hyperlink" Target="http://www.broadinstitute.org/gsea/msigdb/cards/GSE45365_HEALTHY_VS_MCMV_INFECTION_CD11B_DC_IFNAR_KO_DN.html" TargetMode="External"/><Relationship Id="rId1260" Type="http://schemas.openxmlformats.org/officeDocument/2006/relationships/hyperlink" Target="http://www.broadinstitute.org/gsea/msigdb/cards/GO_ORGAN_REGENERATION.html" TargetMode="External"/><Relationship Id="rId1261" Type="http://schemas.openxmlformats.org/officeDocument/2006/relationships/hyperlink" Target="http://www.broadinstitute.org/gsea/msigdb/cards/GO_REGULATION_OF_CATABOLIC_PROCESS.html" TargetMode="External"/><Relationship Id="rId1262" Type="http://schemas.openxmlformats.org/officeDocument/2006/relationships/hyperlink" Target="http://www.broadinstitute.org/gsea/msigdb/cards/GO_CHROMOSOME_SEPARATION.html" TargetMode="External"/><Relationship Id="rId1263" Type="http://schemas.openxmlformats.org/officeDocument/2006/relationships/hyperlink" Target="http://www.broadinstitute.org/gsea/msigdb/cards/GO_CENTRIOLE_ASSEMBLY.html" TargetMode="External"/><Relationship Id="rId1264" Type="http://schemas.openxmlformats.org/officeDocument/2006/relationships/hyperlink" Target="http://www.broadinstitute.org/gsea/msigdb/cards/GO_RESPONSE_TO_DRUG.html" TargetMode="External"/><Relationship Id="rId1265" Type="http://schemas.openxmlformats.org/officeDocument/2006/relationships/hyperlink" Target="http://www.broadinstitute.org/gsea/msigdb/cards/GO_POSITIVE_REGULATION_OF_DNA_BIOSYNTHETIC_PROCESS.html" TargetMode="External"/><Relationship Id="rId1266" Type="http://schemas.openxmlformats.org/officeDocument/2006/relationships/hyperlink" Target="http://www.broadinstitute.org/gsea/msigdb/cards/GO_RESPONSE_TO_ESTRADIOL.html" TargetMode="External"/><Relationship Id="rId1267" Type="http://schemas.openxmlformats.org/officeDocument/2006/relationships/hyperlink" Target="http://www.broadinstitute.org/gsea/msigdb/cards/GO_NEGATIVE_REGULATION_OF_MOLECULAR_FUNCTION.html" TargetMode="External"/><Relationship Id="rId1268" Type="http://schemas.openxmlformats.org/officeDocument/2006/relationships/hyperlink" Target="http://www.broadinstitute.org/gsea/msigdb/cards/GO_SOMATIC_RECOMBINATION_OF_IMMUNOGLOBULIN_GENE_SEGMENTS.html" TargetMode="External"/><Relationship Id="rId1269" Type="http://schemas.openxmlformats.org/officeDocument/2006/relationships/hyperlink" Target="http://www.broadinstitute.org/gsea/msigdb/cards/GO_COVALENT_CHROMATIN_MODIFICATION.html" TargetMode="External"/><Relationship Id="rId2340" Type="http://schemas.openxmlformats.org/officeDocument/2006/relationships/hyperlink" Target="http://www.broadinstitute.org/gsea/msigdb/cards/GSE24574_BCL6_LOW_TFH_VS_NAIVE_CD4_TCELL_UP.html" TargetMode="External"/><Relationship Id="rId2341" Type="http://schemas.openxmlformats.org/officeDocument/2006/relationships/hyperlink" Target="http://www.broadinstitute.org/gsea/msigdb/cards/GSE22025_PROGESTERONE_VS_TGFB1_AND_PROGESTERONE_TREATED_CD4_TCELL_DN.html" TargetMode="External"/><Relationship Id="rId2342" Type="http://schemas.openxmlformats.org/officeDocument/2006/relationships/hyperlink" Target="http://www.broadinstitute.org/gsea/msigdb/cards/GSE23321_CD8_STEM_CELL_MEMORY_VS_EFFECTOR_MEMORY_CD8_TCELL_DN.html" TargetMode="External"/><Relationship Id="rId2343" Type="http://schemas.openxmlformats.org/officeDocument/2006/relationships/hyperlink" Target="http://www.broadinstitute.org/gsea/msigdb/cards/GSE26351_UNSTIM_VS_BMP_PATHWAY_STIM_HEMATOPOIETIC_PROGENITORS_UP.html" TargetMode="External"/><Relationship Id="rId2344" Type="http://schemas.openxmlformats.org/officeDocument/2006/relationships/hyperlink" Target="http://www.broadinstitute.org/gsea/msigdb/cards/GSE36891_UNSTIM_VS_POLYIC_TLR3_STIM_PERITONEAL_MACROPHAGE_DN.html" TargetMode="External"/><Relationship Id="rId2345" Type="http://schemas.openxmlformats.org/officeDocument/2006/relationships/hyperlink" Target="http://www.broadinstitute.org/gsea/msigdb/cards/GSE37301_MULTIPOTENT_PROGENITOR_VS_COMMON_LYMPHOID_PROGENITOR_DN.html" TargetMode="External"/><Relationship Id="rId2346" Type="http://schemas.openxmlformats.org/officeDocument/2006/relationships/hyperlink" Target="http://www.broadinstitute.org/gsea/msigdb/cards/GSE40277_EOS_AND_LEF1_TRANSDUCED_VS_CTRL_CD4_TCELL_DN.html" TargetMode="External"/><Relationship Id="rId2347" Type="http://schemas.openxmlformats.org/officeDocument/2006/relationships/hyperlink" Target="http://www.broadinstitute.org/gsea/msigdb/cards/GSE40443_INDUCED_VS_TOTAL_TREG_DN.html" TargetMode="External"/><Relationship Id="rId2348" Type="http://schemas.openxmlformats.org/officeDocument/2006/relationships/hyperlink" Target="http://www.broadinstitute.org/gsea/msigdb/cards/GSE40666_UNTREATED_VS_IFNA_STIM_CD8_TCELL_90MIN_DN.html" TargetMode="External"/><Relationship Id="rId2349" Type="http://schemas.openxmlformats.org/officeDocument/2006/relationships/hyperlink" Target="http://www.broadinstitute.org/gsea/msigdb/cards/GSE36078_UNTREATED_VS_AD5_INF_IL1R_KO_MOUSE_LUNG_DC_DN.html" TargetMode="External"/><Relationship Id="rId400" Type="http://schemas.openxmlformats.org/officeDocument/2006/relationships/hyperlink" Target="http://www.broadinstitute.org/gsea/msigdb/cards/CHUANG_OXIDATIVE_STRESS_RESPONSE_DN.html" TargetMode="External"/><Relationship Id="rId401" Type="http://schemas.openxmlformats.org/officeDocument/2006/relationships/hyperlink" Target="http://www.broadinstitute.org/gsea/msigdb/cards/ZWANG_TRANSIENTLY_UP_BY_1ST_EGF_PULSE_ONLY.html" TargetMode="External"/><Relationship Id="rId402" Type="http://schemas.openxmlformats.org/officeDocument/2006/relationships/hyperlink" Target="http://www.broadinstitute.org/gsea/msigdb/cards/CAFFAREL_RESPONSE_TO_THC_24HR_5_DN.html" TargetMode="External"/><Relationship Id="rId403" Type="http://schemas.openxmlformats.org/officeDocument/2006/relationships/hyperlink" Target="http://www.broadinstitute.org/gsea/msigdb/cards/SENESE_HDAC3_TARGETS_DN.html" TargetMode="External"/><Relationship Id="rId404" Type="http://schemas.openxmlformats.org/officeDocument/2006/relationships/hyperlink" Target="http://www.broadinstitute.org/gsea/msigdb/cards/GRESHOCK_CANCER_COPY_NUMBER_UP.html" TargetMode="External"/><Relationship Id="rId405" Type="http://schemas.openxmlformats.org/officeDocument/2006/relationships/hyperlink" Target="http://www.broadinstitute.org/gsea/msigdb/cards/ACEVEDO_FGFR1_TARGETS_IN_PROSTATE_CANCER_MODEL_UP.html" TargetMode="External"/><Relationship Id="rId406" Type="http://schemas.openxmlformats.org/officeDocument/2006/relationships/hyperlink" Target="http://www.broadinstitute.org/gsea/msigdb/cards/KOKKINAKIS_METHIONINE_DEPRIVATION_48HR_DN.html" TargetMode="External"/><Relationship Id="rId407" Type="http://schemas.openxmlformats.org/officeDocument/2006/relationships/hyperlink" Target="http://www.broadinstitute.org/gsea/msigdb/cards/BIOCARTA_P27_PATHWAY.html" TargetMode="External"/><Relationship Id="rId408" Type="http://schemas.openxmlformats.org/officeDocument/2006/relationships/hyperlink" Target="http://www.broadinstitute.org/gsea/msigdb/cards/WANG_TUMOR_INVASIVENESS_UP.html" TargetMode="External"/><Relationship Id="rId409" Type="http://schemas.openxmlformats.org/officeDocument/2006/relationships/hyperlink" Target="http://www.broadinstitute.org/gsea/msigdb/cards/KATSANOU_ELAVL1_TARGETS_DN.html" TargetMode="External"/><Relationship Id="rId1660" Type="http://schemas.openxmlformats.org/officeDocument/2006/relationships/hyperlink" Target="http://www.broadinstitute.org/gsea/msigdb/cards/GSE3982_MEMORY_CD4_TCELL_VS_TH2_DN.html" TargetMode="External"/><Relationship Id="rId1661" Type="http://schemas.openxmlformats.org/officeDocument/2006/relationships/hyperlink" Target="http://www.broadinstitute.org/gsea/msigdb/cards/GSE24671_BAKIMULC_VS_SENDAI_VIRUS_INFECTED_MOUSE_SPLENOCYTES_UP.html" TargetMode="External"/><Relationship Id="rId1662" Type="http://schemas.openxmlformats.org/officeDocument/2006/relationships/hyperlink" Target="http://www.broadinstitute.org/gsea/msigdb/cards/GSE24634_TREG_VS_TCONV_POST_DAY10_IL4_CONVERSION_UP.html" TargetMode="External"/><Relationship Id="rId1663" Type="http://schemas.openxmlformats.org/officeDocument/2006/relationships/hyperlink" Target="http://www.broadinstitute.org/gsea/msigdb/cards/GSE30962_ACUTE_VS_CHRONIC_LCMV_SECONDARY_INF_CD8_TCELL_DN.html" TargetMode="External"/><Relationship Id="rId1664" Type="http://schemas.openxmlformats.org/officeDocument/2006/relationships/hyperlink" Target="http://www.broadinstitute.org/gsea/msigdb/cards/GSE5142_HTERT_TRANSDUCED_VS_CTRL_CD8_TCELL_LATE_PASSAGE_CLONE_UP.html" TargetMode="External"/><Relationship Id="rId1665" Type="http://schemas.openxmlformats.org/officeDocument/2006/relationships/hyperlink" Target="http://www.broadinstitute.org/gsea/msigdb/cards/GSE19888_CTRL_VS_A3R_INHIBITOR_TREATED_MAST_CELL_UP.html" TargetMode="External"/><Relationship Id="rId1666" Type="http://schemas.openxmlformats.org/officeDocument/2006/relationships/hyperlink" Target="http://www.broadinstitute.org/gsea/msigdb/cards/GSE19941_UNSTIM_VS_LPS_AND_IL10_STIM_IL10_KO_MACROPHAGE_DN.html" TargetMode="External"/><Relationship Id="rId1667" Type="http://schemas.openxmlformats.org/officeDocument/2006/relationships/hyperlink" Target="http://www.broadinstitute.org/gsea/msigdb/cards/GSE32164_ALTERNATIVELY_ACT_M2_VS_CMYC_INHIBITED_MACROPHAGE_DN.html" TargetMode="External"/><Relationship Id="rId1668" Type="http://schemas.openxmlformats.org/officeDocument/2006/relationships/hyperlink" Target="http://www.broadinstitute.org/gsea/msigdb/cards/GSE3982_MEMORY_CD4_TCELL_VS_TH1_DN.html" TargetMode="External"/><Relationship Id="rId1669" Type="http://schemas.openxmlformats.org/officeDocument/2006/relationships/hyperlink" Target="http://www.broadinstitute.org/gsea/msigdb/cards/GSE3982_EFF_MEMORY_CD4_TCELL_VS_TH2_DN.html" TargetMode="External"/><Relationship Id="rId1270" Type="http://schemas.openxmlformats.org/officeDocument/2006/relationships/hyperlink" Target="http://www.broadinstitute.org/gsea/msigdb/cards/GO_PEPTIDYL_SERINE_MODIFICATION.html" TargetMode="External"/><Relationship Id="rId1271" Type="http://schemas.openxmlformats.org/officeDocument/2006/relationships/hyperlink" Target="http://www.broadinstitute.org/gsea/msigdb/cards/GO_NUCLEOTIDE_EXCISION_REPAIR_DNA_INCISION.html" TargetMode="External"/><Relationship Id="rId1272" Type="http://schemas.openxmlformats.org/officeDocument/2006/relationships/hyperlink" Target="http://www.broadinstitute.org/gsea/msigdb/cards/GO_POSITIVE_REGULATION_OF_CHROMOSOME_ORGANIZATION.html" TargetMode="External"/><Relationship Id="rId1273" Type="http://schemas.openxmlformats.org/officeDocument/2006/relationships/hyperlink" Target="http://www.broadinstitute.org/gsea/msigdb/cards/GO_MICROTUBULE_END.html" TargetMode="External"/><Relationship Id="rId1274" Type="http://schemas.openxmlformats.org/officeDocument/2006/relationships/hyperlink" Target="http://www.broadinstitute.org/gsea/msigdb/cards/GO_SEX_DIFFERENTIATION.html" TargetMode="External"/><Relationship Id="rId1275" Type="http://schemas.openxmlformats.org/officeDocument/2006/relationships/hyperlink" Target="http://www.broadinstitute.org/gsea/msigdb/cards/GO_MICROTUBULE_POLYMERIZATION_OR_DEPOLYMERIZATION.html" TargetMode="External"/><Relationship Id="rId1276" Type="http://schemas.openxmlformats.org/officeDocument/2006/relationships/hyperlink" Target="http://www.broadinstitute.org/gsea/msigdb/cards/GO_IN_UTERO_EMBRYONIC_DEVELOPMENT.html" TargetMode="External"/><Relationship Id="rId1277" Type="http://schemas.openxmlformats.org/officeDocument/2006/relationships/hyperlink" Target="http://www.broadinstitute.org/gsea/msigdb/cards/GO_PHOSPHORYLATION.html" TargetMode="External"/><Relationship Id="rId1278" Type="http://schemas.openxmlformats.org/officeDocument/2006/relationships/hyperlink" Target="http://www.broadinstitute.org/gsea/msigdb/cards/GO_CELLULAR_RESPONSE_TO_INORGANIC_SUBSTANCE.html" TargetMode="External"/><Relationship Id="rId1279" Type="http://schemas.openxmlformats.org/officeDocument/2006/relationships/hyperlink" Target="http://www.broadinstitute.org/gsea/msigdb/cards/GO_NUCLEAR_UBIQUITIN_LIGASE_COMPLEX.html" TargetMode="External"/><Relationship Id="rId2350" Type="http://schemas.openxmlformats.org/officeDocument/2006/relationships/hyperlink" Target="http://www.broadinstitute.org/gsea/msigdb/cards/GSE40685_NAIVE_CD4_TCELL_VS_FOXP3_KO_TREG_PRECURSOR_UP.html" TargetMode="External"/><Relationship Id="rId2351" Type="http://schemas.openxmlformats.org/officeDocument/2006/relationships/hyperlink" Target="http://www.broadinstitute.org/gsea/msigdb/cards/GSE11961_FOLLICULAR_BCELL_VS_MEMORY_BCELL_DAY7_DN.html" TargetMode="External"/><Relationship Id="rId2352" Type="http://schemas.openxmlformats.org/officeDocument/2006/relationships/hyperlink" Target="http://www.broadinstitute.org/gsea/msigdb/cards/GSE11961_GERMINAL_CENTER_BCELL_DAY7_VS_PLASMA_CELL_DAY7_DN.html" TargetMode="External"/><Relationship Id="rId2353" Type="http://schemas.openxmlformats.org/officeDocument/2006/relationships/hyperlink" Target="http://www.broadinstitute.org/gsea/msigdb/cards/GSE28737_WT_VS_BCL6_KO_FOLLICULAR_BCELL_DN.html" TargetMode="External"/><Relationship Id="rId2354" Type="http://schemas.openxmlformats.org/officeDocument/2006/relationships/hyperlink" Target="http://www.broadinstitute.org/gsea/msigdb/cards/GSE41867_DAY6_VS_DAY8_LCMV_ARMSTRONG_EFFECTOR_CD8_TCELL_UP.html" TargetMode="External"/><Relationship Id="rId2355" Type="http://schemas.openxmlformats.org/officeDocument/2006/relationships/hyperlink" Target="http://www.broadinstitute.org/gsea/msigdb/cards/GSE41867_DAY8_EFFECTOR_VS_DAY30_MEMORY_CD8_TCELL_LCMV_ARMSTRONG_UP.html" TargetMode="External"/><Relationship Id="rId2356" Type="http://schemas.openxmlformats.org/officeDocument/2006/relationships/hyperlink" Target="http://www.broadinstitute.org/gsea/msigdb/cards/GSE46606_UNSTIM_VS_CD40L_IL2_IL5_1DAY_STIMULATED_IRF4MID_SORTED_BCELL_UP.html" TargetMode="External"/><Relationship Id="rId2357" Type="http://schemas.openxmlformats.org/officeDocument/2006/relationships/hyperlink" Target="http://www.broadinstitute.org/gsea/msigdb/cards/GSE25677_R848_VS_MPL_AND_R848_STIM_BCELL_DN.html" TargetMode="External"/><Relationship Id="rId2358" Type="http://schemas.openxmlformats.org/officeDocument/2006/relationships/hyperlink" Target="http://www.broadinstitute.org/gsea/msigdb/cards/GSE12001_MIR223_KO_VS_WT_NEUTROPHIL_UP.html" TargetMode="External"/><Relationship Id="rId2359" Type="http://schemas.openxmlformats.org/officeDocument/2006/relationships/hyperlink" Target="http://www.broadinstitute.org/gsea/msigdb/cards/GSE10147_IL3_VS_IL3_AND_CPG_STIM_PDC_UP.html" TargetMode="External"/><Relationship Id="rId800" Type="http://schemas.openxmlformats.org/officeDocument/2006/relationships/hyperlink" Target="http://www.broadinstitute.org/gsea/msigdb/cards/GNF2_RAN.html" TargetMode="External"/><Relationship Id="rId801" Type="http://schemas.openxmlformats.org/officeDocument/2006/relationships/hyperlink" Target="http://www.broadinstitute.org/gsea/msigdb/cards/MORF_RAD54L.html" TargetMode="External"/><Relationship Id="rId802" Type="http://schemas.openxmlformats.org/officeDocument/2006/relationships/hyperlink" Target="http://www.broadinstitute.org/gsea/msigdb/cards/MORF_SMC1L1.html" TargetMode="External"/><Relationship Id="rId803" Type="http://schemas.openxmlformats.org/officeDocument/2006/relationships/hyperlink" Target="http://www.broadinstitute.org/gsea/msigdb/cards/MODULE_315.html" TargetMode="External"/><Relationship Id="rId410" Type="http://schemas.openxmlformats.org/officeDocument/2006/relationships/hyperlink" Target="http://www.broadinstitute.org/gsea/msigdb/cards/SANSOM_APC_MYC_TARGETS.html" TargetMode="External"/><Relationship Id="rId411" Type="http://schemas.openxmlformats.org/officeDocument/2006/relationships/hyperlink" Target="http://www.broadinstitute.org/gsea/msigdb/cards/RAMASWAMY_METASTASIS_UP.html" TargetMode="External"/><Relationship Id="rId412" Type="http://schemas.openxmlformats.org/officeDocument/2006/relationships/hyperlink" Target="http://www.broadinstitute.org/gsea/msigdb/cards/BIOCARTA_G1_PATHWAY.html" TargetMode="External"/><Relationship Id="rId413" Type="http://schemas.openxmlformats.org/officeDocument/2006/relationships/hyperlink" Target="http://www.broadinstitute.org/gsea/msigdb/cards/NUNODA_RESPONSE_TO_DASATINIB_IMATINIB_UP.html" TargetMode="External"/><Relationship Id="rId414" Type="http://schemas.openxmlformats.org/officeDocument/2006/relationships/hyperlink" Target="http://www.broadinstitute.org/gsea/msigdb/cards/BROWNE_HCMV_INFECTION_14HR_UP.html" TargetMode="External"/><Relationship Id="rId415" Type="http://schemas.openxmlformats.org/officeDocument/2006/relationships/hyperlink" Target="http://www.broadinstitute.org/gsea/msigdb/cards/LI_WILMS_TUMOR_VS_FETAL_KIDNEY_2_UP.html" TargetMode="External"/><Relationship Id="rId416" Type="http://schemas.openxmlformats.org/officeDocument/2006/relationships/hyperlink" Target="http://www.broadinstitute.org/gsea/msigdb/cards/HAHTOLA_SEZARY_SYNDROM_UP.html" TargetMode="External"/><Relationship Id="rId417" Type="http://schemas.openxmlformats.org/officeDocument/2006/relationships/hyperlink" Target="http://www.broadinstitute.org/gsea/msigdb/cards/REACTOME_METABOLISM_OF_NUCLEOTIDES.html" TargetMode="External"/><Relationship Id="rId418" Type="http://schemas.openxmlformats.org/officeDocument/2006/relationships/hyperlink" Target="http://www.broadinstitute.org/gsea/msigdb/cards/MATZUK_SPERMATOCYTE.html" TargetMode="External"/><Relationship Id="rId419" Type="http://schemas.openxmlformats.org/officeDocument/2006/relationships/hyperlink" Target="http://www.broadinstitute.org/gsea/msigdb/cards/ZERBINI_RESPONSE_TO_SULINDAC_DN.html" TargetMode="External"/><Relationship Id="rId804" Type="http://schemas.openxmlformats.org/officeDocument/2006/relationships/hyperlink" Target="http://www.broadinstitute.org/gsea/msigdb/cards/GNF2_HAT1.html" TargetMode="External"/><Relationship Id="rId805" Type="http://schemas.openxmlformats.org/officeDocument/2006/relationships/hyperlink" Target="http://www.broadinstitute.org/gsea/msigdb/cards/MODULE_485.html" TargetMode="External"/><Relationship Id="rId806" Type="http://schemas.openxmlformats.org/officeDocument/2006/relationships/hyperlink" Target="http://www.broadinstitute.org/gsea/msigdb/cards/GNF2_MLH1.html" TargetMode="External"/><Relationship Id="rId807" Type="http://schemas.openxmlformats.org/officeDocument/2006/relationships/hyperlink" Target="http://www.broadinstitute.org/gsea/msigdb/cards/MODULE_320.html" TargetMode="External"/><Relationship Id="rId808" Type="http://schemas.openxmlformats.org/officeDocument/2006/relationships/hyperlink" Target="http://www.broadinstitute.org/gsea/msigdb/cards/GNF2_MSH6.html" TargetMode="External"/><Relationship Id="rId809" Type="http://schemas.openxmlformats.org/officeDocument/2006/relationships/hyperlink" Target="http://www.broadinstitute.org/gsea/msigdb/cards/MORF_PTPN11.html" TargetMode="External"/><Relationship Id="rId1670" Type="http://schemas.openxmlformats.org/officeDocument/2006/relationships/hyperlink" Target="http://www.broadinstitute.org/gsea/msigdb/cards/GSE26156_DOUBLE_POSITIVE_VS_CD4_SINGLE_POSITIVE_THYMOCYTE_DN.html" TargetMode="External"/><Relationship Id="rId1671" Type="http://schemas.openxmlformats.org/officeDocument/2006/relationships/hyperlink" Target="http://www.broadinstitute.org/gsea/msigdb/cards/GSE39110_UNTREATED_VS_IL2_TREATED_CD8_TCELL_DAY3_POST_IMMUNIZATION_DN.html" TargetMode="External"/><Relationship Id="rId1672" Type="http://schemas.openxmlformats.org/officeDocument/2006/relationships/hyperlink" Target="http://www.broadinstitute.org/gsea/msigdb/cards/GSE39556_UNTREATED_VS_3H_POLYIC_INJ_MOUSE_NK_CELL_UP.html" TargetMode="External"/><Relationship Id="rId1673" Type="http://schemas.openxmlformats.org/officeDocument/2006/relationships/hyperlink" Target="http://www.broadinstitute.org/gsea/msigdb/cards/GSE36826_WT_VS_IL1R_KO_SKIN_STAPH_AUREUS_INF_UP.html" TargetMode="External"/><Relationship Id="rId1280" Type="http://schemas.openxmlformats.org/officeDocument/2006/relationships/hyperlink" Target="http://www.broadinstitute.org/gsea/msigdb/cards/GO_REPRODUCTIVE_SYSTEM_DEVELOPMENT.html" TargetMode="External"/><Relationship Id="rId1281" Type="http://schemas.openxmlformats.org/officeDocument/2006/relationships/hyperlink" Target="http://www.broadinstitute.org/gsea/msigdb/cards/GO_ESTABLISHMENT_OF_MITOTIC_SPINDLE_LOCALIZATION.html" TargetMode="External"/><Relationship Id="rId1282" Type="http://schemas.openxmlformats.org/officeDocument/2006/relationships/hyperlink" Target="http://www.broadinstitute.org/gsea/msigdb/cards/GO_REGULATION_OF_DNA_BIOSYNTHETIC_PROCESS.html" TargetMode="External"/><Relationship Id="rId1283" Type="http://schemas.openxmlformats.org/officeDocument/2006/relationships/hyperlink" Target="http://www.broadinstitute.org/gsea/msigdb/cards/GO_REGENERATION.html" TargetMode="External"/><Relationship Id="rId1284" Type="http://schemas.openxmlformats.org/officeDocument/2006/relationships/hyperlink" Target="http://www.broadinstitute.org/gsea/msigdb/cards/GO_MULTI_ORGANISM_REPRODUCTIVE_PROCESS.html" TargetMode="External"/><Relationship Id="rId1285" Type="http://schemas.openxmlformats.org/officeDocument/2006/relationships/hyperlink" Target="http://www.broadinstitute.org/gsea/msigdb/cards/GO_EMBRYO_DEVELOPMENT.html" TargetMode="External"/><Relationship Id="rId1286" Type="http://schemas.openxmlformats.org/officeDocument/2006/relationships/hyperlink" Target="http://www.broadinstitute.org/gsea/msigdb/cards/GO_CATABOLIC_PROCESS.html" TargetMode="External"/><Relationship Id="rId1287" Type="http://schemas.openxmlformats.org/officeDocument/2006/relationships/hyperlink" Target="http://www.broadinstitute.org/gsea/msigdb/cards/GO_FEMALE_MEIOTIC_DIVISION.html" TargetMode="External"/><Relationship Id="rId1288" Type="http://schemas.openxmlformats.org/officeDocument/2006/relationships/hyperlink" Target="http://www.broadinstitute.org/gsea/msigdb/cards/GO_ENDONUCLEASE_ACTIVITY.html" TargetMode="External"/><Relationship Id="rId1289" Type="http://schemas.openxmlformats.org/officeDocument/2006/relationships/hyperlink" Target="http://www.broadinstitute.org/gsea/msigdb/cards/GO_DEOXYRIBONUCLEOTIDE_BIOSYNTHETIC_PROCESS.html" TargetMode="External"/><Relationship Id="rId1674" Type="http://schemas.openxmlformats.org/officeDocument/2006/relationships/hyperlink" Target="http://www.broadinstitute.org/gsea/msigdb/cards/GSE14415_INDUCED_TREG_VS_FAILED_INDUCED_TREG_UP.html" TargetMode="External"/><Relationship Id="rId1675" Type="http://schemas.openxmlformats.org/officeDocument/2006/relationships/hyperlink" Target="http://www.broadinstitute.org/gsea/msigdb/cards/GSE7568_IL4_VS_IL4_AND_DEXAMETHASONE_TREATED_MACROPHAGE_UP.html" TargetMode="External"/><Relationship Id="rId1676" Type="http://schemas.openxmlformats.org/officeDocument/2006/relationships/hyperlink" Target="http://www.broadinstitute.org/gsea/msigdb/cards/GSE12366_GC_VS_NAIVE_BCELL_UP.html" TargetMode="External"/><Relationship Id="rId1677" Type="http://schemas.openxmlformats.org/officeDocument/2006/relationships/hyperlink" Target="http://www.broadinstitute.org/gsea/msigdb/cards/GSE15930_NAIVE_VS_72H_IN_VITRO_STIM_TRICHOSTATINA_CD8_TCELL_DN.html" TargetMode="External"/><Relationship Id="rId1678" Type="http://schemas.openxmlformats.org/officeDocument/2006/relationships/hyperlink" Target="http://www.broadinstitute.org/gsea/msigdb/cards/GSE24634_TREG_VS_TCONV_POST_DAY3_IL4_CONVERSION_UP.html" TargetMode="External"/><Relationship Id="rId1679" Type="http://schemas.openxmlformats.org/officeDocument/2006/relationships/hyperlink" Target="http://www.broadinstitute.org/gsea/msigdb/cards/GSE24634_TREG_VS_TCONV_POST_DAY5_IL4_CONVERSION_UP.html" TargetMode="External"/><Relationship Id="rId2360" Type="http://schemas.openxmlformats.org/officeDocument/2006/relationships/hyperlink" Target="http://www.broadinstitute.org/gsea/msigdb/cards/GSE13762_CTRL_VS_125_VITAMIND_DAY12_DC_UP.html" TargetMode="External"/><Relationship Id="rId2361" Type="http://schemas.openxmlformats.org/officeDocument/2006/relationships/hyperlink" Target="http://www.broadinstitute.org/gsea/msigdb/cards/GSE10500_ARTHRITIC_SYNOVIAL_FLUID_VS_HEALTHY_MACROPHAGE_UP.html" TargetMode="External"/><Relationship Id="rId2362" Type="http://schemas.openxmlformats.org/officeDocument/2006/relationships/hyperlink" Target="http://www.broadinstitute.org/gsea/msigdb/cards/GSE11864_CSF1_VS_CSF1_IFNG_PAM3CYS_IN_MAC_UP.html" TargetMode="External"/><Relationship Id="rId2363" Type="http://schemas.openxmlformats.org/officeDocument/2006/relationships/hyperlink" Target="http://www.broadinstitute.org/gsea/msigdb/cards/GSE11864_CSF1_PAM3CYS_VS_CSF1_IFNG_PAM3CYS_IN_MAC_UP.html" TargetMode="External"/><Relationship Id="rId2364" Type="http://schemas.openxmlformats.org/officeDocument/2006/relationships/hyperlink" Target="http://www.broadinstitute.org/gsea/msigdb/cards/GSE11924_TFH_VS_TH17_CD4_TCELL_DN.html" TargetMode="External"/><Relationship Id="rId2365" Type="http://schemas.openxmlformats.org/officeDocument/2006/relationships/hyperlink" Target="http://www.broadinstitute.org/gsea/msigdb/cards/GSE13485_DAY1_VS_DAY3_YF17D_VACCINE_PBMC_DN.html" TargetMode="External"/><Relationship Id="rId2366" Type="http://schemas.openxmlformats.org/officeDocument/2006/relationships/hyperlink" Target="http://www.broadinstitute.org/gsea/msigdb/cards/GSE14000_UNSTIM_VS_4H_LPS_DC_TRANSLATED_RNA_UP.html" TargetMode="External"/><Relationship Id="rId2367" Type="http://schemas.openxmlformats.org/officeDocument/2006/relationships/hyperlink" Target="http://www.broadinstitute.org/gsea/msigdb/cards/GSE14000_4H_VS_16H_LPS_DC_TRANSLATED_RNA_DN.html" TargetMode="External"/><Relationship Id="rId2368" Type="http://schemas.openxmlformats.org/officeDocument/2006/relationships/hyperlink" Target="http://www.broadinstitute.org/gsea/msigdb/cards/GSE14308_TH2_VS_NAIVE_CD4_TCELL_UP.html" TargetMode="External"/><Relationship Id="rId2369" Type="http://schemas.openxmlformats.org/officeDocument/2006/relationships/hyperlink" Target="http://www.broadinstitute.org/gsea/msigdb/cards/GSE14308_TH17_VS_NATURAL_TREG_UP.html" TargetMode="External"/><Relationship Id="rId810" Type="http://schemas.openxmlformats.org/officeDocument/2006/relationships/hyperlink" Target="http://www.broadinstitute.org/gsea/msigdb/cards/MODULE_308.html" TargetMode="External"/><Relationship Id="rId811" Type="http://schemas.openxmlformats.org/officeDocument/2006/relationships/hyperlink" Target="http://www.broadinstitute.org/gsea/msigdb/cards/MORF_EIF3S2.html" TargetMode="External"/><Relationship Id="rId812" Type="http://schemas.openxmlformats.org/officeDocument/2006/relationships/hyperlink" Target="http://www.broadinstitute.org/gsea/msigdb/cards/MODULE_337.html" TargetMode="External"/><Relationship Id="rId813" Type="http://schemas.openxmlformats.org/officeDocument/2006/relationships/hyperlink" Target="http://www.broadinstitute.org/gsea/msigdb/cards/MODULE_72.html" TargetMode="External"/><Relationship Id="rId420" Type="http://schemas.openxmlformats.org/officeDocument/2006/relationships/hyperlink" Target="http://www.broadinstitute.org/gsea/msigdb/cards/WIELAND_UP_BY_HBV_INFECTION.html" TargetMode="External"/><Relationship Id="rId421" Type="http://schemas.openxmlformats.org/officeDocument/2006/relationships/hyperlink" Target="http://www.broadinstitute.org/gsea/msigdb/cards/NEMETH_INFLAMMATORY_RESPONSE_LPS_DN.html" TargetMode="External"/><Relationship Id="rId422" Type="http://schemas.openxmlformats.org/officeDocument/2006/relationships/hyperlink" Target="http://www.broadinstitute.org/gsea/msigdb/cards/GROSS_HYPOXIA_VIA_ELK3_AND_HIF1A_DN.html" TargetMode="External"/><Relationship Id="rId423" Type="http://schemas.openxmlformats.org/officeDocument/2006/relationships/hyperlink" Target="http://www.broadinstitute.org/gsea/msigdb/cards/ONDER_CDH1_TARGETS_1_DN.html" TargetMode="External"/><Relationship Id="rId424" Type="http://schemas.openxmlformats.org/officeDocument/2006/relationships/hyperlink" Target="http://www.broadinstitute.org/gsea/msigdb/cards/LU_EZH2_TARGETS_DN.html" TargetMode="External"/><Relationship Id="rId425" Type="http://schemas.openxmlformats.org/officeDocument/2006/relationships/hyperlink" Target="http://www.broadinstitute.org/gsea/msigdb/cards/KARAKAS_TGFB1_SIGNALING.html" TargetMode="External"/><Relationship Id="rId426" Type="http://schemas.openxmlformats.org/officeDocument/2006/relationships/hyperlink" Target="http://www.broadinstitute.org/gsea/msigdb/cards/PID_MYC_ACTIV_PATHWAY.html" TargetMode="External"/><Relationship Id="rId427" Type="http://schemas.openxmlformats.org/officeDocument/2006/relationships/hyperlink" Target="http://www.broadinstitute.org/gsea/msigdb/cards/MCBRYAN_PUBERTAL_BREAST_6_7WK_DN.html" TargetMode="External"/><Relationship Id="rId428" Type="http://schemas.openxmlformats.org/officeDocument/2006/relationships/hyperlink" Target="http://www.broadinstitute.org/gsea/msigdb/cards/ROESSLER_LIVER_CANCER_METASTASIS_UP.html" TargetMode="External"/><Relationship Id="rId429" Type="http://schemas.openxmlformats.org/officeDocument/2006/relationships/hyperlink" Target="http://www.broadinstitute.org/gsea/msigdb/cards/KEGG_PATHWAYS_IN_CANCER.html" TargetMode="External"/><Relationship Id="rId814" Type="http://schemas.openxmlformats.org/officeDocument/2006/relationships/hyperlink" Target="http://www.broadinstitute.org/gsea/msigdb/cards/MODULE_303.html" TargetMode="External"/><Relationship Id="rId815" Type="http://schemas.openxmlformats.org/officeDocument/2006/relationships/hyperlink" Target="http://www.broadinstitute.org/gsea/msigdb/cards/GNF2_DEK.html" TargetMode="External"/><Relationship Id="rId816" Type="http://schemas.openxmlformats.org/officeDocument/2006/relationships/hyperlink" Target="http://www.broadinstitute.org/gsea/msigdb/cards/MORF_RPA1.html" TargetMode="External"/><Relationship Id="rId817" Type="http://schemas.openxmlformats.org/officeDocument/2006/relationships/hyperlink" Target="http://www.broadinstitute.org/gsea/msigdb/cards/MODULE_312.html" TargetMode="External"/><Relationship Id="rId818" Type="http://schemas.openxmlformats.org/officeDocument/2006/relationships/hyperlink" Target="http://www.broadinstitute.org/gsea/msigdb/cards/MORF_CSNK2B.html" TargetMode="External"/><Relationship Id="rId819" Type="http://schemas.openxmlformats.org/officeDocument/2006/relationships/hyperlink" Target="http://www.broadinstitute.org/gsea/msigdb/cards/MORF_CDK2.html" TargetMode="External"/><Relationship Id="rId1680" Type="http://schemas.openxmlformats.org/officeDocument/2006/relationships/hyperlink" Target="http://www.broadinstitute.org/gsea/msigdb/cards/GSE3982_NKCELL_VS_TH1_DN.html" TargetMode="External"/><Relationship Id="rId1681" Type="http://schemas.openxmlformats.org/officeDocument/2006/relationships/hyperlink" Target="http://www.broadinstitute.org/gsea/msigdb/cards/GSE21546_WT_VS_ELK1_KO_ANTI_CD3_STIM_DP_THYMOCYTES_DN.html" TargetMode="External"/><Relationship Id="rId1682" Type="http://schemas.openxmlformats.org/officeDocument/2006/relationships/hyperlink" Target="http://www.broadinstitute.org/gsea/msigdb/cards/GSE17301_CTRL_VS_48H_ACD3_ACD28_IFNA2_STIM_CD8_TCELL_DN.html" TargetMode="External"/><Relationship Id="rId1683" Type="http://schemas.openxmlformats.org/officeDocument/2006/relationships/hyperlink" Target="http://www.broadinstitute.org/gsea/msigdb/cards/GSE24574_BCL6_LOW_TFH_VS_TCONV_CD4_TCELL_DN.html" TargetMode="External"/><Relationship Id="rId1290" Type="http://schemas.openxmlformats.org/officeDocument/2006/relationships/hyperlink" Target="http://www.broadinstitute.org/gsea/msigdb/cards/GO_MISMATCHED_DNA_BINDING.html" TargetMode="External"/><Relationship Id="rId1291" Type="http://schemas.openxmlformats.org/officeDocument/2006/relationships/hyperlink" Target="http://www.broadinstitute.org/gsea/msigdb/cards/GO_DNA_POLYMERASE_BINDING.html" TargetMode="External"/><Relationship Id="rId1292" Type="http://schemas.openxmlformats.org/officeDocument/2006/relationships/hyperlink" Target="http://www.broadinstitute.org/gsea/msigdb/cards/GO_DEVELOPMENTAL_GROWTH.html" TargetMode="External"/><Relationship Id="rId1293" Type="http://schemas.openxmlformats.org/officeDocument/2006/relationships/hyperlink" Target="http://www.broadinstitute.org/gsea/msigdb/cards/GO_TRANSCRIPTION_COUPLED_NUCLEOTIDE_EXCISION_REPAIR.html" TargetMode="External"/><Relationship Id="rId1294" Type="http://schemas.openxmlformats.org/officeDocument/2006/relationships/hyperlink" Target="http://www.broadinstitute.org/gsea/msigdb/cards/GO_PYRIMIDINE_NUCLEOTIDE_METABOLIC_PROCESS.html" TargetMode="External"/><Relationship Id="rId1295" Type="http://schemas.openxmlformats.org/officeDocument/2006/relationships/hyperlink" Target="http://www.broadinstitute.org/gsea/msigdb/cards/GO_IMMUNOGLOBULIN_PRODUCTION.html" TargetMode="External"/><Relationship Id="rId1296" Type="http://schemas.openxmlformats.org/officeDocument/2006/relationships/hyperlink" Target="http://www.broadinstitute.org/gsea/msigdb/cards/GO_RESPONSE_TO_INORGANIC_SUBSTANCE.html" TargetMode="External"/><Relationship Id="rId1297" Type="http://schemas.openxmlformats.org/officeDocument/2006/relationships/hyperlink" Target="http://www.broadinstitute.org/gsea/msigdb/cards/GO_POSITIVE_REGULATION_OF_GENE_EXPRESSION.html" TargetMode="External"/><Relationship Id="rId1298" Type="http://schemas.openxmlformats.org/officeDocument/2006/relationships/hyperlink" Target="http://www.broadinstitute.org/gsea/msigdb/cards/GO_RESPONSE_TO_ORGANIC_CYCLIC_COMPOUND.html" TargetMode="External"/><Relationship Id="rId1299" Type="http://schemas.openxmlformats.org/officeDocument/2006/relationships/hyperlink" Target="http://www.broadinstitute.org/gsea/msigdb/cards/GO_NUCLEASE_ACTIVITY.html" TargetMode="External"/><Relationship Id="rId1684" Type="http://schemas.openxmlformats.org/officeDocument/2006/relationships/hyperlink" Target="http://www.broadinstitute.org/gsea/msigdb/cards/GSE20727_DNFB_ALLERGEN_VS_ROS_INH_AND_DNFB_ALLERGEN_TREATED_DC_DN.html" TargetMode="External"/><Relationship Id="rId1685" Type="http://schemas.openxmlformats.org/officeDocument/2006/relationships/hyperlink" Target="http://www.broadinstitute.org/gsea/msigdb/cards/GSE15930_NAIVE_VS_24H_IN_VITRO_STIM_CD8_TCELL_DN.html" TargetMode="External"/><Relationship Id="rId1686" Type="http://schemas.openxmlformats.org/officeDocument/2006/relationships/hyperlink" Target="http://www.broadinstitute.org/gsea/msigdb/cards/GSE15930_NAIVE_VS_72H_IN_VITRO_STIM_IFNAB_CD8_TCELL_DN.html" TargetMode="External"/><Relationship Id="rId1687" Type="http://schemas.openxmlformats.org/officeDocument/2006/relationships/hyperlink" Target="http://www.broadinstitute.org/gsea/msigdb/cards/GSE2770_IL12_AND_TGFB_VS_IL4_TREATED_ACT_CD4_TCELL_6H_UP.html" TargetMode="External"/><Relationship Id="rId1688" Type="http://schemas.openxmlformats.org/officeDocument/2006/relationships/hyperlink" Target="http://www.broadinstitute.org/gsea/msigdb/cards/GSE2128_C57BL6_VS_NOD_THYMOCYTE_UP.html" TargetMode="External"/><Relationship Id="rId1689" Type="http://schemas.openxmlformats.org/officeDocument/2006/relationships/hyperlink" Target="http://www.broadinstitute.org/gsea/msigdb/cards/GSE23505_IL6_IL1_VS_IL6_IL1_IL23_TREATED_CD4_TCELL_UP.html" TargetMode="External"/><Relationship Id="rId2370" Type="http://schemas.openxmlformats.org/officeDocument/2006/relationships/hyperlink" Target="http://www.broadinstitute.org/gsea/msigdb/cards/GSE14350_IL2RB_KO_VS_WT_TEFF_DN.html" TargetMode="External"/><Relationship Id="rId2371" Type="http://schemas.openxmlformats.org/officeDocument/2006/relationships/hyperlink" Target="http://www.broadinstitute.org/gsea/msigdb/cards/GSE15324_NAIVE_VS_ACTIVATED_CD8_TCELL_DN.html" TargetMode="External"/><Relationship Id="rId2372" Type="http://schemas.openxmlformats.org/officeDocument/2006/relationships/hyperlink" Target="http://www.broadinstitute.org/gsea/msigdb/cards/GSE15930_STIM_VS_STIM_AND_IFNAB_24H_CD8_T_CELL_UP.html" TargetMode="External"/><Relationship Id="rId2373" Type="http://schemas.openxmlformats.org/officeDocument/2006/relationships/hyperlink" Target="http://www.broadinstitute.org/gsea/msigdb/cards/GSE15930_STIM_VS_STIM_AND_TRICHOSTATINA_24H_CD8_T_CELL_DN.html" TargetMode="External"/><Relationship Id="rId2374" Type="http://schemas.openxmlformats.org/officeDocument/2006/relationships/hyperlink" Target="http://www.broadinstitute.org/gsea/msigdb/cards/GSE17721_CTRL_VS_LPS_1H_BMDC_UP.html" TargetMode="External"/><Relationship Id="rId2375" Type="http://schemas.openxmlformats.org/officeDocument/2006/relationships/hyperlink" Target="http://www.broadinstitute.org/gsea/msigdb/cards/GSE17721_CTRL_VS_LPS_4H_BMDC_UP.html" TargetMode="External"/><Relationship Id="rId2376" Type="http://schemas.openxmlformats.org/officeDocument/2006/relationships/hyperlink" Target="http://www.broadinstitute.org/gsea/msigdb/cards/GSE17721_CTRL_VS_PAM3CSK4_4H_BMDC_UP.html" TargetMode="External"/><Relationship Id="rId2377" Type="http://schemas.openxmlformats.org/officeDocument/2006/relationships/hyperlink" Target="http://www.broadinstitute.org/gsea/msigdb/cards/GSE17721_CTRL_VS_CPG_4H_BMDC_UP.html" TargetMode="External"/><Relationship Id="rId2378" Type="http://schemas.openxmlformats.org/officeDocument/2006/relationships/hyperlink" Target="http://www.broadinstitute.org/gsea/msigdb/cards/GSE17721_LPS_VS_POLYIC_6H_BMDC_DN.html" TargetMode="External"/><Relationship Id="rId2379" Type="http://schemas.openxmlformats.org/officeDocument/2006/relationships/hyperlink" Target="http://www.broadinstitute.org/gsea/msigdb/cards/GSE17721_LPS_VS_POLYIC_24H_BMDC_DN.html" TargetMode="External"/><Relationship Id="rId820" Type="http://schemas.openxmlformats.org/officeDocument/2006/relationships/hyperlink" Target="http://www.broadinstitute.org/gsea/msigdb/cards/MORF_ANP32B.html" TargetMode="External"/><Relationship Id="rId821" Type="http://schemas.openxmlformats.org/officeDocument/2006/relationships/hyperlink" Target="http://www.broadinstitute.org/gsea/msigdb/cards/GNF2_ANP32B.html" TargetMode="External"/><Relationship Id="rId822" Type="http://schemas.openxmlformats.org/officeDocument/2006/relationships/hyperlink" Target="http://www.broadinstitute.org/gsea/msigdb/cards/MORF_AATF.html" TargetMode="External"/><Relationship Id="rId823" Type="http://schemas.openxmlformats.org/officeDocument/2006/relationships/hyperlink" Target="http://www.broadinstitute.org/gsea/msigdb/cards/MORF_UNG.html" TargetMode="External"/><Relationship Id="rId430" Type="http://schemas.openxmlformats.org/officeDocument/2006/relationships/hyperlink" Target="http://www.broadinstitute.org/gsea/msigdb/cards/MAYBURD_RESPONSE_TO_L663536_DN.html" TargetMode="External"/><Relationship Id="rId431" Type="http://schemas.openxmlformats.org/officeDocument/2006/relationships/hyperlink" Target="http://www.broadinstitute.org/gsea/msigdb/cards/DOUGLAS_BMI1_TARGETS_UP.html" TargetMode="External"/><Relationship Id="rId432" Type="http://schemas.openxmlformats.org/officeDocument/2006/relationships/hyperlink" Target="http://www.broadinstitute.org/gsea/msigdb/cards/YIH_RESPONSE_TO_ARSENITE_C3.html" TargetMode="External"/><Relationship Id="rId433" Type="http://schemas.openxmlformats.org/officeDocument/2006/relationships/hyperlink" Target="http://www.broadinstitute.org/gsea/msigdb/cards/BLALOCK_ALZHEIMERS_DISEASE_UP.html" TargetMode="External"/><Relationship Id="rId434" Type="http://schemas.openxmlformats.org/officeDocument/2006/relationships/hyperlink" Target="http://www.broadinstitute.org/gsea/msigdb/cards/MEINHOLD_OVARIAN_CANCER_LOW_GRADE_DN.html" TargetMode="External"/><Relationship Id="rId435" Type="http://schemas.openxmlformats.org/officeDocument/2006/relationships/hyperlink" Target="http://www.broadinstitute.org/gsea/msigdb/cards/ZHOU_CELL_CYCLE_GENES_IN_IR_RESPONSE_2HR.html" TargetMode="External"/><Relationship Id="rId436" Type="http://schemas.openxmlformats.org/officeDocument/2006/relationships/hyperlink" Target="http://www.broadinstitute.org/gsea/msigdb/cards/KEGG_SMALL_CELL_LUNG_CANCER.html" TargetMode="External"/><Relationship Id="rId437" Type="http://schemas.openxmlformats.org/officeDocument/2006/relationships/hyperlink" Target="http://www.broadinstitute.org/gsea/msigdb/cards/REACTOME_G1_PHASE.html" TargetMode="External"/><Relationship Id="rId438" Type="http://schemas.openxmlformats.org/officeDocument/2006/relationships/hyperlink" Target="http://www.broadinstitute.org/gsea/msigdb/cards/BOYLAN_MULTIPLE_MYELOMA_C_CLUSTER_UP.html" TargetMode="External"/><Relationship Id="rId439" Type="http://schemas.openxmlformats.org/officeDocument/2006/relationships/hyperlink" Target="http://www.broadinstitute.org/gsea/msigdb/cards/ENK_UV_RESPONSE_KERATINOCYTE_DN.html" TargetMode="External"/><Relationship Id="rId824" Type="http://schemas.openxmlformats.org/officeDocument/2006/relationships/hyperlink" Target="http://www.broadinstitute.org/gsea/msigdb/cards/MODULE_254.html" TargetMode="External"/><Relationship Id="rId825" Type="http://schemas.openxmlformats.org/officeDocument/2006/relationships/hyperlink" Target="http://www.broadinstitute.org/gsea/msigdb/cards/MODULE_15.html" TargetMode="External"/><Relationship Id="rId826" Type="http://schemas.openxmlformats.org/officeDocument/2006/relationships/hyperlink" Target="http://www.broadinstitute.org/gsea/msigdb/cards/MORF_HDAC1.html" TargetMode="External"/><Relationship Id="rId827" Type="http://schemas.openxmlformats.org/officeDocument/2006/relationships/hyperlink" Target="http://www.broadinstitute.org/gsea/msigdb/cards/MORF_RPA2.html" TargetMode="External"/><Relationship Id="rId828" Type="http://schemas.openxmlformats.org/officeDocument/2006/relationships/hyperlink" Target="http://www.broadinstitute.org/gsea/msigdb/cards/MORF_FBL.html" TargetMode="External"/><Relationship Id="rId829" Type="http://schemas.openxmlformats.org/officeDocument/2006/relationships/hyperlink" Target="http://www.broadinstitute.org/gsea/msigdb/cards/MORF_EI24.html" TargetMode="External"/><Relationship Id="rId1690" Type="http://schemas.openxmlformats.org/officeDocument/2006/relationships/hyperlink" Target="http://www.broadinstitute.org/gsea/msigdb/cards/GSE23502_WT_VS_HDC_KO_MYELOID_DERIVED_SUPPRESSOR_CELL_COLON_TUMOR_UP.html" TargetMode="External"/><Relationship Id="rId1691" Type="http://schemas.openxmlformats.org/officeDocument/2006/relationships/hyperlink" Target="http://www.broadinstitute.org/gsea/msigdb/cards/GSE19941_UNSTIM_VS_LPS_STIM_IL10_KO_NFKBP50_KO_MACROPHAGE_UP.html" TargetMode="External"/><Relationship Id="rId1692" Type="http://schemas.openxmlformats.org/officeDocument/2006/relationships/hyperlink" Target="http://www.broadinstitute.org/gsea/msigdb/cards/GSE21063_3H_VS_16H_ANTI_IGM_STIM_NFATC1_KOBCELL_DN.html" TargetMode="External"/><Relationship Id="rId1693" Type="http://schemas.openxmlformats.org/officeDocument/2006/relationships/hyperlink" Target="http://www.broadinstitute.org/gsea/msigdb/cards/GSE21063_WT_VS_NFATC1_KO_BCELL_DN.html" TargetMode="External"/><Relationship Id="rId1694" Type="http://schemas.openxmlformats.org/officeDocument/2006/relationships/hyperlink" Target="http://www.broadinstitute.org/gsea/msigdb/cards/GSE13547_WT_VS_ZFX_KO_BCELL_ANTI_IGM_STIM_2H_UP.html" TargetMode="External"/><Relationship Id="rId1695" Type="http://schemas.openxmlformats.org/officeDocument/2006/relationships/hyperlink" Target="http://www.broadinstitute.org/gsea/msigdb/cards/GSE15930_NAIVE_VS_24H_IN_VITRO_STIM_INFAB_CD8_TCELL_DN.html" TargetMode="External"/><Relationship Id="rId1696" Type="http://schemas.openxmlformats.org/officeDocument/2006/relationships/hyperlink" Target="http://www.broadinstitute.org/gsea/msigdb/cards/GSE15930_NAIVE_VS_72H_IN_VITRO_STIM_CD8_TCELL_DN.html" TargetMode="External"/><Relationship Id="rId1697" Type="http://schemas.openxmlformats.org/officeDocument/2006/relationships/hyperlink" Target="http://www.broadinstitute.org/gsea/msigdb/cards/GSE3982_CENT_MEMORY_CD4_TCELL_VS_TH1_DN.html" TargetMode="External"/><Relationship Id="rId1698" Type="http://schemas.openxmlformats.org/officeDocument/2006/relationships/hyperlink" Target="http://www.broadinstitute.org/gsea/msigdb/cards/GSE7460_CTRL_VS_TGFB_TREATED_ACT_TREG_UP.html" TargetMode="External"/><Relationship Id="rId1699" Type="http://schemas.openxmlformats.org/officeDocument/2006/relationships/hyperlink" Target="http://www.broadinstitute.org/gsea/msigdb/cards/GSE9239_CTRL_VS_TNF_INHIBITOR_TREATED_DC_DN.html" TargetMode="External"/><Relationship Id="rId2380" Type="http://schemas.openxmlformats.org/officeDocument/2006/relationships/hyperlink" Target="http://www.broadinstitute.org/gsea/msigdb/cards/GSE17721_POLYIC_VS_PAM3CSK4_6H_BMDC_DN.html" TargetMode="External"/><Relationship Id="rId2381" Type="http://schemas.openxmlformats.org/officeDocument/2006/relationships/hyperlink" Target="http://www.broadinstitute.org/gsea/msigdb/cards/GSE17721_PAM3CSK4_VS_CPG_6H_BMDC_UP.html" TargetMode="External"/><Relationship Id="rId2382" Type="http://schemas.openxmlformats.org/officeDocument/2006/relationships/hyperlink" Target="http://www.broadinstitute.org/gsea/msigdb/cards/GSE17721_POLYIC_VS_CPG_4H_BMDC_UP.html" TargetMode="External"/><Relationship Id="rId2383" Type="http://schemas.openxmlformats.org/officeDocument/2006/relationships/hyperlink" Target="http://www.broadinstitute.org/gsea/msigdb/cards/GSE17721_POLYIC_VS_CPG_24H_BMDC_DN.html" TargetMode="External"/><Relationship Id="rId2384" Type="http://schemas.openxmlformats.org/officeDocument/2006/relationships/hyperlink" Target="http://www.broadinstitute.org/gsea/msigdb/cards/GSE17721_POLYIC_VS_GARDIQUIMOD_1H_BMDC_DN.html" TargetMode="External"/><Relationship Id="rId2385" Type="http://schemas.openxmlformats.org/officeDocument/2006/relationships/hyperlink" Target="http://www.broadinstitute.org/gsea/msigdb/cards/GSE17721_POLYIC_VS_GARDIQUIMOD_4H_BMDC_UP.html" TargetMode="External"/><Relationship Id="rId2386" Type="http://schemas.openxmlformats.org/officeDocument/2006/relationships/hyperlink" Target="http://www.broadinstitute.org/gsea/msigdb/cards/GSE17721_POLYIC_VS_GARDIQUIMOD_16H_BMDC_DN.html" TargetMode="External"/><Relationship Id="rId2387" Type="http://schemas.openxmlformats.org/officeDocument/2006/relationships/hyperlink" Target="http://www.broadinstitute.org/gsea/msigdb/cards/GSE17721_0.5H_VS_4H_LPS_BMDC_UP.html" TargetMode="External"/><Relationship Id="rId2388" Type="http://schemas.openxmlformats.org/officeDocument/2006/relationships/hyperlink" Target="http://www.broadinstitute.org/gsea/msigdb/cards/GSE17721_0.5H_VS_4H_CPG_BMDC_UP.html" TargetMode="External"/><Relationship Id="rId2389" Type="http://schemas.openxmlformats.org/officeDocument/2006/relationships/hyperlink" Target="http://www.broadinstitute.org/gsea/msigdb/cards/GSE17721_12H_VS_24H_GARDIQUIMOD_BMDC_UP.html" TargetMode="External"/><Relationship Id="rId830" Type="http://schemas.openxmlformats.org/officeDocument/2006/relationships/hyperlink" Target="http://www.broadinstitute.org/gsea/msigdb/cards/MORF_G22P1.html" TargetMode="External"/><Relationship Id="rId831" Type="http://schemas.openxmlformats.org/officeDocument/2006/relationships/hyperlink" Target="http://www.broadinstitute.org/gsea/msigdb/cards/MODULE_205.html" TargetMode="External"/><Relationship Id="rId832" Type="http://schemas.openxmlformats.org/officeDocument/2006/relationships/hyperlink" Target="http://www.broadinstitute.org/gsea/msigdb/cards/MODULE_127.html" TargetMode="External"/><Relationship Id="rId833" Type="http://schemas.openxmlformats.org/officeDocument/2006/relationships/hyperlink" Target="http://www.broadinstitute.org/gsea/msigdb/cards/GNF2_SMC1L1.html" TargetMode="External"/><Relationship Id="rId440" Type="http://schemas.openxmlformats.org/officeDocument/2006/relationships/hyperlink" Target="http://www.broadinstitute.org/gsea/msigdb/cards/TSAI_RESPONSE_TO_IONIZING_RADIATION.html" TargetMode="External"/><Relationship Id="rId441" Type="http://schemas.openxmlformats.org/officeDocument/2006/relationships/hyperlink" Target="http://www.broadinstitute.org/gsea/msigdb/cards/RIZ_ERYTHROID_DIFFERENTIATION_CCNE1.html" TargetMode="External"/><Relationship Id="rId442" Type="http://schemas.openxmlformats.org/officeDocument/2006/relationships/hyperlink" Target="http://www.broadinstitute.org/gsea/msigdb/cards/ACEVEDO_LIVER_CANCER_WITH_H3K9ME3_DN.html" TargetMode="External"/><Relationship Id="rId443" Type="http://schemas.openxmlformats.org/officeDocument/2006/relationships/hyperlink" Target="http://www.broadinstitute.org/gsea/msigdb/cards/RIZ_ERYTHROID_DIFFERENTIATION_HBZ.html" TargetMode="External"/><Relationship Id="rId444" Type="http://schemas.openxmlformats.org/officeDocument/2006/relationships/hyperlink" Target="http://www.broadinstitute.org/gsea/msigdb/cards/RICKMAN_TUMOR_DIFFERENTIATED_MODERATELY_VS_POORLY_UP.html" TargetMode="External"/><Relationship Id="rId445" Type="http://schemas.openxmlformats.org/officeDocument/2006/relationships/hyperlink" Target="http://www.broadinstitute.org/gsea/msigdb/cards/CAIRO_PML_TARGETS_BOUND_BY_MYC_UP.html" TargetMode="External"/><Relationship Id="rId446" Type="http://schemas.openxmlformats.org/officeDocument/2006/relationships/hyperlink" Target="http://www.broadinstitute.org/gsea/msigdb/cards/ONO_FOXP3_TARGETS_DN.html" TargetMode="External"/><Relationship Id="rId447" Type="http://schemas.openxmlformats.org/officeDocument/2006/relationships/hyperlink" Target="http://www.broadinstitute.org/gsea/msigdb/cards/BIOCARTA_SKP2E2F_PATHWAY.html" TargetMode="External"/><Relationship Id="rId448" Type="http://schemas.openxmlformats.org/officeDocument/2006/relationships/hyperlink" Target="http://www.broadinstitute.org/gsea/msigdb/cards/KAN_RESPONSE_TO_ARSENIC_TRIOXIDE.html" TargetMode="External"/><Relationship Id="rId449" Type="http://schemas.openxmlformats.org/officeDocument/2006/relationships/hyperlink" Target="http://www.broadinstitute.org/gsea/msigdb/cards/REACTOME_RECRUITMENT_OF_MITOTIC_CENTROSOME_PROTEINS_AND_COMPLEXES.html" TargetMode="External"/><Relationship Id="rId834" Type="http://schemas.openxmlformats.org/officeDocument/2006/relationships/hyperlink" Target="http://www.broadinstitute.org/gsea/msigdb/cards/MODULE_204.html" TargetMode="External"/><Relationship Id="rId835" Type="http://schemas.openxmlformats.org/officeDocument/2006/relationships/hyperlink" Target="http://www.broadinstitute.org/gsea/msigdb/cards/MORF_SOD1.html" TargetMode="External"/><Relationship Id="rId836" Type="http://schemas.openxmlformats.org/officeDocument/2006/relationships/hyperlink" Target="http://www.broadinstitute.org/gsea/msigdb/cards/MORF_DDB1.html" TargetMode="External"/><Relationship Id="rId837" Type="http://schemas.openxmlformats.org/officeDocument/2006/relationships/hyperlink" Target="http://www.broadinstitute.org/gsea/msigdb/cards/MODULE_438.html" TargetMode="External"/><Relationship Id="rId838" Type="http://schemas.openxmlformats.org/officeDocument/2006/relationships/hyperlink" Target="http://www.broadinstitute.org/gsea/msigdb/cards/MODULE_392.html" TargetMode="External"/><Relationship Id="rId839" Type="http://schemas.openxmlformats.org/officeDocument/2006/relationships/hyperlink" Target="http://www.broadinstitute.org/gsea/msigdb/cards/MORF_RAD21.html" TargetMode="External"/><Relationship Id="rId2390" Type="http://schemas.openxmlformats.org/officeDocument/2006/relationships/hyperlink" Target="http://www.broadinstitute.org/gsea/msigdb/cards/GSE17974_IL4_AND_ANTI_IL12_VS_UNTREATED_72H_ACT_CD4_TCELL_DN.html" TargetMode="External"/><Relationship Id="rId2391" Type="http://schemas.openxmlformats.org/officeDocument/2006/relationships/hyperlink" Target="http://www.broadinstitute.org/gsea/msigdb/cards/GSE18791_CTRL_VS_NEWCASTLE_VIRUS_DC_8H_UP.html" TargetMode="External"/><Relationship Id="rId2392" Type="http://schemas.openxmlformats.org/officeDocument/2006/relationships/hyperlink" Target="http://www.broadinstitute.org/gsea/msigdb/cards/GSE18791_CTRL_VS_NEWCASTLE_VIRUS_DC_12H_UP.html" TargetMode="External"/><Relationship Id="rId2393" Type="http://schemas.openxmlformats.org/officeDocument/2006/relationships/hyperlink" Target="http://www.broadinstitute.org/gsea/msigdb/cards/GSE18791_UNSTIM_VS_NEWCATSLE_VIRUS_DC_18H_UP.html" TargetMode="External"/><Relationship Id="rId2394" Type="http://schemas.openxmlformats.org/officeDocument/2006/relationships/hyperlink" Target="http://www.broadinstitute.org/gsea/msigdb/cards/GSE20366_EX_VIVO_VS_DEC205_CONVERSION_UP.html" TargetMode="External"/><Relationship Id="rId2395" Type="http://schemas.openxmlformats.org/officeDocument/2006/relationships/hyperlink" Target="http://www.broadinstitute.org/gsea/msigdb/cards/GSE22886_NAIVE_CD4_TCELL_VS_MEMORY_TCELL_DN.html" TargetMode="External"/><Relationship Id="rId2396" Type="http://schemas.openxmlformats.org/officeDocument/2006/relationships/hyperlink" Target="http://www.broadinstitute.org/gsea/msigdb/cards/GSE22886_NAIVE_TCELL_VS_NEUTROPHIL_UP.html" TargetMode="External"/><Relationship Id="rId2397" Type="http://schemas.openxmlformats.org/officeDocument/2006/relationships/hyperlink" Target="http://www.broadinstitute.org/gsea/msigdb/cards/GSE22886_NAIVE_BCELL_VS_MONOCYTE_UP.html" TargetMode="External"/><Relationship Id="rId2398" Type="http://schemas.openxmlformats.org/officeDocument/2006/relationships/hyperlink" Target="http://www.broadinstitute.org/gsea/msigdb/cards/GSE24142_DN2_VS_DN3_THYMOCYTE_FETAL_UP.html" TargetMode="External"/><Relationship Id="rId2399" Type="http://schemas.openxmlformats.org/officeDocument/2006/relationships/hyperlink" Target="http://www.broadinstitute.org/gsea/msigdb/cards/GSE26669_CTRL_VS_COSTIM_BLOCK_MLR_CD4_TCELL_UP.html" TargetMode="External"/><Relationship Id="rId1300" Type="http://schemas.openxmlformats.org/officeDocument/2006/relationships/hyperlink" Target="http://www.broadinstitute.org/gsea/msigdb/cards/GO_MICROTUBULE_DEPOLYMERIZATION.html" TargetMode="External"/><Relationship Id="rId1301" Type="http://schemas.openxmlformats.org/officeDocument/2006/relationships/hyperlink" Target="http://www.broadinstitute.org/gsea/msigdb/cards/GO_MITOTIC_G2_DNA_DAMAGE_CHECKPOINT.html" TargetMode="External"/><Relationship Id="rId1302" Type="http://schemas.openxmlformats.org/officeDocument/2006/relationships/hyperlink" Target="http://www.broadinstitute.org/gsea/msigdb/cards/GO_CELLULAR_PROTEIN_COMPLEX_ASSEMBLY.html" TargetMode="External"/><Relationship Id="rId1303" Type="http://schemas.openxmlformats.org/officeDocument/2006/relationships/hyperlink" Target="http://www.broadinstitute.org/gsea/msigdb/cards/GO_DEVELOPMENT_OF_PRIMARY_SEXUAL_CHARACTERISTICS.html" TargetMode="External"/><Relationship Id="rId1304" Type="http://schemas.openxmlformats.org/officeDocument/2006/relationships/hyperlink" Target="http://www.broadinstitute.org/gsea/msigdb/cards/GO_PROTEIN_LOCALIZATION_TO_CYTOSKELETON.html" TargetMode="External"/><Relationship Id="rId1305" Type="http://schemas.openxmlformats.org/officeDocument/2006/relationships/hyperlink" Target="http://www.broadinstitute.org/gsea/msigdb/cards/GO_RESPONSE_TO_X_RAY.html" TargetMode="External"/><Relationship Id="rId1306" Type="http://schemas.openxmlformats.org/officeDocument/2006/relationships/hyperlink" Target="http://www.broadinstitute.org/gsea/msigdb/cards/GO_DNA_PACKAGING_COMPLEX.html" TargetMode="External"/><Relationship Id="rId1307" Type="http://schemas.openxmlformats.org/officeDocument/2006/relationships/hyperlink" Target="http://www.broadinstitute.org/gsea/msigdb/cards/GO_POSITIVE_REGULATION_OF_MITOTIC_SISTER_CHROMATID_SEPARATION.html" TargetMode="External"/><Relationship Id="rId1308" Type="http://schemas.openxmlformats.org/officeDocument/2006/relationships/hyperlink" Target="http://www.broadinstitute.org/gsea/msigdb/cards/GO_REGULATION_OF_SPINDLE_CHECKPOINT.html" TargetMode="External"/><Relationship Id="rId1309" Type="http://schemas.openxmlformats.org/officeDocument/2006/relationships/hyperlink" Target="http://www.broadinstitute.org/gsea/msigdb/cards/GO_RESPONSE_TO_ESTROGEN.html" TargetMode="External"/><Relationship Id="rId840" Type="http://schemas.openxmlformats.org/officeDocument/2006/relationships/hyperlink" Target="http://www.broadinstitute.org/gsea/msigdb/cards/MORF_GMPS.html" TargetMode="External"/><Relationship Id="rId841" Type="http://schemas.openxmlformats.org/officeDocument/2006/relationships/hyperlink" Target="http://www.broadinstitute.org/gsea/msigdb/cards/MODULE_439.html" TargetMode="External"/><Relationship Id="rId450" Type="http://schemas.openxmlformats.org/officeDocument/2006/relationships/hyperlink" Target="http://www.broadinstitute.org/gsea/msigdb/cards/BIOCARTA_SRCRPTP_PATHWAY.html" TargetMode="External"/><Relationship Id="rId451" Type="http://schemas.openxmlformats.org/officeDocument/2006/relationships/hyperlink" Target="http://www.broadinstitute.org/gsea/msigdb/cards/GRAHAM_CML_QUIESCENT_VS_CML_DIVIDING_DN.html" TargetMode="External"/><Relationship Id="rId452" Type="http://schemas.openxmlformats.org/officeDocument/2006/relationships/hyperlink" Target="http://www.broadinstitute.org/gsea/msigdb/cards/GOTZMANN_EPITHELIAL_TO_MESENCHYMAL_TRANSITION_UP.html" TargetMode="External"/><Relationship Id="rId453" Type="http://schemas.openxmlformats.org/officeDocument/2006/relationships/hyperlink" Target="http://www.broadinstitute.org/gsea/msigdb/cards/WANG_SMARCE1_TARGETS_DN.html" TargetMode="External"/><Relationship Id="rId454" Type="http://schemas.openxmlformats.org/officeDocument/2006/relationships/hyperlink" Target="http://www.broadinstitute.org/gsea/msigdb/cards/KRASNOSELSKAYA_ILF3_TARGETS_DN.html" TargetMode="External"/><Relationship Id="rId455" Type="http://schemas.openxmlformats.org/officeDocument/2006/relationships/hyperlink" Target="http://www.broadinstitute.org/gsea/msigdb/cards/REACTOME_G2_M_DNA_DAMAGE_CHECKPOINT.html" TargetMode="External"/><Relationship Id="rId456" Type="http://schemas.openxmlformats.org/officeDocument/2006/relationships/hyperlink" Target="http://www.broadinstitute.org/gsea/msigdb/cards/WU_APOPTOSIS_BY_CDKN1A_NOT_VIA_TP53.html" TargetMode="External"/><Relationship Id="rId457" Type="http://schemas.openxmlformats.org/officeDocument/2006/relationships/hyperlink" Target="http://www.broadinstitute.org/gsea/msigdb/cards/HUANG_GATA2_TARGETS_DN.html" TargetMode="External"/><Relationship Id="rId458" Type="http://schemas.openxmlformats.org/officeDocument/2006/relationships/hyperlink" Target="http://www.broadinstitute.org/gsea/msigdb/cards/REACTOME_HIV_INFECTION.html" TargetMode="External"/><Relationship Id="rId459" Type="http://schemas.openxmlformats.org/officeDocument/2006/relationships/hyperlink" Target="http://www.broadinstitute.org/gsea/msigdb/cards/REACTOME_APC_CDC20_MEDIATED_DEGRADATION_OF_NEK2A.html" TargetMode="External"/><Relationship Id="rId842" Type="http://schemas.openxmlformats.org/officeDocument/2006/relationships/hyperlink" Target="http://www.broadinstitute.org/gsea/msigdb/cards/MODULE_189.html" TargetMode="External"/><Relationship Id="rId843" Type="http://schemas.openxmlformats.org/officeDocument/2006/relationships/hyperlink" Target="http://www.broadinstitute.org/gsea/msigdb/cards/MODULE_372.html" TargetMode="External"/><Relationship Id="rId844" Type="http://schemas.openxmlformats.org/officeDocument/2006/relationships/hyperlink" Target="http://www.broadinstitute.org/gsea/msigdb/cards/GCM_APEX1.html" TargetMode="External"/><Relationship Id="rId845" Type="http://schemas.openxmlformats.org/officeDocument/2006/relationships/hyperlink" Target="http://www.broadinstitute.org/gsea/msigdb/cards/MODULE_219.html" TargetMode="External"/><Relationship Id="rId846" Type="http://schemas.openxmlformats.org/officeDocument/2006/relationships/hyperlink" Target="http://www.broadinstitute.org/gsea/msigdb/cards/GNF2_RPA1.html" TargetMode="External"/><Relationship Id="rId847" Type="http://schemas.openxmlformats.org/officeDocument/2006/relationships/hyperlink" Target="http://www.broadinstitute.org/gsea/msigdb/cards/MODULE_177.html" TargetMode="External"/><Relationship Id="rId848" Type="http://schemas.openxmlformats.org/officeDocument/2006/relationships/hyperlink" Target="http://www.broadinstitute.org/gsea/msigdb/cards/MODULE_552.html" TargetMode="External"/><Relationship Id="rId849" Type="http://schemas.openxmlformats.org/officeDocument/2006/relationships/hyperlink" Target="http://www.broadinstitute.org/gsea/msigdb/cards/GCM_ANP32B.html" TargetMode="External"/><Relationship Id="rId1700" Type="http://schemas.openxmlformats.org/officeDocument/2006/relationships/hyperlink" Target="http://www.broadinstitute.org/gsea/msigdb/cards/GSE24574_BCL6_HIGH_VS_LOW_TFH_CD4_TCELL_DN.html" TargetMode="External"/><Relationship Id="rId1701" Type="http://schemas.openxmlformats.org/officeDocument/2006/relationships/hyperlink" Target="http://www.broadinstitute.org/gsea/msigdb/cards/GSE25146_UNSTIM_VS_HELIOBACTER_PYLORI_LPS_STIM_AGS_CELL_UP.html" TargetMode="External"/><Relationship Id="rId1702" Type="http://schemas.openxmlformats.org/officeDocument/2006/relationships/hyperlink" Target="http://www.broadinstitute.org/gsea/msigdb/cards/GSE29614_CTRL_VS_TIV_FLU_VACCINE_PBMC_2007_DN.html" TargetMode="External"/><Relationship Id="rId1703" Type="http://schemas.openxmlformats.org/officeDocument/2006/relationships/hyperlink" Target="http://www.broadinstitute.org/gsea/msigdb/cards/GSE2770_UNTREATED_VS_IL4_TREATED_ACT_CD4_TCELL_48H_DN.html" TargetMode="External"/><Relationship Id="rId1310" Type="http://schemas.openxmlformats.org/officeDocument/2006/relationships/hyperlink" Target="http://www.broadinstitute.org/gsea/msigdb/cards/GO_DETERMINATION_OF_ADULT_LIFESPAN.html" TargetMode="External"/><Relationship Id="rId1311" Type="http://schemas.openxmlformats.org/officeDocument/2006/relationships/hyperlink" Target="http://www.broadinstitute.org/gsea/msigdb/cards/GO_CELL_DIVISION_SITE.html" TargetMode="External"/><Relationship Id="rId1312" Type="http://schemas.openxmlformats.org/officeDocument/2006/relationships/hyperlink" Target="http://www.broadinstitute.org/gsea/msigdb/cards/GO_INTRACELLULAR_SIGNAL_TRANSDUCTION.html" TargetMode="External"/><Relationship Id="rId1313" Type="http://schemas.openxmlformats.org/officeDocument/2006/relationships/hyperlink" Target="http://www.broadinstitute.org/gsea/msigdb/cards/GO_MULTICELLULAR_ORGANISM_AGING.html" TargetMode="External"/><Relationship Id="rId1314" Type="http://schemas.openxmlformats.org/officeDocument/2006/relationships/hyperlink" Target="http://www.broadinstitute.org/gsea/msigdb/cards/GO_NEGATIVE_REGULATION_OF_DNA_METABOLIC_PROCESS.html" TargetMode="External"/><Relationship Id="rId1315" Type="http://schemas.openxmlformats.org/officeDocument/2006/relationships/hyperlink" Target="http://www.broadinstitute.org/gsea/msigdb/cards/GO_NUCLEAR_ENVELOPE_ORGANIZATION.html" TargetMode="External"/><Relationship Id="rId1316" Type="http://schemas.openxmlformats.org/officeDocument/2006/relationships/hyperlink" Target="http://www.broadinstitute.org/gsea/msigdb/cards/GO_NEGATIVE_REGULATION_OF_GENE_EXPRESSION_EPIGENETIC.html" TargetMode="External"/><Relationship Id="rId1317" Type="http://schemas.openxmlformats.org/officeDocument/2006/relationships/hyperlink" Target="http://www.broadinstitute.org/gsea/msigdb/cards/GO_PRONUCLEUS.html" TargetMode="External"/><Relationship Id="rId1318" Type="http://schemas.openxmlformats.org/officeDocument/2006/relationships/hyperlink" Target="http://www.broadinstitute.org/gsea/msigdb/cards/GO_NUCLEAR_HETEROCHROMATIN.html" TargetMode="External"/><Relationship Id="rId1319" Type="http://schemas.openxmlformats.org/officeDocument/2006/relationships/hyperlink" Target="http://www.broadinstitute.org/gsea/msigdb/cards/GO_DNA_N_GLYCOSYLASE_ACTIVITY.html" TargetMode="External"/><Relationship Id="rId850" Type="http://schemas.openxmlformats.org/officeDocument/2006/relationships/hyperlink" Target="http://www.broadinstitute.org/gsea/msigdb/cards/MORF_EIF4E.html" TargetMode="External"/><Relationship Id="rId851" Type="http://schemas.openxmlformats.org/officeDocument/2006/relationships/hyperlink" Target="http://www.broadinstitute.org/gsea/msigdb/cards/MODULE_253.html" TargetMode="External"/><Relationship Id="rId460" Type="http://schemas.openxmlformats.org/officeDocument/2006/relationships/hyperlink" Target="http://www.broadinstitute.org/gsea/msigdb/cards/BIOCARTA_RB_PATHWAY.html" TargetMode="External"/><Relationship Id="rId461" Type="http://schemas.openxmlformats.org/officeDocument/2006/relationships/hyperlink" Target="http://www.broadinstitute.org/gsea/msigdb/cards/REACTOME_INHIBITION_OF_REPLICATION_INITIATION_OF_DAMAGED_DNA_BY_RB1_E2F1.html" TargetMode="External"/><Relationship Id="rId462" Type="http://schemas.openxmlformats.org/officeDocument/2006/relationships/hyperlink" Target="http://www.broadinstitute.org/gsea/msigdb/cards/SANSOM_APC_TARGETS.html" TargetMode="External"/><Relationship Id="rId463" Type="http://schemas.openxmlformats.org/officeDocument/2006/relationships/hyperlink" Target="http://www.broadinstitute.org/gsea/msigdb/cards/DACOSTA_UV_RESPONSE_VIA_ERCC3_COMMON_UP.html" TargetMode="External"/><Relationship Id="rId464" Type="http://schemas.openxmlformats.org/officeDocument/2006/relationships/hyperlink" Target="http://www.broadinstitute.org/gsea/msigdb/cards/MALONEY_RESPONSE_TO_17AAG_DN.html" TargetMode="External"/><Relationship Id="rId465" Type="http://schemas.openxmlformats.org/officeDocument/2006/relationships/hyperlink" Target="http://www.broadinstitute.org/gsea/msigdb/cards/DITTMER_PTHLH_TARGETS_UP.html" TargetMode="External"/><Relationship Id="rId466" Type="http://schemas.openxmlformats.org/officeDocument/2006/relationships/hyperlink" Target="http://www.broadinstitute.org/gsea/msigdb/cards/SMIRNOV_RESPONSE_TO_IR_2HR_DN.html" TargetMode="External"/><Relationship Id="rId467" Type="http://schemas.openxmlformats.org/officeDocument/2006/relationships/hyperlink" Target="http://www.broadinstitute.org/gsea/msigdb/cards/RIZKI_TUMOR_INVASIVENESS_3D_DN.html" TargetMode="External"/><Relationship Id="rId468" Type="http://schemas.openxmlformats.org/officeDocument/2006/relationships/hyperlink" Target="http://www.broadinstitute.org/gsea/msigdb/cards/REACTOME_CDT1_ASSOCIATION_WITH_THE_CDC6_ORC_ORIGIN_COMPLEX.html" TargetMode="External"/><Relationship Id="rId469" Type="http://schemas.openxmlformats.org/officeDocument/2006/relationships/hyperlink" Target="http://www.broadinstitute.org/gsea/msigdb/cards/CHEN_METABOLIC_SYNDROM_NETWORK.html" TargetMode="External"/><Relationship Id="rId852" Type="http://schemas.openxmlformats.org/officeDocument/2006/relationships/hyperlink" Target="http://www.broadinstitute.org/gsea/msigdb/cards/MODULE_168.html" TargetMode="External"/><Relationship Id="rId853" Type="http://schemas.openxmlformats.org/officeDocument/2006/relationships/hyperlink" Target="http://www.broadinstitute.org/gsea/msigdb/cards/MODULE_222.html" TargetMode="External"/><Relationship Id="rId854" Type="http://schemas.openxmlformats.org/officeDocument/2006/relationships/hyperlink" Target="http://www.broadinstitute.org/gsea/msigdb/cards/MODULE_196.html" TargetMode="External"/><Relationship Id="rId855" Type="http://schemas.openxmlformats.org/officeDocument/2006/relationships/hyperlink" Target="http://www.broadinstitute.org/gsea/msigdb/cards/GNF2_APEX1.html" TargetMode="External"/><Relationship Id="rId856" Type="http://schemas.openxmlformats.org/officeDocument/2006/relationships/hyperlink" Target="http://www.broadinstitute.org/gsea/msigdb/cards/MORF_UBE2N.html" TargetMode="External"/><Relationship Id="rId857" Type="http://schemas.openxmlformats.org/officeDocument/2006/relationships/hyperlink" Target="http://www.broadinstitute.org/gsea/msigdb/cards/GCM_CSNK2B.html" TargetMode="External"/><Relationship Id="rId858" Type="http://schemas.openxmlformats.org/officeDocument/2006/relationships/hyperlink" Target="http://www.broadinstitute.org/gsea/msigdb/cards/MORF_FANCG.html" TargetMode="External"/><Relationship Id="rId859" Type="http://schemas.openxmlformats.org/officeDocument/2006/relationships/hyperlink" Target="http://www.broadinstitute.org/gsea/msigdb/cards/MODULE_318.html" TargetMode="External"/><Relationship Id="rId1704" Type="http://schemas.openxmlformats.org/officeDocument/2006/relationships/hyperlink" Target="http://www.broadinstitute.org/gsea/msigdb/cards/GSE21670_IL6_VS_TGFB_AND_IL6_TREATED_STAT3_KO_CD4_TCELL_UP.html" TargetMode="External"/><Relationship Id="rId1705" Type="http://schemas.openxmlformats.org/officeDocument/2006/relationships/hyperlink" Target="http://www.broadinstitute.org/gsea/msigdb/cards/GSE33425_CD8_ALPHAALPHA_VS_ALPHABETA_CD161_HIGH_TCELL_DN.html" TargetMode="External"/><Relationship Id="rId1706" Type="http://schemas.openxmlformats.org/officeDocument/2006/relationships/hyperlink" Target="http://www.broadinstitute.org/gsea/msigdb/cards/GSE10239_NAIVE_VS_KLRG1INT_EFF_CD8_TCELL_DN.html" TargetMode="External"/><Relationship Id="rId1707" Type="http://schemas.openxmlformats.org/officeDocument/2006/relationships/hyperlink" Target="http://www.broadinstitute.org/gsea/msigdb/cards/GSE13411_PLASMA_CELL_VS_MEMORY_BCELL_UP.html" TargetMode="External"/><Relationship Id="rId1708" Type="http://schemas.openxmlformats.org/officeDocument/2006/relationships/hyperlink" Target="http://www.broadinstitute.org/gsea/msigdb/cards/GSE1460_INTRATHYMIC_T_PROGENITOR_VS_NAIVE_CD4_TCELL_CORD_BLOOD_UP.html" TargetMode="External"/><Relationship Id="rId1709" Type="http://schemas.openxmlformats.org/officeDocument/2006/relationships/hyperlink" Target="http://www.broadinstitute.org/gsea/msigdb/cards/GSE15930_NAIVE_VS_24H_IN_VITRO_STIM_IL12_CD8_TCELL_DN.html" TargetMode="External"/><Relationship Id="rId2000" Type="http://schemas.openxmlformats.org/officeDocument/2006/relationships/hyperlink" Target="http://www.broadinstitute.org/gsea/msigdb/cards/GSE22432_MULTIPOTENT_VS_COMMON_DC_PROGENITOR_UP.html" TargetMode="External"/><Relationship Id="rId2001" Type="http://schemas.openxmlformats.org/officeDocument/2006/relationships/hyperlink" Target="http://www.broadinstitute.org/gsea/msigdb/cards/GSE25123_CTRL_VS_IL4_STIM_PPARG_KO_MACROPHAGE_UP.html" TargetMode="External"/><Relationship Id="rId2002" Type="http://schemas.openxmlformats.org/officeDocument/2006/relationships/hyperlink" Target="http://www.broadinstitute.org/gsea/msigdb/cards/GSE24972_WT_VS_IRF8_KO_SPLEEN_FOLLICULAR_BCELL_DN.html" TargetMode="External"/><Relationship Id="rId2003" Type="http://schemas.openxmlformats.org/officeDocument/2006/relationships/hyperlink" Target="http://www.broadinstitute.org/gsea/msigdb/cards/GSE40274_GATA1_VS_FOXP3_AND_GATA1_TRANSDUCED_ACTIVATED_CD4_TCELL_DN.html" TargetMode="External"/><Relationship Id="rId2004" Type="http://schemas.openxmlformats.org/officeDocument/2006/relationships/hyperlink" Target="http://www.broadinstitute.org/gsea/msigdb/cards/GSE40666_NAIVE_VS_EFFECTOR_CD8_TCELL_WITH_IFNA_STIM_90MIN_DN.html" TargetMode="External"/><Relationship Id="rId2005" Type="http://schemas.openxmlformats.org/officeDocument/2006/relationships/hyperlink" Target="http://www.broadinstitute.org/gsea/msigdb/cards/GSE20727_CTRL_VS_DNFB_ALLERGEN_TREATED_DC_UP.html" TargetMode="External"/><Relationship Id="rId2006" Type="http://schemas.openxmlformats.org/officeDocument/2006/relationships/hyperlink" Target="http://www.broadinstitute.org/gsea/msigdb/cards/GSE11961_MARGINAL_ZONE_BCELL_VS_PLASMA_CELL_DAY7_DN.html" TargetMode="External"/><Relationship Id="rId2007" Type="http://schemas.openxmlformats.org/officeDocument/2006/relationships/hyperlink" Target="http://www.broadinstitute.org/gsea/msigdb/cards/GSE44649_NAIVE_VS_ACTIVATED_CD8_TCELL_MIR155_KO_DN.html" TargetMode="External"/><Relationship Id="rId2008" Type="http://schemas.openxmlformats.org/officeDocument/2006/relationships/hyperlink" Target="http://www.broadinstitute.org/gsea/msigdb/cards/GSE45739_NRAS_KO_VS_WT_UNSTIM_CD4_TCELL_UP.html" TargetMode="External"/><Relationship Id="rId2009" Type="http://schemas.openxmlformats.org/officeDocument/2006/relationships/hyperlink" Target="http://www.broadinstitute.org/gsea/msigdb/cards/GSE27241_WT_VS_RORGT_KO_TH17_POLARIZED_CD4_TCELL_TREATED_WITH_DIGOXIN_UP.html" TargetMode="External"/><Relationship Id="rId1710" Type="http://schemas.openxmlformats.org/officeDocument/2006/relationships/hyperlink" Target="http://www.broadinstitute.org/gsea/msigdb/cards/GSE17974_0H_VS_24H_IN_VITRO_ACT_CD4_TCELL_DN.html" TargetMode="External"/><Relationship Id="rId1711" Type="http://schemas.openxmlformats.org/officeDocument/2006/relationships/hyperlink" Target="http://www.broadinstitute.org/gsea/msigdb/cards/GSE24634_NAIVE_CD4_TCELL_VS_DAY7_IL4_CONV_TREG_DN.html" TargetMode="External"/><Relationship Id="rId1712" Type="http://schemas.openxmlformats.org/officeDocument/2006/relationships/hyperlink" Target="http://www.broadinstitute.org/gsea/msigdb/cards/GSE3982_CENT_MEMORY_CD4_TCELL_VS_TH2_DN.html" TargetMode="External"/><Relationship Id="rId1713" Type="http://schemas.openxmlformats.org/officeDocument/2006/relationships/hyperlink" Target="http://www.broadinstitute.org/gsea/msigdb/cards/GSE19888_ADENOSINE_A3R_ACT_VS_A3R_ACT_WITH_A3R_INH_PRETREATMENT_IN_MAST_CELL_UP.html" TargetMode="External"/><Relationship Id="rId1320" Type="http://schemas.openxmlformats.org/officeDocument/2006/relationships/hyperlink" Target="http://www.broadinstitute.org/gsea/msigdb/cards/GO_REGULATION_OF_INTRACELLULAR_SIGNAL_TRANSDUCTION.html" TargetMode="External"/><Relationship Id="rId1321" Type="http://schemas.openxmlformats.org/officeDocument/2006/relationships/hyperlink" Target="http://www.broadinstitute.org/gsea/msigdb/cards/GO_PROTEIN_C_TERMINUS_BINDING.html" TargetMode="External"/><Relationship Id="rId1322" Type="http://schemas.openxmlformats.org/officeDocument/2006/relationships/hyperlink" Target="http://www.broadinstitute.org/gsea/msigdb/cards/GO_GROWTH.html" TargetMode="External"/><Relationship Id="rId1323" Type="http://schemas.openxmlformats.org/officeDocument/2006/relationships/hyperlink" Target="http://www.broadinstitute.org/gsea/msigdb/cards/GO_POSITIVE_REGULATION_OF_PROTEOLYSIS.html" TargetMode="External"/><Relationship Id="rId1324" Type="http://schemas.openxmlformats.org/officeDocument/2006/relationships/hyperlink" Target="http://www.broadinstitute.org/gsea/msigdb/cards/GO_REGULATION_OF_PROTEIN_SERINE_THREONINE_KINASE_ACTIVITY.html" TargetMode="External"/><Relationship Id="rId1325" Type="http://schemas.openxmlformats.org/officeDocument/2006/relationships/hyperlink" Target="http://www.broadinstitute.org/gsea/msigdb/cards/GO_MICROTUBULE_PLUS_END.html" TargetMode="External"/><Relationship Id="rId1326" Type="http://schemas.openxmlformats.org/officeDocument/2006/relationships/hyperlink" Target="http://www.broadinstitute.org/gsea/msigdb/cards/GO_NEGATIVE_REGULATION_OF_CELLULAR_CATABOLIC_PROCESS.html" TargetMode="External"/><Relationship Id="rId1327" Type="http://schemas.openxmlformats.org/officeDocument/2006/relationships/hyperlink" Target="http://www.broadinstitute.org/gsea/msigdb/cards/GO_RESPONSE_TO_LIGHT_STIMULUS.html" TargetMode="External"/><Relationship Id="rId1328" Type="http://schemas.openxmlformats.org/officeDocument/2006/relationships/hyperlink" Target="http://www.broadinstitute.org/gsea/msigdb/cards/GO_RESPONSE_TO_CAFFEINE.html" TargetMode="External"/><Relationship Id="rId1329" Type="http://schemas.openxmlformats.org/officeDocument/2006/relationships/hyperlink" Target="http://www.broadinstitute.org/gsea/msigdb/cards/GO_OOCYTE_MATURATION.html" TargetMode="External"/><Relationship Id="rId860" Type="http://schemas.openxmlformats.org/officeDocument/2006/relationships/hyperlink" Target="http://www.broadinstitute.org/gsea/msigdb/cards/MORF_GSPT1.html" TargetMode="External"/><Relationship Id="rId861" Type="http://schemas.openxmlformats.org/officeDocument/2006/relationships/hyperlink" Target="http://www.broadinstitute.org/gsea/msigdb/cards/MODULE_61.html" TargetMode="External"/><Relationship Id="rId470" Type="http://schemas.openxmlformats.org/officeDocument/2006/relationships/hyperlink" Target="http://www.broadinstitute.org/gsea/msigdb/cards/ACOSTA_PROLIFERATION_INDEPENDENT_MYC_TARGETS_UP.html" TargetMode="External"/><Relationship Id="rId471" Type="http://schemas.openxmlformats.org/officeDocument/2006/relationships/hyperlink" Target="http://www.broadinstitute.org/gsea/msigdb/cards/SHETH_LIVER_CANCER_VS_TXNIP_LOSS_PAM1.html" TargetMode="External"/><Relationship Id="rId472" Type="http://schemas.openxmlformats.org/officeDocument/2006/relationships/hyperlink" Target="http://www.broadinstitute.org/gsea/msigdb/cards/BIOCARTA_P53_PATHWAY.html" TargetMode="External"/><Relationship Id="rId473" Type="http://schemas.openxmlformats.org/officeDocument/2006/relationships/hyperlink" Target="http://www.broadinstitute.org/gsea/msigdb/cards/REACTOME_MEIOSIS.html" TargetMode="External"/><Relationship Id="rId474" Type="http://schemas.openxmlformats.org/officeDocument/2006/relationships/hyperlink" Target="http://www.broadinstitute.org/gsea/msigdb/cards/IGLESIAS_E2F_TARGETS_UP.html" TargetMode="External"/><Relationship Id="rId475" Type="http://schemas.openxmlformats.org/officeDocument/2006/relationships/hyperlink" Target="http://www.broadinstitute.org/gsea/msigdb/cards/LEI_MYB_TARGETS.html" TargetMode="External"/><Relationship Id="rId476" Type="http://schemas.openxmlformats.org/officeDocument/2006/relationships/hyperlink" Target="http://www.broadinstitute.org/gsea/msigdb/cards/PID_ATM_PATHWAY.html" TargetMode="External"/><Relationship Id="rId477" Type="http://schemas.openxmlformats.org/officeDocument/2006/relationships/hyperlink" Target="http://www.broadinstitute.org/gsea/msigdb/cards/CAFFAREL_RESPONSE_TO_THC_24HR_5_UP.html" TargetMode="External"/><Relationship Id="rId478" Type="http://schemas.openxmlformats.org/officeDocument/2006/relationships/hyperlink" Target="http://www.broadinstitute.org/gsea/msigdb/cards/REACTOME_MEIOTIC_RECOMBINATION.html" TargetMode="External"/><Relationship Id="rId479" Type="http://schemas.openxmlformats.org/officeDocument/2006/relationships/hyperlink" Target="http://www.broadinstitute.org/gsea/msigdb/cards/DEURIG_T_CELL_PROLYMPHOCYTIC_LEUKEMIA_UP.html" TargetMode="External"/><Relationship Id="rId862" Type="http://schemas.openxmlformats.org/officeDocument/2006/relationships/hyperlink" Target="http://www.broadinstitute.org/gsea/msigdb/cards/MORF_RFC5.html" TargetMode="External"/><Relationship Id="rId863" Type="http://schemas.openxmlformats.org/officeDocument/2006/relationships/hyperlink" Target="http://www.broadinstitute.org/gsea/msigdb/cards/MORF_RFC1.html" TargetMode="External"/><Relationship Id="rId864" Type="http://schemas.openxmlformats.org/officeDocument/2006/relationships/hyperlink" Target="http://www.broadinstitute.org/gsea/msigdb/cards/MORF_BRCA1.html" TargetMode="External"/><Relationship Id="rId865" Type="http://schemas.openxmlformats.org/officeDocument/2006/relationships/hyperlink" Target="http://www.broadinstitute.org/gsea/msigdb/cards/MORF_RAN.html" TargetMode="External"/><Relationship Id="rId866" Type="http://schemas.openxmlformats.org/officeDocument/2006/relationships/hyperlink" Target="http://www.broadinstitute.org/gsea/msigdb/cards/MODULE_278.html" TargetMode="External"/><Relationship Id="rId867" Type="http://schemas.openxmlformats.org/officeDocument/2006/relationships/hyperlink" Target="http://www.broadinstitute.org/gsea/msigdb/cards/GNF2_TDG.html" TargetMode="External"/><Relationship Id="rId868" Type="http://schemas.openxmlformats.org/officeDocument/2006/relationships/hyperlink" Target="http://www.broadinstitute.org/gsea/msigdb/cards/MODULE_90.html" TargetMode="External"/><Relationship Id="rId869" Type="http://schemas.openxmlformats.org/officeDocument/2006/relationships/hyperlink" Target="http://www.broadinstitute.org/gsea/msigdb/cards/MORF_UBE2I.html" TargetMode="External"/><Relationship Id="rId1714" Type="http://schemas.openxmlformats.org/officeDocument/2006/relationships/hyperlink" Target="http://www.broadinstitute.org/gsea/msigdb/cards/GSE43863_TH1_VS_LY6C_LOW_CXCR5NEG_EFFECTOR_CD4_TCELL_UP.html" TargetMode="External"/><Relationship Id="rId1715" Type="http://schemas.openxmlformats.org/officeDocument/2006/relationships/hyperlink" Target="http://www.broadinstitute.org/gsea/msigdb/cards/GSE26030_TH1_VS_TH17_RESTIMULATED_DAY15_POST_POLARIZATION_UP.html" TargetMode="External"/><Relationship Id="rId1716" Type="http://schemas.openxmlformats.org/officeDocument/2006/relationships/hyperlink" Target="http://www.broadinstitute.org/gsea/msigdb/cards/KAECH_DAY8_EFF_VS_DAY15_EFF_CD8_TCELL_UP.html" TargetMode="External"/><Relationship Id="rId1717" Type="http://schemas.openxmlformats.org/officeDocument/2006/relationships/hyperlink" Target="http://www.broadinstitute.org/gsea/msigdb/cards/GSE17186_CD21LOW_VS_CD21HIGH_TRANSITIONAL_BCELL_UP.html" TargetMode="External"/><Relationship Id="rId1718" Type="http://schemas.openxmlformats.org/officeDocument/2006/relationships/hyperlink" Target="http://www.broadinstitute.org/gsea/msigdb/cards/GSE40068_BCL6_POS_VS_NEG_CXCR5_POS_TFH_UP.html" TargetMode="External"/><Relationship Id="rId1719" Type="http://schemas.openxmlformats.org/officeDocument/2006/relationships/hyperlink" Target="http://www.broadinstitute.org/gsea/msigdb/cards/GSE28408_LY6G_POS_VS_NEG_DC_DN.html" TargetMode="External"/><Relationship Id="rId2010" Type="http://schemas.openxmlformats.org/officeDocument/2006/relationships/hyperlink" Target="http://www.broadinstitute.org/gsea/msigdb/cards/GSE12003_MIR223_KO_VS_WT_BM_PROGENITOR_8D_CULTURE_DN.html" TargetMode="External"/><Relationship Id="rId2011" Type="http://schemas.openxmlformats.org/officeDocument/2006/relationships/hyperlink" Target="http://www.broadinstitute.org/gsea/msigdb/cards/GSE45365_WT_VS_IFNAR_KO_CD11B_DC_DN.html" TargetMode="External"/><Relationship Id="rId2012" Type="http://schemas.openxmlformats.org/officeDocument/2006/relationships/hyperlink" Target="http://www.broadinstitute.org/gsea/msigdb/cards/GSE32986_GMCSF_VS_GMCSF_AND_CURDLAN_LOWDOSE_STIM_DC_UP.html" TargetMode="External"/><Relationship Id="rId2013" Type="http://schemas.openxmlformats.org/officeDocument/2006/relationships/hyperlink" Target="http://www.broadinstitute.org/gsea/msigdb/cards/GSE18281_SUBCAPSULAR_CORTICAL_REGION_VS_WHOLE_MEDULLA_THYMUS_UP.html" TargetMode="External"/><Relationship Id="rId2014" Type="http://schemas.openxmlformats.org/officeDocument/2006/relationships/hyperlink" Target="http://www.broadinstitute.org/gsea/msigdb/cards/GSE10239_KLRG1INT_VS_KLRG1HIGH_EFF_CD8_TCELL_DN.html" TargetMode="External"/><Relationship Id="rId2015" Type="http://schemas.openxmlformats.org/officeDocument/2006/relationships/hyperlink" Target="http://www.broadinstitute.org/gsea/msigdb/cards/GSE12845_IGD_POS_BLOOD_VS_NAIVE_TONSIL_BCELL_DN.html" TargetMode="External"/><Relationship Id="rId2016" Type="http://schemas.openxmlformats.org/officeDocument/2006/relationships/hyperlink" Target="http://www.broadinstitute.org/gsea/msigdb/cards/GSE13411_SWITCHED_MEMORY_BCELL_VS_PLASMA_CELL_DN.html" TargetMode="External"/><Relationship Id="rId2017" Type="http://schemas.openxmlformats.org/officeDocument/2006/relationships/hyperlink" Target="http://www.broadinstitute.org/gsea/msigdb/cards/GSE1460_INTRATHYMIC_T_PROGENITOR_VS_THYMIC_STROMAL_CELL_UP.html" TargetMode="External"/><Relationship Id="rId2018" Type="http://schemas.openxmlformats.org/officeDocument/2006/relationships/hyperlink" Target="http://www.broadinstitute.org/gsea/msigdb/cards/GSE1460_NAIVE_CD4_TCELL_CORD_BLOOD_VS_THYMIC_STROMAL_CELL_DN.html" TargetMode="External"/><Relationship Id="rId2019" Type="http://schemas.openxmlformats.org/officeDocument/2006/relationships/hyperlink" Target="http://www.broadinstitute.org/gsea/msigdb/cards/GSE14769_20MIN_VS_360MIN_LPS_BMDM_UP.html" TargetMode="External"/><Relationship Id="rId2400" Type="http://schemas.openxmlformats.org/officeDocument/2006/relationships/hyperlink" Target="http://www.broadinstitute.org/gsea/msigdb/cards/GSE27786_LSK_VS_BCELL_UP.html" TargetMode="External"/><Relationship Id="rId2401" Type="http://schemas.openxmlformats.org/officeDocument/2006/relationships/hyperlink" Target="http://www.broadinstitute.org/gsea/msigdb/cards/GSE27786_LIN_NEG_VS_MONO_MAC_UP.html" TargetMode="External"/><Relationship Id="rId2402" Type="http://schemas.openxmlformats.org/officeDocument/2006/relationships/hyperlink" Target="http://www.broadinstitute.org/gsea/msigdb/cards/GSE27786_CD4_TCELL_VS_NKCELL_DN.html" TargetMode="External"/><Relationship Id="rId2403" Type="http://schemas.openxmlformats.org/officeDocument/2006/relationships/hyperlink" Target="http://www.broadinstitute.org/gsea/msigdb/cards/GSE29617_CTRL_VS_TIV_FLU_VACCINE_PBMC_2008_DN.html" TargetMode="External"/><Relationship Id="rId2404" Type="http://schemas.openxmlformats.org/officeDocument/2006/relationships/hyperlink" Target="http://www.broadinstitute.org/gsea/msigdb/cards/GSE339_CD8POS_VS_CD4CD8DN_DC_IN_CULTURE_DN.html" TargetMode="External"/><Relationship Id="rId2405" Type="http://schemas.openxmlformats.org/officeDocument/2006/relationships/hyperlink" Target="http://www.broadinstitute.org/gsea/msigdb/cards/GSE360_CTRL_VS_B_MALAYI_LOW_DOSE_DC_UP.html" TargetMode="External"/><Relationship Id="rId2406" Type="http://schemas.openxmlformats.org/officeDocument/2006/relationships/hyperlink" Target="http://www.broadinstitute.org/gsea/msigdb/cards/GSE360_CTRL_VS_B_MALAYI_HIGH_DOSE_MAC_DN.html" TargetMode="External"/><Relationship Id="rId2407" Type="http://schemas.openxmlformats.org/officeDocument/2006/relationships/hyperlink" Target="http://www.broadinstitute.org/gsea/msigdb/cards/GSE360_DC_VS_MAC_L_DONOVANI_UP.html" TargetMode="External"/><Relationship Id="rId2408" Type="http://schemas.openxmlformats.org/officeDocument/2006/relationships/hyperlink" Target="http://www.broadinstitute.org/gsea/msigdb/cards/GSE360_DC_VS_MAC_M_TUBERCULOSIS_UP.html" TargetMode="External"/><Relationship Id="rId2409" Type="http://schemas.openxmlformats.org/officeDocument/2006/relationships/hyperlink" Target="http://www.broadinstitute.org/gsea/msigdb/cards/GSE360_HIGH_VS_LOW_DOSE_B_MALAYI_DC_DN.html" TargetMode="External"/><Relationship Id="rId1720" Type="http://schemas.openxmlformats.org/officeDocument/2006/relationships/hyperlink" Target="http://www.broadinstitute.org/gsea/msigdb/cards/GSE32986_UNSTIM_VS_CURDLAN_HIGHDOSE_STIM_DC_UP.html" TargetMode="External"/><Relationship Id="rId1721" Type="http://schemas.openxmlformats.org/officeDocument/2006/relationships/hyperlink" Target="http://www.broadinstitute.org/gsea/msigdb/cards/GSE9650_EFFECTOR_VS_MEMORY_CD8_TCELL_UP.html" TargetMode="External"/><Relationship Id="rId1722" Type="http://schemas.openxmlformats.org/officeDocument/2006/relationships/hyperlink" Target="http://www.broadinstitute.org/gsea/msigdb/cards/GSE12845_IGD_NEG_BLOOD_VS_PRE_GC_TONSIL_BCELL_DN.html" TargetMode="External"/><Relationship Id="rId1723" Type="http://schemas.openxmlformats.org/officeDocument/2006/relationships/hyperlink" Target="http://www.broadinstitute.org/gsea/msigdb/cards/GSE20715_0H_VS_48H_OZONE_LUNG_DN.html" TargetMode="External"/><Relationship Id="rId1330" Type="http://schemas.openxmlformats.org/officeDocument/2006/relationships/hyperlink" Target="http://www.broadinstitute.org/gsea/msigdb/cards/GO_PYRIMIDINE_DEOXYRIBONUCLEOTIDE_METABOLIC_PROCESS.html" TargetMode="External"/><Relationship Id="rId1331" Type="http://schemas.openxmlformats.org/officeDocument/2006/relationships/hyperlink" Target="http://www.broadinstitute.org/gsea/msigdb/cards/GO_BLASTOCYST_DEVELOPMENT.html" TargetMode="External"/><Relationship Id="rId1332" Type="http://schemas.openxmlformats.org/officeDocument/2006/relationships/hyperlink" Target="http://www.broadinstitute.org/gsea/msigdb/cards/GO_PROTEIN_POLYUBIQUITINATION.html" TargetMode="External"/><Relationship Id="rId1333" Type="http://schemas.openxmlformats.org/officeDocument/2006/relationships/hyperlink" Target="http://www.broadinstitute.org/gsea/msigdb/cards/GO_PRODUCTION_OF_MOLECULAR_MEDIATOR_OF_IMMUNE_RESPONSE.html" TargetMode="External"/><Relationship Id="rId1334" Type="http://schemas.openxmlformats.org/officeDocument/2006/relationships/hyperlink" Target="http://www.broadinstitute.org/gsea/msigdb/cards/GO_PYRIMIDINE_NUCLEOSIDE_TRIPHOSPHATE_BIOSYNTHETIC_PROCESS.html" TargetMode="External"/><Relationship Id="rId1335" Type="http://schemas.openxmlformats.org/officeDocument/2006/relationships/hyperlink" Target="http://www.broadinstitute.org/gsea/msigdb/cards/GO_REGULATION_OF_SPINDLE_ORGANIZATION.html" TargetMode="External"/><Relationship Id="rId1336" Type="http://schemas.openxmlformats.org/officeDocument/2006/relationships/hyperlink" Target="http://www.broadinstitute.org/gsea/msigdb/cards/GO_DNA_DOUBLE_STRAND_BREAK_PROCESSING.html" TargetMode="External"/><Relationship Id="rId1337" Type="http://schemas.openxmlformats.org/officeDocument/2006/relationships/hyperlink" Target="http://www.broadinstitute.org/gsea/msigdb/cards/GO_NEGATIVE_REGULATION_OF_BINDING.html" TargetMode="External"/><Relationship Id="rId1338" Type="http://schemas.openxmlformats.org/officeDocument/2006/relationships/hyperlink" Target="http://www.broadinstitute.org/gsea/msigdb/cards/GO_RESPONSE_TO_STEROID_HORMONE.html" TargetMode="External"/><Relationship Id="rId1339" Type="http://schemas.openxmlformats.org/officeDocument/2006/relationships/hyperlink" Target="http://www.broadinstitute.org/gsea/msigdb/cards/GO_INTERSPECIES_INTERACTION_BETWEEN_ORGANISMS.html" TargetMode="External"/><Relationship Id="rId870" Type="http://schemas.openxmlformats.org/officeDocument/2006/relationships/hyperlink" Target="http://www.broadinstitute.org/gsea/msigdb/cards/MORF_PPP5C.html" TargetMode="External"/><Relationship Id="rId871" Type="http://schemas.openxmlformats.org/officeDocument/2006/relationships/hyperlink" Target="http://www.broadinstitute.org/gsea/msigdb/cards/GCM_RAD21.html" TargetMode="External"/><Relationship Id="rId480" Type="http://schemas.openxmlformats.org/officeDocument/2006/relationships/hyperlink" Target="http://www.broadinstitute.org/gsea/msigdb/cards/YAO_TEMPORAL_RESPONSE_TO_PROGESTERONE_CLUSTER_15.html" TargetMode="External"/><Relationship Id="rId481" Type="http://schemas.openxmlformats.org/officeDocument/2006/relationships/hyperlink" Target="http://www.broadinstitute.org/gsea/msigdb/cards/REACTOME_LOSS_OF_NLP_FROM_MITOTIC_CENTROSOMES.html" TargetMode="External"/><Relationship Id="rId482" Type="http://schemas.openxmlformats.org/officeDocument/2006/relationships/hyperlink" Target="http://www.broadinstitute.org/gsea/msigdb/cards/REACTOME_HOMOLOGOUS_RECOMBINATION_REPAIR_OF_REPLICATION_INDEPENDENT_DOUBLE_STRAND_BREAKS.html" TargetMode="External"/><Relationship Id="rId483" Type="http://schemas.openxmlformats.org/officeDocument/2006/relationships/hyperlink" Target="http://www.broadinstitute.org/gsea/msigdb/cards/DORMOY_ELAVL1_TARGETS.html" TargetMode="External"/><Relationship Id="rId484" Type="http://schemas.openxmlformats.org/officeDocument/2006/relationships/hyperlink" Target="http://www.broadinstitute.org/gsea/msigdb/cards/PROVENZANI_METASTASIS_UP.html" TargetMode="External"/><Relationship Id="rId485" Type="http://schemas.openxmlformats.org/officeDocument/2006/relationships/hyperlink" Target="http://www.broadinstitute.org/gsea/msigdb/cards/SHIN_B_CELL_LYMPHOMA_CLUSTER_8.html" TargetMode="External"/><Relationship Id="rId486" Type="http://schemas.openxmlformats.org/officeDocument/2006/relationships/hyperlink" Target="http://www.broadinstitute.org/gsea/msigdb/cards/PODAR_RESPONSE_TO_ADAPHOSTIN_DN.html" TargetMode="External"/><Relationship Id="rId487" Type="http://schemas.openxmlformats.org/officeDocument/2006/relationships/hyperlink" Target="http://www.broadinstitute.org/gsea/msigdb/cards/PIONTEK_PKD1_TARGETS_DN.html" TargetMode="External"/><Relationship Id="rId488" Type="http://schemas.openxmlformats.org/officeDocument/2006/relationships/hyperlink" Target="http://www.broadinstitute.org/gsea/msigdb/cards/HOLLMANN_APOPTOSIS_VIA_CD40_UP.html" TargetMode="External"/><Relationship Id="rId489" Type="http://schemas.openxmlformats.org/officeDocument/2006/relationships/hyperlink" Target="http://www.broadinstitute.org/gsea/msigdb/cards/REACTOME_HIV_LIFE_CYCLE.html" TargetMode="External"/><Relationship Id="rId872" Type="http://schemas.openxmlformats.org/officeDocument/2006/relationships/hyperlink" Target="http://www.broadinstitute.org/gsea/msigdb/cards/MODULE_32.html" TargetMode="External"/><Relationship Id="rId873" Type="http://schemas.openxmlformats.org/officeDocument/2006/relationships/hyperlink" Target="http://www.broadinstitute.org/gsea/msigdb/cards/MORF_PPP2CA.html" TargetMode="External"/><Relationship Id="rId874" Type="http://schemas.openxmlformats.org/officeDocument/2006/relationships/hyperlink" Target="http://www.broadinstitute.org/gsea/msigdb/cards/MODULE_123.html" TargetMode="External"/><Relationship Id="rId875" Type="http://schemas.openxmlformats.org/officeDocument/2006/relationships/hyperlink" Target="http://www.broadinstitute.org/gsea/msigdb/cards/MORF_CTBP1.html" TargetMode="External"/><Relationship Id="rId876" Type="http://schemas.openxmlformats.org/officeDocument/2006/relationships/hyperlink" Target="http://www.broadinstitute.org/gsea/msigdb/cards/GCM_CBFB.html" TargetMode="External"/><Relationship Id="rId877" Type="http://schemas.openxmlformats.org/officeDocument/2006/relationships/hyperlink" Target="http://www.broadinstitute.org/gsea/msigdb/cards/MORF_CUL1.html" TargetMode="External"/><Relationship Id="rId878" Type="http://schemas.openxmlformats.org/officeDocument/2006/relationships/hyperlink" Target="http://www.broadinstitute.org/gsea/msigdb/cards/MORF_PRKAG1.html" TargetMode="External"/><Relationship Id="rId879" Type="http://schemas.openxmlformats.org/officeDocument/2006/relationships/hyperlink" Target="http://www.broadinstitute.org/gsea/msigdb/cards/GNF2_KPNB1.html" TargetMode="External"/><Relationship Id="rId1724" Type="http://schemas.openxmlformats.org/officeDocument/2006/relationships/hyperlink" Target="http://www.broadinstitute.org/gsea/msigdb/cards/GSE22886_NAIVE_CD4_TCELL_VS_48H_ACT_TH1_DN.html" TargetMode="External"/><Relationship Id="rId1725" Type="http://schemas.openxmlformats.org/officeDocument/2006/relationships/hyperlink" Target="http://www.broadinstitute.org/gsea/msigdb/cards/GSE5589_IL6_KO_VS_IL10_KO_LPS_AND_IL6_STIM_MACROPHAGE_45MIN_UP.html" TargetMode="External"/><Relationship Id="rId1726" Type="http://schemas.openxmlformats.org/officeDocument/2006/relationships/hyperlink" Target="http://www.broadinstitute.org/gsea/msigdb/cards/GSE16450_IMMATURE_VS_MATURE_NEURON_CELL_LINE_DN.html" TargetMode="External"/><Relationship Id="rId1727" Type="http://schemas.openxmlformats.org/officeDocument/2006/relationships/hyperlink" Target="http://www.broadinstitute.org/gsea/msigdb/cards/GSE16451_CTRL_VS_WEST_EQUINE_ENC_VIRUS_IMMATURE_NEURON_CELL_LINE_DN.html" TargetMode="External"/><Relationship Id="rId1728" Type="http://schemas.openxmlformats.org/officeDocument/2006/relationships/hyperlink" Target="http://www.broadinstitute.org/gsea/msigdb/cards/GSE11961_UNSTIM_VS_ANTI_IGM_AND_CD40_STIM_6H_FOLLICULAR_BCELL_UP.html" TargetMode="External"/><Relationship Id="rId1729" Type="http://schemas.openxmlformats.org/officeDocument/2006/relationships/hyperlink" Target="http://www.broadinstitute.org/gsea/msigdb/cards/GSE6259_33D1_POS_DC_VS_CD4_TCELL_UP.html" TargetMode="External"/><Relationship Id="rId2020" Type="http://schemas.openxmlformats.org/officeDocument/2006/relationships/hyperlink" Target="http://www.broadinstitute.org/gsea/msigdb/cards/GSE15930_STIM_VS_STIM_AND_IFNAB_48H_CD8_T_CELL_UP.html" TargetMode="External"/><Relationship Id="rId2021" Type="http://schemas.openxmlformats.org/officeDocument/2006/relationships/hyperlink" Target="http://www.broadinstitute.org/gsea/msigdb/cards/GSE24142_ADULT_VS_FETAL_EARLY_THYMIC_PROGENITOR_DN.html" TargetMode="External"/><Relationship Id="rId2022" Type="http://schemas.openxmlformats.org/officeDocument/2006/relationships/hyperlink" Target="http://www.broadinstitute.org/gsea/msigdb/cards/GSE27786_CD8_TCELL_VS_MONO_MAC_DN.html" TargetMode="External"/><Relationship Id="rId2023" Type="http://schemas.openxmlformats.org/officeDocument/2006/relationships/hyperlink" Target="http://www.broadinstitute.org/gsea/msigdb/cards/GSE339_EX_VIVO_VS_IN_CULTURE_CD4POS_DC_UP.html" TargetMode="External"/><Relationship Id="rId2024" Type="http://schemas.openxmlformats.org/officeDocument/2006/relationships/hyperlink" Target="http://www.broadinstitute.org/gsea/msigdb/cards/GSE3982_BASOPHIL_VS_TH2_DN.html" TargetMode="External"/><Relationship Id="rId2025" Type="http://schemas.openxmlformats.org/officeDocument/2006/relationships/hyperlink" Target="http://www.broadinstitute.org/gsea/msigdb/cards/GSE39820_CTRL_VS_TGFBETA3_IL6_CD4_TCELL_UP.html" TargetMode="External"/><Relationship Id="rId2026" Type="http://schemas.openxmlformats.org/officeDocument/2006/relationships/hyperlink" Target="http://www.broadinstitute.org/gsea/msigdb/cards/GSE7852_THYMUS_VS_FAT_TCONV_UP.html" TargetMode="External"/><Relationship Id="rId2027" Type="http://schemas.openxmlformats.org/officeDocument/2006/relationships/hyperlink" Target="http://www.broadinstitute.org/gsea/msigdb/cards/GSE9037_WT_VS_IRAK4_KO_BMDM_DN.html" TargetMode="External"/><Relationship Id="rId2028" Type="http://schemas.openxmlformats.org/officeDocument/2006/relationships/hyperlink" Target="http://www.broadinstitute.org/gsea/msigdb/cards/GSE9037_WT_VS_IRAK4_KO_LPS_4H_STIM_BMDM_DN.html" TargetMode="External"/><Relationship Id="rId2029" Type="http://schemas.openxmlformats.org/officeDocument/2006/relationships/hyperlink" Target="http://www.broadinstitute.org/gsea/msigdb/cards/GSE3720_VD1_VS_VD2_GAMMADELTA_TCELL_DN.html" TargetMode="External"/><Relationship Id="rId2410" Type="http://schemas.openxmlformats.org/officeDocument/2006/relationships/hyperlink" Target="http://www.broadinstitute.org/gsea/msigdb/cards/GSE360_HIGH_VS_LOW_DOSE_B_MALAYI_MAC_UP.html" TargetMode="External"/><Relationship Id="rId2411" Type="http://schemas.openxmlformats.org/officeDocument/2006/relationships/hyperlink" Target="http://www.broadinstitute.org/gsea/msigdb/cards/GSE3982_MAC_VS_NEUTROPHIL_LPS_STIM_UP.html" TargetMode="External"/><Relationship Id="rId2412" Type="http://schemas.openxmlformats.org/officeDocument/2006/relationships/hyperlink" Target="http://www.broadinstitute.org/gsea/msigdb/cards/GSE3982_EOSINOPHIL_VS_MAST_CELL_DN.html" TargetMode="External"/><Relationship Id="rId2413" Type="http://schemas.openxmlformats.org/officeDocument/2006/relationships/hyperlink" Target="http://www.broadinstitute.org/gsea/msigdb/cards/GSE3982_EOSINOPHIL_VS_MAC_DN.html" TargetMode="External"/><Relationship Id="rId2414" Type="http://schemas.openxmlformats.org/officeDocument/2006/relationships/hyperlink" Target="http://www.broadinstitute.org/gsea/msigdb/cards/GSE3982_NEUTROPHIL_VS_BASOPHIL_DN.html" TargetMode="External"/><Relationship Id="rId2415" Type="http://schemas.openxmlformats.org/officeDocument/2006/relationships/hyperlink" Target="http://www.broadinstitute.org/gsea/msigdb/cards/GSE39820_CTRL_VS_TGFBETA1_IL6_IL23A_CD4_TCELL_UP.html" TargetMode="External"/><Relationship Id="rId2416" Type="http://schemas.openxmlformats.org/officeDocument/2006/relationships/hyperlink" Target="http://www.broadinstitute.org/gsea/msigdb/cards/GSE39820_TGFBETA1_VS_TGFBETA3_IN_IL6_IL23A_TREATED_CD4_TCELL_UP.html" TargetMode="External"/><Relationship Id="rId2417" Type="http://schemas.openxmlformats.org/officeDocument/2006/relationships/hyperlink" Target="http://www.broadinstitute.org/gsea/msigdb/cards/GSE7460_CTRL_VS_TGFB_TREATED_ACT_TCONV_UP.html" TargetMode="External"/><Relationship Id="rId2418" Type="http://schemas.openxmlformats.org/officeDocument/2006/relationships/hyperlink" Target="http://www.broadinstitute.org/gsea/msigdb/cards/GSE7460_CTRL_VS_TGFB_TREATED_ACT_FOXP3_HET_TCONV_UP.html" TargetMode="External"/><Relationship Id="rId2419" Type="http://schemas.openxmlformats.org/officeDocument/2006/relationships/hyperlink" Target="http://www.broadinstitute.org/gsea/msigdb/cards/GSE8384_CTRL_VS_B_ABORTUS_4H_MAC_CELL_LINE_UP.html" TargetMode="External"/><Relationship Id="rId1730" Type="http://schemas.openxmlformats.org/officeDocument/2006/relationships/hyperlink" Target="http://www.broadinstitute.org/gsea/msigdb/cards/GSE7460_CD8_TCELL_VS_TREG_ACT_DN.html" TargetMode="External"/><Relationship Id="rId1731" Type="http://schemas.openxmlformats.org/officeDocument/2006/relationships/hyperlink" Target="http://www.broadinstitute.org/gsea/msigdb/cards/GSE5589_WT_VS_IL10_KO_LPS_STIM_MACROPHAGE_45MIN_UP.html" TargetMode="External"/><Relationship Id="rId1732" Type="http://schemas.openxmlformats.org/officeDocument/2006/relationships/hyperlink" Target="http://www.broadinstitute.org/gsea/msigdb/cards/GSE10240_CTRL_VS_IL17_AND_IL22_STIM_PRIMARY_BRONCHIAL_EPITHELIAL_CELLS_UP.html" TargetMode="External"/><Relationship Id="rId1733" Type="http://schemas.openxmlformats.org/officeDocument/2006/relationships/hyperlink" Target="http://www.broadinstitute.org/gsea/msigdb/cards/GSE18203_CTRL_VS_INTRATUMORAL_CPG_INJ_MC38_TUMOR_DN.html" TargetMode="External"/><Relationship Id="rId1340" Type="http://schemas.openxmlformats.org/officeDocument/2006/relationships/hyperlink" Target="http://www.broadinstitute.org/gsea/msigdb/cards/GO_POSITIVE_REGULATION_OF_CATABOLIC_PROCESS.html" TargetMode="External"/><Relationship Id="rId1341" Type="http://schemas.openxmlformats.org/officeDocument/2006/relationships/hyperlink" Target="http://www.broadinstitute.org/gsea/msigdb/cards/GO_GENE_SILENCING.html" TargetMode="External"/><Relationship Id="rId1342" Type="http://schemas.openxmlformats.org/officeDocument/2006/relationships/hyperlink" Target="http://www.broadinstitute.org/gsea/msigdb/cards/GO_REGULATION_OF_CHROMATIN_SILENCING.html" TargetMode="External"/><Relationship Id="rId1343" Type="http://schemas.openxmlformats.org/officeDocument/2006/relationships/hyperlink" Target="http://www.broadinstitute.org/gsea/msigdb/cards/GO_POSITIVE_REGULATION_OF_CELLULAR_COMPONENT_ORGANIZATION.html" TargetMode="External"/><Relationship Id="rId1344" Type="http://schemas.openxmlformats.org/officeDocument/2006/relationships/hyperlink" Target="http://www.broadinstitute.org/gsea/msigdb/cards/GO_PYRIMIDINE_CONTAINING_COMPOUND_BIOSYNTHETIC_PROCESS.html" TargetMode="External"/><Relationship Id="rId1345" Type="http://schemas.openxmlformats.org/officeDocument/2006/relationships/hyperlink" Target="http://www.broadinstitute.org/gsea/msigdb/cards/GO_NEURAL_PRECURSOR_CELL_PROLIFERATION.html" TargetMode="External"/><Relationship Id="rId1346" Type="http://schemas.openxmlformats.org/officeDocument/2006/relationships/hyperlink" Target="http://www.broadinstitute.org/gsea/msigdb/cards/GO_ANAPHASE_PROMOTING_COMPLEX.html" TargetMode="External"/><Relationship Id="rId1347" Type="http://schemas.openxmlformats.org/officeDocument/2006/relationships/hyperlink" Target="http://www.broadinstitute.org/gsea/msigdb/cards/GO_CATALYTIC_COMPLEX.html" TargetMode="External"/><Relationship Id="rId1348" Type="http://schemas.openxmlformats.org/officeDocument/2006/relationships/hyperlink" Target="http://www.broadinstitute.org/gsea/msigdb/cards/GO_INTERCELLULAR_BRIDGE.html" TargetMode="External"/><Relationship Id="rId1349" Type="http://schemas.openxmlformats.org/officeDocument/2006/relationships/hyperlink" Target="http://www.broadinstitute.org/gsea/msigdb/cards/GO_CELLULAR_MACROMOLECULE_LOCALIZATION.html" TargetMode="External"/><Relationship Id="rId880" Type="http://schemas.openxmlformats.org/officeDocument/2006/relationships/hyperlink" Target="http://www.broadinstitute.org/gsea/msigdb/cards/MODULE_212.html" TargetMode="External"/><Relationship Id="rId881" Type="http://schemas.openxmlformats.org/officeDocument/2006/relationships/hyperlink" Target="http://www.broadinstitute.org/gsea/msigdb/cards/GCM_PFN1.html" TargetMode="External"/><Relationship Id="rId490" Type="http://schemas.openxmlformats.org/officeDocument/2006/relationships/hyperlink" Target="http://www.broadinstitute.org/gsea/msigdb/cards/GRYDER_PAX3FOXO1_TOP_ENHANCERS.html" TargetMode="External"/><Relationship Id="rId491" Type="http://schemas.openxmlformats.org/officeDocument/2006/relationships/hyperlink" Target="http://www.broadinstitute.org/gsea/msigdb/cards/PENG_RAPAMYCIN_RESPONSE_DN.html" TargetMode="External"/><Relationship Id="rId492" Type="http://schemas.openxmlformats.org/officeDocument/2006/relationships/hyperlink" Target="http://www.broadinstitute.org/gsea/msigdb/cards/PENG_RAPAMYCIN_RESPONSE_UP.html" TargetMode="External"/><Relationship Id="rId493" Type="http://schemas.openxmlformats.org/officeDocument/2006/relationships/hyperlink" Target="http://www.broadinstitute.org/gsea/msigdb/cards/REACTOME_SYNTHESIS_AND_INTERCONVERSION_OF_NUCLEOTIDE_DI_AND_TRIPHOSPHATES.html" TargetMode="External"/><Relationship Id="rId494" Type="http://schemas.openxmlformats.org/officeDocument/2006/relationships/hyperlink" Target="http://www.broadinstitute.org/gsea/msigdb/cards/WAKABAYASHI_ADIPOGENESIS_PPARG_RXRA_BOUND_8D.html" TargetMode="External"/><Relationship Id="rId495" Type="http://schemas.openxmlformats.org/officeDocument/2006/relationships/hyperlink" Target="http://www.broadinstitute.org/gsea/msigdb/cards/OHASHI_AURKA_TARGETS.html" TargetMode="External"/><Relationship Id="rId496" Type="http://schemas.openxmlformats.org/officeDocument/2006/relationships/hyperlink" Target="http://www.broadinstitute.org/gsea/msigdb/cards/SMID_BREAST_CANCER_RELAPSE_IN_BRAIN_UP.html" TargetMode="External"/><Relationship Id="rId497" Type="http://schemas.openxmlformats.org/officeDocument/2006/relationships/hyperlink" Target="http://www.broadinstitute.org/gsea/msigdb/cards/MATZUK_MEIOTIC_AND_DNA_REPAIR.html" TargetMode="External"/><Relationship Id="rId498" Type="http://schemas.openxmlformats.org/officeDocument/2006/relationships/hyperlink" Target="http://www.broadinstitute.org/gsea/msigdb/cards/YEGNASUBRAMANIAN_PROSTATE_CANCER.html" TargetMode="External"/><Relationship Id="rId499" Type="http://schemas.openxmlformats.org/officeDocument/2006/relationships/hyperlink" Target="http://www.broadinstitute.org/gsea/msigdb/cards/BERTUCCI_MEDULLARY_VS_DUCTAL_BREAST_CANCER_UP.html" TargetMode="External"/><Relationship Id="rId882" Type="http://schemas.openxmlformats.org/officeDocument/2006/relationships/hyperlink" Target="http://www.broadinstitute.org/gsea/msigdb/cards/MODULE_457.html" TargetMode="External"/><Relationship Id="rId883" Type="http://schemas.openxmlformats.org/officeDocument/2006/relationships/hyperlink" Target="http://www.broadinstitute.org/gsea/msigdb/cards/MODULE_421.html" TargetMode="External"/><Relationship Id="rId884" Type="http://schemas.openxmlformats.org/officeDocument/2006/relationships/hyperlink" Target="http://www.broadinstitute.org/gsea/msigdb/cards/MODULE_325.html" TargetMode="External"/><Relationship Id="rId885" Type="http://schemas.openxmlformats.org/officeDocument/2006/relationships/hyperlink" Target="http://www.broadinstitute.org/gsea/msigdb/cards/MORF_PRDX3.html" TargetMode="External"/><Relationship Id="rId886" Type="http://schemas.openxmlformats.org/officeDocument/2006/relationships/hyperlink" Target="http://www.broadinstitute.org/gsea/msigdb/cards/MORF_SKP1A.html" TargetMode="External"/><Relationship Id="rId887" Type="http://schemas.openxmlformats.org/officeDocument/2006/relationships/hyperlink" Target="http://www.broadinstitute.org/gsea/msigdb/cards/MORF_PHB.html" TargetMode="External"/><Relationship Id="rId888" Type="http://schemas.openxmlformats.org/officeDocument/2006/relationships/hyperlink" Target="http://www.broadinstitute.org/gsea/msigdb/cards/GCM_PPP1CC.html" TargetMode="External"/><Relationship Id="rId889" Type="http://schemas.openxmlformats.org/officeDocument/2006/relationships/hyperlink" Target="http://www.broadinstitute.org/gsea/msigdb/cards/GCM_ACTG1.html" TargetMode="External"/><Relationship Id="rId1734" Type="http://schemas.openxmlformats.org/officeDocument/2006/relationships/hyperlink" Target="http://www.broadinstitute.org/gsea/msigdb/cards/GSE17301_ACD3_ACD28_VS_ACD3_ACD28_AND_IFNA2_STIM_CD8_TCELL_UP.html" TargetMode="External"/><Relationship Id="rId1735" Type="http://schemas.openxmlformats.org/officeDocument/2006/relationships/hyperlink" Target="http://www.broadinstitute.org/gsea/msigdb/cards/GSE33424_CD161_HIGH_VS_NEG_CD8_TCELL_DN.html" TargetMode="External"/><Relationship Id="rId1736" Type="http://schemas.openxmlformats.org/officeDocument/2006/relationships/hyperlink" Target="http://www.broadinstitute.org/gsea/msigdb/cards/GSE32986_UNSTIM_VS_GMCSF_AND_CURDLAN_LOWDOSE_STIM_DC_UP.html" TargetMode="External"/><Relationship Id="rId1737" Type="http://schemas.openxmlformats.org/officeDocument/2006/relationships/hyperlink" Target="http://www.broadinstitute.org/gsea/msigdb/cards/GSE37534_UNTREATED_VS_GW1929_TREATED_CD4_TCELL_PPARG1_AND_FOXP3_TRASDUCED_DN.html" TargetMode="External"/><Relationship Id="rId1738" Type="http://schemas.openxmlformats.org/officeDocument/2006/relationships/hyperlink" Target="http://www.broadinstitute.org/gsea/msigdb/cards/GSE6259_FLT3L_INDUCED_DEC205_POS_DC_VS_BCELL_DN.html" TargetMode="External"/><Relationship Id="rId1739" Type="http://schemas.openxmlformats.org/officeDocument/2006/relationships/hyperlink" Target="http://www.broadinstitute.org/gsea/msigdb/cards/GSE37532_WT_VS_PPARG_KO_LN_TCONV_DN.html" TargetMode="External"/><Relationship Id="rId2030" Type="http://schemas.openxmlformats.org/officeDocument/2006/relationships/hyperlink" Target="http://www.broadinstitute.org/gsea/msigdb/cards/GSE5589_LPS_VS_LPS_AND_IL10_STIM_IL6_KO_MACROPHAGE_45MIN_DN.html" TargetMode="External"/><Relationship Id="rId2031" Type="http://schemas.openxmlformats.org/officeDocument/2006/relationships/hyperlink" Target="http://www.broadinstitute.org/gsea/msigdb/cards/GSE15330_MEGAKARYOCYTE_ERYTHROID_PROGENITOR_VS_PRO_BCELL_DN.html" TargetMode="External"/><Relationship Id="rId2032" Type="http://schemas.openxmlformats.org/officeDocument/2006/relationships/hyperlink" Target="http://www.broadinstitute.org/gsea/msigdb/cards/GSE21927_BALBC_VS_C57BL6_MONOCYTE_TUMOR_UP.html" TargetMode="External"/><Relationship Id="rId2033" Type="http://schemas.openxmlformats.org/officeDocument/2006/relationships/hyperlink" Target="http://www.broadinstitute.org/gsea/msigdb/cards/GSE22033_WT_VS_PPARG_KO_MEF_DN.html" TargetMode="External"/><Relationship Id="rId2034" Type="http://schemas.openxmlformats.org/officeDocument/2006/relationships/hyperlink" Target="http://www.broadinstitute.org/gsea/msigdb/cards/GSE20500_CTRL_VS_RARA_ANTAGONIST_TREATED_CD4_TCELL_DN.html" TargetMode="External"/><Relationship Id="rId2035" Type="http://schemas.openxmlformats.org/officeDocument/2006/relationships/hyperlink" Target="http://www.broadinstitute.org/gsea/msigdb/cards/GSE22103_LPS_VS_GMCSF_AND_IFNG_STIM_NEUTROPHIL_UP.html" TargetMode="External"/><Relationship Id="rId2036" Type="http://schemas.openxmlformats.org/officeDocument/2006/relationships/hyperlink" Target="http://www.broadinstitute.org/gsea/msigdb/cards/GSE27670_CTRL_VS_LMP1_TRANSDUCED_GC_BCELL_UP.html" TargetMode="External"/><Relationship Id="rId2037" Type="http://schemas.openxmlformats.org/officeDocument/2006/relationships/hyperlink" Target="http://www.broadinstitute.org/gsea/msigdb/cards/GSE33292_DN3_THYMOCYTE_VS_TCELL_LYMPHOMA_FROM_TCF1_KO_DN.html" TargetMode="External"/><Relationship Id="rId2038" Type="http://schemas.openxmlformats.org/officeDocument/2006/relationships/hyperlink" Target="http://www.broadinstitute.org/gsea/msigdb/cards/GSE37563_WT_VS_CTLA4_KO_CD4_TCELL_D4_POST_IMMUNIZATION_DN.html" TargetMode="External"/><Relationship Id="rId2039" Type="http://schemas.openxmlformats.org/officeDocument/2006/relationships/hyperlink" Target="http://www.broadinstitute.org/gsea/msigdb/cards/GSE29164_CD8_TCELL_VS_CD8_TCELL_AND_IL12_TREATED_MELANOMA_DAY7_DN.html" TargetMode="External"/><Relationship Id="rId2420" Type="http://schemas.openxmlformats.org/officeDocument/2006/relationships/hyperlink" Target="http://www.broadinstitute.org/gsea/msigdb/cards/GSE9006_TYPE_1_VS_TYPE_2_DIABETES_PBMC_AT_DX_UP.html" TargetMode="External"/><Relationship Id="rId2421" Type="http://schemas.openxmlformats.org/officeDocument/2006/relationships/hyperlink" Target="http://www.broadinstitute.org/gsea/msigdb/cards/GSE9037_CTRL_VS_LPS_1H_STIM_IRAK4_KO_BMDM_DN.html" TargetMode="External"/><Relationship Id="rId2422" Type="http://schemas.openxmlformats.org/officeDocument/2006/relationships/hyperlink" Target="http://www.broadinstitute.org/gsea/msigdb/cards/GSE9988_LPS_VS_LOW_LPS_MONOCYTE_DN.html" TargetMode="External"/><Relationship Id="rId2423" Type="http://schemas.openxmlformats.org/officeDocument/2006/relationships/hyperlink" Target="http://www.broadinstitute.org/gsea/msigdb/cards/GSE369_IFNG_KO_VS_WT_LIVER_UP.html" TargetMode="External"/><Relationship Id="rId2424" Type="http://schemas.openxmlformats.org/officeDocument/2006/relationships/hyperlink" Target="http://www.broadinstitute.org/gsea/msigdb/cards/GSE2770_IL12_ACT_VS_ACT_CD4_TCELL_6H_UP.html" TargetMode="External"/><Relationship Id="rId2425" Type="http://schemas.openxmlformats.org/officeDocument/2006/relationships/hyperlink" Target="http://www.broadinstitute.org/gsea/msigdb/cards/GSE2770_IL12_ACT_VS_ACT_CD4_TCELL_6H_DN.html" TargetMode="External"/><Relationship Id="rId2426" Type="http://schemas.openxmlformats.org/officeDocument/2006/relationships/hyperlink" Target="http://www.broadinstitute.org/gsea/msigdb/cards/GSE2770_UNTREATED_VS_IL12_TREATED_ACT_CD4_TCELL_2H_DN.html" TargetMode="External"/><Relationship Id="rId2427" Type="http://schemas.openxmlformats.org/officeDocument/2006/relationships/hyperlink" Target="http://www.broadinstitute.org/gsea/msigdb/cards/GSE2585_THYMIC_MACROPHAGE_VS_MTEC_UP.html" TargetMode="External"/><Relationship Id="rId2428" Type="http://schemas.openxmlformats.org/officeDocument/2006/relationships/hyperlink" Target="http://www.broadinstitute.org/gsea/msigdb/cards/GSE1925_CTRL_VS_IFNG_PRIMED_MACROPHAGE_DN.html" TargetMode="External"/><Relationship Id="rId2429" Type="http://schemas.openxmlformats.org/officeDocument/2006/relationships/hyperlink" Target="http://www.broadinstitute.org/gsea/msigdb/cards/GSE8921_UNSTIM_0H_VS_TLR1_2_STIM_MONOCYTE_6H_UP.html" TargetMode="External"/><Relationship Id="rId1740" Type="http://schemas.openxmlformats.org/officeDocument/2006/relationships/hyperlink" Target="http://www.broadinstitute.org/gsea/msigdb/cards/GSE8921_UNSTIM_0H_VS_TLR1_2_STIM_MONOCYTE_12H_UP.html" TargetMode="External"/><Relationship Id="rId1741" Type="http://schemas.openxmlformats.org/officeDocument/2006/relationships/hyperlink" Target="http://www.broadinstitute.org/gsea/msigdb/cards/GSE17974_CTRL_VS_ACT_IL4_AND_ANTI_IL12_24H_CD4_TCELL_DN.html" TargetMode="External"/><Relationship Id="rId1742" Type="http://schemas.openxmlformats.org/officeDocument/2006/relationships/hyperlink" Target="http://www.broadinstitute.org/gsea/msigdb/cards/GSE29614_DAY3_VS_DAY7_TIV_FLU_VACCINE_PBMC_DN.html" TargetMode="External"/><Relationship Id="rId1743" Type="http://schemas.openxmlformats.org/officeDocument/2006/relationships/hyperlink" Target="http://www.broadinstitute.org/gsea/msigdb/cards/GSE3982_DC_VS_TH2_DN.html" TargetMode="External"/><Relationship Id="rId1350" Type="http://schemas.openxmlformats.org/officeDocument/2006/relationships/hyperlink" Target="http://www.broadinstitute.org/gsea/msigdb/cards/GO_AGING.html" TargetMode="External"/><Relationship Id="rId1351" Type="http://schemas.openxmlformats.org/officeDocument/2006/relationships/hyperlink" Target="http://www.broadinstitute.org/gsea/msigdb/cards/GO_POSITIVE_REGULATION_OF_CELLULAR_PROTEIN_LOCALIZATION.html" TargetMode="External"/><Relationship Id="rId1352" Type="http://schemas.openxmlformats.org/officeDocument/2006/relationships/hyperlink" Target="http://www.broadinstitute.org/gsea/msigdb/cards/GO_NUCLEOBASE_CONTAINING_SMALL_MOLECULE_INTERCONVERSION.html" TargetMode="External"/><Relationship Id="rId1353" Type="http://schemas.openxmlformats.org/officeDocument/2006/relationships/hyperlink" Target="http://www.broadinstitute.org/gsea/msigdb/cards/GO_CELLULAR_RESPONSE_TO_REACTIVE_OXYGEN_SPECIES.html" TargetMode="External"/><Relationship Id="rId1354" Type="http://schemas.openxmlformats.org/officeDocument/2006/relationships/hyperlink" Target="http://www.broadinstitute.org/gsea/msigdb/cards/GO_HYDROLASE_ACTIVITY_HYDROLYZING_N_GLYCOSYL_COMPOUNDS.html" TargetMode="External"/><Relationship Id="rId1355" Type="http://schemas.openxmlformats.org/officeDocument/2006/relationships/hyperlink" Target="http://www.broadinstitute.org/gsea/msigdb/cards/GO_RNA_SPLICING_VIA_TRANSESTERIFICATION_REACTIONS.html" TargetMode="External"/><Relationship Id="rId1356" Type="http://schemas.openxmlformats.org/officeDocument/2006/relationships/hyperlink" Target="http://www.broadinstitute.org/gsea/msigdb/cards/GO_PYRIMIDINE_NUCLEOSIDE_TRIPHOSPHATE_METABOLIC_PROCESS.html" TargetMode="External"/><Relationship Id="rId1357" Type="http://schemas.openxmlformats.org/officeDocument/2006/relationships/hyperlink" Target="http://www.broadinstitute.org/gsea/msigdb/cards/GO_CELLULAR_RESPONSE_TO_OXIDATIVE_STRESS.html" TargetMode="External"/><Relationship Id="rId1358" Type="http://schemas.openxmlformats.org/officeDocument/2006/relationships/hyperlink" Target="http://www.broadinstitute.org/gsea/msigdb/cards/GO_CELL_DEATH.html" TargetMode="External"/><Relationship Id="rId1359" Type="http://schemas.openxmlformats.org/officeDocument/2006/relationships/hyperlink" Target="http://www.broadinstitute.org/gsea/msigdb/cards/GO_PROTEIN_DEPOLYMERIZATION.html" TargetMode="External"/><Relationship Id="rId890" Type="http://schemas.openxmlformats.org/officeDocument/2006/relationships/hyperlink" Target="http://www.broadinstitute.org/gsea/msigdb/cards/MODULE_13.html" TargetMode="External"/><Relationship Id="rId891" Type="http://schemas.openxmlformats.org/officeDocument/2006/relationships/hyperlink" Target="http://www.broadinstitute.org/gsea/msigdb/cards/MORF_MAP2K2.html" TargetMode="External"/><Relationship Id="rId892" Type="http://schemas.openxmlformats.org/officeDocument/2006/relationships/hyperlink" Target="http://www.broadinstitute.org/gsea/msigdb/cards/GCM_DDX5.html" TargetMode="External"/><Relationship Id="rId893" Type="http://schemas.openxmlformats.org/officeDocument/2006/relationships/hyperlink" Target="http://www.broadinstitute.org/gsea/msigdb/cards/MODULE_183.html" TargetMode="External"/><Relationship Id="rId894" Type="http://schemas.openxmlformats.org/officeDocument/2006/relationships/hyperlink" Target="http://www.broadinstitute.org/gsea/msigdb/cards/GCM_HDAC1.html" TargetMode="External"/><Relationship Id="rId895" Type="http://schemas.openxmlformats.org/officeDocument/2006/relationships/hyperlink" Target="http://www.broadinstitute.org/gsea/msigdb/cards/MODULE_203.html" TargetMode="External"/><Relationship Id="rId896" Type="http://schemas.openxmlformats.org/officeDocument/2006/relationships/hyperlink" Target="http://www.broadinstitute.org/gsea/msigdb/cards/MODULE_352.html" TargetMode="External"/><Relationship Id="rId897" Type="http://schemas.openxmlformats.org/officeDocument/2006/relationships/hyperlink" Target="http://www.broadinstitute.org/gsea/msigdb/cards/MODULE_534.html" TargetMode="External"/><Relationship Id="rId898" Type="http://schemas.openxmlformats.org/officeDocument/2006/relationships/hyperlink" Target="http://www.broadinstitute.org/gsea/msigdb/cards/MODULE_102.html" TargetMode="External"/><Relationship Id="rId899" Type="http://schemas.openxmlformats.org/officeDocument/2006/relationships/hyperlink" Target="http://www.broadinstitute.org/gsea/msigdb/cards/GNF2_XRCC5.html" TargetMode="External"/><Relationship Id="rId1744" Type="http://schemas.openxmlformats.org/officeDocument/2006/relationships/hyperlink" Target="http://www.broadinstitute.org/gsea/msigdb/cards/GSE3982_EFF_MEMORY_CD4_TCELL_VS_TH1_DN.html" TargetMode="External"/><Relationship Id="rId1745" Type="http://schemas.openxmlformats.org/officeDocument/2006/relationships/hyperlink" Target="http://www.broadinstitute.org/gsea/msigdb/cards/GSE8685_IL2_STARVED_VS_IL2_ACT_IL2_STARVED_CD4_TCELL_DN.html" TargetMode="External"/><Relationship Id="rId1746" Type="http://schemas.openxmlformats.org/officeDocument/2006/relationships/hyperlink" Target="http://www.broadinstitute.org/gsea/msigdb/cards/GSE21670_UNTREATED_VS_TGFB_IL6_TREATED_STAT3_KO_CD4_TCELL_UP.html" TargetMode="External"/><Relationship Id="rId1747" Type="http://schemas.openxmlformats.org/officeDocument/2006/relationships/hyperlink" Target="http://www.broadinstitute.org/gsea/msigdb/cards/GSE20754_WT_VS_TCF1_KO_MEMORY_CD8_TCELL_DN.html" TargetMode="External"/><Relationship Id="rId1748" Type="http://schemas.openxmlformats.org/officeDocument/2006/relationships/hyperlink" Target="http://www.broadinstitute.org/gsea/msigdb/cards/GSE7768_OVA_ALONE_VS_OVA_WITH_MPL_IMMUNIZED_MOUSE_WHOLE_SPLEEN_6H_UP.html" TargetMode="External"/><Relationship Id="rId1749" Type="http://schemas.openxmlformats.org/officeDocument/2006/relationships/hyperlink" Target="http://www.broadinstitute.org/gsea/msigdb/cards/GSE15330_HSC_VS_LYMPHOID_PRIMED_MULTIPOTENT_PROGENITOR_DN.html" TargetMode="External"/><Relationship Id="rId2040" Type="http://schemas.openxmlformats.org/officeDocument/2006/relationships/hyperlink" Target="http://www.broadinstitute.org/gsea/msigdb/cards/GSE13485_DAY1_VS_DAY7_YF17D_VACCINE_PBMC_DN.html" TargetMode="External"/><Relationship Id="rId2041" Type="http://schemas.openxmlformats.org/officeDocument/2006/relationships/hyperlink" Target="http://www.broadinstitute.org/gsea/msigdb/cards/GSE13485_DAY3_VS_DAY7_YF17D_VACCINE_PBMC_DN.html" TargetMode="External"/><Relationship Id="rId2042" Type="http://schemas.openxmlformats.org/officeDocument/2006/relationships/hyperlink" Target="http://www.broadinstitute.org/gsea/msigdb/cards/GSE14308_TH17_VS_NAIVE_CD4_TCELL_UP.html" TargetMode="External"/><Relationship Id="rId2043" Type="http://schemas.openxmlformats.org/officeDocument/2006/relationships/hyperlink" Target="http://www.broadinstitute.org/gsea/msigdb/cards/GSE17721_CTRL_VS_POLYIC_4H_BMDC_UP.html" TargetMode="External"/><Relationship Id="rId2044" Type="http://schemas.openxmlformats.org/officeDocument/2006/relationships/hyperlink" Target="http://www.broadinstitute.org/gsea/msigdb/cards/GSE17974_CTRL_VS_ACT_IL4_AND_ANTI_IL12_12H_CD4_TCELL_DN.html" TargetMode="External"/><Relationship Id="rId2045" Type="http://schemas.openxmlformats.org/officeDocument/2006/relationships/hyperlink" Target="http://www.broadinstitute.org/gsea/msigdb/cards/GSE19825_NAIVE_VS_DAY3_EFF_CD8_TCELL_DN.html" TargetMode="External"/><Relationship Id="rId2046" Type="http://schemas.openxmlformats.org/officeDocument/2006/relationships/hyperlink" Target="http://www.broadinstitute.org/gsea/msigdb/cards/GSE24081_CONTROLLER_VS_PROGRESSOR_HIV_SPECIFIC_CD8_TCELL_DN.html" TargetMode="External"/><Relationship Id="rId2047" Type="http://schemas.openxmlformats.org/officeDocument/2006/relationships/hyperlink" Target="http://www.broadinstitute.org/gsea/msigdb/cards/GSE24142_EARLY_THYMIC_PROGENITOR_VS_DN2_THYMOCYTE_DN.html" TargetMode="External"/><Relationship Id="rId2048" Type="http://schemas.openxmlformats.org/officeDocument/2006/relationships/hyperlink" Target="http://www.broadinstitute.org/gsea/msigdb/cards/GSE24634_IL4_VS_CTRL_TREATED_NAIVE_CD4_TCELL_DAY10_UP.html" TargetMode="External"/><Relationship Id="rId2049" Type="http://schemas.openxmlformats.org/officeDocument/2006/relationships/hyperlink" Target="http://www.broadinstitute.org/gsea/msigdb/cards/GSE27786_BCELL_VS_MONO_MAC_DN.html" TargetMode="External"/><Relationship Id="rId2430" Type="http://schemas.openxmlformats.org/officeDocument/2006/relationships/hyperlink" Target="http://www.broadinstitute.org/gsea/msigdb/cards/GSE3039_CD4_TCELL_VS_B1_BCELL_UP.html" TargetMode="External"/><Relationship Id="rId2431" Type="http://schemas.openxmlformats.org/officeDocument/2006/relationships/hyperlink" Target="http://www.broadinstitute.org/gsea/msigdb/cards/GSE5542_UNTREATED_VS_IFNA_AND_IFNG_TREATED_EPITHELIAL_CELLS_24H_UP.html" TargetMode="External"/><Relationship Id="rId2432" Type="http://schemas.openxmlformats.org/officeDocument/2006/relationships/hyperlink" Target="http://www.broadinstitute.org/gsea/msigdb/cards/GSE5099_CLASSICAL_M1_VS_ALTERNATIVE_M2_MACROPHAGE_DN.html" TargetMode="External"/><Relationship Id="rId2433" Type="http://schemas.openxmlformats.org/officeDocument/2006/relationships/hyperlink" Target="http://www.broadinstitute.org/gsea/msigdb/cards/GSE5589_UNSTIM_VS_45MIN_LPS_AND_IL10_STIM_MACROPHAGE_DN.html" TargetMode="External"/><Relationship Id="rId2434" Type="http://schemas.openxmlformats.org/officeDocument/2006/relationships/hyperlink" Target="http://www.broadinstitute.org/gsea/msigdb/cards/GSE5589_UNSTIM_VS_180MIN_LPS_AND_IL10_STIM_MACROPHAGE_DN.html" TargetMode="External"/><Relationship Id="rId2435" Type="http://schemas.openxmlformats.org/officeDocument/2006/relationships/hyperlink" Target="http://www.broadinstitute.org/gsea/msigdb/cards/GSE6092_UNSTIM_VS_IFNG_STIM_ENDOTHELIAL_CELL_DN.html" TargetMode="External"/><Relationship Id="rId2436" Type="http://schemas.openxmlformats.org/officeDocument/2006/relationships/hyperlink" Target="http://www.broadinstitute.org/gsea/msigdb/cards/GSE6875_TCONV_VS_TREG_DN.html" TargetMode="External"/><Relationship Id="rId2437" Type="http://schemas.openxmlformats.org/officeDocument/2006/relationships/hyperlink" Target="http://www.broadinstitute.org/gsea/msigdb/cards/GSE8621_LPS_STIM_VS_LPS_PRIMED_AND_LPS_STIM_MACROPHAGE_DN.html" TargetMode="External"/><Relationship Id="rId2438" Type="http://schemas.openxmlformats.org/officeDocument/2006/relationships/hyperlink" Target="http://www.broadinstitute.org/gsea/msigdb/cards/GSE10240_CTRL_VS_IL17_STIM_PRIMARY_BRONCHIAL_EPITHELIAL_CELLS_UP.html" TargetMode="External"/><Relationship Id="rId2439" Type="http://schemas.openxmlformats.org/officeDocument/2006/relationships/hyperlink" Target="http://www.broadinstitute.org/gsea/msigdb/cards/GSE13522_WT_VS_IFNAR_KO_SKING_T_CRUZI_Y_STRAIN_INF_UP.html" TargetMode="External"/><Relationship Id="rId100" Type="http://schemas.openxmlformats.org/officeDocument/2006/relationships/hyperlink" Target="http://www.broadinstitute.org/gsea/msigdb/cards/REN_BOUND_BY_E2F.html" TargetMode="External"/><Relationship Id="rId101" Type="http://schemas.openxmlformats.org/officeDocument/2006/relationships/hyperlink" Target="http://www.broadinstitute.org/gsea/msigdb/cards/WHITFIELD_CELL_CYCLE_G2.html" TargetMode="External"/><Relationship Id="rId102" Type="http://schemas.openxmlformats.org/officeDocument/2006/relationships/hyperlink" Target="http://www.broadinstitute.org/gsea/msigdb/cards/MORI_LARGE_PRE_BII_LYMPHOCYTE_UP.html" TargetMode="External"/><Relationship Id="rId103" Type="http://schemas.openxmlformats.org/officeDocument/2006/relationships/hyperlink" Target="http://www.broadinstitute.org/gsea/msigdb/cards/WEST_ADRENOCORTICAL_TUMOR_UP.html" TargetMode="External"/><Relationship Id="rId104" Type="http://schemas.openxmlformats.org/officeDocument/2006/relationships/hyperlink" Target="http://www.broadinstitute.org/gsea/msigdb/cards/BIDUS_METASTASIS_UP.html" TargetMode="External"/><Relationship Id="rId105" Type="http://schemas.openxmlformats.org/officeDocument/2006/relationships/hyperlink" Target="http://www.broadinstitute.org/gsea/msigdb/cards/AFFAR_YY1_TARGETS_DN.html" TargetMode="External"/><Relationship Id="rId106" Type="http://schemas.openxmlformats.org/officeDocument/2006/relationships/hyperlink" Target="http://www.broadinstitute.org/gsea/msigdb/cards/WHITFIELD_CELL_CYCLE_LITERATURE.html" TargetMode="External"/><Relationship Id="rId107" Type="http://schemas.openxmlformats.org/officeDocument/2006/relationships/hyperlink" Target="http://www.broadinstitute.org/gsea/msigdb/cards/WU_APOPTOSIS_BY_CDKN1A_VIA_TP53.html" TargetMode="External"/><Relationship Id="rId108" Type="http://schemas.openxmlformats.org/officeDocument/2006/relationships/hyperlink" Target="http://www.broadinstitute.org/gsea/msigdb/cards/FURUKAWA_DUSP6_TARGETS_PCI35_DN.html" TargetMode="External"/><Relationship Id="rId109" Type="http://schemas.openxmlformats.org/officeDocument/2006/relationships/hyperlink" Target="http://www.broadinstitute.org/gsea/msigdb/cards/TANG_SENESCENCE_TP53_TARGETS_DN.html" TargetMode="External"/><Relationship Id="rId1750" Type="http://schemas.openxmlformats.org/officeDocument/2006/relationships/hyperlink" Target="http://www.broadinstitute.org/gsea/msigdb/cards/GSE7509_UNSTIM_VS_IFNA_STIM_IMMATURE_DC_UP.html" TargetMode="External"/><Relationship Id="rId1751" Type="http://schemas.openxmlformats.org/officeDocument/2006/relationships/hyperlink" Target="http://www.broadinstitute.org/gsea/msigdb/cards/GSE10239_MEMORY_VS_KLRG1INT_EFF_CD8_TCELL_DN.html" TargetMode="External"/><Relationship Id="rId1752" Type="http://schemas.openxmlformats.org/officeDocument/2006/relationships/hyperlink" Target="http://www.broadinstitute.org/gsea/msigdb/cards/GSE10239_MEMORY_VS_KLRG1HIGH_EFF_CD8_TCELL_DN.html" TargetMode="External"/><Relationship Id="rId1753" Type="http://schemas.openxmlformats.org/officeDocument/2006/relationships/hyperlink" Target="http://www.broadinstitute.org/gsea/msigdb/cards/GSE14350_TREG_VS_TEFF_IN_IL2RB_KO_DN.html" TargetMode="External"/><Relationship Id="rId1360" Type="http://schemas.openxmlformats.org/officeDocument/2006/relationships/hyperlink" Target="http://www.broadinstitute.org/gsea/msigdb/cards/GO_NUCLEAR_EXPORT.html" TargetMode="External"/><Relationship Id="rId1361" Type="http://schemas.openxmlformats.org/officeDocument/2006/relationships/hyperlink" Target="http://www.broadinstitute.org/gsea/msigdb/cards/GO_NUCLEAR_PORE.html" TargetMode="External"/><Relationship Id="rId1362" Type="http://schemas.openxmlformats.org/officeDocument/2006/relationships/hyperlink" Target="http://www.broadinstitute.org/gsea/msigdb/cards/GO_NUCLEOSIDE_PHOSPHATE_BIOSYNTHETIC_PROCESS.html" TargetMode="External"/><Relationship Id="rId1363" Type="http://schemas.openxmlformats.org/officeDocument/2006/relationships/hyperlink" Target="http://www.broadinstitute.org/gsea/msigdb/cards/GO_MALE_SEX_DIFFERENTIATION.html" TargetMode="External"/><Relationship Id="rId1364" Type="http://schemas.openxmlformats.org/officeDocument/2006/relationships/hyperlink" Target="http://www.broadinstitute.org/gsea/msigdb/cards/GO_NUCLEOBASE_CONTAINING_SMALL_MOLECULE_METABOLIC_PROCESS.html" TargetMode="External"/><Relationship Id="rId1365" Type="http://schemas.openxmlformats.org/officeDocument/2006/relationships/hyperlink" Target="http://www.broadinstitute.org/gsea/msigdb/cards/GO_RESPONSE_TO_LIPID.html" TargetMode="External"/><Relationship Id="rId1366" Type="http://schemas.openxmlformats.org/officeDocument/2006/relationships/hyperlink" Target="http://www.broadinstitute.org/gsea/msigdb/cards/GO_REGULATION_OF_BINDING.html" TargetMode="External"/><Relationship Id="rId1367" Type="http://schemas.openxmlformats.org/officeDocument/2006/relationships/hyperlink" Target="http://www.broadinstitute.org/gsea/msigdb/cards/GO_REGULATION_OF_CHROMATIN_ORGANIZATION.html" TargetMode="External"/><Relationship Id="rId1368" Type="http://schemas.openxmlformats.org/officeDocument/2006/relationships/hyperlink" Target="http://www.broadinstitute.org/gsea/msigdb/cards/GO_CORE_PROMOTER_BINDING.html" TargetMode="External"/><Relationship Id="rId1369" Type="http://schemas.openxmlformats.org/officeDocument/2006/relationships/hyperlink" Target="http://www.broadinstitute.org/gsea/msigdb/cards/GO_TRANSFERASE_COMPLEX_TRANSFERRING_PHOSPHORUS_CONTAINING_GROUPS.html" TargetMode="External"/><Relationship Id="rId1754" Type="http://schemas.openxmlformats.org/officeDocument/2006/relationships/hyperlink" Target="http://www.broadinstitute.org/gsea/msigdb/cards/GSE15930_NAIVE_VS_48H_IN_VITRO_STIM_CD8_TCELL_DN.html" TargetMode="External"/><Relationship Id="rId1755" Type="http://schemas.openxmlformats.org/officeDocument/2006/relationships/hyperlink" Target="http://www.broadinstitute.org/gsea/msigdb/cards/GSE34205_HEALTHY_VS_RSV_INF_INFANT_PBMC_DN.html" TargetMode="External"/><Relationship Id="rId1756" Type="http://schemas.openxmlformats.org/officeDocument/2006/relationships/hyperlink" Target="http://www.broadinstitute.org/gsea/msigdb/cards/GSE3982_MAST_CELL_VS_TH2_DN.html" TargetMode="External"/><Relationship Id="rId1757" Type="http://schemas.openxmlformats.org/officeDocument/2006/relationships/hyperlink" Target="http://www.broadinstitute.org/gsea/msigdb/cards/GSE3982_BCELL_VS_TH1_DN.html" TargetMode="External"/><Relationship Id="rId1758" Type="http://schemas.openxmlformats.org/officeDocument/2006/relationships/hyperlink" Target="http://www.broadinstitute.org/gsea/msigdb/cards/GSE3720_UNSTIM_VS_PMA_STIM_VD2_GAMMADELTA_TCELL_DN.html" TargetMode="External"/><Relationship Id="rId1759" Type="http://schemas.openxmlformats.org/officeDocument/2006/relationships/hyperlink" Target="http://www.broadinstitute.org/gsea/msigdb/cards/GSE17812_WT_VS_THPOK_KO_MEMORY_CD8_TCELL_DN.html" TargetMode="External"/><Relationship Id="rId2050" Type="http://schemas.openxmlformats.org/officeDocument/2006/relationships/hyperlink" Target="http://www.broadinstitute.org/gsea/msigdb/cards/GSE360_L_DONOVANI_VS_T_GONDII_DC_DN.html" TargetMode="External"/><Relationship Id="rId2051" Type="http://schemas.openxmlformats.org/officeDocument/2006/relationships/hyperlink" Target="http://www.broadinstitute.org/gsea/msigdb/cards/GSE360_T_GONDII_VS_M_TUBERCULOSIS_MAC_UP.html" TargetMode="External"/><Relationship Id="rId2052" Type="http://schemas.openxmlformats.org/officeDocument/2006/relationships/hyperlink" Target="http://www.broadinstitute.org/gsea/msigdb/cards/GSE3982_EOSINOPHIL_VS_BCELL_DN.html" TargetMode="External"/><Relationship Id="rId2053" Type="http://schemas.openxmlformats.org/officeDocument/2006/relationships/hyperlink" Target="http://www.broadinstitute.org/gsea/msigdb/cards/GSE7460_CTRL_VS_TGFB_TREATED_ACT_CD8_TCELL_UP.html" TargetMode="External"/><Relationship Id="rId2054" Type="http://schemas.openxmlformats.org/officeDocument/2006/relationships/hyperlink" Target="http://www.broadinstitute.org/gsea/msigdb/cards/GSE7852_LN_VS_THYMUS_TREG_DN.html" TargetMode="External"/><Relationship Id="rId2055" Type="http://schemas.openxmlformats.org/officeDocument/2006/relationships/hyperlink" Target="http://www.broadinstitute.org/gsea/msigdb/cards/GSE2405_HEAT_KILLED_VS_LIVE_A_PHAGOCYTOPHILUM_STIM_NEUTROPHIL_9H_DN.html" TargetMode="External"/><Relationship Id="rId2056" Type="http://schemas.openxmlformats.org/officeDocument/2006/relationships/hyperlink" Target="http://www.broadinstitute.org/gsea/msigdb/cards/GSE2585_AIRE_KO_VS_WT_CD80_HIGH_MTEC_UP.html" TargetMode="External"/><Relationship Id="rId2057" Type="http://schemas.openxmlformats.org/officeDocument/2006/relationships/hyperlink" Target="http://www.broadinstitute.org/gsea/msigdb/cards/GSE1925_CTRL_VS_24H_IFNG_STIM_IFNG_PRIMED_MACROPHAGE_DN.html" TargetMode="External"/><Relationship Id="rId2058" Type="http://schemas.openxmlformats.org/officeDocument/2006/relationships/hyperlink" Target="http://www.broadinstitute.org/gsea/msigdb/cards/GSE6259_FLT3L_INDUCED_33D1_POS_DC_VS_BCELL_DN.html" TargetMode="External"/><Relationship Id="rId2059" Type="http://schemas.openxmlformats.org/officeDocument/2006/relationships/hyperlink" Target="http://www.broadinstitute.org/gsea/msigdb/cards/GSE8621_UNSTIM_VS_LPS_PRIMED_AND_LPS_STIM_MACROPHAGE_UP.html" TargetMode="External"/><Relationship Id="rId2440" Type="http://schemas.openxmlformats.org/officeDocument/2006/relationships/hyperlink" Target="http://www.broadinstitute.org/gsea/msigdb/cards/GSE15330_MEGAKARYOCYTE_ERYTHROID_VS_GRANULOCYTE_MONOCYTE_PROGENITOR_IKAROS_KO_DN.html" TargetMode="External"/><Relationship Id="rId2441" Type="http://schemas.openxmlformats.org/officeDocument/2006/relationships/hyperlink" Target="http://www.broadinstitute.org/gsea/msigdb/cards/GSE9960_GRAM_NEG_VS_GRAM_POS_SEPSIS_PBMC_UP.html" TargetMode="External"/><Relationship Id="rId2442" Type="http://schemas.openxmlformats.org/officeDocument/2006/relationships/hyperlink" Target="http://www.broadinstitute.org/gsea/msigdb/cards/GSE19923_WT_VS_HEB_KO_DP_THYMOCYTE_DN.html" TargetMode="External"/><Relationship Id="rId2443" Type="http://schemas.openxmlformats.org/officeDocument/2006/relationships/hyperlink" Target="http://www.broadinstitute.org/gsea/msigdb/cards/GSE20198_IL12_IL18_VS_IFNA_TREATED_ACT_CD4_TCELL_DN.html" TargetMode="External"/><Relationship Id="rId2444" Type="http://schemas.openxmlformats.org/officeDocument/2006/relationships/hyperlink" Target="http://www.broadinstitute.org/gsea/msigdb/cards/GSE21670_UNTREATED_VS_IL6_TREATED_STAT3_KO_CD4_TCELL_DN.html" TargetMode="External"/><Relationship Id="rId2445" Type="http://schemas.openxmlformats.org/officeDocument/2006/relationships/hyperlink" Target="http://www.broadinstitute.org/gsea/msigdb/cards/GSE21380_TFH_VS_GERMINAL_CENTER_TFH_CD4_TCELL_DN.html" TargetMode="External"/><Relationship Id="rId2446" Type="http://schemas.openxmlformats.org/officeDocument/2006/relationships/hyperlink" Target="http://www.broadinstitute.org/gsea/msigdb/cards/GSE20500_CTRL_VS_RARA_ANTAGONIST_TREATED_CD4_TCELL_UP.html" TargetMode="External"/><Relationship Id="rId2447" Type="http://schemas.openxmlformats.org/officeDocument/2006/relationships/hyperlink" Target="http://www.broadinstitute.org/gsea/msigdb/cards/GSE23308_CTRL_VS_CORTICOSTERONE_TREATED_MACROPHAGE_MINERALCORTICOID_REC_KO_DN.html" TargetMode="External"/><Relationship Id="rId2448" Type="http://schemas.openxmlformats.org/officeDocument/2006/relationships/hyperlink" Target="http://www.broadinstitute.org/gsea/msigdb/cards/GSE22935_WT_VS_MYD88_KO_MACROPHAGE_12H_MBOVIS_BCG_STIM_DN.html" TargetMode="External"/><Relationship Id="rId2449" Type="http://schemas.openxmlformats.org/officeDocument/2006/relationships/hyperlink" Target="http://www.broadinstitute.org/gsea/msigdb/cards/GSE22103_UNSTIM_VS_LPS_STIM_NEUTROPHIL_DN.html" TargetMode="External"/></Relationships>
</file>

<file path=xl/worksheets/_rels/sheet7.xml.rels><?xml version="1.0" encoding="UTF-8" standalone="yes"?>
<Relationships xmlns="http://schemas.openxmlformats.org/package/2006/relationships"><Relationship Id="rId500" Type="http://schemas.openxmlformats.org/officeDocument/2006/relationships/hyperlink" Target="http://www.broadinstitute.org/gsea/msigdb/cards/WOOD_EBV_EBNA1_TARGETS_DN.html" TargetMode="External"/><Relationship Id="rId501" Type="http://schemas.openxmlformats.org/officeDocument/2006/relationships/hyperlink" Target="http://www.broadinstitute.org/gsea/msigdb/cards/KHETCHOUMIAN_TRIM24_TARGETS_UP.html" TargetMode="External"/><Relationship Id="rId502" Type="http://schemas.openxmlformats.org/officeDocument/2006/relationships/hyperlink" Target="http://www.broadinstitute.org/gsea/msigdb/cards/SANA_TNF_SIGNALING_UP.html" TargetMode="External"/><Relationship Id="rId503" Type="http://schemas.openxmlformats.org/officeDocument/2006/relationships/hyperlink" Target="http://www.broadinstitute.org/gsea/msigdb/cards/CONCANNON_APOPTOSIS_BY_EPOXOMICIN_DN.html" TargetMode="External"/><Relationship Id="rId110" Type="http://schemas.openxmlformats.org/officeDocument/2006/relationships/hyperlink" Target="http://www.broadinstitute.org/gsea/msigdb/cards/BRUINS_UVC_RESPONSE_LATE.html" TargetMode="External"/><Relationship Id="rId111" Type="http://schemas.openxmlformats.org/officeDocument/2006/relationships/hyperlink" Target="http://www.broadinstitute.org/gsea/msigdb/cards/DANG_REGULATED_BY_MYC_DN.html" TargetMode="External"/><Relationship Id="rId112" Type="http://schemas.openxmlformats.org/officeDocument/2006/relationships/hyperlink" Target="http://www.broadinstitute.org/gsea/msigdb/cards/NABA_BASEMENT_MEMBRANES.html" TargetMode="External"/><Relationship Id="rId113" Type="http://schemas.openxmlformats.org/officeDocument/2006/relationships/hyperlink" Target="http://www.broadinstitute.org/gsea/msigdb/cards/VERRECCHIA_EARLY_RESPONSE_TO_TGFB1.html" TargetMode="External"/><Relationship Id="rId114" Type="http://schemas.openxmlformats.org/officeDocument/2006/relationships/hyperlink" Target="http://www.broadinstitute.org/gsea/msigdb/cards/CROONQUIST_NRAS_VS_STROMAL_STIMULATION_DN.html" TargetMode="External"/><Relationship Id="rId115" Type="http://schemas.openxmlformats.org/officeDocument/2006/relationships/hyperlink" Target="http://www.broadinstitute.org/gsea/msigdb/cards/NABA_ECM_REGULATORS.html" TargetMode="External"/><Relationship Id="rId116" Type="http://schemas.openxmlformats.org/officeDocument/2006/relationships/hyperlink" Target="http://www.broadinstitute.org/gsea/msigdb/cards/CHANDRAN_METASTASIS_DN.html" TargetMode="External"/><Relationship Id="rId117" Type="http://schemas.openxmlformats.org/officeDocument/2006/relationships/hyperlink" Target="http://www.broadinstitute.org/gsea/msigdb/cards/GERHOLD_ADIPOGENESIS_DN.html" TargetMode="External"/><Relationship Id="rId118" Type="http://schemas.openxmlformats.org/officeDocument/2006/relationships/hyperlink" Target="http://www.broadinstitute.org/gsea/msigdb/cards/GAUSSMANN_MLL_AF4_FUSION_TARGETS_F_UP.html" TargetMode="External"/><Relationship Id="rId119" Type="http://schemas.openxmlformats.org/officeDocument/2006/relationships/hyperlink" Target="http://www.broadinstitute.org/gsea/msigdb/cards/WESTON_VEGFA_TARGETS.html" TargetMode="External"/><Relationship Id="rId504" Type="http://schemas.openxmlformats.org/officeDocument/2006/relationships/hyperlink" Target="http://www.broadinstitute.org/gsea/msigdb/cards/ZHAN_MULTIPLE_MYELOMA_MS_UP.html" TargetMode="External"/><Relationship Id="rId505" Type="http://schemas.openxmlformats.org/officeDocument/2006/relationships/hyperlink" Target="http://www.broadinstitute.org/gsea/msigdb/cards/GERY_CEBP_TARGETS.html" TargetMode="External"/><Relationship Id="rId506" Type="http://schemas.openxmlformats.org/officeDocument/2006/relationships/hyperlink" Target="http://www.broadinstitute.org/gsea/msigdb/cards/BRUINS_UVC_RESPONSE_VIA_TP53_GROUP_D.html" TargetMode="External"/><Relationship Id="rId507" Type="http://schemas.openxmlformats.org/officeDocument/2006/relationships/hyperlink" Target="http://www.broadinstitute.org/gsea/msigdb/cards/KEGG_SMALL_CELL_LUNG_CANCER.html" TargetMode="External"/><Relationship Id="rId508" Type="http://schemas.openxmlformats.org/officeDocument/2006/relationships/hyperlink" Target="http://www.broadinstitute.org/gsea/msigdb/cards/REACTOME_CHONDROITIN_SULFATE_BIOSYNTHESIS.html" TargetMode="External"/><Relationship Id="rId509" Type="http://schemas.openxmlformats.org/officeDocument/2006/relationships/hyperlink" Target="http://www.broadinstitute.org/gsea/msigdb/cards/ZIRN_TRETINOIN_RESPONSE_UP.html" TargetMode="External"/><Relationship Id="rId1760" Type="http://schemas.openxmlformats.org/officeDocument/2006/relationships/hyperlink" Target="http://www.broadinstitute.org/gsea/msigdb/cards/GO_BIOMINERAL_TISSUE_DEVELOPMENT.html" TargetMode="External"/><Relationship Id="rId1761" Type="http://schemas.openxmlformats.org/officeDocument/2006/relationships/hyperlink" Target="http://www.broadinstitute.org/gsea/msigdb/cards/GO_MICROVILLUS.html" TargetMode="External"/><Relationship Id="rId1762" Type="http://schemas.openxmlformats.org/officeDocument/2006/relationships/hyperlink" Target="http://www.broadinstitute.org/gsea/msigdb/cards/ESC_V6.5_UP_EARLY.V1_DN.html" TargetMode="External"/><Relationship Id="rId1763" Type="http://schemas.openxmlformats.org/officeDocument/2006/relationships/hyperlink" Target="http://www.broadinstitute.org/gsea/msigdb/cards/RB_P107_DN.V1_UP.html" TargetMode="External"/><Relationship Id="rId1370" Type="http://schemas.openxmlformats.org/officeDocument/2006/relationships/hyperlink" Target="http://www.broadinstitute.org/gsea/msigdb/cards/GO_REGULATION_OF_CELLULAR_LOCALIZATION.html" TargetMode="External"/><Relationship Id="rId1371" Type="http://schemas.openxmlformats.org/officeDocument/2006/relationships/hyperlink" Target="http://www.broadinstitute.org/gsea/msigdb/cards/GO_MEMBRANE_REGION.html" TargetMode="External"/><Relationship Id="rId1372" Type="http://schemas.openxmlformats.org/officeDocument/2006/relationships/hyperlink" Target="http://www.broadinstitute.org/gsea/msigdb/cards/GO_FIBRIL_ORGANIZATION.html" TargetMode="External"/><Relationship Id="rId1373" Type="http://schemas.openxmlformats.org/officeDocument/2006/relationships/hyperlink" Target="http://www.broadinstitute.org/gsea/msigdb/cards/GO_RENAL_SYSTEM_VASCULATURE_DEVELOPMENT.html" TargetMode="External"/><Relationship Id="rId1374" Type="http://schemas.openxmlformats.org/officeDocument/2006/relationships/hyperlink" Target="http://www.broadinstitute.org/gsea/msigdb/cards/GO_REGULATION_OF_OSSIFICATION.html" TargetMode="External"/><Relationship Id="rId1375" Type="http://schemas.openxmlformats.org/officeDocument/2006/relationships/hyperlink" Target="http://www.broadinstitute.org/gsea/msigdb/cards/GO_CELLULAR_RESPONSE_TO_CYTOKINE_STIMULUS.html" TargetMode="External"/><Relationship Id="rId1376" Type="http://schemas.openxmlformats.org/officeDocument/2006/relationships/hyperlink" Target="http://www.broadinstitute.org/gsea/msigdb/cards/GO_REGULATED_EXOCYTOSIS.html" TargetMode="External"/><Relationship Id="rId1377" Type="http://schemas.openxmlformats.org/officeDocument/2006/relationships/hyperlink" Target="http://www.broadinstitute.org/gsea/msigdb/cards/GO_REGULATION_OF_CELL_JUNCTION_ASSEMBLY.html" TargetMode="External"/><Relationship Id="rId1378" Type="http://schemas.openxmlformats.org/officeDocument/2006/relationships/hyperlink" Target="http://www.broadinstitute.org/gsea/msigdb/cards/GO_CELL_PROLIFERATION.html" TargetMode="External"/><Relationship Id="rId1379" Type="http://schemas.openxmlformats.org/officeDocument/2006/relationships/hyperlink" Target="http://www.broadinstitute.org/gsea/msigdb/cards/GO_CELL_SUBSTRATE_JUNCTION_ASSEMBLY.html" TargetMode="External"/><Relationship Id="rId1764" Type="http://schemas.openxmlformats.org/officeDocument/2006/relationships/hyperlink" Target="http://www.broadinstitute.org/gsea/msigdb/cards/CAHOY_ASTROGLIAL.html" TargetMode="External"/><Relationship Id="rId1765" Type="http://schemas.openxmlformats.org/officeDocument/2006/relationships/hyperlink" Target="http://www.broadinstitute.org/gsea/msigdb/cards/ATF2_S_UP.V1_DN.html" TargetMode="External"/><Relationship Id="rId1766" Type="http://schemas.openxmlformats.org/officeDocument/2006/relationships/hyperlink" Target="http://www.broadinstitute.org/gsea/msigdb/cards/AKT_UP.V1_DN.html" TargetMode="External"/><Relationship Id="rId1767" Type="http://schemas.openxmlformats.org/officeDocument/2006/relationships/hyperlink" Target="http://www.broadinstitute.org/gsea/msigdb/cards/ATF2_UP.V1_DN.html" TargetMode="External"/><Relationship Id="rId1768" Type="http://schemas.openxmlformats.org/officeDocument/2006/relationships/hyperlink" Target="http://www.broadinstitute.org/gsea/msigdb/cards/CSR_LATE_UP.V1_DN.html" TargetMode="External"/><Relationship Id="rId1769" Type="http://schemas.openxmlformats.org/officeDocument/2006/relationships/hyperlink" Target="http://www.broadinstitute.org/gsea/msigdb/cards/BMI1_DN_MEL18_DN.V1_UP.html" TargetMode="External"/><Relationship Id="rId2060" Type="http://schemas.openxmlformats.org/officeDocument/2006/relationships/hyperlink" Target="http://www.broadinstitute.org/gsea/msigdb/cards/GSE360_HIGH_VS_LOW_DOSE_B_MALAYI_DC_DN.html" TargetMode="External"/><Relationship Id="rId2061" Type="http://schemas.openxmlformats.org/officeDocument/2006/relationships/hyperlink" Target="http://www.broadinstitute.org/gsea/msigdb/cards/GSE360_L_DONOVANI_VS_T_GONDII_MAC_UP.html" TargetMode="External"/><Relationship Id="rId2062" Type="http://schemas.openxmlformats.org/officeDocument/2006/relationships/hyperlink" Target="http://www.broadinstitute.org/gsea/msigdb/cards/GSE360_L_DONOVANI_VS_B_MALAYI_HIGH_DOSE_MAC_DN.html" TargetMode="External"/><Relationship Id="rId2063" Type="http://schemas.openxmlformats.org/officeDocument/2006/relationships/hyperlink" Target="http://www.broadinstitute.org/gsea/msigdb/cards/GSE360_HIGH_DOSE_B_MALAYI_VS_M_TUBERCULOSIS_MAC_DN.html" TargetMode="External"/><Relationship Id="rId2064" Type="http://schemas.openxmlformats.org/officeDocument/2006/relationships/hyperlink" Target="http://www.broadinstitute.org/gsea/msigdb/cards/GSE36476_YOUNG_VS_OLD_DONOR_MEMORY_CD4_TCELL_UP.html" TargetMode="External"/><Relationship Id="rId2065" Type="http://schemas.openxmlformats.org/officeDocument/2006/relationships/hyperlink" Target="http://www.broadinstitute.org/gsea/msigdb/cards/GSE36476_YOUNG_VS_OLD_DONOR_MEMORY_CD4_TCELL_DN.html" TargetMode="External"/><Relationship Id="rId2066" Type="http://schemas.openxmlformats.org/officeDocument/2006/relationships/hyperlink" Target="http://www.broadinstitute.org/gsea/msigdb/cards/GSE36476_YOUNG_VS_OLD_DONOR_MEMORY_CD4_TCELL_72H_TSST_ACT_UP.html" TargetMode="External"/><Relationship Id="rId2067" Type="http://schemas.openxmlformats.org/officeDocument/2006/relationships/hyperlink" Target="http://www.broadinstitute.org/gsea/msigdb/cards/GSE3982_CTRL_VS_LPS_48H_DC_DN.html" TargetMode="External"/><Relationship Id="rId2068" Type="http://schemas.openxmlformats.org/officeDocument/2006/relationships/hyperlink" Target="http://www.broadinstitute.org/gsea/msigdb/cards/GSE39820_CTRL_VS_IL1B_IL6_CD4_TCELL_DN.html" TargetMode="External"/><Relationship Id="rId2069" Type="http://schemas.openxmlformats.org/officeDocument/2006/relationships/hyperlink" Target="http://www.broadinstitute.org/gsea/msigdb/cards/GSE7460_WT_VS_FOXP3_HET_ACT_WITH_TGFB_TCONV_DN.html" TargetMode="External"/><Relationship Id="rId900" Type="http://schemas.openxmlformats.org/officeDocument/2006/relationships/hyperlink" Target="http://www.broadinstitute.org/gsea/msigdb/cards/TTCCGTT_MIR191.html" TargetMode="External"/><Relationship Id="rId901" Type="http://schemas.openxmlformats.org/officeDocument/2006/relationships/hyperlink" Target="http://www.broadinstitute.org/gsea/msigdb/cards/TGCACTT_MIR519C_MIR519B_MIR519A.html" TargetMode="External"/><Relationship Id="rId902" Type="http://schemas.openxmlformats.org/officeDocument/2006/relationships/hyperlink" Target="http://www.broadinstitute.org/gsea/msigdb/cards/GATA2_01.html" TargetMode="External"/><Relationship Id="rId903" Type="http://schemas.openxmlformats.org/officeDocument/2006/relationships/hyperlink" Target="http://www.broadinstitute.org/gsea/msigdb/cards/GR_01.html" TargetMode="External"/><Relationship Id="rId904" Type="http://schemas.openxmlformats.org/officeDocument/2006/relationships/hyperlink" Target="http://www.broadinstitute.org/gsea/msigdb/cards/YAATNRNNNYNATT_UNKNOWN.html" TargetMode="External"/><Relationship Id="rId905" Type="http://schemas.openxmlformats.org/officeDocument/2006/relationships/hyperlink" Target="http://www.broadinstitute.org/gsea/msigdb/cards/CREB_01.html" TargetMode="External"/><Relationship Id="rId906" Type="http://schemas.openxmlformats.org/officeDocument/2006/relationships/hyperlink" Target="http://www.broadinstitute.org/gsea/msigdb/cards/TTF1_Q6.html" TargetMode="External"/><Relationship Id="rId907" Type="http://schemas.openxmlformats.org/officeDocument/2006/relationships/hyperlink" Target="http://www.broadinstitute.org/gsea/msigdb/cards/STAT6_01.html" TargetMode="External"/><Relationship Id="rId120" Type="http://schemas.openxmlformats.org/officeDocument/2006/relationships/hyperlink" Target="http://www.broadinstitute.org/gsea/msigdb/cards/SUNG_METASTASIS_STROMA_UP.html" TargetMode="External"/><Relationship Id="rId121" Type="http://schemas.openxmlformats.org/officeDocument/2006/relationships/hyperlink" Target="http://www.broadinstitute.org/gsea/msigdb/cards/YAGUE_PRETUMOR_DRUG_RESISTANCE_DN.html" TargetMode="External"/><Relationship Id="rId122" Type="http://schemas.openxmlformats.org/officeDocument/2006/relationships/hyperlink" Target="http://www.broadinstitute.org/gsea/msigdb/cards/CAIRO_LIVER_DEVELOPMENT_UP.html" TargetMode="External"/><Relationship Id="rId123" Type="http://schemas.openxmlformats.org/officeDocument/2006/relationships/hyperlink" Target="http://www.broadinstitute.org/gsea/msigdb/cards/STEGER_ADIPOGENESIS_DN.html" TargetMode="External"/><Relationship Id="rId124" Type="http://schemas.openxmlformats.org/officeDocument/2006/relationships/hyperlink" Target="http://www.broadinstitute.org/gsea/msigdb/cards/PILON_KLF1_TARGETS_UP.html" TargetMode="External"/><Relationship Id="rId125" Type="http://schemas.openxmlformats.org/officeDocument/2006/relationships/hyperlink" Target="http://www.broadinstitute.org/gsea/msigdb/cards/RUIZ_TNC_TARGETS_UP.html" TargetMode="External"/><Relationship Id="rId126" Type="http://schemas.openxmlformats.org/officeDocument/2006/relationships/hyperlink" Target="http://www.broadinstitute.org/gsea/msigdb/cards/PID_INTEGRIN3_PATHWAY.html" TargetMode="External"/><Relationship Id="rId127" Type="http://schemas.openxmlformats.org/officeDocument/2006/relationships/hyperlink" Target="http://www.broadinstitute.org/gsea/msigdb/cards/NAKAMURA_TUMOR_ZONE_PERIPHERAL_VS_CENTRAL_UP.html" TargetMode="External"/><Relationship Id="rId128" Type="http://schemas.openxmlformats.org/officeDocument/2006/relationships/hyperlink" Target="http://www.broadinstitute.org/gsea/msigdb/cards/VANHARANTA_UTERINE_FIBROID_UP.html" TargetMode="External"/><Relationship Id="rId129" Type="http://schemas.openxmlformats.org/officeDocument/2006/relationships/hyperlink" Target="http://www.broadinstitute.org/gsea/msigdb/cards/SWEET_KRAS_TARGETS_UP.html" TargetMode="External"/><Relationship Id="rId908" Type="http://schemas.openxmlformats.org/officeDocument/2006/relationships/hyperlink" Target="http://www.broadinstitute.org/gsea/msigdb/cards/OSF2_Q6.html" TargetMode="External"/><Relationship Id="rId909" Type="http://schemas.openxmlformats.org/officeDocument/2006/relationships/hyperlink" Target="http://www.broadinstitute.org/gsea/msigdb/cards/GTATTAT_MIR3693P.html" TargetMode="External"/><Relationship Id="rId510" Type="http://schemas.openxmlformats.org/officeDocument/2006/relationships/hyperlink" Target="http://www.broadinstitute.org/gsea/msigdb/cards/VERRECCHIA_RESPONSE_TO_TGFB1_C5.html" TargetMode="External"/><Relationship Id="rId511" Type="http://schemas.openxmlformats.org/officeDocument/2006/relationships/hyperlink" Target="http://www.broadinstitute.org/gsea/msigdb/cards/MCCABE_HOXC6_TARGETS_DN.html" TargetMode="External"/><Relationship Id="rId512" Type="http://schemas.openxmlformats.org/officeDocument/2006/relationships/hyperlink" Target="http://www.broadinstitute.org/gsea/msigdb/cards/MIKKELSEN_IPS_LCP_WITH_H3K4ME3.html" TargetMode="External"/><Relationship Id="rId513" Type="http://schemas.openxmlformats.org/officeDocument/2006/relationships/hyperlink" Target="http://www.broadinstitute.org/gsea/msigdb/cards/JAATINEN_HEMATOPOIETIC_STEM_CELL_DN.html" TargetMode="External"/><Relationship Id="rId514" Type="http://schemas.openxmlformats.org/officeDocument/2006/relationships/hyperlink" Target="http://www.broadinstitute.org/gsea/msigdb/cards/HELLER_SILENCED_BY_METHYLATION_UP.html" TargetMode="External"/><Relationship Id="rId515" Type="http://schemas.openxmlformats.org/officeDocument/2006/relationships/hyperlink" Target="http://www.broadinstitute.org/gsea/msigdb/cards/LINDGREN_BLADDER_CANCER_CLUSTER_3_DN.html" TargetMode="External"/><Relationship Id="rId516" Type="http://schemas.openxmlformats.org/officeDocument/2006/relationships/hyperlink" Target="http://www.broadinstitute.org/gsea/msigdb/cards/NUYTTEN_EZH2_TARGETS_UP.html" TargetMode="External"/><Relationship Id="rId517" Type="http://schemas.openxmlformats.org/officeDocument/2006/relationships/hyperlink" Target="http://www.broadinstitute.org/gsea/msigdb/cards/CHEN_NEUROBLASTOMA_COPY_NUMBER_GAINS.html" TargetMode="External"/><Relationship Id="rId518" Type="http://schemas.openxmlformats.org/officeDocument/2006/relationships/hyperlink" Target="http://www.broadinstitute.org/gsea/msigdb/cards/NOUSHMEHR_GBM_SILENCED_BY_METHYLATION.html" TargetMode="External"/><Relationship Id="rId519" Type="http://schemas.openxmlformats.org/officeDocument/2006/relationships/hyperlink" Target="http://www.broadinstitute.org/gsea/msigdb/cards/KIM_LIVER_CANCER_POOR_SURVIVAL_UP.html" TargetMode="External"/><Relationship Id="rId1770" Type="http://schemas.openxmlformats.org/officeDocument/2006/relationships/hyperlink" Target="http://www.broadinstitute.org/gsea/msigdb/cards/BMI1_DN.V1_UP.html" TargetMode="External"/><Relationship Id="rId1771" Type="http://schemas.openxmlformats.org/officeDocument/2006/relationships/hyperlink" Target="http://www.broadinstitute.org/gsea/msigdb/cards/MEL18_DN.V1_UP.html" TargetMode="External"/><Relationship Id="rId1772" Type="http://schemas.openxmlformats.org/officeDocument/2006/relationships/hyperlink" Target="http://www.broadinstitute.org/gsea/msigdb/cards/KRAS.600.LUNG.BREAST_UP.V1_DN.html" TargetMode="External"/><Relationship Id="rId1773" Type="http://schemas.openxmlformats.org/officeDocument/2006/relationships/hyperlink" Target="http://www.broadinstitute.org/gsea/msigdb/cards/PRC2_EZH2_UP.V1_DN.html" TargetMode="External"/><Relationship Id="rId1380" Type="http://schemas.openxmlformats.org/officeDocument/2006/relationships/hyperlink" Target="http://www.broadinstitute.org/gsea/msigdb/cards/GO_CARDIAC_MUSCLE_TISSUE_DEVELOPMENT.html" TargetMode="External"/><Relationship Id="rId1381" Type="http://schemas.openxmlformats.org/officeDocument/2006/relationships/hyperlink" Target="http://www.broadinstitute.org/gsea/msigdb/cards/GO_RESPONSE_TO_KETONE.html" TargetMode="External"/><Relationship Id="rId1382" Type="http://schemas.openxmlformats.org/officeDocument/2006/relationships/hyperlink" Target="http://www.broadinstitute.org/gsea/msigdb/cards/GO_POSITIVE_REGULATION_OF_CATALYTIC_ACTIVITY.html" TargetMode="External"/><Relationship Id="rId1383" Type="http://schemas.openxmlformats.org/officeDocument/2006/relationships/hyperlink" Target="http://www.broadinstitute.org/gsea/msigdb/cards/GO_POSITIVE_REGULATION_OF_NERVOUS_SYSTEM_DEVELOPMENT.html" TargetMode="External"/><Relationship Id="rId1384" Type="http://schemas.openxmlformats.org/officeDocument/2006/relationships/hyperlink" Target="http://www.broadinstitute.org/gsea/msigdb/cards/GO_NEGATIVE_REGULATION_OF_BMP_SIGNALING_PATHWAY.html" TargetMode="External"/><Relationship Id="rId1385" Type="http://schemas.openxmlformats.org/officeDocument/2006/relationships/hyperlink" Target="http://www.broadinstitute.org/gsea/msigdb/cards/GO_RESPONSE_TO_STEROID_HORMONE.html" TargetMode="External"/><Relationship Id="rId1386" Type="http://schemas.openxmlformats.org/officeDocument/2006/relationships/hyperlink" Target="http://www.broadinstitute.org/gsea/msigdb/cards/GO_PLATELET_ACTIVATION.html" TargetMode="External"/><Relationship Id="rId1387" Type="http://schemas.openxmlformats.org/officeDocument/2006/relationships/hyperlink" Target="http://www.broadinstitute.org/gsea/msigdb/cards/GO_EMBRYONIC_ORGAN_MORPHOGENESIS.html" TargetMode="External"/><Relationship Id="rId1388" Type="http://schemas.openxmlformats.org/officeDocument/2006/relationships/hyperlink" Target="http://www.broadinstitute.org/gsea/msigdb/cards/GO_CHONDROCYTE_DEVELOPMENT.html" TargetMode="External"/><Relationship Id="rId1389" Type="http://schemas.openxmlformats.org/officeDocument/2006/relationships/hyperlink" Target="http://www.broadinstitute.org/gsea/msigdb/cards/GO_ODONTOGENESIS.html" TargetMode="External"/><Relationship Id="rId1774" Type="http://schemas.openxmlformats.org/officeDocument/2006/relationships/hyperlink" Target="http://www.broadinstitute.org/gsea/msigdb/cards/KRAS.LUNG.BREAST_UP.V1_DN.html" TargetMode="External"/><Relationship Id="rId1775" Type="http://schemas.openxmlformats.org/officeDocument/2006/relationships/hyperlink" Target="http://www.broadinstitute.org/gsea/msigdb/cards/PTEN_DN.V1_UP.html" TargetMode="External"/><Relationship Id="rId1776" Type="http://schemas.openxmlformats.org/officeDocument/2006/relationships/hyperlink" Target="http://www.broadinstitute.org/gsea/msigdb/cards/CRX_DN.V1_DN.html" TargetMode="External"/><Relationship Id="rId1777" Type="http://schemas.openxmlformats.org/officeDocument/2006/relationships/hyperlink" Target="http://www.broadinstitute.org/gsea/msigdb/cards/E2F1_UP.V1_DN.html" TargetMode="External"/><Relationship Id="rId1778" Type="http://schemas.openxmlformats.org/officeDocument/2006/relationships/hyperlink" Target="http://www.broadinstitute.org/gsea/msigdb/cards/ESC_V6.5_UP_LATE.V1_UP.html" TargetMode="External"/><Relationship Id="rId1779" Type="http://schemas.openxmlformats.org/officeDocument/2006/relationships/hyperlink" Target="http://www.broadinstitute.org/gsea/msigdb/cards/KRAS.600_UP.V1_DN.html" TargetMode="External"/><Relationship Id="rId2070" Type="http://schemas.openxmlformats.org/officeDocument/2006/relationships/hyperlink" Target="http://www.broadinstitute.org/gsea/msigdb/cards/GSE9037_CTRL_VS_LPS_4H_STIM_IRAK4_KO_BMDM_DN.html" TargetMode="External"/><Relationship Id="rId2071" Type="http://schemas.openxmlformats.org/officeDocument/2006/relationships/hyperlink" Target="http://www.broadinstitute.org/gsea/msigdb/cards/GSE2770_UNTREATED_VS_TGFB_AND_IL12_TREATED_ACT_CD4_TCELL_2H_UP.html" TargetMode="External"/><Relationship Id="rId2072" Type="http://schemas.openxmlformats.org/officeDocument/2006/relationships/hyperlink" Target="http://www.broadinstitute.org/gsea/msigdb/cards/GSE1740_MCSF_VS_MCSF_AND_IFNG_DAY2_DERIVED_MACROPHAGE_WITH_IFNA_STIM_DN.html" TargetMode="External"/><Relationship Id="rId2073" Type="http://schemas.openxmlformats.org/officeDocument/2006/relationships/hyperlink" Target="http://www.broadinstitute.org/gsea/msigdb/cards/GSE2405_HEAT_KILLED_LYSATE_VS_LIVE_A_PHAGOCYTOPHILUM_STIM_NEUTROPHIL_24H_DN.html" TargetMode="External"/><Relationship Id="rId2074" Type="http://schemas.openxmlformats.org/officeDocument/2006/relationships/hyperlink" Target="http://www.broadinstitute.org/gsea/msigdb/cards/GSE2405_0H_VS_3H_A_PHAGOCYTOPHILUM_STIM_NEUTROPHIL_DN.html" TargetMode="External"/><Relationship Id="rId2075" Type="http://schemas.openxmlformats.org/officeDocument/2006/relationships/hyperlink" Target="http://www.broadinstitute.org/gsea/msigdb/cards/GSE2585_CTEC_VS_MTEC_THYMUS_DN.html" TargetMode="External"/><Relationship Id="rId2076" Type="http://schemas.openxmlformats.org/officeDocument/2006/relationships/hyperlink" Target="http://www.broadinstitute.org/gsea/msigdb/cards/GSE2585_CD80_HIGH_VS_LOW_MTEC_UP.html" TargetMode="External"/><Relationship Id="rId2077" Type="http://schemas.openxmlformats.org/officeDocument/2006/relationships/hyperlink" Target="http://www.broadinstitute.org/gsea/msigdb/cards/GSE4142_NAIVE_VS_MEMORY_BCELL_DN.html" TargetMode="External"/><Relationship Id="rId2078" Type="http://schemas.openxmlformats.org/officeDocument/2006/relationships/hyperlink" Target="http://www.broadinstitute.org/gsea/msigdb/cards/GSE8921_UNSTIM_0H_VS_TLR1_2_STIM_MONOCYTE_3H_DN.html" TargetMode="External"/><Relationship Id="rId2079" Type="http://schemas.openxmlformats.org/officeDocument/2006/relationships/hyperlink" Target="http://www.broadinstitute.org/gsea/msigdb/cards/GSE3039_ALPHAALPHA_CD8_TCELL_VS_B2_BCELL_DN.html" TargetMode="External"/><Relationship Id="rId910" Type="http://schemas.openxmlformats.org/officeDocument/2006/relationships/hyperlink" Target="http://www.broadinstitute.org/gsea/msigdb/cards/GGGYGTGNY_UNKNOWN.html" TargetMode="External"/><Relationship Id="rId911" Type="http://schemas.openxmlformats.org/officeDocument/2006/relationships/hyperlink" Target="http://www.broadinstitute.org/gsea/msigdb/cards/GATA_C.html" TargetMode="External"/><Relationship Id="rId912" Type="http://schemas.openxmlformats.org/officeDocument/2006/relationships/hyperlink" Target="http://www.broadinstitute.org/gsea/msigdb/cards/AML_Q6.html" TargetMode="External"/><Relationship Id="rId913" Type="http://schemas.openxmlformats.org/officeDocument/2006/relationships/hyperlink" Target="http://www.broadinstitute.org/gsea/msigdb/cards/PR_Q2.html" TargetMode="External"/><Relationship Id="rId914" Type="http://schemas.openxmlformats.org/officeDocument/2006/relationships/hyperlink" Target="http://www.broadinstitute.org/gsea/msigdb/cards/GCACTTT_MIR175P_MIR20A_MIR106A_MIR106B_MIR20B_MIR519D.html" TargetMode="External"/><Relationship Id="rId915" Type="http://schemas.openxmlformats.org/officeDocument/2006/relationships/hyperlink" Target="http://www.broadinstitute.org/gsea/msigdb/cards/CDP_02.html" TargetMode="External"/><Relationship Id="rId916" Type="http://schemas.openxmlformats.org/officeDocument/2006/relationships/hyperlink" Target="http://www.broadinstitute.org/gsea/msigdb/cards/HNF4_01.html" TargetMode="External"/><Relationship Id="rId917" Type="http://schemas.openxmlformats.org/officeDocument/2006/relationships/hyperlink" Target="http://www.broadinstitute.org/gsea/msigdb/cards/VDR_Q6.html" TargetMode="External"/><Relationship Id="rId130" Type="http://schemas.openxmlformats.org/officeDocument/2006/relationships/hyperlink" Target="http://www.broadinstitute.org/gsea/msigdb/cards/BENPORATH_ES_WITH_H3K27ME3.html" TargetMode="External"/><Relationship Id="rId131" Type="http://schemas.openxmlformats.org/officeDocument/2006/relationships/hyperlink" Target="http://www.broadinstitute.org/gsea/msigdb/cards/MILI_PSEUDOPODIA_CHEMOTAXIS_DN.html" TargetMode="External"/><Relationship Id="rId132" Type="http://schemas.openxmlformats.org/officeDocument/2006/relationships/hyperlink" Target="http://www.broadinstitute.org/gsea/msigdb/cards/VART_KSHV_INFECTION_ANGIOGENIC_MARKERS_UP.html" TargetMode="External"/><Relationship Id="rId133" Type="http://schemas.openxmlformats.org/officeDocument/2006/relationships/hyperlink" Target="http://www.broadinstitute.org/gsea/msigdb/cards/DODD_NASOPHARYNGEAL_CARCINOMA_DN.html" TargetMode="External"/><Relationship Id="rId134" Type="http://schemas.openxmlformats.org/officeDocument/2006/relationships/hyperlink" Target="http://www.broadinstitute.org/gsea/msigdb/cards/WAMUNYOKOLI_OVARIAN_CANCER_LMP_DN.html" TargetMode="External"/><Relationship Id="rId135" Type="http://schemas.openxmlformats.org/officeDocument/2006/relationships/hyperlink" Target="http://www.broadinstitute.org/gsea/msigdb/cards/PETRETTO_CARDIAC_HYPERTROPHY.html" TargetMode="External"/><Relationship Id="rId136" Type="http://schemas.openxmlformats.org/officeDocument/2006/relationships/hyperlink" Target="http://www.broadinstitute.org/gsea/msigdb/cards/HOELZEL_NF1_TARGETS_DN.html" TargetMode="External"/><Relationship Id="rId137" Type="http://schemas.openxmlformats.org/officeDocument/2006/relationships/hyperlink" Target="http://www.broadinstitute.org/gsea/msigdb/cards/MCBRYAN_PUBERTAL_BREAST_4_5WK_UP.html" TargetMode="External"/><Relationship Id="rId138" Type="http://schemas.openxmlformats.org/officeDocument/2006/relationships/hyperlink" Target="http://www.broadinstitute.org/gsea/msigdb/cards/HATADA_METHYLATED_IN_LUNG_CANCER_UP.html" TargetMode="External"/><Relationship Id="rId139" Type="http://schemas.openxmlformats.org/officeDocument/2006/relationships/hyperlink" Target="http://www.broadinstitute.org/gsea/msigdb/cards/BENPORATH_SUZ12_TARGETS.html" TargetMode="External"/><Relationship Id="rId918" Type="http://schemas.openxmlformats.org/officeDocument/2006/relationships/hyperlink" Target="http://www.broadinstitute.org/gsea/msigdb/cards/OCT1_Q6.html" TargetMode="External"/><Relationship Id="rId919" Type="http://schemas.openxmlformats.org/officeDocument/2006/relationships/hyperlink" Target="http://www.broadinstitute.org/gsea/msigdb/cards/TGCAAAC_MIR452.html" TargetMode="External"/><Relationship Id="rId520" Type="http://schemas.openxmlformats.org/officeDocument/2006/relationships/hyperlink" Target="http://www.broadinstitute.org/gsea/msigdb/cards/BASAKI_YBX1_TARGETS_UP.html" TargetMode="External"/><Relationship Id="rId521" Type="http://schemas.openxmlformats.org/officeDocument/2006/relationships/hyperlink" Target="http://www.broadinstitute.org/gsea/msigdb/cards/BIOCARTA_RAC1_PATHWAY.html" TargetMode="External"/><Relationship Id="rId522" Type="http://schemas.openxmlformats.org/officeDocument/2006/relationships/hyperlink" Target="http://www.broadinstitute.org/gsea/msigdb/cards/PID_CONE_PATHWAY.html" TargetMode="External"/><Relationship Id="rId523" Type="http://schemas.openxmlformats.org/officeDocument/2006/relationships/hyperlink" Target="http://www.broadinstitute.org/gsea/msigdb/cards/MAHADEVAN_IMATINIB_RESISTANCE_UP.html" TargetMode="External"/><Relationship Id="rId524" Type="http://schemas.openxmlformats.org/officeDocument/2006/relationships/hyperlink" Target="http://www.broadinstitute.org/gsea/msigdb/cards/MOREAUX_MULTIPLE_MYELOMA_BY_TACI_UP.html" TargetMode="External"/><Relationship Id="rId525" Type="http://schemas.openxmlformats.org/officeDocument/2006/relationships/hyperlink" Target="http://www.broadinstitute.org/gsea/msigdb/cards/SUZUKI_RESPONSE_TO_TSA_AND_DECITABINE_1A.html" TargetMode="External"/><Relationship Id="rId526" Type="http://schemas.openxmlformats.org/officeDocument/2006/relationships/hyperlink" Target="http://www.broadinstitute.org/gsea/msigdb/cards/SEKI_INFLAMMATORY_RESPONSE_LPS_DN.html" TargetMode="External"/><Relationship Id="rId527" Type="http://schemas.openxmlformats.org/officeDocument/2006/relationships/hyperlink" Target="http://www.broadinstitute.org/gsea/msigdb/cards/KOINUMA_TARGETS_OF_SMAD2_OR_SMAD3.html" TargetMode="External"/><Relationship Id="rId528" Type="http://schemas.openxmlformats.org/officeDocument/2006/relationships/hyperlink" Target="http://www.broadinstitute.org/gsea/msigdb/cards/LI_WILMS_TUMOR_VS_FETAL_KIDNEY_1_UP.html" TargetMode="External"/><Relationship Id="rId529" Type="http://schemas.openxmlformats.org/officeDocument/2006/relationships/hyperlink" Target="http://www.broadinstitute.org/gsea/msigdb/cards/OZANNE_AP1_TARGETS_DN.html" TargetMode="External"/><Relationship Id="rId1780" Type="http://schemas.openxmlformats.org/officeDocument/2006/relationships/hyperlink" Target="http://www.broadinstitute.org/gsea/msigdb/cards/VEGF_A_UP.V1_UP.html" TargetMode="External"/><Relationship Id="rId1781" Type="http://schemas.openxmlformats.org/officeDocument/2006/relationships/hyperlink" Target="http://www.broadinstitute.org/gsea/msigdb/cards/LEF1_UP.V1_UP.html" TargetMode="External"/><Relationship Id="rId1782" Type="http://schemas.openxmlformats.org/officeDocument/2006/relationships/hyperlink" Target="http://www.broadinstitute.org/gsea/msigdb/cards/CORDENONSI_YAP_CONSERVED_SIGNATURE.html" TargetMode="External"/><Relationship Id="rId1783" Type="http://schemas.openxmlformats.org/officeDocument/2006/relationships/hyperlink" Target="http://www.broadinstitute.org/gsea/msigdb/cards/RAPA_EARLY_UP.V1_UP.html" TargetMode="External"/><Relationship Id="rId1390" Type="http://schemas.openxmlformats.org/officeDocument/2006/relationships/hyperlink" Target="http://www.broadinstitute.org/gsea/msigdb/cards/GO_BASAL_LAMINA.html" TargetMode="External"/><Relationship Id="rId1391" Type="http://schemas.openxmlformats.org/officeDocument/2006/relationships/hyperlink" Target="http://www.broadinstitute.org/gsea/msigdb/cards/GO_L_ASCORBIC_ACID_BINDING.html" TargetMode="External"/><Relationship Id="rId1392" Type="http://schemas.openxmlformats.org/officeDocument/2006/relationships/hyperlink" Target="http://www.broadinstitute.org/gsea/msigdb/cards/GO_POSITIVE_REGULATION_OF_CALCIUM_ION_TRANSPORT.html" TargetMode="External"/><Relationship Id="rId1393" Type="http://schemas.openxmlformats.org/officeDocument/2006/relationships/hyperlink" Target="http://www.broadinstitute.org/gsea/msigdb/cards/GO_METALLOPEPTIDASE_ACTIVITY.html" TargetMode="External"/><Relationship Id="rId1394" Type="http://schemas.openxmlformats.org/officeDocument/2006/relationships/hyperlink" Target="http://www.broadinstitute.org/gsea/msigdb/cards/GO_RESPONSE_TO_LIPID.html" TargetMode="External"/><Relationship Id="rId1395" Type="http://schemas.openxmlformats.org/officeDocument/2006/relationships/hyperlink" Target="http://www.broadinstitute.org/gsea/msigdb/cards/GO_BODY_MORPHOGENESIS.html" TargetMode="External"/><Relationship Id="rId1396" Type="http://schemas.openxmlformats.org/officeDocument/2006/relationships/hyperlink" Target="http://www.broadinstitute.org/gsea/msigdb/cards/GO_BRANCHING_INVOLVED_IN_URETERIC_BUD_MORPHOGENESIS.html" TargetMode="External"/><Relationship Id="rId1397" Type="http://schemas.openxmlformats.org/officeDocument/2006/relationships/hyperlink" Target="http://www.broadinstitute.org/gsea/msigdb/cards/GO_REGULATION_OF_BODY_FLUID_LEVELS.html" TargetMode="External"/><Relationship Id="rId1398" Type="http://schemas.openxmlformats.org/officeDocument/2006/relationships/hyperlink" Target="http://www.broadinstitute.org/gsea/msigdb/cards/GO_REGULATION_OF_PEPTIDASE_ACTIVITY.html" TargetMode="External"/><Relationship Id="rId1399" Type="http://schemas.openxmlformats.org/officeDocument/2006/relationships/hyperlink" Target="http://www.broadinstitute.org/gsea/msigdb/cards/GO_AORTA_MORPHOGENESIS.html" TargetMode="External"/><Relationship Id="rId1784" Type="http://schemas.openxmlformats.org/officeDocument/2006/relationships/hyperlink" Target="http://www.broadinstitute.org/gsea/msigdb/cards/AKT_UP_MTOR_DN.V1_DN.html" TargetMode="External"/><Relationship Id="rId1785" Type="http://schemas.openxmlformats.org/officeDocument/2006/relationships/hyperlink" Target="http://www.broadinstitute.org/gsea/msigdb/cards/IL15_UP.V1_DN.html" TargetMode="External"/><Relationship Id="rId1786" Type="http://schemas.openxmlformats.org/officeDocument/2006/relationships/hyperlink" Target="http://www.broadinstitute.org/gsea/msigdb/cards/KRAS.300_UP.V1_DN.html" TargetMode="External"/><Relationship Id="rId1787" Type="http://schemas.openxmlformats.org/officeDocument/2006/relationships/hyperlink" Target="http://www.broadinstitute.org/gsea/msigdb/cards/KRAS.PROSTATE_UP.V1_UP.html" TargetMode="External"/><Relationship Id="rId1788" Type="http://schemas.openxmlformats.org/officeDocument/2006/relationships/hyperlink" Target="http://www.broadinstitute.org/gsea/msigdb/cards/KRAS.DF.V1_UP.html" TargetMode="External"/><Relationship Id="rId1789" Type="http://schemas.openxmlformats.org/officeDocument/2006/relationships/hyperlink" Target="http://www.broadinstitute.org/gsea/msigdb/cards/MEL18_DN.V1_DN.html" TargetMode="External"/><Relationship Id="rId2080" Type="http://schemas.openxmlformats.org/officeDocument/2006/relationships/hyperlink" Target="http://www.broadinstitute.org/gsea/msigdb/cards/GSE3039_NKT_CELL_VS_ALPHAALPHA_CD8_TCELL_UP.html" TargetMode="External"/><Relationship Id="rId2081" Type="http://schemas.openxmlformats.org/officeDocument/2006/relationships/hyperlink" Target="http://www.broadinstitute.org/gsea/msigdb/cards/GSE5542_IFNG_VS_IFNA_AND_IFNG_TREATED_EPITHELIAL_CELLS_24H_DN.html" TargetMode="External"/><Relationship Id="rId2082" Type="http://schemas.openxmlformats.org/officeDocument/2006/relationships/hyperlink" Target="http://www.broadinstitute.org/gsea/msigdb/cards/GSE4811_CLASSSICALY_ACTIVATED_VS_TYPE_2_ACTIVATED_MACROPHAGE_DN.html" TargetMode="External"/><Relationship Id="rId2083" Type="http://schemas.openxmlformats.org/officeDocument/2006/relationships/hyperlink" Target="http://www.broadinstitute.org/gsea/msigdb/cards/GSE5679_PPARG_LIGAND_ROSIGLITAZONE_VS_ROSIGLITAZONE_AND_RARA_AGONIST_AM580_TREATED_DC_DN.html" TargetMode="External"/><Relationship Id="rId2084" Type="http://schemas.openxmlformats.org/officeDocument/2006/relationships/hyperlink" Target="http://www.broadinstitute.org/gsea/msigdb/cards/GSE5099_DAY3_VS_DAY7_MCSF_TREATED_MACROPHAGE_DN.html" TargetMode="External"/><Relationship Id="rId2085" Type="http://schemas.openxmlformats.org/officeDocument/2006/relationships/hyperlink" Target="http://www.broadinstitute.org/gsea/msigdb/cards/GSE5099_CLASSICAL_M1_VS_ALTERNATIVE_M2_MACROPHAGE_DN.html" TargetMode="External"/><Relationship Id="rId2086" Type="http://schemas.openxmlformats.org/officeDocument/2006/relationships/hyperlink" Target="http://www.broadinstitute.org/gsea/msigdb/cards/GSE5589_LPS_VS_LPS_AND_IL10_STIM_MACROPHAGE_45MIN_UP.html" TargetMode="External"/><Relationship Id="rId2087" Type="http://schemas.openxmlformats.org/officeDocument/2006/relationships/hyperlink" Target="http://www.broadinstitute.org/gsea/msigdb/cards/GSE5589_WT_VS_IL10_KO_LPS_AND_IL6_STIM_MACROPHAGE_45MIN_UP.html" TargetMode="External"/><Relationship Id="rId2088" Type="http://schemas.openxmlformats.org/officeDocument/2006/relationships/hyperlink" Target="http://www.broadinstitute.org/gsea/msigdb/cards/GSE6259_FLT3L_INDUCED_DEC205_POS_DC_VS_BCELL_UP.html" TargetMode="External"/><Relationship Id="rId2089" Type="http://schemas.openxmlformats.org/officeDocument/2006/relationships/hyperlink" Target="http://www.broadinstitute.org/gsea/msigdb/cards/GSE6875_TCONV_VS_FOXP3_KO_TREG_UP.html" TargetMode="External"/><Relationship Id="rId1" Type="http://schemas.openxmlformats.org/officeDocument/2006/relationships/hyperlink" Target="http://www.broadinstitute.org/gsea/msigdb/cards/HALLMARK_EPITHELIAL_MESENCHYMAL_TRANSITION.html" TargetMode="External"/><Relationship Id="rId2" Type="http://schemas.openxmlformats.org/officeDocument/2006/relationships/hyperlink" Target="http://www.broadinstitute.org/gsea/msigdb/cards/HALLMARK_MYOGENESIS.html" TargetMode="External"/><Relationship Id="rId3" Type="http://schemas.openxmlformats.org/officeDocument/2006/relationships/hyperlink" Target="http://www.broadinstitute.org/gsea/msigdb/cards/HALLMARK_APICAL_JUNCTION.html" TargetMode="External"/><Relationship Id="rId920" Type="http://schemas.openxmlformats.org/officeDocument/2006/relationships/hyperlink" Target="http://www.broadinstitute.org/gsea/msigdb/cards/ER_Q6.html" TargetMode="External"/><Relationship Id="rId921" Type="http://schemas.openxmlformats.org/officeDocument/2006/relationships/hyperlink" Target="http://www.broadinstitute.org/gsea/msigdb/cards/IK1_01.html" TargetMode="External"/><Relationship Id="rId922" Type="http://schemas.openxmlformats.org/officeDocument/2006/relationships/hyperlink" Target="http://www.broadinstitute.org/gsea/msigdb/cards/GR_Q6_01.html" TargetMode="External"/><Relationship Id="rId923" Type="http://schemas.openxmlformats.org/officeDocument/2006/relationships/hyperlink" Target="http://www.broadinstitute.org/gsea/msigdb/cards/FAC1_01.html" TargetMode="External"/><Relationship Id="rId924" Type="http://schemas.openxmlformats.org/officeDocument/2006/relationships/hyperlink" Target="http://www.broadinstitute.org/gsea/msigdb/cards/CCANNAGRKGGC_UNKNOWN.html" TargetMode="External"/><Relationship Id="rId925" Type="http://schemas.openxmlformats.org/officeDocument/2006/relationships/hyperlink" Target="http://www.broadinstitute.org/gsea/msigdb/cards/CHX10_01.html" TargetMode="External"/><Relationship Id="rId926" Type="http://schemas.openxmlformats.org/officeDocument/2006/relationships/hyperlink" Target="http://www.broadinstitute.org/gsea/msigdb/cards/VDR_Q3.html" TargetMode="External"/><Relationship Id="rId927" Type="http://schemas.openxmlformats.org/officeDocument/2006/relationships/hyperlink" Target="http://www.broadinstitute.org/gsea/msigdb/cards/CAGNYGKNAAA_UNKNOWN.html" TargetMode="External"/><Relationship Id="rId140" Type="http://schemas.openxmlformats.org/officeDocument/2006/relationships/hyperlink" Target="http://www.broadinstitute.org/gsea/msigdb/cards/LEE_NEURAL_CREST_STEM_CELL_UP.html" TargetMode="External"/><Relationship Id="rId141" Type="http://schemas.openxmlformats.org/officeDocument/2006/relationships/hyperlink" Target="http://www.broadinstitute.org/gsea/msigdb/cards/AZARE_NEOPLASTIC_TRANSFORMATION_BY_STAT3_UP.html" TargetMode="External"/><Relationship Id="rId142" Type="http://schemas.openxmlformats.org/officeDocument/2006/relationships/hyperlink" Target="http://www.broadinstitute.org/gsea/msigdb/cards/DELYS_THYROID_CANCER_UP.html" TargetMode="External"/><Relationship Id="rId143" Type="http://schemas.openxmlformats.org/officeDocument/2006/relationships/hyperlink" Target="http://www.broadinstitute.org/gsea/msigdb/cards/REACTOME_SIGNALING_BY_PDGF.html" TargetMode="External"/><Relationship Id="rId144" Type="http://schemas.openxmlformats.org/officeDocument/2006/relationships/hyperlink" Target="http://www.broadinstitute.org/gsea/msigdb/cards/NAKAMURA_ADIPOGENESIS_LATE_DN.html" TargetMode="External"/><Relationship Id="rId145" Type="http://schemas.openxmlformats.org/officeDocument/2006/relationships/hyperlink" Target="http://www.broadinstitute.org/gsea/msigdb/cards/DAVICIONI_MOLECULAR_ARMS_VS_ERMS_DN.html" TargetMode="External"/><Relationship Id="rId146" Type="http://schemas.openxmlformats.org/officeDocument/2006/relationships/hyperlink" Target="http://www.broadinstitute.org/gsea/msigdb/cards/VERHAAK_GLIOBLASTOMA_MESENCHYMAL.html" TargetMode="External"/><Relationship Id="rId147" Type="http://schemas.openxmlformats.org/officeDocument/2006/relationships/hyperlink" Target="http://www.broadinstitute.org/gsea/msigdb/cards/REACTOME_NCAM1_INTERACTIONS.html" TargetMode="External"/><Relationship Id="rId148" Type="http://schemas.openxmlformats.org/officeDocument/2006/relationships/hyperlink" Target="http://www.broadinstitute.org/gsea/msigdb/cards/DELACROIX_RARG_BOUND_MEF.html" TargetMode="External"/><Relationship Id="rId149" Type="http://schemas.openxmlformats.org/officeDocument/2006/relationships/hyperlink" Target="http://www.broadinstitute.org/gsea/msigdb/cards/CHARAFE_BREAST_CANCER_LUMINAL_VS_BASAL_DN.html" TargetMode="External"/><Relationship Id="rId928" Type="http://schemas.openxmlformats.org/officeDocument/2006/relationships/hyperlink" Target="http://www.broadinstitute.org/gsea/msigdb/cards/HP1SITEFACTOR_Q6.html" TargetMode="External"/><Relationship Id="rId929" Type="http://schemas.openxmlformats.org/officeDocument/2006/relationships/hyperlink" Target="http://www.broadinstitute.org/gsea/msigdb/cards/MSX1_01.html" TargetMode="External"/><Relationship Id="rId530" Type="http://schemas.openxmlformats.org/officeDocument/2006/relationships/hyperlink" Target="http://www.broadinstitute.org/gsea/msigdb/cards/HADDAD_B_LYMPHOCYTE_PROGENITOR.html" TargetMode="External"/><Relationship Id="rId531" Type="http://schemas.openxmlformats.org/officeDocument/2006/relationships/hyperlink" Target="http://www.broadinstitute.org/gsea/msigdb/cards/REACTOME_CELL_SURFACE_INTERACTIONS_AT_THE_VASCULAR_WALL.html" TargetMode="External"/><Relationship Id="rId532" Type="http://schemas.openxmlformats.org/officeDocument/2006/relationships/hyperlink" Target="http://www.broadinstitute.org/gsea/msigdb/cards/LA_MEN1_TARGETS.html" TargetMode="External"/><Relationship Id="rId533" Type="http://schemas.openxmlformats.org/officeDocument/2006/relationships/hyperlink" Target="http://www.broadinstitute.org/gsea/msigdb/cards/OXFORD_RALA_OR_RALB_TARGETS_DN.html" TargetMode="External"/><Relationship Id="rId534" Type="http://schemas.openxmlformats.org/officeDocument/2006/relationships/hyperlink" Target="http://www.broadinstitute.org/gsea/msigdb/cards/WANG_LSD1_TARGETS_UP.html" TargetMode="External"/><Relationship Id="rId535" Type="http://schemas.openxmlformats.org/officeDocument/2006/relationships/hyperlink" Target="http://www.broadinstitute.org/gsea/msigdb/cards/MISHRA_CARCINOMA_ASSOCIATED_FIBROBLAST_DN.html" TargetMode="External"/><Relationship Id="rId536" Type="http://schemas.openxmlformats.org/officeDocument/2006/relationships/hyperlink" Target="http://www.broadinstitute.org/gsea/msigdb/cards/AZARE_STAT3_TARGETS.html" TargetMode="External"/><Relationship Id="rId537" Type="http://schemas.openxmlformats.org/officeDocument/2006/relationships/hyperlink" Target="http://www.broadinstitute.org/gsea/msigdb/cards/DELACROIX_RAR_TARGETS_DN.html" TargetMode="External"/><Relationship Id="rId538" Type="http://schemas.openxmlformats.org/officeDocument/2006/relationships/hyperlink" Target="http://www.broadinstitute.org/gsea/msigdb/cards/PLASARI_TGFB1_SIGNALING_VIA_NFIC_10HR_UP.html" TargetMode="External"/><Relationship Id="rId539" Type="http://schemas.openxmlformats.org/officeDocument/2006/relationships/hyperlink" Target="http://www.broadinstitute.org/gsea/msigdb/cards/MIKKELSEN_ES_ICP_WITH_H3K4ME3_AND_H3K27ME3.html" TargetMode="External"/><Relationship Id="rId4" Type="http://schemas.openxmlformats.org/officeDocument/2006/relationships/hyperlink" Target="http://www.broadinstitute.org/gsea/msigdb/cards/HALLMARK_COAGULATION.html" TargetMode="External"/><Relationship Id="rId5" Type="http://schemas.openxmlformats.org/officeDocument/2006/relationships/hyperlink" Target="http://www.broadinstitute.org/gsea/msigdb/cards/HALLMARK_ANGIOGENESIS.html" TargetMode="External"/><Relationship Id="rId6" Type="http://schemas.openxmlformats.org/officeDocument/2006/relationships/hyperlink" Target="http://www.broadinstitute.org/gsea/msigdb/cards/HALLMARK_UV_RESPONSE_DN.html" TargetMode="External"/><Relationship Id="rId7" Type="http://schemas.openxmlformats.org/officeDocument/2006/relationships/hyperlink" Target="http://www.broadinstitute.org/gsea/msigdb/cards/HALLMARK_APOPTOSIS.html" TargetMode="External"/><Relationship Id="rId8" Type="http://schemas.openxmlformats.org/officeDocument/2006/relationships/hyperlink" Target="http://www.broadinstitute.org/gsea/msigdb/cards/HALLMARK_COMPLEMENT.html" TargetMode="External"/><Relationship Id="rId9" Type="http://schemas.openxmlformats.org/officeDocument/2006/relationships/hyperlink" Target="http://www.broadinstitute.org/gsea/msigdb/cards/HALLMARK_KRAS_SIGNALING_UP.html" TargetMode="External"/><Relationship Id="rId1790" Type="http://schemas.openxmlformats.org/officeDocument/2006/relationships/hyperlink" Target="http://www.broadinstitute.org/gsea/msigdb/cards/CAMP_UP.V1_DN.html" TargetMode="External"/><Relationship Id="rId1791" Type="http://schemas.openxmlformats.org/officeDocument/2006/relationships/hyperlink" Target="http://www.broadinstitute.org/gsea/msigdb/cards/SNF5_DN.V1_UP.html" TargetMode="External"/><Relationship Id="rId1792" Type="http://schemas.openxmlformats.org/officeDocument/2006/relationships/hyperlink" Target="http://www.broadinstitute.org/gsea/msigdb/cards/MTOR_UP.V1_DN.html" TargetMode="External"/><Relationship Id="rId1793" Type="http://schemas.openxmlformats.org/officeDocument/2006/relationships/hyperlink" Target="http://www.broadinstitute.org/gsea/msigdb/cards/ESC_V6.5_UP_LATE.V1_DN.html" TargetMode="External"/><Relationship Id="rId1794" Type="http://schemas.openxmlformats.org/officeDocument/2006/relationships/hyperlink" Target="http://www.broadinstitute.org/gsea/msigdb/cards/CRX_DN.V1_UP.html" TargetMode="External"/><Relationship Id="rId1795" Type="http://schemas.openxmlformats.org/officeDocument/2006/relationships/hyperlink" Target="http://www.broadinstitute.org/gsea/msigdb/cards/JAK2_DN.V1_UP.html" TargetMode="External"/><Relationship Id="rId1796" Type="http://schemas.openxmlformats.org/officeDocument/2006/relationships/hyperlink" Target="http://www.broadinstitute.org/gsea/msigdb/cards/JNK_DN.V1_UP.html" TargetMode="External"/><Relationship Id="rId1797" Type="http://schemas.openxmlformats.org/officeDocument/2006/relationships/hyperlink" Target="http://www.broadinstitute.org/gsea/msigdb/cards/ESC_J1_UP_LATE.V1_UP.html" TargetMode="External"/><Relationship Id="rId1798" Type="http://schemas.openxmlformats.org/officeDocument/2006/relationships/hyperlink" Target="http://www.broadinstitute.org/gsea/msigdb/cards/TGFB_UP.V1_UP.html" TargetMode="External"/><Relationship Id="rId1799" Type="http://schemas.openxmlformats.org/officeDocument/2006/relationships/hyperlink" Target="http://www.broadinstitute.org/gsea/msigdb/cards/P53_DN.V1_UP.html" TargetMode="External"/><Relationship Id="rId2090" Type="http://schemas.openxmlformats.org/officeDocument/2006/relationships/hyperlink" Target="http://www.broadinstitute.org/gsea/msigdb/cards/GSE9509_LPS_VS_LPS_AND_IL10_STIM_IL10_KO_MACROPHAGE_10MIN_UP.html" TargetMode="External"/><Relationship Id="rId2091" Type="http://schemas.openxmlformats.org/officeDocument/2006/relationships/hyperlink" Target="http://www.broadinstitute.org/gsea/msigdb/cards/GSE7831_CPG_VS_INFLUENZA_STIM_PDC_4H_DN.html" TargetMode="External"/><Relationship Id="rId2092" Type="http://schemas.openxmlformats.org/officeDocument/2006/relationships/hyperlink" Target="http://www.broadinstitute.org/gsea/msigdb/cards/GSE7831_1H_VS_4H_INFLUENZA_STIM_PDC_UP.html" TargetMode="External"/><Relationship Id="rId2093" Type="http://schemas.openxmlformats.org/officeDocument/2006/relationships/hyperlink" Target="http://www.broadinstitute.org/gsea/msigdb/cards/GSE8621_UNSTIM_VS_LPS_PRIMED_AND_LPS_STIM_MACROPHAGE_UP.html" TargetMode="External"/><Relationship Id="rId2094" Type="http://schemas.openxmlformats.org/officeDocument/2006/relationships/hyperlink" Target="http://www.broadinstitute.org/gsea/msigdb/cards/GSE7568_CTRL_VS_24H_TGFB_TREATED_MACROPHAGES_WITH_IL4_AND_DEXAMETHASONE_DN.html" TargetMode="External"/><Relationship Id="rId2095" Type="http://schemas.openxmlformats.org/officeDocument/2006/relationships/hyperlink" Target="http://www.broadinstitute.org/gsea/msigdb/cards/GSE11818_WT_VS_DICER_KO_TREG_UP.html" TargetMode="External"/><Relationship Id="rId2096" Type="http://schemas.openxmlformats.org/officeDocument/2006/relationships/hyperlink" Target="http://www.broadinstitute.org/gsea/msigdb/cards/GSE9946_IMMATURE_VS_LISTERIA_INF_MATURE_DC_UP.html" TargetMode="External"/><Relationship Id="rId2097" Type="http://schemas.openxmlformats.org/officeDocument/2006/relationships/hyperlink" Target="http://www.broadinstitute.org/gsea/msigdb/cards/GSE12963_UNINF_VS_ENV_AND_NEF_AND_VPR_DEFICIENT_HIV1_INF_CD4_TCELL_DN.html" TargetMode="External"/><Relationship Id="rId2098" Type="http://schemas.openxmlformats.org/officeDocument/2006/relationships/hyperlink" Target="http://www.broadinstitute.org/gsea/msigdb/cards/GSE12198_CTRL_VS_HIGH_IL2_STIM_NK_CELL_DN.html" TargetMode="External"/><Relationship Id="rId2099" Type="http://schemas.openxmlformats.org/officeDocument/2006/relationships/hyperlink" Target="http://www.broadinstitute.org/gsea/msigdb/cards/GSE9960_HEALTHY_VS_GRAM_NEG_AND_POS_SEPSIS_PBMC_UP.html" TargetMode="External"/><Relationship Id="rId1000" Type="http://schemas.openxmlformats.org/officeDocument/2006/relationships/hyperlink" Target="http://www.broadinstitute.org/gsea/msigdb/cards/RSRFC4_Q2.html" TargetMode="External"/><Relationship Id="rId1001" Type="http://schemas.openxmlformats.org/officeDocument/2006/relationships/hyperlink" Target="http://www.broadinstitute.org/gsea/msigdb/cards/PAX6_01.html" TargetMode="External"/><Relationship Id="rId1002" Type="http://schemas.openxmlformats.org/officeDocument/2006/relationships/hyperlink" Target="http://www.broadinstitute.org/gsea/msigdb/cards/CACTGCC_MIR34A_MIR34C_MIR449.html" TargetMode="External"/><Relationship Id="rId1003" Type="http://schemas.openxmlformats.org/officeDocument/2006/relationships/hyperlink" Target="http://www.broadinstitute.org/gsea/msigdb/cards/ACACTGG_MIR199A_MIR199B.html" TargetMode="External"/><Relationship Id="rId930" Type="http://schemas.openxmlformats.org/officeDocument/2006/relationships/hyperlink" Target="http://www.broadinstitute.org/gsea/msigdb/cards/TGACGTCA_ATF3_Q6.html" TargetMode="External"/><Relationship Id="rId931" Type="http://schemas.openxmlformats.org/officeDocument/2006/relationships/hyperlink" Target="http://www.broadinstitute.org/gsea/msigdb/cards/GATAAGR_GATA_C.html" TargetMode="External"/><Relationship Id="rId932" Type="http://schemas.openxmlformats.org/officeDocument/2006/relationships/hyperlink" Target="http://www.broadinstitute.org/gsea/msigdb/cards/AR_Q2.html" TargetMode="External"/><Relationship Id="rId933" Type="http://schemas.openxmlformats.org/officeDocument/2006/relationships/hyperlink" Target="http://www.broadinstitute.org/gsea/msigdb/cards/TAGCTTT_MIR9.html" TargetMode="External"/><Relationship Id="rId934" Type="http://schemas.openxmlformats.org/officeDocument/2006/relationships/hyperlink" Target="http://www.broadinstitute.org/gsea/msigdb/cards/ATACCTC_MIR202.html" TargetMode="External"/><Relationship Id="rId935" Type="http://schemas.openxmlformats.org/officeDocument/2006/relationships/hyperlink" Target="http://www.broadinstitute.org/gsea/msigdb/cards/SP1_01.html" TargetMode="External"/><Relationship Id="rId936" Type="http://schemas.openxmlformats.org/officeDocument/2006/relationships/hyperlink" Target="http://www.broadinstitute.org/gsea/msigdb/cards/EVI1_04.html" TargetMode="External"/><Relationship Id="rId937" Type="http://schemas.openxmlformats.org/officeDocument/2006/relationships/hyperlink" Target="http://www.broadinstitute.org/gsea/msigdb/cards/MEIS1_01.html" TargetMode="External"/><Relationship Id="rId150" Type="http://schemas.openxmlformats.org/officeDocument/2006/relationships/hyperlink" Target="http://www.broadinstitute.org/gsea/msigdb/cards/REACTOME_INTEGRIN_CELL_SURFACE_INTERACTIONS.html" TargetMode="External"/><Relationship Id="rId151" Type="http://schemas.openxmlformats.org/officeDocument/2006/relationships/hyperlink" Target="http://www.broadinstitute.org/gsea/msigdb/cards/HELLEBREKERS_SILENCED_DURING_TUMOR_ANGIOGENESIS.html" TargetMode="External"/><Relationship Id="rId152" Type="http://schemas.openxmlformats.org/officeDocument/2006/relationships/hyperlink" Target="http://www.broadinstitute.org/gsea/msigdb/cards/PETROVA_ENDOTHELIUM_LYMPHATIC_VS_BLOOD_DN.html" TargetMode="External"/><Relationship Id="rId153" Type="http://schemas.openxmlformats.org/officeDocument/2006/relationships/hyperlink" Target="http://www.broadinstitute.org/gsea/msigdb/cards/COWLING_MYCN_TARGETS.html" TargetMode="External"/><Relationship Id="rId154" Type="http://schemas.openxmlformats.org/officeDocument/2006/relationships/hyperlink" Target="http://www.broadinstitute.org/gsea/msigdb/cards/DOUGLAS_BMI1_TARGETS_UP.html" TargetMode="External"/><Relationship Id="rId155" Type="http://schemas.openxmlformats.org/officeDocument/2006/relationships/hyperlink" Target="http://www.broadinstitute.org/gsea/msigdb/cards/BURTON_ADIPOGENESIS_PEAK_AT_0HR.html" TargetMode="External"/><Relationship Id="rId156" Type="http://schemas.openxmlformats.org/officeDocument/2006/relationships/hyperlink" Target="http://www.broadinstitute.org/gsea/msigdb/cards/JI_CARCINOGENESIS_BY_KRAS_AND_STK11_DN.html" TargetMode="External"/><Relationship Id="rId157" Type="http://schemas.openxmlformats.org/officeDocument/2006/relationships/hyperlink" Target="http://www.broadinstitute.org/gsea/msigdb/cards/HOLLERN_ADENOMYOEPITHELIAL_BREAST_TUMOR.html" TargetMode="External"/><Relationship Id="rId158" Type="http://schemas.openxmlformats.org/officeDocument/2006/relationships/hyperlink" Target="http://www.broadinstitute.org/gsea/msigdb/cards/URS_ADIPOCYTE_DIFFERENTIATION_DN.html" TargetMode="External"/><Relationship Id="rId159" Type="http://schemas.openxmlformats.org/officeDocument/2006/relationships/hyperlink" Target="http://www.broadinstitute.org/gsea/msigdb/cards/LEI_MYB_TARGETS.html" TargetMode="External"/><Relationship Id="rId938" Type="http://schemas.openxmlformats.org/officeDocument/2006/relationships/hyperlink" Target="http://www.broadinstitute.org/gsea/msigdb/cards/GTGCCTT_MIR506.html" TargetMode="External"/><Relationship Id="rId939" Type="http://schemas.openxmlformats.org/officeDocument/2006/relationships/hyperlink" Target="http://www.broadinstitute.org/gsea/msigdb/cards/GATA1_02.html" TargetMode="External"/><Relationship Id="rId1004" Type="http://schemas.openxmlformats.org/officeDocument/2006/relationships/hyperlink" Target="http://www.broadinstitute.org/gsea/msigdb/cards/ATGAAGG_MIR205.html" TargetMode="External"/><Relationship Id="rId1005" Type="http://schemas.openxmlformats.org/officeDocument/2006/relationships/hyperlink" Target="http://www.broadinstitute.org/gsea/msigdb/cards/GTGACTT_MIR224.html" TargetMode="External"/><Relationship Id="rId1006" Type="http://schemas.openxmlformats.org/officeDocument/2006/relationships/hyperlink" Target="http://www.broadinstitute.org/gsea/msigdb/cards/ACTGCCT_MIR34B.html" TargetMode="External"/><Relationship Id="rId1007" Type="http://schemas.openxmlformats.org/officeDocument/2006/relationships/hyperlink" Target="http://www.broadinstitute.org/gsea/msigdb/cards/MAZR_01.html" TargetMode="External"/><Relationship Id="rId1008" Type="http://schemas.openxmlformats.org/officeDocument/2006/relationships/hyperlink" Target="http://www.broadinstitute.org/gsea/msigdb/cards/GTACAGG_MIR486.html" TargetMode="External"/><Relationship Id="rId1009" Type="http://schemas.openxmlformats.org/officeDocument/2006/relationships/hyperlink" Target="http://www.broadinstitute.org/gsea/msigdb/cards/E4F1_Q6.html" TargetMode="External"/><Relationship Id="rId540" Type="http://schemas.openxmlformats.org/officeDocument/2006/relationships/hyperlink" Target="http://www.broadinstitute.org/gsea/msigdb/cards/TONKS_TARGETS_OF_RUNX1_RUNX1T1_FUSION_GRANULOCYTE_UP.html" TargetMode="External"/><Relationship Id="rId541" Type="http://schemas.openxmlformats.org/officeDocument/2006/relationships/hyperlink" Target="http://www.broadinstitute.org/gsea/msigdb/cards/PID_INTEGRIN_A9B1_PATHWAY.html" TargetMode="External"/><Relationship Id="rId542" Type="http://schemas.openxmlformats.org/officeDocument/2006/relationships/hyperlink" Target="http://www.broadinstitute.org/gsea/msigdb/cards/REACTOME_NITRIC_OXIDE_STIMULATES_GUANYLATE_CYCLASE.html" TargetMode="External"/><Relationship Id="rId543" Type="http://schemas.openxmlformats.org/officeDocument/2006/relationships/hyperlink" Target="http://www.broadinstitute.org/gsea/msigdb/cards/LU_TUMOR_ANGIOGENESIS_UP.html" TargetMode="External"/><Relationship Id="rId544" Type="http://schemas.openxmlformats.org/officeDocument/2006/relationships/hyperlink" Target="http://www.broadinstitute.org/gsea/msigdb/cards/ALCALAY_AML_BY_NPM1_LOCALIZATION_UP.html" TargetMode="External"/><Relationship Id="rId545" Type="http://schemas.openxmlformats.org/officeDocument/2006/relationships/hyperlink" Target="http://www.broadinstitute.org/gsea/msigdb/cards/GRAHAM_CML_DIVIDING_VS_NORMAL_QUIESCENT_DN.html" TargetMode="External"/><Relationship Id="rId546" Type="http://schemas.openxmlformats.org/officeDocument/2006/relationships/hyperlink" Target="http://www.broadinstitute.org/gsea/msigdb/cards/RUTELLA_RESPONSE_TO_HGF_VS_CSF2RB_AND_IL4_DN.html" TargetMode="External"/><Relationship Id="rId547" Type="http://schemas.openxmlformats.org/officeDocument/2006/relationships/hyperlink" Target="http://www.broadinstitute.org/gsea/msigdb/cards/TSAI_DNAJB4_TARGETS_DN.html" TargetMode="External"/><Relationship Id="rId548" Type="http://schemas.openxmlformats.org/officeDocument/2006/relationships/hyperlink" Target="http://www.broadinstitute.org/gsea/msigdb/cards/REACTOME_KERATAN_SULFATE_BIOSYNTHESIS.html" TargetMode="External"/><Relationship Id="rId549" Type="http://schemas.openxmlformats.org/officeDocument/2006/relationships/hyperlink" Target="http://www.broadinstitute.org/gsea/msigdb/cards/GAUSSMANN_MLL_AF4_FUSION_TARGETS_B_UP.html" TargetMode="External"/><Relationship Id="rId1400" Type="http://schemas.openxmlformats.org/officeDocument/2006/relationships/hyperlink" Target="http://www.broadinstitute.org/gsea/msigdb/cards/GO_MUCOPOLYSACCHARIDE_METABOLIC_PROCESS.html" TargetMode="External"/><Relationship Id="rId1401" Type="http://schemas.openxmlformats.org/officeDocument/2006/relationships/hyperlink" Target="http://www.broadinstitute.org/gsea/msigdb/cards/GO_ACTIN_BINDING.html" TargetMode="External"/><Relationship Id="rId1402" Type="http://schemas.openxmlformats.org/officeDocument/2006/relationships/hyperlink" Target="http://www.broadinstitute.org/gsea/msigdb/cards/GO_SPROUTING_ANGIOGENESIS.html" TargetMode="External"/><Relationship Id="rId1403" Type="http://schemas.openxmlformats.org/officeDocument/2006/relationships/hyperlink" Target="http://www.broadinstitute.org/gsea/msigdb/cards/GO_SMOOTH_MUSCLE_CONTRACTION.html" TargetMode="External"/><Relationship Id="rId1404" Type="http://schemas.openxmlformats.org/officeDocument/2006/relationships/hyperlink" Target="http://www.broadinstitute.org/gsea/msigdb/cards/GO_HETEROPHILIC_CELL_CELL_ADHESION_VIA_PLASMA_MEMBRANE_CELL_ADHESION_MOLECULES.html" TargetMode="External"/><Relationship Id="rId1405" Type="http://schemas.openxmlformats.org/officeDocument/2006/relationships/hyperlink" Target="http://www.broadinstitute.org/gsea/msigdb/cards/GO_REGULATION_OF_CELL_DEATH.html" TargetMode="External"/><Relationship Id="rId1406" Type="http://schemas.openxmlformats.org/officeDocument/2006/relationships/hyperlink" Target="http://www.broadinstitute.org/gsea/msigdb/cards/GO_NEGATIVE_REGULATION_OF_CATALYTIC_ACTIVITY.html" TargetMode="External"/><Relationship Id="rId1407" Type="http://schemas.openxmlformats.org/officeDocument/2006/relationships/hyperlink" Target="http://www.broadinstitute.org/gsea/msigdb/cards/GO_POSITIVE_REGULATION_OF_PHOSPHORUS_METABOLIC_PROCESS.html" TargetMode="External"/><Relationship Id="rId1408" Type="http://schemas.openxmlformats.org/officeDocument/2006/relationships/hyperlink" Target="http://www.broadinstitute.org/gsea/msigdb/cards/GO_TRANSITION_METAL_ION_BINDING.html" TargetMode="External"/><Relationship Id="rId1409" Type="http://schemas.openxmlformats.org/officeDocument/2006/relationships/hyperlink" Target="http://www.broadinstitute.org/gsea/msigdb/cards/GO_NEGATIVE_REGULATION_OF_HYDROLASE_ACTIVITY.html" TargetMode="External"/><Relationship Id="rId940" Type="http://schemas.openxmlformats.org/officeDocument/2006/relationships/hyperlink" Target="http://www.broadinstitute.org/gsea/msigdb/cards/MEF2_Q6_01.html" TargetMode="External"/><Relationship Id="rId941" Type="http://schemas.openxmlformats.org/officeDocument/2006/relationships/hyperlink" Target="http://www.broadinstitute.org/gsea/msigdb/cards/RSRFC4_01.html" TargetMode="External"/><Relationship Id="rId942" Type="http://schemas.openxmlformats.org/officeDocument/2006/relationships/hyperlink" Target="http://www.broadinstitute.org/gsea/msigdb/cards/FOXO1_01.html" TargetMode="External"/><Relationship Id="rId943" Type="http://schemas.openxmlformats.org/officeDocument/2006/relationships/hyperlink" Target="http://www.broadinstitute.org/gsea/msigdb/cards/SREBP1_Q6.html" TargetMode="External"/><Relationship Id="rId944" Type="http://schemas.openxmlformats.org/officeDocument/2006/relationships/hyperlink" Target="http://www.broadinstitute.org/gsea/msigdb/cards/LMO2COM_02.html" TargetMode="External"/><Relationship Id="rId945" Type="http://schemas.openxmlformats.org/officeDocument/2006/relationships/hyperlink" Target="http://www.broadinstitute.org/gsea/msigdb/cards/GGATTA_PITX2_Q2.html" TargetMode="External"/><Relationship Id="rId160" Type="http://schemas.openxmlformats.org/officeDocument/2006/relationships/hyperlink" Target="http://www.broadinstitute.org/gsea/msigdb/cards/MANALO_HYPOXIA_UP.html" TargetMode="External"/><Relationship Id="rId161" Type="http://schemas.openxmlformats.org/officeDocument/2006/relationships/hyperlink" Target="http://www.broadinstitute.org/gsea/msigdb/cards/PLASARI_TGFB1_TARGETS_10HR_DN.html" TargetMode="External"/><Relationship Id="rId162" Type="http://schemas.openxmlformats.org/officeDocument/2006/relationships/hyperlink" Target="http://www.broadinstitute.org/gsea/msigdb/cards/CAIRO_HEPATOBLASTOMA_CLASSES_DN.html" TargetMode="External"/><Relationship Id="rId163" Type="http://schemas.openxmlformats.org/officeDocument/2006/relationships/hyperlink" Target="http://www.broadinstitute.org/gsea/msigdb/cards/NIELSEN_LEIOMYOSARCOMA_CNN1_UP.html" TargetMode="External"/><Relationship Id="rId164" Type="http://schemas.openxmlformats.org/officeDocument/2006/relationships/hyperlink" Target="http://www.broadinstitute.org/gsea/msigdb/cards/CHIARADONNA_NEOPLASTIC_TRANSFORMATION_CDC25_UP.html" TargetMode="External"/><Relationship Id="rId165" Type="http://schemas.openxmlformats.org/officeDocument/2006/relationships/hyperlink" Target="http://www.broadinstitute.org/gsea/msigdb/cards/CHEBOTAEV_GR_TARGETS_DN.html" TargetMode="External"/><Relationship Id="rId166" Type="http://schemas.openxmlformats.org/officeDocument/2006/relationships/hyperlink" Target="http://www.broadinstitute.org/gsea/msigdb/cards/KAYO_CALORIE_RESTRICTION_MUSCLE_UP.html" TargetMode="External"/><Relationship Id="rId167" Type="http://schemas.openxmlformats.org/officeDocument/2006/relationships/hyperlink" Target="http://www.broadinstitute.org/gsea/msigdb/cards/SABATES_COLORECTAL_ADENOMA_DN.html" TargetMode="External"/><Relationship Id="rId168" Type="http://schemas.openxmlformats.org/officeDocument/2006/relationships/hyperlink" Target="http://www.broadinstitute.org/gsea/msigdb/cards/BONOME_OVARIAN_CANCER_SURVIVAL_SUBOPTIMAL_DEBULKING.html" TargetMode="External"/><Relationship Id="rId169" Type="http://schemas.openxmlformats.org/officeDocument/2006/relationships/hyperlink" Target="http://www.broadinstitute.org/gsea/msigdb/cards/DAVICIONI_TARGETS_OF_PAX_FOXO1_FUSIONS_UP.html" TargetMode="External"/><Relationship Id="rId946" Type="http://schemas.openxmlformats.org/officeDocument/2006/relationships/hyperlink" Target="http://www.broadinstitute.org/gsea/msigdb/cards/ISRE_01.html" TargetMode="External"/><Relationship Id="rId947" Type="http://schemas.openxmlformats.org/officeDocument/2006/relationships/hyperlink" Target="http://www.broadinstitute.org/gsea/msigdb/cards/CTGYNNCTYTAA_UNKNOWN.html" TargetMode="External"/><Relationship Id="rId948" Type="http://schemas.openxmlformats.org/officeDocument/2006/relationships/hyperlink" Target="http://www.broadinstitute.org/gsea/msigdb/cards/ETS_Q4.html" TargetMode="External"/><Relationship Id="rId949" Type="http://schemas.openxmlformats.org/officeDocument/2006/relationships/hyperlink" Target="http://www.broadinstitute.org/gsea/msigdb/cards/TTTNNANAGCYR_UNKNOWN.html" TargetMode="External"/><Relationship Id="rId1010" Type="http://schemas.openxmlformats.org/officeDocument/2006/relationships/hyperlink" Target="http://www.broadinstitute.org/gsea/msigdb/cards/TGTTTAC_MIR30A5P_MIR30C_MIR30D_MIR30B_MIR30E5P.html" TargetMode="External"/><Relationship Id="rId1011" Type="http://schemas.openxmlformats.org/officeDocument/2006/relationships/hyperlink" Target="http://www.broadinstitute.org/gsea/msigdb/cards/AGTTCTC_MIR146A_MIR146B.html" TargetMode="External"/><Relationship Id="rId1012" Type="http://schemas.openxmlformats.org/officeDocument/2006/relationships/hyperlink" Target="http://www.broadinstitute.org/gsea/msigdb/cards/GTGGGTGK_UNKNOWN.html" TargetMode="External"/><Relationship Id="rId1013" Type="http://schemas.openxmlformats.org/officeDocument/2006/relationships/hyperlink" Target="http://www.broadinstitute.org/gsea/msigdb/cards/MEF2_02.html" TargetMode="External"/><Relationship Id="rId1014" Type="http://schemas.openxmlformats.org/officeDocument/2006/relationships/hyperlink" Target="http://www.broadinstitute.org/gsea/msigdb/cards/ACTGCAG_MIR173P.html" TargetMode="External"/><Relationship Id="rId1015" Type="http://schemas.openxmlformats.org/officeDocument/2006/relationships/hyperlink" Target="http://www.broadinstitute.org/gsea/msigdb/cards/ATF1_Q6.html" TargetMode="External"/><Relationship Id="rId1016" Type="http://schemas.openxmlformats.org/officeDocument/2006/relationships/hyperlink" Target="http://www.broadinstitute.org/gsea/msigdb/cards/RYTAAWNNNTGAY_UNKNOWN.html" TargetMode="External"/><Relationship Id="rId1017" Type="http://schemas.openxmlformats.org/officeDocument/2006/relationships/hyperlink" Target="http://www.broadinstitute.org/gsea/msigdb/cards/MODULE_47.html" TargetMode="External"/><Relationship Id="rId1018" Type="http://schemas.openxmlformats.org/officeDocument/2006/relationships/hyperlink" Target="http://www.broadinstitute.org/gsea/msigdb/cards/MODULE_1.html" TargetMode="External"/><Relationship Id="rId1019" Type="http://schemas.openxmlformats.org/officeDocument/2006/relationships/hyperlink" Target="http://www.broadinstitute.org/gsea/msigdb/cards/MODULE_122.html" TargetMode="External"/><Relationship Id="rId550" Type="http://schemas.openxmlformats.org/officeDocument/2006/relationships/hyperlink" Target="http://www.broadinstitute.org/gsea/msigdb/cards/ABRAHAM_ALPC_VS_MULTIPLE_MYELOMA_UP.html" TargetMode="External"/><Relationship Id="rId551" Type="http://schemas.openxmlformats.org/officeDocument/2006/relationships/hyperlink" Target="http://www.broadinstitute.org/gsea/msigdb/cards/GYORFFY_MITOXANTRONE_RESISTANCE.html" TargetMode="External"/><Relationship Id="rId552" Type="http://schemas.openxmlformats.org/officeDocument/2006/relationships/hyperlink" Target="http://www.broadinstitute.org/gsea/msigdb/cards/MOHANKUMAR_HOXA1_TARGETS_DN.html" TargetMode="External"/><Relationship Id="rId553" Type="http://schemas.openxmlformats.org/officeDocument/2006/relationships/hyperlink" Target="http://www.broadinstitute.org/gsea/msigdb/cards/JOHANSSON_GLIOMAGENESIS_BY_PDGFB_UP.html" TargetMode="External"/><Relationship Id="rId554" Type="http://schemas.openxmlformats.org/officeDocument/2006/relationships/hyperlink" Target="http://www.broadinstitute.org/gsea/msigdb/cards/ZHENG_GLIOBLASTOMA_PLASTICITY_DN.html" TargetMode="External"/><Relationship Id="rId555" Type="http://schemas.openxmlformats.org/officeDocument/2006/relationships/hyperlink" Target="http://www.broadinstitute.org/gsea/msigdb/cards/ZHENG_GLIOBLASTOMA_PLASTICITY_UP.html" TargetMode="External"/><Relationship Id="rId556" Type="http://schemas.openxmlformats.org/officeDocument/2006/relationships/hyperlink" Target="http://www.broadinstitute.org/gsea/msigdb/cards/STARK_PREFRONTAL_CORTEX_22Q11_DELETION_UP.html" TargetMode="External"/><Relationship Id="rId557" Type="http://schemas.openxmlformats.org/officeDocument/2006/relationships/hyperlink" Target="http://www.broadinstitute.org/gsea/msigdb/cards/BROCKE_APOPTOSIS_REVERSED_BY_IL6.html" TargetMode="External"/><Relationship Id="rId558" Type="http://schemas.openxmlformats.org/officeDocument/2006/relationships/hyperlink" Target="http://www.broadinstitute.org/gsea/msigdb/cards/SENESE_HDAC3_TARGETS_UP.html" TargetMode="External"/><Relationship Id="rId559" Type="http://schemas.openxmlformats.org/officeDocument/2006/relationships/hyperlink" Target="http://www.broadinstitute.org/gsea/msigdb/cards/MCBRYAN_PUBERTAL_BREAST_4_5WK_DN.html" TargetMode="External"/><Relationship Id="rId1800" Type="http://schemas.openxmlformats.org/officeDocument/2006/relationships/hyperlink" Target="http://www.broadinstitute.org/gsea/msigdb/cards/KRAS.BREAST_UP.V1_DN.html" TargetMode="External"/><Relationship Id="rId1801" Type="http://schemas.openxmlformats.org/officeDocument/2006/relationships/hyperlink" Target="http://www.broadinstitute.org/gsea/msigdb/cards/KRAS.LUNG_UP.V1_DN.html" TargetMode="External"/><Relationship Id="rId1802" Type="http://schemas.openxmlformats.org/officeDocument/2006/relationships/hyperlink" Target="http://www.broadinstitute.org/gsea/msigdb/cards/SNF5_DN.V1_DN.html" TargetMode="External"/><Relationship Id="rId1803" Type="http://schemas.openxmlformats.org/officeDocument/2006/relationships/hyperlink" Target="http://www.broadinstitute.org/gsea/msigdb/cards/HINATA_NFKB_MATRIX.html" TargetMode="External"/><Relationship Id="rId1410" Type="http://schemas.openxmlformats.org/officeDocument/2006/relationships/hyperlink" Target="http://www.broadinstitute.org/gsea/msigdb/cards/GO_REGULATION_OF_PROTEIN_MODIFICATION_PROCESS.html" TargetMode="External"/><Relationship Id="rId1411" Type="http://schemas.openxmlformats.org/officeDocument/2006/relationships/hyperlink" Target="http://www.broadinstitute.org/gsea/msigdb/cards/GO_REGULATION_OF_CELLULAR_COMPONENT_BIOGENESIS.html" TargetMode="External"/><Relationship Id="rId1412" Type="http://schemas.openxmlformats.org/officeDocument/2006/relationships/hyperlink" Target="http://www.broadinstitute.org/gsea/msigdb/cards/GO_CYTOSKELETON_ORGANIZATION.html" TargetMode="External"/><Relationship Id="rId1413" Type="http://schemas.openxmlformats.org/officeDocument/2006/relationships/hyperlink" Target="http://www.broadinstitute.org/gsea/msigdb/cards/GO_METALLOENDOPEPTIDASE_ACTIVITY.html" TargetMode="External"/><Relationship Id="rId1414" Type="http://schemas.openxmlformats.org/officeDocument/2006/relationships/hyperlink" Target="http://www.broadinstitute.org/gsea/msigdb/cards/GO_NEGATIVE_REGULATION_OF_PEPTIDASE_ACTIVITY.html" TargetMode="External"/><Relationship Id="rId1415" Type="http://schemas.openxmlformats.org/officeDocument/2006/relationships/hyperlink" Target="http://www.broadinstitute.org/gsea/msigdb/cards/GO_POSITIVE_REGULATION_OF_RESPONSE_TO_EXTERNAL_STIMULUS.html" TargetMode="External"/><Relationship Id="rId1416" Type="http://schemas.openxmlformats.org/officeDocument/2006/relationships/hyperlink" Target="http://www.broadinstitute.org/gsea/msigdb/cards/GO_RENAL_TUBULE_DEVELOPMENT.html" TargetMode="External"/><Relationship Id="rId1417" Type="http://schemas.openxmlformats.org/officeDocument/2006/relationships/hyperlink" Target="http://www.broadinstitute.org/gsea/msigdb/cards/GO_REGULATION_OF_EMBRYONIC_DEVELOPMENT.html" TargetMode="External"/><Relationship Id="rId1418" Type="http://schemas.openxmlformats.org/officeDocument/2006/relationships/hyperlink" Target="http://www.broadinstitute.org/gsea/msigdb/cards/GO_CELL_LEADING_EDGE.html" TargetMode="External"/><Relationship Id="rId1419" Type="http://schemas.openxmlformats.org/officeDocument/2006/relationships/hyperlink" Target="http://www.broadinstitute.org/gsea/msigdb/cards/GO_POSITIVE_REGULATION_OF_GENE_EXPRESSION.html" TargetMode="External"/><Relationship Id="rId950" Type="http://schemas.openxmlformats.org/officeDocument/2006/relationships/hyperlink" Target="http://www.broadinstitute.org/gsea/msigdb/cards/ICSBP_Q6.html" TargetMode="External"/><Relationship Id="rId951" Type="http://schemas.openxmlformats.org/officeDocument/2006/relationships/hyperlink" Target="http://www.broadinstitute.org/gsea/msigdb/cards/GATA4_Q3.html" TargetMode="External"/><Relationship Id="rId952" Type="http://schemas.openxmlformats.org/officeDocument/2006/relationships/hyperlink" Target="http://www.broadinstitute.org/gsea/msigdb/cards/NKX22_01.html" TargetMode="External"/><Relationship Id="rId953" Type="http://schemas.openxmlformats.org/officeDocument/2006/relationships/hyperlink" Target="http://www.broadinstitute.org/gsea/msigdb/cards/E47_02.html" TargetMode="External"/><Relationship Id="rId954" Type="http://schemas.openxmlformats.org/officeDocument/2006/relationships/hyperlink" Target="http://www.broadinstitute.org/gsea/msigdb/cards/ATGTACA_MIR493.html" TargetMode="External"/><Relationship Id="rId955" Type="http://schemas.openxmlformats.org/officeDocument/2006/relationships/hyperlink" Target="http://www.broadinstitute.org/gsea/msigdb/cards/NFKAPPAB_01.html" TargetMode="External"/><Relationship Id="rId170" Type="http://schemas.openxmlformats.org/officeDocument/2006/relationships/hyperlink" Target="http://www.broadinstitute.org/gsea/msigdb/cards/THUM_SYSTOLIC_HEART_FAILURE_UP.html" TargetMode="External"/><Relationship Id="rId171" Type="http://schemas.openxmlformats.org/officeDocument/2006/relationships/hyperlink" Target="http://www.broadinstitute.org/gsea/msigdb/cards/QI_PLASMACYTOMA_DN.html" TargetMode="External"/><Relationship Id="rId172" Type="http://schemas.openxmlformats.org/officeDocument/2006/relationships/hyperlink" Target="http://www.broadinstitute.org/gsea/msigdb/cards/CHICAS_RB1_TARGETS_SENESCENT.html" TargetMode="External"/><Relationship Id="rId173" Type="http://schemas.openxmlformats.org/officeDocument/2006/relationships/hyperlink" Target="http://www.broadinstitute.org/gsea/msigdb/cards/SMID_BREAST_CANCER_NORMAL_LIKE_UP.html" TargetMode="External"/><Relationship Id="rId174" Type="http://schemas.openxmlformats.org/officeDocument/2006/relationships/hyperlink" Target="http://www.broadinstitute.org/gsea/msigdb/cards/LU_TUMOR_ENDOTHELIAL_MARKERS_UP.html" TargetMode="External"/><Relationship Id="rId175" Type="http://schemas.openxmlformats.org/officeDocument/2006/relationships/hyperlink" Target="http://www.broadinstitute.org/gsea/msigdb/cards/LANDIS_ERBB2_BREAST_TUMORS_65_DN.html" TargetMode="External"/><Relationship Id="rId176" Type="http://schemas.openxmlformats.org/officeDocument/2006/relationships/hyperlink" Target="http://www.broadinstitute.org/gsea/msigdb/cards/NAKAMURA_ADIPOGENESIS_EARLY_DN.html" TargetMode="External"/><Relationship Id="rId177" Type="http://schemas.openxmlformats.org/officeDocument/2006/relationships/hyperlink" Target="http://www.broadinstitute.org/gsea/msigdb/cards/DELYS_THYROID_CANCER_DN.html" TargetMode="External"/><Relationship Id="rId178" Type="http://schemas.openxmlformats.org/officeDocument/2006/relationships/hyperlink" Target="http://www.broadinstitute.org/gsea/msigdb/cards/SENESE_HDAC3_TARGETS_DN.html" TargetMode="External"/><Relationship Id="rId179" Type="http://schemas.openxmlformats.org/officeDocument/2006/relationships/hyperlink" Target="http://www.broadinstitute.org/gsea/msigdb/cards/IWANAGA_CARCINOGENESIS_BY_KRAS_PTEN_DN.html" TargetMode="External"/><Relationship Id="rId956" Type="http://schemas.openxmlformats.org/officeDocument/2006/relationships/hyperlink" Target="http://www.broadinstitute.org/gsea/msigdb/cards/STAT5A_01.html" TargetMode="External"/><Relationship Id="rId957" Type="http://schemas.openxmlformats.org/officeDocument/2006/relationships/hyperlink" Target="http://www.broadinstitute.org/gsea/msigdb/cards/CREB_Q3.html" TargetMode="External"/><Relationship Id="rId958" Type="http://schemas.openxmlformats.org/officeDocument/2006/relationships/hyperlink" Target="http://www.broadinstitute.org/gsea/msigdb/cards/PAX4_03.html" TargetMode="External"/><Relationship Id="rId959" Type="http://schemas.openxmlformats.org/officeDocument/2006/relationships/hyperlink" Target="http://www.broadinstitute.org/gsea/msigdb/cards/HNF1_Q6.html" TargetMode="External"/><Relationship Id="rId1020" Type="http://schemas.openxmlformats.org/officeDocument/2006/relationships/hyperlink" Target="http://www.broadinstitute.org/gsea/msigdb/cards/MODULE_2.html" TargetMode="External"/><Relationship Id="rId1021" Type="http://schemas.openxmlformats.org/officeDocument/2006/relationships/hyperlink" Target="http://www.broadinstitute.org/gsea/msigdb/cards/MODULE_12.html" TargetMode="External"/><Relationship Id="rId1022" Type="http://schemas.openxmlformats.org/officeDocument/2006/relationships/hyperlink" Target="http://www.broadinstitute.org/gsea/msigdb/cards/GNF2_PTX3.html" TargetMode="External"/><Relationship Id="rId1023" Type="http://schemas.openxmlformats.org/officeDocument/2006/relationships/hyperlink" Target="http://www.broadinstitute.org/gsea/msigdb/cards/MODULE_38.html" TargetMode="External"/><Relationship Id="rId1024" Type="http://schemas.openxmlformats.org/officeDocument/2006/relationships/hyperlink" Target="http://www.broadinstitute.org/gsea/msigdb/cards/GNF2_CDH11.html" TargetMode="External"/><Relationship Id="rId1025" Type="http://schemas.openxmlformats.org/officeDocument/2006/relationships/hyperlink" Target="http://www.broadinstitute.org/gsea/msigdb/cards/MODULE_5.html" TargetMode="External"/><Relationship Id="rId1026" Type="http://schemas.openxmlformats.org/officeDocument/2006/relationships/hyperlink" Target="http://www.broadinstitute.org/gsea/msigdb/cards/MODULE_128.html" TargetMode="External"/><Relationship Id="rId1027" Type="http://schemas.openxmlformats.org/officeDocument/2006/relationships/hyperlink" Target="http://www.broadinstitute.org/gsea/msigdb/cards/MODULE_79.html" TargetMode="External"/><Relationship Id="rId1028" Type="http://schemas.openxmlformats.org/officeDocument/2006/relationships/hyperlink" Target="http://www.broadinstitute.org/gsea/msigdb/cards/MODULE_170.html" TargetMode="External"/><Relationship Id="rId1029" Type="http://schemas.openxmlformats.org/officeDocument/2006/relationships/hyperlink" Target="http://www.broadinstitute.org/gsea/msigdb/cards/MODULE_6.html" TargetMode="External"/><Relationship Id="rId560" Type="http://schemas.openxmlformats.org/officeDocument/2006/relationships/hyperlink" Target="http://www.broadinstitute.org/gsea/msigdb/cards/TERAMOTO_OPN_TARGETS_CLUSTER_6.html" TargetMode="External"/><Relationship Id="rId561" Type="http://schemas.openxmlformats.org/officeDocument/2006/relationships/hyperlink" Target="http://www.broadinstitute.org/gsea/msigdb/cards/OHM_METHYLATED_IN_ADULT_CANCERS.html" TargetMode="External"/><Relationship Id="rId562" Type="http://schemas.openxmlformats.org/officeDocument/2006/relationships/hyperlink" Target="http://www.broadinstitute.org/gsea/msigdb/cards/KONDO_PROSTATE_CANCER_WITH_H3K27ME3.html" TargetMode="External"/><Relationship Id="rId563" Type="http://schemas.openxmlformats.org/officeDocument/2006/relationships/hyperlink" Target="http://www.broadinstitute.org/gsea/msigdb/cards/ZHANG_BREAST_CANCER_PROGENITORS_DN.html" TargetMode="External"/><Relationship Id="rId564" Type="http://schemas.openxmlformats.org/officeDocument/2006/relationships/hyperlink" Target="http://www.broadinstitute.org/gsea/msigdb/cards/DAWSON_METHYLATED_IN_LYMPHOMA_TCL1.html" TargetMode="External"/><Relationship Id="rId565" Type="http://schemas.openxmlformats.org/officeDocument/2006/relationships/hyperlink" Target="http://www.broadinstitute.org/gsea/msigdb/cards/MEISSNER_BRAIN_HCP_WITH_H3K4ME2_AND_H3K27ME3.html" TargetMode="External"/><Relationship Id="rId566" Type="http://schemas.openxmlformats.org/officeDocument/2006/relationships/hyperlink" Target="http://www.broadinstitute.org/gsea/msigdb/cards/TURASHVILI_BREAST_DUCTAL_CARCINOMA_VS_DUCTAL_NORMAL_DN.html" TargetMode="External"/><Relationship Id="rId567" Type="http://schemas.openxmlformats.org/officeDocument/2006/relationships/hyperlink" Target="http://www.broadinstitute.org/gsea/msigdb/cards/MCLACHLAN_DENTAL_CARIES_UP.html" TargetMode="External"/><Relationship Id="rId568" Type="http://schemas.openxmlformats.org/officeDocument/2006/relationships/hyperlink" Target="http://www.broadinstitute.org/gsea/msigdb/cards/BEGUM_TARGETS_OF_PAX3_FOXO1_FUSION_UP.html" TargetMode="External"/><Relationship Id="rId569" Type="http://schemas.openxmlformats.org/officeDocument/2006/relationships/hyperlink" Target="http://www.broadinstitute.org/gsea/msigdb/cards/AMIT_EGF_RESPONSE_240_HELA.html" TargetMode="External"/><Relationship Id="rId1804" Type="http://schemas.openxmlformats.org/officeDocument/2006/relationships/hyperlink" Target="http://www.broadinstitute.org/gsea/msigdb/cards/KRAS.600_UP.V1_UP.html" TargetMode="External"/><Relationship Id="rId1805" Type="http://schemas.openxmlformats.org/officeDocument/2006/relationships/hyperlink" Target="http://www.broadinstitute.org/gsea/msigdb/cards/WNT_UP.V1_UP.html" TargetMode="External"/><Relationship Id="rId1806" Type="http://schemas.openxmlformats.org/officeDocument/2006/relationships/hyperlink" Target="http://www.broadinstitute.org/gsea/msigdb/cards/CRX_NRL_DN.V1_DN.html" TargetMode="External"/><Relationship Id="rId1807" Type="http://schemas.openxmlformats.org/officeDocument/2006/relationships/hyperlink" Target="http://www.broadinstitute.org/gsea/msigdb/cards/PTEN_DN.V1_DN.html" TargetMode="External"/><Relationship Id="rId1808" Type="http://schemas.openxmlformats.org/officeDocument/2006/relationships/hyperlink" Target="http://www.broadinstitute.org/gsea/msigdb/cards/CYCLIN_D1_KE_.V1_UP.html" TargetMode="External"/><Relationship Id="rId1809" Type="http://schemas.openxmlformats.org/officeDocument/2006/relationships/hyperlink" Target="http://www.broadinstitute.org/gsea/msigdb/cards/CYCLIN_D1_UP.V1_DN.html" TargetMode="External"/><Relationship Id="rId2100" Type="http://schemas.openxmlformats.org/officeDocument/2006/relationships/hyperlink" Target="http://www.broadinstitute.org/gsea/msigdb/cards/GSE19198_CTRL_VS_IL21_TREATED_TCELL_1H_DN.html" TargetMode="External"/><Relationship Id="rId2101" Type="http://schemas.openxmlformats.org/officeDocument/2006/relationships/hyperlink" Target="http://www.broadinstitute.org/gsea/msigdb/cards/GSE19198_1H_VS_6H_IL21_TREATED_TCELL_UP.html" TargetMode="External"/><Relationship Id="rId2102" Type="http://schemas.openxmlformats.org/officeDocument/2006/relationships/hyperlink" Target="http://www.broadinstitute.org/gsea/msigdb/cards/GSE19198_1H_VS_6H_IL21_TREATED_TCELL_DN.html" TargetMode="External"/><Relationship Id="rId2103" Type="http://schemas.openxmlformats.org/officeDocument/2006/relationships/hyperlink" Target="http://www.broadinstitute.org/gsea/msigdb/cards/GSE18281_PERIMEDULLARY_CORTICAL_REGION_VS_WHOLE_MEDULLA_THYMUS_DN.html" TargetMode="External"/><Relationship Id="rId2104" Type="http://schemas.openxmlformats.org/officeDocument/2006/relationships/hyperlink" Target="http://www.broadinstitute.org/gsea/msigdb/cards/GSE18281_CORTICAL_VS_MEDULLARY_THYMOCYTE_DN.html" TargetMode="External"/><Relationship Id="rId2105" Type="http://schemas.openxmlformats.org/officeDocument/2006/relationships/hyperlink" Target="http://www.broadinstitute.org/gsea/msigdb/cards/GSE19923_WT_VS_E2A_KO_DP_THYMOCYTE_UP.html" TargetMode="External"/><Relationship Id="rId2106" Type="http://schemas.openxmlformats.org/officeDocument/2006/relationships/hyperlink" Target="http://www.broadinstitute.org/gsea/msigdb/cards/GSE19888_ADENOSINE_A3R_INH_VS_ACT_WITH_INHIBITOR_PRETREATMENT_IN_MAST_CELL_DN.html" TargetMode="External"/><Relationship Id="rId2107" Type="http://schemas.openxmlformats.org/officeDocument/2006/relationships/hyperlink" Target="http://www.broadinstitute.org/gsea/msigdb/cards/GSE21380_NON_TFH_VS_GERMINAL_CENTER_TFH_CD4_TCELL_UP.html" TargetMode="External"/><Relationship Id="rId2108" Type="http://schemas.openxmlformats.org/officeDocument/2006/relationships/hyperlink" Target="http://www.broadinstitute.org/gsea/msigdb/cards/GSE21546_WT_VS_SAP1A_KO_AND_ELK1_KO_DP_THYMOCYTES_DN.html" TargetMode="External"/><Relationship Id="rId2109" Type="http://schemas.openxmlformats.org/officeDocument/2006/relationships/hyperlink" Target="http://www.broadinstitute.org/gsea/msigdb/cards/GSE21546_WT_VS_SAP1A_KO_AND_ELK1_KO_ANTI_CD3_STIM_DP_THYMOCYTES_UP.html" TargetMode="External"/><Relationship Id="rId1810" Type="http://schemas.openxmlformats.org/officeDocument/2006/relationships/hyperlink" Target="http://www.broadinstitute.org/gsea/msigdb/cards/P53_DN.V1_DN.html" TargetMode="External"/><Relationship Id="rId1811" Type="http://schemas.openxmlformats.org/officeDocument/2006/relationships/hyperlink" Target="http://www.broadinstitute.org/gsea/msigdb/cards/PRC2_EED_UP.V1_DN.html" TargetMode="External"/><Relationship Id="rId1812" Type="http://schemas.openxmlformats.org/officeDocument/2006/relationships/hyperlink" Target="http://www.broadinstitute.org/gsea/msigdb/cards/JNK_DN.V1_DN.html" TargetMode="External"/><Relationship Id="rId1813" Type="http://schemas.openxmlformats.org/officeDocument/2006/relationships/hyperlink" Target="http://www.broadinstitute.org/gsea/msigdb/cards/IL21_UP.V1_UP.html" TargetMode="External"/><Relationship Id="rId1420" Type="http://schemas.openxmlformats.org/officeDocument/2006/relationships/hyperlink" Target="http://www.broadinstitute.org/gsea/msigdb/cards/GO_RESPONSE_TO_ORGANIC_CYCLIC_COMPOUND.html" TargetMode="External"/><Relationship Id="rId1421" Type="http://schemas.openxmlformats.org/officeDocument/2006/relationships/hyperlink" Target="http://www.broadinstitute.org/gsea/msigdb/cards/GO_BONE_MORPHOGENESIS.html" TargetMode="External"/><Relationship Id="rId1422" Type="http://schemas.openxmlformats.org/officeDocument/2006/relationships/hyperlink" Target="http://www.broadinstitute.org/gsea/msigdb/cards/GO_REGULATION_OF_NEURON_PROJECTION_DEVELOPMENT.html" TargetMode="External"/><Relationship Id="rId1423" Type="http://schemas.openxmlformats.org/officeDocument/2006/relationships/hyperlink" Target="http://www.broadinstitute.org/gsea/msigdb/cards/GO_GLYCOPROTEIN_METABOLIC_PROCESS.html" TargetMode="External"/><Relationship Id="rId1424" Type="http://schemas.openxmlformats.org/officeDocument/2006/relationships/hyperlink" Target="http://www.broadinstitute.org/gsea/msigdb/cards/GO_GLOMERULUS_DEVELOPMENT.html" TargetMode="External"/><Relationship Id="rId1425" Type="http://schemas.openxmlformats.org/officeDocument/2006/relationships/hyperlink" Target="http://www.broadinstitute.org/gsea/msigdb/cards/GO_CHONDROITIN_SULFATE_BIOSYNTHETIC_PROCESS.html" TargetMode="External"/><Relationship Id="rId1426" Type="http://schemas.openxmlformats.org/officeDocument/2006/relationships/hyperlink" Target="http://www.broadinstitute.org/gsea/msigdb/cards/GO_INSULIN_LIKE_GROWTH_FACTOR_BINDING.html" TargetMode="External"/><Relationship Id="rId1427" Type="http://schemas.openxmlformats.org/officeDocument/2006/relationships/hyperlink" Target="http://www.broadinstitute.org/gsea/msigdb/cards/GO_IDENTICAL_PROTEIN_BINDING.html" TargetMode="External"/><Relationship Id="rId1428" Type="http://schemas.openxmlformats.org/officeDocument/2006/relationships/hyperlink" Target="http://www.broadinstitute.org/gsea/msigdb/cards/GO_ENZYME_ACTIVATOR_ACTIVITY.html" TargetMode="External"/><Relationship Id="rId1429" Type="http://schemas.openxmlformats.org/officeDocument/2006/relationships/hyperlink" Target="http://www.broadinstitute.org/gsea/msigdb/cards/GO_REGULATION_OF_ADHERENS_JUNCTION_ORGANIZATION.html" TargetMode="External"/><Relationship Id="rId960" Type="http://schemas.openxmlformats.org/officeDocument/2006/relationships/hyperlink" Target="http://www.broadinstitute.org/gsea/msigdb/cards/GCAAGAC_MIR431.html" TargetMode="External"/><Relationship Id="rId961" Type="http://schemas.openxmlformats.org/officeDocument/2006/relationships/hyperlink" Target="http://www.broadinstitute.org/gsea/msigdb/cards/MAZ_Q6.html" TargetMode="External"/><Relationship Id="rId962" Type="http://schemas.openxmlformats.org/officeDocument/2006/relationships/hyperlink" Target="http://www.broadinstitute.org/gsea/msigdb/cards/P53_DECAMER_Q2.html" TargetMode="External"/><Relationship Id="rId963" Type="http://schemas.openxmlformats.org/officeDocument/2006/relationships/hyperlink" Target="http://www.broadinstitute.org/gsea/msigdb/cards/GGGCGGR_SP1_Q6.html" TargetMode="External"/><Relationship Id="rId964" Type="http://schemas.openxmlformats.org/officeDocument/2006/relationships/hyperlink" Target="http://www.broadinstitute.org/gsea/msigdb/cards/CEBPGAMMA_Q6.html" TargetMode="External"/><Relationship Id="rId965" Type="http://schemas.openxmlformats.org/officeDocument/2006/relationships/hyperlink" Target="http://www.broadinstitute.org/gsea/msigdb/cards/DBP_Q6.html" TargetMode="External"/><Relationship Id="rId180" Type="http://schemas.openxmlformats.org/officeDocument/2006/relationships/hyperlink" Target="http://www.broadinstitute.org/gsea/msigdb/cards/NEWMAN_ERCC6_TARGETS_DN.html" TargetMode="External"/><Relationship Id="rId181" Type="http://schemas.openxmlformats.org/officeDocument/2006/relationships/hyperlink" Target="http://www.broadinstitute.org/gsea/msigdb/cards/PANGAS_TUMOR_SUPPRESSION_BY_SMAD1_AND_SMAD5_UP.html" TargetMode="External"/><Relationship Id="rId182" Type="http://schemas.openxmlformats.org/officeDocument/2006/relationships/hyperlink" Target="http://www.broadinstitute.org/gsea/msigdb/cards/MARTINEZ_RB1_AND_TP53_TARGETS_DN.html" TargetMode="External"/><Relationship Id="rId183" Type="http://schemas.openxmlformats.org/officeDocument/2006/relationships/hyperlink" Target="http://www.broadinstitute.org/gsea/msigdb/cards/REACTOME_SMOOTH_MUSCLE_CONTRACTION.html" TargetMode="External"/><Relationship Id="rId184" Type="http://schemas.openxmlformats.org/officeDocument/2006/relationships/hyperlink" Target="http://www.broadinstitute.org/gsea/msigdb/cards/VERRECCHIA_RESPONSE_TO_TGFB1_C2.html" TargetMode="External"/><Relationship Id="rId185" Type="http://schemas.openxmlformats.org/officeDocument/2006/relationships/hyperlink" Target="http://www.broadinstitute.org/gsea/msigdb/cards/CORRE_MULTIPLE_MYELOMA_DN.html" TargetMode="External"/><Relationship Id="rId186" Type="http://schemas.openxmlformats.org/officeDocument/2006/relationships/hyperlink" Target="http://www.broadinstitute.org/gsea/msigdb/cards/CHIARADONNA_NEOPLASTIC_TRANSFORMATION_KRAS_DN.html" TargetMode="External"/><Relationship Id="rId187" Type="http://schemas.openxmlformats.org/officeDocument/2006/relationships/hyperlink" Target="http://www.broadinstitute.org/gsea/msigdb/cards/PAPASPYRIDONOS_UNSTABLE_ATEROSCLEROTIC_PLAQUE_DN.html" TargetMode="External"/><Relationship Id="rId188" Type="http://schemas.openxmlformats.org/officeDocument/2006/relationships/hyperlink" Target="http://www.broadinstitute.org/gsea/msigdb/cards/MIKKELSEN_NPC_HCP_WITH_H3K4ME3_AND_H3K27ME3.html" TargetMode="External"/><Relationship Id="rId189" Type="http://schemas.openxmlformats.org/officeDocument/2006/relationships/hyperlink" Target="http://www.broadinstitute.org/gsea/msigdb/cards/SMID_BREAST_CANCER_LUMINAL_B_DN.html" TargetMode="External"/><Relationship Id="rId966" Type="http://schemas.openxmlformats.org/officeDocument/2006/relationships/hyperlink" Target="http://www.broadinstitute.org/gsea/msigdb/cards/MYOD_Q6_01.html" TargetMode="External"/><Relationship Id="rId967" Type="http://schemas.openxmlformats.org/officeDocument/2006/relationships/hyperlink" Target="http://www.broadinstitute.org/gsea/msigdb/cards/AP2_Q6.html" TargetMode="External"/><Relationship Id="rId968" Type="http://schemas.openxmlformats.org/officeDocument/2006/relationships/hyperlink" Target="http://www.broadinstitute.org/gsea/msigdb/cards/AREB6_03.html" TargetMode="External"/><Relationship Id="rId969" Type="http://schemas.openxmlformats.org/officeDocument/2006/relationships/hyperlink" Target="http://www.broadinstitute.org/gsea/msigdb/cards/ATF4_Q2.html" TargetMode="External"/><Relationship Id="rId1030" Type="http://schemas.openxmlformats.org/officeDocument/2006/relationships/hyperlink" Target="http://www.broadinstitute.org/gsea/msigdb/cards/MODULE_19.html" TargetMode="External"/><Relationship Id="rId1031" Type="http://schemas.openxmlformats.org/officeDocument/2006/relationships/hyperlink" Target="http://www.broadinstitute.org/gsea/msigdb/cards/MODULE_33.html" TargetMode="External"/><Relationship Id="rId1032" Type="http://schemas.openxmlformats.org/officeDocument/2006/relationships/hyperlink" Target="http://www.broadinstitute.org/gsea/msigdb/cards/MODULE_84.html" TargetMode="External"/><Relationship Id="rId1033" Type="http://schemas.openxmlformats.org/officeDocument/2006/relationships/hyperlink" Target="http://www.broadinstitute.org/gsea/msigdb/cards/MODULE_220.html" TargetMode="External"/><Relationship Id="rId1034" Type="http://schemas.openxmlformats.org/officeDocument/2006/relationships/hyperlink" Target="http://www.broadinstitute.org/gsea/msigdb/cards/MODULE_55.html" TargetMode="External"/><Relationship Id="rId1035" Type="http://schemas.openxmlformats.org/officeDocument/2006/relationships/hyperlink" Target="http://www.broadinstitute.org/gsea/msigdb/cards/MODULE_234.html" TargetMode="External"/><Relationship Id="rId1036" Type="http://schemas.openxmlformats.org/officeDocument/2006/relationships/hyperlink" Target="http://www.broadinstitute.org/gsea/msigdb/cards/MODULE_324.html" TargetMode="External"/><Relationship Id="rId1037" Type="http://schemas.openxmlformats.org/officeDocument/2006/relationships/hyperlink" Target="http://www.broadinstitute.org/gsea/msigdb/cards/MODULE_88.html" TargetMode="External"/><Relationship Id="rId1038" Type="http://schemas.openxmlformats.org/officeDocument/2006/relationships/hyperlink" Target="http://www.broadinstitute.org/gsea/msigdb/cards/MODULE_60.html" TargetMode="External"/><Relationship Id="rId1039" Type="http://schemas.openxmlformats.org/officeDocument/2006/relationships/hyperlink" Target="http://www.broadinstitute.org/gsea/msigdb/cards/GNF2_MMP1.html" TargetMode="External"/><Relationship Id="rId570" Type="http://schemas.openxmlformats.org/officeDocument/2006/relationships/hyperlink" Target="http://www.broadinstitute.org/gsea/msigdb/cards/BOYLAN_MULTIPLE_MYELOMA_PCA1_UP.html" TargetMode="External"/><Relationship Id="rId571" Type="http://schemas.openxmlformats.org/officeDocument/2006/relationships/hyperlink" Target="http://www.broadinstitute.org/gsea/msigdb/cards/HAN_SATB1_TARGETS_DN.html" TargetMode="External"/><Relationship Id="rId572" Type="http://schemas.openxmlformats.org/officeDocument/2006/relationships/hyperlink" Target="http://www.broadinstitute.org/gsea/msigdb/cards/RAMASWAMY_METASTASIS_DN.html" TargetMode="External"/><Relationship Id="rId573" Type="http://schemas.openxmlformats.org/officeDocument/2006/relationships/hyperlink" Target="http://www.broadinstitute.org/gsea/msigdb/cards/YAMASHITA_SILENCED_BY_METHYLATION.html" TargetMode="External"/><Relationship Id="rId574" Type="http://schemas.openxmlformats.org/officeDocument/2006/relationships/hyperlink" Target="http://www.broadinstitute.org/gsea/msigdb/cards/LY_AGING_OLD_UP.html" TargetMode="External"/><Relationship Id="rId575" Type="http://schemas.openxmlformats.org/officeDocument/2006/relationships/hyperlink" Target="http://www.broadinstitute.org/gsea/msigdb/cards/KIM_MYCN_AMPLIFICATION_TARGETS_DN.html" TargetMode="External"/><Relationship Id="rId576" Type="http://schemas.openxmlformats.org/officeDocument/2006/relationships/hyperlink" Target="http://www.broadinstitute.org/gsea/msigdb/cards/PID_INTEGRIN2_PATHWAY.html" TargetMode="External"/><Relationship Id="rId577" Type="http://schemas.openxmlformats.org/officeDocument/2006/relationships/hyperlink" Target="http://www.broadinstitute.org/gsea/msigdb/cards/WEINMANN_ADAPTATION_TO_HYPOXIA_UP.html" TargetMode="External"/><Relationship Id="rId578" Type="http://schemas.openxmlformats.org/officeDocument/2006/relationships/hyperlink" Target="http://www.broadinstitute.org/gsea/msigdb/cards/KORKOLA_YOLK_SAC_TUMOR.html" TargetMode="External"/><Relationship Id="rId579" Type="http://schemas.openxmlformats.org/officeDocument/2006/relationships/hyperlink" Target="http://www.broadinstitute.org/gsea/msigdb/cards/LEE_LIVER_CANCER_E2F1_UP.html" TargetMode="External"/><Relationship Id="rId1814" Type="http://schemas.openxmlformats.org/officeDocument/2006/relationships/hyperlink" Target="http://www.broadinstitute.org/gsea/msigdb/cards/PRC2_EZH2_UP.V1_UP.html" TargetMode="External"/><Relationship Id="rId1815" Type="http://schemas.openxmlformats.org/officeDocument/2006/relationships/hyperlink" Target="http://www.broadinstitute.org/gsea/msigdb/cards/EGFR_UP.V1_DN.html" TargetMode="External"/><Relationship Id="rId1816" Type="http://schemas.openxmlformats.org/officeDocument/2006/relationships/hyperlink" Target="http://www.broadinstitute.org/gsea/msigdb/cards/BRCA1_DN.V1_UP.html" TargetMode="External"/><Relationship Id="rId1817" Type="http://schemas.openxmlformats.org/officeDocument/2006/relationships/hyperlink" Target="http://www.broadinstitute.org/gsea/msigdb/cards/PTEN_DN.V2_UP.html" TargetMode="External"/><Relationship Id="rId1818" Type="http://schemas.openxmlformats.org/officeDocument/2006/relationships/hyperlink" Target="http://www.broadinstitute.org/gsea/msigdb/cards/BMI1_DN_MEL18_DN.V1_DN.html" TargetMode="External"/><Relationship Id="rId1819" Type="http://schemas.openxmlformats.org/officeDocument/2006/relationships/hyperlink" Target="http://www.broadinstitute.org/gsea/msigdb/cards/CSR_EARLY_UP.V1_DN.html" TargetMode="External"/><Relationship Id="rId2110" Type="http://schemas.openxmlformats.org/officeDocument/2006/relationships/hyperlink" Target="http://www.broadinstitute.org/gsea/msigdb/cards/GSE21927_SPLENIC_C26GM_TUMOROUS_VS_BONE_MARROW_MONOCYTES_UP.html" TargetMode="External"/><Relationship Id="rId2111" Type="http://schemas.openxmlformats.org/officeDocument/2006/relationships/hyperlink" Target="http://www.broadinstitute.org/gsea/msigdb/cards/GSE19401_UNSTIM_VS_RETINOIC_ACID_AND_PAM2CSK4_STIM_FOLLICULAR_DC_DN.html" TargetMode="External"/><Relationship Id="rId2112" Type="http://schemas.openxmlformats.org/officeDocument/2006/relationships/hyperlink" Target="http://www.broadinstitute.org/gsea/msigdb/cards/GSE22935_WT_VS_MYD88_KO_MACROPHAGE_48H_MBOVIS_BCG_STIM_DN.html" TargetMode="External"/><Relationship Id="rId2113" Type="http://schemas.openxmlformats.org/officeDocument/2006/relationships/hyperlink" Target="http://www.broadinstitute.org/gsea/msigdb/cards/GSE25123_CTRL_VS_ROSIGLITAZONE_STIM_MACROPHAGE_DN.html" TargetMode="External"/><Relationship Id="rId2114" Type="http://schemas.openxmlformats.org/officeDocument/2006/relationships/hyperlink" Target="http://www.broadinstitute.org/gsea/msigdb/cards/GSE16385_MONOCYTE_VS_12H_IFNG_TNF_TREATED_MACROPHAGE_DN.html" TargetMode="External"/><Relationship Id="rId2115" Type="http://schemas.openxmlformats.org/officeDocument/2006/relationships/hyperlink" Target="http://www.broadinstitute.org/gsea/msigdb/cards/GSE16385_ROSIGLITAZONE_IL4_VS_ROSIGLITAZONE_ALONE_STIM_MACROPHAGE_UP.html" TargetMode="External"/><Relationship Id="rId2116" Type="http://schemas.openxmlformats.org/officeDocument/2006/relationships/hyperlink" Target="http://www.broadinstitute.org/gsea/msigdb/cards/GSE16385_IFNG_TNF_VS_ROSIGLITAZONE_STIM_MACROPHAGE_DN.html" TargetMode="External"/><Relationship Id="rId2117" Type="http://schemas.openxmlformats.org/officeDocument/2006/relationships/hyperlink" Target="http://www.broadinstitute.org/gsea/msigdb/cards/GSE25085_FETAL_LIVER_VS_FETAL_BM_SP4_THYMIC_IMPLANT_DN.html" TargetMode="External"/><Relationship Id="rId2118" Type="http://schemas.openxmlformats.org/officeDocument/2006/relationships/hyperlink" Target="http://www.broadinstitute.org/gsea/msigdb/cards/GSE23502_WT_VS_HDC_KO_MYELOID_DERIVED_SUPPRESSOR_CELL_COLON_TUMOR_DN.html" TargetMode="External"/><Relationship Id="rId2119" Type="http://schemas.openxmlformats.org/officeDocument/2006/relationships/hyperlink" Target="http://www.broadinstitute.org/gsea/msigdb/cards/GSE19941_UNSTIM_VS_LPS_STIM_IL10_KO_MACROPHAGE_UP.html" TargetMode="External"/><Relationship Id="rId1820" Type="http://schemas.openxmlformats.org/officeDocument/2006/relationships/hyperlink" Target="http://www.broadinstitute.org/gsea/msigdb/cards/CAHOY_OLIGODENDROCUTIC.html" TargetMode="External"/><Relationship Id="rId1821" Type="http://schemas.openxmlformats.org/officeDocument/2006/relationships/hyperlink" Target="http://www.broadinstitute.org/gsea/msigdb/cards/GSE4748_CTRL_VS_LPS_STIM_DC_3H_UP.html" TargetMode="External"/><Relationship Id="rId1822" Type="http://schemas.openxmlformats.org/officeDocument/2006/relationships/hyperlink" Target="http://www.broadinstitute.org/gsea/msigdb/cards/GSE19888_ADENOSINE_A3R_ACT_VS_TCELL_MEMBRANES_ACT_IN_MAST_CELL_UP.html" TargetMode="External"/><Relationship Id="rId1823" Type="http://schemas.openxmlformats.org/officeDocument/2006/relationships/hyperlink" Target="http://www.broadinstitute.org/gsea/msigdb/cards/GSE6259_CD4_TCELL_VS_CD8_TCELL_UP.html" TargetMode="External"/><Relationship Id="rId1430" Type="http://schemas.openxmlformats.org/officeDocument/2006/relationships/hyperlink" Target="http://www.broadinstitute.org/gsea/msigdb/cards/GO_POSITIVE_REGULATION_OF_STEM_CELL_DIFFERENTIATION.html" TargetMode="External"/><Relationship Id="rId1431" Type="http://schemas.openxmlformats.org/officeDocument/2006/relationships/hyperlink" Target="http://www.broadinstitute.org/gsea/msigdb/cards/GO_FACE_DEVELOPMENT.html" TargetMode="External"/><Relationship Id="rId1432" Type="http://schemas.openxmlformats.org/officeDocument/2006/relationships/hyperlink" Target="http://www.broadinstitute.org/gsea/msigdb/cards/GO_PLASMA_MEMBRANE_REGION.html" TargetMode="External"/><Relationship Id="rId1433" Type="http://schemas.openxmlformats.org/officeDocument/2006/relationships/hyperlink" Target="http://www.broadinstitute.org/gsea/msigdb/cards/GO_NEGATIVE_REGULATION_OF_EMBRYONIC_DEVELOPMENT.html" TargetMode="External"/><Relationship Id="rId1434" Type="http://schemas.openxmlformats.org/officeDocument/2006/relationships/hyperlink" Target="http://www.broadinstitute.org/gsea/msigdb/cards/GO_POSITIVE_REGULATION_OF_NEURON_DIFFERENTIATION.html" TargetMode="External"/><Relationship Id="rId1435" Type="http://schemas.openxmlformats.org/officeDocument/2006/relationships/hyperlink" Target="http://www.broadinstitute.org/gsea/msigdb/cards/GO_GOLGI_APPARATUS.html" TargetMode="External"/><Relationship Id="rId1436" Type="http://schemas.openxmlformats.org/officeDocument/2006/relationships/hyperlink" Target="http://www.broadinstitute.org/gsea/msigdb/cards/GO_REGULATION_OF_PROTEIN_TARGETING.html" TargetMode="External"/><Relationship Id="rId1437" Type="http://schemas.openxmlformats.org/officeDocument/2006/relationships/hyperlink" Target="http://www.broadinstitute.org/gsea/msigdb/cards/GO_POSITIVE_REGULATION_OF_CHEMOTAXIS.html" TargetMode="External"/><Relationship Id="rId1438" Type="http://schemas.openxmlformats.org/officeDocument/2006/relationships/hyperlink" Target="http://www.broadinstitute.org/gsea/msigdb/cards/GO_CELLULAR_RESPONSE_TO_OXYGEN_CONTAINING_COMPOUND.html" TargetMode="External"/><Relationship Id="rId1439" Type="http://schemas.openxmlformats.org/officeDocument/2006/relationships/hyperlink" Target="http://www.broadinstitute.org/gsea/msigdb/cards/GO_POSITIVE_REGULATION_OF_NUCLEOCYTOPLASMIC_TRANSPORT.html" TargetMode="External"/><Relationship Id="rId970" Type="http://schemas.openxmlformats.org/officeDocument/2006/relationships/hyperlink" Target="http://www.broadinstitute.org/gsea/msigdb/cards/PAX_Q6.html" TargetMode="External"/><Relationship Id="rId971" Type="http://schemas.openxmlformats.org/officeDocument/2006/relationships/hyperlink" Target="http://www.broadinstitute.org/gsea/msigdb/cards/AR_Q6.html" TargetMode="External"/><Relationship Id="rId972" Type="http://schemas.openxmlformats.org/officeDocument/2006/relationships/hyperlink" Target="http://www.broadinstitute.org/gsea/msigdb/cards/NF1_Q6.html" TargetMode="External"/><Relationship Id="rId973" Type="http://schemas.openxmlformats.org/officeDocument/2006/relationships/hyperlink" Target="http://www.broadinstitute.org/gsea/msigdb/cards/TTCYRGAA_UNKNOWN.html" TargetMode="External"/><Relationship Id="rId974" Type="http://schemas.openxmlformats.org/officeDocument/2006/relationships/hyperlink" Target="http://www.broadinstitute.org/gsea/msigdb/cards/RACCACAR_AML_Q6.html" TargetMode="External"/><Relationship Id="rId975" Type="http://schemas.openxmlformats.org/officeDocument/2006/relationships/hyperlink" Target="http://www.broadinstitute.org/gsea/msigdb/cards/CREB_Q2.html" TargetMode="External"/><Relationship Id="rId190" Type="http://schemas.openxmlformats.org/officeDocument/2006/relationships/hyperlink" Target="http://www.broadinstitute.org/gsea/msigdb/cards/REACTOME_NCAM_SIGNALING_FOR_NEURITE_OUT_GROWTH.html" TargetMode="External"/><Relationship Id="rId191" Type="http://schemas.openxmlformats.org/officeDocument/2006/relationships/hyperlink" Target="http://www.broadinstitute.org/gsea/msigdb/cards/KEGG_VASCULAR_SMOOTH_MUSCLE_CONTRACTION.html" TargetMode="External"/><Relationship Id="rId192" Type="http://schemas.openxmlformats.org/officeDocument/2006/relationships/hyperlink" Target="http://www.broadinstitute.org/gsea/msigdb/cards/GOBERT_OLIGODENDROCYTE_DIFFERENTIATION_DN.html" TargetMode="External"/><Relationship Id="rId193" Type="http://schemas.openxmlformats.org/officeDocument/2006/relationships/hyperlink" Target="http://www.broadinstitute.org/gsea/msigdb/cards/LU_TUMOR_VASCULATURE_UP.html" TargetMode="External"/><Relationship Id="rId194" Type="http://schemas.openxmlformats.org/officeDocument/2006/relationships/hyperlink" Target="http://www.broadinstitute.org/gsea/msigdb/cards/WATANABE_RECTAL_CANCER_RADIOTHERAPY_RESPONSIVE_DN.html" TargetMode="External"/><Relationship Id="rId195" Type="http://schemas.openxmlformats.org/officeDocument/2006/relationships/hyperlink" Target="http://www.broadinstitute.org/gsea/msigdb/cards/BAELDE_DIABETIC_NEPHROPATHY_DN.html" TargetMode="External"/><Relationship Id="rId196" Type="http://schemas.openxmlformats.org/officeDocument/2006/relationships/hyperlink" Target="http://www.broadinstitute.org/gsea/msigdb/cards/GOTZMANN_EPITHELIAL_TO_MESENCHYMAL_TRANSITION_UP.html" TargetMode="External"/><Relationship Id="rId197" Type="http://schemas.openxmlformats.org/officeDocument/2006/relationships/hyperlink" Target="http://www.broadinstitute.org/gsea/msigdb/cards/GAUSSMANN_MLL_AF4_FUSION_TARGETS_E_UP.html" TargetMode="External"/><Relationship Id="rId198" Type="http://schemas.openxmlformats.org/officeDocument/2006/relationships/hyperlink" Target="http://www.broadinstitute.org/gsea/msigdb/cards/WESTON_VEGFA_TARGETS_12HR.html" TargetMode="External"/><Relationship Id="rId199" Type="http://schemas.openxmlformats.org/officeDocument/2006/relationships/hyperlink" Target="http://www.broadinstitute.org/gsea/msigdb/cards/TSENG_IRS1_TARGETS_DN.html" TargetMode="External"/><Relationship Id="rId976" Type="http://schemas.openxmlformats.org/officeDocument/2006/relationships/hyperlink" Target="http://www.broadinstitute.org/gsea/msigdb/cards/BACH1_01.html" TargetMode="External"/><Relationship Id="rId977" Type="http://schemas.openxmlformats.org/officeDocument/2006/relationships/hyperlink" Target="http://www.broadinstitute.org/gsea/msigdb/cards/HSF_Q6.html" TargetMode="External"/><Relationship Id="rId978" Type="http://schemas.openxmlformats.org/officeDocument/2006/relationships/hyperlink" Target="http://www.broadinstitute.org/gsea/msigdb/cards/HNF4_Q6.html" TargetMode="External"/><Relationship Id="rId979" Type="http://schemas.openxmlformats.org/officeDocument/2006/relationships/hyperlink" Target="http://www.broadinstitute.org/gsea/msigdb/cards/AAGCACA_MIR218.html" TargetMode="External"/><Relationship Id="rId1040" Type="http://schemas.openxmlformats.org/officeDocument/2006/relationships/hyperlink" Target="http://www.broadinstitute.org/gsea/msigdb/cards/MODULE_24.html" TargetMode="External"/><Relationship Id="rId1041" Type="http://schemas.openxmlformats.org/officeDocument/2006/relationships/hyperlink" Target="http://www.broadinstitute.org/gsea/msigdb/cards/MODULE_23.html" TargetMode="External"/><Relationship Id="rId1042" Type="http://schemas.openxmlformats.org/officeDocument/2006/relationships/hyperlink" Target="http://www.broadinstitute.org/gsea/msigdb/cards/MODULE_387.html" TargetMode="External"/><Relationship Id="rId1043" Type="http://schemas.openxmlformats.org/officeDocument/2006/relationships/hyperlink" Target="http://www.broadinstitute.org/gsea/msigdb/cards/MODULE_329.html" TargetMode="External"/><Relationship Id="rId1044" Type="http://schemas.openxmlformats.org/officeDocument/2006/relationships/hyperlink" Target="http://www.broadinstitute.org/gsea/msigdb/cards/MODULE_105.html" TargetMode="External"/><Relationship Id="rId1045" Type="http://schemas.openxmlformats.org/officeDocument/2006/relationships/hyperlink" Target="http://www.broadinstitute.org/gsea/msigdb/cards/MODULE_118.html" TargetMode="External"/><Relationship Id="rId1046" Type="http://schemas.openxmlformats.org/officeDocument/2006/relationships/hyperlink" Target="http://www.broadinstitute.org/gsea/msigdb/cards/MODULE_107.html" TargetMode="External"/><Relationship Id="rId1047" Type="http://schemas.openxmlformats.org/officeDocument/2006/relationships/hyperlink" Target="http://www.broadinstitute.org/gsea/msigdb/cards/MODULE_52.html" TargetMode="External"/><Relationship Id="rId1048" Type="http://schemas.openxmlformats.org/officeDocument/2006/relationships/hyperlink" Target="http://www.broadinstitute.org/gsea/msigdb/cards/MODULE_44.html" TargetMode="External"/><Relationship Id="rId1049" Type="http://schemas.openxmlformats.org/officeDocument/2006/relationships/hyperlink" Target="http://www.broadinstitute.org/gsea/msigdb/cards/MODULE_241.html" TargetMode="External"/><Relationship Id="rId580" Type="http://schemas.openxmlformats.org/officeDocument/2006/relationships/hyperlink" Target="http://www.broadinstitute.org/gsea/msigdb/cards/SHETH_LIVER_CANCER_VS_TXNIP_LOSS_PAM4.html" TargetMode="External"/><Relationship Id="rId581" Type="http://schemas.openxmlformats.org/officeDocument/2006/relationships/hyperlink" Target="http://www.broadinstitute.org/gsea/msigdb/cards/KAAB_HEART_ATRIUM_VS_VENTRICLE_DN.html" TargetMode="External"/><Relationship Id="rId582" Type="http://schemas.openxmlformats.org/officeDocument/2006/relationships/hyperlink" Target="http://www.broadinstitute.org/gsea/msigdb/cards/BASAKI_YBX1_TARGETS_DN.html" TargetMode="External"/><Relationship Id="rId583" Type="http://schemas.openxmlformats.org/officeDocument/2006/relationships/hyperlink" Target="http://www.broadinstitute.org/gsea/msigdb/cards/HADDAD_T_LYMPHOCYTE_AND_NK_PROGENITOR_DN.html" TargetMode="External"/><Relationship Id="rId584" Type="http://schemas.openxmlformats.org/officeDocument/2006/relationships/hyperlink" Target="http://www.broadinstitute.org/gsea/msigdb/cards/JOHNSTONE_PARVB_TARGETS_1_DN.html" TargetMode="External"/><Relationship Id="rId585" Type="http://schemas.openxmlformats.org/officeDocument/2006/relationships/hyperlink" Target="http://www.broadinstitute.org/gsea/msigdb/cards/BROWNE_HCMV_INFECTION_8HR_UP.html" TargetMode="External"/><Relationship Id="rId586" Type="http://schemas.openxmlformats.org/officeDocument/2006/relationships/hyperlink" Target="http://www.broadinstitute.org/gsea/msigdb/cards/REACTOME_KERATAN_SULFATE_KERATIN_METABOLISM.html" TargetMode="External"/><Relationship Id="rId587" Type="http://schemas.openxmlformats.org/officeDocument/2006/relationships/hyperlink" Target="http://www.broadinstitute.org/gsea/msigdb/cards/KIM_WT1_TARGETS_12HR_DN.html" TargetMode="External"/><Relationship Id="rId588" Type="http://schemas.openxmlformats.org/officeDocument/2006/relationships/hyperlink" Target="http://www.broadinstitute.org/gsea/msigdb/cards/CHANG_CORE_SERUM_RESPONSE_DN.html" TargetMode="External"/><Relationship Id="rId589" Type="http://schemas.openxmlformats.org/officeDocument/2006/relationships/hyperlink" Target="http://www.broadinstitute.org/gsea/msigdb/cards/PID_IL4_2PATHWAY.html" TargetMode="External"/><Relationship Id="rId1824" Type="http://schemas.openxmlformats.org/officeDocument/2006/relationships/hyperlink" Target="http://www.broadinstitute.org/gsea/msigdb/cards/GSE1460_CD4_THYMOCYTE_VS_THYMIC_STROMAL_CELL_DN.html" TargetMode="External"/><Relationship Id="rId1825" Type="http://schemas.openxmlformats.org/officeDocument/2006/relationships/hyperlink" Target="http://www.broadinstitute.org/gsea/msigdb/cards/GSE9650_GP33_VS_GP276_LCMV_SPECIFIC_EXHAUSTED_CD8_TCELL_UP.html" TargetMode="External"/><Relationship Id="rId1826" Type="http://schemas.openxmlformats.org/officeDocument/2006/relationships/hyperlink" Target="http://www.broadinstitute.org/gsea/msigdb/cards/GSE2405_0H_VS_3H_A_PHAGOCYTOPHILUM_STIM_NEUTROPHIL_UP.html" TargetMode="External"/><Relationship Id="rId1827" Type="http://schemas.openxmlformats.org/officeDocument/2006/relationships/hyperlink" Target="http://www.broadinstitute.org/gsea/msigdb/cards/GSE43955_1H_VS_20H_ACT_CD4_TCELL_WITH_TGFB_IL6_DN.html" TargetMode="External"/><Relationship Id="rId1828" Type="http://schemas.openxmlformats.org/officeDocument/2006/relationships/hyperlink" Target="http://www.broadinstitute.org/gsea/msigdb/cards/GSE37605_FOXP3_FUSION_GFP_VS_IRES_GFP_TREG_C57BL6_DN.html" TargetMode="External"/><Relationship Id="rId1829" Type="http://schemas.openxmlformats.org/officeDocument/2006/relationships/hyperlink" Target="http://www.broadinstitute.org/gsea/msigdb/cards/GSE19825_NAIVE_VS_IL2RAHIGH_DAY3_EFF_CD8_TCELL_UP.html" TargetMode="External"/><Relationship Id="rId2120" Type="http://schemas.openxmlformats.org/officeDocument/2006/relationships/hyperlink" Target="http://www.broadinstitute.org/gsea/msigdb/cards/GSE19941_UNSTIM_VS_LPS_AND_IL10_STIM_IL10_KO_MACROPHAGE_UP.html" TargetMode="External"/><Relationship Id="rId2121" Type="http://schemas.openxmlformats.org/officeDocument/2006/relationships/hyperlink" Target="http://www.broadinstitute.org/gsea/msigdb/cards/GSE26912_TUMORICIDAL_VS_CTRL_MACROPHAGE_UP.html" TargetMode="External"/><Relationship Id="rId2122" Type="http://schemas.openxmlformats.org/officeDocument/2006/relationships/hyperlink" Target="http://www.broadinstitute.org/gsea/msigdb/cards/GSE27670_CTRL_VS_BLIMP1_TRANSDUCED_GC_BCELL_DN.html" TargetMode="External"/><Relationship Id="rId2123" Type="http://schemas.openxmlformats.org/officeDocument/2006/relationships/hyperlink" Target="http://www.broadinstitute.org/gsea/msigdb/cards/GSE28726_NAIVE_VS_ACTIVATED_CD4_TCELL_UP.html" TargetMode="External"/><Relationship Id="rId2124" Type="http://schemas.openxmlformats.org/officeDocument/2006/relationships/hyperlink" Target="http://www.broadinstitute.org/gsea/msigdb/cards/GSE28783_CTRL_ANTI_MIR_VS_UNTREATED_ATHEROSCLEROSIS_MACROPHAGE_UP.html" TargetMode="External"/><Relationship Id="rId2125" Type="http://schemas.openxmlformats.org/officeDocument/2006/relationships/hyperlink" Target="http://www.broadinstitute.org/gsea/msigdb/cards/GSE29949_MICROGLIA_BRAIN_VS_CD8_NEG_DC_SPLEEN_DN.html" TargetMode="External"/><Relationship Id="rId2126" Type="http://schemas.openxmlformats.org/officeDocument/2006/relationships/hyperlink" Target="http://www.broadinstitute.org/gsea/msigdb/cards/GSE29949_CD8_POS_DC_SPLEEN_VS_MONOCYTE_BONE_MARROW_UP.html" TargetMode="External"/><Relationship Id="rId2127" Type="http://schemas.openxmlformats.org/officeDocument/2006/relationships/hyperlink" Target="http://www.broadinstitute.org/gsea/msigdb/cards/GSE26559_TCF1_KO_VS_WT_LIN_NEG_CELL_DN.html" TargetMode="External"/><Relationship Id="rId2128" Type="http://schemas.openxmlformats.org/officeDocument/2006/relationships/hyperlink" Target="http://www.broadinstitute.org/gsea/msigdb/cards/GSE31622_WT_VS_KLF3_KO_BCELL_UP.html" TargetMode="External"/><Relationship Id="rId2129" Type="http://schemas.openxmlformats.org/officeDocument/2006/relationships/hyperlink" Target="http://www.broadinstitute.org/gsea/msigdb/cards/GSE29164_DAY3_VS_DAY7_CD8_TCELL_AND_IL12_TREATED_MELANOMA_DN.html" TargetMode="External"/><Relationship Id="rId1830" Type="http://schemas.openxmlformats.org/officeDocument/2006/relationships/hyperlink" Target="http://www.broadinstitute.org/gsea/msigdb/cards/GSE2405_0H_VS_24H_A_PHAGOCYTOPHILUM_STIM_NEUTROPHIL_DN.html" TargetMode="External"/><Relationship Id="rId1831" Type="http://schemas.openxmlformats.org/officeDocument/2006/relationships/hyperlink" Target="http://www.broadinstitute.org/gsea/msigdb/cards/GSE2405_0H_VS_1.5H_A_PHAGOCYTOPHILUM_STIM_NEUTROPHIL_UP.html" TargetMode="External"/><Relationship Id="rId1832" Type="http://schemas.openxmlformats.org/officeDocument/2006/relationships/hyperlink" Target="http://www.broadinstitute.org/gsea/msigdb/cards/GSE19772_HCMV_INFL_VS_HCMV_INF_MONOCYTES_AND_PI3K_INHIBITION_UP.html" TargetMode="External"/><Relationship Id="rId1833" Type="http://schemas.openxmlformats.org/officeDocument/2006/relationships/hyperlink" Target="http://www.broadinstitute.org/gsea/msigdb/cards/GSE26488_WT_VS_HDAC7_DELTAP_TG_OT2_THYMOCYTE_WITH_PEPTIDE_INJECTION_DN.html" TargetMode="External"/><Relationship Id="rId1440" Type="http://schemas.openxmlformats.org/officeDocument/2006/relationships/hyperlink" Target="http://www.broadinstitute.org/gsea/msigdb/cards/GO_POSITIVE_REGULATION_OF_OSSIFICATION.html" TargetMode="External"/><Relationship Id="rId1441" Type="http://schemas.openxmlformats.org/officeDocument/2006/relationships/hyperlink" Target="http://www.broadinstitute.org/gsea/msigdb/cards/GO_EXOCYTOSIS.html" TargetMode="External"/><Relationship Id="rId1442" Type="http://schemas.openxmlformats.org/officeDocument/2006/relationships/hyperlink" Target="http://www.broadinstitute.org/gsea/msigdb/cards/GO_RESPONSE_TO_MECHANICAL_STIMULUS.html" TargetMode="External"/><Relationship Id="rId1443" Type="http://schemas.openxmlformats.org/officeDocument/2006/relationships/hyperlink" Target="http://www.broadinstitute.org/gsea/msigdb/cards/GO_REGULATION_OF_MORPHOGENESIS_OF_A_BRANCHING_STRUCTURE.html" TargetMode="External"/><Relationship Id="rId1444" Type="http://schemas.openxmlformats.org/officeDocument/2006/relationships/hyperlink" Target="http://www.broadinstitute.org/gsea/msigdb/cards/GO_POSITIVE_REGULATION_OF_FIBROBLAST_PROLIFERATION.html" TargetMode="External"/><Relationship Id="rId1445" Type="http://schemas.openxmlformats.org/officeDocument/2006/relationships/hyperlink" Target="http://www.broadinstitute.org/gsea/msigdb/cards/GO_CELL_PROJECTION_PART.html" TargetMode="External"/><Relationship Id="rId1446" Type="http://schemas.openxmlformats.org/officeDocument/2006/relationships/hyperlink" Target="http://www.broadinstitute.org/gsea/msigdb/cards/GO_HEART_MORPHOGENESIS.html" TargetMode="External"/><Relationship Id="rId1447" Type="http://schemas.openxmlformats.org/officeDocument/2006/relationships/hyperlink" Target="http://www.broadinstitute.org/gsea/msigdb/cards/GO_SECRETION_BY_CELL.html" TargetMode="External"/><Relationship Id="rId1448" Type="http://schemas.openxmlformats.org/officeDocument/2006/relationships/hyperlink" Target="http://www.broadinstitute.org/gsea/msigdb/cards/GO_AGING.html" TargetMode="External"/><Relationship Id="rId1449" Type="http://schemas.openxmlformats.org/officeDocument/2006/relationships/hyperlink" Target="http://www.broadinstitute.org/gsea/msigdb/cards/GO_TISSUE_REMODELING.html" TargetMode="External"/><Relationship Id="rId980" Type="http://schemas.openxmlformats.org/officeDocument/2006/relationships/hyperlink" Target="http://www.broadinstitute.org/gsea/msigdb/cards/MEIS1BHOXA9_01.html" TargetMode="External"/><Relationship Id="rId981" Type="http://schemas.openxmlformats.org/officeDocument/2006/relationships/hyperlink" Target="http://www.broadinstitute.org/gsea/msigdb/cards/HFH8_01.html" TargetMode="External"/><Relationship Id="rId982" Type="http://schemas.openxmlformats.org/officeDocument/2006/relationships/hyperlink" Target="http://www.broadinstitute.org/gsea/msigdb/cards/GATA6_01.html" TargetMode="External"/><Relationship Id="rId983" Type="http://schemas.openxmlformats.org/officeDocument/2006/relationships/hyperlink" Target="http://www.broadinstitute.org/gsea/msigdb/cards/OCT_Q6.html" TargetMode="External"/><Relationship Id="rId984" Type="http://schemas.openxmlformats.org/officeDocument/2006/relationships/hyperlink" Target="http://www.broadinstitute.org/gsea/msigdb/cards/OCT1_06.html" TargetMode="External"/><Relationship Id="rId985" Type="http://schemas.openxmlformats.org/officeDocument/2006/relationships/hyperlink" Target="http://www.broadinstitute.org/gsea/msigdb/cards/GAGACTG_MIR452.html" TargetMode="External"/><Relationship Id="rId986" Type="http://schemas.openxmlformats.org/officeDocument/2006/relationships/hyperlink" Target="http://www.broadinstitute.org/gsea/msigdb/cards/OCT_C.html" TargetMode="External"/><Relationship Id="rId987" Type="http://schemas.openxmlformats.org/officeDocument/2006/relationships/hyperlink" Target="http://www.broadinstitute.org/gsea/msigdb/cards/NF1_Q6_01.html" TargetMode="External"/><Relationship Id="rId988" Type="http://schemas.openxmlformats.org/officeDocument/2006/relationships/hyperlink" Target="http://www.broadinstitute.org/gsea/msigdb/cards/TCANNTGAY_SREBP1_01.html" TargetMode="External"/><Relationship Id="rId989" Type="http://schemas.openxmlformats.org/officeDocument/2006/relationships/hyperlink" Target="http://www.broadinstitute.org/gsea/msigdb/cards/ER_Q6_01.html" TargetMode="External"/><Relationship Id="rId1050" Type="http://schemas.openxmlformats.org/officeDocument/2006/relationships/hyperlink" Target="http://www.broadinstitute.org/gsea/msigdb/cards/MODULE_100.html" TargetMode="External"/><Relationship Id="rId1051" Type="http://schemas.openxmlformats.org/officeDocument/2006/relationships/hyperlink" Target="http://www.broadinstitute.org/gsea/msigdb/cards/MODULE_137.html" TargetMode="External"/><Relationship Id="rId1052" Type="http://schemas.openxmlformats.org/officeDocument/2006/relationships/hyperlink" Target="http://www.broadinstitute.org/gsea/msigdb/cards/MODULE_66.html" TargetMode="External"/><Relationship Id="rId1053" Type="http://schemas.openxmlformats.org/officeDocument/2006/relationships/hyperlink" Target="http://www.broadinstitute.org/gsea/msigdb/cards/MODULE_72.html" TargetMode="External"/><Relationship Id="rId1054" Type="http://schemas.openxmlformats.org/officeDocument/2006/relationships/hyperlink" Target="http://www.broadinstitute.org/gsea/msigdb/cards/MODULE_138.html" TargetMode="External"/><Relationship Id="rId1055" Type="http://schemas.openxmlformats.org/officeDocument/2006/relationships/hyperlink" Target="http://www.broadinstitute.org/gsea/msigdb/cards/MODULE_512.html" TargetMode="External"/><Relationship Id="rId1056" Type="http://schemas.openxmlformats.org/officeDocument/2006/relationships/hyperlink" Target="http://www.broadinstitute.org/gsea/msigdb/cards/MODULE_562.html" TargetMode="External"/><Relationship Id="rId1057" Type="http://schemas.openxmlformats.org/officeDocument/2006/relationships/hyperlink" Target="http://www.broadinstitute.org/gsea/msigdb/cards/MODULE_3.html" TargetMode="External"/><Relationship Id="rId1058" Type="http://schemas.openxmlformats.org/officeDocument/2006/relationships/hyperlink" Target="http://www.broadinstitute.org/gsea/msigdb/cards/MODULE_291.html" TargetMode="External"/><Relationship Id="rId1059" Type="http://schemas.openxmlformats.org/officeDocument/2006/relationships/hyperlink" Target="http://www.broadinstitute.org/gsea/msigdb/cards/MODULE_174.html" TargetMode="External"/><Relationship Id="rId590" Type="http://schemas.openxmlformats.org/officeDocument/2006/relationships/hyperlink" Target="http://www.broadinstitute.org/gsea/msigdb/cards/REACTOME_GPVI_MEDIATED_ACTIVATION_CASCADE.html" TargetMode="External"/><Relationship Id="rId591" Type="http://schemas.openxmlformats.org/officeDocument/2006/relationships/hyperlink" Target="http://www.broadinstitute.org/gsea/msigdb/cards/BERENJENO_TRANSFORMED_BY_RHOA_FOREVER_DN.html" TargetMode="External"/><Relationship Id="rId592" Type="http://schemas.openxmlformats.org/officeDocument/2006/relationships/hyperlink" Target="http://www.broadinstitute.org/gsea/msigdb/cards/LUCAS_HNF4A_TARGETS_DN.html" TargetMode="External"/><Relationship Id="rId593" Type="http://schemas.openxmlformats.org/officeDocument/2006/relationships/hyperlink" Target="http://www.broadinstitute.org/gsea/msigdb/cards/OXFORD_RALB_TARGETS_UP.html" TargetMode="External"/><Relationship Id="rId594" Type="http://schemas.openxmlformats.org/officeDocument/2006/relationships/hyperlink" Target="http://www.broadinstitute.org/gsea/msigdb/cards/SIMBULAN_UV_RESPONSE_IMMORTALIZED_DN.html" TargetMode="External"/><Relationship Id="rId595" Type="http://schemas.openxmlformats.org/officeDocument/2006/relationships/hyperlink" Target="http://www.broadinstitute.org/gsea/msigdb/cards/BONOME_OVARIAN_CANCER_POOR_SURVIVAL_UP.html" TargetMode="External"/><Relationship Id="rId596" Type="http://schemas.openxmlformats.org/officeDocument/2006/relationships/hyperlink" Target="http://www.broadinstitute.org/gsea/msigdb/cards/VALK_AML_CLUSTER_15.html" TargetMode="External"/><Relationship Id="rId597" Type="http://schemas.openxmlformats.org/officeDocument/2006/relationships/hyperlink" Target="http://www.broadinstitute.org/gsea/msigdb/cards/TAKEDA_TARGETS_OF_NUP98_HOXA9_FUSION_8D_UP.html" TargetMode="External"/><Relationship Id="rId598" Type="http://schemas.openxmlformats.org/officeDocument/2006/relationships/hyperlink" Target="http://www.broadinstitute.org/gsea/msigdb/cards/NING_CHRONIC_OBSTRUCTIVE_PULMONARY_DISEASE_UP.html" TargetMode="External"/><Relationship Id="rId599" Type="http://schemas.openxmlformats.org/officeDocument/2006/relationships/hyperlink" Target="http://www.broadinstitute.org/gsea/msigdb/cards/JAZAG_TGFB1_SIGNALING_VIA_SMAD4_DN.html" TargetMode="External"/><Relationship Id="rId1834" Type="http://schemas.openxmlformats.org/officeDocument/2006/relationships/hyperlink" Target="http://www.broadinstitute.org/gsea/msigdb/cards/GSE24814_STAT5_KO_VS_WT_PRE_BCELL_UP.html" TargetMode="External"/><Relationship Id="rId1835" Type="http://schemas.openxmlformats.org/officeDocument/2006/relationships/hyperlink" Target="http://www.broadinstitute.org/gsea/msigdb/cards/GSE11961_FOLLICULAR_BCELL_VS_MEMORY_BCELL_DAY40_DN.html" TargetMode="External"/><Relationship Id="rId1836" Type="http://schemas.openxmlformats.org/officeDocument/2006/relationships/hyperlink" Target="http://www.broadinstitute.org/gsea/msigdb/cards/GSE28737_BCL6_HET_VS_BCL6_KO_FOLLICULAR_BCELL_DN.html" TargetMode="External"/><Relationship Id="rId1837" Type="http://schemas.openxmlformats.org/officeDocument/2006/relationships/hyperlink" Target="http://www.broadinstitute.org/gsea/msigdb/cards/GSE18804_SPLEEN_MACROPHAGE_VS_COLON_TUMORAL_MACROPHAGE_UP.html" TargetMode="External"/><Relationship Id="rId1838" Type="http://schemas.openxmlformats.org/officeDocument/2006/relationships/hyperlink" Target="http://www.broadinstitute.org/gsea/msigdb/cards/GSE1460_INTRATHYMIC_T_PROGENITOR_VS_THYMIC_STROMAL_CELL_DN.html" TargetMode="External"/><Relationship Id="rId1839" Type="http://schemas.openxmlformats.org/officeDocument/2006/relationships/hyperlink" Target="http://www.broadinstitute.org/gsea/msigdb/cards/GSE9037_WT_VS_IRAK4_KO_BMDM_UP.html" TargetMode="External"/><Relationship Id="rId2130" Type="http://schemas.openxmlformats.org/officeDocument/2006/relationships/hyperlink" Target="http://www.broadinstitute.org/gsea/msigdb/cards/GSE33424_CD161_HIGH_VS_INT_CD8_TCELL_DN.html" TargetMode="External"/><Relationship Id="rId2131" Type="http://schemas.openxmlformats.org/officeDocument/2006/relationships/hyperlink" Target="http://www.broadinstitute.org/gsea/msigdb/cards/GSE33424_CD161_HIGH_VS_NEG_CD8_TCELL_DN.html" TargetMode="External"/><Relationship Id="rId2132" Type="http://schemas.openxmlformats.org/officeDocument/2006/relationships/hyperlink" Target="http://www.broadinstitute.org/gsea/msigdb/cards/GSE26343_UNSTIM_VS_LPS_STIM_MACROPHAGE_UP.html" TargetMode="External"/><Relationship Id="rId2133" Type="http://schemas.openxmlformats.org/officeDocument/2006/relationships/hyperlink" Target="http://www.broadinstitute.org/gsea/msigdb/cards/GSE34156_UNTREATED_VS_24H_NOD2_LIGAND_TREATED_MONOCYTE_DN.html" TargetMode="External"/><Relationship Id="rId2134" Type="http://schemas.openxmlformats.org/officeDocument/2006/relationships/hyperlink" Target="http://www.broadinstitute.org/gsea/msigdb/cards/GSE36888_STAT5_AB_KNOCKIN_VS_WT_TCELL_IL2_TREATED_2H_DN.html" TargetMode="External"/><Relationship Id="rId2135" Type="http://schemas.openxmlformats.org/officeDocument/2006/relationships/hyperlink" Target="http://www.broadinstitute.org/gsea/msigdb/cards/GSE37301_RAG2_KO_VS_RAG2_AND_ETS1_KO_NK_CELL_UP.html" TargetMode="External"/><Relationship Id="rId2136" Type="http://schemas.openxmlformats.org/officeDocument/2006/relationships/hyperlink" Target="http://www.broadinstitute.org/gsea/msigdb/cards/GSE32034_UNTREATED_VS_ROSIGLIZATONE_TREATED_LY6C_LOW_MONOCYTE_DN.html" TargetMode="External"/><Relationship Id="rId2137" Type="http://schemas.openxmlformats.org/officeDocument/2006/relationships/hyperlink" Target="http://www.broadinstitute.org/gsea/msigdb/cards/GSE40277_GATA1_AND_SATB1_TRANSDUCED_VS_CTRL_CD4_TCELL_UP.html" TargetMode="External"/><Relationship Id="rId2138" Type="http://schemas.openxmlformats.org/officeDocument/2006/relationships/hyperlink" Target="http://www.broadinstitute.org/gsea/msigdb/cards/GSE40274_FOXP3_VS_FOXP3_AND_PBX1_TRANSDUCED_ACTIVATED_CD4_TCELL_DN.html" TargetMode="External"/><Relationship Id="rId2139" Type="http://schemas.openxmlformats.org/officeDocument/2006/relationships/hyperlink" Target="http://www.broadinstitute.org/gsea/msigdb/cards/GSE39916_B_CELL_SPLEEN_VS_PLASMA_CELL_BONE_MARROW_UP.html" TargetMode="External"/><Relationship Id="rId1840" Type="http://schemas.openxmlformats.org/officeDocument/2006/relationships/hyperlink" Target="http://www.broadinstitute.org/gsea/msigdb/cards/GSE26488_CTRL_VS_PEPTIDE_INJECTION_HDAC7_DELTAP_TG_OT2_THYMOCYTE_UP.html" TargetMode="External"/><Relationship Id="rId1841" Type="http://schemas.openxmlformats.org/officeDocument/2006/relationships/hyperlink" Target="http://www.broadinstitute.org/gsea/msigdb/cards/GSE22025_TGFB1_VS_TGFB1_AND_PROGESTERONE_TREATED_CD4_TCELL_UP.html" TargetMode="External"/><Relationship Id="rId1842" Type="http://schemas.openxmlformats.org/officeDocument/2006/relationships/hyperlink" Target="http://www.broadinstitute.org/gsea/msigdb/cards/GSE32533_WT_VS_MIR17_KO_ACT_CD4_TCELL_UP.html" TargetMode="External"/><Relationship Id="rId1843" Type="http://schemas.openxmlformats.org/officeDocument/2006/relationships/hyperlink" Target="http://www.broadinstitute.org/gsea/msigdb/cards/GSE17721_0.5H_VS_24H_CPG_BMDC_DN.html" TargetMode="External"/><Relationship Id="rId1450" Type="http://schemas.openxmlformats.org/officeDocument/2006/relationships/hyperlink" Target="http://www.broadinstitute.org/gsea/msigdb/cards/GO_NEGATIVE_REGULATION_OF_IMMUNE_SYSTEM_PROCESS.html" TargetMode="External"/><Relationship Id="rId1451" Type="http://schemas.openxmlformats.org/officeDocument/2006/relationships/hyperlink" Target="http://www.broadinstitute.org/gsea/msigdb/cards/GO_NEGATIVE_REGULATION_OF_CELLULAR_COMPONENT_ORGANIZATION.html" TargetMode="External"/><Relationship Id="rId1452" Type="http://schemas.openxmlformats.org/officeDocument/2006/relationships/hyperlink" Target="http://www.broadinstitute.org/gsea/msigdb/cards/GO_CYTOSKELETAL_PROTEIN_BINDING.html" TargetMode="External"/><Relationship Id="rId1453" Type="http://schemas.openxmlformats.org/officeDocument/2006/relationships/hyperlink" Target="http://www.broadinstitute.org/gsea/msigdb/cards/GO_KINASE_INHIBITOR_ACTIVITY.html" TargetMode="External"/><Relationship Id="rId1454" Type="http://schemas.openxmlformats.org/officeDocument/2006/relationships/hyperlink" Target="http://www.broadinstitute.org/gsea/msigdb/cards/GO_PEPTIDE_CROSS_LINKING.html" TargetMode="External"/><Relationship Id="rId1455" Type="http://schemas.openxmlformats.org/officeDocument/2006/relationships/hyperlink" Target="http://www.broadinstitute.org/gsea/msigdb/cards/GO_REGULATION_OF_CELL_PROJECTION_ORGANIZATION.html" TargetMode="External"/><Relationship Id="rId1456" Type="http://schemas.openxmlformats.org/officeDocument/2006/relationships/hyperlink" Target="http://www.broadinstitute.org/gsea/msigdb/cards/GO_MUSCLE_CELL_DEVELOPMENT.html" TargetMode="External"/><Relationship Id="rId1457" Type="http://schemas.openxmlformats.org/officeDocument/2006/relationships/hyperlink" Target="http://www.broadinstitute.org/gsea/msigdb/cards/GO_NEGATIVE_REGULATION_OF_INTRACELLULAR_SIGNAL_TRANSDUCTION.html" TargetMode="External"/><Relationship Id="rId1458" Type="http://schemas.openxmlformats.org/officeDocument/2006/relationships/hyperlink" Target="http://www.broadinstitute.org/gsea/msigdb/cards/GO_LAMELLIPODIUM.html" TargetMode="External"/><Relationship Id="rId1459" Type="http://schemas.openxmlformats.org/officeDocument/2006/relationships/hyperlink" Target="http://www.broadinstitute.org/gsea/msigdb/cards/GO_MESONEPHROS_DEVELOPMENT.html" TargetMode="External"/><Relationship Id="rId990" Type="http://schemas.openxmlformats.org/officeDocument/2006/relationships/hyperlink" Target="http://www.broadinstitute.org/gsea/msigdb/cards/TTGGAGA_MIR5155P_MIR519E.html" TargetMode="External"/><Relationship Id="rId991" Type="http://schemas.openxmlformats.org/officeDocument/2006/relationships/hyperlink" Target="http://www.broadinstitute.org/gsea/msigdb/cards/AP1_Q4.html" TargetMode="External"/><Relationship Id="rId992" Type="http://schemas.openxmlformats.org/officeDocument/2006/relationships/hyperlink" Target="http://www.broadinstitute.org/gsea/msigdb/cards/HNF4ALPHA_Q6.html" TargetMode="External"/><Relationship Id="rId993" Type="http://schemas.openxmlformats.org/officeDocument/2006/relationships/hyperlink" Target="http://www.broadinstitute.org/gsea/msigdb/cards/OCT1_Q5_01.html" TargetMode="External"/><Relationship Id="rId994" Type="http://schemas.openxmlformats.org/officeDocument/2006/relationships/hyperlink" Target="http://www.broadinstitute.org/gsea/msigdb/cards/ETS2_B.html" TargetMode="External"/><Relationship Id="rId995" Type="http://schemas.openxmlformats.org/officeDocument/2006/relationships/hyperlink" Target="http://www.broadinstitute.org/gsea/msigdb/cards/AP1_C.html" TargetMode="External"/><Relationship Id="rId996" Type="http://schemas.openxmlformats.org/officeDocument/2006/relationships/hyperlink" Target="http://www.broadinstitute.org/gsea/msigdb/cards/EGR_Q6.html" TargetMode="External"/><Relationship Id="rId997" Type="http://schemas.openxmlformats.org/officeDocument/2006/relationships/hyperlink" Target="http://www.broadinstitute.org/gsea/msigdb/cards/RTTTNNNYTGGM_UNKNOWN.html" TargetMode="External"/><Relationship Id="rId998" Type="http://schemas.openxmlformats.org/officeDocument/2006/relationships/hyperlink" Target="http://www.broadinstitute.org/gsea/msigdb/cards/HAND1E47_01.html" TargetMode="External"/><Relationship Id="rId999" Type="http://schemas.openxmlformats.org/officeDocument/2006/relationships/hyperlink" Target="http://www.broadinstitute.org/gsea/msigdb/cards/ACCTGTTG_UNKNOWN.html" TargetMode="External"/><Relationship Id="rId1060" Type="http://schemas.openxmlformats.org/officeDocument/2006/relationships/hyperlink" Target="http://www.broadinstitute.org/gsea/msigdb/cards/MODULE_172.html" TargetMode="External"/><Relationship Id="rId1061" Type="http://schemas.openxmlformats.org/officeDocument/2006/relationships/hyperlink" Target="http://www.broadinstitute.org/gsea/msigdb/cards/MODULE_18.html" TargetMode="External"/><Relationship Id="rId1062" Type="http://schemas.openxmlformats.org/officeDocument/2006/relationships/hyperlink" Target="http://www.broadinstitute.org/gsea/msigdb/cards/MODULE_112.html" TargetMode="External"/><Relationship Id="rId1063" Type="http://schemas.openxmlformats.org/officeDocument/2006/relationships/hyperlink" Target="http://www.broadinstitute.org/gsea/msigdb/cards/MODULE_99.html" TargetMode="External"/><Relationship Id="rId1064" Type="http://schemas.openxmlformats.org/officeDocument/2006/relationships/hyperlink" Target="http://www.broadinstitute.org/gsea/msigdb/cards/MODULE_210.html" TargetMode="External"/><Relationship Id="rId1065" Type="http://schemas.openxmlformats.org/officeDocument/2006/relationships/hyperlink" Target="http://www.broadinstitute.org/gsea/msigdb/cards/MODULE_176.html" TargetMode="External"/><Relationship Id="rId1066" Type="http://schemas.openxmlformats.org/officeDocument/2006/relationships/hyperlink" Target="http://www.broadinstitute.org/gsea/msigdb/cards/MODULE_46.html" TargetMode="External"/><Relationship Id="rId1067" Type="http://schemas.openxmlformats.org/officeDocument/2006/relationships/hyperlink" Target="http://www.broadinstitute.org/gsea/msigdb/cards/MODULE_209.html" TargetMode="External"/><Relationship Id="rId1068" Type="http://schemas.openxmlformats.org/officeDocument/2006/relationships/hyperlink" Target="http://www.broadinstitute.org/gsea/msigdb/cards/MODULE_11.html" TargetMode="External"/><Relationship Id="rId1069" Type="http://schemas.openxmlformats.org/officeDocument/2006/relationships/hyperlink" Target="http://www.broadinstitute.org/gsea/msigdb/cards/MODULE_121.html" TargetMode="External"/><Relationship Id="rId1844" Type="http://schemas.openxmlformats.org/officeDocument/2006/relationships/hyperlink" Target="http://www.broadinstitute.org/gsea/msigdb/cards/GSE18148_CBFB_KO_VS_WT_TREG_DN.html" TargetMode="External"/><Relationship Id="rId1845" Type="http://schemas.openxmlformats.org/officeDocument/2006/relationships/hyperlink" Target="http://www.broadinstitute.org/gsea/msigdb/cards/GSE20715_WT_VS_TLR4_KO_6H_OZONE_LUNG_UP.html" TargetMode="External"/><Relationship Id="rId1846" Type="http://schemas.openxmlformats.org/officeDocument/2006/relationships/hyperlink" Target="http://www.broadinstitute.org/gsea/msigdb/cards/GSE24634_IL4_VS_CTRL_TREATED_NAIVE_CD4_TCELL_DAY5_UP.html" TargetMode="External"/><Relationship Id="rId1847" Type="http://schemas.openxmlformats.org/officeDocument/2006/relationships/hyperlink" Target="http://www.broadinstitute.org/gsea/msigdb/cards/GSE27786_CD8_TCELL_VS_ERYTHROBLAST_DN.html" TargetMode="External"/><Relationship Id="rId1848" Type="http://schemas.openxmlformats.org/officeDocument/2006/relationships/hyperlink" Target="http://www.broadinstitute.org/gsea/msigdb/cards/GSE360_L_DONOVANI_VS_L_MAJOR_DC_UP.html" TargetMode="External"/><Relationship Id="rId1849" Type="http://schemas.openxmlformats.org/officeDocument/2006/relationships/hyperlink" Target="http://www.broadinstitute.org/gsea/msigdb/cards/GSE360_L_MAJOR_VS_T_GONDII_MAC_UP.html" TargetMode="External"/><Relationship Id="rId2140" Type="http://schemas.openxmlformats.org/officeDocument/2006/relationships/hyperlink" Target="http://www.broadinstitute.org/gsea/msigdb/cards/GSE11961_MARGINAL_ZONE_BCELL_VS_MEMORY_BCELL_DAY7_DN.html" TargetMode="External"/><Relationship Id="rId2141" Type="http://schemas.openxmlformats.org/officeDocument/2006/relationships/hyperlink" Target="http://www.broadinstitute.org/gsea/msigdb/cards/GSE28737_BCL6_HET_VS_BCL6_KO_MARGINAL_ZONE_BCELL_UP.html" TargetMode="External"/><Relationship Id="rId2142" Type="http://schemas.openxmlformats.org/officeDocument/2006/relationships/hyperlink" Target="http://www.broadinstitute.org/gsea/msigdb/cards/GSE11961_PLASMA_CELL_DAY7_VS_MEMORY_BCELL_DAY40_DN.html" TargetMode="External"/><Relationship Id="rId2143" Type="http://schemas.openxmlformats.org/officeDocument/2006/relationships/hyperlink" Target="http://www.broadinstitute.org/gsea/msigdb/cards/GSE36826_WT_VS_IL1R_KO_SKIN_STAPH_AUREUS_INF_DN.html" TargetMode="External"/><Relationship Id="rId2144" Type="http://schemas.openxmlformats.org/officeDocument/2006/relationships/hyperlink" Target="http://www.broadinstitute.org/gsea/msigdb/cards/GSE41978_KLRG1_HIGH_VS_LOW_EFFECTOR_CD8_TCELL_UP.html" TargetMode="External"/><Relationship Id="rId2145" Type="http://schemas.openxmlformats.org/officeDocument/2006/relationships/hyperlink" Target="http://www.broadinstitute.org/gsea/msigdb/cards/GSE42021_CD24HI_TREG_VS_CD24HI_TCONV_THYMUS_DN.html" TargetMode="External"/><Relationship Id="rId2146" Type="http://schemas.openxmlformats.org/officeDocument/2006/relationships/hyperlink" Target="http://www.broadinstitute.org/gsea/msigdb/cards/GSE43955_1H_VS_60H_ACT_CD4_TCELL_UP.html" TargetMode="External"/><Relationship Id="rId2147" Type="http://schemas.openxmlformats.org/officeDocument/2006/relationships/hyperlink" Target="http://www.broadinstitute.org/gsea/msigdb/cards/GSE43955_TGFB_IL6_VS_TGFB_IL6_IL23_TH17_ACT_CD4_TCELL_60H_DN.html" TargetMode="External"/><Relationship Id="rId2148" Type="http://schemas.openxmlformats.org/officeDocument/2006/relationships/hyperlink" Target="http://www.broadinstitute.org/gsea/msigdb/cards/GSE43955_10H_VS_30H_ACT_CD4_TCELL_WITH_TGFB_IL6_DN.html" TargetMode="External"/><Relationship Id="rId2149" Type="http://schemas.openxmlformats.org/officeDocument/2006/relationships/hyperlink" Target="http://www.broadinstitute.org/gsea/msigdb/cards/GSE43863_NAIVE_VS_MEMORY_TH1_CD4_TCELL_D150_LCMV_DN.html" TargetMode="External"/><Relationship Id="rId200" Type="http://schemas.openxmlformats.org/officeDocument/2006/relationships/hyperlink" Target="http://www.broadinstitute.org/gsea/msigdb/cards/BRUECKNER_TARGETS_OF_MIRLET7A3_DN.html" TargetMode="External"/><Relationship Id="rId201" Type="http://schemas.openxmlformats.org/officeDocument/2006/relationships/hyperlink" Target="http://www.broadinstitute.org/gsea/msigdb/cards/WOO_LIVER_CANCER_RECURRENCE_UP.html" TargetMode="External"/><Relationship Id="rId202" Type="http://schemas.openxmlformats.org/officeDocument/2006/relationships/hyperlink" Target="http://www.broadinstitute.org/gsea/msigdb/cards/WEST_ADRENOCORTICAL_TUMOR_MARKERS_DN.html" TargetMode="External"/><Relationship Id="rId203" Type="http://schemas.openxmlformats.org/officeDocument/2006/relationships/hyperlink" Target="http://www.broadinstitute.org/gsea/msigdb/cards/HAEGERSTRAND_RESPONSE_TO_IMATINIB.html" TargetMode="External"/><Relationship Id="rId204" Type="http://schemas.openxmlformats.org/officeDocument/2006/relationships/hyperlink" Target="http://www.broadinstitute.org/gsea/msigdb/cards/MCLACHLAN_DENTAL_CARIES_DN.html" TargetMode="External"/><Relationship Id="rId205" Type="http://schemas.openxmlformats.org/officeDocument/2006/relationships/hyperlink" Target="http://www.broadinstitute.org/gsea/msigdb/cards/REACTOME_AXON_GUIDANCE.html" TargetMode="External"/><Relationship Id="rId206" Type="http://schemas.openxmlformats.org/officeDocument/2006/relationships/hyperlink" Target="http://www.broadinstitute.org/gsea/msigdb/cards/SMID_BREAST_CANCER_LUMINAL_A_UP.html" TargetMode="External"/><Relationship Id="rId207" Type="http://schemas.openxmlformats.org/officeDocument/2006/relationships/hyperlink" Target="http://www.broadinstitute.org/gsea/msigdb/cards/VERRECCHIA_DELAYED_RESPONSE_TO_TGFB1.html" TargetMode="External"/><Relationship Id="rId208" Type="http://schemas.openxmlformats.org/officeDocument/2006/relationships/hyperlink" Target="http://www.broadinstitute.org/gsea/msigdb/cards/TOMLINS_PROSTATE_CANCER_DN.html" TargetMode="External"/><Relationship Id="rId209" Type="http://schemas.openxmlformats.org/officeDocument/2006/relationships/hyperlink" Target="http://www.broadinstitute.org/gsea/msigdb/cards/HOSHIDA_LIVER_CANCER_LATE_RECURRENCE_UP.html" TargetMode="External"/><Relationship Id="rId1850" Type="http://schemas.openxmlformats.org/officeDocument/2006/relationships/hyperlink" Target="http://www.broadinstitute.org/gsea/msigdb/cards/GSE8835_HEALTHY_VS_CLL_CD8_TCELL_DN.html" TargetMode="External"/><Relationship Id="rId1851" Type="http://schemas.openxmlformats.org/officeDocument/2006/relationships/hyperlink" Target="http://www.broadinstitute.org/gsea/msigdb/cards/GSE2585_CD80_HIGH_VS_LOW_AIRE_KO_MTEC_UP.html" TargetMode="External"/><Relationship Id="rId1852" Type="http://schemas.openxmlformats.org/officeDocument/2006/relationships/hyperlink" Target="http://www.broadinstitute.org/gsea/msigdb/cards/GSE8921_UNSTIM_0H_VS_TLR1_2_STIM_MONOCYTE_24H_UP.html" TargetMode="External"/><Relationship Id="rId1853" Type="http://schemas.openxmlformats.org/officeDocument/2006/relationships/hyperlink" Target="http://www.broadinstitute.org/gsea/msigdb/cards/GSE7218_UNSTIM_VS_ANTIGEN_STIM_THROUGH_IGM_BCELL_UP.html" TargetMode="External"/><Relationship Id="rId1460" Type="http://schemas.openxmlformats.org/officeDocument/2006/relationships/hyperlink" Target="http://www.broadinstitute.org/gsea/msigdb/cards/GO_CELL_JUNCTION_ASSEMBLY.html" TargetMode="External"/><Relationship Id="rId1461" Type="http://schemas.openxmlformats.org/officeDocument/2006/relationships/hyperlink" Target="http://www.broadinstitute.org/gsea/msigdb/cards/GO_ENDOTHELIAL_CELL_MIGRATION.html" TargetMode="External"/><Relationship Id="rId1462" Type="http://schemas.openxmlformats.org/officeDocument/2006/relationships/hyperlink" Target="http://www.broadinstitute.org/gsea/msigdb/cards/GO_CHONDROITIN_SULFATE_PROTEOGLYCAN_BIOSYNTHETIC_PROCESS.html" TargetMode="External"/><Relationship Id="rId1463" Type="http://schemas.openxmlformats.org/officeDocument/2006/relationships/hyperlink" Target="http://www.broadinstitute.org/gsea/msigdb/cards/GO_NEGATIVE_REGULATION_OF_CELL_MATRIX_ADHESION.html" TargetMode="External"/><Relationship Id="rId1464" Type="http://schemas.openxmlformats.org/officeDocument/2006/relationships/hyperlink" Target="http://www.broadinstitute.org/gsea/msigdb/cards/GO_REGULATION_OF_CYTOKINE_PRODUCTION.html" TargetMode="External"/><Relationship Id="rId1465" Type="http://schemas.openxmlformats.org/officeDocument/2006/relationships/hyperlink" Target="http://www.broadinstitute.org/gsea/msigdb/cards/GO_NEGATIVE_REGULATION_OF_FIBROBLAST_GROWTH_FACTOR_RECEPTOR_SIGNALING_PATHWAY.html" TargetMode="External"/><Relationship Id="rId1466" Type="http://schemas.openxmlformats.org/officeDocument/2006/relationships/hyperlink" Target="http://www.broadinstitute.org/gsea/msigdb/cards/GO_METANEPHRIC_RENAL_VESICLE_MORPHOGENESIS.html" TargetMode="External"/><Relationship Id="rId1467" Type="http://schemas.openxmlformats.org/officeDocument/2006/relationships/hyperlink" Target="http://www.broadinstitute.org/gsea/msigdb/cards/GO_CARBOHYDRATE_DERIVATIVE_CATABOLIC_PROCESS.html" TargetMode="External"/><Relationship Id="rId1468" Type="http://schemas.openxmlformats.org/officeDocument/2006/relationships/hyperlink" Target="http://www.broadinstitute.org/gsea/msigdb/cards/GO_ACTIN_FILAMENT_ORGANIZATION.html" TargetMode="External"/><Relationship Id="rId1469" Type="http://schemas.openxmlformats.org/officeDocument/2006/relationships/hyperlink" Target="http://www.broadinstitute.org/gsea/msigdb/cards/GO_CELL_CELL_JUNCTION.html" TargetMode="External"/><Relationship Id="rId1070" Type="http://schemas.openxmlformats.org/officeDocument/2006/relationships/hyperlink" Target="http://www.broadinstitute.org/gsea/msigdb/cards/MODULE_493.html" TargetMode="External"/><Relationship Id="rId1071" Type="http://schemas.openxmlformats.org/officeDocument/2006/relationships/hyperlink" Target="http://www.broadinstitute.org/gsea/msigdb/cards/MODULE_92.html" TargetMode="External"/><Relationship Id="rId1072" Type="http://schemas.openxmlformats.org/officeDocument/2006/relationships/hyperlink" Target="http://www.broadinstitute.org/gsea/msigdb/cards/MODULE_75.html" TargetMode="External"/><Relationship Id="rId1073" Type="http://schemas.openxmlformats.org/officeDocument/2006/relationships/hyperlink" Target="http://www.broadinstitute.org/gsea/msigdb/cards/MODULE_64.html" TargetMode="External"/><Relationship Id="rId1074" Type="http://schemas.openxmlformats.org/officeDocument/2006/relationships/hyperlink" Target="http://www.broadinstitute.org/gsea/msigdb/cards/MORF_MAGEA9.html" TargetMode="External"/><Relationship Id="rId1075" Type="http://schemas.openxmlformats.org/officeDocument/2006/relationships/hyperlink" Target="http://www.broadinstitute.org/gsea/msigdb/cards/MODULE_248.html" TargetMode="External"/><Relationship Id="rId1076" Type="http://schemas.openxmlformats.org/officeDocument/2006/relationships/hyperlink" Target="http://www.broadinstitute.org/gsea/msigdb/cards/MODULE_199.html" TargetMode="External"/><Relationship Id="rId1077" Type="http://schemas.openxmlformats.org/officeDocument/2006/relationships/hyperlink" Target="http://www.broadinstitute.org/gsea/msigdb/cards/MORF_SUPT3H.html" TargetMode="External"/><Relationship Id="rId1078" Type="http://schemas.openxmlformats.org/officeDocument/2006/relationships/hyperlink" Target="http://www.broadinstitute.org/gsea/msigdb/cards/MODULE_190.html" TargetMode="External"/><Relationship Id="rId1079" Type="http://schemas.openxmlformats.org/officeDocument/2006/relationships/hyperlink" Target="http://www.broadinstitute.org/gsea/msigdb/cards/MODULE_120.html" TargetMode="External"/><Relationship Id="rId1854" Type="http://schemas.openxmlformats.org/officeDocument/2006/relationships/hyperlink" Target="http://www.broadinstitute.org/gsea/msigdb/cards/GSE23308_CTRL_VS_CORTICOSTERONE_TREATED_MACROPHAGE_DN.html" TargetMode="External"/><Relationship Id="rId1855" Type="http://schemas.openxmlformats.org/officeDocument/2006/relationships/hyperlink" Target="http://www.broadinstitute.org/gsea/msigdb/cards/GSE43955_1H_VS_10H_ACT_CD4_TCELL_WITH_TGFB_IL6_DN.html" TargetMode="External"/><Relationship Id="rId1856" Type="http://schemas.openxmlformats.org/officeDocument/2006/relationships/hyperlink" Target="http://www.broadinstitute.org/gsea/msigdb/cards/GSE17721_CTRL_VS_CPG_4H_BMDC_DN.html" TargetMode="External"/><Relationship Id="rId1857" Type="http://schemas.openxmlformats.org/officeDocument/2006/relationships/hyperlink" Target="http://www.broadinstitute.org/gsea/msigdb/cards/GSE17721_POLYIC_VS_CPG_0.5H_BMDC_UP.html" TargetMode="External"/><Relationship Id="rId1858" Type="http://schemas.openxmlformats.org/officeDocument/2006/relationships/hyperlink" Target="http://www.broadinstitute.org/gsea/msigdb/cards/GSE17721_LPS_VS_CPG_16H_BMDC_DN.html" TargetMode="External"/><Relationship Id="rId1859" Type="http://schemas.openxmlformats.org/officeDocument/2006/relationships/hyperlink" Target="http://www.broadinstitute.org/gsea/msigdb/cards/GSE29618_PRE_VS_DAY7_POST_TIV_FLU_VACCINE_BCELL_UP.html" TargetMode="External"/><Relationship Id="rId2150" Type="http://schemas.openxmlformats.org/officeDocument/2006/relationships/hyperlink" Target="http://www.broadinstitute.org/gsea/msigdb/cards/GSE43863_NAIVE_VS_LY6C_LOW_CXCR5NEG_CD4_EFF_TCELL_D6_LCMV_DN.html" TargetMode="External"/><Relationship Id="rId2151" Type="http://schemas.openxmlformats.org/officeDocument/2006/relationships/hyperlink" Target="http://www.broadinstitute.org/gsea/msigdb/cards/GSE43863_DAY6_EFF_VS_DAY150_MEM_TFH_CD4_TCELL_DN.html" TargetMode="External"/><Relationship Id="rId2152" Type="http://schemas.openxmlformats.org/officeDocument/2006/relationships/hyperlink" Target="http://www.broadinstitute.org/gsea/msigdb/cards/GSE44649_WT_VS_MIR155_KO_NAIVE_CD8_TCELL_DN.html" TargetMode="External"/><Relationship Id="rId2153" Type="http://schemas.openxmlformats.org/officeDocument/2006/relationships/hyperlink" Target="http://www.broadinstitute.org/gsea/msigdb/cards/GSE45382_UNTREATED_VS_TGFB_TREATED_MACROPHAGES_DN.html" TargetMode="External"/><Relationship Id="rId2154" Type="http://schemas.openxmlformats.org/officeDocument/2006/relationships/hyperlink" Target="http://www.broadinstitute.org/gsea/msigdb/cards/GSE46606_UNSTIM_VS_CD40L_IL2_IL5_1DAY_STIMULATED_IRF4MID_SORTED_BCELL_DN.html" TargetMode="External"/><Relationship Id="rId2155" Type="http://schemas.openxmlformats.org/officeDocument/2006/relationships/hyperlink" Target="http://www.broadinstitute.org/gsea/msigdb/cards/GSE46606_DAY1_VS_DAY3_CD40L_IL2_IL5_STIMULATED_IRF4MID_BCELL_UP.html" TargetMode="External"/><Relationship Id="rId2156" Type="http://schemas.openxmlformats.org/officeDocument/2006/relationships/hyperlink" Target="http://www.broadinstitute.org/gsea/msigdb/cards/GSE46606_IRF4HIGH_VS_IRF4MID_CD40L_IL2_IL5_DAY3_STIMULATED_BCELL_DN.html" TargetMode="External"/><Relationship Id="rId2157" Type="http://schemas.openxmlformats.org/officeDocument/2006/relationships/hyperlink" Target="http://www.broadinstitute.org/gsea/msigdb/cards/GSE46606_DAY1_VS_DAY3_CD40L_IL2_IL5_STIMULATED_BCELL_DN.html" TargetMode="External"/><Relationship Id="rId2158" Type="http://schemas.openxmlformats.org/officeDocument/2006/relationships/hyperlink" Target="http://www.broadinstitute.org/gsea/msigdb/cards/GSE42088_UNINF_VS_LEISHMANIA_INF_DC_8H_DN.html" TargetMode="External"/><Relationship Id="rId2159" Type="http://schemas.openxmlformats.org/officeDocument/2006/relationships/hyperlink" Target="http://www.broadinstitute.org/gsea/msigdb/cards/GSE41176_UNSTIM_VS_ANTI_IGM_STIM_TAK1_KO_BCELL_3H_DN.html" TargetMode="External"/><Relationship Id="rId600" Type="http://schemas.openxmlformats.org/officeDocument/2006/relationships/hyperlink" Target="http://www.broadinstitute.org/gsea/msigdb/cards/WANG_PROSTATE_CANCER_ANDROGEN_INDEPENDENT.html" TargetMode="External"/><Relationship Id="rId601" Type="http://schemas.openxmlformats.org/officeDocument/2006/relationships/hyperlink" Target="http://www.broadinstitute.org/gsea/msigdb/cards/BRUNO_HEMATOPOIESIS.html" TargetMode="External"/><Relationship Id="rId602" Type="http://schemas.openxmlformats.org/officeDocument/2006/relationships/hyperlink" Target="http://www.broadinstitute.org/gsea/msigdb/cards/DAVICIONI_MOLECULAR_ARMS_VS_ERMS_UP.html" TargetMode="External"/><Relationship Id="rId603" Type="http://schemas.openxmlformats.org/officeDocument/2006/relationships/hyperlink" Target="http://www.broadinstitute.org/gsea/msigdb/cards/FULCHER_INFLAMMATORY_RESPONSE_LECTIN_VS_LPS_DN.html" TargetMode="External"/><Relationship Id="rId604" Type="http://schemas.openxmlformats.org/officeDocument/2006/relationships/hyperlink" Target="http://www.broadinstitute.org/gsea/msigdb/cards/CHIARETTI_ACUTE_LYMPHOBLASTIC_LEUKEMIA_ZAP70.html" TargetMode="External"/><Relationship Id="rId605" Type="http://schemas.openxmlformats.org/officeDocument/2006/relationships/hyperlink" Target="http://www.broadinstitute.org/gsea/msigdb/cards/BIDUS_METASTASIS_DN.html" TargetMode="External"/><Relationship Id="rId606" Type="http://schemas.openxmlformats.org/officeDocument/2006/relationships/hyperlink" Target="http://www.broadinstitute.org/gsea/msigdb/cards/PID_SYNDECAN_2_PATHWAY.html" TargetMode="External"/><Relationship Id="rId607" Type="http://schemas.openxmlformats.org/officeDocument/2006/relationships/hyperlink" Target="http://www.broadinstitute.org/gsea/msigdb/cards/LAIHO_COLORECTAL_CANCER_SERRATED_UP.html" TargetMode="External"/><Relationship Id="rId608" Type="http://schemas.openxmlformats.org/officeDocument/2006/relationships/hyperlink" Target="http://www.broadinstitute.org/gsea/msigdb/cards/GHANDHI_DIRECT_IRRADIATION_DN.html" TargetMode="External"/><Relationship Id="rId609" Type="http://schemas.openxmlformats.org/officeDocument/2006/relationships/hyperlink" Target="http://www.broadinstitute.org/gsea/msigdb/cards/IVANOVA_HEMATOPOIESIS_STEM_CELL_AND_PROGENITOR.html" TargetMode="External"/><Relationship Id="rId210" Type="http://schemas.openxmlformats.org/officeDocument/2006/relationships/hyperlink" Target="http://www.broadinstitute.org/gsea/msigdb/cards/REACTOME_DEVELOPMENTAL_BIOLOGY.html" TargetMode="External"/><Relationship Id="rId211" Type="http://schemas.openxmlformats.org/officeDocument/2006/relationships/hyperlink" Target="http://www.broadinstitute.org/gsea/msigdb/cards/WU_CELL_MIGRATION.html" TargetMode="External"/><Relationship Id="rId212" Type="http://schemas.openxmlformats.org/officeDocument/2006/relationships/hyperlink" Target="http://www.broadinstitute.org/gsea/msigdb/cards/HORIUCHI_WTAP_TARGETS_UP.html" TargetMode="External"/><Relationship Id="rId213" Type="http://schemas.openxmlformats.org/officeDocument/2006/relationships/hyperlink" Target="http://www.broadinstitute.org/gsea/msigdb/cards/TARTE_PLASMA_CELL_VS_PLASMABLAST_UP.html" TargetMode="External"/><Relationship Id="rId214" Type="http://schemas.openxmlformats.org/officeDocument/2006/relationships/hyperlink" Target="http://www.broadinstitute.org/gsea/msigdb/cards/MARTINEZ_TP53_TARGETS_UP.html" TargetMode="External"/><Relationship Id="rId215" Type="http://schemas.openxmlformats.org/officeDocument/2006/relationships/hyperlink" Target="http://www.broadinstitute.org/gsea/msigdb/cards/MISHRA_CARCINOMA_ASSOCIATED_FIBROBLAST_UP.html" TargetMode="External"/><Relationship Id="rId216" Type="http://schemas.openxmlformats.org/officeDocument/2006/relationships/hyperlink" Target="http://www.broadinstitute.org/gsea/msigdb/cards/BRUINS_UVC_RESPONSE_VIA_TP53_GROUP_A.html" TargetMode="External"/><Relationship Id="rId217" Type="http://schemas.openxmlformats.org/officeDocument/2006/relationships/hyperlink" Target="http://www.broadinstitute.org/gsea/msigdb/cards/WANG_ESOPHAGUS_CANCER_VS_NORMAL_UP.html" TargetMode="External"/><Relationship Id="rId218" Type="http://schemas.openxmlformats.org/officeDocument/2006/relationships/hyperlink" Target="http://www.broadinstitute.org/gsea/msigdb/cards/RICKMAN_TUMOR_DIFFERENTIATED_MODERATELY_VS_POORLY_UP.html" TargetMode="External"/><Relationship Id="rId219" Type="http://schemas.openxmlformats.org/officeDocument/2006/relationships/hyperlink" Target="http://www.broadinstitute.org/gsea/msigdb/cards/KEGG_DILATED_CARDIOMYOPATHY.html" TargetMode="External"/><Relationship Id="rId1860" Type="http://schemas.openxmlformats.org/officeDocument/2006/relationships/hyperlink" Target="http://www.broadinstitute.org/gsea/msigdb/cards/GSE360_L_DONOVANI_VS_T_GONDII_DC_UP.html" TargetMode="External"/><Relationship Id="rId1861" Type="http://schemas.openxmlformats.org/officeDocument/2006/relationships/hyperlink" Target="http://www.broadinstitute.org/gsea/msigdb/cards/GSE360_L_MAJOR_VS_B_MALAYI_HIGH_DOSE_MAC_UP.html" TargetMode="External"/><Relationship Id="rId1862" Type="http://schemas.openxmlformats.org/officeDocument/2006/relationships/hyperlink" Target="http://www.broadinstitute.org/gsea/msigdb/cards/GSE3982_BCELL_VS_EFF_MEMORY_CD4_TCELL_DN.html" TargetMode="External"/><Relationship Id="rId1863" Type="http://schemas.openxmlformats.org/officeDocument/2006/relationships/hyperlink" Target="http://www.broadinstitute.org/gsea/msigdb/cards/GSE2405_HEAT_KILLED_VS_LIVE_A_PHAGOCYTOPHILUM_STIM_NEUTROPHIL_9H_DN.html" TargetMode="External"/><Relationship Id="rId1470" Type="http://schemas.openxmlformats.org/officeDocument/2006/relationships/hyperlink" Target="http://www.broadinstitute.org/gsea/msigdb/cards/GO_NEGATIVE_REGULATION_OF_RESPONSE_TO_EXTERNAL_STIMULUS.html" TargetMode="External"/><Relationship Id="rId1471" Type="http://schemas.openxmlformats.org/officeDocument/2006/relationships/hyperlink" Target="http://www.broadinstitute.org/gsea/msigdb/cards/GO_NEGATIVE_REGULATION_OF_PROTEOLYSIS.html" TargetMode="External"/><Relationship Id="rId1472" Type="http://schemas.openxmlformats.org/officeDocument/2006/relationships/hyperlink" Target="http://www.broadinstitute.org/gsea/msigdb/cards/GO_WNT_PROTEIN_BINDING.html" TargetMode="External"/><Relationship Id="rId1473" Type="http://schemas.openxmlformats.org/officeDocument/2006/relationships/hyperlink" Target="http://www.broadinstitute.org/gsea/msigdb/cards/GO_CELL_PART_MORPHOGENESIS.html" TargetMode="External"/><Relationship Id="rId1474" Type="http://schemas.openxmlformats.org/officeDocument/2006/relationships/hyperlink" Target="http://www.broadinstitute.org/gsea/msigdb/cards/GO_EMBRYONIC_SKELETAL_SYSTEM_MORPHOGENESIS.html" TargetMode="External"/><Relationship Id="rId1475" Type="http://schemas.openxmlformats.org/officeDocument/2006/relationships/hyperlink" Target="http://www.broadinstitute.org/gsea/msigdb/cards/GO_NEPHRON_EPITHELIUM_DEVELOPMENT.html" TargetMode="External"/><Relationship Id="rId1476" Type="http://schemas.openxmlformats.org/officeDocument/2006/relationships/hyperlink" Target="http://www.broadinstitute.org/gsea/msigdb/cards/GO_PEPTIDASE_INHIBITOR_ACTIVITY.html" TargetMode="External"/><Relationship Id="rId1477" Type="http://schemas.openxmlformats.org/officeDocument/2006/relationships/hyperlink" Target="http://www.broadinstitute.org/gsea/msigdb/cards/GO_CARBOHYDRATE_BINDING.html" TargetMode="External"/><Relationship Id="rId1478" Type="http://schemas.openxmlformats.org/officeDocument/2006/relationships/hyperlink" Target="http://www.broadinstitute.org/gsea/msigdb/cards/GO_ENDOPEPTIDASE_ACTIVITY.html" TargetMode="External"/><Relationship Id="rId1479" Type="http://schemas.openxmlformats.org/officeDocument/2006/relationships/hyperlink" Target="http://www.broadinstitute.org/gsea/msigdb/cards/GO_RESPONSE_TO_METAL_ION.html" TargetMode="External"/><Relationship Id="rId1080" Type="http://schemas.openxmlformats.org/officeDocument/2006/relationships/hyperlink" Target="http://www.broadinstitute.org/gsea/msigdb/cards/MODULE_321.html" TargetMode="External"/><Relationship Id="rId1081" Type="http://schemas.openxmlformats.org/officeDocument/2006/relationships/hyperlink" Target="http://www.broadinstitute.org/gsea/msigdb/cards/MODULE_474.html" TargetMode="External"/><Relationship Id="rId1082" Type="http://schemas.openxmlformats.org/officeDocument/2006/relationships/hyperlink" Target="http://www.broadinstitute.org/gsea/msigdb/cards/MORF_MAGEA8.html" TargetMode="External"/><Relationship Id="rId1083" Type="http://schemas.openxmlformats.org/officeDocument/2006/relationships/hyperlink" Target="http://www.broadinstitute.org/gsea/msigdb/cards/MODULE_280.html" TargetMode="External"/><Relationship Id="rId1084" Type="http://schemas.openxmlformats.org/officeDocument/2006/relationships/hyperlink" Target="http://www.broadinstitute.org/gsea/msigdb/cards/MODULE_129.html" TargetMode="External"/><Relationship Id="rId1085" Type="http://schemas.openxmlformats.org/officeDocument/2006/relationships/hyperlink" Target="http://www.broadinstitute.org/gsea/msigdb/cards/MODULE_259.html" TargetMode="External"/><Relationship Id="rId1086" Type="http://schemas.openxmlformats.org/officeDocument/2006/relationships/hyperlink" Target="http://www.broadinstitute.org/gsea/msigdb/cards/MODULE_201.html" TargetMode="External"/><Relationship Id="rId1087" Type="http://schemas.openxmlformats.org/officeDocument/2006/relationships/hyperlink" Target="http://www.broadinstitute.org/gsea/msigdb/cards/MODULE_85.html" TargetMode="External"/><Relationship Id="rId1088" Type="http://schemas.openxmlformats.org/officeDocument/2006/relationships/hyperlink" Target="http://www.broadinstitute.org/gsea/msigdb/cards/MODULE_27.html" TargetMode="External"/><Relationship Id="rId1089" Type="http://schemas.openxmlformats.org/officeDocument/2006/relationships/hyperlink" Target="http://www.broadinstitute.org/gsea/msigdb/cards/MODULE_175.html" TargetMode="External"/><Relationship Id="rId1864" Type="http://schemas.openxmlformats.org/officeDocument/2006/relationships/hyperlink" Target="http://www.broadinstitute.org/gsea/msigdb/cards/GSE8835_CD4_VS_CD8_TCELL_DN.html" TargetMode="External"/><Relationship Id="rId1865" Type="http://schemas.openxmlformats.org/officeDocument/2006/relationships/hyperlink" Target="http://www.broadinstitute.org/gsea/msigdb/cards/GSE2585_CTEC_VS_THYMIC_MACROPHAGE_UP.html" TargetMode="External"/><Relationship Id="rId1866" Type="http://schemas.openxmlformats.org/officeDocument/2006/relationships/hyperlink" Target="http://www.broadinstitute.org/gsea/msigdb/cards/GSE4748_CTRL_VS_LPS_AND_CYANOBACTERIUM_LPSLIKE_STIM_DC_3H_UP.html" TargetMode="External"/><Relationship Id="rId1867" Type="http://schemas.openxmlformats.org/officeDocument/2006/relationships/hyperlink" Target="http://www.broadinstitute.org/gsea/msigdb/cards/GSE5679_CTRL_VS_PPARG_LIGAND_ROSIGLITAZONE_AND_RARA_AGONIST_AM580_TREATED_DC_DN.html" TargetMode="External"/><Relationship Id="rId1868" Type="http://schemas.openxmlformats.org/officeDocument/2006/relationships/hyperlink" Target="http://www.broadinstitute.org/gsea/msigdb/cards/GSE5589_LPS_VS_LPS_AND_IL6_STIM_IL6_KO_MACROPHAGE_45MIN_UP.html" TargetMode="External"/><Relationship Id="rId1869" Type="http://schemas.openxmlformats.org/officeDocument/2006/relationships/hyperlink" Target="http://www.broadinstitute.org/gsea/msigdb/cards/GSE7548_DAY7_VS_DAY28_PCC_IMMUNIZATION_CD4_TCELL_UP.html" TargetMode="External"/><Relationship Id="rId2160" Type="http://schemas.openxmlformats.org/officeDocument/2006/relationships/hyperlink" Target="http://www.broadinstitute.org/gsea/msigdb/cards/GSE45365_HEALTHY_VS_MCMV_INFECTION_BCELL_IFNAR_KO_UP.html" TargetMode="External"/><Relationship Id="rId2161" Type="http://schemas.openxmlformats.org/officeDocument/2006/relationships/hyperlink" Target="http://www.broadinstitute.org/gsea/msigdb/cards/GSE37336_LY6C_POS_VS_NEG_NAIVE_CD4_TCELL_UP.html" TargetMode="External"/><Relationship Id="rId2162" Type="http://schemas.openxmlformats.org/officeDocument/2006/relationships/hyperlink" Target="http://www.broadinstitute.org/gsea/msigdb/cards/GSE14386_UNTREATED_VS_IFNA_TREATED_ACT_PBMC_MS_PATIENT_DN.html" TargetMode="External"/><Relationship Id="rId2163" Type="http://schemas.openxmlformats.org/officeDocument/2006/relationships/hyperlink" Target="http://www.broadinstitute.org/gsea/msigdb/cards/GSE4590_PRE_BCELL_VS_VPREB_POS_LARGE_PRE_BCELL_UP.html" TargetMode="External"/><Relationship Id="rId2164" Type="http://schemas.openxmlformats.org/officeDocument/2006/relationships/hyperlink" Target="http://www.broadinstitute.org/gsea/msigdb/cards/GSE6259_FLT3L_INDUCED_VS_WT_SPLENIC_DC_33D1_POS_DN.html" TargetMode="External"/><Relationship Id="rId610" Type="http://schemas.openxmlformats.org/officeDocument/2006/relationships/hyperlink" Target="http://www.broadinstitute.org/gsea/msigdb/cards/PHONG_TNF_RESPONSE_NOT_VIA_P38.html" TargetMode="External"/><Relationship Id="rId611" Type="http://schemas.openxmlformats.org/officeDocument/2006/relationships/hyperlink" Target="http://www.broadinstitute.org/gsea/msigdb/cards/OXFORD_RALA_AND_RALB_TARGETS_DN.html" TargetMode="External"/><Relationship Id="rId612" Type="http://schemas.openxmlformats.org/officeDocument/2006/relationships/hyperlink" Target="http://www.broadinstitute.org/gsea/msigdb/cards/COLLER_MYC_TARGETS_DN.html" TargetMode="External"/><Relationship Id="rId613" Type="http://schemas.openxmlformats.org/officeDocument/2006/relationships/hyperlink" Target="http://www.broadinstitute.org/gsea/msigdb/cards/ITO_PTTG1_TARGETS_DN.html" TargetMode="External"/><Relationship Id="rId614" Type="http://schemas.openxmlformats.org/officeDocument/2006/relationships/hyperlink" Target="http://www.broadinstitute.org/gsea/msigdb/cards/BYSTRYKH_HEMATOPOIESIS_STEM_CELL_IL3RA.html" TargetMode="External"/><Relationship Id="rId615" Type="http://schemas.openxmlformats.org/officeDocument/2006/relationships/hyperlink" Target="http://www.broadinstitute.org/gsea/msigdb/cards/REACTOME_SIGNALING_BY_RHO_GTPASES.html" TargetMode="External"/><Relationship Id="rId616" Type="http://schemas.openxmlformats.org/officeDocument/2006/relationships/hyperlink" Target="http://www.broadinstitute.org/gsea/msigdb/cards/KIM_WT1_TARGETS_8HR_UP.html" TargetMode="External"/><Relationship Id="rId617" Type="http://schemas.openxmlformats.org/officeDocument/2006/relationships/hyperlink" Target="http://www.broadinstitute.org/gsea/msigdb/cards/LENAOUR_DENDRITIC_CELL_MATURATION_UP.html" TargetMode="External"/><Relationship Id="rId618" Type="http://schemas.openxmlformats.org/officeDocument/2006/relationships/hyperlink" Target="http://www.broadinstitute.org/gsea/msigdb/cards/DOANE_BREAST_CANCER_CLASSES_DN.html" TargetMode="External"/><Relationship Id="rId619" Type="http://schemas.openxmlformats.org/officeDocument/2006/relationships/hyperlink" Target="http://www.broadinstitute.org/gsea/msigdb/cards/SCHOEN_NFKB_SIGNALING.html" TargetMode="External"/><Relationship Id="rId220" Type="http://schemas.openxmlformats.org/officeDocument/2006/relationships/hyperlink" Target="http://www.broadinstitute.org/gsea/msigdb/cards/JAATINEN_HEMATOPOIETIC_STEM_CELL_UP.html" TargetMode="External"/><Relationship Id="rId221" Type="http://schemas.openxmlformats.org/officeDocument/2006/relationships/hyperlink" Target="http://www.broadinstitute.org/gsea/msigdb/cards/MARTINEZ_RB1_TARGETS_UP.html" TargetMode="External"/><Relationship Id="rId222" Type="http://schemas.openxmlformats.org/officeDocument/2006/relationships/hyperlink" Target="http://www.broadinstitute.org/gsea/msigdb/cards/TSENG_ADIPOGENIC_POTENTIAL_DN.html" TargetMode="External"/><Relationship Id="rId223" Type="http://schemas.openxmlformats.org/officeDocument/2006/relationships/hyperlink" Target="http://www.broadinstitute.org/gsea/msigdb/cards/WINTER_HYPOXIA_METAGENE.html" TargetMode="External"/><Relationship Id="rId224" Type="http://schemas.openxmlformats.org/officeDocument/2006/relationships/hyperlink" Target="http://www.broadinstitute.org/gsea/msigdb/cards/LY_AGING_MIDDLE_UP.html" TargetMode="External"/><Relationship Id="rId225" Type="http://schemas.openxmlformats.org/officeDocument/2006/relationships/hyperlink" Target="http://www.broadinstitute.org/gsea/msigdb/cards/REACTOME_MUSCLE_CONTRACTION.html" TargetMode="External"/><Relationship Id="rId226" Type="http://schemas.openxmlformats.org/officeDocument/2006/relationships/hyperlink" Target="http://www.broadinstitute.org/gsea/msigdb/cards/RICKMAN_HEAD_AND_NECK_CANCER_B.html" TargetMode="External"/><Relationship Id="rId227" Type="http://schemas.openxmlformats.org/officeDocument/2006/relationships/hyperlink" Target="http://www.broadinstitute.org/gsea/msigdb/cards/HUMMERICH_SKIN_CANCER_PROGRESSION_DN.html" TargetMode="External"/><Relationship Id="rId228" Type="http://schemas.openxmlformats.org/officeDocument/2006/relationships/hyperlink" Target="http://www.broadinstitute.org/gsea/msigdb/cards/NAKAYAMA_FGF2_TARGETS.html" TargetMode="External"/><Relationship Id="rId229" Type="http://schemas.openxmlformats.org/officeDocument/2006/relationships/hyperlink" Target="http://www.broadinstitute.org/gsea/msigdb/cards/VERHAAK_AML_WITH_NPM1_MUTATED_DN.html" TargetMode="External"/><Relationship Id="rId1870" Type="http://schemas.openxmlformats.org/officeDocument/2006/relationships/hyperlink" Target="http://www.broadinstitute.org/gsea/msigdb/cards/GSE21380_TFH_VS_GERMINAL_CENTER_TFH_CD4_TCELL_UP.html" TargetMode="External"/><Relationship Id="rId1871" Type="http://schemas.openxmlformats.org/officeDocument/2006/relationships/hyperlink" Target="http://www.broadinstitute.org/gsea/msigdb/cards/GSE22935_WT_VS_MYD88_KO_MACROPHAGE_48H_MBOVIS_BCG_STIM_UP.html" TargetMode="External"/><Relationship Id="rId1872" Type="http://schemas.openxmlformats.org/officeDocument/2006/relationships/hyperlink" Target="http://www.broadinstitute.org/gsea/msigdb/cards/GSE23502_BM_VS_COLON_TUMOR_HDC_KO_MYELOID_DERIVED_SUPPRESSOR_CELL_UP.html" TargetMode="External"/><Relationship Id="rId1873" Type="http://schemas.openxmlformats.org/officeDocument/2006/relationships/hyperlink" Target="http://www.broadinstitute.org/gsea/msigdb/cards/GSE22443_NAIVE_VS_ACT_AND_IL2_TREATED_CD8_TCELL_DN.html" TargetMode="External"/><Relationship Id="rId1480" Type="http://schemas.openxmlformats.org/officeDocument/2006/relationships/hyperlink" Target="http://www.broadinstitute.org/gsea/msigdb/cards/GO_POSITIVE_REGULATION_OF_OSTEOBLAST_DIFFERENTIATION.html" TargetMode="External"/><Relationship Id="rId1481" Type="http://schemas.openxmlformats.org/officeDocument/2006/relationships/hyperlink" Target="http://www.broadinstitute.org/gsea/msigdb/cards/GO_KERATAN_SULFATE_CATABOLIC_PROCESS.html" TargetMode="External"/><Relationship Id="rId1482" Type="http://schemas.openxmlformats.org/officeDocument/2006/relationships/hyperlink" Target="http://www.broadinstitute.org/gsea/msigdb/cards/GO_REGULATION_OF_CELLULAR_RESPONSE_TO_VASCULAR_ENDOTHELIAL_GROWTH_FACTOR_STIMULUS.html" TargetMode="External"/><Relationship Id="rId1483" Type="http://schemas.openxmlformats.org/officeDocument/2006/relationships/hyperlink" Target="http://www.broadinstitute.org/gsea/msigdb/cards/GO_POSITIVE_REGULATION_OF_CATENIN_IMPORT_INTO_NUCLEUS.html" TargetMode="External"/><Relationship Id="rId1484" Type="http://schemas.openxmlformats.org/officeDocument/2006/relationships/hyperlink" Target="http://www.broadinstitute.org/gsea/msigdb/cards/GO_CELL_ADHESION_MEDIATED_BY_INTEGRIN.html" TargetMode="External"/><Relationship Id="rId1485" Type="http://schemas.openxmlformats.org/officeDocument/2006/relationships/hyperlink" Target="http://www.broadinstitute.org/gsea/msigdb/cards/GO_ARYLSULFATASE_ACTIVITY.html" TargetMode="External"/><Relationship Id="rId1486" Type="http://schemas.openxmlformats.org/officeDocument/2006/relationships/hyperlink" Target="http://www.broadinstitute.org/gsea/msigdb/cards/GO_REGULATION_OF_KINASE_ACTIVITY.html" TargetMode="External"/><Relationship Id="rId1487" Type="http://schemas.openxmlformats.org/officeDocument/2006/relationships/hyperlink" Target="http://www.broadinstitute.org/gsea/msigdb/cards/GO_ACTIN_BASED_CELL_PROJECTION.html" TargetMode="External"/><Relationship Id="rId1488" Type="http://schemas.openxmlformats.org/officeDocument/2006/relationships/hyperlink" Target="http://www.broadinstitute.org/gsea/msigdb/cards/GO_REGULATION_OF_LEUKOCYTE_CHEMOTAXIS.html" TargetMode="External"/><Relationship Id="rId1489" Type="http://schemas.openxmlformats.org/officeDocument/2006/relationships/hyperlink" Target="http://www.broadinstitute.org/gsea/msigdb/cards/GO_POSITIVE_REGULATION_OF_CYTOPLASMIC_TRANSPORT.html" TargetMode="External"/><Relationship Id="rId1090" Type="http://schemas.openxmlformats.org/officeDocument/2006/relationships/hyperlink" Target="http://www.broadinstitute.org/gsea/msigdb/cards/MODULE_223.html" TargetMode="External"/><Relationship Id="rId1091" Type="http://schemas.openxmlformats.org/officeDocument/2006/relationships/hyperlink" Target="http://www.broadinstitute.org/gsea/msigdb/cards/MODULE_371.html" TargetMode="External"/><Relationship Id="rId1092" Type="http://schemas.openxmlformats.org/officeDocument/2006/relationships/hyperlink" Target="http://www.broadinstitute.org/gsea/msigdb/cards/MODULE_95.html" TargetMode="External"/><Relationship Id="rId1093" Type="http://schemas.openxmlformats.org/officeDocument/2006/relationships/hyperlink" Target="http://www.broadinstitute.org/gsea/msigdb/cards/MODULE_200.html" TargetMode="External"/><Relationship Id="rId1094" Type="http://schemas.openxmlformats.org/officeDocument/2006/relationships/hyperlink" Target="http://www.broadinstitute.org/gsea/msigdb/cards/MODULE_163.html" TargetMode="External"/><Relationship Id="rId1095" Type="http://schemas.openxmlformats.org/officeDocument/2006/relationships/hyperlink" Target="http://www.broadinstitute.org/gsea/msigdb/cards/MODULE_330.html" TargetMode="External"/><Relationship Id="rId1096" Type="http://schemas.openxmlformats.org/officeDocument/2006/relationships/hyperlink" Target="http://www.broadinstitute.org/gsea/msigdb/cards/MODULE_385.html" TargetMode="External"/><Relationship Id="rId1097" Type="http://schemas.openxmlformats.org/officeDocument/2006/relationships/hyperlink" Target="http://www.broadinstitute.org/gsea/msigdb/cards/MODULE_164.html" TargetMode="External"/><Relationship Id="rId1098" Type="http://schemas.openxmlformats.org/officeDocument/2006/relationships/hyperlink" Target="http://www.broadinstitute.org/gsea/msigdb/cards/MODULE_433.html" TargetMode="External"/><Relationship Id="rId1099" Type="http://schemas.openxmlformats.org/officeDocument/2006/relationships/hyperlink" Target="http://www.broadinstitute.org/gsea/msigdb/cards/MODULE_45.html" TargetMode="External"/><Relationship Id="rId1874" Type="http://schemas.openxmlformats.org/officeDocument/2006/relationships/hyperlink" Target="http://www.broadinstitute.org/gsea/msigdb/cards/GSE32533_WT_VS_MIR17_OVEREXPRESS_ACT_CD4_TCELL_DN.html" TargetMode="External"/><Relationship Id="rId1875" Type="http://schemas.openxmlformats.org/officeDocument/2006/relationships/hyperlink" Target="http://www.broadinstitute.org/gsea/msigdb/cards/GSE30971_2H_VS_4H_LPS_STIM_MACROPHAGE_WBP7_KO_DN.html" TargetMode="External"/><Relationship Id="rId1876" Type="http://schemas.openxmlformats.org/officeDocument/2006/relationships/hyperlink" Target="http://www.broadinstitute.org/gsea/msigdb/cards/GSE32034_UNTREATED_VS_ROSIGLIZATONE_TREATED_LY6C_HIGH_MONOCYTE_UP.html" TargetMode="External"/><Relationship Id="rId1877" Type="http://schemas.openxmlformats.org/officeDocument/2006/relationships/hyperlink" Target="http://www.broadinstitute.org/gsea/msigdb/cards/GSE40068_CXCR5POS_BCL6POS_TFH_VS_CXCR5NEG_BCL6NEG_CD4_TCELL_DN.html" TargetMode="External"/><Relationship Id="rId1878" Type="http://schemas.openxmlformats.org/officeDocument/2006/relationships/hyperlink" Target="http://www.broadinstitute.org/gsea/msigdb/cards/GSE40685_NAIVE_CD4_TCELL_VS_FOXP3_KO_TREG_PRECURSOR_DN.html" TargetMode="External"/><Relationship Id="rId1879" Type="http://schemas.openxmlformats.org/officeDocument/2006/relationships/hyperlink" Target="http://www.broadinstitute.org/gsea/msigdb/cards/GSE39556_UNTREATED_VS_3H_POLYIC_INJ_MOUSE_NK_CELL_DN.html" TargetMode="External"/><Relationship Id="rId620" Type="http://schemas.openxmlformats.org/officeDocument/2006/relationships/hyperlink" Target="http://www.broadinstitute.org/gsea/msigdb/cards/RAGHAVACHARI_PLATELET_SPECIFIC_GENES.html" TargetMode="External"/><Relationship Id="rId621" Type="http://schemas.openxmlformats.org/officeDocument/2006/relationships/hyperlink" Target="http://www.broadinstitute.org/gsea/msigdb/cards/ZHOU_INFLAMMATORY_RESPONSE_FIMA_UP.html" TargetMode="External"/><Relationship Id="rId622" Type="http://schemas.openxmlformats.org/officeDocument/2006/relationships/hyperlink" Target="http://www.broadinstitute.org/gsea/msigdb/cards/ZHANG_TLX_TARGETS_36HR_UP.html" TargetMode="External"/><Relationship Id="rId623" Type="http://schemas.openxmlformats.org/officeDocument/2006/relationships/hyperlink" Target="http://www.broadinstitute.org/gsea/msigdb/cards/MULLIGHAN_MLL_SIGNATURE_2_DN.html" TargetMode="External"/><Relationship Id="rId624" Type="http://schemas.openxmlformats.org/officeDocument/2006/relationships/hyperlink" Target="http://www.broadinstitute.org/gsea/msigdb/cards/FOSTER_TOLERANT_MACROPHAGE_DN.html" TargetMode="External"/><Relationship Id="rId625" Type="http://schemas.openxmlformats.org/officeDocument/2006/relationships/hyperlink" Target="http://www.broadinstitute.org/gsea/msigdb/cards/SCHAEFFER_PROSTATE_DEVELOPMENT_12HR_UP.html" TargetMode="External"/><Relationship Id="rId626" Type="http://schemas.openxmlformats.org/officeDocument/2006/relationships/hyperlink" Target="http://www.broadinstitute.org/gsea/msigdb/cards/IKEDA_MIR30_TARGETS_UP.html" TargetMode="External"/><Relationship Id="rId627" Type="http://schemas.openxmlformats.org/officeDocument/2006/relationships/hyperlink" Target="http://www.broadinstitute.org/gsea/msigdb/cards/WANG_METHYLATED_IN_BREAST_CANCER.html" TargetMode="External"/><Relationship Id="rId628" Type="http://schemas.openxmlformats.org/officeDocument/2006/relationships/hyperlink" Target="http://www.broadinstitute.org/gsea/msigdb/cards/MODY_HIPPOCAMPUS_NEONATAL.html" TargetMode="External"/><Relationship Id="rId629" Type="http://schemas.openxmlformats.org/officeDocument/2006/relationships/hyperlink" Target="http://www.broadinstitute.org/gsea/msigdb/cards/SCHRAETS_MLL_TARGETS_UP.html" TargetMode="External"/><Relationship Id="rId230" Type="http://schemas.openxmlformats.org/officeDocument/2006/relationships/hyperlink" Target="http://www.broadinstitute.org/gsea/msigdb/cards/KANG_GIST_WITH_PDGFRA_UP.html" TargetMode="External"/><Relationship Id="rId231" Type="http://schemas.openxmlformats.org/officeDocument/2006/relationships/hyperlink" Target="http://www.broadinstitute.org/gsea/msigdb/cards/MAHADEVAN_GIST_MORPHOLOGICAL_SWITCH.html" TargetMode="External"/><Relationship Id="rId232" Type="http://schemas.openxmlformats.org/officeDocument/2006/relationships/hyperlink" Target="http://www.broadinstitute.org/gsea/msigdb/cards/CHANG_POU5F1_TARGETS_UP.html" TargetMode="External"/><Relationship Id="rId233" Type="http://schemas.openxmlformats.org/officeDocument/2006/relationships/hyperlink" Target="http://www.broadinstitute.org/gsea/msigdb/cards/CHIARADONNA_NEOPLASTIC_TRANSFORMATION_KRAS_CDC25_DN.html" TargetMode="External"/><Relationship Id="rId234" Type="http://schemas.openxmlformats.org/officeDocument/2006/relationships/hyperlink" Target="http://www.broadinstitute.org/gsea/msigdb/cards/KEGG_ARRHYTHMOGENIC_RIGHT_VENTRICULAR_CARDIOMYOPATHY_ARVC.html" TargetMode="External"/><Relationship Id="rId235" Type="http://schemas.openxmlformats.org/officeDocument/2006/relationships/hyperlink" Target="http://www.broadinstitute.org/gsea/msigdb/cards/NAKAYAMA_SOFT_TISSUE_TUMORS_PCA1_UP.html" TargetMode="External"/><Relationship Id="rId236" Type="http://schemas.openxmlformats.org/officeDocument/2006/relationships/hyperlink" Target="http://www.broadinstitute.org/gsea/msigdb/cards/WIERENGA_STAT5A_TARGETS_DN.html" TargetMode="External"/><Relationship Id="rId237" Type="http://schemas.openxmlformats.org/officeDocument/2006/relationships/hyperlink" Target="http://www.broadinstitute.org/gsea/msigdb/cards/YAMAZAKI_TCEB3_TARGETS_UP.html" TargetMode="External"/><Relationship Id="rId238" Type="http://schemas.openxmlformats.org/officeDocument/2006/relationships/hyperlink" Target="http://www.broadinstitute.org/gsea/msigdb/cards/KIM_WT1_TARGETS_UP.html" TargetMode="External"/><Relationship Id="rId239" Type="http://schemas.openxmlformats.org/officeDocument/2006/relationships/hyperlink" Target="http://www.broadinstitute.org/gsea/msigdb/cards/PID_SYNDECAN_4_PATHWAY.html" TargetMode="External"/><Relationship Id="rId1880" Type="http://schemas.openxmlformats.org/officeDocument/2006/relationships/hyperlink" Target="http://www.broadinstitute.org/gsea/msigdb/cards/GSE43955_TH0_VS_TGFB_IL6_TH17_ACT_CD4_TCELL_20H_UP.html" TargetMode="External"/><Relationship Id="rId1881" Type="http://schemas.openxmlformats.org/officeDocument/2006/relationships/hyperlink" Target="http://www.broadinstitute.org/gsea/msigdb/cards/GSE43955_10H_VS_60H_ACT_CD4_TCELL_WITH_TGFB_IL6_DN.html" TargetMode="External"/><Relationship Id="rId1882" Type="http://schemas.openxmlformats.org/officeDocument/2006/relationships/hyperlink" Target="http://www.broadinstitute.org/gsea/msigdb/cards/GSE46606_DAY1_VS_DAY3_CD40L_IL2_IL5_STIMULATED_IRF4_KO_BCELL_UP.html" TargetMode="External"/><Relationship Id="rId1883" Type="http://schemas.openxmlformats.org/officeDocument/2006/relationships/hyperlink" Target="http://www.broadinstitute.org/gsea/msigdb/cards/GSE46606_UNSTIM_VS_CD40L_IL2_IL5_3DAY_STIMULATED_IRF4HIGH_SORTED_BCELL_DN.html" TargetMode="External"/><Relationship Id="rId1490" Type="http://schemas.openxmlformats.org/officeDocument/2006/relationships/hyperlink" Target="http://www.broadinstitute.org/gsea/msigdb/cards/GO_NEGATIVE_REGULATION_OF_TRANSPORT.html" TargetMode="External"/><Relationship Id="rId1491" Type="http://schemas.openxmlformats.org/officeDocument/2006/relationships/hyperlink" Target="http://www.broadinstitute.org/gsea/msigdb/cards/GO_REGULATION_OF_ENDOTHELIAL_CELL_PROLIFERATION.html" TargetMode="External"/><Relationship Id="rId1492" Type="http://schemas.openxmlformats.org/officeDocument/2006/relationships/hyperlink" Target="http://www.broadinstitute.org/gsea/msigdb/cards/GO_POSITIVE_REGULATION_OF_EPITHELIAL_TO_MESENCHYMAL_TRANSITION.html" TargetMode="External"/><Relationship Id="rId1493" Type="http://schemas.openxmlformats.org/officeDocument/2006/relationships/hyperlink" Target="http://www.broadinstitute.org/gsea/msigdb/cards/GO_SECRETORY_VESICLE.html" TargetMode="External"/><Relationship Id="rId1494" Type="http://schemas.openxmlformats.org/officeDocument/2006/relationships/hyperlink" Target="http://www.broadinstitute.org/gsea/msigdb/cards/GO_KINASE_REGULATOR_ACTIVITY.html" TargetMode="External"/><Relationship Id="rId1495" Type="http://schemas.openxmlformats.org/officeDocument/2006/relationships/hyperlink" Target="http://www.broadinstitute.org/gsea/msigdb/cards/GO_REGULATION_OF_PHOSPHOLIPASE_ACTIVITY.html" TargetMode="External"/><Relationship Id="rId1496" Type="http://schemas.openxmlformats.org/officeDocument/2006/relationships/hyperlink" Target="http://www.broadinstitute.org/gsea/msigdb/cards/GO_POSITIVE_REGULATION_OF_TRANSMEMBRANE_RECEPTOR_PROTEIN_SERINE_THREONINE_KINASE_SIGNALING_PATHWAY.html" TargetMode="External"/><Relationship Id="rId1497" Type="http://schemas.openxmlformats.org/officeDocument/2006/relationships/hyperlink" Target="http://www.broadinstitute.org/gsea/msigdb/cards/GO_BONE_REMODELING.html" TargetMode="External"/><Relationship Id="rId1498" Type="http://schemas.openxmlformats.org/officeDocument/2006/relationships/hyperlink" Target="http://www.broadinstitute.org/gsea/msigdb/cards/GO_REGULATION_OF_TRANSCRIPTION_FROM_RNA_POLYMERASE_II_PROMOTER.html" TargetMode="External"/><Relationship Id="rId1499" Type="http://schemas.openxmlformats.org/officeDocument/2006/relationships/hyperlink" Target="http://www.broadinstitute.org/gsea/msigdb/cards/GO_CARBOHYDRATE_DERIVATIVE_BIOSYNTHETIC_PROCESS.html" TargetMode="External"/><Relationship Id="rId1884" Type="http://schemas.openxmlformats.org/officeDocument/2006/relationships/hyperlink" Target="http://www.broadinstitute.org/gsea/msigdb/cards/GSE45365_CTRL_VS_MCMV_INFECTION_NK_CELL_UP.html" TargetMode="External"/><Relationship Id="rId1885" Type="http://schemas.openxmlformats.org/officeDocument/2006/relationships/hyperlink" Target="http://www.broadinstitute.org/gsea/msigdb/cards/GSE38697_LIGHT_ZONE_VS_DARK_ZONE_BCELL_DN.html" TargetMode="External"/><Relationship Id="rId1886" Type="http://schemas.openxmlformats.org/officeDocument/2006/relationships/hyperlink" Target="http://www.broadinstitute.org/gsea/msigdb/cards/GSE10325_BCELL_VS_LUPUS_BCELL_UP.html" TargetMode="External"/><Relationship Id="rId1887" Type="http://schemas.openxmlformats.org/officeDocument/2006/relationships/hyperlink" Target="http://www.broadinstitute.org/gsea/msigdb/cards/GSE13306_TREG_VS_TCONV_UP.html" TargetMode="External"/><Relationship Id="rId1888" Type="http://schemas.openxmlformats.org/officeDocument/2006/relationships/hyperlink" Target="http://www.broadinstitute.org/gsea/msigdb/cards/GSE13411_NAIVE_VS_MEMORY_BCELL_UP.html" TargetMode="External"/><Relationship Id="rId1889" Type="http://schemas.openxmlformats.org/officeDocument/2006/relationships/hyperlink" Target="http://www.broadinstitute.org/gsea/msigdb/cards/GSE1432_6H_VS_24H_IFNG_MICROGLIA_UP.html" TargetMode="External"/><Relationship Id="rId10" Type="http://schemas.openxmlformats.org/officeDocument/2006/relationships/hyperlink" Target="http://www.broadinstitute.org/gsea/msigdb/cards/HALLMARK_INFLAMMATORY_RESPONSE.html" TargetMode="External"/><Relationship Id="rId11" Type="http://schemas.openxmlformats.org/officeDocument/2006/relationships/hyperlink" Target="http://www.broadinstitute.org/gsea/msigdb/cards/HALLMARK_APICAL_SURFACE.html" TargetMode="External"/><Relationship Id="rId12" Type="http://schemas.openxmlformats.org/officeDocument/2006/relationships/hyperlink" Target="http://www.broadinstitute.org/gsea/msigdb/cards/HALLMARK_HYPOXIA.html" TargetMode="External"/><Relationship Id="rId13" Type="http://schemas.openxmlformats.org/officeDocument/2006/relationships/hyperlink" Target="http://www.broadinstitute.org/gsea/msigdb/cards/SCHUETZ_BREAST_CANCER_DUCTAL_INVASIVE_UP.html" TargetMode="External"/><Relationship Id="rId14" Type="http://schemas.openxmlformats.org/officeDocument/2006/relationships/hyperlink" Target="http://www.broadinstitute.org/gsea/msigdb/cards/ANASTASSIOU_MULTICANCER_INVASIVENESS_SIGNATURE.html" TargetMode="External"/><Relationship Id="rId15" Type="http://schemas.openxmlformats.org/officeDocument/2006/relationships/hyperlink" Target="http://www.broadinstitute.org/gsea/msigdb/cards/BOQUEST_STEM_CELL_UP.html" TargetMode="External"/><Relationship Id="rId16" Type="http://schemas.openxmlformats.org/officeDocument/2006/relationships/hyperlink" Target="http://www.broadinstitute.org/gsea/msigdb/cards/NABA_MATRISOME.html" TargetMode="External"/><Relationship Id="rId17" Type="http://schemas.openxmlformats.org/officeDocument/2006/relationships/hyperlink" Target="http://www.broadinstitute.org/gsea/msigdb/cards/LIM_MAMMARY_STEM_CELL_UP.html" TargetMode="External"/><Relationship Id="rId18" Type="http://schemas.openxmlformats.org/officeDocument/2006/relationships/hyperlink" Target="http://www.broadinstitute.org/gsea/msigdb/cards/VECCHI_GASTRIC_CANCER_ADVANCED_VS_EARLY_UP.html" TargetMode="External"/><Relationship Id="rId19" Type="http://schemas.openxmlformats.org/officeDocument/2006/relationships/hyperlink" Target="http://www.broadinstitute.org/gsea/msigdb/cards/NABA_CORE_MATRISOME.html" TargetMode="External"/><Relationship Id="rId630" Type="http://schemas.openxmlformats.org/officeDocument/2006/relationships/hyperlink" Target="http://www.broadinstitute.org/gsea/msigdb/cards/YAO_TEMPORAL_RESPONSE_TO_PROGESTERONE_CLUSTER_15.html" TargetMode="External"/><Relationship Id="rId631" Type="http://schemas.openxmlformats.org/officeDocument/2006/relationships/hyperlink" Target="http://www.broadinstitute.org/gsea/msigdb/cards/KRIEG_HYPOXIA_NOT_VIA_KDM3A.html" TargetMode="External"/><Relationship Id="rId632" Type="http://schemas.openxmlformats.org/officeDocument/2006/relationships/hyperlink" Target="http://www.broadinstitute.org/gsea/msigdb/cards/MCCOLLUM_GELDANAMYCIN_RESISTANCE_UP.html" TargetMode="External"/><Relationship Id="rId633" Type="http://schemas.openxmlformats.org/officeDocument/2006/relationships/hyperlink" Target="http://www.broadinstitute.org/gsea/msigdb/cards/LEE_NEURAL_CREST_STEM_CELL_DN.html" TargetMode="External"/><Relationship Id="rId634" Type="http://schemas.openxmlformats.org/officeDocument/2006/relationships/hyperlink" Target="http://www.broadinstitute.org/gsea/msigdb/cards/LU_EZH2_TARGETS_DN.html" TargetMode="External"/><Relationship Id="rId635" Type="http://schemas.openxmlformats.org/officeDocument/2006/relationships/hyperlink" Target="http://www.broadinstitute.org/gsea/msigdb/cards/SEITZ_NEOPLASTIC_TRANSFORMATION_BY_8P_DELETION_UP.html" TargetMode="External"/><Relationship Id="rId636" Type="http://schemas.openxmlformats.org/officeDocument/2006/relationships/hyperlink" Target="http://www.broadinstitute.org/gsea/msigdb/cards/LIU_CDX2_TARGETS_UP.html" TargetMode="External"/><Relationship Id="rId637" Type="http://schemas.openxmlformats.org/officeDocument/2006/relationships/hyperlink" Target="http://www.broadinstitute.org/gsea/msigdb/cards/ZHOU_INFLAMMATORY_RESPONSE_LIVE_UP.html" TargetMode="External"/><Relationship Id="rId638" Type="http://schemas.openxmlformats.org/officeDocument/2006/relationships/hyperlink" Target="http://www.broadinstitute.org/gsea/msigdb/cards/JI_RESPONSE_TO_FSH_UP.html" TargetMode="External"/><Relationship Id="rId639" Type="http://schemas.openxmlformats.org/officeDocument/2006/relationships/hyperlink" Target="http://www.broadinstitute.org/gsea/msigdb/cards/VANASSE_BCL2_TARGETS_DN.html" TargetMode="External"/><Relationship Id="rId240" Type="http://schemas.openxmlformats.org/officeDocument/2006/relationships/hyperlink" Target="http://www.broadinstitute.org/gsea/msigdb/cards/ZWANG_TRANSIENTLY_UP_BY_2ND_EGF_PULSE_ONLY.html" TargetMode="External"/><Relationship Id="rId241" Type="http://schemas.openxmlformats.org/officeDocument/2006/relationships/hyperlink" Target="http://www.broadinstitute.org/gsea/msigdb/cards/SCHRAETS_MLL_TARGETS_DN.html" TargetMode="External"/><Relationship Id="rId242" Type="http://schemas.openxmlformats.org/officeDocument/2006/relationships/hyperlink" Target="http://www.broadinstitute.org/gsea/msigdb/cards/LEI_HOXC8_TARGETS_DN.html" TargetMode="External"/><Relationship Id="rId243" Type="http://schemas.openxmlformats.org/officeDocument/2006/relationships/hyperlink" Target="http://www.broadinstitute.org/gsea/msigdb/cards/WU_SILENCED_BY_METHYLATION_IN_BLADDER_CANCER.html" TargetMode="External"/><Relationship Id="rId244" Type="http://schemas.openxmlformats.org/officeDocument/2006/relationships/hyperlink" Target="http://www.broadinstitute.org/gsea/msigdb/cards/REACTOME_GLYCOSAMINOGLYCAN_METABOLISM.html" TargetMode="External"/><Relationship Id="rId245" Type="http://schemas.openxmlformats.org/officeDocument/2006/relationships/hyperlink" Target="http://www.broadinstitute.org/gsea/msigdb/cards/COLINA_TARGETS_OF_4EBP1_AND_4EBP2.html" TargetMode="External"/><Relationship Id="rId246" Type="http://schemas.openxmlformats.org/officeDocument/2006/relationships/hyperlink" Target="http://www.broadinstitute.org/gsea/msigdb/cards/PECE_MAMMARY_STEM_CELL_DN.html" TargetMode="External"/><Relationship Id="rId247" Type="http://schemas.openxmlformats.org/officeDocument/2006/relationships/hyperlink" Target="http://www.broadinstitute.org/gsea/msigdb/cards/KARAKAS_TGFB1_SIGNALING.html" TargetMode="External"/><Relationship Id="rId248" Type="http://schemas.openxmlformats.org/officeDocument/2006/relationships/hyperlink" Target="http://www.broadinstitute.org/gsea/msigdb/cards/KATSANOU_ELAVL1_TARGETS_DN.html" TargetMode="External"/><Relationship Id="rId249" Type="http://schemas.openxmlformats.org/officeDocument/2006/relationships/hyperlink" Target="http://www.broadinstitute.org/gsea/msigdb/cards/KEGG_HYPERTROPHIC_CARDIOMYOPATHY_HCM.html" TargetMode="External"/><Relationship Id="rId1890" Type="http://schemas.openxmlformats.org/officeDocument/2006/relationships/hyperlink" Target="http://www.broadinstitute.org/gsea/msigdb/cards/GSE1460_NAIVE_CD4_TCELL_CORD_BLOOD_VS_THYMIC_STROMAL_CELL_DN.html" TargetMode="External"/><Relationship Id="rId1891" Type="http://schemas.openxmlformats.org/officeDocument/2006/relationships/hyperlink" Target="http://www.broadinstitute.org/gsea/msigdb/cards/GSE1460_NAIVE_CD4_TCELL_ADULT_BLOOD_VS_THYMIC_STROMAL_CELL_DN.html" TargetMode="External"/><Relationship Id="rId1892" Type="http://schemas.openxmlformats.org/officeDocument/2006/relationships/hyperlink" Target="http://www.broadinstitute.org/gsea/msigdb/cards/GSE17721_CPG_VS_GARDIQUIMOD_16H_BMDC_UP.html" TargetMode="External"/><Relationship Id="rId1893" Type="http://schemas.openxmlformats.org/officeDocument/2006/relationships/hyperlink" Target="http://www.broadinstitute.org/gsea/msigdb/cards/GSE17721_POLYIC_VS_CPG_4H_BMDC_DN.html" TargetMode="External"/><Relationship Id="rId1894" Type="http://schemas.openxmlformats.org/officeDocument/2006/relationships/hyperlink" Target="http://www.broadinstitute.org/gsea/msigdb/cards/GSE19825_NAIVE_VS_DAY3_EFF_CD8_TCELL_UP.html" TargetMode="External"/><Relationship Id="rId1895" Type="http://schemas.openxmlformats.org/officeDocument/2006/relationships/hyperlink" Target="http://www.broadinstitute.org/gsea/msigdb/cards/GSE20715_0H_VS_24H_OZONE_TLR4_KO_LUNG_DN.html" TargetMode="External"/><Relationship Id="rId1896" Type="http://schemas.openxmlformats.org/officeDocument/2006/relationships/hyperlink" Target="http://www.broadinstitute.org/gsea/msigdb/cards/GSE20715_0H_VS_48H_OZONE_TLR4_KO_LUNG_UP.html" TargetMode="External"/><Relationship Id="rId1897" Type="http://schemas.openxmlformats.org/officeDocument/2006/relationships/hyperlink" Target="http://www.broadinstitute.org/gsea/msigdb/cards/GSE26495_NAIVE_VS_PD1HIGH_CD8_TCELL_UP.html" TargetMode="External"/><Relationship Id="rId1898" Type="http://schemas.openxmlformats.org/officeDocument/2006/relationships/hyperlink" Target="http://www.broadinstitute.org/gsea/msigdb/cards/GSE360_DC_VS_MAC_T_GONDII_UP.html" TargetMode="External"/><Relationship Id="rId1899" Type="http://schemas.openxmlformats.org/officeDocument/2006/relationships/hyperlink" Target="http://www.broadinstitute.org/gsea/msigdb/cards/GSE360_T_GONDII_VS_B_MALAYI_LOW_DOSE_DC_DN.html" TargetMode="External"/><Relationship Id="rId20" Type="http://schemas.openxmlformats.org/officeDocument/2006/relationships/hyperlink" Target="http://www.broadinstitute.org/gsea/msigdb/cards/CHICAS_RB1_TARGETS_CONFLUENT.html" TargetMode="External"/><Relationship Id="rId21" Type="http://schemas.openxmlformats.org/officeDocument/2006/relationships/hyperlink" Target="http://www.broadinstitute.org/gsea/msigdb/cards/ONDER_CDH1_TARGETS_2_UP.html" TargetMode="External"/><Relationship Id="rId22" Type="http://schemas.openxmlformats.org/officeDocument/2006/relationships/hyperlink" Target="http://www.broadinstitute.org/gsea/msigdb/cards/LIU_PROSTATE_CANCER_DN.html" TargetMode="External"/><Relationship Id="rId23" Type="http://schemas.openxmlformats.org/officeDocument/2006/relationships/hyperlink" Target="http://www.broadinstitute.org/gsea/msigdb/cards/TURASHVILI_BREAST_LOBULAR_CARCINOMA_VS_DUCTAL_NORMAL_UP.html" TargetMode="External"/><Relationship Id="rId24" Type="http://schemas.openxmlformats.org/officeDocument/2006/relationships/hyperlink" Target="http://www.broadinstitute.org/gsea/msigdb/cards/TURASHVILI_BREAST_LOBULAR_CARCINOMA_VS_LOBULAR_NORMAL_DN.html" TargetMode="External"/><Relationship Id="rId25" Type="http://schemas.openxmlformats.org/officeDocument/2006/relationships/hyperlink" Target="http://www.broadinstitute.org/gsea/msigdb/cards/PICCALUGA_ANGIOIMMUNOBLASTIC_LYMPHOMA_UP.html" TargetMode="External"/><Relationship Id="rId26" Type="http://schemas.openxmlformats.org/officeDocument/2006/relationships/hyperlink" Target="http://www.broadinstitute.org/gsea/msigdb/cards/CHARAFE_BREAST_CANCER_LUMINAL_VS_MESENCHYMAL_DN.html" TargetMode="External"/><Relationship Id="rId27" Type="http://schemas.openxmlformats.org/officeDocument/2006/relationships/hyperlink" Target="http://www.broadinstitute.org/gsea/msigdb/cards/LINDGREN_BLADDER_CANCER_CLUSTER_2B.html" TargetMode="External"/><Relationship Id="rId28" Type="http://schemas.openxmlformats.org/officeDocument/2006/relationships/hyperlink" Target="http://www.broadinstitute.org/gsea/msigdb/cards/WANG_SMARCE1_TARGETS_UP.html" TargetMode="External"/><Relationship Id="rId29" Type="http://schemas.openxmlformats.org/officeDocument/2006/relationships/hyperlink" Target="http://www.broadinstitute.org/gsea/msigdb/cards/NABA_ECM_GLYCOPROTEINS.html" TargetMode="External"/><Relationship Id="rId1100" Type="http://schemas.openxmlformats.org/officeDocument/2006/relationships/hyperlink" Target="http://www.broadinstitute.org/gsea/msigdb/cards/MODULE_117.html" TargetMode="External"/><Relationship Id="rId1101" Type="http://schemas.openxmlformats.org/officeDocument/2006/relationships/hyperlink" Target="http://www.broadinstitute.org/gsea/msigdb/cards/MODULE_13.html" TargetMode="External"/><Relationship Id="rId1102" Type="http://schemas.openxmlformats.org/officeDocument/2006/relationships/hyperlink" Target="http://www.broadinstitute.org/gsea/msigdb/cards/MORF_IFNA1.html" TargetMode="External"/><Relationship Id="rId1103" Type="http://schemas.openxmlformats.org/officeDocument/2006/relationships/hyperlink" Target="http://www.broadinstitute.org/gsea/msigdb/cards/MORF_RAD51L3.html" TargetMode="External"/><Relationship Id="rId1104" Type="http://schemas.openxmlformats.org/officeDocument/2006/relationships/hyperlink" Target="http://www.broadinstitute.org/gsea/msigdb/cards/MORF_PAX7.html" TargetMode="External"/><Relationship Id="rId1105" Type="http://schemas.openxmlformats.org/officeDocument/2006/relationships/hyperlink" Target="http://www.broadinstitute.org/gsea/msigdb/cards/MODULE_80.html" TargetMode="External"/><Relationship Id="rId1106" Type="http://schemas.openxmlformats.org/officeDocument/2006/relationships/hyperlink" Target="http://www.broadinstitute.org/gsea/msigdb/cards/MODULE_153.html" TargetMode="External"/><Relationship Id="rId1107" Type="http://schemas.openxmlformats.org/officeDocument/2006/relationships/hyperlink" Target="http://www.broadinstitute.org/gsea/msigdb/cards/MORF_MDM2.html" TargetMode="External"/><Relationship Id="rId1108" Type="http://schemas.openxmlformats.org/officeDocument/2006/relationships/hyperlink" Target="http://www.broadinstitute.org/gsea/msigdb/cards/MORF_FSHR.html" TargetMode="External"/><Relationship Id="rId1109" Type="http://schemas.openxmlformats.org/officeDocument/2006/relationships/hyperlink" Target="http://www.broadinstitute.org/gsea/msigdb/cards/GNF2_IGFBP1.html" TargetMode="External"/><Relationship Id="rId640" Type="http://schemas.openxmlformats.org/officeDocument/2006/relationships/hyperlink" Target="http://www.broadinstitute.org/gsea/msigdb/cards/WANG_CISPLATIN_RESPONSE_AND_XPC_DN.html" TargetMode="External"/><Relationship Id="rId641" Type="http://schemas.openxmlformats.org/officeDocument/2006/relationships/hyperlink" Target="http://www.broadinstitute.org/gsea/msigdb/cards/IWANAGA_CARCINOGENESIS_BY_KRAS_DN.html" TargetMode="External"/><Relationship Id="rId642" Type="http://schemas.openxmlformats.org/officeDocument/2006/relationships/hyperlink" Target="http://www.broadinstitute.org/gsea/msigdb/cards/PID_FRA_PATHWAY.html" TargetMode="External"/><Relationship Id="rId643" Type="http://schemas.openxmlformats.org/officeDocument/2006/relationships/hyperlink" Target="http://www.broadinstitute.org/gsea/msigdb/cards/GENTILE_UV_RESPONSE_CLUSTER_D6.html" TargetMode="External"/><Relationship Id="rId644" Type="http://schemas.openxmlformats.org/officeDocument/2006/relationships/hyperlink" Target="http://www.broadinstitute.org/gsea/msigdb/cards/HOWLIN_CITED1_TARGETS_1_DN.html" TargetMode="External"/><Relationship Id="rId645" Type="http://schemas.openxmlformats.org/officeDocument/2006/relationships/hyperlink" Target="http://www.broadinstitute.org/gsea/msigdb/cards/YAGI_AML_WITH_INV_16_TRANSLOCATION.html" TargetMode="External"/><Relationship Id="rId646" Type="http://schemas.openxmlformats.org/officeDocument/2006/relationships/hyperlink" Target="http://www.broadinstitute.org/gsea/msigdb/cards/YAO_TEMPORAL_RESPONSE_TO_PROGESTERONE_CLUSTER_0.html" TargetMode="External"/><Relationship Id="rId647" Type="http://schemas.openxmlformats.org/officeDocument/2006/relationships/hyperlink" Target="http://www.broadinstitute.org/gsea/msigdb/cards/PID_INTEGRIN4_PATHWAY.html" TargetMode="External"/><Relationship Id="rId648" Type="http://schemas.openxmlformats.org/officeDocument/2006/relationships/hyperlink" Target="http://www.broadinstitute.org/gsea/msigdb/cards/PID_RAC1_REG_PATHWAY.html" TargetMode="External"/><Relationship Id="rId649" Type="http://schemas.openxmlformats.org/officeDocument/2006/relationships/hyperlink" Target="http://www.broadinstitute.org/gsea/msigdb/cards/SEMBA_FHIT_TARGETS_UP.html" TargetMode="External"/><Relationship Id="rId250" Type="http://schemas.openxmlformats.org/officeDocument/2006/relationships/hyperlink" Target="http://www.broadinstitute.org/gsea/msigdb/cards/LI_INDUCED_T_TO_NATURAL_KILLER_DN.html" TargetMode="External"/><Relationship Id="rId251" Type="http://schemas.openxmlformats.org/officeDocument/2006/relationships/hyperlink" Target="http://www.broadinstitute.org/gsea/msigdb/cards/NIELSEN_GIST_VS_SYNOVIAL_SARCOMA_UP.html" TargetMode="External"/><Relationship Id="rId252" Type="http://schemas.openxmlformats.org/officeDocument/2006/relationships/hyperlink" Target="http://www.broadinstitute.org/gsea/msigdb/cards/VECCHI_GASTRIC_CANCER_EARLY_DN.html" TargetMode="External"/><Relationship Id="rId253" Type="http://schemas.openxmlformats.org/officeDocument/2006/relationships/hyperlink" Target="http://www.broadinstitute.org/gsea/msigdb/cards/POMEROY_MEDULLOBLASTOMA_DESMOPLASIC_VS_CLASSIC_DN.html" TargetMode="External"/><Relationship Id="rId254" Type="http://schemas.openxmlformats.org/officeDocument/2006/relationships/hyperlink" Target="http://www.broadinstitute.org/gsea/msigdb/cards/BROWNE_HCMV_INFECTION_16HR_DN.html" TargetMode="External"/><Relationship Id="rId255" Type="http://schemas.openxmlformats.org/officeDocument/2006/relationships/hyperlink" Target="http://www.broadinstitute.org/gsea/msigdb/cards/DASU_IL6_SIGNALING_UP.html" TargetMode="External"/><Relationship Id="rId256" Type="http://schemas.openxmlformats.org/officeDocument/2006/relationships/hyperlink" Target="http://www.broadinstitute.org/gsea/msigdb/cards/RUTELLA_RESPONSE_TO_HGF_UP.html" TargetMode="External"/><Relationship Id="rId257" Type="http://schemas.openxmlformats.org/officeDocument/2006/relationships/hyperlink" Target="http://www.broadinstitute.org/gsea/msigdb/cards/SMID_BREAST_CANCER_RELAPSE_IN_LUNG_DN.html" TargetMode="External"/><Relationship Id="rId258" Type="http://schemas.openxmlformats.org/officeDocument/2006/relationships/hyperlink" Target="http://www.broadinstitute.org/gsea/msigdb/cards/NAKAYAMA_SOFT_TISSUE_TUMORS_PCA2_UP.html" TargetMode="External"/><Relationship Id="rId259" Type="http://schemas.openxmlformats.org/officeDocument/2006/relationships/hyperlink" Target="http://www.broadinstitute.org/gsea/msigdb/cards/HUMMERICH_SKIN_CANCER_PROGRESSION_UP.html" TargetMode="External"/><Relationship Id="rId30" Type="http://schemas.openxmlformats.org/officeDocument/2006/relationships/hyperlink" Target="http://www.broadinstitute.org/gsea/msigdb/cards/REN_ALVEOLAR_RHABDOMYOSARCOMA_DN.html" TargetMode="External"/><Relationship Id="rId31" Type="http://schemas.openxmlformats.org/officeDocument/2006/relationships/hyperlink" Target="http://www.broadinstitute.org/gsea/msigdb/cards/OISHI_CHOLANGIOMA_STEM_CELL_LIKE_DN.html" TargetMode="External"/><Relationship Id="rId32" Type="http://schemas.openxmlformats.org/officeDocument/2006/relationships/hyperlink" Target="http://www.broadinstitute.org/gsea/msigdb/cards/BERTUCCI_MEDULLARY_VS_DUCTAL_BREAST_CANCER_DN.html" TargetMode="External"/><Relationship Id="rId33" Type="http://schemas.openxmlformats.org/officeDocument/2006/relationships/hyperlink" Target="http://www.broadinstitute.org/gsea/msigdb/cards/WONG_ADULT_TISSUE_STEM_MODULE.html" TargetMode="External"/><Relationship Id="rId34" Type="http://schemas.openxmlformats.org/officeDocument/2006/relationships/hyperlink" Target="http://www.broadinstitute.org/gsea/msigdb/cards/WEST_ADRENOCORTICAL_TUMOR_DN.html" TargetMode="External"/><Relationship Id="rId35" Type="http://schemas.openxmlformats.org/officeDocument/2006/relationships/hyperlink" Target="http://www.broadinstitute.org/gsea/msigdb/cards/SERVITJA_ISLET_HNF1A_TARGETS_UP.html" TargetMode="External"/><Relationship Id="rId36" Type="http://schemas.openxmlformats.org/officeDocument/2006/relationships/hyperlink" Target="http://www.broadinstitute.org/gsea/msigdb/cards/MIYAGAWA_TARGETS_OF_EWSR1_ETS_FUSIONS_DN.html" TargetMode="External"/><Relationship Id="rId37" Type="http://schemas.openxmlformats.org/officeDocument/2006/relationships/hyperlink" Target="http://www.broadinstitute.org/gsea/msigdb/cards/BERENJENO_TRANSFORMED_BY_RHOA_DN.html" TargetMode="External"/><Relationship Id="rId38" Type="http://schemas.openxmlformats.org/officeDocument/2006/relationships/hyperlink" Target="http://www.broadinstitute.org/gsea/msigdb/cards/FARMER_BREAST_CANCER_CLUSTER_4.html" TargetMode="External"/><Relationship Id="rId39" Type="http://schemas.openxmlformats.org/officeDocument/2006/relationships/hyperlink" Target="http://www.broadinstitute.org/gsea/msigdb/cards/RIGGI_EWING_SARCOMA_PROGENITOR_DN.html" TargetMode="External"/><Relationship Id="rId1500" Type="http://schemas.openxmlformats.org/officeDocument/2006/relationships/hyperlink" Target="http://www.broadinstitute.org/gsea/msigdb/cards/GO_RENAL_VESICLE_DEVELOPMENT.html" TargetMode="External"/><Relationship Id="rId1501" Type="http://schemas.openxmlformats.org/officeDocument/2006/relationships/hyperlink" Target="http://www.broadinstitute.org/gsea/msigdb/cards/GO_CHONDROITIN_SULFATE_CATABOLIC_PROCESS.html" TargetMode="External"/><Relationship Id="rId1502" Type="http://schemas.openxmlformats.org/officeDocument/2006/relationships/hyperlink" Target="http://www.broadinstitute.org/gsea/msigdb/cards/GO_REGULATION_OF_EXTRACELLULAR_MATRIX_DISASSEMBLY.html" TargetMode="External"/><Relationship Id="rId1503" Type="http://schemas.openxmlformats.org/officeDocument/2006/relationships/hyperlink" Target="http://www.broadinstitute.org/gsea/msigdb/cards/GO_INTERSTITIAL_MATRIX.html" TargetMode="External"/><Relationship Id="rId1110" Type="http://schemas.openxmlformats.org/officeDocument/2006/relationships/hyperlink" Target="http://www.broadinstitute.org/gsea/msigdb/cards/MODULE_51.html" TargetMode="External"/><Relationship Id="rId1111" Type="http://schemas.openxmlformats.org/officeDocument/2006/relationships/hyperlink" Target="http://www.broadinstitute.org/gsea/msigdb/cards/GO_EXTRACELLULAR_MATRIX.html" TargetMode="External"/><Relationship Id="rId1112" Type="http://schemas.openxmlformats.org/officeDocument/2006/relationships/hyperlink" Target="http://www.broadinstitute.org/gsea/msigdb/cards/GO_PROTEINACEOUS_EXTRACELLULAR_MATRIX.html" TargetMode="External"/><Relationship Id="rId1113" Type="http://schemas.openxmlformats.org/officeDocument/2006/relationships/hyperlink" Target="http://www.broadinstitute.org/gsea/msigdb/cards/GO_EXTRACELLULAR_STRUCTURE_ORGANIZATION.html" TargetMode="External"/><Relationship Id="rId1114" Type="http://schemas.openxmlformats.org/officeDocument/2006/relationships/hyperlink" Target="http://www.broadinstitute.org/gsea/msigdb/cards/GO_BIOLOGICAL_ADHESION.html" TargetMode="External"/><Relationship Id="rId1115" Type="http://schemas.openxmlformats.org/officeDocument/2006/relationships/hyperlink" Target="http://www.broadinstitute.org/gsea/msigdb/cards/GO_EXTRACELLULAR_MATRIX_COMPONENT.html" TargetMode="External"/><Relationship Id="rId1116" Type="http://schemas.openxmlformats.org/officeDocument/2006/relationships/hyperlink" Target="http://www.broadinstitute.org/gsea/msigdb/cards/GO_EXTRACELLULAR_SPACE.html" TargetMode="External"/><Relationship Id="rId1117" Type="http://schemas.openxmlformats.org/officeDocument/2006/relationships/hyperlink" Target="http://www.broadinstitute.org/gsea/msigdb/cards/GO_CIRCULATORY_SYSTEM_DEVELOPMENT.html" TargetMode="External"/><Relationship Id="rId1118" Type="http://schemas.openxmlformats.org/officeDocument/2006/relationships/hyperlink" Target="http://www.broadinstitute.org/gsea/msigdb/cards/GO_MULTICELLULAR_ORGANISMAL_MACROMOLECULE_METABOLIC_PROCESS.html" TargetMode="External"/><Relationship Id="rId1119" Type="http://schemas.openxmlformats.org/officeDocument/2006/relationships/hyperlink" Target="http://www.broadinstitute.org/gsea/msigdb/cards/GO_EXTRACELLULAR_MATRIX_STRUCTURAL_CONSTITUENT.html" TargetMode="External"/><Relationship Id="rId650" Type="http://schemas.openxmlformats.org/officeDocument/2006/relationships/hyperlink" Target="http://www.broadinstitute.org/gsea/msigdb/cards/IIZUKA_LIVER_CANCER_EARLY_RECURRENCE.html" TargetMode="External"/><Relationship Id="rId651" Type="http://schemas.openxmlformats.org/officeDocument/2006/relationships/hyperlink" Target="http://www.broadinstitute.org/gsea/msigdb/cards/KRASNOSELSKAYA_ILF3_TARGETS_UP.html" TargetMode="External"/><Relationship Id="rId652" Type="http://schemas.openxmlformats.org/officeDocument/2006/relationships/hyperlink" Target="http://www.broadinstitute.org/gsea/msigdb/cards/KAN_RESPONSE_TO_ARSENIC_TRIOXIDE.html" TargetMode="External"/><Relationship Id="rId653" Type="http://schemas.openxmlformats.org/officeDocument/2006/relationships/hyperlink" Target="http://www.broadinstitute.org/gsea/msigdb/cards/DAZARD_RESPONSE_TO_UV_SCC_DN.html" TargetMode="External"/><Relationship Id="rId654" Type="http://schemas.openxmlformats.org/officeDocument/2006/relationships/hyperlink" Target="http://www.broadinstitute.org/gsea/msigdb/cards/MARTORIATI_MDM4_TARGETS_NEUROEPITHELIUM_UP.html" TargetMode="External"/><Relationship Id="rId655" Type="http://schemas.openxmlformats.org/officeDocument/2006/relationships/hyperlink" Target="http://www.broadinstitute.org/gsea/msigdb/cards/ZHONG_SECRETOME_OF_LUNG_CANCER_AND_MACROPHAGE.html" TargetMode="External"/><Relationship Id="rId656" Type="http://schemas.openxmlformats.org/officeDocument/2006/relationships/hyperlink" Target="http://www.broadinstitute.org/gsea/msigdb/cards/DAIRKEE_TERT_TARGETS_DN.html" TargetMode="External"/><Relationship Id="rId657" Type="http://schemas.openxmlformats.org/officeDocument/2006/relationships/hyperlink" Target="http://www.broadinstitute.org/gsea/msigdb/cards/HAHTOLA_MYCOSIS_FUNGOIDES_SKIN_UP.html" TargetMode="External"/><Relationship Id="rId658" Type="http://schemas.openxmlformats.org/officeDocument/2006/relationships/hyperlink" Target="http://www.broadinstitute.org/gsea/msigdb/cards/REACTOME_PLATELET_HOMEOSTASIS.html" TargetMode="External"/><Relationship Id="rId659" Type="http://schemas.openxmlformats.org/officeDocument/2006/relationships/hyperlink" Target="http://www.broadinstitute.org/gsea/msigdb/cards/HADDAD_T_LYMPHOCYTE_AND_NK_PROGENITOR_UP.html" TargetMode="External"/><Relationship Id="rId1504" Type="http://schemas.openxmlformats.org/officeDocument/2006/relationships/hyperlink" Target="http://www.broadinstitute.org/gsea/msigdb/cards/GO_TROPOMYOSIN_BINDING.html" TargetMode="External"/><Relationship Id="rId1505" Type="http://schemas.openxmlformats.org/officeDocument/2006/relationships/hyperlink" Target="http://www.broadinstitute.org/gsea/msigdb/cards/GO_METALLOENDOPEPTIDASE_INHIBITOR_ACTIVITY.html" TargetMode="External"/><Relationship Id="rId1506" Type="http://schemas.openxmlformats.org/officeDocument/2006/relationships/hyperlink" Target="http://www.broadinstitute.org/gsea/msigdb/cards/GO_WNT_SIGNALING_PATHWAY.html" TargetMode="External"/><Relationship Id="rId1507" Type="http://schemas.openxmlformats.org/officeDocument/2006/relationships/hyperlink" Target="http://www.broadinstitute.org/gsea/msigdb/cards/GO_NEGATIVE_REGULATION_OF_CELL_DEATH.html" TargetMode="External"/><Relationship Id="rId1508" Type="http://schemas.openxmlformats.org/officeDocument/2006/relationships/hyperlink" Target="http://www.broadinstitute.org/gsea/msigdb/cards/GO_CENTRAL_NERVOUS_SYSTEM_DEVELOPMENT.html" TargetMode="External"/><Relationship Id="rId1509" Type="http://schemas.openxmlformats.org/officeDocument/2006/relationships/hyperlink" Target="http://www.broadinstitute.org/gsea/msigdb/cards/GO_GROWTH.html" TargetMode="External"/><Relationship Id="rId260" Type="http://schemas.openxmlformats.org/officeDocument/2006/relationships/hyperlink" Target="http://www.broadinstitute.org/gsea/msigdb/cards/SMID_BREAST_CANCER_BASAL_DN.html" TargetMode="External"/><Relationship Id="rId261" Type="http://schemas.openxmlformats.org/officeDocument/2006/relationships/hyperlink" Target="http://www.broadinstitute.org/gsea/msigdb/cards/MOROSETTI_FACIOSCAPULOHUMERAL_MUSCULAR_DISTROPHY_UP.html" TargetMode="External"/><Relationship Id="rId262" Type="http://schemas.openxmlformats.org/officeDocument/2006/relationships/hyperlink" Target="http://www.broadinstitute.org/gsea/msigdb/cards/NIELSEN_LEIOMYOSARCOMA_CNN1_DN.html" TargetMode="External"/><Relationship Id="rId263" Type="http://schemas.openxmlformats.org/officeDocument/2006/relationships/hyperlink" Target="http://www.broadinstitute.org/gsea/msigdb/cards/NADLER_OBESITY_UP.html" TargetMode="External"/><Relationship Id="rId264" Type="http://schemas.openxmlformats.org/officeDocument/2006/relationships/hyperlink" Target="http://www.broadinstitute.org/gsea/msigdb/cards/TAKEDA_TARGETS_OF_NUP98_HOXA9_FUSION_10D_UP.html" TargetMode="External"/><Relationship Id="rId265" Type="http://schemas.openxmlformats.org/officeDocument/2006/relationships/hyperlink" Target="http://www.broadinstitute.org/gsea/msigdb/cards/NING_CHRONIC_OBSTRUCTIVE_PULMONARY_DISEASE_DN.html" TargetMode="External"/><Relationship Id="rId266" Type="http://schemas.openxmlformats.org/officeDocument/2006/relationships/hyperlink" Target="http://www.broadinstitute.org/gsea/msigdb/cards/SMIRNOV_CIRCULATING_ENDOTHELIOCYTES_IN_CANCER_UP.html" TargetMode="External"/><Relationship Id="rId267" Type="http://schemas.openxmlformats.org/officeDocument/2006/relationships/hyperlink" Target="http://www.broadinstitute.org/gsea/msigdb/cards/MARTINEZ_TP53_TARGETS_DN.html" TargetMode="External"/><Relationship Id="rId268" Type="http://schemas.openxmlformats.org/officeDocument/2006/relationships/hyperlink" Target="http://www.broadinstitute.org/gsea/msigdb/cards/WANG_NEOPLASTIC_TRANSFORMATION_BY_CCND1_MYC.html" TargetMode="External"/><Relationship Id="rId269" Type="http://schemas.openxmlformats.org/officeDocument/2006/relationships/hyperlink" Target="http://www.broadinstitute.org/gsea/msigdb/cards/INGRAM_SHH_TARGETS_DN.html" TargetMode="External"/><Relationship Id="rId40" Type="http://schemas.openxmlformats.org/officeDocument/2006/relationships/hyperlink" Target="http://www.broadinstitute.org/gsea/msigdb/cards/REACTOME_EXTRACELLULAR_MATRIX_ORGANIZATION.html" TargetMode="External"/><Relationship Id="rId41" Type="http://schemas.openxmlformats.org/officeDocument/2006/relationships/hyperlink" Target="http://www.broadinstitute.org/gsea/msigdb/cards/LEE_BMP2_TARGETS_UP.html" TargetMode="External"/><Relationship Id="rId42" Type="http://schemas.openxmlformats.org/officeDocument/2006/relationships/hyperlink" Target="http://www.broadinstitute.org/gsea/msigdb/cards/ZHU_CMV_24_HR_DN.html" TargetMode="External"/><Relationship Id="rId43" Type="http://schemas.openxmlformats.org/officeDocument/2006/relationships/hyperlink" Target="http://www.broadinstitute.org/gsea/msigdb/cards/ZHU_CMV_ALL_DN.html" TargetMode="External"/><Relationship Id="rId44" Type="http://schemas.openxmlformats.org/officeDocument/2006/relationships/hyperlink" Target="http://www.broadinstitute.org/gsea/msigdb/cards/CHEN_METABOLIC_SYNDROM_NETWORK.html" TargetMode="External"/><Relationship Id="rId45" Type="http://schemas.openxmlformats.org/officeDocument/2006/relationships/hyperlink" Target="http://www.broadinstitute.org/gsea/msigdb/cards/CUI_TCF21_TARGETS_2_UP.html" TargetMode="External"/><Relationship Id="rId46" Type="http://schemas.openxmlformats.org/officeDocument/2006/relationships/hyperlink" Target="http://www.broadinstitute.org/gsea/msigdb/cards/RODWELL_AGING_KIDNEY_NO_BLOOD_UP.html" TargetMode="External"/><Relationship Id="rId47" Type="http://schemas.openxmlformats.org/officeDocument/2006/relationships/hyperlink" Target="http://www.broadinstitute.org/gsea/msigdb/cards/REACTOME_COLLAGEN_FORMATION.html" TargetMode="External"/><Relationship Id="rId48" Type="http://schemas.openxmlformats.org/officeDocument/2006/relationships/hyperlink" Target="http://www.broadinstitute.org/gsea/msigdb/cards/PID_INTEGRIN1_PATHWAY.html" TargetMode="External"/><Relationship Id="rId49" Type="http://schemas.openxmlformats.org/officeDocument/2006/relationships/hyperlink" Target="http://www.broadinstitute.org/gsea/msigdb/cards/DURAND_STROMA_S_UP.html" TargetMode="External"/><Relationship Id="rId1900" Type="http://schemas.openxmlformats.org/officeDocument/2006/relationships/hyperlink" Target="http://www.broadinstitute.org/gsea/msigdb/cards/GSE360_L_DONOVANI_VS_L_MAJOR_MAC_DN.html" TargetMode="External"/><Relationship Id="rId1901" Type="http://schemas.openxmlformats.org/officeDocument/2006/relationships/hyperlink" Target="http://www.broadinstitute.org/gsea/msigdb/cards/GSE3982_BCELL_VS_CENT_MEMORY_CD4_TCELL_DN.html" TargetMode="External"/><Relationship Id="rId1902" Type="http://schemas.openxmlformats.org/officeDocument/2006/relationships/hyperlink" Target="http://www.broadinstitute.org/gsea/msigdb/cards/GSE7460_CTRL_VS_TGFB_TREATED_ACT_TCONV_DN.html" TargetMode="External"/><Relationship Id="rId1903" Type="http://schemas.openxmlformats.org/officeDocument/2006/relationships/hyperlink" Target="http://www.broadinstitute.org/gsea/msigdb/cards/GSE8835_CD4_VS_CD8_TCELL_CLL_PATIENT_DN.html" TargetMode="External"/><Relationship Id="rId1510" Type="http://schemas.openxmlformats.org/officeDocument/2006/relationships/hyperlink" Target="http://www.broadinstitute.org/gsea/msigdb/cards/GO_SECRETORY_GRANULE.html" TargetMode="External"/><Relationship Id="rId1511" Type="http://schemas.openxmlformats.org/officeDocument/2006/relationships/hyperlink" Target="http://www.broadinstitute.org/gsea/msigdb/cards/GO_POSITIVE_REGULATION_OF_PROTEIN_IMPORT.html" TargetMode="External"/><Relationship Id="rId1512" Type="http://schemas.openxmlformats.org/officeDocument/2006/relationships/hyperlink" Target="http://www.broadinstitute.org/gsea/msigdb/cards/GO_GLIAL_CELL_MIGRATION.html" TargetMode="External"/><Relationship Id="rId1513" Type="http://schemas.openxmlformats.org/officeDocument/2006/relationships/hyperlink" Target="http://www.broadinstitute.org/gsea/msigdb/cards/GO_GLUTAMATE_RECEPTOR_BINDING.html" TargetMode="External"/><Relationship Id="rId1120" Type="http://schemas.openxmlformats.org/officeDocument/2006/relationships/hyperlink" Target="http://www.broadinstitute.org/gsea/msigdb/cards/GO_MULTICELLULAR_ORGANISM_METABOLIC_PROCESS.html" TargetMode="External"/><Relationship Id="rId1121" Type="http://schemas.openxmlformats.org/officeDocument/2006/relationships/hyperlink" Target="http://www.broadinstitute.org/gsea/msigdb/cards/GO_REGULATION_OF_CELLULAR_COMPONENT_MOVEMENT.html" TargetMode="External"/><Relationship Id="rId1122" Type="http://schemas.openxmlformats.org/officeDocument/2006/relationships/hyperlink" Target="http://www.broadinstitute.org/gsea/msigdb/cards/GO_VASCULATURE_DEVELOPMENT.html" TargetMode="External"/><Relationship Id="rId1123" Type="http://schemas.openxmlformats.org/officeDocument/2006/relationships/hyperlink" Target="http://www.broadinstitute.org/gsea/msigdb/cards/GO_COLLAGEN_BINDING.html" TargetMode="External"/><Relationship Id="rId1124" Type="http://schemas.openxmlformats.org/officeDocument/2006/relationships/hyperlink" Target="http://www.broadinstitute.org/gsea/msigdb/cards/GO_CALCIUM_ION_BINDING.html" TargetMode="External"/><Relationship Id="rId1125" Type="http://schemas.openxmlformats.org/officeDocument/2006/relationships/hyperlink" Target="http://www.broadinstitute.org/gsea/msigdb/cards/GO_COLLAGEN_TRIMER.html" TargetMode="External"/><Relationship Id="rId1126" Type="http://schemas.openxmlformats.org/officeDocument/2006/relationships/hyperlink" Target="http://www.broadinstitute.org/gsea/msigdb/cards/GO_COLLAGEN_FIBRIL_ORGANIZATION.html" TargetMode="External"/><Relationship Id="rId1127" Type="http://schemas.openxmlformats.org/officeDocument/2006/relationships/hyperlink" Target="http://www.broadinstitute.org/gsea/msigdb/cards/GO_REGULATION_OF_MULTICELLULAR_ORGANISMAL_DEVELOPMENT.html" TargetMode="External"/><Relationship Id="rId1128" Type="http://schemas.openxmlformats.org/officeDocument/2006/relationships/hyperlink" Target="http://www.broadinstitute.org/gsea/msigdb/cards/GO_TISSUE_DEVELOPMENT.html" TargetMode="External"/><Relationship Id="rId1129" Type="http://schemas.openxmlformats.org/officeDocument/2006/relationships/hyperlink" Target="http://www.broadinstitute.org/gsea/msigdb/cards/GO_ORGAN_MORPHOGENESIS.html" TargetMode="External"/><Relationship Id="rId660" Type="http://schemas.openxmlformats.org/officeDocument/2006/relationships/hyperlink" Target="http://www.broadinstitute.org/gsea/msigdb/cards/LINDVALL_IMMORTALIZED_BY_TERT_UP.html" TargetMode="External"/><Relationship Id="rId661" Type="http://schemas.openxmlformats.org/officeDocument/2006/relationships/hyperlink" Target="http://www.broadinstitute.org/gsea/msigdb/cards/CONRAD_STEM_CELL.html" TargetMode="External"/><Relationship Id="rId662" Type="http://schemas.openxmlformats.org/officeDocument/2006/relationships/hyperlink" Target="http://www.broadinstitute.org/gsea/msigdb/cards/ROSS_LEUKEMIA_WITH_MLL_FUSIONS.html" TargetMode="External"/><Relationship Id="rId663" Type="http://schemas.openxmlformats.org/officeDocument/2006/relationships/hyperlink" Target="http://www.broadinstitute.org/gsea/msigdb/cards/VANDESLUIS_COMMD1_TARGETS_GROUP_3_DN.html" TargetMode="External"/><Relationship Id="rId664" Type="http://schemas.openxmlformats.org/officeDocument/2006/relationships/hyperlink" Target="http://www.broadinstitute.org/gsea/msigdb/cards/BILANGES_SERUM_SENSITIVE_VIA_TSC2.html" TargetMode="External"/><Relationship Id="rId665" Type="http://schemas.openxmlformats.org/officeDocument/2006/relationships/hyperlink" Target="http://www.broadinstitute.org/gsea/msigdb/cards/LI_AMPLIFIED_IN_LUNG_CANCER.html" TargetMode="External"/><Relationship Id="rId666" Type="http://schemas.openxmlformats.org/officeDocument/2006/relationships/hyperlink" Target="http://www.broadinstitute.org/gsea/msigdb/cards/GRYDER_PAX3FOXO1_TOP_ENHANCERS.html" TargetMode="External"/><Relationship Id="rId667" Type="http://schemas.openxmlformats.org/officeDocument/2006/relationships/hyperlink" Target="http://www.broadinstitute.org/gsea/msigdb/cards/PID_FOXM1_PATHWAY.html" TargetMode="External"/><Relationship Id="rId668" Type="http://schemas.openxmlformats.org/officeDocument/2006/relationships/hyperlink" Target="http://www.broadinstitute.org/gsea/msigdb/cards/LIAO_HAVE_SOX4_BINDING_SITES.html" TargetMode="External"/><Relationship Id="rId669" Type="http://schemas.openxmlformats.org/officeDocument/2006/relationships/hyperlink" Target="http://www.broadinstitute.org/gsea/msigdb/cards/REACTOME_PLATELET_ADHESION_TO_EXPOSED_COLLAGEN.html" TargetMode="External"/><Relationship Id="rId1514" Type="http://schemas.openxmlformats.org/officeDocument/2006/relationships/hyperlink" Target="http://www.broadinstitute.org/gsea/msigdb/cards/GO_ORGAN_GROWTH.html" TargetMode="External"/><Relationship Id="rId1515" Type="http://schemas.openxmlformats.org/officeDocument/2006/relationships/hyperlink" Target="http://www.broadinstitute.org/gsea/msigdb/cards/GO_SARCOPLASM.html" TargetMode="External"/><Relationship Id="rId1516" Type="http://schemas.openxmlformats.org/officeDocument/2006/relationships/hyperlink" Target="http://www.broadinstitute.org/gsea/msigdb/cards/GO_CHRONIC_INFLAMMATORY_RESPONSE.html" TargetMode="External"/><Relationship Id="rId1517" Type="http://schemas.openxmlformats.org/officeDocument/2006/relationships/hyperlink" Target="http://www.broadinstitute.org/gsea/msigdb/cards/GO_MODULATION_OF_SYNAPTIC_TRANSMISSION.html" TargetMode="External"/><Relationship Id="rId1518" Type="http://schemas.openxmlformats.org/officeDocument/2006/relationships/hyperlink" Target="http://www.broadinstitute.org/gsea/msigdb/cards/GO_OXIDOREDUCTASE_ACTIVITY_ACTING_ON_THE_CH_NH2_GROUP_OF_DONORS_OXYGEN_AS_ACCEPTOR.html" TargetMode="External"/><Relationship Id="rId1519" Type="http://schemas.openxmlformats.org/officeDocument/2006/relationships/hyperlink" Target="http://www.broadinstitute.org/gsea/msigdb/cards/GO_PLATELET_DERIVED_GROWTH_FACTOR_RECEPTOR_BINDING.html" TargetMode="External"/><Relationship Id="rId270" Type="http://schemas.openxmlformats.org/officeDocument/2006/relationships/hyperlink" Target="http://www.broadinstitute.org/gsea/msigdb/cards/LIU_SMARCA4_TARGETS.html" TargetMode="External"/><Relationship Id="rId271" Type="http://schemas.openxmlformats.org/officeDocument/2006/relationships/hyperlink" Target="http://www.broadinstitute.org/gsea/msigdb/cards/MIKKELSEN_MCV6_HCP_WITH_H3K27ME3.html" TargetMode="External"/><Relationship Id="rId272" Type="http://schemas.openxmlformats.org/officeDocument/2006/relationships/hyperlink" Target="http://www.broadinstitute.org/gsea/msigdb/cards/KIM_WT1_TARGETS_12HR_UP.html" TargetMode="External"/><Relationship Id="rId273" Type="http://schemas.openxmlformats.org/officeDocument/2006/relationships/hyperlink" Target="http://www.broadinstitute.org/gsea/msigdb/cards/BENPORATH_OCT4_TARGETS.html" TargetMode="External"/><Relationship Id="rId274" Type="http://schemas.openxmlformats.org/officeDocument/2006/relationships/hyperlink" Target="http://www.broadinstitute.org/gsea/msigdb/cards/KONDO_EZH2_TARGETS.html" TargetMode="External"/><Relationship Id="rId275" Type="http://schemas.openxmlformats.org/officeDocument/2006/relationships/hyperlink" Target="http://www.broadinstitute.org/gsea/msigdb/cards/ZHANG_TLX_TARGETS_60HR_UP.html" TargetMode="External"/><Relationship Id="rId276" Type="http://schemas.openxmlformats.org/officeDocument/2006/relationships/hyperlink" Target="http://www.broadinstitute.org/gsea/msigdb/cards/MILI_PSEUDOPODIA_HAPTOTAXIS_DN.html" TargetMode="External"/><Relationship Id="rId277" Type="http://schemas.openxmlformats.org/officeDocument/2006/relationships/hyperlink" Target="http://www.broadinstitute.org/gsea/msigdb/cards/EBAUER_TARGETS_OF_PAX3_FOXO1_FUSION_UP.html" TargetMode="External"/><Relationship Id="rId278" Type="http://schemas.openxmlformats.org/officeDocument/2006/relationships/hyperlink" Target="http://www.broadinstitute.org/gsea/msigdb/cards/KATSANOU_ELAVL1_TARGETS_UP.html" TargetMode="External"/><Relationship Id="rId279" Type="http://schemas.openxmlformats.org/officeDocument/2006/relationships/hyperlink" Target="http://www.broadinstitute.org/gsea/msigdb/cards/HOWLIN_PUBERTAL_MAMMARY_GLAND.html" TargetMode="External"/><Relationship Id="rId1904" Type="http://schemas.openxmlformats.org/officeDocument/2006/relationships/hyperlink" Target="http://www.broadinstitute.org/gsea/msigdb/cards/GSE4142_NAIVE_VS_GC_BCELL_UP.html" TargetMode="External"/><Relationship Id="rId1905" Type="http://schemas.openxmlformats.org/officeDocument/2006/relationships/hyperlink" Target="http://www.broadinstitute.org/gsea/msigdb/cards/GSE5589_WT_VS_IL6_KO_LPS_AND_IL6_STIM_MACROPHAGE_45MIN_DN.html" TargetMode="External"/><Relationship Id="rId1906" Type="http://schemas.openxmlformats.org/officeDocument/2006/relationships/hyperlink" Target="http://www.broadinstitute.org/gsea/msigdb/cards/GSE5589_IL6_KO_VS_IL10_KO_LPS_AND_IL10_STIM_MACROPHAGE_45MIN_UP.html" TargetMode="External"/><Relationship Id="rId1907" Type="http://schemas.openxmlformats.org/officeDocument/2006/relationships/hyperlink" Target="http://www.broadinstitute.org/gsea/msigdb/cards/GSE6092_UNSTIM_VS_IFNG_STIM_AND_B_BURGDORFERI_INF_ENDOTHELIAL_CELL_DN.html" TargetMode="External"/><Relationship Id="rId1908" Type="http://schemas.openxmlformats.org/officeDocument/2006/relationships/hyperlink" Target="http://www.broadinstitute.org/gsea/msigdb/cards/GSE5503_LIVER_DC_VS_SPLEEN_DC_ACTIVATED_ALLOGENIC_TCELL_UP.html" TargetMode="External"/><Relationship Id="rId1909" Type="http://schemas.openxmlformats.org/officeDocument/2006/relationships/hyperlink" Target="http://www.broadinstitute.org/gsea/msigdb/cards/GSE12003_4D_VS_8D_CULTURE_MIR223_KO_BM_PROGENITOR_UP.html" TargetMode="External"/><Relationship Id="rId50" Type="http://schemas.openxmlformats.org/officeDocument/2006/relationships/hyperlink" Target="http://www.broadinstitute.org/gsea/msigdb/cards/WONG_ENDMETRIUM_CANCER_DN.html" TargetMode="External"/><Relationship Id="rId51" Type="http://schemas.openxmlformats.org/officeDocument/2006/relationships/hyperlink" Target="http://www.broadinstitute.org/gsea/msigdb/cards/KEGG_FOCAL_ADHESION.html" TargetMode="External"/><Relationship Id="rId52" Type="http://schemas.openxmlformats.org/officeDocument/2006/relationships/hyperlink" Target="http://www.broadinstitute.org/gsea/msigdb/cards/KEGG_ECM_RECEPTOR_INTERACTION.html" TargetMode="External"/><Relationship Id="rId53" Type="http://schemas.openxmlformats.org/officeDocument/2006/relationships/hyperlink" Target="http://www.broadinstitute.org/gsea/msigdb/cards/CLASPER_LYMPHATIC_VESSELS_DURING_METASTASIS_DN.html" TargetMode="External"/><Relationship Id="rId54" Type="http://schemas.openxmlformats.org/officeDocument/2006/relationships/hyperlink" Target="http://www.broadinstitute.org/gsea/msigdb/cards/HOSHIDA_LIVER_CANCER_SUBCLASS_S1.html" TargetMode="External"/><Relationship Id="rId55" Type="http://schemas.openxmlformats.org/officeDocument/2006/relationships/hyperlink" Target="http://www.broadinstitute.org/gsea/msigdb/cards/SASAI_RESISTANCE_TO_NEOPLASTIC_TRANSFROMATION.html" TargetMode="External"/><Relationship Id="rId56" Type="http://schemas.openxmlformats.org/officeDocument/2006/relationships/hyperlink" Target="http://www.broadinstitute.org/gsea/msigdb/cards/MEISSNER_BRAIN_HCP_WITH_H3K4ME3_AND_H3K27ME3.html" TargetMode="External"/><Relationship Id="rId57" Type="http://schemas.openxmlformats.org/officeDocument/2006/relationships/hyperlink" Target="http://www.broadinstitute.org/gsea/msigdb/cards/IGLESIAS_E2F_TARGETS_UP.html" TargetMode="External"/><Relationship Id="rId58" Type="http://schemas.openxmlformats.org/officeDocument/2006/relationships/hyperlink" Target="http://www.broadinstitute.org/gsea/msigdb/cards/SCHAEFFER_PROSTATE_DEVELOPMENT_48HR_DN.html" TargetMode="External"/><Relationship Id="rId59" Type="http://schemas.openxmlformats.org/officeDocument/2006/relationships/hyperlink" Target="http://www.broadinstitute.org/gsea/msigdb/cards/LINDVALL_IMMORTALIZED_BY_TERT_DN.html" TargetMode="External"/><Relationship Id="rId1910" Type="http://schemas.openxmlformats.org/officeDocument/2006/relationships/hyperlink" Target="http://www.broadinstitute.org/gsea/msigdb/cards/GSE19198_1H_VS_24H_IL21_TREATED_TCELL_UP.html" TargetMode="External"/><Relationship Id="rId1911" Type="http://schemas.openxmlformats.org/officeDocument/2006/relationships/hyperlink" Target="http://www.broadinstitute.org/gsea/msigdb/cards/GSE19888_CTRL_VS_A3R_ACT_TREATED_MAST_CELL_PRETREATED_WITH_A3R_INH_UP.html" TargetMode="External"/><Relationship Id="rId1912" Type="http://schemas.openxmlformats.org/officeDocument/2006/relationships/hyperlink" Target="http://www.broadinstitute.org/gsea/msigdb/cards/GSE19888_ADENOSINE_A3R_INH_VS_INH_PRETREAT_AND_ACT_WITH_TCELL_MEMBRANES_MAST_CELL_UP.html" TargetMode="External"/><Relationship Id="rId1913" Type="http://schemas.openxmlformats.org/officeDocument/2006/relationships/hyperlink" Target="http://www.broadinstitute.org/gsea/msigdb/cards/GSE21670_UNTREATED_VS_TGFB_TREATED_CD4_TCELL_DN.html" TargetMode="External"/><Relationship Id="rId1520" Type="http://schemas.openxmlformats.org/officeDocument/2006/relationships/hyperlink" Target="http://www.broadinstitute.org/gsea/msigdb/cards/GO_REGULATION_OF_MULTICELLULAR_ORGANISMAL_METABOLIC_PROCESS.html" TargetMode="External"/><Relationship Id="rId1521" Type="http://schemas.openxmlformats.org/officeDocument/2006/relationships/hyperlink" Target="http://www.broadinstitute.org/gsea/msigdb/cards/GO_PEPTIDASE_ACTIVATOR_ACTIVITY.html" TargetMode="External"/><Relationship Id="rId1522" Type="http://schemas.openxmlformats.org/officeDocument/2006/relationships/hyperlink" Target="http://www.broadinstitute.org/gsea/msigdb/cards/GO_EXCITATORY_SYNAPSE.html" TargetMode="External"/><Relationship Id="rId1523" Type="http://schemas.openxmlformats.org/officeDocument/2006/relationships/hyperlink" Target="http://www.broadinstitute.org/gsea/msigdb/cards/GO_NEGATIVE_REGULATION_OF_CELL_DEVELOPMENT.html" TargetMode="External"/><Relationship Id="rId1130" Type="http://schemas.openxmlformats.org/officeDocument/2006/relationships/hyperlink" Target="http://www.broadinstitute.org/gsea/msigdb/cards/GO_SKELETAL_SYSTEM_DEVELOPMENT.html" TargetMode="External"/><Relationship Id="rId1131" Type="http://schemas.openxmlformats.org/officeDocument/2006/relationships/hyperlink" Target="http://www.broadinstitute.org/gsea/msigdb/cards/GO_OSSIFICATION.html" TargetMode="External"/><Relationship Id="rId1132" Type="http://schemas.openxmlformats.org/officeDocument/2006/relationships/hyperlink" Target="http://www.broadinstitute.org/gsea/msigdb/cards/GO_ENDOPLASMIC_RETICULUM_LUMEN.html" TargetMode="External"/><Relationship Id="rId1133" Type="http://schemas.openxmlformats.org/officeDocument/2006/relationships/hyperlink" Target="http://www.broadinstitute.org/gsea/msigdb/cards/GO_GLYCOSAMINOGLYCAN_BINDING.html" TargetMode="External"/><Relationship Id="rId1134" Type="http://schemas.openxmlformats.org/officeDocument/2006/relationships/hyperlink" Target="http://www.broadinstitute.org/gsea/msigdb/cards/GO_BASEMENT_MEMBRANE.html" TargetMode="External"/><Relationship Id="rId1135" Type="http://schemas.openxmlformats.org/officeDocument/2006/relationships/hyperlink" Target="http://www.broadinstitute.org/gsea/msigdb/cards/GO_BLOOD_VESSEL_MORPHOGENESIS.html" TargetMode="External"/><Relationship Id="rId1136" Type="http://schemas.openxmlformats.org/officeDocument/2006/relationships/hyperlink" Target="http://www.broadinstitute.org/gsea/msigdb/cards/GO_NEGATIVE_REGULATION_OF_RESPONSE_TO_STIMULUS.html" TargetMode="External"/><Relationship Id="rId1137" Type="http://schemas.openxmlformats.org/officeDocument/2006/relationships/hyperlink" Target="http://www.broadinstitute.org/gsea/msigdb/cards/GO_REGULATION_OF_CELL_DIFFERENTIATION.html" TargetMode="External"/><Relationship Id="rId1138" Type="http://schemas.openxmlformats.org/officeDocument/2006/relationships/hyperlink" Target="http://www.broadinstitute.org/gsea/msigdb/cards/GO_INTEGRIN_BINDING.html" TargetMode="External"/><Relationship Id="rId1139" Type="http://schemas.openxmlformats.org/officeDocument/2006/relationships/hyperlink" Target="http://www.broadinstitute.org/gsea/msigdb/cards/GO_NEGATIVE_REGULATION_OF_CELL_COMMUNICATION.html" TargetMode="External"/><Relationship Id="rId670" Type="http://schemas.openxmlformats.org/officeDocument/2006/relationships/hyperlink" Target="http://www.broadinstitute.org/gsea/msigdb/cards/MOROSETTI_FACIOSCAPULOHUMERAL_MUSCULAR_DISTROPHY_DN.html" TargetMode="External"/><Relationship Id="rId671" Type="http://schemas.openxmlformats.org/officeDocument/2006/relationships/hyperlink" Target="http://www.broadinstitute.org/gsea/msigdb/cards/ITO_PTTG1_TARGETS_UP.html" TargetMode="External"/><Relationship Id="rId280" Type="http://schemas.openxmlformats.org/officeDocument/2006/relationships/hyperlink" Target="http://www.broadinstitute.org/gsea/msigdb/cards/GRAESSMANN_RESPONSE_TO_MC_AND_SERUM_DEPRIVATION_UP.html" TargetMode="External"/><Relationship Id="rId281" Type="http://schemas.openxmlformats.org/officeDocument/2006/relationships/hyperlink" Target="http://www.broadinstitute.org/gsea/msigdb/cards/MEISSNER_NPC_HCP_WITH_H3K4ME2_AND_H3K27ME3.html" TargetMode="External"/><Relationship Id="rId282" Type="http://schemas.openxmlformats.org/officeDocument/2006/relationships/hyperlink" Target="http://www.broadinstitute.org/gsea/msigdb/cards/RODRIGUES_THYROID_CARCINOMA_POORLY_DIFFERENTIATED_DN.html" TargetMode="External"/><Relationship Id="rId283" Type="http://schemas.openxmlformats.org/officeDocument/2006/relationships/hyperlink" Target="http://www.broadinstitute.org/gsea/msigdb/cards/BROWNE_HCMV_INFECTION_20HR_DN.html" TargetMode="External"/><Relationship Id="rId284" Type="http://schemas.openxmlformats.org/officeDocument/2006/relationships/hyperlink" Target="http://www.broadinstitute.org/gsea/msigdb/cards/BROWNE_HCMV_INFECTION_12HR_DN.html" TargetMode="External"/><Relationship Id="rId285" Type="http://schemas.openxmlformats.org/officeDocument/2006/relationships/hyperlink" Target="http://www.broadinstitute.org/gsea/msigdb/cards/REACTOME_A_TETRASACCHARIDE_LINKER_SEQUENCE_IS_REQUIRED_FOR_GAG_SYNTHESIS.html" TargetMode="External"/><Relationship Id="rId286" Type="http://schemas.openxmlformats.org/officeDocument/2006/relationships/hyperlink" Target="http://www.broadinstitute.org/gsea/msigdb/cards/PEREZ_TP63_TARGETS.html" TargetMode="External"/><Relationship Id="rId287" Type="http://schemas.openxmlformats.org/officeDocument/2006/relationships/hyperlink" Target="http://www.broadinstitute.org/gsea/msigdb/cards/MARTORIATI_MDM4_TARGETS_FETAL_LIVER_DN.html" TargetMode="External"/><Relationship Id="rId288" Type="http://schemas.openxmlformats.org/officeDocument/2006/relationships/hyperlink" Target="http://www.broadinstitute.org/gsea/msigdb/cards/LU_AGING_BRAIN_UP.html" TargetMode="External"/><Relationship Id="rId289" Type="http://schemas.openxmlformats.org/officeDocument/2006/relationships/hyperlink" Target="http://www.broadinstitute.org/gsea/msigdb/cards/HOSHIDA_LIVER_CANCER_SURVIVAL_UP.html" TargetMode="External"/><Relationship Id="rId672" Type="http://schemas.openxmlformats.org/officeDocument/2006/relationships/hyperlink" Target="http://www.broadinstitute.org/gsea/msigdb/cards/MIZUKAMI_HYPOXIA_UP.html" TargetMode="External"/><Relationship Id="rId673" Type="http://schemas.openxmlformats.org/officeDocument/2006/relationships/hyperlink" Target="http://www.broadinstitute.org/gsea/msigdb/cards/LOPEZ_MESOTHELIOMA_SURVIVAL_DN.html" TargetMode="External"/><Relationship Id="rId674" Type="http://schemas.openxmlformats.org/officeDocument/2006/relationships/hyperlink" Target="http://www.broadinstitute.org/gsea/msigdb/cards/KEGG_CARDIAC_MUSCLE_CONTRACTION.html" TargetMode="External"/><Relationship Id="rId675" Type="http://schemas.openxmlformats.org/officeDocument/2006/relationships/hyperlink" Target="http://www.broadinstitute.org/gsea/msigdb/cards/ZHOU_CELL_CYCLE_GENES_IN_IR_RESPONSE_24HR.html" TargetMode="External"/><Relationship Id="rId676" Type="http://schemas.openxmlformats.org/officeDocument/2006/relationships/hyperlink" Target="http://www.broadinstitute.org/gsea/msigdb/cards/TGGAAA_NFAT_Q4_01.html" TargetMode="External"/><Relationship Id="rId677" Type="http://schemas.openxmlformats.org/officeDocument/2006/relationships/hyperlink" Target="http://www.broadinstitute.org/gsea/msigdb/cards/TTGTTT_FOXO4_01.html" TargetMode="External"/><Relationship Id="rId678" Type="http://schemas.openxmlformats.org/officeDocument/2006/relationships/hyperlink" Target="http://www.broadinstitute.org/gsea/msigdb/cards/SRF_Q6.html" TargetMode="External"/><Relationship Id="rId679" Type="http://schemas.openxmlformats.org/officeDocument/2006/relationships/hyperlink" Target="http://www.broadinstitute.org/gsea/msigdb/cards/SRF_C.html" TargetMode="External"/><Relationship Id="rId1524" Type="http://schemas.openxmlformats.org/officeDocument/2006/relationships/hyperlink" Target="http://www.broadinstitute.org/gsea/msigdb/cards/GO_POSITIVE_REGULATION_OF_CELL_PROJECTION_ORGANIZATION.html" TargetMode="External"/><Relationship Id="rId1525" Type="http://schemas.openxmlformats.org/officeDocument/2006/relationships/hyperlink" Target="http://www.broadinstitute.org/gsea/msigdb/cards/GO_ANATOMICAL_STRUCTURE_MATURATION.html" TargetMode="External"/><Relationship Id="rId1526" Type="http://schemas.openxmlformats.org/officeDocument/2006/relationships/hyperlink" Target="http://www.broadinstitute.org/gsea/msigdb/cards/GO_POSITIVE_REGULATION_OF_WNT_SIGNALING_PATHWAY.html" TargetMode="External"/><Relationship Id="rId1527" Type="http://schemas.openxmlformats.org/officeDocument/2006/relationships/hyperlink" Target="http://www.broadinstitute.org/gsea/msigdb/cards/GO_NEGATIVE_REGULATION_OF_ENDOTHELIAL_CELL_MIGRATION.html" TargetMode="External"/><Relationship Id="rId1528" Type="http://schemas.openxmlformats.org/officeDocument/2006/relationships/hyperlink" Target="http://www.broadinstitute.org/gsea/msigdb/cards/GO_PLATELET_AGGREGATION.html" TargetMode="External"/><Relationship Id="rId1529" Type="http://schemas.openxmlformats.org/officeDocument/2006/relationships/hyperlink" Target="http://www.broadinstitute.org/gsea/msigdb/cards/GO_ANCHORED_COMPONENT_OF_MEMBRANE.html" TargetMode="External"/><Relationship Id="rId1914" Type="http://schemas.openxmlformats.org/officeDocument/2006/relationships/hyperlink" Target="http://www.broadinstitute.org/gsea/msigdb/cards/GSE21774_CD62L_POS_CD56_DIM_VS_CD62L_NEG_CD56_DIM_NK_CELL_UP.html" TargetMode="External"/><Relationship Id="rId1915" Type="http://schemas.openxmlformats.org/officeDocument/2006/relationships/hyperlink" Target="http://www.broadinstitute.org/gsea/msigdb/cards/GSE21379_WT_VS_SAP_KO_TFH_CD4_TCELL_UP.html" TargetMode="External"/><Relationship Id="rId1916" Type="http://schemas.openxmlformats.org/officeDocument/2006/relationships/hyperlink" Target="http://www.broadinstitute.org/gsea/msigdb/cards/GSE21927_SPLEEN_VS_C26GM_TUMOR_MONOCYTE_BALBC_UP.html" TargetMode="External"/><Relationship Id="rId1917" Type="http://schemas.openxmlformats.org/officeDocument/2006/relationships/hyperlink" Target="http://www.broadinstitute.org/gsea/msigdb/cards/GSE22140_GERMFREE_VS_SPF_MOUSE_CD4_TCELL_DN.html" TargetMode="External"/><Relationship Id="rId1918" Type="http://schemas.openxmlformats.org/officeDocument/2006/relationships/hyperlink" Target="http://www.broadinstitute.org/gsea/msigdb/cards/GSE22140_GERMFREE_VS_SPF_ARTHRITIC_MOUSE_CD4_TCELL_UP.html" TargetMode="External"/><Relationship Id="rId1919" Type="http://schemas.openxmlformats.org/officeDocument/2006/relationships/hyperlink" Target="http://www.broadinstitute.org/gsea/msigdb/cards/GSE22935_WT_VS_MYD88_KO_MACROPHAGE_UP.html" TargetMode="External"/><Relationship Id="rId60" Type="http://schemas.openxmlformats.org/officeDocument/2006/relationships/hyperlink" Target="http://www.broadinstitute.org/gsea/msigdb/cards/SWEET_LUNG_CANCER_KRAS_DN.html" TargetMode="External"/><Relationship Id="rId61" Type="http://schemas.openxmlformats.org/officeDocument/2006/relationships/hyperlink" Target="http://www.broadinstitute.org/gsea/msigdb/cards/KIM_GLIS2_TARGETS_UP.html" TargetMode="External"/><Relationship Id="rId62" Type="http://schemas.openxmlformats.org/officeDocument/2006/relationships/hyperlink" Target="http://www.broadinstitute.org/gsea/msigdb/cards/PASINI_SUZ12_TARGETS_DN.html" TargetMode="External"/><Relationship Id="rId63" Type="http://schemas.openxmlformats.org/officeDocument/2006/relationships/hyperlink" Target="http://www.broadinstitute.org/gsea/msigdb/cards/TURASHVILI_BREAST_DUCTAL_CARCINOMA_VS_DUCTAL_NORMAL_UP.html" TargetMode="External"/><Relationship Id="rId64" Type="http://schemas.openxmlformats.org/officeDocument/2006/relationships/hyperlink" Target="http://www.broadinstitute.org/gsea/msigdb/cards/CHIANG_LIVER_CANCER_SUBCLASS_CTNNB1_DN.html" TargetMode="External"/><Relationship Id="rId65" Type="http://schemas.openxmlformats.org/officeDocument/2006/relationships/hyperlink" Target="http://www.broadinstitute.org/gsea/msigdb/cards/BROWNE_HCMV_INFECTION_48HR_DN.html" TargetMode="External"/><Relationship Id="rId66" Type="http://schemas.openxmlformats.org/officeDocument/2006/relationships/hyperlink" Target="http://www.broadinstitute.org/gsea/msigdb/cards/YAO_TEMPORAL_RESPONSE_TO_PROGESTERONE_CLUSTER_16.html" TargetMode="External"/><Relationship Id="rId67" Type="http://schemas.openxmlformats.org/officeDocument/2006/relationships/hyperlink" Target="http://www.broadinstitute.org/gsea/msigdb/cards/SENESE_HDAC1_AND_HDAC2_TARGETS_DN.html" TargetMode="External"/><Relationship Id="rId68" Type="http://schemas.openxmlformats.org/officeDocument/2006/relationships/hyperlink" Target="http://www.broadinstitute.org/gsea/msigdb/cards/ROZANOV_MMP14_TARGETS_UP.html" TargetMode="External"/><Relationship Id="rId69" Type="http://schemas.openxmlformats.org/officeDocument/2006/relationships/hyperlink" Target="http://www.broadinstitute.org/gsea/msigdb/cards/KINSEY_TARGETS_OF_EWSR1_FLII_FUSION_DN.html" TargetMode="External"/><Relationship Id="rId1920" Type="http://schemas.openxmlformats.org/officeDocument/2006/relationships/hyperlink" Target="http://www.broadinstitute.org/gsea/msigdb/cards/GSE22935_WT_VS_MYD88_KO_MACROPHAGE_12H_MBOVIS_BCG_STIM_UP.html" TargetMode="External"/><Relationship Id="rId1921" Type="http://schemas.openxmlformats.org/officeDocument/2006/relationships/hyperlink" Target="http://www.broadinstitute.org/gsea/msigdb/cards/GSE23505_IL6_IL1_IL23_VS_IL6_IL1_TGFB_TREATED_CD4_TCELL_UP.html" TargetMode="External"/><Relationship Id="rId1922" Type="http://schemas.openxmlformats.org/officeDocument/2006/relationships/hyperlink" Target="http://www.broadinstitute.org/gsea/msigdb/cards/GSE16385_ROSIGLITAZONE_IL4_VS_IFNG_TNF_STIM_MACROPHAGE_DN.html" TargetMode="External"/><Relationship Id="rId1923" Type="http://schemas.openxmlformats.org/officeDocument/2006/relationships/hyperlink" Target="http://www.broadinstitute.org/gsea/msigdb/cards/GSE32164_RESTING_DIFFERENTIATED_VS_ALTERNATIVELY_ACT_M2_MACROPHAGE_UP.html" TargetMode="External"/><Relationship Id="rId1530" Type="http://schemas.openxmlformats.org/officeDocument/2006/relationships/hyperlink" Target="http://www.broadinstitute.org/gsea/msigdb/cards/GO_ADHERENS_JUNCTION_ORGANIZATION.html" TargetMode="External"/><Relationship Id="rId1531" Type="http://schemas.openxmlformats.org/officeDocument/2006/relationships/hyperlink" Target="http://www.broadinstitute.org/gsea/msigdb/cards/GO_NEGATIVE_REGULATION_OF_ADHERENS_JUNCTION_ORGANIZATION.html" TargetMode="External"/><Relationship Id="rId1532" Type="http://schemas.openxmlformats.org/officeDocument/2006/relationships/hyperlink" Target="http://www.broadinstitute.org/gsea/msigdb/cards/GO_PROTEIN_LOCALIZATION_TO_SYNAPSE.html" TargetMode="External"/><Relationship Id="rId1533" Type="http://schemas.openxmlformats.org/officeDocument/2006/relationships/hyperlink" Target="http://www.broadinstitute.org/gsea/msigdb/cards/GO_TRANSFORMING_GROWTH_FACTOR_BETA_BINDING.html" TargetMode="External"/><Relationship Id="rId1140" Type="http://schemas.openxmlformats.org/officeDocument/2006/relationships/hyperlink" Target="http://www.broadinstitute.org/gsea/msigdb/cards/GO_ANATOMICAL_STRUCTURE_FORMATION_INVOLVED_IN_MORPHOGENESIS.html" TargetMode="External"/><Relationship Id="rId1141" Type="http://schemas.openxmlformats.org/officeDocument/2006/relationships/hyperlink" Target="http://www.broadinstitute.org/gsea/msigdb/cards/GO_LOCOMOTION.html" TargetMode="External"/><Relationship Id="rId1142" Type="http://schemas.openxmlformats.org/officeDocument/2006/relationships/hyperlink" Target="http://www.broadinstitute.org/gsea/msigdb/cards/GO_HEPARIN_BINDING.html" TargetMode="External"/><Relationship Id="rId1143" Type="http://schemas.openxmlformats.org/officeDocument/2006/relationships/hyperlink" Target="http://www.broadinstitute.org/gsea/msigdb/cards/GO_CELL_ADHESION_MOLECULE_BINDING.html" TargetMode="External"/><Relationship Id="rId1144" Type="http://schemas.openxmlformats.org/officeDocument/2006/relationships/hyperlink" Target="http://www.broadinstitute.org/gsea/msigdb/cards/GO_NEUROGENESIS.html" TargetMode="External"/><Relationship Id="rId1145" Type="http://schemas.openxmlformats.org/officeDocument/2006/relationships/hyperlink" Target="http://www.broadinstitute.org/gsea/msigdb/cards/GO_COMPLEX_OF_COLLAGEN_TRIMERS.html" TargetMode="External"/><Relationship Id="rId1146" Type="http://schemas.openxmlformats.org/officeDocument/2006/relationships/hyperlink" Target="http://www.broadinstitute.org/gsea/msigdb/cards/GO_RECEPTOR_BINDING.html" TargetMode="External"/><Relationship Id="rId1147" Type="http://schemas.openxmlformats.org/officeDocument/2006/relationships/hyperlink" Target="http://www.broadinstitute.org/gsea/msigdb/cards/GO_MOVEMENT_OF_CELL_OR_SUBCELLULAR_COMPONENT.html" TargetMode="External"/><Relationship Id="rId1148" Type="http://schemas.openxmlformats.org/officeDocument/2006/relationships/hyperlink" Target="http://www.broadinstitute.org/gsea/msigdb/cards/GO_PROTEIN_COMPLEX_BINDING.html" TargetMode="External"/><Relationship Id="rId1149" Type="http://schemas.openxmlformats.org/officeDocument/2006/relationships/hyperlink" Target="http://www.broadinstitute.org/gsea/msigdb/cards/GO_POSITIVE_REGULATION_OF_DEVELOPMENTAL_PROCESS.html" TargetMode="External"/><Relationship Id="rId680" Type="http://schemas.openxmlformats.org/officeDocument/2006/relationships/hyperlink" Target="http://www.broadinstitute.org/gsea/msigdb/cards/AACTTT_UNKNOWN.html" TargetMode="External"/><Relationship Id="rId681" Type="http://schemas.openxmlformats.org/officeDocument/2006/relationships/hyperlink" Target="http://www.broadinstitute.org/gsea/msigdb/cards/CAGCTG_AP4_Q5.html" TargetMode="External"/><Relationship Id="rId290" Type="http://schemas.openxmlformats.org/officeDocument/2006/relationships/hyperlink" Target="http://www.broadinstitute.org/gsea/msigdb/cards/CREIGHTON_ENDOCRINE_THERAPY_RESISTANCE_1.html" TargetMode="External"/><Relationship Id="rId291" Type="http://schemas.openxmlformats.org/officeDocument/2006/relationships/hyperlink" Target="http://www.broadinstitute.org/gsea/msigdb/cards/REACTOME_CHONDROITIN_SULFATE_DERMATAN_SULFATE_METABOLISM.html" TargetMode="External"/><Relationship Id="rId292" Type="http://schemas.openxmlformats.org/officeDocument/2006/relationships/hyperlink" Target="http://www.broadinstitute.org/gsea/msigdb/cards/ASTON_MAJOR_DEPRESSIVE_DISORDER_UP.html" TargetMode="External"/><Relationship Id="rId293" Type="http://schemas.openxmlformats.org/officeDocument/2006/relationships/hyperlink" Target="http://www.broadinstitute.org/gsea/msigdb/cards/SATO_SILENCED_BY_METHYLATION_IN_PANCREATIC_CANCER_1.html" TargetMode="External"/><Relationship Id="rId294" Type="http://schemas.openxmlformats.org/officeDocument/2006/relationships/hyperlink" Target="http://www.broadinstitute.org/gsea/msigdb/cards/CHARAFE_BREAST_CANCER_BASAL_VS_MESENCHYMAL_DN.html" TargetMode="External"/><Relationship Id="rId295" Type="http://schemas.openxmlformats.org/officeDocument/2006/relationships/hyperlink" Target="http://www.broadinstitute.org/gsea/msigdb/cards/EBAUER_MYOGENIC_TARGETS_OF_PAX3_FOXO1_FUSION.html" TargetMode="External"/><Relationship Id="rId296" Type="http://schemas.openxmlformats.org/officeDocument/2006/relationships/hyperlink" Target="http://www.broadinstitute.org/gsea/msigdb/cards/LI_WILMS_TUMOR_VS_FETAL_KIDNEY_2_DN.html" TargetMode="External"/><Relationship Id="rId297" Type="http://schemas.openxmlformats.org/officeDocument/2006/relationships/hyperlink" Target="http://www.broadinstitute.org/gsea/msigdb/cards/BOYAULT_LIVER_CANCER_SUBCLASS_G3_DN.html" TargetMode="External"/><Relationship Id="rId298" Type="http://schemas.openxmlformats.org/officeDocument/2006/relationships/hyperlink" Target="http://www.broadinstitute.org/gsea/msigdb/cards/BERENJENO_TRANSFORMED_BY_RHOA_REVERSIBLY_DN.html" TargetMode="External"/><Relationship Id="rId299" Type="http://schemas.openxmlformats.org/officeDocument/2006/relationships/hyperlink" Target="http://www.broadinstitute.org/gsea/msigdb/cards/SCHLINGEMANN_SKIN_CARCINOGENESIS_TPA_DN.html" TargetMode="External"/><Relationship Id="rId682" Type="http://schemas.openxmlformats.org/officeDocument/2006/relationships/hyperlink" Target="http://www.broadinstitute.org/gsea/msigdb/cards/SRF_Q5_01.html" TargetMode="External"/><Relationship Id="rId683" Type="http://schemas.openxmlformats.org/officeDocument/2006/relationships/hyperlink" Target="http://www.broadinstitute.org/gsea/msigdb/cards/TGCCAAR_NF1_Q6.html" TargetMode="External"/><Relationship Id="rId684" Type="http://schemas.openxmlformats.org/officeDocument/2006/relationships/hyperlink" Target="http://www.broadinstitute.org/gsea/msigdb/cards/GGGAGGRR_MAZ_Q6.html" TargetMode="External"/><Relationship Id="rId685" Type="http://schemas.openxmlformats.org/officeDocument/2006/relationships/hyperlink" Target="http://www.broadinstitute.org/gsea/msigdb/cards/CTTTGA_LEF1_Q2.html" TargetMode="External"/><Relationship Id="rId686" Type="http://schemas.openxmlformats.org/officeDocument/2006/relationships/hyperlink" Target="http://www.broadinstitute.org/gsea/msigdb/cards/CTTTGT_LEF1_Q2.html" TargetMode="External"/><Relationship Id="rId687" Type="http://schemas.openxmlformats.org/officeDocument/2006/relationships/hyperlink" Target="http://www.broadinstitute.org/gsea/msigdb/cards/CAGGTG_E12_Q6.html" TargetMode="External"/><Relationship Id="rId688" Type="http://schemas.openxmlformats.org/officeDocument/2006/relationships/hyperlink" Target="http://www.broadinstitute.org/gsea/msigdb/cards/SRF_Q4.html" TargetMode="External"/><Relationship Id="rId689" Type="http://schemas.openxmlformats.org/officeDocument/2006/relationships/hyperlink" Target="http://www.broadinstitute.org/gsea/msigdb/cards/TATAAA_TATA_01.html" TargetMode="External"/><Relationship Id="rId1534" Type="http://schemas.openxmlformats.org/officeDocument/2006/relationships/hyperlink" Target="http://www.broadinstitute.org/gsea/msigdb/cards/GO_RECEPTOR_AGONIST_ACTIVITY.html" TargetMode="External"/><Relationship Id="rId1535" Type="http://schemas.openxmlformats.org/officeDocument/2006/relationships/hyperlink" Target="http://www.broadinstitute.org/gsea/msigdb/cards/GO_POSITIVE_REGULATION_OF_SYNAPTIC_TRANSMISSION.html" TargetMode="External"/><Relationship Id="rId1536" Type="http://schemas.openxmlformats.org/officeDocument/2006/relationships/hyperlink" Target="http://www.broadinstitute.org/gsea/msigdb/cards/GO_CELL_CYCLE_ARREST.html" TargetMode="External"/><Relationship Id="rId1537" Type="http://schemas.openxmlformats.org/officeDocument/2006/relationships/hyperlink" Target="http://www.broadinstitute.org/gsea/msigdb/cards/GO_AMEBOIDAL_TYPE_CELL_MIGRATION.html" TargetMode="External"/><Relationship Id="rId1538" Type="http://schemas.openxmlformats.org/officeDocument/2006/relationships/hyperlink" Target="http://www.broadinstitute.org/gsea/msigdb/cards/GO_PROTEIN_TRIMERIZATION.html" TargetMode="External"/><Relationship Id="rId1539" Type="http://schemas.openxmlformats.org/officeDocument/2006/relationships/hyperlink" Target="http://www.broadinstitute.org/gsea/msigdb/cards/GO_REGULATION_OF_INTRACELLULAR_TRANSPORT.html" TargetMode="External"/><Relationship Id="rId1924" Type="http://schemas.openxmlformats.org/officeDocument/2006/relationships/hyperlink" Target="http://www.broadinstitute.org/gsea/msigdb/cards/GSE35825_UNTREATED_VS_IFNG_STIM_MACROPHAGE_UP.html" TargetMode="External"/><Relationship Id="rId1925" Type="http://schemas.openxmlformats.org/officeDocument/2006/relationships/hyperlink" Target="http://www.broadinstitute.org/gsea/msigdb/cards/GSE39556_UNTREATED_VS_3H_POLYIC_INJ_MOUSE_CD8A_DC_DN.html" TargetMode="External"/><Relationship Id="rId1926" Type="http://schemas.openxmlformats.org/officeDocument/2006/relationships/hyperlink" Target="http://www.broadinstitute.org/gsea/msigdb/cards/GSE41978_WT_VS_ID2_KO_KLRG1_LOW_EFFECTOR_CD8_TCELL_UP.html" TargetMode="External"/><Relationship Id="rId1927" Type="http://schemas.openxmlformats.org/officeDocument/2006/relationships/hyperlink" Target="http://www.broadinstitute.org/gsea/msigdb/cards/GSE42021_CD24INT_TREG_VS_CD24INT_TCONV_THYMUS_DN.html" TargetMode="External"/><Relationship Id="rId1928" Type="http://schemas.openxmlformats.org/officeDocument/2006/relationships/hyperlink" Target="http://www.broadinstitute.org/gsea/msigdb/cards/GSE43955_TH0_VS_TGFB_IL6_TH17_ACT_CD4_TCELL_4H_UP.html" TargetMode="External"/><Relationship Id="rId1929" Type="http://schemas.openxmlformats.org/officeDocument/2006/relationships/hyperlink" Target="http://www.broadinstitute.org/gsea/msigdb/cards/GSE43955_1H_VS_42H_ACT_CD4_TCELL_DN.html" TargetMode="External"/><Relationship Id="rId70" Type="http://schemas.openxmlformats.org/officeDocument/2006/relationships/hyperlink" Target="http://www.broadinstitute.org/gsea/msigdb/cards/NABA_COLLAGENS.html" TargetMode="External"/><Relationship Id="rId71" Type="http://schemas.openxmlformats.org/officeDocument/2006/relationships/hyperlink" Target="http://www.broadinstitute.org/gsea/msigdb/cards/HOLLERN_EMT_BREAST_TUMOR_UP.html" TargetMode="External"/><Relationship Id="rId72" Type="http://schemas.openxmlformats.org/officeDocument/2006/relationships/hyperlink" Target="http://www.broadinstitute.org/gsea/msigdb/cards/LIEN_BREAST_CARCINOMA_METAPLASTIC.html" TargetMode="External"/><Relationship Id="rId73" Type="http://schemas.openxmlformats.org/officeDocument/2006/relationships/hyperlink" Target="http://www.broadinstitute.org/gsea/msigdb/cards/RODWELL_AGING_KIDNEY_UP.html" TargetMode="External"/><Relationship Id="rId74" Type="http://schemas.openxmlformats.org/officeDocument/2006/relationships/hyperlink" Target="http://www.broadinstitute.org/gsea/msigdb/cards/CROMER_TUMORIGENESIS_UP.html" TargetMode="External"/><Relationship Id="rId75" Type="http://schemas.openxmlformats.org/officeDocument/2006/relationships/hyperlink" Target="http://www.broadinstitute.org/gsea/msigdb/cards/BOQUEST_STEM_CELL_CULTURED_VS_FRESH_UP.html" TargetMode="External"/><Relationship Id="rId76" Type="http://schemas.openxmlformats.org/officeDocument/2006/relationships/hyperlink" Target="http://www.broadinstitute.org/gsea/msigdb/cards/ONDER_CDH1_SIGNALING_VIA_CTNNB1.html" TargetMode="External"/><Relationship Id="rId77" Type="http://schemas.openxmlformats.org/officeDocument/2006/relationships/hyperlink" Target="http://www.broadinstitute.org/gsea/msigdb/cards/KAAB_HEART_ATRIUM_VS_VENTRICLE_UP.html" TargetMode="External"/><Relationship Id="rId78" Type="http://schemas.openxmlformats.org/officeDocument/2006/relationships/hyperlink" Target="http://www.broadinstitute.org/gsea/msigdb/cards/JECHLINGER_EPITHELIAL_TO_MESENCHYMAL_TRANSITION_UP.html" TargetMode="External"/><Relationship Id="rId79" Type="http://schemas.openxmlformats.org/officeDocument/2006/relationships/hyperlink" Target="http://www.broadinstitute.org/gsea/msigdb/cards/IZADPANAH_STEM_CELL_ADIPOSE_VS_BONE_DN.html" TargetMode="External"/><Relationship Id="rId1930" Type="http://schemas.openxmlformats.org/officeDocument/2006/relationships/hyperlink" Target="http://www.broadinstitute.org/gsea/msigdb/cards/GSE43955_1H_VS_42H_ACT_CD4_TCELL_WITH_TGFB_IL6_DN.html" TargetMode="External"/><Relationship Id="rId1931" Type="http://schemas.openxmlformats.org/officeDocument/2006/relationships/hyperlink" Target="http://www.broadinstitute.org/gsea/msigdb/cards/GSE43955_1H_VS_60H_ACT_CD4_TCELL_WITH_TGFB_IL6_DN.html" TargetMode="External"/><Relationship Id="rId1932" Type="http://schemas.openxmlformats.org/officeDocument/2006/relationships/hyperlink" Target="http://www.broadinstitute.org/gsea/msigdb/cards/GSE45739_UNSTIM_VS_ACD3_ACD28_STIM_NRAS_KO_CD4_TCELL_DN.html" TargetMode="External"/><Relationship Id="rId1933" Type="http://schemas.openxmlformats.org/officeDocument/2006/relationships/hyperlink" Target="http://www.broadinstitute.org/gsea/msigdb/cards/GSE42088_UNINF_VS_LEISHMANIA_INF_DC_8H_UP.html" TargetMode="External"/><Relationship Id="rId1540" Type="http://schemas.openxmlformats.org/officeDocument/2006/relationships/hyperlink" Target="http://www.broadinstitute.org/gsea/msigdb/cards/GO_REGULATION_OF_CYCLIC_NUCLEOTIDE_METABOLIC_PROCESS.html" TargetMode="External"/><Relationship Id="rId1541" Type="http://schemas.openxmlformats.org/officeDocument/2006/relationships/hyperlink" Target="http://www.broadinstitute.org/gsea/msigdb/cards/GO_HEMOSTASIS.html" TargetMode="External"/><Relationship Id="rId1542" Type="http://schemas.openxmlformats.org/officeDocument/2006/relationships/hyperlink" Target="http://www.broadinstitute.org/gsea/msigdb/cards/GO_CELLULAR_RESPONSE_TO_KETONE.html" TargetMode="External"/><Relationship Id="rId1543" Type="http://schemas.openxmlformats.org/officeDocument/2006/relationships/hyperlink" Target="http://www.broadinstitute.org/gsea/msigdb/cards/GO_RUFFLE.html" TargetMode="External"/><Relationship Id="rId1150" Type="http://schemas.openxmlformats.org/officeDocument/2006/relationships/hyperlink" Target="http://www.broadinstitute.org/gsea/msigdb/cards/GO_CELL_DEVELOPMENT.html" TargetMode="External"/><Relationship Id="rId1151" Type="http://schemas.openxmlformats.org/officeDocument/2006/relationships/hyperlink" Target="http://www.broadinstitute.org/gsea/msigdb/cards/GO_POSITIVE_REGULATION_OF_MULTICELLULAR_ORGANISMAL_PROCESS.html" TargetMode="External"/><Relationship Id="rId1152" Type="http://schemas.openxmlformats.org/officeDocument/2006/relationships/hyperlink" Target="http://www.broadinstitute.org/gsea/msigdb/cards/GO_MACROMOLECULAR_COMPLEX_BINDING.html" TargetMode="External"/><Relationship Id="rId1153" Type="http://schemas.openxmlformats.org/officeDocument/2006/relationships/hyperlink" Target="http://www.broadinstitute.org/gsea/msigdb/cards/GO_POSITIVE_REGULATION_OF_LOCOMOTION.html" TargetMode="External"/><Relationship Id="rId1154" Type="http://schemas.openxmlformats.org/officeDocument/2006/relationships/hyperlink" Target="http://www.broadinstitute.org/gsea/msigdb/cards/GO_TUBE_DEVELOPMENT.html" TargetMode="External"/><Relationship Id="rId1155" Type="http://schemas.openxmlformats.org/officeDocument/2006/relationships/hyperlink" Target="http://www.broadinstitute.org/gsea/msigdb/cards/GO_CELL_MOTILITY.html" TargetMode="External"/><Relationship Id="rId1156" Type="http://schemas.openxmlformats.org/officeDocument/2006/relationships/hyperlink" Target="http://www.broadinstitute.org/gsea/msigdb/cards/GO_CELL_JUNCTION.html" TargetMode="External"/><Relationship Id="rId1157" Type="http://schemas.openxmlformats.org/officeDocument/2006/relationships/hyperlink" Target="http://www.broadinstitute.org/gsea/msigdb/cards/GO_NEGATIVE_REGULATION_OF_DEVELOPMENTAL_PROCESS.html" TargetMode="External"/><Relationship Id="rId1158" Type="http://schemas.openxmlformats.org/officeDocument/2006/relationships/hyperlink" Target="http://www.broadinstitute.org/gsea/msigdb/cards/GO_REGULATION_OF_CELLULAR_RESPONSE_TO_GROWTH_FACTOR_STIMULUS.html" TargetMode="External"/><Relationship Id="rId1159" Type="http://schemas.openxmlformats.org/officeDocument/2006/relationships/hyperlink" Target="http://www.broadinstitute.org/gsea/msigdb/cards/GO_NEGATIVE_REGULATION_OF_CELLULAR_RESPONSE_TO_GROWTH_FACTOR_STIMULUS.html" TargetMode="External"/><Relationship Id="rId690" Type="http://schemas.openxmlformats.org/officeDocument/2006/relationships/hyperlink" Target="http://www.broadinstitute.org/gsea/msigdb/cards/CCAWWNAAGG_SRF_Q4.html" TargetMode="External"/><Relationship Id="rId691" Type="http://schemas.openxmlformats.org/officeDocument/2006/relationships/hyperlink" Target="http://www.broadinstitute.org/gsea/msigdb/cards/RTAAACA_FREAC2_01.html" TargetMode="External"/><Relationship Id="rId692" Type="http://schemas.openxmlformats.org/officeDocument/2006/relationships/hyperlink" Target="http://www.broadinstitute.org/gsea/msigdb/cards/RP58_01.html" TargetMode="External"/><Relationship Id="rId693" Type="http://schemas.openxmlformats.org/officeDocument/2006/relationships/hyperlink" Target="http://www.broadinstitute.org/gsea/msigdb/cards/FREAC3_01.html" TargetMode="External"/><Relationship Id="rId694" Type="http://schemas.openxmlformats.org/officeDocument/2006/relationships/hyperlink" Target="http://www.broadinstitute.org/gsea/msigdb/cards/SRY_01.html" TargetMode="External"/><Relationship Id="rId695" Type="http://schemas.openxmlformats.org/officeDocument/2006/relationships/hyperlink" Target="http://www.broadinstitute.org/gsea/msigdb/cards/CTTTAAR_UNKNOWN.html" TargetMode="External"/><Relationship Id="rId696" Type="http://schemas.openxmlformats.org/officeDocument/2006/relationships/hyperlink" Target="http://www.broadinstitute.org/gsea/msigdb/cards/TAATTA_CHX10_01.html" TargetMode="External"/><Relationship Id="rId697" Type="http://schemas.openxmlformats.org/officeDocument/2006/relationships/hyperlink" Target="http://www.broadinstitute.org/gsea/msigdb/cards/TGGNNNNNNKCCAR_UNKNOWN.html" TargetMode="External"/><Relationship Id="rId698" Type="http://schemas.openxmlformats.org/officeDocument/2006/relationships/hyperlink" Target="http://www.broadinstitute.org/gsea/msigdb/cards/TGACATY_UNKNOWN.html" TargetMode="External"/><Relationship Id="rId699" Type="http://schemas.openxmlformats.org/officeDocument/2006/relationships/hyperlink" Target="http://www.broadinstitute.org/gsea/msigdb/cards/TGGTGCT_MIR29A_MIR29B_MIR29C.html" TargetMode="External"/><Relationship Id="rId1544" Type="http://schemas.openxmlformats.org/officeDocument/2006/relationships/hyperlink" Target="http://www.broadinstitute.org/gsea/msigdb/cards/GO_REGULATION_OF_OSTEOBLAST_DIFFERENTIATION.html" TargetMode="External"/><Relationship Id="rId1545" Type="http://schemas.openxmlformats.org/officeDocument/2006/relationships/hyperlink" Target="http://www.broadinstitute.org/gsea/msigdb/cards/GO_NEURON_PROJECTION_GUIDANCE.html" TargetMode="External"/><Relationship Id="rId1546" Type="http://schemas.openxmlformats.org/officeDocument/2006/relationships/hyperlink" Target="http://www.broadinstitute.org/gsea/msigdb/cards/GO_OVULATION_CYCLE.html" TargetMode="External"/><Relationship Id="rId1547" Type="http://schemas.openxmlformats.org/officeDocument/2006/relationships/hyperlink" Target="http://www.broadinstitute.org/gsea/msigdb/cards/GO_SULFURIC_ESTER_HYDROLASE_ACTIVITY.html" TargetMode="External"/><Relationship Id="rId1548" Type="http://schemas.openxmlformats.org/officeDocument/2006/relationships/hyperlink" Target="http://www.broadinstitute.org/gsea/msigdb/cards/GO_CELL_CELL_SIGNALING.html" TargetMode="External"/><Relationship Id="rId1549" Type="http://schemas.openxmlformats.org/officeDocument/2006/relationships/hyperlink" Target="http://www.broadinstitute.org/gsea/msigdb/cards/GO_REGULATION_OF_ENDOTHELIAL_CELL_MIGRATION.html" TargetMode="External"/><Relationship Id="rId1934" Type="http://schemas.openxmlformats.org/officeDocument/2006/relationships/hyperlink" Target="http://www.broadinstitute.org/gsea/msigdb/cards/GSE41176_UNSTIM_VS_ANTI_IGM_STIM_BCELL_24H_UP.html" TargetMode="External"/><Relationship Id="rId1935" Type="http://schemas.openxmlformats.org/officeDocument/2006/relationships/hyperlink" Target="http://www.broadinstitute.org/gsea/msigdb/cards/GSE45365_CD8A_DC_VS_CD11B_DC_UP.html" TargetMode="External"/><Relationship Id="rId1936" Type="http://schemas.openxmlformats.org/officeDocument/2006/relationships/hyperlink" Target="http://www.broadinstitute.org/gsea/msigdb/cards/GSE18804_SPLEEN_MACROPHAGE_VS_TUMORAL_MACROPHAGE_UP.html" TargetMode="External"/><Relationship Id="rId1937" Type="http://schemas.openxmlformats.org/officeDocument/2006/relationships/hyperlink" Target="http://www.broadinstitute.org/gsea/msigdb/cards/GSE24671_CTRL_VS_BAKIMULC_INFECTED_MOUSE_SPLENOCYTES_DN.html" TargetMode="External"/><Relationship Id="rId1938" Type="http://schemas.openxmlformats.org/officeDocument/2006/relationships/hyperlink" Target="http://www.broadinstitute.org/gsea/msigdb/cards/GSE37301_MULTIPOTENT_PROGENITOR_VS_CD4_TCELL_UP.html" TargetMode="External"/><Relationship Id="rId1939" Type="http://schemas.openxmlformats.org/officeDocument/2006/relationships/hyperlink" Target="http://www.broadinstitute.org/gsea/msigdb/cards/GSE21360_NAIVE_VS_PRIMARY_MEMORY_CD8_TCELL_UP.html" TargetMode="External"/><Relationship Id="rId80" Type="http://schemas.openxmlformats.org/officeDocument/2006/relationships/hyperlink" Target="http://www.broadinstitute.org/gsea/msigdb/cards/WANG_MLL_TARGETS.html" TargetMode="External"/><Relationship Id="rId81" Type="http://schemas.openxmlformats.org/officeDocument/2006/relationships/hyperlink" Target="http://www.broadinstitute.org/gsea/msigdb/cards/SENESE_HDAC1_TARGETS_DN.html" TargetMode="External"/><Relationship Id="rId82" Type="http://schemas.openxmlformats.org/officeDocument/2006/relationships/hyperlink" Target="http://www.broadinstitute.org/gsea/msigdb/cards/PID_AVB3_INTEGRIN_PATHWAY.html" TargetMode="External"/><Relationship Id="rId83" Type="http://schemas.openxmlformats.org/officeDocument/2006/relationships/hyperlink" Target="http://www.broadinstitute.org/gsea/msigdb/cards/PID_SYNDECAN_1_PATHWAY.html" TargetMode="External"/><Relationship Id="rId84" Type="http://schemas.openxmlformats.org/officeDocument/2006/relationships/hyperlink" Target="http://www.broadinstitute.org/gsea/msigdb/cards/GRUETZMANN_PANCREATIC_CANCER_UP.html" TargetMode="External"/><Relationship Id="rId85" Type="http://schemas.openxmlformats.org/officeDocument/2006/relationships/hyperlink" Target="http://www.broadinstitute.org/gsea/msigdb/cards/SENGUPTA_NASOPHARYNGEAL_CARCINOMA_UP.html" TargetMode="External"/><Relationship Id="rId86" Type="http://schemas.openxmlformats.org/officeDocument/2006/relationships/hyperlink" Target="http://www.broadinstitute.org/gsea/msigdb/cards/LIM_MAMMARY_LUMINAL_MATURE_DN.html" TargetMode="External"/><Relationship Id="rId87" Type="http://schemas.openxmlformats.org/officeDocument/2006/relationships/hyperlink" Target="http://www.broadinstitute.org/gsea/msigdb/cards/WILCOX_RESPONSE_TO_PROGESTERONE_DN.html" TargetMode="External"/><Relationship Id="rId88" Type="http://schemas.openxmlformats.org/officeDocument/2006/relationships/hyperlink" Target="http://www.broadinstitute.org/gsea/msigdb/cards/MCBRYAN_PUBERTAL_TGFB1_TARGETS_UP.html" TargetMode="External"/><Relationship Id="rId89" Type="http://schemas.openxmlformats.org/officeDocument/2006/relationships/hyperlink" Target="http://www.broadinstitute.org/gsea/msigdb/cards/BLALOCK_ALZHEIMERS_DISEASE_UP.html" TargetMode="External"/><Relationship Id="rId1940" Type="http://schemas.openxmlformats.org/officeDocument/2006/relationships/hyperlink" Target="http://www.broadinstitute.org/gsea/msigdb/cards/GSE21360_TERTIARY_VS_QUATERNARY_MEMORY_CD8_TCELL_DN.html" TargetMode="External"/><Relationship Id="rId1941" Type="http://schemas.openxmlformats.org/officeDocument/2006/relationships/hyperlink" Target="http://www.broadinstitute.org/gsea/msigdb/cards/GSE21360_NAIVE_VS_SECONDARY_MEMORY_CD8_TCELL_UP.html" TargetMode="External"/><Relationship Id="rId1942" Type="http://schemas.openxmlformats.org/officeDocument/2006/relationships/hyperlink" Target="http://www.broadinstitute.org/gsea/msigdb/cards/GSE15324_NAIVE_VS_ACTIVATED_ELF4_KO_CD8_TCELL_UP.html" TargetMode="External"/><Relationship Id="rId1943" Type="http://schemas.openxmlformats.org/officeDocument/2006/relationships/hyperlink" Target="http://www.broadinstitute.org/gsea/msigdb/cards/GSE15930_STIM_VS_STIM_AND_IFNAB_72H_CD8_T_CELL_UP.html" TargetMode="External"/><Relationship Id="rId1550" Type="http://schemas.openxmlformats.org/officeDocument/2006/relationships/hyperlink" Target="http://www.broadinstitute.org/gsea/msigdb/cards/GO_EPITHELIAL_CELL_MORPHOGENESIS.html" TargetMode="External"/><Relationship Id="rId1551" Type="http://schemas.openxmlformats.org/officeDocument/2006/relationships/hyperlink" Target="http://www.broadinstitute.org/gsea/msigdb/cards/GO_VOLTAGE_GATED_CALCIUM_CHANNEL_ACTIVITY.html" TargetMode="External"/><Relationship Id="rId1552" Type="http://schemas.openxmlformats.org/officeDocument/2006/relationships/hyperlink" Target="http://www.broadinstitute.org/gsea/msigdb/cards/GO_NEGATIVE_REGULATION_OF_EPITHELIAL_CELL_PROLIFERATION.html" TargetMode="External"/><Relationship Id="rId1553" Type="http://schemas.openxmlformats.org/officeDocument/2006/relationships/hyperlink" Target="http://www.broadinstitute.org/gsea/msigdb/cards/GO_REGULATION_OF_CALCIUM_ION_TRANSPORT.html" TargetMode="External"/><Relationship Id="rId1160" Type="http://schemas.openxmlformats.org/officeDocument/2006/relationships/hyperlink" Target="http://www.broadinstitute.org/gsea/msigdb/cards/GO_SULFUR_COMPOUND_BINDING.html" TargetMode="External"/><Relationship Id="rId1161" Type="http://schemas.openxmlformats.org/officeDocument/2006/relationships/hyperlink" Target="http://www.broadinstitute.org/gsea/msigdb/cards/GO_EMBRYONIC_MORPHOGENESIS.html" TargetMode="External"/><Relationship Id="rId1162" Type="http://schemas.openxmlformats.org/officeDocument/2006/relationships/hyperlink" Target="http://www.broadinstitute.org/gsea/msigdb/cards/GO_GROWTH_FACTOR_BINDING.html" TargetMode="External"/><Relationship Id="rId1163" Type="http://schemas.openxmlformats.org/officeDocument/2006/relationships/hyperlink" Target="http://www.broadinstitute.org/gsea/msigdb/cards/GO_NEGATIVE_REGULATION_OF_MULTICELLULAR_ORGANISMAL_PROCESS.html" TargetMode="External"/><Relationship Id="rId1164" Type="http://schemas.openxmlformats.org/officeDocument/2006/relationships/hyperlink" Target="http://www.broadinstitute.org/gsea/msigdb/cards/GO_REGULATION_OF_CELL_PROLIFERATION.html" TargetMode="External"/><Relationship Id="rId1165" Type="http://schemas.openxmlformats.org/officeDocument/2006/relationships/hyperlink" Target="http://www.broadinstitute.org/gsea/msigdb/cards/GO_EMBRYO_DEVELOPMENT.html" TargetMode="External"/><Relationship Id="rId1166" Type="http://schemas.openxmlformats.org/officeDocument/2006/relationships/hyperlink" Target="http://www.broadinstitute.org/gsea/msigdb/cards/GO_BANDED_COLLAGEN_FIBRIL.html" TargetMode="External"/><Relationship Id="rId1167" Type="http://schemas.openxmlformats.org/officeDocument/2006/relationships/hyperlink" Target="http://www.broadinstitute.org/gsea/msigdb/cards/GO_RESPONSE_TO_GROWTH_FACTOR.html" TargetMode="External"/><Relationship Id="rId1168" Type="http://schemas.openxmlformats.org/officeDocument/2006/relationships/hyperlink" Target="http://www.broadinstitute.org/gsea/msigdb/cards/GO_SINGLE_ORGANISM_CATABOLIC_PROCESS.html" TargetMode="External"/><Relationship Id="rId1169" Type="http://schemas.openxmlformats.org/officeDocument/2006/relationships/hyperlink" Target="http://www.broadinstitute.org/gsea/msigdb/cards/GO_REGULATION_OF_ANATOMICAL_STRUCTURE_MORPHOGENESIS.html" TargetMode="External"/><Relationship Id="rId1554" Type="http://schemas.openxmlformats.org/officeDocument/2006/relationships/hyperlink" Target="http://www.broadinstitute.org/gsea/msigdb/cards/GO_NEGATIVE_REGULATION_OF_ESTABLISHMENT_OF_PROTEIN_LOCALIZATION.html" TargetMode="External"/><Relationship Id="rId1555" Type="http://schemas.openxmlformats.org/officeDocument/2006/relationships/hyperlink" Target="http://www.broadinstitute.org/gsea/msigdb/cards/GO_GROWTH_FACTOR_ACTIVITY.html" TargetMode="External"/><Relationship Id="rId1556" Type="http://schemas.openxmlformats.org/officeDocument/2006/relationships/hyperlink" Target="http://www.broadinstitute.org/gsea/msigdb/cards/GO_REGULATION_OF_CYTOSKELETON_ORGANIZATION.html" TargetMode="External"/><Relationship Id="rId1557" Type="http://schemas.openxmlformats.org/officeDocument/2006/relationships/hyperlink" Target="http://www.broadinstitute.org/gsea/msigdb/cards/GO_CHONDROITIN_SULFATE_PROTEOGLYCAN_METABOLIC_PROCESS.html" TargetMode="External"/><Relationship Id="rId1558" Type="http://schemas.openxmlformats.org/officeDocument/2006/relationships/hyperlink" Target="http://www.broadinstitute.org/gsea/msigdb/cards/GO_NEGATIVE_REGULATION_OF_CYTOKINE_PRODUCTION.html" TargetMode="External"/><Relationship Id="rId1559" Type="http://schemas.openxmlformats.org/officeDocument/2006/relationships/hyperlink" Target="http://www.broadinstitute.org/gsea/msigdb/cards/GO_SMOOTH_MUSCLE_TISSUE_DEVELOPMENT.html" TargetMode="External"/><Relationship Id="rId1944" Type="http://schemas.openxmlformats.org/officeDocument/2006/relationships/hyperlink" Target="http://www.broadinstitute.org/gsea/msigdb/cards/GSE17721_CTRL_VS_PAM3CSK4_1H_BMDC_DN.html" TargetMode="External"/><Relationship Id="rId1945" Type="http://schemas.openxmlformats.org/officeDocument/2006/relationships/hyperlink" Target="http://www.broadinstitute.org/gsea/msigdb/cards/GSE17721_CTRL_VS_PAM3CSK4_6H_BMDC_DN.html" TargetMode="External"/><Relationship Id="rId1946" Type="http://schemas.openxmlformats.org/officeDocument/2006/relationships/hyperlink" Target="http://www.broadinstitute.org/gsea/msigdb/cards/GSE17721_LPS_VS_POLYIC_0.5H_BMDC_DN.html" TargetMode="External"/><Relationship Id="rId1947" Type="http://schemas.openxmlformats.org/officeDocument/2006/relationships/hyperlink" Target="http://www.broadinstitute.org/gsea/msigdb/cards/GSE17721_LPS_VS_PAM3CSK4_1H_BMDC_DN.html" TargetMode="External"/><Relationship Id="rId1948" Type="http://schemas.openxmlformats.org/officeDocument/2006/relationships/hyperlink" Target="http://www.broadinstitute.org/gsea/msigdb/cards/GSE17721_POLYIC_VS_GARDIQUIMOD_24H_BMDC_UP.html" TargetMode="External"/><Relationship Id="rId1949" Type="http://schemas.openxmlformats.org/officeDocument/2006/relationships/hyperlink" Target="http://www.broadinstitute.org/gsea/msigdb/cards/GSE17721_LPS_VS_GARDIQUIMOD_2H_BMDC_UP.html" TargetMode="External"/><Relationship Id="rId300" Type="http://schemas.openxmlformats.org/officeDocument/2006/relationships/hyperlink" Target="http://www.broadinstitute.org/gsea/msigdb/cards/PYEON_CANCER_HEAD_AND_NECK_VS_CERVICAL_DN.html" TargetMode="External"/><Relationship Id="rId301" Type="http://schemas.openxmlformats.org/officeDocument/2006/relationships/hyperlink" Target="http://www.broadinstitute.org/gsea/msigdb/cards/RIGGI_EWING_SARCOMA_PROGENITOR_UP.html" TargetMode="External"/><Relationship Id="rId302" Type="http://schemas.openxmlformats.org/officeDocument/2006/relationships/hyperlink" Target="http://www.broadinstitute.org/gsea/msigdb/cards/MARTINEZ_RB1_TARGETS_DN.html" TargetMode="External"/><Relationship Id="rId303" Type="http://schemas.openxmlformats.org/officeDocument/2006/relationships/hyperlink" Target="http://www.broadinstitute.org/gsea/msigdb/cards/VERRECCHIA_RESPONSE_TO_TGFB1_C4.html" TargetMode="External"/><Relationship Id="rId304" Type="http://schemas.openxmlformats.org/officeDocument/2006/relationships/hyperlink" Target="http://www.broadinstitute.org/gsea/msigdb/cards/FLORIO_NEOCORTEX_BASAL_RADIAL_GLIA_DN.html" TargetMode="External"/><Relationship Id="rId305" Type="http://schemas.openxmlformats.org/officeDocument/2006/relationships/hyperlink" Target="http://www.broadinstitute.org/gsea/msigdb/cards/GILDEA_METASTASIS.html" TargetMode="External"/><Relationship Id="rId306" Type="http://schemas.openxmlformats.org/officeDocument/2006/relationships/hyperlink" Target="http://www.broadinstitute.org/gsea/msigdb/cards/BRUINS_UVC_RESPONSE_VIA_TP53_GROUP_B.html" TargetMode="External"/><Relationship Id="rId307" Type="http://schemas.openxmlformats.org/officeDocument/2006/relationships/hyperlink" Target="http://www.broadinstitute.org/gsea/msigdb/cards/ST_INTEGRIN_SIGNALING_PATHWAY.html" TargetMode="External"/><Relationship Id="rId308" Type="http://schemas.openxmlformats.org/officeDocument/2006/relationships/hyperlink" Target="http://www.broadinstitute.org/gsea/msigdb/cards/MARKEY_RB1_CHRONIC_LOF_UP.html" TargetMode="External"/><Relationship Id="rId309" Type="http://schemas.openxmlformats.org/officeDocument/2006/relationships/hyperlink" Target="http://www.broadinstitute.org/gsea/msigdb/cards/GAUSSMANN_MLL_AF4_FUSION_TARGETS_G_UP.html" TargetMode="External"/><Relationship Id="rId90" Type="http://schemas.openxmlformats.org/officeDocument/2006/relationships/hyperlink" Target="http://www.broadinstitute.org/gsea/msigdb/cards/LANDIS_ERBB2_BREAST_TUMORS_324_DN.html" TargetMode="External"/><Relationship Id="rId91" Type="http://schemas.openxmlformats.org/officeDocument/2006/relationships/hyperlink" Target="http://www.broadinstitute.org/gsea/msigdb/cards/GU_PDEF_TARGETS_UP.html" TargetMode="External"/><Relationship Id="rId92" Type="http://schemas.openxmlformats.org/officeDocument/2006/relationships/hyperlink" Target="http://www.broadinstitute.org/gsea/msigdb/cards/TURASHVILI_BREAST_DUCTAL_CARCINOMA_VS_LOBULAR_NORMAL_UP.html" TargetMode="External"/><Relationship Id="rId93" Type="http://schemas.openxmlformats.org/officeDocument/2006/relationships/hyperlink" Target="http://www.broadinstitute.org/gsea/msigdb/cards/SENESE_HDAC2_TARGETS_DN.html" TargetMode="External"/><Relationship Id="rId94" Type="http://schemas.openxmlformats.org/officeDocument/2006/relationships/hyperlink" Target="http://www.broadinstitute.org/gsea/msigdb/cards/WESTON_VEGFA_TARGETS_6HR.html" TargetMode="External"/><Relationship Id="rId95" Type="http://schemas.openxmlformats.org/officeDocument/2006/relationships/hyperlink" Target="http://www.broadinstitute.org/gsea/msigdb/cards/CROONQUIST_STROMAL_STIMULATION_UP.html" TargetMode="External"/><Relationship Id="rId96" Type="http://schemas.openxmlformats.org/officeDocument/2006/relationships/hyperlink" Target="http://www.broadinstitute.org/gsea/msigdb/cards/ACEVEDO_FGFR1_TARGETS_IN_PROSTATE_CANCER_MODEL_DN.html" TargetMode="External"/><Relationship Id="rId97" Type="http://schemas.openxmlformats.org/officeDocument/2006/relationships/hyperlink" Target="http://www.broadinstitute.org/gsea/msigdb/cards/NABA_MATRISOME_ASSOCIATED.html" TargetMode="External"/><Relationship Id="rId98" Type="http://schemas.openxmlformats.org/officeDocument/2006/relationships/hyperlink" Target="http://www.broadinstitute.org/gsea/msigdb/cards/POOLA_INVASIVE_BREAST_CANCER_UP.html" TargetMode="External"/><Relationship Id="rId99" Type="http://schemas.openxmlformats.org/officeDocument/2006/relationships/hyperlink" Target="http://www.broadinstitute.org/gsea/msigdb/cards/ROY_WOUND_BLOOD_VESSEL_UP.html" TargetMode="External"/><Relationship Id="rId1950" Type="http://schemas.openxmlformats.org/officeDocument/2006/relationships/hyperlink" Target="http://www.broadinstitute.org/gsea/msigdb/cards/GSE17721_0.5H_VS_4H_POLYIC_BMDC_UP.html" TargetMode="External"/><Relationship Id="rId1951" Type="http://schemas.openxmlformats.org/officeDocument/2006/relationships/hyperlink" Target="http://www.broadinstitute.org/gsea/msigdb/cards/GSE19825_NAIVE_VS_IL2RALOW_DAY3_EFF_CD8_TCELL_UP.html" TargetMode="External"/><Relationship Id="rId1952" Type="http://schemas.openxmlformats.org/officeDocument/2006/relationships/hyperlink" Target="http://www.broadinstitute.org/gsea/msigdb/cards/GSE22886_NAIVE_CD8_TCELL_VS_MEMORY_TCELL_UP.html" TargetMode="External"/><Relationship Id="rId1953" Type="http://schemas.openxmlformats.org/officeDocument/2006/relationships/hyperlink" Target="http://www.broadinstitute.org/gsea/msigdb/cards/GSE24142_EARLY_THYMIC_PROGENITOR_VS_DN2_THYMOCYTE_FETAL_DN.html" TargetMode="External"/><Relationship Id="rId1560" Type="http://schemas.openxmlformats.org/officeDocument/2006/relationships/hyperlink" Target="http://www.broadinstitute.org/gsea/msigdb/cards/GO_PROTEIN_HYDROXYLATION.html" TargetMode="External"/><Relationship Id="rId1561" Type="http://schemas.openxmlformats.org/officeDocument/2006/relationships/hyperlink" Target="http://www.broadinstitute.org/gsea/msigdb/cards/GO_CELL_CHEMOTAXIS.html" TargetMode="External"/><Relationship Id="rId1562" Type="http://schemas.openxmlformats.org/officeDocument/2006/relationships/hyperlink" Target="http://www.broadinstitute.org/gsea/msigdb/cards/GO_POSITIVE_REGULATION_OF_CELL_MORPHOGENESIS_INVOLVED_IN_DIFFERENTIATION.html" TargetMode="External"/><Relationship Id="rId1563" Type="http://schemas.openxmlformats.org/officeDocument/2006/relationships/hyperlink" Target="http://www.broadinstitute.org/gsea/msigdb/cards/GO_ACTOMYOSIN_STRUCTURE_ORGANIZATION.html" TargetMode="External"/><Relationship Id="rId1170" Type="http://schemas.openxmlformats.org/officeDocument/2006/relationships/hyperlink" Target="http://www.broadinstitute.org/gsea/msigdb/cards/GO_CELL_SUBSTRATE_ADHESION.html" TargetMode="External"/><Relationship Id="rId1171" Type="http://schemas.openxmlformats.org/officeDocument/2006/relationships/hyperlink" Target="http://www.broadinstitute.org/gsea/msigdb/cards/GO_TISSUE_MORPHOGENESIS.html" TargetMode="External"/><Relationship Id="rId1172" Type="http://schemas.openxmlformats.org/officeDocument/2006/relationships/hyperlink" Target="http://www.broadinstitute.org/gsea/msigdb/cards/GO_ANGIOGENESIS.html" TargetMode="External"/><Relationship Id="rId1173" Type="http://schemas.openxmlformats.org/officeDocument/2006/relationships/hyperlink" Target="http://www.broadinstitute.org/gsea/msigdb/cards/GO_CELL_MORPHOGENESIS_INVOLVED_IN_DIFFERENTIATION.html" TargetMode="External"/><Relationship Id="rId1174" Type="http://schemas.openxmlformats.org/officeDocument/2006/relationships/hyperlink" Target="http://www.broadinstitute.org/gsea/msigdb/cards/GO_ENDOPLASMIC_RETICULUM.html" TargetMode="External"/><Relationship Id="rId1175" Type="http://schemas.openxmlformats.org/officeDocument/2006/relationships/hyperlink" Target="http://www.broadinstitute.org/gsea/msigdb/cards/GO_RESPONSE_TO_ENDOGENOUS_STIMULUS.html" TargetMode="External"/><Relationship Id="rId1176" Type="http://schemas.openxmlformats.org/officeDocument/2006/relationships/hyperlink" Target="http://www.broadinstitute.org/gsea/msigdb/cards/GO_BONE_DEVELOPMENT.html" TargetMode="External"/><Relationship Id="rId1177" Type="http://schemas.openxmlformats.org/officeDocument/2006/relationships/hyperlink" Target="http://www.broadinstitute.org/gsea/msigdb/cards/GO_POSITIVE_REGULATION_OF_CELL_DIFFERENTIATION.html" TargetMode="External"/><Relationship Id="rId1178" Type="http://schemas.openxmlformats.org/officeDocument/2006/relationships/hyperlink" Target="http://www.broadinstitute.org/gsea/msigdb/cards/GO_REGULATION_OF_CELL_ADHESION.html" TargetMode="External"/><Relationship Id="rId1179" Type="http://schemas.openxmlformats.org/officeDocument/2006/relationships/hyperlink" Target="http://www.broadinstitute.org/gsea/msigdb/cards/GO_SENSORY_ORGAN_DEVELOPMENT.html" TargetMode="External"/><Relationship Id="rId1564" Type="http://schemas.openxmlformats.org/officeDocument/2006/relationships/hyperlink" Target="http://www.broadinstitute.org/gsea/msigdb/cards/GO_REGULATION_OF_INTRACELLULAR_PROTEIN_TRANSPORT.html" TargetMode="External"/><Relationship Id="rId1565" Type="http://schemas.openxmlformats.org/officeDocument/2006/relationships/hyperlink" Target="http://www.broadinstitute.org/gsea/msigdb/cards/GO_REGULATION_OF_SYSTEM_PROCESS.html" TargetMode="External"/><Relationship Id="rId1566" Type="http://schemas.openxmlformats.org/officeDocument/2006/relationships/hyperlink" Target="http://www.broadinstitute.org/gsea/msigdb/cards/GO_HEAD_DEVELOPMENT.html" TargetMode="External"/><Relationship Id="rId1567" Type="http://schemas.openxmlformats.org/officeDocument/2006/relationships/hyperlink" Target="http://www.broadinstitute.org/gsea/msigdb/cards/GO_OXIDOREDUCTASE_ACTIVITY_ACTING_ON_PAIRED_DONORS_WITH_INCORPORATION_OR_REDUCTION_OF_MOLECULAR_OXYGEN_2_OXOGLUTARATE_AS_ONE_DONOR_AND_INCORPORATION_OF_ONE_ATOM_EACH_OF_OXYGEN_INTO_BOTH_DONORS.html" TargetMode="External"/><Relationship Id="rId1568" Type="http://schemas.openxmlformats.org/officeDocument/2006/relationships/hyperlink" Target="http://www.broadinstitute.org/gsea/msigdb/cards/GO_PLASMA_MEMBRANE_PROTEIN_COMPLEX.html" TargetMode="External"/><Relationship Id="rId1569" Type="http://schemas.openxmlformats.org/officeDocument/2006/relationships/hyperlink" Target="http://www.broadinstitute.org/gsea/msigdb/cards/GO_REGULATION_OF_EPITHELIAL_CELL_MIGRATION.html" TargetMode="External"/><Relationship Id="rId1954" Type="http://schemas.openxmlformats.org/officeDocument/2006/relationships/hyperlink" Target="http://www.broadinstitute.org/gsea/msigdb/cards/GSE26495_NAIVE_VS_PD1LOW_CD8_TCELL_UP.html" TargetMode="External"/><Relationship Id="rId1955" Type="http://schemas.openxmlformats.org/officeDocument/2006/relationships/hyperlink" Target="http://www.broadinstitute.org/gsea/msigdb/cards/GSE26928_CENTR_MEMORY_VS_CXCR5_POS_CD4_TCELL_UP.html" TargetMode="External"/><Relationship Id="rId1956" Type="http://schemas.openxmlformats.org/officeDocument/2006/relationships/hyperlink" Target="http://www.broadinstitute.org/gsea/msigdb/cards/GSE2706_UNSTIM_VS_8H_LPS_DC_DN.html" TargetMode="External"/><Relationship Id="rId1957" Type="http://schemas.openxmlformats.org/officeDocument/2006/relationships/hyperlink" Target="http://www.broadinstitute.org/gsea/msigdb/cards/GSE27786_BCELL_VS_ERYTHROBLAST_DN.html" TargetMode="External"/><Relationship Id="rId1958" Type="http://schemas.openxmlformats.org/officeDocument/2006/relationships/hyperlink" Target="http://www.broadinstitute.org/gsea/msigdb/cards/GSE27786_CD4_TCELL_VS_ERYTHTROBLAST_DN.html" TargetMode="External"/><Relationship Id="rId1959" Type="http://schemas.openxmlformats.org/officeDocument/2006/relationships/hyperlink" Target="http://www.broadinstitute.org/gsea/msigdb/cards/GSE29618_MONOCYTE_VS_PDC_DAY7_FLU_VACCINE_DN.html" TargetMode="External"/><Relationship Id="rId700" Type="http://schemas.openxmlformats.org/officeDocument/2006/relationships/hyperlink" Target="http://www.broadinstitute.org/gsea/msigdb/cards/GGGTGGRR_PAX4_03.html" TargetMode="External"/><Relationship Id="rId701" Type="http://schemas.openxmlformats.org/officeDocument/2006/relationships/hyperlink" Target="http://www.broadinstitute.org/gsea/msigdb/cards/TGTTTGY_HNF3_Q6.html" TargetMode="External"/><Relationship Id="rId702" Type="http://schemas.openxmlformats.org/officeDocument/2006/relationships/hyperlink" Target="http://www.broadinstitute.org/gsea/msigdb/cards/OCT1_02.html" TargetMode="External"/><Relationship Id="rId703" Type="http://schemas.openxmlformats.org/officeDocument/2006/relationships/hyperlink" Target="http://www.broadinstitute.org/gsea/msigdb/cards/SRY_02.html" TargetMode="External"/><Relationship Id="rId310" Type="http://schemas.openxmlformats.org/officeDocument/2006/relationships/hyperlink" Target="http://www.broadinstitute.org/gsea/msigdb/cards/SIMBULAN_PARP1_TARGETS_UP.html" TargetMode="External"/><Relationship Id="rId311" Type="http://schemas.openxmlformats.org/officeDocument/2006/relationships/hyperlink" Target="http://www.broadinstitute.org/gsea/msigdb/cards/BENPORATH_EED_TARGETS.html" TargetMode="External"/><Relationship Id="rId312" Type="http://schemas.openxmlformats.org/officeDocument/2006/relationships/hyperlink" Target="http://www.broadinstitute.org/gsea/msigdb/cards/ALFANO_MYC_TARGETS.html" TargetMode="External"/><Relationship Id="rId313" Type="http://schemas.openxmlformats.org/officeDocument/2006/relationships/hyperlink" Target="http://www.broadinstitute.org/gsea/msigdb/cards/KOKKINAKIS_METHIONINE_DEPRIVATION_96HR_UP.html" TargetMode="External"/><Relationship Id="rId314" Type="http://schemas.openxmlformats.org/officeDocument/2006/relationships/hyperlink" Target="http://www.broadinstitute.org/gsea/msigdb/cards/BLALOCK_ALZHEIMERS_DISEASE_INCIPIENT_UP.html" TargetMode="External"/><Relationship Id="rId315" Type="http://schemas.openxmlformats.org/officeDocument/2006/relationships/hyperlink" Target="http://www.broadinstitute.org/gsea/msigdb/cards/KEGG_TGF_BETA_SIGNALING_PATHWAY.html" TargetMode="External"/><Relationship Id="rId316" Type="http://schemas.openxmlformats.org/officeDocument/2006/relationships/hyperlink" Target="http://www.broadinstitute.org/gsea/msigdb/cards/BURTON_ADIPOGENESIS_8.html" TargetMode="External"/><Relationship Id="rId317" Type="http://schemas.openxmlformats.org/officeDocument/2006/relationships/hyperlink" Target="http://www.broadinstitute.org/gsea/msigdb/cards/DUTERTRE_ESTRADIOL_RESPONSE_24HR_DN.html" TargetMode="External"/><Relationship Id="rId318" Type="http://schemas.openxmlformats.org/officeDocument/2006/relationships/hyperlink" Target="http://www.broadinstitute.org/gsea/msigdb/cards/DELASERNA_MYOD_TARGETS_DN.html" TargetMode="External"/><Relationship Id="rId319" Type="http://schemas.openxmlformats.org/officeDocument/2006/relationships/hyperlink" Target="http://www.broadinstitute.org/gsea/msigdb/cards/YAMASHITA_METHYLATED_IN_PROSTATE_CANCER.html" TargetMode="External"/><Relationship Id="rId704" Type="http://schemas.openxmlformats.org/officeDocument/2006/relationships/hyperlink" Target="http://www.broadinstitute.org/gsea/msigdb/cards/AAANWWTGC_UNKNOWN.html" TargetMode="External"/><Relationship Id="rId705" Type="http://schemas.openxmlformats.org/officeDocument/2006/relationships/hyperlink" Target="http://www.broadinstitute.org/gsea/msigdb/cards/SRF_01.html" TargetMode="External"/><Relationship Id="rId706" Type="http://schemas.openxmlformats.org/officeDocument/2006/relationships/hyperlink" Target="http://www.broadinstitute.org/gsea/msigdb/cards/WGTTNNNNNAAA_UNKNOWN.html" TargetMode="External"/><Relationship Id="rId707" Type="http://schemas.openxmlformats.org/officeDocument/2006/relationships/hyperlink" Target="http://www.broadinstitute.org/gsea/msigdb/cards/MZF1_01.html" TargetMode="External"/><Relationship Id="rId708" Type="http://schemas.openxmlformats.org/officeDocument/2006/relationships/hyperlink" Target="http://www.broadinstitute.org/gsea/msigdb/cards/TFIIA_Q6.html" TargetMode="External"/><Relationship Id="rId709" Type="http://schemas.openxmlformats.org/officeDocument/2006/relationships/hyperlink" Target="http://www.broadinstitute.org/gsea/msigdb/cards/TGANTCA_AP1_C.html" TargetMode="External"/><Relationship Id="rId1960" Type="http://schemas.openxmlformats.org/officeDocument/2006/relationships/hyperlink" Target="http://www.broadinstitute.org/gsea/msigdb/cards/GSE360_DC_VS_MAC_T_GONDII_DN.html" TargetMode="External"/><Relationship Id="rId1961" Type="http://schemas.openxmlformats.org/officeDocument/2006/relationships/hyperlink" Target="http://www.broadinstitute.org/gsea/msigdb/cards/GSE360_L_DONOVANI_VS_B_MALAYI_LOW_DOSE_DC_UP.html" TargetMode="External"/><Relationship Id="rId1962" Type="http://schemas.openxmlformats.org/officeDocument/2006/relationships/hyperlink" Target="http://www.broadinstitute.org/gsea/msigdb/cards/GSE360_T_GONDII_VS_B_MALAYI_HIGH_DOSE_DC_DN.html" TargetMode="External"/><Relationship Id="rId1963" Type="http://schemas.openxmlformats.org/officeDocument/2006/relationships/hyperlink" Target="http://www.broadinstitute.org/gsea/msigdb/cards/GSE7852_LN_VS_FAT_TCONV_DN.html" TargetMode="External"/><Relationship Id="rId1570" Type="http://schemas.openxmlformats.org/officeDocument/2006/relationships/hyperlink" Target="http://www.broadinstitute.org/gsea/msigdb/cards/GO_ENDOCHONDRAL_BONE_MORPHOGENESIS.html" TargetMode="External"/><Relationship Id="rId1571" Type="http://schemas.openxmlformats.org/officeDocument/2006/relationships/hyperlink" Target="http://www.broadinstitute.org/gsea/msigdb/cards/GO_LAMELLIPODIUM_MEMBRANE.html" TargetMode="External"/><Relationship Id="rId1572" Type="http://schemas.openxmlformats.org/officeDocument/2006/relationships/hyperlink" Target="http://www.broadinstitute.org/gsea/msigdb/cards/GO_OXIDOREDUCTASE_ACTIVITY_ACTING_ON_THE_CH_NH2_GROUP_OF_DONORS.html" TargetMode="External"/><Relationship Id="rId1573" Type="http://schemas.openxmlformats.org/officeDocument/2006/relationships/hyperlink" Target="http://www.broadinstitute.org/gsea/msigdb/cards/GO_OXIDOREDUCTASE_ACTIVITY.html" TargetMode="External"/><Relationship Id="rId1180" Type="http://schemas.openxmlformats.org/officeDocument/2006/relationships/hyperlink" Target="http://www.broadinstitute.org/gsea/msigdb/cards/GO_CELLULAR_COMPONENT_MORPHOGENESIS.html" TargetMode="External"/><Relationship Id="rId1181" Type="http://schemas.openxmlformats.org/officeDocument/2006/relationships/hyperlink" Target="http://www.broadinstitute.org/gsea/msigdb/cards/GO_HEART_DEVELOPMENT.html" TargetMode="External"/><Relationship Id="rId1182" Type="http://schemas.openxmlformats.org/officeDocument/2006/relationships/hyperlink" Target="http://www.broadinstitute.org/gsea/msigdb/cards/GO_PLATELET_DERIVED_GROWTH_FACTOR_BINDING.html" TargetMode="External"/><Relationship Id="rId1183" Type="http://schemas.openxmlformats.org/officeDocument/2006/relationships/hyperlink" Target="http://www.broadinstitute.org/gsea/msigdb/cards/GO_MUSCLE_STRUCTURE_DEVELOPMENT.html" TargetMode="External"/><Relationship Id="rId1184" Type="http://schemas.openxmlformats.org/officeDocument/2006/relationships/hyperlink" Target="http://www.broadinstitute.org/gsea/msigdb/cards/GO_REGULATION_OF_CELL_SUBSTRATE_ADHESION.html" TargetMode="External"/><Relationship Id="rId1185" Type="http://schemas.openxmlformats.org/officeDocument/2006/relationships/hyperlink" Target="http://www.broadinstitute.org/gsea/msigdb/cards/GO_CELLULAR_RESPONSE_TO_ORGANIC_SUBSTANCE.html" TargetMode="External"/><Relationship Id="rId1186" Type="http://schemas.openxmlformats.org/officeDocument/2006/relationships/hyperlink" Target="http://www.broadinstitute.org/gsea/msigdb/cards/GO_REGULATION_OF_TRANSMEMBRANE_RECEPTOR_PROTEIN_SERINE_THREONINE_KINASE_SIGNALING_PATHWAY.html" TargetMode="External"/><Relationship Id="rId1187" Type="http://schemas.openxmlformats.org/officeDocument/2006/relationships/hyperlink" Target="http://www.broadinstitute.org/gsea/msigdb/cards/GO_REGULATION_OF_CELL_DEVELOPMENT.html" TargetMode="External"/><Relationship Id="rId1188" Type="http://schemas.openxmlformats.org/officeDocument/2006/relationships/hyperlink" Target="http://www.broadinstitute.org/gsea/msigdb/cards/GO_STRUCTURAL_MOLECULE_ACTIVITY.html" TargetMode="External"/><Relationship Id="rId1189" Type="http://schemas.openxmlformats.org/officeDocument/2006/relationships/hyperlink" Target="http://www.broadinstitute.org/gsea/msigdb/cards/GO_ENDODERMAL_CELL_DIFFERENTIATION.html" TargetMode="External"/><Relationship Id="rId1574" Type="http://schemas.openxmlformats.org/officeDocument/2006/relationships/hyperlink" Target="http://www.broadinstitute.org/gsea/msigdb/cards/GO_RESPONSE_TO_CARBOHYDRATE.html" TargetMode="External"/><Relationship Id="rId1575" Type="http://schemas.openxmlformats.org/officeDocument/2006/relationships/hyperlink" Target="http://www.broadinstitute.org/gsea/msigdb/cards/GO_REGULATION_OF_EXTRINSIC_APOPTOTIC_SIGNALING_PATHWAY_IN_ABSENCE_OF_LIGAND.html" TargetMode="External"/><Relationship Id="rId1576" Type="http://schemas.openxmlformats.org/officeDocument/2006/relationships/hyperlink" Target="http://www.broadinstitute.org/gsea/msigdb/cards/GO_NEGATIVE_REGULATION_OF_CYTOKINE_SECRETION.html" TargetMode="External"/><Relationship Id="rId1577" Type="http://schemas.openxmlformats.org/officeDocument/2006/relationships/hyperlink" Target="http://www.broadinstitute.org/gsea/msigdb/cards/GO_EMBRYONIC_CRANIAL_SKELETON_MORPHOGENESIS.html" TargetMode="External"/><Relationship Id="rId1578" Type="http://schemas.openxmlformats.org/officeDocument/2006/relationships/hyperlink" Target="http://www.broadinstitute.org/gsea/msigdb/cards/GO_REGULATION_OF_FIBROBLAST_PROLIFERATION.html" TargetMode="External"/><Relationship Id="rId1579" Type="http://schemas.openxmlformats.org/officeDocument/2006/relationships/hyperlink" Target="http://www.broadinstitute.org/gsea/msigdb/cards/GO_TRANSMEMBRANE_RECEPTOR_PROTEIN_KINASE_ACTIVITY.html" TargetMode="External"/><Relationship Id="rId1964" Type="http://schemas.openxmlformats.org/officeDocument/2006/relationships/hyperlink" Target="http://www.broadinstitute.org/gsea/msigdb/cards/GSE8868_SPLEEN_VS_INTESTINE_CD11B_POS_CD11C_NEG_DC_DN.html" TargetMode="External"/><Relationship Id="rId1965" Type="http://schemas.openxmlformats.org/officeDocument/2006/relationships/hyperlink" Target="http://www.broadinstitute.org/gsea/msigdb/cards/GSE2770_UNTREATED_VS_TGFB_AND_IL12_TREATED_ACT_CD4_TCELL_6H_DN.html" TargetMode="External"/><Relationship Id="rId1966" Type="http://schemas.openxmlformats.org/officeDocument/2006/relationships/hyperlink" Target="http://www.broadinstitute.org/gsea/msigdb/cards/GSE2770_IL12_VS_TGFB_AND_IL12_TREATED_ACT_CD4_TCELL_6H_UP.html" TargetMode="External"/><Relationship Id="rId1967" Type="http://schemas.openxmlformats.org/officeDocument/2006/relationships/hyperlink" Target="http://www.broadinstitute.org/gsea/msigdb/cards/GSE2770_IL12_AND_TGFB_VS_IL4_TREATED_ACT_CD4_TCELL_6H_DN.html" TargetMode="External"/><Relationship Id="rId1968" Type="http://schemas.openxmlformats.org/officeDocument/2006/relationships/hyperlink" Target="http://www.broadinstitute.org/gsea/msigdb/cards/GSE1791_CTRL_VS_NEUROMEDINU_IN_T_CELL_LINE_0.8H_DN.html" TargetMode="External"/><Relationship Id="rId1969" Type="http://schemas.openxmlformats.org/officeDocument/2006/relationships/hyperlink" Target="http://www.broadinstitute.org/gsea/msigdb/cards/GSE2405_HEAT_KILLED_LYSATE_VS_LIVE_A_PHAGOCYTOPHILUM_STIM_NEUTROPHIL_24H_UP.html" TargetMode="External"/><Relationship Id="rId710" Type="http://schemas.openxmlformats.org/officeDocument/2006/relationships/hyperlink" Target="http://www.broadinstitute.org/gsea/msigdb/cards/FREAC4_01.html" TargetMode="External"/><Relationship Id="rId711" Type="http://schemas.openxmlformats.org/officeDocument/2006/relationships/hyperlink" Target="http://www.broadinstitute.org/gsea/msigdb/cards/CEBP_01.html" TargetMode="External"/><Relationship Id="rId712" Type="http://schemas.openxmlformats.org/officeDocument/2006/relationships/hyperlink" Target="http://www.broadinstitute.org/gsea/msigdb/cards/NFAT_Q6.html" TargetMode="External"/><Relationship Id="rId713" Type="http://schemas.openxmlformats.org/officeDocument/2006/relationships/hyperlink" Target="http://www.broadinstitute.org/gsea/msigdb/cards/AREB6_04.html" TargetMode="External"/><Relationship Id="rId320" Type="http://schemas.openxmlformats.org/officeDocument/2006/relationships/hyperlink" Target="http://www.broadinstitute.org/gsea/msigdb/cards/SMITH_TERT_TARGETS_DN.html" TargetMode="External"/><Relationship Id="rId321" Type="http://schemas.openxmlformats.org/officeDocument/2006/relationships/hyperlink" Target="http://www.broadinstitute.org/gsea/msigdb/cards/ST_WNT_BETA_CATENIN_PATHWAY.html" TargetMode="External"/><Relationship Id="rId322" Type="http://schemas.openxmlformats.org/officeDocument/2006/relationships/hyperlink" Target="http://www.broadinstitute.org/gsea/msigdb/cards/DURAND_STROMA_NS_UP.html" TargetMode="External"/><Relationship Id="rId323" Type="http://schemas.openxmlformats.org/officeDocument/2006/relationships/hyperlink" Target="http://www.broadinstitute.org/gsea/msigdb/cards/KANG_IMMORTALIZED_BY_TERT_UP.html" TargetMode="External"/><Relationship Id="rId324" Type="http://schemas.openxmlformats.org/officeDocument/2006/relationships/hyperlink" Target="http://www.broadinstitute.org/gsea/msigdb/cards/LIU_VAV3_PROSTATE_CARCINOGENESIS_UP.html" TargetMode="External"/><Relationship Id="rId325" Type="http://schemas.openxmlformats.org/officeDocument/2006/relationships/hyperlink" Target="http://www.broadinstitute.org/gsea/msigdb/cards/MIKKELSEN_IPS_ICP_WITH_H3K4ME3_AND_H327ME3.html" TargetMode="External"/><Relationship Id="rId326" Type="http://schemas.openxmlformats.org/officeDocument/2006/relationships/hyperlink" Target="http://www.broadinstitute.org/gsea/msigdb/cards/INGRAM_SHH_TARGETS_UP.html" TargetMode="External"/><Relationship Id="rId327" Type="http://schemas.openxmlformats.org/officeDocument/2006/relationships/hyperlink" Target="http://www.broadinstitute.org/gsea/msigdb/cards/REACTOME_HEMOSTASIS.html" TargetMode="External"/><Relationship Id="rId328" Type="http://schemas.openxmlformats.org/officeDocument/2006/relationships/hyperlink" Target="http://www.broadinstitute.org/gsea/msigdb/cards/KOKKINAKIS_METHIONINE_DEPRIVATION_48HR_UP.html" TargetMode="External"/><Relationship Id="rId329" Type="http://schemas.openxmlformats.org/officeDocument/2006/relationships/hyperlink" Target="http://www.broadinstitute.org/gsea/msigdb/cards/KOYAMA_SEMA3B_TARGETS_DN.html" TargetMode="External"/><Relationship Id="rId714" Type="http://schemas.openxmlformats.org/officeDocument/2006/relationships/hyperlink" Target="http://www.broadinstitute.org/gsea/msigdb/cards/FOX_Q2.html" TargetMode="External"/><Relationship Id="rId715" Type="http://schemas.openxmlformats.org/officeDocument/2006/relationships/hyperlink" Target="http://www.broadinstitute.org/gsea/msigdb/cards/WWTAAGGC_UNKNOWN.html" TargetMode="External"/><Relationship Id="rId716" Type="http://schemas.openxmlformats.org/officeDocument/2006/relationships/hyperlink" Target="http://www.broadinstitute.org/gsea/msigdb/cards/CEBPB_01.html" TargetMode="External"/><Relationship Id="rId717" Type="http://schemas.openxmlformats.org/officeDocument/2006/relationships/hyperlink" Target="http://www.broadinstitute.org/gsea/msigdb/cards/NKX25_02.html" TargetMode="External"/><Relationship Id="rId718" Type="http://schemas.openxmlformats.org/officeDocument/2006/relationships/hyperlink" Target="http://www.broadinstitute.org/gsea/msigdb/cards/HOXA4_Q2.html" TargetMode="External"/><Relationship Id="rId719" Type="http://schemas.openxmlformats.org/officeDocument/2006/relationships/hyperlink" Target="http://www.broadinstitute.org/gsea/msigdb/cards/TEF1_Q6.html" TargetMode="External"/><Relationship Id="rId1970" Type="http://schemas.openxmlformats.org/officeDocument/2006/relationships/hyperlink" Target="http://www.broadinstitute.org/gsea/msigdb/cards/GSE8835_HEALTHY_VS_CLL_CD4_TCELL_DN.html" TargetMode="External"/><Relationship Id="rId1971" Type="http://schemas.openxmlformats.org/officeDocument/2006/relationships/hyperlink" Target="http://www.broadinstitute.org/gsea/msigdb/cards/GSE2585_CD80_HIGH_VS_LOW_AIRE_KO_MTEC_DN.html" TargetMode="External"/><Relationship Id="rId1972" Type="http://schemas.openxmlformats.org/officeDocument/2006/relationships/hyperlink" Target="http://www.broadinstitute.org/gsea/msigdb/cards/GSE4748_CTRL_VS_CYANOBACTERIUM_LPSLIKE_STIM_DC_1H_UP.html" TargetMode="External"/><Relationship Id="rId1973" Type="http://schemas.openxmlformats.org/officeDocument/2006/relationships/hyperlink" Target="http://www.broadinstitute.org/gsea/msigdb/cards/GSE3203_INFLUENZA_INF_VS_IFNB_TREATED_LN_BCELL_UP.html" TargetMode="External"/><Relationship Id="rId1580" Type="http://schemas.openxmlformats.org/officeDocument/2006/relationships/hyperlink" Target="http://www.broadinstitute.org/gsea/msigdb/cards/GO_NEGATIVE_REGULATION_OF_BIOMINERAL_TISSUE_DEVELOPMENT.html" TargetMode="External"/><Relationship Id="rId1581" Type="http://schemas.openxmlformats.org/officeDocument/2006/relationships/hyperlink" Target="http://www.broadinstitute.org/gsea/msigdb/cards/GO_NEGATIVE_REGULATION_OF_CELL_JUNCTION_ASSEMBLY.html" TargetMode="External"/><Relationship Id="rId1582" Type="http://schemas.openxmlformats.org/officeDocument/2006/relationships/hyperlink" Target="http://www.broadinstitute.org/gsea/msigdb/cards/GO_BONE_GROWTH.html" TargetMode="External"/><Relationship Id="rId1583" Type="http://schemas.openxmlformats.org/officeDocument/2006/relationships/hyperlink" Target="http://www.broadinstitute.org/gsea/msigdb/cards/GO_NEGATIVE_REGULATION_OF_CHONDROCYTE_DIFFERENTIATION.html" TargetMode="External"/><Relationship Id="rId1190" Type="http://schemas.openxmlformats.org/officeDocument/2006/relationships/hyperlink" Target="http://www.broadinstitute.org/gsea/msigdb/cards/GO_CELL_CELL_ADHESION.html" TargetMode="External"/><Relationship Id="rId1191" Type="http://schemas.openxmlformats.org/officeDocument/2006/relationships/hyperlink" Target="http://www.broadinstitute.org/gsea/msigdb/cards/GO_POSITIVE_REGULATION_OF_RESPONSE_TO_STIMULUS.html" TargetMode="External"/><Relationship Id="rId1192" Type="http://schemas.openxmlformats.org/officeDocument/2006/relationships/hyperlink" Target="http://www.broadinstitute.org/gsea/msigdb/cards/GO_CONNECTIVE_TISSUE_DEVELOPMENT.html" TargetMode="External"/><Relationship Id="rId1193" Type="http://schemas.openxmlformats.org/officeDocument/2006/relationships/hyperlink" Target="http://www.broadinstitute.org/gsea/msigdb/cards/GO_MOLECULAR_FUNCTION_REGULATOR.html" TargetMode="External"/><Relationship Id="rId1194" Type="http://schemas.openxmlformats.org/officeDocument/2006/relationships/hyperlink" Target="http://www.broadinstitute.org/gsea/msigdb/cards/GO_CELL_SUBSTRATE_JUNCTION.html" TargetMode="External"/><Relationship Id="rId1195" Type="http://schemas.openxmlformats.org/officeDocument/2006/relationships/hyperlink" Target="http://www.broadinstitute.org/gsea/msigdb/cards/GO_ANCHORING_JUNCTION.html" TargetMode="External"/><Relationship Id="rId1196" Type="http://schemas.openxmlformats.org/officeDocument/2006/relationships/hyperlink" Target="http://www.broadinstitute.org/gsea/msigdb/cards/GO_SYSTEM_PROCESS.html" TargetMode="External"/><Relationship Id="rId1197" Type="http://schemas.openxmlformats.org/officeDocument/2006/relationships/hyperlink" Target="http://www.broadinstitute.org/gsea/msigdb/cards/GO_CELL_MATRIX_ADHESION.html" TargetMode="External"/><Relationship Id="rId1198" Type="http://schemas.openxmlformats.org/officeDocument/2006/relationships/hyperlink" Target="http://www.broadinstitute.org/gsea/msigdb/cards/GO_ENDODERM_FORMATION.html" TargetMode="External"/><Relationship Id="rId1199" Type="http://schemas.openxmlformats.org/officeDocument/2006/relationships/hyperlink" Target="http://www.broadinstitute.org/gsea/msigdb/cards/GO_REGULATION_OF_RESPONSE_TO_EXTERNAL_STIMULUS.html" TargetMode="External"/><Relationship Id="rId1584" Type="http://schemas.openxmlformats.org/officeDocument/2006/relationships/hyperlink" Target="http://www.broadinstitute.org/gsea/msigdb/cards/GO_DEVELOPMENTAL_GROWTH.html" TargetMode="External"/><Relationship Id="rId1585" Type="http://schemas.openxmlformats.org/officeDocument/2006/relationships/hyperlink" Target="http://www.broadinstitute.org/gsea/msigdb/cards/GO_REGULATION_OF_LIPASE_ACTIVITY.html" TargetMode="External"/><Relationship Id="rId1586" Type="http://schemas.openxmlformats.org/officeDocument/2006/relationships/hyperlink" Target="http://www.broadinstitute.org/gsea/msigdb/cards/GO_MONOCARBOXYLIC_ACID_BIOSYNTHETIC_PROCESS.html" TargetMode="External"/><Relationship Id="rId1587" Type="http://schemas.openxmlformats.org/officeDocument/2006/relationships/hyperlink" Target="http://www.broadinstitute.org/gsea/msigdb/cards/GO_KIDNEY_EPITHELIUM_DEVELOPMENT.html" TargetMode="External"/><Relationship Id="rId1588" Type="http://schemas.openxmlformats.org/officeDocument/2006/relationships/hyperlink" Target="http://www.broadinstitute.org/gsea/msigdb/cards/GO_REGULATION_OF_ION_TRANSPORT.html" TargetMode="External"/><Relationship Id="rId1589" Type="http://schemas.openxmlformats.org/officeDocument/2006/relationships/hyperlink" Target="http://www.broadinstitute.org/gsea/msigdb/cards/GO_MYOFIBRIL_ASSEMBLY.html" TargetMode="External"/><Relationship Id="rId1974" Type="http://schemas.openxmlformats.org/officeDocument/2006/relationships/hyperlink" Target="http://www.broadinstitute.org/gsea/msigdb/cards/GSE3203_WT_VS_IFNAR1_KO_INFLUENZA_INFECTED_LN_BCELL_DN.html" TargetMode="External"/><Relationship Id="rId1975" Type="http://schemas.openxmlformats.org/officeDocument/2006/relationships/hyperlink" Target="http://www.broadinstitute.org/gsea/msigdb/cards/GSE9509_LPS_VS_LPS_AND_IL10_STIM_IL10_KO_MACROPHAGE_30MIN_DN.html" TargetMode="External"/><Relationship Id="rId1976" Type="http://schemas.openxmlformats.org/officeDocument/2006/relationships/hyperlink" Target="http://www.broadinstitute.org/gsea/msigdb/cards/GSE9509_10MIN_VS_30MIN_LPS_STIM_IL10_KO_MACROPHAGE_DN.html" TargetMode="External"/><Relationship Id="rId1977" Type="http://schemas.openxmlformats.org/officeDocument/2006/relationships/hyperlink" Target="http://www.broadinstitute.org/gsea/msigdb/cards/GSE9239_CTRL_VS_TNF_INHIBITOR_TREATED_DC_UP.html" TargetMode="External"/><Relationship Id="rId1978" Type="http://schemas.openxmlformats.org/officeDocument/2006/relationships/hyperlink" Target="http://www.broadinstitute.org/gsea/msigdb/cards/GSE8621_LPS_PRIMED_UNSTIM_VS_LPS_PRIMED_AND_LPS_STIM_MACROPHAGE_UP.html" TargetMode="External"/><Relationship Id="rId1979" Type="http://schemas.openxmlformats.org/officeDocument/2006/relationships/hyperlink" Target="http://www.broadinstitute.org/gsea/msigdb/cards/GSE12003_MIR223_KO_VS_WT_BM_PROGENITOR_4D_CULTURE_DN.html" TargetMode="External"/><Relationship Id="rId720" Type="http://schemas.openxmlformats.org/officeDocument/2006/relationships/hyperlink" Target="http://www.broadinstitute.org/gsea/msigdb/cards/WTTGKCTG_UNKNOWN.html" TargetMode="External"/><Relationship Id="rId721" Type="http://schemas.openxmlformats.org/officeDocument/2006/relationships/hyperlink" Target="http://www.broadinstitute.org/gsea/msigdb/cards/YTATTTTNR_MEF2_02.html" TargetMode="External"/><Relationship Id="rId722" Type="http://schemas.openxmlformats.org/officeDocument/2006/relationships/hyperlink" Target="http://www.broadinstitute.org/gsea/msigdb/cards/PIT1_Q6.html" TargetMode="External"/><Relationship Id="rId723" Type="http://schemas.openxmlformats.org/officeDocument/2006/relationships/hyperlink" Target="http://www.broadinstitute.org/gsea/msigdb/cards/WGGAATGY_TEF1_Q6.html" TargetMode="External"/><Relationship Id="rId330" Type="http://schemas.openxmlformats.org/officeDocument/2006/relationships/hyperlink" Target="http://www.broadinstitute.org/gsea/msigdb/cards/KANG_AR_TARGETS_UP.html" TargetMode="External"/><Relationship Id="rId331" Type="http://schemas.openxmlformats.org/officeDocument/2006/relationships/hyperlink" Target="http://www.broadinstitute.org/gsea/msigdb/cards/QI_HYPOXIA_TARGETS_OF_HIF1A_AND_FOXA2.html" TargetMode="External"/><Relationship Id="rId332" Type="http://schemas.openxmlformats.org/officeDocument/2006/relationships/hyperlink" Target="http://www.broadinstitute.org/gsea/msigdb/cards/BENPORATH_PRC2_TARGETS.html" TargetMode="External"/><Relationship Id="rId333" Type="http://schemas.openxmlformats.org/officeDocument/2006/relationships/hyperlink" Target="http://www.broadinstitute.org/gsea/msigdb/cards/PETROVA_PROX1_TARGETS_DN.html" TargetMode="External"/><Relationship Id="rId334" Type="http://schemas.openxmlformats.org/officeDocument/2006/relationships/hyperlink" Target="http://www.broadinstitute.org/gsea/msigdb/cards/KEGG_REGULATION_OF_ACTIN_CYTOSKELETON.html" TargetMode="External"/><Relationship Id="rId335" Type="http://schemas.openxmlformats.org/officeDocument/2006/relationships/hyperlink" Target="http://www.broadinstitute.org/gsea/msigdb/cards/ZHONG_SECRETOME_OF_LUNG_CANCER_AND_FIBROBLAST.html" TargetMode="External"/><Relationship Id="rId336" Type="http://schemas.openxmlformats.org/officeDocument/2006/relationships/hyperlink" Target="http://www.broadinstitute.org/gsea/msigdb/cards/HERNANDEZ_MITOTIC_ARREST_BY_DOCETAXEL_1_DN.html" TargetMode="External"/><Relationship Id="rId337" Type="http://schemas.openxmlformats.org/officeDocument/2006/relationships/hyperlink" Target="http://www.broadinstitute.org/gsea/msigdb/cards/NADERI_BREAST_CANCER_PROGNOSIS_DN.html" TargetMode="External"/><Relationship Id="rId338" Type="http://schemas.openxmlformats.org/officeDocument/2006/relationships/hyperlink" Target="http://www.broadinstitute.org/gsea/msigdb/cards/NIELSEN_MALIGNAT_FIBROUS_HISTIOCYTOMA_UP.html" TargetMode="External"/><Relationship Id="rId339" Type="http://schemas.openxmlformats.org/officeDocument/2006/relationships/hyperlink" Target="http://www.broadinstitute.org/gsea/msigdb/cards/RODRIGUES_THYROID_CARCINOMA_ANAPLASTIC_DN.html" TargetMode="External"/><Relationship Id="rId724" Type="http://schemas.openxmlformats.org/officeDocument/2006/relationships/hyperlink" Target="http://www.broadinstitute.org/gsea/msigdb/cards/S8_01.html" TargetMode="External"/><Relationship Id="rId725" Type="http://schemas.openxmlformats.org/officeDocument/2006/relationships/hyperlink" Target="http://www.broadinstitute.org/gsea/msigdb/cards/TGATTTRY_GFI1_01.html" TargetMode="External"/><Relationship Id="rId726" Type="http://schemas.openxmlformats.org/officeDocument/2006/relationships/hyperlink" Target="http://www.broadinstitute.org/gsea/msigdb/cards/YCATTAA_UNKNOWN.html" TargetMode="External"/><Relationship Id="rId727" Type="http://schemas.openxmlformats.org/officeDocument/2006/relationships/hyperlink" Target="http://www.broadinstitute.org/gsea/msigdb/cards/NFKB_Q6.html" TargetMode="External"/><Relationship Id="rId728" Type="http://schemas.openxmlformats.org/officeDocument/2006/relationships/hyperlink" Target="http://www.broadinstitute.org/gsea/msigdb/cards/SMTTTTGT_UNKNOWN.html" TargetMode="External"/><Relationship Id="rId729" Type="http://schemas.openxmlformats.org/officeDocument/2006/relationships/hyperlink" Target="http://www.broadinstitute.org/gsea/msigdb/cards/TAAYNRNNTCC_UNKNOWN.html" TargetMode="External"/><Relationship Id="rId1980" Type="http://schemas.openxmlformats.org/officeDocument/2006/relationships/hyperlink" Target="http://www.broadinstitute.org/gsea/msigdb/cards/GSE13522_WT_VS_IFNAR_KO_SKING_T_CRUZI_Y_STRAIN_INF_UP.html" TargetMode="External"/><Relationship Id="rId1981" Type="http://schemas.openxmlformats.org/officeDocument/2006/relationships/hyperlink" Target="http://www.broadinstitute.org/gsea/msigdb/cards/GSE14699_NAIVE_VS_DELETIONAL_TOLERANCE_CD8_TCELL_DN.html" TargetMode="External"/><Relationship Id="rId1982" Type="http://schemas.openxmlformats.org/officeDocument/2006/relationships/hyperlink" Target="http://www.broadinstitute.org/gsea/msigdb/cards/GSE17186_NAIVE_VS_CD21LOW_TRANSITIONAL_BCELL_CORD_BLOOD_DN.html" TargetMode="External"/><Relationship Id="rId1983" Type="http://schemas.openxmlformats.org/officeDocument/2006/relationships/hyperlink" Target="http://www.broadinstitute.org/gsea/msigdb/cards/GSE16450_CTRL_VS_IFNA_6H_STIM_MATURE_NEURON_CELL_LINE_UP.html" TargetMode="External"/><Relationship Id="rId1590" Type="http://schemas.openxmlformats.org/officeDocument/2006/relationships/hyperlink" Target="http://www.broadinstitute.org/gsea/msigdb/cards/GO_REGULATION_OF_PROTEIN_LOCALIZATION.html" TargetMode="External"/><Relationship Id="rId1591" Type="http://schemas.openxmlformats.org/officeDocument/2006/relationships/hyperlink" Target="http://www.broadinstitute.org/gsea/msigdb/cards/GO_POSITIVE_REGULATION_OF_INTRACELLULAR_SIGNAL_TRANSDUCTION.html" TargetMode="External"/><Relationship Id="rId1592" Type="http://schemas.openxmlformats.org/officeDocument/2006/relationships/hyperlink" Target="http://www.broadinstitute.org/gsea/msigdb/cards/GO_BINDING_BRIDGING.html" TargetMode="External"/><Relationship Id="rId1593" Type="http://schemas.openxmlformats.org/officeDocument/2006/relationships/hyperlink" Target="http://www.broadinstitute.org/gsea/msigdb/cards/GO_REGULATION_OF_WOUND_HEALING.html" TargetMode="External"/><Relationship Id="rId1594" Type="http://schemas.openxmlformats.org/officeDocument/2006/relationships/hyperlink" Target="http://www.broadinstitute.org/gsea/msigdb/cards/GO_PEPTIDASE_ACTIVITY.html" TargetMode="External"/><Relationship Id="rId1595" Type="http://schemas.openxmlformats.org/officeDocument/2006/relationships/hyperlink" Target="http://www.broadinstitute.org/gsea/msigdb/cards/GO_INTRACELLULAR_VESICLE.html" TargetMode="External"/><Relationship Id="rId1596" Type="http://schemas.openxmlformats.org/officeDocument/2006/relationships/hyperlink" Target="http://www.broadinstitute.org/gsea/msigdb/cards/GO_ORGANIC_ACID_METABOLIC_PROCESS.html" TargetMode="External"/><Relationship Id="rId1597" Type="http://schemas.openxmlformats.org/officeDocument/2006/relationships/hyperlink" Target="http://www.broadinstitute.org/gsea/msigdb/cards/GO_GLIOGENESIS.html" TargetMode="External"/><Relationship Id="rId1598" Type="http://schemas.openxmlformats.org/officeDocument/2006/relationships/hyperlink" Target="http://www.broadinstitute.org/gsea/msigdb/cards/GO_REGULATION_OF_SMOOTH_MUSCLE_CELL_MIGRATION.html" TargetMode="External"/><Relationship Id="rId1599" Type="http://schemas.openxmlformats.org/officeDocument/2006/relationships/hyperlink" Target="http://www.broadinstitute.org/gsea/msigdb/cards/GO_POSITIVE_REGULATION_OF_PROTEIN_LOCALIZATION_TO_NUCLEUS.html" TargetMode="External"/><Relationship Id="rId1984" Type="http://schemas.openxmlformats.org/officeDocument/2006/relationships/hyperlink" Target="http://www.broadinstitute.org/gsea/msigdb/cards/GSE21670_TGFB_VS_IL6_TREATED_STAT3_KO_CD4_TCELL_UP.html" TargetMode="External"/><Relationship Id="rId1985" Type="http://schemas.openxmlformats.org/officeDocument/2006/relationships/hyperlink" Target="http://www.broadinstitute.org/gsea/msigdb/cards/GSE21670_IL6_VS_TGFB_AND_IL6_TREATED_STAT3_KO_CD4_TCELL_DN.html" TargetMode="External"/><Relationship Id="rId1986" Type="http://schemas.openxmlformats.org/officeDocument/2006/relationships/hyperlink" Target="http://www.broadinstitute.org/gsea/msigdb/cards/GSE21379_TFH_VS_NON_TFH_CD4_TCELL_DN.html" TargetMode="External"/><Relationship Id="rId1987" Type="http://schemas.openxmlformats.org/officeDocument/2006/relationships/hyperlink" Target="http://www.broadinstitute.org/gsea/msigdb/cards/GSE22935_WT_VS_MYD88_KO_MACROPHAGE_12H_MBOVIS_BCG_STIM_DN.html" TargetMode="External"/><Relationship Id="rId1988" Type="http://schemas.openxmlformats.org/officeDocument/2006/relationships/hyperlink" Target="http://www.broadinstitute.org/gsea/msigdb/cards/GSE30153_LUPUS_VS_HEALTHY_DONOR_BCELL_DN.html" TargetMode="External"/><Relationship Id="rId1989" Type="http://schemas.openxmlformats.org/officeDocument/2006/relationships/hyperlink" Target="http://www.broadinstitute.org/gsea/msigdb/cards/GSE23321_CD8_STEM_CELL_MEMORY_VS_CENTRAL_MEMORY_CD8_TCELL_UP.html" TargetMode="External"/><Relationship Id="rId730" Type="http://schemas.openxmlformats.org/officeDocument/2006/relationships/hyperlink" Target="http://www.broadinstitute.org/gsea/msigdb/cards/CEBPB_02.html" TargetMode="External"/><Relationship Id="rId731" Type="http://schemas.openxmlformats.org/officeDocument/2006/relationships/hyperlink" Target="http://www.broadinstitute.org/gsea/msigdb/cards/CP2_01.html" TargetMode="External"/><Relationship Id="rId732" Type="http://schemas.openxmlformats.org/officeDocument/2006/relationships/hyperlink" Target="http://www.broadinstitute.org/gsea/msigdb/cards/POU3F2_02.html" TargetMode="External"/><Relationship Id="rId733" Type="http://schemas.openxmlformats.org/officeDocument/2006/relationships/hyperlink" Target="http://www.broadinstitute.org/gsea/msigdb/cards/CATTGTYY_SOX9_B1.html" TargetMode="External"/><Relationship Id="rId734" Type="http://schemas.openxmlformats.org/officeDocument/2006/relationships/hyperlink" Target="http://www.broadinstitute.org/gsea/msigdb/cards/HEB_Q6.html" TargetMode="External"/><Relationship Id="rId735" Type="http://schemas.openxmlformats.org/officeDocument/2006/relationships/hyperlink" Target="http://www.broadinstitute.org/gsea/msigdb/cards/RYTTCCTG_ETS2_B.html" TargetMode="External"/><Relationship Id="rId736" Type="http://schemas.openxmlformats.org/officeDocument/2006/relationships/hyperlink" Target="http://www.broadinstitute.org/gsea/msigdb/cards/CEBP_Q2.html" TargetMode="External"/><Relationship Id="rId737" Type="http://schemas.openxmlformats.org/officeDocument/2006/relationships/hyperlink" Target="http://www.broadinstitute.org/gsea/msigdb/cards/CDPCR3HD_01.html" TargetMode="External"/><Relationship Id="rId738" Type="http://schemas.openxmlformats.org/officeDocument/2006/relationships/hyperlink" Target="http://www.broadinstitute.org/gsea/msigdb/cards/SMAD3_Q6.html" TargetMode="External"/><Relationship Id="rId739" Type="http://schemas.openxmlformats.org/officeDocument/2006/relationships/hyperlink" Target="http://www.broadinstitute.org/gsea/msigdb/cards/POU6F1_01.html" TargetMode="External"/><Relationship Id="rId340" Type="http://schemas.openxmlformats.org/officeDocument/2006/relationships/hyperlink" Target="http://www.broadinstitute.org/gsea/msigdb/cards/TAKEDA_TARGETS_OF_NUP98_HOXA9_FUSION_16D_UP.html" TargetMode="External"/><Relationship Id="rId341" Type="http://schemas.openxmlformats.org/officeDocument/2006/relationships/hyperlink" Target="http://www.broadinstitute.org/gsea/msigdb/cards/SCHAEFFER_PROSTATE_DEVELOPMENT_6HR_UP.html" TargetMode="External"/><Relationship Id="rId342" Type="http://schemas.openxmlformats.org/officeDocument/2006/relationships/hyperlink" Target="http://www.broadinstitute.org/gsea/msigdb/cards/MARTINEZ_RB1_AND_TP53_TARGETS_UP.html" TargetMode="External"/><Relationship Id="rId343" Type="http://schemas.openxmlformats.org/officeDocument/2006/relationships/hyperlink" Target="http://www.broadinstitute.org/gsea/msigdb/cards/VERRECCHIA_RESPONSE_TO_TGFB1_C1.html" TargetMode="External"/><Relationship Id="rId344" Type="http://schemas.openxmlformats.org/officeDocument/2006/relationships/hyperlink" Target="http://www.broadinstitute.org/gsea/msigdb/cards/BENPORATH_NOS_TARGETS.html" TargetMode="External"/><Relationship Id="rId345" Type="http://schemas.openxmlformats.org/officeDocument/2006/relationships/hyperlink" Target="http://www.broadinstitute.org/gsea/msigdb/cards/LINDGREN_BLADDER_CANCER_CLUSTER_1_DN.html" TargetMode="External"/><Relationship Id="rId346" Type="http://schemas.openxmlformats.org/officeDocument/2006/relationships/hyperlink" Target="http://www.broadinstitute.org/gsea/msigdb/cards/MEISSNER_NPC_HCP_WITH_H3K4ME2.html" TargetMode="External"/><Relationship Id="rId347" Type="http://schemas.openxmlformats.org/officeDocument/2006/relationships/hyperlink" Target="http://www.broadinstitute.org/gsea/msigdb/cards/TURASHVILI_BREAST_DUCTAL_CARCINOMA_VS_LOBULAR_NORMAL_DN.html" TargetMode="External"/><Relationship Id="rId348" Type="http://schemas.openxmlformats.org/officeDocument/2006/relationships/hyperlink" Target="http://www.broadinstitute.org/gsea/msigdb/cards/CLASPER_LYMPHATIC_VESSELS_DURING_METASTASIS_UP.html" TargetMode="External"/><Relationship Id="rId349" Type="http://schemas.openxmlformats.org/officeDocument/2006/relationships/hyperlink" Target="http://www.broadinstitute.org/gsea/msigdb/cards/MASRI_RESISTANCE_TO_TAMOXIFEN_AND_AROMATASE_INHIBITORS_DN.html" TargetMode="External"/><Relationship Id="rId1990" Type="http://schemas.openxmlformats.org/officeDocument/2006/relationships/hyperlink" Target="http://www.broadinstitute.org/gsea/msigdb/cards/GSE33374_CD8_ALPHAALPHA_VS_ALPHABETA_CD161_HIGH_TCELL_UP.html" TargetMode="External"/><Relationship Id="rId1991" Type="http://schemas.openxmlformats.org/officeDocument/2006/relationships/hyperlink" Target="http://www.broadinstitute.org/gsea/msigdb/cards/GSE34156_NOD2_LIGAND_VS_NOD2_AND_TLR1_TLR2_LIGAND_24H_TREATED_MONOCYTE_UP.html" TargetMode="External"/><Relationship Id="rId1992" Type="http://schemas.openxmlformats.org/officeDocument/2006/relationships/hyperlink" Target="http://www.broadinstitute.org/gsea/msigdb/cards/GSE37301_GRANULOCYTE_MONOCYTE_PROGENITOR_VS_RAG2_KO_NK_CELL_DN.html" TargetMode="External"/><Relationship Id="rId1993" Type="http://schemas.openxmlformats.org/officeDocument/2006/relationships/hyperlink" Target="http://www.broadinstitute.org/gsea/msigdb/cards/GSE37533_UNTREATED_VS_PIOGLIZATONE_TREATED_CD4_TCELL_PPARG1_AND_FOXP3_TRASDUCED_UP.html" TargetMode="External"/><Relationship Id="rId1994" Type="http://schemas.openxmlformats.org/officeDocument/2006/relationships/hyperlink" Target="http://www.broadinstitute.org/gsea/msigdb/cards/GSE33162_UNTREATED_VS_4H_LPS_STIM_HDAC3_HET_MACROPHAGE_UP.html" TargetMode="External"/><Relationship Id="rId1995" Type="http://schemas.openxmlformats.org/officeDocument/2006/relationships/hyperlink" Target="http://www.broadinstitute.org/gsea/msigdb/cards/GSE39152_SPLEEN_CD103_NEG_VS_BRAIN_CD103_POS_MEMORY_CD8_TCELL_DN.html" TargetMode="External"/><Relationship Id="rId1996" Type="http://schemas.openxmlformats.org/officeDocument/2006/relationships/hyperlink" Target="http://www.broadinstitute.org/gsea/msigdb/cards/GSE40274_FOXP3_VS_FOXP3_AND_XBP1_TRANSDUCED_ACTIVATED_CD4_TCELL_UP.html" TargetMode="External"/><Relationship Id="rId1997" Type="http://schemas.openxmlformats.org/officeDocument/2006/relationships/hyperlink" Target="http://www.broadinstitute.org/gsea/msigdb/cards/GSE40274_FOXP3_VS_FOXP3_AND_GATA1_TRANSDUCED_ACTIVATED_CD4_TCELL_DN.html" TargetMode="External"/><Relationship Id="rId1998" Type="http://schemas.openxmlformats.org/officeDocument/2006/relationships/hyperlink" Target="http://www.broadinstitute.org/gsea/msigdb/cards/GSE36078_WT_VS_IL1R_KO_LUNG_DC_UP.html" TargetMode="External"/><Relationship Id="rId1999" Type="http://schemas.openxmlformats.org/officeDocument/2006/relationships/hyperlink" Target="http://www.broadinstitute.org/gsea/msigdb/cards/GSE39556_CD8A_DC_VS_NK_CELL_UP.html" TargetMode="External"/><Relationship Id="rId1200" Type="http://schemas.openxmlformats.org/officeDocument/2006/relationships/hyperlink" Target="http://www.broadinstitute.org/gsea/msigdb/cards/GO_ENDOPLASMIC_RETICULUM_PART.html" TargetMode="External"/><Relationship Id="rId1201" Type="http://schemas.openxmlformats.org/officeDocument/2006/relationships/hyperlink" Target="http://www.broadinstitute.org/gsea/msigdb/cards/GO_EXTRACELLULAR_MATRIX_BINDING.html" TargetMode="External"/><Relationship Id="rId1202" Type="http://schemas.openxmlformats.org/officeDocument/2006/relationships/hyperlink" Target="http://www.broadinstitute.org/gsea/msigdb/cards/GO_NEURON_DIFFERENTIATION.html" TargetMode="External"/><Relationship Id="rId1203" Type="http://schemas.openxmlformats.org/officeDocument/2006/relationships/hyperlink" Target="http://www.broadinstitute.org/gsea/msigdb/cards/GO_EXTRACELLULAR_MATRIX_DISASSEMBLY.html" TargetMode="External"/><Relationship Id="rId1204" Type="http://schemas.openxmlformats.org/officeDocument/2006/relationships/hyperlink" Target="http://www.broadinstitute.org/gsea/msigdb/cards/GO_POSITIVE_REGULATION_OF_CELL_COMMUNICATION.html" TargetMode="External"/><Relationship Id="rId1205" Type="http://schemas.openxmlformats.org/officeDocument/2006/relationships/hyperlink" Target="http://www.broadinstitute.org/gsea/msigdb/cards/GO_NEGATIVE_REGULATION_OF_CELL_PROLIFERATION.html" TargetMode="External"/><Relationship Id="rId1206" Type="http://schemas.openxmlformats.org/officeDocument/2006/relationships/hyperlink" Target="http://www.broadinstitute.org/gsea/msigdb/cards/GO_ACTIN_FILAMENT_BASED_PROCESS.html" TargetMode="External"/><Relationship Id="rId1207" Type="http://schemas.openxmlformats.org/officeDocument/2006/relationships/hyperlink" Target="http://www.broadinstitute.org/gsea/msigdb/cards/GO_CELL_SURFACE.html" TargetMode="External"/><Relationship Id="rId740" Type="http://schemas.openxmlformats.org/officeDocument/2006/relationships/hyperlink" Target="http://www.broadinstitute.org/gsea/msigdb/cards/NKX62_Q2.html" TargetMode="External"/><Relationship Id="rId741" Type="http://schemas.openxmlformats.org/officeDocument/2006/relationships/hyperlink" Target="http://www.broadinstitute.org/gsea/msigdb/cards/SMAD4_Q6.html" TargetMode="External"/><Relationship Id="rId742" Type="http://schemas.openxmlformats.org/officeDocument/2006/relationships/hyperlink" Target="http://www.broadinstitute.org/gsea/msigdb/cards/RYAAAKNNNNNNTTGW_UNKNOWN.html" TargetMode="External"/><Relationship Id="rId743" Type="http://schemas.openxmlformats.org/officeDocument/2006/relationships/hyperlink" Target="http://www.broadinstitute.org/gsea/msigdb/cards/GATA3_01.html" TargetMode="External"/><Relationship Id="rId744" Type="http://schemas.openxmlformats.org/officeDocument/2006/relationships/hyperlink" Target="http://www.broadinstitute.org/gsea/msigdb/cards/CIZ_01.html" TargetMode="External"/><Relationship Id="rId745" Type="http://schemas.openxmlformats.org/officeDocument/2006/relationships/hyperlink" Target="http://www.broadinstitute.org/gsea/msigdb/cards/TAL1BETAE47_01.html" TargetMode="External"/><Relationship Id="rId746" Type="http://schemas.openxmlformats.org/officeDocument/2006/relationships/hyperlink" Target="http://www.broadinstitute.org/gsea/msigdb/cards/TAL1ALPHAE47_01.html" TargetMode="External"/><Relationship Id="rId747" Type="http://schemas.openxmlformats.org/officeDocument/2006/relationships/hyperlink" Target="http://www.broadinstitute.org/gsea/msigdb/cards/FOXO4_02.html" TargetMode="External"/><Relationship Id="rId748" Type="http://schemas.openxmlformats.org/officeDocument/2006/relationships/hyperlink" Target="http://www.broadinstitute.org/gsea/msigdb/cards/TAL1BETAITF2_01.html" TargetMode="External"/><Relationship Id="rId749" Type="http://schemas.openxmlformats.org/officeDocument/2006/relationships/hyperlink" Target="http://www.broadinstitute.org/gsea/msigdb/cards/AMEF2_Q6.html" TargetMode="External"/><Relationship Id="rId350" Type="http://schemas.openxmlformats.org/officeDocument/2006/relationships/hyperlink" Target="http://www.broadinstitute.org/gsea/msigdb/cards/GRAESSMANN_APOPTOSIS_BY_SERUM_DEPRIVATION_UP.html" TargetMode="External"/><Relationship Id="rId351" Type="http://schemas.openxmlformats.org/officeDocument/2006/relationships/hyperlink" Target="http://www.broadinstitute.org/gsea/msigdb/cards/CHEN_LVAD_SUPPORT_OF_FAILING_HEART_UP.html" TargetMode="External"/><Relationship Id="rId352" Type="http://schemas.openxmlformats.org/officeDocument/2006/relationships/hyperlink" Target="http://www.broadinstitute.org/gsea/msigdb/cards/KEGG_PATHWAYS_IN_CANCER.html" TargetMode="External"/><Relationship Id="rId353" Type="http://schemas.openxmlformats.org/officeDocument/2006/relationships/hyperlink" Target="http://www.broadinstitute.org/gsea/msigdb/cards/MCGARVEY_SILENCED_BY_METHYLATION_IN_COLON_CANCER.html" TargetMode="External"/><Relationship Id="rId354" Type="http://schemas.openxmlformats.org/officeDocument/2006/relationships/hyperlink" Target="http://www.broadinstitute.org/gsea/msigdb/cards/MEISSNER_NPC_HCP_WITH_H3K4ME3_AND_H3K27ME3.html" TargetMode="External"/><Relationship Id="rId355" Type="http://schemas.openxmlformats.org/officeDocument/2006/relationships/hyperlink" Target="http://www.broadinstitute.org/gsea/msigdb/cards/TONKS_TARGETS_OF_RUNX1_RUNX1T1_FUSION_HSC_UP.html" TargetMode="External"/><Relationship Id="rId356" Type="http://schemas.openxmlformats.org/officeDocument/2006/relationships/hyperlink" Target="http://www.broadinstitute.org/gsea/msigdb/cards/SESTO_RESPONSE_TO_UV_C8.html" TargetMode="External"/><Relationship Id="rId357" Type="http://schemas.openxmlformats.org/officeDocument/2006/relationships/hyperlink" Target="http://www.broadinstitute.org/gsea/msigdb/cards/KEEN_RESPONSE_TO_ROSIGLITAZONE_DN.html" TargetMode="External"/><Relationship Id="rId358" Type="http://schemas.openxmlformats.org/officeDocument/2006/relationships/hyperlink" Target="http://www.broadinstitute.org/gsea/msigdb/cards/MIKKELSEN_NPC_ICP_WITH_H3K4ME3.html" TargetMode="External"/><Relationship Id="rId359" Type="http://schemas.openxmlformats.org/officeDocument/2006/relationships/hyperlink" Target="http://www.broadinstitute.org/gsea/msigdb/cards/AFFAR_YY1_TARGETS_DN.html" TargetMode="External"/><Relationship Id="rId1208" Type="http://schemas.openxmlformats.org/officeDocument/2006/relationships/hyperlink" Target="http://www.broadinstitute.org/gsea/msigdb/cards/GO_NEGATIVE_REGULATION_OF_CELL_DIFFERENTIATION.html" TargetMode="External"/><Relationship Id="rId1209" Type="http://schemas.openxmlformats.org/officeDocument/2006/relationships/hyperlink" Target="http://www.broadinstitute.org/gsea/msigdb/cards/GO_RESPONSE_TO_WOUNDING.html" TargetMode="External"/><Relationship Id="rId1600" Type="http://schemas.openxmlformats.org/officeDocument/2006/relationships/hyperlink" Target="http://www.broadinstitute.org/gsea/msigdb/cards/GO_GROWTH_FACTOR_RECEPTOR_BINDING.html" TargetMode="External"/><Relationship Id="rId1601" Type="http://schemas.openxmlformats.org/officeDocument/2006/relationships/hyperlink" Target="http://www.broadinstitute.org/gsea/msigdb/cards/GO_POSITIVE_REGULATION_OF_TRANSMEMBRANE_TRANSPORT.html" TargetMode="External"/><Relationship Id="rId1602" Type="http://schemas.openxmlformats.org/officeDocument/2006/relationships/hyperlink" Target="http://www.broadinstitute.org/gsea/msigdb/cards/GO_HOMOTYPIC_CELL_CELL_ADHESION.html" TargetMode="External"/><Relationship Id="rId1603" Type="http://schemas.openxmlformats.org/officeDocument/2006/relationships/hyperlink" Target="http://www.broadinstitute.org/gsea/msigdb/cards/GO_POSITIVE_REGULATION_OF_NEURON_PROJECTION_DEVELOPMENT.html" TargetMode="External"/><Relationship Id="rId1604" Type="http://schemas.openxmlformats.org/officeDocument/2006/relationships/hyperlink" Target="http://www.broadinstitute.org/gsea/msigdb/cards/GO_REGULATION_OF_COAGULATION.html" TargetMode="External"/><Relationship Id="rId1605" Type="http://schemas.openxmlformats.org/officeDocument/2006/relationships/hyperlink" Target="http://www.broadinstitute.org/gsea/msigdb/cards/GO_OVULATION_CYCLE_PROCESS.html" TargetMode="External"/><Relationship Id="rId1606" Type="http://schemas.openxmlformats.org/officeDocument/2006/relationships/hyperlink" Target="http://www.broadinstitute.org/gsea/msigdb/cards/GO_DIOXYGENASE_ACTIVITY.html" TargetMode="External"/><Relationship Id="rId1607" Type="http://schemas.openxmlformats.org/officeDocument/2006/relationships/hyperlink" Target="http://www.broadinstitute.org/gsea/msigdb/cards/GO_NEGATIVE_REGULATION_OF_PHOSPHORUS_METABOLIC_PROCESS.html" TargetMode="External"/><Relationship Id="rId1608" Type="http://schemas.openxmlformats.org/officeDocument/2006/relationships/hyperlink" Target="http://www.broadinstitute.org/gsea/msigdb/cards/GO_NEGATIVE_REGULATION_OF_EPITHELIAL_TO_MESENCHYMAL_TRANSITION.html" TargetMode="External"/><Relationship Id="rId1609" Type="http://schemas.openxmlformats.org/officeDocument/2006/relationships/hyperlink" Target="http://www.broadinstitute.org/gsea/msigdb/cards/GO_REGULATION_OF_OSTEOBLAST_PROLIFERATION.html" TargetMode="External"/><Relationship Id="rId1210" Type="http://schemas.openxmlformats.org/officeDocument/2006/relationships/hyperlink" Target="http://www.broadinstitute.org/gsea/msigdb/cards/GO_CELLULAR_RESPONSE_TO_ENDOGENOUS_STIMULUS.html" TargetMode="External"/><Relationship Id="rId1211" Type="http://schemas.openxmlformats.org/officeDocument/2006/relationships/hyperlink" Target="http://www.broadinstitute.org/gsea/msigdb/cards/GO_NEPHRON_DEVELOPMENT.html" TargetMode="External"/><Relationship Id="rId750" Type="http://schemas.openxmlformats.org/officeDocument/2006/relationships/hyperlink" Target="http://www.broadinstitute.org/gsea/msigdb/cards/CAGTATT_MIR200B_MIR200C_MIR429.html" TargetMode="External"/><Relationship Id="rId751" Type="http://schemas.openxmlformats.org/officeDocument/2006/relationships/hyperlink" Target="http://www.broadinstitute.org/gsea/msigdb/cards/IPF1_Q4.html" TargetMode="External"/><Relationship Id="rId752" Type="http://schemas.openxmlformats.org/officeDocument/2006/relationships/hyperlink" Target="http://www.broadinstitute.org/gsea/msigdb/cards/CTAWWWATA_RSRFC4_Q2.html" TargetMode="External"/><Relationship Id="rId753" Type="http://schemas.openxmlformats.org/officeDocument/2006/relationships/hyperlink" Target="http://www.broadinstitute.org/gsea/msigdb/cards/GFI1_01.html" TargetMode="External"/><Relationship Id="rId754" Type="http://schemas.openxmlformats.org/officeDocument/2006/relationships/hyperlink" Target="http://www.broadinstitute.org/gsea/msigdb/cards/AFP1_Q6.html" TargetMode="External"/><Relationship Id="rId755" Type="http://schemas.openxmlformats.org/officeDocument/2006/relationships/hyperlink" Target="http://www.broadinstitute.org/gsea/msigdb/cards/XBP1_01.html" TargetMode="External"/><Relationship Id="rId756" Type="http://schemas.openxmlformats.org/officeDocument/2006/relationships/hyperlink" Target="http://www.broadinstitute.org/gsea/msigdb/cards/OCT1_B.html" TargetMode="External"/><Relationship Id="rId757" Type="http://schemas.openxmlformats.org/officeDocument/2006/relationships/hyperlink" Target="http://www.broadinstitute.org/gsea/msigdb/cards/CRX_Q4.html" TargetMode="External"/><Relationship Id="rId758" Type="http://schemas.openxmlformats.org/officeDocument/2006/relationships/hyperlink" Target="http://www.broadinstitute.org/gsea/msigdb/cards/AAAYRNCTG_UNKNOWN.html" TargetMode="External"/><Relationship Id="rId759" Type="http://schemas.openxmlformats.org/officeDocument/2006/relationships/hyperlink" Target="http://www.broadinstitute.org/gsea/msigdb/cards/E4BP4_01.html" TargetMode="External"/><Relationship Id="rId360" Type="http://schemas.openxmlformats.org/officeDocument/2006/relationships/hyperlink" Target="http://www.broadinstitute.org/gsea/msigdb/cards/JAEGER_METASTASIS_UP.html" TargetMode="External"/><Relationship Id="rId361" Type="http://schemas.openxmlformats.org/officeDocument/2006/relationships/hyperlink" Target="http://www.broadinstitute.org/gsea/msigdb/cards/VANTVEER_BREAST_CANCER_BRCA1_DN.html" TargetMode="External"/><Relationship Id="rId362" Type="http://schemas.openxmlformats.org/officeDocument/2006/relationships/hyperlink" Target="http://www.broadinstitute.org/gsea/msigdb/cards/RUTELLA_RESPONSE_TO_CSF2RB_AND_IL4_UP.html" TargetMode="External"/><Relationship Id="rId363" Type="http://schemas.openxmlformats.org/officeDocument/2006/relationships/hyperlink" Target="http://www.broadinstitute.org/gsea/msigdb/cards/MIKKELSEN_DEDIFFERENTIATED_STATE_DN.html" TargetMode="External"/><Relationship Id="rId364" Type="http://schemas.openxmlformats.org/officeDocument/2006/relationships/hyperlink" Target="http://www.broadinstitute.org/gsea/msigdb/cards/JOHANSSON_BRAIN_CANCER_EARLY_VS_LATE_DN.html" TargetMode="External"/><Relationship Id="rId365" Type="http://schemas.openxmlformats.org/officeDocument/2006/relationships/hyperlink" Target="http://www.broadinstitute.org/gsea/msigdb/cards/SENESE_HDAC1_AND_HDAC2_TARGETS_UP.html" TargetMode="External"/><Relationship Id="rId366" Type="http://schemas.openxmlformats.org/officeDocument/2006/relationships/hyperlink" Target="http://www.broadinstitute.org/gsea/msigdb/cards/BUYTAERT_PHOTODYNAMIC_THERAPY_STRESS_DN.html" TargetMode="External"/><Relationship Id="rId367" Type="http://schemas.openxmlformats.org/officeDocument/2006/relationships/hyperlink" Target="http://www.broadinstitute.org/gsea/msigdb/cards/BERTUCCI_INVASIVE_CARCINOMA_DUCTAL_VS_LOBULAR_DN.html" TargetMode="External"/><Relationship Id="rId368" Type="http://schemas.openxmlformats.org/officeDocument/2006/relationships/hyperlink" Target="http://www.broadinstitute.org/gsea/msigdb/cards/NABA_SECRETED_FACTORS.html" TargetMode="External"/><Relationship Id="rId369" Type="http://schemas.openxmlformats.org/officeDocument/2006/relationships/hyperlink" Target="http://www.broadinstitute.org/gsea/msigdb/cards/ZHAN_MULTIPLE_MYELOMA_MF_UP.html" TargetMode="External"/><Relationship Id="rId1212" Type="http://schemas.openxmlformats.org/officeDocument/2006/relationships/hyperlink" Target="http://www.broadinstitute.org/gsea/msigdb/cards/GO_WOUND_HEALING.html" TargetMode="External"/><Relationship Id="rId1213" Type="http://schemas.openxmlformats.org/officeDocument/2006/relationships/hyperlink" Target="http://www.broadinstitute.org/gsea/msigdb/cards/GO_CARTILAGE_DEVELOPMENT.html" TargetMode="External"/><Relationship Id="rId1214" Type="http://schemas.openxmlformats.org/officeDocument/2006/relationships/hyperlink" Target="http://www.broadinstitute.org/gsea/msigdb/cards/GO_ENZYME_REGULATOR_ACTIVITY.html" TargetMode="External"/><Relationship Id="rId1215" Type="http://schemas.openxmlformats.org/officeDocument/2006/relationships/hyperlink" Target="http://www.broadinstitute.org/gsea/msigdb/cards/GO_NEURON_DEVELOPMENT.html" TargetMode="External"/><Relationship Id="rId1216" Type="http://schemas.openxmlformats.org/officeDocument/2006/relationships/hyperlink" Target="http://www.broadinstitute.org/gsea/msigdb/cards/GO_GOLGI_LUMEN.html" TargetMode="External"/><Relationship Id="rId1217" Type="http://schemas.openxmlformats.org/officeDocument/2006/relationships/hyperlink" Target="http://www.broadinstitute.org/gsea/msigdb/cards/GO_NEGATIVE_REGULATION_OF_LOCOMOTION.html" TargetMode="External"/><Relationship Id="rId1218" Type="http://schemas.openxmlformats.org/officeDocument/2006/relationships/hyperlink" Target="http://www.broadinstitute.org/gsea/msigdb/cards/GO_ENDODERM_DEVELOPMENT.html" TargetMode="External"/><Relationship Id="rId1219" Type="http://schemas.openxmlformats.org/officeDocument/2006/relationships/hyperlink" Target="http://www.broadinstitute.org/gsea/msigdb/cards/GO_CATABOLIC_PROCESS.html" TargetMode="External"/><Relationship Id="rId1610" Type="http://schemas.openxmlformats.org/officeDocument/2006/relationships/hyperlink" Target="http://www.broadinstitute.org/gsea/msigdb/cards/GO_REGULATION_OF_METANEPHROS_DEVELOPMENT.html" TargetMode="External"/><Relationship Id="rId1611" Type="http://schemas.openxmlformats.org/officeDocument/2006/relationships/hyperlink" Target="http://www.broadinstitute.org/gsea/msigdb/cards/GO_PODOSOME.html" TargetMode="External"/><Relationship Id="rId1612" Type="http://schemas.openxmlformats.org/officeDocument/2006/relationships/hyperlink" Target="http://www.broadinstitute.org/gsea/msigdb/cards/GO_IONOTROPIC_GLUTAMATE_RECEPTOR_BINDING.html" TargetMode="External"/><Relationship Id="rId1613" Type="http://schemas.openxmlformats.org/officeDocument/2006/relationships/hyperlink" Target="http://www.broadinstitute.org/gsea/msigdb/cards/GO_POSITIVE_REGULATION_OF_VASCULATURE_DEVELOPMENT.html" TargetMode="External"/><Relationship Id="rId1614" Type="http://schemas.openxmlformats.org/officeDocument/2006/relationships/hyperlink" Target="http://www.broadinstitute.org/gsea/msigdb/cards/GO_REGULATION_OF_RESPONSE_TO_WOUNDING.html" TargetMode="External"/><Relationship Id="rId1615" Type="http://schemas.openxmlformats.org/officeDocument/2006/relationships/hyperlink" Target="http://www.broadinstitute.org/gsea/msigdb/cards/GO_SYNAPSE.html" TargetMode="External"/><Relationship Id="rId1616" Type="http://schemas.openxmlformats.org/officeDocument/2006/relationships/hyperlink" Target="http://www.broadinstitute.org/gsea/msigdb/cards/GO_RESPONSE_TO_OXIDATIVE_STRESS.html" TargetMode="External"/><Relationship Id="rId1617" Type="http://schemas.openxmlformats.org/officeDocument/2006/relationships/hyperlink" Target="http://www.broadinstitute.org/gsea/msigdb/cards/GO_POSITIVE_REGULATION_OF_ION_TRANSPORT.html" TargetMode="External"/><Relationship Id="rId1618" Type="http://schemas.openxmlformats.org/officeDocument/2006/relationships/hyperlink" Target="http://www.broadinstitute.org/gsea/msigdb/cards/GO_POSITIVE_REGULATION_OF_PHOSPHOLIPASE_ACTIVITY.html" TargetMode="External"/><Relationship Id="rId1619" Type="http://schemas.openxmlformats.org/officeDocument/2006/relationships/hyperlink" Target="http://www.broadinstitute.org/gsea/msigdb/cards/GO_NEGATIVE_REGULATION_OF_EPITHELIAL_CELL_MIGRATION.html" TargetMode="External"/><Relationship Id="rId1220" Type="http://schemas.openxmlformats.org/officeDocument/2006/relationships/hyperlink" Target="http://www.broadinstitute.org/gsea/msigdb/cards/GO_ACTIN_CYTOSKELETON.html" TargetMode="External"/><Relationship Id="rId1221" Type="http://schemas.openxmlformats.org/officeDocument/2006/relationships/hyperlink" Target="http://www.broadinstitute.org/gsea/msigdb/cards/GO_CELL_PROJECTION.html" TargetMode="External"/><Relationship Id="rId760" Type="http://schemas.openxmlformats.org/officeDocument/2006/relationships/hyperlink" Target="http://www.broadinstitute.org/gsea/msigdb/cards/AP2REP_01.html" TargetMode="External"/><Relationship Id="rId761" Type="http://schemas.openxmlformats.org/officeDocument/2006/relationships/hyperlink" Target="http://www.broadinstitute.org/gsea/msigdb/cards/CART1_01.html" TargetMode="External"/><Relationship Id="rId762" Type="http://schemas.openxmlformats.org/officeDocument/2006/relationships/hyperlink" Target="http://www.broadinstitute.org/gsea/msigdb/cards/LEF1_Q2.html" TargetMode="External"/><Relationship Id="rId763" Type="http://schemas.openxmlformats.org/officeDocument/2006/relationships/hyperlink" Target="http://www.broadinstitute.org/gsea/msigdb/cards/CCCNNNNNNAAGWT_UNKNOWN.html" TargetMode="External"/><Relationship Id="rId764" Type="http://schemas.openxmlformats.org/officeDocument/2006/relationships/hyperlink" Target="http://www.broadinstitute.org/gsea/msigdb/cards/YKACATTT_UNKNOWN.html" TargetMode="External"/><Relationship Id="rId765" Type="http://schemas.openxmlformats.org/officeDocument/2006/relationships/hyperlink" Target="http://www.broadinstitute.org/gsea/msigdb/cards/CTACTGT_MIR199A.html" TargetMode="External"/><Relationship Id="rId766" Type="http://schemas.openxmlformats.org/officeDocument/2006/relationships/hyperlink" Target="http://www.broadinstitute.org/gsea/msigdb/cards/YTAATTAA_LHX3_01.html" TargetMode="External"/><Relationship Id="rId767" Type="http://schemas.openxmlformats.org/officeDocument/2006/relationships/hyperlink" Target="http://www.broadinstitute.org/gsea/msigdb/cards/SPZ1_01.html" TargetMode="External"/><Relationship Id="rId768" Type="http://schemas.openxmlformats.org/officeDocument/2006/relationships/hyperlink" Target="http://www.broadinstitute.org/gsea/msigdb/cards/GCAAGGA_MIR502.html" TargetMode="External"/><Relationship Id="rId769" Type="http://schemas.openxmlformats.org/officeDocument/2006/relationships/hyperlink" Target="http://www.broadinstitute.org/gsea/msigdb/cards/TATA_C.html" TargetMode="External"/><Relationship Id="rId370" Type="http://schemas.openxmlformats.org/officeDocument/2006/relationships/hyperlink" Target="http://www.broadinstitute.org/gsea/msigdb/cards/FRIDMAN_SENESCENCE_UP.html" TargetMode="External"/><Relationship Id="rId371" Type="http://schemas.openxmlformats.org/officeDocument/2006/relationships/hyperlink" Target="http://www.broadinstitute.org/gsea/msigdb/cards/MURATA_VIRULENCE_OF_H_PILORI.html" TargetMode="External"/><Relationship Id="rId372" Type="http://schemas.openxmlformats.org/officeDocument/2006/relationships/hyperlink" Target="http://www.broadinstitute.org/gsea/msigdb/cards/JEON_SMAD6_TARGETS_UP.html" TargetMode="External"/><Relationship Id="rId373" Type="http://schemas.openxmlformats.org/officeDocument/2006/relationships/hyperlink" Target="http://www.broadinstitute.org/gsea/msigdb/cards/BERENJENO_ROCK_SIGNALING_NOT_VIA_RHOA_DN.html" TargetMode="External"/><Relationship Id="rId374" Type="http://schemas.openxmlformats.org/officeDocument/2006/relationships/hyperlink" Target="http://www.broadinstitute.org/gsea/msigdb/cards/NADELLA_PRKAR1A_TARGETS_DN.html" TargetMode="External"/><Relationship Id="rId375" Type="http://schemas.openxmlformats.org/officeDocument/2006/relationships/hyperlink" Target="http://www.broadinstitute.org/gsea/msigdb/cards/SMID_BREAST_CANCER_BASAL_UP.html" TargetMode="External"/><Relationship Id="rId376" Type="http://schemas.openxmlformats.org/officeDocument/2006/relationships/hyperlink" Target="http://www.broadinstitute.org/gsea/msigdb/cards/PLASARI_TGFB1_TARGETS_10HR_UP.html" TargetMode="External"/><Relationship Id="rId377" Type="http://schemas.openxmlformats.org/officeDocument/2006/relationships/hyperlink" Target="http://www.broadinstitute.org/gsea/msigdb/cards/YAGI_AML_WITH_11Q23_REARRANGED.html" TargetMode="External"/><Relationship Id="rId378" Type="http://schemas.openxmlformats.org/officeDocument/2006/relationships/hyperlink" Target="http://www.broadinstitute.org/gsea/msigdb/cards/BROWNE_HCMV_INFECTION_14HR_DN.html" TargetMode="External"/><Relationship Id="rId379" Type="http://schemas.openxmlformats.org/officeDocument/2006/relationships/hyperlink" Target="http://www.broadinstitute.org/gsea/msigdb/cards/MCBRYAN_PUBERTAL_BREAST_6_7WK_DN.html" TargetMode="External"/><Relationship Id="rId1222" Type="http://schemas.openxmlformats.org/officeDocument/2006/relationships/hyperlink" Target="http://www.broadinstitute.org/gsea/msigdb/cards/GO_REGULATION_OF_CELLULAR_RESPONSE_TO_TRANSFORMING_GROWTH_FACTOR_BETA_STIMULUS.html" TargetMode="External"/><Relationship Id="rId1223" Type="http://schemas.openxmlformats.org/officeDocument/2006/relationships/hyperlink" Target="http://www.broadinstitute.org/gsea/msigdb/cards/GO_PLATELET_ALPHA_GRANULE.html" TargetMode="External"/><Relationship Id="rId1224" Type="http://schemas.openxmlformats.org/officeDocument/2006/relationships/hyperlink" Target="http://www.broadinstitute.org/gsea/msigdb/cards/GO_CELLULAR_RESPONSE_TO_AMINO_ACID_STIMULUS.html" TargetMode="External"/><Relationship Id="rId1225" Type="http://schemas.openxmlformats.org/officeDocument/2006/relationships/hyperlink" Target="http://www.broadinstitute.org/gsea/msigdb/cards/GO_RESPONSE_TO_ABIOTIC_STIMULUS.html" TargetMode="External"/><Relationship Id="rId1226" Type="http://schemas.openxmlformats.org/officeDocument/2006/relationships/hyperlink" Target="http://www.broadinstitute.org/gsea/msigdb/cards/GO_PLATELET_ALPHA_GRANULE_LUMEN.html" TargetMode="External"/><Relationship Id="rId1227" Type="http://schemas.openxmlformats.org/officeDocument/2006/relationships/hyperlink" Target="http://www.broadinstitute.org/gsea/msigdb/cards/GO_FORMATION_OF_PRIMARY_GERM_LAYER.html" TargetMode="External"/><Relationship Id="rId1228" Type="http://schemas.openxmlformats.org/officeDocument/2006/relationships/hyperlink" Target="http://www.broadinstitute.org/gsea/msigdb/cards/GO_CELLULAR_RESPONSE_TO_ACID_CHEMICAL.html" TargetMode="External"/><Relationship Id="rId1229" Type="http://schemas.openxmlformats.org/officeDocument/2006/relationships/hyperlink" Target="http://www.broadinstitute.org/gsea/msigdb/cards/GO_REGULATION_OF_STEM_CELL_DIFFERENTIATION.html" TargetMode="External"/><Relationship Id="rId1620" Type="http://schemas.openxmlformats.org/officeDocument/2006/relationships/hyperlink" Target="http://www.broadinstitute.org/gsea/msigdb/cards/GO_POSITIVE_REGULATION_OF_HYDROLASE_ACTIVITY.html" TargetMode="External"/><Relationship Id="rId1621" Type="http://schemas.openxmlformats.org/officeDocument/2006/relationships/hyperlink" Target="http://www.broadinstitute.org/gsea/msigdb/cards/GO_POSITIVE_REGULATION_OF_GROWTH.html" TargetMode="External"/><Relationship Id="rId1622" Type="http://schemas.openxmlformats.org/officeDocument/2006/relationships/hyperlink" Target="http://www.broadinstitute.org/gsea/msigdb/cards/GO_EXTERNAL_SIDE_OF_PLASMA_MEMBRANE.html" TargetMode="External"/><Relationship Id="rId1623" Type="http://schemas.openxmlformats.org/officeDocument/2006/relationships/hyperlink" Target="http://www.broadinstitute.org/gsea/msigdb/cards/GO_POSITIVE_REGULATION_OF_EPITHELIAL_CELL_APOPTOTIC_PROCESS.html" TargetMode="External"/><Relationship Id="rId1624" Type="http://schemas.openxmlformats.org/officeDocument/2006/relationships/hyperlink" Target="http://www.broadinstitute.org/gsea/msigdb/cards/GO_CELL_SUBSTRATE_ADHERENS_JUNCTION_ASSEMBLY.html" TargetMode="External"/><Relationship Id="rId1625" Type="http://schemas.openxmlformats.org/officeDocument/2006/relationships/hyperlink" Target="http://www.broadinstitute.org/gsea/msigdb/cards/GO_MYOFILAMENT.html" TargetMode="External"/><Relationship Id="rId1626" Type="http://schemas.openxmlformats.org/officeDocument/2006/relationships/hyperlink" Target="http://www.broadinstitute.org/gsea/msigdb/cards/GO_REPRODUCTION.html" TargetMode="External"/><Relationship Id="rId1627" Type="http://schemas.openxmlformats.org/officeDocument/2006/relationships/hyperlink" Target="http://www.broadinstitute.org/gsea/msigdb/cards/GO_INNER_EAR_MORPHOGENESIS.html" TargetMode="External"/><Relationship Id="rId1628" Type="http://schemas.openxmlformats.org/officeDocument/2006/relationships/hyperlink" Target="http://www.broadinstitute.org/gsea/msigdb/cards/GO_POSITIVE_REGULATION_OF_CALCIUM_ION_IMPORT.html" TargetMode="External"/><Relationship Id="rId1629" Type="http://schemas.openxmlformats.org/officeDocument/2006/relationships/hyperlink" Target="http://www.broadinstitute.org/gsea/msigdb/cards/GO_CELL_PROJECTION_MEMBRANE.html" TargetMode="External"/><Relationship Id="rId1230" Type="http://schemas.openxmlformats.org/officeDocument/2006/relationships/hyperlink" Target="http://www.broadinstitute.org/gsea/msigdb/cards/GO_SECRETORY_GRANULE_LUMEN.html" TargetMode="External"/><Relationship Id="rId1231" Type="http://schemas.openxmlformats.org/officeDocument/2006/relationships/hyperlink" Target="http://www.broadinstitute.org/gsea/msigdb/cards/GO_UROGENITAL_SYSTEM_DEVELOPMENT.html" TargetMode="External"/><Relationship Id="rId770" Type="http://schemas.openxmlformats.org/officeDocument/2006/relationships/hyperlink" Target="http://www.broadinstitute.org/gsea/msigdb/cards/RGAANNTTC_HSF1_01.html" TargetMode="External"/><Relationship Id="rId771" Type="http://schemas.openxmlformats.org/officeDocument/2006/relationships/hyperlink" Target="http://www.broadinstitute.org/gsea/msigdb/cards/TATTATA_MIR374.html" TargetMode="External"/><Relationship Id="rId772" Type="http://schemas.openxmlformats.org/officeDocument/2006/relationships/hyperlink" Target="http://www.broadinstitute.org/gsea/msigdb/cards/CTACCTC_LET7A_LET7B_LET7C_LET7D_LET7E_LET7F_MIR98_LET7G_LET7I.html" TargetMode="External"/><Relationship Id="rId773" Type="http://schemas.openxmlformats.org/officeDocument/2006/relationships/hyperlink" Target="http://www.broadinstitute.org/gsea/msigdb/cards/TGACAGNY_MEIS1_01.html" TargetMode="External"/><Relationship Id="rId774" Type="http://schemas.openxmlformats.org/officeDocument/2006/relationships/hyperlink" Target="http://www.broadinstitute.org/gsea/msigdb/cards/EN1_01.html" TargetMode="External"/><Relationship Id="rId775" Type="http://schemas.openxmlformats.org/officeDocument/2006/relationships/hyperlink" Target="http://www.broadinstitute.org/gsea/msigdb/cards/CEBPDELTA_Q6.html" TargetMode="External"/><Relationship Id="rId776" Type="http://schemas.openxmlformats.org/officeDocument/2006/relationships/hyperlink" Target="http://www.broadinstitute.org/gsea/msigdb/cards/TGACCTY_ERR1_Q2.html" TargetMode="External"/><Relationship Id="rId777" Type="http://schemas.openxmlformats.org/officeDocument/2006/relationships/hyperlink" Target="http://www.broadinstitute.org/gsea/msigdb/cards/GATA1_03.html" TargetMode="External"/><Relationship Id="rId778" Type="http://schemas.openxmlformats.org/officeDocument/2006/relationships/hyperlink" Target="http://www.broadinstitute.org/gsea/msigdb/cards/FOXO3_01.html" TargetMode="External"/><Relationship Id="rId779" Type="http://schemas.openxmlformats.org/officeDocument/2006/relationships/hyperlink" Target="http://www.broadinstitute.org/gsea/msigdb/cards/AP3_Q6.html" TargetMode="External"/><Relationship Id="rId380" Type="http://schemas.openxmlformats.org/officeDocument/2006/relationships/hyperlink" Target="http://www.broadinstitute.org/gsea/msigdb/cards/MARCHINI_TRABECTEDIN_RESISTANCE_DN.html" TargetMode="External"/><Relationship Id="rId381" Type="http://schemas.openxmlformats.org/officeDocument/2006/relationships/hyperlink" Target="http://www.broadinstitute.org/gsea/msigdb/cards/MIKKELSEN_ES_ICP_WITH_H3K4ME3.html" TargetMode="External"/><Relationship Id="rId382" Type="http://schemas.openxmlformats.org/officeDocument/2006/relationships/hyperlink" Target="http://www.broadinstitute.org/gsea/msigdb/cards/PID_BETA_CATENIN_NUC_PATHWAY.html" TargetMode="External"/><Relationship Id="rId383" Type="http://schemas.openxmlformats.org/officeDocument/2006/relationships/hyperlink" Target="http://www.broadinstitute.org/gsea/msigdb/cards/PID_LYMPH_ANGIOGENESIS_PATHWAY.html" TargetMode="External"/><Relationship Id="rId384" Type="http://schemas.openxmlformats.org/officeDocument/2006/relationships/hyperlink" Target="http://www.broadinstitute.org/gsea/msigdb/cards/JACKSON_DNMT1_TARGETS_DN.html" TargetMode="External"/><Relationship Id="rId385" Type="http://schemas.openxmlformats.org/officeDocument/2006/relationships/hyperlink" Target="http://www.broadinstitute.org/gsea/msigdb/cards/BASSO_HAIRY_CELL_LEUKEMIA_UP.html" TargetMode="External"/><Relationship Id="rId386" Type="http://schemas.openxmlformats.org/officeDocument/2006/relationships/hyperlink" Target="http://www.broadinstitute.org/gsea/msigdb/cards/KEGG_LEUKOCYTE_TRANSENDOTHELIAL_MIGRATION.html" TargetMode="External"/><Relationship Id="rId387" Type="http://schemas.openxmlformats.org/officeDocument/2006/relationships/hyperlink" Target="http://www.broadinstitute.org/gsea/msigdb/cards/NAKAMURA_CANCER_MICROENVIRONMENT_UP.html" TargetMode="External"/><Relationship Id="rId388" Type="http://schemas.openxmlformats.org/officeDocument/2006/relationships/hyperlink" Target="http://www.broadinstitute.org/gsea/msigdb/cards/BURTON_ADIPOGENESIS_7.html" TargetMode="External"/><Relationship Id="rId389" Type="http://schemas.openxmlformats.org/officeDocument/2006/relationships/hyperlink" Target="http://www.broadinstitute.org/gsea/msigdb/cards/MEISSNER_NPC_HCP_WITH_H3_UNMETHYLATED.html" TargetMode="External"/><Relationship Id="rId1232" Type="http://schemas.openxmlformats.org/officeDocument/2006/relationships/hyperlink" Target="http://www.broadinstitute.org/gsea/msigdb/cards/GO_REGULATION_OF_HYDROLASE_ACTIVITY.html" TargetMode="External"/><Relationship Id="rId1233" Type="http://schemas.openxmlformats.org/officeDocument/2006/relationships/hyperlink" Target="http://www.broadinstitute.org/gsea/msigdb/cards/GO_NEURON_PROJECTION_DEVELOPMENT.html" TargetMode="External"/><Relationship Id="rId1234" Type="http://schemas.openxmlformats.org/officeDocument/2006/relationships/hyperlink" Target="http://www.broadinstitute.org/gsea/msigdb/cards/GO_AORTA_DEVELOPMENT.html" TargetMode="External"/><Relationship Id="rId1235" Type="http://schemas.openxmlformats.org/officeDocument/2006/relationships/hyperlink" Target="http://www.broadinstitute.org/gsea/msigdb/cards/GO_LYSOSOMAL_LUMEN.html" TargetMode="External"/><Relationship Id="rId1236" Type="http://schemas.openxmlformats.org/officeDocument/2006/relationships/hyperlink" Target="http://www.broadinstitute.org/gsea/msigdb/cards/GO_RESPONSE_TO_CYTOKINE.html" TargetMode="External"/><Relationship Id="rId1237" Type="http://schemas.openxmlformats.org/officeDocument/2006/relationships/hyperlink" Target="http://www.broadinstitute.org/gsea/msigdb/cards/GO_MORPHOGENESIS_OF_AN_EPITHELIUM.html" TargetMode="External"/><Relationship Id="rId1238" Type="http://schemas.openxmlformats.org/officeDocument/2006/relationships/hyperlink" Target="http://www.broadinstitute.org/gsea/msigdb/cards/GO_REGULATION_OF_WNT_SIGNALING_PATHWAY.html" TargetMode="External"/><Relationship Id="rId1239" Type="http://schemas.openxmlformats.org/officeDocument/2006/relationships/hyperlink" Target="http://www.broadinstitute.org/gsea/msigdb/cards/GO_REGULATION_OF_ACTIN_FILAMENT_BASED_PROCESS.html" TargetMode="External"/><Relationship Id="rId1630" Type="http://schemas.openxmlformats.org/officeDocument/2006/relationships/hyperlink" Target="http://www.broadinstitute.org/gsea/msigdb/cards/GO_CATION_CHANNEL_ACTIVITY.html" TargetMode="External"/><Relationship Id="rId1631" Type="http://schemas.openxmlformats.org/officeDocument/2006/relationships/hyperlink" Target="http://www.broadinstitute.org/gsea/msigdb/cards/GO_SULFUR_COMPOUND_METABOLIC_PROCESS.html" TargetMode="External"/><Relationship Id="rId1632" Type="http://schemas.openxmlformats.org/officeDocument/2006/relationships/hyperlink" Target="http://www.broadinstitute.org/gsea/msigdb/cards/GO_NEGATIVE_REGULATION_OF_PHOSPHORYLATION.html" TargetMode="External"/><Relationship Id="rId1633" Type="http://schemas.openxmlformats.org/officeDocument/2006/relationships/hyperlink" Target="http://www.broadinstitute.org/gsea/msigdb/cards/GO_REGULATION_OF_KIDNEY_DEVELOPMENT.html" TargetMode="External"/><Relationship Id="rId1634" Type="http://schemas.openxmlformats.org/officeDocument/2006/relationships/hyperlink" Target="http://www.broadinstitute.org/gsea/msigdb/cards/GO_CRANIAL_SKELETAL_SYSTEM_DEVELOPMENT.html" TargetMode="External"/><Relationship Id="rId1635" Type="http://schemas.openxmlformats.org/officeDocument/2006/relationships/hyperlink" Target="http://www.broadinstitute.org/gsea/msigdb/cards/GO_REGULATION_OF_FIBROBLAST_GROWTH_FACTOR_RECEPTOR_SIGNALING_PATHWAY.html" TargetMode="External"/><Relationship Id="rId1636" Type="http://schemas.openxmlformats.org/officeDocument/2006/relationships/hyperlink" Target="http://www.broadinstitute.org/gsea/msigdb/cards/GO_REGULATION_OF_RESPONSE_TO_STRESS.html" TargetMode="External"/><Relationship Id="rId1637" Type="http://schemas.openxmlformats.org/officeDocument/2006/relationships/hyperlink" Target="http://www.broadinstitute.org/gsea/msigdb/cards/GO_RESPONSE_TO_BMP.html" TargetMode="External"/><Relationship Id="rId1638" Type="http://schemas.openxmlformats.org/officeDocument/2006/relationships/hyperlink" Target="http://www.broadinstitute.org/gsea/msigdb/cards/GO_REGULATION_OF_SECRETION.html" TargetMode="External"/><Relationship Id="rId1639" Type="http://schemas.openxmlformats.org/officeDocument/2006/relationships/hyperlink" Target="http://www.broadinstitute.org/gsea/msigdb/cards/GO_REGULATION_OF_TRANSMEMBRANE_TRANSPORT.html" TargetMode="External"/><Relationship Id="rId1240" Type="http://schemas.openxmlformats.org/officeDocument/2006/relationships/hyperlink" Target="http://www.broadinstitute.org/gsea/msigdb/cards/GO_POSITIVE_REGULATION_OF_CELLULAR_COMPONENT_ORGANIZATION.html" TargetMode="External"/><Relationship Id="rId1241" Type="http://schemas.openxmlformats.org/officeDocument/2006/relationships/hyperlink" Target="http://www.broadinstitute.org/gsea/msigdb/cards/GO_REGULATION_OF_EPITHELIAL_TO_MESENCHYMAL_TRANSITION.html" TargetMode="External"/><Relationship Id="rId780" Type="http://schemas.openxmlformats.org/officeDocument/2006/relationships/hyperlink" Target="http://www.broadinstitute.org/gsea/msigdb/cards/HSF2_01.html" TargetMode="External"/><Relationship Id="rId781" Type="http://schemas.openxmlformats.org/officeDocument/2006/relationships/hyperlink" Target="http://www.broadinstitute.org/gsea/msigdb/cards/PBX1_01.html" TargetMode="External"/><Relationship Id="rId782" Type="http://schemas.openxmlformats.org/officeDocument/2006/relationships/hyperlink" Target="http://www.broadinstitute.org/gsea/msigdb/cards/OCT1_05.html" TargetMode="External"/><Relationship Id="rId783" Type="http://schemas.openxmlformats.org/officeDocument/2006/relationships/hyperlink" Target="http://www.broadinstitute.org/gsea/msigdb/cards/HLF_01.html" TargetMode="External"/><Relationship Id="rId784" Type="http://schemas.openxmlformats.org/officeDocument/2006/relationships/hyperlink" Target="http://www.broadinstitute.org/gsea/msigdb/cards/CDX2_Q5.html" TargetMode="External"/><Relationship Id="rId785" Type="http://schemas.openxmlformats.org/officeDocument/2006/relationships/hyperlink" Target="http://www.broadinstitute.org/gsea/msigdb/cards/GCTNWTTGK_UNKNOWN.html" TargetMode="External"/><Relationship Id="rId786" Type="http://schemas.openxmlformats.org/officeDocument/2006/relationships/hyperlink" Target="http://www.broadinstitute.org/gsea/msigdb/cards/ZIC3_01.html" TargetMode="External"/><Relationship Id="rId787" Type="http://schemas.openxmlformats.org/officeDocument/2006/relationships/hyperlink" Target="http://www.broadinstitute.org/gsea/msigdb/cards/TEF_Q6.html" TargetMode="External"/><Relationship Id="rId788" Type="http://schemas.openxmlformats.org/officeDocument/2006/relationships/hyperlink" Target="http://www.broadinstitute.org/gsea/msigdb/cards/TGCTGAY_UNKNOWN.html" TargetMode="External"/><Relationship Id="rId789" Type="http://schemas.openxmlformats.org/officeDocument/2006/relationships/hyperlink" Target="http://www.broadinstitute.org/gsea/msigdb/cards/TGAYRTCA_ATF3_Q6.html" TargetMode="External"/><Relationship Id="rId390" Type="http://schemas.openxmlformats.org/officeDocument/2006/relationships/hyperlink" Target="http://www.broadinstitute.org/gsea/msigdb/cards/ZWANG_CLASS_2_TRANSIENTLY_INDUCED_BY_EGF.html" TargetMode="External"/><Relationship Id="rId391" Type="http://schemas.openxmlformats.org/officeDocument/2006/relationships/hyperlink" Target="http://www.broadinstitute.org/gsea/msigdb/cards/KARLSSON_TGFB1_TARGETS_DN.html" TargetMode="External"/><Relationship Id="rId392" Type="http://schemas.openxmlformats.org/officeDocument/2006/relationships/hyperlink" Target="http://www.broadinstitute.org/gsea/msigdb/cards/ZWANG_TRANSIENTLY_UP_BY_1ST_EGF_PULSE_ONLY.html" TargetMode="External"/><Relationship Id="rId393" Type="http://schemas.openxmlformats.org/officeDocument/2006/relationships/hyperlink" Target="http://www.broadinstitute.org/gsea/msigdb/cards/REACTOME_PLATELET_ACTIVATION_SIGNALING_AND_AGGREGATION.html" TargetMode="External"/><Relationship Id="rId394" Type="http://schemas.openxmlformats.org/officeDocument/2006/relationships/hyperlink" Target="http://www.broadinstitute.org/gsea/msigdb/cards/REACTOME_HEPARAN_SULFATE_HEPARIN_HS_GAG_METABOLISM.html" TargetMode="External"/><Relationship Id="rId395" Type="http://schemas.openxmlformats.org/officeDocument/2006/relationships/hyperlink" Target="http://www.broadinstitute.org/gsea/msigdb/cards/CHIBA_RESPONSE_TO_TSA_UP.html" TargetMode="External"/><Relationship Id="rId396" Type="http://schemas.openxmlformats.org/officeDocument/2006/relationships/hyperlink" Target="http://www.broadinstitute.org/gsea/msigdb/cards/YOSHIMURA_MAPK8_TARGETS_DN.html" TargetMode="External"/><Relationship Id="rId397" Type="http://schemas.openxmlformats.org/officeDocument/2006/relationships/hyperlink" Target="http://www.broadinstitute.org/gsea/msigdb/cards/MANTOVANI_VIRAL_GPCR_SIGNALING_UP.html" TargetMode="External"/><Relationship Id="rId398" Type="http://schemas.openxmlformats.org/officeDocument/2006/relationships/hyperlink" Target="http://www.broadinstitute.org/gsea/msigdb/cards/HUPER_BREAST_BASAL_VS_LUMINAL_UP.html" TargetMode="External"/><Relationship Id="rId399" Type="http://schemas.openxmlformats.org/officeDocument/2006/relationships/hyperlink" Target="http://www.broadinstitute.org/gsea/msigdb/cards/MCBRYAN_PUBERTAL_BREAST_3_4WK_UP.html" TargetMode="External"/><Relationship Id="rId1242" Type="http://schemas.openxmlformats.org/officeDocument/2006/relationships/hyperlink" Target="http://www.broadinstitute.org/gsea/msigdb/cards/GO_REGULATION_OF_VASCULATURE_DEVELOPMENT.html" TargetMode="External"/><Relationship Id="rId1243" Type="http://schemas.openxmlformats.org/officeDocument/2006/relationships/hyperlink" Target="http://www.broadinstitute.org/gsea/msigdb/cards/GO_REGULATION_OF_CANONICAL_WNT_SIGNALING_PATHWAY.html" TargetMode="External"/><Relationship Id="rId1244" Type="http://schemas.openxmlformats.org/officeDocument/2006/relationships/hyperlink" Target="http://www.broadinstitute.org/gsea/msigdb/cards/GO_RESPIRATORY_SYSTEM_DEVELOPMENT.html" TargetMode="External"/><Relationship Id="rId1245" Type="http://schemas.openxmlformats.org/officeDocument/2006/relationships/hyperlink" Target="http://www.broadinstitute.org/gsea/msigdb/cards/GO_NEGATIVE_REGULATION_OF_WNT_SIGNALING_PATHWAY.html" TargetMode="External"/><Relationship Id="rId1246" Type="http://schemas.openxmlformats.org/officeDocument/2006/relationships/hyperlink" Target="http://www.broadinstitute.org/gsea/msigdb/cards/GO_TUBE_MORPHOGENESIS.html" TargetMode="External"/><Relationship Id="rId1247" Type="http://schemas.openxmlformats.org/officeDocument/2006/relationships/hyperlink" Target="http://www.broadinstitute.org/gsea/msigdb/cards/GO_REGULATION_OF_INTRACELLULAR_SIGNAL_TRANSDUCTION.html" TargetMode="External"/><Relationship Id="rId1248" Type="http://schemas.openxmlformats.org/officeDocument/2006/relationships/hyperlink" Target="http://www.broadinstitute.org/gsea/msigdb/cards/GO_NEGATIVE_REGULATION_OF_CANONICAL_WNT_SIGNALING_PATHWAY.html" TargetMode="External"/><Relationship Id="rId1249" Type="http://schemas.openxmlformats.org/officeDocument/2006/relationships/hyperlink" Target="http://www.broadinstitute.org/gsea/msigdb/cards/GO_SENSORY_ORGAN_MORPHOGENESIS.html" TargetMode="External"/><Relationship Id="rId1640" Type="http://schemas.openxmlformats.org/officeDocument/2006/relationships/hyperlink" Target="http://www.broadinstitute.org/gsea/msigdb/cards/GO_SERINE_TYPE_ENDOPEPTIDASE_INHIBITOR_ACTIVITY.html" TargetMode="External"/><Relationship Id="rId1641" Type="http://schemas.openxmlformats.org/officeDocument/2006/relationships/hyperlink" Target="http://www.broadinstitute.org/gsea/msigdb/cards/GO_RESPONSE_TO_REACTIVE_OXYGEN_SPECIES.html" TargetMode="External"/><Relationship Id="rId1642" Type="http://schemas.openxmlformats.org/officeDocument/2006/relationships/hyperlink" Target="http://www.broadinstitute.org/gsea/msigdb/cards/GO_CARDIOCYTE_DIFFERENTIATION.html" TargetMode="External"/><Relationship Id="rId1643" Type="http://schemas.openxmlformats.org/officeDocument/2006/relationships/hyperlink" Target="http://www.broadinstitute.org/gsea/msigdb/cards/GO_REPLACEMENT_OSSIFICATION.html" TargetMode="External"/><Relationship Id="rId1644" Type="http://schemas.openxmlformats.org/officeDocument/2006/relationships/hyperlink" Target="http://www.broadinstitute.org/gsea/msigdb/cards/GO_NEGATIVE_REGULATION_OF_CARTILAGE_DEVELOPMENT.html" TargetMode="External"/><Relationship Id="rId1645" Type="http://schemas.openxmlformats.org/officeDocument/2006/relationships/hyperlink" Target="http://www.broadinstitute.org/gsea/msigdb/cards/GO_CELLULAR_RESPONSE_TO_VITAMIN.html" TargetMode="External"/><Relationship Id="rId1646" Type="http://schemas.openxmlformats.org/officeDocument/2006/relationships/hyperlink" Target="http://www.broadinstitute.org/gsea/msigdb/cards/GO_RECEPTOR_ACTIVITY.html" TargetMode="External"/><Relationship Id="rId1647" Type="http://schemas.openxmlformats.org/officeDocument/2006/relationships/hyperlink" Target="http://www.broadinstitute.org/gsea/msigdb/cards/GO_PROTEOGLYCAN_BIOSYNTHETIC_PROCESS.html" TargetMode="External"/><Relationship Id="rId1648" Type="http://schemas.openxmlformats.org/officeDocument/2006/relationships/hyperlink" Target="http://www.broadinstitute.org/gsea/msigdb/cards/GO_NEGATIVE_REGULATION_OF_KINASE_ACTIVITY.html" TargetMode="External"/><Relationship Id="rId1649" Type="http://schemas.openxmlformats.org/officeDocument/2006/relationships/hyperlink" Target="http://www.broadinstitute.org/gsea/msigdb/cards/GO_POSITIVE_REGULATION_OF_INTRACELLULAR_TRANSPORT.html" TargetMode="External"/><Relationship Id="rId1250" Type="http://schemas.openxmlformats.org/officeDocument/2006/relationships/hyperlink" Target="http://www.broadinstitute.org/gsea/msigdb/cards/GO_ENZYME_LINKED_RECEPTOR_PROTEIN_SIGNALING_PATHWAY.html" TargetMode="External"/><Relationship Id="rId1251" Type="http://schemas.openxmlformats.org/officeDocument/2006/relationships/hyperlink" Target="http://www.broadinstitute.org/gsea/msigdb/cards/GO_MUSCLE_SYSTEM_PROCESS.html" TargetMode="External"/><Relationship Id="rId790" Type="http://schemas.openxmlformats.org/officeDocument/2006/relationships/hyperlink" Target="http://www.broadinstitute.org/gsea/msigdb/cards/ZID_01.html" TargetMode="External"/><Relationship Id="rId791" Type="http://schemas.openxmlformats.org/officeDocument/2006/relationships/hyperlink" Target="http://www.broadinstitute.org/gsea/msigdb/cards/MAF_Q6.html" TargetMode="External"/><Relationship Id="rId792" Type="http://schemas.openxmlformats.org/officeDocument/2006/relationships/hyperlink" Target="http://www.broadinstitute.org/gsea/msigdb/cards/FREAC2_01.html" TargetMode="External"/><Relationship Id="rId793" Type="http://schemas.openxmlformats.org/officeDocument/2006/relationships/hyperlink" Target="http://www.broadinstitute.org/gsea/msigdb/cards/ZIC1_01.html" TargetMode="External"/><Relationship Id="rId794" Type="http://schemas.openxmlformats.org/officeDocument/2006/relationships/hyperlink" Target="http://www.broadinstitute.org/gsea/msigdb/cards/AP4_01.html" TargetMode="External"/><Relationship Id="rId795" Type="http://schemas.openxmlformats.org/officeDocument/2006/relationships/hyperlink" Target="http://www.broadinstitute.org/gsea/msigdb/cards/AML1_01.html" TargetMode="External"/><Relationship Id="rId796" Type="http://schemas.openxmlformats.org/officeDocument/2006/relationships/hyperlink" Target="http://www.broadinstitute.org/gsea/msigdb/cards/AML1_Q6.html" TargetMode="External"/><Relationship Id="rId797" Type="http://schemas.openxmlformats.org/officeDocument/2006/relationships/hyperlink" Target="http://www.broadinstitute.org/gsea/msigdb/cards/LMO2COM_01.html" TargetMode="External"/><Relationship Id="rId798" Type="http://schemas.openxmlformats.org/officeDocument/2006/relationships/hyperlink" Target="http://www.broadinstitute.org/gsea/msigdb/cards/TTANTCA_UNKNOWN.html" TargetMode="External"/><Relationship Id="rId799" Type="http://schemas.openxmlformats.org/officeDocument/2006/relationships/hyperlink" Target="http://www.broadinstitute.org/gsea/msigdb/cards/TTAYRTAA_E4BP4_01.html" TargetMode="External"/><Relationship Id="rId1252" Type="http://schemas.openxmlformats.org/officeDocument/2006/relationships/hyperlink" Target="http://www.broadinstitute.org/gsea/msigdb/cards/GO_FIBRONECTIN_BINDING.html" TargetMode="External"/><Relationship Id="rId1253" Type="http://schemas.openxmlformats.org/officeDocument/2006/relationships/hyperlink" Target="http://www.broadinstitute.org/gsea/msigdb/cards/GO_SKELETAL_SYSTEM_MORPHOGENESIS.html" TargetMode="External"/><Relationship Id="rId1254" Type="http://schemas.openxmlformats.org/officeDocument/2006/relationships/hyperlink" Target="http://www.broadinstitute.org/gsea/msigdb/cards/GO_REGULATION_OF_ORGAN_MORPHOGENESIS.html" TargetMode="External"/><Relationship Id="rId1255" Type="http://schemas.openxmlformats.org/officeDocument/2006/relationships/hyperlink" Target="http://www.broadinstitute.org/gsea/msigdb/cards/GO_ENZYME_INHIBITOR_ACTIVITY.html" TargetMode="External"/><Relationship Id="rId1256" Type="http://schemas.openxmlformats.org/officeDocument/2006/relationships/hyperlink" Target="http://www.broadinstitute.org/gsea/msigdb/cards/GO_POSITIVE_REGULATION_OF_CELL_PROLIFERATION.html" TargetMode="External"/><Relationship Id="rId1257" Type="http://schemas.openxmlformats.org/officeDocument/2006/relationships/hyperlink" Target="http://www.broadinstitute.org/gsea/msigdb/cards/GO_RESPONSE_TO_EXTERNAL_STIMULUS.html" TargetMode="External"/><Relationship Id="rId1258" Type="http://schemas.openxmlformats.org/officeDocument/2006/relationships/hyperlink" Target="http://www.broadinstitute.org/gsea/msigdb/cards/GO_CELL_CELL_ADHESION_VIA_PLASMA_MEMBRANE_ADHESION_MOLECULES.html" TargetMode="External"/><Relationship Id="rId1259" Type="http://schemas.openxmlformats.org/officeDocument/2006/relationships/hyperlink" Target="http://www.broadinstitute.org/gsea/msigdb/cards/GO_NEGATIVE_REGULATION_OF_TRANSMEMBRANE_RECEPTOR_PROTEIN_SERINE_THREONINE_KINASE_SIGNALING_PATHWAY.html" TargetMode="External"/><Relationship Id="rId1650" Type="http://schemas.openxmlformats.org/officeDocument/2006/relationships/hyperlink" Target="http://www.broadinstitute.org/gsea/msigdb/cards/GO_MEMORY.html" TargetMode="External"/><Relationship Id="rId1651" Type="http://schemas.openxmlformats.org/officeDocument/2006/relationships/hyperlink" Target="http://www.broadinstitute.org/gsea/msigdb/cards/GO_NEGATIVE_REGULATION_OF_EXTRINSIC_APOPTOTIC_SIGNALING_PATHWAY.html" TargetMode="External"/><Relationship Id="rId1652" Type="http://schemas.openxmlformats.org/officeDocument/2006/relationships/hyperlink" Target="http://www.broadinstitute.org/gsea/msigdb/cards/GO_REGULATION_OF_STAT_CASCADE.html" TargetMode="External"/><Relationship Id="rId1653" Type="http://schemas.openxmlformats.org/officeDocument/2006/relationships/hyperlink" Target="http://www.broadinstitute.org/gsea/msigdb/cards/GO_RESPONSE_TO_NITROGEN_COMPOUND.html" TargetMode="External"/><Relationship Id="rId1654" Type="http://schemas.openxmlformats.org/officeDocument/2006/relationships/hyperlink" Target="http://www.broadinstitute.org/gsea/msigdb/cards/GO_APOPTOTIC_CELL_CLEARANCE.html" TargetMode="External"/><Relationship Id="rId1655" Type="http://schemas.openxmlformats.org/officeDocument/2006/relationships/hyperlink" Target="http://www.broadinstitute.org/gsea/msigdb/cards/GO_NEGATIVE_REGULATION_OF_INTRINSIC_APOPTOTIC_SIGNALING_PATHWAY_IN_RESPONSE_TO_DNA_DAMAGE.html" TargetMode="External"/><Relationship Id="rId1656" Type="http://schemas.openxmlformats.org/officeDocument/2006/relationships/hyperlink" Target="http://www.broadinstitute.org/gsea/msigdb/cards/GO_PROSTANOID_METABOLIC_PROCESS.html" TargetMode="External"/><Relationship Id="rId1657" Type="http://schemas.openxmlformats.org/officeDocument/2006/relationships/hyperlink" Target="http://www.broadinstitute.org/gsea/msigdb/cards/GO_POSITIVE_REGULATION_OF_PROTEIN_METABOLIC_PROCESS.html" TargetMode="External"/><Relationship Id="rId1658" Type="http://schemas.openxmlformats.org/officeDocument/2006/relationships/hyperlink" Target="http://www.broadinstitute.org/gsea/msigdb/cards/GO_REGULATION_OF_EPITHELIAL_CELL_APOPTOTIC_PROCESS.html" TargetMode="External"/><Relationship Id="rId1659" Type="http://schemas.openxmlformats.org/officeDocument/2006/relationships/hyperlink" Target="http://www.broadinstitute.org/gsea/msigdb/cards/GO_NEGATIVE_REGULATION_OF_GENE_EXPRESSION.html" TargetMode="External"/><Relationship Id="rId1260" Type="http://schemas.openxmlformats.org/officeDocument/2006/relationships/hyperlink" Target="http://www.broadinstitute.org/gsea/msigdb/cards/GO_EPITHELIUM_DEVELOPMENT.html" TargetMode="External"/><Relationship Id="rId1261" Type="http://schemas.openxmlformats.org/officeDocument/2006/relationships/hyperlink" Target="http://www.broadinstitute.org/gsea/msigdb/cards/GO_ARTERY_DEVELOPMENT.html" TargetMode="External"/><Relationship Id="rId1262" Type="http://schemas.openxmlformats.org/officeDocument/2006/relationships/hyperlink" Target="http://www.broadinstitute.org/gsea/msigdb/cards/GO_VESICLE_LUMEN.html" TargetMode="External"/><Relationship Id="rId1263" Type="http://schemas.openxmlformats.org/officeDocument/2006/relationships/hyperlink" Target="http://www.broadinstitute.org/gsea/msigdb/cards/GO_PEPTIDASE_REGULATOR_ACTIVITY.html" TargetMode="External"/><Relationship Id="rId1264" Type="http://schemas.openxmlformats.org/officeDocument/2006/relationships/hyperlink" Target="http://www.broadinstitute.org/gsea/msigdb/cards/GO_AMINOGLYCAN_BIOSYNTHETIC_PROCESS.html" TargetMode="External"/><Relationship Id="rId1265" Type="http://schemas.openxmlformats.org/officeDocument/2006/relationships/hyperlink" Target="http://www.broadinstitute.org/gsea/msigdb/cards/GO_METANEPHRIC_NEPHRON_DEVELOPMENT.html" TargetMode="External"/><Relationship Id="rId1266" Type="http://schemas.openxmlformats.org/officeDocument/2006/relationships/hyperlink" Target="http://www.broadinstitute.org/gsea/msigdb/cards/GO_PLATELET_DEGRANULATION.html" TargetMode="External"/><Relationship Id="rId1267" Type="http://schemas.openxmlformats.org/officeDocument/2006/relationships/hyperlink" Target="http://www.broadinstitute.org/gsea/msigdb/cards/GO_CELL_PROJECTION_ORGANIZATION.html" TargetMode="External"/><Relationship Id="rId1268" Type="http://schemas.openxmlformats.org/officeDocument/2006/relationships/hyperlink" Target="http://www.broadinstitute.org/gsea/msigdb/cards/GO_INTRINSIC_COMPONENT_OF_PLASMA_MEMBRANE.html" TargetMode="External"/><Relationship Id="rId1269" Type="http://schemas.openxmlformats.org/officeDocument/2006/relationships/hyperlink" Target="http://www.broadinstitute.org/gsea/msigdb/cards/GO_NEURON_PROJECTION_MORPHOGENESIS.html" TargetMode="External"/><Relationship Id="rId400" Type="http://schemas.openxmlformats.org/officeDocument/2006/relationships/hyperlink" Target="http://www.broadinstitute.org/gsea/msigdb/cards/MAINA_VHL_TARGETS_UP.html" TargetMode="External"/><Relationship Id="rId401" Type="http://schemas.openxmlformats.org/officeDocument/2006/relationships/hyperlink" Target="http://www.broadinstitute.org/gsea/msigdb/cards/AFFAR_YY1_TARGETS_UP.html" TargetMode="External"/><Relationship Id="rId402" Type="http://schemas.openxmlformats.org/officeDocument/2006/relationships/hyperlink" Target="http://www.broadinstitute.org/gsea/msigdb/cards/SASSON_RESPONSE_TO_GONADOTROPHINS_DN.html" TargetMode="External"/><Relationship Id="rId403" Type="http://schemas.openxmlformats.org/officeDocument/2006/relationships/hyperlink" Target="http://www.broadinstitute.org/gsea/msigdb/cards/CHIARADONNA_NEOPLASTIC_TRANSFORMATION_KRAS_UP.html" TargetMode="External"/><Relationship Id="rId404" Type="http://schemas.openxmlformats.org/officeDocument/2006/relationships/hyperlink" Target="http://www.broadinstitute.org/gsea/msigdb/cards/SCHLESINGER_METHYLATED_DE_NOVO_IN_CANCER.html" TargetMode="External"/><Relationship Id="rId405" Type="http://schemas.openxmlformats.org/officeDocument/2006/relationships/hyperlink" Target="http://www.broadinstitute.org/gsea/msigdb/cards/SASSON_RESPONSE_TO_FORSKOLIN_DN.html" TargetMode="External"/><Relationship Id="rId406" Type="http://schemas.openxmlformats.org/officeDocument/2006/relationships/hyperlink" Target="http://www.broadinstitute.org/gsea/msigdb/cards/PEREZ_TP53_TARGETS.html" TargetMode="External"/><Relationship Id="rId407" Type="http://schemas.openxmlformats.org/officeDocument/2006/relationships/hyperlink" Target="http://www.broadinstitute.org/gsea/msigdb/cards/REACTOME_DEGRADATION_OF_THE_EXTRACELLULAR_MATRIX.html" TargetMode="External"/><Relationship Id="rId408" Type="http://schemas.openxmlformats.org/officeDocument/2006/relationships/hyperlink" Target="http://www.broadinstitute.org/gsea/msigdb/cards/KEGG_MAPK_SIGNALING_PATHWAY.html" TargetMode="External"/><Relationship Id="rId409" Type="http://schemas.openxmlformats.org/officeDocument/2006/relationships/hyperlink" Target="http://www.broadinstitute.org/gsea/msigdb/cards/REACTOME_RESPONSE_TO_ELEVATED_PLATELET_CYTOSOLIC_CA2_.html" TargetMode="External"/><Relationship Id="rId1660" Type="http://schemas.openxmlformats.org/officeDocument/2006/relationships/hyperlink" Target="http://www.broadinstitute.org/gsea/msigdb/cards/GO_POSITIVE_REGULATION_OF_CALCIUM_ION_TRANSMEMBRANE_TRANSPORT.html" TargetMode="External"/><Relationship Id="rId1661" Type="http://schemas.openxmlformats.org/officeDocument/2006/relationships/hyperlink" Target="http://www.broadinstitute.org/gsea/msigdb/cards/GO_CHONDROCYTE_DIFFERENTIATION.html" TargetMode="External"/><Relationship Id="rId1662" Type="http://schemas.openxmlformats.org/officeDocument/2006/relationships/hyperlink" Target="http://www.broadinstitute.org/gsea/msigdb/cards/GO_REGULATION_OF_FIBROBLAST_MIGRATION.html" TargetMode="External"/><Relationship Id="rId1663" Type="http://schemas.openxmlformats.org/officeDocument/2006/relationships/hyperlink" Target="http://www.broadinstitute.org/gsea/msigdb/cards/GO_HEPARAN_SULFATE_PROTEOGLYCAN_METABOLIC_PROCESS.html" TargetMode="External"/><Relationship Id="rId1664" Type="http://schemas.openxmlformats.org/officeDocument/2006/relationships/hyperlink" Target="http://www.broadinstitute.org/gsea/msigdb/cards/GO_KERATAN_SULFATE_BIOSYNTHETIC_PROCESS.html" TargetMode="External"/><Relationship Id="rId1665" Type="http://schemas.openxmlformats.org/officeDocument/2006/relationships/hyperlink" Target="http://www.broadinstitute.org/gsea/msigdb/cards/GO_CAMERA_TYPE_EYE_MORPHOGENESIS.html" TargetMode="External"/><Relationship Id="rId1666" Type="http://schemas.openxmlformats.org/officeDocument/2006/relationships/hyperlink" Target="http://www.broadinstitute.org/gsea/msigdb/cards/GO_GLYCOPROTEIN_BINDING.html" TargetMode="External"/><Relationship Id="rId1667" Type="http://schemas.openxmlformats.org/officeDocument/2006/relationships/hyperlink" Target="http://www.broadinstitute.org/gsea/msigdb/cards/GO_POSITIVE_REGULATION_OF_CELL_GROWTH.html" TargetMode="External"/><Relationship Id="rId1668" Type="http://schemas.openxmlformats.org/officeDocument/2006/relationships/hyperlink" Target="http://www.broadinstitute.org/gsea/msigdb/cards/GO_NEGATIVE_REGULATION_OF_SECRETION.html" TargetMode="External"/><Relationship Id="rId1669" Type="http://schemas.openxmlformats.org/officeDocument/2006/relationships/hyperlink" Target="http://www.broadinstitute.org/gsea/msigdb/cards/GO_NEGATIVE_REGULATION_OF_APOPTOTIC_SIGNALING_PATHWAY.html" TargetMode="External"/><Relationship Id="rId1270" Type="http://schemas.openxmlformats.org/officeDocument/2006/relationships/hyperlink" Target="http://www.broadinstitute.org/gsea/msigdb/cards/GO_REGULATION_OF_CHEMOTAXIS.html" TargetMode="External"/><Relationship Id="rId1271" Type="http://schemas.openxmlformats.org/officeDocument/2006/relationships/hyperlink" Target="http://www.broadinstitute.org/gsea/msigdb/cards/GO_REGULATION_OF_TRANSPORT.html" TargetMode="External"/><Relationship Id="rId1272" Type="http://schemas.openxmlformats.org/officeDocument/2006/relationships/hyperlink" Target="http://www.broadinstitute.org/gsea/msigdb/cards/GO_NEGATIVE_REGULATION_OF_CELL_ADHESION.html" TargetMode="External"/><Relationship Id="rId1273" Type="http://schemas.openxmlformats.org/officeDocument/2006/relationships/hyperlink" Target="http://www.broadinstitute.org/gsea/msigdb/cards/GO_PROTEOGLYCAN_METABOLIC_PROCESS.html" TargetMode="External"/><Relationship Id="rId1274" Type="http://schemas.openxmlformats.org/officeDocument/2006/relationships/hyperlink" Target="http://www.broadinstitute.org/gsea/msigdb/cards/GO_CELL_JUNCTION_ORGANIZATION.html" TargetMode="External"/><Relationship Id="rId1275" Type="http://schemas.openxmlformats.org/officeDocument/2006/relationships/hyperlink" Target="http://www.broadinstitute.org/gsea/msigdb/cards/GO_DIGESTIVE_SYSTEM_DEVELOPMENT.html" TargetMode="External"/><Relationship Id="rId1276" Type="http://schemas.openxmlformats.org/officeDocument/2006/relationships/hyperlink" Target="http://www.broadinstitute.org/gsea/msigdb/cards/GO_VACUOLAR_LUMEN.html" TargetMode="External"/><Relationship Id="rId1277" Type="http://schemas.openxmlformats.org/officeDocument/2006/relationships/hyperlink" Target="http://www.broadinstitute.org/gsea/msigdb/cards/GO_REGULATION_OF_NERVOUS_SYSTEM_DEVELOPMENT.html" TargetMode="External"/><Relationship Id="rId1278" Type="http://schemas.openxmlformats.org/officeDocument/2006/relationships/hyperlink" Target="http://www.broadinstitute.org/gsea/msigdb/cards/GO_RESPONSE_TO_ACID_CHEMICAL.html" TargetMode="External"/><Relationship Id="rId1279" Type="http://schemas.openxmlformats.org/officeDocument/2006/relationships/hyperlink" Target="http://www.broadinstitute.org/gsea/msigdb/cards/GO_MESENCHYME_DEVELOPMENT.html" TargetMode="External"/><Relationship Id="rId800" Type="http://schemas.openxmlformats.org/officeDocument/2006/relationships/hyperlink" Target="http://www.broadinstitute.org/gsea/msigdb/cards/OCT1_01.html" TargetMode="External"/><Relationship Id="rId801" Type="http://schemas.openxmlformats.org/officeDocument/2006/relationships/hyperlink" Target="http://www.broadinstitute.org/gsea/msigdb/cards/NFAT_Q4_01.html" TargetMode="External"/><Relationship Id="rId802" Type="http://schemas.openxmlformats.org/officeDocument/2006/relationships/hyperlink" Target="http://www.broadinstitute.org/gsea/msigdb/cards/HSF1_01.html" TargetMode="External"/><Relationship Id="rId803" Type="http://schemas.openxmlformats.org/officeDocument/2006/relationships/hyperlink" Target="http://www.broadinstitute.org/gsea/msigdb/cards/NCX_01.html" TargetMode="External"/><Relationship Id="rId410" Type="http://schemas.openxmlformats.org/officeDocument/2006/relationships/hyperlink" Target="http://www.broadinstitute.org/gsea/msigdb/cards/HOQUE_METHYLATED_IN_CANCER.html" TargetMode="External"/><Relationship Id="rId411" Type="http://schemas.openxmlformats.org/officeDocument/2006/relationships/hyperlink" Target="http://www.broadinstitute.org/gsea/msigdb/cards/AMIT_SERUM_RESPONSE_60_MCF10A.html" TargetMode="External"/><Relationship Id="rId412" Type="http://schemas.openxmlformats.org/officeDocument/2006/relationships/hyperlink" Target="http://www.broadinstitute.org/gsea/msigdb/cards/BURTON_ADIPOGENESIS_11.html" TargetMode="External"/><Relationship Id="rId413" Type="http://schemas.openxmlformats.org/officeDocument/2006/relationships/hyperlink" Target="http://www.broadinstitute.org/gsea/msigdb/cards/WIEDERSCHAIN_TARGETS_OF_BMI1_AND_PCGF2.html" TargetMode="External"/><Relationship Id="rId414" Type="http://schemas.openxmlformats.org/officeDocument/2006/relationships/hyperlink" Target="http://www.broadinstitute.org/gsea/msigdb/cards/REACTOME_KERATAN_SULFATE_DEGRADATION.html" TargetMode="External"/><Relationship Id="rId415" Type="http://schemas.openxmlformats.org/officeDocument/2006/relationships/hyperlink" Target="http://www.broadinstitute.org/gsea/msigdb/cards/BONCI_TARGETS_OF_MIR15A_AND_MIR16_1.html" TargetMode="External"/><Relationship Id="rId416" Type="http://schemas.openxmlformats.org/officeDocument/2006/relationships/hyperlink" Target="http://www.broadinstitute.org/gsea/msigdb/cards/ANDERSEN_CHOLANGIOCARCINOMA_CLASS2.html" TargetMode="External"/><Relationship Id="rId417" Type="http://schemas.openxmlformats.org/officeDocument/2006/relationships/hyperlink" Target="http://www.broadinstitute.org/gsea/msigdb/cards/JI_RESPONSE_TO_FSH_DN.html" TargetMode="External"/><Relationship Id="rId418" Type="http://schemas.openxmlformats.org/officeDocument/2006/relationships/hyperlink" Target="http://www.broadinstitute.org/gsea/msigdb/cards/SANSOM_WNT_PATHWAY_REQUIRE_MYC.html" TargetMode="External"/><Relationship Id="rId419" Type="http://schemas.openxmlformats.org/officeDocument/2006/relationships/hyperlink" Target="http://www.broadinstitute.org/gsea/msigdb/cards/BURTON_ADIPOGENESIS_9.html" TargetMode="External"/><Relationship Id="rId804" Type="http://schemas.openxmlformats.org/officeDocument/2006/relationships/hyperlink" Target="http://www.broadinstitute.org/gsea/msigdb/cards/CACCCBINDINGFACTOR_Q6.html" TargetMode="External"/><Relationship Id="rId805" Type="http://schemas.openxmlformats.org/officeDocument/2006/relationships/hyperlink" Target="http://www.broadinstitute.org/gsea/msigdb/cards/YATTNATC_UNKNOWN.html" TargetMode="External"/><Relationship Id="rId806" Type="http://schemas.openxmlformats.org/officeDocument/2006/relationships/hyperlink" Target="http://www.broadinstitute.org/gsea/msigdb/cards/GR_Q6.html" TargetMode="External"/><Relationship Id="rId807" Type="http://schemas.openxmlformats.org/officeDocument/2006/relationships/hyperlink" Target="http://www.broadinstitute.org/gsea/msigdb/cards/HNF3B_01.html" TargetMode="External"/><Relationship Id="rId808" Type="http://schemas.openxmlformats.org/officeDocument/2006/relationships/hyperlink" Target="http://www.broadinstitute.org/gsea/msigdb/cards/COREBINDINGFACTOR_Q6.html" TargetMode="External"/><Relationship Id="rId809" Type="http://schemas.openxmlformats.org/officeDocument/2006/relationships/hyperlink" Target="http://www.broadinstitute.org/gsea/msigdb/cards/AAGCAAT_MIR137.html" TargetMode="External"/><Relationship Id="rId1670" Type="http://schemas.openxmlformats.org/officeDocument/2006/relationships/hyperlink" Target="http://www.broadinstitute.org/gsea/msigdb/cards/GO_REGULATION_OF_TRANSFERASE_ACTIVITY.html" TargetMode="External"/><Relationship Id="rId1671" Type="http://schemas.openxmlformats.org/officeDocument/2006/relationships/hyperlink" Target="http://www.broadinstitute.org/gsea/msigdb/cards/GO_REGULATION_OF_LEUKOCYTE_MIGRATION.html" TargetMode="External"/><Relationship Id="rId1672" Type="http://schemas.openxmlformats.org/officeDocument/2006/relationships/hyperlink" Target="http://www.broadinstitute.org/gsea/msigdb/cards/GO_SITE_OF_POLARIZED_GROWTH.html" TargetMode="External"/><Relationship Id="rId1673" Type="http://schemas.openxmlformats.org/officeDocument/2006/relationships/hyperlink" Target="http://www.broadinstitute.org/gsea/msigdb/cards/GO_POSITIVE_REGULATION_OF_INTRACELLULAR_PROTEIN_TRANSPORT.html" TargetMode="External"/><Relationship Id="rId1280" Type="http://schemas.openxmlformats.org/officeDocument/2006/relationships/hyperlink" Target="http://www.broadinstitute.org/gsea/msigdb/cards/GO_CELL_MORPHOGENESIS_INVOLVED_IN_NEURON_DIFFERENTIATION.html" TargetMode="External"/><Relationship Id="rId1281" Type="http://schemas.openxmlformats.org/officeDocument/2006/relationships/hyperlink" Target="http://www.broadinstitute.org/gsea/msigdb/cards/GO_MUSCLE_TISSUE_DEVELOPMENT.html" TargetMode="External"/><Relationship Id="rId1282" Type="http://schemas.openxmlformats.org/officeDocument/2006/relationships/hyperlink" Target="http://www.broadinstitute.org/gsea/msigdb/cards/GO_HOMOPHILIC_CELL_ADHESION_VIA_PLASMA_MEMBRANE_ADHESION_MOLECULES.html" TargetMode="External"/><Relationship Id="rId1283" Type="http://schemas.openxmlformats.org/officeDocument/2006/relationships/hyperlink" Target="http://www.broadinstitute.org/gsea/msigdb/cards/GO_MUSCLE_CONTRACTION.html" TargetMode="External"/><Relationship Id="rId1284" Type="http://schemas.openxmlformats.org/officeDocument/2006/relationships/hyperlink" Target="http://www.broadinstitute.org/gsea/msigdb/cards/GO_GASTRULATION.html" TargetMode="External"/><Relationship Id="rId1285" Type="http://schemas.openxmlformats.org/officeDocument/2006/relationships/hyperlink" Target="http://www.broadinstitute.org/gsea/msigdb/cards/GO_EAR_DEVELOPMENT.html" TargetMode="External"/><Relationship Id="rId1286" Type="http://schemas.openxmlformats.org/officeDocument/2006/relationships/hyperlink" Target="http://www.broadinstitute.org/gsea/msigdb/cards/GO_POSITIVE_REGULATION_OF_CELL_ADHESION.html" TargetMode="External"/><Relationship Id="rId1287" Type="http://schemas.openxmlformats.org/officeDocument/2006/relationships/hyperlink" Target="http://www.broadinstitute.org/gsea/msigdb/cards/GO_EMBRYONIC_SKELETAL_SYSTEM_DEVELOPMENT.html" TargetMode="External"/><Relationship Id="rId1288" Type="http://schemas.openxmlformats.org/officeDocument/2006/relationships/hyperlink" Target="http://www.broadinstitute.org/gsea/msigdb/cards/GO_SULFUR_COMPOUND_CATABOLIC_PROCESS.html" TargetMode="External"/><Relationship Id="rId1289" Type="http://schemas.openxmlformats.org/officeDocument/2006/relationships/hyperlink" Target="http://www.broadinstitute.org/gsea/msigdb/cards/GO_METANEPHRIC_NEPHRON_MORPHOGENESIS.html" TargetMode="External"/><Relationship Id="rId1674" Type="http://schemas.openxmlformats.org/officeDocument/2006/relationships/hyperlink" Target="http://www.broadinstitute.org/gsea/msigdb/cards/GO_LEUKOCYTE_MIGRATION.html" TargetMode="External"/><Relationship Id="rId1675" Type="http://schemas.openxmlformats.org/officeDocument/2006/relationships/hyperlink" Target="http://www.broadinstitute.org/gsea/msigdb/cards/GO_SULFUR_COMPOUND_BIOSYNTHETIC_PROCESS.html" TargetMode="External"/><Relationship Id="rId1676" Type="http://schemas.openxmlformats.org/officeDocument/2006/relationships/hyperlink" Target="http://www.broadinstitute.org/gsea/msigdb/cards/GO_REGULATION_OF_EXTRACELLULAR_MATRIX_ORGANIZATION.html" TargetMode="External"/><Relationship Id="rId1677" Type="http://schemas.openxmlformats.org/officeDocument/2006/relationships/hyperlink" Target="http://www.broadinstitute.org/gsea/msigdb/cards/GO_REGULATION_OF_CALCIUM_ION_IMPORT.html" TargetMode="External"/><Relationship Id="rId1678" Type="http://schemas.openxmlformats.org/officeDocument/2006/relationships/hyperlink" Target="http://www.broadinstitute.org/gsea/msigdb/cards/GO_CARDIAC_VENTRICLE_MORPHOGENESIS.html" TargetMode="External"/><Relationship Id="rId1679" Type="http://schemas.openxmlformats.org/officeDocument/2006/relationships/hyperlink" Target="http://www.broadinstitute.org/gsea/msigdb/cards/GO_REGULATION_OF_CGMP_METABOLIC_PROCESS.html" TargetMode="External"/><Relationship Id="rId810" Type="http://schemas.openxmlformats.org/officeDocument/2006/relationships/hyperlink" Target="http://www.broadinstitute.org/gsea/msigdb/cards/LHX3_01.html" TargetMode="External"/><Relationship Id="rId811" Type="http://schemas.openxmlformats.org/officeDocument/2006/relationships/hyperlink" Target="http://www.broadinstitute.org/gsea/msigdb/cards/AP1_Q2_01.html" TargetMode="External"/><Relationship Id="rId812" Type="http://schemas.openxmlformats.org/officeDocument/2006/relationships/hyperlink" Target="http://www.broadinstitute.org/gsea/msigdb/cards/RNGTGGGC_UNKNOWN.html" TargetMode="External"/><Relationship Id="rId813" Type="http://schemas.openxmlformats.org/officeDocument/2006/relationships/hyperlink" Target="http://www.broadinstitute.org/gsea/msigdb/cards/CREBP1_01.html" TargetMode="External"/><Relationship Id="rId420" Type="http://schemas.openxmlformats.org/officeDocument/2006/relationships/hyperlink" Target="http://www.broadinstitute.org/gsea/msigdb/cards/DORSEY_GAB2_TARGETS.html" TargetMode="External"/><Relationship Id="rId421" Type="http://schemas.openxmlformats.org/officeDocument/2006/relationships/hyperlink" Target="http://www.broadinstitute.org/gsea/msigdb/cards/LIANG_SILENCED_BY_METHYLATION_UP.html" TargetMode="External"/><Relationship Id="rId422" Type="http://schemas.openxmlformats.org/officeDocument/2006/relationships/hyperlink" Target="http://www.broadinstitute.org/gsea/msigdb/cards/TSAI_RESPONSE_TO_RADIATION_THERAPY.html" TargetMode="External"/><Relationship Id="rId423" Type="http://schemas.openxmlformats.org/officeDocument/2006/relationships/hyperlink" Target="http://www.broadinstitute.org/gsea/msigdb/cards/REACTOME_CS_DS_DEGRADATION.html" TargetMode="External"/><Relationship Id="rId424" Type="http://schemas.openxmlformats.org/officeDocument/2006/relationships/hyperlink" Target="http://www.broadinstitute.org/gsea/msigdb/cards/CLAUS_PGR_POSITIVE_MENINGIOMA_DN.html" TargetMode="External"/><Relationship Id="rId425" Type="http://schemas.openxmlformats.org/officeDocument/2006/relationships/hyperlink" Target="http://www.broadinstitute.org/gsea/msigdb/cards/HAN_SATB1_TARGETS_UP.html" TargetMode="External"/><Relationship Id="rId426" Type="http://schemas.openxmlformats.org/officeDocument/2006/relationships/hyperlink" Target="http://www.broadinstitute.org/gsea/msigdb/cards/PID_INTEGRIN_A4B1_PATHWAY.html" TargetMode="External"/><Relationship Id="rId427" Type="http://schemas.openxmlformats.org/officeDocument/2006/relationships/hyperlink" Target="http://www.broadinstitute.org/gsea/msigdb/cards/GOZGIT_ESR1_TARGETS_DN.html" TargetMode="External"/><Relationship Id="rId428" Type="http://schemas.openxmlformats.org/officeDocument/2006/relationships/hyperlink" Target="http://www.broadinstitute.org/gsea/msigdb/cards/SAMOLS_TARGETS_OF_KHSV_MIRNAS_DN.html" TargetMode="External"/><Relationship Id="rId429" Type="http://schemas.openxmlformats.org/officeDocument/2006/relationships/hyperlink" Target="http://www.broadinstitute.org/gsea/msigdb/cards/OKUMURA_INFLAMMATORY_RESPONSE_LPS.html" TargetMode="External"/><Relationship Id="rId814" Type="http://schemas.openxmlformats.org/officeDocument/2006/relationships/hyperlink" Target="http://www.broadinstitute.org/gsea/msigdb/cards/OCT1_03.html" TargetMode="External"/><Relationship Id="rId815" Type="http://schemas.openxmlformats.org/officeDocument/2006/relationships/hyperlink" Target="http://www.broadinstitute.org/gsea/msigdb/cards/SYATTGTG_UNKNOWN.html" TargetMode="External"/><Relationship Id="rId816" Type="http://schemas.openxmlformats.org/officeDocument/2006/relationships/hyperlink" Target="http://www.broadinstitute.org/gsea/msigdb/cards/NKX61_01.html" TargetMode="External"/><Relationship Id="rId817" Type="http://schemas.openxmlformats.org/officeDocument/2006/relationships/hyperlink" Target="http://www.broadinstitute.org/gsea/msigdb/cards/FOXJ2_02.html" TargetMode="External"/><Relationship Id="rId818" Type="http://schemas.openxmlformats.org/officeDocument/2006/relationships/hyperlink" Target="http://www.broadinstitute.org/gsea/msigdb/cards/MEF2_03.html" TargetMode="External"/><Relationship Id="rId819" Type="http://schemas.openxmlformats.org/officeDocument/2006/relationships/hyperlink" Target="http://www.broadinstitute.org/gsea/msigdb/cards/PTF1BETA_Q6.html" TargetMode="External"/><Relationship Id="rId1680" Type="http://schemas.openxmlformats.org/officeDocument/2006/relationships/hyperlink" Target="http://www.broadinstitute.org/gsea/msigdb/cards/GO_POSITIVE_REGULATION_OF_PHOSPHATIDYLINOSITOL_3_KINASE_SIGNALING.html" TargetMode="External"/><Relationship Id="rId1681" Type="http://schemas.openxmlformats.org/officeDocument/2006/relationships/hyperlink" Target="http://www.broadinstitute.org/gsea/msigdb/cards/GO_BEHAVIOR.html" TargetMode="External"/><Relationship Id="rId1682" Type="http://schemas.openxmlformats.org/officeDocument/2006/relationships/hyperlink" Target="http://www.broadinstitute.org/gsea/msigdb/cards/GO_PROTEASE_BINDING.html" TargetMode="External"/><Relationship Id="rId1683" Type="http://schemas.openxmlformats.org/officeDocument/2006/relationships/hyperlink" Target="http://www.broadinstitute.org/gsea/msigdb/cards/GO_REGULATION_OF_MUSCLE_CELL_DIFFERENTIATION.html" TargetMode="External"/><Relationship Id="rId1290" Type="http://schemas.openxmlformats.org/officeDocument/2006/relationships/hyperlink" Target="http://www.broadinstitute.org/gsea/msigdb/cards/GO_REGULATION_OF_EPITHELIAL_CELL_PROLIFERATION.html" TargetMode="External"/><Relationship Id="rId1291" Type="http://schemas.openxmlformats.org/officeDocument/2006/relationships/hyperlink" Target="http://www.broadinstitute.org/gsea/msigdb/cards/GO_SARCOLEMMA.html" TargetMode="External"/><Relationship Id="rId1292" Type="http://schemas.openxmlformats.org/officeDocument/2006/relationships/hyperlink" Target="http://www.broadinstitute.org/gsea/msigdb/cards/GO_OSTEOBLAST_DIFFERENTIATION.html" TargetMode="External"/><Relationship Id="rId1293" Type="http://schemas.openxmlformats.org/officeDocument/2006/relationships/hyperlink" Target="http://www.broadinstitute.org/gsea/msigdb/cards/GO_REGULATION_OF_CELL_MORPHOGENESIS_INVOLVED_IN_DIFFERENTIATION.html" TargetMode="External"/><Relationship Id="rId1294" Type="http://schemas.openxmlformats.org/officeDocument/2006/relationships/hyperlink" Target="http://www.broadinstitute.org/gsea/msigdb/cards/GO_RESPONSE_TO_OXYGEN_CONTAINING_COMPOUND.html" TargetMode="External"/><Relationship Id="rId1295" Type="http://schemas.openxmlformats.org/officeDocument/2006/relationships/hyperlink" Target="http://www.broadinstitute.org/gsea/msigdb/cards/GO_NEGATIVE_REGULATION_OF_TRANSFORMING_GROWTH_FACTOR_BETA_RECEPTOR_SIGNALING_PATHWAY.html" TargetMode="External"/><Relationship Id="rId1296" Type="http://schemas.openxmlformats.org/officeDocument/2006/relationships/hyperlink" Target="http://www.broadinstitute.org/gsea/msigdb/cards/GO_PROTEIN_COMPLEX_SUBUNIT_ORGANIZATION.html" TargetMode="External"/><Relationship Id="rId1297" Type="http://schemas.openxmlformats.org/officeDocument/2006/relationships/hyperlink" Target="http://www.broadinstitute.org/gsea/msigdb/cards/GO_REGULATION_OF_CELL_GROWTH.html" TargetMode="External"/><Relationship Id="rId1298" Type="http://schemas.openxmlformats.org/officeDocument/2006/relationships/hyperlink" Target="http://www.broadinstitute.org/gsea/msigdb/cards/GO_EMBRYO_DEVELOPMENT_ENDING_IN_BIRTH_OR_EGG_HATCHING.html" TargetMode="External"/><Relationship Id="rId1299" Type="http://schemas.openxmlformats.org/officeDocument/2006/relationships/hyperlink" Target="http://www.broadinstitute.org/gsea/msigdb/cards/GO_REGULATION_OF_NEURON_DIFFERENTIATION.html" TargetMode="External"/><Relationship Id="rId1684" Type="http://schemas.openxmlformats.org/officeDocument/2006/relationships/hyperlink" Target="http://www.broadinstitute.org/gsea/msigdb/cards/GO_REGULATION_OF_MAPK_CASCADE.html" TargetMode="External"/><Relationship Id="rId1685" Type="http://schemas.openxmlformats.org/officeDocument/2006/relationships/hyperlink" Target="http://www.broadinstitute.org/gsea/msigdb/cards/GO_REGULATION_OF_EXTRINSIC_APOPTOTIC_SIGNALING_PATHWAY.html" TargetMode="External"/><Relationship Id="rId1686" Type="http://schemas.openxmlformats.org/officeDocument/2006/relationships/hyperlink" Target="http://www.broadinstitute.org/gsea/msigdb/cards/GO_POSITIVE_REGULATION_OF_SMOOTH_MUSCLE_CELL_MIGRATION.html" TargetMode="External"/><Relationship Id="rId1687" Type="http://schemas.openxmlformats.org/officeDocument/2006/relationships/hyperlink" Target="http://www.broadinstitute.org/gsea/msigdb/cards/GO_LAMININ_BINDING.html" TargetMode="External"/><Relationship Id="rId1688" Type="http://schemas.openxmlformats.org/officeDocument/2006/relationships/hyperlink" Target="http://www.broadinstitute.org/gsea/msigdb/cards/GO_POSITIVE_REGULATION_OF_EPITHELIAL_CELL_PROLIFERATION.html" TargetMode="External"/><Relationship Id="rId1689" Type="http://schemas.openxmlformats.org/officeDocument/2006/relationships/hyperlink" Target="http://www.broadinstitute.org/gsea/msigdb/cards/GO_REGULATION_OF_FAT_CELL_DIFFERENTIATION.html" TargetMode="External"/><Relationship Id="rId820" Type="http://schemas.openxmlformats.org/officeDocument/2006/relationships/hyperlink" Target="http://www.broadinstitute.org/gsea/msigdb/cards/GATA1_04.html" TargetMode="External"/><Relationship Id="rId821" Type="http://schemas.openxmlformats.org/officeDocument/2006/relationships/hyperlink" Target="http://www.broadinstitute.org/gsea/msigdb/cards/TBP_01.html" TargetMode="External"/><Relationship Id="rId822" Type="http://schemas.openxmlformats.org/officeDocument/2006/relationships/hyperlink" Target="http://www.broadinstitute.org/gsea/msigdb/cards/TACTTGA_MIR26A_MIR26B.html" TargetMode="External"/><Relationship Id="rId823" Type="http://schemas.openxmlformats.org/officeDocument/2006/relationships/hyperlink" Target="http://www.broadinstitute.org/gsea/msigdb/cards/PAX8_B.html" TargetMode="External"/><Relationship Id="rId430" Type="http://schemas.openxmlformats.org/officeDocument/2006/relationships/hyperlink" Target="http://www.broadinstitute.org/gsea/msigdb/cards/FRIDMAN_IMMORTALIZATION_DN.html" TargetMode="External"/><Relationship Id="rId431" Type="http://schemas.openxmlformats.org/officeDocument/2006/relationships/hyperlink" Target="http://www.broadinstitute.org/gsea/msigdb/cards/MARTENS_TRETINOIN_RESPONSE_UP.html" TargetMode="External"/><Relationship Id="rId432" Type="http://schemas.openxmlformats.org/officeDocument/2006/relationships/hyperlink" Target="http://www.broadinstitute.org/gsea/msigdb/cards/MATZUK_EARLY_ANTRAL_FOLLICLE.html" TargetMode="External"/><Relationship Id="rId433" Type="http://schemas.openxmlformats.org/officeDocument/2006/relationships/hyperlink" Target="http://www.broadinstitute.org/gsea/msigdb/cards/HELLER_HDAC_TARGETS_SILENCED_BY_METHYLATION_UP.html" TargetMode="External"/><Relationship Id="rId434" Type="http://schemas.openxmlformats.org/officeDocument/2006/relationships/hyperlink" Target="http://www.broadinstitute.org/gsea/msigdb/cards/JOSEPH_RESPONSE_TO_SODIUM_BUTYRATE_DN.html" TargetMode="External"/><Relationship Id="rId435" Type="http://schemas.openxmlformats.org/officeDocument/2006/relationships/hyperlink" Target="http://www.broadinstitute.org/gsea/msigdb/cards/SIG_REGULATION_OF_THE_ACTIN_CYTOSKELETON_BY_RHO_GTPASES.html" TargetMode="External"/><Relationship Id="rId436" Type="http://schemas.openxmlformats.org/officeDocument/2006/relationships/hyperlink" Target="http://www.broadinstitute.org/gsea/msigdb/cards/OUELLET_CULTURED_OVARIAN_CANCER_INVASIVE_VS_LMP_DN.html" TargetMode="External"/><Relationship Id="rId437" Type="http://schemas.openxmlformats.org/officeDocument/2006/relationships/hyperlink" Target="http://www.broadinstitute.org/gsea/msigdb/cards/COLIN_PILOCYTIC_ASTROCYTOMA_VS_GLIOBLASTOMA_UP.html" TargetMode="External"/><Relationship Id="rId438" Type="http://schemas.openxmlformats.org/officeDocument/2006/relationships/hyperlink" Target="http://www.broadinstitute.org/gsea/msigdb/cards/HAN_JNK_SINGALING_UP.html" TargetMode="External"/><Relationship Id="rId439" Type="http://schemas.openxmlformats.org/officeDocument/2006/relationships/hyperlink" Target="http://www.broadinstitute.org/gsea/msigdb/cards/GRAESSMANN_APOPTOSIS_BY_DOXORUBICIN_DN.html" TargetMode="External"/><Relationship Id="rId824" Type="http://schemas.openxmlformats.org/officeDocument/2006/relationships/hyperlink" Target="http://www.broadinstitute.org/gsea/msigdb/cards/HMGIY_Q6.html" TargetMode="External"/><Relationship Id="rId825" Type="http://schemas.openxmlformats.org/officeDocument/2006/relationships/hyperlink" Target="http://www.broadinstitute.org/gsea/msigdb/cards/YATGNWAAT_OCT_C.html" TargetMode="External"/><Relationship Id="rId826" Type="http://schemas.openxmlformats.org/officeDocument/2006/relationships/hyperlink" Target="http://www.broadinstitute.org/gsea/msigdb/cards/YTAAYNGCT_UNKNOWN.html" TargetMode="External"/><Relationship Id="rId827" Type="http://schemas.openxmlformats.org/officeDocument/2006/relationships/hyperlink" Target="http://www.broadinstitute.org/gsea/msigdb/cards/CEBP_C.html" TargetMode="External"/><Relationship Id="rId828" Type="http://schemas.openxmlformats.org/officeDocument/2006/relationships/hyperlink" Target="http://www.broadinstitute.org/gsea/msigdb/cards/HFH4_01.html" TargetMode="External"/><Relationship Id="rId829" Type="http://schemas.openxmlformats.org/officeDocument/2006/relationships/hyperlink" Target="http://www.broadinstitute.org/gsea/msigdb/cards/ACTGAAA_MIR30A3P_MIR30E3P.html" TargetMode="External"/><Relationship Id="rId1690" Type="http://schemas.openxmlformats.org/officeDocument/2006/relationships/hyperlink" Target="http://www.broadinstitute.org/gsea/msigdb/cards/GO_CARDIAC_VENTRICLE_DEVELOPMENT.html" TargetMode="External"/><Relationship Id="rId1691" Type="http://schemas.openxmlformats.org/officeDocument/2006/relationships/hyperlink" Target="http://www.broadinstitute.org/gsea/msigdb/cards/GO_TRANSMEMBRANE_RECEPTOR_PROTEIN_TYROSINE_KINASE_ACTIVITY.html" TargetMode="External"/><Relationship Id="rId1692" Type="http://schemas.openxmlformats.org/officeDocument/2006/relationships/hyperlink" Target="http://www.broadinstitute.org/gsea/msigdb/cards/GO_INFLAMMATORY_RESPONSE.html" TargetMode="External"/><Relationship Id="rId1693" Type="http://schemas.openxmlformats.org/officeDocument/2006/relationships/hyperlink" Target="http://www.broadinstitute.org/gsea/msigdb/cards/GO_OXIDOREDUCTASE_ACTIVITY_ACTING_ON_PAIRED_DONORS_WITH_INCORPORATION_OR_REDUCTION_OF_MOLECULAR_OXYGEN.html" TargetMode="External"/><Relationship Id="rId1694" Type="http://schemas.openxmlformats.org/officeDocument/2006/relationships/hyperlink" Target="http://www.broadinstitute.org/gsea/msigdb/cards/GO_ORGANIC_ACID_BINDING.html" TargetMode="External"/><Relationship Id="rId1695" Type="http://schemas.openxmlformats.org/officeDocument/2006/relationships/hyperlink" Target="http://www.broadinstitute.org/gsea/msigdb/cards/GO_POSITIVE_REGULATION_OF_CALCIUM_ION_TRANSMEMBRANE_TRANSPORTER_ACTIVITY.html" TargetMode="External"/><Relationship Id="rId1696" Type="http://schemas.openxmlformats.org/officeDocument/2006/relationships/hyperlink" Target="http://www.broadinstitute.org/gsea/msigdb/cards/GO_LYTIC_VACUOLE.html" TargetMode="External"/><Relationship Id="rId1697" Type="http://schemas.openxmlformats.org/officeDocument/2006/relationships/hyperlink" Target="http://www.broadinstitute.org/gsea/msigdb/cards/GO_REGULATION_OF_NUCLEOTIDE_METABOLIC_PROCESS.html" TargetMode="External"/><Relationship Id="rId1698" Type="http://schemas.openxmlformats.org/officeDocument/2006/relationships/hyperlink" Target="http://www.broadinstitute.org/gsea/msigdb/cards/GO_POSITIVE_REGULATION_OF_LIPASE_ACTIVITY.html" TargetMode="External"/><Relationship Id="rId1699" Type="http://schemas.openxmlformats.org/officeDocument/2006/relationships/hyperlink" Target="http://www.broadinstitute.org/gsea/msigdb/cards/GO_POSITIVE_REGULATION_OF_CYCLIC_NUCLEOTIDE_METABOLIC_PROCESS.html" TargetMode="External"/><Relationship Id="rId830" Type="http://schemas.openxmlformats.org/officeDocument/2006/relationships/hyperlink" Target="http://www.broadinstitute.org/gsea/msigdb/cards/YNGTTNNNATT_UNKNOWN.html" TargetMode="External"/><Relationship Id="rId831" Type="http://schemas.openxmlformats.org/officeDocument/2006/relationships/hyperlink" Target="http://www.broadinstitute.org/gsea/msigdb/cards/AAAYWAACM_HFH4_01.html" TargetMode="External"/><Relationship Id="rId832" Type="http://schemas.openxmlformats.org/officeDocument/2006/relationships/hyperlink" Target="http://www.broadinstitute.org/gsea/msigdb/cards/HTF_01.html" TargetMode="External"/><Relationship Id="rId833" Type="http://schemas.openxmlformats.org/officeDocument/2006/relationships/hyperlink" Target="http://www.broadinstitute.org/gsea/msigdb/cards/PITX2_Q2.html" TargetMode="External"/><Relationship Id="rId440" Type="http://schemas.openxmlformats.org/officeDocument/2006/relationships/hyperlink" Target="http://www.broadinstitute.org/gsea/msigdb/cards/KOYAMA_SEMA3B_TARGETS_UP.html" TargetMode="External"/><Relationship Id="rId441" Type="http://schemas.openxmlformats.org/officeDocument/2006/relationships/hyperlink" Target="http://www.broadinstitute.org/gsea/msigdb/cards/LABBE_TGFB1_TARGETS_UP.html" TargetMode="External"/><Relationship Id="rId442" Type="http://schemas.openxmlformats.org/officeDocument/2006/relationships/hyperlink" Target="http://www.broadinstitute.org/gsea/msigdb/cards/RUTELLA_RESPONSE_TO_HGF_VS_CSF2RB_AND_IL4_UP.html" TargetMode="External"/><Relationship Id="rId443" Type="http://schemas.openxmlformats.org/officeDocument/2006/relationships/hyperlink" Target="http://www.broadinstitute.org/gsea/msigdb/cards/GAUSSMANN_MLL_AF4_FUSION_TARGETS_A_UP.html" TargetMode="External"/><Relationship Id="rId444" Type="http://schemas.openxmlformats.org/officeDocument/2006/relationships/hyperlink" Target="http://www.broadinstitute.org/gsea/msigdb/cards/DACOSTA_ERCC3_ALLELE_XPCS_VS_TTD_DN.html" TargetMode="External"/><Relationship Id="rId445" Type="http://schemas.openxmlformats.org/officeDocument/2006/relationships/hyperlink" Target="http://www.broadinstitute.org/gsea/msigdb/cards/ABBUD_LIF_SIGNALING_2_UP.html" TargetMode="External"/><Relationship Id="rId446" Type="http://schemas.openxmlformats.org/officeDocument/2006/relationships/hyperlink" Target="http://www.broadinstitute.org/gsea/msigdb/cards/WEIGEL_OXIDATIVE_STRESS_BY_TBH_AND_H2O2.html" TargetMode="External"/><Relationship Id="rId447" Type="http://schemas.openxmlformats.org/officeDocument/2006/relationships/hyperlink" Target="http://www.broadinstitute.org/gsea/msigdb/cards/ZHONG_SECRETOME_OF_LUNG_CANCER_AND_ENDOTHELIUM.html" TargetMode="External"/><Relationship Id="rId448" Type="http://schemas.openxmlformats.org/officeDocument/2006/relationships/hyperlink" Target="http://www.broadinstitute.org/gsea/msigdb/cards/ALONSO_METASTASIS_EMT_UP.html" TargetMode="External"/><Relationship Id="rId449" Type="http://schemas.openxmlformats.org/officeDocument/2006/relationships/hyperlink" Target="http://www.broadinstitute.org/gsea/msigdb/cards/LEIN_CHOROID_PLEXUS_MARKERS.html" TargetMode="External"/><Relationship Id="rId834" Type="http://schemas.openxmlformats.org/officeDocument/2006/relationships/hyperlink" Target="http://www.broadinstitute.org/gsea/msigdb/cards/PXR_Q2.html" TargetMode="External"/><Relationship Id="rId835" Type="http://schemas.openxmlformats.org/officeDocument/2006/relationships/hyperlink" Target="http://www.broadinstitute.org/gsea/msigdb/cards/TFIII_Q6.html" TargetMode="External"/><Relationship Id="rId836" Type="http://schemas.openxmlformats.org/officeDocument/2006/relationships/hyperlink" Target="http://www.broadinstitute.org/gsea/msigdb/cards/SREBP_Q3.html" TargetMode="External"/><Relationship Id="rId837" Type="http://schemas.openxmlformats.org/officeDocument/2006/relationships/hyperlink" Target="http://www.broadinstitute.org/gsea/msigdb/cards/ALPHACP1_01.html" TargetMode="External"/><Relationship Id="rId838" Type="http://schemas.openxmlformats.org/officeDocument/2006/relationships/hyperlink" Target="http://www.broadinstitute.org/gsea/msigdb/cards/DR4_Q2.html" TargetMode="External"/><Relationship Id="rId839" Type="http://schemas.openxmlformats.org/officeDocument/2006/relationships/hyperlink" Target="http://www.broadinstitute.org/gsea/msigdb/cards/HNF3ALPHA_Q6.html" TargetMode="External"/><Relationship Id="rId1300" Type="http://schemas.openxmlformats.org/officeDocument/2006/relationships/hyperlink" Target="http://www.broadinstitute.org/gsea/msigdb/cards/GO_MORPHOGENESIS_OF_A_BRANCHING_STRUCTURE.html" TargetMode="External"/><Relationship Id="rId1301" Type="http://schemas.openxmlformats.org/officeDocument/2006/relationships/hyperlink" Target="http://www.broadinstitute.org/gsea/msigdb/cards/GO_AMINOGLYCAN_CATABOLIC_PROCESS.html" TargetMode="External"/><Relationship Id="rId1302" Type="http://schemas.openxmlformats.org/officeDocument/2006/relationships/hyperlink" Target="http://www.broadinstitute.org/gsea/msigdb/cards/GO_BRANCHING_MORPHOGENESIS_OF_AN_EPITHELIAL_TUBE.html" TargetMode="External"/><Relationship Id="rId1303" Type="http://schemas.openxmlformats.org/officeDocument/2006/relationships/hyperlink" Target="http://www.broadinstitute.org/gsea/msigdb/cards/GO_REGULATION_OF_PHOSPHORUS_METABOLIC_PROCESS.html" TargetMode="External"/><Relationship Id="rId1304" Type="http://schemas.openxmlformats.org/officeDocument/2006/relationships/hyperlink" Target="http://www.broadinstitute.org/gsea/msigdb/cards/GO_NEGATIVE_REGULATION_OF_STAT_CASCADE.html" TargetMode="External"/><Relationship Id="rId1305" Type="http://schemas.openxmlformats.org/officeDocument/2006/relationships/hyperlink" Target="http://www.broadinstitute.org/gsea/msigdb/cards/GO_POSITIVE_REGULATION_OF_CELL_SUBSTRATE_ADHESION.html" TargetMode="External"/><Relationship Id="rId1306" Type="http://schemas.openxmlformats.org/officeDocument/2006/relationships/hyperlink" Target="http://www.broadinstitute.org/gsea/msigdb/cards/GO_CONTRACTILE_FIBER.html" TargetMode="External"/><Relationship Id="rId1307" Type="http://schemas.openxmlformats.org/officeDocument/2006/relationships/hyperlink" Target="http://www.broadinstitute.org/gsea/msigdb/cards/GO_POSITIVE_REGULATION_OF_TRANSPORT.html" TargetMode="External"/><Relationship Id="rId1308" Type="http://schemas.openxmlformats.org/officeDocument/2006/relationships/hyperlink" Target="http://www.broadinstitute.org/gsea/msigdb/cards/GO_EYE_MORPHOGENESIS.html" TargetMode="External"/><Relationship Id="rId1309" Type="http://schemas.openxmlformats.org/officeDocument/2006/relationships/hyperlink" Target="http://www.broadinstitute.org/gsea/msigdb/cards/GO_SINGLE_ORGANISM_CELL_ADHESION.html" TargetMode="External"/><Relationship Id="rId840" Type="http://schemas.openxmlformats.org/officeDocument/2006/relationships/hyperlink" Target="http://www.broadinstitute.org/gsea/msigdb/cards/ACCAAAG_MIR9.html" TargetMode="External"/><Relationship Id="rId841" Type="http://schemas.openxmlformats.org/officeDocument/2006/relationships/hyperlink" Target="http://www.broadinstitute.org/gsea/msigdb/cards/COMP1_01.html" TargetMode="External"/><Relationship Id="rId450" Type="http://schemas.openxmlformats.org/officeDocument/2006/relationships/hyperlink" Target="http://www.broadinstitute.org/gsea/msigdb/cards/ACEVEDO_LIVER_CANCER_WITH_H3K27ME3_UP.html" TargetMode="External"/><Relationship Id="rId451" Type="http://schemas.openxmlformats.org/officeDocument/2006/relationships/hyperlink" Target="http://www.broadinstitute.org/gsea/msigdb/cards/HIRSCH_CELLULAR_TRANSFORMATION_SIGNATURE_DN.html" TargetMode="External"/><Relationship Id="rId452" Type="http://schemas.openxmlformats.org/officeDocument/2006/relationships/hyperlink" Target="http://www.broadinstitute.org/gsea/msigdb/cards/MULLIGHAN_MLL_SIGNATURE_1_DN.html" TargetMode="External"/><Relationship Id="rId453" Type="http://schemas.openxmlformats.org/officeDocument/2006/relationships/hyperlink" Target="http://www.broadinstitute.org/gsea/msigdb/cards/NAKAMURA_ADIPOGENESIS_LATE_UP.html" TargetMode="External"/><Relationship Id="rId454" Type="http://schemas.openxmlformats.org/officeDocument/2006/relationships/hyperlink" Target="http://www.broadinstitute.org/gsea/msigdb/cards/KYNG_DNA_DAMAGE_DN.html" TargetMode="External"/><Relationship Id="rId455" Type="http://schemas.openxmlformats.org/officeDocument/2006/relationships/hyperlink" Target="http://www.broadinstitute.org/gsea/msigdb/cards/REACTOME_METABOLISM_OF_CARBOHYDRATES.html" TargetMode="External"/><Relationship Id="rId456" Type="http://schemas.openxmlformats.org/officeDocument/2006/relationships/hyperlink" Target="http://www.broadinstitute.org/gsea/msigdb/cards/IVANOVA_HEMATOPOIESIS_STEM_CELL_LONG_TERM.html" TargetMode="External"/><Relationship Id="rId457" Type="http://schemas.openxmlformats.org/officeDocument/2006/relationships/hyperlink" Target="http://www.broadinstitute.org/gsea/msigdb/cards/MCBRYAN_PUBERTAL_BREAST_6_7WK_UP.html" TargetMode="External"/><Relationship Id="rId458" Type="http://schemas.openxmlformats.org/officeDocument/2006/relationships/hyperlink" Target="http://www.broadinstitute.org/gsea/msigdb/cards/SHETH_LIVER_CANCER_VS_TXNIP_LOSS_PAM3.html" TargetMode="External"/><Relationship Id="rId459" Type="http://schemas.openxmlformats.org/officeDocument/2006/relationships/hyperlink" Target="http://www.broadinstitute.org/gsea/msigdb/cards/TAVAZOIE_METASTASIS.html" TargetMode="External"/><Relationship Id="rId842" Type="http://schemas.openxmlformats.org/officeDocument/2006/relationships/hyperlink" Target="http://www.broadinstitute.org/gsea/msigdb/cards/TST1_01.html" TargetMode="External"/><Relationship Id="rId843" Type="http://schemas.openxmlformats.org/officeDocument/2006/relationships/hyperlink" Target="http://www.broadinstitute.org/gsea/msigdb/cards/LYF1_01.html" TargetMode="External"/><Relationship Id="rId844" Type="http://schemas.openxmlformats.org/officeDocument/2006/relationships/hyperlink" Target="http://www.broadinstitute.org/gsea/msigdb/cards/CCCNNGGGAR_OLF1_01.html" TargetMode="External"/><Relationship Id="rId845" Type="http://schemas.openxmlformats.org/officeDocument/2006/relationships/hyperlink" Target="http://www.broadinstitute.org/gsea/msigdb/cards/SOX5_01.html" TargetMode="External"/><Relationship Id="rId846" Type="http://schemas.openxmlformats.org/officeDocument/2006/relationships/hyperlink" Target="http://www.broadinstitute.org/gsea/msigdb/cards/STAT5A_03.html" TargetMode="External"/><Relationship Id="rId847" Type="http://schemas.openxmlformats.org/officeDocument/2006/relationships/hyperlink" Target="http://www.broadinstitute.org/gsea/msigdb/cards/IK2_01.html" TargetMode="External"/><Relationship Id="rId848" Type="http://schemas.openxmlformats.org/officeDocument/2006/relationships/hyperlink" Target="http://www.broadinstitute.org/gsea/msigdb/cards/CEBP_Q2_01.html" TargetMode="External"/><Relationship Id="rId849" Type="http://schemas.openxmlformats.org/officeDocument/2006/relationships/hyperlink" Target="http://www.broadinstitute.org/gsea/msigdb/cards/ARP1_01.html" TargetMode="External"/><Relationship Id="rId1700" Type="http://schemas.openxmlformats.org/officeDocument/2006/relationships/hyperlink" Target="http://www.broadinstitute.org/gsea/msigdb/cards/GO_SENSORY_PERCEPTION_OF_LIGHT_STIMULUS.html" TargetMode="External"/><Relationship Id="rId1701" Type="http://schemas.openxmlformats.org/officeDocument/2006/relationships/hyperlink" Target="http://www.broadinstitute.org/gsea/msigdb/cards/GO_CYTOSKELETON.html" TargetMode="External"/><Relationship Id="rId1702" Type="http://schemas.openxmlformats.org/officeDocument/2006/relationships/hyperlink" Target="http://www.broadinstitute.org/gsea/msigdb/cards/GO_ORGANIC_ACID_BIOSYNTHETIC_PROCESS.html" TargetMode="External"/><Relationship Id="rId1703" Type="http://schemas.openxmlformats.org/officeDocument/2006/relationships/hyperlink" Target="http://www.broadinstitute.org/gsea/msigdb/cards/GO_ORGANONITROGEN_COMPOUND_METABOLIC_PROCESS.html" TargetMode="External"/><Relationship Id="rId1310" Type="http://schemas.openxmlformats.org/officeDocument/2006/relationships/hyperlink" Target="http://www.broadinstitute.org/gsea/msigdb/cards/GO_NEGATIVE_REGULATION_OF_MOLECULAR_FUNCTION.html" TargetMode="External"/><Relationship Id="rId1311" Type="http://schemas.openxmlformats.org/officeDocument/2006/relationships/hyperlink" Target="http://www.broadinstitute.org/gsea/msigdb/cards/GO_TAXIS.html" TargetMode="External"/><Relationship Id="rId1312" Type="http://schemas.openxmlformats.org/officeDocument/2006/relationships/hyperlink" Target="http://www.broadinstitute.org/gsea/msigdb/cards/GO_RESPONSE_TO_OXYGEN_LEVELS.html" TargetMode="External"/><Relationship Id="rId1313" Type="http://schemas.openxmlformats.org/officeDocument/2006/relationships/hyperlink" Target="http://www.broadinstitute.org/gsea/msigdb/cards/GO_REGULATION_OF_BIOMINERAL_TISSUE_DEVELOPMENT.html" TargetMode="External"/><Relationship Id="rId1314" Type="http://schemas.openxmlformats.org/officeDocument/2006/relationships/hyperlink" Target="http://www.broadinstitute.org/gsea/msigdb/cards/GO_REGULATION_OF_CATENIN_IMPORT_INTO_NUCLEUS.html" TargetMode="External"/><Relationship Id="rId1315" Type="http://schemas.openxmlformats.org/officeDocument/2006/relationships/hyperlink" Target="http://www.broadinstitute.org/gsea/msigdb/cards/GO_RESPONSE_TO_HORMONE.html" TargetMode="External"/><Relationship Id="rId1316" Type="http://schemas.openxmlformats.org/officeDocument/2006/relationships/hyperlink" Target="http://www.broadinstitute.org/gsea/msigdb/cards/GO_POSITIVE_REGULATION_OF_CELL_DEVELOPMENT.html" TargetMode="External"/><Relationship Id="rId1317" Type="http://schemas.openxmlformats.org/officeDocument/2006/relationships/hyperlink" Target="http://www.broadinstitute.org/gsea/msigdb/cards/GO_REGULATION_OF_PROTEIN_IMPORT.html" TargetMode="External"/><Relationship Id="rId1318" Type="http://schemas.openxmlformats.org/officeDocument/2006/relationships/hyperlink" Target="http://www.broadinstitute.org/gsea/msigdb/cards/GO_RESPONSE_TO_TRANSFORMING_GROWTH_FACTOR_BETA.html" TargetMode="External"/><Relationship Id="rId1319" Type="http://schemas.openxmlformats.org/officeDocument/2006/relationships/hyperlink" Target="http://www.broadinstitute.org/gsea/msigdb/cards/GO_REGULATION_OF_BMP_SIGNALING_PATHWAY.html" TargetMode="External"/><Relationship Id="rId850" Type="http://schemas.openxmlformats.org/officeDocument/2006/relationships/hyperlink" Target="http://www.broadinstitute.org/gsea/msigdb/cards/TAAWWATAG_RSRFC4_Q2.html" TargetMode="External"/><Relationship Id="rId851" Type="http://schemas.openxmlformats.org/officeDocument/2006/relationships/hyperlink" Target="http://www.broadinstitute.org/gsea/msigdb/cards/AREB6_01.html" TargetMode="External"/><Relationship Id="rId460" Type="http://schemas.openxmlformats.org/officeDocument/2006/relationships/hyperlink" Target="http://www.broadinstitute.org/gsea/msigdb/cards/YANG_BCL3_TARGETS_UP.html" TargetMode="External"/><Relationship Id="rId461" Type="http://schemas.openxmlformats.org/officeDocument/2006/relationships/hyperlink" Target="http://www.broadinstitute.org/gsea/msigdb/cards/BOYLAN_MULTIPLE_MYELOMA_C_D_DN.html" TargetMode="External"/><Relationship Id="rId462" Type="http://schemas.openxmlformats.org/officeDocument/2006/relationships/hyperlink" Target="http://www.broadinstitute.org/gsea/msigdb/cards/KEGG_MELANOMA.html" TargetMode="External"/><Relationship Id="rId463" Type="http://schemas.openxmlformats.org/officeDocument/2006/relationships/hyperlink" Target="http://www.broadinstitute.org/gsea/msigdb/cards/CREIGHTON_ENDOCRINE_THERAPY_RESISTANCE_4.html" TargetMode="External"/><Relationship Id="rId464" Type="http://schemas.openxmlformats.org/officeDocument/2006/relationships/hyperlink" Target="http://www.broadinstitute.org/gsea/msigdb/cards/SUZUKI_AMPLIFIED_IN_ORAL_CANCER.html" TargetMode="External"/><Relationship Id="rId465" Type="http://schemas.openxmlformats.org/officeDocument/2006/relationships/hyperlink" Target="http://www.broadinstitute.org/gsea/msigdb/cards/DASU_IL6_SIGNALING_SCAR_DN.html" TargetMode="External"/><Relationship Id="rId466" Type="http://schemas.openxmlformats.org/officeDocument/2006/relationships/hyperlink" Target="http://www.broadinstitute.org/gsea/msigdb/cards/FLECHNER_BIOPSY_KIDNEY_TRANSPLANT_OK_VS_DONOR_UP.html" TargetMode="External"/><Relationship Id="rId467" Type="http://schemas.openxmlformats.org/officeDocument/2006/relationships/hyperlink" Target="http://www.broadinstitute.org/gsea/msigdb/cards/PAL_PRMT5_TARGETS_UP.html" TargetMode="External"/><Relationship Id="rId468" Type="http://schemas.openxmlformats.org/officeDocument/2006/relationships/hyperlink" Target="http://www.broadinstitute.org/gsea/msigdb/cards/PID_AMB2_NEUTROPHILS_PATHWAY.html" TargetMode="External"/><Relationship Id="rId469" Type="http://schemas.openxmlformats.org/officeDocument/2006/relationships/hyperlink" Target="http://www.broadinstitute.org/gsea/msigdb/cards/PID_INTEGRIN5_PATHWAY.html" TargetMode="External"/><Relationship Id="rId852" Type="http://schemas.openxmlformats.org/officeDocument/2006/relationships/hyperlink" Target="http://www.broadinstitute.org/gsea/msigdb/cards/ARGGGTTAA_UNKNOWN.html" TargetMode="External"/><Relationship Id="rId853" Type="http://schemas.openxmlformats.org/officeDocument/2006/relationships/hyperlink" Target="http://www.broadinstitute.org/gsea/msigdb/cards/AATGGAG_MIR136.html" TargetMode="External"/><Relationship Id="rId854" Type="http://schemas.openxmlformats.org/officeDocument/2006/relationships/hyperlink" Target="http://www.broadinstitute.org/gsea/msigdb/cards/PAX4_04.html" TargetMode="External"/><Relationship Id="rId855" Type="http://schemas.openxmlformats.org/officeDocument/2006/relationships/hyperlink" Target="http://www.broadinstitute.org/gsea/msigdb/cards/HOX13_01.html" TargetMode="External"/><Relationship Id="rId856" Type="http://schemas.openxmlformats.org/officeDocument/2006/relationships/hyperlink" Target="http://www.broadinstitute.org/gsea/msigdb/cards/CREB_Q2_01.html" TargetMode="External"/><Relationship Id="rId857" Type="http://schemas.openxmlformats.org/officeDocument/2006/relationships/hyperlink" Target="http://www.broadinstitute.org/gsea/msigdb/cards/AAGCCAT_MIR135A_MIR135B.html" TargetMode="External"/><Relationship Id="rId858" Type="http://schemas.openxmlformats.org/officeDocument/2006/relationships/hyperlink" Target="http://www.broadinstitute.org/gsea/msigdb/cards/CTCCAAG_MIR432.html" TargetMode="External"/><Relationship Id="rId859" Type="http://schemas.openxmlformats.org/officeDocument/2006/relationships/hyperlink" Target="http://www.broadinstitute.org/gsea/msigdb/cards/IK3_01.html" TargetMode="External"/><Relationship Id="rId1704" Type="http://schemas.openxmlformats.org/officeDocument/2006/relationships/hyperlink" Target="http://www.broadinstitute.org/gsea/msigdb/cards/GO_REGULATION_OF_GTPASE_ACTIVITY.html" TargetMode="External"/><Relationship Id="rId1705" Type="http://schemas.openxmlformats.org/officeDocument/2006/relationships/hyperlink" Target="http://www.broadinstitute.org/gsea/msigdb/cards/GO_CYTOPLASMIC_VESICLE_PART.html" TargetMode="External"/><Relationship Id="rId1706" Type="http://schemas.openxmlformats.org/officeDocument/2006/relationships/hyperlink" Target="http://www.broadinstitute.org/gsea/msigdb/cards/GO_ENDOCARDIAL_CUSHION_DEVELOPMENT.html" TargetMode="External"/><Relationship Id="rId1707" Type="http://schemas.openxmlformats.org/officeDocument/2006/relationships/hyperlink" Target="http://www.broadinstitute.org/gsea/msigdb/cards/GO_REGULATION_OF_ORGAN_FORMATION.html" TargetMode="External"/><Relationship Id="rId1708" Type="http://schemas.openxmlformats.org/officeDocument/2006/relationships/hyperlink" Target="http://www.broadinstitute.org/gsea/msigdb/cards/GO_MULTI_MULTICELLULAR_ORGANISM_PROCESS.html" TargetMode="External"/><Relationship Id="rId1709" Type="http://schemas.openxmlformats.org/officeDocument/2006/relationships/hyperlink" Target="http://www.broadinstitute.org/gsea/msigdb/cards/GO_NEGATIVE_REGULATION_OF_ENDOTHELIAL_CELL_PROLIFERATION.html" TargetMode="External"/><Relationship Id="rId2000" Type="http://schemas.openxmlformats.org/officeDocument/2006/relationships/hyperlink" Target="http://www.broadinstitute.org/gsea/msigdb/cards/GSE33292_DN3_THYMOCYTE_VS_TCELL_LYMPHOMA_FROM_TCF1_KO_DN.html" TargetMode="External"/><Relationship Id="rId2001" Type="http://schemas.openxmlformats.org/officeDocument/2006/relationships/hyperlink" Target="http://www.broadinstitute.org/gsea/msigdb/cards/GSE43955_TH0_VS_TGFB_IL6_TH17_ACT_CD4_TCELL_52H_DN.html" TargetMode="External"/><Relationship Id="rId2002" Type="http://schemas.openxmlformats.org/officeDocument/2006/relationships/hyperlink" Target="http://www.broadinstitute.org/gsea/msigdb/cards/GSE43955_TH0_VS_TGFB_IL6_TH17_ACT_CD4_TCELL_60H_DN.html" TargetMode="External"/><Relationship Id="rId2003" Type="http://schemas.openxmlformats.org/officeDocument/2006/relationships/hyperlink" Target="http://www.broadinstitute.org/gsea/msigdb/cards/GSE43955_1H_VS_20H_ACT_CD4_TCELL_DN.html" TargetMode="External"/><Relationship Id="rId2004" Type="http://schemas.openxmlformats.org/officeDocument/2006/relationships/hyperlink" Target="http://www.broadinstitute.org/gsea/msigdb/cards/GSE43863_NAIVE_VS_TH1_EFF_CD4_TCELL_D6_LCMV_UP.html" TargetMode="External"/><Relationship Id="rId2005" Type="http://schemas.openxmlformats.org/officeDocument/2006/relationships/hyperlink" Target="http://www.broadinstitute.org/gsea/msigdb/cards/GSE18804_SPLEEN_MACROPHAGE_VS_BRAIN_TUMORAL_MACROPHAGE_UP.html" TargetMode="External"/><Relationship Id="rId2006" Type="http://schemas.openxmlformats.org/officeDocument/2006/relationships/hyperlink" Target="http://www.broadinstitute.org/gsea/msigdb/cards/GSE6259_DEC205_POS_DC_VS_CD8_TCELL_DN.html" TargetMode="External"/><Relationship Id="rId2007" Type="http://schemas.openxmlformats.org/officeDocument/2006/relationships/hyperlink" Target="http://www.broadinstitute.org/gsea/msigdb/cards/GSE37533_UNTREATED_VS_PIOGLIZATONE_TREATED_CD4_TCELL_FOXP3_TRASDUCED_CD4_TCELL_UP.html" TargetMode="External"/><Relationship Id="rId2008" Type="http://schemas.openxmlformats.org/officeDocument/2006/relationships/hyperlink" Target="http://www.broadinstitute.org/gsea/msigdb/cards/GSE6269_FLU_VS_E_COLI_INF_PBMC_DN.html" TargetMode="External"/><Relationship Id="rId2009" Type="http://schemas.openxmlformats.org/officeDocument/2006/relationships/hyperlink" Target="http://www.broadinstitute.org/gsea/msigdb/cards/GSE13173_UNTREATED_VS_IL12_TREATED_ACT_CD8_TCELL_UP.html" TargetMode="External"/><Relationship Id="rId1710" Type="http://schemas.openxmlformats.org/officeDocument/2006/relationships/hyperlink" Target="http://www.broadinstitute.org/gsea/msigdb/cards/GO_NEGATIVE_REGULATION_OF_SIGNAL_TRANSDUCTION_IN_ABSENCE_OF_LIGAND.html" TargetMode="External"/><Relationship Id="rId1711" Type="http://schemas.openxmlformats.org/officeDocument/2006/relationships/hyperlink" Target="http://www.broadinstitute.org/gsea/msigdb/cards/GO_RECEPTOR_ACTIVATOR_ACTIVITY.html" TargetMode="External"/><Relationship Id="rId1712" Type="http://schemas.openxmlformats.org/officeDocument/2006/relationships/hyperlink" Target="http://www.broadinstitute.org/gsea/msigdb/cards/GO_POSITIVE_REGULATION_OF_PROTEIN_MODIFICATION_PROCESS.html" TargetMode="External"/><Relationship Id="rId1713" Type="http://schemas.openxmlformats.org/officeDocument/2006/relationships/hyperlink" Target="http://www.broadinstitute.org/gsea/msigdb/cards/GO_PASSIVE_TRANSMEMBRANE_TRANSPORTER_ACTIVITY.html" TargetMode="External"/><Relationship Id="rId1320" Type="http://schemas.openxmlformats.org/officeDocument/2006/relationships/hyperlink" Target="http://www.broadinstitute.org/gsea/msigdb/cards/GO_METANEPHROS_MORPHOGENESIS.html" TargetMode="External"/><Relationship Id="rId1321" Type="http://schemas.openxmlformats.org/officeDocument/2006/relationships/hyperlink" Target="http://www.broadinstitute.org/gsea/msigdb/cards/GO_ARTERY_MORPHOGENESIS.html" TargetMode="External"/><Relationship Id="rId1322" Type="http://schemas.openxmlformats.org/officeDocument/2006/relationships/hyperlink" Target="http://www.broadinstitute.org/gsea/msigdb/cards/GO_MUSCLE_ORGAN_DEVELOPMENT.html" TargetMode="External"/><Relationship Id="rId1323" Type="http://schemas.openxmlformats.org/officeDocument/2006/relationships/hyperlink" Target="http://www.broadinstitute.org/gsea/msigdb/cards/GO_EYE_DEVELOPMENT.html" TargetMode="External"/><Relationship Id="rId1324" Type="http://schemas.openxmlformats.org/officeDocument/2006/relationships/hyperlink" Target="http://www.broadinstitute.org/gsea/msigdb/cards/GO_RESPONSE_TO_AMINO_ACID.html" TargetMode="External"/><Relationship Id="rId1325" Type="http://schemas.openxmlformats.org/officeDocument/2006/relationships/hyperlink" Target="http://www.broadinstitute.org/gsea/msigdb/cards/GO_NEGATIVE_REGULATION_OF_VASCULATURE_DEVELOPMENT.html" TargetMode="External"/><Relationship Id="rId1326" Type="http://schemas.openxmlformats.org/officeDocument/2006/relationships/hyperlink" Target="http://www.broadinstitute.org/gsea/msigdb/cards/GO_DERMATAN_SULFATE_METABOLIC_PROCESS.html" TargetMode="External"/><Relationship Id="rId1327" Type="http://schemas.openxmlformats.org/officeDocument/2006/relationships/hyperlink" Target="http://www.broadinstitute.org/gsea/msigdb/cards/GO_EXTRACELLULAR_FIBRIL_ORGANIZATION.html" TargetMode="External"/><Relationship Id="rId1328" Type="http://schemas.openxmlformats.org/officeDocument/2006/relationships/hyperlink" Target="http://www.broadinstitute.org/gsea/msigdb/cards/GO_TRANSMEMBRANE_RECEPTOR_PROTEIN_SERINE_THREONINE_KINASE_SIGNALING_PATHWAY.html" TargetMode="External"/><Relationship Id="rId1329" Type="http://schemas.openxmlformats.org/officeDocument/2006/relationships/hyperlink" Target="http://www.broadinstitute.org/gsea/msigdb/cards/GO_METANEPHROS_DEVELOPMENT.html" TargetMode="External"/><Relationship Id="rId860" Type="http://schemas.openxmlformats.org/officeDocument/2006/relationships/hyperlink" Target="http://www.broadinstitute.org/gsea/msigdb/cards/AP4_Q6.html" TargetMode="External"/><Relationship Id="rId861" Type="http://schemas.openxmlformats.org/officeDocument/2006/relationships/hyperlink" Target="http://www.broadinstitute.org/gsea/msigdb/cards/HNF6_Q6.html" TargetMode="External"/><Relationship Id="rId470" Type="http://schemas.openxmlformats.org/officeDocument/2006/relationships/hyperlink" Target="http://www.broadinstitute.org/gsea/msigdb/cards/PID_ANTHRAX_PATHWAY.html" TargetMode="External"/><Relationship Id="rId471" Type="http://schemas.openxmlformats.org/officeDocument/2006/relationships/hyperlink" Target="http://www.broadinstitute.org/gsea/msigdb/cards/CORRE_MULTIPLE_MYELOMA_UP.html" TargetMode="External"/><Relationship Id="rId472" Type="http://schemas.openxmlformats.org/officeDocument/2006/relationships/hyperlink" Target="http://www.broadinstitute.org/gsea/msigdb/cards/TSENG_IRS1_TARGETS_UP.html" TargetMode="External"/><Relationship Id="rId473" Type="http://schemas.openxmlformats.org/officeDocument/2006/relationships/hyperlink" Target="http://www.broadinstitute.org/gsea/msigdb/cards/LE_SKI_TARGETS_UP.html" TargetMode="External"/><Relationship Id="rId474" Type="http://schemas.openxmlformats.org/officeDocument/2006/relationships/hyperlink" Target="http://www.broadinstitute.org/gsea/msigdb/cards/CERVERA_SDHB_TARGETS_2.html" TargetMode="External"/><Relationship Id="rId475" Type="http://schemas.openxmlformats.org/officeDocument/2006/relationships/hyperlink" Target="http://www.broadinstitute.org/gsea/msigdb/cards/PID_UPA_UPAR_PATHWAY.html" TargetMode="External"/><Relationship Id="rId476" Type="http://schemas.openxmlformats.org/officeDocument/2006/relationships/hyperlink" Target="http://www.broadinstitute.org/gsea/msigdb/cards/HOFFMANN_PRE_BI_TO_LARGE_PRE_BII_LYMPHOCYTE_DN.html" TargetMode="External"/><Relationship Id="rId477" Type="http://schemas.openxmlformats.org/officeDocument/2006/relationships/hyperlink" Target="http://www.broadinstitute.org/gsea/msigdb/cards/MAHAJAN_RESPONSE_TO_IL1A_DN.html" TargetMode="External"/><Relationship Id="rId478" Type="http://schemas.openxmlformats.org/officeDocument/2006/relationships/hyperlink" Target="http://www.broadinstitute.org/gsea/msigdb/cards/MANTOVANI_NFKB_TARGETS_UP.html" TargetMode="External"/><Relationship Id="rId479" Type="http://schemas.openxmlformats.org/officeDocument/2006/relationships/hyperlink" Target="http://www.broadinstitute.org/gsea/msigdb/cards/NIELSEN_SCHWANNOMA_DN.html" TargetMode="External"/><Relationship Id="rId862" Type="http://schemas.openxmlformats.org/officeDocument/2006/relationships/hyperlink" Target="http://www.broadinstitute.org/gsea/msigdb/cards/GGGNNTTTCC_NFKB_Q6_01.html" TargetMode="External"/><Relationship Id="rId863" Type="http://schemas.openxmlformats.org/officeDocument/2006/relationships/hyperlink" Target="http://www.broadinstitute.org/gsea/msigdb/cards/BRN2_01.html" TargetMode="External"/><Relationship Id="rId864" Type="http://schemas.openxmlformats.org/officeDocument/2006/relationships/hyperlink" Target="http://www.broadinstitute.org/gsea/msigdb/cards/PAX4_02.html" TargetMode="External"/><Relationship Id="rId865" Type="http://schemas.openxmlformats.org/officeDocument/2006/relationships/hyperlink" Target="http://www.broadinstitute.org/gsea/msigdb/cards/WTGAAAT_UNKNOWN.html" TargetMode="External"/><Relationship Id="rId866" Type="http://schemas.openxmlformats.org/officeDocument/2006/relationships/hyperlink" Target="http://www.broadinstitute.org/gsea/msigdb/cards/CHOP_01.html" TargetMode="External"/><Relationship Id="rId867" Type="http://schemas.openxmlformats.org/officeDocument/2006/relationships/hyperlink" Target="http://www.broadinstitute.org/gsea/msigdb/cards/POU1F1_Q6.html" TargetMode="External"/><Relationship Id="rId868" Type="http://schemas.openxmlformats.org/officeDocument/2006/relationships/hyperlink" Target="http://www.broadinstitute.org/gsea/msigdb/cards/AATGTGA_MIR23A_MIR23B.html" TargetMode="External"/><Relationship Id="rId869" Type="http://schemas.openxmlformats.org/officeDocument/2006/relationships/hyperlink" Target="http://www.broadinstitute.org/gsea/msigdb/cards/TGCCTTA_MIR124A.html" TargetMode="External"/><Relationship Id="rId1714" Type="http://schemas.openxmlformats.org/officeDocument/2006/relationships/hyperlink" Target="http://www.broadinstitute.org/gsea/msigdb/cards/GO_REGENERATION.html" TargetMode="External"/><Relationship Id="rId1715" Type="http://schemas.openxmlformats.org/officeDocument/2006/relationships/hyperlink" Target="http://www.broadinstitute.org/gsea/msigdb/cards/GO_KERATAN_SULFATE_METABOLIC_PROCESS.html" TargetMode="External"/><Relationship Id="rId1716" Type="http://schemas.openxmlformats.org/officeDocument/2006/relationships/hyperlink" Target="http://www.broadinstitute.org/gsea/msigdb/cards/GO_EMBRYONIC_DIGESTIVE_TRACT_DEVELOPMENT.html" TargetMode="External"/><Relationship Id="rId1717" Type="http://schemas.openxmlformats.org/officeDocument/2006/relationships/hyperlink" Target="http://www.broadinstitute.org/gsea/msigdb/cards/GO_EAR_MORPHOGENESIS.html" TargetMode="External"/><Relationship Id="rId1718" Type="http://schemas.openxmlformats.org/officeDocument/2006/relationships/hyperlink" Target="http://www.broadinstitute.org/gsea/msigdb/cards/GO_EMBRYONIC_EYE_MORPHOGENESIS.html" TargetMode="External"/><Relationship Id="rId1719" Type="http://schemas.openxmlformats.org/officeDocument/2006/relationships/hyperlink" Target="http://www.broadinstitute.org/gsea/msigdb/cards/GO_IRON_ION_BINDING.html" TargetMode="External"/><Relationship Id="rId2010" Type="http://schemas.openxmlformats.org/officeDocument/2006/relationships/hyperlink" Target="http://www.broadinstitute.org/gsea/msigdb/cards/GSE7509_UNSTIM_VS_FCGRIIB_STIM_DC_UP.html" TargetMode="External"/><Relationship Id="rId2011" Type="http://schemas.openxmlformats.org/officeDocument/2006/relationships/hyperlink" Target="http://www.broadinstitute.org/gsea/msigdb/cards/GSE6259_FLT3L_INDUCED_33D1_POS_DC_VS_CD4_TCELL_UP.html" TargetMode="External"/><Relationship Id="rId2012" Type="http://schemas.openxmlformats.org/officeDocument/2006/relationships/hyperlink" Target="http://www.broadinstitute.org/gsea/msigdb/cards/GSE6259_33D1_POS_DC_VS_CD4_TCELL_DN.html" TargetMode="External"/><Relationship Id="rId2013" Type="http://schemas.openxmlformats.org/officeDocument/2006/relationships/hyperlink" Target="http://www.broadinstitute.org/gsea/msigdb/cards/GSE10422_WT_VS_BAFF_TRANSGENIC_LN_BCELL_DN.html" TargetMode="External"/><Relationship Id="rId2014" Type="http://schemas.openxmlformats.org/officeDocument/2006/relationships/hyperlink" Target="http://www.broadinstitute.org/gsea/msigdb/cards/GSE10239_MEMORY_VS_KLRG1INT_EFF_CD8_TCELL_UP.html" TargetMode="External"/><Relationship Id="rId2015" Type="http://schemas.openxmlformats.org/officeDocument/2006/relationships/hyperlink" Target="http://www.broadinstitute.org/gsea/msigdb/cards/GSE10325_CD4_TCELL_VS_MYELOID_DN.html" TargetMode="External"/><Relationship Id="rId2016" Type="http://schemas.openxmlformats.org/officeDocument/2006/relationships/hyperlink" Target="http://www.broadinstitute.org/gsea/msigdb/cards/GSE10325_LUPUS_BCELL_VS_LUPUS_MYELOID_DN.html" TargetMode="External"/><Relationship Id="rId2017" Type="http://schemas.openxmlformats.org/officeDocument/2006/relationships/hyperlink" Target="http://www.broadinstitute.org/gsea/msigdb/cards/GSE11864_CSF1_PAM3CYS_VS_CSF1_IFNG_PAM3CYS_IN_MAC_DN.html" TargetMode="External"/><Relationship Id="rId2018" Type="http://schemas.openxmlformats.org/officeDocument/2006/relationships/hyperlink" Target="http://www.broadinstitute.org/gsea/msigdb/cards/GSE11924_TH2_VS_TH17_CD4_TCELL_DN.html" TargetMode="External"/><Relationship Id="rId2019" Type="http://schemas.openxmlformats.org/officeDocument/2006/relationships/hyperlink" Target="http://www.broadinstitute.org/gsea/msigdb/cards/GSE13411_IGM_VS_SWITCHED_MEMORY_BCELL_UP.html" TargetMode="External"/><Relationship Id="rId1720" Type="http://schemas.openxmlformats.org/officeDocument/2006/relationships/hyperlink" Target="http://www.broadinstitute.org/gsea/msigdb/cards/GO_SIGNALING_RECEPTOR_ACTIVITY.html" TargetMode="External"/><Relationship Id="rId1721" Type="http://schemas.openxmlformats.org/officeDocument/2006/relationships/hyperlink" Target="http://www.broadinstitute.org/gsea/msigdb/cards/GO_PROTEIN_DIMERIZATION_ACTIVITY.html" TargetMode="External"/><Relationship Id="rId1722" Type="http://schemas.openxmlformats.org/officeDocument/2006/relationships/hyperlink" Target="http://www.broadinstitute.org/gsea/msigdb/cards/GO_REGULATION_OF_SMALL_GTPASE_MEDIATED_SIGNAL_TRANSDUCTION.html" TargetMode="External"/><Relationship Id="rId1723" Type="http://schemas.openxmlformats.org/officeDocument/2006/relationships/hyperlink" Target="http://www.broadinstitute.org/gsea/msigdb/cards/GO_RESPONSE_TO_FLUID_SHEAR_STRESS.html" TargetMode="External"/><Relationship Id="rId1330" Type="http://schemas.openxmlformats.org/officeDocument/2006/relationships/hyperlink" Target="http://www.broadinstitute.org/gsea/msigdb/cards/GO_REGULATION_OF_IMMUNE_SYSTEM_PROCESS.html" TargetMode="External"/><Relationship Id="rId1331" Type="http://schemas.openxmlformats.org/officeDocument/2006/relationships/hyperlink" Target="http://www.broadinstitute.org/gsea/msigdb/cards/GO_CELLULAR_RESPONSE_TO_VASCULAR_ENDOTHELIAL_GROWTH_FACTOR_STIMULUS.html" TargetMode="External"/><Relationship Id="rId1332" Type="http://schemas.openxmlformats.org/officeDocument/2006/relationships/hyperlink" Target="http://www.broadinstitute.org/gsea/msigdb/cards/GO_PROTEOGLYCAN_BINDING.html" TargetMode="External"/><Relationship Id="rId1333" Type="http://schemas.openxmlformats.org/officeDocument/2006/relationships/hyperlink" Target="http://www.broadinstitute.org/gsea/msigdb/cards/GO_NEGATIVE_REGULATION_OF_CELL_SUBSTRATE_ADHESION.html" TargetMode="External"/><Relationship Id="rId1334" Type="http://schemas.openxmlformats.org/officeDocument/2006/relationships/hyperlink" Target="http://www.broadinstitute.org/gsea/msigdb/cards/GO_MESONEPHRIC_TUBULE_MORPHOGENESIS.html" TargetMode="External"/><Relationship Id="rId1335" Type="http://schemas.openxmlformats.org/officeDocument/2006/relationships/hyperlink" Target="http://www.broadinstitute.org/gsea/msigdb/cards/GO_NEURON_PART.html" TargetMode="External"/><Relationship Id="rId1336" Type="http://schemas.openxmlformats.org/officeDocument/2006/relationships/hyperlink" Target="http://www.broadinstitute.org/gsea/msigdb/cards/GO_KIDNEY_MORPHOGENESIS.html" TargetMode="External"/><Relationship Id="rId1337" Type="http://schemas.openxmlformats.org/officeDocument/2006/relationships/hyperlink" Target="http://www.broadinstitute.org/gsea/msigdb/cards/GO_MUSCLE_CELL_DIFFERENTIATION.html" TargetMode="External"/><Relationship Id="rId1338" Type="http://schemas.openxmlformats.org/officeDocument/2006/relationships/hyperlink" Target="http://www.broadinstitute.org/gsea/msigdb/cards/GO_REGULATION_OF_CELL_MORPHOGENESIS.html" TargetMode="External"/><Relationship Id="rId1339" Type="http://schemas.openxmlformats.org/officeDocument/2006/relationships/hyperlink" Target="http://www.broadinstitute.org/gsea/msigdb/cards/GO_CELL_MIGRATION_INVOLVED_IN_HEART_DEVELOPMENT.html" TargetMode="External"/><Relationship Id="rId870" Type="http://schemas.openxmlformats.org/officeDocument/2006/relationships/hyperlink" Target="http://www.broadinstitute.org/gsea/msigdb/cards/OCT1_04.html" TargetMode="External"/><Relationship Id="rId871" Type="http://schemas.openxmlformats.org/officeDocument/2006/relationships/hyperlink" Target="http://www.broadinstitute.org/gsea/msigdb/cards/CTGCAGY_UNKNOWN.html" TargetMode="External"/><Relationship Id="rId480" Type="http://schemas.openxmlformats.org/officeDocument/2006/relationships/hyperlink" Target="http://www.broadinstitute.org/gsea/msigdb/cards/MIKKELSEN_MCV6_LCP_WITH_H3K4ME3.html" TargetMode="External"/><Relationship Id="rId481" Type="http://schemas.openxmlformats.org/officeDocument/2006/relationships/hyperlink" Target="http://www.broadinstitute.org/gsea/msigdb/cards/CHEBOTAEV_GR_TARGETS_UP.html" TargetMode="External"/><Relationship Id="rId482" Type="http://schemas.openxmlformats.org/officeDocument/2006/relationships/hyperlink" Target="http://www.broadinstitute.org/gsea/msigdb/cards/GRESHOCK_CANCER_COPY_NUMBER_UP.html" TargetMode="External"/><Relationship Id="rId483" Type="http://schemas.openxmlformats.org/officeDocument/2006/relationships/hyperlink" Target="http://www.broadinstitute.org/gsea/msigdb/cards/CERVERA_SDHB_TARGETS_1_UP.html" TargetMode="External"/><Relationship Id="rId484" Type="http://schemas.openxmlformats.org/officeDocument/2006/relationships/hyperlink" Target="http://www.broadinstitute.org/gsea/msigdb/cards/HARRIS_BRAIN_CANCER_PROGENITORS.html" TargetMode="External"/><Relationship Id="rId485" Type="http://schemas.openxmlformats.org/officeDocument/2006/relationships/hyperlink" Target="http://www.broadinstitute.org/gsea/msigdb/cards/FORTSCHEGGER_PHF8_TARGETS_DN.html" TargetMode="External"/><Relationship Id="rId486" Type="http://schemas.openxmlformats.org/officeDocument/2006/relationships/hyperlink" Target="http://www.broadinstitute.org/gsea/msigdb/cards/REACTOME_CGMP_EFFECTS.html" TargetMode="External"/><Relationship Id="rId487" Type="http://schemas.openxmlformats.org/officeDocument/2006/relationships/hyperlink" Target="http://www.broadinstitute.org/gsea/msigdb/cards/BEGUM_TARGETS_OF_PAX3_FOXO1_FUSION_DN.html" TargetMode="External"/><Relationship Id="rId488" Type="http://schemas.openxmlformats.org/officeDocument/2006/relationships/hyperlink" Target="http://www.broadinstitute.org/gsea/msigdb/cards/SCHAEFFER_SOX9_TARGETS_IN_PROSTATE_DEVELOPMENT_DN.html" TargetMode="External"/><Relationship Id="rId489" Type="http://schemas.openxmlformats.org/officeDocument/2006/relationships/hyperlink" Target="http://www.broadinstitute.org/gsea/msigdb/cards/YAO_HOXA10_TARGETS_VIA_PROGESTERONE_UP.html" TargetMode="External"/><Relationship Id="rId872" Type="http://schemas.openxmlformats.org/officeDocument/2006/relationships/hyperlink" Target="http://www.broadinstitute.org/gsea/msigdb/cards/CACBINDINGPROTEIN_Q6.html" TargetMode="External"/><Relationship Id="rId873" Type="http://schemas.openxmlformats.org/officeDocument/2006/relationships/hyperlink" Target="http://www.broadinstitute.org/gsea/msigdb/cards/IRF_Q6.html" TargetMode="External"/><Relationship Id="rId874" Type="http://schemas.openxmlformats.org/officeDocument/2006/relationships/hyperlink" Target="http://www.broadinstitute.org/gsea/msigdb/cards/STTTCRNTTT_IRF_Q6.html" TargetMode="External"/><Relationship Id="rId875" Type="http://schemas.openxmlformats.org/officeDocument/2006/relationships/hyperlink" Target="http://www.broadinstitute.org/gsea/msigdb/cards/HFH1_01.html" TargetMode="External"/><Relationship Id="rId876" Type="http://schemas.openxmlformats.org/officeDocument/2006/relationships/hyperlink" Target="http://www.broadinstitute.org/gsea/msigdb/cards/FOXO4_01.html" TargetMode="External"/><Relationship Id="rId877" Type="http://schemas.openxmlformats.org/officeDocument/2006/relationships/hyperlink" Target="http://www.broadinstitute.org/gsea/msigdb/cards/YY1_01.html" TargetMode="External"/><Relationship Id="rId878" Type="http://schemas.openxmlformats.org/officeDocument/2006/relationships/hyperlink" Target="http://www.broadinstitute.org/gsea/msigdb/cards/FOXM1_01.html" TargetMode="External"/><Relationship Id="rId879" Type="http://schemas.openxmlformats.org/officeDocument/2006/relationships/hyperlink" Target="http://www.broadinstitute.org/gsea/msigdb/cards/GCANCTGNY_MYOD_Q6.html" TargetMode="External"/><Relationship Id="rId1724" Type="http://schemas.openxmlformats.org/officeDocument/2006/relationships/hyperlink" Target="http://www.broadinstitute.org/gsea/msigdb/cards/GO_ADHERENS_JUNCTION_ASSEMBLY.html" TargetMode="External"/><Relationship Id="rId1725" Type="http://schemas.openxmlformats.org/officeDocument/2006/relationships/hyperlink" Target="http://www.broadinstitute.org/gsea/msigdb/cards/GO_MUSCLE_ORGAN_MORPHOGENESIS.html" TargetMode="External"/><Relationship Id="rId1726" Type="http://schemas.openxmlformats.org/officeDocument/2006/relationships/hyperlink" Target="http://www.broadinstitute.org/gsea/msigdb/cards/GO_REGULATION_OF_INTRINSIC_APOPTOTIC_SIGNALING_PATHWAY_IN_RESPONSE_TO_DNA_DAMAGE.html" TargetMode="External"/><Relationship Id="rId1727" Type="http://schemas.openxmlformats.org/officeDocument/2006/relationships/hyperlink" Target="http://www.broadinstitute.org/gsea/msigdb/cards/GO_REGULATION_OF_CALCIUM_ION_TRANSMEMBRANE_TRANSPORTER_ACTIVITY.html" TargetMode="External"/><Relationship Id="rId1728" Type="http://schemas.openxmlformats.org/officeDocument/2006/relationships/hyperlink" Target="http://www.broadinstitute.org/gsea/msigdb/cards/GO_MONOSACCHARIDE_BINDING.html" TargetMode="External"/><Relationship Id="rId1729" Type="http://schemas.openxmlformats.org/officeDocument/2006/relationships/hyperlink" Target="http://www.broadinstitute.org/gsea/msigdb/cards/GO_NEGATIVE_REGULATION_OF_PROTEIN_MODIFICATION_PROCESS.html" TargetMode="External"/><Relationship Id="rId2020" Type="http://schemas.openxmlformats.org/officeDocument/2006/relationships/hyperlink" Target="http://www.broadinstitute.org/gsea/msigdb/cards/GSE13485_DAY1_VS_DAY7_YF17D_VACCINE_PBMC_UP.html" TargetMode="External"/><Relationship Id="rId2021" Type="http://schemas.openxmlformats.org/officeDocument/2006/relationships/hyperlink" Target="http://www.broadinstitute.org/gsea/msigdb/cards/GSE1432_CTRL_VS_IFNG_24H_MICROGLIA_UP.html" TargetMode="External"/><Relationship Id="rId2022" Type="http://schemas.openxmlformats.org/officeDocument/2006/relationships/hyperlink" Target="http://www.broadinstitute.org/gsea/msigdb/cards/GSE1460_INTRATHYMIC_T_PROGENITOR_VS_CD4_THYMOCYTE_DN.html" TargetMode="External"/><Relationship Id="rId2023" Type="http://schemas.openxmlformats.org/officeDocument/2006/relationships/hyperlink" Target="http://www.broadinstitute.org/gsea/msigdb/cards/GSE1460_DP_THYMOCYTE_VS_THYMIC_STROMAL_CELL_DN.html" TargetMode="External"/><Relationship Id="rId2024" Type="http://schemas.openxmlformats.org/officeDocument/2006/relationships/hyperlink" Target="http://www.broadinstitute.org/gsea/msigdb/cards/GSE14769_20MIN_VS_360MIN_LPS_BMDM_DN.html" TargetMode="External"/><Relationship Id="rId2025" Type="http://schemas.openxmlformats.org/officeDocument/2006/relationships/hyperlink" Target="http://www.broadinstitute.org/gsea/msigdb/cards/GSE14769_40MIN_VS_360MIN_LPS_BMDM_DN.html" TargetMode="External"/><Relationship Id="rId2026" Type="http://schemas.openxmlformats.org/officeDocument/2006/relationships/hyperlink" Target="http://www.broadinstitute.org/gsea/msigdb/cards/GSE15930_NAIVE_VS_24H_IN_VITRO_STIM_CD8_TCELL_UP.html" TargetMode="External"/><Relationship Id="rId2027" Type="http://schemas.openxmlformats.org/officeDocument/2006/relationships/hyperlink" Target="http://www.broadinstitute.org/gsea/msigdb/cards/GSE17721_CTRL_VS_LPS_4H_BMDC_DN.html" TargetMode="External"/><Relationship Id="rId2028" Type="http://schemas.openxmlformats.org/officeDocument/2006/relationships/hyperlink" Target="http://www.broadinstitute.org/gsea/msigdb/cards/GSE17721_CTRL_VS_POLYIC_12H_BMDC_DN.html" TargetMode="External"/><Relationship Id="rId2029" Type="http://schemas.openxmlformats.org/officeDocument/2006/relationships/hyperlink" Target="http://www.broadinstitute.org/gsea/msigdb/cards/GSE17721_CTRL_VS_CPG_2H_BMDC_DN.html" TargetMode="External"/><Relationship Id="rId1730" Type="http://schemas.openxmlformats.org/officeDocument/2006/relationships/hyperlink" Target="http://www.broadinstitute.org/gsea/msigdb/cards/GO_RESPONSE_TO_CALCIUM_ION.html" TargetMode="External"/><Relationship Id="rId1731" Type="http://schemas.openxmlformats.org/officeDocument/2006/relationships/hyperlink" Target="http://www.broadinstitute.org/gsea/msigdb/cards/GO_REPRODUCTIVE_SYSTEM_DEVELOPMENT.html" TargetMode="External"/><Relationship Id="rId1732" Type="http://schemas.openxmlformats.org/officeDocument/2006/relationships/hyperlink" Target="http://www.broadinstitute.org/gsea/msigdb/cards/GO_REGULATION_OF_MEMBRANE_POTENTIAL.html" TargetMode="External"/><Relationship Id="rId1733" Type="http://schemas.openxmlformats.org/officeDocument/2006/relationships/hyperlink" Target="http://www.broadinstitute.org/gsea/msigdb/cards/GO_ORGANONITROGEN_COMPOUND_CATABOLIC_PROCESS.html" TargetMode="External"/><Relationship Id="rId1340" Type="http://schemas.openxmlformats.org/officeDocument/2006/relationships/hyperlink" Target="http://www.broadinstitute.org/gsea/msigdb/cards/GO_POSITIVE_REGULATION_OF_MOLECULAR_FUNCTION.html" TargetMode="External"/><Relationship Id="rId1341" Type="http://schemas.openxmlformats.org/officeDocument/2006/relationships/hyperlink" Target="http://www.broadinstitute.org/gsea/msigdb/cards/GO_PROTEIN_HETEROTRIMERIZATION.html" TargetMode="External"/><Relationship Id="rId1342" Type="http://schemas.openxmlformats.org/officeDocument/2006/relationships/hyperlink" Target="http://www.broadinstitute.org/gsea/msigdb/cards/GO_FIBRIL.html" TargetMode="External"/><Relationship Id="rId1343" Type="http://schemas.openxmlformats.org/officeDocument/2006/relationships/hyperlink" Target="http://www.broadinstitute.org/gsea/msigdb/cards/GO_TISSUE_MIGRATION.html" TargetMode="External"/><Relationship Id="rId1344" Type="http://schemas.openxmlformats.org/officeDocument/2006/relationships/hyperlink" Target="http://www.broadinstitute.org/gsea/msigdb/cards/GO_SERINE_HYDROLASE_ACTIVITY.html" TargetMode="External"/><Relationship Id="rId1345" Type="http://schemas.openxmlformats.org/officeDocument/2006/relationships/hyperlink" Target="http://www.broadinstitute.org/gsea/msigdb/cards/GO_PALATE_DEVELOPMENT.html" TargetMode="External"/><Relationship Id="rId1346" Type="http://schemas.openxmlformats.org/officeDocument/2006/relationships/hyperlink" Target="http://www.broadinstitute.org/gsea/msigdb/cards/GO_POSITIVE_REGULATION_OF_BIOSYNTHETIC_PROCESS.html" TargetMode="External"/><Relationship Id="rId1347" Type="http://schemas.openxmlformats.org/officeDocument/2006/relationships/hyperlink" Target="http://www.broadinstitute.org/gsea/msigdb/cards/GO_NEURON_PROJECTION.html" TargetMode="External"/><Relationship Id="rId1348" Type="http://schemas.openxmlformats.org/officeDocument/2006/relationships/hyperlink" Target="http://www.broadinstitute.org/gsea/msigdb/cards/GO_ACTIN_FILAMENT_BUNDLE.html" TargetMode="External"/><Relationship Id="rId1349" Type="http://schemas.openxmlformats.org/officeDocument/2006/relationships/hyperlink" Target="http://www.broadinstitute.org/gsea/msigdb/cards/GO_NEGATIVE_REGULATION_OF_PROTEIN_METABOLIC_PROCESS.html" TargetMode="External"/><Relationship Id="rId880" Type="http://schemas.openxmlformats.org/officeDocument/2006/relationships/hyperlink" Target="http://www.broadinstitute.org/gsea/msigdb/cards/CTTTGTA_MIR524.html" TargetMode="External"/><Relationship Id="rId881" Type="http://schemas.openxmlformats.org/officeDocument/2006/relationships/hyperlink" Target="http://www.broadinstitute.org/gsea/msigdb/cards/IRF1_01.html" TargetMode="External"/><Relationship Id="rId490" Type="http://schemas.openxmlformats.org/officeDocument/2006/relationships/hyperlink" Target="http://www.broadinstitute.org/gsea/msigdb/cards/MCDOWELL_ACUTE_LUNG_INJURY_UP.html" TargetMode="External"/><Relationship Id="rId491" Type="http://schemas.openxmlformats.org/officeDocument/2006/relationships/hyperlink" Target="http://www.broadinstitute.org/gsea/msigdb/cards/LEE_AGING_MUSCLE_UP.html" TargetMode="External"/><Relationship Id="rId492" Type="http://schemas.openxmlformats.org/officeDocument/2006/relationships/hyperlink" Target="http://www.broadinstitute.org/gsea/msigdb/cards/KANG_AR_TARGETS_DN.html" TargetMode="External"/><Relationship Id="rId493" Type="http://schemas.openxmlformats.org/officeDocument/2006/relationships/hyperlink" Target="http://www.broadinstitute.org/gsea/msigdb/cards/VERNOCHET_ADIPOGENESIS.html" TargetMode="External"/><Relationship Id="rId494" Type="http://schemas.openxmlformats.org/officeDocument/2006/relationships/hyperlink" Target="http://www.broadinstitute.org/gsea/msigdb/cards/HERNANDEZ_ABERRANT_MITOSIS_BY_DOCETACEL_2NM_UP.html" TargetMode="External"/><Relationship Id="rId495" Type="http://schemas.openxmlformats.org/officeDocument/2006/relationships/hyperlink" Target="http://www.broadinstitute.org/gsea/msigdb/cards/GUO_HEX_TARGETS_UP.html" TargetMode="External"/><Relationship Id="rId496" Type="http://schemas.openxmlformats.org/officeDocument/2006/relationships/hyperlink" Target="http://www.broadinstitute.org/gsea/msigdb/cards/HUANG_DASATINIB_RESISTANCE_UP.html" TargetMode="External"/><Relationship Id="rId497" Type="http://schemas.openxmlformats.org/officeDocument/2006/relationships/hyperlink" Target="http://www.broadinstitute.org/gsea/msigdb/cards/MONNIER_POSTRADIATION_TUMOR_ESCAPE_UP.html" TargetMode="External"/><Relationship Id="rId498" Type="http://schemas.openxmlformats.org/officeDocument/2006/relationships/hyperlink" Target="http://www.broadinstitute.org/gsea/msigdb/cards/NIELSEN_GIST_AND_SYNOVIAL_SARCOMA_DN.html" TargetMode="External"/><Relationship Id="rId499" Type="http://schemas.openxmlformats.org/officeDocument/2006/relationships/hyperlink" Target="http://www.broadinstitute.org/gsea/msigdb/cards/ZHU_SKIL_TARGETS_UP.html" TargetMode="External"/><Relationship Id="rId882" Type="http://schemas.openxmlformats.org/officeDocument/2006/relationships/hyperlink" Target="http://www.broadinstitute.org/gsea/msigdb/cards/FREAC7_01.html" TargetMode="External"/><Relationship Id="rId883" Type="http://schemas.openxmlformats.org/officeDocument/2006/relationships/hyperlink" Target="http://www.broadinstitute.org/gsea/msigdb/cards/T3R_Q6.html" TargetMode="External"/><Relationship Id="rId884" Type="http://schemas.openxmlformats.org/officeDocument/2006/relationships/hyperlink" Target="http://www.broadinstitute.org/gsea/msigdb/cards/RRAGTTGT_UNKNOWN.html" TargetMode="External"/><Relationship Id="rId885" Type="http://schemas.openxmlformats.org/officeDocument/2006/relationships/hyperlink" Target="http://www.broadinstitute.org/gsea/msigdb/cards/ACTACCT_MIR196A_MIR196B.html" TargetMode="External"/><Relationship Id="rId886" Type="http://schemas.openxmlformats.org/officeDocument/2006/relationships/hyperlink" Target="http://www.broadinstitute.org/gsea/msigdb/cards/GTGCAAT_MIR25_MIR32_MIR92_MIR363_MIR367.html" TargetMode="External"/><Relationship Id="rId887" Type="http://schemas.openxmlformats.org/officeDocument/2006/relationships/hyperlink" Target="http://www.broadinstitute.org/gsea/msigdb/cards/TCF11_01.html" TargetMode="External"/><Relationship Id="rId888" Type="http://schemas.openxmlformats.org/officeDocument/2006/relationships/hyperlink" Target="http://www.broadinstitute.org/gsea/msigdb/cards/CP2_02.html" TargetMode="External"/><Relationship Id="rId889" Type="http://schemas.openxmlformats.org/officeDocument/2006/relationships/hyperlink" Target="http://www.broadinstitute.org/gsea/msigdb/cards/GATA_Q6.html" TargetMode="External"/><Relationship Id="rId1734" Type="http://schemas.openxmlformats.org/officeDocument/2006/relationships/hyperlink" Target="http://www.broadinstitute.org/gsea/msigdb/cards/GO_NEGATIVE_REGULATION_OF_NUCLEOCYTOPLASMIC_TRANSPORT.html" TargetMode="External"/><Relationship Id="rId1735" Type="http://schemas.openxmlformats.org/officeDocument/2006/relationships/hyperlink" Target="http://www.broadinstitute.org/gsea/msigdb/cards/GO_REGULATION_OF_CALCIUM_ION_TRANSMEMBRANE_TRANSPORT.html" TargetMode="External"/><Relationship Id="rId1736" Type="http://schemas.openxmlformats.org/officeDocument/2006/relationships/hyperlink" Target="http://www.broadinstitute.org/gsea/msigdb/cards/GO_RESPONSE_TO_FIBROBLAST_GROWTH_FACTOR.html" TargetMode="External"/><Relationship Id="rId1737" Type="http://schemas.openxmlformats.org/officeDocument/2006/relationships/hyperlink" Target="http://www.broadinstitute.org/gsea/msigdb/cards/GO_NEGATIVE_REGULATION_OF_INTERFERON_GAMMA_PRODUCTION.html" TargetMode="External"/><Relationship Id="rId1738" Type="http://schemas.openxmlformats.org/officeDocument/2006/relationships/hyperlink" Target="http://www.broadinstitute.org/gsea/msigdb/cards/GO_REGULATION_OF_GASTRULATION.html" TargetMode="External"/><Relationship Id="rId1739" Type="http://schemas.openxmlformats.org/officeDocument/2006/relationships/hyperlink" Target="http://www.broadinstitute.org/gsea/msigdb/cards/GO_NEGATIVE_REGULATION_OF_PROTEIN_MATURATION.html" TargetMode="External"/><Relationship Id="rId2030" Type="http://schemas.openxmlformats.org/officeDocument/2006/relationships/hyperlink" Target="http://www.broadinstitute.org/gsea/msigdb/cards/GSE17721_CTRL_VS_GARDIQUIMOD_6H_BMDC_DN.html" TargetMode="External"/><Relationship Id="rId2031" Type="http://schemas.openxmlformats.org/officeDocument/2006/relationships/hyperlink" Target="http://www.broadinstitute.org/gsea/msigdb/cards/GSE17721_LPS_VS_POLYIC_2H_BMDC_UP.html" TargetMode="External"/><Relationship Id="rId2032" Type="http://schemas.openxmlformats.org/officeDocument/2006/relationships/hyperlink" Target="http://www.broadinstitute.org/gsea/msigdb/cards/GSE17721_POLYIC_VS_PAM3CSK4_16H_BMDC_UP.html" TargetMode="External"/><Relationship Id="rId2033" Type="http://schemas.openxmlformats.org/officeDocument/2006/relationships/hyperlink" Target="http://www.broadinstitute.org/gsea/msigdb/cards/GSE17721_PAM3CSK4_VS_GADIQUIMOD_12H_BMDC_DN.html" TargetMode="External"/><Relationship Id="rId2034" Type="http://schemas.openxmlformats.org/officeDocument/2006/relationships/hyperlink" Target="http://www.broadinstitute.org/gsea/msigdb/cards/GSE17721_POLYIC_VS_GARDIQUIMOD_0.5H_BMDC_UP.html" TargetMode="External"/><Relationship Id="rId2035" Type="http://schemas.openxmlformats.org/officeDocument/2006/relationships/hyperlink" Target="http://www.broadinstitute.org/gsea/msigdb/cards/GSE17721_LPS_VS_GARDIQUIMOD_4H_BMDC_UP.html" TargetMode="External"/><Relationship Id="rId2036" Type="http://schemas.openxmlformats.org/officeDocument/2006/relationships/hyperlink" Target="http://www.broadinstitute.org/gsea/msigdb/cards/GSE17721_0.5H_VS_24H_PAM3CSK4_BMDC_DN.html" TargetMode="External"/><Relationship Id="rId2037" Type="http://schemas.openxmlformats.org/officeDocument/2006/relationships/hyperlink" Target="http://www.broadinstitute.org/gsea/msigdb/cards/GSE17721_4_VS_24H_CPG_BMDC_UP.html" TargetMode="External"/><Relationship Id="rId2038" Type="http://schemas.openxmlformats.org/officeDocument/2006/relationships/hyperlink" Target="http://www.broadinstitute.org/gsea/msigdb/cards/GSE20366_EX_VIVO_VS_HOMEOSTATIC_CONVERSION_TREG_DN.html" TargetMode="External"/><Relationship Id="rId2039" Type="http://schemas.openxmlformats.org/officeDocument/2006/relationships/hyperlink" Target="http://www.broadinstitute.org/gsea/msigdb/cards/GSE20715_WT_VS_TLR4_KO_LUNG_UP.html" TargetMode="External"/><Relationship Id="rId1740" Type="http://schemas.openxmlformats.org/officeDocument/2006/relationships/hyperlink" Target="http://www.broadinstitute.org/gsea/msigdb/cards/GO_CALCIUM_ION_TRANSPORT.html" TargetMode="External"/><Relationship Id="rId1741" Type="http://schemas.openxmlformats.org/officeDocument/2006/relationships/hyperlink" Target="http://www.broadinstitute.org/gsea/msigdb/cards/GO_VACUOLAR_PART.html" TargetMode="External"/><Relationship Id="rId1742" Type="http://schemas.openxmlformats.org/officeDocument/2006/relationships/hyperlink" Target="http://www.broadinstitute.org/gsea/msigdb/cards/GO_SMAD_BINDING.html" TargetMode="External"/><Relationship Id="rId1743" Type="http://schemas.openxmlformats.org/officeDocument/2006/relationships/hyperlink" Target="http://www.broadinstitute.org/gsea/msigdb/cards/GO_NEGATIVE_REGULATION_OF_CYTOPLASMIC_TRANSPORT.html" TargetMode="External"/><Relationship Id="rId1350" Type="http://schemas.openxmlformats.org/officeDocument/2006/relationships/hyperlink" Target="http://www.broadinstitute.org/gsea/msigdb/cards/GO_REGULATION_OF_GROWTH.html" TargetMode="External"/><Relationship Id="rId1351" Type="http://schemas.openxmlformats.org/officeDocument/2006/relationships/hyperlink" Target="http://www.broadinstitute.org/gsea/msigdb/cards/GO_CELLULAR_COMPONENT_DISASSEMBLY.html" TargetMode="External"/><Relationship Id="rId1352" Type="http://schemas.openxmlformats.org/officeDocument/2006/relationships/hyperlink" Target="http://www.broadinstitute.org/gsea/msigdb/cards/GO_DERMATAN_SULFATE_PROTEOGLYCAN_METABOLIC_PROCESS.html" TargetMode="External"/><Relationship Id="rId1353" Type="http://schemas.openxmlformats.org/officeDocument/2006/relationships/hyperlink" Target="http://www.broadinstitute.org/gsea/msigdb/cards/GO_REGULATION_OF_CELL_MATRIX_ADHESION.html" TargetMode="External"/><Relationship Id="rId1354" Type="http://schemas.openxmlformats.org/officeDocument/2006/relationships/hyperlink" Target="http://www.broadinstitute.org/gsea/msigdb/cards/GO_EMBRYONIC_ORGAN_DEVELOPMENT.html" TargetMode="External"/><Relationship Id="rId1355" Type="http://schemas.openxmlformats.org/officeDocument/2006/relationships/hyperlink" Target="http://www.broadinstitute.org/gsea/msigdb/cards/GO_AMINOGLYCAN_METABOLIC_PROCESS.html" TargetMode="External"/><Relationship Id="rId1356" Type="http://schemas.openxmlformats.org/officeDocument/2006/relationships/hyperlink" Target="http://www.broadinstitute.org/gsea/msigdb/cards/GO_HEAD_MORPHOGENESIS.html" TargetMode="External"/><Relationship Id="rId1357" Type="http://schemas.openxmlformats.org/officeDocument/2006/relationships/hyperlink" Target="http://www.broadinstitute.org/gsea/msigdb/cards/GO_SKIN_DEVELOPMENT.html" TargetMode="External"/><Relationship Id="rId1358" Type="http://schemas.openxmlformats.org/officeDocument/2006/relationships/hyperlink" Target="http://www.broadinstitute.org/gsea/msigdb/cards/GO_ACTOMYOSIN.html" TargetMode="External"/><Relationship Id="rId1359" Type="http://schemas.openxmlformats.org/officeDocument/2006/relationships/hyperlink" Target="http://www.broadinstitute.org/gsea/msigdb/cards/GO_APPENDAGE_DEVELOPMENT.html" TargetMode="External"/><Relationship Id="rId890" Type="http://schemas.openxmlformats.org/officeDocument/2006/relationships/hyperlink" Target="http://www.broadinstitute.org/gsea/msigdb/cards/POU3F2_01.html" TargetMode="External"/><Relationship Id="rId891" Type="http://schemas.openxmlformats.org/officeDocument/2006/relationships/hyperlink" Target="http://www.broadinstitute.org/gsea/msigdb/cards/TATA_01.html" TargetMode="External"/><Relationship Id="rId892" Type="http://schemas.openxmlformats.org/officeDocument/2006/relationships/hyperlink" Target="http://www.broadinstitute.org/gsea/msigdb/cards/MYOGENIN_Q6.html" TargetMode="External"/><Relationship Id="rId893" Type="http://schemas.openxmlformats.org/officeDocument/2006/relationships/hyperlink" Target="http://www.broadinstitute.org/gsea/msigdb/cards/SMAD_Q6.html" TargetMode="External"/><Relationship Id="rId894" Type="http://schemas.openxmlformats.org/officeDocument/2006/relationships/hyperlink" Target="http://www.broadinstitute.org/gsea/msigdb/cards/AP4_Q6_01.html" TargetMode="External"/><Relationship Id="rId895" Type="http://schemas.openxmlformats.org/officeDocument/2006/relationships/hyperlink" Target="http://www.broadinstitute.org/gsea/msigdb/cards/CCATCCA_MIR432.html" TargetMode="External"/><Relationship Id="rId896" Type="http://schemas.openxmlformats.org/officeDocument/2006/relationships/hyperlink" Target="http://www.broadinstitute.org/gsea/msigdb/cards/CDC5_01.html" TargetMode="External"/><Relationship Id="rId897" Type="http://schemas.openxmlformats.org/officeDocument/2006/relationships/hyperlink" Target="http://www.broadinstitute.org/gsea/msigdb/cards/PAX2_02.html" TargetMode="External"/><Relationship Id="rId898" Type="http://schemas.openxmlformats.org/officeDocument/2006/relationships/hyperlink" Target="http://www.broadinstitute.org/gsea/msigdb/cards/AAAGACA_MIR511.html" TargetMode="External"/><Relationship Id="rId899" Type="http://schemas.openxmlformats.org/officeDocument/2006/relationships/hyperlink" Target="http://www.broadinstitute.org/gsea/msigdb/cards/CREBP1CJUN_01.html" TargetMode="External"/><Relationship Id="rId1744" Type="http://schemas.openxmlformats.org/officeDocument/2006/relationships/hyperlink" Target="http://www.broadinstitute.org/gsea/msigdb/cards/GO_NEGATIVE_REGULATION_OF_CELL_MORPHOGENESIS_INVOLVED_IN_DIFFERENTIATION.html" TargetMode="External"/><Relationship Id="rId1745" Type="http://schemas.openxmlformats.org/officeDocument/2006/relationships/hyperlink" Target="http://www.broadinstitute.org/gsea/msigdb/cards/GO_DETECTION_OF_ABIOTIC_STIMULUS.html" TargetMode="External"/><Relationship Id="rId1746" Type="http://schemas.openxmlformats.org/officeDocument/2006/relationships/hyperlink" Target="http://www.broadinstitute.org/gsea/msigdb/cards/GO_RESPONSE_TO_RADIATION.html" TargetMode="External"/><Relationship Id="rId1747" Type="http://schemas.openxmlformats.org/officeDocument/2006/relationships/hyperlink" Target="http://www.broadinstitute.org/gsea/msigdb/cards/GO_POSITIVE_REGULATION_OF_TRANSCRIPTION_FROM_RNA_POLYMERASE_II_PROMOTER.html" TargetMode="External"/><Relationship Id="rId1748" Type="http://schemas.openxmlformats.org/officeDocument/2006/relationships/hyperlink" Target="http://www.broadinstitute.org/gsea/msigdb/cards/GO_REGULATION_OF_BLOOD_PRESSURE.html" TargetMode="External"/><Relationship Id="rId1749" Type="http://schemas.openxmlformats.org/officeDocument/2006/relationships/hyperlink" Target="http://www.broadinstitute.org/gsea/msigdb/cards/GO_REGULATION_OF_CELLULAR_PROTEIN_LOCALIZATION.html" TargetMode="External"/><Relationship Id="rId2040" Type="http://schemas.openxmlformats.org/officeDocument/2006/relationships/hyperlink" Target="http://www.broadinstitute.org/gsea/msigdb/cards/GSE20715_WT_VS_TLR4_KO_48H_OZONE_LUNG_UP.html" TargetMode="External"/><Relationship Id="rId2041" Type="http://schemas.openxmlformats.org/officeDocument/2006/relationships/hyperlink" Target="http://www.broadinstitute.org/gsea/msigdb/cards/GSE20715_0H_VS_6H_OZONE_LUNG_DN.html" TargetMode="External"/><Relationship Id="rId2042" Type="http://schemas.openxmlformats.org/officeDocument/2006/relationships/hyperlink" Target="http://www.broadinstitute.org/gsea/msigdb/cards/GSE22886_NAIVE_VS_MEMORY_TCELL_UP.html" TargetMode="External"/><Relationship Id="rId2043" Type="http://schemas.openxmlformats.org/officeDocument/2006/relationships/hyperlink" Target="http://www.broadinstitute.org/gsea/msigdb/cards/GSE22886_TCELL_VS_BCELL_NAIVE_DN.html" TargetMode="External"/><Relationship Id="rId2044" Type="http://schemas.openxmlformats.org/officeDocument/2006/relationships/hyperlink" Target="http://www.broadinstitute.org/gsea/msigdb/cards/GSE22886_IL2_VS_IL15_STIM_NKCELL_UP.html" TargetMode="External"/><Relationship Id="rId2045" Type="http://schemas.openxmlformats.org/officeDocument/2006/relationships/hyperlink" Target="http://www.broadinstitute.org/gsea/msigdb/cards/GSE24634_IL4_VS_CTRL_TREATED_NAIVE_CD4_TCELL_DAY3_UP.html" TargetMode="External"/><Relationship Id="rId2046" Type="http://schemas.openxmlformats.org/officeDocument/2006/relationships/hyperlink" Target="http://www.broadinstitute.org/gsea/msigdb/cards/GSE24634_IL4_VS_CTRL_TREATED_NAIVE_CD4_TCELL_DAY10_DN.html" TargetMode="External"/><Relationship Id="rId2047" Type="http://schemas.openxmlformats.org/officeDocument/2006/relationships/hyperlink" Target="http://www.broadinstitute.org/gsea/msigdb/cards/GSE26928_EFF_MEM_VS_CENTR_MEM_CD4_TCELL_DN.html" TargetMode="External"/><Relationship Id="rId2048" Type="http://schemas.openxmlformats.org/officeDocument/2006/relationships/hyperlink" Target="http://www.broadinstitute.org/gsea/msigdb/cards/GSE27786_NKTCELL_VS_ERYTHROBLAST_DN.html" TargetMode="External"/><Relationship Id="rId2049" Type="http://schemas.openxmlformats.org/officeDocument/2006/relationships/hyperlink" Target="http://www.broadinstitute.org/gsea/msigdb/cards/GSE29618_MONOCYTE_VS_PDC_DN.html" TargetMode="External"/><Relationship Id="rId100" Type="http://schemas.openxmlformats.org/officeDocument/2006/relationships/hyperlink" Target="http://www.broadinstitute.org/gsea/msigdb/cards/BROWNE_HCMV_INFECTION_18HR_DN.html" TargetMode="External"/><Relationship Id="rId101" Type="http://schemas.openxmlformats.org/officeDocument/2006/relationships/hyperlink" Target="http://www.broadinstitute.org/gsea/msigdb/cards/THUM_MIR21_TARGETS_HEART_DISEASE_UP.html" TargetMode="External"/><Relationship Id="rId102" Type="http://schemas.openxmlformats.org/officeDocument/2006/relationships/hyperlink" Target="http://www.broadinstitute.org/gsea/msigdb/cards/LANDIS_BREAST_CANCER_PROGRESSION_DN.html" TargetMode="External"/><Relationship Id="rId103" Type="http://schemas.openxmlformats.org/officeDocument/2006/relationships/hyperlink" Target="http://www.broadinstitute.org/gsea/msigdb/cards/ROZANOV_MMP14_TARGETS_SUBSET.html" TargetMode="External"/><Relationship Id="rId104" Type="http://schemas.openxmlformats.org/officeDocument/2006/relationships/hyperlink" Target="http://www.broadinstitute.org/gsea/msigdb/cards/BROWNE_HCMV_INFECTION_24HR_DN.html" TargetMode="External"/><Relationship Id="rId105" Type="http://schemas.openxmlformats.org/officeDocument/2006/relationships/hyperlink" Target="http://www.broadinstitute.org/gsea/msigdb/cards/LINDGREN_BLADDER_CANCER_HIGH_RECURRENCE.html" TargetMode="External"/><Relationship Id="rId106" Type="http://schemas.openxmlformats.org/officeDocument/2006/relationships/hyperlink" Target="http://www.broadinstitute.org/gsea/msigdb/cards/NABA_PROTEOGLYCANS.html" TargetMode="External"/><Relationship Id="rId107" Type="http://schemas.openxmlformats.org/officeDocument/2006/relationships/hyperlink" Target="http://www.broadinstitute.org/gsea/msigdb/cards/MIKKELSEN_MEF_LCP_WITH_H3K4ME3.html" TargetMode="External"/><Relationship Id="rId108" Type="http://schemas.openxmlformats.org/officeDocument/2006/relationships/hyperlink" Target="http://www.broadinstitute.org/gsea/msigdb/cards/CHICAS_RB1_TARGETS_GROWING.html" TargetMode="External"/><Relationship Id="rId109" Type="http://schemas.openxmlformats.org/officeDocument/2006/relationships/hyperlink" Target="http://www.broadinstitute.org/gsea/msigdb/cards/CUI_TCF21_TARGETS_UP.html" TargetMode="External"/><Relationship Id="rId1750" Type="http://schemas.openxmlformats.org/officeDocument/2006/relationships/hyperlink" Target="http://www.broadinstitute.org/gsea/msigdb/cards/GO_REGULATION_OF_CELL_ACTIVATION.html" TargetMode="External"/><Relationship Id="rId1751" Type="http://schemas.openxmlformats.org/officeDocument/2006/relationships/hyperlink" Target="http://www.broadinstitute.org/gsea/msigdb/cards/GO_POSITIVE_REGULATION_OF_CANONICAL_WNT_SIGNALING_PATHWAY.html" TargetMode="External"/><Relationship Id="rId1752" Type="http://schemas.openxmlformats.org/officeDocument/2006/relationships/hyperlink" Target="http://www.broadinstitute.org/gsea/msigdb/cards/GO_CELLULAR_RESPONSE_TO_CARBOHYDRATE_STIMULUS.html" TargetMode="External"/><Relationship Id="rId1753" Type="http://schemas.openxmlformats.org/officeDocument/2006/relationships/hyperlink" Target="http://www.broadinstitute.org/gsea/msigdb/cards/GO_CARDIAC_MUSCLE_CELL_DIFFERENTIATION.html" TargetMode="External"/><Relationship Id="rId1360" Type="http://schemas.openxmlformats.org/officeDocument/2006/relationships/hyperlink" Target="http://www.broadinstitute.org/gsea/msigdb/cards/GO_FILOPODIUM.html" TargetMode="External"/><Relationship Id="rId1361" Type="http://schemas.openxmlformats.org/officeDocument/2006/relationships/hyperlink" Target="http://www.broadinstitute.org/gsea/msigdb/cards/GO_SECRETION.html" TargetMode="External"/><Relationship Id="rId1362" Type="http://schemas.openxmlformats.org/officeDocument/2006/relationships/hyperlink" Target="http://www.broadinstitute.org/gsea/msigdb/cards/GO_CARBOHYDRATE_DERIVATIVE_METABOLIC_PROCESS.html" TargetMode="External"/><Relationship Id="rId1363" Type="http://schemas.openxmlformats.org/officeDocument/2006/relationships/hyperlink" Target="http://www.broadinstitute.org/gsea/msigdb/cards/GO_MESENCHYME_MORPHOGENESIS.html" TargetMode="External"/><Relationship Id="rId1364" Type="http://schemas.openxmlformats.org/officeDocument/2006/relationships/hyperlink" Target="http://www.broadinstitute.org/gsea/msigdb/cards/GO_STRIATED_MUSCLE_CELL_DIFFERENTIATION.html" TargetMode="External"/><Relationship Id="rId1365" Type="http://schemas.openxmlformats.org/officeDocument/2006/relationships/hyperlink" Target="http://www.broadinstitute.org/gsea/msigdb/cards/GO_CIRCULATORY_SYSTEM_PROCESS.html" TargetMode="External"/><Relationship Id="rId1366" Type="http://schemas.openxmlformats.org/officeDocument/2006/relationships/hyperlink" Target="http://www.broadinstitute.org/gsea/msigdb/cards/GO_REGULATION_OF_PROTEIN_LOCALIZATION_TO_NUCLEUS.html" TargetMode="External"/><Relationship Id="rId1367" Type="http://schemas.openxmlformats.org/officeDocument/2006/relationships/hyperlink" Target="http://www.broadinstitute.org/gsea/msigdb/cards/GO_RESPONSE_TO_INORGANIC_SUBSTANCE.html" TargetMode="External"/><Relationship Id="rId1368" Type="http://schemas.openxmlformats.org/officeDocument/2006/relationships/hyperlink" Target="http://www.broadinstitute.org/gsea/msigdb/cards/GO_REGULATION_OF_CYTOPLASMIC_TRANSPORT.html" TargetMode="External"/><Relationship Id="rId1369" Type="http://schemas.openxmlformats.org/officeDocument/2006/relationships/hyperlink" Target="http://www.broadinstitute.org/gsea/msigdb/cards/GO_REGULATION_OF_NUCLEOCYTOPLASMIC_TRANSPORT.html" TargetMode="External"/><Relationship Id="rId1754" Type="http://schemas.openxmlformats.org/officeDocument/2006/relationships/hyperlink" Target="http://www.broadinstitute.org/gsea/msigdb/cards/GO_TELENCEPHALON_DEVELOPMENT.html" TargetMode="External"/><Relationship Id="rId1755" Type="http://schemas.openxmlformats.org/officeDocument/2006/relationships/hyperlink" Target="http://www.broadinstitute.org/gsea/msigdb/cards/GO_POSITIVE_REGULATION_OF_ERK1_AND_ERK2_CASCADE.html" TargetMode="External"/><Relationship Id="rId1756" Type="http://schemas.openxmlformats.org/officeDocument/2006/relationships/hyperlink" Target="http://www.broadinstitute.org/gsea/msigdb/cards/GO_CORONARY_VASCULATURE_DEVELOPMENT.html" TargetMode="External"/><Relationship Id="rId1757" Type="http://schemas.openxmlformats.org/officeDocument/2006/relationships/hyperlink" Target="http://www.broadinstitute.org/gsea/msigdb/cards/GO_POSITIVE_REGULATION_OF_CATION_CHANNEL_ACTIVITY.html" TargetMode="External"/><Relationship Id="rId1758" Type="http://schemas.openxmlformats.org/officeDocument/2006/relationships/hyperlink" Target="http://www.broadinstitute.org/gsea/msigdb/cards/GO_ESTABLISHMENT_OR_MAINTENANCE_OF_BIPOLAR_CELL_POLARITY.html" TargetMode="External"/><Relationship Id="rId1759" Type="http://schemas.openxmlformats.org/officeDocument/2006/relationships/hyperlink" Target="http://www.broadinstitute.org/gsea/msigdb/cards/GO_CELLULAR_GLUCOSE_HOMEOSTASIS.html" TargetMode="External"/><Relationship Id="rId2050" Type="http://schemas.openxmlformats.org/officeDocument/2006/relationships/hyperlink" Target="http://www.broadinstitute.org/gsea/msigdb/cards/GSE29618_PDC_VS_MDC_DAY7_FLU_VACCINE_UP.html" TargetMode="External"/><Relationship Id="rId2051" Type="http://schemas.openxmlformats.org/officeDocument/2006/relationships/hyperlink" Target="http://www.broadinstitute.org/gsea/msigdb/cards/GSE30083_SP1_VS_SP2_THYMOCYTE_UP.html" TargetMode="External"/><Relationship Id="rId2052" Type="http://schemas.openxmlformats.org/officeDocument/2006/relationships/hyperlink" Target="http://www.broadinstitute.org/gsea/msigdb/cards/GSE3337_CTRL_VS_16H_IFNG_IN_CD8POS_DC_UP.html" TargetMode="External"/><Relationship Id="rId2053" Type="http://schemas.openxmlformats.org/officeDocument/2006/relationships/hyperlink" Target="http://www.broadinstitute.org/gsea/msigdb/cards/GSE360_CTRL_VS_B_MALAYI_HIGH_DOSE_DC_DN.html" TargetMode="External"/><Relationship Id="rId2054" Type="http://schemas.openxmlformats.org/officeDocument/2006/relationships/hyperlink" Target="http://www.broadinstitute.org/gsea/msigdb/cards/GSE360_CTRL_VS_B_MALAYI_LOW_DOSE_DC_DN.html" TargetMode="External"/><Relationship Id="rId2055" Type="http://schemas.openxmlformats.org/officeDocument/2006/relationships/hyperlink" Target="http://www.broadinstitute.org/gsea/msigdb/cards/GSE360_CTRL_VS_M_TUBERCULOSIS_DC_DN.html" TargetMode="External"/><Relationship Id="rId2056" Type="http://schemas.openxmlformats.org/officeDocument/2006/relationships/hyperlink" Target="http://www.broadinstitute.org/gsea/msigdb/cards/GSE360_DC_VS_MAC_B_MALAYI_HIGH_DOSE_DN.html" TargetMode="External"/><Relationship Id="rId2057" Type="http://schemas.openxmlformats.org/officeDocument/2006/relationships/hyperlink" Target="http://www.broadinstitute.org/gsea/msigdb/cards/GSE360_DC_VS_MAC_M_TUBERCULOSIS_DN.html" TargetMode="External"/><Relationship Id="rId2058" Type="http://schemas.openxmlformats.org/officeDocument/2006/relationships/hyperlink" Target="http://www.broadinstitute.org/gsea/msigdb/cards/GSE360_L_DONOVANI_VS_M_TUBERCULOSIS_DC_DN.html" TargetMode="External"/><Relationship Id="rId2059" Type="http://schemas.openxmlformats.org/officeDocument/2006/relationships/hyperlink" Target="http://www.broadinstitute.org/gsea/msigdb/cards/GSE360_HIGH_VS_LOW_DOSE_B_MALAYI_DC_UP.html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broadinstitute.org/gsea/msigdb/cards/RYTGCNNRGNAAC_MIF1_01.html" TargetMode="External"/><Relationship Id="rId14" Type="http://schemas.openxmlformats.org/officeDocument/2006/relationships/hyperlink" Target="http://www.broadinstitute.org/gsea/msigdb/cards/RFX1_02.html" TargetMode="External"/><Relationship Id="rId15" Type="http://schemas.openxmlformats.org/officeDocument/2006/relationships/hyperlink" Target="http://www.broadinstitute.org/gsea/msigdb/cards/GO_CILIUM.html" TargetMode="External"/><Relationship Id="rId16" Type="http://schemas.openxmlformats.org/officeDocument/2006/relationships/hyperlink" Target="http://www.broadinstitute.org/gsea/msigdb/cards/GO_MICROTUBULE_BUNDLE_FORMATION.html" TargetMode="External"/><Relationship Id="rId17" Type="http://schemas.openxmlformats.org/officeDocument/2006/relationships/hyperlink" Target="http://www.broadinstitute.org/gsea/msigdb/cards/GO_AXONEME_ASSEMBLY.html" TargetMode="External"/><Relationship Id="rId18" Type="http://schemas.openxmlformats.org/officeDocument/2006/relationships/hyperlink" Target="http://www.broadinstitute.org/gsea/msigdb/cards/GO_MICROTUBULE_BASED_PROCESS.html" TargetMode="External"/><Relationship Id="rId19" Type="http://schemas.openxmlformats.org/officeDocument/2006/relationships/hyperlink" Target="http://www.broadinstitute.org/gsea/msigdb/cards/GO_CILIARY_PART.html" TargetMode="External"/><Relationship Id="rId50" Type="http://schemas.openxmlformats.org/officeDocument/2006/relationships/hyperlink" Target="http://www.broadinstitute.org/gsea/msigdb/cards/GO_CELLULAR_PROTEIN_COMPLEX_ASSEMBLY.html" TargetMode="External"/><Relationship Id="rId51" Type="http://schemas.openxmlformats.org/officeDocument/2006/relationships/hyperlink" Target="http://www.broadinstitute.org/gsea/msigdb/cards/GO_SPERM_PART.html" TargetMode="External"/><Relationship Id="rId52" Type="http://schemas.openxmlformats.org/officeDocument/2006/relationships/hyperlink" Target="http://www.broadinstitute.org/gsea/msigdb/cards/GO_SPERM_MOTILITY.html" TargetMode="External"/><Relationship Id="rId53" Type="http://schemas.openxmlformats.org/officeDocument/2006/relationships/hyperlink" Target="http://www.broadinstitute.org/gsea/msigdb/cards/GO_MICROTUBULE_ASSOCIATED_COMPLEX.html" TargetMode="External"/><Relationship Id="rId54" Type="http://schemas.openxmlformats.org/officeDocument/2006/relationships/hyperlink" Target="http://www.broadinstitute.org/gsea/msigdb/cards/GO_CELLULAR_COMPONENT_MORPHOGENESIS.html" TargetMode="External"/><Relationship Id="rId55" Type="http://schemas.openxmlformats.org/officeDocument/2006/relationships/hyperlink" Target="http://www.broadinstitute.org/gsea/msigdb/cards/GO_MOVEMENT_OF_CELL_OR_SUBCELLULAR_COMPONENT.html" TargetMode="External"/><Relationship Id="rId56" Type="http://schemas.openxmlformats.org/officeDocument/2006/relationships/hyperlink" Target="http://www.broadinstitute.org/gsea/msigdb/cards/GO_MOTILE_CILIUM_ASSEMBLY.html" TargetMode="External"/><Relationship Id="rId57" Type="http://schemas.openxmlformats.org/officeDocument/2006/relationships/hyperlink" Target="http://www.broadinstitute.org/gsea/msigdb/cards/GO_ANATOMICAL_STRUCTURE_FORMATION_INVOLVED_IN_MORPHOGENESIS.html" TargetMode="External"/><Relationship Id="rId40" Type="http://schemas.openxmlformats.org/officeDocument/2006/relationships/hyperlink" Target="http://www.broadinstitute.org/gsea/msigdb/cards/GO_ORGANELLE_ASSEMBLY.html" TargetMode="External"/><Relationship Id="rId41" Type="http://schemas.openxmlformats.org/officeDocument/2006/relationships/hyperlink" Target="http://www.broadinstitute.org/gsea/msigdb/cards/GO_SPERM_FLAGELLUM.html" TargetMode="External"/><Relationship Id="rId42" Type="http://schemas.openxmlformats.org/officeDocument/2006/relationships/hyperlink" Target="http://www.broadinstitute.org/gsea/msigdb/cards/GO_INNER_DYNEIN_ARM_ASSEMBLY.html" TargetMode="External"/><Relationship Id="rId43" Type="http://schemas.openxmlformats.org/officeDocument/2006/relationships/hyperlink" Target="http://www.broadinstitute.org/gsea/msigdb/cards/GO_CYTOSKELETON_ORGANIZATION.html" TargetMode="External"/><Relationship Id="rId44" Type="http://schemas.openxmlformats.org/officeDocument/2006/relationships/hyperlink" Target="http://www.broadinstitute.org/gsea/msigdb/cards/GO_CELL_PROJECTION_PART.html" TargetMode="External"/><Relationship Id="rId45" Type="http://schemas.openxmlformats.org/officeDocument/2006/relationships/hyperlink" Target="http://www.broadinstitute.org/gsea/msigdb/cards/GO_OUTER_DYNEIN_ARM_ASSEMBLY.html" TargetMode="External"/><Relationship Id="rId46" Type="http://schemas.openxmlformats.org/officeDocument/2006/relationships/hyperlink" Target="http://www.broadinstitute.org/gsea/msigdb/cards/GO_AXONEMAL_DYNEIN_COMPLEX.html" TargetMode="External"/><Relationship Id="rId47" Type="http://schemas.openxmlformats.org/officeDocument/2006/relationships/hyperlink" Target="http://www.broadinstitute.org/gsea/msigdb/cards/GO_CELL_PROJECTION_ORGANIZATION.html" TargetMode="External"/><Relationship Id="rId48" Type="http://schemas.openxmlformats.org/officeDocument/2006/relationships/hyperlink" Target="http://www.broadinstitute.org/gsea/msigdb/cards/GO_MICROTUBULE_MOTOR_ACTIVITY.html" TargetMode="External"/><Relationship Id="rId49" Type="http://schemas.openxmlformats.org/officeDocument/2006/relationships/hyperlink" Target="http://www.broadinstitute.org/gsea/msigdb/cards/GO_MOTOR_ACTIVITY.html" TargetMode="External"/><Relationship Id="rId1" Type="http://schemas.openxmlformats.org/officeDocument/2006/relationships/hyperlink" Target="http://www.broadinstitute.org/gsea/msigdb/cards/DODD_NASOPHARYNGEAL_CARCINOMA_UP.html" TargetMode="External"/><Relationship Id="rId2" Type="http://schemas.openxmlformats.org/officeDocument/2006/relationships/hyperlink" Target="http://www.broadinstitute.org/gsea/msigdb/cards/SENGUPTA_NASOPHARYNGEAL_CARCINOMA_DN.html" TargetMode="External"/><Relationship Id="rId3" Type="http://schemas.openxmlformats.org/officeDocument/2006/relationships/hyperlink" Target="http://www.broadinstitute.org/gsea/msigdb/cards/CREIGHTON_ENDOCRINE_THERAPY_RESISTANCE_2.html" TargetMode="External"/><Relationship Id="rId4" Type="http://schemas.openxmlformats.org/officeDocument/2006/relationships/hyperlink" Target="http://www.broadinstitute.org/gsea/msigdb/cards/NAKAMURA_BRONCHIAL_AND_BRONCHIOLAR_EPITHELIA.html" TargetMode="External"/><Relationship Id="rId5" Type="http://schemas.openxmlformats.org/officeDocument/2006/relationships/hyperlink" Target="http://www.broadinstitute.org/gsea/msigdb/cards/NAKAMURA_LUNG_CANCER_DIFFERENTIATION_MARKERS.html" TargetMode="External"/><Relationship Id="rId6" Type="http://schemas.openxmlformats.org/officeDocument/2006/relationships/hyperlink" Target="http://www.broadinstitute.org/gsea/msigdb/cards/ZWANG_TRANSIENTLY_UP_BY_2ND_EGF_PULSE_ONLY.html" TargetMode="External"/><Relationship Id="rId7" Type="http://schemas.openxmlformats.org/officeDocument/2006/relationships/hyperlink" Target="http://www.broadinstitute.org/gsea/msigdb/cards/MIKKELSEN_ES_ICP_WITH_H3K4ME3.html" TargetMode="External"/><Relationship Id="rId8" Type="http://schemas.openxmlformats.org/officeDocument/2006/relationships/hyperlink" Target="http://www.broadinstitute.org/gsea/msigdb/cards/MIF1_01.html" TargetMode="External"/><Relationship Id="rId9" Type="http://schemas.openxmlformats.org/officeDocument/2006/relationships/hyperlink" Target="http://www.broadinstitute.org/gsea/msigdb/cards/RFX1_01.html" TargetMode="External"/><Relationship Id="rId30" Type="http://schemas.openxmlformats.org/officeDocument/2006/relationships/hyperlink" Target="http://www.broadinstitute.org/gsea/msigdb/cards/GO_CELL_PROJECTION_ASSEMBLY.html" TargetMode="External"/><Relationship Id="rId31" Type="http://schemas.openxmlformats.org/officeDocument/2006/relationships/hyperlink" Target="http://www.broadinstitute.org/gsea/msigdb/cards/GO_CYTOSKELETON.html" TargetMode="External"/><Relationship Id="rId32" Type="http://schemas.openxmlformats.org/officeDocument/2006/relationships/hyperlink" Target="http://www.broadinstitute.org/gsea/msigdb/cards/GO_DYNEIN_COMPLEX.html" TargetMode="External"/><Relationship Id="rId33" Type="http://schemas.openxmlformats.org/officeDocument/2006/relationships/hyperlink" Target="http://www.broadinstitute.org/gsea/msigdb/cards/GO_MICROTUBULE.html" TargetMode="External"/><Relationship Id="rId34" Type="http://schemas.openxmlformats.org/officeDocument/2006/relationships/hyperlink" Target="http://www.broadinstitute.org/gsea/msigdb/cards/GO_MICROTUBULE_CYTOSKELETON.html" TargetMode="External"/><Relationship Id="rId35" Type="http://schemas.openxmlformats.org/officeDocument/2006/relationships/hyperlink" Target="http://www.broadinstitute.org/gsea/msigdb/cards/GO_CILIUM_OR_FLAGELLUM_DEPENDENT_CELL_MOTILITY.html" TargetMode="External"/><Relationship Id="rId36" Type="http://schemas.openxmlformats.org/officeDocument/2006/relationships/hyperlink" Target="http://www.broadinstitute.org/gsea/msigdb/cards/GO_CELL_PART_MORPHOGENESIS.html" TargetMode="External"/><Relationship Id="rId37" Type="http://schemas.openxmlformats.org/officeDocument/2006/relationships/hyperlink" Target="http://www.broadinstitute.org/gsea/msigdb/cards/GO_AXONEME_PART.html" TargetMode="External"/><Relationship Id="rId38" Type="http://schemas.openxmlformats.org/officeDocument/2006/relationships/hyperlink" Target="http://www.broadinstitute.org/gsea/msigdb/cards/GO_CYTOSKELETAL_PART.html" TargetMode="External"/><Relationship Id="rId39" Type="http://schemas.openxmlformats.org/officeDocument/2006/relationships/hyperlink" Target="http://www.broadinstitute.org/gsea/msigdb/cards/GO_SUPRAMOLECULAR_FIBER.html" TargetMode="External"/><Relationship Id="rId20" Type="http://schemas.openxmlformats.org/officeDocument/2006/relationships/hyperlink" Target="http://www.broadinstitute.org/gsea/msigdb/cards/GO_CILIARY_PLASM.html" TargetMode="External"/><Relationship Id="rId21" Type="http://schemas.openxmlformats.org/officeDocument/2006/relationships/hyperlink" Target="http://www.broadinstitute.org/gsea/msigdb/cards/GO_AXONEMAL_DYNEIN_COMPLEX_ASSEMBLY.html" TargetMode="External"/><Relationship Id="rId22" Type="http://schemas.openxmlformats.org/officeDocument/2006/relationships/hyperlink" Target="http://www.broadinstitute.org/gsea/msigdb/cards/GO_CILIUM_MORPHOGENESIS.html" TargetMode="External"/><Relationship Id="rId23" Type="http://schemas.openxmlformats.org/officeDocument/2006/relationships/hyperlink" Target="http://www.broadinstitute.org/gsea/msigdb/cards/GO_CILIUM_ORGANIZATION.html" TargetMode="External"/><Relationship Id="rId24" Type="http://schemas.openxmlformats.org/officeDocument/2006/relationships/hyperlink" Target="http://www.broadinstitute.org/gsea/msigdb/cards/GO_MOTILE_CILIUM.html" TargetMode="External"/><Relationship Id="rId25" Type="http://schemas.openxmlformats.org/officeDocument/2006/relationships/hyperlink" Target="http://www.broadinstitute.org/gsea/msigdb/cards/GO_CELL_PROJECTION.html" TargetMode="External"/><Relationship Id="rId26" Type="http://schemas.openxmlformats.org/officeDocument/2006/relationships/hyperlink" Target="http://www.broadinstitute.org/gsea/msigdb/cards/GO_CILIUM_MOVEMENT.html" TargetMode="External"/><Relationship Id="rId27" Type="http://schemas.openxmlformats.org/officeDocument/2006/relationships/hyperlink" Target="http://www.broadinstitute.org/gsea/msigdb/cards/GO_MICROTUBULE_CYTOSKELETON_ORGANIZATION.html" TargetMode="External"/><Relationship Id="rId28" Type="http://schemas.openxmlformats.org/officeDocument/2006/relationships/hyperlink" Target="http://www.broadinstitute.org/gsea/msigdb/cards/GO_CELLULAR_COMPONENT_ASSEMBLY_INVOLVED_IN_MORPHOGENESIS.html" TargetMode="External"/><Relationship Id="rId29" Type="http://schemas.openxmlformats.org/officeDocument/2006/relationships/hyperlink" Target="http://www.broadinstitute.org/gsea/msigdb/cards/GO_MICROTUBULE_BASED_MOVEMENT.html" TargetMode="External"/><Relationship Id="rId10" Type="http://schemas.openxmlformats.org/officeDocument/2006/relationships/hyperlink" Target="http://www.broadinstitute.org/gsea/msigdb/cards/CYTAGCAAY_UNKNOWN.html" TargetMode="External"/><Relationship Id="rId11" Type="http://schemas.openxmlformats.org/officeDocument/2006/relationships/hyperlink" Target="http://www.broadinstitute.org/gsea/msigdb/cards/EFC_Q6.html" TargetMode="External"/><Relationship Id="rId12" Type="http://schemas.openxmlformats.org/officeDocument/2006/relationships/hyperlink" Target="http://www.broadinstitute.org/gsea/msigdb/cards/GTCNYYATGR_UNKNOWN.html" TargetMode="Externa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broadinstitute.org/gsea/msigdb/cards/GO_SENSORY_PERCEPTION.html" TargetMode="External"/><Relationship Id="rId12" Type="http://schemas.openxmlformats.org/officeDocument/2006/relationships/hyperlink" Target="http://www.broadinstitute.org/gsea/msigdb/cards/GO_G_PROTEIN_COUPLED_RECEPTOR_SIGNALING_PATHWAY.html" TargetMode="External"/><Relationship Id="rId13" Type="http://schemas.openxmlformats.org/officeDocument/2006/relationships/hyperlink" Target="http://www.broadinstitute.org/gsea/msigdb/cards/GO_NEUROLOGICAL_SYSTEM_PROCESS.html" TargetMode="External"/><Relationship Id="rId14" Type="http://schemas.openxmlformats.org/officeDocument/2006/relationships/hyperlink" Target="http://www.broadinstitute.org/gsea/msigdb/cards/GO_SIGNALING_RECEPTOR_ACTIVITY.html" TargetMode="External"/><Relationship Id="rId15" Type="http://schemas.openxmlformats.org/officeDocument/2006/relationships/hyperlink" Target="http://www.broadinstitute.org/gsea/msigdb/cards/GO_RECEPTOR_ACTIVITY.html" TargetMode="External"/><Relationship Id="rId16" Type="http://schemas.openxmlformats.org/officeDocument/2006/relationships/hyperlink" Target="http://www.broadinstitute.org/gsea/msigdb/cards/GO_SIGNAL_TRANSDUCER_ACTIVITY.html" TargetMode="External"/><Relationship Id="rId17" Type="http://schemas.openxmlformats.org/officeDocument/2006/relationships/hyperlink" Target="http://www.broadinstitute.org/gsea/msigdb/cards/GO_SYSTEM_PROCESS.html" TargetMode="External"/><Relationship Id="rId18" Type="http://schemas.openxmlformats.org/officeDocument/2006/relationships/hyperlink" Target="http://www.broadinstitute.org/gsea/msigdb/cards/GO_ODORANT_BINDING.html" TargetMode="External"/><Relationship Id="rId1" Type="http://schemas.openxmlformats.org/officeDocument/2006/relationships/hyperlink" Target="http://www.broadinstitute.org/gsea/msigdb/cards/chr11q12.html" TargetMode="External"/><Relationship Id="rId2" Type="http://schemas.openxmlformats.org/officeDocument/2006/relationships/hyperlink" Target="http://www.broadinstitute.org/gsea/msigdb/cards/chr9q33.html" TargetMode="External"/><Relationship Id="rId3" Type="http://schemas.openxmlformats.org/officeDocument/2006/relationships/hyperlink" Target="http://www.broadinstitute.org/gsea/msigdb/cards/KEGG_OLFACTORY_TRANSDUCTION.html" TargetMode="External"/><Relationship Id="rId4" Type="http://schemas.openxmlformats.org/officeDocument/2006/relationships/hyperlink" Target="http://www.broadinstitute.org/gsea/msigdb/cards/REACTOME_OLFACTORY_SIGNALING_PATHWAY.html" TargetMode="External"/><Relationship Id="rId5" Type="http://schemas.openxmlformats.org/officeDocument/2006/relationships/hyperlink" Target="http://www.broadinstitute.org/gsea/msigdb/cards/REACTOME_GPCR_DOWNSTREAM_SIGNALING.html" TargetMode="External"/><Relationship Id="rId6" Type="http://schemas.openxmlformats.org/officeDocument/2006/relationships/hyperlink" Target="http://www.broadinstitute.org/gsea/msigdb/cards/REACTOME_SIGNALING_BY_GPCR.html" TargetMode="External"/><Relationship Id="rId7" Type="http://schemas.openxmlformats.org/officeDocument/2006/relationships/hyperlink" Target="http://www.broadinstitute.org/gsea/msigdb/cards/GO_SENSORY_PERCEPTION_OF_CHEMICAL_STIMULUS.html" TargetMode="External"/><Relationship Id="rId8" Type="http://schemas.openxmlformats.org/officeDocument/2006/relationships/hyperlink" Target="http://www.broadinstitute.org/gsea/msigdb/cards/GO_OLFACTORY_RECEPTOR_ACTIVITY.html" TargetMode="External"/><Relationship Id="rId9" Type="http://schemas.openxmlformats.org/officeDocument/2006/relationships/hyperlink" Target="http://www.broadinstitute.org/gsea/msigdb/cards/GO_DETECTION_OF_STIMULUS.html" TargetMode="External"/><Relationship Id="rId10" Type="http://schemas.openxmlformats.org/officeDocument/2006/relationships/hyperlink" Target="http://www.broadinstitute.org/gsea/msigdb/cards/GO_G_PROTEIN_COUPLED_RECEPTOR_ACTIVITY.html" TargetMode="External"/></Relationships>
</file>

<file path=xl/worksheets/_rels/sheet10.xml.rels><?xml version="1.0" encoding="UTF-8" standalone="yes"?>
<Relationships xmlns="http://schemas.openxmlformats.org/package/2006/relationships"><Relationship Id="rId106" Type="http://schemas.openxmlformats.org/officeDocument/2006/relationships/hyperlink" Target="http://www.broadinstitute.org/gsea/msigdb/cards/LFA1_Q6.html" TargetMode="External"/><Relationship Id="rId107" Type="http://schemas.openxmlformats.org/officeDocument/2006/relationships/hyperlink" Target="http://www.broadinstitute.org/gsea/msigdb/cards/AR_Q6.html" TargetMode="External"/><Relationship Id="rId108" Type="http://schemas.openxmlformats.org/officeDocument/2006/relationships/hyperlink" Target="http://www.broadinstitute.org/gsea/msigdb/cards/CTTTGT_LEF1_Q2.html" TargetMode="External"/><Relationship Id="rId109" Type="http://schemas.openxmlformats.org/officeDocument/2006/relationships/hyperlink" Target="http://www.broadinstitute.org/gsea/msigdb/cards/TGACAGNY_MEIS1_01.html" TargetMode="External"/><Relationship Id="rId345" Type="http://schemas.openxmlformats.org/officeDocument/2006/relationships/hyperlink" Target="http://www.broadinstitute.org/gsea/msigdb/cards/GSE2770_TGFB_AND_IL4_VS_IL4_TREATED_ACT_CD4_TCELL_2H_DN.html" TargetMode="External"/><Relationship Id="rId346" Type="http://schemas.openxmlformats.org/officeDocument/2006/relationships/hyperlink" Target="http://www.broadinstitute.org/gsea/msigdb/cards/GSE18281_SUBCAPSULAR_VS_PERIMEDULLARY_CORTICAL_REGION_OF_THYMUS_UP.html" TargetMode="External"/><Relationship Id="rId347" Type="http://schemas.openxmlformats.org/officeDocument/2006/relationships/hyperlink" Target="http://www.broadinstitute.org/gsea/msigdb/cards/GSE19401_PLN_VS_PEYERS_PATCH_FOLLICULAR_DC_UP.html" TargetMode="External"/><Relationship Id="rId348" Type="http://schemas.openxmlformats.org/officeDocument/2006/relationships/hyperlink" Target="http://www.broadinstitute.org/gsea/msigdb/cards/GSE41978_WT_VS_BIM_KO_KLRG1_LOW_EFFECTOR_CD8_TCELL_UP.html" TargetMode="External"/><Relationship Id="rId70" Type="http://schemas.openxmlformats.org/officeDocument/2006/relationships/hyperlink" Target="http://www.broadinstitute.org/gsea/msigdb/cards/MCDOWELL_ACUTE_LUNG_INJURY_DN.html" TargetMode="External"/><Relationship Id="rId71" Type="http://schemas.openxmlformats.org/officeDocument/2006/relationships/hyperlink" Target="http://www.broadinstitute.org/gsea/msigdb/cards/STOSSI_RESPONSE_TO_ESTRADIOL.html" TargetMode="External"/><Relationship Id="rId72" Type="http://schemas.openxmlformats.org/officeDocument/2006/relationships/hyperlink" Target="http://www.broadinstitute.org/gsea/msigdb/cards/INGRAM_SHH_TARGETS_UP.html" TargetMode="External"/><Relationship Id="rId73" Type="http://schemas.openxmlformats.org/officeDocument/2006/relationships/hyperlink" Target="http://www.broadinstitute.org/gsea/msigdb/cards/PID_VEGF_VEGFR_PATHWAY.html" TargetMode="External"/><Relationship Id="rId74" Type="http://schemas.openxmlformats.org/officeDocument/2006/relationships/hyperlink" Target="http://www.broadinstitute.org/gsea/msigdb/cards/REACTOME_VEGF_LIGAND_RECEPTOR_INTERACTIONS.html" TargetMode="External"/><Relationship Id="rId75" Type="http://schemas.openxmlformats.org/officeDocument/2006/relationships/hyperlink" Target="http://www.broadinstitute.org/gsea/msigdb/cards/HENDRICKS_SMARCA4_TARGETS_DN.html" TargetMode="External"/><Relationship Id="rId76" Type="http://schemas.openxmlformats.org/officeDocument/2006/relationships/hyperlink" Target="http://www.broadinstitute.org/gsea/msigdb/cards/JU_AGING_TERC_TARGETS_UP.html" TargetMode="External"/><Relationship Id="rId77" Type="http://schemas.openxmlformats.org/officeDocument/2006/relationships/hyperlink" Target="http://www.broadinstitute.org/gsea/msigdb/cards/BONOME_OVARIAN_CANCER_SURVIVAL_SUBOPTIMAL_DEBULKING.html" TargetMode="External"/><Relationship Id="rId78" Type="http://schemas.openxmlformats.org/officeDocument/2006/relationships/hyperlink" Target="http://www.broadinstitute.org/gsea/msigdb/cards/ROVERSI_GLIOMA_COPY_NUMBER_DN.html" TargetMode="External"/><Relationship Id="rId79" Type="http://schemas.openxmlformats.org/officeDocument/2006/relationships/hyperlink" Target="http://www.broadinstitute.org/gsea/msigdb/cards/MARTENS_TRETINOIN_RESPONSE_UP.html" TargetMode="External"/><Relationship Id="rId170" Type="http://schemas.openxmlformats.org/officeDocument/2006/relationships/hyperlink" Target="http://www.broadinstitute.org/gsea/msigdb/cards/GO_RETINA_VASCULATURE_DEVELOPMENT_IN_CAMERA_TYPE_EYE.html" TargetMode="External"/><Relationship Id="rId171" Type="http://schemas.openxmlformats.org/officeDocument/2006/relationships/hyperlink" Target="http://www.broadinstitute.org/gsea/msigdb/cards/GO_NEPHRON_DEVELOPMENT.html" TargetMode="External"/><Relationship Id="rId172" Type="http://schemas.openxmlformats.org/officeDocument/2006/relationships/hyperlink" Target="http://www.broadinstitute.org/gsea/msigdb/cards/GO_IMMUNE_SYSTEM_PROCESS.html" TargetMode="External"/><Relationship Id="rId173" Type="http://schemas.openxmlformats.org/officeDocument/2006/relationships/hyperlink" Target="http://www.broadinstitute.org/gsea/msigdb/cards/GO_POSITIVE_REGULATION_OF_LOCOMOTION.html" TargetMode="External"/><Relationship Id="rId174" Type="http://schemas.openxmlformats.org/officeDocument/2006/relationships/hyperlink" Target="http://www.broadinstitute.org/gsea/msigdb/cards/GO_CELL_PROJECTION.html" TargetMode="External"/><Relationship Id="rId175" Type="http://schemas.openxmlformats.org/officeDocument/2006/relationships/hyperlink" Target="http://www.broadinstitute.org/gsea/msigdb/cards/GO_REGULATION_OF_CYTOKINE_PRODUCTION.html" TargetMode="External"/><Relationship Id="rId176" Type="http://schemas.openxmlformats.org/officeDocument/2006/relationships/hyperlink" Target="http://www.broadinstitute.org/gsea/msigdb/cards/GO_BLOOD_COAGULATION_INTRINSIC_PATHWAY.html" TargetMode="External"/><Relationship Id="rId177" Type="http://schemas.openxmlformats.org/officeDocument/2006/relationships/hyperlink" Target="http://www.broadinstitute.org/gsea/msigdb/cards/GO_BASOLATERAL_PLASMA_MEMBRANE.html" TargetMode="External"/><Relationship Id="rId178" Type="http://schemas.openxmlformats.org/officeDocument/2006/relationships/hyperlink" Target="http://www.broadinstitute.org/gsea/msigdb/cards/GO_VESICLE_MEDIATED_TRANSPORT.html" TargetMode="External"/><Relationship Id="rId179" Type="http://schemas.openxmlformats.org/officeDocument/2006/relationships/hyperlink" Target="http://www.broadinstitute.org/gsea/msigdb/cards/GO_EMBRYO_DEVELOPMENT.html" TargetMode="External"/><Relationship Id="rId260" Type="http://schemas.openxmlformats.org/officeDocument/2006/relationships/hyperlink" Target="http://www.broadinstitute.org/gsea/msigdb/cards/GO_LYTIC_VACUOLE.html" TargetMode="External"/><Relationship Id="rId10" Type="http://schemas.openxmlformats.org/officeDocument/2006/relationships/hyperlink" Target="http://www.broadinstitute.org/gsea/msigdb/cards/SABATES_COLORECTAL_ADENOMA_DN.html" TargetMode="External"/><Relationship Id="rId11" Type="http://schemas.openxmlformats.org/officeDocument/2006/relationships/hyperlink" Target="http://www.broadinstitute.org/gsea/msigdb/cards/WEST_ADRENOCORTICAL_TUMOR_DN.html" TargetMode="External"/><Relationship Id="rId12" Type="http://schemas.openxmlformats.org/officeDocument/2006/relationships/hyperlink" Target="http://www.broadinstitute.org/gsea/msigdb/cards/BERTUCCI_INVASIVE_CARCINOMA_DUCTAL_VS_LOBULAR_DN.html" TargetMode="External"/><Relationship Id="rId13" Type="http://schemas.openxmlformats.org/officeDocument/2006/relationships/hyperlink" Target="http://www.broadinstitute.org/gsea/msigdb/cards/NABA_MATRISOME_ASSOCIATED.html" TargetMode="External"/><Relationship Id="rId14" Type="http://schemas.openxmlformats.org/officeDocument/2006/relationships/hyperlink" Target="http://www.broadinstitute.org/gsea/msigdb/cards/NABA_ECM_AFFILIATED.html" TargetMode="External"/><Relationship Id="rId15" Type="http://schemas.openxmlformats.org/officeDocument/2006/relationships/hyperlink" Target="http://www.broadinstitute.org/gsea/msigdb/cards/GUO_HEX_TARGETS_DN.html" TargetMode="External"/><Relationship Id="rId16" Type="http://schemas.openxmlformats.org/officeDocument/2006/relationships/hyperlink" Target="http://www.broadinstitute.org/gsea/msigdb/cards/SMID_BREAST_CANCER_LUMINAL_B_DN.html" TargetMode="External"/><Relationship Id="rId17" Type="http://schemas.openxmlformats.org/officeDocument/2006/relationships/hyperlink" Target="http://www.broadinstitute.org/gsea/msigdb/cards/IWANAGA_CARCINOGENESIS_BY_KRAS_PTEN_DN.html" TargetMode="External"/><Relationship Id="rId18" Type="http://schemas.openxmlformats.org/officeDocument/2006/relationships/hyperlink" Target="http://www.broadinstitute.org/gsea/msigdb/cards/WANG_MLL_TARGETS.html" TargetMode="External"/><Relationship Id="rId19" Type="http://schemas.openxmlformats.org/officeDocument/2006/relationships/hyperlink" Target="http://www.broadinstitute.org/gsea/msigdb/cards/NAKAYAMA_SOFT_TISSUE_TUMORS_PCA2_DN.html" TargetMode="External"/><Relationship Id="rId261" Type="http://schemas.openxmlformats.org/officeDocument/2006/relationships/hyperlink" Target="http://www.broadinstitute.org/gsea/msigdb/cards/GO_CENTRAL_NERVOUS_SYSTEM_DEVELOPMENT.html" TargetMode="External"/><Relationship Id="rId262" Type="http://schemas.openxmlformats.org/officeDocument/2006/relationships/hyperlink" Target="http://www.broadinstitute.org/gsea/msigdb/cards/GO_NEURON_DIFFERENTIATION.html" TargetMode="External"/><Relationship Id="rId263" Type="http://schemas.openxmlformats.org/officeDocument/2006/relationships/hyperlink" Target="http://www.broadinstitute.org/gsea/msigdb/cards/GO_RECEPTOR_BINDING.html" TargetMode="External"/><Relationship Id="rId264" Type="http://schemas.openxmlformats.org/officeDocument/2006/relationships/hyperlink" Target="http://www.broadinstitute.org/gsea/msigdb/cards/GO_REGULATION_OF_EPITHELIAL_CELL_APOPTOTIC_PROCESS.html" TargetMode="External"/><Relationship Id="rId110" Type="http://schemas.openxmlformats.org/officeDocument/2006/relationships/hyperlink" Target="http://www.broadinstitute.org/gsea/msigdb/cards/RGAGGAARY_PU1_Q6.html" TargetMode="External"/><Relationship Id="rId111" Type="http://schemas.openxmlformats.org/officeDocument/2006/relationships/hyperlink" Target="http://www.broadinstitute.org/gsea/msigdb/cards/STAT4_01.html" TargetMode="External"/><Relationship Id="rId112" Type="http://schemas.openxmlformats.org/officeDocument/2006/relationships/hyperlink" Target="http://www.broadinstitute.org/gsea/msigdb/cards/TGTTTGY_HNF3_Q6.html" TargetMode="External"/><Relationship Id="rId113" Type="http://schemas.openxmlformats.org/officeDocument/2006/relationships/hyperlink" Target="http://www.broadinstitute.org/gsea/msigdb/cards/MODULE_5.html" TargetMode="External"/><Relationship Id="rId114" Type="http://schemas.openxmlformats.org/officeDocument/2006/relationships/hyperlink" Target="http://www.broadinstitute.org/gsea/msigdb/cards/MODULE_176.html" TargetMode="External"/><Relationship Id="rId115" Type="http://schemas.openxmlformats.org/officeDocument/2006/relationships/hyperlink" Target="http://www.broadinstitute.org/gsea/msigdb/cards/MODULE_112.html" TargetMode="External"/><Relationship Id="rId116" Type="http://schemas.openxmlformats.org/officeDocument/2006/relationships/hyperlink" Target="http://www.broadinstitute.org/gsea/msigdb/cards/MODULE_47.html" TargetMode="External"/><Relationship Id="rId117" Type="http://schemas.openxmlformats.org/officeDocument/2006/relationships/hyperlink" Target="http://www.broadinstitute.org/gsea/msigdb/cards/MODULE_2.html" TargetMode="External"/><Relationship Id="rId118" Type="http://schemas.openxmlformats.org/officeDocument/2006/relationships/hyperlink" Target="http://www.broadinstitute.org/gsea/msigdb/cards/MODULE_117.html" TargetMode="External"/><Relationship Id="rId119" Type="http://schemas.openxmlformats.org/officeDocument/2006/relationships/hyperlink" Target="http://www.broadinstitute.org/gsea/msigdb/cards/MODULE_84.html" TargetMode="External"/><Relationship Id="rId200" Type="http://schemas.openxmlformats.org/officeDocument/2006/relationships/hyperlink" Target="http://www.broadinstitute.org/gsea/msigdb/cards/GO_SIGNALING_RECEPTOR_ACTIVITY.html" TargetMode="External"/><Relationship Id="rId201" Type="http://schemas.openxmlformats.org/officeDocument/2006/relationships/hyperlink" Target="http://www.broadinstitute.org/gsea/msigdb/cards/GO_SECRETORY_GRANULE_LUMEN.html" TargetMode="External"/><Relationship Id="rId202" Type="http://schemas.openxmlformats.org/officeDocument/2006/relationships/hyperlink" Target="http://www.broadinstitute.org/gsea/msigdb/cards/GO_NEGATIVE_REGULATION_OF_CELL_GROWTH.html" TargetMode="External"/><Relationship Id="rId203" Type="http://schemas.openxmlformats.org/officeDocument/2006/relationships/hyperlink" Target="http://www.broadinstitute.org/gsea/msigdb/cards/GO_NEGATIVE_REGULATION_OF_RESPONSE_TO_EXTERNAL_STIMULUS.html" TargetMode="External"/><Relationship Id="rId204" Type="http://schemas.openxmlformats.org/officeDocument/2006/relationships/hyperlink" Target="http://www.broadinstitute.org/gsea/msigdb/cards/GO_COLLAGEN_TRIMER.html" TargetMode="External"/><Relationship Id="rId205" Type="http://schemas.openxmlformats.org/officeDocument/2006/relationships/hyperlink" Target="http://www.broadinstitute.org/gsea/msigdb/cards/GO_BASAL_PLASMA_MEMBRANE.html" TargetMode="External"/><Relationship Id="rId206" Type="http://schemas.openxmlformats.org/officeDocument/2006/relationships/hyperlink" Target="http://www.broadinstitute.org/gsea/msigdb/cards/GO_TUBE_DEVELOPMENT.html" TargetMode="External"/><Relationship Id="rId207" Type="http://schemas.openxmlformats.org/officeDocument/2006/relationships/hyperlink" Target="http://www.broadinstitute.org/gsea/msigdb/cards/GO_CELL_DIFFERENTIATION_INVOLVED_IN_KIDNEY_DEVELOPMENT.html" TargetMode="External"/><Relationship Id="rId208" Type="http://schemas.openxmlformats.org/officeDocument/2006/relationships/hyperlink" Target="http://www.broadinstitute.org/gsea/msigdb/cards/GO_REGULATION_OF_INFLAMMATORY_RESPONSE.html" TargetMode="External"/><Relationship Id="rId209" Type="http://schemas.openxmlformats.org/officeDocument/2006/relationships/hyperlink" Target="http://www.broadinstitute.org/gsea/msigdb/cards/GO_POSITIVE_CHEMOTAXIS.html" TargetMode="External"/><Relationship Id="rId265" Type="http://schemas.openxmlformats.org/officeDocument/2006/relationships/hyperlink" Target="http://www.broadinstitute.org/gsea/msigdb/cards/GO_CELL_CELL_JUNCTION.html" TargetMode="External"/><Relationship Id="rId266" Type="http://schemas.openxmlformats.org/officeDocument/2006/relationships/hyperlink" Target="http://www.broadinstitute.org/gsea/msigdb/cards/GO_POSITIVE_REGULATION_OF_SMOOTH_MUSCLE_CELL_PROLIFERATION.html" TargetMode="External"/><Relationship Id="rId267" Type="http://schemas.openxmlformats.org/officeDocument/2006/relationships/hyperlink" Target="http://www.broadinstitute.org/gsea/msigdb/cards/GO_REGULATION_OF_CELL_DIFFERENTIATION.html" TargetMode="External"/><Relationship Id="rId268" Type="http://schemas.openxmlformats.org/officeDocument/2006/relationships/hyperlink" Target="http://www.broadinstitute.org/gsea/msigdb/cards/GO_EMBRYONIC_MORPHOGENESIS.html" TargetMode="External"/><Relationship Id="rId269" Type="http://schemas.openxmlformats.org/officeDocument/2006/relationships/hyperlink" Target="http://www.broadinstitute.org/gsea/msigdb/cards/GO_HEAD_DEVELOPMENT.html" TargetMode="External"/><Relationship Id="rId1" Type="http://schemas.openxmlformats.org/officeDocument/2006/relationships/hyperlink" Target="http://www.broadinstitute.org/gsea/msigdb/cards/HALLMARK_COAGULATION.html" TargetMode="External"/><Relationship Id="rId2" Type="http://schemas.openxmlformats.org/officeDocument/2006/relationships/hyperlink" Target="http://www.broadinstitute.org/gsea/msigdb/cards/SWEET_LUNG_CANCER_KRAS_DN.html" TargetMode="External"/><Relationship Id="rId3" Type="http://schemas.openxmlformats.org/officeDocument/2006/relationships/hyperlink" Target="http://www.broadinstitute.org/gsea/msigdb/cards/SMID_BREAST_CANCER_NORMAL_LIKE_UP.html" TargetMode="External"/><Relationship Id="rId4" Type="http://schemas.openxmlformats.org/officeDocument/2006/relationships/hyperlink" Target="http://www.broadinstitute.org/gsea/msigdb/cards/BOQUEST_STEM_CELL_DN.html" TargetMode="External"/><Relationship Id="rId5" Type="http://schemas.openxmlformats.org/officeDocument/2006/relationships/hyperlink" Target="http://www.broadinstitute.org/gsea/msigdb/cards/CUI_TCF21_TARGETS_2_DN.html" TargetMode="External"/><Relationship Id="rId6" Type="http://schemas.openxmlformats.org/officeDocument/2006/relationships/hyperlink" Target="http://www.broadinstitute.org/gsea/msigdb/cards/NABA_MATRISOME.html" TargetMode="External"/><Relationship Id="rId7" Type="http://schemas.openxmlformats.org/officeDocument/2006/relationships/hyperlink" Target="http://www.broadinstitute.org/gsea/msigdb/cards/BOQUEST_STEM_CELL_UP.html" TargetMode="External"/><Relationship Id="rId8" Type="http://schemas.openxmlformats.org/officeDocument/2006/relationships/hyperlink" Target="http://www.broadinstitute.org/gsea/msigdb/cards/VECCHI_GASTRIC_CANCER_EARLY_DN.html" TargetMode="External"/><Relationship Id="rId9" Type="http://schemas.openxmlformats.org/officeDocument/2006/relationships/hyperlink" Target="http://www.broadinstitute.org/gsea/msigdb/cards/VART_KSHV_INFECTION_ANGIOGENIC_MARKERS_UP.html" TargetMode="External"/><Relationship Id="rId80" Type="http://schemas.openxmlformats.org/officeDocument/2006/relationships/hyperlink" Target="http://www.broadinstitute.org/gsea/msigdb/cards/BIOCARTA_LYM_PATHWAY.html" TargetMode="External"/><Relationship Id="rId81" Type="http://schemas.openxmlformats.org/officeDocument/2006/relationships/hyperlink" Target="http://www.broadinstitute.org/gsea/msigdb/cards/MULLIGHAN_MLL_SIGNATURE_1_DN.html" TargetMode="External"/><Relationship Id="rId82" Type="http://schemas.openxmlformats.org/officeDocument/2006/relationships/hyperlink" Target="http://www.broadinstitute.org/gsea/msigdb/cards/GYORFFY_DOXORUBICIN_RESISTANCE.html" TargetMode="External"/><Relationship Id="rId83" Type="http://schemas.openxmlformats.org/officeDocument/2006/relationships/hyperlink" Target="http://www.broadinstitute.org/gsea/msigdb/cards/PLASARI_TGFB1_TARGETS_10HR_DN.html" TargetMode="External"/><Relationship Id="rId84" Type="http://schemas.openxmlformats.org/officeDocument/2006/relationships/hyperlink" Target="http://www.broadinstitute.org/gsea/msigdb/cards/BENPORATH_EED_TARGETS.html" TargetMode="External"/><Relationship Id="rId85" Type="http://schemas.openxmlformats.org/officeDocument/2006/relationships/hyperlink" Target="http://www.broadinstitute.org/gsea/msigdb/cards/BEGUM_TARGETS_OF_PAX3_FOXO1_FUSION_UP.html" TargetMode="External"/><Relationship Id="rId86" Type="http://schemas.openxmlformats.org/officeDocument/2006/relationships/hyperlink" Target="http://www.broadinstitute.org/gsea/msigdb/cards/HATADA_METHYLATED_IN_LUNG_CANCER_UP.html" TargetMode="External"/><Relationship Id="rId87" Type="http://schemas.openxmlformats.org/officeDocument/2006/relationships/hyperlink" Target="http://www.broadinstitute.org/gsea/msigdb/cards/RAMASWAMY_METASTASIS_DN.html" TargetMode="External"/><Relationship Id="rId88" Type="http://schemas.openxmlformats.org/officeDocument/2006/relationships/hyperlink" Target="http://www.broadinstitute.org/gsea/msigdb/cards/BRUINS_UVC_RESPONSE_VIA_TP53_GROUP_A.html" TargetMode="External"/><Relationship Id="rId89" Type="http://schemas.openxmlformats.org/officeDocument/2006/relationships/hyperlink" Target="http://www.broadinstitute.org/gsea/msigdb/cards/JOSEPH_RESPONSE_TO_SODIUM_BUTYRATE_DN.html" TargetMode="External"/><Relationship Id="rId180" Type="http://schemas.openxmlformats.org/officeDocument/2006/relationships/hyperlink" Target="http://www.broadinstitute.org/gsea/msigdb/cards/GO_RECEPTOR_ACTIVITY.html" TargetMode="External"/><Relationship Id="rId181" Type="http://schemas.openxmlformats.org/officeDocument/2006/relationships/hyperlink" Target="http://www.broadinstitute.org/gsea/msigdb/cards/GO_CLATHRIN_COATED_ENDOCYTIC_VESICLE.html" TargetMode="External"/><Relationship Id="rId182" Type="http://schemas.openxmlformats.org/officeDocument/2006/relationships/hyperlink" Target="http://www.broadinstitute.org/gsea/msigdb/cards/GO_CYTOPLASMIC_VESICLE_PART.html" TargetMode="External"/><Relationship Id="rId183" Type="http://schemas.openxmlformats.org/officeDocument/2006/relationships/hyperlink" Target="http://www.broadinstitute.org/gsea/msigdb/cards/GO_REGULATION_OF_VASCULATURE_DEVELOPMENT.html" TargetMode="External"/><Relationship Id="rId184" Type="http://schemas.openxmlformats.org/officeDocument/2006/relationships/hyperlink" Target="http://www.broadinstitute.org/gsea/msigdb/cards/GO_SULFUR_COMPOUND_BINDING.html" TargetMode="External"/><Relationship Id="rId185" Type="http://schemas.openxmlformats.org/officeDocument/2006/relationships/hyperlink" Target="http://www.broadinstitute.org/gsea/msigdb/cards/GO_EPITHELIUM_DEVELOPMENT.html" TargetMode="External"/><Relationship Id="rId186" Type="http://schemas.openxmlformats.org/officeDocument/2006/relationships/hyperlink" Target="http://www.broadinstitute.org/gsea/msigdb/cards/GO_NEGATIVE_REGULATION_OF_GROWTH.html" TargetMode="External"/><Relationship Id="rId187" Type="http://schemas.openxmlformats.org/officeDocument/2006/relationships/hyperlink" Target="http://www.broadinstitute.org/gsea/msigdb/cards/GO_POSITIVE_REGULATION_OF_RESPONSE_TO_STIMULUS.html" TargetMode="External"/><Relationship Id="rId188" Type="http://schemas.openxmlformats.org/officeDocument/2006/relationships/hyperlink" Target="http://www.broadinstitute.org/gsea/msigdb/cards/GO_ENDOTHELIAL_CELL_PROLIFERATION.html" TargetMode="External"/><Relationship Id="rId189" Type="http://schemas.openxmlformats.org/officeDocument/2006/relationships/hyperlink" Target="http://www.broadinstitute.org/gsea/msigdb/cards/GO_EXTERNAL_SIDE_OF_PLASMA_MEMBRANE.html" TargetMode="External"/><Relationship Id="rId270" Type="http://schemas.openxmlformats.org/officeDocument/2006/relationships/hyperlink" Target="http://www.broadinstitute.org/gsea/msigdb/cards/GO_NEGATIVE_REGULATION_OF_DEFENSE_RESPONSE.html" TargetMode="External"/><Relationship Id="rId20" Type="http://schemas.openxmlformats.org/officeDocument/2006/relationships/hyperlink" Target="http://www.broadinstitute.org/gsea/msigdb/cards/SMID_BREAST_CANCER_LUMINAL_A_UP.html" TargetMode="External"/><Relationship Id="rId21" Type="http://schemas.openxmlformats.org/officeDocument/2006/relationships/hyperlink" Target="http://www.broadinstitute.org/gsea/msigdb/cards/BAELDE_DIABETIC_NEPHROPATHY_UP.html" TargetMode="External"/><Relationship Id="rId22" Type="http://schemas.openxmlformats.org/officeDocument/2006/relationships/hyperlink" Target="http://www.broadinstitute.org/gsea/msigdb/cards/ACEVEDO_FGFR1_TARGETS_IN_PROSTATE_CANCER_MODEL_DN.html" TargetMode="External"/><Relationship Id="rId23" Type="http://schemas.openxmlformats.org/officeDocument/2006/relationships/hyperlink" Target="http://www.broadinstitute.org/gsea/msigdb/cards/LI_WILMS_TUMOR_VS_FETAL_KIDNEY_1_UP.html" TargetMode="External"/><Relationship Id="rId24" Type="http://schemas.openxmlformats.org/officeDocument/2006/relationships/hyperlink" Target="http://www.broadinstitute.org/gsea/msigdb/cards/WANG_IMMORTALIZED_BY_HOXA9_AND_MEIS1_DN.html" TargetMode="External"/><Relationship Id="rId25" Type="http://schemas.openxmlformats.org/officeDocument/2006/relationships/hyperlink" Target="http://www.broadinstitute.org/gsea/msigdb/cards/PICCALUGA_ANGIOIMMUNOBLASTIC_LYMPHOMA_UP.html" TargetMode="External"/><Relationship Id="rId26" Type="http://schemas.openxmlformats.org/officeDocument/2006/relationships/hyperlink" Target="http://www.broadinstitute.org/gsea/msigdb/cards/CAIRO_HEPATOBLASTOMA_CLASSES_DN.html" TargetMode="External"/><Relationship Id="rId27" Type="http://schemas.openxmlformats.org/officeDocument/2006/relationships/hyperlink" Target="http://www.broadinstitute.org/gsea/msigdb/cards/KEGG_CELL_ADHESION_MOLECULES_CAMS.html" TargetMode="External"/><Relationship Id="rId28" Type="http://schemas.openxmlformats.org/officeDocument/2006/relationships/hyperlink" Target="http://www.broadinstitute.org/gsea/msigdb/cards/BOQUEST_STEM_CELL_CULTURED_VS_FRESH_UP.html" TargetMode="External"/><Relationship Id="rId29" Type="http://schemas.openxmlformats.org/officeDocument/2006/relationships/hyperlink" Target="http://www.broadinstitute.org/gsea/msigdb/cards/SCHAEFFER_PROSTATE_DEVELOPMENT_48HR_DN.html" TargetMode="External"/><Relationship Id="rId271" Type="http://schemas.openxmlformats.org/officeDocument/2006/relationships/hyperlink" Target="http://www.broadinstitute.org/gsea/msigdb/cards/GO_ENDOCYTIC_VESICLE.html" TargetMode="External"/><Relationship Id="rId272" Type="http://schemas.openxmlformats.org/officeDocument/2006/relationships/hyperlink" Target="http://www.broadinstitute.org/gsea/msigdb/cards/GO_NEGATIVE_REGULATION_OF_SYNAPTIC_TRANSMISSION.html" TargetMode="External"/><Relationship Id="rId273" Type="http://schemas.openxmlformats.org/officeDocument/2006/relationships/hyperlink" Target="http://www.broadinstitute.org/gsea/msigdb/cards/GO_REGULATION_OF_TISSUE_REMODELING.html" TargetMode="External"/><Relationship Id="rId274" Type="http://schemas.openxmlformats.org/officeDocument/2006/relationships/hyperlink" Target="http://www.broadinstitute.org/gsea/msigdb/cards/GO_POSITIVE_REGULATION_OF_PHOSPHATIDYLINOSITOL_3_KINASE_SIGNALING.html" TargetMode="External"/><Relationship Id="rId120" Type="http://schemas.openxmlformats.org/officeDocument/2006/relationships/hyperlink" Target="http://www.broadinstitute.org/gsea/msigdb/cards/MODULE_44.html" TargetMode="External"/><Relationship Id="rId121" Type="http://schemas.openxmlformats.org/officeDocument/2006/relationships/hyperlink" Target="http://www.broadinstitute.org/gsea/msigdb/cards/MODULE_324.html" TargetMode="External"/><Relationship Id="rId122" Type="http://schemas.openxmlformats.org/officeDocument/2006/relationships/hyperlink" Target="http://www.broadinstitute.org/gsea/msigdb/cards/MODULE_55.html" TargetMode="External"/><Relationship Id="rId123" Type="http://schemas.openxmlformats.org/officeDocument/2006/relationships/hyperlink" Target="http://www.broadinstitute.org/gsea/msigdb/cards/GCM_CDH5.html" TargetMode="External"/><Relationship Id="rId124" Type="http://schemas.openxmlformats.org/officeDocument/2006/relationships/hyperlink" Target="http://www.broadinstitute.org/gsea/msigdb/cards/MODULE_38.html" TargetMode="External"/><Relationship Id="rId125" Type="http://schemas.openxmlformats.org/officeDocument/2006/relationships/hyperlink" Target="http://www.broadinstitute.org/gsea/msigdb/cards/MODULE_220.html" TargetMode="External"/><Relationship Id="rId126" Type="http://schemas.openxmlformats.org/officeDocument/2006/relationships/hyperlink" Target="http://www.broadinstitute.org/gsea/msigdb/cards/MODULE_88.html" TargetMode="External"/><Relationship Id="rId127" Type="http://schemas.openxmlformats.org/officeDocument/2006/relationships/hyperlink" Target="http://www.broadinstitute.org/gsea/msigdb/cards/MODULE_256.html" TargetMode="External"/><Relationship Id="rId128" Type="http://schemas.openxmlformats.org/officeDocument/2006/relationships/hyperlink" Target="http://www.broadinstitute.org/gsea/msigdb/cards/GO_VASCULATURE_DEVELOPMENT.html" TargetMode="External"/><Relationship Id="rId129" Type="http://schemas.openxmlformats.org/officeDocument/2006/relationships/hyperlink" Target="http://www.broadinstitute.org/gsea/msigdb/cards/GO_ANGIOGENESIS.html" TargetMode="External"/><Relationship Id="rId210" Type="http://schemas.openxmlformats.org/officeDocument/2006/relationships/hyperlink" Target="http://www.broadinstitute.org/gsea/msigdb/cards/GO_EXTRACELLULAR_MATRIX.html" TargetMode="External"/><Relationship Id="rId211" Type="http://schemas.openxmlformats.org/officeDocument/2006/relationships/hyperlink" Target="http://www.broadinstitute.org/gsea/msigdb/cards/GO_SIDE_OF_MEMBRANE.html" TargetMode="External"/><Relationship Id="rId212" Type="http://schemas.openxmlformats.org/officeDocument/2006/relationships/hyperlink" Target="http://www.broadinstitute.org/gsea/msigdb/cards/GO_PROTEIN_ACTIVATION_CASCADE.html" TargetMode="External"/><Relationship Id="rId213" Type="http://schemas.openxmlformats.org/officeDocument/2006/relationships/hyperlink" Target="http://www.broadinstitute.org/gsea/msigdb/cards/GO_STEM_CELL_DIFFERENTIATION.html" TargetMode="External"/><Relationship Id="rId214" Type="http://schemas.openxmlformats.org/officeDocument/2006/relationships/hyperlink" Target="http://www.broadinstitute.org/gsea/msigdb/cards/GO_MULTIVESICULAR_BODY.html" TargetMode="External"/><Relationship Id="rId215" Type="http://schemas.openxmlformats.org/officeDocument/2006/relationships/hyperlink" Target="http://www.broadinstitute.org/gsea/msigdb/cards/GO_ANATOMICAL_STRUCTURE_MATURATION.html" TargetMode="External"/><Relationship Id="rId216" Type="http://schemas.openxmlformats.org/officeDocument/2006/relationships/hyperlink" Target="http://www.broadinstitute.org/gsea/msigdb/cards/GO_NEGATIVE_REGULATION_OF_ENDOTHELIAL_CELL_MIGRATION.html" TargetMode="External"/><Relationship Id="rId217" Type="http://schemas.openxmlformats.org/officeDocument/2006/relationships/hyperlink" Target="http://www.broadinstitute.org/gsea/msigdb/cards/GO_PLASMA_MEMBRANE_REGION.html" TargetMode="External"/><Relationship Id="rId218" Type="http://schemas.openxmlformats.org/officeDocument/2006/relationships/hyperlink" Target="http://www.broadinstitute.org/gsea/msigdb/cards/GO_EXOCYTOSIS.html" TargetMode="External"/><Relationship Id="rId219" Type="http://schemas.openxmlformats.org/officeDocument/2006/relationships/hyperlink" Target="http://www.broadinstitute.org/gsea/msigdb/cards/GO_SIGNAL_TRANSDUCER_ACTIVITY.html" TargetMode="External"/><Relationship Id="rId275" Type="http://schemas.openxmlformats.org/officeDocument/2006/relationships/hyperlink" Target="http://www.broadinstitute.org/gsea/msigdb/cards/GO_LYMPH_VESSEL_MORPHOGENESIS.html" TargetMode="External"/><Relationship Id="rId276" Type="http://schemas.openxmlformats.org/officeDocument/2006/relationships/hyperlink" Target="http://www.broadinstitute.org/gsea/msigdb/cards/GO_CELLULAR_COMPONENT_MORPHOGENESIS.html" TargetMode="External"/><Relationship Id="rId277" Type="http://schemas.openxmlformats.org/officeDocument/2006/relationships/hyperlink" Target="http://www.broadinstitute.org/gsea/msigdb/cards/GO_REGULATION_OF_CYTOKINE_SECRETION.html" TargetMode="External"/><Relationship Id="rId278" Type="http://schemas.openxmlformats.org/officeDocument/2006/relationships/hyperlink" Target="http://www.broadinstitute.org/gsea/msigdb/cards/GO_TRANSMEMBRANE_RECEPTOR_PROTEIN_TYROSINE_KINASE_ACTIVITY.html" TargetMode="External"/><Relationship Id="rId279" Type="http://schemas.openxmlformats.org/officeDocument/2006/relationships/hyperlink" Target="http://www.broadinstitute.org/gsea/msigdb/cards/GO_POSITIVE_REGULATION_OF_CELL_COMMUNICATION.html" TargetMode="External"/><Relationship Id="rId300" Type="http://schemas.openxmlformats.org/officeDocument/2006/relationships/hyperlink" Target="http://www.broadinstitute.org/gsea/msigdb/cards/GO_VASCULAR_PROCESS_IN_CIRCULATORY_SYSTEM.html" TargetMode="External"/><Relationship Id="rId301" Type="http://schemas.openxmlformats.org/officeDocument/2006/relationships/hyperlink" Target="http://www.broadinstitute.org/gsea/msigdb/cards/GO_ENDOTHELIAL_CELL_DIFFERENTIATION.html" TargetMode="External"/><Relationship Id="rId302" Type="http://schemas.openxmlformats.org/officeDocument/2006/relationships/hyperlink" Target="http://www.broadinstitute.org/gsea/msigdb/cards/GO_CELL_SUBSTRATE_ADHESION.html" TargetMode="External"/><Relationship Id="rId303" Type="http://schemas.openxmlformats.org/officeDocument/2006/relationships/hyperlink" Target="http://www.broadinstitute.org/gsea/msigdb/cards/GO_SECRETION.html" TargetMode="External"/><Relationship Id="rId304" Type="http://schemas.openxmlformats.org/officeDocument/2006/relationships/hyperlink" Target="http://www.broadinstitute.org/gsea/msigdb/cards/GO_REGULATION_OF_EPITHELIAL_CELL_PROLIFERATION.html" TargetMode="External"/><Relationship Id="rId305" Type="http://schemas.openxmlformats.org/officeDocument/2006/relationships/hyperlink" Target="http://www.broadinstitute.org/gsea/msigdb/cards/GO_CELL_CELL_SIGNALING.html" TargetMode="External"/><Relationship Id="rId306" Type="http://schemas.openxmlformats.org/officeDocument/2006/relationships/hyperlink" Target="http://www.broadinstitute.org/gsea/msigdb/cards/GO_REGULATION_OF_NEURAL_PRECURSOR_CELL_PROLIFERATION.html" TargetMode="External"/><Relationship Id="rId307" Type="http://schemas.openxmlformats.org/officeDocument/2006/relationships/hyperlink" Target="http://www.broadinstitute.org/gsea/msigdb/cards/GO_DEFINITIVE_HEMOPOIESIS.html" TargetMode="External"/><Relationship Id="rId308" Type="http://schemas.openxmlformats.org/officeDocument/2006/relationships/hyperlink" Target="http://www.broadinstitute.org/gsea/msigdb/cards/GO_PORE_COMPLEX.html" TargetMode="External"/><Relationship Id="rId309" Type="http://schemas.openxmlformats.org/officeDocument/2006/relationships/hyperlink" Target="http://www.broadinstitute.org/gsea/msigdb/cards/GO_SODIUM_CHANNEL_COMPLEX.html" TargetMode="External"/><Relationship Id="rId90" Type="http://schemas.openxmlformats.org/officeDocument/2006/relationships/hyperlink" Target="http://www.broadinstitute.org/gsea/msigdb/cards/NAKAMURA_LUNG_CANCER_DIFFERENTIATION_MARKERS.html" TargetMode="External"/><Relationship Id="rId91" Type="http://schemas.openxmlformats.org/officeDocument/2006/relationships/hyperlink" Target="http://www.broadinstitute.org/gsea/msigdb/cards/CHICAS_RB1_TARGETS_CONFLUENT.html" TargetMode="External"/><Relationship Id="rId92" Type="http://schemas.openxmlformats.org/officeDocument/2006/relationships/hyperlink" Target="http://www.broadinstitute.org/gsea/msigdb/cards/KEGG_NEUROACTIVE_LIGAND_RECEPTOR_INTERACTION.html" TargetMode="External"/><Relationship Id="rId93" Type="http://schemas.openxmlformats.org/officeDocument/2006/relationships/hyperlink" Target="http://www.broadinstitute.org/gsea/msigdb/cards/NING_CHRONIC_OBSTRUCTIVE_PULMONARY_DISEASE_UP.html" TargetMode="External"/><Relationship Id="rId94" Type="http://schemas.openxmlformats.org/officeDocument/2006/relationships/hyperlink" Target="http://www.broadinstitute.org/gsea/msigdb/cards/LEE_BMP2_TARGETS_UP.html" TargetMode="External"/><Relationship Id="rId95" Type="http://schemas.openxmlformats.org/officeDocument/2006/relationships/hyperlink" Target="http://www.broadinstitute.org/gsea/msigdb/cards/RYTTCCTG_ETS2_B.html" TargetMode="External"/><Relationship Id="rId96" Type="http://schemas.openxmlformats.org/officeDocument/2006/relationships/hyperlink" Target="http://www.broadinstitute.org/gsea/msigdb/cards/TTGTTT_FOXO4_01.html" TargetMode="External"/><Relationship Id="rId97" Type="http://schemas.openxmlformats.org/officeDocument/2006/relationships/hyperlink" Target="http://www.broadinstitute.org/gsea/msigdb/cards/TGGAAA_NFAT_Q4_01.html" TargetMode="External"/><Relationship Id="rId98" Type="http://schemas.openxmlformats.org/officeDocument/2006/relationships/hyperlink" Target="http://www.broadinstitute.org/gsea/msigdb/cards/NFAT_Q6.html" TargetMode="External"/><Relationship Id="rId99" Type="http://schemas.openxmlformats.org/officeDocument/2006/relationships/hyperlink" Target="http://www.broadinstitute.org/gsea/msigdb/cards/PAX_Q6.html" TargetMode="External"/><Relationship Id="rId190" Type="http://schemas.openxmlformats.org/officeDocument/2006/relationships/hyperlink" Target="http://www.broadinstitute.org/gsea/msigdb/cards/GO_PROTEINACEOUS_EXTRACELLULAR_MATRIX.html" TargetMode="External"/><Relationship Id="rId191" Type="http://schemas.openxmlformats.org/officeDocument/2006/relationships/hyperlink" Target="http://www.broadinstitute.org/gsea/msigdb/cards/GO_BLOOD_COAGULATION_FIBRIN_CLOT_FORMATION.html" TargetMode="External"/><Relationship Id="rId192" Type="http://schemas.openxmlformats.org/officeDocument/2006/relationships/hyperlink" Target="http://www.broadinstitute.org/gsea/msigdb/cards/GO_PLATELET_ALPHA_GRANULE.html" TargetMode="External"/><Relationship Id="rId193" Type="http://schemas.openxmlformats.org/officeDocument/2006/relationships/hyperlink" Target="http://www.broadinstitute.org/gsea/msigdb/cards/GO_CIRCULATORY_SYSTEM_PROCESS.html" TargetMode="External"/><Relationship Id="rId194" Type="http://schemas.openxmlformats.org/officeDocument/2006/relationships/hyperlink" Target="http://www.broadinstitute.org/gsea/msigdb/cards/GO_POSITIVE_REGULATION_OF_CYTOKINE_PRODUCTION.html" TargetMode="External"/><Relationship Id="rId195" Type="http://schemas.openxmlformats.org/officeDocument/2006/relationships/hyperlink" Target="http://www.broadinstitute.org/gsea/msigdb/cards/GO_NEGATIVE_REGULATION_OF_RESPONSE_TO_WOUNDING.html" TargetMode="External"/><Relationship Id="rId196" Type="http://schemas.openxmlformats.org/officeDocument/2006/relationships/hyperlink" Target="http://www.broadinstitute.org/gsea/msigdb/cards/GO_VACUOLE.html" TargetMode="External"/><Relationship Id="rId197" Type="http://schemas.openxmlformats.org/officeDocument/2006/relationships/hyperlink" Target="http://www.broadinstitute.org/gsea/msigdb/cards/GO_METANEPHROS_DEVELOPMENT.html" TargetMode="External"/><Relationship Id="rId198" Type="http://schemas.openxmlformats.org/officeDocument/2006/relationships/hyperlink" Target="http://www.broadinstitute.org/gsea/msigdb/cards/GO_SYSTEM_PROCESS.html" TargetMode="External"/><Relationship Id="rId199" Type="http://schemas.openxmlformats.org/officeDocument/2006/relationships/hyperlink" Target="http://www.broadinstitute.org/gsea/msigdb/cards/GO_TRANSMEMBRANE_RECEPTOR_PROTEIN_KINASE_ACTIVITY.html" TargetMode="External"/><Relationship Id="rId280" Type="http://schemas.openxmlformats.org/officeDocument/2006/relationships/hyperlink" Target="http://www.broadinstitute.org/gsea/msigdb/cards/GO_REGULATION_OF_REACTIVE_OXYGEN_SPECIES_METABOLIC_PROCESS.html" TargetMode="External"/><Relationship Id="rId30" Type="http://schemas.openxmlformats.org/officeDocument/2006/relationships/hyperlink" Target="http://www.broadinstitute.org/gsea/msigdb/cards/SMID_BREAST_CANCER_BASAL_DN.html" TargetMode="External"/><Relationship Id="rId31" Type="http://schemas.openxmlformats.org/officeDocument/2006/relationships/hyperlink" Target="http://www.broadinstitute.org/gsea/msigdb/cards/ZWANG_TRANSIENTLY_UP_BY_2ND_EGF_PULSE_ONLY.html" TargetMode="External"/><Relationship Id="rId32" Type="http://schemas.openxmlformats.org/officeDocument/2006/relationships/hyperlink" Target="http://www.broadinstitute.org/gsea/msigdb/cards/DELYS_THYROID_CANCER_DN.html" TargetMode="External"/><Relationship Id="rId33" Type="http://schemas.openxmlformats.org/officeDocument/2006/relationships/hyperlink" Target="http://www.broadinstitute.org/gsea/msigdb/cards/REACTOME_HEMOSTASIS.html" TargetMode="External"/><Relationship Id="rId34" Type="http://schemas.openxmlformats.org/officeDocument/2006/relationships/hyperlink" Target="http://www.broadinstitute.org/gsea/msigdb/cards/SANA_TNF_SIGNALING_DN.html" TargetMode="External"/><Relationship Id="rId35" Type="http://schemas.openxmlformats.org/officeDocument/2006/relationships/hyperlink" Target="http://www.broadinstitute.org/gsea/msigdb/cards/YANG_BCL3_TARGETS_UP.html" TargetMode="External"/><Relationship Id="rId36" Type="http://schemas.openxmlformats.org/officeDocument/2006/relationships/hyperlink" Target="http://www.broadinstitute.org/gsea/msigdb/cards/BENPORATH_ES_WITH_H3K27ME3.html" TargetMode="External"/><Relationship Id="rId37" Type="http://schemas.openxmlformats.org/officeDocument/2006/relationships/hyperlink" Target="http://www.broadinstitute.org/gsea/msigdb/cards/CHYLA_CBFA2T3_TARGETS_UP.html" TargetMode="External"/><Relationship Id="rId38" Type="http://schemas.openxmlformats.org/officeDocument/2006/relationships/hyperlink" Target="http://www.broadinstitute.org/gsea/msigdb/cards/INAMURA_LUNG_CANCER_SCC_DN.html" TargetMode="External"/><Relationship Id="rId39" Type="http://schemas.openxmlformats.org/officeDocument/2006/relationships/hyperlink" Target="http://www.broadinstitute.org/gsea/msigdb/cards/NABA_ECM_GLYCOPROTEINS.html" TargetMode="External"/><Relationship Id="rId281" Type="http://schemas.openxmlformats.org/officeDocument/2006/relationships/hyperlink" Target="http://www.broadinstitute.org/gsea/msigdb/cards/GO_REGULATION_OF_REACTIVE_OXYGEN_SPECIES_BIOSYNTHETIC_PROCESS.html" TargetMode="External"/><Relationship Id="rId282" Type="http://schemas.openxmlformats.org/officeDocument/2006/relationships/hyperlink" Target="http://www.broadinstitute.org/gsea/msigdb/cards/GO_ANGIOGENESIS_INVOLVED_IN_WOUND_HEALING.html" TargetMode="External"/><Relationship Id="rId283" Type="http://schemas.openxmlformats.org/officeDocument/2006/relationships/hyperlink" Target="http://www.broadinstitute.org/gsea/msigdb/cards/GO_VOLTAGE_GATED_SODIUM_CHANNEL_COMPLEX.html" TargetMode="External"/><Relationship Id="rId284" Type="http://schemas.openxmlformats.org/officeDocument/2006/relationships/hyperlink" Target="http://www.broadinstitute.org/gsea/msigdb/cards/GO_RESPONSE_TO_WOUNDING.html" TargetMode="External"/><Relationship Id="rId130" Type="http://schemas.openxmlformats.org/officeDocument/2006/relationships/hyperlink" Target="http://www.broadinstitute.org/gsea/msigdb/cards/GO_CIRCULATORY_SYSTEM_DEVELOPMENT.html" TargetMode="External"/><Relationship Id="rId131" Type="http://schemas.openxmlformats.org/officeDocument/2006/relationships/hyperlink" Target="http://www.broadinstitute.org/gsea/msigdb/cards/GO_INTRINSIC_COMPONENT_OF_PLASMA_MEMBRANE.html" TargetMode="External"/><Relationship Id="rId132" Type="http://schemas.openxmlformats.org/officeDocument/2006/relationships/hyperlink" Target="http://www.broadinstitute.org/gsea/msigdb/cards/GO_BLOOD_VESSEL_MORPHOGENESIS.html" TargetMode="External"/><Relationship Id="rId133" Type="http://schemas.openxmlformats.org/officeDocument/2006/relationships/hyperlink" Target="http://www.broadinstitute.org/gsea/msigdb/cards/GO_SECRETORY_VESICLE.html" TargetMode="External"/><Relationship Id="rId220" Type="http://schemas.openxmlformats.org/officeDocument/2006/relationships/hyperlink" Target="http://www.broadinstitute.org/gsea/msigdb/cards/GO_POSITIVE_REGULATION_OF_GENE_EXPRESSION.html" TargetMode="External"/><Relationship Id="rId221" Type="http://schemas.openxmlformats.org/officeDocument/2006/relationships/hyperlink" Target="http://www.broadinstitute.org/gsea/msigdb/cards/GO_VESICLE_LUMEN.html" TargetMode="External"/><Relationship Id="rId222" Type="http://schemas.openxmlformats.org/officeDocument/2006/relationships/hyperlink" Target="http://www.broadinstitute.org/gsea/msigdb/cards/GO_REGULATION_OF_ENDOTHELIAL_CELL_APOPTOTIC_PROCESS.html" TargetMode="External"/><Relationship Id="rId223" Type="http://schemas.openxmlformats.org/officeDocument/2006/relationships/hyperlink" Target="http://www.broadinstitute.org/gsea/msigdb/cards/GO_ION_CHANNEL_BINDING.html" TargetMode="External"/><Relationship Id="rId224" Type="http://schemas.openxmlformats.org/officeDocument/2006/relationships/hyperlink" Target="http://www.broadinstitute.org/gsea/msigdb/cards/GO_NEGATIVE_REGULATION_OF_RESPONSE_TO_STIMULUS.html" TargetMode="External"/><Relationship Id="rId225" Type="http://schemas.openxmlformats.org/officeDocument/2006/relationships/hyperlink" Target="http://www.broadinstitute.org/gsea/msigdb/cards/GO_NEGATIVE_REGULATION_OF_CYTOKINE_PRODUCTION.html" TargetMode="External"/><Relationship Id="rId226" Type="http://schemas.openxmlformats.org/officeDocument/2006/relationships/hyperlink" Target="http://www.broadinstitute.org/gsea/msigdb/cards/GO_REGULATION_OF_INTERLEUKIN_10_PRODUCTION.html" TargetMode="External"/><Relationship Id="rId227" Type="http://schemas.openxmlformats.org/officeDocument/2006/relationships/hyperlink" Target="http://www.broadinstitute.org/gsea/msigdb/cards/GO_NEGATIVE_REGULATION_OF_DEVELOPMENTAL_PROCESS.html" TargetMode="External"/><Relationship Id="rId228" Type="http://schemas.openxmlformats.org/officeDocument/2006/relationships/hyperlink" Target="http://www.broadinstitute.org/gsea/msigdb/cards/GO_SECRETION_BY_CELL.html" TargetMode="External"/><Relationship Id="rId229" Type="http://schemas.openxmlformats.org/officeDocument/2006/relationships/hyperlink" Target="http://www.broadinstitute.org/gsea/msigdb/cards/GO_POSITIVE_REGULATION_OF_CELL_PROLIFERATION.html" TargetMode="External"/><Relationship Id="rId134" Type="http://schemas.openxmlformats.org/officeDocument/2006/relationships/hyperlink" Target="http://www.broadinstitute.org/gsea/msigdb/cards/GO_ANATOMICAL_STRUCTURE_FORMATION_INVOLVED_IN_MORPHOGENESIS.html" TargetMode="External"/><Relationship Id="rId135" Type="http://schemas.openxmlformats.org/officeDocument/2006/relationships/hyperlink" Target="http://www.broadinstitute.org/gsea/msigdb/cards/GO_NEGATIVE_REGULATION_OF_MULTICELLULAR_ORGANISMAL_PROCESS.html" TargetMode="External"/><Relationship Id="rId136" Type="http://schemas.openxmlformats.org/officeDocument/2006/relationships/hyperlink" Target="http://www.broadinstitute.org/gsea/msigdb/cards/GO_REGULATION_OF_CELL_PROLIFERATION.html" TargetMode="External"/><Relationship Id="rId137" Type="http://schemas.openxmlformats.org/officeDocument/2006/relationships/hyperlink" Target="http://www.broadinstitute.org/gsea/msigdb/cards/GO_SECRETORY_GRANULE.html" TargetMode="External"/><Relationship Id="rId138" Type="http://schemas.openxmlformats.org/officeDocument/2006/relationships/hyperlink" Target="http://www.broadinstitute.org/gsea/msigdb/cards/GO_RENAL_SYSTEM_VASCULATURE_DEVELOPMENT.html" TargetMode="External"/><Relationship Id="rId139" Type="http://schemas.openxmlformats.org/officeDocument/2006/relationships/hyperlink" Target="http://www.broadinstitute.org/gsea/msigdb/cards/GO_LAMELLAR_BODY.html" TargetMode="External"/><Relationship Id="rId285" Type="http://schemas.openxmlformats.org/officeDocument/2006/relationships/hyperlink" Target="http://www.broadinstitute.org/gsea/msigdb/cards/GO_EMBRYONIC_ORGAN_DEVELOPMENT.html" TargetMode="External"/><Relationship Id="rId286" Type="http://schemas.openxmlformats.org/officeDocument/2006/relationships/hyperlink" Target="http://www.broadinstitute.org/gsea/msigdb/cards/GO_POSITIVE_REGULATION_OF_ENDOTHELIAL_CELL_MIGRATION.html" TargetMode="External"/><Relationship Id="rId287" Type="http://schemas.openxmlformats.org/officeDocument/2006/relationships/hyperlink" Target="http://www.broadinstitute.org/gsea/msigdb/cards/GO_POSITIVE_REGULATION_OF_ENDOTHELIAL_CELL_DIFFERENTIATION.html" TargetMode="External"/><Relationship Id="rId288" Type="http://schemas.openxmlformats.org/officeDocument/2006/relationships/hyperlink" Target="http://www.broadinstitute.org/gsea/msigdb/cards/GO_HOMEOSTATIC_PROCESS.html" TargetMode="External"/><Relationship Id="rId289" Type="http://schemas.openxmlformats.org/officeDocument/2006/relationships/hyperlink" Target="http://www.broadinstitute.org/gsea/msigdb/cards/GO_ORGAN_GROWTH.html" TargetMode="External"/><Relationship Id="rId310" Type="http://schemas.openxmlformats.org/officeDocument/2006/relationships/hyperlink" Target="http://www.broadinstitute.org/gsea/msigdb/cards/GO_MICROVILLUS.html" TargetMode="External"/><Relationship Id="rId311" Type="http://schemas.openxmlformats.org/officeDocument/2006/relationships/hyperlink" Target="http://www.broadinstitute.org/gsea/msigdb/cards/GO_NEGATIVE_REGULATION_OF_RESPONSE_TO_REACTIVE_OXYGEN_SPECIES.html" TargetMode="External"/><Relationship Id="rId312" Type="http://schemas.openxmlformats.org/officeDocument/2006/relationships/hyperlink" Target="http://www.broadinstitute.org/gsea/msigdb/cards/GO_SYNTAXIN_1_BINDING.html" TargetMode="External"/><Relationship Id="rId313" Type="http://schemas.openxmlformats.org/officeDocument/2006/relationships/hyperlink" Target="http://www.broadinstitute.org/gsea/msigdb/cards/GO_CELL_CELL_ADHESION.html" TargetMode="External"/><Relationship Id="rId314" Type="http://schemas.openxmlformats.org/officeDocument/2006/relationships/hyperlink" Target="http://www.broadinstitute.org/gsea/msigdb/cards/GO_SECRETORY_GRANULE_MEMBRANE.html" TargetMode="External"/><Relationship Id="rId315" Type="http://schemas.openxmlformats.org/officeDocument/2006/relationships/hyperlink" Target="http://www.broadinstitute.org/gsea/msigdb/cards/GO_REGULATION_OF_HOMEOSTATIC_PROCESS.html" TargetMode="External"/><Relationship Id="rId316" Type="http://schemas.openxmlformats.org/officeDocument/2006/relationships/hyperlink" Target="http://www.broadinstitute.org/gsea/msigdb/cards/GO_ENDOSOME.html" TargetMode="External"/><Relationship Id="rId317" Type="http://schemas.openxmlformats.org/officeDocument/2006/relationships/hyperlink" Target="http://www.broadinstitute.org/gsea/msigdb/cards/GO_REGULATION_OF_HYDROGEN_PEROXIDE_INDUCED_CELL_DEATH.html" TargetMode="External"/><Relationship Id="rId318" Type="http://schemas.openxmlformats.org/officeDocument/2006/relationships/hyperlink" Target="http://www.broadinstitute.org/gsea/msigdb/cards/GO_GLOMERULAR_EPITHELIUM_DEVELOPMENT.html" TargetMode="External"/><Relationship Id="rId319" Type="http://schemas.openxmlformats.org/officeDocument/2006/relationships/hyperlink" Target="http://www.broadinstitute.org/gsea/msigdb/cards/GO_NEGATIVE_REGULATION_OF_VASCULATURE_DEVELOPMENT.html" TargetMode="External"/><Relationship Id="rId290" Type="http://schemas.openxmlformats.org/officeDocument/2006/relationships/hyperlink" Target="http://www.broadinstitute.org/gsea/msigdb/cards/GO_MULTICELLULAR_ORGANISMAL_HOMEOSTASIS.html" TargetMode="External"/><Relationship Id="rId291" Type="http://schemas.openxmlformats.org/officeDocument/2006/relationships/hyperlink" Target="http://www.broadinstitute.org/gsea/msigdb/cards/GO_POSITIVE_REGULATION_OF_ENDOTHELIAL_CELL_PROLIFERATION.html" TargetMode="External"/><Relationship Id="rId292" Type="http://schemas.openxmlformats.org/officeDocument/2006/relationships/hyperlink" Target="http://www.broadinstitute.org/gsea/msigdb/cards/GO_CLATHRIN_COATED_VESICLE.html" TargetMode="External"/><Relationship Id="rId293" Type="http://schemas.openxmlformats.org/officeDocument/2006/relationships/hyperlink" Target="http://www.broadinstitute.org/gsea/msigdb/cards/GO_HEPARIN_BINDING.html" TargetMode="External"/><Relationship Id="rId294" Type="http://schemas.openxmlformats.org/officeDocument/2006/relationships/hyperlink" Target="http://www.broadinstitute.org/gsea/msigdb/cards/GO_ORGANONITROGEN_COMPOUND_METABOLIC_PROCESS.html" TargetMode="External"/><Relationship Id="rId295" Type="http://schemas.openxmlformats.org/officeDocument/2006/relationships/hyperlink" Target="http://www.broadinstitute.org/gsea/msigdb/cards/GO_REGULATION_OF_DEFENSE_RESPONSE.html" TargetMode="External"/><Relationship Id="rId296" Type="http://schemas.openxmlformats.org/officeDocument/2006/relationships/hyperlink" Target="http://www.broadinstitute.org/gsea/msigdb/cards/GO_POSITIVE_REGULATION_OF_BIOSYNTHETIC_PROCESS.html" TargetMode="External"/><Relationship Id="rId40" Type="http://schemas.openxmlformats.org/officeDocument/2006/relationships/hyperlink" Target="http://www.broadinstitute.org/gsea/msigdb/cards/REACTOME_INTRINSIC_PATHWAY.html" TargetMode="External"/><Relationship Id="rId41" Type="http://schemas.openxmlformats.org/officeDocument/2006/relationships/hyperlink" Target="http://www.broadinstitute.org/gsea/msigdb/cards/TONKS_TARGETS_OF_RUNX1_RUNX1T1_FUSION_GRANULOCYTE_UP.html" TargetMode="External"/><Relationship Id="rId42" Type="http://schemas.openxmlformats.org/officeDocument/2006/relationships/hyperlink" Target="http://www.broadinstitute.org/gsea/msigdb/cards/CERVERA_SDHB_TARGETS_1_UP.html" TargetMode="External"/><Relationship Id="rId43" Type="http://schemas.openxmlformats.org/officeDocument/2006/relationships/hyperlink" Target="http://www.broadinstitute.org/gsea/msigdb/cards/IVANOVA_HEMATOPOIESIS_STEM_CELL_LONG_TERM.html" TargetMode="External"/><Relationship Id="rId44" Type="http://schemas.openxmlformats.org/officeDocument/2006/relationships/hyperlink" Target="http://www.broadinstitute.org/gsea/msigdb/cards/PEDRIOLI_MIR31_TARGETS_DN.html" TargetMode="External"/><Relationship Id="rId45" Type="http://schemas.openxmlformats.org/officeDocument/2006/relationships/hyperlink" Target="http://www.broadinstitute.org/gsea/msigdb/cards/PETROVA_ENDOTHELIUM_LYMPHATIC_VS_BLOOD_UP.html" TargetMode="External"/><Relationship Id="rId46" Type="http://schemas.openxmlformats.org/officeDocument/2006/relationships/hyperlink" Target="http://www.broadinstitute.org/gsea/msigdb/cards/RODWELL_AGING_KIDNEY_NO_BLOOD_UP.html" TargetMode="External"/><Relationship Id="rId47" Type="http://schemas.openxmlformats.org/officeDocument/2006/relationships/hyperlink" Target="http://www.broadinstitute.org/gsea/msigdb/cards/VANHARANTA_UTERINE_FIBROID_DN.html" TargetMode="External"/><Relationship Id="rId48" Type="http://schemas.openxmlformats.org/officeDocument/2006/relationships/hyperlink" Target="http://www.broadinstitute.org/gsea/msigdb/cards/VART_KSHV_INFECTION_ANGIOGENIC_MARKERS_DN.html" TargetMode="External"/><Relationship Id="rId49" Type="http://schemas.openxmlformats.org/officeDocument/2006/relationships/hyperlink" Target="http://www.broadinstitute.org/gsea/msigdb/cards/REACTOME_BIOLOGICAL_OXIDATIONS.html" TargetMode="External"/><Relationship Id="rId297" Type="http://schemas.openxmlformats.org/officeDocument/2006/relationships/hyperlink" Target="http://www.broadinstitute.org/gsea/msigdb/cards/GO_MORPHOGENESIS_OF_AN_ENDOTHELIUM.html" TargetMode="External"/><Relationship Id="rId298" Type="http://schemas.openxmlformats.org/officeDocument/2006/relationships/hyperlink" Target="http://www.broadinstitute.org/gsea/msigdb/cards/GO_REGULATION_OF_TRANSPORT.html" TargetMode="External"/><Relationship Id="rId299" Type="http://schemas.openxmlformats.org/officeDocument/2006/relationships/hyperlink" Target="http://www.broadinstitute.org/gsea/msigdb/cards/GO_NEGATIVE_REGULATION_OF_INTERLEUKIN_2_PRODUCTION.html" TargetMode="External"/><Relationship Id="rId140" Type="http://schemas.openxmlformats.org/officeDocument/2006/relationships/hyperlink" Target="http://www.broadinstitute.org/gsea/msigdb/cards/GO_REGULATION_OF_MULTICELLULAR_ORGANISMAL_DEVELOPMENT.html" TargetMode="External"/><Relationship Id="rId141" Type="http://schemas.openxmlformats.org/officeDocument/2006/relationships/hyperlink" Target="http://www.broadinstitute.org/gsea/msigdb/cards/GO_UROGENITAL_SYSTEM_DEVELOPMENT.html" TargetMode="External"/><Relationship Id="rId142" Type="http://schemas.openxmlformats.org/officeDocument/2006/relationships/hyperlink" Target="http://www.broadinstitute.org/gsea/msigdb/cards/GO_EXTRACELLULAR_SPACE.html" TargetMode="External"/><Relationship Id="rId143" Type="http://schemas.openxmlformats.org/officeDocument/2006/relationships/hyperlink" Target="http://www.broadinstitute.org/gsea/msigdb/cards/GO_CELL_SURFACE.html" TargetMode="External"/><Relationship Id="rId144" Type="http://schemas.openxmlformats.org/officeDocument/2006/relationships/hyperlink" Target="http://www.broadinstitute.org/gsea/msigdb/cards/GO_REGULATION_OF_CELLULAR_COMPONENT_MOVEMENT.html" TargetMode="External"/><Relationship Id="rId145" Type="http://schemas.openxmlformats.org/officeDocument/2006/relationships/hyperlink" Target="http://www.broadinstitute.org/gsea/msigdb/cards/GO_GLOMERULUS_DEVELOPMENT.html" TargetMode="External"/><Relationship Id="rId146" Type="http://schemas.openxmlformats.org/officeDocument/2006/relationships/hyperlink" Target="http://www.broadinstitute.org/gsea/msigdb/cards/GO_ORGAN_MORPHOGENESIS.html" TargetMode="External"/><Relationship Id="rId147" Type="http://schemas.openxmlformats.org/officeDocument/2006/relationships/hyperlink" Target="http://www.broadinstitute.org/gsea/msigdb/cards/GO_TISSUE_DEVELOPMENT.html" TargetMode="External"/><Relationship Id="rId148" Type="http://schemas.openxmlformats.org/officeDocument/2006/relationships/hyperlink" Target="http://www.broadinstitute.org/gsea/msigdb/cards/GO_REGULATION_OF_ANATOMICAL_STRUCTURE_MORPHOGENESIS.html" TargetMode="External"/><Relationship Id="rId149" Type="http://schemas.openxmlformats.org/officeDocument/2006/relationships/hyperlink" Target="http://www.broadinstitute.org/gsea/msigdb/cards/GO_BIOLOGICAL_ADHESION.html" TargetMode="External"/><Relationship Id="rId230" Type="http://schemas.openxmlformats.org/officeDocument/2006/relationships/hyperlink" Target="http://www.broadinstitute.org/gsea/msigdb/cards/GO_RESPONSE_TO_EXTERNAL_STIMULUS.html" TargetMode="External"/><Relationship Id="rId231" Type="http://schemas.openxmlformats.org/officeDocument/2006/relationships/hyperlink" Target="http://www.broadinstitute.org/gsea/msigdb/cards/GO_POSITIVE_REGULATION_OF_MULTICELLULAR_ORGANISMAL_PROCESS.html" TargetMode="External"/><Relationship Id="rId232" Type="http://schemas.openxmlformats.org/officeDocument/2006/relationships/hyperlink" Target="http://www.broadinstitute.org/gsea/msigdb/cards/GO_NEGATIVE_REGULATION_OF_CELL_PROLIFERATION.html" TargetMode="External"/><Relationship Id="rId233" Type="http://schemas.openxmlformats.org/officeDocument/2006/relationships/hyperlink" Target="http://www.broadinstitute.org/gsea/msigdb/cards/GO_REGULATION_OF_IMMUNE_SYSTEM_PROCESS.html" TargetMode="External"/><Relationship Id="rId234" Type="http://schemas.openxmlformats.org/officeDocument/2006/relationships/hyperlink" Target="http://www.broadinstitute.org/gsea/msigdb/cards/GO_NEUROGENESIS.html" TargetMode="External"/><Relationship Id="rId235" Type="http://schemas.openxmlformats.org/officeDocument/2006/relationships/hyperlink" Target="http://www.broadinstitute.org/gsea/msigdb/cards/GO_NEGATIVE_REGULATION_OF_CELL_ADHESION.html" TargetMode="External"/><Relationship Id="rId236" Type="http://schemas.openxmlformats.org/officeDocument/2006/relationships/hyperlink" Target="http://www.broadinstitute.org/gsea/msigdb/cards/GO_REGULATED_EXOCYTOSIS.html" TargetMode="External"/><Relationship Id="rId237" Type="http://schemas.openxmlformats.org/officeDocument/2006/relationships/hyperlink" Target="http://www.broadinstitute.org/gsea/msigdb/cards/GO_GROWTH_FACTOR_BINDING.html" TargetMode="External"/><Relationship Id="rId238" Type="http://schemas.openxmlformats.org/officeDocument/2006/relationships/hyperlink" Target="http://www.broadinstitute.org/gsea/msigdb/cards/GO_EPITHELIAL_CELL_DIFFERENTIATION.html" TargetMode="External"/><Relationship Id="rId239" Type="http://schemas.openxmlformats.org/officeDocument/2006/relationships/hyperlink" Target="http://www.broadinstitute.org/gsea/msigdb/cards/GO_CELLULAR_RESPONSE_TO_ORGANIC_SUBSTANCE.html" TargetMode="External"/><Relationship Id="rId320" Type="http://schemas.openxmlformats.org/officeDocument/2006/relationships/hyperlink" Target="http://www.broadinstitute.org/gsea/msigdb/cards/GO_EXTRACELLULAR_STRUCTURE_ORGANIZATION.html" TargetMode="External"/><Relationship Id="rId321" Type="http://schemas.openxmlformats.org/officeDocument/2006/relationships/hyperlink" Target="http://www.broadinstitute.org/gsea/msigdb/cards/GO_POSITIVE_REGULATION_OF_PROTEIN_KINASE_B_SIGNALING.html" TargetMode="External"/><Relationship Id="rId322" Type="http://schemas.openxmlformats.org/officeDocument/2006/relationships/hyperlink" Target="http://www.broadinstitute.org/gsea/msigdb/cards/GO_SINGLE_ORGANISM_CELL_ADHESION.html" TargetMode="External"/><Relationship Id="rId323" Type="http://schemas.openxmlformats.org/officeDocument/2006/relationships/hyperlink" Target="http://www.broadinstitute.org/gsea/msigdb/cards/GO_REGULATION_OF_PROTEIN_MATURATION.html" TargetMode="External"/><Relationship Id="rId324" Type="http://schemas.openxmlformats.org/officeDocument/2006/relationships/hyperlink" Target="http://www.broadinstitute.org/gsea/msigdb/cards/GO_POSITIVE_REGULATION_OF_TRANSCRIPTION_FROM_RNA_POLYMERASE_II_PROMOTER.html" TargetMode="External"/><Relationship Id="rId325" Type="http://schemas.openxmlformats.org/officeDocument/2006/relationships/hyperlink" Target="http://www.broadinstitute.org/gsea/msigdb/cards/GO_KIDNEY_MORPHOGENESIS.html" TargetMode="External"/><Relationship Id="rId326" Type="http://schemas.openxmlformats.org/officeDocument/2006/relationships/hyperlink" Target="http://www.broadinstitute.org/gsea/msigdb/cards/GO_LYMPH_VESSEL_DEVELOPMENT.html" TargetMode="External"/><Relationship Id="rId327" Type="http://schemas.openxmlformats.org/officeDocument/2006/relationships/hyperlink" Target="http://www.broadinstitute.org/gsea/msigdb/cards/GO_DENDRITE_MEMBRANE.html" TargetMode="External"/><Relationship Id="rId328" Type="http://schemas.openxmlformats.org/officeDocument/2006/relationships/hyperlink" Target="http://www.broadinstitute.org/gsea/msigdb/cards/GO_ACTIN_BASED_CELL_PROJECTION.html" TargetMode="External"/><Relationship Id="rId329" Type="http://schemas.openxmlformats.org/officeDocument/2006/relationships/hyperlink" Target="http://www.broadinstitute.org/gsea/msigdb/cards/GO_VOLTAGE_GATED_SODIUM_CHANNEL_ACTIVITY.html" TargetMode="External"/><Relationship Id="rId50" Type="http://schemas.openxmlformats.org/officeDocument/2006/relationships/hyperlink" Target="http://www.broadinstitute.org/gsea/msigdb/cards/KEGG_COMPLEMENT_AND_COAGULATION_CASCADES.html" TargetMode="External"/><Relationship Id="rId51" Type="http://schemas.openxmlformats.org/officeDocument/2006/relationships/hyperlink" Target="http://www.broadinstitute.org/gsea/msigdb/cards/REACTOME_PHASE1_FUNCTIONALIZATION_OF_COMPOUNDS.html" TargetMode="External"/><Relationship Id="rId52" Type="http://schemas.openxmlformats.org/officeDocument/2006/relationships/hyperlink" Target="http://www.broadinstitute.org/gsea/msigdb/cards/LIM_MAMMARY_STEM_CELL_UP.html" TargetMode="External"/><Relationship Id="rId53" Type="http://schemas.openxmlformats.org/officeDocument/2006/relationships/hyperlink" Target="http://www.broadinstitute.org/gsea/msigdb/cards/BOQUEST_STEM_CELL_CULTURED_VS_FRESH_DN.html" TargetMode="External"/><Relationship Id="rId54" Type="http://schemas.openxmlformats.org/officeDocument/2006/relationships/hyperlink" Target="http://www.broadinstitute.org/gsea/msigdb/cards/NABA_CORE_MATRISOME.html" TargetMode="External"/><Relationship Id="rId55" Type="http://schemas.openxmlformats.org/officeDocument/2006/relationships/hyperlink" Target="http://www.broadinstitute.org/gsea/msigdb/cards/REACTOME_FORMATION_OF_FIBRIN_CLOT_CLOTTING_CASCADE.html" TargetMode="External"/><Relationship Id="rId56" Type="http://schemas.openxmlformats.org/officeDocument/2006/relationships/hyperlink" Target="http://www.broadinstitute.org/gsea/msigdb/cards/REACTOME_RESPONSE_TO_ELEVATED_PLATELET_CYTOSOLIC_CA2_.html" TargetMode="External"/><Relationship Id="rId57" Type="http://schemas.openxmlformats.org/officeDocument/2006/relationships/hyperlink" Target="http://www.broadinstitute.org/gsea/msigdb/cards/TANG_SENESCENCE_TP53_TARGETS_UP.html" TargetMode="External"/><Relationship Id="rId58" Type="http://schemas.openxmlformats.org/officeDocument/2006/relationships/hyperlink" Target="http://www.broadinstitute.org/gsea/msigdb/cards/REACTOME_CELL_SURFACE_INTERACTIONS_AT_THE_VASCULAR_WALL.html" TargetMode="External"/><Relationship Id="rId59" Type="http://schemas.openxmlformats.org/officeDocument/2006/relationships/hyperlink" Target="http://www.broadinstitute.org/gsea/msigdb/cards/MEISSNER_BRAIN_HCP_WITH_H3K4ME3_AND_H3K27ME3.html" TargetMode="External"/><Relationship Id="rId150" Type="http://schemas.openxmlformats.org/officeDocument/2006/relationships/hyperlink" Target="http://www.broadinstitute.org/gsea/msigdb/cards/GO_REGULATION_OF_ENDOTHELIAL_CELL_MIGRATION.html" TargetMode="External"/><Relationship Id="rId151" Type="http://schemas.openxmlformats.org/officeDocument/2006/relationships/hyperlink" Target="http://www.broadinstitute.org/gsea/msigdb/cards/GO_CARBOHYDRATE_BINDING.html" TargetMode="External"/><Relationship Id="rId152" Type="http://schemas.openxmlformats.org/officeDocument/2006/relationships/hyperlink" Target="http://www.broadinstitute.org/gsea/msigdb/cards/GO_INTRACELLULAR_VESICLE.html" TargetMode="External"/><Relationship Id="rId153" Type="http://schemas.openxmlformats.org/officeDocument/2006/relationships/hyperlink" Target="http://www.broadinstitute.org/gsea/msigdb/cards/GO_LOCOMOTION.html" TargetMode="External"/><Relationship Id="rId154" Type="http://schemas.openxmlformats.org/officeDocument/2006/relationships/hyperlink" Target="http://www.broadinstitute.org/gsea/msigdb/cards/GO_MEMBRANE_REGION.html" TargetMode="External"/><Relationship Id="rId155" Type="http://schemas.openxmlformats.org/officeDocument/2006/relationships/hyperlink" Target="http://www.broadinstitute.org/gsea/msigdb/cards/GO_CELL_MOTILITY.html" TargetMode="External"/><Relationship Id="rId156" Type="http://schemas.openxmlformats.org/officeDocument/2006/relationships/hyperlink" Target="http://www.broadinstitute.org/gsea/msigdb/cards/GO_ENDOTHELIUM_DEVELOPMENT.html" TargetMode="External"/><Relationship Id="rId157" Type="http://schemas.openxmlformats.org/officeDocument/2006/relationships/hyperlink" Target="http://www.broadinstitute.org/gsea/msigdb/cards/GO_REGULATION_OF_EPITHELIAL_CELL_MIGRATION.html" TargetMode="External"/><Relationship Id="rId158" Type="http://schemas.openxmlformats.org/officeDocument/2006/relationships/hyperlink" Target="http://www.broadinstitute.org/gsea/msigdb/cards/GO_REGULATION_OF_RESPONSE_TO_EXTERNAL_STIMULUS.html" TargetMode="External"/><Relationship Id="rId159" Type="http://schemas.openxmlformats.org/officeDocument/2006/relationships/hyperlink" Target="http://www.broadinstitute.org/gsea/msigdb/cards/GO_LEUKOCYTE_MIGRATION.html" TargetMode="External"/><Relationship Id="rId240" Type="http://schemas.openxmlformats.org/officeDocument/2006/relationships/hyperlink" Target="http://www.broadinstitute.org/gsea/msigdb/cards/GO_REGULATION_OF_BLOOD_VESSEL_ENDOTHELIAL_CELL_MIGRATION.html" TargetMode="External"/><Relationship Id="rId241" Type="http://schemas.openxmlformats.org/officeDocument/2006/relationships/hyperlink" Target="http://www.broadinstitute.org/gsea/msigdb/cards/GO_ENDOPLASMIC_RETICULUM.html" TargetMode="External"/><Relationship Id="rId242" Type="http://schemas.openxmlformats.org/officeDocument/2006/relationships/hyperlink" Target="http://www.broadinstitute.org/gsea/msigdb/cards/GO_REGULATION_OF_CELL_DEVELOPMENT.html" TargetMode="External"/><Relationship Id="rId243" Type="http://schemas.openxmlformats.org/officeDocument/2006/relationships/hyperlink" Target="http://www.broadinstitute.org/gsea/msigdb/cards/GO_CELL_DEVELOPMENT.html" TargetMode="External"/><Relationship Id="rId244" Type="http://schemas.openxmlformats.org/officeDocument/2006/relationships/hyperlink" Target="http://www.broadinstitute.org/gsea/msigdb/cards/GO_REGULATION_OF_MORPHOGENESIS_OF_A_BRANCHING_STRUCTURE.html" TargetMode="External"/><Relationship Id="rId245" Type="http://schemas.openxmlformats.org/officeDocument/2006/relationships/hyperlink" Target="http://www.broadinstitute.org/gsea/msigdb/cards/GO_REGULATION_OF_NITRIC_OXIDE_BIOSYNTHETIC_PROCESS.html" TargetMode="External"/><Relationship Id="rId246" Type="http://schemas.openxmlformats.org/officeDocument/2006/relationships/hyperlink" Target="http://www.broadinstitute.org/gsea/msigdb/cards/GO_NEGATIVE_REGULATION_OF_EPITHELIAL_CELL_MIGRATION.html" TargetMode="External"/><Relationship Id="rId247" Type="http://schemas.openxmlformats.org/officeDocument/2006/relationships/hyperlink" Target="http://www.broadinstitute.org/gsea/msigdb/cards/GO_COATED_VESICLE.html" TargetMode="External"/><Relationship Id="rId248" Type="http://schemas.openxmlformats.org/officeDocument/2006/relationships/hyperlink" Target="http://www.broadinstitute.org/gsea/msigdb/cards/GO_POSITIVE_REGULATION_OF_PHOSPHORUS_METABOLIC_PROCESS.html" TargetMode="External"/><Relationship Id="rId249" Type="http://schemas.openxmlformats.org/officeDocument/2006/relationships/hyperlink" Target="http://www.broadinstitute.org/gsea/msigdb/cards/GO_RETINA_DEVELOPMENT_IN_CAMERA_TYPE_EYE.html" TargetMode="External"/><Relationship Id="rId330" Type="http://schemas.openxmlformats.org/officeDocument/2006/relationships/hyperlink" Target="http://www.broadinstitute.org/gsea/msigdb/cards/GO_REGULATION_OF_CELL_ADHESION.html" TargetMode="External"/><Relationship Id="rId331" Type="http://schemas.openxmlformats.org/officeDocument/2006/relationships/hyperlink" Target="http://www.broadinstitute.org/gsea/msigdb/cards/GO_IN_UTERO_EMBRYONIC_DEVELOPMENT.html" TargetMode="External"/><Relationship Id="rId332" Type="http://schemas.openxmlformats.org/officeDocument/2006/relationships/hyperlink" Target="http://www.broadinstitute.org/gsea/msigdb/cards/GO_TAXIS.html" TargetMode="External"/><Relationship Id="rId333" Type="http://schemas.openxmlformats.org/officeDocument/2006/relationships/hyperlink" Target="http://www.broadinstitute.org/gsea/msigdb/cards/KRAS.KIDNEY_UP.V1_UP.html" TargetMode="External"/><Relationship Id="rId334" Type="http://schemas.openxmlformats.org/officeDocument/2006/relationships/hyperlink" Target="http://www.broadinstitute.org/gsea/msigdb/cards/ATF2_S_UP.V1_DN.html" TargetMode="External"/><Relationship Id="rId335" Type="http://schemas.openxmlformats.org/officeDocument/2006/relationships/hyperlink" Target="http://www.broadinstitute.org/gsea/msigdb/cards/JNK_DN.V1_UP.html" TargetMode="External"/><Relationship Id="rId336" Type="http://schemas.openxmlformats.org/officeDocument/2006/relationships/hyperlink" Target="http://www.broadinstitute.org/gsea/msigdb/cards/ATF2_UP.V1_DN.html" TargetMode="External"/><Relationship Id="rId337" Type="http://schemas.openxmlformats.org/officeDocument/2006/relationships/hyperlink" Target="http://www.broadinstitute.org/gsea/msigdb/cards/CYCLIN_D1_KE_.V1_DN.html" TargetMode="External"/><Relationship Id="rId338" Type="http://schemas.openxmlformats.org/officeDocument/2006/relationships/hyperlink" Target="http://www.broadinstitute.org/gsea/msigdb/cards/ESC_J1_UP_LATE.V1_UP.html" TargetMode="External"/><Relationship Id="rId339" Type="http://schemas.openxmlformats.org/officeDocument/2006/relationships/hyperlink" Target="http://www.broadinstitute.org/gsea/msigdb/cards/ESC_V6.5_UP_LATE.V1_UP.html" TargetMode="External"/><Relationship Id="rId60" Type="http://schemas.openxmlformats.org/officeDocument/2006/relationships/hyperlink" Target="http://www.broadinstitute.org/gsea/msigdb/cards/HUMMERICH_SKIN_CANCER_PROGRESSION_DN.html" TargetMode="External"/><Relationship Id="rId61" Type="http://schemas.openxmlformats.org/officeDocument/2006/relationships/hyperlink" Target="http://www.broadinstitute.org/gsea/msigdb/cards/SCHAEFFER_PROSTATE_DEVELOPMENT_AND_CANCER_BOX2_UP.html" TargetMode="External"/><Relationship Id="rId62" Type="http://schemas.openxmlformats.org/officeDocument/2006/relationships/hyperlink" Target="http://www.broadinstitute.org/gsea/msigdb/cards/JAATINEN_HEMATOPOIETIC_STEM_CELL_UP.html" TargetMode="External"/><Relationship Id="rId63" Type="http://schemas.openxmlformats.org/officeDocument/2006/relationships/hyperlink" Target="http://www.broadinstitute.org/gsea/msigdb/cards/LEIN_ASTROCYTE_MARKERS.html" TargetMode="External"/><Relationship Id="rId64" Type="http://schemas.openxmlformats.org/officeDocument/2006/relationships/hyperlink" Target="http://www.broadinstitute.org/gsea/msigdb/cards/KIM_LIVER_CANCER_POOR_SURVIVAL_DN.html" TargetMode="External"/><Relationship Id="rId65" Type="http://schemas.openxmlformats.org/officeDocument/2006/relationships/hyperlink" Target="http://www.broadinstitute.org/gsea/msigdb/cards/PID_HNF3A_PATHWAY.html" TargetMode="External"/><Relationship Id="rId66" Type="http://schemas.openxmlformats.org/officeDocument/2006/relationships/hyperlink" Target="http://www.broadinstitute.org/gsea/msigdb/cards/CASTELLANO_HRAS_AND_NRAS_TARGETS_DN.html" TargetMode="External"/><Relationship Id="rId67" Type="http://schemas.openxmlformats.org/officeDocument/2006/relationships/hyperlink" Target="http://www.broadinstitute.org/gsea/msigdb/cards/GALIE_TUMOR_ANGIOGENESIS.html" TargetMode="External"/><Relationship Id="rId68" Type="http://schemas.openxmlformats.org/officeDocument/2006/relationships/hyperlink" Target="http://www.broadinstitute.org/gsea/msigdb/cards/SCHAEFFER_PROSTATE_DEVELOPMENT_AND_CANCER_BOX6_UP.html" TargetMode="External"/><Relationship Id="rId69" Type="http://schemas.openxmlformats.org/officeDocument/2006/relationships/hyperlink" Target="http://www.broadinstitute.org/gsea/msigdb/cards/KEGG_LEUKOCYTE_TRANSENDOTHELIAL_MIGRATION.html" TargetMode="External"/><Relationship Id="rId160" Type="http://schemas.openxmlformats.org/officeDocument/2006/relationships/hyperlink" Target="http://www.broadinstitute.org/gsea/msigdb/cards/GO_MOVEMENT_OF_CELL_OR_SUBCELLULAR_COMPONENT.html" TargetMode="External"/><Relationship Id="rId161" Type="http://schemas.openxmlformats.org/officeDocument/2006/relationships/hyperlink" Target="http://www.broadinstitute.org/gsea/msigdb/cards/GO_REGULATION_OF_ENDOTHELIAL_CELL_PROLIFERATION.html" TargetMode="External"/><Relationship Id="rId162" Type="http://schemas.openxmlformats.org/officeDocument/2006/relationships/hyperlink" Target="http://www.broadinstitute.org/gsea/msigdb/cards/GO_SPROUTING_ANGIOGENESIS.html" TargetMode="External"/><Relationship Id="rId163" Type="http://schemas.openxmlformats.org/officeDocument/2006/relationships/hyperlink" Target="http://www.broadinstitute.org/gsea/msigdb/cards/GO_RESPIRATORY_GASEOUS_EXCHANGE.html" TargetMode="External"/><Relationship Id="rId164" Type="http://schemas.openxmlformats.org/officeDocument/2006/relationships/hyperlink" Target="http://www.broadinstitute.org/gsea/msigdb/cards/GO_PLATELET_DEGRANULATION.html" TargetMode="External"/><Relationship Id="rId165" Type="http://schemas.openxmlformats.org/officeDocument/2006/relationships/hyperlink" Target="http://www.broadinstitute.org/gsea/msigdb/cards/GO_CELL_JUNCTION.html" TargetMode="External"/><Relationship Id="rId166" Type="http://schemas.openxmlformats.org/officeDocument/2006/relationships/hyperlink" Target="http://www.broadinstitute.org/gsea/msigdb/cards/GO_TISSUE_MORPHOGENESIS.html" TargetMode="External"/><Relationship Id="rId167" Type="http://schemas.openxmlformats.org/officeDocument/2006/relationships/hyperlink" Target="http://www.broadinstitute.org/gsea/msigdb/cards/GO_MEMBRANE_MICRODOMAIN.html" TargetMode="External"/><Relationship Id="rId168" Type="http://schemas.openxmlformats.org/officeDocument/2006/relationships/hyperlink" Target="http://www.broadinstitute.org/gsea/msigdb/cards/GO_BASAL_PART_OF_CELL.html" TargetMode="External"/><Relationship Id="rId169" Type="http://schemas.openxmlformats.org/officeDocument/2006/relationships/hyperlink" Target="http://www.broadinstitute.org/gsea/msigdb/cards/GO_REGULATION_OF_RESPONSE_TO_WOUNDING.html" TargetMode="External"/><Relationship Id="rId250" Type="http://schemas.openxmlformats.org/officeDocument/2006/relationships/hyperlink" Target="http://www.broadinstitute.org/gsea/msigdb/cards/GO_CELL_MORPHOGENESIS_INVOLVED_IN_DIFFERENTIATION.html" TargetMode="External"/><Relationship Id="rId251" Type="http://schemas.openxmlformats.org/officeDocument/2006/relationships/hyperlink" Target="http://www.broadinstitute.org/gsea/msigdb/cards/GO_POSITIVE_REGULATION_OF_VASCULATURE_DEVELOPMENT.html" TargetMode="External"/><Relationship Id="rId252" Type="http://schemas.openxmlformats.org/officeDocument/2006/relationships/hyperlink" Target="http://www.broadinstitute.org/gsea/msigdb/cards/GO_REGULATION_OF_POSTSYNAPTIC_MEMBRANE_POTENTIAL.html" TargetMode="External"/><Relationship Id="rId253" Type="http://schemas.openxmlformats.org/officeDocument/2006/relationships/hyperlink" Target="http://www.broadinstitute.org/gsea/msigdb/cards/GO_BEHAVIOR.html" TargetMode="External"/><Relationship Id="rId254" Type="http://schemas.openxmlformats.org/officeDocument/2006/relationships/hyperlink" Target="http://www.broadinstitute.org/gsea/msigdb/cards/GO_PLATELET_ALPHA_GRANULE_LUMEN.html" TargetMode="External"/><Relationship Id="rId255" Type="http://schemas.openxmlformats.org/officeDocument/2006/relationships/hyperlink" Target="http://www.broadinstitute.org/gsea/msigdb/cards/GO_CELL_DIFFERENTIATION_INVOLVED_IN_METANEPHROS_DEVELOPMENT.html" TargetMode="External"/><Relationship Id="rId256" Type="http://schemas.openxmlformats.org/officeDocument/2006/relationships/hyperlink" Target="http://www.broadinstitute.org/gsea/msigdb/cards/GO_LYMPHANGIOGENESIS.html" TargetMode="External"/><Relationship Id="rId257" Type="http://schemas.openxmlformats.org/officeDocument/2006/relationships/hyperlink" Target="http://www.broadinstitute.org/gsea/msigdb/cards/GO_REGULATION_OF_ORGAN_MORPHOGENESIS.html" TargetMode="External"/><Relationship Id="rId258" Type="http://schemas.openxmlformats.org/officeDocument/2006/relationships/hyperlink" Target="http://www.broadinstitute.org/gsea/msigdb/cards/GO_ENZYME_LINKED_RECEPTOR_PROTEIN_SIGNALING_PATHWAY.html" TargetMode="External"/><Relationship Id="rId259" Type="http://schemas.openxmlformats.org/officeDocument/2006/relationships/hyperlink" Target="http://www.broadinstitute.org/gsea/msigdb/cards/GO_REGULATION_OF_RESPONSE_TO_STRESS.html" TargetMode="External"/><Relationship Id="rId340" Type="http://schemas.openxmlformats.org/officeDocument/2006/relationships/hyperlink" Target="http://www.broadinstitute.org/gsea/msigdb/cards/JAK2_DN.V1_UP.html" TargetMode="External"/><Relationship Id="rId341" Type="http://schemas.openxmlformats.org/officeDocument/2006/relationships/hyperlink" Target="http://www.broadinstitute.org/gsea/msigdb/cards/GSE21379_WT_VS_SAP_KO_TFH_CD4_TCELL_UP.html" TargetMode="External"/><Relationship Id="rId342" Type="http://schemas.openxmlformats.org/officeDocument/2006/relationships/hyperlink" Target="http://www.broadinstitute.org/gsea/msigdb/cards/GSE9509_LPS_VS_LPS_AND_IL10_STIM_IL10_KO_MACROPHAGE_30MIN_UP.html" TargetMode="External"/><Relationship Id="rId343" Type="http://schemas.openxmlformats.org/officeDocument/2006/relationships/hyperlink" Target="http://www.broadinstitute.org/gsea/msigdb/cards/GSE17721_LPS_VS_CPG_4H_BMDC_UP.html" TargetMode="External"/><Relationship Id="rId344" Type="http://schemas.openxmlformats.org/officeDocument/2006/relationships/hyperlink" Target="http://www.broadinstitute.org/gsea/msigdb/cards/GSE36392_TYPE_2_MYELOID_VS_NEUTROPHIL_IL25_TREATED_LUNG_UP.html" TargetMode="External"/><Relationship Id="rId100" Type="http://schemas.openxmlformats.org/officeDocument/2006/relationships/hyperlink" Target="http://www.broadinstitute.org/gsea/msigdb/cards/ETS2_B.html" TargetMode="External"/><Relationship Id="rId101" Type="http://schemas.openxmlformats.org/officeDocument/2006/relationships/hyperlink" Target="http://www.broadinstitute.org/gsea/msigdb/cards/TGATTTRY_GFI1_01.html" TargetMode="External"/><Relationship Id="rId102" Type="http://schemas.openxmlformats.org/officeDocument/2006/relationships/hyperlink" Target="http://www.broadinstitute.org/gsea/msigdb/cards/CEBPB_02.html" TargetMode="External"/><Relationship Id="rId103" Type="http://schemas.openxmlformats.org/officeDocument/2006/relationships/hyperlink" Target="http://www.broadinstitute.org/gsea/msigdb/cards/LMO2COM_02.html" TargetMode="External"/><Relationship Id="rId104" Type="http://schemas.openxmlformats.org/officeDocument/2006/relationships/hyperlink" Target="http://www.broadinstitute.org/gsea/msigdb/cards/TCF11_01.html" TargetMode="External"/><Relationship Id="rId105" Type="http://schemas.openxmlformats.org/officeDocument/2006/relationships/hyperlink" Target="http://www.broadinstitute.org/gsea/msigdb/cards/SOX9_B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2"/>
  <sheetViews>
    <sheetView workbookViewId="0">
      <selection activeCell="B6" sqref="B6"/>
    </sheetView>
  </sheetViews>
  <sheetFormatPr baseColWidth="10" defaultRowHeight="15" x14ac:dyDescent="0"/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28</v>
      </c>
      <c r="B2" t="s">
        <v>12</v>
      </c>
      <c r="C2">
        <v>14</v>
      </c>
      <c r="D2">
        <v>146</v>
      </c>
      <c r="E2">
        <v>200</v>
      </c>
      <c r="F2">
        <v>32441</v>
      </c>
      <c r="G2">
        <v>15.553904109589</v>
      </c>
      <c r="H2" s="1">
        <v>1.01688227916449E-12</v>
      </c>
      <c r="I2" t="s">
        <v>13</v>
      </c>
      <c r="J2" t="s">
        <v>14</v>
      </c>
      <c r="K2" s="1">
        <v>2.54220569791123E-11</v>
      </c>
      <c r="L2" t="s">
        <v>15</v>
      </c>
      <c r="M2" t="str">
        <f>HYPERLINK("http://www.broadinstitute.org/gsea/msigdb/cards/HALLMARK_MYC_TARGETS_V1.html")</f>
        <v>http://www.broadinstitute.org/gsea/msigdb/cards/HALLMARK_MYC_TARGETS_V1.html</v>
      </c>
    </row>
    <row r="3" spans="1:13">
      <c r="A3">
        <v>34</v>
      </c>
      <c r="B3" t="s">
        <v>16</v>
      </c>
      <c r="C3">
        <v>14</v>
      </c>
      <c r="D3">
        <v>146</v>
      </c>
      <c r="E3">
        <v>200</v>
      </c>
      <c r="F3">
        <v>32441</v>
      </c>
      <c r="G3">
        <v>15.553904109589</v>
      </c>
      <c r="H3" s="1">
        <v>1.01688227916449E-12</v>
      </c>
      <c r="I3" t="s">
        <v>17</v>
      </c>
      <c r="J3" t="s">
        <v>18</v>
      </c>
      <c r="K3" s="1">
        <v>2.54220569791123E-11</v>
      </c>
      <c r="L3" t="s">
        <v>15</v>
      </c>
      <c r="M3" t="str">
        <f>HYPERLINK("http://www.broadinstitute.org/gsea/msigdb/cards/HALLMARK_OXIDATIVE_PHOSPHORYLATION.html")</f>
        <v>http://www.broadinstitute.org/gsea/msigdb/cards/HALLMARK_OXIDATIVE_PHOSPHORYLATION.html</v>
      </c>
    </row>
    <row r="4" spans="1:13">
      <c r="A4">
        <v>12</v>
      </c>
      <c r="B4" t="s">
        <v>19</v>
      </c>
      <c r="C4">
        <v>7</v>
      </c>
      <c r="D4">
        <v>146</v>
      </c>
      <c r="E4">
        <v>200</v>
      </c>
      <c r="F4">
        <v>32441</v>
      </c>
      <c r="G4">
        <v>7.7769520547945197</v>
      </c>
      <c r="H4" s="1">
        <v>4.3365219644025802E-5</v>
      </c>
      <c r="I4" t="s">
        <v>20</v>
      </c>
      <c r="J4" t="s">
        <v>21</v>
      </c>
      <c r="K4">
        <v>7.2275366073376395E-4</v>
      </c>
      <c r="L4" t="s">
        <v>15</v>
      </c>
      <c r="M4" t="str">
        <f>HYPERLINK("http://www.broadinstitute.org/gsea/msigdb/cards/HALLMARK_ADIPOGENESIS.html")</f>
        <v>http://www.broadinstitute.org/gsea/msigdb/cards/HALLMARK_ADIPOGENESIS.html</v>
      </c>
    </row>
    <row r="5" spans="1:13">
      <c r="A5">
        <v>46</v>
      </c>
      <c r="B5" t="s">
        <v>22</v>
      </c>
      <c r="C5">
        <v>6</v>
      </c>
      <c r="D5">
        <v>146</v>
      </c>
      <c r="E5">
        <v>200</v>
      </c>
      <c r="F5">
        <v>32441</v>
      </c>
      <c r="G5">
        <v>6.6659589041095897</v>
      </c>
      <c r="H5">
        <v>3.4519085179478498E-4</v>
      </c>
      <c r="I5" t="s">
        <v>23</v>
      </c>
      <c r="J5" t="s">
        <v>24</v>
      </c>
      <c r="K5">
        <v>4.3148856474348098E-3</v>
      </c>
      <c r="L5" t="s">
        <v>15</v>
      </c>
      <c r="M5" t="str">
        <f>HYPERLINK("http://www.broadinstitute.org/gsea/msigdb/cards/HALLMARK_ALLOGRAFT_REJECTION.html")</f>
        <v>http://www.broadinstitute.org/gsea/msigdb/cards/HALLMARK_ALLOGRAFT_REJECTION.html</v>
      </c>
    </row>
    <row r="6" spans="1:13">
      <c r="A6">
        <v>37</v>
      </c>
      <c r="B6" t="s">
        <v>25</v>
      </c>
      <c r="C6">
        <v>5</v>
      </c>
      <c r="D6">
        <v>146</v>
      </c>
      <c r="E6">
        <v>200</v>
      </c>
      <c r="F6">
        <v>32441</v>
      </c>
      <c r="G6">
        <v>5.5549657534246597</v>
      </c>
      <c r="H6">
        <v>2.3640745110952901E-3</v>
      </c>
      <c r="I6" t="s">
        <v>26</v>
      </c>
      <c r="J6" t="s">
        <v>27</v>
      </c>
      <c r="K6">
        <v>2.3640745110952901E-2</v>
      </c>
      <c r="L6" t="s">
        <v>15</v>
      </c>
      <c r="M6" t="str">
        <f>HYPERLINK("http://www.broadinstitute.org/gsea/msigdb/cards/HALLMARK_P53_PATHWAY.html")</f>
        <v>http://www.broadinstitute.org/gsea/msigdb/cards/HALLMARK_P53_PATHWAY.html</v>
      </c>
    </row>
    <row r="7" spans="1:13">
      <c r="A7">
        <v>49</v>
      </c>
      <c r="B7" t="s">
        <v>28</v>
      </c>
      <c r="C7">
        <v>25</v>
      </c>
      <c r="D7">
        <v>146</v>
      </c>
      <c r="E7">
        <v>645</v>
      </c>
      <c r="F7">
        <v>32441</v>
      </c>
      <c r="G7">
        <v>8.6123500053095494</v>
      </c>
      <c r="H7" s="1">
        <v>3.9229659084456598E-16</v>
      </c>
      <c r="I7" t="s">
        <v>29</v>
      </c>
      <c r="J7" t="s">
        <v>30</v>
      </c>
      <c r="K7" s="1">
        <v>1.2788868861532901E-13</v>
      </c>
      <c r="L7" t="s">
        <v>31</v>
      </c>
      <c r="M7" t="str">
        <f>HYPERLINK("http://www.broadinstitute.org/gsea/msigdb/cards/chr19p13.html")</f>
        <v>http://www.broadinstitute.org/gsea/msigdb/cards/chr19p13.html</v>
      </c>
    </row>
    <row r="8" spans="1:13">
      <c r="A8">
        <v>72</v>
      </c>
      <c r="B8" t="s">
        <v>32</v>
      </c>
      <c r="C8">
        <v>71</v>
      </c>
      <c r="D8">
        <v>146</v>
      </c>
      <c r="E8">
        <v>88</v>
      </c>
      <c r="F8">
        <v>32441</v>
      </c>
      <c r="G8">
        <v>179.273894769614</v>
      </c>
      <c r="H8" s="1">
        <v>2.9285039457029701E-130</v>
      </c>
      <c r="I8" s="1" t="s">
        <v>33</v>
      </c>
      <c r="J8" s="1" t="s">
        <v>34</v>
      </c>
      <c r="K8" s="1">
        <v>1.3945535789437599E-126</v>
      </c>
      <c r="L8" t="s">
        <v>35</v>
      </c>
      <c r="M8" t="str">
        <f>HYPERLINK("http://www.broadinstitute.org/gsea/msigdb/cards/KEGG_RIBOSOME.html")</f>
        <v>http://www.broadinstitute.org/gsea/msigdb/cards/KEGG_RIBOSOME.html</v>
      </c>
    </row>
    <row r="9" spans="1:13">
      <c r="A9">
        <v>647</v>
      </c>
      <c r="B9" t="s">
        <v>36</v>
      </c>
      <c r="C9">
        <v>78</v>
      </c>
      <c r="D9">
        <v>146</v>
      </c>
      <c r="E9">
        <v>222</v>
      </c>
      <c r="F9">
        <v>32441</v>
      </c>
      <c r="G9">
        <v>78.069788967049206</v>
      </c>
      <c r="H9" s="1">
        <v>7.5955509680342698E-122</v>
      </c>
      <c r="I9" s="1" t="s">
        <v>37</v>
      </c>
      <c r="J9" s="1" t="s">
        <v>38</v>
      </c>
      <c r="K9" s="1">
        <v>1.2056671236593099E-118</v>
      </c>
      <c r="L9" t="s">
        <v>35</v>
      </c>
      <c r="M9" t="str">
        <f>HYPERLINK("http://www.broadinstitute.org/gsea/msigdb/cards/REACTOME_TRANSLATION.html")</f>
        <v>http://www.broadinstitute.org/gsea/msigdb/cards/REACTOME_TRANSLATION.html</v>
      </c>
    </row>
    <row r="10" spans="1:13">
      <c r="A10">
        <v>962</v>
      </c>
      <c r="B10" t="s">
        <v>39</v>
      </c>
      <c r="C10">
        <v>75</v>
      </c>
      <c r="D10">
        <v>146</v>
      </c>
      <c r="E10">
        <v>176</v>
      </c>
      <c r="F10">
        <v>32441</v>
      </c>
      <c r="G10">
        <v>94.686916251556696</v>
      </c>
      <c r="H10" s="1">
        <v>5.6482601522718396E-122</v>
      </c>
      <c r="I10" s="1" t="s">
        <v>40</v>
      </c>
      <c r="J10" s="1" t="s">
        <v>41</v>
      </c>
      <c r="K10" s="1">
        <v>1.2056671236593099E-118</v>
      </c>
      <c r="L10" t="s">
        <v>35</v>
      </c>
      <c r="M10" t="str">
        <f>HYPERLINK("http://www.broadinstitute.org/gsea/msigdb/cards/REACTOME_3_UTR_MEDIATED_TRANSLATIONAL_REGULATION.html")</f>
        <v>http://www.broadinstitute.org/gsea/msigdb/cards/REACTOME_3_UTR_MEDIATED_TRANSLATIONAL_REGULATION.html</v>
      </c>
    </row>
    <row r="11" spans="1:13">
      <c r="A11">
        <v>886</v>
      </c>
      <c r="B11" t="s">
        <v>42</v>
      </c>
      <c r="C11">
        <v>73</v>
      </c>
      <c r="D11">
        <v>146</v>
      </c>
      <c r="E11">
        <v>153</v>
      </c>
      <c r="F11">
        <v>32441</v>
      </c>
      <c r="G11">
        <v>106.016339869281</v>
      </c>
      <c r="H11" s="1">
        <v>2.2719194660847E-121</v>
      </c>
      <c r="I11" s="1" t="s">
        <v>43</v>
      </c>
      <c r="J11" s="1" t="s">
        <v>44</v>
      </c>
      <c r="K11" s="1">
        <v>2.7047201243738398E-118</v>
      </c>
      <c r="L11" t="s">
        <v>35</v>
      </c>
      <c r="M11" t="str">
        <f>HYPERLINK("http://www.broadinstitute.org/gsea/msigdb/cards/REACTOME_PEPTIDE_CHAIN_ELONGATION.html")</f>
        <v>http://www.broadinstitute.org/gsea/msigdb/cards/REACTOME_PEPTIDE_CHAIN_ELONGATION.html</v>
      </c>
    </row>
    <row r="12" spans="1:13">
      <c r="A12">
        <v>1220</v>
      </c>
      <c r="B12" t="s">
        <v>45</v>
      </c>
      <c r="C12">
        <v>73</v>
      </c>
      <c r="D12">
        <v>146</v>
      </c>
      <c r="E12">
        <v>169</v>
      </c>
      <c r="F12">
        <v>32441</v>
      </c>
      <c r="G12">
        <v>95.979289940828394</v>
      </c>
      <c r="H12" s="1">
        <v>8.5886687998813601E-119</v>
      </c>
      <c r="I12" s="1" t="s">
        <v>46</v>
      </c>
      <c r="J12" s="1" t="s">
        <v>47</v>
      </c>
      <c r="K12" s="1">
        <v>8.1798481650070095E-116</v>
      </c>
      <c r="L12" t="s">
        <v>35</v>
      </c>
      <c r="M12" t="str">
        <f>HYPERLINK("http://www.broadinstitute.org/gsea/msigdb/cards/REACTOME_INFLUENZA_VIRAL_RNA_TRANSCRIPTION_AND_REPLICATION.html")</f>
        <v>http://www.broadinstitute.org/gsea/msigdb/cards/REACTOME_INFLUENZA_VIRAL_RNA_TRANSCRIPTION_AND_REPLICATION.html</v>
      </c>
    </row>
    <row r="13" spans="1:13">
      <c r="A13">
        <v>1219</v>
      </c>
      <c r="B13" t="s">
        <v>48</v>
      </c>
      <c r="C13">
        <v>75</v>
      </c>
      <c r="D13">
        <v>146</v>
      </c>
      <c r="E13">
        <v>203</v>
      </c>
      <c r="F13">
        <v>32441</v>
      </c>
      <c r="G13">
        <v>82.093089952088505</v>
      </c>
      <c r="H13" s="1">
        <v>4.2910445011231802E-118</v>
      </c>
      <c r="I13" s="1" t="s">
        <v>49</v>
      </c>
      <c r="J13" s="1" t="s">
        <v>50</v>
      </c>
      <c r="K13" s="1">
        <v>3.40565898572476E-115</v>
      </c>
      <c r="L13" t="s">
        <v>35</v>
      </c>
      <c r="M13" t="str">
        <f>HYPERLINK("http://www.broadinstitute.org/gsea/msigdb/cards/REACTOME_INFLUENZA_LIFE_CYCLE.html")</f>
        <v>http://www.broadinstitute.org/gsea/msigdb/cards/REACTOME_INFLUENZA_LIFE_CYCLE.html</v>
      </c>
    </row>
    <row r="14" spans="1:13">
      <c r="A14">
        <v>1277</v>
      </c>
      <c r="B14" t="s">
        <v>51</v>
      </c>
      <c r="C14">
        <v>72</v>
      </c>
      <c r="D14">
        <v>146</v>
      </c>
      <c r="E14">
        <v>176</v>
      </c>
      <c r="F14">
        <v>32441</v>
      </c>
      <c r="G14">
        <v>90.899439601494393</v>
      </c>
      <c r="H14" s="1">
        <v>1.27396968265746E-115</v>
      </c>
      <c r="I14" s="1" t="s">
        <v>52</v>
      </c>
      <c r="J14" s="1" t="s">
        <v>53</v>
      </c>
      <c r="K14" s="1">
        <v>8.66663375544975E-113</v>
      </c>
      <c r="L14" t="s">
        <v>35</v>
      </c>
      <c r="M14" t="str">
        <f>HYPERLINK("http://www.broadinstitute.org/gsea/msigdb/cards/REACTOME_NONSENSE_MEDIATED_DECAY_ENHANCED_BY_THE_EXON_JUNCTION_COMPLEX.html")</f>
        <v>http://www.broadinstitute.org/gsea/msigdb/cards/REACTOME_NONSENSE_MEDIATED_DECAY_ENHANCED_BY_THE_EXON_JUNCTION_COMPLEX.html</v>
      </c>
    </row>
    <row r="15" spans="1:13">
      <c r="A15">
        <v>725</v>
      </c>
      <c r="B15" t="s">
        <v>54</v>
      </c>
      <c r="C15">
        <v>72</v>
      </c>
      <c r="D15">
        <v>146</v>
      </c>
      <c r="E15">
        <v>179</v>
      </c>
      <c r="F15">
        <v>32441</v>
      </c>
      <c r="G15">
        <v>89.375985306497299</v>
      </c>
      <c r="H15" s="1">
        <v>3.50576179734045E-115</v>
      </c>
      <c r="I15" s="1" t="s">
        <v>52</v>
      </c>
      <c r="J15" s="1" t="s">
        <v>53</v>
      </c>
      <c r="K15" s="1">
        <v>2.0868047098669001E-112</v>
      </c>
      <c r="L15" t="s">
        <v>35</v>
      </c>
      <c r="M15" t="str">
        <f>HYPERLINK("http://www.broadinstitute.org/gsea/msigdb/cards/REACTOME_SRP_DEPENDENT_COTRANSLATIONAL_PROTEIN_TARGETING_TO_MEMBRANE.html")</f>
        <v>http://www.broadinstitute.org/gsea/msigdb/cards/REACTOME_SRP_DEPENDENT_COTRANSLATIONAL_PROTEIN_TARGETING_TO_MEMBRANE.html</v>
      </c>
    </row>
    <row r="16" spans="1:13">
      <c r="A16">
        <v>1060</v>
      </c>
      <c r="B16" t="s">
        <v>55</v>
      </c>
      <c r="C16">
        <v>72</v>
      </c>
      <c r="D16">
        <v>146</v>
      </c>
      <c r="E16">
        <v>284</v>
      </c>
      <c r="F16">
        <v>32441</v>
      </c>
      <c r="G16">
        <v>56.332047076982398</v>
      </c>
      <c r="H16" s="1">
        <v>8.5834156575498096E-103</v>
      </c>
      <c r="I16" s="1" t="s">
        <v>52</v>
      </c>
      <c r="J16" s="1" t="s">
        <v>53</v>
      </c>
      <c r="K16" s="1">
        <v>4.5415805956946899E-100</v>
      </c>
      <c r="L16" t="s">
        <v>35</v>
      </c>
      <c r="M16" t="str">
        <f>HYPERLINK("http://www.broadinstitute.org/gsea/msigdb/cards/REACTOME_METABOLISM_OF_MRNA.html")</f>
        <v>http://www.broadinstitute.org/gsea/msigdb/cards/REACTOME_METABOLISM_OF_MRNA.html</v>
      </c>
    </row>
    <row r="17" spans="1:13">
      <c r="A17">
        <v>1074</v>
      </c>
      <c r="B17" t="s">
        <v>56</v>
      </c>
      <c r="C17">
        <v>73</v>
      </c>
      <c r="D17">
        <v>146</v>
      </c>
      <c r="E17">
        <v>330</v>
      </c>
      <c r="F17">
        <v>32441</v>
      </c>
      <c r="G17">
        <v>49.153030303030299</v>
      </c>
      <c r="H17" s="1">
        <v>1.5887917614112101E-100</v>
      </c>
      <c r="I17" s="1" t="s">
        <v>57</v>
      </c>
      <c r="J17" s="1" t="s">
        <v>58</v>
      </c>
      <c r="K17" s="1">
        <v>7.5658263678401696E-98</v>
      </c>
      <c r="L17" t="s">
        <v>35</v>
      </c>
      <c r="M17" t="str">
        <f>HYPERLINK("http://www.broadinstitute.org/gsea/msigdb/cards/REACTOME_METABOLISM_OF_RNA.html")</f>
        <v>http://www.broadinstitute.org/gsea/msigdb/cards/REACTOME_METABOLISM_OF_RNA.html</v>
      </c>
    </row>
    <row r="18" spans="1:13">
      <c r="A18">
        <v>954</v>
      </c>
      <c r="B18" t="s">
        <v>59</v>
      </c>
      <c r="C18">
        <v>80</v>
      </c>
      <c r="D18">
        <v>146</v>
      </c>
      <c r="E18">
        <v>518</v>
      </c>
      <c r="F18">
        <v>32441</v>
      </c>
      <c r="G18">
        <v>34.316390754746898</v>
      </c>
      <c r="H18" s="1">
        <v>5.68886139296229E-100</v>
      </c>
      <c r="I18" s="1" t="s">
        <v>60</v>
      </c>
      <c r="J18" s="1" t="s">
        <v>61</v>
      </c>
      <c r="K18" s="1">
        <v>2.4627598139351301E-97</v>
      </c>
      <c r="L18" t="s">
        <v>35</v>
      </c>
      <c r="M18" t="str">
        <f>HYPERLINK("http://www.broadinstitute.org/gsea/msigdb/cards/REACTOME_METABOLISM_OF_PROTEINS.html")</f>
        <v>http://www.broadinstitute.org/gsea/msigdb/cards/REACTOME_METABOLISM_OF_PROTEINS.html</v>
      </c>
    </row>
    <row r="19" spans="1:13">
      <c r="A19">
        <v>3948</v>
      </c>
      <c r="B19" t="s">
        <v>62</v>
      </c>
      <c r="C19">
        <v>66</v>
      </c>
      <c r="D19">
        <v>146</v>
      </c>
      <c r="E19">
        <v>389</v>
      </c>
      <c r="F19">
        <v>32441</v>
      </c>
      <c r="G19">
        <v>37.6995105116738</v>
      </c>
      <c r="H19" s="1">
        <v>3.2375633578931099E-83</v>
      </c>
      <c r="I19" s="1" t="s">
        <v>63</v>
      </c>
      <c r="J19" s="1" t="s">
        <v>64</v>
      </c>
      <c r="K19" s="1">
        <v>1.2847730591905799E-80</v>
      </c>
      <c r="L19" t="s">
        <v>35</v>
      </c>
      <c r="M19" t="str">
        <f>HYPERLINK("http://www.broadinstitute.org/gsea/msigdb/cards/HSIAO_HOUSEKEEPING_GENES.html")</f>
        <v>http://www.broadinstitute.org/gsea/msigdb/cards/HSIAO_HOUSEKEEPING_GENES.html</v>
      </c>
    </row>
    <row r="20" spans="1:13">
      <c r="A20">
        <v>4506</v>
      </c>
      <c r="B20" t="s">
        <v>65</v>
      </c>
      <c r="C20">
        <v>46</v>
      </c>
      <c r="D20">
        <v>146</v>
      </c>
      <c r="E20">
        <v>68</v>
      </c>
      <c r="F20">
        <v>32441</v>
      </c>
      <c r="G20">
        <v>150.31083803384399</v>
      </c>
      <c r="H20" s="1">
        <v>4.95637439322559E-80</v>
      </c>
      <c r="I20" t="s">
        <v>66</v>
      </c>
      <c r="J20" t="s">
        <v>67</v>
      </c>
      <c r="K20" s="1">
        <v>1.8155580661954101E-77</v>
      </c>
      <c r="L20" t="s">
        <v>35</v>
      </c>
      <c r="M20" t="str">
        <f>HYPERLINK("http://www.broadinstitute.org/gsea/msigdb/cards/BILANGES_SERUM_AND_RAPAMYCIN_SENSITIVE_GENES.html")</f>
        <v>http://www.broadinstitute.org/gsea/msigdb/cards/BILANGES_SERUM_AND_RAPAMYCIN_SENSITIVE_GENES.html</v>
      </c>
    </row>
    <row r="21" spans="1:13">
      <c r="A21">
        <v>4355</v>
      </c>
      <c r="B21" t="s">
        <v>68</v>
      </c>
      <c r="C21">
        <v>66</v>
      </c>
      <c r="D21">
        <v>146</v>
      </c>
      <c r="E21">
        <v>841</v>
      </c>
      <c r="F21">
        <v>32441</v>
      </c>
      <c r="G21">
        <v>17.437704624305699</v>
      </c>
      <c r="H21" s="1">
        <v>7.9258757962776795E-63</v>
      </c>
      <c r="I21" s="1" t="s">
        <v>69</v>
      </c>
      <c r="J21" s="1" t="s">
        <v>70</v>
      </c>
      <c r="K21" s="1">
        <v>2.6959300387053103E-60</v>
      </c>
      <c r="L21" t="s">
        <v>35</v>
      </c>
      <c r="M21" t="str">
        <f>HYPERLINK("http://www.broadinstitute.org/gsea/msigdb/cards/MARTENS_TRETINOIN_RESPONSE_DN.html")</f>
        <v>http://www.broadinstitute.org/gsea/msigdb/cards/MARTENS_TRETINOIN_RESPONSE_DN.html</v>
      </c>
    </row>
    <row r="22" spans="1:13">
      <c r="A22">
        <v>4647</v>
      </c>
      <c r="B22" t="s">
        <v>71</v>
      </c>
      <c r="C22">
        <v>39</v>
      </c>
      <c r="D22">
        <v>146</v>
      </c>
      <c r="E22">
        <v>146</v>
      </c>
      <c r="F22">
        <v>32441</v>
      </c>
      <c r="G22">
        <v>59.354428598236098</v>
      </c>
      <c r="H22" s="1">
        <v>1.03293722207922E-54</v>
      </c>
      <c r="I22" t="s">
        <v>72</v>
      </c>
      <c r="J22" t="s">
        <v>73</v>
      </c>
      <c r="K22" s="1">
        <v>3.2792313676941799E-52</v>
      </c>
      <c r="L22" t="s">
        <v>35</v>
      </c>
      <c r="M22" t="str">
        <f>HYPERLINK("http://www.broadinstitute.org/gsea/msigdb/cards/PECE_MAMMARY_STEM_CELL_UP.html")</f>
        <v>http://www.broadinstitute.org/gsea/msigdb/cards/PECE_MAMMARY_STEM_CELL_UP.html</v>
      </c>
    </row>
    <row r="23" spans="1:13">
      <c r="A23">
        <v>1507</v>
      </c>
      <c r="B23" t="s">
        <v>74</v>
      </c>
      <c r="C23">
        <v>49</v>
      </c>
      <c r="D23">
        <v>146</v>
      </c>
      <c r="E23">
        <v>406</v>
      </c>
      <c r="F23">
        <v>32441</v>
      </c>
      <c r="G23">
        <v>26.817076051015601</v>
      </c>
      <c r="H23" s="1">
        <v>5.4736863508005598E-54</v>
      </c>
      <c r="I23" t="s">
        <v>75</v>
      </c>
      <c r="J23" t="s">
        <v>76</v>
      </c>
      <c r="K23" s="1">
        <v>1.6291059001570201E-51</v>
      </c>
      <c r="L23" t="s">
        <v>35</v>
      </c>
      <c r="M23" t="str">
        <f>HYPERLINK("http://www.broadinstitute.org/gsea/msigdb/cards/OSMAN_BLADDER_CANCER_DN.html")</f>
        <v>http://www.broadinstitute.org/gsea/msigdb/cards/OSMAN_BLADDER_CANCER_DN.html</v>
      </c>
    </row>
    <row r="24" spans="1:13">
      <c r="A24">
        <v>3729</v>
      </c>
      <c r="B24" t="s">
        <v>77</v>
      </c>
      <c r="C24">
        <v>31</v>
      </c>
      <c r="D24">
        <v>146</v>
      </c>
      <c r="E24">
        <v>52</v>
      </c>
      <c r="F24">
        <v>32441</v>
      </c>
      <c r="G24">
        <v>132.46456796627999</v>
      </c>
      <c r="H24" s="1">
        <v>2.52749462781615E-52</v>
      </c>
      <c r="I24" t="s">
        <v>78</v>
      </c>
      <c r="J24" t="s">
        <v>79</v>
      </c>
      <c r="K24" s="1">
        <v>7.0799584809767796E-50</v>
      </c>
      <c r="L24" t="s">
        <v>35</v>
      </c>
      <c r="M24" t="str">
        <f>HYPERLINK("http://www.broadinstitute.org/gsea/msigdb/cards/CHNG_MULTIPLE_MYELOMA_HYPERPLOID_UP.html")</f>
        <v>http://www.broadinstitute.org/gsea/msigdb/cards/CHNG_MULTIPLE_MYELOMA_HYPERPLOID_UP.html</v>
      </c>
    </row>
    <row r="25" spans="1:13">
      <c r="A25">
        <v>656</v>
      </c>
      <c r="B25" t="s">
        <v>80</v>
      </c>
      <c r="C25">
        <v>32</v>
      </c>
      <c r="D25">
        <v>146</v>
      </c>
      <c r="E25">
        <v>74</v>
      </c>
      <c r="F25">
        <v>32441</v>
      </c>
      <c r="G25">
        <v>96.085894113291403</v>
      </c>
      <c r="H25" s="1">
        <v>1.83626228296191E-50</v>
      </c>
      <c r="I25" t="s">
        <v>81</v>
      </c>
      <c r="J25" t="s">
        <v>82</v>
      </c>
      <c r="K25" s="1">
        <v>4.8579338841470199E-48</v>
      </c>
      <c r="L25" t="s">
        <v>35</v>
      </c>
      <c r="M25" t="str">
        <f>HYPERLINK("http://www.broadinstitute.org/gsea/msigdb/cards/REACTOME_FORMATION_OF_THE_TERNARY_COMPLEX_AND_SUBSEQUENTLY_THE_43S_COMPLEX.html")</f>
        <v>http://www.broadinstitute.org/gsea/msigdb/cards/REACTOME_FORMATION_OF_THE_TERNARY_COMPLEX_AND_SUBSEQUENTLY_THE_43S_COMPLEX.html</v>
      </c>
    </row>
    <row r="26" spans="1:13">
      <c r="A26">
        <v>841</v>
      </c>
      <c r="B26" t="s">
        <v>83</v>
      </c>
      <c r="C26">
        <v>32</v>
      </c>
      <c r="D26">
        <v>146</v>
      </c>
      <c r="E26">
        <v>84</v>
      </c>
      <c r="F26">
        <v>32441</v>
      </c>
      <c r="G26">
        <v>84.647097195042406</v>
      </c>
      <c r="H26" s="1">
        <v>5.2433011215924598E-49</v>
      </c>
      <c r="I26" t="s">
        <v>81</v>
      </c>
      <c r="J26" t="s">
        <v>82</v>
      </c>
      <c r="K26" s="1">
        <v>1.31413683900123E-46</v>
      </c>
      <c r="L26" t="s">
        <v>35</v>
      </c>
      <c r="M26" t="str">
        <f>HYPERLINK("http://www.broadinstitute.org/gsea/msigdb/cards/REACTOME_ACTIVATION_OF_THE_MRNA_UPON_BINDING_OF_THE_CAP_BINDING_COMPLEX_AND_EIFS_AND_SUBSEQUENT_BINDING_TO_43S.html")</f>
        <v>http://www.broadinstitute.org/gsea/msigdb/cards/REACTOME_ACTIVATION_OF_THE_MRNA_UPON_BINDING_OF_THE_CAP_BINDING_COMPLEX_AND_EIFS_AND_SUBSEQUENT_BINDING_TO_43S.html</v>
      </c>
    </row>
    <row r="27" spans="1:13">
      <c r="A27">
        <v>3659</v>
      </c>
      <c r="B27" t="s">
        <v>84</v>
      </c>
      <c r="C27">
        <v>54</v>
      </c>
      <c r="D27">
        <v>146</v>
      </c>
      <c r="E27">
        <v>871</v>
      </c>
      <c r="F27">
        <v>32441</v>
      </c>
      <c r="G27">
        <v>13.775804853498601</v>
      </c>
      <c r="H27" s="1">
        <v>2.2271233862593101E-45</v>
      </c>
      <c r="I27" s="1" t="s">
        <v>85</v>
      </c>
      <c r="J27" s="1" t="s">
        <v>86</v>
      </c>
      <c r="K27" s="1">
        <v>5.30278078268343E-43</v>
      </c>
      <c r="L27" t="s">
        <v>35</v>
      </c>
      <c r="M27" t="str">
        <f>HYPERLINK("http://www.broadinstitute.org/gsea/msigdb/cards/GRADE_COLON_CANCER_UP.html")</f>
        <v>http://www.broadinstitute.org/gsea/msigdb/cards/GRADE_COLON_CANCER_UP.html</v>
      </c>
    </row>
    <row r="28" spans="1:13">
      <c r="A28">
        <v>1606</v>
      </c>
      <c r="B28" t="s">
        <v>87</v>
      </c>
      <c r="C28">
        <v>23</v>
      </c>
      <c r="D28">
        <v>146</v>
      </c>
      <c r="E28">
        <v>55</v>
      </c>
      <c r="F28">
        <v>32441</v>
      </c>
      <c r="G28">
        <v>92.919427148194302</v>
      </c>
      <c r="H28" s="1">
        <v>4.3662215968866401E-36</v>
      </c>
      <c r="I28" t="s">
        <v>88</v>
      </c>
      <c r="J28" t="s">
        <v>89</v>
      </c>
      <c r="K28" s="1">
        <v>9.9009272592258097E-34</v>
      </c>
      <c r="L28" t="s">
        <v>35</v>
      </c>
      <c r="M28" t="str">
        <f>HYPERLINK("http://www.broadinstitute.org/gsea/msigdb/cards/TIEN_INTESTINE_PROBIOTICS_6HR_UP.html")</f>
        <v>http://www.broadinstitute.org/gsea/msigdb/cards/TIEN_INTESTINE_PROBIOTICS_6HR_UP.html</v>
      </c>
    </row>
    <row r="29" spans="1:13">
      <c r="A29">
        <v>1609</v>
      </c>
      <c r="B29" t="s">
        <v>90</v>
      </c>
      <c r="C29">
        <v>30</v>
      </c>
      <c r="D29">
        <v>146</v>
      </c>
      <c r="E29">
        <v>214</v>
      </c>
      <c r="F29">
        <v>32441</v>
      </c>
      <c r="G29">
        <v>31.149340673409299</v>
      </c>
      <c r="H29" s="1">
        <v>1.669326328669E-34</v>
      </c>
      <c r="I29" t="s">
        <v>91</v>
      </c>
      <c r="J29" t="s">
        <v>92</v>
      </c>
      <c r="K29" s="1">
        <v>3.6133327168735399E-32</v>
      </c>
      <c r="L29" t="s">
        <v>35</v>
      </c>
      <c r="M29" t="str">
        <f>HYPERLINK("http://www.broadinstitute.org/gsea/msigdb/cards/TIEN_INTESTINE_PROBIOTICS_24HR_DN.html")</f>
        <v>http://www.broadinstitute.org/gsea/msigdb/cards/TIEN_INTESTINE_PROBIOTICS_24HR_DN.html</v>
      </c>
    </row>
    <row r="30" spans="1:13">
      <c r="A30">
        <v>4363</v>
      </c>
      <c r="B30" t="s">
        <v>93</v>
      </c>
      <c r="C30">
        <v>41</v>
      </c>
      <c r="D30">
        <v>146</v>
      </c>
      <c r="E30">
        <v>682</v>
      </c>
      <c r="F30">
        <v>32441</v>
      </c>
      <c r="G30">
        <v>13.3579821636605</v>
      </c>
      <c r="H30" s="1">
        <v>1.8493374291481501E-33</v>
      </c>
      <c r="I30" t="s">
        <v>94</v>
      </c>
      <c r="J30" t="s">
        <v>95</v>
      </c>
      <c r="K30" s="1">
        <v>3.8289325380884801E-31</v>
      </c>
      <c r="L30" t="s">
        <v>35</v>
      </c>
      <c r="M30" t="str">
        <f>HYPERLINK("http://www.broadinstitute.org/gsea/msigdb/cards/KIM_BIPOLAR_DISORDER_OLIGODENDROCYTE_DENSITY_CORR_UP.html")</f>
        <v>http://www.broadinstitute.org/gsea/msigdb/cards/KIM_BIPOLAR_DISORDER_OLIGODENDROCYTE_DENSITY_CORR_UP.html</v>
      </c>
    </row>
    <row r="31" spans="1:13">
      <c r="A31">
        <v>3758</v>
      </c>
      <c r="B31" t="s">
        <v>96</v>
      </c>
      <c r="C31">
        <v>32</v>
      </c>
      <c r="D31">
        <v>146</v>
      </c>
      <c r="E31">
        <v>374</v>
      </c>
      <c r="F31">
        <v>32441</v>
      </c>
      <c r="G31">
        <v>19.011647498351799</v>
      </c>
      <c r="H31" s="1">
        <v>1.60827076493662E-30</v>
      </c>
      <c r="I31" t="s">
        <v>97</v>
      </c>
      <c r="J31" t="s">
        <v>98</v>
      </c>
      <c r="K31" s="1">
        <v>3.1910772427617502E-28</v>
      </c>
      <c r="L31" t="s">
        <v>35</v>
      </c>
      <c r="M31" t="str">
        <f>HYPERLINK("http://www.broadinstitute.org/gsea/msigdb/cards/WANG_TUMOR_INVASIVENESS_UP.html")</f>
        <v>http://www.broadinstitute.org/gsea/msigdb/cards/WANG_TUMOR_INVASIVENESS_UP.html</v>
      </c>
    </row>
    <row r="32" spans="1:13">
      <c r="A32">
        <v>1979</v>
      </c>
      <c r="B32" t="s">
        <v>99</v>
      </c>
      <c r="C32">
        <v>26</v>
      </c>
      <c r="D32">
        <v>146</v>
      </c>
      <c r="E32">
        <v>178</v>
      </c>
      <c r="F32">
        <v>32441</v>
      </c>
      <c r="G32">
        <v>32.455979682930597</v>
      </c>
      <c r="H32" s="1">
        <v>2.27239492203251E-30</v>
      </c>
      <c r="I32" t="s">
        <v>100</v>
      </c>
      <c r="J32" t="s">
        <v>101</v>
      </c>
      <c r="K32" s="1">
        <v>4.3284578474875196E-28</v>
      </c>
      <c r="L32" t="s">
        <v>35</v>
      </c>
      <c r="M32" t="str">
        <f>HYPERLINK("http://www.broadinstitute.org/gsea/msigdb/cards/LI_AMPLIFIED_IN_LUNG_CANCER.html")</f>
        <v>http://www.broadinstitute.org/gsea/msigdb/cards/LI_AMPLIFIED_IN_LUNG_CANCER.html</v>
      </c>
    </row>
    <row r="33" spans="1:13">
      <c r="A33">
        <v>4014</v>
      </c>
      <c r="B33" t="s">
        <v>102</v>
      </c>
      <c r="C33">
        <v>26</v>
      </c>
      <c r="D33">
        <v>146</v>
      </c>
      <c r="E33">
        <v>181</v>
      </c>
      <c r="F33">
        <v>32441</v>
      </c>
      <c r="G33">
        <v>31.9180352682964</v>
      </c>
      <c r="H33" s="1">
        <v>3.3699122696604999E-30</v>
      </c>
      <c r="I33" t="s">
        <v>103</v>
      </c>
      <c r="J33" t="s">
        <v>104</v>
      </c>
      <c r="K33" s="1">
        <v>6.1721239338935802E-28</v>
      </c>
      <c r="L33" t="s">
        <v>35</v>
      </c>
      <c r="M33" t="str">
        <f>HYPERLINK("http://www.broadinstitute.org/gsea/msigdb/cards/JISON_SICKLE_CELL_DISEASE_DN.html")</f>
        <v>http://www.broadinstitute.org/gsea/msigdb/cards/JISON_SICKLE_CELL_DISEASE_DN.html</v>
      </c>
    </row>
    <row r="34" spans="1:13">
      <c r="A34">
        <v>4361</v>
      </c>
      <c r="B34" t="s">
        <v>105</v>
      </c>
      <c r="C34">
        <v>39</v>
      </c>
      <c r="D34">
        <v>146</v>
      </c>
      <c r="E34">
        <v>756</v>
      </c>
      <c r="F34">
        <v>32441</v>
      </c>
      <c r="G34">
        <v>11.462627745161999</v>
      </c>
      <c r="H34" s="1">
        <v>2.0437560541904499E-29</v>
      </c>
      <c r="I34" t="s">
        <v>106</v>
      </c>
      <c r="J34" t="s">
        <v>107</v>
      </c>
      <c r="K34" s="1">
        <v>3.60458012224257E-27</v>
      </c>
      <c r="L34" t="s">
        <v>35</v>
      </c>
      <c r="M34" t="str">
        <f>HYPERLINK("http://www.broadinstitute.org/gsea/msigdb/cards/KIM_ALL_DISORDERS_OLIGODENDROCYTE_NUMBER_CORR_UP.html")</f>
        <v>http://www.broadinstitute.org/gsea/msigdb/cards/KIM_ALL_DISORDERS_OLIGODENDROCYTE_NUMBER_CORR_UP.html</v>
      </c>
    </row>
    <row r="35" spans="1:13">
      <c r="A35">
        <v>2264</v>
      </c>
      <c r="B35" t="s">
        <v>108</v>
      </c>
      <c r="C35">
        <v>50</v>
      </c>
      <c r="D35">
        <v>146</v>
      </c>
      <c r="E35">
        <v>1652</v>
      </c>
      <c r="F35">
        <v>32441</v>
      </c>
      <c r="G35">
        <v>6.7251401373179904</v>
      </c>
      <c r="H35" s="1">
        <v>1.14122624937664E-27</v>
      </c>
      <c r="I35" s="1" t="s">
        <v>109</v>
      </c>
      <c r="J35" s="1" t="s">
        <v>110</v>
      </c>
      <c r="K35" s="1">
        <v>1.94089978554699E-25</v>
      </c>
      <c r="L35" t="s">
        <v>35</v>
      </c>
      <c r="M35" t="str">
        <f>HYPERLINK("http://www.broadinstitute.org/gsea/msigdb/cards/PUJANA_BRCA1_PCC_NETWORK.html")</f>
        <v>http://www.broadinstitute.org/gsea/msigdb/cards/PUJANA_BRCA1_PCC_NETWORK.html</v>
      </c>
    </row>
    <row r="36" spans="1:13">
      <c r="A36">
        <v>4055</v>
      </c>
      <c r="B36" t="s">
        <v>111</v>
      </c>
      <c r="C36">
        <v>18</v>
      </c>
      <c r="D36">
        <v>146</v>
      </c>
      <c r="E36">
        <v>53</v>
      </c>
      <c r="F36">
        <v>32441</v>
      </c>
      <c r="G36">
        <v>75.463685706901003</v>
      </c>
      <c r="H36" s="1">
        <v>4.5458265127939597E-27</v>
      </c>
      <c r="I36" t="s">
        <v>112</v>
      </c>
      <c r="J36" t="s">
        <v>113</v>
      </c>
      <c r="K36" s="1">
        <v>7.4645606392844198E-25</v>
      </c>
      <c r="L36" t="s">
        <v>35</v>
      </c>
      <c r="M36" t="str">
        <f>HYPERLINK("http://www.broadinstitute.org/gsea/msigdb/cards/YAMASHITA_LIVER_CANCER_WITH_EPCAM_UP.html")</f>
        <v>http://www.broadinstitute.org/gsea/msigdb/cards/YAMASHITA_LIVER_CANCER_WITH_EPCAM_UP.html</v>
      </c>
    </row>
    <row r="37" spans="1:13">
      <c r="A37">
        <v>4511</v>
      </c>
      <c r="B37" t="s">
        <v>114</v>
      </c>
      <c r="C37">
        <v>16</v>
      </c>
      <c r="D37">
        <v>146</v>
      </c>
      <c r="E37">
        <v>37</v>
      </c>
      <c r="F37">
        <v>32441</v>
      </c>
      <c r="G37">
        <v>96.085894113291403</v>
      </c>
      <c r="H37" s="1">
        <v>1.4564888860176699E-25</v>
      </c>
      <c r="I37" t="s">
        <v>115</v>
      </c>
      <c r="J37" t="s">
        <v>116</v>
      </c>
      <c r="K37" s="1">
        <v>2.3119333584053699E-23</v>
      </c>
      <c r="L37" t="s">
        <v>35</v>
      </c>
      <c r="M37" t="str">
        <f>HYPERLINK("http://www.broadinstitute.org/gsea/msigdb/cards/BILANGES_SERUM_RESPONSE_TRANSLATION.html")</f>
        <v>http://www.broadinstitute.org/gsea/msigdb/cards/BILANGES_SERUM_RESPONSE_TRANSLATION.html</v>
      </c>
    </row>
    <row r="38" spans="1:13">
      <c r="A38">
        <v>2681</v>
      </c>
      <c r="B38" t="s">
        <v>117</v>
      </c>
      <c r="C38">
        <v>16</v>
      </c>
      <c r="D38">
        <v>146</v>
      </c>
      <c r="E38">
        <v>59</v>
      </c>
      <c r="F38">
        <v>32441</v>
      </c>
      <c r="G38">
        <v>60.257255630369201</v>
      </c>
      <c r="H38" s="1">
        <v>7.7218604692294695E-23</v>
      </c>
      <c r="I38" t="s">
        <v>118</v>
      </c>
      <c r="J38" t="s">
        <v>119</v>
      </c>
      <c r="K38" s="1">
        <v>1.1861774049829301E-20</v>
      </c>
      <c r="L38" t="s">
        <v>35</v>
      </c>
      <c r="M38" t="str">
        <f>HYPERLINK("http://www.broadinstitute.org/gsea/msigdb/cards/POMEROY_MEDULLOBLASTOMA_DESMOPLASIC_VS_CLASSIC_DN.html")</f>
        <v>http://www.broadinstitute.org/gsea/msigdb/cards/POMEROY_MEDULLOBLASTOMA_DESMOPLASIC_VS_CLASSIC_DN.html</v>
      </c>
    </row>
    <row r="39" spans="1:13">
      <c r="A39">
        <v>3802</v>
      </c>
      <c r="B39" t="s">
        <v>120</v>
      </c>
      <c r="C39">
        <v>15</v>
      </c>
      <c r="D39">
        <v>146</v>
      </c>
      <c r="E39">
        <v>53</v>
      </c>
      <c r="F39">
        <v>32441</v>
      </c>
      <c r="G39">
        <v>62.886404755750803</v>
      </c>
      <c r="H39" s="1">
        <v>1.0182559418331499E-21</v>
      </c>
      <c r="I39" t="s">
        <v>121</v>
      </c>
      <c r="J39" t="s">
        <v>122</v>
      </c>
      <c r="K39" s="1">
        <v>1.5152921234404499E-19</v>
      </c>
      <c r="L39" t="s">
        <v>35</v>
      </c>
      <c r="M39" t="str">
        <f>HYPERLINK("http://www.broadinstitute.org/gsea/msigdb/cards/FLOTHO_PEDIATRIC_ALL_THERAPY_RESPONSE_UP.html")</f>
        <v>http://www.broadinstitute.org/gsea/msigdb/cards/FLOTHO_PEDIATRIC_ALL_THERAPY_RESPONSE_UP.html</v>
      </c>
    </row>
    <row r="40" spans="1:13">
      <c r="A40">
        <v>4207</v>
      </c>
      <c r="B40" t="s">
        <v>123</v>
      </c>
      <c r="C40">
        <v>37</v>
      </c>
      <c r="D40">
        <v>146</v>
      </c>
      <c r="E40">
        <v>1103</v>
      </c>
      <c r="F40">
        <v>32441</v>
      </c>
      <c r="G40">
        <v>7.4536258522833103</v>
      </c>
      <c r="H40" s="1">
        <v>1.14383633024091E-21</v>
      </c>
      <c r="I40" t="s">
        <v>124</v>
      </c>
      <c r="J40" t="s">
        <v>125</v>
      </c>
      <c r="K40" s="1">
        <v>1.6505904862446101E-19</v>
      </c>
      <c r="L40" t="s">
        <v>35</v>
      </c>
      <c r="M40" t="str">
        <f>HYPERLINK("http://www.broadinstitute.org/gsea/msigdb/cards/DANG_BOUND_BY_MYC.html")</f>
        <v>http://www.broadinstitute.org/gsea/msigdb/cards/DANG_BOUND_BY_MYC.html</v>
      </c>
    </row>
    <row r="41" spans="1:13">
      <c r="A41">
        <v>1700</v>
      </c>
      <c r="B41" t="s">
        <v>126</v>
      </c>
      <c r="C41">
        <v>28</v>
      </c>
      <c r="D41">
        <v>146</v>
      </c>
      <c r="E41">
        <v>530</v>
      </c>
      <c r="F41">
        <v>32441</v>
      </c>
      <c r="G41">
        <v>11.738795554406799</v>
      </c>
      <c r="H41" s="1">
        <v>2.23524693425398E-21</v>
      </c>
      <c r="I41" t="s">
        <v>127</v>
      </c>
      <c r="J41" t="s">
        <v>128</v>
      </c>
      <c r="K41" s="1">
        <v>3.1306605590933701E-19</v>
      </c>
      <c r="L41" t="s">
        <v>35</v>
      </c>
      <c r="M41" t="str">
        <f>HYPERLINK("http://www.broadinstitute.org/gsea/msigdb/cards/ENK_UV_RESPONSE_KERATINOCYTE_UP.html")</f>
        <v>http://www.broadinstitute.org/gsea/msigdb/cards/ENK_UV_RESPONSE_KERATINOCYTE_UP.html</v>
      </c>
    </row>
    <row r="42" spans="1:13">
      <c r="A42">
        <v>2254</v>
      </c>
      <c r="B42" t="s">
        <v>129</v>
      </c>
      <c r="C42">
        <v>27</v>
      </c>
      <c r="D42">
        <v>146</v>
      </c>
      <c r="E42">
        <v>479</v>
      </c>
      <c r="F42">
        <v>32441</v>
      </c>
      <c r="G42">
        <v>12.5247662081391</v>
      </c>
      <c r="H42" s="1">
        <v>2.54608148133744E-21</v>
      </c>
      <c r="I42" t="s">
        <v>130</v>
      </c>
      <c r="J42" t="s">
        <v>131</v>
      </c>
      <c r="K42" s="1">
        <v>3.4641257183225501E-19</v>
      </c>
      <c r="L42" t="s">
        <v>35</v>
      </c>
      <c r="M42" t="str">
        <f>HYPERLINK("http://www.broadinstitute.org/gsea/msigdb/cards/SPIELMAN_LYMPHOBLAST_EUROPEAN_VS_ASIAN_UP.html")</f>
        <v>http://www.broadinstitute.org/gsea/msigdb/cards/SPIELMAN_LYMPHOBLAST_EUROPEAN_VS_ASIAN_UP.html</v>
      </c>
    </row>
    <row r="43" spans="1:13">
      <c r="A43">
        <v>2432</v>
      </c>
      <c r="B43" t="s">
        <v>132</v>
      </c>
      <c r="C43">
        <v>32</v>
      </c>
      <c r="D43">
        <v>146</v>
      </c>
      <c r="E43">
        <v>775</v>
      </c>
      <c r="F43">
        <v>32441</v>
      </c>
      <c r="G43">
        <v>9.1746531153336299</v>
      </c>
      <c r="H43" s="1">
        <v>2.6689735814846202E-21</v>
      </c>
      <c r="I43" t="s">
        <v>133</v>
      </c>
      <c r="J43" t="s">
        <v>134</v>
      </c>
      <c r="K43" s="1">
        <v>3.5304589430638199E-19</v>
      </c>
      <c r="L43" t="s">
        <v>35</v>
      </c>
      <c r="M43" t="str">
        <f>HYPERLINK("http://www.broadinstitute.org/gsea/msigdb/cards/BENPORATH_MYC_MAX_TARGETS.html")</f>
        <v>http://www.broadinstitute.org/gsea/msigdb/cards/BENPORATH_MYC_MAX_TARGETS.html</v>
      </c>
    </row>
    <row r="44" spans="1:13">
      <c r="A44">
        <v>4170</v>
      </c>
      <c r="B44" t="s">
        <v>135</v>
      </c>
      <c r="C44">
        <v>29</v>
      </c>
      <c r="D44">
        <v>146</v>
      </c>
      <c r="E44">
        <v>605</v>
      </c>
      <c r="F44">
        <v>32441</v>
      </c>
      <c r="G44">
        <v>10.6508434280539</v>
      </c>
      <c r="H44" s="1">
        <v>5.1117327232698201E-21</v>
      </c>
      <c r="I44" t="s">
        <v>136</v>
      </c>
      <c r="J44" t="s">
        <v>137</v>
      </c>
      <c r="K44" s="1">
        <v>6.5789381697867201E-19</v>
      </c>
      <c r="L44" t="s">
        <v>35</v>
      </c>
      <c r="M44" t="str">
        <f>HYPERLINK("http://www.broadinstitute.org/gsea/msigdb/cards/CAIRO_HEPATOBLASTOMA_CLASSES_UP.html")</f>
        <v>http://www.broadinstitute.org/gsea/msigdb/cards/CAIRO_HEPATOBLASTOMA_CLASSES_UP.html</v>
      </c>
    </row>
    <row r="45" spans="1:13">
      <c r="A45">
        <v>2437</v>
      </c>
      <c r="B45" t="s">
        <v>138</v>
      </c>
      <c r="C45">
        <v>27</v>
      </c>
      <c r="D45">
        <v>146</v>
      </c>
      <c r="E45">
        <v>517</v>
      </c>
      <c r="F45">
        <v>32441</v>
      </c>
      <c r="G45">
        <v>11.6041837789142</v>
      </c>
      <c r="H45" s="1">
        <v>1.6510741934131299E-20</v>
      </c>
      <c r="I45" t="s">
        <v>139</v>
      </c>
      <c r="J45" t="s">
        <v>140</v>
      </c>
      <c r="K45" s="1">
        <v>2.06905666027193E-18</v>
      </c>
      <c r="L45" t="s">
        <v>35</v>
      </c>
      <c r="M45" t="str">
        <f>HYPERLINK("http://www.broadinstitute.org/gsea/msigdb/cards/STARK_PREFRONTAL_CORTEX_22Q11_DELETION_DN.html")</f>
        <v>http://www.broadinstitute.org/gsea/msigdb/cards/STARK_PREFRONTAL_CORTEX_22Q11_DELETION_DN.html</v>
      </c>
    </row>
    <row r="46" spans="1:13">
      <c r="A46">
        <v>2266</v>
      </c>
      <c r="B46" t="s">
        <v>141</v>
      </c>
      <c r="C46">
        <v>39</v>
      </c>
      <c r="D46">
        <v>146</v>
      </c>
      <c r="E46">
        <v>1442</v>
      </c>
      <c r="F46">
        <v>32441</v>
      </c>
      <c r="G46">
        <v>6.0095329926092003</v>
      </c>
      <c r="H46" s="1">
        <v>1.13108491037449E-19</v>
      </c>
      <c r="I46" t="s">
        <v>142</v>
      </c>
      <c r="J46" t="s">
        <v>143</v>
      </c>
      <c r="K46" s="1">
        <v>1.3810836777444401E-17</v>
      </c>
      <c r="L46" t="s">
        <v>35</v>
      </c>
      <c r="M46" t="str">
        <f>HYPERLINK("http://www.broadinstitute.org/gsea/msigdb/cards/PUJANA_ATM_PCC_NETWORK.html")</f>
        <v>http://www.broadinstitute.org/gsea/msigdb/cards/PUJANA_ATM_PCC_NETWORK.html</v>
      </c>
    </row>
    <row r="47" spans="1:13">
      <c r="A47">
        <v>2168</v>
      </c>
      <c r="B47" t="s">
        <v>144</v>
      </c>
      <c r="C47">
        <v>23</v>
      </c>
      <c r="D47">
        <v>146</v>
      </c>
      <c r="E47">
        <v>380</v>
      </c>
      <c r="F47">
        <v>32441</v>
      </c>
      <c r="G47">
        <v>13.448864455659701</v>
      </c>
      <c r="H47" s="1">
        <v>6.5996194565165502E-19</v>
      </c>
      <c r="I47" t="s">
        <v>145</v>
      </c>
      <c r="J47" t="s">
        <v>146</v>
      </c>
      <c r="K47" s="1">
        <v>7.8568469629829502E-17</v>
      </c>
      <c r="L47" t="s">
        <v>35</v>
      </c>
      <c r="M47" t="str">
        <f>HYPERLINK("http://www.broadinstitute.org/gsea/msigdb/cards/DAIRKEE_TERT_TARGETS_UP.html")</f>
        <v>http://www.broadinstitute.org/gsea/msigdb/cards/DAIRKEE_TERT_TARGETS_UP.html</v>
      </c>
    </row>
    <row r="48" spans="1:13">
      <c r="A48">
        <v>3227</v>
      </c>
      <c r="B48" t="s">
        <v>147</v>
      </c>
      <c r="C48">
        <v>14</v>
      </c>
      <c r="D48">
        <v>146</v>
      </c>
      <c r="E48">
        <v>67</v>
      </c>
      <c r="F48">
        <v>32441</v>
      </c>
      <c r="G48">
        <v>46.429564506235899</v>
      </c>
      <c r="H48" s="1">
        <v>9.7867561670252006E-19</v>
      </c>
      <c r="I48" t="s">
        <v>148</v>
      </c>
      <c r="J48" t="s">
        <v>149</v>
      </c>
      <c r="K48" s="1">
        <v>1.13669592359449E-16</v>
      </c>
      <c r="L48" t="s">
        <v>35</v>
      </c>
      <c r="M48" t="str">
        <f>HYPERLINK("http://www.broadinstitute.org/gsea/msigdb/cards/DAZARD_UV_RESPONSE_CLUSTER_G1.html")</f>
        <v>http://www.broadinstitute.org/gsea/msigdb/cards/DAZARD_UV_RESPONSE_CLUSTER_G1.html</v>
      </c>
    </row>
    <row r="49" spans="1:13">
      <c r="A49">
        <v>4747</v>
      </c>
      <c r="B49" t="s">
        <v>150</v>
      </c>
      <c r="C49">
        <v>12</v>
      </c>
      <c r="D49">
        <v>146</v>
      </c>
      <c r="E49">
        <v>35</v>
      </c>
      <c r="F49">
        <v>32441</v>
      </c>
      <c r="G49">
        <v>76.182387475538206</v>
      </c>
      <c r="H49" s="1">
        <v>1.8843159498746398E-18</v>
      </c>
      <c r="I49" t="s">
        <v>151</v>
      </c>
      <c r="J49" t="s">
        <v>152</v>
      </c>
      <c r="K49" s="1">
        <v>2.13645536983406E-16</v>
      </c>
      <c r="L49" t="s">
        <v>35</v>
      </c>
      <c r="M49" t="str">
        <f>HYPERLINK("http://www.broadinstitute.org/gsea/msigdb/cards/ANDERSEN_LIVER_CANCER_KRT19_UP.html")</f>
        <v>http://www.broadinstitute.org/gsea/msigdb/cards/ANDERSEN_LIVER_CANCER_KRT19_UP.html</v>
      </c>
    </row>
    <row r="50" spans="1:13">
      <c r="A50">
        <v>3102</v>
      </c>
      <c r="B50" t="s">
        <v>153</v>
      </c>
      <c r="C50">
        <v>19</v>
      </c>
      <c r="D50">
        <v>146</v>
      </c>
      <c r="E50">
        <v>244</v>
      </c>
      <c r="F50">
        <v>32441</v>
      </c>
      <c r="G50">
        <v>17.302352346732501</v>
      </c>
      <c r="H50" s="1">
        <v>1.1379275772347E-17</v>
      </c>
      <c r="I50" t="s">
        <v>154</v>
      </c>
      <c r="J50" t="s">
        <v>155</v>
      </c>
      <c r="K50" s="1">
        <v>1.2601886332073601E-15</v>
      </c>
      <c r="L50" t="s">
        <v>35</v>
      </c>
      <c r="M50" t="str">
        <f>HYPERLINK("http://www.broadinstitute.org/gsea/msigdb/cards/DAZARD_RESPONSE_TO_UV_NHEK_UP.html")</f>
        <v>http://www.broadinstitute.org/gsea/msigdb/cards/DAZARD_RESPONSE_TO_UV_NHEK_UP.html</v>
      </c>
    </row>
    <row r="51" spans="1:13">
      <c r="A51">
        <v>4205</v>
      </c>
      <c r="B51" t="s">
        <v>156</v>
      </c>
      <c r="C51">
        <v>16</v>
      </c>
      <c r="D51">
        <v>146</v>
      </c>
      <c r="E51">
        <v>143</v>
      </c>
      <c r="F51">
        <v>32441</v>
      </c>
      <c r="G51">
        <v>24.861385190152301</v>
      </c>
      <c r="H51" s="1">
        <v>2.4043789639909199E-17</v>
      </c>
      <c r="I51" t="s">
        <v>157</v>
      </c>
      <c r="J51" t="s">
        <v>158</v>
      </c>
      <c r="K51" s="1">
        <v>2.6021937787556302E-15</v>
      </c>
      <c r="L51" t="s">
        <v>35</v>
      </c>
      <c r="M51" t="str">
        <f>HYPERLINK("http://www.broadinstitute.org/gsea/msigdb/cards/DANG_MYC_TARGETS_UP.html")</f>
        <v>http://www.broadinstitute.org/gsea/msigdb/cards/DANG_MYC_TARGETS_UP.html</v>
      </c>
    </row>
    <row r="52" spans="1:13">
      <c r="A52">
        <v>4071</v>
      </c>
      <c r="B52" t="s">
        <v>159</v>
      </c>
      <c r="C52">
        <v>22</v>
      </c>
      <c r="D52">
        <v>146</v>
      </c>
      <c r="E52">
        <v>422</v>
      </c>
      <c r="F52">
        <v>32441</v>
      </c>
      <c r="G52">
        <v>11.583814841264701</v>
      </c>
      <c r="H52" s="1">
        <v>7.9134469685296896E-17</v>
      </c>
      <c r="I52" t="s">
        <v>160</v>
      </c>
      <c r="J52" t="s">
        <v>161</v>
      </c>
      <c r="K52" s="1">
        <v>8.3741854364751996E-15</v>
      </c>
      <c r="L52" t="s">
        <v>35</v>
      </c>
      <c r="M52" t="str">
        <f>HYPERLINK("http://www.broadinstitute.org/gsea/msigdb/cards/YAGI_AML_WITH_INV_16_TRANSLOCATION.html")</f>
        <v>http://www.broadinstitute.org/gsea/msigdb/cards/YAGI_AML_WITH_INV_16_TRANSLOCATION.html</v>
      </c>
    </row>
    <row r="53" spans="1:13">
      <c r="A53">
        <v>1229</v>
      </c>
      <c r="B53" t="s">
        <v>162</v>
      </c>
      <c r="C53">
        <v>14</v>
      </c>
      <c r="D53">
        <v>146</v>
      </c>
      <c r="E53">
        <v>98</v>
      </c>
      <c r="F53">
        <v>32441</v>
      </c>
      <c r="G53">
        <v>31.7426614481409</v>
      </c>
      <c r="H53" s="1">
        <v>1.1465665985282001E-16</v>
      </c>
      <c r="I53" t="s">
        <v>163</v>
      </c>
      <c r="J53" t="s">
        <v>164</v>
      </c>
      <c r="K53" s="1">
        <v>1.18694568308506E-14</v>
      </c>
      <c r="L53" t="s">
        <v>35</v>
      </c>
      <c r="M53" t="str">
        <f>HYPERLINK("http://www.broadinstitute.org/gsea/msigdb/cards/REACTOME_RESPIRATORY_ELECTRON_TRANSPORT_ATP_SYNTHESIS_BY_CHEMIOSMOTIC_COUPLING_AND_HEAT_PRODUCTION_BY_UNCOUPLING_PROTEINS_.html")</f>
        <v>http://www.broadinstitute.org/gsea/msigdb/cards/REACTOME_RESPIRATORY_ELECTRON_TRANSPORT_ATP_SYNTHESIS_BY_CHEMIOSMOTIC_COUPLING_AND_HEAT_PRODUCTION_BY_UNCOUPLING_PROTEINS_.html</v>
      </c>
    </row>
    <row r="54" spans="1:13">
      <c r="A54">
        <v>1122</v>
      </c>
      <c r="B54" t="s">
        <v>165</v>
      </c>
      <c r="C54">
        <v>13</v>
      </c>
      <c r="D54">
        <v>146</v>
      </c>
      <c r="E54">
        <v>79</v>
      </c>
      <c r="F54">
        <v>32441</v>
      </c>
      <c r="G54">
        <v>36.564331541529398</v>
      </c>
      <c r="H54" s="1">
        <v>2.8027547034607098E-16</v>
      </c>
      <c r="I54" t="s">
        <v>166</v>
      </c>
      <c r="J54" t="s">
        <v>167</v>
      </c>
      <c r="K54" s="1">
        <v>2.83972721231487E-14</v>
      </c>
      <c r="L54" t="s">
        <v>35</v>
      </c>
      <c r="M54" t="str">
        <f>HYPERLINK("http://www.broadinstitute.org/gsea/msigdb/cards/REACTOME_RESPIRATORY_ELECTRON_TRANSPORT.html")</f>
        <v>http://www.broadinstitute.org/gsea/msigdb/cards/REACTOME_RESPIRATORY_ELECTRON_TRANSPORT.html</v>
      </c>
    </row>
    <row r="55" spans="1:13">
      <c r="A55">
        <v>3775</v>
      </c>
      <c r="B55" t="s">
        <v>168</v>
      </c>
      <c r="C55">
        <v>16</v>
      </c>
      <c r="D55">
        <v>146</v>
      </c>
      <c r="E55">
        <v>175</v>
      </c>
      <c r="F55">
        <v>32441</v>
      </c>
      <c r="G55">
        <v>20.315303326810199</v>
      </c>
      <c r="H55" s="1">
        <v>4.5832235440453504E-16</v>
      </c>
      <c r="I55" t="s">
        <v>169</v>
      </c>
      <c r="J55" t="s">
        <v>170</v>
      </c>
      <c r="K55" s="1">
        <v>4.5469396909883202E-14</v>
      </c>
      <c r="L55" t="s">
        <v>35</v>
      </c>
      <c r="M55" t="str">
        <f>HYPERLINK("http://www.broadinstitute.org/gsea/msigdb/cards/LEE_LIVER_CANCER_SURVIVAL_DN.html")</f>
        <v>http://www.broadinstitute.org/gsea/msigdb/cards/LEE_LIVER_CANCER_SURVIVAL_DN.html</v>
      </c>
    </row>
    <row r="56" spans="1:13">
      <c r="A56">
        <v>3162</v>
      </c>
      <c r="B56" t="s">
        <v>171</v>
      </c>
      <c r="C56">
        <v>11</v>
      </c>
      <c r="D56">
        <v>146</v>
      </c>
      <c r="E56">
        <v>42</v>
      </c>
      <c r="F56">
        <v>32441</v>
      </c>
      <c r="G56">
        <v>58.1948793215916</v>
      </c>
      <c r="H56" s="1">
        <v>6.4582934485858702E-16</v>
      </c>
      <c r="I56" t="s">
        <v>172</v>
      </c>
      <c r="J56" t="s">
        <v>173</v>
      </c>
      <c r="K56" s="1">
        <v>6.2764068167685501E-14</v>
      </c>
      <c r="L56" t="s">
        <v>35</v>
      </c>
      <c r="M56" t="str">
        <f>HYPERLINK("http://www.broadinstitute.org/gsea/msigdb/cards/MODY_HIPPOCAMPUS_PRENATAL.html")</f>
        <v>http://www.broadinstitute.org/gsea/msigdb/cards/MODY_HIPPOCAMPUS_PRENATAL.html</v>
      </c>
    </row>
    <row r="57" spans="1:13">
      <c r="A57">
        <v>2921</v>
      </c>
      <c r="B57" t="s">
        <v>174</v>
      </c>
      <c r="C57">
        <v>13</v>
      </c>
      <c r="D57">
        <v>146</v>
      </c>
      <c r="E57">
        <v>86</v>
      </c>
      <c r="F57">
        <v>32441</v>
      </c>
      <c r="G57">
        <v>33.588165020707201</v>
      </c>
      <c r="H57" s="1">
        <v>7.5614304534670697E-16</v>
      </c>
      <c r="I57" t="s">
        <v>175</v>
      </c>
      <c r="J57" t="s">
        <v>176</v>
      </c>
      <c r="K57" s="1">
        <v>7.2015063638820398E-14</v>
      </c>
      <c r="L57" t="s">
        <v>35</v>
      </c>
      <c r="M57" t="str">
        <f>HYPERLINK("http://www.broadinstitute.org/gsea/msigdb/cards/TAKAO_RESPONSE_TO_UVB_RADIATION_UP.html")</f>
        <v>http://www.broadinstitute.org/gsea/msigdb/cards/TAKAO_RESPONSE_TO_UVB_RADIATION_UP.html</v>
      </c>
    </row>
    <row r="58" spans="1:13">
      <c r="A58">
        <v>2697</v>
      </c>
      <c r="B58" t="s">
        <v>177</v>
      </c>
      <c r="C58">
        <v>13</v>
      </c>
      <c r="D58">
        <v>146</v>
      </c>
      <c r="E58">
        <v>87</v>
      </c>
      <c r="F58">
        <v>32441</v>
      </c>
      <c r="G58">
        <v>33.2020941584003</v>
      </c>
      <c r="H58" s="1">
        <v>8.6583228345460403E-16</v>
      </c>
      <c r="I58" t="s">
        <v>178</v>
      </c>
      <c r="J58" t="s">
        <v>179</v>
      </c>
      <c r="K58" s="1">
        <v>8.0844967329623997E-14</v>
      </c>
      <c r="L58" t="s">
        <v>35</v>
      </c>
      <c r="M58" t="str">
        <f>HYPERLINK("http://www.broadinstitute.org/gsea/msigdb/cards/MOOTHA_VOXPHOS.html")</f>
        <v>http://www.broadinstitute.org/gsea/msigdb/cards/MOOTHA_VOXPHOS.html</v>
      </c>
    </row>
    <row r="59" spans="1:13">
      <c r="A59">
        <v>3842</v>
      </c>
      <c r="B59" t="s">
        <v>180</v>
      </c>
      <c r="C59">
        <v>11</v>
      </c>
      <c r="D59">
        <v>146</v>
      </c>
      <c r="E59">
        <v>45</v>
      </c>
      <c r="F59">
        <v>32441</v>
      </c>
      <c r="G59">
        <v>54.315220700152203</v>
      </c>
      <c r="H59" s="1">
        <v>1.2472958911663101E-15</v>
      </c>
      <c r="I59" t="s">
        <v>181</v>
      </c>
      <c r="J59" t="s">
        <v>182</v>
      </c>
      <c r="K59" s="1">
        <v>1.1422351987950001E-13</v>
      </c>
      <c r="L59" t="s">
        <v>35</v>
      </c>
      <c r="M59" t="str">
        <f>HYPERLINK("http://www.broadinstitute.org/gsea/msigdb/cards/NUTT_GBM_VS_AO_GLIOMA_DN.html")</f>
        <v>http://www.broadinstitute.org/gsea/msigdb/cards/NUTT_GBM_VS_AO_GLIOMA_DN.html</v>
      </c>
    </row>
    <row r="60" spans="1:13">
      <c r="A60">
        <v>3558</v>
      </c>
      <c r="B60" t="s">
        <v>183</v>
      </c>
      <c r="C60">
        <v>27</v>
      </c>
      <c r="D60">
        <v>146</v>
      </c>
      <c r="E60">
        <v>863</v>
      </c>
      <c r="F60">
        <v>32441</v>
      </c>
      <c r="G60">
        <v>6.9517532024317799</v>
      </c>
      <c r="H60" s="1">
        <v>3.6501328780467901E-15</v>
      </c>
      <c r="I60" t="s">
        <v>184</v>
      </c>
      <c r="J60" t="s">
        <v>185</v>
      </c>
      <c r="K60" s="1">
        <v>3.27960995570921E-13</v>
      </c>
      <c r="L60" t="s">
        <v>35</v>
      </c>
      <c r="M60" t="str">
        <f>HYPERLINK("http://www.broadinstitute.org/gsea/msigdb/cards/ACEVEDO_LIVER_TUMOR_VS_NORMAL_ADJACENT_TISSUE_UP.html")</f>
        <v>http://www.broadinstitute.org/gsea/msigdb/cards/ACEVEDO_LIVER_TUMOR_VS_NORMAL_ADJACENT_TISSUE_UP.html</v>
      </c>
    </row>
    <row r="61" spans="1:13">
      <c r="A61">
        <v>682</v>
      </c>
      <c r="B61" t="s">
        <v>186</v>
      </c>
      <c r="C61">
        <v>14</v>
      </c>
      <c r="D61">
        <v>146</v>
      </c>
      <c r="E61">
        <v>141</v>
      </c>
      <c r="F61">
        <v>32441</v>
      </c>
      <c r="G61">
        <v>22.062275332750399</v>
      </c>
      <c r="H61" s="1">
        <v>1.17320968714062E-14</v>
      </c>
      <c r="I61" t="s">
        <v>163</v>
      </c>
      <c r="J61" t="s">
        <v>164</v>
      </c>
      <c r="K61" s="1">
        <v>1.03459713521548E-12</v>
      </c>
      <c r="L61" t="s">
        <v>35</v>
      </c>
      <c r="M61" t="str">
        <f>HYPERLINK("http://www.broadinstitute.org/gsea/msigdb/cards/REACTOME_TCA_CYCLE_AND_RESPIRATORY_ELECTRON_TRANSPORT.html")</f>
        <v>http://www.broadinstitute.org/gsea/msigdb/cards/REACTOME_TCA_CYCLE_AND_RESPIRATORY_ELECTRON_TRANSPORT.html</v>
      </c>
    </row>
    <row r="62" spans="1:13">
      <c r="A62">
        <v>1440</v>
      </c>
      <c r="B62" t="s">
        <v>187</v>
      </c>
      <c r="C62">
        <v>13</v>
      </c>
      <c r="D62">
        <v>146</v>
      </c>
      <c r="E62">
        <v>116</v>
      </c>
      <c r="F62">
        <v>32441</v>
      </c>
      <c r="G62">
        <v>24.9015706188002</v>
      </c>
      <c r="H62" s="1">
        <v>2.56755529945831E-14</v>
      </c>
      <c r="I62" t="s">
        <v>188</v>
      </c>
      <c r="J62" t="s">
        <v>189</v>
      </c>
      <c r="K62" s="1">
        <v>2.2230360610946302E-12</v>
      </c>
      <c r="L62" t="s">
        <v>35</v>
      </c>
      <c r="M62" t="str">
        <f>HYPERLINK("http://www.broadinstitute.org/gsea/msigdb/cards/DIAZ_CHRONIC_MEYLOGENOUS_LEUKEMIA_DN.html")</f>
        <v>http://www.broadinstitute.org/gsea/msigdb/cards/DIAZ_CHRONIC_MEYLOGENOUS_LEUKEMIA_DN.html</v>
      </c>
    </row>
    <row r="63" spans="1:13">
      <c r="A63">
        <v>4661</v>
      </c>
      <c r="B63" t="s">
        <v>190</v>
      </c>
      <c r="C63">
        <v>9</v>
      </c>
      <c r="D63">
        <v>146</v>
      </c>
      <c r="E63">
        <v>26</v>
      </c>
      <c r="F63">
        <v>32441</v>
      </c>
      <c r="G63">
        <v>76.914910432033693</v>
      </c>
      <c r="H63" s="1">
        <v>3.62299859429611E-14</v>
      </c>
      <c r="I63" t="s">
        <v>191</v>
      </c>
      <c r="J63" t="s">
        <v>192</v>
      </c>
      <c r="K63" s="1">
        <v>3.08084273322109E-12</v>
      </c>
      <c r="L63" t="s">
        <v>35</v>
      </c>
      <c r="M63" t="str">
        <f>HYPERLINK("http://www.broadinstitute.org/gsea/msigdb/cards/HOLLEMAN_ASPARAGINASE_RESISTANCE_B_ALL_UP.html")</f>
        <v>http://www.broadinstitute.org/gsea/msigdb/cards/HOLLEMAN_ASPARAGINASE_RESISTANCE_B_ALL_UP.html</v>
      </c>
    </row>
    <row r="64" spans="1:13">
      <c r="A64">
        <v>2716</v>
      </c>
      <c r="B64" t="s">
        <v>193</v>
      </c>
      <c r="C64">
        <v>10</v>
      </c>
      <c r="D64">
        <v>146</v>
      </c>
      <c r="E64">
        <v>43</v>
      </c>
      <c r="F64">
        <v>32441</v>
      </c>
      <c r="G64">
        <v>51.6741000318573</v>
      </c>
      <c r="H64" s="1">
        <v>3.9430901040341E-14</v>
      </c>
      <c r="I64" t="s">
        <v>194</v>
      </c>
      <c r="J64" t="s">
        <v>195</v>
      </c>
      <c r="K64" s="1">
        <v>3.2942096623526998E-12</v>
      </c>
      <c r="L64" t="s">
        <v>35</v>
      </c>
      <c r="M64" t="str">
        <f>HYPERLINK("http://www.broadinstitute.org/gsea/msigdb/cards/POMEROY_MEDULLOBLASTOMA_PROGNOSIS_DN.html")</f>
        <v>http://www.broadinstitute.org/gsea/msigdb/cards/POMEROY_MEDULLOBLASTOMA_PROGNOSIS_DN.html</v>
      </c>
    </row>
    <row r="65" spans="1:13">
      <c r="A65">
        <v>2319</v>
      </c>
      <c r="B65" t="s">
        <v>196</v>
      </c>
      <c r="C65">
        <v>27</v>
      </c>
      <c r="D65">
        <v>146</v>
      </c>
      <c r="E65">
        <v>957</v>
      </c>
      <c r="F65">
        <v>32441</v>
      </c>
      <c r="G65">
        <v>6.2689268690685802</v>
      </c>
      <c r="H65" s="1">
        <v>4.06361091612868E-14</v>
      </c>
      <c r="I65" t="s">
        <v>197</v>
      </c>
      <c r="J65" t="s">
        <v>198</v>
      </c>
      <c r="K65" s="1">
        <v>3.3363646866559898E-12</v>
      </c>
      <c r="L65" t="s">
        <v>35</v>
      </c>
      <c r="M65" t="str">
        <f>HYPERLINK("http://www.broadinstitute.org/gsea/msigdb/cards/LOPEZ_MBD_TARGETS.html")</f>
        <v>http://www.broadinstitute.org/gsea/msigdb/cards/LOPEZ_MBD_TARGETS.html</v>
      </c>
    </row>
    <row r="66" spans="1:13">
      <c r="A66">
        <v>121</v>
      </c>
      <c r="B66" t="s">
        <v>199</v>
      </c>
      <c r="C66">
        <v>13</v>
      </c>
      <c r="D66">
        <v>146</v>
      </c>
      <c r="E66">
        <v>135</v>
      </c>
      <c r="F66">
        <v>32441</v>
      </c>
      <c r="G66">
        <v>21.3969051243024</v>
      </c>
      <c r="H66" s="1">
        <v>1.5480232660013201E-13</v>
      </c>
      <c r="I66" t="s">
        <v>200</v>
      </c>
      <c r="J66" t="s">
        <v>201</v>
      </c>
      <c r="K66" s="1">
        <v>1.24943843944039E-11</v>
      </c>
      <c r="L66" t="s">
        <v>35</v>
      </c>
      <c r="M66" t="str">
        <f>HYPERLINK("http://www.broadinstitute.org/gsea/msigdb/cards/KEGG_OXIDATIVE_PHOSPHORYLATION.html")</f>
        <v>http://www.broadinstitute.org/gsea/msigdb/cards/KEGG_OXIDATIVE_PHOSPHORYLATION.html</v>
      </c>
    </row>
    <row r="67" spans="1:13">
      <c r="A67">
        <v>4668</v>
      </c>
      <c r="B67" t="s">
        <v>202</v>
      </c>
      <c r="C67">
        <v>8</v>
      </c>
      <c r="D67">
        <v>146</v>
      </c>
      <c r="E67">
        <v>19</v>
      </c>
      <c r="F67">
        <v>32441</v>
      </c>
      <c r="G67">
        <v>93.557317952415303</v>
      </c>
      <c r="H67" s="1">
        <v>2.7626981602491299E-13</v>
      </c>
      <c r="I67" t="s">
        <v>203</v>
      </c>
      <c r="J67" t="s">
        <v>204</v>
      </c>
      <c r="K67" s="1">
        <v>2.1926614398510599E-11</v>
      </c>
      <c r="L67" t="s">
        <v>35</v>
      </c>
      <c r="M67" t="str">
        <f>HYPERLINK("http://www.broadinstitute.org/gsea/msigdb/cards/HOLLEMAN_VINCRISTINE_RESISTANCE_ALL_DN.html")</f>
        <v>http://www.broadinstitute.org/gsea/msigdb/cards/HOLLEMAN_VINCRISTINE_RESISTANCE_ALL_DN.html</v>
      </c>
    </row>
    <row r="68" spans="1:13">
      <c r="A68">
        <v>4218</v>
      </c>
      <c r="B68" t="s">
        <v>205</v>
      </c>
      <c r="C68">
        <v>17</v>
      </c>
      <c r="D68">
        <v>146</v>
      </c>
      <c r="E68">
        <v>335</v>
      </c>
      <c r="F68">
        <v>32441</v>
      </c>
      <c r="G68">
        <v>11.2757513800859</v>
      </c>
      <c r="H68" s="1">
        <v>4.7449516932057498E-13</v>
      </c>
      <c r="I68" t="s">
        <v>206</v>
      </c>
      <c r="J68" t="s">
        <v>207</v>
      </c>
      <c r="K68" s="1">
        <v>3.7041737644337298E-11</v>
      </c>
      <c r="L68" t="s">
        <v>35</v>
      </c>
      <c r="M68" t="str">
        <f>HYPERLINK("http://www.broadinstitute.org/gsea/msigdb/cards/WONG_EMBRYONIC_STEM_CELL_CORE.html")</f>
        <v>http://www.broadinstitute.org/gsea/msigdb/cards/WONG_EMBRYONIC_STEM_CELL_CORE.html</v>
      </c>
    </row>
    <row r="69" spans="1:13">
      <c r="A69">
        <v>1353</v>
      </c>
      <c r="B69" t="s">
        <v>208</v>
      </c>
      <c r="C69">
        <v>20</v>
      </c>
      <c r="D69">
        <v>146</v>
      </c>
      <c r="E69">
        <v>526</v>
      </c>
      <c r="F69">
        <v>32441</v>
      </c>
      <c r="G69">
        <v>8.4486171154747591</v>
      </c>
      <c r="H69" s="1">
        <v>6.2155693439731396E-13</v>
      </c>
      <c r="I69" t="s">
        <v>209</v>
      </c>
      <c r="J69" t="s">
        <v>210</v>
      </c>
      <c r="K69" s="1">
        <v>4.7739582606451698E-11</v>
      </c>
      <c r="L69" t="s">
        <v>35</v>
      </c>
      <c r="M69" t="str">
        <f>HYPERLINK("http://www.broadinstitute.org/gsea/msigdb/cards/ONKEN_UVEAL_MELANOMA_DN.html")</f>
        <v>http://www.broadinstitute.org/gsea/msigdb/cards/ONKEN_UVEAL_MELANOMA_DN.html</v>
      </c>
    </row>
    <row r="70" spans="1:13">
      <c r="A70">
        <v>4413</v>
      </c>
      <c r="B70" t="s">
        <v>211</v>
      </c>
      <c r="C70">
        <v>11</v>
      </c>
      <c r="D70">
        <v>146</v>
      </c>
      <c r="E70">
        <v>89</v>
      </c>
      <c r="F70">
        <v>32441</v>
      </c>
      <c r="G70">
        <v>27.462752039402801</v>
      </c>
      <c r="H70" s="1">
        <v>1.00343231421466E-12</v>
      </c>
      <c r="I70" t="s">
        <v>212</v>
      </c>
      <c r="J70" t="s">
        <v>213</v>
      </c>
      <c r="K70" s="1">
        <v>7.5846740956987398E-11</v>
      </c>
      <c r="L70" t="s">
        <v>35</v>
      </c>
      <c r="M70" t="str">
        <f>HYPERLINK("http://www.broadinstitute.org/gsea/msigdb/cards/LI_DCP2_BOUND_MRNA.html")</f>
        <v>http://www.broadinstitute.org/gsea/msigdb/cards/LI_DCP2_BOUND_MRNA.html</v>
      </c>
    </row>
    <row r="71" spans="1:13">
      <c r="A71">
        <v>4255</v>
      </c>
      <c r="B71" t="s">
        <v>214</v>
      </c>
      <c r="C71">
        <v>13</v>
      </c>
      <c r="D71">
        <v>146</v>
      </c>
      <c r="E71">
        <v>172</v>
      </c>
      <c r="F71">
        <v>32441</v>
      </c>
      <c r="G71">
        <v>16.794082510353601</v>
      </c>
      <c r="H71" s="1">
        <v>2.7335616573727198E-12</v>
      </c>
      <c r="I71" t="s">
        <v>215</v>
      </c>
      <c r="J71" t="s">
        <v>216</v>
      </c>
      <c r="K71" s="1">
        <v>2.03394072068889E-10</v>
      </c>
      <c r="L71" t="s">
        <v>35</v>
      </c>
      <c r="M71" t="str">
        <f>HYPERLINK("http://www.broadinstitute.org/gsea/msigdb/cards/YAO_TEMPORAL_RESPONSE_TO_PROGESTERONE_CLUSTER_13.html")</f>
        <v>http://www.broadinstitute.org/gsea/msigdb/cards/YAO_TEMPORAL_RESPONSE_TO_PROGESTERONE_CLUSTER_13.html</v>
      </c>
    </row>
    <row r="72" spans="1:13">
      <c r="A72">
        <v>4376</v>
      </c>
      <c r="B72" t="s">
        <v>217</v>
      </c>
      <c r="C72">
        <v>11</v>
      </c>
      <c r="D72">
        <v>146</v>
      </c>
      <c r="E72">
        <v>100</v>
      </c>
      <c r="F72">
        <v>32441</v>
      </c>
      <c r="G72">
        <v>24.441849315068499</v>
      </c>
      <c r="H72" s="1">
        <v>3.2153684640502001E-12</v>
      </c>
      <c r="I72" t="s">
        <v>218</v>
      </c>
      <c r="J72" t="s">
        <v>219</v>
      </c>
      <c r="K72" s="1">
        <v>2.3556284039703201E-10</v>
      </c>
      <c r="L72" t="s">
        <v>35</v>
      </c>
      <c r="M72" t="str">
        <f>HYPERLINK("http://www.broadinstitute.org/gsea/msigdb/cards/CHICAS_RB1_TARGETS_LOW_SERUM.html")</f>
        <v>http://www.broadinstitute.org/gsea/msigdb/cards/CHICAS_RB1_TARGETS_LOW_SERUM.html</v>
      </c>
    </row>
    <row r="73" spans="1:13">
      <c r="A73">
        <v>4508</v>
      </c>
      <c r="B73" t="s">
        <v>220</v>
      </c>
      <c r="C73">
        <v>10</v>
      </c>
      <c r="D73">
        <v>146</v>
      </c>
      <c r="E73">
        <v>73</v>
      </c>
      <c r="F73">
        <v>32441</v>
      </c>
      <c r="G73">
        <v>30.438168511915901</v>
      </c>
      <c r="H73" s="1">
        <v>4.3884980802340203E-12</v>
      </c>
      <c r="I73" t="s">
        <v>221</v>
      </c>
      <c r="J73" t="s">
        <v>222</v>
      </c>
      <c r="K73" s="1">
        <v>3.166367857284E-10</v>
      </c>
      <c r="L73" t="s">
        <v>35</v>
      </c>
      <c r="M73" t="str">
        <f>HYPERLINK("http://www.broadinstitute.org/gsea/msigdb/cards/BILANGES_RAPAMYCIN_SENSITIVE_VIA_TSC1_AND_TSC2.html")</f>
        <v>http://www.broadinstitute.org/gsea/msigdb/cards/BILANGES_RAPAMYCIN_SENSITIVE_VIA_TSC1_AND_TSC2.html</v>
      </c>
    </row>
    <row r="74" spans="1:13">
      <c r="A74">
        <v>2638</v>
      </c>
      <c r="B74" t="s">
        <v>223</v>
      </c>
      <c r="C74">
        <v>17</v>
      </c>
      <c r="D74">
        <v>146</v>
      </c>
      <c r="E74">
        <v>398</v>
      </c>
      <c r="F74">
        <v>32441</v>
      </c>
      <c r="G74">
        <v>9.4908962621325799</v>
      </c>
      <c r="H74" s="1">
        <v>6.52972980695987E-12</v>
      </c>
      <c r="I74" t="s">
        <v>224</v>
      </c>
      <c r="J74" t="s">
        <v>225</v>
      </c>
      <c r="K74" s="1">
        <v>4.64098109563327E-10</v>
      </c>
      <c r="L74" t="s">
        <v>35</v>
      </c>
      <c r="M74" t="str">
        <f>HYPERLINK("http://www.broadinstitute.org/gsea/msigdb/cards/TARTE_PLASMA_CELL_VS_PLASMABLAST_UP.html")</f>
        <v>http://www.broadinstitute.org/gsea/msigdb/cards/TARTE_PLASMA_CELL_VS_PLASMABLAST_UP.html</v>
      </c>
    </row>
    <row r="75" spans="1:13">
      <c r="A75">
        <v>4642</v>
      </c>
      <c r="B75" t="s">
        <v>226</v>
      </c>
      <c r="C75">
        <v>11</v>
      </c>
      <c r="D75">
        <v>146</v>
      </c>
      <c r="E75">
        <v>111</v>
      </c>
      <c r="F75">
        <v>32441</v>
      </c>
      <c r="G75">
        <v>22.019684067629299</v>
      </c>
      <c r="H75" s="1">
        <v>9.1434115309354306E-12</v>
      </c>
      <c r="I75" t="s">
        <v>227</v>
      </c>
      <c r="J75" t="s">
        <v>228</v>
      </c>
      <c r="K75" s="1">
        <v>6.4030773103403703E-10</v>
      </c>
      <c r="L75" t="s">
        <v>35</v>
      </c>
      <c r="M75" t="str">
        <f>HYPERLINK("http://www.broadinstitute.org/gsea/msigdb/cards/BOUDOUKHA_BOUND_BY_IGF2BP2.html")</f>
        <v>http://www.broadinstitute.org/gsea/msigdb/cards/BOUDOUKHA_BOUND_BY_IGF2BP2.html</v>
      </c>
    </row>
    <row r="76" spans="1:13">
      <c r="A76">
        <v>2617</v>
      </c>
      <c r="B76" t="s">
        <v>229</v>
      </c>
      <c r="C76">
        <v>9</v>
      </c>
      <c r="D76">
        <v>146</v>
      </c>
      <c r="E76">
        <v>54</v>
      </c>
      <c r="F76">
        <v>32441</v>
      </c>
      <c r="G76">
        <v>37.033105022831002</v>
      </c>
      <c r="H76" s="1">
        <v>1.0921507130400801E-11</v>
      </c>
      <c r="I76" t="s">
        <v>230</v>
      </c>
      <c r="J76" t="s">
        <v>231</v>
      </c>
      <c r="K76" s="1">
        <v>7.53742274709689E-10</v>
      </c>
      <c r="L76" t="s">
        <v>35</v>
      </c>
      <c r="M76" t="str">
        <f>HYPERLINK("http://www.broadinstitute.org/gsea/msigdb/cards/LEE_LIVER_CANCER_MYC_UP.html")</f>
        <v>http://www.broadinstitute.org/gsea/msigdb/cards/LEE_LIVER_CANCER_MYC_UP.html</v>
      </c>
    </row>
    <row r="77" spans="1:13">
      <c r="A77">
        <v>3772</v>
      </c>
      <c r="B77" t="s">
        <v>232</v>
      </c>
      <c r="C77">
        <v>17</v>
      </c>
      <c r="D77">
        <v>146</v>
      </c>
      <c r="E77">
        <v>429</v>
      </c>
      <c r="F77">
        <v>32441</v>
      </c>
      <c r="G77">
        <v>8.80507392151228</v>
      </c>
      <c r="H77" s="1">
        <v>2.0235974965782901E-11</v>
      </c>
      <c r="I77" t="s">
        <v>233</v>
      </c>
      <c r="J77" t="s">
        <v>234</v>
      </c>
      <c r="K77" s="1">
        <v>1.3766244683865501E-9</v>
      </c>
      <c r="L77" t="s">
        <v>35</v>
      </c>
      <c r="M77" t="str">
        <f>HYPERLINK("http://www.broadinstitute.org/gsea/msigdb/cards/MOOTHA_HUMAN_MITODB_6_2002.html")</f>
        <v>http://www.broadinstitute.org/gsea/msigdb/cards/MOOTHA_HUMAN_MITODB_6_2002.html</v>
      </c>
    </row>
    <row r="78" spans="1:13">
      <c r="A78">
        <v>3002</v>
      </c>
      <c r="B78" t="s">
        <v>235</v>
      </c>
      <c r="C78">
        <v>7</v>
      </c>
      <c r="D78">
        <v>146</v>
      </c>
      <c r="E78">
        <v>20</v>
      </c>
      <c r="F78">
        <v>32441</v>
      </c>
      <c r="G78">
        <v>77.769520547945206</v>
      </c>
      <c r="H78" s="1">
        <v>2.5821154558216201E-11</v>
      </c>
      <c r="I78" t="s">
        <v>236</v>
      </c>
      <c r="J78" t="s">
        <v>237</v>
      </c>
      <c r="K78" s="1">
        <v>1.7318357465665501E-9</v>
      </c>
      <c r="L78" t="s">
        <v>35</v>
      </c>
      <c r="M78" t="str">
        <f>HYPERLINK("http://www.broadinstitute.org/gsea/msigdb/cards/HEDENFALK_BREAST_CANCER_BRACX_UP.html")</f>
        <v>http://www.broadinstitute.org/gsea/msigdb/cards/HEDENFALK_BREAST_CANCER_BRACX_UP.html</v>
      </c>
    </row>
    <row r="79" spans="1:13">
      <c r="A79">
        <v>1442</v>
      </c>
      <c r="B79" t="s">
        <v>238</v>
      </c>
      <c r="C79">
        <v>6</v>
      </c>
      <c r="D79">
        <v>146</v>
      </c>
      <c r="E79">
        <v>9</v>
      </c>
      <c r="F79">
        <v>32441</v>
      </c>
      <c r="G79">
        <v>148.13242009132401</v>
      </c>
      <c r="H79" s="1">
        <v>3.5305700603345899E-11</v>
      </c>
      <c r="I79" t="s">
        <v>239</v>
      </c>
      <c r="J79" t="s">
        <v>240</v>
      </c>
      <c r="K79" s="1">
        <v>2.33234132164298E-9</v>
      </c>
      <c r="L79" t="s">
        <v>35</v>
      </c>
      <c r="M79" t="str">
        <f>HYPERLINK("http://www.broadinstitute.org/gsea/msigdb/cards/CASORELLI_APL_SECONDARY_VS_DE_NOVO_DN.html")</f>
        <v>http://www.broadinstitute.org/gsea/msigdb/cards/CASORELLI_APL_SECONDARY_VS_DE_NOVO_DN.html</v>
      </c>
    </row>
    <row r="80" spans="1:13">
      <c r="A80">
        <v>3362</v>
      </c>
      <c r="B80" t="s">
        <v>241</v>
      </c>
      <c r="C80">
        <v>10</v>
      </c>
      <c r="D80">
        <v>146</v>
      </c>
      <c r="E80">
        <v>92</v>
      </c>
      <c r="F80">
        <v>32441</v>
      </c>
      <c r="G80">
        <v>24.152025014889801</v>
      </c>
      <c r="H80" s="1">
        <v>3.5754077379239299E-11</v>
      </c>
      <c r="I80" t="s">
        <v>242</v>
      </c>
      <c r="J80" t="s">
        <v>243</v>
      </c>
      <c r="K80" s="1">
        <v>2.33234132164298E-9</v>
      </c>
      <c r="L80" t="s">
        <v>35</v>
      </c>
      <c r="M80" t="str">
        <f>HYPERLINK("http://www.broadinstitute.org/gsea/msigdb/cards/HILLION_HMGA1B_TARGETS.html")</f>
        <v>http://www.broadinstitute.org/gsea/msigdb/cards/HILLION_HMGA1B_TARGETS.html</v>
      </c>
    </row>
    <row r="81" spans="1:13">
      <c r="A81">
        <v>153</v>
      </c>
      <c r="B81" t="s">
        <v>244</v>
      </c>
      <c r="C81">
        <v>12</v>
      </c>
      <c r="D81">
        <v>146</v>
      </c>
      <c r="E81">
        <v>169</v>
      </c>
      <c r="F81">
        <v>32441</v>
      </c>
      <c r="G81">
        <v>15.7774175245197</v>
      </c>
      <c r="H81" s="1">
        <v>3.8505612574019897E-11</v>
      </c>
      <c r="I81" t="s">
        <v>245</v>
      </c>
      <c r="J81" t="s">
        <v>246</v>
      </c>
      <c r="K81" s="1">
        <v>2.47788820374977E-9</v>
      </c>
      <c r="L81" t="s">
        <v>35</v>
      </c>
      <c r="M81" t="str">
        <f>HYPERLINK("http://www.broadinstitute.org/gsea/msigdb/cards/KEGG_ALZHEIMERS_DISEASE.html")</f>
        <v>http://www.broadinstitute.org/gsea/msigdb/cards/KEGG_ALZHEIMERS_DISEASE.html</v>
      </c>
    </row>
    <row r="82" spans="1:13">
      <c r="A82">
        <v>154</v>
      </c>
      <c r="B82" t="s">
        <v>247</v>
      </c>
      <c r="C82">
        <v>11</v>
      </c>
      <c r="D82">
        <v>146</v>
      </c>
      <c r="E82">
        <v>133</v>
      </c>
      <c r="F82">
        <v>32441</v>
      </c>
      <c r="G82">
        <v>18.3773303120816</v>
      </c>
      <c r="H82" s="1">
        <v>5.60232181409614E-11</v>
      </c>
      <c r="I82" t="s">
        <v>248</v>
      </c>
      <c r="J82" t="s">
        <v>249</v>
      </c>
      <c r="K82" s="1">
        <v>3.5571008638301099E-9</v>
      </c>
      <c r="L82" t="s">
        <v>35</v>
      </c>
      <c r="M82" t="str">
        <f>HYPERLINK("http://www.broadinstitute.org/gsea/msigdb/cards/KEGG_PARKINSONS_DISEASE.html")</f>
        <v>http://www.broadinstitute.org/gsea/msigdb/cards/KEGG_PARKINSONS_DISEASE.html</v>
      </c>
    </row>
    <row r="83" spans="1:13">
      <c r="A83">
        <v>156</v>
      </c>
      <c r="B83" t="s">
        <v>250</v>
      </c>
      <c r="C83">
        <v>12</v>
      </c>
      <c r="D83">
        <v>146</v>
      </c>
      <c r="E83">
        <v>185</v>
      </c>
      <c r="F83">
        <v>32441</v>
      </c>
      <c r="G83">
        <v>14.4128841169937</v>
      </c>
      <c r="H83" s="1">
        <v>1.03259055528994E-10</v>
      </c>
      <c r="I83" t="s">
        <v>251</v>
      </c>
      <c r="J83" t="s">
        <v>252</v>
      </c>
      <c r="K83" s="1">
        <v>6.46999503196147E-9</v>
      </c>
      <c r="L83" t="s">
        <v>35</v>
      </c>
      <c r="M83" t="str">
        <f>HYPERLINK("http://www.broadinstitute.org/gsea/msigdb/cards/KEGG_HUNTINGTONS_DISEASE.html")</f>
        <v>http://www.broadinstitute.org/gsea/msigdb/cards/KEGG_HUNTINGTONS_DISEASE.html</v>
      </c>
    </row>
    <row r="84" spans="1:13">
      <c r="A84">
        <v>3983</v>
      </c>
      <c r="B84" t="s">
        <v>253</v>
      </c>
      <c r="C84">
        <v>8</v>
      </c>
      <c r="D84">
        <v>146</v>
      </c>
      <c r="E84">
        <v>47</v>
      </c>
      <c r="F84">
        <v>32441</v>
      </c>
      <c r="G84">
        <v>37.8210434275721</v>
      </c>
      <c r="H84" s="1">
        <v>1.3633782385606799E-10</v>
      </c>
      <c r="I84" t="s">
        <v>254</v>
      </c>
      <c r="J84" t="s">
        <v>255</v>
      </c>
      <c r="K84" s="1">
        <v>8.4316976260077399E-9</v>
      </c>
      <c r="L84" t="s">
        <v>35</v>
      </c>
      <c r="M84" t="str">
        <f>HYPERLINK("http://www.broadinstitute.org/gsea/msigdb/cards/IRITANI_MAD1_TARGETS_DN.html")</f>
        <v>http://www.broadinstitute.org/gsea/msigdb/cards/IRITANI_MAD1_TARGETS_DN.html</v>
      </c>
    </row>
    <row r="85" spans="1:13">
      <c r="A85">
        <v>3219</v>
      </c>
      <c r="B85" t="s">
        <v>256</v>
      </c>
      <c r="C85">
        <v>8</v>
      </c>
      <c r="D85">
        <v>146</v>
      </c>
      <c r="E85">
        <v>48</v>
      </c>
      <c r="F85">
        <v>32441</v>
      </c>
      <c r="G85">
        <v>37.033105022831101</v>
      </c>
      <c r="H85" s="1">
        <v>1.5846247256508701E-10</v>
      </c>
      <c r="I85" t="s">
        <v>257</v>
      </c>
      <c r="J85" t="s">
        <v>258</v>
      </c>
      <c r="K85" s="1">
        <v>9.6743371071146593E-9</v>
      </c>
      <c r="L85" t="s">
        <v>35</v>
      </c>
      <c r="M85" t="str">
        <f>HYPERLINK("http://www.broadinstitute.org/gsea/msigdb/cards/ABE_INNER_EAR.html")</f>
        <v>http://www.broadinstitute.org/gsea/msigdb/cards/ABE_INNER_EAR.html</v>
      </c>
    </row>
    <row r="86" spans="1:13">
      <c r="A86">
        <v>2018</v>
      </c>
      <c r="B86" t="s">
        <v>259</v>
      </c>
      <c r="C86">
        <v>7</v>
      </c>
      <c r="D86">
        <v>146</v>
      </c>
      <c r="E86">
        <v>28</v>
      </c>
      <c r="F86">
        <v>32441</v>
      </c>
      <c r="G86">
        <v>55.549657534246599</v>
      </c>
      <c r="H86" s="1">
        <v>1.89768825614632E-10</v>
      </c>
      <c r="I86" t="s">
        <v>260</v>
      </c>
      <c r="J86" t="s">
        <v>261</v>
      </c>
      <c r="K86" s="1">
        <v>1.1438976551606E-8</v>
      </c>
      <c r="L86" t="s">
        <v>35</v>
      </c>
      <c r="M86" t="str">
        <f>HYPERLINK("http://www.broadinstitute.org/gsea/msigdb/cards/LUI_THYROID_CANCER_CLUSTER_3.html")</f>
        <v>http://www.broadinstitute.org/gsea/msigdb/cards/LUI_THYROID_CANCER_CLUSTER_3.html</v>
      </c>
    </row>
    <row r="87" spans="1:13">
      <c r="A87">
        <v>2307</v>
      </c>
      <c r="B87" t="s">
        <v>262</v>
      </c>
      <c r="C87">
        <v>23</v>
      </c>
      <c r="D87">
        <v>146</v>
      </c>
      <c r="E87">
        <v>1024</v>
      </c>
      <c r="F87">
        <v>32441</v>
      </c>
      <c r="G87">
        <v>4.9907895440924701</v>
      </c>
      <c r="H87" s="1">
        <v>3.1481972820578801E-10</v>
      </c>
      <c r="I87" t="s">
        <v>263</v>
      </c>
      <c r="J87" t="s">
        <v>264</v>
      </c>
      <c r="K87" s="1">
        <v>1.87396443214495E-8</v>
      </c>
      <c r="L87" t="s">
        <v>35</v>
      </c>
      <c r="M87" t="str">
        <f>HYPERLINK("http://www.broadinstitute.org/gsea/msigdb/cards/NUYTTEN_EZH2_TARGETS_DN.html")</f>
        <v>http://www.broadinstitute.org/gsea/msigdb/cards/NUYTTEN_EZH2_TARGETS_DN.html</v>
      </c>
    </row>
    <row r="88" spans="1:13">
      <c r="A88">
        <v>2335</v>
      </c>
      <c r="B88" t="s">
        <v>265</v>
      </c>
      <c r="C88">
        <v>8</v>
      </c>
      <c r="D88">
        <v>146</v>
      </c>
      <c r="E88">
        <v>57</v>
      </c>
      <c r="F88">
        <v>32441</v>
      </c>
      <c r="G88">
        <v>31.185772650805099</v>
      </c>
      <c r="H88" s="1">
        <v>5.4428233863860204E-10</v>
      </c>
      <c r="I88" t="s">
        <v>266</v>
      </c>
      <c r="J88" t="s">
        <v>267</v>
      </c>
      <c r="K88" s="1">
        <v>3.19984258839139E-8</v>
      </c>
      <c r="L88" t="s">
        <v>35</v>
      </c>
      <c r="M88" t="str">
        <f>HYPERLINK("http://www.broadinstitute.org/gsea/msigdb/cards/TONG_INTERACT_WITH_PTTG1.html")</f>
        <v>http://www.broadinstitute.org/gsea/msigdb/cards/TONG_INTERACT_WITH_PTTG1.html</v>
      </c>
    </row>
    <row r="89" spans="1:13">
      <c r="A89">
        <v>2025</v>
      </c>
      <c r="B89" t="s">
        <v>268</v>
      </c>
      <c r="C89">
        <v>7</v>
      </c>
      <c r="D89">
        <v>146</v>
      </c>
      <c r="E89">
        <v>34</v>
      </c>
      <c r="F89">
        <v>32441</v>
      </c>
      <c r="G89">
        <v>45.746776792908904</v>
      </c>
      <c r="H89" s="1">
        <v>6.2038504396658601E-10</v>
      </c>
      <c r="I89" t="s">
        <v>269</v>
      </c>
      <c r="J89" t="s">
        <v>270</v>
      </c>
      <c r="K89" s="1">
        <v>3.6027726577669299E-8</v>
      </c>
      <c r="L89" t="s">
        <v>35</v>
      </c>
      <c r="M89" t="str">
        <f>HYPERLINK("http://www.broadinstitute.org/gsea/msigdb/cards/LUI_TARGETS_OF_PAX8_PPARG_FUSION.html")</f>
        <v>http://www.broadinstitute.org/gsea/msigdb/cards/LUI_TARGETS_OF_PAX8_PPARG_FUSION.html</v>
      </c>
    </row>
    <row r="90" spans="1:13">
      <c r="A90">
        <v>3686</v>
      </c>
      <c r="B90" t="s">
        <v>271</v>
      </c>
      <c r="C90">
        <v>10</v>
      </c>
      <c r="D90">
        <v>146</v>
      </c>
      <c r="E90">
        <v>127</v>
      </c>
      <c r="F90">
        <v>32441</v>
      </c>
      <c r="G90">
        <v>17.4959551288966</v>
      </c>
      <c r="H90" s="1">
        <v>6.7380661659909697E-10</v>
      </c>
      <c r="I90" t="s">
        <v>272</v>
      </c>
      <c r="J90" t="s">
        <v>273</v>
      </c>
      <c r="K90" s="1">
        <v>3.8658639858372299E-8</v>
      </c>
      <c r="L90" t="s">
        <v>35</v>
      </c>
      <c r="M90" t="str">
        <f>HYPERLINK("http://www.broadinstitute.org/gsea/msigdb/cards/BHATI_G2M_ARREST_BY_2METHOXYESTRADIOL_DN.html")</f>
        <v>http://www.broadinstitute.org/gsea/msigdb/cards/BHATI_G2M_ARREST_BY_2METHOXYESTRADIOL_DN.html</v>
      </c>
    </row>
    <row r="91" spans="1:13">
      <c r="A91">
        <v>3156</v>
      </c>
      <c r="B91" t="s">
        <v>274</v>
      </c>
      <c r="C91">
        <v>16</v>
      </c>
      <c r="D91">
        <v>146</v>
      </c>
      <c r="E91">
        <v>487</v>
      </c>
      <c r="F91">
        <v>32441</v>
      </c>
      <c r="G91">
        <v>7.3001603330426699</v>
      </c>
      <c r="H91" s="1">
        <v>1.1300919127823E-9</v>
      </c>
      <c r="I91" t="s">
        <v>275</v>
      </c>
      <c r="J91" t="s">
        <v>276</v>
      </c>
      <c r="K91" s="1">
        <v>6.4065448674634606E-8</v>
      </c>
      <c r="L91" t="s">
        <v>35</v>
      </c>
      <c r="M91" t="str">
        <f>HYPERLINK("http://www.broadinstitute.org/gsea/msigdb/cards/RODWELL_AGING_KIDNEY_UP.html")</f>
        <v>http://www.broadinstitute.org/gsea/msigdb/cards/RODWELL_AGING_KIDNEY_UP.html</v>
      </c>
    </row>
    <row r="92" spans="1:13">
      <c r="A92">
        <v>3137</v>
      </c>
      <c r="B92" t="s">
        <v>277</v>
      </c>
      <c r="C92">
        <v>8</v>
      </c>
      <c r="D92">
        <v>146</v>
      </c>
      <c r="E92">
        <v>69</v>
      </c>
      <c r="F92">
        <v>32441</v>
      </c>
      <c r="G92">
        <v>25.7621600158825</v>
      </c>
      <c r="H92" s="1">
        <v>2.1687653673631401E-9</v>
      </c>
      <c r="I92" t="s">
        <v>278</v>
      </c>
      <c r="J92" t="s">
        <v>279</v>
      </c>
      <c r="K92" s="1">
        <v>1.21501890345686E-7</v>
      </c>
      <c r="L92" t="s">
        <v>35</v>
      </c>
      <c r="M92" t="str">
        <f>HYPERLINK("http://www.broadinstitute.org/gsea/msigdb/cards/ZHANG_RESPONSE_TO_CANTHARIDIN_DN.html")</f>
        <v>http://www.broadinstitute.org/gsea/msigdb/cards/ZHANG_RESPONSE_TO_CANTHARIDIN_DN.html</v>
      </c>
    </row>
    <row r="93" spans="1:13">
      <c r="A93">
        <v>2737</v>
      </c>
      <c r="B93" t="s">
        <v>280</v>
      </c>
      <c r="C93">
        <v>10</v>
      </c>
      <c r="D93">
        <v>146</v>
      </c>
      <c r="E93">
        <v>157</v>
      </c>
      <c r="F93">
        <v>32441</v>
      </c>
      <c r="G93">
        <v>14.152778989617</v>
      </c>
      <c r="H93" s="1">
        <v>4.6317698364041798E-9</v>
      </c>
      <c r="I93" t="s">
        <v>281</v>
      </c>
      <c r="J93" t="s">
        <v>282</v>
      </c>
      <c r="K93" s="1">
        <v>2.5647079024368198E-7</v>
      </c>
      <c r="L93" t="s">
        <v>35</v>
      </c>
      <c r="M93" t="str">
        <f>HYPERLINK("http://www.broadinstitute.org/gsea/msigdb/cards/NING_CHRONIC_OBSTRUCTIVE_PULMONARY_DISEASE_UP.html")</f>
        <v>http://www.broadinstitute.org/gsea/msigdb/cards/NING_CHRONIC_OBSTRUCTIVE_PULMONARY_DISEASE_UP.html</v>
      </c>
    </row>
    <row r="94" spans="1:13">
      <c r="A94">
        <v>1604</v>
      </c>
      <c r="B94" t="s">
        <v>283</v>
      </c>
      <c r="C94">
        <v>6</v>
      </c>
      <c r="D94">
        <v>146</v>
      </c>
      <c r="E94">
        <v>27</v>
      </c>
      <c r="F94">
        <v>32441</v>
      </c>
      <c r="G94">
        <v>49.377473363774698</v>
      </c>
      <c r="H94" s="1">
        <v>7.3112483819782398E-9</v>
      </c>
      <c r="I94" t="s">
        <v>284</v>
      </c>
      <c r="J94" t="s">
        <v>285</v>
      </c>
      <c r="K94" s="1">
        <v>3.9973293415823798E-7</v>
      </c>
      <c r="L94" t="s">
        <v>35</v>
      </c>
      <c r="M94" t="str">
        <f>HYPERLINK("http://www.broadinstitute.org/gsea/msigdb/cards/TIEN_INTESTINE_PROBIOTICS_2HR_UP.html")</f>
        <v>http://www.broadinstitute.org/gsea/msigdb/cards/TIEN_INTESTINE_PROBIOTICS_2HR_UP.html</v>
      </c>
    </row>
    <row r="95" spans="1:13">
      <c r="A95">
        <v>3462</v>
      </c>
      <c r="B95" t="s">
        <v>286</v>
      </c>
      <c r="C95">
        <v>11</v>
      </c>
      <c r="D95">
        <v>146</v>
      </c>
      <c r="E95">
        <v>217</v>
      </c>
      <c r="F95">
        <v>32441</v>
      </c>
      <c r="G95">
        <v>11.2635250299855</v>
      </c>
      <c r="H95" s="1">
        <v>7.3869168849065299E-9</v>
      </c>
      <c r="I95" t="s">
        <v>287</v>
      </c>
      <c r="J95" t="s">
        <v>288</v>
      </c>
      <c r="K95" s="1">
        <v>3.9973293415823798E-7</v>
      </c>
      <c r="L95" t="s">
        <v>35</v>
      </c>
      <c r="M95" t="str">
        <f>HYPERLINK("http://www.broadinstitute.org/gsea/msigdb/cards/WONG_MITOCHONDRIA_GENE_MODULE.html")</f>
        <v>http://www.broadinstitute.org/gsea/msigdb/cards/WONG_MITOCHONDRIA_GENE_MODULE.html</v>
      </c>
    </row>
    <row r="96" spans="1:13">
      <c r="A96">
        <v>2431</v>
      </c>
      <c r="B96" t="s">
        <v>289</v>
      </c>
      <c r="C96">
        <v>11</v>
      </c>
      <c r="D96">
        <v>146</v>
      </c>
      <c r="E96">
        <v>230</v>
      </c>
      <c r="F96">
        <v>32441</v>
      </c>
      <c r="G96">
        <v>10.626891006551499</v>
      </c>
      <c r="H96" s="1">
        <v>1.3113116790809801E-8</v>
      </c>
      <c r="I96" t="s">
        <v>290</v>
      </c>
      <c r="J96" t="s">
        <v>291</v>
      </c>
      <c r="K96" s="1">
        <v>7.0162541750377895E-7</v>
      </c>
      <c r="L96" t="s">
        <v>35</v>
      </c>
      <c r="M96" t="str">
        <f>HYPERLINK("http://www.broadinstitute.org/gsea/msigdb/cards/BENPORATH_MYC_TARGETS_WITH_EBOX.html")</f>
        <v>http://www.broadinstitute.org/gsea/msigdb/cards/BENPORATH_MYC_TARGETS_WITH_EBOX.html</v>
      </c>
    </row>
    <row r="97" spans="1:13">
      <c r="A97">
        <v>3361</v>
      </c>
      <c r="B97" t="s">
        <v>292</v>
      </c>
      <c r="C97">
        <v>8</v>
      </c>
      <c r="D97">
        <v>146</v>
      </c>
      <c r="E97">
        <v>90</v>
      </c>
      <c r="F97">
        <v>32441</v>
      </c>
      <c r="G97">
        <v>19.7509893455099</v>
      </c>
      <c r="H97" s="1">
        <v>1.49861187166697E-8</v>
      </c>
      <c r="I97" t="s">
        <v>293</v>
      </c>
      <c r="J97" t="s">
        <v>294</v>
      </c>
      <c r="K97" s="1">
        <v>7.9293219254200998E-7</v>
      </c>
      <c r="L97" t="s">
        <v>35</v>
      </c>
      <c r="M97" t="str">
        <f>HYPERLINK("http://www.broadinstitute.org/gsea/msigdb/cards/HILLION_HMGA1_TARGETS.html")</f>
        <v>http://www.broadinstitute.org/gsea/msigdb/cards/HILLION_HMGA1_TARGETS.html</v>
      </c>
    </row>
    <row r="98" spans="1:13">
      <c r="A98">
        <v>2124</v>
      </c>
      <c r="B98" t="s">
        <v>295</v>
      </c>
      <c r="C98">
        <v>6</v>
      </c>
      <c r="D98">
        <v>146</v>
      </c>
      <c r="E98">
        <v>32</v>
      </c>
      <c r="F98">
        <v>32441</v>
      </c>
      <c r="G98">
        <v>41.662243150684901</v>
      </c>
      <c r="H98" s="1">
        <v>1.7891084805956301E-8</v>
      </c>
      <c r="I98" t="s">
        <v>296</v>
      </c>
      <c r="J98" t="s">
        <v>297</v>
      </c>
      <c r="K98" s="1">
        <v>9.3623456973586503E-7</v>
      </c>
      <c r="L98" t="s">
        <v>35</v>
      </c>
      <c r="M98" t="str">
        <f>HYPERLINK("http://www.broadinstitute.org/gsea/msigdb/cards/DIRMEIER_LMP1_RESPONSE_LATE_DN.html")</f>
        <v>http://www.broadinstitute.org/gsea/msigdb/cards/DIRMEIER_LMP1_RESPONSE_LATE_DN.html</v>
      </c>
    </row>
    <row r="99" spans="1:13">
      <c r="A99">
        <v>2267</v>
      </c>
      <c r="B99" t="s">
        <v>298</v>
      </c>
      <c r="C99">
        <v>18</v>
      </c>
      <c r="D99">
        <v>146</v>
      </c>
      <c r="E99">
        <v>779</v>
      </c>
      <c r="F99">
        <v>32441</v>
      </c>
      <c r="G99">
        <v>5.13424305836425</v>
      </c>
      <c r="H99" s="1">
        <v>2.07174109518132E-8</v>
      </c>
      <c r="I99" t="s">
        <v>299</v>
      </c>
      <c r="J99" t="s">
        <v>300</v>
      </c>
      <c r="K99" s="1">
        <v>1.0723512060058099E-6</v>
      </c>
      <c r="L99" t="s">
        <v>35</v>
      </c>
      <c r="M99" t="str">
        <f>HYPERLINK("http://www.broadinstitute.org/gsea/msigdb/cards/PUJANA_CHEK2_PCC_NETWORK.html")</f>
        <v>http://www.broadinstitute.org/gsea/msigdb/cards/PUJANA_CHEK2_PCC_NETWORK.html</v>
      </c>
    </row>
    <row r="100" spans="1:13">
      <c r="A100">
        <v>4660</v>
      </c>
      <c r="B100" t="s">
        <v>301</v>
      </c>
      <c r="C100">
        <v>5</v>
      </c>
      <c r="D100">
        <v>146</v>
      </c>
      <c r="E100">
        <v>15</v>
      </c>
      <c r="F100">
        <v>32441</v>
      </c>
      <c r="G100">
        <v>74.066210045662103</v>
      </c>
      <c r="H100" s="1">
        <v>2.4748013578520699E-8</v>
      </c>
      <c r="I100" t="s">
        <v>302</v>
      </c>
      <c r="J100" t="s">
        <v>303</v>
      </c>
      <c r="K100" s="1">
        <v>1.2672047382894201E-6</v>
      </c>
      <c r="L100" t="s">
        <v>35</v>
      </c>
      <c r="M100" t="str">
        <f>HYPERLINK("http://www.broadinstitute.org/gsea/msigdb/cards/HOLLEMAN_VINCRISTINE_RESISTANCE_B_ALL_DN.html")</f>
        <v>http://www.broadinstitute.org/gsea/msigdb/cards/HOLLEMAN_VINCRISTINE_RESISTANCE_B_ALL_DN.html</v>
      </c>
    </row>
    <row r="101" spans="1:13">
      <c r="A101">
        <v>4368</v>
      </c>
      <c r="B101" t="s">
        <v>304</v>
      </c>
      <c r="C101">
        <v>9</v>
      </c>
      <c r="D101">
        <v>146</v>
      </c>
      <c r="E101">
        <v>146</v>
      </c>
      <c r="F101">
        <v>32441</v>
      </c>
      <c r="G101">
        <v>13.6971758303622</v>
      </c>
      <c r="H101" s="1">
        <v>3.6581103719178398E-8</v>
      </c>
      <c r="I101" t="s">
        <v>305</v>
      </c>
      <c r="J101" t="s">
        <v>306</v>
      </c>
      <c r="K101" s="1">
        <v>1.8531831479864599E-6</v>
      </c>
      <c r="L101" t="s">
        <v>35</v>
      </c>
      <c r="M101" t="str">
        <f>HYPERLINK("http://www.broadinstitute.org/gsea/msigdb/cards/KIM_ALL_DISORDERS_DURATION_CORR_DN.html")</f>
        <v>http://www.broadinstitute.org/gsea/msigdb/cards/KIM_ALL_DISORDERS_DURATION_CORR_DN.html</v>
      </c>
    </row>
    <row r="102" spans="1:13">
      <c r="A102">
        <v>3742</v>
      </c>
      <c r="B102" t="s">
        <v>307</v>
      </c>
      <c r="C102">
        <v>10</v>
      </c>
      <c r="D102">
        <v>146</v>
      </c>
      <c r="E102">
        <v>198</v>
      </c>
      <c r="F102">
        <v>32441</v>
      </c>
      <c r="G102">
        <v>11.222153037221499</v>
      </c>
      <c r="H102" s="1">
        <v>3.7623827760278802E-8</v>
      </c>
      <c r="I102" t="s">
        <v>308</v>
      </c>
      <c r="J102" t="s">
        <v>309</v>
      </c>
      <c r="K102" s="1">
        <v>1.8859438715205001E-6</v>
      </c>
      <c r="L102" t="s">
        <v>35</v>
      </c>
      <c r="M102" t="str">
        <f>HYPERLINK("http://www.broadinstitute.org/gsea/msigdb/cards/ALONSO_METASTASIS_UP.html")</f>
        <v>http://www.broadinstitute.org/gsea/msigdb/cards/ALONSO_METASTASIS_UP.html</v>
      </c>
    </row>
    <row r="103" spans="1:13">
      <c r="A103">
        <v>2964</v>
      </c>
      <c r="B103" t="s">
        <v>310</v>
      </c>
      <c r="C103">
        <v>22</v>
      </c>
      <c r="D103">
        <v>146</v>
      </c>
      <c r="E103">
        <v>1237</v>
      </c>
      <c r="F103">
        <v>32441</v>
      </c>
      <c r="G103">
        <v>3.9517945537701702</v>
      </c>
      <c r="H103" s="1">
        <v>4.9126661758050503E-8</v>
      </c>
      <c r="I103" t="s">
        <v>311</v>
      </c>
      <c r="J103" t="s">
        <v>312</v>
      </c>
      <c r="K103" s="1">
        <v>2.4368871176232999E-6</v>
      </c>
      <c r="L103" t="s">
        <v>35</v>
      </c>
      <c r="M103" t="str">
        <f>HYPERLINK("http://www.broadinstitute.org/gsea/msigdb/cards/BLALOCK_ALZHEIMERS_DISEASE_DN.html")</f>
        <v>http://www.broadinstitute.org/gsea/msigdb/cards/BLALOCK_ALZHEIMERS_DISEASE_DN.html</v>
      </c>
    </row>
    <row r="104" spans="1:13">
      <c r="A104">
        <v>4164</v>
      </c>
      <c r="B104" t="s">
        <v>313</v>
      </c>
      <c r="C104">
        <v>8</v>
      </c>
      <c r="D104">
        <v>146</v>
      </c>
      <c r="E104">
        <v>115</v>
      </c>
      <c r="F104">
        <v>32441</v>
      </c>
      <c r="G104">
        <v>15.4572960095295</v>
      </c>
      <c r="H104" s="1">
        <v>8.9267443024544798E-8</v>
      </c>
      <c r="I104" t="s">
        <v>314</v>
      </c>
      <c r="J104" t="s">
        <v>315</v>
      </c>
      <c r="K104" s="1">
        <v>4.3823872544627098E-6</v>
      </c>
      <c r="L104" t="s">
        <v>35</v>
      </c>
      <c r="M104" t="str">
        <f>HYPERLINK("http://www.broadinstitute.org/gsea/msigdb/cards/HOSHIDA_LIVER_CANCER_SUBCLASS_S2.html")</f>
        <v>http://www.broadinstitute.org/gsea/msigdb/cards/HOSHIDA_LIVER_CANCER_SUBCLASS_S2.html</v>
      </c>
    </row>
    <row r="105" spans="1:13">
      <c r="A105">
        <v>1830</v>
      </c>
      <c r="B105" t="s">
        <v>316</v>
      </c>
      <c r="C105">
        <v>6</v>
      </c>
      <c r="D105">
        <v>146</v>
      </c>
      <c r="E105">
        <v>45</v>
      </c>
      <c r="F105">
        <v>32441</v>
      </c>
      <c r="G105">
        <v>29.626484018264801</v>
      </c>
      <c r="H105" s="1">
        <v>1.1125746678188499E-7</v>
      </c>
      <c r="I105" t="s">
        <v>317</v>
      </c>
      <c r="J105" t="s">
        <v>318</v>
      </c>
      <c r="K105" s="1">
        <v>5.40620466138098E-6</v>
      </c>
      <c r="L105" t="s">
        <v>35</v>
      </c>
      <c r="M105" t="str">
        <f>HYPERLINK("http://www.broadinstitute.org/gsea/msigdb/cards/LUI_THYROID_CANCER_PAX8_PPARG_DN.html")</f>
        <v>http://www.broadinstitute.org/gsea/msigdb/cards/LUI_THYROID_CANCER_PAX8_PPARG_DN.html</v>
      </c>
    </row>
    <row r="106" spans="1:13">
      <c r="A106">
        <v>4286</v>
      </c>
      <c r="B106" t="s">
        <v>319</v>
      </c>
      <c r="C106">
        <v>6</v>
      </c>
      <c r="D106">
        <v>146</v>
      </c>
      <c r="E106">
        <v>46</v>
      </c>
      <c r="F106">
        <v>32441</v>
      </c>
      <c r="G106">
        <v>28.982430017867799</v>
      </c>
      <c r="H106" s="1">
        <v>1.2530716057487501E-7</v>
      </c>
      <c r="I106" t="s">
        <v>320</v>
      </c>
      <c r="J106" t="s">
        <v>321</v>
      </c>
      <c r="K106" s="1">
        <v>6.0274009965409702E-6</v>
      </c>
      <c r="L106" t="s">
        <v>35</v>
      </c>
      <c r="M106" t="str">
        <f>HYPERLINK("http://www.broadinstitute.org/gsea/msigdb/cards/KYNG_RESPONSE_TO_H2O2_VIA_ERCC6_DN.html")</f>
        <v>http://www.broadinstitute.org/gsea/msigdb/cards/KYNG_RESPONSE_TO_H2O2_VIA_ERCC6_DN.html</v>
      </c>
    </row>
    <row r="107" spans="1:13">
      <c r="A107">
        <v>2631</v>
      </c>
      <c r="B107" t="s">
        <v>322</v>
      </c>
      <c r="C107">
        <v>8</v>
      </c>
      <c r="D107">
        <v>146</v>
      </c>
      <c r="E107">
        <v>121</v>
      </c>
      <c r="F107">
        <v>32441</v>
      </c>
      <c r="G107">
        <v>14.6908185214536</v>
      </c>
      <c r="H107" s="1">
        <v>1.29167905020459E-7</v>
      </c>
      <c r="I107" t="s">
        <v>323</v>
      </c>
      <c r="J107" t="s">
        <v>324</v>
      </c>
      <c r="K107" s="1">
        <v>6.1509756370742404E-6</v>
      </c>
      <c r="L107" t="s">
        <v>35</v>
      </c>
      <c r="M107" t="str">
        <f>HYPERLINK("http://www.broadinstitute.org/gsea/msigdb/cards/NING_CHRONIC_OBSTRUCTIVE_PULMONARY_DISEASE_DN.html")</f>
        <v>http://www.broadinstitute.org/gsea/msigdb/cards/NING_CHRONIC_OBSTRUCTIVE_PULMONARY_DISEASE_DN.html</v>
      </c>
    </row>
    <row r="108" spans="1:13">
      <c r="A108">
        <v>3777</v>
      </c>
      <c r="B108" t="s">
        <v>325</v>
      </c>
      <c r="C108">
        <v>13</v>
      </c>
      <c r="D108">
        <v>146</v>
      </c>
      <c r="E108">
        <v>447</v>
      </c>
      <c r="F108">
        <v>32441</v>
      </c>
      <c r="G108">
        <v>6.46215255431951</v>
      </c>
      <c r="H108" s="1">
        <v>1.7286725716292E-7</v>
      </c>
      <c r="I108" t="s">
        <v>326</v>
      </c>
      <c r="J108" t="s">
        <v>327</v>
      </c>
      <c r="K108" s="1">
        <v>8.1504344416814192E-6</v>
      </c>
      <c r="L108" t="s">
        <v>35</v>
      </c>
      <c r="M108" t="str">
        <f>HYPERLINK("http://www.broadinstitute.org/gsea/msigdb/cards/MOOTHA_MITOCHONDRIA.html")</f>
        <v>http://www.broadinstitute.org/gsea/msigdb/cards/MOOTHA_MITOCHONDRIA.html</v>
      </c>
    </row>
    <row r="109" spans="1:13">
      <c r="A109">
        <v>3680</v>
      </c>
      <c r="B109" t="s">
        <v>328</v>
      </c>
      <c r="C109">
        <v>14</v>
      </c>
      <c r="D109">
        <v>146</v>
      </c>
      <c r="E109">
        <v>546</v>
      </c>
      <c r="F109">
        <v>32441</v>
      </c>
      <c r="G109">
        <v>5.6974007727432401</v>
      </c>
      <c r="H109" s="1">
        <v>2.5240460628639602E-7</v>
      </c>
      <c r="I109" t="s">
        <v>329</v>
      </c>
      <c r="J109" t="s">
        <v>330</v>
      </c>
      <c r="K109" s="1">
        <v>1.17838307366256E-5</v>
      </c>
      <c r="L109" t="s">
        <v>35</v>
      </c>
      <c r="M109" t="str">
        <f>HYPERLINK("http://www.broadinstitute.org/gsea/msigdb/cards/WEST_ADRENOCORTICAL_TUMOR_DN.html")</f>
        <v>http://www.broadinstitute.org/gsea/msigdb/cards/WEST_ADRENOCORTICAL_TUMOR_DN.html</v>
      </c>
    </row>
    <row r="110" spans="1:13">
      <c r="A110">
        <v>3887</v>
      </c>
      <c r="B110" t="s">
        <v>331</v>
      </c>
      <c r="C110">
        <v>7</v>
      </c>
      <c r="D110">
        <v>146</v>
      </c>
      <c r="E110">
        <v>89</v>
      </c>
      <c r="F110">
        <v>32441</v>
      </c>
      <c r="G110">
        <v>17.476296752347199</v>
      </c>
      <c r="H110" s="1">
        <v>2.67868388387065E-7</v>
      </c>
      <c r="I110" t="s">
        <v>332</v>
      </c>
      <c r="J110" t="s">
        <v>333</v>
      </c>
      <c r="K110" s="1">
        <v>1.2384361800963199E-5</v>
      </c>
      <c r="L110" t="s">
        <v>35</v>
      </c>
      <c r="M110" t="str">
        <f>HYPERLINK("http://www.broadinstitute.org/gsea/msigdb/cards/SWEET_KRAS_ONCOGENIC_SIGNATURE.html")</f>
        <v>http://www.broadinstitute.org/gsea/msigdb/cards/SWEET_KRAS_ONCOGENIC_SIGNATURE.html</v>
      </c>
    </row>
    <row r="111" spans="1:13">
      <c r="A111">
        <v>2199</v>
      </c>
      <c r="B111" t="s">
        <v>334</v>
      </c>
      <c r="C111">
        <v>9</v>
      </c>
      <c r="D111">
        <v>146</v>
      </c>
      <c r="E111">
        <v>201</v>
      </c>
      <c r="F111">
        <v>32441</v>
      </c>
      <c r="G111">
        <v>9.9491923941934193</v>
      </c>
      <c r="H111" s="1">
        <v>4.86586683787304E-7</v>
      </c>
      <c r="I111" t="s">
        <v>335</v>
      </c>
      <c r="J111" t="s">
        <v>336</v>
      </c>
      <c r="K111" s="1">
        <v>2.22800556557225E-5</v>
      </c>
      <c r="L111" t="s">
        <v>35</v>
      </c>
      <c r="M111" t="str">
        <f>HYPERLINK("http://www.broadinstitute.org/gsea/msigdb/cards/KIM_MYC_AMPLIFICATION_TARGETS_UP.html")</f>
        <v>http://www.broadinstitute.org/gsea/msigdb/cards/KIM_MYC_AMPLIFICATION_TARGETS_UP.html</v>
      </c>
    </row>
    <row r="112" spans="1:13">
      <c r="A112">
        <v>3375</v>
      </c>
      <c r="B112" t="s">
        <v>337</v>
      </c>
      <c r="C112">
        <v>7</v>
      </c>
      <c r="D112">
        <v>146</v>
      </c>
      <c r="E112">
        <v>98</v>
      </c>
      <c r="F112">
        <v>32441</v>
      </c>
      <c r="G112">
        <v>15.8713307240704</v>
      </c>
      <c r="H112" s="1">
        <v>4.9463942989315303E-7</v>
      </c>
      <c r="I112" t="s">
        <v>338</v>
      </c>
      <c r="J112" t="s">
        <v>339</v>
      </c>
      <c r="K112" s="1">
        <v>2.2433075858582799E-5</v>
      </c>
      <c r="L112" t="s">
        <v>35</v>
      </c>
      <c r="M112" t="str">
        <f>HYPERLINK("http://www.broadinstitute.org/gsea/msigdb/cards/GAVIN_FOXP3_TARGETS_CLUSTER_T7.html")</f>
        <v>http://www.broadinstitute.org/gsea/msigdb/cards/GAVIN_FOXP3_TARGETS_CLUSTER_T7.html</v>
      </c>
    </row>
    <row r="113" spans="1:13">
      <c r="A113">
        <v>2180</v>
      </c>
      <c r="B113" t="s">
        <v>340</v>
      </c>
      <c r="C113">
        <v>9</v>
      </c>
      <c r="D113">
        <v>146</v>
      </c>
      <c r="E113">
        <v>203</v>
      </c>
      <c r="F113">
        <v>32441</v>
      </c>
      <c r="G113">
        <v>9.8511707942506206</v>
      </c>
      <c r="H113" s="1">
        <v>5.2680062628018698E-7</v>
      </c>
      <c r="I113" t="s">
        <v>341</v>
      </c>
      <c r="J113" t="s">
        <v>342</v>
      </c>
      <c r="K113" s="1">
        <v>2.3666269644776E-5</v>
      </c>
      <c r="L113" t="s">
        <v>35</v>
      </c>
      <c r="M113" t="str">
        <f>HYPERLINK("http://www.broadinstitute.org/gsea/msigdb/cards/GRUETZMANN_PANCREATIC_CANCER_DN.html")</f>
        <v>http://www.broadinstitute.org/gsea/msigdb/cards/GRUETZMANN_PANCREATIC_CANCER_DN.html</v>
      </c>
    </row>
    <row r="114" spans="1:13">
      <c r="A114">
        <v>3480</v>
      </c>
      <c r="B114" t="s">
        <v>343</v>
      </c>
      <c r="C114">
        <v>14</v>
      </c>
      <c r="D114">
        <v>146</v>
      </c>
      <c r="E114">
        <v>591</v>
      </c>
      <c r="F114">
        <v>32441</v>
      </c>
      <c r="G114">
        <v>5.2635885311638004</v>
      </c>
      <c r="H114" s="1">
        <v>6.3522618701698999E-7</v>
      </c>
      <c r="I114" t="s">
        <v>344</v>
      </c>
      <c r="J114" t="s">
        <v>345</v>
      </c>
      <c r="K114" s="1">
        <v>2.8270533668924399E-5</v>
      </c>
      <c r="L114" t="s">
        <v>35</v>
      </c>
      <c r="M114" t="str">
        <f>HYPERLINK("http://www.broadinstitute.org/gsea/msigdb/cards/MARTINEZ_RB1_AND_TP53_TARGETS_DN.html")</f>
        <v>http://www.broadinstitute.org/gsea/msigdb/cards/MARTINEZ_RB1_AND_TP53_TARGETS_DN.html</v>
      </c>
    </row>
    <row r="115" spans="1:13">
      <c r="A115">
        <v>2695</v>
      </c>
      <c r="B115" t="s">
        <v>346</v>
      </c>
      <c r="C115">
        <v>8</v>
      </c>
      <c r="D115">
        <v>146</v>
      </c>
      <c r="E115">
        <v>151</v>
      </c>
      <c r="F115">
        <v>32441</v>
      </c>
      <c r="G115">
        <v>11.772112854939699</v>
      </c>
      <c r="H115" s="1">
        <v>6.4128038298706697E-7</v>
      </c>
      <c r="I115" t="s">
        <v>347</v>
      </c>
      <c r="J115" t="s">
        <v>348</v>
      </c>
      <c r="K115" s="1">
        <v>2.82757146646705E-5</v>
      </c>
      <c r="L115" t="s">
        <v>35</v>
      </c>
      <c r="M115" t="str">
        <f>HYPERLINK("http://www.broadinstitute.org/gsea/msigdb/cards/FLECHNER_PBL_KIDNEY_TRANSPLANT_OK_VS_DONOR_UP.html")</f>
        <v>http://www.broadinstitute.org/gsea/msigdb/cards/FLECHNER_PBL_KIDNEY_TRANSPLANT_OK_VS_DONOR_UP.html</v>
      </c>
    </row>
    <row r="116" spans="1:13">
      <c r="A116">
        <v>3199</v>
      </c>
      <c r="B116" t="s">
        <v>349</v>
      </c>
      <c r="C116">
        <v>4</v>
      </c>
      <c r="D116">
        <v>146</v>
      </c>
      <c r="E116">
        <v>13</v>
      </c>
      <c r="F116">
        <v>32441</v>
      </c>
      <c r="G116">
        <v>68.368809272918895</v>
      </c>
      <c r="H116" s="1">
        <v>8.7941653521280903E-7</v>
      </c>
      <c r="I116" t="s">
        <v>350</v>
      </c>
      <c r="J116" t="s">
        <v>351</v>
      </c>
      <c r="K116" s="1">
        <v>3.84200141347101E-5</v>
      </c>
      <c r="L116" t="s">
        <v>35</v>
      </c>
      <c r="M116" t="str">
        <f>HYPERLINK("http://www.broadinstitute.org/gsea/msigdb/cards/WHITESIDE_CISPLATIN_RESISTANCE_DN.html")</f>
        <v>http://www.broadinstitute.org/gsea/msigdb/cards/WHITESIDE_CISPLATIN_RESISTANCE_DN.html</v>
      </c>
    </row>
    <row r="117" spans="1:13">
      <c r="A117">
        <v>1344</v>
      </c>
      <c r="B117" t="s">
        <v>352</v>
      </c>
      <c r="C117">
        <v>7</v>
      </c>
      <c r="D117">
        <v>146</v>
      </c>
      <c r="E117">
        <v>108</v>
      </c>
      <c r="F117">
        <v>32441</v>
      </c>
      <c r="G117">
        <v>14.4017630644343</v>
      </c>
      <c r="H117" s="1">
        <v>9.1733521922364598E-7</v>
      </c>
      <c r="I117" t="s">
        <v>353</v>
      </c>
      <c r="J117" t="s">
        <v>354</v>
      </c>
      <c r="K117" s="1">
        <v>3.9712275581300003E-5</v>
      </c>
      <c r="L117" t="s">
        <v>35</v>
      </c>
      <c r="M117" t="str">
        <f>HYPERLINK("http://www.broadinstitute.org/gsea/msigdb/cards/WATANABE_RECTAL_CANCER_RADIOTHERAPY_RESPONSIVE_UP.html")</f>
        <v>http://www.broadinstitute.org/gsea/msigdb/cards/WATANABE_RECTAL_CANCER_RADIOTHERAPY_RESPONSIVE_UP.html</v>
      </c>
    </row>
    <row r="118" spans="1:13">
      <c r="A118">
        <v>2946</v>
      </c>
      <c r="B118" t="s">
        <v>355</v>
      </c>
      <c r="C118">
        <v>6</v>
      </c>
      <c r="D118">
        <v>146</v>
      </c>
      <c r="E118">
        <v>69</v>
      </c>
      <c r="F118">
        <v>32441</v>
      </c>
      <c r="G118">
        <v>19.3216200119119</v>
      </c>
      <c r="H118" s="1">
        <v>1.1388157177596801E-6</v>
      </c>
      <c r="I118" t="s">
        <v>356</v>
      </c>
      <c r="J118" t="s">
        <v>357</v>
      </c>
      <c r="K118" s="1">
        <v>4.8856220251996398E-5</v>
      </c>
      <c r="L118" t="s">
        <v>35</v>
      </c>
      <c r="M118" t="str">
        <f>HYPERLINK("http://www.broadinstitute.org/gsea/msigdb/cards/ZAMORA_NOS2_TARGETS_UP.html")</f>
        <v>http://www.broadinstitute.org/gsea/msigdb/cards/ZAMORA_NOS2_TARGETS_UP.html</v>
      </c>
    </row>
    <row r="119" spans="1:13">
      <c r="A119">
        <v>3476</v>
      </c>
      <c r="B119" t="s">
        <v>358</v>
      </c>
      <c r="C119">
        <v>13</v>
      </c>
      <c r="D119">
        <v>146</v>
      </c>
      <c r="E119">
        <v>543</v>
      </c>
      <c r="F119">
        <v>32441</v>
      </c>
      <c r="G119">
        <v>5.3196725447160604</v>
      </c>
      <c r="H119" s="1">
        <v>1.4517718854717899E-6</v>
      </c>
      <c r="I119" t="s">
        <v>359</v>
      </c>
      <c r="J119" t="s">
        <v>360</v>
      </c>
      <c r="K119" s="1">
        <v>6.1726229630505906E-5</v>
      </c>
      <c r="L119" t="s">
        <v>35</v>
      </c>
      <c r="M119" t="str">
        <f>HYPERLINK("http://www.broadinstitute.org/gsea/msigdb/cards/MARTINEZ_RB1_TARGETS_DN.html")</f>
        <v>http://www.broadinstitute.org/gsea/msigdb/cards/MARTINEZ_RB1_TARGETS_DN.html</v>
      </c>
    </row>
    <row r="120" spans="1:13">
      <c r="A120">
        <v>4507</v>
      </c>
      <c r="B120" t="s">
        <v>361</v>
      </c>
      <c r="C120">
        <v>5</v>
      </c>
      <c r="D120">
        <v>146</v>
      </c>
      <c r="E120">
        <v>39</v>
      </c>
      <c r="F120">
        <v>32441</v>
      </c>
      <c r="G120">
        <v>28.4870038637162</v>
      </c>
      <c r="H120" s="1">
        <v>1.5898326535447599E-6</v>
      </c>
      <c r="I120" t="s">
        <v>362</v>
      </c>
      <c r="J120" t="s">
        <v>363</v>
      </c>
      <c r="K120" s="1">
        <v>6.6998080497169502E-5</v>
      </c>
      <c r="L120" t="s">
        <v>35</v>
      </c>
      <c r="M120" t="str">
        <f>HYPERLINK("http://www.broadinstitute.org/gsea/msigdb/cards/BILANGES_RAPAMYCIN_SENSITIVE_GENES.html")</f>
        <v>http://www.broadinstitute.org/gsea/msigdb/cards/BILANGES_RAPAMYCIN_SENSITIVE_GENES.html</v>
      </c>
    </row>
    <row r="121" spans="1:13">
      <c r="A121">
        <v>3554</v>
      </c>
      <c r="B121" t="s">
        <v>364</v>
      </c>
      <c r="C121">
        <v>8</v>
      </c>
      <c r="D121">
        <v>146</v>
      </c>
      <c r="E121">
        <v>174</v>
      </c>
      <c r="F121">
        <v>32441</v>
      </c>
      <c r="G121">
        <v>10.216028971815501</v>
      </c>
      <c r="H121" s="1">
        <v>1.7736108308751201E-6</v>
      </c>
      <c r="I121" t="s">
        <v>365</v>
      </c>
      <c r="J121" t="s">
        <v>366</v>
      </c>
      <c r="K121" s="1">
        <v>7.40871471633975E-5</v>
      </c>
      <c r="L121" t="s">
        <v>35</v>
      </c>
      <c r="M121" t="str">
        <f>HYPERLINK("http://www.broadinstitute.org/gsea/msigdb/cards/ACEVEDO_NORMAL_TISSUE_ADJACENT_TO_LIVER_TUMOR_UP.html")</f>
        <v>http://www.broadinstitute.org/gsea/msigdb/cards/ACEVEDO_NORMAL_TISSUE_ADJACENT_TO_LIVER_TUMOR_UP.html</v>
      </c>
    </row>
    <row r="122" spans="1:13">
      <c r="A122">
        <v>4431</v>
      </c>
      <c r="B122" t="s">
        <v>367</v>
      </c>
      <c r="C122">
        <v>5</v>
      </c>
      <c r="D122">
        <v>146</v>
      </c>
      <c r="E122">
        <v>42</v>
      </c>
      <c r="F122">
        <v>32441</v>
      </c>
      <c r="G122">
        <v>26.452217873450699</v>
      </c>
      <c r="H122" s="1">
        <v>2.2214384645664302E-6</v>
      </c>
      <c r="I122" t="s">
        <v>368</v>
      </c>
      <c r="J122" t="s">
        <v>369</v>
      </c>
      <c r="K122" s="1">
        <v>9.1986869289263995E-5</v>
      </c>
      <c r="L122" t="s">
        <v>35</v>
      </c>
      <c r="M122" t="str">
        <f>HYPERLINK("http://www.broadinstitute.org/gsea/msigdb/cards/WIERENGA_PML_INTERACTOME.html")</f>
        <v>http://www.broadinstitute.org/gsea/msigdb/cards/WIERENGA_PML_INTERACTOME.html</v>
      </c>
    </row>
    <row r="123" spans="1:13">
      <c r="A123">
        <v>3556</v>
      </c>
      <c r="B123" t="s">
        <v>370</v>
      </c>
      <c r="C123">
        <v>17</v>
      </c>
      <c r="D123">
        <v>146</v>
      </c>
      <c r="E123">
        <v>973</v>
      </c>
      <c r="F123">
        <v>32441</v>
      </c>
      <c r="G123">
        <v>3.8821960044488901</v>
      </c>
      <c r="H123" s="1">
        <v>2.3566253354380301E-6</v>
      </c>
      <c r="I123" t="s">
        <v>371</v>
      </c>
      <c r="J123" t="s">
        <v>372</v>
      </c>
      <c r="K123" s="1">
        <v>9.5916665362016102E-5</v>
      </c>
      <c r="L123" t="s">
        <v>35</v>
      </c>
      <c r="M123" t="str">
        <f>HYPERLINK("http://www.broadinstitute.org/gsea/msigdb/cards/ACEVEDO_LIVER_CANCER_UP.html")</f>
        <v>http://www.broadinstitute.org/gsea/msigdb/cards/ACEVEDO_LIVER_CANCER_UP.html</v>
      </c>
    </row>
    <row r="124" spans="1:13">
      <c r="A124">
        <v>4259</v>
      </c>
      <c r="B124" t="s">
        <v>373</v>
      </c>
      <c r="C124">
        <v>8</v>
      </c>
      <c r="D124">
        <v>146</v>
      </c>
      <c r="E124">
        <v>181</v>
      </c>
      <c r="F124">
        <v>32441</v>
      </c>
      <c r="G124">
        <v>9.8209339287065802</v>
      </c>
      <c r="H124" s="1">
        <v>2.3501918891470501E-6</v>
      </c>
      <c r="I124" t="s">
        <v>374</v>
      </c>
      <c r="J124" t="s">
        <v>375</v>
      </c>
      <c r="K124" s="1">
        <v>9.5916665362016102E-5</v>
      </c>
      <c r="L124" t="s">
        <v>35</v>
      </c>
      <c r="M124" t="str">
        <f>HYPERLINK("http://www.broadinstitute.org/gsea/msigdb/cards/YAO_TEMPORAL_RESPONSE_TO_PROGESTERONE_CLUSTER_17.html")</f>
        <v>http://www.broadinstitute.org/gsea/msigdb/cards/YAO_TEMPORAL_RESPONSE_TO_PROGESTERONE_CLUSTER_17.html</v>
      </c>
    </row>
    <row r="125" spans="1:13">
      <c r="A125">
        <v>3734</v>
      </c>
      <c r="B125" t="s">
        <v>376</v>
      </c>
      <c r="C125">
        <v>6</v>
      </c>
      <c r="D125">
        <v>146</v>
      </c>
      <c r="E125">
        <v>79</v>
      </c>
      <c r="F125">
        <v>32441</v>
      </c>
      <c r="G125">
        <v>16.8758453268597</v>
      </c>
      <c r="H125" s="1">
        <v>2.3842437978704902E-6</v>
      </c>
      <c r="I125" t="s">
        <v>377</v>
      </c>
      <c r="J125" t="s">
        <v>378</v>
      </c>
      <c r="K125" s="1">
        <v>9.6218381063214003E-5</v>
      </c>
      <c r="L125" t="s">
        <v>35</v>
      </c>
      <c r="M125" t="str">
        <f>HYPERLINK("http://www.broadinstitute.org/gsea/msigdb/cards/MALONEY_RESPONSE_TO_17AAG_DN.html")</f>
        <v>http://www.broadinstitute.org/gsea/msigdb/cards/MALONEY_RESPONSE_TO_17AAG_DN.html</v>
      </c>
    </row>
    <row r="126" spans="1:13">
      <c r="A126">
        <v>104</v>
      </c>
      <c r="B126" t="s">
        <v>379</v>
      </c>
      <c r="C126">
        <v>6</v>
      </c>
      <c r="D126">
        <v>146</v>
      </c>
      <c r="E126">
        <v>80</v>
      </c>
      <c r="F126">
        <v>32441</v>
      </c>
      <c r="G126">
        <v>16.664897260274</v>
      </c>
      <c r="H126" s="1">
        <v>2.5536612643220499E-6</v>
      </c>
      <c r="I126" t="s">
        <v>380</v>
      </c>
      <c r="J126" t="s">
        <v>381</v>
      </c>
      <c r="K126">
        <v>1.02189369249593E-4</v>
      </c>
      <c r="L126" t="s">
        <v>35</v>
      </c>
      <c r="M126" t="str">
        <f>HYPERLINK("http://www.broadinstitute.org/gsea/msigdb/cards/KEGG_CARDIAC_MUSCLE_CONTRACTION.html")</f>
        <v>http://www.broadinstitute.org/gsea/msigdb/cards/KEGG_CARDIAC_MUSCLE_CONTRACTION.html</v>
      </c>
    </row>
    <row r="127" spans="1:13">
      <c r="A127">
        <v>3329</v>
      </c>
      <c r="B127" t="s">
        <v>382</v>
      </c>
      <c r="C127">
        <v>7</v>
      </c>
      <c r="D127">
        <v>146</v>
      </c>
      <c r="E127">
        <v>132</v>
      </c>
      <c r="F127">
        <v>32441</v>
      </c>
      <c r="G127">
        <v>11.783260689082599</v>
      </c>
      <c r="H127" s="1">
        <v>3.2667079859276299E-6</v>
      </c>
      <c r="I127" t="s">
        <v>383</v>
      </c>
      <c r="J127" t="s">
        <v>384</v>
      </c>
      <c r="K127">
        <v>1.2963386190822799E-4</v>
      </c>
      <c r="L127" t="s">
        <v>35</v>
      </c>
      <c r="M127" t="str">
        <f>HYPERLINK("http://www.broadinstitute.org/gsea/msigdb/cards/ZHONG_SECRETOME_OF_LUNG_CANCER_AND_FIBROBLAST.html")</f>
        <v>http://www.broadinstitute.org/gsea/msigdb/cards/ZHONG_SECRETOME_OF_LUNG_CANCER_AND_FIBROBLAST.html</v>
      </c>
    </row>
    <row r="128" spans="1:13">
      <c r="A128">
        <v>2711</v>
      </c>
      <c r="B128" t="s">
        <v>385</v>
      </c>
      <c r="C128">
        <v>6</v>
      </c>
      <c r="D128">
        <v>146</v>
      </c>
      <c r="E128">
        <v>85</v>
      </c>
      <c r="F128">
        <v>32441</v>
      </c>
      <c r="G128">
        <v>15.6846091861402</v>
      </c>
      <c r="H128" s="1">
        <v>3.5545620054869799E-6</v>
      </c>
      <c r="I128" t="s">
        <v>386</v>
      </c>
      <c r="J128" t="s">
        <v>387</v>
      </c>
      <c r="K128">
        <v>1.39891109670487E-4</v>
      </c>
      <c r="L128" t="s">
        <v>35</v>
      </c>
      <c r="M128" t="str">
        <f>HYPERLINK("http://www.broadinstitute.org/gsea/msigdb/cards/SANA_RESPONSE_TO_IFNG_DN.html")</f>
        <v>http://www.broadinstitute.org/gsea/msigdb/cards/SANA_RESPONSE_TO_IFNG_DN.html</v>
      </c>
    </row>
    <row r="129" spans="1:13">
      <c r="A129">
        <v>3478</v>
      </c>
      <c r="B129" t="s">
        <v>388</v>
      </c>
      <c r="C129">
        <v>13</v>
      </c>
      <c r="D129">
        <v>146</v>
      </c>
      <c r="E129">
        <v>593</v>
      </c>
      <c r="F129">
        <v>32441</v>
      </c>
      <c r="G129">
        <v>4.87113354431842</v>
      </c>
      <c r="H129" s="1">
        <v>3.71888788921462E-6</v>
      </c>
      <c r="I129" t="s">
        <v>389</v>
      </c>
      <c r="J129" t="s">
        <v>390</v>
      </c>
      <c r="K129">
        <v>1.45158558429836E-4</v>
      </c>
      <c r="L129" t="s">
        <v>35</v>
      </c>
      <c r="M129" t="str">
        <f>HYPERLINK("http://www.broadinstitute.org/gsea/msigdb/cards/MARTINEZ_TP53_TARGETS_DN.html")</f>
        <v>http://www.broadinstitute.org/gsea/msigdb/cards/MARTINEZ_TP53_TARGETS_DN.html</v>
      </c>
    </row>
    <row r="130" spans="1:13">
      <c r="A130">
        <v>3319</v>
      </c>
      <c r="B130" t="s">
        <v>391</v>
      </c>
      <c r="C130">
        <v>17</v>
      </c>
      <c r="D130">
        <v>146</v>
      </c>
      <c r="E130">
        <v>1011</v>
      </c>
      <c r="F130">
        <v>32441</v>
      </c>
      <c r="G130">
        <v>3.7362776580897799</v>
      </c>
      <c r="H130" s="1">
        <v>3.8891696369426896E-6</v>
      </c>
      <c r="I130" t="s">
        <v>392</v>
      </c>
      <c r="J130" t="s">
        <v>393</v>
      </c>
      <c r="K130">
        <v>1.5057094155383001E-4</v>
      </c>
      <c r="L130" t="s">
        <v>35</v>
      </c>
      <c r="M130" t="str">
        <f>HYPERLINK("http://www.broadinstitute.org/gsea/msigdb/cards/KRIGE_RESPONSE_TO_TOSEDOSTAT_24HR_DN.html")</f>
        <v>http://www.broadinstitute.org/gsea/msigdb/cards/KRIGE_RESPONSE_TO_TOSEDOSTAT_24HR_DN.html</v>
      </c>
    </row>
    <row r="131" spans="1:13">
      <c r="A131">
        <v>4534</v>
      </c>
      <c r="B131" t="s">
        <v>394</v>
      </c>
      <c r="C131">
        <v>6</v>
      </c>
      <c r="D131">
        <v>146</v>
      </c>
      <c r="E131">
        <v>87</v>
      </c>
      <c r="F131">
        <v>32441</v>
      </c>
      <c r="G131">
        <v>15.324043457723199</v>
      </c>
      <c r="H131" s="1">
        <v>4.0350474809526899E-6</v>
      </c>
      <c r="I131" t="s">
        <v>395</v>
      </c>
      <c r="J131" t="s">
        <v>396</v>
      </c>
      <c r="K131">
        <v>1.5495883955077999E-4</v>
      </c>
      <c r="L131" t="s">
        <v>35</v>
      </c>
      <c r="M131" t="str">
        <f>HYPERLINK("http://www.broadinstitute.org/gsea/msigdb/cards/PURBEY_TARGETS_OF_CTBP1_AND_SATB1_UP.html")</f>
        <v>http://www.broadinstitute.org/gsea/msigdb/cards/PURBEY_TARGETS_OF_CTBP1_AND_SATB1_UP.html</v>
      </c>
    </row>
    <row r="132" spans="1:13">
      <c r="A132">
        <v>2674</v>
      </c>
      <c r="B132" t="s">
        <v>397</v>
      </c>
      <c r="C132">
        <v>5</v>
      </c>
      <c r="D132">
        <v>146</v>
      </c>
      <c r="E132">
        <v>51</v>
      </c>
      <c r="F132">
        <v>32441</v>
      </c>
      <c r="G132">
        <v>21.784179425194701</v>
      </c>
      <c r="H132" s="1">
        <v>5.35548666255461E-6</v>
      </c>
      <c r="I132" t="s">
        <v>398</v>
      </c>
      <c r="J132" t="s">
        <v>399</v>
      </c>
      <c r="K132">
        <v>2.0402261989667999E-4</v>
      </c>
      <c r="L132" t="s">
        <v>35</v>
      </c>
      <c r="M132" t="str">
        <f>HYPERLINK("http://www.broadinstitute.org/gsea/msigdb/cards/BYSTROEM_CORRELATED_WITH_IL5_UP.html")</f>
        <v>http://www.broadinstitute.org/gsea/msigdb/cards/BYSTROEM_CORRELATED_WITH_IL5_UP.html</v>
      </c>
    </row>
    <row r="133" spans="1:13">
      <c r="A133">
        <v>2425</v>
      </c>
      <c r="B133" t="s">
        <v>400</v>
      </c>
      <c r="C133">
        <v>14</v>
      </c>
      <c r="D133">
        <v>146</v>
      </c>
      <c r="E133">
        <v>734</v>
      </c>
      <c r="F133">
        <v>32441</v>
      </c>
      <c r="G133">
        <v>4.2381210107872</v>
      </c>
      <c r="H133" s="1">
        <v>7.3952129333304997E-6</v>
      </c>
      <c r="I133" t="s">
        <v>401</v>
      </c>
      <c r="J133" t="s">
        <v>402</v>
      </c>
      <c r="K133">
        <v>2.7949209514698301E-4</v>
      </c>
      <c r="L133" t="s">
        <v>35</v>
      </c>
      <c r="M133" t="str">
        <f>HYPERLINK("http://www.broadinstitute.org/gsea/msigdb/cards/BENPORATH_SOX2_TARGETS.html")</f>
        <v>http://www.broadinstitute.org/gsea/msigdb/cards/BENPORATH_SOX2_TARGETS.html</v>
      </c>
    </row>
    <row r="134" spans="1:13">
      <c r="A134">
        <v>3059</v>
      </c>
      <c r="B134" t="s">
        <v>403</v>
      </c>
      <c r="C134">
        <v>22</v>
      </c>
      <c r="D134">
        <v>146</v>
      </c>
      <c r="E134">
        <v>1691</v>
      </c>
      <c r="F134">
        <v>32441</v>
      </c>
      <c r="G134">
        <v>2.89081600414766</v>
      </c>
      <c r="H134" s="1">
        <v>8.1910279636231299E-6</v>
      </c>
      <c r="I134" t="s">
        <v>404</v>
      </c>
      <c r="J134" t="s">
        <v>405</v>
      </c>
      <c r="K134">
        <v>3.0713130049427799E-4</v>
      </c>
      <c r="L134" t="s">
        <v>35</v>
      </c>
      <c r="M134" t="str">
        <f>HYPERLINK("http://www.broadinstitute.org/gsea/msigdb/cards/BLALOCK_ALZHEIMERS_DISEASE_UP.html")</f>
        <v>http://www.broadinstitute.org/gsea/msigdb/cards/BLALOCK_ALZHEIMERS_DISEASE_UP.html</v>
      </c>
    </row>
    <row r="135" spans="1:13">
      <c r="A135">
        <v>2423</v>
      </c>
      <c r="B135" t="s">
        <v>406</v>
      </c>
      <c r="C135">
        <v>16</v>
      </c>
      <c r="D135">
        <v>146</v>
      </c>
      <c r="E135">
        <v>988</v>
      </c>
      <c r="F135">
        <v>32441</v>
      </c>
      <c r="G135">
        <v>3.5983583827852001</v>
      </c>
      <c r="H135" s="1">
        <v>1.2058953126641199E-5</v>
      </c>
      <c r="I135" t="s">
        <v>407</v>
      </c>
      <c r="J135" t="s">
        <v>408</v>
      </c>
      <c r="K135">
        <v>4.4863074053957301E-4</v>
      </c>
      <c r="L135" t="s">
        <v>35</v>
      </c>
      <c r="M135" t="str">
        <f>HYPERLINK("http://www.broadinstitute.org/gsea/msigdb/cards/BENPORATH_NANOG_TARGETS.html")</f>
        <v>http://www.broadinstitute.org/gsea/msigdb/cards/BENPORATH_NANOG_TARGETS.html</v>
      </c>
    </row>
    <row r="136" spans="1:13">
      <c r="A136">
        <v>1378</v>
      </c>
      <c r="B136" t="s">
        <v>409</v>
      </c>
      <c r="C136">
        <v>11</v>
      </c>
      <c r="D136">
        <v>146</v>
      </c>
      <c r="E136">
        <v>493</v>
      </c>
      <c r="F136">
        <v>32441</v>
      </c>
      <c r="G136">
        <v>4.9577787657339698</v>
      </c>
      <c r="H136" s="1">
        <v>1.8224122407078801E-5</v>
      </c>
      <c r="I136" t="s">
        <v>410</v>
      </c>
      <c r="J136" t="s">
        <v>411</v>
      </c>
      <c r="K136">
        <v>6.7273853412797805E-4</v>
      </c>
      <c r="L136" t="s">
        <v>35</v>
      </c>
      <c r="M136" t="str">
        <f>HYPERLINK("http://www.broadinstitute.org/gsea/msigdb/cards/GAZDA_DIAMOND_BLACKFAN_ANEMIA_ERYTHROID_DN.html")</f>
        <v>http://www.broadinstitute.org/gsea/msigdb/cards/GAZDA_DIAMOND_BLACKFAN_ANEMIA_ERYTHROID_DN.html</v>
      </c>
    </row>
    <row r="137" spans="1:13">
      <c r="A137">
        <v>4112</v>
      </c>
      <c r="B137" t="s">
        <v>412</v>
      </c>
      <c r="C137">
        <v>3</v>
      </c>
      <c r="D137">
        <v>146</v>
      </c>
      <c r="E137">
        <v>9</v>
      </c>
      <c r="F137">
        <v>32441</v>
      </c>
      <c r="G137">
        <v>74.066210045662103</v>
      </c>
      <c r="H137" s="1">
        <v>1.8816397592074099E-5</v>
      </c>
      <c r="I137" t="s">
        <v>413</v>
      </c>
      <c r="J137" t="s">
        <v>414</v>
      </c>
      <c r="K137">
        <v>6.8925911794966805E-4</v>
      </c>
      <c r="L137" t="s">
        <v>35</v>
      </c>
      <c r="M137" t="str">
        <f>HYPERLINK("http://www.broadinstitute.org/gsea/msigdb/cards/YANAGISAWA_LUNG_CANCER_RECURRENCE.html")</f>
        <v>http://www.broadinstitute.org/gsea/msigdb/cards/YANAGISAWA_LUNG_CANCER_RECURRENCE.html</v>
      </c>
    </row>
    <row r="138" spans="1:13">
      <c r="A138">
        <v>3524</v>
      </c>
      <c r="B138" t="s">
        <v>415</v>
      </c>
      <c r="C138">
        <v>6</v>
      </c>
      <c r="D138">
        <v>146</v>
      </c>
      <c r="E138">
        <v>118</v>
      </c>
      <c r="F138">
        <v>32441</v>
      </c>
      <c r="G138">
        <v>11.2982354306942</v>
      </c>
      <c r="H138" s="1">
        <v>2.10967118134997E-5</v>
      </c>
      <c r="I138" t="s">
        <v>416</v>
      </c>
      <c r="J138" t="s">
        <v>417</v>
      </c>
      <c r="K138">
        <v>7.6688963096095903E-4</v>
      </c>
      <c r="L138" t="s">
        <v>35</v>
      </c>
      <c r="M138" t="str">
        <f>HYPERLINK("http://www.broadinstitute.org/gsea/msigdb/cards/DAIRKEE_CANCER_PRONE_RESPONSE_BPA_E2.html")</f>
        <v>http://www.broadinstitute.org/gsea/msigdb/cards/DAIRKEE_CANCER_PRONE_RESPONSE_BPA_E2.html</v>
      </c>
    </row>
    <row r="139" spans="1:13">
      <c r="A139">
        <v>3037</v>
      </c>
      <c r="B139" t="s">
        <v>418</v>
      </c>
      <c r="C139">
        <v>5</v>
      </c>
      <c r="D139">
        <v>146</v>
      </c>
      <c r="E139">
        <v>71</v>
      </c>
      <c r="F139">
        <v>32441</v>
      </c>
      <c r="G139">
        <v>15.6477908547173</v>
      </c>
      <c r="H139" s="1">
        <v>2.4105077242238098E-5</v>
      </c>
      <c r="I139" t="s">
        <v>419</v>
      </c>
      <c r="J139" t="s">
        <v>420</v>
      </c>
      <c r="K139">
        <v>8.6960892293589396E-4</v>
      </c>
      <c r="L139" t="s">
        <v>35</v>
      </c>
      <c r="M139" t="str">
        <f>HYPERLINK("http://www.broadinstitute.org/gsea/msigdb/cards/MARTINEZ_RESPONSE_TO_TRABECTEDIN_UP.html")</f>
        <v>http://www.broadinstitute.org/gsea/msigdb/cards/MARTINEZ_RESPONSE_TO_TRABECTEDIN_UP.html</v>
      </c>
    </row>
    <row r="140" spans="1:13">
      <c r="A140">
        <v>3634</v>
      </c>
      <c r="B140" t="s">
        <v>421</v>
      </c>
      <c r="C140">
        <v>4</v>
      </c>
      <c r="D140">
        <v>146</v>
      </c>
      <c r="E140">
        <v>34</v>
      </c>
      <c r="F140">
        <v>32441</v>
      </c>
      <c r="G140">
        <v>26.141015310233701</v>
      </c>
      <c r="H140" s="1">
        <v>2.5351211916499301E-5</v>
      </c>
      <c r="I140" t="s">
        <v>422</v>
      </c>
      <c r="J140" t="s">
        <v>423</v>
      </c>
      <c r="K140">
        <v>9.0768775298022397E-4</v>
      </c>
      <c r="L140" t="s">
        <v>35</v>
      </c>
      <c r="M140" t="str">
        <f>HYPERLINK("http://www.broadinstitute.org/gsea/msigdb/cards/HONMA_DOCETAXEL_RESISTANCE.html")</f>
        <v>http://www.broadinstitute.org/gsea/msigdb/cards/HONMA_DOCETAXEL_RESISTANCE.html</v>
      </c>
    </row>
    <row r="141" spans="1:13">
      <c r="A141">
        <v>3063</v>
      </c>
      <c r="B141" t="s">
        <v>424</v>
      </c>
      <c r="C141">
        <v>6</v>
      </c>
      <c r="D141">
        <v>146</v>
      </c>
      <c r="E141">
        <v>123</v>
      </c>
      <c r="F141">
        <v>32441</v>
      </c>
      <c r="G141">
        <v>10.8389575676579</v>
      </c>
      <c r="H141" s="1">
        <v>2.6385155011980701E-5</v>
      </c>
      <c r="I141" t="s">
        <v>425</v>
      </c>
      <c r="J141" t="s">
        <v>426</v>
      </c>
      <c r="K141">
        <v>9.3765752363471604E-4</v>
      </c>
      <c r="L141" t="s">
        <v>35</v>
      </c>
      <c r="M141" t="str">
        <f>HYPERLINK("http://www.broadinstitute.org/gsea/msigdb/cards/KAYO_AGING_MUSCLE_DN.html")</f>
        <v>http://www.broadinstitute.org/gsea/msigdb/cards/KAYO_AGING_MUSCLE_DN.html</v>
      </c>
    </row>
    <row r="142" spans="1:13">
      <c r="A142">
        <v>2999</v>
      </c>
      <c r="B142" t="s">
        <v>427</v>
      </c>
      <c r="C142">
        <v>4</v>
      </c>
      <c r="D142">
        <v>146</v>
      </c>
      <c r="E142">
        <v>35</v>
      </c>
      <c r="F142">
        <v>32441</v>
      </c>
      <c r="G142">
        <v>25.394129158512701</v>
      </c>
      <c r="H142" s="1">
        <v>2.8150415096241301E-5</v>
      </c>
      <c r="I142" t="s">
        <v>428</v>
      </c>
      <c r="J142" t="s">
        <v>429</v>
      </c>
      <c r="K142">
        <v>9.9297982732075006E-4</v>
      </c>
      <c r="L142" t="s">
        <v>35</v>
      </c>
      <c r="M142" t="str">
        <f>HYPERLINK("http://www.broadinstitute.org/gsea/msigdb/cards/HU_GENOTOXIC_DAMAGE_24HR.html")</f>
        <v>http://www.broadinstitute.org/gsea/msigdb/cards/HU_GENOTOXIC_DAMAGE_24HR.html</v>
      </c>
    </row>
    <row r="143" spans="1:13">
      <c r="A143">
        <v>1224</v>
      </c>
      <c r="B143" t="s">
        <v>430</v>
      </c>
      <c r="C143">
        <v>6</v>
      </c>
      <c r="D143">
        <v>146</v>
      </c>
      <c r="E143">
        <v>125</v>
      </c>
      <c r="F143">
        <v>32441</v>
      </c>
      <c r="G143">
        <v>10.6655342465753</v>
      </c>
      <c r="H143" s="1">
        <v>2.8777895331834099E-5</v>
      </c>
      <c r="I143" t="s">
        <v>431</v>
      </c>
      <c r="J143" t="s">
        <v>432</v>
      </c>
      <c r="K143">
        <v>1.00764954095731E-3</v>
      </c>
      <c r="L143" t="s">
        <v>35</v>
      </c>
      <c r="M143" t="str">
        <f>HYPERLINK("http://www.broadinstitute.org/gsea/msigdb/cards/REACTOME_HIV_LIFE_CYCLE.html")</f>
        <v>http://www.broadinstitute.org/gsea/msigdb/cards/REACTOME_HIV_LIFE_CYCLE.html</v>
      </c>
    </row>
    <row r="144" spans="1:13">
      <c r="A144">
        <v>1380</v>
      </c>
      <c r="B144" t="s">
        <v>433</v>
      </c>
      <c r="C144">
        <v>4</v>
      </c>
      <c r="D144">
        <v>146</v>
      </c>
      <c r="E144">
        <v>38</v>
      </c>
      <c r="F144">
        <v>32441</v>
      </c>
      <c r="G144">
        <v>23.389329488103801</v>
      </c>
      <c r="H144" s="1">
        <v>3.79105252294058E-5</v>
      </c>
      <c r="I144" t="s">
        <v>434</v>
      </c>
      <c r="J144" t="s">
        <v>435</v>
      </c>
      <c r="K144">
        <v>1.3177366506746701E-3</v>
      </c>
      <c r="L144" t="s">
        <v>35</v>
      </c>
      <c r="M144" t="str">
        <f>HYPERLINK("http://www.broadinstitute.org/gsea/msigdb/cards/GAZDA_DIAMOND_BLACKFAN_ANEMIA_MYELOID_DN.html")</f>
        <v>http://www.broadinstitute.org/gsea/msigdb/cards/GAZDA_DIAMOND_BLACKFAN_ANEMIA_MYELOID_DN.html</v>
      </c>
    </row>
    <row r="145" spans="1:13">
      <c r="A145">
        <v>3991</v>
      </c>
      <c r="B145" t="s">
        <v>436</v>
      </c>
      <c r="C145">
        <v>10</v>
      </c>
      <c r="D145">
        <v>146</v>
      </c>
      <c r="E145">
        <v>442</v>
      </c>
      <c r="F145">
        <v>32441</v>
      </c>
      <c r="G145">
        <v>5.0271183288910901</v>
      </c>
      <c r="H145" s="1">
        <v>3.9454863939549199E-5</v>
      </c>
      <c r="I145" t="s">
        <v>437</v>
      </c>
      <c r="J145" t="s">
        <v>438</v>
      </c>
      <c r="K145">
        <v>1.3614787107256001E-3</v>
      </c>
      <c r="L145" t="s">
        <v>35</v>
      </c>
      <c r="M145" t="str">
        <f>HYPERLINK("http://www.broadinstitute.org/gsea/msigdb/cards/ROME_INSULIN_TARGETS_IN_MUSCLE_UP.html")</f>
        <v>http://www.broadinstitute.org/gsea/msigdb/cards/ROME_INSULIN_TARGETS_IN_MUSCLE_UP.html</v>
      </c>
    </row>
    <row r="146" spans="1:13">
      <c r="A146">
        <v>1818</v>
      </c>
      <c r="B146" t="s">
        <v>439</v>
      </c>
      <c r="C146">
        <v>4</v>
      </c>
      <c r="D146">
        <v>146</v>
      </c>
      <c r="E146">
        <v>39</v>
      </c>
      <c r="F146">
        <v>32441</v>
      </c>
      <c r="G146">
        <v>22.7896030909729</v>
      </c>
      <c r="H146" s="1">
        <v>4.1653732453444301E-5</v>
      </c>
      <c r="I146" t="s">
        <v>440</v>
      </c>
      <c r="J146" t="s">
        <v>441</v>
      </c>
      <c r="K146">
        <v>1.4270149204554099E-3</v>
      </c>
      <c r="L146" t="s">
        <v>35</v>
      </c>
      <c r="M146" t="str">
        <f>HYPERLINK("http://www.broadinstitute.org/gsea/msigdb/cards/MCBRYAN_PUBERTAL_BREAST_3_4WK_DN.html")</f>
        <v>http://www.broadinstitute.org/gsea/msigdb/cards/MCBRYAN_PUBERTAL_BREAST_3_4WK_DN.html</v>
      </c>
    </row>
    <row r="147" spans="1:13">
      <c r="A147">
        <v>3026</v>
      </c>
      <c r="B147" t="s">
        <v>442</v>
      </c>
      <c r="C147">
        <v>6</v>
      </c>
      <c r="D147">
        <v>146</v>
      </c>
      <c r="E147">
        <v>138</v>
      </c>
      <c r="F147">
        <v>32441</v>
      </c>
      <c r="G147">
        <v>9.6608100059559305</v>
      </c>
      <c r="H147" s="1">
        <v>4.8925492720497402E-5</v>
      </c>
      <c r="I147" t="s">
        <v>443</v>
      </c>
      <c r="J147" t="s">
        <v>444</v>
      </c>
      <c r="K147">
        <v>1.6641656881071999E-3</v>
      </c>
      <c r="L147" t="s">
        <v>35</v>
      </c>
      <c r="M147" t="str">
        <f>HYPERLINK("http://www.broadinstitute.org/gsea/msigdb/cards/JIANG_VHL_TARGETS.html")</f>
        <v>http://www.broadinstitute.org/gsea/msigdb/cards/JIANG_VHL_TARGETS.html</v>
      </c>
    </row>
    <row r="148" spans="1:13">
      <c r="A148">
        <v>1550</v>
      </c>
      <c r="B148" t="s">
        <v>445</v>
      </c>
      <c r="C148">
        <v>5</v>
      </c>
      <c r="D148">
        <v>146</v>
      </c>
      <c r="E148">
        <v>86</v>
      </c>
      <c r="F148">
        <v>32441</v>
      </c>
      <c r="G148">
        <v>12.9185250079643</v>
      </c>
      <c r="H148" s="1">
        <v>5.74956901712305E-5</v>
      </c>
      <c r="I148" t="s">
        <v>446</v>
      </c>
      <c r="J148" t="s">
        <v>447</v>
      </c>
      <c r="K148">
        <v>1.94180479854893E-3</v>
      </c>
      <c r="L148" t="s">
        <v>35</v>
      </c>
      <c r="M148" t="str">
        <f>HYPERLINK("http://www.broadinstitute.org/gsea/msigdb/cards/HOEBEKE_LYMPHOID_STEM_CELL_DN.html")</f>
        <v>http://www.broadinstitute.org/gsea/msigdb/cards/HOEBEKE_LYMPHOID_STEM_CELL_DN.html</v>
      </c>
    </row>
    <row r="149" spans="1:13">
      <c r="A149">
        <v>2753</v>
      </c>
      <c r="B149" t="s">
        <v>448</v>
      </c>
      <c r="C149">
        <v>5</v>
      </c>
      <c r="D149">
        <v>146</v>
      </c>
      <c r="E149">
        <v>89</v>
      </c>
      <c r="F149">
        <v>32441</v>
      </c>
      <c r="G149">
        <v>12.4830691088195</v>
      </c>
      <c r="H149" s="1">
        <v>6.7137960717415104E-5</v>
      </c>
      <c r="I149" t="s">
        <v>449</v>
      </c>
      <c r="J149" t="s">
        <v>450</v>
      </c>
      <c r="K149">
        <v>2.2514856967347199E-3</v>
      </c>
      <c r="L149" t="s">
        <v>35</v>
      </c>
      <c r="M149" t="str">
        <f>HYPERLINK("http://www.broadinstitute.org/gsea/msigdb/cards/BHATTACHARYA_EMBRYONIC_STEM_CELL.html")</f>
        <v>http://www.broadinstitute.org/gsea/msigdb/cards/BHATTACHARYA_EMBRYONIC_STEM_CELL.html</v>
      </c>
    </row>
    <row r="150" spans="1:13">
      <c r="A150">
        <v>4505</v>
      </c>
      <c r="B150" t="s">
        <v>451</v>
      </c>
      <c r="C150">
        <v>5</v>
      </c>
      <c r="D150">
        <v>146</v>
      </c>
      <c r="E150">
        <v>90</v>
      </c>
      <c r="F150">
        <v>32441</v>
      </c>
      <c r="G150">
        <v>12.344368340943699</v>
      </c>
      <c r="H150" s="1">
        <v>7.0614121545192393E-5</v>
      </c>
      <c r="I150" t="s">
        <v>452</v>
      </c>
      <c r="J150" t="s">
        <v>453</v>
      </c>
      <c r="K150">
        <v>2.3514996279594799E-3</v>
      </c>
      <c r="L150" t="s">
        <v>35</v>
      </c>
      <c r="M150" t="str">
        <f>HYPERLINK("http://www.broadinstitute.org/gsea/msigdb/cards/BILANGES_SERUM_SENSITIVE_GENES.html")</f>
        <v>http://www.broadinstitute.org/gsea/msigdb/cards/BILANGES_SERUM_SENSITIVE_GENES.html</v>
      </c>
    </row>
    <row r="151" spans="1:13">
      <c r="A151">
        <v>3317</v>
      </c>
      <c r="B151" t="s">
        <v>454</v>
      </c>
      <c r="C151">
        <v>14</v>
      </c>
      <c r="D151">
        <v>146</v>
      </c>
      <c r="E151">
        <v>911</v>
      </c>
      <c r="F151">
        <v>32441</v>
      </c>
      <c r="G151">
        <v>3.4146880591853002</v>
      </c>
      <c r="H151" s="1">
        <v>7.5405758947695394E-5</v>
      </c>
      <c r="I151" t="s">
        <v>455</v>
      </c>
      <c r="J151" t="s">
        <v>456</v>
      </c>
      <c r="K151">
        <v>2.4936265563119801E-3</v>
      </c>
      <c r="L151" t="s">
        <v>35</v>
      </c>
      <c r="M151" t="str">
        <f>HYPERLINK("http://www.broadinstitute.org/gsea/msigdb/cards/KRIGE_RESPONSE_TO_TOSEDOSTAT_6HR_DN.html")</f>
        <v>http://www.broadinstitute.org/gsea/msigdb/cards/KRIGE_RESPONSE_TO_TOSEDOSTAT_6HR_DN.html</v>
      </c>
    </row>
    <row r="152" spans="1:13">
      <c r="A152">
        <v>3885</v>
      </c>
      <c r="B152" t="s">
        <v>457</v>
      </c>
      <c r="C152">
        <v>10</v>
      </c>
      <c r="D152">
        <v>146</v>
      </c>
      <c r="E152">
        <v>491</v>
      </c>
      <c r="F152">
        <v>32441</v>
      </c>
      <c r="G152">
        <v>4.5254303490221197</v>
      </c>
      <c r="H152" s="1">
        <v>9.2640244076565403E-5</v>
      </c>
      <c r="I152" t="s">
        <v>458</v>
      </c>
      <c r="J152" t="s">
        <v>459</v>
      </c>
      <c r="K152">
        <v>3.0424333951214102E-3</v>
      </c>
      <c r="L152" t="s">
        <v>35</v>
      </c>
      <c r="M152" t="str">
        <f>HYPERLINK("http://www.broadinstitute.org/gsea/msigdb/cards/SWEET_LUNG_CANCER_KRAS_UP.html")</f>
        <v>http://www.broadinstitute.org/gsea/msigdb/cards/SWEET_LUNG_CANCER_KRAS_UP.html</v>
      </c>
    </row>
    <row r="153" spans="1:13">
      <c r="A153">
        <v>2878</v>
      </c>
      <c r="B153" t="s">
        <v>460</v>
      </c>
      <c r="C153">
        <v>4</v>
      </c>
      <c r="D153">
        <v>146</v>
      </c>
      <c r="E153">
        <v>49</v>
      </c>
      <c r="F153">
        <v>32441</v>
      </c>
      <c r="G153">
        <v>18.138663684651899</v>
      </c>
      <c r="H153" s="1">
        <v>9.5460772112238699E-5</v>
      </c>
      <c r="I153" t="s">
        <v>461</v>
      </c>
      <c r="J153" t="s">
        <v>462</v>
      </c>
      <c r="K153">
        <v>3.0924095020304801E-3</v>
      </c>
      <c r="L153" t="s">
        <v>35</v>
      </c>
      <c r="M153" t="str">
        <f>HYPERLINK("http://www.broadinstitute.org/gsea/msigdb/cards/ZHAN_MULTIPLE_MYELOMA_HP_UP.html")</f>
        <v>http://www.broadinstitute.org/gsea/msigdb/cards/ZHAN_MULTIPLE_MYELOMA_HP_UP.html</v>
      </c>
    </row>
    <row r="154" spans="1:13">
      <c r="A154">
        <v>3678</v>
      </c>
      <c r="B154" t="s">
        <v>463</v>
      </c>
      <c r="C154">
        <v>3</v>
      </c>
      <c r="D154">
        <v>146</v>
      </c>
      <c r="E154">
        <v>17</v>
      </c>
      <c r="F154">
        <v>32441</v>
      </c>
      <c r="G154">
        <v>39.211522965350497</v>
      </c>
      <c r="H154" s="1">
        <v>9.4971257857606899E-5</v>
      </c>
      <c r="I154" t="s">
        <v>464</v>
      </c>
      <c r="J154" t="s">
        <v>465</v>
      </c>
      <c r="K154">
        <v>3.0924095020304801E-3</v>
      </c>
      <c r="L154" t="s">
        <v>35</v>
      </c>
      <c r="M154" t="str">
        <f>HYPERLINK("http://www.broadinstitute.org/gsea/msigdb/cards/GRATIAS_RETINOBLASTOMA_16Q24.html")</f>
        <v>http://www.broadinstitute.org/gsea/msigdb/cards/GRATIAS_RETINOBLASTOMA_16Q24.html</v>
      </c>
    </row>
    <row r="155" spans="1:13">
      <c r="A155">
        <v>1733</v>
      </c>
      <c r="B155" t="s">
        <v>466</v>
      </c>
      <c r="C155">
        <v>7</v>
      </c>
      <c r="D155">
        <v>146</v>
      </c>
      <c r="E155">
        <v>229</v>
      </c>
      <c r="F155">
        <v>32441</v>
      </c>
      <c r="G155">
        <v>6.7920978644493601</v>
      </c>
      <c r="H155" s="1">
        <v>9.87479843210914E-5</v>
      </c>
      <c r="I155" t="s">
        <v>467</v>
      </c>
      <c r="J155" t="s">
        <v>468</v>
      </c>
      <c r="K155">
        <v>3.1772831171421401E-3</v>
      </c>
      <c r="L155" t="s">
        <v>35</v>
      </c>
      <c r="M155" t="str">
        <f>HYPERLINK("http://www.broadinstitute.org/gsea/msigdb/cards/LINDGREN_BLADDER_CANCER_CLUSTER_3_DN.html")</f>
        <v>http://www.broadinstitute.org/gsea/msigdb/cards/LINDGREN_BLADDER_CANCER_CLUSTER_3_DN.html</v>
      </c>
    </row>
    <row r="156" spans="1:13">
      <c r="A156">
        <v>3217</v>
      </c>
      <c r="B156" t="s">
        <v>469</v>
      </c>
      <c r="C156">
        <v>8</v>
      </c>
      <c r="D156">
        <v>146</v>
      </c>
      <c r="E156">
        <v>311</v>
      </c>
      <c r="F156">
        <v>32441</v>
      </c>
      <c r="G156">
        <v>5.7157203893758499</v>
      </c>
      <c r="H156">
        <v>1.0111355221649601E-4</v>
      </c>
      <c r="I156" t="s">
        <v>470</v>
      </c>
      <c r="J156" t="s">
        <v>471</v>
      </c>
      <c r="K156">
        <v>3.2315619842614401E-3</v>
      </c>
      <c r="L156" t="s">
        <v>35</v>
      </c>
      <c r="M156" t="str">
        <f>HYPERLINK("http://www.broadinstitute.org/gsea/msigdb/cards/JIANG_HYPOXIA_NORMAL.html")</f>
        <v>http://www.broadinstitute.org/gsea/msigdb/cards/JIANG_HYPOXIA_NORMAL.html</v>
      </c>
    </row>
    <row r="157" spans="1:13">
      <c r="A157">
        <v>2528</v>
      </c>
      <c r="B157" t="s">
        <v>472</v>
      </c>
      <c r="C157">
        <v>4</v>
      </c>
      <c r="D157">
        <v>146</v>
      </c>
      <c r="E157">
        <v>53</v>
      </c>
      <c r="F157">
        <v>32441</v>
      </c>
      <c r="G157">
        <v>16.769707934866901</v>
      </c>
      <c r="H157">
        <v>1.2699760644374101E-4</v>
      </c>
      <c r="I157" t="s">
        <v>473</v>
      </c>
      <c r="J157" t="s">
        <v>474</v>
      </c>
      <c r="K157">
        <v>4.0317506792339796E-3</v>
      </c>
      <c r="L157" t="s">
        <v>35</v>
      </c>
      <c r="M157" t="str">
        <f>HYPERLINK("http://www.broadinstitute.org/gsea/msigdb/cards/NIKOLSKY_BREAST_CANCER_16Q24_AMPLICON.html")</f>
        <v>http://www.broadinstitute.org/gsea/msigdb/cards/NIKOLSKY_BREAST_CANCER_16Q24_AMPLICON.html</v>
      </c>
    </row>
    <row r="158" spans="1:13">
      <c r="A158">
        <v>1233</v>
      </c>
      <c r="B158" t="s">
        <v>475</v>
      </c>
      <c r="C158">
        <v>5</v>
      </c>
      <c r="D158">
        <v>146</v>
      </c>
      <c r="E158">
        <v>104</v>
      </c>
      <c r="F158">
        <v>32441</v>
      </c>
      <c r="G158">
        <v>10.6826264488936</v>
      </c>
      <c r="H158">
        <v>1.3541404916651701E-4</v>
      </c>
      <c r="I158" t="s">
        <v>476</v>
      </c>
      <c r="J158" t="s">
        <v>477</v>
      </c>
      <c r="K158">
        <v>4.2586183193230797E-3</v>
      </c>
      <c r="L158" t="s">
        <v>35</v>
      </c>
      <c r="M158" t="str">
        <f>HYPERLINK("http://www.broadinstitute.org/gsea/msigdb/cards/REACTOME_LATE_PHASE_OF_HIV_LIFE_CYCLE.html")</f>
        <v>http://www.broadinstitute.org/gsea/msigdb/cards/REACTOME_LATE_PHASE_OF_HIV_LIFE_CYCLE.html</v>
      </c>
    </row>
    <row r="159" spans="1:13">
      <c r="A159">
        <v>2961</v>
      </c>
      <c r="B159" t="s">
        <v>478</v>
      </c>
      <c r="C159">
        <v>4</v>
      </c>
      <c r="D159">
        <v>146</v>
      </c>
      <c r="E159">
        <v>54</v>
      </c>
      <c r="F159">
        <v>32441</v>
      </c>
      <c r="G159">
        <v>16.459157787924902</v>
      </c>
      <c r="H159">
        <v>1.35932378105231E-4</v>
      </c>
      <c r="I159" t="s">
        <v>479</v>
      </c>
      <c r="J159" t="s">
        <v>480</v>
      </c>
      <c r="K159">
        <v>4.2586183193230797E-3</v>
      </c>
      <c r="L159" t="s">
        <v>35</v>
      </c>
      <c r="M159" t="str">
        <f>HYPERLINK("http://www.broadinstitute.org/gsea/msigdb/cards/ZHOU_TNF_SIGNALING_4HR.html")</f>
        <v>http://www.broadinstitute.org/gsea/msigdb/cards/ZHOU_TNF_SIGNALING_4HR.html</v>
      </c>
    </row>
    <row r="160" spans="1:13">
      <c r="A160">
        <v>4671</v>
      </c>
      <c r="B160" t="s">
        <v>481</v>
      </c>
      <c r="C160">
        <v>3</v>
      </c>
      <c r="D160">
        <v>146</v>
      </c>
      <c r="E160">
        <v>22</v>
      </c>
      <c r="F160">
        <v>32441</v>
      </c>
      <c r="G160">
        <v>30.2998132004981</v>
      </c>
      <c r="H160">
        <v>1.8848764395556399E-4</v>
      </c>
      <c r="I160" t="s">
        <v>482</v>
      </c>
      <c r="J160" t="s">
        <v>483</v>
      </c>
      <c r="K160">
        <v>5.8665239249437598E-3</v>
      </c>
      <c r="L160" t="s">
        <v>35</v>
      </c>
      <c r="M160" t="str">
        <f>HYPERLINK("http://www.broadinstitute.org/gsea/msigdb/cards/HOLLEMAN_ASPARAGINASE_RESISTANCE_ALL_UP.html")</f>
        <v>http://www.broadinstitute.org/gsea/msigdb/cards/HOLLEMAN_ASPARAGINASE_RESISTANCE_ALL_UP.html</v>
      </c>
    </row>
    <row r="161" spans="1:13">
      <c r="A161">
        <v>2009</v>
      </c>
      <c r="B161" t="s">
        <v>484</v>
      </c>
      <c r="C161">
        <v>5</v>
      </c>
      <c r="D161">
        <v>146</v>
      </c>
      <c r="E161">
        <v>116</v>
      </c>
      <c r="F161">
        <v>32441</v>
      </c>
      <c r="G161">
        <v>9.5775271610770005</v>
      </c>
      <c r="H161">
        <v>2.2072783781808801E-4</v>
      </c>
      <c r="I161" t="s">
        <v>485</v>
      </c>
      <c r="J161" t="s">
        <v>486</v>
      </c>
      <c r="K161">
        <v>6.8253634005826999E-3</v>
      </c>
      <c r="L161" t="s">
        <v>35</v>
      </c>
      <c r="M161" t="str">
        <f>HYPERLINK("http://www.broadinstitute.org/gsea/msigdb/cards/MATTIOLI_MGUS_VS_PCL.html")</f>
        <v>http://www.broadinstitute.org/gsea/msigdb/cards/MATTIOLI_MGUS_VS_PCL.html</v>
      </c>
    </row>
    <row r="162" spans="1:13">
      <c r="A162">
        <v>3311</v>
      </c>
      <c r="B162" t="s">
        <v>487</v>
      </c>
      <c r="C162">
        <v>4</v>
      </c>
      <c r="D162">
        <v>146</v>
      </c>
      <c r="E162">
        <v>62</v>
      </c>
      <c r="F162">
        <v>32441</v>
      </c>
      <c r="G162">
        <v>14.3353954927088</v>
      </c>
      <c r="H162">
        <v>2.2459459175745001E-4</v>
      </c>
      <c r="I162" t="s">
        <v>488</v>
      </c>
      <c r="J162" t="s">
        <v>489</v>
      </c>
      <c r="K162">
        <v>6.9001254577353297E-3</v>
      </c>
      <c r="L162" t="s">
        <v>35</v>
      </c>
      <c r="M162" t="str">
        <f>HYPERLINK("http://www.broadinstitute.org/gsea/msigdb/cards/BILD_SRC_ONCOGENIC_SIGNATURE.html")</f>
        <v>http://www.broadinstitute.org/gsea/msigdb/cards/BILD_SRC_ONCOGENIC_SIGNATURE.html</v>
      </c>
    </row>
    <row r="163" spans="1:13">
      <c r="A163">
        <v>1728</v>
      </c>
      <c r="B163" t="s">
        <v>490</v>
      </c>
      <c r="C163">
        <v>5</v>
      </c>
      <c r="D163">
        <v>146</v>
      </c>
      <c r="E163">
        <v>121</v>
      </c>
      <c r="F163">
        <v>32441</v>
      </c>
      <c r="G163">
        <v>9.1817615759085207</v>
      </c>
      <c r="H163">
        <v>2.6636316041707799E-4</v>
      </c>
      <c r="I163" t="s">
        <v>491</v>
      </c>
      <c r="J163" t="s">
        <v>492</v>
      </c>
      <c r="K163">
        <v>8.1309062173469601E-3</v>
      </c>
      <c r="L163" t="s">
        <v>35</v>
      </c>
      <c r="M163" t="str">
        <f>HYPERLINK("http://www.broadinstitute.org/gsea/msigdb/cards/LINDGREN_BLADDER_CANCER_CLUSTER_1_UP.html")</f>
        <v>http://www.broadinstitute.org/gsea/msigdb/cards/LINDGREN_BLADDER_CANCER_CLUSTER_1_UP.html</v>
      </c>
    </row>
    <row r="164" spans="1:13">
      <c r="A164">
        <v>714</v>
      </c>
      <c r="B164" t="s">
        <v>493</v>
      </c>
      <c r="C164">
        <v>4</v>
      </c>
      <c r="D164">
        <v>146</v>
      </c>
      <c r="E164">
        <v>66</v>
      </c>
      <c r="F164">
        <v>32441</v>
      </c>
      <c r="G164">
        <v>13.4665836446658</v>
      </c>
      <c r="H164">
        <v>2.8179485195592999E-4</v>
      </c>
      <c r="I164" t="s">
        <v>494</v>
      </c>
      <c r="J164" t="s">
        <v>495</v>
      </c>
      <c r="K164">
        <v>8.5471788854403694E-3</v>
      </c>
      <c r="L164" t="s">
        <v>35</v>
      </c>
      <c r="M164" t="str">
        <f>HYPERLINK("http://www.broadinstitute.org/gsea/msigdb/cards/REACTOME_ANTIVIRAL_MECHANISM_BY_IFN_STIMULATED_GENES.html")</f>
        <v>http://www.broadinstitute.org/gsea/msigdb/cards/REACTOME_ANTIVIRAL_MECHANISM_BY_IFN_STIMULATED_GENES.html</v>
      </c>
    </row>
    <row r="165" spans="1:13">
      <c r="A165">
        <v>4046</v>
      </c>
      <c r="B165" t="s">
        <v>496</v>
      </c>
      <c r="C165">
        <v>6</v>
      </c>
      <c r="D165">
        <v>146</v>
      </c>
      <c r="E165">
        <v>193</v>
      </c>
      <c r="F165">
        <v>32441</v>
      </c>
      <c r="G165">
        <v>6.9077294343104496</v>
      </c>
      <c r="H165">
        <v>2.8703474570999303E-4</v>
      </c>
      <c r="I165" t="s">
        <v>497</v>
      </c>
      <c r="J165" t="s">
        <v>498</v>
      </c>
      <c r="K165">
        <v>8.6510092346265104E-3</v>
      </c>
      <c r="L165" t="s">
        <v>35</v>
      </c>
      <c r="M165" t="str">
        <f>HYPERLINK("http://www.broadinstitute.org/gsea/msigdb/cards/CHIANG_LIVER_CANCER_SUBCLASS_UNANNOTATED_DN.html")</f>
        <v>http://www.broadinstitute.org/gsea/msigdb/cards/CHIANG_LIVER_CANCER_SUBCLASS_UNANNOTATED_DN.html</v>
      </c>
    </row>
    <row r="166" spans="1:13">
      <c r="A166">
        <v>3078</v>
      </c>
      <c r="B166" t="s">
        <v>499</v>
      </c>
      <c r="C166">
        <v>5</v>
      </c>
      <c r="D166">
        <v>146</v>
      </c>
      <c r="E166">
        <v>126</v>
      </c>
      <c r="F166">
        <v>32441</v>
      </c>
      <c r="G166">
        <v>8.8174059578169199</v>
      </c>
      <c r="H166">
        <v>3.18830453207305E-4</v>
      </c>
      <c r="I166" t="s">
        <v>500</v>
      </c>
      <c r="J166" t="s">
        <v>501</v>
      </c>
      <c r="K166">
        <v>9.5488718124099592E-3</v>
      </c>
      <c r="L166" t="s">
        <v>35</v>
      </c>
      <c r="M166" t="str">
        <f>HYPERLINK("http://www.broadinstitute.org/gsea/msigdb/cards/BURTON_ADIPOGENESIS_5.html")</f>
        <v>http://www.broadinstitute.org/gsea/msigdb/cards/BURTON_ADIPOGENESIS_5.html</v>
      </c>
    </row>
    <row r="167" spans="1:13">
      <c r="A167">
        <v>1627</v>
      </c>
      <c r="B167" t="s">
        <v>502</v>
      </c>
      <c r="C167">
        <v>5</v>
      </c>
      <c r="D167">
        <v>146</v>
      </c>
      <c r="E167">
        <v>129</v>
      </c>
      <c r="F167">
        <v>32441</v>
      </c>
      <c r="G167">
        <v>8.6123500053095494</v>
      </c>
      <c r="H167">
        <v>3.5385822947613501E-4</v>
      </c>
      <c r="I167" t="s">
        <v>503</v>
      </c>
      <c r="J167" t="s">
        <v>504</v>
      </c>
      <c r="K167">
        <v>1.0531705554783499E-2</v>
      </c>
      <c r="L167" t="s">
        <v>35</v>
      </c>
      <c r="M167" t="str">
        <f>HYPERLINK("http://www.broadinstitute.org/gsea/msigdb/cards/KIM_WT1_TARGETS_8HR_DN.html")</f>
        <v>http://www.broadinstitute.org/gsea/msigdb/cards/KIM_WT1_TARGETS_8HR_DN.html</v>
      </c>
    </row>
    <row r="168" spans="1:13">
      <c r="A168">
        <v>3294</v>
      </c>
      <c r="B168" t="s">
        <v>505</v>
      </c>
      <c r="C168">
        <v>4</v>
      </c>
      <c r="D168">
        <v>146</v>
      </c>
      <c r="E168">
        <v>71</v>
      </c>
      <c r="F168">
        <v>32441</v>
      </c>
      <c r="G168">
        <v>12.518232683773901</v>
      </c>
      <c r="H168">
        <v>3.6713928696370898E-4</v>
      </c>
      <c r="I168" t="s">
        <v>506</v>
      </c>
      <c r="J168" t="s">
        <v>507</v>
      </c>
      <c r="K168">
        <v>1.0859113568454599E-2</v>
      </c>
      <c r="L168" t="s">
        <v>35</v>
      </c>
      <c r="M168" t="str">
        <f>HYPERLINK("http://www.broadinstitute.org/gsea/msigdb/cards/KYNG_RESPONSE_TO_H2O2.html")</f>
        <v>http://www.broadinstitute.org/gsea/msigdb/cards/KYNG_RESPONSE_TO_H2O2.html</v>
      </c>
    </row>
    <row r="169" spans="1:13">
      <c r="A169">
        <v>1227</v>
      </c>
      <c r="B169" t="s">
        <v>508</v>
      </c>
      <c r="C169">
        <v>5</v>
      </c>
      <c r="D169">
        <v>146</v>
      </c>
      <c r="E169">
        <v>132</v>
      </c>
      <c r="F169">
        <v>32441</v>
      </c>
      <c r="G169">
        <v>8.4166147779161502</v>
      </c>
      <c r="H169">
        <v>3.9172181346116099E-4</v>
      </c>
      <c r="I169" t="s">
        <v>509</v>
      </c>
      <c r="J169" t="s">
        <v>510</v>
      </c>
      <c r="K169">
        <v>1.1514686887049701E-2</v>
      </c>
      <c r="L169" t="s">
        <v>35</v>
      </c>
      <c r="M169" t="str">
        <f>HYPERLINK("http://www.broadinstitute.org/gsea/msigdb/cards/REACTOME_HOST_INTERACTIONS_OF_HIV_FACTORS.html")</f>
        <v>http://www.broadinstitute.org/gsea/msigdb/cards/REACTOME_HOST_INTERACTIONS_OF_HIV_FACTORS.html</v>
      </c>
    </row>
    <row r="170" spans="1:13">
      <c r="A170">
        <v>2784</v>
      </c>
      <c r="B170" t="s">
        <v>511</v>
      </c>
      <c r="C170">
        <v>4</v>
      </c>
      <c r="D170">
        <v>146</v>
      </c>
      <c r="E170">
        <v>73</v>
      </c>
      <c r="F170">
        <v>32441</v>
      </c>
      <c r="G170">
        <v>12.1752674047664</v>
      </c>
      <c r="H170">
        <v>4.0595072328156699E-4</v>
      </c>
      <c r="I170" t="s">
        <v>512</v>
      </c>
      <c r="J170" t="s">
        <v>513</v>
      </c>
      <c r="K170">
        <v>1.18597383083854E-2</v>
      </c>
      <c r="L170" t="s">
        <v>35</v>
      </c>
      <c r="M170" t="str">
        <f>HYPERLINK("http://www.broadinstitute.org/gsea/msigdb/cards/MOREAUX_B_LYMPHOCYTE_MATURATION_BY_TACI_DN.html")</f>
        <v>http://www.broadinstitute.org/gsea/msigdb/cards/MOREAUX_B_LYMPHOCYTE_MATURATION_BY_TACI_DN.html</v>
      </c>
    </row>
    <row r="171" spans="1:13">
      <c r="A171">
        <v>1222</v>
      </c>
      <c r="B171" t="s">
        <v>514</v>
      </c>
      <c r="C171">
        <v>6</v>
      </c>
      <c r="D171">
        <v>146</v>
      </c>
      <c r="E171">
        <v>207</v>
      </c>
      <c r="F171">
        <v>32441</v>
      </c>
      <c r="G171">
        <v>6.4405400039706198</v>
      </c>
      <c r="H171">
        <v>4.12195644940093E-4</v>
      </c>
      <c r="I171" t="s">
        <v>431</v>
      </c>
      <c r="J171" t="s">
        <v>432</v>
      </c>
      <c r="K171">
        <v>1.19687540317361E-2</v>
      </c>
      <c r="L171" t="s">
        <v>35</v>
      </c>
      <c r="M171" t="str">
        <f>HYPERLINK("http://www.broadinstitute.org/gsea/msigdb/cards/REACTOME_HIV_INFECTION.html")</f>
        <v>http://www.broadinstitute.org/gsea/msigdb/cards/REACTOME_HIV_INFECTION.html</v>
      </c>
    </row>
    <row r="172" spans="1:13">
      <c r="A172">
        <v>3327</v>
      </c>
      <c r="B172" t="s">
        <v>515</v>
      </c>
      <c r="C172">
        <v>4</v>
      </c>
      <c r="D172">
        <v>146</v>
      </c>
      <c r="E172">
        <v>77</v>
      </c>
      <c r="F172">
        <v>32441</v>
      </c>
      <c r="G172">
        <v>11.542785981142099</v>
      </c>
      <c r="H172">
        <v>4.9222320024783195E-4</v>
      </c>
      <c r="I172" t="s">
        <v>516</v>
      </c>
      <c r="J172" t="s">
        <v>517</v>
      </c>
      <c r="K172">
        <v>1.4205859876243499E-2</v>
      </c>
      <c r="L172" t="s">
        <v>35</v>
      </c>
      <c r="M172" t="str">
        <f>HYPERLINK("http://www.broadinstitute.org/gsea/msigdb/cards/ZHONG_SECRETOME_OF_LUNG_CANCER_AND_MACROPHAGE.html")</f>
        <v>http://www.broadinstitute.org/gsea/msigdb/cards/ZHONG_SECRETOME_OF_LUNG_CANCER_AND_MACROPHAGE.html</v>
      </c>
    </row>
    <row r="173" spans="1:13">
      <c r="A173">
        <v>1666</v>
      </c>
      <c r="B173" t="s">
        <v>518</v>
      </c>
      <c r="C173">
        <v>16</v>
      </c>
      <c r="D173">
        <v>146</v>
      </c>
      <c r="E173">
        <v>1375</v>
      </c>
      <c r="F173">
        <v>32441</v>
      </c>
      <c r="G173">
        <v>2.5855840597758402</v>
      </c>
      <c r="H173">
        <v>5.2509029466806304E-4</v>
      </c>
      <c r="I173" t="s">
        <v>519</v>
      </c>
      <c r="J173" t="s">
        <v>520</v>
      </c>
      <c r="K173">
        <v>1.5063132428971801E-2</v>
      </c>
      <c r="L173" t="s">
        <v>35</v>
      </c>
      <c r="M173" t="str">
        <f>HYPERLINK("http://www.broadinstitute.org/gsea/msigdb/cards/DODD_NASOPHARYNGEAL_CARCINOMA_DN.html")</f>
        <v>http://www.broadinstitute.org/gsea/msigdb/cards/DODD_NASOPHARYNGEAL_CARCINOMA_DN.html</v>
      </c>
    </row>
    <row r="174" spans="1:13">
      <c r="A174">
        <v>4254</v>
      </c>
      <c r="B174" t="s">
        <v>521</v>
      </c>
      <c r="C174">
        <v>4</v>
      </c>
      <c r="D174">
        <v>146</v>
      </c>
      <c r="E174">
        <v>79</v>
      </c>
      <c r="F174">
        <v>32441</v>
      </c>
      <c r="G174">
        <v>11.2505635512398</v>
      </c>
      <c r="H174">
        <v>5.3991848450231296E-4</v>
      </c>
      <c r="I174" t="s">
        <v>522</v>
      </c>
      <c r="J174" t="s">
        <v>523</v>
      </c>
      <c r="K174">
        <v>1.53957594203594E-2</v>
      </c>
      <c r="L174" t="s">
        <v>35</v>
      </c>
      <c r="M174" t="str">
        <f>HYPERLINK("http://www.broadinstitute.org/gsea/msigdb/cards/YAO_TEMPORAL_RESPONSE_TO_PROGESTERONE_CLUSTER_12.html")</f>
        <v>http://www.broadinstitute.org/gsea/msigdb/cards/YAO_TEMPORAL_RESPONSE_TO_PROGESTERONE_CLUSTER_12.html</v>
      </c>
    </row>
    <row r="175" spans="1:13">
      <c r="A175">
        <v>1477</v>
      </c>
      <c r="B175" t="s">
        <v>524</v>
      </c>
      <c r="C175">
        <v>7</v>
      </c>
      <c r="D175">
        <v>146</v>
      </c>
      <c r="E175">
        <v>310</v>
      </c>
      <c r="F175">
        <v>32441</v>
      </c>
      <c r="G175">
        <v>5.0173884224480796</v>
      </c>
      <c r="H175">
        <v>5.9074807831660102E-4</v>
      </c>
      <c r="I175" t="s">
        <v>525</v>
      </c>
      <c r="J175" t="s">
        <v>526</v>
      </c>
      <c r="K175">
        <v>1.6549639179909599E-2</v>
      </c>
      <c r="L175" t="s">
        <v>35</v>
      </c>
      <c r="M175" t="str">
        <f>HYPERLINK("http://www.broadinstitute.org/gsea/msigdb/cards/HORIUCHI_WTAP_TARGETS_DN.html")</f>
        <v>http://www.broadinstitute.org/gsea/msigdb/cards/HORIUCHI_WTAP_TARGETS_DN.html</v>
      </c>
    </row>
    <row r="176" spans="1:13">
      <c r="A176">
        <v>2896</v>
      </c>
      <c r="B176" t="s">
        <v>527</v>
      </c>
      <c r="C176">
        <v>4</v>
      </c>
      <c r="D176">
        <v>146</v>
      </c>
      <c r="E176">
        <v>81</v>
      </c>
      <c r="F176">
        <v>32441</v>
      </c>
      <c r="G176">
        <v>10.9727718586166</v>
      </c>
      <c r="H176">
        <v>5.9081030251672195E-4</v>
      </c>
      <c r="I176" t="s">
        <v>528</v>
      </c>
      <c r="J176" t="s">
        <v>529</v>
      </c>
      <c r="K176">
        <v>1.6549639179909599E-2</v>
      </c>
      <c r="L176" t="s">
        <v>35</v>
      </c>
      <c r="M176" t="str">
        <f>HYPERLINK("http://www.broadinstitute.org/gsea/msigdb/cards/MUNSHI_MULTIPLE_MYELOMA_UP.html")</f>
        <v>http://www.broadinstitute.org/gsea/msigdb/cards/MUNSHI_MULTIPLE_MYELOMA_UP.html</v>
      </c>
    </row>
    <row r="177" spans="1:13">
      <c r="A177">
        <v>3155</v>
      </c>
      <c r="B177" t="s">
        <v>530</v>
      </c>
      <c r="C177">
        <v>6</v>
      </c>
      <c r="D177">
        <v>146</v>
      </c>
      <c r="E177">
        <v>222</v>
      </c>
      <c r="F177">
        <v>32441</v>
      </c>
      <c r="G177">
        <v>6.00536838208071</v>
      </c>
      <c r="H177">
        <v>5.8984531437251096E-4</v>
      </c>
      <c r="I177" t="s">
        <v>531</v>
      </c>
      <c r="J177" t="s">
        <v>532</v>
      </c>
      <c r="K177">
        <v>1.6549639179909599E-2</v>
      </c>
      <c r="L177" t="s">
        <v>35</v>
      </c>
      <c r="M177" t="str">
        <f>HYPERLINK("http://www.broadinstitute.org/gsea/msigdb/cards/RODWELL_AGING_KIDNEY_NO_BLOOD_UP.html")</f>
        <v>http://www.broadinstitute.org/gsea/msigdb/cards/RODWELL_AGING_KIDNEY_NO_BLOOD_UP.html</v>
      </c>
    </row>
    <row r="178" spans="1:13">
      <c r="A178">
        <v>1861</v>
      </c>
      <c r="B178" t="s">
        <v>533</v>
      </c>
      <c r="C178">
        <v>5</v>
      </c>
      <c r="D178">
        <v>146</v>
      </c>
      <c r="E178">
        <v>147</v>
      </c>
      <c r="F178">
        <v>32441</v>
      </c>
      <c r="G178">
        <v>7.55777653527164</v>
      </c>
      <c r="H178">
        <v>6.28819223735851E-4</v>
      </c>
      <c r="I178" t="s">
        <v>534</v>
      </c>
      <c r="J178" t="s">
        <v>535</v>
      </c>
      <c r="K178">
        <v>1.7511328324152701E-2</v>
      </c>
      <c r="L178" t="s">
        <v>35</v>
      </c>
      <c r="M178" t="str">
        <f>HYPERLINK("http://www.broadinstitute.org/gsea/msigdb/cards/DARWICHE_PAPILLOMA_RISK_HIGH_UP.html")</f>
        <v>http://www.broadinstitute.org/gsea/msigdb/cards/DARWICHE_PAPILLOMA_RISK_HIGH_UP.html</v>
      </c>
    </row>
    <row r="179" spans="1:13">
      <c r="A179">
        <v>4453</v>
      </c>
      <c r="B179" t="s">
        <v>536</v>
      </c>
      <c r="C179">
        <v>7</v>
      </c>
      <c r="D179">
        <v>146</v>
      </c>
      <c r="E179">
        <v>317</v>
      </c>
      <c r="F179">
        <v>32441</v>
      </c>
      <c r="G179">
        <v>4.9065943563372398</v>
      </c>
      <c r="H179">
        <v>6.7174570733271699E-4</v>
      </c>
      <c r="I179" t="s">
        <v>537</v>
      </c>
      <c r="J179" t="s">
        <v>538</v>
      </c>
      <c r="K179">
        <v>1.8597982897200001E-2</v>
      </c>
      <c r="L179" t="s">
        <v>35</v>
      </c>
      <c r="M179" t="str">
        <f>HYPERLINK("http://www.broadinstitute.org/gsea/msigdb/cards/BRUINS_UVC_RESPONSE_EARLY_LATE.html")</f>
        <v>http://www.broadinstitute.org/gsea/msigdb/cards/BRUINS_UVC_RESPONSE_EARLY_LATE.html</v>
      </c>
    </row>
    <row r="180" spans="1:13">
      <c r="A180">
        <v>2947</v>
      </c>
      <c r="B180" t="s">
        <v>539</v>
      </c>
      <c r="C180">
        <v>3</v>
      </c>
      <c r="D180">
        <v>146</v>
      </c>
      <c r="E180">
        <v>36</v>
      </c>
      <c r="F180">
        <v>32441</v>
      </c>
      <c r="G180">
        <v>18.516552511415501</v>
      </c>
      <c r="H180">
        <v>7.1535479572289304E-4</v>
      </c>
      <c r="I180" t="s">
        <v>540</v>
      </c>
      <c r="J180" t="s">
        <v>541</v>
      </c>
      <c r="K180">
        <v>1.9690864377065999E-2</v>
      </c>
      <c r="L180" t="s">
        <v>35</v>
      </c>
      <c r="M180" t="str">
        <f>HYPERLINK("http://www.broadinstitute.org/gsea/msigdb/cards/JIANG_AGING_CEREBRAL_CORTEX_UP.html")</f>
        <v>http://www.broadinstitute.org/gsea/msigdb/cards/JIANG_AGING_CEREBRAL_CORTEX_UP.html</v>
      </c>
    </row>
    <row r="181" spans="1:13">
      <c r="A181">
        <v>2278</v>
      </c>
      <c r="B181" t="s">
        <v>542</v>
      </c>
      <c r="C181">
        <v>4</v>
      </c>
      <c r="D181">
        <v>146</v>
      </c>
      <c r="E181">
        <v>88</v>
      </c>
      <c r="F181">
        <v>32441</v>
      </c>
      <c r="G181">
        <v>10.0999377334994</v>
      </c>
      <c r="H181">
        <v>7.9581881768984303E-4</v>
      </c>
      <c r="I181" t="s">
        <v>543</v>
      </c>
      <c r="J181" t="s">
        <v>544</v>
      </c>
      <c r="K181">
        <v>2.1655366913365899E-2</v>
      </c>
      <c r="L181" t="s">
        <v>35</v>
      </c>
      <c r="M181" t="str">
        <f>HYPERLINK("http://www.broadinstitute.org/gsea/msigdb/cards/ALCALA_APOPTOSIS.html")</f>
        <v>http://www.broadinstitute.org/gsea/msigdb/cards/ALCALA_APOPTOSIS.html</v>
      </c>
    </row>
    <row r="182" spans="1:13">
      <c r="A182">
        <v>3173</v>
      </c>
      <c r="B182" t="s">
        <v>545</v>
      </c>
      <c r="C182">
        <v>4</v>
      </c>
      <c r="D182">
        <v>146</v>
      </c>
      <c r="E182">
        <v>88</v>
      </c>
      <c r="F182">
        <v>32441</v>
      </c>
      <c r="G182">
        <v>10.0999377334994</v>
      </c>
      <c r="H182">
        <v>7.9581881768984303E-4</v>
      </c>
      <c r="I182" t="s">
        <v>546</v>
      </c>
      <c r="J182" t="s">
        <v>547</v>
      </c>
      <c r="K182">
        <v>2.1655366913365899E-2</v>
      </c>
      <c r="L182" t="s">
        <v>35</v>
      </c>
      <c r="M182" t="str">
        <f>HYPERLINK("http://www.broadinstitute.org/gsea/msigdb/cards/LEE_CALORIE_RESTRICTION_NEOCORTEX_DN.html")</f>
        <v>http://www.broadinstitute.org/gsea/msigdb/cards/LEE_CALORIE_RESTRICTION_NEOCORTEX_DN.html</v>
      </c>
    </row>
    <row r="183" spans="1:13">
      <c r="A183">
        <v>2369</v>
      </c>
      <c r="B183" t="s">
        <v>548</v>
      </c>
      <c r="C183">
        <v>6</v>
      </c>
      <c r="D183">
        <v>146</v>
      </c>
      <c r="E183">
        <v>236</v>
      </c>
      <c r="F183">
        <v>32441</v>
      </c>
      <c r="G183">
        <v>5.6491177153471099</v>
      </c>
      <c r="H183">
        <v>8.0456581334877497E-4</v>
      </c>
      <c r="I183" t="s">
        <v>549</v>
      </c>
      <c r="J183" t="s">
        <v>550</v>
      </c>
      <c r="K183">
        <v>2.1768990927084501E-2</v>
      </c>
      <c r="L183" t="s">
        <v>35</v>
      </c>
      <c r="M183" t="str">
        <f>HYPERLINK("http://www.broadinstitute.org/gsea/msigdb/cards/RICKMAN_TUMOR_DIFFERENTIATED_WELL_VS_POORLY_UP.html")</f>
        <v>http://www.broadinstitute.org/gsea/msigdb/cards/RICKMAN_TUMOR_DIFFERENTIATED_WELL_VS_POORLY_UP.html</v>
      </c>
    </row>
    <row r="184" spans="1:13">
      <c r="A184">
        <v>3174</v>
      </c>
      <c r="B184" t="s">
        <v>551</v>
      </c>
      <c r="C184">
        <v>8</v>
      </c>
      <c r="D184">
        <v>146</v>
      </c>
      <c r="E184">
        <v>428</v>
      </c>
      <c r="F184">
        <v>32441</v>
      </c>
      <c r="G184">
        <v>4.1532454231212403</v>
      </c>
      <c r="H184">
        <v>8.1461481378407698E-4</v>
      </c>
      <c r="I184" t="s">
        <v>552</v>
      </c>
      <c r="J184" t="s">
        <v>553</v>
      </c>
      <c r="K184">
        <v>2.1916360131298201E-2</v>
      </c>
      <c r="L184" t="s">
        <v>35</v>
      </c>
      <c r="M184" t="str">
        <f>HYPERLINK("http://www.broadinstitute.org/gsea/msigdb/cards/CUI_TCF21_TARGETS_2_UP.html")</f>
        <v>http://www.broadinstitute.org/gsea/msigdb/cards/CUI_TCF21_TARGETS_2_UP.html</v>
      </c>
    </row>
    <row r="185" spans="1:13">
      <c r="A185">
        <v>4557</v>
      </c>
      <c r="B185" t="s">
        <v>554</v>
      </c>
      <c r="C185">
        <v>4</v>
      </c>
      <c r="D185">
        <v>146</v>
      </c>
      <c r="E185">
        <v>92</v>
      </c>
      <c r="F185">
        <v>32441</v>
      </c>
      <c r="G185">
        <v>9.6608100059559305</v>
      </c>
      <c r="H185">
        <v>9.3316705139070998E-4</v>
      </c>
      <c r="I185" t="s">
        <v>555</v>
      </c>
      <c r="J185" t="s">
        <v>556</v>
      </c>
      <c r="K185">
        <v>2.4964839880463802E-2</v>
      </c>
      <c r="L185" t="s">
        <v>35</v>
      </c>
      <c r="M185" t="str">
        <f>HYPERLINK("http://www.broadinstitute.org/gsea/msigdb/cards/JUBAN_TARGETS_OF_SPI1_AND_FLI1_DN.html")</f>
        <v>http://www.broadinstitute.org/gsea/msigdb/cards/JUBAN_TARGETS_OF_SPI1_AND_FLI1_DN.html</v>
      </c>
    </row>
    <row r="186" spans="1:13">
      <c r="A186">
        <v>1859</v>
      </c>
      <c r="B186" t="s">
        <v>557</v>
      </c>
      <c r="C186">
        <v>5</v>
      </c>
      <c r="D186">
        <v>146</v>
      </c>
      <c r="E186">
        <v>162</v>
      </c>
      <c r="F186">
        <v>32441</v>
      </c>
      <c r="G186">
        <v>6.8579824116353798</v>
      </c>
      <c r="H186">
        <v>9.6001052454047699E-4</v>
      </c>
      <c r="I186" t="s">
        <v>534</v>
      </c>
      <c r="J186" t="s">
        <v>535</v>
      </c>
      <c r="K186">
        <v>2.5539497865149401E-2</v>
      </c>
      <c r="L186" t="s">
        <v>35</v>
      </c>
      <c r="M186" t="str">
        <f>HYPERLINK("http://www.broadinstitute.org/gsea/msigdb/cards/DARWICHE_PAPILLOMA_RISK_LOW_UP.html")</f>
        <v>http://www.broadinstitute.org/gsea/msigdb/cards/DARWICHE_PAPILLOMA_RISK_LOW_UP.html</v>
      </c>
    </row>
    <row r="187" spans="1:13">
      <c r="A187">
        <v>1161</v>
      </c>
      <c r="B187" t="s">
        <v>558</v>
      </c>
      <c r="C187">
        <v>2</v>
      </c>
      <c r="D187">
        <v>146</v>
      </c>
      <c r="E187">
        <v>9</v>
      </c>
      <c r="F187">
        <v>32441</v>
      </c>
      <c r="G187">
        <v>49.377473363774698</v>
      </c>
      <c r="H187">
        <v>1.0678044148301001E-3</v>
      </c>
      <c r="I187" t="s">
        <v>559</v>
      </c>
      <c r="J187" t="s">
        <v>560</v>
      </c>
      <c r="K187">
        <v>2.8249359019005198E-2</v>
      </c>
      <c r="L187" t="s">
        <v>35</v>
      </c>
      <c r="M187" t="str">
        <f>HYPERLINK("http://www.broadinstitute.org/gsea/msigdb/cards/REACTOME_IRAK2_MEDIATED_ACTIVATION_OF_TAK1_COMPLEX_UPON_TLR7_8_OR_9_STIMULATION.html")</f>
        <v>http://www.broadinstitute.org/gsea/msigdb/cards/REACTOME_IRAK2_MEDIATED_ACTIVATION_OF_TAK1_COMPLEX_UPON_TLR7_8_OR_9_STIMULATION.html</v>
      </c>
    </row>
    <row r="188" spans="1:13">
      <c r="A188">
        <v>2675</v>
      </c>
      <c r="B188" t="s">
        <v>561</v>
      </c>
      <c r="C188">
        <v>3</v>
      </c>
      <c r="D188">
        <v>146</v>
      </c>
      <c r="E188">
        <v>43</v>
      </c>
      <c r="F188">
        <v>32441</v>
      </c>
      <c r="G188">
        <v>15.5022300095572</v>
      </c>
      <c r="H188">
        <v>1.16131420560589E-3</v>
      </c>
      <c r="I188" t="s">
        <v>562</v>
      </c>
      <c r="J188" t="s">
        <v>563</v>
      </c>
      <c r="K188">
        <v>3.0553470978426801E-2</v>
      </c>
      <c r="L188" t="s">
        <v>35</v>
      </c>
      <c r="M188" t="str">
        <f>HYPERLINK("http://www.broadinstitute.org/gsea/msigdb/cards/ZUCCHI_METASTASIS_UP.html")</f>
        <v>http://www.broadinstitute.org/gsea/msigdb/cards/ZUCCHI_METASTASIS_UP.html</v>
      </c>
    </row>
    <row r="189" spans="1:13">
      <c r="A189">
        <v>723</v>
      </c>
      <c r="B189" t="s">
        <v>564</v>
      </c>
      <c r="C189">
        <v>2</v>
      </c>
      <c r="D189">
        <v>146</v>
      </c>
      <c r="E189">
        <v>10</v>
      </c>
      <c r="F189">
        <v>32441</v>
      </c>
      <c r="G189">
        <v>44.439726027397299</v>
      </c>
      <c r="H189">
        <v>1.2776020182777E-3</v>
      </c>
      <c r="I189" t="s">
        <v>559</v>
      </c>
      <c r="J189" t="s">
        <v>560</v>
      </c>
      <c r="K189">
        <v>3.3428246214496797E-2</v>
      </c>
      <c r="L189" t="s">
        <v>35</v>
      </c>
      <c r="M189" t="str">
        <f>HYPERLINK("http://www.broadinstitute.org/gsea/msigdb/cards/REACTOME_MEMBRANE_BINDING_AND_TARGETTING_OF_GAG_PROTEINS.html")</f>
        <v>http://www.broadinstitute.org/gsea/msigdb/cards/REACTOME_MEMBRANE_BINDING_AND_TARGETTING_OF_GAG_PROTEINS.html</v>
      </c>
    </row>
    <row r="190" spans="1:13">
      <c r="A190">
        <v>3823</v>
      </c>
      <c r="B190" t="s">
        <v>565</v>
      </c>
      <c r="C190">
        <v>4</v>
      </c>
      <c r="D190">
        <v>146</v>
      </c>
      <c r="E190">
        <v>102</v>
      </c>
      <c r="F190">
        <v>32441</v>
      </c>
      <c r="G190">
        <v>8.7136717700778892</v>
      </c>
      <c r="H190">
        <v>1.34814554050036E-3</v>
      </c>
      <c r="I190" t="s">
        <v>566</v>
      </c>
      <c r="J190" t="s">
        <v>567</v>
      </c>
      <c r="K190">
        <v>3.5081251715096802E-2</v>
      </c>
      <c r="L190" t="s">
        <v>35</v>
      </c>
      <c r="M190" t="str">
        <f>HYPERLINK("http://www.broadinstitute.org/gsea/msigdb/cards/CHAUHAN_RESPONSE_TO_METHOXYESTRADIOL_DN.html")</f>
        <v>http://www.broadinstitute.org/gsea/msigdb/cards/CHAUHAN_RESPONSE_TO_METHOXYESTRADIOL_DN.html</v>
      </c>
    </row>
    <row r="191" spans="1:13">
      <c r="A191">
        <v>1657</v>
      </c>
      <c r="B191" t="s">
        <v>568</v>
      </c>
      <c r="C191">
        <v>6</v>
      </c>
      <c r="D191">
        <v>146</v>
      </c>
      <c r="E191">
        <v>265</v>
      </c>
      <c r="F191">
        <v>32441</v>
      </c>
      <c r="G191">
        <v>5.0309123804600704</v>
      </c>
      <c r="H191">
        <v>1.43752473752224E-3</v>
      </c>
      <c r="I191" t="s">
        <v>569</v>
      </c>
      <c r="J191" t="s">
        <v>570</v>
      </c>
      <c r="K191">
        <v>3.7203765217831003E-2</v>
      </c>
      <c r="L191" t="s">
        <v>35</v>
      </c>
      <c r="M191" t="str">
        <f>HYPERLINK("http://www.broadinstitute.org/gsea/msigdb/cards/WAMUNYOKOLI_OVARIAN_CANCER_LMP_UP.html")</f>
        <v>http://www.broadinstitute.org/gsea/msigdb/cards/WAMUNYOKOLI_OVARIAN_CANCER_LMP_UP.html</v>
      </c>
    </row>
    <row r="192" spans="1:13">
      <c r="A192">
        <v>3293</v>
      </c>
      <c r="B192" t="s">
        <v>571</v>
      </c>
      <c r="C192">
        <v>3</v>
      </c>
      <c r="D192">
        <v>146</v>
      </c>
      <c r="E192">
        <v>47</v>
      </c>
      <c r="F192">
        <v>32441</v>
      </c>
      <c r="G192">
        <v>14.182891285339499</v>
      </c>
      <c r="H192">
        <v>1.4799862590546299E-3</v>
      </c>
      <c r="I192" t="s">
        <v>572</v>
      </c>
      <c r="J192" t="s">
        <v>573</v>
      </c>
      <c r="K192">
        <v>3.7890830997947003E-2</v>
      </c>
      <c r="L192" t="s">
        <v>35</v>
      </c>
      <c r="M192" t="str">
        <f>HYPERLINK("http://www.broadinstitute.org/gsea/msigdb/cards/JIANG_AGING_HYPOTHALAMUS_UP.html")</f>
        <v>http://www.broadinstitute.org/gsea/msigdb/cards/JIANG_AGING_HYPOTHALAMUS_UP.html</v>
      </c>
    </row>
    <row r="193" spans="1:13">
      <c r="A193">
        <v>3800</v>
      </c>
      <c r="B193" t="s">
        <v>574</v>
      </c>
      <c r="C193">
        <v>3</v>
      </c>
      <c r="D193">
        <v>146</v>
      </c>
      <c r="E193">
        <v>47</v>
      </c>
      <c r="F193">
        <v>32441</v>
      </c>
      <c r="G193">
        <v>14.182891285339499</v>
      </c>
      <c r="H193">
        <v>1.4799862590546299E-3</v>
      </c>
      <c r="I193" t="s">
        <v>575</v>
      </c>
      <c r="J193" t="s">
        <v>576</v>
      </c>
      <c r="K193">
        <v>3.7890830997947003E-2</v>
      </c>
      <c r="L193" t="s">
        <v>35</v>
      </c>
      <c r="M193" t="str">
        <f>HYPERLINK("http://www.broadinstitute.org/gsea/msigdb/cards/BOHN_PRIMARY_IMMUNODEFICIENCY_SYNDROM_UP.html")</f>
        <v>http://www.broadinstitute.org/gsea/msigdb/cards/BOHN_PRIMARY_IMMUNODEFICIENCY_SYNDROM_UP.html</v>
      </c>
    </row>
    <row r="194" spans="1:13">
      <c r="A194">
        <v>874</v>
      </c>
      <c r="B194" t="s">
        <v>577</v>
      </c>
      <c r="C194">
        <v>2</v>
      </c>
      <c r="D194">
        <v>146</v>
      </c>
      <c r="E194">
        <v>11</v>
      </c>
      <c r="F194">
        <v>32441</v>
      </c>
      <c r="G194">
        <v>40.399750933997503</v>
      </c>
      <c r="H194">
        <v>1.5054603952508699E-3</v>
      </c>
      <c r="I194" t="s">
        <v>559</v>
      </c>
      <c r="J194" t="s">
        <v>560</v>
      </c>
      <c r="K194">
        <v>3.8132991500982198E-2</v>
      </c>
      <c r="L194" t="s">
        <v>35</v>
      </c>
      <c r="M194" t="str">
        <f>HYPERLINK("http://www.broadinstitute.org/gsea/msigdb/cards/REACTOME_NFKB_IS_ACTIVATED_AND_SIGNALS_SURVIVAL.html")</f>
        <v>http://www.broadinstitute.org/gsea/msigdb/cards/REACTOME_NFKB_IS_ACTIVATED_AND_SIGNALS_SURVIVAL.html</v>
      </c>
    </row>
    <row r="195" spans="1:13">
      <c r="A195">
        <v>970</v>
      </c>
      <c r="B195" t="s">
        <v>578</v>
      </c>
      <c r="C195">
        <v>2</v>
      </c>
      <c r="D195">
        <v>146</v>
      </c>
      <c r="E195">
        <v>11</v>
      </c>
      <c r="F195">
        <v>32441</v>
      </c>
      <c r="G195">
        <v>40.399750933997503</v>
      </c>
      <c r="H195">
        <v>1.5054603952508699E-3</v>
      </c>
      <c r="I195" t="s">
        <v>559</v>
      </c>
      <c r="J195" t="s">
        <v>560</v>
      </c>
      <c r="K195">
        <v>3.8132991500982198E-2</v>
      </c>
      <c r="L195" t="s">
        <v>35</v>
      </c>
      <c r="M195" t="str">
        <f>HYPERLINK("http://www.broadinstitute.org/gsea/msigdb/cards/REACTOME_REGULATION_OF_THE_FANCONI_ANEMIA_PATHWAY.html")</f>
        <v>http://www.broadinstitute.org/gsea/msigdb/cards/REACTOME_REGULATION_OF_THE_FANCONI_ANEMIA_PATHWAY.html</v>
      </c>
    </row>
    <row r="196" spans="1:13">
      <c r="A196">
        <v>3223</v>
      </c>
      <c r="B196" t="s">
        <v>579</v>
      </c>
      <c r="C196">
        <v>6</v>
      </c>
      <c r="D196">
        <v>146</v>
      </c>
      <c r="E196">
        <v>268</v>
      </c>
      <c r="F196">
        <v>32441</v>
      </c>
      <c r="G196">
        <v>4.9745961970967096</v>
      </c>
      <c r="H196">
        <v>1.51997982299515E-3</v>
      </c>
      <c r="I196" t="s">
        <v>580</v>
      </c>
      <c r="J196" t="s">
        <v>581</v>
      </c>
      <c r="K196">
        <v>3.8297057762449203E-2</v>
      </c>
      <c r="L196" t="s">
        <v>35</v>
      </c>
      <c r="M196" t="str">
        <f>HYPERLINK("http://www.broadinstitute.org/gsea/msigdb/cards/XU_GH1_AUTOCRINE_TARGETS_UP.html")</f>
        <v>http://www.broadinstitute.org/gsea/msigdb/cards/XU_GH1_AUTOCRINE_TARGETS_UP.html</v>
      </c>
    </row>
    <row r="197" spans="1:13">
      <c r="A197">
        <v>2694</v>
      </c>
      <c r="B197" t="s">
        <v>582</v>
      </c>
      <c r="C197">
        <v>5</v>
      </c>
      <c r="D197">
        <v>146</v>
      </c>
      <c r="E197">
        <v>182</v>
      </c>
      <c r="F197">
        <v>32441</v>
      </c>
      <c r="G197">
        <v>6.1043579707963298</v>
      </c>
      <c r="H197">
        <v>1.5841950533429499E-3</v>
      </c>
      <c r="I197" t="s">
        <v>583</v>
      </c>
      <c r="J197" t="s">
        <v>584</v>
      </c>
      <c r="K197">
        <v>3.9704930757995499E-2</v>
      </c>
      <c r="L197" t="s">
        <v>35</v>
      </c>
      <c r="M197" t="str">
        <f>HYPERLINK("http://www.broadinstitute.org/gsea/msigdb/cards/FERNANDEZ_BOUND_BY_MYC.html")</f>
        <v>http://www.broadinstitute.org/gsea/msigdb/cards/FERNANDEZ_BOUND_BY_MYC.html</v>
      </c>
    </row>
    <row r="198" spans="1:13">
      <c r="A198">
        <v>1819</v>
      </c>
      <c r="B198" t="s">
        <v>585</v>
      </c>
      <c r="C198">
        <v>6</v>
      </c>
      <c r="D198">
        <v>146</v>
      </c>
      <c r="E198">
        <v>271</v>
      </c>
      <c r="F198">
        <v>32441</v>
      </c>
      <c r="G198">
        <v>4.9195268665015401</v>
      </c>
      <c r="H198">
        <v>1.60599096872912E-3</v>
      </c>
      <c r="I198" t="s">
        <v>586</v>
      </c>
      <c r="J198" t="s">
        <v>587</v>
      </c>
      <c r="K198">
        <v>4.0040465932398198E-2</v>
      </c>
      <c r="L198" t="s">
        <v>35</v>
      </c>
      <c r="M198" t="str">
        <f>HYPERLINK("http://www.broadinstitute.org/gsea/msigdb/cards/MCBRYAN_PUBERTAL_BREAST_4_5WK_UP.html")</f>
        <v>http://www.broadinstitute.org/gsea/msigdb/cards/MCBRYAN_PUBERTAL_BREAST_4_5WK_UP.html</v>
      </c>
    </row>
    <row r="199" spans="1:13">
      <c r="A199">
        <v>713</v>
      </c>
      <c r="B199" t="s">
        <v>588</v>
      </c>
      <c r="C199">
        <v>2</v>
      </c>
      <c r="D199">
        <v>146</v>
      </c>
      <c r="E199">
        <v>12</v>
      </c>
      <c r="F199">
        <v>32441</v>
      </c>
      <c r="G199">
        <v>37.033105022831101</v>
      </c>
      <c r="H199">
        <v>1.7512157347550801E-3</v>
      </c>
      <c r="I199" t="s">
        <v>559</v>
      </c>
      <c r="J199" t="s">
        <v>560</v>
      </c>
      <c r="K199">
        <v>4.2547394535222799E-2</v>
      </c>
      <c r="L199" t="s">
        <v>35</v>
      </c>
      <c r="M199" t="str">
        <f>HYPERLINK("http://www.broadinstitute.org/gsea/msigdb/cards/REACTOME_DOWNREGULATION_OF_ERBB2_ERBB3_SIGNALING.html")</f>
        <v>http://www.broadinstitute.org/gsea/msigdb/cards/REACTOME_DOWNREGULATION_OF_ERBB2_ERBB3_SIGNALING.html</v>
      </c>
    </row>
    <row r="200" spans="1:13">
      <c r="A200">
        <v>855</v>
      </c>
      <c r="B200" t="s">
        <v>589</v>
      </c>
      <c r="C200">
        <v>2</v>
      </c>
      <c r="D200">
        <v>146</v>
      </c>
      <c r="E200">
        <v>12</v>
      </c>
      <c r="F200">
        <v>32441</v>
      </c>
      <c r="G200">
        <v>37.033105022831101</v>
      </c>
      <c r="H200">
        <v>1.7512157347550801E-3</v>
      </c>
      <c r="I200" t="s">
        <v>559</v>
      </c>
      <c r="J200" t="s">
        <v>560</v>
      </c>
      <c r="K200">
        <v>4.2547394535222799E-2</v>
      </c>
      <c r="L200" t="s">
        <v>35</v>
      </c>
      <c r="M200" t="str">
        <f>HYPERLINK("http://www.broadinstitute.org/gsea/msigdb/cards/REACTOME_P75NTR_RECRUITS_SIGNALLING_COMPLEXES.html")</f>
        <v>http://www.broadinstitute.org/gsea/msigdb/cards/REACTOME_P75NTR_RECRUITS_SIGNALLING_COMPLEXES.html</v>
      </c>
    </row>
    <row r="201" spans="1:13">
      <c r="A201">
        <v>1043</v>
      </c>
      <c r="B201" t="s">
        <v>590</v>
      </c>
      <c r="C201">
        <v>2</v>
      </c>
      <c r="D201">
        <v>146</v>
      </c>
      <c r="E201">
        <v>12</v>
      </c>
      <c r="F201">
        <v>32441</v>
      </c>
      <c r="G201">
        <v>37.033105022831101</v>
      </c>
      <c r="H201">
        <v>1.7512157347550801E-3</v>
      </c>
      <c r="I201" t="s">
        <v>559</v>
      </c>
      <c r="J201" t="s">
        <v>560</v>
      </c>
      <c r="K201">
        <v>4.2547394535222799E-2</v>
      </c>
      <c r="L201" t="s">
        <v>35</v>
      </c>
      <c r="M201" t="str">
        <f>HYPERLINK("http://www.broadinstitute.org/gsea/msigdb/cards/REACTOME_RECEPTOR_LIGAND_BINDING_INITIATES_THE_SECOND_PROTEOLYTIC_CLEAVAGE_OF_NOTCH_RECEPTOR.html")</f>
        <v>http://www.broadinstitute.org/gsea/msigdb/cards/REACTOME_RECEPTOR_LIGAND_BINDING_INITIATES_THE_SECOND_PROTEOLYTIC_CLEAVAGE_OF_NOTCH_RECEPTOR.html</v>
      </c>
    </row>
    <row r="202" spans="1:13">
      <c r="A202">
        <v>2081</v>
      </c>
      <c r="B202" t="s">
        <v>591</v>
      </c>
      <c r="C202">
        <v>2</v>
      </c>
      <c r="D202">
        <v>146</v>
      </c>
      <c r="E202">
        <v>12</v>
      </c>
      <c r="F202">
        <v>32441</v>
      </c>
      <c r="G202">
        <v>37.033105022831101</v>
      </c>
      <c r="H202">
        <v>1.7512157347550801E-3</v>
      </c>
      <c r="I202" t="s">
        <v>592</v>
      </c>
      <c r="J202" t="s">
        <v>593</v>
      </c>
      <c r="K202">
        <v>4.2547394535222799E-2</v>
      </c>
      <c r="L202" t="s">
        <v>35</v>
      </c>
      <c r="M202" t="str">
        <f>HYPERLINK("http://www.broadinstitute.org/gsea/msigdb/cards/NEBEN_AML_WITH_FLT3_OR_NRAS_DN.html")</f>
        <v>http://www.broadinstitute.org/gsea/msigdb/cards/NEBEN_AML_WITH_FLT3_OR_NRAS_DN.html</v>
      </c>
    </row>
    <row r="203" spans="1:13">
      <c r="A203">
        <v>4297</v>
      </c>
      <c r="B203" t="s">
        <v>594</v>
      </c>
      <c r="C203">
        <v>2</v>
      </c>
      <c r="D203">
        <v>146</v>
      </c>
      <c r="E203">
        <v>12</v>
      </c>
      <c r="F203">
        <v>32441</v>
      </c>
      <c r="G203">
        <v>37.033105022831101</v>
      </c>
      <c r="H203">
        <v>1.7512157347550801E-3</v>
      </c>
      <c r="I203" t="s">
        <v>595</v>
      </c>
      <c r="J203" t="s">
        <v>596</v>
      </c>
      <c r="K203">
        <v>4.2547394535222799E-2</v>
      </c>
      <c r="L203" t="s">
        <v>35</v>
      </c>
      <c r="M203" t="str">
        <f>HYPERLINK("http://www.broadinstitute.org/gsea/msigdb/cards/DAZARD_UV_RESPONSE_CLUSTER_G5.html")</f>
        <v>http://www.broadinstitute.org/gsea/msigdb/cards/DAZARD_UV_RESPONSE_CLUSTER_G5.html</v>
      </c>
    </row>
    <row r="204" spans="1:13">
      <c r="A204">
        <v>3043</v>
      </c>
      <c r="B204" t="s">
        <v>597</v>
      </c>
      <c r="C204">
        <v>3</v>
      </c>
      <c r="D204">
        <v>146</v>
      </c>
      <c r="E204">
        <v>52</v>
      </c>
      <c r="F204">
        <v>32441</v>
      </c>
      <c r="G204">
        <v>12.8191517386723</v>
      </c>
      <c r="H204">
        <v>1.9489191830787201E-3</v>
      </c>
      <c r="I204" t="s">
        <v>598</v>
      </c>
      <c r="J204" t="s">
        <v>599</v>
      </c>
      <c r="K204">
        <v>4.7110422080308897E-2</v>
      </c>
      <c r="L204" t="s">
        <v>35</v>
      </c>
      <c r="M204" t="str">
        <f>HYPERLINK("http://www.broadinstitute.org/gsea/msigdb/cards/NATSUME_RESPONSE_TO_INTERFERON_BETA_DN.html")</f>
        <v>http://www.broadinstitute.org/gsea/msigdb/cards/NATSUME_RESPONSE_TO_INTERFERON_BETA_DN.html</v>
      </c>
    </row>
    <row r="205" spans="1:13">
      <c r="A205">
        <v>2271</v>
      </c>
      <c r="B205" t="s">
        <v>600</v>
      </c>
      <c r="C205">
        <v>2</v>
      </c>
      <c r="D205">
        <v>146</v>
      </c>
      <c r="E205">
        <v>13</v>
      </c>
      <c r="F205">
        <v>32441</v>
      </c>
      <c r="G205">
        <v>34.184404636459398</v>
      </c>
      <c r="H205">
        <v>2.01470531358734E-3</v>
      </c>
      <c r="I205" t="s">
        <v>601</v>
      </c>
      <c r="J205" t="s">
        <v>602</v>
      </c>
      <c r="K205">
        <v>4.8454680319711799E-2</v>
      </c>
      <c r="L205" t="s">
        <v>35</v>
      </c>
      <c r="M205" t="str">
        <f>HYPERLINK("http://www.broadinstitute.org/gsea/msigdb/cards/GOERING_BLOOD_HDL_CHOLESTEROL_QTL_CIS.html")</f>
        <v>http://www.broadinstitute.org/gsea/msigdb/cards/GOERING_BLOOD_HDL_CHOLESTEROL_QTL_CIS.html</v>
      </c>
    </row>
    <row r="206" spans="1:13">
      <c r="A206">
        <v>790</v>
      </c>
      <c r="B206" t="s">
        <v>603</v>
      </c>
      <c r="C206">
        <v>35</v>
      </c>
      <c r="D206">
        <v>146</v>
      </c>
      <c r="E206">
        <v>1199</v>
      </c>
      <c r="F206">
        <v>32441</v>
      </c>
      <c r="G206">
        <v>6.4861985444491399</v>
      </c>
      <c r="H206" s="1">
        <v>1.22387539535148E-18</v>
      </c>
      <c r="I206" t="s">
        <v>604</v>
      </c>
      <c r="J206" t="s">
        <v>605</v>
      </c>
      <c r="K206" s="1">
        <v>1.0231598305138299E-15</v>
      </c>
      <c r="L206" t="s">
        <v>606</v>
      </c>
      <c r="M206" t="str">
        <f>HYPERLINK("http://www.broadinstitute.org/gsea/msigdb/cards/SCGGAAGY_ELK1_02.html")</f>
        <v>http://www.broadinstitute.org/gsea/msigdb/cards/SCGGAAGY_ELK1_02.html</v>
      </c>
    </row>
    <row r="207" spans="1:13">
      <c r="A207">
        <v>747</v>
      </c>
      <c r="B207" t="s">
        <v>607</v>
      </c>
      <c r="C207">
        <v>9</v>
      </c>
      <c r="D207">
        <v>146</v>
      </c>
      <c r="E207">
        <v>160</v>
      </c>
      <c r="F207">
        <v>32441</v>
      </c>
      <c r="G207">
        <v>12.498672945205501</v>
      </c>
      <c r="H207" s="1">
        <v>7.7072834117126801E-8</v>
      </c>
      <c r="I207" t="s">
        <v>608</v>
      </c>
      <c r="J207" t="s">
        <v>609</v>
      </c>
      <c r="K207" s="1">
        <v>3.2216444660958998E-5</v>
      </c>
      <c r="L207" t="s">
        <v>606</v>
      </c>
      <c r="M207" t="str">
        <f>HYPERLINK("http://www.broadinstitute.org/gsea/msigdb/cards/TMTCGCGANR_UNKNOWN.html")</f>
        <v>http://www.broadinstitute.org/gsea/msigdb/cards/TMTCGCGANR_UNKNOWN.html</v>
      </c>
    </row>
    <row r="208" spans="1:13">
      <c r="A208">
        <v>84</v>
      </c>
      <c r="B208" t="s">
        <v>610</v>
      </c>
      <c r="C208">
        <v>13</v>
      </c>
      <c r="D208">
        <v>146</v>
      </c>
      <c r="E208">
        <v>449</v>
      </c>
      <c r="F208">
        <v>32441</v>
      </c>
      <c r="G208">
        <v>6.4333679104249901</v>
      </c>
      <c r="H208" s="1">
        <v>1.81644447289451E-7</v>
      </c>
      <c r="I208" t="s">
        <v>611</v>
      </c>
      <c r="J208" t="s">
        <v>612</v>
      </c>
      <c r="K208" s="1">
        <v>5.0618252644660301E-5</v>
      </c>
      <c r="L208" t="s">
        <v>606</v>
      </c>
      <c r="M208" t="str">
        <f>HYPERLINK("http://www.broadinstitute.org/gsea/msigdb/cards/ACTAYRNNNCCCR_UNKNOWN.html")</f>
        <v>http://www.broadinstitute.org/gsea/msigdb/cards/ACTAYRNNNCCCR_UNKNOWN.html</v>
      </c>
    </row>
    <row r="209" spans="1:13">
      <c r="A209">
        <v>215</v>
      </c>
      <c r="B209" t="s">
        <v>613</v>
      </c>
      <c r="C209">
        <v>10</v>
      </c>
      <c r="D209">
        <v>146</v>
      </c>
      <c r="E209">
        <v>259</v>
      </c>
      <c r="F209">
        <v>32441</v>
      </c>
      <c r="G209">
        <v>8.5790976886867298</v>
      </c>
      <c r="H209" s="1">
        <v>4.1082603571333102E-7</v>
      </c>
      <c r="I209" t="s">
        <v>614</v>
      </c>
      <c r="J209" t="s">
        <v>615</v>
      </c>
      <c r="K209" s="1">
        <v>8.5862641464086301E-5</v>
      </c>
      <c r="L209" t="s">
        <v>606</v>
      </c>
      <c r="M209" t="str">
        <f>HYPERLINK("http://www.broadinstitute.org/gsea/msigdb/cards/GABP_B.html")</f>
        <v>http://www.broadinstitute.org/gsea/msigdb/cards/GABP_B.html</v>
      </c>
    </row>
    <row r="210" spans="1:13">
      <c r="A210">
        <v>71</v>
      </c>
      <c r="B210" t="s">
        <v>616</v>
      </c>
      <c r="C210">
        <v>10</v>
      </c>
      <c r="D210">
        <v>146</v>
      </c>
      <c r="E210">
        <v>270</v>
      </c>
      <c r="F210">
        <v>32441</v>
      </c>
      <c r="G210">
        <v>8.2295788939624597</v>
      </c>
      <c r="H210" s="1">
        <v>5.9224745927473103E-7</v>
      </c>
      <c r="I210" t="s">
        <v>617</v>
      </c>
      <c r="J210" t="s">
        <v>618</v>
      </c>
      <c r="K210" s="1">
        <v>9.9023775190734903E-5</v>
      </c>
      <c r="L210" t="s">
        <v>606</v>
      </c>
      <c r="M210" t="str">
        <f>HYPERLINK("http://www.broadinstitute.org/gsea/msigdb/cards/NRF2_01.html")</f>
        <v>http://www.broadinstitute.org/gsea/msigdb/cards/NRF2_01.html</v>
      </c>
    </row>
    <row r="211" spans="1:13">
      <c r="A211">
        <v>414</v>
      </c>
      <c r="B211" t="s">
        <v>619</v>
      </c>
      <c r="C211">
        <v>7</v>
      </c>
      <c r="D211">
        <v>146</v>
      </c>
      <c r="E211">
        <v>106</v>
      </c>
      <c r="F211">
        <v>32441</v>
      </c>
      <c r="G211">
        <v>14.673494443008501</v>
      </c>
      <c r="H211" s="1">
        <v>8.1464707524705895E-7</v>
      </c>
      <c r="I211" t="s">
        <v>620</v>
      </c>
      <c r="J211" t="s">
        <v>621</v>
      </c>
      <c r="K211">
        <v>1.1350749248442401E-4</v>
      </c>
      <c r="L211" t="s">
        <v>606</v>
      </c>
      <c r="M211" t="str">
        <f>HYPERLINK("http://www.broadinstitute.org/gsea/msigdb/cards/GGAANCGGAANY_UNKNOWN.html")</f>
        <v>http://www.broadinstitute.org/gsea/msigdb/cards/GGAANCGGAANY_UNKNOWN.html</v>
      </c>
    </row>
    <row r="212" spans="1:13">
      <c r="A212">
        <v>795</v>
      </c>
      <c r="B212" t="s">
        <v>622</v>
      </c>
      <c r="C212">
        <v>14</v>
      </c>
      <c r="D212">
        <v>146</v>
      </c>
      <c r="E212">
        <v>757</v>
      </c>
      <c r="F212">
        <v>32441</v>
      </c>
      <c r="G212">
        <v>4.1093537938148099</v>
      </c>
      <c r="H212" s="1">
        <v>1.038969519749E-5</v>
      </c>
      <c r="I212" t="s">
        <v>623</v>
      </c>
      <c r="J212" t="s">
        <v>624</v>
      </c>
      <c r="K212">
        <v>1.24082645501452E-3</v>
      </c>
      <c r="L212" t="s">
        <v>606</v>
      </c>
      <c r="M212" t="str">
        <f>HYPERLINK("http://www.broadinstitute.org/gsea/msigdb/cards/MGGAAGTG_GABP_B.html")</f>
        <v>http://www.broadinstitute.org/gsea/msigdb/cards/MGGAAGTG_GABP_B.html</v>
      </c>
    </row>
    <row r="213" spans="1:13">
      <c r="A213">
        <v>748</v>
      </c>
      <c r="B213" t="s">
        <v>625</v>
      </c>
      <c r="C213">
        <v>6</v>
      </c>
      <c r="D213">
        <v>146</v>
      </c>
      <c r="E213">
        <v>131</v>
      </c>
      <c r="F213">
        <v>32441</v>
      </c>
      <c r="G213">
        <v>10.177036494823801</v>
      </c>
      <c r="H213" s="1">
        <v>3.7020781748148902E-5</v>
      </c>
      <c r="I213" t="s">
        <v>626</v>
      </c>
      <c r="J213" t="s">
        <v>627</v>
      </c>
      <c r="K213">
        <v>3.8686716926815599E-3</v>
      </c>
      <c r="L213" t="s">
        <v>606</v>
      </c>
      <c r="M213" t="str">
        <f>HYPERLINK("http://www.broadinstitute.org/gsea/msigdb/cards/TNCATNTCCYR_UNKNOWN.html")</f>
        <v>http://www.broadinstitute.org/gsea/msigdb/cards/TNCATNTCCYR_UNKNOWN.html</v>
      </c>
    </row>
    <row r="214" spans="1:13">
      <c r="A214">
        <v>458</v>
      </c>
      <c r="B214" t="s">
        <v>628</v>
      </c>
      <c r="C214">
        <v>5</v>
      </c>
      <c r="D214">
        <v>146</v>
      </c>
      <c r="E214">
        <v>118</v>
      </c>
      <c r="F214">
        <v>32441</v>
      </c>
      <c r="G214">
        <v>9.4151961922451797</v>
      </c>
      <c r="H214">
        <v>2.3820248752933301E-4</v>
      </c>
      <c r="I214" t="s">
        <v>629</v>
      </c>
      <c r="J214" t="s">
        <v>630</v>
      </c>
      <c r="K214">
        <v>2.2126364397169199E-2</v>
      </c>
      <c r="L214" t="s">
        <v>606</v>
      </c>
      <c r="M214" t="str">
        <f>HYPERLINK("http://www.broadinstitute.org/gsea/msigdb/cards/GGCNKCCATNK_UNKNOWN.html")</f>
        <v>http://www.broadinstitute.org/gsea/msigdb/cards/GGCNKCCATNK_UNKNOWN.html</v>
      </c>
    </row>
    <row r="215" spans="1:13">
      <c r="A215">
        <v>655</v>
      </c>
      <c r="B215" t="s">
        <v>631</v>
      </c>
      <c r="C215">
        <v>5</v>
      </c>
      <c r="D215">
        <v>146</v>
      </c>
      <c r="E215">
        <v>123</v>
      </c>
      <c r="F215">
        <v>32441</v>
      </c>
      <c r="G215">
        <v>9.03246463971489</v>
      </c>
      <c r="H215">
        <v>2.8649457368598602E-4</v>
      </c>
      <c r="I215" t="s">
        <v>632</v>
      </c>
      <c r="J215" t="s">
        <v>633</v>
      </c>
      <c r="K215">
        <v>2.3950946360148499E-2</v>
      </c>
      <c r="L215" t="s">
        <v>606</v>
      </c>
      <c r="M215" t="str">
        <f>HYPERLINK("http://www.broadinstitute.org/gsea/msigdb/cards/RACTNNRTTTNC_UNKNOWN.html")</f>
        <v>http://www.broadinstitute.org/gsea/msigdb/cards/RACTNNRTTTNC_UNKNOWN.html</v>
      </c>
    </row>
    <row r="216" spans="1:13">
      <c r="A216">
        <v>505</v>
      </c>
      <c r="B216" t="s">
        <v>634</v>
      </c>
      <c r="C216">
        <v>89</v>
      </c>
      <c r="D216">
        <v>146</v>
      </c>
      <c r="E216">
        <v>320</v>
      </c>
      <c r="F216">
        <v>32441</v>
      </c>
      <c r="G216">
        <v>61.798994006849298</v>
      </c>
      <c r="H216" s="1">
        <v>2.1945895847597799E-133</v>
      </c>
      <c r="I216" s="1" t="s">
        <v>635</v>
      </c>
      <c r="J216" s="1" t="s">
        <v>636</v>
      </c>
      <c r="K216" s="1">
        <v>1.88295786372389E-130</v>
      </c>
      <c r="L216" t="s">
        <v>637</v>
      </c>
      <c r="M216" t="str">
        <f>HYPERLINK("http://www.broadinstitute.org/gsea/msigdb/cards/MODULE_83.html")</f>
        <v>http://www.broadinstitute.org/gsea/msigdb/cards/MODULE_83.html</v>
      </c>
    </row>
    <row r="217" spans="1:13">
      <c r="A217">
        <v>349</v>
      </c>
      <c r="B217" t="s">
        <v>638</v>
      </c>
      <c r="C217">
        <v>68</v>
      </c>
      <c r="D217">
        <v>146</v>
      </c>
      <c r="E217">
        <v>121</v>
      </c>
      <c r="F217">
        <v>32441</v>
      </c>
      <c r="G217">
        <v>124.871957432356</v>
      </c>
      <c r="H217" s="1">
        <v>2.7497857539831499E-116</v>
      </c>
      <c r="I217" s="1" t="s">
        <v>639</v>
      </c>
      <c r="J217" s="1" t="s">
        <v>640</v>
      </c>
      <c r="K217" s="1">
        <v>1.1796580884587699E-113</v>
      </c>
      <c r="L217" t="s">
        <v>637</v>
      </c>
      <c r="M217" t="str">
        <f>HYPERLINK("http://www.broadinstitute.org/gsea/msigdb/cards/GNF2_EIF3S6.html")</f>
        <v>http://www.broadinstitute.org/gsea/msigdb/cards/GNF2_EIF3S6.html</v>
      </c>
    </row>
    <row r="218" spans="1:13">
      <c r="A218">
        <v>137</v>
      </c>
      <c r="B218" t="s">
        <v>641</v>
      </c>
      <c r="C218">
        <v>71</v>
      </c>
      <c r="D218">
        <v>146</v>
      </c>
      <c r="E218">
        <v>162</v>
      </c>
      <c r="F218">
        <v>32441</v>
      </c>
      <c r="G218">
        <v>97.383350245222402</v>
      </c>
      <c r="H218" s="1">
        <v>1.2263070056432201E-115</v>
      </c>
      <c r="I218" s="1" t="s">
        <v>642</v>
      </c>
      <c r="J218" s="1" t="s">
        <v>643</v>
      </c>
      <c r="K218" s="1">
        <v>3.5072380361395999E-113</v>
      </c>
      <c r="L218" t="s">
        <v>637</v>
      </c>
      <c r="M218" t="str">
        <f>HYPERLINK("http://www.broadinstitute.org/gsea/msigdb/cards/MORF_NPM1.html")</f>
        <v>http://www.broadinstitute.org/gsea/msigdb/cards/MORF_NPM1.html</v>
      </c>
    </row>
    <row r="219" spans="1:13">
      <c r="A219">
        <v>536</v>
      </c>
      <c r="B219" t="s">
        <v>644</v>
      </c>
      <c r="C219">
        <v>79</v>
      </c>
      <c r="D219">
        <v>146</v>
      </c>
      <c r="E219">
        <v>338</v>
      </c>
      <c r="F219">
        <v>32441</v>
      </c>
      <c r="G219">
        <v>51.933999351544102</v>
      </c>
      <c r="H219" s="1">
        <v>2.1167160385948599E-111</v>
      </c>
      <c r="I219" s="1" t="s">
        <v>645</v>
      </c>
      <c r="J219" s="1" t="s">
        <v>646</v>
      </c>
      <c r="K219" s="1">
        <v>4.5403559027859803E-109</v>
      </c>
      <c r="L219" t="s">
        <v>637</v>
      </c>
      <c r="M219" t="str">
        <f>HYPERLINK("http://www.broadinstitute.org/gsea/msigdb/cards/MODULE_114.html")</f>
        <v>http://www.broadinstitute.org/gsea/msigdb/cards/MODULE_114.html</v>
      </c>
    </row>
    <row r="220" spans="1:13">
      <c r="A220">
        <v>58</v>
      </c>
      <c r="B220" t="s">
        <v>647</v>
      </c>
      <c r="C220">
        <v>67</v>
      </c>
      <c r="D220">
        <v>146</v>
      </c>
      <c r="E220">
        <v>138</v>
      </c>
      <c r="F220">
        <v>32441</v>
      </c>
      <c r="G220">
        <v>107.879045066508</v>
      </c>
      <c r="H220" s="1">
        <v>4.5961511518117199E-111</v>
      </c>
      <c r="I220" s="1" t="s">
        <v>648</v>
      </c>
      <c r="J220" s="1" t="s">
        <v>649</v>
      </c>
      <c r="K220" s="1">
        <v>7.8869953765089096E-109</v>
      </c>
      <c r="L220" t="s">
        <v>637</v>
      </c>
      <c r="M220" t="str">
        <f>HYPERLINK("http://www.broadinstitute.org/gsea/msigdb/cards/MORF_ACTG1.html")</f>
        <v>http://www.broadinstitute.org/gsea/msigdb/cards/MORF_ACTG1.html</v>
      </c>
    </row>
    <row r="221" spans="1:13">
      <c r="A221">
        <v>186</v>
      </c>
      <c r="B221" t="s">
        <v>650</v>
      </c>
      <c r="C221">
        <v>62</v>
      </c>
      <c r="D221">
        <v>146</v>
      </c>
      <c r="E221">
        <v>102</v>
      </c>
      <c r="F221">
        <v>32441</v>
      </c>
      <c r="G221">
        <v>135.061912436207</v>
      </c>
      <c r="H221" s="1">
        <v>4.8890447436084003E-107</v>
      </c>
      <c r="I221" s="1" t="s">
        <v>651</v>
      </c>
      <c r="J221" s="1" t="s">
        <v>652</v>
      </c>
      <c r="K221" s="1">
        <v>6.9913339833600105E-105</v>
      </c>
      <c r="L221" t="s">
        <v>637</v>
      </c>
      <c r="M221" t="str">
        <f>HYPERLINK("http://www.broadinstitute.org/gsea/msigdb/cards/MORF_TPT1.html")</f>
        <v>http://www.broadinstitute.org/gsea/msigdb/cards/MORF_TPT1.html</v>
      </c>
    </row>
    <row r="222" spans="1:13">
      <c r="A222">
        <v>570</v>
      </c>
      <c r="B222" t="s">
        <v>653</v>
      </c>
      <c r="C222">
        <v>74</v>
      </c>
      <c r="D222">
        <v>146</v>
      </c>
      <c r="E222">
        <v>318</v>
      </c>
      <c r="F222">
        <v>32441</v>
      </c>
      <c r="G222">
        <v>51.706599465839602</v>
      </c>
      <c r="H222" s="1">
        <v>1.71643931417723E-103</v>
      </c>
      <c r="I222" s="1" t="s">
        <v>654</v>
      </c>
      <c r="J222" s="1" t="s">
        <v>655</v>
      </c>
      <c r="K222" s="1">
        <v>2.1038641879486599E-101</v>
      </c>
      <c r="L222" t="s">
        <v>637</v>
      </c>
      <c r="M222" t="str">
        <f>HYPERLINK("http://www.broadinstitute.org/gsea/msigdb/cards/MODULE_151.html")</f>
        <v>http://www.broadinstitute.org/gsea/msigdb/cards/MODULE_151.html</v>
      </c>
    </row>
    <row r="223" spans="1:13">
      <c r="A223">
        <v>135</v>
      </c>
      <c r="B223" t="s">
        <v>656</v>
      </c>
      <c r="C223">
        <v>56</v>
      </c>
      <c r="D223">
        <v>146</v>
      </c>
      <c r="E223">
        <v>154</v>
      </c>
      <c r="F223">
        <v>32441</v>
      </c>
      <c r="G223">
        <v>80.799501867995005</v>
      </c>
      <c r="H223" s="1">
        <v>4.8808303434584803E-86</v>
      </c>
      <c r="I223" s="1" t="s">
        <v>657</v>
      </c>
      <c r="J223" s="1" t="s">
        <v>658</v>
      </c>
      <c r="K223" s="1">
        <v>5.2346905433592198E-84</v>
      </c>
      <c r="L223" t="s">
        <v>637</v>
      </c>
      <c r="M223" t="str">
        <f>HYPERLINK("http://www.broadinstitute.org/gsea/msigdb/cards/MORF_NME2.html")</f>
        <v>http://www.broadinstitute.org/gsea/msigdb/cards/MORF_NME2.html</v>
      </c>
    </row>
    <row r="224" spans="1:13">
      <c r="A224">
        <v>271</v>
      </c>
      <c r="B224" t="s">
        <v>659</v>
      </c>
      <c r="C224">
        <v>49</v>
      </c>
      <c r="D224">
        <v>146</v>
      </c>
      <c r="E224">
        <v>70</v>
      </c>
      <c r="F224">
        <v>32441</v>
      </c>
      <c r="G224">
        <v>155.53904109589001</v>
      </c>
      <c r="H224" s="1">
        <v>5.7288626113893002E-86</v>
      </c>
      <c r="I224" t="s">
        <v>660</v>
      </c>
      <c r="J224" t="s">
        <v>661</v>
      </c>
      <c r="K224" s="1">
        <v>5.4615156895244599E-84</v>
      </c>
      <c r="L224" t="s">
        <v>637</v>
      </c>
      <c r="M224" t="str">
        <f>HYPERLINK("http://www.broadinstitute.org/gsea/msigdb/cards/GCM_TPT1.html")</f>
        <v>http://www.broadinstitute.org/gsea/msigdb/cards/GCM_TPT1.html</v>
      </c>
    </row>
    <row r="225" spans="1:13">
      <c r="A225">
        <v>351</v>
      </c>
      <c r="B225" t="s">
        <v>662</v>
      </c>
      <c r="C225">
        <v>49</v>
      </c>
      <c r="D225">
        <v>146</v>
      </c>
      <c r="E225">
        <v>147</v>
      </c>
      <c r="F225">
        <v>32441</v>
      </c>
      <c r="G225">
        <v>74.066210045662103</v>
      </c>
      <c r="H225" s="1">
        <v>2.8882405115837299E-73</v>
      </c>
      <c r="I225" t="s">
        <v>663</v>
      </c>
      <c r="J225" t="s">
        <v>664</v>
      </c>
      <c r="K225" s="1">
        <v>2.4781103589388401E-71</v>
      </c>
      <c r="L225" t="s">
        <v>637</v>
      </c>
      <c r="M225" t="str">
        <f>HYPERLINK("http://www.broadinstitute.org/gsea/msigdb/cards/GNF2_FBL.html")</f>
        <v>http://www.broadinstitute.org/gsea/msigdb/cards/GNF2_FBL.html</v>
      </c>
    </row>
    <row r="226" spans="1:13">
      <c r="A226">
        <v>248</v>
      </c>
      <c r="B226" t="s">
        <v>665</v>
      </c>
      <c r="C226">
        <v>44</v>
      </c>
      <c r="D226">
        <v>146</v>
      </c>
      <c r="E226">
        <v>116</v>
      </c>
      <c r="F226">
        <v>32441</v>
      </c>
      <c r="G226">
        <v>84.282239017477593</v>
      </c>
      <c r="H226" s="1">
        <v>1.22785595993515E-67</v>
      </c>
      <c r="I226" t="s">
        <v>666</v>
      </c>
      <c r="J226" t="s">
        <v>667</v>
      </c>
      <c r="K226" s="1">
        <v>9.5772764874941393E-66</v>
      </c>
      <c r="L226" t="s">
        <v>637</v>
      </c>
      <c r="M226" t="str">
        <f>HYPERLINK("http://www.broadinstitute.org/gsea/msigdb/cards/GCM_NPM1.html")</f>
        <v>http://www.broadinstitute.org/gsea/msigdb/cards/GCM_NPM1.html</v>
      </c>
    </row>
    <row r="227" spans="1:13">
      <c r="A227">
        <v>456</v>
      </c>
      <c r="B227" t="s">
        <v>668</v>
      </c>
      <c r="C227">
        <v>51</v>
      </c>
      <c r="D227">
        <v>146</v>
      </c>
      <c r="E227">
        <v>241</v>
      </c>
      <c r="F227">
        <v>32441</v>
      </c>
      <c r="G227">
        <v>47.021286875461797</v>
      </c>
      <c r="H227" s="1">
        <v>1.36188821891249E-67</v>
      </c>
      <c r="I227" t="s">
        <v>669</v>
      </c>
      <c r="J227" t="s">
        <v>670</v>
      </c>
      <c r="K227" s="1">
        <v>9.7375007652242998E-66</v>
      </c>
      <c r="L227" t="s">
        <v>637</v>
      </c>
      <c r="M227" t="str">
        <f>HYPERLINK("http://www.broadinstitute.org/gsea/msigdb/cards/MODULE_32.html")</f>
        <v>http://www.broadinstitute.org/gsea/msigdb/cards/MODULE_32.html</v>
      </c>
    </row>
    <row r="228" spans="1:13">
      <c r="A228">
        <v>4141</v>
      </c>
      <c r="B228" t="s">
        <v>671</v>
      </c>
      <c r="C228">
        <v>39</v>
      </c>
      <c r="D228">
        <v>146</v>
      </c>
      <c r="E228">
        <v>64</v>
      </c>
      <c r="F228">
        <v>32441</v>
      </c>
      <c r="G228">
        <v>135.402290239726</v>
      </c>
      <c r="H228" s="1">
        <v>2.9919845772533198E-66</v>
      </c>
      <c r="I228" t="s">
        <v>672</v>
      </c>
      <c r="J228" t="s">
        <v>673</v>
      </c>
      <c r="K228" s="1">
        <v>1.97470982098719E-64</v>
      </c>
      <c r="L228" t="s">
        <v>637</v>
      </c>
      <c r="M228" t="str">
        <f>HYPERLINK("http://www.broadinstitute.org/gsea/msigdb/cards/GNF2_ST13.html")</f>
        <v>http://www.broadinstitute.org/gsea/msigdb/cards/GNF2_ST13.html</v>
      </c>
    </row>
    <row r="229" spans="1:13">
      <c r="A229">
        <v>421</v>
      </c>
      <c r="B229" t="s">
        <v>674</v>
      </c>
      <c r="C229">
        <v>35</v>
      </c>
      <c r="D229">
        <v>146</v>
      </c>
      <c r="E229">
        <v>38</v>
      </c>
      <c r="F229">
        <v>32441</v>
      </c>
      <c r="G229">
        <v>204.656633020908</v>
      </c>
      <c r="H229" s="1">
        <v>5.4690368707538199E-64</v>
      </c>
      <c r="I229" t="s">
        <v>675</v>
      </c>
      <c r="J229" t="s">
        <v>676</v>
      </c>
      <c r="K229" s="1">
        <v>3.3517383107905598E-62</v>
      </c>
      <c r="L229" t="s">
        <v>637</v>
      </c>
      <c r="M229" t="str">
        <f>HYPERLINK("http://www.broadinstitute.org/gsea/msigdb/cards/GNF2_TPT1.html")</f>
        <v>http://www.broadinstitute.org/gsea/msigdb/cards/GNF2_TPT1.html</v>
      </c>
    </row>
    <row r="230" spans="1:13">
      <c r="A230">
        <v>343</v>
      </c>
      <c r="B230" t="s">
        <v>677</v>
      </c>
      <c r="C230">
        <v>39</v>
      </c>
      <c r="D230">
        <v>146</v>
      </c>
      <c r="E230">
        <v>119</v>
      </c>
      <c r="F230">
        <v>32441</v>
      </c>
      <c r="G230">
        <v>72.821399792793798</v>
      </c>
      <c r="H230" s="1">
        <v>1.0677263630923E-57</v>
      </c>
      <c r="I230" t="s">
        <v>678</v>
      </c>
      <c r="J230" t="s">
        <v>679</v>
      </c>
      <c r="K230" s="1">
        <v>6.1073947968879301E-56</v>
      </c>
      <c r="L230" t="s">
        <v>637</v>
      </c>
      <c r="M230" t="str">
        <f>HYPERLINK("http://www.broadinstitute.org/gsea/msigdb/cards/GNF2_DAP3.html")</f>
        <v>http://www.broadinstitute.org/gsea/msigdb/cards/GNF2_DAP3.html</v>
      </c>
    </row>
    <row r="231" spans="1:13">
      <c r="A231">
        <v>355</v>
      </c>
      <c r="B231" t="s">
        <v>680</v>
      </c>
      <c r="C231">
        <v>27</v>
      </c>
      <c r="D231">
        <v>146</v>
      </c>
      <c r="E231">
        <v>31</v>
      </c>
      <c r="F231">
        <v>32441</v>
      </c>
      <c r="G231">
        <v>193.527839151569</v>
      </c>
      <c r="H231" s="1">
        <v>7.0456772873020496E-49</v>
      </c>
      <c r="I231" t="s">
        <v>681</v>
      </c>
      <c r="J231" t="s">
        <v>682</v>
      </c>
      <c r="K231" s="1">
        <v>3.7782444453157201E-47</v>
      </c>
      <c r="L231" t="s">
        <v>637</v>
      </c>
      <c r="M231" t="str">
        <f>HYPERLINK("http://www.broadinstitute.org/gsea/msigdb/cards/GNF2_GLTSCR2.html")</f>
        <v>http://www.broadinstitute.org/gsea/msigdb/cards/GNF2_GLTSCR2.html</v>
      </c>
    </row>
    <row r="232" spans="1:13">
      <c r="A232">
        <v>120</v>
      </c>
      <c r="B232" t="s">
        <v>683</v>
      </c>
      <c r="C232">
        <v>29</v>
      </c>
      <c r="D232">
        <v>146</v>
      </c>
      <c r="E232">
        <v>64</v>
      </c>
      <c r="F232">
        <v>32441</v>
      </c>
      <c r="G232">
        <v>100.683754280822</v>
      </c>
      <c r="H232" s="1">
        <v>3.27242796739668E-46</v>
      </c>
      <c r="I232" t="s">
        <v>684</v>
      </c>
      <c r="J232" t="s">
        <v>685</v>
      </c>
      <c r="K232" s="1">
        <v>1.65161364472138E-44</v>
      </c>
      <c r="L232" t="s">
        <v>637</v>
      </c>
      <c r="M232" t="str">
        <f>HYPERLINK("http://www.broadinstitute.org/gsea/msigdb/cards/MORF_JUND.html")</f>
        <v>http://www.broadinstitute.org/gsea/msigdb/cards/MORF_JUND.html</v>
      </c>
    </row>
    <row r="233" spans="1:13">
      <c r="A233">
        <v>189</v>
      </c>
      <c r="B233" t="s">
        <v>686</v>
      </c>
      <c r="C233">
        <v>36</v>
      </c>
      <c r="D233">
        <v>146</v>
      </c>
      <c r="E233">
        <v>238</v>
      </c>
      <c r="F233">
        <v>32441</v>
      </c>
      <c r="G233">
        <v>33.609876827443301</v>
      </c>
      <c r="H233" s="1">
        <v>1.622418462761E-42</v>
      </c>
      <c r="I233" t="s">
        <v>687</v>
      </c>
      <c r="J233" t="s">
        <v>688</v>
      </c>
      <c r="K233" s="1">
        <v>7.7335280058274596E-41</v>
      </c>
      <c r="L233" t="s">
        <v>637</v>
      </c>
      <c r="M233" t="str">
        <f>HYPERLINK("http://www.broadinstitute.org/gsea/msigdb/cards/MORF_UBE2I.html")</f>
        <v>http://www.broadinstitute.org/gsea/msigdb/cards/MORF_UBE2I.html</v>
      </c>
    </row>
    <row r="234" spans="1:13">
      <c r="A234">
        <v>93</v>
      </c>
      <c r="B234" t="s">
        <v>689</v>
      </c>
      <c r="C234">
        <v>31</v>
      </c>
      <c r="D234">
        <v>146</v>
      </c>
      <c r="E234">
        <v>137</v>
      </c>
      <c r="F234">
        <v>32441</v>
      </c>
      <c r="G234">
        <v>50.278522147785203</v>
      </c>
      <c r="H234" s="1">
        <v>1.9441851763587699E-41</v>
      </c>
      <c r="I234" t="s">
        <v>690</v>
      </c>
      <c r="J234" t="s">
        <v>691</v>
      </c>
      <c r="K234" s="1">
        <v>8.77953095429379E-40</v>
      </c>
      <c r="L234" t="s">
        <v>637</v>
      </c>
      <c r="M234" t="str">
        <f>HYPERLINK("http://www.broadinstitute.org/gsea/msigdb/cards/MORF_EIF4A2.html")</f>
        <v>http://www.broadinstitute.org/gsea/msigdb/cards/MORF_EIF4A2.html</v>
      </c>
    </row>
    <row r="235" spans="1:13">
      <c r="A235">
        <v>455</v>
      </c>
      <c r="B235" t="s">
        <v>692</v>
      </c>
      <c r="C235">
        <v>23</v>
      </c>
      <c r="D235">
        <v>146</v>
      </c>
      <c r="E235">
        <v>28</v>
      </c>
      <c r="F235">
        <v>32441</v>
      </c>
      <c r="G235">
        <v>182.52030332680999</v>
      </c>
      <c r="H235" s="1">
        <v>2.7469010955172899E-41</v>
      </c>
      <c r="I235" t="s">
        <v>693</v>
      </c>
      <c r="J235" t="s">
        <v>694</v>
      </c>
      <c r="K235" s="1">
        <v>1.17842056997692E-39</v>
      </c>
      <c r="L235" t="s">
        <v>637</v>
      </c>
      <c r="M235" t="str">
        <f>HYPERLINK("http://www.broadinstitute.org/gsea/msigdb/cards/MODULE_29.html")</f>
        <v>http://www.broadinstitute.org/gsea/msigdb/cards/MODULE_29.html</v>
      </c>
    </row>
    <row r="236" spans="1:13">
      <c r="A236">
        <v>170</v>
      </c>
      <c r="B236" t="s">
        <v>695</v>
      </c>
      <c r="C236">
        <v>35</v>
      </c>
      <c r="D236">
        <v>146</v>
      </c>
      <c r="E236">
        <v>268</v>
      </c>
      <c r="F236">
        <v>32441</v>
      </c>
      <c r="G236">
        <v>29.0184778163975</v>
      </c>
      <c r="H236" s="1">
        <v>2.73116908000703E-39</v>
      </c>
      <c r="I236" t="s">
        <v>696</v>
      </c>
      <c r="J236" t="s">
        <v>697</v>
      </c>
      <c r="K236" s="1">
        <v>1.1158776526885801E-37</v>
      </c>
      <c r="L236" t="s">
        <v>637</v>
      </c>
      <c r="M236" t="str">
        <f>HYPERLINK("http://www.broadinstitute.org/gsea/msigdb/cards/MORF_RAN.html")</f>
        <v>http://www.broadinstitute.org/gsea/msigdb/cards/MORF_RAN.html</v>
      </c>
    </row>
    <row r="237" spans="1:13">
      <c r="A237">
        <v>206</v>
      </c>
      <c r="B237" t="s">
        <v>698</v>
      </c>
      <c r="C237">
        <v>24</v>
      </c>
      <c r="D237">
        <v>146</v>
      </c>
      <c r="E237">
        <v>124</v>
      </c>
      <c r="F237">
        <v>32441</v>
      </c>
      <c r="G237">
        <v>43.006186478126402</v>
      </c>
      <c r="H237" s="1">
        <v>1.02054267999264E-30</v>
      </c>
      <c r="I237" t="s">
        <v>699</v>
      </c>
      <c r="J237" t="s">
        <v>700</v>
      </c>
      <c r="K237" s="1">
        <v>3.9801164519712901E-29</v>
      </c>
      <c r="L237" t="s">
        <v>637</v>
      </c>
      <c r="M237" t="str">
        <f>HYPERLINK("http://www.broadinstitute.org/gsea/msigdb/cards/GCM_ACTG1.html")</f>
        <v>http://www.broadinstitute.org/gsea/msigdb/cards/GCM_ACTG1.html</v>
      </c>
    </row>
    <row r="238" spans="1:13">
      <c r="A238">
        <v>59</v>
      </c>
      <c r="B238" t="s">
        <v>701</v>
      </c>
      <c r="C238">
        <v>26</v>
      </c>
      <c r="D238">
        <v>146</v>
      </c>
      <c r="E238">
        <v>197</v>
      </c>
      <c r="F238">
        <v>32441</v>
      </c>
      <c r="G238">
        <v>29.325707530769801</v>
      </c>
      <c r="H238" s="1">
        <v>2.4927278910141899E-29</v>
      </c>
      <c r="I238" t="s">
        <v>702</v>
      </c>
      <c r="J238" t="s">
        <v>703</v>
      </c>
      <c r="K238" s="1">
        <v>9.2989588282181492E-28</v>
      </c>
      <c r="L238" t="s">
        <v>637</v>
      </c>
      <c r="M238" t="str">
        <f>HYPERLINK("http://www.broadinstitute.org/gsea/msigdb/cards/MORF_ANP32B.html")</f>
        <v>http://www.broadinstitute.org/gsea/msigdb/cards/MORF_ANP32B.html</v>
      </c>
    </row>
    <row r="239" spans="1:13">
      <c r="A239">
        <v>92</v>
      </c>
      <c r="B239" t="s">
        <v>704</v>
      </c>
      <c r="C239">
        <v>22</v>
      </c>
      <c r="D239">
        <v>146</v>
      </c>
      <c r="E239">
        <v>121</v>
      </c>
      <c r="F239">
        <v>32441</v>
      </c>
      <c r="G239">
        <v>40.399750933997503</v>
      </c>
      <c r="H239" s="1">
        <v>1.1047816613131199E-27</v>
      </c>
      <c r="I239" t="s">
        <v>705</v>
      </c>
      <c r="J239" t="s">
        <v>706</v>
      </c>
      <c r="K239" s="1">
        <v>3.9495944391944002E-26</v>
      </c>
      <c r="L239" t="s">
        <v>637</v>
      </c>
      <c r="M239" t="str">
        <f>HYPERLINK("http://www.broadinstitute.org/gsea/msigdb/cards/MORF_EIF3S6.html")</f>
        <v>http://www.broadinstitute.org/gsea/msigdb/cards/MORF_EIF3S6.html</v>
      </c>
    </row>
    <row r="240" spans="1:13">
      <c r="A240">
        <v>220</v>
      </c>
      <c r="B240" t="s">
        <v>707</v>
      </c>
      <c r="C240">
        <v>17</v>
      </c>
      <c r="D240">
        <v>146</v>
      </c>
      <c r="E240">
        <v>99</v>
      </c>
      <c r="F240">
        <v>32441</v>
      </c>
      <c r="G240">
        <v>38.155320326553202</v>
      </c>
      <c r="H240" s="1">
        <v>3.1739651321511299E-21</v>
      </c>
      <c r="I240" t="s">
        <v>708</v>
      </c>
      <c r="J240" t="s">
        <v>709</v>
      </c>
      <c r="K240" s="1">
        <v>1.08930483335427E-19</v>
      </c>
      <c r="L240" t="s">
        <v>637</v>
      </c>
      <c r="M240" t="str">
        <f>HYPERLINK("http://www.broadinstitute.org/gsea/msigdb/cards/GCM_CSNK2B.html")</f>
        <v>http://www.broadinstitute.org/gsea/msigdb/cards/GCM_CSNK2B.html</v>
      </c>
    </row>
    <row r="241" spans="1:13">
      <c r="A241">
        <v>13</v>
      </c>
      <c r="B241" t="s">
        <v>710</v>
      </c>
      <c r="C241">
        <v>16</v>
      </c>
      <c r="D241">
        <v>146</v>
      </c>
      <c r="E241">
        <v>88</v>
      </c>
      <c r="F241">
        <v>32441</v>
      </c>
      <c r="G241">
        <v>40.399750933997503</v>
      </c>
      <c r="H241" s="1">
        <v>2.1486784223948201E-20</v>
      </c>
      <c r="I241" t="s">
        <v>711</v>
      </c>
      <c r="J241" t="s">
        <v>712</v>
      </c>
      <c r="K241" s="1">
        <v>7.0906387939028997E-19</v>
      </c>
      <c r="L241" t="s">
        <v>637</v>
      </c>
      <c r="M241" t="str">
        <f>HYPERLINK("http://www.broadinstitute.org/gsea/msigdb/cards/MORF_CCNI.html")</f>
        <v>http://www.broadinstitute.org/gsea/msigdb/cards/MORF_CCNI.html</v>
      </c>
    </row>
    <row r="242" spans="1:13">
      <c r="A242">
        <v>209</v>
      </c>
      <c r="B242" t="s">
        <v>713</v>
      </c>
      <c r="C242">
        <v>17</v>
      </c>
      <c r="D242">
        <v>146</v>
      </c>
      <c r="E242">
        <v>114</v>
      </c>
      <c r="F242">
        <v>32441</v>
      </c>
      <c r="G242">
        <v>33.134883441480397</v>
      </c>
      <c r="H242" s="1">
        <v>2.74834959460333E-20</v>
      </c>
      <c r="I242" t="s">
        <v>714</v>
      </c>
      <c r="J242" t="s">
        <v>715</v>
      </c>
      <c r="K242" s="1">
        <v>8.7336442672950299E-19</v>
      </c>
      <c r="L242" t="s">
        <v>637</v>
      </c>
      <c r="M242" t="str">
        <f>HYPERLINK("http://www.broadinstitute.org/gsea/msigdb/cards/GCM_APEX1.html")</f>
        <v>http://www.broadinstitute.org/gsea/msigdb/cards/GCM_APEX1.html</v>
      </c>
    </row>
    <row r="243" spans="1:13">
      <c r="A243">
        <v>387</v>
      </c>
      <c r="B243" t="s">
        <v>716</v>
      </c>
      <c r="C243">
        <v>15</v>
      </c>
      <c r="D243">
        <v>146</v>
      </c>
      <c r="E243">
        <v>72</v>
      </c>
      <c r="F243">
        <v>32441</v>
      </c>
      <c r="G243">
        <v>46.2913812785388</v>
      </c>
      <c r="H243" s="1">
        <v>5.6227638717209402E-20</v>
      </c>
      <c r="I243" t="s">
        <v>717</v>
      </c>
      <c r="J243" t="s">
        <v>718</v>
      </c>
      <c r="K243" s="1">
        <v>1.72297550069163E-18</v>
      </c>
      <c r="L243" t="s">
        <v>637</v>
      </c>
      <c r="M243" t="str">
        <f>HYPERLINK("http://www.broadinstitute.org/gsea/msigdb/cards/GNF2_NPM1.html")</f>
        <v>http://www.broadinstitute.org/gsea/msigdb/cards/GNF2_NPM1.html</v>
      </c>
    </row>
    <row r="244" spans="1:13">
      <c r="A244">
        <v>202</v>
      </c>
      <c r="B244" t="s">
        <v>719</v>
      </c>
      <c r="C244">
        <v>13</v>
      </c>
      <c r="D244">
        <v>146</v>
      </c>
      <c r="E244">
        <v>85</v>
      </c>
      <c r="F244">
        <v>32441</v>
      </c>
      <c r="G244">
        <v>33.983319903303801</v>
      </c>
      <c r="H244" s="1">
        <v>6.5935323246421497E-16</v>
      </c>
      <c r="I244" t="s">
        <v>720</v>
      </c>
      <c r="J244" t="s">
        <v>721</v>
      </c>
      <c r="K244" s="1">
        <v>1.9507761153596399E-14</v>
      </c>
      <c r="L244" t="s">
        <v>637</v>
      </c>
      <c r="M244" t="str">
        <f>HYPERLINK("http://www.broadinstitute.org/gsea/msigdb/cards/GCM_PSME1.html")</f>
        <v>http://www.broadinstitute.org/gsea/msigdb/cards/GCM_PSME1.html</v>
      </c>
    </row>
    <row r="245" spans="1:13">
      <c r="A245">
        <v>176</v>
      </c>
      <c r="B245" t="s">
        <v>722</v>
      </c>
      <c r="C245">
        <v>12</v>
      </c>
      <c r="D245">
        <v>146</v>
      </c>
      <c r="E245">
        <v>63</v>
      </c>
      <c r="F245">
        <v>32441</v>
      </c>
      <c r="G245">
        <v>42.323548597521203</v>
      </c>
      <c r="H245" s="1">
        <v>8.4687447492310803E-16</v>
      </c>
      <c r="I245" t="s">
        <v>723</v>
      </c>
      <c r="J245" t="s">
        <v>724</v>
      </c>
      <c r="K245" s="1">
        <v>2.4220609982800899E-14</v>
      </c>
      <c r="L245" t="s">
        <v>637</v>
      </c>
      <c r="M245" t="str">
        <f>HYPERLINK("http://www.broadinstitute.org/gsea/msigdb/cards/MORF_SART1.html")</f>
        <v>http://www.broadinstitute.org/gsea/msigdb/cards/MORF_SART1.html</v>
      </c>
    </row>
    <row r="246" spans="1:13">
      <c r="A246">
        <v>375</v>
      </c>
      <c r="B246" t="s">
        <v>725</v>
      </c>
      <c r="C246">
        <v>9</v>
      </c>
      <c r="D246">
        <v>146</v>
      </c>
      <c r="E246">
        <v>25</v>
      </c>
      <c r="F246">
        <v>32441</v>
      </c>
      <c r="G246">
        <v>79.991506849315101</v>
      </c>
      <c r="H246" s="1">
        <v>2.7015925117662201E-14</v>
      </c>
      <c r="I246" t="s">
        <v>726</v>
      </c>
      <c r="J246" t="s">
        <v>727</v>
      </c>
      <c r="K246" s="1">
        <v>7.47731088740457E-13</v>
      </c>
      <c r="L246" t="s">
        <v>637</v>
      </c>
      <c r="M246" t="str">
        <f>HYPERLINK("http://www.broadinstitute.org/gsea/msigdb/cards/GNF2_MBD4.html")</f>
        <v>http://www.broadinstitute.org/gsea/msigdb/cards/GNF2_MBD4.html</v>
      </c>
    </row>
    <row r="247" spans="1:13">
      <c r="A247">
        <v>485</v>
      </c>
      <c r="B247" t="s">
        <v>728</v>
      </c>
      <c r="C247">
        <v>12</v>
      </c>
      <c r="D247">
        <v>146</v>
      </c>
      <c r="E247">
        <v>89</v>
      </c>
      <c r="F247">
        <v>32441</v>
      </c>
      <c r="G247">
        <v>29.959365861166699</v>
      </c>
      <c r="H247" s="1">
        <v>3.5002648367146902E-14</v>
      </c>
      <c r="I247" t="s">
        <v>729</v>
      </c>
      <c r="J247" t="s">
        <v>730</v>
      </c>
      <c r="K247" s="1">
        <v>9.3850850934412699E-13</v>
      </c>
      <c r="L247" t="s">
        <v>637</v>
      </c>
      <c r="M247" t="str">
        <f>HYPERLINK("http://www.broadinstitute.org/gsea/msigdb/cards/MODULE_62.html")</f>
        <v>http://www.broadinstitute.org/gsea/msigdb/cards/MODULE_62.html</v>
      </c>
    </row>
    <row r="248" spans="1:13">
      <c r="A248">
        <v>425</v>
      </c>
      <c r="B248" t="s">
        <v>731</v>
      </c>
      <c r="C248">
        <v>10</v>
      </c>
      <c r="D248">
        <v>146</v>
      </c>
      <c r="E248">
        <v>44</v>
      </c>
      <c r="F248">
        <v>32441</v>
      </c>
      <c r="G248">
        <v>50.499688667496898</v>
      </c>
      <c r="H248" s="1">
        <v>4.8208842108917101E-14</v>
      </c>
      <c r="I248" t="s">
        <v>732</v>
      </c>
      <c r="J248" t="s">
        <v>733</v>
      </c>
      <c r="K248" s="1">
        <v>1.25342989483185E-12</v>
      </c>
      <c r="L248" t="s">
        <v>637</v>
      </c>
      <c r="M248" t="str">
        <f>HYPERLINK("http://www.broadinstitute.org/gsea/msigdb/cards/GNF2_UBE2I.html")</f>
        <v>http://www.broadinstitute.org/gsea/msigdb/cards/GNF2_UBE2I.html</v>
      </c>
    </row>
    <row r="249" spans="1:13">
      <c r="A249">
        <v>250</v>
      </c>
      <c r="B249" t="s">
        <v>734</v>
      </c>
      <c r="C249">
        <v>10</v>
      </c>
      <c r="D249">
        <v>146</v>
      </c>
      <c r="E249">
        <v>51</v>
      </c>
      <c r="F249">
        <v>32441</v>
      </c>
      <c r="G249">
        <v>43.568358850389501</v>
      </c>
      <c r="H249" s="1">
        <v>1.76892852135647E-13</v>
      </c>
      <c r="I249" t="s">
        <v>735</v>
      </c>
      <c r="J249" t="s">
        <v>736</v>
      </c>
      <c r="K249" s="1">
        <v>4.4639431509525096E-12</v>
      </c>
      <c r="L249" t="s">
        <v>637</v>
      </c>
      <c r="M249" t="str">
        <f>HYPERLINK("http://www.broadinstitute.org/gsea/msigdb/cards/GCM_PFN1.html")</f>
        <v>http://www.broadinstitute.org/gsea/msigdb/cards/GCM_PFN1.html</v>
      </c>
    </row>
    <row r="250" spans="1:13">
      <c r="A250">
        <v>571</v>
      </c>
      <c r="B250" t="s">
        <v>737</v>
      </c>
      <c r="C250">
        <v>12</v>
      </c>
      <c r="D250">
        <v>146</v>
      </c>
      <c r="E250">
        <v>124</v>
      </c>
      <c r="F250">
        <v>32441</v>
      </c>
      <c r="G250">
        <v>21.503093239063201</v>
      </c>
      <c r="H250" s="1">
        <v>1.3035015859757101E-12</v>
      </c>
      <c r="I250" t="s">
        <v>729</v>
      </c>
      <c r="J250" t="s">
        <v>730</v>
      </c>
      <c r="K250" s="1">
        <v>3.1954410307633203E-11</v>
      </c>
      <c r="L250" t="s">
        <v>637</v>
      </c>
      <c r="M250" t="str">
        <f>HYPERLINK("http://www.broadinstitute.org/gsea/msigdb/cards/MODULE_152.html")</f>
        <v>http://www.broadinstitute.org/gsea/msigdb/cards/MODULE_152.html</v>
      </c>
    </row>
    <row r="251" spans="1:13">
      <c r="A251">
        <v>782</v>
      </c>
      <c r="B251" t="s">
        <v>738</v>
      </c>
      <c r="C251">
        <v>7</v>
      </c>
      <c r="D251">
        <v>146</v>
      </c>
      <c r="E251">
        <v>14</v>
      </c>
      <c r="F251">
        <v>32441</v>
      </c>
      <c r="G251">
        <v>111.099315068493</v>
      </c>
      <c r="H251" s="1">
        <v>3.4577503593315801E-12</v>
      </c>
      <c r="I251" t="s">
        <v>739</v>
      </c>
      <c r="J251" t="s">
        <v>740</v>
      </c>
      <c r="K251" s="1">
        <v>8.2409716897402799E-11</v>
      </c>
      <c r="L251" t="s">
        <v>637</v>
      </c>
      <c r="M251" t="str">
        <f>HYPERLINK("http://www.broadinstitute.org/gsea/msigdb/cards/MODULE_429.html")</f>
        <v>http://www.broadinstitute.org/gsea/msigdb/cards/MODULE_429.html</v>
      </c>
    </row>
    <row r="252" spans="1:13">
      <c r="A252">
        <v>97</v>
      </c>
      <c r="B252" t="s">
        <v>741</v>
      </c>
      <c r="C252">
        <v>11</v>
      </c>
      <c r="D252">
        <v>146</v>
      </c>
      <c r="E252">
        <v>114</v>
      </c>
      <c r="F252">
        <v>32441</v>
      </c>
      <c r="G252">
        <v>21.440218697428499</v>
      </c>
      <c r="H252" s="1">
        <v>1.1944954716182101E-11</v>
      </c>
      <c r="I252" t="s">
        <v>742</v>
      </c>
      <c r="J252" t="s">
        <v>743</v>
      </c>
      <c r="K252" s="1">
        <v>2.76993814769844E-10</v>
      </c>
      <c r="L252" t="s">
        <v>637</v>
      </c>
      <c r="M252" t="str">
        <f>HYPERLINK("http://www.broadinstitute.org/gsea/msigdb/cards/MORF_ERH.html")</f>
        <v>http://www.broadinstitute.org/gsea/msigdb/cards/MORF_ERH.html</v>
      </c>
    </row>
    <row r="253" spans="1:13">
      <c r="A253">
        <v>177</v>
      </c>
      <c r="B253" t="s">
        <v>744</v>
      </c>
      <c r="C253">
        <v>13</v>
      </c>
      <c r="D253">
        <v>146</v>
      </c>
      <c r="E253">
        <v>202</v>
      </c>
      <c r="F253">
        <v>32441</v>
      </c>
      <c r="G253">
        <v>14.299911840499099</v>
      </c>
      <c r="H253" s="1">
        <v>1.8293794325215898E-11</v>
      </c>
      <c r="I253" t="s">
        <v>745</v>
      </c>
      <c r="J253" t="s">
        <v>746</v>
      </c>
      <c r="K253" s="1">
        <v>4.1305461923776898E-10</v>
      </c>
      <c r="L253" t="s">
        <v>637</v>
      </c>
      <c r="M253" t="str">
        <f>HYPERLINK("http://www.broadinstitute.org/gsea/msigdb/cards/MORF_SKP1A.html")</f>
        <v>http://www.broadinstitute.org/gsea/msigdb/cards/MORF_SKP1A.html</v>
      </c>
    </row>
    <row r="254" spans="1:13">
      <c r="A254">
        <v>57</v>
      </c>
      <c r="B254" t="s">
        <v>747</v>
      </c>
      <c r="C254">
        <v>13</v>
      </c>
      <c r="D254">
        <v>146</v>
      </c>
      <c r="E254">
        <v>210</v>
      </c>
      <c r="F254">
        <v>32441</v>
      </c>
      <c r="G254">
        <v>13.7551532941944</v>
      </c>
      <c r="H254" s="1">
        <v>2.8921757662016799E-11</v>
      </c>
      <c r="I254" t="s">
        <v>748</v>
      </c>
      <c r="J254" t="s">
        <v>749</v>
      </c>
      <c r="K254" s="1">
        <v>6.3627866856436897E-10</v>
      </c>
      <c r="L254" t="s">
        <v>637</v>
      </c>
      <c r="M254" t="str">
        <f>HYPERLINK("http://www.broadinstitute.org/gsea/msigdb/cards/MORF_ACP1.html")</f>
        <v>http://www.broadinstitute.org/gsea/msigdb/cards/MORF_ACP1.html</v>
      </c>
    </row>
    <row r="255" spans="1:13">
      <c r="A255">
        <v>60</v>
      </c>
      <c r="B255" t="s">
        <v>750</v>
      </c>
      <c r="C255">
        <v>13</v>
      </c>
      <c r="D255">
        <v>146</v>
      </c>
      <c r="E255">
        <v>217</v>
      </c>
      <c r="F255">
        <v>32441</v>
      </c>
      <c r="G255">
        <v>13.311438671801</v>
      </c>
      <c r="H255" s="1">
        <v>4.2555572047743297E-11</v>
      </c>
      <c r="I255" t="s">
        <v>751</v>
      </c>
      <c r="J255" t="s">
        <v>752</v>
      </c>
      <c r="K255" s="1">
        <v>9.12817020424095E-10</v>
      </c>
      <c r="L255" t="s">
        <v>637</v>
      </c>
      <c r="M255" t="str">
        <f>HYPERLINK("http://www.broadinstitute.org/gsea/msigdb/cards/MORF_AP2M1.html")</f>
        <v>http://www.broadinstitute.org/gsea/msigdb/cards/MORF_AP2M1.html</v>
      </c>
    </row>
    <row r="256" spans="1:13">
      <c r="A256">
        <v>569</v>
      </c>
      <c r="B256" t="s">
        <v>753</v>
      </c>
      <c r="C256">
        <v>6</v>
      </c>
      <c r="D256">
        <v>146</v>
      </c>
      <c r="E256">
        <v>15</v>
      </c>
      <c r="F256">
        <v>32441</v>
      </c>
      <c r="G256">
        <v>88.879452054794498</v>
      </c>
      <c r="H256" s="1">
        <v>3.7440622470425402E-10</v>
      </c>
      <c r="I256" t="s">
        <v>754</v>
      </c>
      <c r="J256" t="s">
        <v>755</v>
      </c>
      <c r="K256" s="1">
        <v>7.8351351413719599E-9</v>
      </c>
      <c r="L256" t="s">
        <v>637</v>
      </c>
      <c r="M256" t="str">
        <f>HYPERLINK("http://www.broadinstitute.org/gsea/msigdb/cards/MODULE_150.html")</f>
        <v>http://www.broadinstitute.org/gsea/msigdb/cards/MODULE_150.html</v>
      </c>
    </row>
    <row r="257" spans="1:13">
      <c r="A257">
        <v>145</v>
      </c>
      <c r="B257" t="s">
        <v>756</v>
      </c>
      <c r="C257">
        <v>11</v>
      </c>
      <c r="D257">
        <v>146</v>
      </c>
      <c r="E257">
        <v>169</v>
      </c>
      <c r="F257">
        <v>32441</v>
      </c>
      <c r="G257">
        <v>14.462632730809799</v>
      </c>
      <c r="H257" s="1">
        <v>6.1598576329281504E-10</v>
      </c>
      <c r="I257" t="s">
        <v>757</v>
      </c>
      <c r="J257" t="s">
        <v>758</v>
      </c>
      <c r="K257" s="1">
        <v>1.2583709164410401E-8</v>
      </c>
      <c r="L257" t="s">
        <v>637</v>
      </c>
      <c r="M257" t="str">
        <f>HYPERLINK("http://www.broadinstitute.org/gsea/msigdb/cards/MORF_PPP1CA.html")</f>
        <v>http://www.broadinstitute.org/gsea/msigdb/cards/MORF_PPP1CA.html</v>
      </c>
    </row>
    <row r="258" spans="1:13">
      <c r="A258">
        <v>568</v>
      </c>
      <c r="B258" t="s">
        <v>759</v>
      </c>
      <c r="C258">
        <v>7</v>
      </c>
      <c r="D258">
        <v>146</v>
      </c>
      <c r="E258">
        <v>37</v>
      </c>
      <c r="F258">
        <v>32441</v>
      </c>
      <c r="G258">
        <v>42.037578674564998</v>
      </c>
      <c r="H258" s="1">
        <v>1.0456640808154599E-9</v>
      </c>
      <c r="I258" t="s">
        <v>760</v>
      </c>
      <c r="J258" t="s">
        <v>761</v>
      </c>
      <c r="K258" s="1">
        <v>2.08646460776666E-8</v>
      </c>
      <c r="L258" t="s">
        <v>637</v>
      </c>
      <c r="M258" t="str">
        <f>HYPERLINK("http://www.broadinstitute.org/gsea/msigdb/cards/MODULE_149.html")</f>
        <v>http://www.broadinstitute.org/gsea/msigdb/cards/MODULE_149.html</v>
      </c>
    </row>
    <row r="259" spans="1:13">
      <c r="A259">
        <v>30</v>
      </c>
      <c r="B259" t="s">
        <v>762</v>
      </c>
      <c r="C259">
        <v>11</v>
      </c>
      <c r="D259">
        <v>146</v>
      </c>
      <c r="E259">
        <v>190</v>
      </c>
      <c r="F259">
        <v>32441</v>
      </c>
      <c r="G259">
        <v>12.8641312184571</v>
      </c>
      <c r="H259" s="1">
        <v>1.9788561674168701E-9</v>
      </c>
      <c r="I259" t="s">
        <v>763</v>
      </c>
      <c r="J259" t="s">
        <v>764</v>
      </c>
      <c r="K259" s="1">
        <v>3.8587695264628902E-8</v>
      </c>
      <c r="L259" t="s">
        <v>637</v>
      </c>
      <c r="M259" t="str">
        <f>HYPERLINK("http://www.broadinstitute.org/gsea/msigdb/cards/MORF_PSMC1.html")</f>
        <v>http://www.broadinstitute.org/gsea/msigdb/cards/MORF_PSMC1.html</v>
      </c>
    </row>
    <row r="260" spans="1:13">
      <c r="A260">
        <v>537</v>
      </c>
      <c r="B260" t="s">
        <v>765</v>
      </c>
      <c r="C260">
        <v>6</v>
      </c>
      <c r="D260">
        <v>146</v>
      </c>
      <c r="E260">
        <v>27</v>
      </c>
      <c r="F260">
        <v>32441</v>
      </c>
      <c r="G260">
        <v>49.377473363774698</v>
      </c>
      <c r="H260" s="1">
        <v>7.3112483819782398E-9</v>
      </c>
      <c r="I260" t="s">
        <v>766</v>
      </c>
      <c r="J260" t="s">
        <v>767</v>
      </c>
      <c r="K260" s="1">
        <v>1.39401135816385E-7</v>
      </c>
      <c r="L260" t="s">
        <v>637</v>
      </c>
      <c r="M260" t="str">
        <f>HYPERLINK("http://www.broadinstitute.org/gsea/msigdb/cards/MODULE_115.html")</f>
        <v>http://www.broadinstitute.org/gsea/msigdb/cards/MODULE_115.html</v>
      </c>
    </row>
    <row r="261" spans="1:13">
      <c r="A261">
        <v>106</v>
      </c>
      <c r="B261" t="s">
        <v>768</v>
      </c>
      <c r="C261">
        <v>10</v>
      </c>
      <c r="D261">
        <v>146</v>
      </c>
      <c r="E261">
        <v>171</v>
      </c>
      <c r="F261">
        <v>32441</v>
      </c>
      <c r="G261">
        <v>12.9940719378355</v>
      </c>
      <c r="H261" s="1">
        <v>1.00384067431878E-8</v>
      </c>
      <c r="I261" t="s">
        <v>769</v>
      </c>
      <c r="J261" t="s">
        <v>770</v>
      </c>
      <c r="K261" s="1">
        <v>1.8723810838380701E-7</v>
      </c>
      <c r="L261" t="s">
        <v>637</v>
      </c>
      <c r="M261" t="str">
        <f>HYPERLINK("http://www.broadinstitute.org/gsea/msigdb/cards/MORF_G22P1.html")</f>
        <v>http://www.broadinstitute.org/gsea/msigdb/cards/MORF_G22P1.html</v>
      </c>
    </row>
    <row r="262" spans="1:13">
      <c r="A262">
        <v>21</v>
      </c>
      <c r="B262" t="s">
        <v>771</v>
      </c>
      <c r="C262">
        <v>11</v>
      </c>
      <c r="D262">
        <v>146</v>
      </c>
      <c r="E262">
        <v>254</v>
      </c>
      <c r="F262">
        <v>32441</v>
      </c>
      <c r="G262">
        <v>9.6227753208931102</v>
      </c>
      <c r="H262" s="1">
        <v>3.4736747510637099E-8</v>
      </c>
      <c r="I262" t="s">
        <v>772</v>
      </c>
      <c r="J262" t="s">
        <v>773</v>
      </c>
      <c r="K262" s="1">
        <v>6.3413041200269398E-7</v>
      </c>
      <c r="L262" t="s">
        <v>637</v>
      </c>
      <c r="M262" t="str">
        <f>HYPERLINK("http://www.broadinstitute.org/gsea/msigdb/cards/MORF_HDAC1.html")</f>
        <v>http://www.broadinstitute.org/gsea/msigdb/cards/MORF_HDAC1.html</v>
      </c>
    </row>
    <row r="263" spans="1:13">
      <c r="A263">
        <v>578</v>
      </c>
      <c r="B263" t="s">
        <v>774</v>
      </c>
      <c r="C263">
        <v>7</v>
      </c>
      <c r="D263">
        <v>146</v>
      </c>
      <c r="E263">
        <v>81</v>
      </c>
      <c r="F263">
        <v>32441</v>
      </c>
      <c r="G263">
        <v>19.2023507525791</v>
      </c>
      <c r="H263" s="1">
        <v>1.46991259333085E-7</v>
      </c>
      <c r="I263" t="s">
        <v>775</v>
      </c>
      <c r="J263" t="s">
        <v>776</v>
      </c>
      <c r="K263" s="1">
        <v>2.6274687605788899E-6</v>
      </c>
      <c r="L263" t="s">
        <v>637</v>
      </c>
      <c r="M263" t="str">
        <f>HYPERLINK("http://www.broadinstitute.org/gsea/msigdb/cards/MODULE_159.html")</f>
        <v>http://www.broadinstitute.org/gsea/msigdb/cards/MODULE_159.html</v>
      </c>
    </row>
    <row r="264" spans="1:13">
      <c r="A264">
        <v>515</v>
      </c>
      <c r="B264" t="s">
        <v>777</v>
      </c>
      <c r="C264">
        <v>9</v>
      </c>
      <c r="D264">
        <v>146</v>
      </c>
      <c r="E264">
        <v>182</v>
      </c>
      <c r="F264">
        <v>32441</v>
      </c>
      <c r="G264">
        <v>10.9878443474334</v>
      </c>
      <c r="H264" s="1">
        <v>2.18814146662991E-7</v>
      </c>
      <c r="I264" t="s">
        <v>778</v>
      </c>
      <c r="J264" t="s">
        <v>779</v>
      </c>
      <c r="K264" s="1">
        <v>3.7651363203346701E-6</v>
      </c>
      <c r="L264" t="s">
        <v>637</v>
      </c>
      <c r="M264" t="str">
        <f>HYPERLINK("http://www.broadinstitute.org/gsea/msigdb/cards/MODULE_93.html")</f>
        <v>http://www.broadinstitute.org/gsea/msigdb/cards/MODULE_93.html</v>
      </c>
    </row>
    <row r="265" spans="1:13">
      <c r="A265">
        <v>696</v>
      </c>
      <c r="B265" t="s">
        <v>780</v>
      </c>
      <c r="C265">
        <v>5</v>
      </c>
      <c r="D265">
        <v>146</v>
      </c>
      <c r="E265">
        <v>25</v>
      </c>
      <c r="F265">
        <v>32441</v>
      </c>
      <c r="G265">
        <v>44.439726027397299</v>
      </c>
      <c r="H265" s="1">
        <v>2.19413538481041E-7</v>
      </c>
      <c r="I265" t="s">
        <v>781</v>
      </c>
      <c r="J265" t="s">
        <v>782</v>
      </c>
      <c r="K265" s="1">
        <v>3.7651363203346701E-6</v>
      </c>
      <c r="L265" t="s">
        <v>637</v>
      </c>
      <c r="M265" t="str">
        <f>HYPERLINK("http://www.broadinstitute.org/gsea/msigdb/cards/MODULE_307.html")</f>
        <v>http://www.broadinstitute.org/gsea/msigdb/cards/MODULE_307.html</v>
      </c>
    </row>
    <row r="266" spans="1:13">
      <c r="A266">
        <v>101</v>
      </c>
      <c r="B266" t="s">
        <v>783</v>
      </c>
      <c r="C266">
        <v>8</v>
      </c>
      <c r="D266">
        <v>146</v>
      </c>
      <c r="E266">
        <v>139</v>
      </c>
      <c r="F266">
        <v>32441</v>
      </c>
      <c r="G266">
        <v>12.788410367596301</v>
      </c>
      <c r="H266" s="1">
        <v>3.5281798377614798E-7</v>
      </c>
      <c r="I266" t="s">
        <v>784</v>
      </c>
      <c r="J266" t="s">
        <v>785</v>
      </c>
      <c r="K266" s="1">
        <v>5.9356437270575503E-6</v>
      </c>
      <c r="L266" t="s">
        <v>637</v>
      </c>
      <c r="M266" t="str">
        <f>HYPERLINK("http://www.broadinstitute.org/gsea/msigdb/cards/MORF_FBL.html")</f>
        <v>http://www.broadinstitute.org/gsea/msigdb/cards/MORF_FBL.html</v>
      </c>
    </row>
    <row r="267" spans="1:13">
      <c r="A267">
        <v>155</v>
      </c>
      <c r="B267" t="s">
        <v>786</v>
      </c>
      <c r="C267">
        <v>8</v>
      </c>
      <c r="D267">
        <v>146</v>
      </c>
      <c r="E267">
        <v>142</v>
      </c>
      <c r="F267">
        <v>32441</v>
      </c>
      <c r="G267">
        <v>12.518232683773901</v>
      </c>
      <c r="H267" s="1">
        <v>4.1167529357547298E-7</v>
      </c>
      <c r="I267" t="s">
        <v>787</v>
      </c>
      <c r="J267" t="s">
        <v>788</v>
      </c>
      <c r="K267" s="1">
        <v>6.7926423439953103E-6</v>
      </c>
      <c r="L267" t="s">
        <v>637</v>
      </c>
      <c r="M267" t="str">
        <f>HYPERLINK("http://www.broadinstitute.org/gsea/msigdb/cards/MORF_PRKAR1A.html")</f>
        <v>http://www.broadinstitute.org/gsea/msigdb/cards/MORF_PRKAR1A.html</v>
      </c>
    </row>
    <row r="268" spans="1:13">
      <c r="A268">
        <v>525</v>
      </c>
      <c r="B268" t="s">
        <v>789</v>
      </c>
      <c r="C268">
        <v>4</v>
      </c>
      <c r="D268">
        <v>146</v>
      </c>
      <c r="E268">
        <v>12</v>
      </c>
      <c r="F268">
        <v>32441</v>
      </c>
      <c r="G268">
        <v>74.066210045662103</v>
      </c>
      <c r="H268" s="1">
        <v>6.7484441536156496E-7</v>
      </c>
      <c r="I268" t="s">
        <v>790</v>
      </c>
      <c r="J268" t="s">
        <v>791</v>
      </c>
      <c r="K268" s="1">
        <v>1.09248397807589E-5</v>
      </c>
      <c r="L268" t="s">
        <v>637</v>
      </c>
      <c r="M268" t="str">
        <f>HYPERLINK("http://www.broadinstitute.org/gsea/msigdb/cards/MODULE_103.html")</f>
        <v>http://www.broadinstitute.org/gsea/msigdb/cards/MODULE_103.html</v>
      </c>
    </row>
    <row r="269" spans="1:13">
      <c r="A269">
        <v>301</v>
      </c>
      <c r="B269" t="s">
        <v>792</v>
      </c>
      <c r="C269">
        <v>7</v>
      </c>
      <c r="D269">
        <v>146</v>
      </c>
      <c r="E269">
        <v>110</v>
      </c>
      <c r="F269">
        <v>32441</v>
      </c>
      <c r="G269">
        <v>14.139912826899099</v>
      </c>
      <c r="H269" s="1">
        <v>1.03066228641074E-6</v>
      </c>
      <c r="I269" t="s">
        <v>793</v>
      </c>
      <c r="J269" t="s">
        <v>794</v>
      </c>
      <c r="K269" s="1">
        <v>1.6376078550748399E-5</v>
      </c>
      <c r="L269" t="s">
        <v>637</v>
      </c>
      <c r="M269" t="str">
        <f>HYPERLINK("http://www.broadinstitute.org/gsea/msigdb/cards/GNF2_HDAC1.html")</f>
        <v>http://www.broadinstitute.org/gsea/msigdb/cards/GNF2_HDAC1.html</v>
      </c>
    </row>
    <row r="270" spans="1:13">
      <c r="A270">
        <v>402</v>
      </c>
      <c r="B270" t="s">
        <v>795</v>
      </c>
      <c r="C270">
        <v>6</v>
      </c>
      <c r="D270">
        <v>146</v>
      </c>
      <c r="E270">
        <v>70</v>
      </c>
      <c r="F270">
        <v>32441</v>
      </c>
      <c r="G270">
        <v>19.045596868884498</v>
      </c>
      <c r="H270" s="1">
        <v>1.2318910123085E-6</v>
      </c>
      <c r="I270" t="s">
        <v>796</v>
      </c>
      <c r="J270" t="s">
        <v>797</v>
      </c>
      <c r="K270" s="1">
        <v>1.9217499792012602E-5</v>
      </c>
      <c r="L270" t="s">
        <v>637</v>
      </c>
      <c r="M270" t="str">
        <f>HYPERLINK("http://www.broadinstitute.org/gsea/msigdb/cards/GNF2_RBBP6.html")</f>
        <v>http://www.broadinstitute.org/gsea/msigdb/cards/GNF2_RBBP6.html</v>
      </c>
    </row>
    <row r="271" spans="1:13">
      <c r="A271">
        <v>793</v>
      </c>
      <c r="B271" t="s">
        <v>798</v>
      </c>
      <c r="C271">
        <v>5</v>
      </c>
      <c r="D271">
        <v>146</v>
      </c>
      <c r="E271">
        <v>38</v>
      </c>
      <c r="F271">
        <v>32441</v>
      </c>
      <c r="G271">
        <v>29.2366618601298</v>
      </c>
      <c r="H271" s="1">
        <v>1.4142547950303E-6</v>
      </c>
      <c r="I271" t="s">
        <v>799</v>
      </c>
      <c r="J271" t="s">
        <v>800</v>
      </c>
      <c r="K271" s="1">
        <v>2.1668403823857E-5</v>
      </c>
      <c r="L271" t="s">
        <v>637</v>
      </c>
      <c r="M271" t="str">
        <f>HYPERLINK("http://www.broadinstitute.org/gsea/msigdb/cards/MODULE_447.html")</f>
        <v>http://www.broadinstitute.org/gsea/msigdb/cards/MODULE_447.html</v>
      </c>
    </row>
    <row r="272" spans="1:13">
      <c r="A272">
        <v>448</v>
      </c>
      <c r="B272" t="s">
        <v>801</v>
      </c>
      <c r="C272">
        <v>5</v>
      </c>
      <c r="D272">
        <v>146</v>
      </c>
      <c r="E272">
        <v>45</v>
      </c>
      <c r="F272">
        <v>32441</v>
      </c>
      <c r="G272">
        <v>24.688736681887399</v>
      </c>
      <c r="H272" s="1">
        <v>3.0354068915408402E-6</v>
      </c>
      <c r="I272" t="s">
        <v>802</v>
      </c>
      <c r="J272" t="s">
        <v>803</v>
      </c>
      <c r="K272" s="1">
        <v>4.5690861630562097E-5</v>
      </c>
      <c r="L272" t="s">
        <v>637</v>
      </c>
      <c r="M272" t="str">
        <f>HYPERLINK("http://www.broadinstitute.org/gsea/msigdb/cards/MODULE_22.html")</f>
        <v>http://www.broadinstitute.org/gsea/msigdb/cards/MODULE_22.html</v>
      </c>
    </row>
    <row r="273" spans="1:13">
      <c r="A273">
        <v>465</v>
      </c>
      <c r="B273" t="s">
        <v>804</v>
      </c>
      <c r="C273">
        <v>4</v>
      </c>
      <c r="D273">
        <v>146</v>
      </c>
      <c r="E273">
        <v>25</v>
      </c>
      <c r="F273">
        <v>32441</v>
      </c>
      <c r="G273">
        <v>35.551780821917802</v>
      </c>
      <c r="H273" s="1">
        <v>8.4166419709393193E-6</v>
      </c>
      <c r="I273" t="s">
        <v>805</v>
      </c>
      <c r="J273" t="s">
        <v>806</v>
      </c>
      <c r="K273">
        <v>1.2450825536320601E-4</v>
      </c>
      <c r="L273" t="s">
        <v>637</v>
      </c>
      <c r="M273" t="str">
        <f>HYPERLINK("http://www.broadinstitute.org/gsea/msigdb/cards/MODULE_42.html")</f>
        <v>http://www.broadinstitute.org/gsea/msigdb/cards/MODULE_42.html</v>
      </c>
    </row>
    <row r="274" spans="1:13">
      <c r="A274">
        <v>499</v>
      </c>
      <c r="B274" t="s">
        <v>807</v>
      </c>
      <c r="C274">
        <v>4</v>
      </c>
      <c r="D274">
        <v>146</v>
      </c>
      <c r="E274">
        <v>28</v>
      </c>
      <c r="F274">
        <v>32441</v>
      </c>
      <c r="G274">
        <v>31.7426614481409</v>
      </c>
      <c r="H274" s="1">
        <v>1.26107425523864E-5</v>
      </c>
      <c r="I274" t="s">
        <v>805</v>
      </c>
      <c r="J274" t="s">
        <v>806</v>
      </c>
      <c r="K274">
        <v>1.83390120507586E-4</v>
      </c>
      <c r="L274" t="s">
        <v>637</v>
      </c>
      <c r="M274" t="str">
        <f>HYPERLINK("http://www.broadinstitute.org/gsea/msigdb/cards/MODULE_77.html")</f>
        <v>http://www.broadinstitute.org/gsea/msigdb/cards/MODULE_77.html</v>
      </c>
    </row>
    <row r="275" spans="1:13">
      <c r="A275">
        <v>341</v>
      </c>
      <c r="B275" t="s">
        <v>808</v>
      </c>
      <c r="C275">
        <v>7</v>
      </c>
      <c r="D275">
        <v>146</v>
      </c>
      <c r="E275">
        <v>182</v>
      </c>
      <c r="F275">
        <v>32441</v>
      </c>
      <c r="G275">
        <v>8.5461011591148601</v>
      </c>
      <c r="H275" s="1">
        <v>2.4284199669510201E-5</v>
      </c>
      <c r="I275" t="s">
        <v>809</v>
      </c>
      <c r="J275" t="s">
        <v>810</v>
      </c>
      <c r="K275">
        <v>3.4726405527399498E-4</v>
      </c>
      <c r="L275" t="s">
        <v>637</v>
      </c>
      <c r="M275" t="str">
        <f>HYPERLINK("http://www.broadinstitute.org/gsea/msigdb/cards/MORF_RAD21.html")</f>
        <v>http://www.broadinstitute.org/gsea/msigdb/cards/MORF_RAD21.html</v>
      </c>
    </row>
    <row r="276" spans="1:13">
      <c r="A276">
        <v>88</v>
      </c>
      <c r="B276" t="s">
        <v>811</v>
      </c>
      <c r="C276">
        <v>8</v>
      </c>
      <c r="D276">
        <v>146</v>
      </c>
      <c r="E276">
        <v>262</v>
      </c>
      <c r="F276">
        <v>32441</v>
      </c>
      <c r="G276">
        <v>6.7846909965491999</v>
      </c>
      <c r="H276" s="1">
        <v>3.14817916410953E-5</v>
      </c>
      <c r="I276" t="s">
        <v>812</v>
      </c>
      <c r="J276" t="s">
        <v>813</v>
      </c>
      <c r="K276">
        <v>4.4280946275507803E-4</v>
      </c>
      <c r="L276" t="s">
        <v>637</v>
      </c>
      <c r="M276" t="str">
        <f>HYPERLINK("http://www.broadinstitute.org/gsea/msigdb/cards/MORF_DEK.html")</f>
        <v>http://www.broadinstitute.org/gsea/msigdb/cards/MORF_DEK.html</v>
      </c>
    </row>
    <row r="277" spans="1:13">
      <c r="A277">
        <v>83</v>
      </c>
      <c r="B277" t="s">
        <v>814</v>
      </c>
      <c r="C277">
        <v>7</v>
      </c>
      <c r="D277">
        <v>146</v>
      </c>
      <c r="E277">
        <v>193</v>
      </c>
      <c r="F277">
        <v>32441</v>
      </c>
      <c r="G277">
        <v>8.0590176733622005</v>
      </c>
      <c r="H277" s="1">
        <v>3.4855489649654303E-5</v>
      </c>
      <c r="I277" t="s">
        <v>815</v>
      </c>
      <c r="J277" t="s">
        <v>816</v>
      </c>
      <c r="K277">
        <v>4.8235500192586199E-4</v>
      </c>
      <c r="L277" t="s">
        <v>637</v>
      </c>
      <c r="M277" t="str">
        <f>HYPERLINK("http://www.broadinstitute.org/gsea/msigdb/cards/MORF_DAP3.html")</f>
        <v>http://www.broadinstitute.org/gsea/msigdb/cards/MORF_DAP3.html</v>
      </c>
    </row>
    <row r="278" spans="1:13">
      <c r="A278">
        <v>48</v>
      </c>
      <c r="B278" t="s">
        <v>817</v>
      </c>
      <c r="C278">
        <v>8</v>
      </c>
      <c r="D278">
        <v>146</v>
      </c>
      <c r="E278">
        <v>277</v>
      </c>
      <c r="F278">
        <v>32441</v>
      </c>
      <c r="G278">
        <v>6.4172889570248701</v>
      </c>
      <c r="H278" s="1">
        <v>4.6122232111271497E-5</v>
      </c>
      <c r="I278" t="s">
        <v>818</v>
      </c>
      <c r="J278" t="s">
        <v>819</v>
      </c>
      <c r="K278">
        <v>6.28140875420173E-4</v>
      </c>
      <c r="L278" t="s">
        <v>637</v>
      </c>
      <c r="M278" t="str">
        <f>HYPERLINK("http://www.broadinstitute.org/gsea/msigdb/cards/MORF_SOD1.html")</f>
        <v>http://www.broadinstitute.org/gsea/msigdb/cards/MORF_SOD1.html</v>
      </c>
    </row>
    <row r="279" spans="1:13">
      <c r="A279">
        <v>812</v>
      </c>
      <c r="B279" t="s">
        <v>820</v>
      </c>
      <c r="C279">
        <v>4</v>
      </c>
      <c r="D279">
        <v>146</v>
      </c>
      <c r="E279">
        <v>42</v>
      </c>
      <c r="F279">
        <v>32441</v>
      </c>
      <c r="G279">
        <v>21.161774298760601</v>
      </c>
      <c r="H279" s="1">
        <v>5.4507437783428099E-5</v>
      </c>
      <c r="I279" t="s">
        <v>821</v>
      </c>
      <c r="J279" t="s">
        <v>822</v>
      </c>
      <c r="K279">
        <v>7.3074033778408305E-4</v>
      </c>
      <c r="L279" t="s">
        <v>637</v>
      </c>
      <c r="M279" t="str">
        <f>HYPERLINK("http://www.broadinstitute.org/gsea/msigdb/cards/MODULE_484.html")</f>
        <v>http://www.broadinstitute.org/gsea/msigdb/cards/MODULE_484.html</v>
      </c>
    </row>
    <row r="280" spans="1:13">
      <c r="A280">
        <v>79</v>
      </c>
      <c r="B280" t="s">
        <v>823</v>
      </c>
      <c r="C280">
        <v>8</v>
      </c>
      <c r="D280">
        <v>146</v>
      </c>
      <c r="E280">
        <v>287</v>
      </c>
      <c r="F280">
        <v>32441</v>
      </c>
      <c r="G280">
        <v>6.1936900386616403</v>
      </c>
      <c r="H280" s="1">
        <v>5.8739589330340199E-5</v>
      </c>
      <c r="I280" t="s">
        <v>824</v>
      </c>
      <c r="J280" t="s">
        <v>825</v>
      </c>
      <c r="K280">
        <v>7.7536257916049098E-4</v>
      </c>
      <c r="L280" t="s">
        <v>637</v>
      </c>
      <c r="M280" t="str">
        <f>HYPERLINK("http://www.broadinstitute.org/gsea/msigdb/cards/MORF_CSNK2B.html")</f>
        <v>http://www.broadinstitute.org/gsea/msigdb/cards/MORF_CSNK2B.html</v>
      </c>
    </row>
    <row r="281" spans="1:13">
      <c r="A281">
        <v>19</v>
      </c>
      <c r="B281" t="s">
        <v>826</v>
      </c>
      <c r="C281">
        <v>4</v>
      </c>
      <c r="D281">
        <v>146</v>
      </c>
      <c r="E281">
        <v>54</v>
      </c>
      <c r="F281">
        <v>32441</v>
      </c>
      <c r="G281">
        <v>16.459157787924902</v>
      </c>
      <c r="H281">
        <v>1.35932378105231E-4</v>
      </c>
      <c r="I281" t="s">
        <v>827</v>
      </c>
      <c r="J281" t="s">
        <v>828</v>
      </c>
      <c r="K281">
        <v>1.767120915368E-3</v>
      </c>
      <c r="L281" t="s">
        <v>637</v>
      </c>
      <c r="M281" t="str">
        <f>HYPERLINK("http://www.broadinstitute.org/gsea/msigdb/cards/MORF_GPX4.html")</f>
        <v>http://www.broadinstitute.org/gsea/msigdb/cards/MORF_GPX4.html</v>
      </c>
    </row>
    <row r="282" spans="1:13">
      <c r="A282">
        <v>11</v>
      </c>
      <c r="B282" t="s">
        <v>829</v>
      </c>
      <c r="C282">
        <v>6</v>
      </c>
      <c r="D282">
        <v>146</v>
      </c>
      <c r="E282">
        <v>168</v>
      </c>
      <c r="F282">
        <v>32441</v>
      </c>
      <c r="G282">
        <v>7.9356653620352304</v>
      </c>
      <c r="H282">
        <v>1.3898604352187901E-4</v>
      </c>
      <c r="I282" t="s">
        <v>830</v>
      </c>
      <c r="J282" t="s">
        <v>831</v>
      </c>
      <c r="K282">
        <v>1.7798511245040601E-3</v>
      </c>
      <c r="L282" t="s">
        <v>637</v>
      </c>
      <c r="M282" t="str">
        <f>HYPERLINK("http://www.broadinstitute.org/gsea/msigdb/cards/MORF_CTBP1.html")</f>
        <v>http://www.broadinstitute.org/gsea/msigdb/cards/MORF_CTBP1.html</v>
      </c>
    </row>
    <row r="283" spans="1:13">
      <c r="A283">
        <v>503</v>
      </c>
      <c r="B283" t="s">
        <v>832</v>
      </c>
      <c r="C283">
        <v>3</v>
      </c>
      <c r="D283">
        <v>146</v>
      </c>
      <c r="E283">
        <v>20</v>
      </c>
      <c r="F283">
        <v>32441</v>
      </c>
      <c r="G283">
        <v>33.3297945205479</v>
      </c>
      <c r="H283">
        <v>1.4609174274547899E-4</v>
      </c>
      <c r="I283" t="s">
        <v>833</v>
      </c>
      <c r="J283" t="s">
        <v>834</v>
      </c>
      <c r="K283">
        <v>1.8433340481708901E-3</v>
      </c>
      <c r="L283" t="s">
        <v>637</v>
      </c>
      <c r="M283" t="str">
        <f>HYPERLINK("http://www.broadinstitute.org/gsea/msigdb/cards/MODULE_81.html")</f>
        <v>http://www.broadinstitute.org/gsea/msigdb/cards/MODULE_81.html</v>
      </c>
    </row>
    <row r="284" spans="1:13">
      <c r="A284">
        <v>152</v>
      </c>
      <c r="B284" t="s">
        <v>835</v>
      </c>
      <c r="C284">
        <v>4</v>
      </c>
      <c r="D284">
        <v>146</v>
      </c>
      <c r="E284">
        <v>103</v>
      </c>
      <c r="F284">
        <v>32441</v>
      </c>
      <c r="G284">
        <v>8.6290730150285899</v>
      </c>
      <c r="H284">
        <v>1.3956810235833601E-3</v>
      </c>
      <c r="I284" t="s">
        <v>836</v>
      </c>
      <c r="J284" t="s">
        <v>837</v>
      </c>
      <c r="K284">
        <v>1.7354990119340899E-2</v>
      </c>
      <c r="L284" t="s">
        <v>637</v>
      </c>
      <c r="M284" t="str">
        <f>HYPERLINK("http://www.broadinstitute.org/gsea/msigdb/cards/MORF_PPP6C.html")</f>
        <v>http://www.broadinstitute.org/gsea/msigdb/cards/MORF_PPP6C.html</v>
      </c>
    </row>
    <row r="285" spans="1:13">
      <c r="A285">
        <v>607</v>
      </c>
      <c r="B285" t="s">
        <v>838</v>
      </c>
      <c r="C285">
        <v>4</v>
      </c>
      <c r="D285">
        <v>146</v>
      </c>
      <c r="E285">
        <v>112</v>
      </c>
      <c r="F285">
        <v>32441</v>
      </c>
      <c r="G285">
        <v>7.9356653620352198</v>
      </c>
      <c r="H285">
        <v>1.87736079466383E-3</v>
      </c>
      <c r="I285" t="s">
        <v>839</v>
      </c>
      <c r="J285" t="s">
        <v>840</v>
      </c>
      <c r="K285">
        <v>2.30110794545938E-2</v>
      </c>
      <c r="L285" t="s">
        <v>637</v>
      </c>
      <c r="M285" t="str">
        <f>HYPERLINK("http://www.broadinstitute.org/gsea/msigdb/cards/MODULE_192.html")</f>
        <v>http://www.broadinstitute.org/gsea/msigdb/cards/MODULE_192.html</v>
      </c>
    </row>
    <row r="286" spans="1:13">
      <c r="A286">
        <v>5</v>
      </c>
      <c r="B286" t="s">
        <v>841</v>
      </c>
      <c r="C286">
        <v>3</v>
      </c>
      <c r="D286">
        <v>146</v>
      </c>
      <c r="E286">
        <v>57</v>
      </c>
      <c r="F286">
        <v>32441</v>
      </c>
      <c r="G286">
        <v>11.6946647440519</v>
      </c>
      <c r="H286">
        <v>2.5009860833351901E-3</v>
      </c>
      <c r="I286" t="s">
        <v>842</v>
      </c>
      <c r="J286" t="s">
        <v>843</v>
      </c>
      <c r="K286">
        <v>3.0223183936642199E-2</v>
      </c>
      <c r="L286" t="s">
        <v>637</v>
      </c>
      <c r="M286" t="str">
        <f>HYPERLINK("http://www.broadinstitute.org/gsea/msigdb/cards/MORF_BAG5.html")</f>
        <v>http://www.broadinstitute.org/gsea/msigdb/cards/MORF_BAG5.html</v>
      </c>
    </row>
    <row r="287" spans="1:13">
      <c r="A287">
        <v>674</v>
      </c>
      <c r="B287" t="s">
        <v>844</v>
      </c>
      <c r="C287">
        <v>4</v>
      </c>
      <c r="D287">
        <v>146</v>
      </c>
      <c r="E287">
        <v>141</v>
      </c>
      <c r="F287">
        <v>32441</v>
      </c>
      <c r="G287">
        <v>6.3035072379286898</v>
      </c>
      <c r="H287">
        <v>4.1926536136791901E-3</v>
      </c>
      <c r="I287" t="s">
        <v>845</v>
      </c>
      <c r="J287" t="s">
        <v>846</v>
      </c>
      <c r="K287">
        <v>4.9962455563010301E-2</v>
      </c>
      <c r="L287" t="s">
        <v>637</v>
      </c>
      <c r="M287" t="str">
        <f>HYPERLINK("http://www.broadinstitute.org/gsea/msigdb/cards/MODULE_279.html")</f>
        <v>http://www.broadinstitute.org/gsea/msigdb/cards/MODULE_279.html</v>
      </c>
    </row>
    <row r="288" spans="1:13">
      <c r="A288">
        <v>740</v>
      </c>
      <c r="B288" t="s">
        <v>847</v>
      </c>
      <c r="C288">
        <v>72</v>
      </c>
      <c r="D288">
        <v>146</v>
      </c>
      <c r="E288">
        <v>104</v>
      </c>
      <c r="F288">
        <v>32441</v>
      </c>
      <c r="G288">
        <v>153.82982086406699</v>
      </c>
      <c r="H288" s="1">
        <v>1.09745089559421E-128</v>
      </c>
      <c r="I288" s="1" t="s">
        <v>52</v>
      </c>
      <c r="J288" s="1" t="s">
        <v>53</v>
      </c>
      <c r="K288" s="1">
        <v>6.4936169492309201E-125</v>
      </c>
      <c r="L288" t="s">
        <v>848</v>
      </c>
      <c r="M288" t="str">
        <f>HYPERLINK("http://www.broadinstitute.org/gsea/msigdb/cards/GO_ESTABLISHMENT_OF_PROTEIN_LOCALIZATION_TO_ENDOPLASMIC_RETICULUM.html")</f>
        <v>http://www.broadinstitute.org/gsea/msigdb/cards/GO_ESTABLISHMENT_OF_PROTEIN_LOCALIZATION_TO_ENDOPLASMIC_RETICULUM.html</v>
      </c>
    </row>
    <row r="289" spans="1:13">
      <c r="A289">
        <v>3496</v>
      </c>
      <c r="B289" t="s">
        <v>849</v>
      </c>
      <c r="C289">
        <v>73</v>
      </c>
      <c r="D289">
        <v>146</v>
      </c>
      <c r="E289">
        <v>118</v>
      </c>
      <c r="F289">
        <v>32441</v>
      </c>
      <c r="G289">
        <v>137.46186440677999</v>
      </c>
      <c r="H289" s="1">
        <v>6.8334157234326095E-128</v>
      </c>
      <c r="I289" s="1" t="s">
        <v>850</v>
      </c>
      <c r="J289" s="1" t="s">
        <v>851</v>
      </c>
      <c r="K289" s="1">
        <v>2.0216660417775402E-124</v>
      </c>
      <c r="L289" t="s">
        <v>848</v>
      </c>
      <c r="M289" t="str">
        <f>HYPERLINK("http://www.broadinstitute.org/gsea/msigdb/cards/GO_NUCLEAR_TRANSCRIBED_MRNA_CATABOLIC_PROCESS_NONSENSE_MEDIATED_DECAY.html")</f>
        <v>http://www.broadinstitute.org/gsea/msigdb/cards/GO_NUCLEAR_TRANSCRIBED_MRNA_CATABOLIC_PROCESS_NONSENSE_MEDIATED_DECAY.html</v>
      </c>
    </row>
    <row r="290" spans="1:13">
      <c r="A290">
        <v>654</v>
      </c>
      <c r="B290" t="s">
        <v>852</v>
      </c>
      <c r="C290">
        <v>75</v>
      </c>
      <c r="D290">
        <v>146</v>
      </c>
      <c r="E290">
        <v>146</v>
      </c>
      <c r="F290">
        <v>32441</v>
      </c>
      <c r="G290">
        <v>114.143131919685</v>
      </c>
      <c r="H290" s="1">
        <v>6.3150478219527498E-127</v>
      </c>
      <c r="I290" s="1" t="s">
        <v>40</v>
      </c>
      <c r="J290" s="1" t="s">
        <v>41</v>
      </c>
      <c r="K290" s="1">
        <v>1.24553793208315E-123</v>
      </c>
      <c r="L290" t="s">
        <v>848</v>
      </c>
      <c r="M290" t="str">
        <f>HYPERLINK("http://www.broadinstitute.org/gsea/msigdb/cards/GO_TRANSLATIONAL_INITIATION.html")</f>
        <v>http://www.broadinstitute.org/gsea/msigdb/cards/GO_TRANSLATIONAL_INITIATION.html</v>
      </c>
    </row>
    <row r="291" spans="1:13">
      <c r="A291">
        <v>4973</v>
      </c>
      <c r="B291" t="s">
        <v>853</v>
      </c>
      <c r="C291">
        <v>72</v>
      </c>
      <c r="D291">
        <v>146</v>
      </c>
      <c r="E291">
        <v>113</v>
      </c>
      <c r="F291">
        <v>32441</v>
      </c>
      <c r="G291">
        <v>141.57788822887599</v>
      </c>
      <c r="H291" s="1">
        <v>1.0340489177334101E-126</v>
      </c>
      <c r="I291" s="1" t="s">
        <v>52</v>
      </c>
      <c r="J291" s="1" t="s">
        <v>53</v>
      </c>
      <c r="K291" s="1">
        <v>1.5296168615571499E-123</v>
      </c>
      <c r="L291" t="s">
        <v>848</v>
      </c>
      <c r="M291" t="str">
        <f>HYPERLINK("http://www.broadinstitute.org/gsea/msigdb/cards/GO_CYTOSOLIC_RIBOSOME.html")</f>
        <v>http://www.broadinstitute.org/gsea/msigdb/cards/GO_CYTOSOLIC_RIBOSOME.html</v>
      </c>
    </row>
    <row r="292" spans="1:13">
      <c r="A292">
        <v>3143</v>
      </c>
      <c r="B292" t="s">
        <v>854</v>
      </c>
      <c r="C292">
        <v>74</v>
      </c>
      <c r="D292">
        <v>146</v>
      </c>
      <c r="E292">
        <v>138</v>
      </c>
      <c r="F292">
        <v>32441</v>
      </c>
      <c r="G292">
        <v>119.149990073456</v>
      </c>
      <c r="H292" s="1">
        <v>3.4522286762336198E-126</v>
      </c>
      <c r="I292" s="1" t="s">
        <v>855</v>
      </c>
      <c r="J292" s="1" t="s">
        <v>856</v>
      </c>
      <c r="K292" s="1">
        <v>4.0853674154548603E-123</v>
      </c>
      <c r="L292" t="s">
        <v>848</v>
      </c>
      <c r="M292" t="str">
        <f>HYPERLINK("http://www.broadinstitute.org/gsea/msigdb/cards/GO_MULTI_ORGANISM_METABOLIC_PROCESS.html")</f>
        <v>http://www.broadinstitute.org/gsea/msigdb/cards/GO_MULTI_ORGANISM_METABOLIC_PROCESS.html</v>
      </c>
    </row>
    <row r="293" spans="1:13">
      <c r="A293">
        <v>1263</v>
      </c>
      <c r="B293" t="s">
        <v>857</v>
      </c>
      <c r="C293">
        <v>72</v>
      </c>
      <c r="D293">
        <v>146</v>
      </c>
      <c r="E293">
        <v>123</v>
      </c>
      <c r="F293">
        <v>32441</v>
      </c>
      <c r="G293">
        <v>130.067490811894</v>
      </c>
      <c r="H293" s="1">
        <v>1.1676052873424099E-124</v>
      </c>
      <c r="I293" s="1" t="s">
        <v>52</v>
      </c>
      <c r="J293" s="1" t="s">
        <v>53</v>
      </c>
      <c r="K293" s="1">
        <v>1.1514534142008399E-121</v>
      </c>
      <c r="L293" t="s">
        <v>848</v>
      </c>
      <c r="M293" t="str">
        <f>HYPERLINK("http://www.broadinstitute.org/gsea/msigdb/cards/GO_PROTEIN_LOCALIZATION_TO_ENDOPLASMIC_RETICULUM.html")</f>
        <v>http://www.broadinstitute.org/gsea/msigdb/cards/GO_PROTEIN_LOCALIZATION_TO_ENDOPLASMIC_RETICULUM.html</v>
      </c>
    </row>
    <row r="294" spans="1:13">
      <c r="A294">
        <v>4848</v>
      </c>
      <c r="B294" t="s">
        <v>858</v>
      </c>
      <c r="C294">
        <v>73</v>
      </c>
      <c r="D294">
        <v>146</v>
      </c>
      <c r="E294">
        <v>163</v>
      </c>
      <c r="F294">
        <v>32441</v>
      </c>
      <c r="G294">
        <v>99.512269938650306</v>
      </c>
      <c r="H294" s="1">
        <v>9.8245781790181105E-120</v>
      </c>
      <c r="I294" s="1" t="s">
        <v>859</v>
      </c>
      <c r="J294" s="1" t="s">
        <v>860</v>
      </c>
      <c r="K294" s="1">
        <v>8.3045755836071706E-117</v>
      </c>
      <c r="L294" t="s">
        <v>848</v>
      </c>
      <c r="M294" t="str">
        <f>HYPERLINK("http://www.broadinstitute.org/gsea/msigdb/cards/GO_RIBOSOMAL_SUBUNIT.html")</f>
        <v>http://www.broadinstitute.org/gsea/msigdb/cards/GO_RIBOSOMAL_SUBUNIT.html</v>
      </c>
    </row>
    <row r="295" spans="1:13">
      <c r="A295">
        <v>1495</v>
      </c>
      <c r="B295" t="s">
        <v>861</v>
      </c>
      <c r="C295">
        <v>72</v>
      </c>
      <c r="D295">
        <v>146</v>
      </c>
      <c r="E295">
        <v>157</v>
      </c>
      <c r="F295">
        <v>32441</v>
      </c>
      <c r="G295">
        <v>101.900008725242</v>
      </c>
      <c r="H295" s="1">
        <v>1.45738141172947E-118</v>
      </c>
      <c r="I295" s="1" t="s">
        <v>52</v>
      </c>
      <c r="J295" s="1" t="s">
        <v>53</v>
      </c>
      <c r="K295" s="1">
        <v>1.07791572665041E-115</v>
      </c>
      <c r="L295" t="s">
        <v>848</v>
      </c>
      <c r="M295" t="str">
        <f>HYPERLINK("http://www.broadinstitute.org/gsea/msigdb/cards/GO_PROTEIN_TARGETING_TO_MEMBRANE.html")</f>
        <v>http://www.broadinstitute.org/gsea/msigdb/cards/GO_PROTEIN_TARGETING_TO_MEMBRANE.html</v>
      </c>
    </row>
    <row r="296" spans="1:13">
      <c r="A296">
        <v>4517</v>
      </c>
      <c r="B296" t="s">
        <v>862</v>
      </c>
      <c r="C296">
        <v>76</v>
      </c>
      <c r="D296">
        <v>146</v>
      </c>
      <c r="E296">
        <v>226</v>
      </c>
      <c r="F296">
        <v>32441</v>
      </c>
      <c r="G296">
        <v>74.721663231906902</v>
      </c>
      <c r="H296" s="1">
        <v>3.4950033926839503E-117</v>
      </c>
      <c r="I296" s="1" t="s">
        <v>863</v>
      </c>
      <c r="J296" s="1" t="s">
        <v>864</v>
      </c>
      <c r="K296" s="1">
        <v>2.29777056383455E-114</v>
      </c>
      <c r="L296" t="s">
        <v>848</v>
      </c>
      <c r="M296" t="str">
        <f>HYPERLINK("http://www.broadinstitute.org/gsea/msigdb/cards/GO_RIBOSOME.html")</f>
        <v>http://www.broadinstitute.org/gsea/msigdb/cards/GO_RIBOSOME.html</v>
      </c>
    </row>
    <row r="297" spans="1:13">
      <c r="A297">
        <v>4536</v>
      </c>
      <c r="B297" t="s">
        <v>865</v>
      </c>
      <c r="C297">
        <v>74</v>
      </c>
      <c r="D297">
        <v>146</v>
      </c>
      <c r="E297">
        <v>223</v>
      </c>
      <c r="F297">
        <v>32441</v>
      </c>
      <c r="G297">
        <v>73.734074574605302</v>
      </c>
      <c r="H297" s="1">
        <v>1.9175892776005999E-113</v>
      </c>
      <c r="I297" s="1" t="s">
        <v>866</v>
      </c>
      <c r="J297" s="1" t="s">
        <v>867</v>
      </c>
      <c r="K297" s="1">
        <v>1.13463757555628E-110</v>
      </c>
      <c r="L297" t="s">
        <v>848</v>
      </c>
      <c r="M297" t="str">
        <f>HYPERLINK("http://www.broadinstitute.org/gsea/msigdb/cards/GO_CYTOSOLIC_PART.html")</f>
        <v>http://www.broadinstitute.org/gsea/msigdb/cards/GO_CYTOSOLIC_PART.html</v>
      </c>
    </row>
    <row r="298" spans="1:13">
      <c r="A298">
        <v>3774</v>
      </c>
      <c r="B298" t="s">
        <v>868</v>
      </c>
      <c r="C298">
        <v>74</v>
      </c>
      <c r="D298">
        <v>146</v>
      </c>
      <c r="E298">
        <v>227</v>
      </c>
      <c r="F298">
        <v>32441</v>
      </c>
      <c r="G298">
        <v>72.434795727475702</v>
      </c>
      <c r="H298" s="1">
        <v>5.9148041345960704E-113</v>
      </c>
      <c r="I298" s="1" t="s">
        <v>869</v>
      </c>
      <c r="J298" s="1" t="s">
        <v>870</v>
      </c>
      <c r="K298" s="1">
        <v>3.1816269149459E-110</v>
      </c>
      <c r="L298" t="s">
        <v>848</v>
      </c>
      <c r="M298" t="str">
        <f>HYPERLINK("http://www.broadinstitute.org/gsea/msigdb/cards/GO_RNA_CATABOLIC_PROCESS.html")</f>
        <v>http://www.broadinstitute.org/gsea/msigdb/cards/GO_RNA_CATABOLIC_PROCESS.html</v>
      </c>
    </row>
    <row r="299" spans="1:13">
      <c r="A299">
        <v>7821</v>
      </c>
      <c r="B299" t="s">
        <v>871</v>
      </c>
      <c r="C299">
        <v>75</v>
      </c>
      <c r="D299">
        <v>146</v>
      </c>
      <c r="E299">
        <v>255</v>
      </c>
      <c r="F299">
        <v>32441</v>
      </c>
      <c r="G299">
        <v>65.352538275584195</v>
      </c>
      <c r="H299" s="1">
        <v>9.7798067160447199E-112</v>
      </c>
      <c r="I299" s="1" t="s">
        <v>872</v>
      </c>
      <c r="J299" s="1" t="s">
        <v>873</v>
      </c>
      <c r="K299" s="1">
        <v>4.82225969490305E-109</v>
      </c>
      <c r="L299" t="s">
        <v>848</v>
      </c>
      <c r="M299" t="str">
        <f>HYPERLINK("http://www.broadinstitute.org/gsea/msigdb/cards/GO_RRNA_METABOLIC_PROCESS.html")</f>
        <v>http://www.broadinstitute.org/gsea/msigdb/cards/GO_RRNA_METABOLIC_PROCESS.html</v>
      </c>
    </row>
    <row r="300" spans="1:13">
      <c r="A300">
        <v>5395</v>
      </c>
      <c r="B300" t="s">
        <v>874</v>
      </c>
      <c r="C300">
        <v>72</v>
      </c>
      <c r="D300">
        <v>146</v>
      </c>
      <c r="E300">
        <v>212</v>
      </c>
      <c r="F300">
        <v>32441</v>
      </c>
      <c r="G300">
        <v>75.463685706901003</v>
      </c>
      <c r="H300" s="1">
        <v>1.0098964403683299E-110</v>
      </c>
      <c r="I300" s="1" t="s">
        <v>875</v>
      </c>
      <c r="J300" s="1" t="s">
        <v>876</v>
      </c>
      <c r="K300" s="1">
        <v>4.5965824905072601E-108</v>
      </c>
      <c r="L300" t="s">
        <v>848</v>
      </c>
      <c r="M300" t="str">
        <f>HYPERLINK("http://www.broadinstitute.org/gsea/msigdb/cards/GO_STRUCTURAL_CONSTITUENT_OF_RIBOSOME.html")</f>
        <v>http://www.broadinstitute.org/gsea/msigdb/cards/GO_STRUCTURAL_CONSTITUENT_OF_RIBOSOME.html</v>
      </c>
    </row>
    <row r="301" spans="1:13">
      <c r="A301">
        <v>2411</v>
      </c>
      <c r="B301" t="s">
        <v>877</v>
      </c>
      <c r="C301">
        <v>76</v>
      </c>
      <c r="D301">
        <v>146</v>
      </c>
      <c r="E301">
        <v>290</v>
      </c>
      <c r="F301">
        <v>32441</v>
      </c>
      <c r="G301">
        <v>58.2313651393481</v>
      </c>
      <c r="H301" s="1">
        <v>4.7482170785647303E-110</v>
      </c>
      <c r="I301" s="1" t="s">
        <v>878</v>
      </c>
      <c r="J301" s="1" t="s">
        <v>879</v>
      </c>
      <c r="K301" s="1">
        <v>2.0068000324191099E-107</v>
      </c>
      <c r="L301" t="s">
        <v>848</v>
      </c>
      <c r="M301" t="str">
        <f>HYPERLINK("http://www.broadinstitute.org/gsea/msigdb/cards/GO_VIRAL_LIFE_CYCLE.html")</f>
        <v>http://www.broadinstitute.org/gsea/msigdb/cards/GO_VIRAL_LIFE_CYCLE.html</v>
      </c>
    </row>
    <row r="302" spans="1:13">
      <c r="A302">
        <v>234</v>
      </c>
      <c r="B302" t="s">
        <v>880</v>
      </c>
      <c r="C302">
        <v>76</v>
      </c>
      <c r="D302">
        <v>146</v>
      </c>
      <c r="E302">
        <v>308</v>
      </c>
      <c r="F302">
        <v>32441</v>
      </c>
      <c r="G302">
        <v>54.828233410425199</v>
      </c>
      <c r="H302" s="1">
        <v>2.6792452349180099E-108</v>
      </c>
      <c r="I302" s="1" t="s">
        <v>881</v>
      </c>
      <c r="J302" s="1" t="s">
        <v>882</v>
      </c>
      <c r="K302" s="1">
        <v>1.0568729370006601E-105</v>
      </c>
      <c r="L302" t="s">
        <v>848</v>
      </c>
      <c r="M302" t="str">
        <f>HYPERLINK("http://www.broadinstitute.org/gsea/msigdb/cards/GO_RIBOSOME_BIOGENESIS.html")</f>
        <v>http://www.broadinstitute.org/gsea/msigdb/cards/GO_RIBOSOME_BIOGENESIS.html</v>
      </c>
    </row>
    <row r="303" spans="1:13">
      <c r="A303">
        <v>2212</v>
      </c>
      <c r="B303" t="s">
        <v>883</v>
      </c>
      <c r="C303">
        <v>73</v>
      </c>
      <c r="D303">
        <v>146</v>
      </c>
      <c r="E303">
        <v>264</v>
      </c>
      <c r="F303">
        <v>32441</v>
      </c>
      <c r="G303">
        <v>61.441287878787897</v>
      </c>
      <c r="H303" s="1">
        <v>9.0013225689789701E-107</v>
      </c>
      <c r="I303" s="1" t="s">
        <v>884</v>
      </c>
      <c r="J303" s="1" t="s">
        <v>885</v>
      </c>
      <c r="K303" s="1">
        <v>3.3288016025405402E-104</v>
      </c>
      <c r="L303" t="s">
        <v>848</v>
      </c>
      <c r="M303" t="str">
        <f>HYPERLINK("http://www.broadinstitute.org/gsea/msigdb/cards/GO_ESTABLISHMENT_OF_PROTEIN_LOCALIZATION_TO_MEMBRANE.html")</f>
        <v>http://www.broadinstitute.org/gsea/msigdb/cards/GO_ESTABLISHMENT_OF_PROTEIN_LOCALIZATION_TO_MEMBRANE.html</v>
      </c>
    </row>
    <row r="304" spans="1:13">
      <c r="A304">
        <v>1986</v>
      </c>
      <c r="B304" t="s">
        <v>886</v>
      </c>
      <c r="C304">
        <v>82</v>
      </c>
      <c r="D304">
        <v>146</v>
      </c>
      <c r="E304">
        <v>507</v>
      </c>
      <c r="F304">
        <v>32441</v>
      </c>
      <c r="G304">
        <v>35.937451028072701</v>
      </c>
      <c r="H304" s="1">
        <v>2.57923418781058E-104</v>
      </c>
      <c r="I304" s="1" t="s">
        <v>887</v>
      </c>
      <c r="J304" s="1" t="s">
        <v>888</v>
      </c>
      <c r="K304" s="1">
        <v>8.9772521701618897E-102</v>
      </c>
      <c r="L304" t="s">
        <v>848</v>
      </c>
      <c r="M304" t="str">
        <f>HYPERLINK("http://www.broadinstitute.org/gsea/msigdb/cards/GO_AMIDE_BIOSYNTHETIC_PROCESS.html")</f>
        <v>http://www.broadinstitute.org/gsea/msigdb/cards/GO_AMIDE_BIOSYNTHETIC_PROCESS.html</v>
      </c>
    </row>
    <row r="305" spans="1:13">
      <c r="A305">
        <v>2812</v>
      </c>
      <c r="B305" t="s">
        <v>889</v>
      </c>
      <c r="C305">
        <v>79</v>
      </c>
      <c r="D305">
        <v>146</v>
      </c>
      <c r="E305">
        <v>440</v>
      </c>
      <c r="F305">
        <v>32441</v>
      </c>
      <c r="G305">
        <v>39.8947540473225</v>
      </c>
      <c r="H305" s="1">
        <v>2.8470242590743899E-103</v>
      </c>
      <c r="I305" s="1" t="s">
        <v>890</v>
      </c>
      <c r="J305" s="1" t="s">
        <v>891</v>
      </c>
      <c r="K305" s="1">
        <v>9.3588014116350896E-101</v>
      </c>
      <c r="L305" t="s">
        <v>848</v>
      </c>
      <c r="M305" t="str">
        <f>HYPERLINK("http://www.broadinstitute.org/gsea/msigdb/cards/GO_RIBONUCLEOPROTEIN_COMPLEX_BIOGENESIS.html")</f>
        <v>http://www.broadinstitute.org/gsea/msigdb/cards/GO_RIBONUCLEOPROTEIN_COMPLEX_BIOGENESIS.html</v>
      </c>
    </row>
    <row r="306" spans="1:13">
      <c r="A306">
        <v>922</v>
      </c>
      <c r="B306" t="s">
        <v>892</v>
      </c>
      <c r="C306">
        <v>75</v>
      </c>
      <c r="D306">
        <v>146</v>
      </c>
      <c r="E306">
        <v>361</v>
      </c>
      <c r="F306">
        <v>32441</v>
      </c>
      <c r="G306">
        <v>46.1631503054681</v>
      </c>
      <c r="H306" s="1">
        <v>9.7557766090587198E-102</v>
      </c>
      <c r="I306" s="1" t="s">
        <v>893</v>
      </c>
      <c r="J306" s="1" t="s">
        <v>894</v>
      </c>
      <c r="K306" s="1">
        <v>3.0381542208316002E-99</v>
      </c>
      <c r="L306" t="s">
        <v>848</v>
      </c>
      <c r="M306" t="str">
        <f>HYPERLINK("http://www.broadinstitute.org/gsea/msigdb/cards/GO_ESTABLISHMENT_OF_PROTEIN_LOCALIZATION_TO_ORGANELLE.html")</f>
        <v>http://www.broadinstitute.org/gsea/msigdb/cards/GO_ESTABLISHMENT_OF_PROTEIN_LOCALIZATION_TO_ORGANELLE.html</v>
      </c>
    </row>
    <row r="307" spans="1:13">
      <c r="A307">
        <v>1516</v>
      </c>
      <c r="B307" t="s">
        <v>895</v>
      </c>
      <c r="C307">
        <v>76</v>
      </c>
      <c r="D307">
        <v>146</v>
      </c>
      <c r="E307">
        <v>386</v>
      </c>
      <c r="F307">
        <v>32441</v>
      </c>
      <c r="G307">
        <v>43.7489530839662</v>
      </c>
      <c r="H307" s="1">
        <v>1.1985525355294199E-101</v>
      </c>
      <c r="I307" s="1" t="s">
        <v>896</v>
      </c>
      <c r="J307" s="1" t="s">
        <v>897</v>
      </c>
      <c r="K307" s="1">
        <v>3.54591767636379E-99</v>
      </c>
      <c r="L307" t="s">
        <v>848</v>
      </c>
      <c r="M307" t="str">
        <f>HYPERLINK("http://www.broadinstitute.org/gsea/msigdb/cards/GO_NCRNA_PROCESSING.html")</f>
        <v>http://www.broadinstitute.org/gsea/msigdb/cards/GO_NCRNA_PROCESSING.html</v>
      </c>
    </row>
    <row r="308" spans="1:13">
      <c r="A308">
        <v>1274</v>
      </c>
      <c r="B308" t="s">
        <v>898</v>
      </c>
      <c r="C308">
        <v>82</v>
      </c>
      <c r="D308">
        <v>146</v>
      </c>
      <c r="E308">
        <v>571</v>
      </c>
      <c r="F308">
        <v>32441</v>
      </c>
      <c r="G308">
        <v>31.9094355012835</v>
      </c>
      <c r="H308" s="1">
        <v>1.9646347807046599E-100</v>
      </c>
      <c r="I308" s="1" t="s">
        <v>887</v>
      </c>
      <c r="J308" s="1" t="s">
        <v>888</v>
      </c>
      <c r="K308" s="1">
        <v>5.5355923797283097E-98</v>
      </c>
      <c r="L308" t="s">
        <v>848</v>
      </c>
      <c r="M308" t="str">
        <f>HYPERLINK("http://www.broadinstitute.org/gsea/msigdb/cards/GO_PEPTIDE_METABOLIC_PROCESS.html")</f>
        <v>http://www.broadinstitute.org/gsea/msigdb/cards/GO_PEPTIDE_METABOLIC_PROCESS.html</v>
      </c>
    </row>
    <row r="309" spans="1:13">
      <c r="A309">
        <v>1522</v>
      </c>
      <c r="B309" t="s">
        <v>899</v>
      </c>
      <c r="C309">
        <v>74</v>
      </c>
      <c r="D309">
        <v>146</v>
      </c>
      <c r="E309">
        <v>376</v>
      </c>
      <c r="F309">
        <v>32441</v>
      </c>
      <c r="G309">
        <v>43.730581463130299</v>
      </c>
      <c r="H309" s="1">
        <v>1.1251960274630801E-98</v>
      </c>
      <c r="I309" s="1" t="s">
        <v>900</v>
      </c>
      <c r="J309" s="1" t="s">
        <v>901</v>
      </c>
      <c r="K309" s="1">
        <v>3.0262658611359198E-96</v>
      </c>
      <c r="L309" t="s">
        <v>848</v>
      </c>
      <c r="M309" t="str">
        <f>HYPERLINK("http://www.broadinstitute.org/gsea/msigdb/cards/GO_PROTEIN_LOCALIZATION_TO_MEMBRANE.html")</f>
        <v>http://www.broadinstitute.org/gsea/msigdb/cards/GO_PROTEIN_LOCALIZATION_TO_MEMBRANE.html</v>
      </c>
    </row>
    <row r="310" spans="1:13">
      <c r="A310">
        <v>684</v>
      </c>
      <c r="B310" t="s">
        <v>902</v>
      </c>
      <c r="C310">
        <v>75</v>
      </c>
      <c r="D310">
        <v>146</v>
      </c>
      <c r="E310">
        <v>406</v>
      </c>
      <c r="F310">
        <v>32441</v>
      </c>
      <c r="G310">
        <v>41.046544976044302</v>
      </c>
      <c r="H310" s="1">
        <v>2.73297030111843E-98</v>
      </c>
      <c r="I310" s="1" t="s">
        <v>893</v>
      </c>
      <c r="J310" s="1" t="s">
        <v>894</v>
      </c>
      <c r="K310" s="1">
        <v>7.0308631616164098E-96</v>
      </c>
      <c r="L310" t="s">
        <v>848</v>
      </c>
      <c r="M310" t="str">
        <f>HYPERLINK("http://www.broadinstitute.org/gsea/msigdb/cards/GO_PROTEIN_TARGETING.html")</f>
        <v>http://www.broadinstitute.org/gsea/msigdb/cards/GO_PROTEIN_TARGETING.html</v>
      </c>
    </row>
    <row r="311" spans="1:13">
      <c r="A311">
        <v>2752</v>
      </c>
      <c r="B311" t="s">
        <v>903</v>
      </c>
      <c r="C311">
        <v>74</v>
      </c>
      <c r="D311">
        <v>146</v>
      </c>
      <c r="E311">
        <v>427</v>
      </c>
      <c r="F311">
        <v>32441</v>
      </c>
      <c r="G311">
        <v>38.507490937089003</v>
      </c>
      <c r="H311" s="1">
        <v>5.6089687693368599E-95</v>
      </c>
      <c r="I311" s="1" t="s">
        <v>869</v>
      </c>
      <c r="J311" s="1" t="s">
        <v>870</v>
      </c>
      <c r="K311" s="1">
        <v>1.38284450867359E-92</v>
      </c>
      <c r="L311" t="s">
        <v>848</v>
      </c>
      <c r="M311" t="str">
        <f>HYPERLINK("http://www.broadinstitute.org/gsea/msigdb/cards/GO_ORGANIC_CYCLIC_COMPOUND_CATABOLIC_PROCESS.html")</f>
        <v>http://www.broadinstitute.org/gsea/msigdb/cards/GO_ORGANIC_CYCLIC_COMPOUND_CATABOLIC_PROCESS.html</v>
      </c>
    </row>
    <row r="312" spans="1:13">
      <c r="A312">
        <v>2133</v>
      </c>
      <c r="B312" t="s">
        <v>904</v>
      </c>
      <c r="C312">
        <v>77</v>
      </c>
      <c r="D312">
        <v>146</v>
      </c>
      <c r="E312">
        <v>533</v>
      </c>
      <c r="F312">
        <v>32441</v>
      </c>
      <c r="G312">
        <v>32.0999897196021</v>
      </c>
      <c r="H312" s="1">
        <v>1.03325599073868E-93</v>
      </c>
      <c r="I312" s="1" t="s">
        <v>905</v>
      </c>
      <c r="J312" s="1" t="s">
        <v>906</v>
      </c>
      <c r="K312" s="1">
        <v>2.4455102788803101E-91</v>
      </c>
      <c r="L312" t="s">
        <v>848</v>
      </c>
      <c r="M312" t="str">
        <f>HYPERLINK("http://www.broadinstitute.org/gsea/msigdb/cards/GO_NCRNA_METABOLIC_PROCESS.html")</f>
        <v>http://www.broadinstitute.org/gsea/msigdb/cards/GO_NCRNA_METABOLIC_PROCESS.html</v>
      </c>
    </row>
    <row r="313" spans="1:13">
      <c r="A313">
        <v>4947</v>
      </c>
      <c r="B313" t="s">
        <v>907</v>
      </c>
      <c r="C313">
        <v>82</v>
      </c>
      <c r="D313">
        <v>146</v>
      </c>
      <c r="E313">
        <v>721</v>
      </c>
      <c r="F313">
        <v>32441</v>
      </c>
      <c r="G313">
        <v>25.2708566868695</v>
      </c>
      <c r="H313" s="1">
        <v>9.4263815616657296E-93</v>
      </c>
      <c r="I313" s="1" t="s">
        <v>908</v>
      </c>
      <c r="J313" s="1" t="s">
        <v>909</v>
      </c>
      <c r="K313" s="1">
        <v>2.1452269115529302E-90</v>
      </c>
      <c r="L313" t="s">
        <v>848</v>
      </c>
      <c r="M313" t="str">
        <f>HYPERLINK("http://www.broadinstitute.org/gsea/msigdb/cards/GO_RIBONUCLEOPROTEIN_COMPLEX.html")</f>
        <v>http://www.broadinstitute.org/gsea/msigdb/cards/GO_RIBONUCLEOPROTEIN_COMPLEX.html</v>
      </c>
    </row>
    <row r="314" spans="1:13">
      <c r="A314">
        <v>1847</v>
      </c>
      <c r="B314" t="s">
        <v>910</v>
      </c>
      <c r="C314">
        <v>82</v>
      </c>
      <c r="D314">
        <v>146</v>
      </c>
      <c r="E314">
        <v>727</v>
      </c>
      <c r="F314">
        <v>32441</v>
      </c>
      <c r="G314">
        <v>25.0622939081608</v>
      </c>
      <c r="H314" s="1">
        <v>1.7723746807983601E-92</v>
      </c>
      <c r="I314" s="1" t="s">
        <v>887</v>
      </c>
      <c r="J314" s="1" t="s">
        <v>888</v>
      </c>
      <c r="K314" s="1">
        <v>3.8841262912162501E-90</v>
      </c>
      <c r="L314" t="s">
        <v>848</v>
      </c>
      <c r="M314" t="str">
        <f>HYPERLINK("http://www.broadinstitute.org/gsea/msigdb/cards/GO_CELLULAR_AMIDE_METABOLIC_PROCESS.html")</f>
        <v>http://www.broadinstitute.org/gsea/msigdb/cards/GO_CELLULAR_AMIDE_METABOLIC_PROCESS.html</v>
      </c>
    </row>
    <row r="315" spans="1:13">
      <c r="A315">
        <v>2830</v>
      </c>
      <c r="B315" t="s">
        <v>911</v>
      </c>
      <c r="C315">
        <v>79</v>
      </c>
      <c r="D315">
        <v>146</v>
      </c>
      <c r="E315">
        <v>662</v>
      </c>
      <c r="F315">
        <v>32441</v>
      </c>
      <c r="G315">
        <v>26.5161507263171</v>
      </c>
      <c r="H315" s="1">
        <v>2.0792518123849301E-90</v>
      </c>
      <c r="I315" s="1" t="s">
        <v>912</v>
      </c>
      <c r="J315" s="1" t="s">
        <v>913</v>
      </c>
      <c r="K315" s="1">
        <v>4.3939046335291498E-88</v>
      </c>
      <c r="L315" t="s">
        <v>848</v>
      </c>
      <c r="M315" t="str">
        <f>HYPERLINK("http://www.broadinstitute.org/gsea/msigdb/cards/GO_INTERSPECIES_INTERACTION_BETWEEN_ORGANISMS.html")</f>
        <v>http://www.broadinstitute.org/gsea/msigdb/cards/GO_INTERSPECIES_INTERACTION_BETWEEN_ORGANISMS.html</v>
      </c>
    </row>
    <row r="316" spans="1:13">
      <c r="A316">
        <v>2978</v>
      </c>
      <c r="B316" t="s">
        <v>914</v>
      </c>
      <c r="C316">
        <v>75</v>
      </c>
      <c r="D316">
        <v>146</v>
      </c>
      <c r="E316">
        <v>556</v>
      </c>
      <c r="F316">
        <v>32441</v>
      </c>
      <c r="G316">
        <v>29.972836799053901</v>
      </c>
      <c r="H316" s="1">
        <v>6.1864295998009802E-89</v>
      </c>
      <c r="I316" s="1" t="s">
        <v>893</v>
      </c>
      <c r="J316" s="1" t="s">
        <v>894</v>
      </c>
      <c r="K316" s="1">
        <v>1.26224496351801E-86</v>
      </c>
      <c r="L316" t="s">
        <v>848</v>
      </c>
      <c r="M316" t="str">
        <f>HYPERLINK("http://www.broadinstitute.org/gsea/msigdb/cards/GO_PROTEIN_LOCALIZATION_TO_ORGANELLE.html")</f>
        <v>http://www.broadinstitute.org/gsea/msigdb/cards/GO_PROTEIN_LOCALIZATION_TO_ORGANELLE.html</v>
      </c>
    </row>
    <row r="317" spans="1:13">
      <c r="A317">
        <v>3221</v>
      </c>
      <c r="B317" t="s">
        <v>915</v>
      </c>
      <c r="C317">
        <v>76</v>
      </c>
      <c r="D317">
        <v>146</v>
      </c>
      <c r="E317">
        <v>611</v>
      </c>
      <c r="F317">
        <v>32441</v>
      </c>
      <c r="G317">
        <v>27.638454812456601</v>
      </c>
      <c r="H317" s="1">
        <v>8.5165275756779902E-88</v>
      </c>
      <c r="I317" s="1" t="s">
        <v>916</v>
      </c>
      <c r="J317" s="1" t="s">
        <v>917</v>
      </c>
      <c r="K317" s="1">
        <v>1.6797431221762199E-85</v>
      </c>
      <c r="L317" t="s">
        <v>848</v>
      </c>
      <c r="M317" t="str">
        <f>HYPERLINK("http://www.broadinstitute.org/gsea/msigdb/cards/GO_MRNA_METABOLIC_PROCESS.html")</f>
        <v>http://www.broadinstitute.org/gsea/msigdb/cards/GO_MRNA_METABOLIC_PROCESS.html</v>
      </c>
    </row>
    <row r="318" spans="1:13">
      <c r="A318">
        <v>2897</v>
      </c>
      <c r="B318" t="s">
        <v>918</v>
      </c>
      <c r="C318">
        <v>99</v>
      </c>
      <c r="D318">
        <v>146</v>
      </c>
      <c r="E318">
        <v>1796</v>
      </c>
      <c r="F318">
        <v>32441</v>
      </c>
      <c r="G318">
        <v>12.2481427525399</v>
      </c>
      <c r="H318" s="1">
        <v>1.4552890159234E-86</v>
      </c>
      <c r="I318" s="1" t="s">
        <v>919</v>
      </c>
      <c r="J318" s="1" t="s">
        <v>920</v>
      </c>
      <c r="K318" s="1">
        <v>2.77772422813508E-84</v>
      </c>
      <c r="L318" t="s">
        <v>848</v>
      </c>
      <c r="M318" t="str">
        <f>HYPERLINK("http://www.broadinstitute.org/gsea/msigdb/cards/GO_ORGANONITROGEN_COMPOUND_METABOLIC_PROCESS.html")</f>
        <v>http://www.broadinstitute.org/gsea/msigdb/cards/GO_ORGANONITROGEN_COMPOUND_METABOLIC_PROCESS.html</v>
      </c>
    </row>
    <row r="319" spans="1:13">
      <c r="A319">
        <v>3290</v>
      </c>
      <c r="B319" t="s">
        <v>921</v>
      </c>
      <c r="C319">
        <v>84</v>
      </c>
      <c r="D319">
        <v>146</v>
      </c>
      <c r="E319">
        <v>1024</v>
      </c>
      <c r="F319">
        <v>32441</v>
      </c>
      <c r="G319">
        <v>18.227231378424701</v>
      </c>
      <c r="H319" s="1">
        <v>3.0865228301813998E-84</v>
      </c>
      <c r="I319" s="1" t="s">
        <v>922</v>
      </c>
      <c r="J319" s="1" t="s">
        <v>923</v>
      </c>
      <c r="K319" s="1">
        <v>5.7071736206823003E-82</v>
      </c>
      <c r="L319" t="s">
        <v>848</v>
      </c>
      <c r="M319" t="str">
        <f>HYPERLINK("http://www.broadinstitute.org/gsea/msigdb/cards/GO_ORGANONITROGEN_COMPOUND_BIOSYNTHETIC_PROCESS.html")</f>
        <v>http://www.broadinstitute.org/gsea/msigdb/cards/GO_ORGANONITROGEN_COMPOUND_BIOSYNTHETIC_PROCESS.html</v>
      </c>
    </row>
    <row r="320" spans="1:13">
      <c r="A320">
        <v>3281</v>
      </c>
      <c r="B320" t="s">
        <v>924</v>
      </c>
      <c r="C320">
        <v>81</v>
      </c>
      <c r="D320">
        <v>146</v>
      </c>
      <c r="E320">
        <v>899</v>
      </c>
      <c r="F320">
        <v>32441</v>
      </c>
      <c r="G320">
        <v>20.020121291541599</v>
      </c>
      <c r="H320" s="1">
        <v>8.0722112997968404E-84</v>
      </c>
      <c r="I320" s="1" t="s">
        <v>925</v>
      </c>
      <c r="J320" s="1" t="s">
        <v>926</v>
      </c>
      <c r="K320" s="1">
        <v>1.44737194729994E-81</v>
      </c>
      <c r="L320" t="s">
        <v>848</v>
      </c>
      <c r="M320" t="str">
        <f>HYPERLINK("http://www.broadinstitute.org/gsea/msigdb/cards/GO_MEMBRANE_ORGANIZATION.html")</f>
        <v>http://www.broadinstitute.org/gsea/msigdb/cards/GO_MEMBRANE_ORGANIZATION.html</v>
      </c>
    </row>
    <row r="321" spans="1:13">
      <c r="A321">
        <v>1211</v>
      </c>
      <c r="B321" t="s">
        <v>927</v>
      </c>
      <c r="C321">
        <v>79</v>
      </c>
      <c r="D321">
        <v>146</v>
      </c>
      <c r="E321">
        <v>835</v>
      </c>
      <c r="F321">
        <v>32441</v>
      </c>
      <c r="G321">
        <v>21.0223853662538</v>
      </c>
      <c r="H321" s="1">
        <v>5.3183447371219903E-83</v>
      </c>
      <c r="I321" s="1" t="s">
        <v>928</v>
      </c>
      <c r="J321" s="1" t="s">
        <v>929</v>
      </c>
      <c r="K321" s="1">
        <v>9.2554840616326004E-81</v>
      </c>
      <c r="L321" t="s">
        <v>848</v>
      </c>
      <c r="M321" t="str">
        <f>HYPERLINK("http://www.broadinstitute.org/gsea/msigdb/cards/GO_RNA_PROCESSING.html")</f>
        <v>http://www.broadinstitute.org/gsea/msigdb/cards/GO_RNA_PROCESSING.html</v>
      </c>
    </row>
    <row r="322" spans="1:13">
      <c r="A322">
        <v>340</v>
      </c>
      <c r="B322" t="s">
        <v>930</v>
      </c>
      <c r="C322">
        <v>76</v>
      </c>
      <c r="D322">
        <v>146</v>
      </c>
      <c r="E322">
        <v>781</v>
      </c>
      <c r="F322">
        <v>32441</v>
      </c>
      <c r="G322">
        <v>21.622401908336698</v>
      </c>
      <c r="H322" s="1">
        <v>2.82203897303938E-80</v>
      </c>
      <c r="I322" s="1" t="s">
        <v>931</v>
      </c>
      <c r="J322" s="1" t="s">
        <v>932</v>
      </c>
      <c r="K322" s="1">
        <v>4.7708584581354397E-78</v>
      </c>
      <c r="L322" t="s">
        <v>848</v>
      </c>
      <c r="M322" t="str">
        <f>HYPERLINK("http://www.broadinstitute.org/gsea/msigdb/cards/GO_INTRACELLULAR_PROTEIN_TRANSPORT.html")</f>
        <v>http://www.broadinstitute.org/gsea/msigdb/cards/GO_INTRACELLULAR_PROTEIN_TRANSPORT.html</v>
      </c>
    </row>
    <row r="323" spans="1:13">
      <c r="A323">
        <v>4295</v>
      </c>
      <c r="B323" t="s">
        <v>933</v>
      </c>
      <c r="C323">
        <v>78</v>
      </c>
      <c r="D323">
        <v>146</v>
      </c>
      <c r="E323">
        <v>898</v>
      </c>
      <c r="F323">
        <v>32441</v>
      </c>
      <c r="G323">
        <v>19.300103731275001</v>
      </c>
      <c r="H323" s="1">
        <v>4.27367337159051E-79</v>
      </c>
      <c r="I323" s="1" t="s">
        <v>934</v>
      </c>
      <c r="J323" s="1" t="s">
        <v>935</v>
      </c>
      <c r="K323" s="1">
        <v>7.0242570388058493E-77</v>
      </c>
      <c r="L323" t="s">
        <v>848</v>
      </c>
      <c r="M323" t="str">
        <f>HYPERLINK("http://www.broadinstitute.org/gsea/msigdb/cards/GO_SINGLE_ORGANISM_CELLULAR_LOCALIZATION.html")</f>
        <v>http://www.broadinstitute.org/gsea/msigdb/cards/GO_SINGLE_ORGANISM_CELLULAR_LOCALIZATION.html</v>
      </c>
    </row>
    <row r="324" spans="1:13">
      <c r="A324">
        <v>5878</v>
      </c>
      <c r="B324" t="s">
        <v>936</v>
      </c>
      <c r="C324">
        <v>74</v>
      </c>
      <c r="D324">
        <v>146</v>
      </c>
      <c r="E324">
        <v>732</v>
      </c>
      <c r="F324">
        <v>32441</v>
      </c>
      <c r="G324">
        <v>22.462703046635198</v>
      </c>
      <c r="H324" s="1">
        <v>4.9908461334182798E-79</v>
      </c>
      <c r="I324" s="1" t="s">
        <v>937</v>
      </c>
      <c r="J324" s="1" t="s">
        <v>938</v>
      </c>
      <c r="K324" s="1">
        <v>7.9813071814691904E-77</v>
      </c>
      <c r="L324" t="s">
        <v>848</v>
      </c>
      <c r="M324" t="str">
        <f>HYPERLINK("http://www.broadinstitute.org/gsea/msigdb/cards/GO_STRUCTURAL_MOLECULE_ACTIVITY.html")</f>
        <v>http://www.broadinstitute.org/gsea/msigdb/cards/GO_STRUCTURAL_MOLECULE_ACTIVITY.html</v>
      </c>
    </row>
    <row r="325" spans="1:13">
      <c r="A325">
        <v>3120</v>
      </c>
      <c r="B325" t="s">
        <v>939</v>
      </c>
      <c r="C325">
        <v>77</v>
      </c>
      <c r="D325">
        <v>146</v>
      </c>
      <c r="E325">
        <v>926</v>
      </c>
      <c r="F325">
        <v>32441</v>
      </c>
      <c r="G325">
        <v>18.4765599573952</v>
      </c>
      <c r="H325" s="1">
        <v>1.4246927290115899E-76</v>
      </c>
      <c r="I325" s="1" t="s">
        <v>940</v>
      </c>
      <c r="J325" s="1" t="s">
        <v>941</v>
      </c>
      <c r="K325" s="1">
        <v>2.21839654672673E-74</v>
      </c>
      <c r="L325" t="s">
        <v>848</v>
      </c>
      <c r="M325" t="str">
        <f>HYPERLINK("http://www.broadinstitute.org/gsea/msigdb/cards/GO_MACROMOLECULE_CATABOLIC_PROCESS.html")</f>
        <v>http://www.broadinstitute.org/gsea/msigdb/cards/GO_MACROMOLECULE_CATABOLIC_PROCESS.html</v>
      </c>
    </row>
    <row r="326" spans="1:13">
      <c r="A326">
        <v>4678</v>
      </c>
      <c r="B326" t="s">
        <v>942</v>
      </c>
      <c r="C326">
        <v>43</v>
      </c>
      <c r="D326">
        <v>146</v>
      </c>
      <c r="E326">
        <v>61</v>
      </c>
      <c r="F326">
        <v>32441</v>
      </c>
      <c r="G326">
        <v>156.631821244105</v>
      </c>
      <c r="H326" s="1">
        <v>2.9472226899521602E-75</v>
      </c>
      <c r="I326" t="s">
        <v>943</v>
      </c>
      <c r="J326" t="s">
        <v>944</v>
      </c>
      <c r="K326" s="1">
        <v>4.4714658093453698E-73</v>
      </c>
      <c r="L326" t="s">
        <v>848</v>
      </c>
      <c r="M326" t="str">
        <f>HYPERLINK("http://www.broadinstitute.org/gsea/msigdb/cards/GO_CYTOSOLIC_LARGE_RIBOSOMAL_SUBUNIT.html")</f>
        <v>http://www.broadinstitute.org/gsea/msigdb/cards/GO_CYTOSOLIC_LARGE_RIBOSOMAL_SUBUNIT.html</v>
      </c>
    </row>
    <row r="327" spans="1:13">
      <c r="A327">
        <v>5880</v>
      </c>
      <c r="B327" t="s">
        <v>945</v>
      </c>
      <c r="C327">
        <v>86</v>
      </c>
      <c r="D327">
        <v>146</v>
      </c>
      <c r="E327">
        <v>1598</v>
      </c>
      <c r="F327">
        <v>32441</v>
      </c>
      <c r="G327">
        <v>11.958124024894101</v>
      </c>
      <c r="H327" s="1">
        <v>7.9384761530718796E-72</v>
      </c>
      <c r="I327" s="1" t="s">
        <v>946</v>
      </c>
      <c r="J327" s="1" t="s">
        <v>947</v>
      </c>
      <c r="K327" s="1">
        <v>1.17429908494316E-69</v>
      </c>
      <c r="L327" t="s">
        <v>848</v>
      </c>
      <c r="M327" t="str">
        <f>HYPERLINK("http://www.broadinstitute.org/gsea/msigdb/cards/GO_RNA_BINDING.html")</f>
        <v>http://www.broadinstitute.org/gsea/msigdb/cards/GO_RNA_BINDING.html</v>
      </c>
    </row>
    <row r="328" spans="1:13">
      <c r="A328">
        <v>4489</v>
      </c>
      <c r="B328" t="s">
        <v>948</v>
      </c>
      <c r="C328">
        <v>43</v>
      </c>
      <c r="D328">
        <v>146</v>
      </c>
      <c r="E328">
        <v>95</v>
      </c>
      <c r="F328">
        <v>32441</v>
      </c>
      <c r="G328">
        <v>100.57411679884601</v>
      </c>
      <c r="H328" s="1">
        <v>8.7527831538978905E-69</v>
      </c>
      <c r="I328" t="s">
        <v>943</v>
      </c>
      <c r="J328" t="s">
        <v>944</v>
      </c>
      <c r="K328" s="1">
        <v>1.2631760468686299E-66</v>
      </c>
      <c r="L328" t="s">
        <v>848</v>
      </c>
      <c r="M328" t="str">
        <f>HYPERLINK("http://www.broadinstitute.org/gsea/msigdb/cards/GO_LARGE_RIBOSOMAL_SUBUNIT.html")</f>
        <v>http://www.broadinstitute.org/gsea/msigdb/cards/GO_LARGE_RIBOSOMAL_SUBUNIT.html</v>
      </c>
    </row>
    <row r="329" spans="1:13">
      <c r="A329">
        <v>903</v>
      </c>
      <c r="B329" t="s">
        <v>949</v>
      </c>
      <c r="C329">
        <v>84</v>
      </c>
      <c r="D329">
        <v>146</v>
      </c>
      <c r="E329">
        <v>1676</v>
      </c>
      <c r="F329">
        <v>32441</v>
      </c>
      <c r="G329">
        <v>11.1364468565077</v>
      </c>
      <c r="H329" s="1">
        <v>2.1986359156062501E-67</v>
      </c>
      <c r="I329" s="1" t="s">
        <v>950</v>
      </c>
      <c r="J329" s="1" t="s">
        <v>951</v>
      </c>
      <c r="K329" s="1">
        <v>3.0974592172957599E-65</v>
      </c>
      <c r="L329" t="s">
        <v>848</v>
      </c>
      <c r="M329" t="str">
        <f>HYPERLINK("http://www.broadinstitute.org/gsea/msigdb/cards/GO_ESTABLISHMENT_OF_LOCALIZATION_IN_CELL.html")</f>
        <v>http://www.broadinstitute.org/gsea/msigdb/cards/GO_ESTABLISHMENT_OF_LOCALIZATION_IN_CELL.html</v>
      </c>
    </row>
    <row r="330" spans="1:13">
      <c r="A330">
        <v>5691</v>
      </c>
      <c r="B330" t="s">
        <v>952</v>
      </c>
      <c r="C330">
        <v>80</v>
      </c>
      <c r="D330">
        <v>146</v>
      </c>
      <c r="E330">
        <v>1423</v>
      </c>
      <c r="F330">
        <v>32441</v>
      </c>
      <c r="G330">
        <v>12.4918414694019</v>
      </c>
      <c r="H330" s="1">
        <v>2.7371501914287899E-67</v>
      </c>
      <c r="I330" s="1" t="s">
        <v>953</v>
      </c>
      <c r="J330" s="1" t="s">
        <v>954</v>
      </c>
      <c r="K330" s="1">
        <v>3.7664459727172499E-65</v>
      </c>
      <c r="L330" t="s">
        <v>848</v>
      </c>
      <c r="M330" t="str">
        <f>HYPERLINK("http://www.broadinstitute.org/gsea/msigdb/cards/GO_ESTABLISHMENT_OF_PROTEIN_LOCALIZATION.html")</f>
        <v>http://www.broadinstitute.org/gsea/msigdb/cards/GO_ESTABLISHMENT_OF_PROTEIN_LOCALIZATION.html</v>
      </c>
    </row>
    <row r="331" spans="1:13">
      <c r="A331">
        <v>3737</v>
      </c>
      <c r="B331" t="s">
        <v>955</v>
      </c>
      <c r="C331">
        <v>76</v>
      </c>
      <c r="D331">
        <v>146</v>
      </c>
      <c r="E331">
        <v>1234</v>
      </c>
      <c r="F331">
        <v>32441</v>
      </c>
      <c r="G331">
        <v>13.6848426988744</v>
      </c>
      <c r="H331" s="1">
        <v>3.5495423619667301E-66</v>
      </c>
      <c r="I331" s="1" t="s">
        <v>931</v>
      </c>
      <c r="J331" s="1" t="s">
        <v>932</v>
      </c>
      <c r="K331" s="1">
        <v>4.7733277626720701E-64</v>
      </c>
      <c r="L331" t="s">
        <v>848</v>
      </c>
      <c r="M331" t="str">
        <f>HYPERLINK("http://www.broadinstitute.org/gsea/msigdb/cards/GO_CELLULAR_MACROMOLECULE_LOCALIZATION.html")</f>
        <v>http://www.broadinstitute.org/gsea/msigdb/cards/GO_CELLULAR_MACROMOLECULE_LOCALIZATION.html</v>
      </c>
    </row>
    <row r="332" spans="1:13">
      <c r="A332">
        <v>2481</v>
      </c>
      <c r="B332" t="s">
        <v>956</v>
      </c>
      <c r="C332">
        <v>77</v>
      </c>
      <c r="D332">
        <v>146</v>
      </c>
      <c r="E332">
        <v>1322</v>
      </c>
      <c r="F332">
        <v>32441</v>
      </c>
      <c r="G332">
        <v>12.9419777008683</v>
      </c>
      <c r="H332" s="1">
        <v>1.9199617494306498E-65</v>
      </c>
      <c r="I332" s="1" t="s">
        <v>957</v>
      </c>
      <c r="J332" s="1" t="s">
        <v>958</v>
      </c>
      <c r="K332" s="1">
        <v>2.5245363714180299E-63</v>
      </c>
      <c r="L332" t="s">
        <v>848</v>
      </c>
      <c r="M332" t="str">
        <f>HYPERLINK("http://www.broadinstitute.org/gsea/msigdb/cards/GO_CELLULAR_CATABOLIC_PROCESS.html")</f>
        <v>http://www.broadinstitute.org/gsea/msigdb/cards/GO_CELLULAR_CATABOLIC_PROCESS.html</v>
      </c>
    </row>
    <row r="333" spans="1:13">
      <c r="A333">
        <v>5715</v>
      </c>
      <c r="B333" t="s">
        <v>959</v>
      </c>
      <c r="C333">
        <v>74</v>
      </c>
      <c r="D333">
        <v>146</v>
      </c>
      <c r="E333">
        <v>1170</v>
      </c>
      <c r="F333">
        <v>32441</v>
      </c>
      <c r="G333">
        <v>14.053588572766699</v>
      </c>
      <c r="H333" s="1">
        <v>5.7207750280964398E-65</v>
      </c>
      <c r="I333" s="1" t="s">
        <v>960</v>
      </c>
      <c r="J333" s="1" t="s">
        <v>961</v>
      </c>
      <c r="K333" s="1">
        <v>7.3586577915753604E-63</v>
      </c>
      <c r="L333" t="s">
        <v>848</v>
      </c>
      <c r="M333" t="str">
        <f>HYPERLINK("http://www.broadinstitute.org/gsea/msigdb/cards/GO_POLY_A_RNA_BINDING.html")</f>
        <v>http://www.broadinstitute.org/gsea/msigdb/cards/GO_POLY_A_RNA_BINDING.html</v>
      </c>
    </row>
    <row r="334" spans="1:13">
      <c r="A334">
        <v>3203</v>
      </c>
      <c r="B334" t="s">
        <v>962</v>
      </c>
      <c r="C334">
        <v>80</v>
      </c>
      <c r="D334">
        <v>146</v>
      </c>
      <c r="E334">
        <v>1805</v>
      </c>
      <c r="F334">
        <v>32441</v>
      </c>
      <c r="G334">
        <v>9.8481387318331901</v>
      </c>
      <c r="H334" s="1">
        <v>1.4015533558536501E-59</v>
      </c>
      <c r="I334" s="1" t="s">
        <v>953</v>
      </c>
      <c r="J334" s="1" t="s">
        <v>954</v>
      </c>
      <c r="K334" s="1">
        <v>1.76446621416724E-57</v>
      </c>
      <c r="L334" t="s">
        <v>848</v>
      </c>
      <c r="M334" t="str">
        <f>HYPERLINK("http://www.broadinstitute.org/gsea/msigdb/cards/GO_PROTEIN_LOCALIZATION.html")</f>
        <v>http://www.broadinstitute.org/gsea/msigdb/cards/GO_PROTEIN_LOCALIZATION.html</v>
      </c>
    </row>
    <row r="335" spans="1:13">
      <c r="A335">
        <v>3986</v>
      </c>
      <c r="B335" t="s">
        <v>963</v>
      </c>
      <c r="C335">
        <v>78</v>
      </c>
      <c r="D335">
        <v>146</v>
      </c>
      <c r="E335">
        <v>1773</v>
      </c>
      <c r="F335">
        <v>32441</v>
      </c>
      <c r="G335">
        <v>9.77523584358992</v>
      </c>
      <c r="H335" s="1">
        <v>1.4170395406865E-57</v>
      </c>
      <c r="I335" s="1" t="s">
        <v>964</v>
      </c>
      <c r="J335" s="1" t="s">
        <v>965</v>
      </c>
      <c r="K335" s="1">
        <v>1.74679645046709E-55</v>
      </c>
      <c r="L335" t="s">
        <v>848</v>
      </c>
      <c r="M335" t="str">
        <f>HYPERLINK("http://www.broadinstitute.org/gsea/msigdb/cards/GO_CATABOLIC_PROCESS.html")</f>
        <v>http://www.broadinstitute.org/gsea/msigdb/cards/GO_CATABOLIC_PROCESS.html</v>
      </c>
    </row>
    <row r="336" spans="1:13">
      <c r="A336">
        <v>4604</v>
      </c>
      <c r="B336" t="s">
        <v>966</v>
      </c>
      <c r="C336">
        <v>29</v>
      </c>
      <c r="D336">
        <v>146</v>
      </c>
      <c r="E336">
        <v>44</v>
      </c>
      <c r="F336">
        <v>32441</v>
      </c>
      <c r="G336">
        <v>146.449097135741</v>
      </c>
      <c r="H336" s="1">
        <v>6.4718118296982998E-50</v>
      </c>
      <c r="I336" t="s">
        <v>967</v>
      </c>
      <c r="J336" t="s">
        <v>968</v>
      </c>
      <c r="K336" s="1">
        <v>7.8150429788418003E-48</v>
      </c>
      <c r="L336" t="s">
        <v>848</v>
      </c>
      <c r="M336" t="str">
        <f>HYPERLINK("http://www.broadinstitute.org/gsea/msigdb/cards/GO_CYTOSOLIC_SMALL_RIBOSOMAL_SUBUNIT.html")</f>
        <v>http://www.broadinstitute.org/gsea/msigdb/cards/GO_CYTOSOLIC_SMALL_RIBOSOMAL_SUBUNIT.html</v>
      </c>
    </row>
    <row r="337" spans="1:13">
      <c r="A337">
        <v>4621</v>
      </c>
      <c r="B337" t="s">
        <v>969</v>
      </c>
      <c r="C337">
        <v>30</v>
      </c>
      <c r="D337">
        <v>146</v>
      </c>
      <c r="E337">
        <v>68</v>
      </c>
      <c r="F337">
        <v>32441</v>
      </c>
      <c r="G337">
        <v>98.028807413376299</v>
      </c>
      <c r="H337" s="1">
        <v>1.61459615821406E-47</v>
      </c>
      <c r="I337" t="s">
        <v>970</v>
      </c>
      <c r="J337" t="s">
        <v>971</v>
      </c>
      <c r="K337" s="1">
        <v>1.9107130936305099E-45</v>
      </c>
      <c r="L337" t="s">
        <v>848</v>
      </c>
      <c r="M337" t="str">
        <f>HYPERLINK("http://www.broadinstitute.org/gsea/msigdb/cards/GO_SMALL_RIBOSOMAL_SUBUNIT.html")</f>
        <v>http://www.broadinstitute.org/gsea/msigdb/cards/GO_SMALL_RIBOSOMAL_SUBUNIT.html</v>
      </c>
    </row>
    <row r="338" spans="1:13">
      <c r="A338">
        <v>4705</v>
      </c>
      <c r="B338" t="s">
        <v>972</v>
      </c>
      <c r="C338">
        <v>37</v>
      </c>
      <c r="D338">
        <v>146</v>
      </c>
      <c r="E338">
        <v>398</v>
      </c>
      <c r="F338">
        <v>32441</v>
      </c>
      <c r="G338">
        <v>20.6566565705239</v>
      </c>
      <c r="H338" s="1">
        <v>1.47961118516937E-36</v>
      </c>
      <c r="I338" t="s">
        <v>973</v>
      </c>
      <c r="J338" t="s">
        <v>974</v>
      </c>
      <c r="K338" s="1">
        <v>1.7166390946367001E-34</v>
      </c>
      <c r="L338" t="s">
        <v>848</v>
      </c>
      <c r="M338" t="str">
        <f>HYPERLINK("http://www.broadinstitute.org/gsea/msigdb/cards/GO_CELL_SUBSTRATE_JUNCTION.html")</f>
        <v>http://www.broadinstitute.org/gsea/msigdb/cards/GO_CELL_SUBSTRATE_JUNCTION.html</v>
      </c>
    </row>
    <row r="339" spans="1:13">
      <c r="A339">
        <v>4826</v>
      </c>
      <c r="B339" t="s">
        <v>975</v>
      </c>
      <c r="C339">
        <v>37</v>
      </c>
      <c r="D339">
        <v>146</v>
      </c>
      <c r="E339">
        <v>489</v>
      </c>
      <c r="F339">
        <v>32441</v>
      </c>
      <c r="G339">
        <v>16.812575286438602</v>
      </c>
      <c r="H339" s="1">
        <v>1.6335123403624699E-33</v>
      </c>
      <c r="I339" t="s">
        <v>973</v>
      </c>
      <c r="J339" t="s">
        <v>974</v>
      </c>
      <c r="K339" s="1">
        <v>1.8587485611393701E-31</v>
      </c>
      <c r="L339" t="s">
        <v>848</v>
      </c>
      <c r="M339" t="str">
        <f>HYPERLINK("http://www.broadinstitute.org/gsea/msigdb/cards/GO_ANCHORING_JUNCTION.html")</f>
        <v>http://www.broadinstitute.org/gsea/msigdb/cards/GO_ANCHORING_JUNCTION.html</v>
      </c>
    </row>
    <row r="340" spans="1:13">
      <c r="A340">
        <v>5559</v>
      </c>
      <c r="B340" t="s">
        <v>976</v>
      </c>
      <c r="C340">
        <v>18</v>
      </c>
      <c r="D340">
        <v>146</v>
      </c>
      <c r="E340">
        <v>58</v>
      </c>
      <c r="F340">
        <v>32441</v>
      </c>
      <c r="G340">
        <v>68.958195559754401</v>
      </c>
      <c r="H340" s="1">
        <v>1.7989498562418801E-26</v>
      </c>
      <c r="I340" t="s">
        <v>977</v>
      </c>
      <c r="J340" t="s">
        <v>978</v>
      </c>
      <c r="K340" s="1">
        <v>2.00837477346853E-24</v>
      </c>
      <c r="L340" t="s">
        <v>848</v>
      </c>
      <c r="M340" t="str">
        <f>HYPERLINK("http://www.broadinstitute.org/gsea/msigdb/cards/GO_RRNA_BINDING.html")</f>
        <v>http://www.broadinstitute.org/gsea/msigdb/cards/GO_RRNA_BINDING.html</v>
      </c>
    </row>
    <row r="341" spans="1:13">
      <c r="A341">
        <v>4920</v>
      </c>
      <c r="B341" t="s">
        <v>979</v>
      </c>
      <c r="C341">
        <v>37</v>
      </c>
      <c r="D341">
        <v>146</v>
      </c>
      <c r="E341">
        <v>848</v>
      </c>
      <c r="F341">
        <v>32441</v>
      </c>
      <c r="G341">
        <v>9.6949873998449192</v>
      </c>
      <c r="H341" s="1">
        <v>1.9340569626310901E-25</v>
      </c>
      <c r="I341" t="s">
        <v>980</v>
      </c>
      <c r="J341" t="s">
        <v>981</v>
      </c>
      <c r="K341" s="1">
        <v>2.11922500886818E-23</v>
      </c>
      <c r="L341" t="s">
        <v>848</v>
      </c>
      <c r="M341" t="str">
        <f>HYPERLINK("http://www.broadinstitute.org/gsea/msigdb/cards/GO_NUCLEOLUS.html")</f>
        <v>http://www.broadinstitute.org/gsea/msigdb/cards/GO_NUCLEOLUS.html</v>
      </c>
    </row>
    <row r="342" spans="1:13">
      <c r="A342">
        <v>830</v>
      </c>
      <c r="B342" t="s">
        <v>982</v>
      </c>
      <c r="C342">
        <v>15</v>
      </c>
      <c r="D342">
        <v>146</v>
      </c>
      <c r="E342">
        <v>54</v>
      </c>
      <c r="F342">
        <v>32441</v>
      </c>
      <c r="G342">
        <v>61.7218417047184</v>
      </c>
      <c r="H342" s="1">
        <v>1.29619540075559E-21</v>
      </c>
      <c r="I342" t="s">
        <v>983</v>
      </c>
      <c r="J342" t="s">
        <v>984</v>
      </c>
      <c r="K342" s="1">
        <v>1.39447057932197E-19</v>
      </c>
      <c r="L342" t="s">
        <v>848</v>
      </c>
      <c r="M342" t="str">
        <f>HYPERLINK("http://www.broadinstitute.org/gsea/msigdb/cards/GO_RIBOSOME_ASSEMBLY.html")</f>
        <v>http://www.broadinstitute.org/gsea/msigdb/cards/GO_RIBOSOME_ASSEMBLY.html</v>
      </c>
    </row>
    <row r="343" spans="1:13">
      <c r="A343">
        <v>27</v>
      </c>
      <c r="B343" t="s">
        <v>985</v>
      </c>
      <c r="C343">
        <v>14</v>
      </c>
      <c r="D343">
        <v>146</v>
      </c>
      <c r="E343">
        <v>41</v>
      </c>
      <c r="F343">
        <v>32441</v>
      </c>
      <c r="G343">
        <v>75.872702973605101</v>
      </c>
      <c r="H343" s="1">
        <v>2.5789476569691199E-21</v>
      </c>
      <c r="I343" t="s">
        <v>986</v>
      </c>
      <c r="J343" t="s">
        <v>987</v>
      </c>
      <c r="K343" s="1">
        <v>2.7249345154082699E-19</v>
      </c>
      <c r="L343" t="s">
        <v>848</v>
      </c>
      <c r="M343" t="str">
        <f>HYPERLINK("http://www.broadinstitute.org/gsea/msigdb/cards/GO_CYTOPLASMIC_TRANSLATION.html")</f>
        <v>http://www.broadinstitute.org/gsea/msigdb/cards/GO_CYTOPLASMIC_TRANSLATION.html</v>
      </c>
    </row>
    <row r="344" spans="1:13">
      <c r="A344">
        <v>1873</v>
      </c>
      <c r="B344" t="s">
        <v>988</v>
      </c>
      <c r="C344">
        <v>15</v>
      </c>
      <c r="D344">
        <v>146</v>
      </c>
      <c r="E344">
        <v>59</v>
      </c>
      <c r="F344">
        <v>32441</v>
      </c>
      <c r="G344">
        <v>56.491177153471099</v>
      </c>
      <c r="H344" s="1">
        <v>4.09259705577179E-21</v>
      </c>
      <c r="I344" t="s">
        <v>989</v>
      </c>
      <c r="J344" t="s">
        <v>990</v>
      </c>
      <c r="K344" s="1">
        <v>4.2484029436845099E-19</v>
      </c>
      <c r="L344" t="s">
        <v>848</v>
      </c>
      <c r="M344" t="str">
        <f>HYPERLINK("http://www.broadinstitute.org/gsea/msigdb/cards/GO_RIBOSOMAL_SMALL_SUBUNIT_BIOGENESIS.html")</f>
        <v>http://www.broadinstitute.org/gsea/msigdb/cards/GO_RIBOSOMAL_SMALL_SUBUNIT_BIOGENESIS.html</v>
      </c>
    </row>
    <row r="345" spans="1:13">
      <c r="A345">
        <v>4663</v>
      </c>
      <c r="B345" t="s">
        <v>991</v>
      </c>
      <c r="C345">
        <v>37</v>
      </c>
      <c r="D345">
        <v>146</v>
      </c>
      <c r="E345">
        <v>1151</v>
      </c>
      <c r="F345">
        <v>32441</v>
      </c>
      <c r="G345">
        <v>7.1427882841602903</v>
      </c>
      <c r="H345" s="1">
        <v>4.5847374986056698E-21</v>
      </c>
      <c r="I345" t="s">
        <v>973</v>
      </c>
      <c r="J345" t="s">
        <v>974</v>
      </c>
      <c r="K345" s="1">
        <v>4.6772227205602999E-19</v>
      </c>
      <c r="L345" t="s">
        <v>848</v>
      </c>
      <c r="M345" t="str">
        <f>HYPERLINK("http://www.broadinstitute.org/gsea/msigdb/cards/GO_CELL_JUNCTION.html")</f>
        <v>http://www.broadinstitute.org/gsea/msigdb/cards/GO_CELL_JUNCTION.html</v>
      </c>
    </row>
    <row r="346" spans="1:13">
      <c r="A346">
        <v>4201</v>
      </c>
      <c r="B346" t="s">
        <v>992</v>
      </c>
      <c r="C346">
        <v>29</v>
      </c>
      <c r="D346">
        <v>146</v>
      </c>
      <c r="E346">
        <v>727</v>
      </c>
      <c r="F346">
        <v>32441</v>
      </c>
      <c r="G346">
        <v>8.8634941870324706</v>
      </c>
      <c r="H346" s="1">
        <v>6.0772788861657404E-19</v>
      </c>
      <c r="I346" t="s">
        <v>993</v>
      </c>
      <c r="J346" t="s">
        <v>994</v>
      </c>
      <c r="K346" s="1">
        <v>6.0947896897360502E-17</v>
      </c>
      <c r="L346" t="s">
        <v>848</v>
      </c>
      <c r="M346" t="str">
        <f>HYPERLINK("http://www.broadinstitute.org/gsea/msigdb/cards/GO_CELLULAR_MACROMOLECULAR_COMPLEX_ASSEMBLY.html")</f>
        <v>http://www.broadinstitute.org/gsea/msigdb/cards/GO_CELLULAR_MACROMOLECULAR_COMPLEX_ASSEMBLY.html</v>
      </c>
    </row>
    <row r="347" spans="1:13">
      <c r="A347">
        <v>3837</v>
      </c>
      <c r="B347" t="s">
        <v>995</v>
      </c>
      <c r="C347">
        <v>13</v>
      </c>
      <c r="D347">
        <v>146</v>
      </c>
      <c r="E347">
        <v>49</v>
      </c>
      <c r="F347">
        <v>32441</v>
      </c>
      <c r="G347">
        <v>58.950656975118797</v>
      </c>
      <c r="H347" s="1">
        <v>1.1688748468736401E-18</v>
      </c>
      <c r="I347" t="s">
        <v>996</v>
      </c>
      <c r="J347" t="s">
        <v>997</v>
      </c>
      <c r="K347" s="1">
        <v>1.15270541149189E-16</v>
      </c>
      <c r="L347" t="s">
        <v>848</v>
      </c>
      <c r="M347" t="str">
        <f>HYPERLINK("http://www.broadinstitute.org/gsea/msigdb/cards/GO_RIBOSOMAL_LARGE_SUBUNIT_BIOGENESIS.html")</f>
        <v>http://www.broadinstitute.org/gsea/msigdb/cards/GO_RIBOSOMAL_LARGE_SUBUNIT_BIOGENESIS.html</v>
      </c>
    </row>
    <row r="348" spans="1:13">
      <c r="A348">
        <v>2252</v>
      </c>
      <c r="B348" t="s">
        <v>998</v>
      </c>
      <c r="C348">
        <v>18</v>
      </c>
      <c r="D348">
        <v>146</v>
      </c>
      <c r="E348">
        <v>199</v>
      </c>
      <c r="F348">
        <v>32441</v>
      </c>
      <c r="G348">
        <v>20.098368555104301</v>
      </c>
      <c r="H348" s="1">
        <v>7.2994209435543803E-18</v>
      </c>
      <c r="I348" t="s">
        <v>999</v>
      </c>
      <c r="J348" t="s">
        <v>1000</v>
      </c>
      <c r="K348" s="1">
        <v>7.0804383152477501E-16</v>
      </c>
      <c r="L348" t="s">
        <v>848</v>
      </c>
      <c r="M348" t="str">
        <f>HYPERLINK("http://www.broadinstitute.org/gsea/msigdb/cards/GO_RIBONUCLEOPROTEIN_COMPLEX_SUBUNIT_ORGANIZATION.html")</f>
        <v>http://www.broadinstitute.org/gsea/msigdb/cards/GO_RIBONUCLEOPROTEIN_COMPLEX_SUBUNIT_ORGANIZATION.html</v>
      </c>
    </row>
    <row r="349" spans="1:13">
      <c r="A349">
        <v>4780</v>
      </c>
      <c r="B349" t="s">
        <v>1001</v>
      </c>
      <c r="C349">
        <v>14</v>
      </c>
      <c r="D349">
        <v>146</v>
      </c>
      <c r="E349">
        <v>80</v>
      </c>
      <c r="F349">
        <v>32441</v>
      </c>
      <c r="G349">
        <v>38.884760273972603</v>
      </c>
      <c r="H349" s="1">
        <v>8.9045201057538503E-18</v>
      </c>
      <c r="I349" t="s">
        <v>1002</v>
      </c>
      <c r="J349" t="s">
        <v>1003</v>
      </c>
      <c r="K349" s="1">
        <v>8.4980718493137897E-16</v>
      </c>
      <c r="L349" t="s">
        <v>848</v>
      </c>
      <c r="M349" t="str">
        <f>HYPERLINK("http://www.broadinstitute.org/gsea/msigdb/cards/GO_RESPIRATORY_CHAIN.html")</f>
        <v>http://www.broadinstitute.org/gsea/msigdb/cards/GO_RESPIRATORY_CHAIN.html</v>
      </c>
    </row>
    <row r="350" spans="1:13">
      <c r="A350">
        <v>1844</v>
      </c>
      <c r="B350" t="s">
        <v>1004</v>
      </c>
      <c r="C350">
        <v>14</v>
      </c>
      <c r="D350">
        <v>146</v>
      </c>
      <c r="E350">
        <v>84</v>
      </c>
      <c r="F350">
        <v>32441</v>
      </c>
      <c r="G350">
        <v>37.033105022831101</v>
      </c>
      <c r="H350" s="1">
        <v>1.6419419585435999E-17</v>
      </c>
      <c r="I350" t="s">
        <v>1005</v>
      </c>
      <c r="J350" t="s">
        <v>1006</v>
      </c>
      <c r="K350" s="1">
        <v>1.5421223124924599E-15</v>
      </c>
      <c r="L350" t="s">
        <v>848</v>
      </c>
      <c r="M350" t="str">
        <f>HYPERLINK("http://www.broadinstitute.org/gsea/msigdb/cards/GO_OXIDATIVE_PHOSPHORYLATION.html")</f>
        <v>http://www.broadinstitute.org/gsea/msigdb/cards/GO_OXIDATIVE_PHOSPHORYLATION.html</v>
      </c>
    </row>
    <row r="351" spans="1:13">
      <c r="A351">
        <v>2080</v>
      </c>
      <c r="B351" t="s">
        <v>1007</v>
      </c>
      <c r="C351">
        <v>14</v>
      </c>
      <c r="D351">
        <v>146</v>
      </c>
      <c r="E351">
        <v>94</v>
      </c>
      <c r="F351">
        <v>32441</v>
      </c>
      <c r="G351">
        <v>33.093412999125597</v>
      </c>
      <c r="H351" s="1">
        <v>6.7705178840869898E-17</v>
      </c>
      <c r="I351" t="s">
        <v>1005</v>
      </c>
      <c r="J351" t="s">
        <v>1006</v>
      </c>
      <c r="K351" s="1">
        <v>6.2595553625223003E-15</v>
      </c>
      <c r="L351" t="s">
        <v>848</v>
      </c>
      <c r="M351" t="str">
        <f>HYPERLINK("http://www.broadinstitute.org/gsea/msigdb/cards/GO_ELECTRON_TRANSPORT_CHAIN.html")</f>
        <v>http://www.broadinstitute.org/gsea/msigdb/cards/GO_ELECTRON_TRANSPORT_CHAIN.html</v>
      </c>
    </row>
    <row r="352" spans="1:13">
      <c r="A352">
        <v>4615</v>
      </c>
      <c r="B352" t="s">
        <v>1008</v>
      </c>
      <c r="C352">
        <v>23</v>
      </c>
      <c r="D352">
        <v>146</v>
      </c>
      <c r="E352">
        <v>525</v>
      </c>
      <c r="F352">
        <v>32441</v>
      </c>
      <c r="G352">
        <v>9.7344161774298694</v>
      </c>
      <c r="H352" s="1">
        <v>5.4111351490235498E-16</v>
      </c>
      <c r="I352" t="s">
        <v>1009</v>
      </c>
      <c r="J352" t="s">
        <v>1010</v>
      </c>
      <c r="K352" s="1">
        <v>4.9257979502726698E-14</v>
      </c>
      <c r="L352" t="s">
        <v>848</v>
      </c>
      <c r="M352" t="str">
        <f>HYPERLINK("http://www.broadinstitute.org/gsea/msigdb/cards/GO_ORGANELLE_INNER_MEMBRANE.html")</f>
        <v>http://www.broadinstitute.org/gsea/msigdb/cards/GO_ORGANELLE_INNER_MEMBRANE.html</v>
      </c>
    </row>
    <row r="353" spans="1:13">
      <c r="A353">
        <v>4946</v>
      </c>
      <c r="B353" t="s">
        <v>1011</v>
      </c>
      <c r="C353">
        <v>25</v>
      </c>
      <c r="D353">
        <v>146</v>
      </c>
      <c r="E353">
        <v>691</v>
      </c>
      <c r="F353">
        <v>32441</v>
      </c>
      <c r="G353">
        <v>8.0390242451876404</v>
      </c>
      <c r="H353" s="1">
        <v>1.7976623473112E-15</v>
      </c>
      <c r="I353" t="s">
        <v>1012</v>
      </c>
      <c r="J353" t="s">
        <v>1013</v>
      </c>
      <c r="K353" s="1">
        <v>1.61163153167279E-13</v>
      </c>
      <c r="L353" t="s">
        <v>848</v>
      </c>
      <c r="M353" t="str">
        <f>HYPERLINK("http://www.broadinstitute.org/gsea/msigdb/cards/GO_MITOCHONDRIAL_ENVELOPE.html")</f>
        <v>http://www.broadinstitute.org/gsea/msigdb/cards/GO_MITOCHONDRIAL_ENVELOPE.html</v>
      </c>
    </row>
    <row r="354" spans="1:13">
      <c r="A354">
        <v>4013</v>
      </c>
      <c r="B354" t="s">
        <v>1014</v>
      </c>
      <c r="C354">
        <v>9</v>
      </c>
      <c r="D354">
        <v>146</v>
      </c>
      <c r="E354">
        <v>18</v>
      </c>
      <c r="F354">
        <v>32441</v>
      </c>
      <c r="G354">
        <v>111.099315068493</v>
      </c>
      <c r="H354" s="1">
        <v>2.4789503191743199E-15</v>
      </c>
      <c r="I354" t="s">
        <v>1015</v>
      </c>
      <c r="J354" t="s">
        <v>1016</v>
      </c>
      <c r="K354" s="1">
        <v>2.1892461251573799E-13</v>
      </c>
      <c r="L354" t="s">
        <v>848</v>
      </c>
      <c r="M354" t="str">
        <f>HYPERLINK("http://www.broadinstitute.org/gsea/msigdb/cards/GO_RIBOSOMAL_SMALL_SUBUNIT_ASSEMBLY.html")</f>
        <v>http://www.broadinstitute.org/gsea/msigdb/cards/GO_RIBOSOMAL_SMALL_SUBUNIT_ASSEMBLY.html</v>
      </c>
    </row>
    <row r="355" spans="1:13">
      <c r="A355">
        <v>4775</v>
      </c>
      <c r="B355" t="s">
        <v>1017</v>
      </c>
      <c r="C355">
        <v>28</v>
      </c>
      <c r="D355">
        <v>146</v>
      </c>
      <c r="E355">
        <v>953</v>
      </c>
      <c r="F355">
        <v>32441</v>
      </c>
      <c r="G355">
        <v>6.5283962684528998</v>
      </c>
      <c r="H355" s="1">
        <v>4.8348532175013804E-15</v>
      </c>
      <c r="I355" t="s">
        <v>1018</v>
      </c>
      <c r="J355" t="s">
        <v>1019</v>
      </c>
      <c r="K355" s="1">
        <v>4.20703330705231E-13</v>
      </c>
      <c r="L355" t="s">
        <v>848</v>
      </c>
      <c r="M355" t="str">
        <f>HYPERLINK("http://www.broadinstitute.org/gsea/msigdb/cards/GO_MITOCHONDRIAL_PART.html")</f>
        <v>http://www.broadinstitute.org/gsea/msigdb/cards/GO_MITOCHONDRIAL_PART.html</v>
      </c>
    </row>
    <row r="356" spans="1:13">
      <c r="A356">
        <v>4755</v>
      </c>
      <c r="B356" t="s">
        <v>1020</v>
      </c>
      <c r="C356">
        <v>13</v>
      </c>
      <c r="D356">
        <v>146</v>
      </c>
      <c r="E356">
        <v>106</v>
      </c>
      <c r="F356">
        <v>32441</v>
      </c>
      <c r="G356">
        <v>27.250775394158701</v>
      </c>
      <c r="H356" s="1">
        <v>8.8471231545578004E-15</v>
      </c>
      <c r="I356" t="s">
        <v>1021</v>
      </c>
      <c r="J356" t="s">
        <v>1022</v>
      </c>
      <c r="K356" s="1">
        <v>7.5867286529737001E-13</v>
      </c>
      <c r="L356" t="s">
        <v>848</v>
      </c>
      <c r="M356" t="str">
        <f>HYPERLINK("http://www.broadinstitute.org/gsea/msigdb/cards/GO_INNER_MITOCHONDRIAL_MEMBRANE_PROTEIN_COMPLEX.html")</f>
        <v>http://www.broadinstitute.org/gsea/msigdb/cards/GO_INNER_MITOCHONDRIAL_MEMBRANE_PROTEIN_COMPLEX.html</v>
      </c>
    </row>
    <row r="357" spans="1:13">
      <c r="A357">
        <v>1461</v>
      </c>
      <c r="B357" t="s">
        <v>1023</v>
      </c>
      <c r="C357">
        <v>16</v>
      </c>
      <c r="D357">
        <v>146</v>
      </c>
      <c r="E357">
        <v>217</v>
      </c>
      <c r="F357">
        <v>32441</v>
      </c>
      <c r="G357">
        <v>16.3833091345243</v>
      </c>
      <c r="H357" s="1">
        <v>1.05980201295694E-14</v>
      </c>
      <c r="I357" t="s">
        <v>1024</v>
      </c>
      <c r="J357" t="s">
        <v>1025</v>
      </c>
      <c r="K357" s="1">
        <v>8.9583550152374401E-13</v>
      </c>
      <c r="L357" t="s">
        <v>848</v>
      </c>
      <c r="M357" t="str">
        <f>HYPERLINK("http://www.broadinstitute.org/gsea/msigdb/cards/GO_ENERGY_DERIVATION_BY_OXIDATION_OF_ORGANIC_COMPOUNDS.html")</f>
        <v>http://www.broadinstitute.org/gsea/msigdb/cards/GO_ENERGY_DERIVATION_BY_OXIDATION_OF_ORGANIC_COMPOUNDS.html</v>
      </c>
    </row>
    <row r="358" spans="1:13">
      <c r="A358">
        <v>1268</v>
      </c>
      <c r="B358" t="s">
        <v>1026</v>
      </c>
      <c r="C358">
        <v>14</v>
      </c>
      <c r="D358">
        <v>146</v>
      </c>
      <c r="E358">
        <v>143</v>
      </c>
      <c r="F358">
        <v>32441</v>
      </c>
      <c r="G358">
        <v>21.753712041383299</v>
      </c>
      <c r="H358" s="1">
        <v>1.40436112053819E-14</v>
      </c>
      <c r="I358" t="s">
        <v>1005</v>
      </c>
      <c r="J358" t="s">
        <v>1006</v>
      </c>
      <c r="K358" s="1">
        <v>1.1703668662287999E-12</v>
      </c>
      <c r="L358" t="s">
        <v>848</v>
      </c>
      <c r="M358" t="str">
        <f>HYPERLINK("http://www.broadinstitute.org/gsea/msigdb/cards/GO_CELLULAR_RESPIRATION.html")</f>
        <v>http://www.broadinstitute.org/gsea/msigdb/cards/GO_CELLULAR_RESPIRATION.html</v>
      </c>
    </row>
    <row r="359" spans="1:13">
      <c r="A359">
        <v>1960</v>
      </c>
      <c r="B359" t="s">
        <v>1027</v>
      </c>
      <c r="C359">
        <v>32</v>
      </c>
      <c r="D359">
        <v>146</v>
      </c>
      <c r="E359">
        <v>1398</v>
      </c>
      <c r="F359">
        <v>32441</v>
      </c>
      <c r="G359">
        <v>5.0860916769553404</v>
      </c>
      <c r="H359" s="1">
        <v>3.5363437601479701E-14</v>
      </c>
      <c r="I359" t="s">
        <v>1028</v>
      </c>
      <c r="J359" t="s">
        <v>1029</v>
      </c>
      <c r="K359" s="1">
        <v>2.9061869484438301E-12</v>
      </c>
      <c r="L359" t="s">
        <v>848</v>
      </c>
      <c r="M359" t="str">
        <f>HYPERLINK("http://www.broadinstitute.org/gsea/msigdb/cards/GO_MACROMOLECULAR_COMPLEX_ASSEMBLY.html")</f>
        <v>http://www.broadinstitute.org/gsea/msigdb/cards/GO_MACROMOLECULAR_COMPLEX_ASSEMBLY.html</v>
      </c>
    </row>
    <row r="360" spans="1:13">
      <c r="A360">
        <v>3261</v>
      </c>
      <c r="B360" t="s">
        <v>1030</v>
      </c>
      <c r="C360">
        <v>16</v>
      </c>
      <c r="D360">
        <v>146</v>
      </c>
      <c r="E360">
        <v>239</v>
      </c>
      <c r="F360">
        <v>32441</v>
      </c>
      <c r="G360">
        <v>14.8752221012208</v>
      </c>
      <c r="H360" s="1">
        <v>4.3275895056540798E-14</v>
      </c>
      <c r="I360" t="s">
        <v>1031</v>
      </c>
      <c r="J360" t="s">
        <v>1032</v>
      </c>
      <c r="K360" s="1">
        <v>3.5077187815007099E-12</v>
      </c>
      <c r="L360" t="s">
        <v>848</v>
      </c>
      <c r="M360" t="str">
        <f>HYPERLINK("http://www.broadinstitute.org/gsea/msigdb/cards/GO_NUCLEOSIDE_MONOPHOSPHATE_METABOLIC_PROCESS.html")</f>
        <v>http://www.broadinstitute.org/gsea/msigdb/cards/GO_NUCLEOSIDE_MONOPHOSPHATE_METABOLIC_PROCESS.html</v>
      </c>
    </row>
    <row r="361" spans="1:13">
      <c r="A361">
        <v>4753</v>
      </c>
      <c r="B361" t="s">
        <v>1033</v>
      </c>
      <c r="C361">
        <v>14</v>
      </c>
      <c r="D361">
        <v>146</v>
      </c>
      <c r="E361">
        <v>173</v>
      </c>
      <c r="F361">
        <v>32441</v>
      </c>
      <c r="G361">
        <v>17.981392034207001</v>
      </c>
      <c r="H361" s="1">
        <v>1.5990246437623199E-13</v>
      </c>
      <c r="I361" t="s">
        <v>1034</v>
      </c>
      <c r="J361" t="s">
        <v>1035</v>
      </c>
      <c r="K361" s="1">
        <v>1.27857146177589E-11</v>
      </c>
      <c r="L361" t="s">
        <v>848</v>
      </c>
      <c r="M361" t="str">
        <f>HYPERLINK("http://www.broadinstitute.org/gsea/msigdb/cards/GO_MITOCHONDRIAL_MEMBRANE_PART.html")</f>
        <v>http://www.broadinstitute.org/gsea/msigdb/cards/GO_MITOCHONDRIAL_MEMBRANE_PART.html</v>
      </c>
    </row>
    <row r="362" spans="1:13">
      <c r="A362">
        <v>4953</v>
      </c>
      <c r="B362" t="s">
        <v>1036</v>
      </c>
      <c r="C362">
        <v>13</v>
      </c>
      <c r="D362">
        <v>146</v>
      </c>
      <c r="E362">
        <v>136</v>
      </c>
      <c r="F362">
        <v>32441</v>
      </c>
      <c r="G362">
        <v>21.2395749395649</v>
      </c>
      <c r="H362" s="1">
        <v>1.68955861640018E-13</v>
      </c>
      <c r="I362" t="s">
        <v>1021</v>
      </c>
      <c r="J362" t="s">
        <v>1022</v>
      </c>
      <c r="K362" s="1">
        <v>1.3329491110986499E-11</v>
      </c>
      <c r="L362" t="s">
        <v>848</v>
      </c>
      <c r="M362" t="str">
        <f>HYPERLINK("http://www.broadinstitute.org/gsea/msigdb/cards/GO_MITOCHONDRIAL_PROTEIN_COMPLEX.html")</f>
        <v>http://www.broadinstitute.org/gsea/msigdb/cards/GO_MITOCHONDRIAL_PROTEIN_COMPLEX.html</v>
      </c>
    </row>
    <row r="363" spans="1:13">
      <c r="A363">
        <v>2007</v>
      </c>
      <c r="B363" t="s">
        <v>1037</v>
      </c>
      <c r="C363">
        <v>15</v>
      </c>
      <c r="D363">
        <v>146</v>
      </c>
      <c r="E363">
        <v>228</v>
      </c>
      <c r="F363">
        <v>32441</v>
      </c>
      <c r="G363">
        <v>14.6183309300649</v>
      </c>
      <c r="H363" s="1">
        <v>3.5421146789582399E-13</v>
      </c>
      <c r="I363" t="s">
        <v>1038</v>
      </c>
      <c r="J363" t="s">
        <v>1039</v>
      </c>
      <c r="K363" s="1">
        <v>2.7577227046573502E-11</v>
      </c>
      <c r="L363" t="s">
        <v>848</v>
      </c>
      <c r="M363" t="str">
        <f>HYPERLINK("http://www.broadinstitute.org/gsea/msigdb/cards/GO_NUCLEOSIDE_TRIPHOSPHATE_METABOLIC_PROCESS.html")</f>
        <v>http://www.broadinstitute.org/gsea/msigdb/cards/GO_NUCLEOSIDE_TRIPHOSPHATE_METABOLIC_PROCESS.html</v>
      </c>
    </row>
    <row r="364" spans="1:13">
      <c r="A364">
        <v>4776</v>
      </c>
      <c r="B364" t="s">
        <v>1040</v>
      </c>
      <c r="C364">
        <v>33</v>
      </c>
      <c r="D364">
        <v>146</v>
      </c>
      <c r="E364">
        <v>1633</v>
      </c>
      <c r="F364">
        <v>32441</v>
      </c>
      <c r="G364">
        <v>4.4902356365710601</v>
      </c>
      <c r="H364" s="1">
        <v>3.8854127733315103E-13</v>
      </c>
      <c r="I364" t="s">
        <v>1041</v>
      </c>
      <c r="J364" t="s">
        <v>1042</v>
      </c>
      <c r="K364" s="1">
        <v>2.9857126467275998E-11</v>
      </c>
      <c r="L364" t="s">
        <v>848</v>
      </c>
      <c r="M364" t="str">
        <f>HYPERLINK("http://www.broadinstitute.org/gsea/msigdb/cards/GO_MITOCHONDRION.html")</f>
        <v>http://www.broadinstitute.org/gsea/msigdb/cards/GO_MITOCHONDRION.html</v>
      </c>
    </row>
    <row r="365" spans="1:13">
      <c r="A365">
        <v>3560</v>
      </c>
      <c r="B365" t="s">
        <v>1043</v>
      </c>
      <c r="C365">
        <v>16</v>
      </c>
      <c r="D365">
        <v>146</v>
      </c>
      <c r="E365">
        <v>292</v>
      </c>
      <c r="F365">
        <v>32441</v>
      </c>
      <c r="G365">
        <v>12.1752674047664</v>
      </c>
      <c r="H365" s="1">
        <v>7.9061609388870097E-13</v>
      </c>
      <c r="I365" t="s">
        <v>1024</v>
      </c>
      <c r="J365" t="s">
        <v>1025</v>
      </c>
      <c r="K365" s="1">
        <v>5.9975325994095403E-11</v>
      </c>
      <c r="L365" t="s">
        <v>848</v>
      </c>
      <c r="M365" t="str">
        <f>HYPERLINK("http://www.broadinstitute.org/gsea/msigdb/cards/GO_GENERATION_OF_PRECURSOR_METABOLITES_AND_ENERGY.html")</f>
        <v>http://www.broadinstitute.org/gsea/msigdb/cards/GO_GENERATION_OF_PRECURSOR_METABOLITES_AND_ENERGY.html</v>
      </c>
    </row>
    <row r="366" spans="1:13">
      <c r="A366">
        <v>4911</v>
      </c>
      <c r="B366" t="s">
        <v>1044</v>
      </c>
      <c r="C366">
        <v>27</v>
      </c>
      <c r="D366">
        <v>146</v>
      </c>
      <c r="E366">
        <v>1090</v>
      </c>
      <c r="F366">
        <v>32441</v>
      </c>
      <c r="G366">
        <v>5.5040027648611298</v>
      </c>
      <c r="H366" s="1">
        <v>8.0370734477741305E-13</v>
      </c>
      <c r="I366" t="s">
        <v>1045</v>
      </c>
      <c r="J366" t="s">
        <v>1046</v>
      </c>
      <c r="K366" s="1">
        <v>6.0196662772758896E-11</v>
      </c>
      <c r="L366" t="s">
        <v>848</v>
      </c>
      <c r="M366" t="str">
        <f>HYPERLINK("http://www.broadinstitute.org/gsea/msigdb/cards/GO_ENVELOPE.html")</f>
        <v>http://www.broadinstitute.org/gsea/msigdb/cards/GO_ENVELOPE.html</v>
      </c>
    </row>
    <row r="367" spans="1:13">
      <c r="A367">
        <v>2972</v>
      </c>
      <c r="B367" t="s">
        <v>1047</v>
      </c>
      <c r="C367">
        <v>16</v>
      </c>
      <c r="D367">
        <v>146</v>
      </c>
      <c r="E367">
        <v>368</v>
      </c>
      <c r="F367">
        <v>32441</v>
      </c>
      <c r="G367">
        <v>9.6608100059559305</v>
      </c>
      <c r="H367" s="1">
        <v>2.1885484514240602E-11</v>
      </c>
      <c r="I367" t="s">
        <v>1031</v>
      </c>
      <c r="J367" t="s">
        <v>1032</v>
      </c>
      <c r="K367" s="1">
        <v>1.61870514838452E-9</v>
      </c>
      <c r="L367" t="s">
        <v>848</v>
      </c>
      <c r="M367" t="str">
        <f>HYPERLINK("http://www.broadinstitute.org/gsea/msigdb/cards/GO_GLYCOSYL_COMPOUND_METABOLIC_PROCESS.html")</f>
        <v>http://www.broadinstitute.org/gsea/msigdb/cards/GO_GLYCOSYL_COMPOUND_METABOLIC_PROCESS.html</v>
      </c>
    </row>
    <row r="368" spans="1:13">
      <c r="A368">
        <v>3658</v>
      </c>
      <c r="B368" t="s">
        <v>1048</v>
      </c>
      <c r="C368">
        <v>16</v>
      </c>
      <c r="D368">
        <v>146</v>
      </c>
      <c r="E368">
        <v>394</v>
      </c>
      <c r="F368">
        <v>32441</v>
      </c>
      <c r="G368">
        <v>9.0232946248522392</v>
      </c>
      <c r="H368" s="1">
        <v>5.7743007052040301E-11</v>
      </c>
      <c r="I368" t="s">
        <v>1031</v>
      </c>
      <c r="J368" t="s">
        <v>1032</v>
      </c>
      <c r="K368" s="1">
        <v>4.2180910213200304E-9</v>
      </c>
      <c r="L368" t="s">
        <v>848</v>
      </c>
      <c r="M368" t="str">
        <f>HYPERLINK("http://www.broadinstitute.org/gsea/msigdb/cards/GO_PURINE_CONTAINING_COMPOUND_METABOLIC_PROCESS.html")</f>
        <v>http://www.broadinstitute.org/gsea/msigdb/cards/GO_PURINE_CONTAINING_COMPOUND_METABOLIC_PROCESS.html</v>
      </c>
    </row>
    <row r="369" spans="1:13">
      <c r="A369">
        <v>1623</v>
      </c>
      <c r="B369" t="s">
        <v>1049</v>
      </c>
      <c r="C369">
        <v>7</v>
      </c>
      <c r="D369">
        <v>146</v>
      </c>
      <c r="E369">
        <v>23</v>
      </c>
      <c r="F369">
        <v>32441</v>
      </c>
      <c r="G369">
        <v>67.625670041691507</v>
      </c>
      <c r="H369" s="1">
        <v>5.8534721870784103E-11</v>
      </c>
      <c r="I369" t="s">
        <v>1050</v>
      </c>
      <c r="J369" t="s">
        <v>1051</v>
      </c>
      <c r="K369" s="1">
        <v>4.2237798696271898E-9</v>
      </c>
      <c r="L369" t="s">
        <v>848</v>
      </c>
      <c r="M369" t="str">
        <f>HYPERLINK("http://www.broadinstitute.org/gsea/msigdb/cards/GO_RIBOSOMAL_LARGE_SUBUNIT_ASSEMBLY.html")</f>
        <v>http://www.broadinstitute.org/gsea/msigdb/cards/GO_RIBOSOMAL_LARGE_SUBUNIT_ASSEMBLY.html</v>
      </c>
    </row>
    <row r="370" spans="1:13">
      <c r="A370">
        <v>4812</v>
      </c>
      <c r="B370" t="s">
        <v>1052</v>
      </c>
      <c r="C370">
        <v>8</v>
      </c>
      <c r="D370">
        <v>146</v>
      </c>
      <c r="E370">
        <v>42</v>
      </c>
      <c r="F370">
        <v>32441</v>
      </c>
      <c r="G370">
        <v>42.323548597521203</v>
      </c>
      <c r="H370" s="1">
        <v>6.1260984540293105E-11</v>
      </c>
      <c r="I370" t="s">
        <v>1053</v>
      </c>
      <c r="J370" t="s">
        <v>1054</v>
      </c>
      <c r="K370" s="1">
        <v>4.3672439219869201E-9</v>
      </c>
      <c r="L370" t="s">
        <v>848</v>
      </c>
      <c r="M370" t="str">
        <f>HYPERLINK("http://www.broadinstitute.org/gsea/msigdb/cards/GO_NADH_DEHYDROGENASE_COMPLEX.html")</f>
        <v>http://www.broadinstitute.org/gsea/msigdb/cards/GO_NADH_DEHYDROGENASE_COMPLEX.html</v>
      </c>
    </row>
    <row r="371" spans="1:13">
      <c r="A371">
        <v>2358</v>
      </c>
      <c r="B371" t="s">
        <v>1055</v>
      </c>
      <c r="C371">
        <v>17</v>
      </c>
      <c r="D371">
        <v>146</v>
      </c>
      <c r="E371">
        <v>495</v>
      </c>
      <c r="F371">
        <v>32441</v>
      </c>
      <c r="G371">
        <v>7.6310640653106399</v>
      </c>
      <c r="H371" s="1">
        <v>1.7150009669142699E-10</v>
      </c>
      <c r="I371" t="s">
        <v>1056</v>
      </c>
      <c r="J371" t="s">
        <v>1057</v>
      </c>
      <c r="K371" s="1">
        <v>1.20805484776568E-8</v>
      </c>
      <c r="L371" t="s">
        <v>848</v>
      </c>
      <c r="M371" t="str">
        <f>HYPERLINK("http://www.broadinstitute.org/gsea/msigdb/cards/GO_ORGANELLE_ASSEMBLY.html")</f>
        <v>http://www.broadinstitute.org/gsea/msigdb/cards/GO_ORGANELLE_ASSEMBLY.html</v>
      </c>
    </row>
    <row r="372" spans="1:13">
      <c r="A372">
        <v>669</v>
      </c>
      <c r="B372" t="s">
        <v>1058</v>
      </c>
      <c r="C372">
        <v>9</v>
      </c>
      <c r="D372">
        <v>146</v>
      </c>
      <c r="E372">
        <v>76</v>
      </c>
      <c r="F372">
        <v>32441</v>
      </c>
      <c r="G372">
        <v>26.312995674116799</v>
      </c>
      <c r="H372" s="1">
        <v>1.7479851288910299E-10</v>
      </c>
      <c r="I372" t="s">
        <v>1059</v>
      </c>
      <c r="J372" t="s">
        <v>1060</v>
      </c>
      <c r="K372" s="1">
        <v>1.2168032950174399E-8</v>
      </c>
      <c r="L372" t="s">
        <v>848</v>
      </c>
      <c r="M372" t="str">
        <f>HYPERLINK("http://www.broadinstitute.org/gsea/msigdb/cards/GO_MITOCHONDRIAL_RESPIRATORY_CHAIN_COMPLEX_ASSEMBLY.html")</f>
        <v>http://www.broadinstitute.org/gsea/msigdb/cards/GO_MITOCHONDRIAL_RESPIRATORY_CHAIN_COMPLEX_ASSEMBLY.html</v>
      </c>
    </row>
    <row r="373" spans="1:13">
      <c r="A373">
        <v>131</v>
      </c>
      <c r="B373" t="s">
        <v>1061</v>
      </c>
      <c r="C373">
        <v>8</v>
      </c>
      <c r="D373">
        <v>146</v>
      </c>
      <c r="E373">
        <v>56</v>
      </c>
      <c r="F373">
        <v>32441</v>
      </c>
      <c r="G373">
        <v>31.7426614481409</v>
      </c>
      <c r="H373" s="1">
        <v>4.7909555807908396E-10</v>
      </c>
      <c r="I373" t="s">
        <v>1053</v>
      </c>
      <c r="J373" t="s">
        <v>1054</v>
      </c>
      <c r="K373" s="1">
        <v>3.2962888571557497E-8</v>
      </c>
      <c r="L373" t="s">
        <v>848</v>
      </c>
      <c r="M373" t="str">
        <f>HYPERLINK("http://www.broadinstitute.org/gsea/msigdb/cards/GO_MITOCHONDRIAL_RESPIRATORY_CHAIN_COMPLEX_I_BIOGENESIS.html")</f>
        <v>http://www.broadinstitute.org/gsea/msigdb/cards/GO_MITOCHONDRIAL_RESPIRATORY_CHAIN_COMPLEX_I_BIOGENESIS.html</v>
      </c>
    </row>
    <row r="374" spans="1:13">
      <c r="A374">
        <v>1338</v>
      </c>
      <c r="B374" t="s">
        <v>1062</v>
      </c>
      <c r="C374">
        <v>15</v>
      </c>
      <c r="D374">
        <v>146</v>
      </c>
      <c r="E374">
        <v>448</v>
      </c>
      <c r="F374">
        <v>32441</v>
      </c>
      <c r="G374">
        <v>7.4396862769080201</v>
      </c>
      <c r="H374" s="1">
        <v>3.00858559152813E-9</v>
      </c>
      <c r="I374" t="s">
        <v>1063</v>
      </c>
      <c r="J374" t="s">
        <v>1064</v>
      </c>
      <c r="K374" s="1">
        <v>2.04618401667494E-7</v>
      </c>
      <c r="L374" t="s">
        <v>848</v>
      </c>
      <c r="M374" t="str">
        <f>HYPERLINK("http://www.broadinstitute.org/gsea/msigdb/cards/GO_POSTTRANSCRIPTIONAL_REGULATION_OF_GENE_EXPRESSION.html")</f>
        <v>http://www.broadinstitute.org/gsea/msigdb/cards/GO_POSTTRANSCRIPTIONAL_REGULATION_OF_GENE_EXPRESSION.html</v>
      </c>
    </row>
    <row r="375" spans="1:13">
      <c r="A375">
        <v>1215</v>
      </c>
      <c r="B375" t="s">
        <v>1065</v>
      </c>
      <c r="C375">
        <v>16</v>
      </c>
      <c r="D375">
        <v>146</v>
      </c>
      <c r="E375">
        <v>535</v>
      </c>
      <c r="F375">
        <v>32441</v>
      </c>
      <c r="G375">
        <v>6.6451926769939798</v>
      </c>
      <c r="H375" s="1">
        <v>4.1364469094762704E-9</v>
      </c>
      <c r="I375" t="s">
        <v>1031</v>
      </c>
      <c r="J375" t="s">
        <v>1032</v>
      </c>
      <c r="K375" s="1">
        <v>2.7812904958376299E-7</v>
      </c>
      <c r="L375" t="s">
        <v>848</v>
      </c>
      <c r="M375" t="str">
        <f>HYPERLINK("http://www.broadinstitute.org/gsea/msigdb/cards/GO_NUCLEOBASE_CONTAINING_SMALL_MOLECULE_METABOLIC_PROCESS.html")</f>
        <v>http://www.broadinstitute.org/gsea/msigdb/cards/GO_NUCLEOBASE_CONTAINING_SMALL_MOLECULE_METABOLIC_PROCESS.html</v>
      </c>
    </row>
    <row r="376" spans="1:13">
      <c r="A376">
        <v>3000</v>
      </c>
      <c r="B376" t="s">
        <v>1066</v>
      </c>
      <c r="C376">
        <v>13</v>
      </c>
      <c r="D376">
        <v>146</v>
      </c>
      <c r="E376">
        <v>354</v>
      </c>
      <c r="F376">
        <v>32441</v>
      </c>
      <c r="G376">
        <v>8.1598366999458207</v>
      </c>
      <c r="H376" s="1">
        <v>1.2511635658977501E-8</v>
      </c>
      <c r="I376" t="s">
        <v>1067</v>
      </c>
      <c r="J376" t="s">
        <v>1068</v>
      </c>
      <c r="K376" s="1">
        <v>8.3181290105808605E-7</v>
      </c>
      <c r="L376" t="s">
        <v>848</v>
      </c>
      <c r="M376" t="str">
        <f>HYPERLINK("http://www.broadinstitute.org/gsea/msigdb/cards/GO_REGULATION_OF_CELLULAR_AMIDE_METABOLIC_PROCESS.html")</f>
        <v>http://www.broadinstitute.org/gsea/msigdb/cards/GO_REGULATION_OF_CELLULAR_AMIDE_METABOLIC_PROCESS.html</v>
      </c>
    </row>
    <row r="377" spans="1:13">
      <c r="A377">
        <v>2923</v>
      </c>
      <c r="B377" t="s">
        <v>1069</v>
      </c>
      <c r="C377">
        <v>16</v>
      </c>
      <c r="D377">
        <v>146</v>
      </c>
      <c r="E377">
        <v>594</v>
      </c>
      <c r="F377">
        <v>32441</v>
      </c>
      <c r="G377">
        <v>5.9851482865181502</v>
      </c>
      <c r="H377" s="1">
        <v>1.7202342588442101E-8</v>
      </c>
      <c r="I377" t="s">
        <v>1070</v>
      </c>
      <c r="J377" t="s">
        <v>1071</v>
      </c>
      <c r="K377" s="1">
        <v>1.1309584566201301E-6</v>
      </c>
      <c r="L377" t="s">
        <v>848</v>
      </c>
      <c r="M377" t="str">
        <f>HYPERLINK("http://www.broadinstitute.org/gsea/msigdb/cards/GO_MITOCHONDRION_ORGANIZATION.html")</f>
        <v>http://www.broadinstitute.org/gsea/msigdb/cards/GO_MITOCHONDRION_ORGANIZATION.html</v>
      </c>
    </row>
    <row r="378" spans="1:13">
      <c r="A378">
        <v>4484</v>
      </c>
      <c r="B378" t="s">
        <v>1072</v>
      </c>
      <c r="C378">
        <v>8</v>
      </c>
      <c r="D378">
        <v>146</v>
      </c>
      <c r="E378">
        <v>93</v>
      </c>
      <c r="F378">
        <v>32441</v>
      </c>
      <c r="G378">
        <v>19.1138606569451</v>
      </c>
      <c r="H378" s="1">
        <v>1.90295353147036E-8</v>
      </c>
      <c r="I378" t="s">
        <v>1053</v>
      </c>
      <c r="J378" t="s">
        <v>1054</v>
      </c>
      <c r="K378" s="1">
        <v>1.23733802700111E-6</v>
      </c>
      <c r="L378" t="s">
        <v>848</v>
      </c>
      <c r="M378" t="str">
        <f>HYPERLINK("http://www.broadinstitute.org/gsea/msigdb/cards/GO_OXIDOREDUCTASE_COMPLEX.html")</f>
        <v>http://www.broadinstitute.org/gsea/msigdb/cards/GO_OXIDOREDUCTASE_COMPLEX.html</v>
      </c>
    </row>
    <row r="379" spans="1:13">
      <c r="A379">
        <v>1936</v>
      </c>
      <c r="B379" t="s">
        <v>1073</v>
      </c>
      <c r="C379">
        <v>6</v>
      </c>
      <c r="D379">
        <v>146</v>
      </c>
      <c r="E379">
        <v>33</v>
      </c>
      <c r="F379">
        <v>32441</v>
      </c>
      <c r="G379">
        <v>40.399750933997503</v>
      </c>
      <c r="H379" s="1">
        <v>2.1066260681937099E-8</v>
      </c>
      <c r="I379" t="s">
        <v>1074</v>
      </c>
      <c r="J379" t="s">
        <v>1075</v>
      </c>
      <c r="K379" s="1">
        <v>1.35488113538067E-6</v>
      </c>
      <c r="L379" t="s">
        <v>848</v>
      </c>
      <c r="M379" t="str">
        <f>HYPERLINK("http://www.broadinstitute.org/gsea/msigdb/cards/GO_MATURATION_OF_SSU_RRNA_FROM_TRICISTRONIC_RRNA_TRANSCRIPT_SSU_RRNA_5_8S_RRNA_LSU_RRNA_.html")</f>
        <v>http://www.broadinstitute.org/gsea/msigdb/cards/GO_MATURATION_OF_SSU_RRNA_FROM_TRICISTRONIC_RRNA_TRANSCRIPT_SSU_RRNA_5_8S_RRNA_LSU_RRNA_.html</v>
      </c>
    </row>
    <row r="380" spans="1:13">
      <c r="A380">
        <v>2402</v>
      </c>
      <c r="B380" t="s">
        <v>1076</v>
      </c>
      <c r="C380">
        <v>19</v>
      </c>
      <c r="D380">
        <v>146</v>
      </c>
      <c r="E380">
        <v>898</v>
      </c>
      <c r="F380">
        <v>32441</v>
      </c>
      <c r="G380">
        <v>4.7013073191567303</v>
      </c>
      <c r="H380" s="1">
        <v>3.1928183592612502E-8</v>
      </c>
      <c r="I380" t="s">
        <v>1077</v>
      </c>
      <c r="J380" t="s">
        <v>1078</v>
      </c>
      <c r="K380" s="1">
        <v>2.0313877668547101E-6</v>
      </c>
      <c r="L380" t="s">
        <v>848</v>
      </c>
      <c r="M380" t="str">
        <f>HYPERLINK("http://www.broadinstitute.org/gsea/msigdb/cards/GO_OXIDATION_REDUCTION_PROCESS.html")</f>
        <v>http://www.broadinstitute.org/gsea/msigdb/cards/GO_OXIDATION_REDUCTION_PROCESS.html</v>
      </c>
    </row>
    <row r="381" spans="1:13">
      <c r="A381">
        <v>2741</v>
      </c>
      <c r="B381" t="s">
        <v>1079</v>
      </c>
      <c r="C381">
        <v>8</v>
      </c>
      <c r="D381">
        <v>146</v>
      </c>
      <c r="E381">
        <v>111</v>
      </c>
      <c r="F381">
        <v>32441</v>
      </c>
      <c r="G381">
        <v>16.014315685548599</v>
      </c>
      <c r="H381" s="1">
        <v>6.9007760116096196E-8</v>
      </c>
      <c r="I381" t="s">
        <v>1080</v>
      </c>
      <c r="J381" t="s">
        <v>1081</v>
      </c>
      <c r="K381" s="1">
        <v>4.3438182617759702E-6</v>
      </c>
      <c r="L381" t="s">
        <v>848</v>
      </c>
      <c r="M381" t="str">
        <f>HYPERLINK("http://www.broadinstitute.org/gsea/msigdb/cards/GO_TRANSLATIONAL_ELONGATION.html")</f>
        <v>http://www.broadinstitute.org/gsea/msigdb/cards/GO_TRANSLATIONAL_ELONGATION.html</v>
      </c>
    </row>
    <row r="382" spans="1:13">
      <c r="A382">
        <v>514</v>
      </c>
      <c r="B382" t="s">
        <v>1082</v>
      </c>
      <c r="C382">
        <v>6</v>
      </c>
      <c r="D382">
        <v>146</v>
      </c>
      <c r="E382">
        <v>42</v>
      </c>
      <c r="F382">
        <v>32441</v>
      </c>
      <c r="G382">
        <v>31.7426614481409</v>
      </c>
      <c r="H382" s="1">
        <v>7.6651989741095202E-8</v>
      </c>
      <c r="I382" t="s">
        <v>1074</v>
      </c>
      <c r="J382" t="s">
        <v>1075</v>
      </c>
      <c r="K382" s="1">
        <v>4.7742086662953704E-6</v>
      </c>
      <c r="L382" t="s">
        <v>848</v>
      </c>
      <c r="M382" t="str">
        <f>HYPERLINK("http://www.broadinstitute.org/gsea/msigdb/cards/GO_MATURATION_OF_SSU_RRNA.html")</f>
        <v>http://www.broadinstitute.org/gsea/msigdb/cards/GO_MATURATION_OF_SSU_RRNA.html</v>
      </c>
    </row>
    <row r="383" spans="1:13">
      <c r="A383">
        <v>5814</v>
      </c>
      <c r="B383" t="s">
        <v>1083</v>
      </c>
      <c r="C383">
        <v>6</v>
      </c>
      <c r="D383">
        <v>146</v>
      </c>
      <c r="E383">
        <v>52</v>
      </c>
      <c r="F383">
        <v>32441</v>
      </c>
      <c r="G383">
        <v>25.6383034773446</v>
      </c>
      <c r="H383" s="1">
        <v>2.43685358243919E-7</v>
      </c>
      <c r="I383" t="s">
        <v>1084</v>
      </c>
      <c r="J383" t="s">
        <v>1085</v>
      </c>
      <c r="K383" s="1">
        <v>1.50196485909299E-5</v>
      </c>
      <c r="L383" t="s">
        <v>848</v>
      </c>
      <c r="M383" t="str">
        <f>HYPERLINK("http://www.broadinstitute.org/gsea/msigdb/cards/GO_OXIDOREDUCTASE_ACTIVITY_ACTING_ON_NAD_P_H_QUINONE_OR_SIMILAR_COMPOUND_AS_ACCEPTOR.html")</f>
        <v>http://www.broadinstitute.org/gsea/msigdb/cards/GO_OXIDOREDUCTASE_ACTIVITY_ACTING_ON_NAD_P_H_QUINONE_OR_SIMILAR_COMPOUND_AS_ACCEPTOR.html</v>
      </c>
    </row>
    <row r="384" spans="1:13">
      <c r="A384">
        <v>4026</v>
      </c>
      <c r="B384" t="s">
        <v>1086</v>
      </c>
      <c r="C384">
        <v>4</v>
      </c>
      <c r="D384">
        <v>146</v>
      </c>
      <c r="E384">
        <v>11</v>
      </c>
      <c r="F384">
        <v>32441</v>
      </c>
      <c r="G384">
        <v>80.799501867995005</v>
      </c>
      <c r="H384" s="1">
        <v>5.0790174694792698E-7</v>
      </c>
      <c r="I384" t="s">
        <v>1087</v>
      </c>
      <c r="J384" t="s">
        <v>1088</v>
      </c>
      <c r="K384" s="1">
        <v>3.0982006563823597E-5</v>
      </c>
      <c r="L384" t="s">
        <v>848</v>
      </c>
      <c r="M384" t="str">
        <f>HYPERLINK("http://www.broadinstitute.org/gsea/msigdb/cards/GO_RRNA_CONTAINING_RIBONUCLEOPROTEIN_COMPLEX_EXPORT_FROM_NUCLEUS.html")</f>
        <v>http://www.broadinstitute.org/gsea/msigdb/cards/GO_RRNA_CONTAINING_RIBONUCLEOPROTEIN_COMPLEX_EXPORT_FROM_NUCLEUS.html</v>
      </c>
    </row>
    <row r="385" spans="1:13">
      <c r="A385">
        <v>4256</v>
      </c>
      <c r="B385" t="s">
        <v>1089</v>
      </c>
      <c r="C385">
        <v>7</v>
      </c>
      <c r="D385">
        <v>146</v>
      </c>
      <c r="E385">
        <v>107</v>
      </c>
      <c r="F385">
        <v>32441</v>
      </c>
      <c r="G385">
        <v>14.5363589809243</v>
      </c>
      <c r="H385" s="1">
        <v>8.6471351985971597E-7</v>
      </c>
      <c r="I385" t="s">
        <v>1090</v>
      </c>
      <c r="J385" t="s">
        <v>1091</v>
      </c>
      <c r="K385" s="1">
        <v>5.2209284663366698E-5</v>
      </c>
      <c r="L385" t="s">
        <v>848</v>
      </c>
      <c r="M385" t="str">
        <f>HYPERLINK("http://www.broadinstitute.org/gsea/msigdb/cards/GO_HYDROGEN_ION_TRANSMEMBRANE_TRANSPORT.html")</f>
        <v>http://www.broadinstitute.org/gsea/msigdb/cards/GO_HYDROGEN_ION_TRANSMEMBRANE_TRANSPORT.html</v>
      </c>
    </row>
    <row r="386" spans="1:13">
      <c r="A386">
        <v>4246</v>
      </c>
      <c r="B386" t="s">
        <v>1092</v>
      </c>
      <c r="C386">
        <v>4</v>
      </c>
      <c r="D386">
        <v>146</v>
      </c>
      <c r="E386">
        <v>16</v>
      </c>
      <c r="F386">
        <v>32441</v>
      </c>
      <c r="G386">
        <v>55.549657534246599</v>
      </c>
      <c r="H386" s="1">
        <v>1.77161260576985E-6</v>
      </c>
      <c r="I386" t="s">
        <v>790</v>
      </c>
      <c r="J386" t="s">
        <v>791</v>
      </c>
      <c r="K386">
        <v>1.05885169579194E-4</v>
      </c>
      <c r="L386" t="s">
        <v>848</v>
      </c>
      <c r="M386" t="str">
        <f>HYPERLINK("http://www.broadinstitute.org/gsea/msigdb/cards/GO_MITOCHONDRIAL_ELECTRON_TRANSPORT_CYTOCHROME_C_TO_OXYGEN.html")</f>
        <v>http://www.broadinstitute.org/gsea/msigdb/cards/GO_MITOCHONDRIAL_ELECTRON_TRANSPORT_CYTOCHROME_C_TO_OXYGEN.html</v>
      </c>
    </row>
    <row r="387" spans="1:13">
      <c r="A387">
        <v>4831</v>
      </c>
      <c r="B387" t="s">
        <v>1093</v>
      </c>
      <c r="C387">
        <v>5</v>
      </c>
      <c r="D387">
        <v>146</v>
      </c>
      <c r="E387">
        <v>43</v>
      </c>
      <c r="F387">
        <v>32441</v>
      </c>
      <c r="G387">
        <v>25.8370500159286</v>
      </c>
      <c r="H387" s="1">
        <v>2.4708322407089202E-6</v>
      </c>
      <c r="I387" t="s">
        <v>1094</v>
      </c>
      <c r="J387" t="s">
        <v>1095</v>
      </c>
      <c r="K387">
        <v>1.46199143682747E-4</v>
      </c>
      <c r="L387" t="s">
        <v>848</v>
      </c>
      <c r="M387" t="str">
        <f>HYPERLINK("http://www.broadinstitute.org/gsea/msigdb/cards/GO_POLYSOME.html")</f>
        <v>http://www.broadinstitute.org/gsea/msigdb/cards/GO_POLYSOME.html</v>
      </c>
    </row>
    <row r="388" spans="1:13">
      <c r="A388">
        <v>844</v>
      </c>
      <c r="B388" t="s">
        <v>1096</v>
      </c>
      <c r="C388">
        <v>16</v>
      </c>
      <c r="D388">
        <v>146</v>
      </c>
      <c r="E388">
        <v>885</v>
      </c>
      <c r="F388">
        <v>32441</v>
      </c>
      <c r="G388">
        <v>4.0171503753579403</v>
      </c>
      <c r="H388" s="1">
        <v>3.1154614952463098E-6</v>
      </c>
      <c r="I388" t="s">
        <v>1031</v>
      </c>
      <c r="J388" t="s">
        <v>1032</v>
      </c>
      <c r="K388">
        <v>1.8251668977596399E-4</v>
      </c>
      <c r="L388" t="s">
        <v>848</v>
      </c>
      <c r="M388" t="str">
        <f>HYPERLINK("http://www.broadinstitute.org/gsea/msigdb/cards/GO_ORGANOPHOSPHATE_METABOLIC_PROCESS.html")</f>
        <v>http://www.broadinstitute.org/gsea/msigdb/cards/GO_ORGANOPHOSPHATE_METABOLIC_PROCESS.html</v>
      </c>
    </row>
    <row r="389" spans="1:13">
      <c r="A389">
        <v>3453</v>
      </c>
      <c r="B389" t="s">
        <v>1097</v>
      </c>
      <c r="C389">
        <v>7</v>
      </c>
      <c r="D389">
        <v>146</v>
      </c>
      <c r="E389">
        <v>139</v>
      </c>
      <c r="F389">
        <v>32441</v>
      </c>
      <c r="G389">
        <v>11.189859071646801</v>
      </c>
      <c r="H389" s="1">
        <v>4.5227842290482703E-6</v>
      </c>
      <c r="I389" t="s">
        <v>1090</v>
      </c>
      <c r="J389" t="s">
        <v>1091</v>
      </c>
      <c r="K389">
        <v>2.62362412055256E-4</v>
      </c>
      <c r="L389" t="s">
        <v>848</v>
      </c>
      <c r="M389" t="str">
        <f>HYPERLINK("http://www.broadinstitute.org/gsea/msigdb/cards/GO_HYDROGEN_TRANSPORT.html")</f>
        <v>http://www.broadinstitute.org/gsea/msigdb/cards/GO_HYDROGEN_TRANSPORT.html</v>
      </c>
    </row>
    <row r="390" spans="1:13">
      <c r="A390">
        <v>5512</v>
      </c>
      <c r="B390" t="s">
        <v>1098</v>
      </c>
      <c r="C390">
        <v>6</v>
      </c>
      <c r="D390">
        <v>146</v>
      </c>
      <c r="E390">
        <v>89</v>
      </c>
      <c r="F390">
        <v>32441</v>
      </c>
      <c r="G390">
        <v>14.9796829305833</v>
      </c>
      <c r="H390" s="1">
        <v>4.5670658174229098E-6</v>
      </c>
      <c r="I390" t="s">
        <v>766</v>
      </c>
      <c r="J390" t="s">
        <v>767</v>
      </c>
      <c r="K390">
        <v>2.62362412055256E-4</v>
      </c>
      <c r="L390" t="s">
        <v>848</v>
      </c>
      <c r="M390" t="str">
        <f>HYPERLINK("http://www.broadinstitute.org/gsea/msigdb/cards/GO_TRANSLATION_FACTOR_ACTIVITY_RNA_BINDING.html")</f>
        <v>http://www.broadinstitute.org/gsea/msigdb/cards/GO_TRANSLATION_FACTOR_ACTIVITY_RNA_BINDING.html</v>
      </c>
    </row>
    <row r="391" spans="1:13">
      <c r="A391">
        <v>5117</v>
      </c>
      <c r="B391" t="s">
        <v>1099</v>
      </c>
      <c r="C391">
        <v>6</v>
      </c>
      <c r="D391">
        <v>146</v>
      </c>
      <c r="E391">
        <v>93</v>
      </c>
      <c r="F391">
        <v>32441</v>
      </c>
      <c r="G391">
        <v>14.3353954927088</v>
      </c>
      <c r="H391" s="1">
        <v>5.8023989893077899E-6</v>
      </c>
      <c r="I391" t="s">
        <v>1084</v>
      </c>
      <c r="J391" t="s">
        <v>1085</v>
      </c>
      <c r="K391">
        <v>3.30123027112829E-4</v>
      </c>
      <c r="L391" t="s">
        <v>848</v>
      </c>
      <c r="M391" t="str">
        <f>HYPERLINK("http://www.broadinstitute.org/gsea/msigdb/cards/GO_OXIDOREDUCTASE_ACTIVITY_ACTING_ON_NAD_P_H.html")</f>
        <v>http://www.broadinstitute.org/gsea/msigdb/cards/GO_OXIDOREDUCTASE_ACTIVITY_ACTING_ON_NAD_P_H.html</v>
      </c>
    </row>
    <row r="392" spans="1:13">
      <c r="A392">
        <v>5823</v>
      </c>
      <c r="B392" t="s">
        <v>1100</v>
      </c>
      <c r="C392">
        <v>14</v>
      </c>
      <c r="D392">
        <v>146</v>
      </c>
      <c r="E392">
        <v>719</v>
      </c>
      <c r="F392">
        <v>32441</v>
      </c>
      <c r="G392">
        <v>4.3265379998856899</v>
      </c>
      <c r="H392" s="1">
        <v>5.8819812894955202E-6</v>
      </c>
      <c r="I392" t="s">
        <v>1101</v>
      </c>
      <c r="J392" t="s">
        <v>1102</v>
      </c>
      <c r="K392">
        <v>3.31463650380428E-4</v>
      </c>
      <c r="L392" t="s">
        <v>848</v>
      </c>
      <c r="M392" t="str">
        <f>HYPERLINK("http://www.broadinstitute.org/gsea/msigdb/cards/GO_OXIDOREDUCTASE_ACTIVITY.html")</f>
        <v>http://www.broadinstitute.org/gsea/msigdb/cards/GO_OXIDOREDUCTASE_ACTIVITY.html</v>
      </c>
    </row>
    <row r="393" spans="1:13">
      <c r="A393">
        <v>5225</v>
      </c>
      <c r="B393" t="s">
        <v>1103</v>
      </c>
      <c r="C393">
        <v>7</v>
      </c>
      <c r="D393">
        <v>146</v>
      </c>
      <c r="E393">
        <v>155</v>
      </c>
      <c r="F393">
        <v>32441</v>
      </c>
      <c r="G393">
        <v>10.0347768448962</v>
      </c>
      <c r="H393" s="1">
        <v>8.9544191043131295E-6</v>
      </c>
      <c r="I393" t="s">
        <v>1104</v>
      </c>
      <c r="J393" t="s">
        <v>1105</v>
      </c>
      <c r="K393">
        <v>4.9984243245491304E-4</v>
      </c>
      <c r="L393" t="s">
        <v>848</v>
      </c>
      <c r="M393" t="str">
        <f>HYPERLINK("http://www.broadinstitute.org/gsea/msigdb/cards/GO_MRNA_BINDING.html")</f>
        <v>http://www.broadinstitute.org/gsea/msigdb/cards/GO_MRNA_BINDING.html</v>
      </c>
    </row>
    <row r="394" spans="1:13">
      <c r="A394">
        <v>5056</v>
      </c>
      <c r="B394" t="s">
        <v>1106</v>
      </c>
      <c r="C394">
        <v>4</v>
      </c>
      <c r="D394">
        <v>146</v>
      </c>
      <c r="E394">
        <v>26</v>
      </c>
      <c r="F394">
        <v>32441</v>
      </c>
      <c r="G394">
        <v>34.184404636459398</v>
      </c>
      <c r="H394" s="1">
        <v>9.6777540374713907E-6</v>
      </c>
      <c r="I394" t="s">
        <v>790</v>
      </c>
      <c r="J394" t="s">
        <v>791</v>
      </c>
      <c r="K394">
        <v>5.3517075364222595E-4</v>
      </c>
      <c r="L394" t="s">
        <v>848</v>
      </c>
      <c r="M394" t="str">
        <f>HYPERLINK("http://www.broadinstitute.org/gsea/msigdb/cards/GO_OXIDOREDUCTASE_ACTIVITY_ACTING_ON_A_HEME_GROUP_OF_DONORS.html")</f>
        <v>http://www.broadinstitute.org/gsea/msigdb/cards/GO_OXIDOREDUCTASE_ACTIVITY_ACTING_ON_A_HEME_GROUP_OF_DONORS.html</v>
      </c>
    </row>
    <row r="395" spans="1:13">
      <c r="A395">
        <v>4643</v>
      </c>
      <c r="B395" t="s">
        <v>1107</v>
      </c>
      <c r="C395">
        <v>5</v>
      </c>
      <c r="D395">
        <v>146</v>
      </c>
      <c r="E395">
        <v>61</v>
      </c>
      <c r="F395">
        <v>32441</v>
      </c>
      <c r="G395">
        <v>18.213002470244799</v>
      </c>
      <c r="H395" s="1">
        <v>1.2087150939849899E-5</v>
      </c>
      <c r="I395" t="s">
        <v>1108</v>
      </c>
      <c r="J395" t="s">
        <v>1109</v>
      </c>
      <c r="K395">
        <v>6.6221918621381197E-4</v>
      </c>
      <c r="L395" t="s">
        <v>848</v>
      </c>
      <c r="M395" t="str">
        <f>HYPERLINK("http://www.broadinstitute.org/gsea/msigdb/cards/GO_PRERIBOSOME.html")</f>
        <v>http://www.broadinstitute.org/gsea/msigdb/cards/GO_PRERIBOSOME.html</v>
      </c>
    </row>
    <row r="396" spans="1:13">
      <c r="A396">
        <v>4796</v>
      </c>
      <c r="B396" t="s">
        <v>1110</v>
      </c>
      <c r="C396">
        <v>16</v>
      </c>
      <c r="D396">
        <v>146</v>
      </c>
      <c r="E396">
        <v>1020</v>
      </c>
      <c r="F396">
        <v>32441</v>
      </c>
      <c r="G396">
        <v>3.4854687080311599</v>
      </c>
      <c r="H396" s="1">
        <v>1.7700718333740201E-5</v>
      </c>
      <c r="I396" t="s">
        <v>1111</v>
      </c>
      <c r="J396" t="s">
        <v>1112</v>
      </c>
      <c r="K396">
        <v>9.6087293927284905E-4</v>
      </c>
      <c r="L396" t="s">
        <v>848</v>
      </c>
      <c r="M396" t="str">
        <f>HYPERLINK("http://www.broadinstitute.org/gsea/msigdb/cards/GO_MEMBRANE_PROTEIN_COMPLEX.html")</f>
        <v>http://www.broadinstitute.org/gsea/msigdb/cards/GO_MEMBRANE_PROTEIN_COMPLEX.html</v>
      </c>
    </row>
    <row r="397" spans="1:13">
      <c r="A397">
        <v>1124</v>
      </c>
      <c r="B397" t="s">
        <v>1113</v>
      </c>
      <c r="C397">
        <v>16</v>
      </c>
      <c r="D397">
        <v>146</v>
      </c>
      <c r="E397">
        <v>1047</v>
      </c>
      <c r="F397">
        <v>32441</v>
      </c>
      <c r="G397">
        <v>3.3955855608326502</v>
      </c>
      <c r="H397" s="1">
        <v>2.4175002350746599E-5</v>
      </c>
      <c r="I397" t="s">
        <v>1031</v>
      </c>
      <c r="J397" t="s">
        <v>1032</v>
      </c>
      <c r="K397">
        <v>1.3003953537215199E-3</v>
      </c>
      <c r="L397" t="s">
        <v>848</v>
      </c>
      <c r="M397" t="str">
        <f>HYPERLINK("http://www.broadinstitute.org/gsea/msigdb/cards/GO_CARBOHYDRATE_DERIVATIVE_METABOLIC_PROCESS.html")</f>
        <v>http://www.broadinstitute.org/gsea/msigdb/cards/GO_CARBOHYDRATE_DERIVATIVE_METABOLIC_PROCESS.html</v>
      </c>
    </row>
    <row r="398" spans="1:13">
      <c r="A398">
        <v>582</v>
      </c>
      <c r="B398" t="s">
        <v>1114</v>
      </c>
      <c r="C398">
        <v>5</v>
      </c>
      <c r="D398">
        <v>146</v>
      </c>
      <c r="E398">
        <v>73</v>
      </c>
      <c r="F398">
        <v>32441</v>
      </c>
      <c r="G398">
        <v>15.219084255958</v>
      </c>
      <c r="H398" s="1">
        <v>2.7347554632478299E-5</v>
      </c>
      <c r="I398" t="s">
        <v>1115</v>
      </c>
      <c r="J398" t="s">
        <v>1116</v>
      </c>
      <c r="K398">
        <v>1.4577971239673299E-3</v>
      </c>
      <c r="L398" t="s">
        <v>848</v>
      </c>
      <c r="M398" t="str">
        <f>HYPERLINK("http://www.broadinstitute.org/gsea/msigdb/cards/GO_ERYTHROCYTE_HOMEOSTASIS.html")</f>
        <v>http://www.broadinstitute.org/gsea/msigdb/cards/GO_ERYTHROCYTE_HOMEOSTASIS.html</v>
      </c>
    </row>
    <row r="399" spans="1:13">
      <c r="A399">
        <v>12201</v>
      </c>
      <c r="B399" t="s">
        <v>1117</v>
      </c>
      <c r="C399">
        <v>9</v>
      </c>
      <c r="D399">
        <v>146</v>
      </c>
      <c r="E399">
        <v>346</v>
      </c>
      <c r="F399">
        <v>32441</v>
      </c>
      <c r="G399">
        <v>5.7797331538522396</v>
      </c>
      <c r="H399" s="1">
        <v>3.4077760073283798E-5</v>
      </c>
      <c r="I399" t="s">
        <v>1059</v>
      </c>
      <c r="J399" t="s">
        <v>1060</v>
      </c>
      <c r="K399">
        <v>1.80034023530018E-3</v>
      </c>
      <c r="L399" t="s">
        <v>848</v>
      </c>
      <c r="M399" t="str">
        <f>HYPERLINK("http://www.broadinstitute.org/gsea/msigdb/cards/GO_CELLULAR_PROTEIN_COMPLEX_ASSEMBLY.html")</f>
        <v>http://www.broadinstitute.org/gsea/msigdb/cards/GO_CELLULAR_PROTEIN_COMPLEX_ASSEMBLY.html</v>
      </c>
    </row>
    <row r="400" spans="1:13">
      <c r="A400">
        <v>3232</v>
      </c>
      <c r="B400" t="s">
        <v>1118</v>
      </c>
      <c r="C400">
        <v>5</v>
      </c>
      <c r="D400">
        <v>146</v>
      </c>
      <c r="E400">
        <v>82</v>
      </c>
      <c r="F400">
        <v>32441</v>
      </c>
      <c r="G400">
        <v>13.5486969595723</v>
      </c>
      <c r="H400" s="1">
        <v>4.6343317960844198E-5</v>
      </c>
      <c r="I400" t="s">
        <v>1119</v>
      </c>
      <c r="J400" t="s">
        <v>1120</v>
      </c>
      <c r="K400">
        <v>2.42666736614438E-3</v>
      </c>
      <c r="L400" t="s">
        <v>848</v>
      </c>
      <c r="M400" t="str">
        <f>HYPERLINK("http://www.broadinstitute.org/gsea/msigdb/cards/GO_REGULATION_OF_TRANSLATIONAL_INITIATION.html")</f>
        <v>http://www.broadinstitute.org/gsea/msigdb/cards/GO_REGULATION_OF_TRANSLATIONAL_INITIATION.html</v>
      </c>
    </row>
    <row r="401" spans="1:13">
      <c r="A401">
        <v>260</v>
      </c>
      <c r="B401" t="s">
        <v>1121</v>
      </c>
      <c r="C401">
        <v>5</v>
      </c>
      <c r="D401">
        <v>146</v>
      </c>
      <c r="E401">
        <v>88</v>
      </c>
      <c r="F401">
        <v>32441</v>
      </c>
      <c r="G401">
        <v>12.6249221668742</v>
      </c>
      <c r="H401" s="1">
        <v>6.3795216133921505E-5</v>
      </c>
      <c r="I401" t="s">
        <v>1115</v>
      </c>
      <c r="J401" t="s">
        <v>1116</v>
      </c>
      <c r="K401">
        <v>3.3111955602141501E-3</v>
      </c>
      <c r="L401" t="s">
        <v>848</v>
      </c>
      <c r="M401" t="str">
        <f>HYPERLINK("http://www.broadinstitute.org/gsea/msigdb/cards/GO_MYELOID_CELL_HOMEOSTASIS.html")</f>
        <v>http://www.broadinstitute.org/gsea/msigdb/cards/GO_MYELOID_CELL_HOMEOSTASIS.html</v>
      </c>
    </row>
    <row r="402" spans="1:13">
      <c r="A402">
        <v>4672</v>
      </c>
      <c r="B402" t="s">
        <v>1122</v>
      </c>
      <c r="C402">
        <v>6</v>
      </c>
      <c r="D402">
        <v>146</v>
      </c>
      <c r="E402">
        <v>148</v>
      </c>
      <c r="F402">
        <v>32441</v>
      </c>
      <c r="G402">
        <v>9.0080525731210699</v>
      </c>
      <c r="H402" s="1">
        <v>7.1055337508064794E-5</v>
      </c>
      <c r="I402" t="s">
        <v>1123</v>
      </c>
      <c r="J402" t="s">
        <v>1124</v>
      </c>
      <c r="K402">
        <v>3.65595158291495E-3</v>
      </c>
      <c r="L402" t="s">
        <v>848</v>
      </c>
      <c r="M402" t="str">
        <f>HYPERLINK("http://www.broadinstitute.org/gsea/msigdb/cards/GO_RIBONUCLEOPROTEIN_GRANULE.html")</f>
        <v>http://www.broadinstitute.org/gsea/msigdb/cards/GO_RIBONUCLEOPROTEIN_GRANULE.html</v>
      </c>
    </row>
    <row r="403" spans="1:13">
      <c r="A403">
        <v>4595</v>
      </c>
      <c r="B403" t="s">
        <v>1125</v>
      </c>
      <c r="C403">
        <v>3</v>
      </c>
      <c r="D403">
        <v>146</v>
      </c>
      <c r="E403">
        <v>16</v>
      </c>
      <c r="F403">
        <v>32441</v>
      </c>
      <c r="G403">
        <v>41.662243150684901</v>
      </c>
      <c r="H403" s="1">
        <v>8.0991311069831593E-5</v>
      </c>
      <c r="I403" t="s">
        <v>833</v>
      </c>
      <c r="J403" t="s">
        <v>834</v>
      </c>
      <c r="K403">
        <v>4.09594519316405E-3</v>
      </c>
      <c r="L403" t="s">
        <v>848</v>
      </c>
      <c r="M403" t="str">
        <f>HYPERLINK("http://www.broadinstitute.org/gsea/msigdb/cards/GO_EUKARYOTIC_TRANSLATION_INITIATION_FACTOR_3_COMPLEX.html")</f>
        <v>http://www.broadinstitute.org/gsea/msigdb/cards/GO_EUKARYOTIC_TRANSLATION_INITIATION_FACTOR_3_COMPLEX.html</v>
      </c>
    </row>
    <row r="404" spans="1:13">
      <c r="A404">
        <v>4952</v>
      </c>
      <c r="B404" t="s">
        <v>1126</v>
      </c>
      <c r="C404">
        <v>3</v>
      </c>
      <c r="D404">
        <v>146</v>
      </c>
      <c r="E404">
        <v>16</v>
      </c>
      <c r="F404">
        <v>32441</v>
      </c>
      <c r="G404">
        <v>41.662243150684901</v>
      </c>
      <c r="H404" s="1">
        <v>8.0991311069831593E-5</v>
      </c>
      <c r="I404" t="s">
        <v>833</v>
      </c>
      <c r="J404" t="s">
        <v>834</v>
      </c>
      <c r="K404">
        <v>4.09594519316405E-3</v>
      </c>
      <c r="L404" t="s">
        <v>848</v>
      </c>
      <c r="M404" t="str">
        <f>HYPERLINK("http://www.broadinstitute.org/gsea/msigdb/cards/GO_TRANSLATION_PREINITIATION_COMPLEX.html")</f>
        <v>http://www.broadinstitute.org/gsea/msigdb/cards/GO_TRANSLATION_PREINITIATION_COMPLEX.html</v>
      </c>
    </row>
    <row r="405" spans="1:13">
      <c r="A405">
        <v>5289</v>
      </c>
      <c r="B405" t="s">
        <v>1127</v>
      </c>
      <c r="C405">
        <v>3</v>
      </c>
      <c r="D405">
        <v>146</v>
      </c>
      <c r="E405">
        <v>20</v>
      </c>
      <c r="F405">
        <v>32441</v>
      </c>
      <c r="G405">
        <v>33.3297945205479</v>
      </c>
      <c r="H405">
        <v>1.4609174274547899E-4</v>
      </c>
      <c r="I405" t="s">
        <v>1128</v>
      </c>
      <c r="J405" t="s">
        <v>1129</v>
      </c>
      <c r="K405">
        <v>7.3256342527542196E-3</v>
      </c>
      <c r="L405" t="s">
        <v>848</v>
      </c>
      <c r="M405" t="str">
        <f>HYPERLINK("http://www.broadinstitute.org/gsea/msigdb/cards/GO_TRANSLATION_ELONGATION_FACTOR_ACTIVITY.html")</f>
        <v>http://www.broadinstitute.org/gsea/msigdb/cards/GO_TRANSLATION_ELONGATION_FACTOR_ACTIVITY.html</v>
      </c>
    </row>
    <row r="406" spans="1:13">
      <c r="A406">
        <v>3848</v>
      </c>
      <c r="B406" t="s">
        <v>1130</v>
      </c>
      <c r="C406">
        <v>16</v>
      </c>
      <c r="D406">
        <v>146</v>
      </c>
      <c r="E406">
        <v>1228</v>
      </c>
      <c r="F406">
        <v>32441</v>
      </c>
      <c r="G406">
        <v>2.8950961581366301</v>
      </c>
      <c r="H406">
        <v>1.52530214242895E-4</v>
      </c>
      <c r="I406" t="s">
        <v>1024</v>
      </c>
      <c r="J406" t="s">
        <v>1025</v>
      </c>
      <c r="K406">
        <v>7.5842124174387397E-3</v>
      </c>
      <c r="L406" t="s">
        <v>848</v>
      </c>
      <c r="M406" t="str">
        <f>HYPERLINK("http://www.broadinstitute.org/gsea/msigdb/cards/GO_PHOSPHORYLATION.html")</f>
        <v>http://www.broadinstitute.org/gsea/msigdb/cards/GO_PHOSPHORYLATION.html</v>
      </c>
    </row>
    <row r="407" spans="1:13">
      <c r="A407">
        <v>4449</v>
      </c>
      <c r="B407" t="s">
        <v>1131</v>
      </c>
      <c r="C407">
        <v>3</v>
      </c>
      <c r="D407">
        <v>146</v>
      </c>
      <c r="E407">
        <v>21</v>
      </c>
      <c r="F407">
        <v>32441</v>
      </c>
      <c r="G407">
        <v>31.7426614481409</v>
      </c>
      <c r="H407">
        <v>1.6641460728993E-4</v>
      </c>
      <c r="I407" t="s">
        <v>1132</v>
      </c>
      <c r="J407" t="s">
        <v>1133</v>
      </c>
      <c r="K407">
        <v>8.1378118292108701E-3</v>
      </c>
      <c r="L407" t="s">
        <v>848</v>
      </c>
      <c r="M407" t="str">
        <f>HYPERLINK("http://www.broadinstitute.org/gsea/msigdb/cards/GO_CYTOCHROME_COMPLEX.html")</f>
        <v>http://www.broadinstitute.org/gsea/msigdb/cards/GO_CYTOCHROME_COMPLEX.html</v>
      </c>
    </row>
    <row r="408" spans="1:13">
      <c r="A408">
        <v>4827</v>
      </c>
      <c r="B408" t="s">
        <v>1134</v>
      </c>
      <c r="C408">
        <v>3</v>
      </c>
      <c r="D408">
        <v>146</v>
      </c>
      <c r="E408">
        <v>21</v>
      </c>
      <c r="F408">
        <v>32441</v>
      </c>
      <c r="G408">
        <v>31.7426614481409</v>
      </c>
      <c r="H408">
        <v>1.6641460728993E-4</v>
      </c>
      <c r="I408" t="s">
        <v>1135</v>
      </c>
      <c r="J408" t="s">
        <v>1136</v>
      </c>
      <c r="K408">
        <v>8.1378118292108701E-3</v>
      </c>
      <c r="L408" t="s">
        <v>848</v>
      </c>
      <c r="M408" t="str">
        <f>HYPERLINK("http://www.broadinstitute.org/gsea/msigdb/cards/GO_PRERIBOSOME_LARGE_SUBUNIT_PRECURSOR.html")</f>
        <v>http://www.broadinstitute.org/gsea/msigdb/cards/GO_PRERIBOSOME_LARGE_SUBUNIT_PRECURSOR.html</v>
      </c>
    </row>
    <row r="409" spans="1:13">
      <c r="A409">
        <v>1702</v>
      </c>
      <c r="B409" t="s">
        <v>1137</v>
      </c>
      <c r="C409">
        <v>3</v>
      </c>
      <c r="D409">
        <v>146</v>
      </c>
      <c r="E409">
        <v>22</v>
      </c>
      <c r="F409">
        <v>32441</v>
      </c>
      <c r="G409">
        <v>30.2998132004981</v>
      </c>
      <c r="H409">
        <v>1.8848764395556399E-4</v>
      </c>
      <c r="I409" t="s">
        <v>833</v>
      </c>
      <c r="J409" t="s">
        <v>834</v>
      </c>
      <c r="K409">
        <v>9.0785091866651593E-3</v>
      </c>
      <c r="L409" t="s">
        <v>848</v>
      </c>
      <c r="M409" t="str">
        <f>HYPERLINK("http://www.broadinstitute.org/gsea/msigdb/cards/GO_FORMATION_OF_TRANSLATION_PREINITIATION_COMPLEX.html")</f>
        <v>http://www.broadinstitute.org/gsea/msigdb/cards/GO_FORMATION_OF_TRANSLATION_PREINITIATION_COMPLEX.html</v>
      </c>
    </row>
    <row r="410" spans="1:13">
      <c r="A410">
        <v>5456</v>
      </c>
      <c r="B410" t="s">
        <v>1138</v>
      </c>
      <c r="C410">
        <v>5</v>
      </c>
      <c r="D410">
        <v>146</v>
      </c>
      <c r="E410">
        <v>112</v>
      </c>
      <c r="F410">
        <v>32441</v>
      </c>
      <c r="G410">
        <v>9.9195817025440292</v>
      </c>
      <c r="H410">
        <v>1.8872006590498801E-4</v>
      </c>
      <c r="I410" t="s">
        <v>781</v>
      </c>
      <c r="J410" t="s">
        <v>782</v>
      </c>
      <c r="K410">
        <v>9.0785091866651593E-3</v>
      </c>
      <c r="L410" t="s">
        <v>848</v>
      </c>
      <c r="M410" t="str">
        <f>HYPERLINK("http://www.broadinstitute.org/gsea/msigdb/cards/GO_ELECTRON_CARRIER_ACTIVITY.html")</f>
        <v>http://www.broadinstitute.org/gsea/msigdb/cards/GO_ELECTRON_CARRIER_ACTIVITY.html</v>
      </c>
    </row>
    <row r="411" spans="1:13">
      <c r="A411">
        <v>3364</v>
      </c>
      <c r="B411" t="s">
        <v>1139</v>
      </c>
      <c r="C411">
        <v>18</v>
      </c>
      <c r="D411">
        <v>146</v>
      </c>
      <c r="E411">
        <v>1527</v>
      </c>
      <c r="F411">
        <v>32441</v>
      </c>
      <c r="G411">
        <v>2.6192372904163399</v>
      </c>
      <c r="H411">
        <v>1.9847996313921101E-4</v>
      </c>
      <c r="I411" t="s">
        <v>1140</v>
      </c>
      <c r="J411" t="s">
        <v>1141</v>
      </c>
      <c r="K411">
        <v>9.4710156604412392E-3</v>
      </c>
      <c r="L411" t="s">
        <v>848</v>
      </c>
      <c r="M411" t="str">
        <f>HYPERLINK("http://www.broadinstitute.org/gsea/msigdb/cards/GO_PROTEIN_COMPLEX_SUBUNIT_ORGANIZATION.html")</f>
        <v>http://www.broadinstitute.org/gsea/msigdb/cards/GO_PROTEIN_COMPLEX_SUBUNIT_ORGANIZATION.html</v>
      </c>
    </row>
    <row r="412" spans="1:13">
      <c r="A412">
        <v>1725</v>
      </c>
      <c r="B412" t="s">
        <v>1142</v>
      </c>
      <c r="C412">
        <v>5</v>
      </c>
      <c r="D412">
        <v>146</v>
      </c>
      <c r="E412">
        <v>118</v>
      </c>
      <c r="F412">
        <v>32441</v>
      </c>
      <c r="G412">
        <v>9.4151961922451797</v>
      </c>
      <c r="H412">
        <v>2.3820248752933301E-4</v>
      </c>
      <c r="I412" t="s">
        <v>1143</v>
      </c>
      <c r="J412" t="s">
        <v>1144</v>
      </c>
      <c r="K412">
        <v>1.1275552949688499E-2</v>
      </c>
      <c r="L412" t="s">
        <v>848</v>
      </c>
      <c r="M412" t="str">
        <f>HYPERLINK("http://www.broadinstitute.org/gsea/msigdb/cards/GO_RIBONUCLEOPROTEIN_COMPLEX_LOCALIZATION.html")</f>
        <v>http://www.broadinstitute.org/gsea/msigdb/cards/GO_RIBONUCLEOPROTEIN_COMPLEX_LOCALIZATION.html</v>
      </c>
    </row>
    <row r="413" spans="1:13">
      <c r="A413">
        <v>2491</v>
      </c>
      <c r="B413" t="s">
        <v>1145</v>
      </c>
      <c r="C413">
        <v>4</v>
      </c>
      <c r="D413">
        <v>146</v>
      </c>
      <c r="E413">
        <v>68</v>
      </c>
      <c r="F413">
        <v>32441</v>
      </c>
      <c r="G413">
        <v>13.070507655116799</v>
      </c>
      <c r="H413">
        <v>3.1400149912571797E-4</v>
      </c>
      <c r="I413" t="s">
        <v>1146</v>
      </c>
      <c r="J413" t="s">
        <v>1147</v>
      </c>
      <c r="K413">
        <v>1.47456100819593E-2</v>
      </c>
      <c r="L413" t="s">
        <v>848</v>
      </c>
      <c r="M413" t="str">
        <f>HYPERLINK("http://www.broadinstitute.org/gsea/msigdb/cards/GO_MULTI_ORGANISM_LOCALIZATION.html")</f>
        <v>http://www.broadinstitute.org/gsea/msigdb/cards/GO_MULTI_ORGANISM_LOCALIZATION.html</v>
      </c>
    </row>
    <row r="414" spans="1:13">
      <c r="A414">
        <v>511</v>
      </c>
      <c r="B414" t="s">
        <v>1148</v>
      </c>
      <c r="C414">
        <v>3</v>
      </c>
      <c r="D414">
        <v>146</v>
      </c>
      <c r="E414">
        <v>28</v>
      </c>
      <c r="F414">
        <v>32441</v>
      </c>
      <c r="G414">
        <v>23.806996086105698</v>
      </c>
      <c r="H414">
        <v>3.6118977516886902E-4</v>
      </c>
      <c r="I414" t="s">
        <v>1149</v>
      </c>
      <c r="J414" t="s">
        <v>1150</v>
      </c>
      <c r="K414">
        <v>1.6828030706096099E-2</v>
      </c>
      <c r="L414" t="s">
        <v>848</v>
      </c>
      <c r="M414" t="str">
        <f>HYPERLINK("http://www.broadinstitute.org/gsea/msigdb/cards/GO_NUCLEOTIDE_BINDING_DOMAIN_LEUCINE_RICH_REPEAT_CONTAINING_RECEPTOR_SIGNALING_PATHWAY.html")</f>
        <v>http://www.broadinstitute.org/gsea/msigdb/cards/GO_NUCLEOTIDE_BINDING_DOMAIN_LEUCINE_RICH_REPEAT_CONTAINING_RECEPTOR_SIGNALING_PATHWAY.html</v>
      </c>
    </row>
    <row r="415" spans="1:13">
      <c r="A415">
        <v>1009</v>
      </c>
      <c r="B415" t="s">
        <v>1151</v>
      </c>
      <c r="C415">
        <v>5</v>
      </c>
      <c r="D415">
        <v>146</v>
      </c>
      <c r="E415">
        <v>131</v>
      </c>
      <c r="F415">
        <v>32441</v>
      </c>
      <c r="G415">
        <v>8.4808637456865004</v>
      </c>
      <c r="H415">
        <v>3.7877652033294898E-4</v>
      </c>
      <c r="I415" t="s">
        <v>1152</v>
      </c>
      <c r="J415" t="s">
        <v>1153</v>
      </c>
      <c r="K415">
        <v>1.7509536490703598E-2</v>
      </c>
      <c r="L415" t="s">
        <v>848</v>
      </c>
      <c r="M415" t="str">
        <f>HYPERLINK("http://www.broadinstitute.org/gsea/msigdb/cards/GO_NEGATIVE_REGULATION_OF_CELLULAR_AMIDE_METABOLIC_PROCESS.html")</f>
        <v>http://www.broadinstitute.org/gsea/msigdb/cards/GO_NEGATIVE_REGULATION_OF_CELLULAR_AMIDE_METABOLIC_PROCESS.html</v>
      </c>
    </row>
    <row r="416" spans="1:13">
      <c r="A416">
        <v>745</v>
      </c>
      <c r="B416" t="s">
        <v>1154</v>
      </c>
      <c r="C416">
        <v>19</v>
      </c>
      <c r="D416">
        <v>146</v>
      </c>
      <c r="E416">
        <v>1767</v>
      </c>
      <c r="F416">
        <v>32441</v>
      </c>
      <c r="G416">
        <v>2.3892325821181299</v>
      </c>
      <c r="H416">
        <v>4.0955572187262399E-4</v>
      </c>
      <c r="I416" t="s">
        <v>1155</v>
      </c>
      <c r="J416" t="s">
        <v>1156</v>
      </c>
      <c r="K416">
        <v>1.8785590746669099E-2</v>
      </c>
      <c r="L416" t="s">
        <v>848</v>
      </c>
      <c r="M416" t="str">
        <f>HYPERLINK("http://www.broadinstitute.org/gsea/msigdb/cards/GO_SMALL_MOLECULE_METABOLIC_PROCESS.html")</f>
        <v>http://www.broadinstitute.org/gsea/msigdb/cards/GO_SMALL_MOLECULE_METABOLIC_PROCESS.html</v>
      </c>
    </row>
    <row r="417" spans="1:13">
      <c r="A417">
        <v>2036</v>
      </c>
      <c r="B417" t="s">
        <v>1157</v>
      </c>
      <c r="C417">
        <v>3</v>
      </c>
      <c r="D417">
        <v>146</v>
      </c>
      <c r="E417">
        <v>32</v>
      </c>
      <c r="F417">
        <v>32441</v>
      </c>
      <c r="G417">
        <v>20.8311215753425</v>
      </c>
      <c r="H417">
        <v>5.1906485329553998E-4</v>
      </c>
      <c r="I417" t="s">
        <v>1149</v>
      </c>
      <c r="J417" t="s">
        <v>1150</v>
      </c>
      <c r="K417">
        <v>2.3625436438074701E-2</v>
      </c>
      <c r="L417" t="s">
        <v>848</v>
      </c>
      <c r="M417" t="str">
        <f>HYPERLINK("http://www.broadinstitute.org/gsea/msigdb/cards/GO_GLOBAL_GENOME_NUCLEOTIDE_EXCISION_REPAIR.html")</f>
        <v>http://www.broadinstitute.org/gsea/msigdb/cards/GO_GLOBAL_GENOME_NUCLEOTIDE_EXCISION_REPAIR.html</v>
      </c>
    </row>
    <row r="418" spans="1:13">
      <c r="A418">
        <v>3202</v>
      </c>
      <c r="B418" t="s">
        <v>1158</v>
      </c>
      <c r="C418">
        <v>3</v>
      </c>
      <c r="D418">
        <v>146</v>
      </c>
      <c r="E418">
        <v>33</v>
      </c>
      <c r="F418">
        <v>32441</v>
      </c>
      <c r="G418">
        <v>20.199875466998801</v>
      </c>
      <c r="H418">
        <v>5.6440059225582495E-4</v>
      </c>
      <c r="I418" t="s">
        <v>1149</v>
      </c>
      <c r="J418" t="s">
        <v>1150</v>
      </c>
      <c r="K418">
        <v>2.54928114837994E-2</v>
      </c>
      <c r="L418" t="s">
        <v>848</v>
      </c>
      <c r="M418" t="str">
        <f>HYPERLINK("http://www.broadinstitute.org/gsea/msigdb/cards/GO_CYTOPLASMIC_PATTERN_RECOGNITION_RECEPTOR_SIGNALING_PATHWAY.html")</f>
        <v>http://www.broadinstitute.org/gsea/msigdb/cards/GO_CYTOPLASMIC_PATTERN_RECOGNITION_RECEPTOR_SIGNALING_PATHWAY.html</v>
      </c>
    </row>
    <row r="419" spans="1:13">
      <c r="A419">
        <v>3968</v>
      </c>
      <c r="B419" t="s">
        <v>1159</v>
      </c>
      <c r="C419">
        <v>5</v>
      </c>
      <c r="D419">
        <v>146</v>
      </c>
      <c r="E419">
        <v>145</v>
      </c>
      <c r="F419">
        <v>32441</v>
      </c>
      <c r="G419">
        <v>7.6620217288615997</v>
      </c>
      <c r="H419">
        <v>5.9220930992845303E-4</v>
      </c>
      <c r="I419" t="s">
        <v>1160</v>
      </c>
      <c r="J419" t="s">
        <v>1161</v>
      </c>
      <c r="K419">
        <v>2.65462309609595E-2</v>
      </c>
      <c r="L419" t="s">
        <v>848</v>
      </c>
      <c r="M419" t="str">
        <f>HYPERLINK("http://www.broadinstitute.org/gsea/msigdb/cards/GO_REGULATION_OF_INTRINSIC_APOPTOTIC_SIGNALING_PATHWAY.html")</f>
        <v>http://www.broadinstitute.org/gsea/msigdb/cards/GO_REGULATION_OF_INTRINSIC_APOPTOTIC_SIGNALING_PATHWAY.html</v>
      </c>
    </row>
    <row r="420" spans="1:13">
      <c r="A420">
        <v>2868</v>
      </c>
      <c r="B420" t="s">
        <v>1162</v>
      </c>
      <c r="C420">
        <v>3</v>
      </c>
      <c r="D420">
        <v>146</v>
      </c>
      <c r="E420">
        <v>34</v>
      </c>
      <c r="F420">
        <v>32441</v>
      </c>
      <c r="G420">
        <v>19.605761482675302</v>
      </c>
      <c r="H420">
        <v>6.1219225910268604E-4</v>
      </c>
      <c r="I420" t="s">
        <v>1163</v>
      </c>
      <c r="J420" t="s">
        <v>1164</v>
      </c>
      <c r="K420">
        <v>2.7235651106094699E-2</v>
      </c>
      <c r="L420" t="s">
        <v>848</v>
      </c>
      <c r="M420" t="str">
        <f>HYPERLINK("http://www.broadinstitute.org/gsea/msigdb/cards/GO_REGULATION_OF_INTRINSIC_APOPTOTIC_SIGNALING_PATHWAY_IN_RESPONSE_TO_DNA_DAMAGE.html")</f>
        <v>http://www.broadinstitute.org/gsea/msigdb/cards/GO_REGULATION_OF_INTRINSIC_APOPTOTIC_SIGNALING_PATHWAY_IN_RESPONSE_TO_DNA_DAMAGE.html</v>
      </c>
    </row>
    <row r="421" spans="1:13">
      <c r="A421">
        <v>3447</v>
      </c>
      <c r="B421" t="s">
        <v>1165</v>
      </c>
      <c r="C421">
        <v>5</v>
      </c>
      <c r="D421">
        <v>146</v>
      </c>
      <c r="E421">
        <v>147</v>
      </c>
      <c r="F421">
        <v>32441</v>
      </c>
      <c r="G421">
        <v>7.55777653527164</v>
      </c>
      <c r="H421">
        <v>6.28819223735851E-4</v>
      </c>
      <c r="I421" t="s">
        <v>1143</v>
      </c>
      <c r="J421" t="s">
        <v>1144</v>
      </c>
      <c r="K421">
        <v>2.77665921406345E-2</v>
      </c>
      <c r="L421" t="s">
        <v>848</v>
      </c>
      <c r="M421" t="str">
        <f>HYPERLINK("http://www.broadinstitute.org/gsea/msigdb/cards/GO_NUCLEAR_EXPORT.html")</f>
        <v>http://www.broadinstitute.org/gsea/msigdb/cards/GO_NUCLEAR_EXPORT.html</v>
      </c>
    </row>
    <row r="422" spans="1:13">
      <c r="A422">
        <v>3601</v>
      </c>
      <c r="B422" t="s">
        <v>1166</v>
      </c>
      <c r="C422">
        <v>3</v>
      </c>
      <c r="D422">
        <v>146</v>
      </c>
      <c r="E422">
        <v>36</v>
      </c>
      <c r="F422">
        <v>32441</v>
      </c>
      <c r="G422">
        <v>18.516552511415501</v>
      </c>
      <c r="H422">
        <v>7.1535479572289304E-4</v>
      </c>
      <c r="I422" t="s">
        <v>1167</v>
      </c>
      <c r="J422" t="s">
        <v>1168</v>
      </c>
      <c r="K422">
        <v>3.1353735750313798E-2</v>
      </c>
      <c r="L422" t="s">
        <v>848</v>
      </c>
      <c r="M422" t="str">
        <f>HYPERLINK("http://www.broadinstitute.org/gsea/msigdb/cards/GO_DNA_DAMAGE_RESPONSE_DETECTION_OF_DNA_DAMAGE.html")</f>
        <v>http://www.broadinstitute.org/gsea/msigdb/cards/GO_DNA_DAMAGE_RESPONSE_DETECTION_OF_DNA_DAMAGE.html</v>
      </c>
    </row>
    <row r="423" spans="1:13">
      <c r="A423">
        <v>2624</v>
      </c>
      <c r="B423" t="s">
        <v>1169</v>
      </c>
      <c r="C423">
        <v>3</v>
      </c>
      <c r="D423">
        <v>146</v>
      </c>
      <c r="E423">
        <v>37</v>
      </c>
      <c r="F423">
        <v>32441</v>
      </c>
      <c r="G423">
        <v>18.016105146242101</v>
      </c>
      <c r="H423">
        <v>7.7082926657726504E-4</v>
      </c>
      <c r="I423" t="s">
        <v>1170</v>
      </c>
      <c r="J423" t="s">
        <v>1171</v>
      </c>
      <c r="K423">
        <v>3.3536740958365299E-2</v>
      </c>
      <c r="L423" t="s">
        <v>848</v>
      </c>
      <c r="M423" t="str">
        <f>HYPERLINK("http://www.broadinstitute.org/gsea/msigdb/cards/GO_VIRION_ASSEMBLY.html")</f>
        <v>http://www.broadinstitute.org/gsea/msigdb/cards/GO_VIRION_ASSEMBLY.html</v>
      </c>
    </row>
    <row r="424" spans="1:13">
      <c r="A424">
        <v>1025</v>
      </c>
      <c r="B424" t="s">
        <v>1172</v>
      </c>
      <c r="C424">
        <v>4</v>
      </c>
      <c r="D424">
        <v>146</v>
      </c>
      <c r="E424">
        <v>92</v>
      </c>
      <c r="F424">
        <v>32441</v>
      </c>
      <c r="G424">
        <v>9.6608100059559305</v>
      </c>
      <c r="H424">
        <v>9.3316705139070998E-4</v>
      </c>
      <c r="I424" t="s">
        <v>1173</v>
      </c>
      <c r="J424" t="s">
        <v>1174</v>
      </c>
      <c r="K424">
        <v>4.0303280606414797E-2</v>
      </c>
      <c r="L424" t="s">
        <v>848</v>
      </c>
      <c r="M424" t="str">
        <f>HYPERLINK("http://www.broadinstitute.org/gsea/msigdb/cards/GO_TRANSLATIONAL_TERMINATION.html")</f>
        <v>http://www.broadinstitute.org/gsea/msigdb/cards/GO_TRANSLATIONAL_TERMINATION.html</v>
      </c>
    </row>
    <row r="425" spans="1:13">
      <c r="A425">
        <v>2086</v>
      </c>
      <c r="B425" t="s">
        <v>1175</v>
      </c>
      <c r="C425">
        <v>63</v>
      </c>
      <c r="D425">
        <v>146</v>
      </c>
      <c r="E425">
        <v>200</v>
      </c>
      <c r="F425">
        <v>32441</v>
      </c>
      <c r="G425">
        <v>69.992568493150699</v>
      </c>
      <c r="H425" s="1">
        <v>4.0091682593454702E-94</v>
      </c>
      <c r="I425" s="1" t="s">
        <v>1176</v>
      </c>
      <c r="J425" s="1" t="s">
        <v>1177</v>
      </c>
      <c r="K425" s="1">
        <v>1.9532667759531101E-90</v>
      </c>
      <c r="L425" t="s">
        <v>1178</v>
      </c>
      <c r="M425" t="str">
        <f>HYPERLINK("http://www.broadinstitute.org/gsea/msigdb/cards/GSE2405_0H_VS_24H_A_PHAGOCYTOPHILUM_STIM_NEUTROPHIL_UP.html")</f>
        <v>http://www.broadinstitute.org/gsea/msigdb/cards/GSE2405_0H_VS_24H_A_PHAGOCYTOPHILUM_STIM_NEUTROPHIL_UP.html</v>
      </c>
    </row>
    <row r="426" spans="1:13">
      <c r="A426">
        <v>2084</v>
      </c>
      <c r="B426" t="s">
        <v>1179</v>
      </c>
      <c r="C426">
        <v>60</v>
      </c>
      <c r="D426">
        <v>146</v>
      </c>
      <c r="E426">
        <v>200</v>
      </c>
      <c r="F426">
        <v>32441</v>
      </c>
      <c r="G426">
        <v>66.659589041095899</v>
      </c>
      <c r="H426" s="1">
        <v>2.92404978926501E-88</v>
      </c>
      <c r="I426" s="1" t="s">
        <v>1180</v>
      </c>
      <c r="J426" s="1" t="s">
        <v>1181</v>
      </c>
      <c r="K426" s="1">
        <v>7.1229852866495703E-85</v>
      </c>
      <c r="L426" t="s">
        <v>1178</v>
      </c>
      <c r="M426" t="str">
        <f>HYPERLINK("http://www.broadinstitute.org/gsea/msigdb/cards/GSE2405_0H_VS_9H_A_PHAGOCYTOPHILUM_STIM_NEUTROPHIL_DN.html")</f>
        <v>http://www.broadinstitute.org/gsea/msigdb/cards/GSE2405_0H_VS_9H_A_PHAGOCYTOPHILUM_STIM_NEUTROPHIL_DN.html</v>
      </c>
    </row>
    <row r="427" spans="1:13">
      <c r="A427">
        <v>4547</v>
      </c>
      <c r="B427" t="s">
        <v>1182</v>
      </c>
      <c r="C427">
        <v>46</v>
      </c>
      <c r="D427">
        <v>146</v>
      </c>
      <c r="E427">
        <v>200</v>
      </c>
      <c r="F427">
        <v>32441</v>
      </c>
      <c r="G427">
        <v>51.1056849315069</v>
      </c>
      <c r="H427" s="1">
        <v>3.4853361995212399E-62</v>
      </c>
      <c r="I427" t="s">
        <v>1183</v>
      </c>
      <c r="J427" t="s">
        <v>1184</v>
      </c>
      <c r="K427" s="1">
        <v>5.6601859880224896E-59</v>
      </c>
      <c r="L427" t="s">
        <v>1178</v>
      </c>
      <c r="M427" t="str">
        <f>HYPERLINK("http://www.broadinstitute.org/gsea/msigdb/cards/GSE41978_ID2_KO_VS_ID2_KO_AND_BIM_KO_KLRG1_LOW_EFFECTOR_CD8_TCELL_DN.html")</f>
        <v>http://www.broadinstitute.org/gsea/msigdb/cards/GSE41978_ID2_KO_VS_ID2_KO_AND_BIM_KO_KLRG1_LOW_EFFECTOR_CD8_TCELL_DN.html</v>
      </c>
    </row>
    <row r="428" spans="1:13">
      <c r="A428">
        <v>4779</v>
      </c>
      <c r="B428" t="s">
        <v>1185</v>
      </c>
      <c r="C428">
        <v>44</v>
      </c>
      <c r="D428">
        <v>146</v>
      </c>
      <c r="E428">
        <v>200</v>
      </c>
      <c r="F428">
        <v>32441</v>
      </c>
      <c r="G428">
        <v>48.883698630136998</v>
      </c>
      <c r="H428" s="1">
        <v>1.2165183816376001E-58</v>
      </c>
      <c r="I428" t="s">
        <v>1186</v>
      </c>
      <c r="J428" t="s">
        <v>1187</v>
      </c>
      <c r="K428" s="1">
        <v>1.4817193888346E-55</v>
      </c>
      <c r="L428" t="s">
        <v>1178</v>
      </c>
      <c r="M428" t="str">
        <f>HYPERLINK("http://www.broadinstitute.org/gsea/msigdb/cards/GSE42088_UNINF_VS_LEISHMANIA_INF_DC_2H_DN.html")</f>
        <v>http://www.broadinstitute.org/gsea/msigdb/cards/GSE42088_UNINF_VS_LEISHMANIA_INF_DC_2H_DN.html</v>
      </c>
    </row>
    <row r="429" spans="1:13">
      <c r="A429">
        <v>4543</v>
      </c>
      <c r="B429" t="s">
        <v>1188</v>
      </c>
      <c r="C429">
        <v>41</v>
      </c>
      <c r="D429">
        <v>146</v>
      </c>
      <c r="E429">
        <v>200</v>
      </c>
      <c r="F429">
        <v>32441</v>
      </c>
      <c r="G429">
        <v>45.550719178082197</v>
      </c>
      <c r="H429" s="1">
        <v>2.0299083366073799E-53</v>
      </c>
      <c r="I429" t="s">
        <v>1189</v>
      </c>
      <c r="J429" t="s">
        <v>1190</v>
      </c>
      <c r="K429" s="1">
        <v>1.9779426831902299E-50</v>
      </c>
      <c r="L429" t="s">
        <v>1178</v>
      </c>
      <c r="M429" t="str">
        <f>HYPERLINK("http://www.broadinstitute.org/gsea/msigdb/cards/GSE41978_KLRG1_HIGH_VS_LOW_EFFECTOR_CD8_TCELL_DN.html")</f>
        <v>http://www.broadinstitute.org/gsea/msigdb/cards/GSE41978_KLRG1_HIGH_VS_LOW_EFFECTOR_CD8_TCELL_DN.html</v>
      </c>
    </row>
    <row r="430" spans="1:13">
      <c r="A430">
        <v>4781</v>
      </c>
      <c r="B430" t="s">
        <v>1191</v>
      </c>
      <c r="C430">
        <v>38</v>
      </c>
      <c r="D430">
        <v>146</v>
      </c>
      <c r="E430">
        <v>200</v>
      </c>
      <c r="F430">
        <v>32441</v>
      </c>
      <c r="G430">
        <v>42.217739726027403</v>
      </c>
      <c r="H430" s="1">
        <v>2.59970355731836E-48</v>
      </c>
      <c r="I430" t="s">
        <v>1192</v>
      </c>
      <c r="J430" t="s">
        <v>1193</v>
      </c>
      <c r="K430" s="1">
        <v>2.11095928854251E-45</v>
      </c>
      <c r="L430" t="s">
        <v>1178</v>
      </c>
      <c r="M430" t="str">
        <f>HYPERLINK("http://www.broadinstitute.org/gsea/msigdb/cards/GSE42088_UNINF_VS_LEISHMANIA_INF_DC_4H_DN.html")</f>
        <v>http://www.broadinstitute.org/gsea/msigdb/cards/GSE42088_UNINF_VS_LEISHMANIA_INF_DC_4H_DN.html</v>
      </c>
    </row>
    <row r="431" spans="1:13">
      <c r="A431">
        <v>979</v>
      </c>
      <c r="B431" t="s">
        <v>1194</v>
      </c>
      <c r="C431">
        <v>37</v>
      </c>
      <c r="D431">
        <v>146</v>
      </c>
      <c r="E431">
        <v>200</v>
      </c>
      <c r="F431">
        <v>32441</v>
      </c>
      <c r="G431">
        <v>41.106746575342498</v>
      </c>
      <c r="H431" s="1">
        <v>1.23267834398595E-46</v>
      </c>
      <c r="I431" t="s">
        <v>1195</v>
      </c>
      <c r="J431" t="s">
        <v>1196</v>
      </c>
      <c r="K431" s="1">
        <v>8.5794412741422398E-44</v>
      </c>
      <c r="L431" t="s">
        <v>1178</v>
      </c>
      <c r="M431" t="str">
        <f>HYPERLINK("http://www.broadinstitute.org/gsea/msigdb/cards/GSE22886_NAIVE_BCELL_VS_NEUTROPHIL_UP.html")</f>
        <v>http://www.broadinstitute.org/gsea/msigdb/cards/GSE22886_NAIVE_BCELL_VS_NEUTROPHIL_UP.html</v>
      </c>
    </row>
    <row r="432" spans="1:13">
      <c r="A432">
        <v>975</v>
      </c>
      <c r="B432" t="s">
        <v>1197</v>
      </c>
      <c r="C432">
        <v>36</v>
      </c>
      <c r="D432">
        <v>146</v>
      </c>
      <c r="E432">
        <v>200</v>
      </c>
      <c r="F432">
        <v>32441</v>
      </c>
      <c r="G432">
        <v>39.995753424657501</v>
      </c>
      <c r="H432" s="1">
        <v>5.6634948850492495E-45</v>
      </c>
      <c r="I432" t="s">
        <v>1198</v>
      </c>
      <c r="J432" t="s">
        <v>1199</v>
      </c>
      <c r="K432" s="1">
        <v>3.4490683849950002E-42</v>
      </c>
      <c r="L432" t="s">
        <v>1178</v>
      </c>
      <c r="M432" t="str">
        <f>HYPERLINK("http://www.broadinstitute.org/gsea/msigdb/cards/GSE22886_NAIVE_TCELL_VS_DC_UP.html")</f>
        <v>http://www.broadinstitute.org/gsea/msigdb/cards/GSE22886_NAIVE_TCELL_VS_DC_UP.html</v>
      </c>
    </row>
    <row r="433" spans="1:13">
      <c r="A433">
        <v>224</v>
      </c>
      <c r="B433" t="s">
        <v>1200</v>
      </c>
      <c r="C433">
        <v>35</v>
      </c>
      <c r="D433">
        <v>146</v>
      </c>
      <c r="E433">
        <v>200</v>
      </c>
      <c r="F433">
        <v>32441</v>
      </c>
      <c r="G433">
        <v>38.884760273972603</v>
      </c>
      <c r="H433" s="1">
        <v>2.5197391904758399E-43</v>
      </c>
      <c r="I433" t="s">
        <v>1201</v>
      </c>
      <c r="J433" t="s">
        <v>1202</v>
      </c>
      <c r="K433" s="1">
        <v>1.36401881511092E-40</v>
      </c>
      <c r="L433" t="s">
        <v>1178</v>
      </c>
      <c r="M433" t="str">
        <f>HYPERLINK("http://www.broadinstitute.org/gsea/msigdb/cards/GSE14000_TRANSLATED_RNA_VS_MRNA_DC_DN.html")</f>
        <v>http://www.broadinstitute.org/gsea/msigdb/cards/GSE14000_TRANSLATED_RNA_VS_MRNA_DC_DN.html</v>
      </c>
    </row>
    <row r="434" spans="1:13">
      <c r="A434">
        <v>2177</v>
      </c>
      <c r="B434" t="s">
        <v>1203</v>
      </c>
      <c r="C434">
        <v>31</v>
      </c>
      <c r="D434">
        <v>146</v>
      </c>
      <c r="E434">
        <v>164</v>
      </c>
      <c r="F434">
        <v>32441</v>
      </c>
      <c r="G434">
        <v>42.000960574674203</v>
      </c>
      <c r="H434" s="1">
        <v>2.7721332489198202E-39</v>
      </c>
      <c r="I434" t="s">
        <v>1204</v>
      </c>
      <c r="J434" t="s">
        <v>1205</v>
      </c>
      <c r="K434" s="1">
        <v>1.3505833188737399E-36</v>
      </c>
      <c r="L434" t="s">
        <v>1178</v>
      </c>
      <c r="M434" t="str">
        <f>HYPERLINK("http://www.broadinstitute.org/gsea/msigdb/cards/GSE3720_UNSTIM_VS_LPS_STIM_VD2_GAMMADELTA_TCELL_UP.html")</f>
        <v>http://www.broadinstitute.org/gsea/msigdb/cards/GSE3720_UNSTIM_VS_LPS_STIM_VD2_GAMMADELTA_TCELL_UP.html</v>
      </c>
    </row>
    <row r="435" spans="1:13">
      <c r="A435">
        <v>2179</v>
      </c>
      <c r="B435" t="s">
        <v>1206</v>
      </c>
      <c r="C435">
        <v>31</v>
      </c>
      <c r="D435">
        <v>146</v>
      </c>
      <c r="E435">
        <v>173</v>
      </c>
      <c r="F435">
        <v>32441</v>
      </c>
      <c r="G435">
        <v>39.815939504315502</v>
      </c>
      <c r="H435" s="1">
        <v>1.2239854226318799E-38</v>
      </c>
      <c r="I435" t="s">
        <v>1207</v>
      </c>
      <c r="J435" t="s">
        <v>1208</v>
      </c>
      <c r="K435" s="1">
        <v>5.4211427082386601E-36</v>
      </c>
      <c r="L435" t="s">
        <v>1178</v>
      </c>
      <c r="M435" t="str">
        <f>HYPERLINK("http://www.broadinstitute.org/gsea/msigdb/cards/GSE3720_UNSTIM_VS_PMA_STIM_VD2_GAMMADELTA_TCELL_UP.html")</f>
        <v>http://www.broadinstitute.org/gsea/msigdb/cards/GSE3720_UNSTIM_VS_PMA_STIM_VD2_GAMMADELTA_TCELL_UP.html</v>
      </c>
    </row>
    <row r="436" spans="1:13">
      <c r="A436">
        <v>1403</v>
      </c>
      <c r="B436" t="s">
        <v>1209</v>
      </c>
      <c r="C436">
        <v>32</v>
      </c>
      <c r="D436">
        <v>146</v>
      </c>
      <c r="E436">
        <v>200</v>
      </c>
      <c r="F436">
        <v>32441</v>
      </c>
      <c r="G436">
        <v>35.551780821917802</v>
      </c>
      <c r="H436" s="1">
        <v>1.8170966344294E-38</v>
      </c>
      <c r="I436" t="s">
        <v>1210</v>
      </c>
      <c r="J436" t="s">
        <v>1211</v>
      </c>
      <c r="K436" s="1">
        <v>7.3774123357833603E-36</v>
      </c>
      <c r="L436" t="s">
        <v>1178</v>
      </c>
      <c r="M436" t="str">
        <f>HYPERLINK("http://www.broadinstitute.org/gsea/msigdb/cards/GSE34205_HEALTHY_VS_FLU_INF_INFANT_PBMC_UP.html")</f>
        <v>http://www.broadinstitute.org/gsea/msigdb/cards/GSE34205_HEALTHY_VS_FLU_INF_INFANT_PBMC_UP.html</v>
      </c>
    </row>
    <row r="437" spans="1:13">
      <c r="A437">
        <v>32171</v>
      </c>
      <c r="B437" t="s">
        <v>1212</v>
      </c>
      <c r="C437">
        <v>30</v>
      </c>
      <c r="D437">
        <v>146</v>
      </c>
      <c r="E437">
        <v>200</v>
      </c>
      <c r="F437">
        <v>32441</v>
      </c>
      <c r="G437">
        <v>33.3297945205479</v>
      </c>
      <c r="H437" s="1">
        <v>2.64452022401917E-35</v>
      </c>
      <c r="I437" t="s">
        <v>1213</v>
      </c>
      <c r="J437" t="s">
        <v>1214</v>
      </c>
      <c r="K437" s="1">
        <v>9.9108481010933602E-33</v>
      </c>
      <c r="L437" t="s">
        <v>1178</v>
      </c>
      <c r="M437" t="str">
        <f>HYPERLINK("http://www.broadinstitute.org/gsea/msigdb/cards/GSE21927_SPLEEN_C57BL6_VS_4T1_TUMOR_BALBC_MONOCYTES_UP.html")</f>
        <v>http://www.broadinstitute.org/gsea/msigdb/cards/GSE21927_SPLEEN_C57BL6_VS_4T1_TUMOR_BALBC_MONOCYTES_UP.html</v>
      </c>
    </row>
    <row r="438" spans="1:13">
      <c r="A438">
        <v>2181</v>
      </c>
      <c r="B438" t="s">
        <v>1215</v>
      </c>
      <c r="C438">
        <v>24</v>
      </c>
      <c r="D438">
        <v>146</v>
      </c>
      <c r="E438">
        <v>174</v>
      </c>
      <c r="F438">
        <v>32441</v>
      </c>
      <c r="G438">
        <v>30.648086915446399</v>
      </c>
      <c r="H438" s="1">
        <v>1.5476279142571701E-27</v>
      </c>
      <c r="I438" t="s">
        <v>1216</v>
      </c>
      <c r="J438" t="s">
        <v>1217</v>
      </c>
      <c r="K438" s="1">
        <v>5.3857451416149598E-25</v>
      </c>
      <c r="L438" t="s">
        <v>1178</v>
      </c>
      <c r="M438" t="str">
        <f>HYPERLINK("http://www.broadinstitute.org/gsea/msigdb/cards/GSE3720_UNSTIM_VS_PMA_STIM_VD1_GAMMADELTA_TCELL_UP.html")</f>
        <v>http://www.broadinstitute.org/gsea/msigdb/cards/GSE3720_UNSTIM_VS_PMA_STIM_VD1_GAMMADELTA_TCELL_UP.html</v>
      </c>
    </row>
    <row r="439" spans="1:13">
      <c r="A439">
        <v>33</v>
      </c>
      <c r="B439" t="s">
        <v>1218</v>
      </c>
      <c r="C439">
        <v>24</v>
      </c>
      <c r="D439">
        <v>146</v>
      </c>
      <c r="E439">
        <v>200</v>
      </c>
      <c r="F439">
        <v>32441</v>
      </c>
      <c r="G439">
        <v>26.663835616438401</v>
      </c>
      <c r="H439" s="1">
        <v>3.24172277387279E-26</v>
      </c>
      <c r="I439" t="s">
        <v>1219</v>
      </c>
      <c r="J439" t="s">
        <v>1220</v>
      </c>
      <c r="K439" s="1">
        <v>1.05291155695388E-23</v>
      </c>
      <c r="L439" t="s">
        <v>1178</v>
      </c>
      <c r="M439" t="str">
        <f>HYPERLINK("http://www.broadinstitute.org/gsea/msigdb/cards/GSE10239_NAIVE_VS_DAY4.5_EFF_CD8_TCELL_UP.html")</f>
        <v>http://www.broadinstitute.org/gsea/msigdb/cards/GSE10239_NAIVE_VS_DAY4.5_EFF_CD8_TCELL_UP.html</v>
      </c>
    </row>
    <row r="440" spans="1:13">
      <c r="A440">
        <v>2175</v>
      </c>
      <c r="B440" t="s">
        <v>1221</v>
      </c>
      <c r="C440">
        <v>22</v>
      </c>
      <c r="D440">
        <v>146</v>
      </c>
      <c r="E440">
        <v>162</v>
      </c>
      <c r="F440">
        <v>32441</v>
      </c>
      <c r="G440">
        <v>30.1751226111957</v>
      </c>
      <c r="H440" s="1">
        <v>3.6184107163207102E-25</v>
      </c>
      <c r="I440" t="s">
        <v>1222</v>
      </c>
      <c r="J440" t="s">
        <v>1223</v>
      </c>
      <c r="K440" s="1">
        <v>1.1018060631196599E-22</v>
      </c>
      <c r="L440" t="s">
        <v>1178</v>
      </c>
      <c r="M440" t="str">
        <f>HYPERLINK("http://www.broadinstitute.org/gsea/msigdb/cards/GSE3565_DUSP1_VS_WT_SPLENOCYTES_POST_LPS_INJECTION_UP.html")</f>
        <v>http://www.broadinstitute.org/gsea/msigdb/cards/GSE3565_DUSP1_VS_WT_SPLENOCYTES_POST_LPS_INJECTION_UP.html</v>
      </c>
    </row>
    <row r="441" spans="1:13">
      <c r="A441">
        <v>3695</v>
      </c>
      <c r="B441" t="s">
        <v>1224</v>
      </c>
      <c r="C441">
        <v>23</v>
      </c>
      <c r="D441">
        <v>146</v>
      </c>
      <c r="E441">
        <v>200</v>
      </c>
      <c r="F441">
        <v>32441</v>
      </c>
      <c r="G441">
        <v>25.5528424657534</v>
      </c>
      <c r="H441" s="1">
        <v>9.1532300957122205E-25</v>
      </c>
      <c r="I441" t="s">
        <v>1225</v>
      </c>
      <c r="J441" t="s">
        <v>1226</v>
      </c>
      <c r="K441" s="1">
        <v>2.62320806037117E-22</v>
      </c>
      <c r="L441" t="s">
        <v>1178</v>
      </c>
      <c r="M441" t="str">
        <f>HYPERLINK("http://www.broadinstitute.org/gsea/msigdb/cards/GSE26156_DOUBLE_POSITIVE_VS_CD4_SINGLE_POSITIVE_THYMOCYTE_UP.html")</f>
        <v>http://www.broadinstitute.org/gsea/msigdb/cards/GSE26156_DOUBLE_POSITIVE_VS_CD4_SINGLE_POSITIVE_THYMOCYTE_UP.html</v>
      </c>
    </row>
    <row r="442" spans="1:13">
      <c r="A442">
        <v>4713</v>
      </c>
      <c r="B442" t="s">
        <v>1227</v>
      </c>
      <c r="C442">
        <v>22</v>
      </c>
      <c r="D442">
        <v>146</v>
      </c>
      <c r="E442">
        <v>199</v>
      </c>
      <c r="F442">
        <v>32441</v>
      </c>
      <c r="G442">
        <v>24.564672678460798</v>
      </c>
      <c r="H442" s="1">
        <v>2.23181474547269E-23</v>
      </c>
      <c r="I442" t="s">
        <v>1228</v>
      </c>
      <c r="J442" t="s">
        <v>1229</v>
      </c>
      <c r="K442" s="1">
        <v>6.0407785777460804E-21</v>
      </c>
      <c r="L442" t="s">
        <v>1178</v>
      </c>
      <c r="M442" t="str">
        <f>HYPERLINK("http://www.broadinstitute.org/gsea/msigdb/cards/GSE42724_NAIVE_VS_B1_BCELL_DN.html")</f>
        <v>http://www.broadinstitute.org/gsea/msigdb/cards/GSE42724_NAIVE_VS_B1_BCELL_DN.html</v>
      </c>
    </row>
    <row r="443" spans="1:13">
      <c r="A443">
        <v>2074</v>
      </c>
      <c r="B443" t="s">
        <v>1230</v>
      </c>
      <c r="C443">
        <v>21</v>
      </c>
      <c r="D443">
        <v>146</v>
      </c>
      <c r="E443">
        <v>199</v>
      </c>
      <c r="F443">
        <v>32441</v>
      </c>
      <c r="G443">
        <v>23.4480966476217</v>
      </c>
      <c r="H443" s="1">
        <v>5.76345739221472E-22</v>
      </c>
      <c r="I443" t="s">
        <v>1231</v>
      </c>
      <c r="J443" t="s">
        <v>1232</v>
      </c>
      <c r="K443" s="1">
        <v>1.4778718113089499E-19</v>
      </c>
      <c r="L443" t="s">
        <v>1178</v>
      </c>
      <c r="M443" t="str">
        <f>HYPERLINK("http://www.broadinstitute.org/gsea/msigdb/cards/GSE2124_CTRL_VS_LYMPHOTOXIN_BETA_TREATED_MLN_UP.html")</f>
        <v>http://www.broadinstitute.org/gsea/msigdb/cards/GSE2124_CTRL_VS_LYMPHOTOXIN_BETA_TREATED_MLN_UP.html</v>
      </c>
    </row>
    <row r="444" spans="1:13">
      <c r="A444">
        <v>314</v>
      </c>
      <c r="B444" t="s">
        <v>1233</v>
      </c>
      <c r="C444">
        <v>21</v>
      </c>
      <c r="D444">
        <v>146</v>
      </c>
      <c r="E444">
        <v>200</v>
      </c>
      <c r="F444">
        <v>32441</v>
      </c>
      <c r="G444">
        <v>23.330856164383601</v>
      </c>
      <c r="H444" s="1">
        <v>6.3451863635698602E-22</v>
      </c>
      <c r="I444" t="s">
        <v>1234</v>
      </c>
      <c r="J444" t="s">
        <v>1235</v>
      </c>
      <c r="K444" s="1">
        <v>1.54568739816562E-19</v>
      </c>
      <c r="L444" t="s">
        <v>1178</v>
      </c>
      <c r="M444" t="str">
        <f>HYPERLINK("http://www.broadinstitute.org/gsea/msigdb/cards/GSE1460_DP_THYMOCYTE_VS_NAIVE_CD4_TCELL_ADULT_BLOOD_DN.html")</f>
        <v>http://www.broadinstitute.org/gsea/msigdb/cards/GSE1460_DP_THYMOCYTE_VS_NAIVE_CD4_TCELL_ADULT_BLOOD_DN.html</v>
      </c>
    </row>
    <row r="445" spans="1:13">
      <c r="A445">
        <v>1741</v>
      </c>
      <c r="B445" t="s">
        <v>1236</v>
      </c>
      <c r="C445">
        <v>20</v>
      </c>
      <c r="D445">
        <v>146</v>
      </c>
      <c r="E445">
        <v>172</v>
      </c>
      <c r="F445">
        <v>32441</v>
      </c>
      <c r="G445">
        <v>25.8370500159286</v>
      </c>
      <c r="H445" s="1">
        <v>9.8875092643568792E-22</v>
      </c>
      <c r="I445" t="s">
        <v>1237</v>
      </c>
      <c r="J445" t="s">
        <v>1238</v>
      </c>
      <c r="K445" s="1">
        <v>2.2939021493308001E-19</v>
      </c>
      <c r="L445" t="s">
        <v>1178</v>
      </c>
      <c r="M445" t="str">
        <f>HYPERLINK("http://www.broadinstitute.org/gsea/msigdb/cards/GSE6269_HEALTHY_VS_FLU_INF_PBMC_UP.html")</f>
        <v>http://www.broadinstitute.org/gsea/msigdb/cards/GSE6269_HEALTHY_VS_FLU_INF_PBMC_UP.html</v>
      </c>
    </row>
    <row r="446" spans="1:13">
      <c r="A446">
        <v>25</v>
      </c>
      <c r="B446" t="s">
        <v>1239</v>
      </c>
      <c r="C446">
        <v>20</v>
      </c>
      <c r="D446">
        <v>146</v>
      </c>
      <c r="E446">
        <v>200</v>
      </c>
      <c r="F446">
        <v>32441</v>
      </c>
      <c r="G446">
        <v>22.2198630136986</v>
      </c>
      <c r="H446" s="1">
        <v>1.5519854958149899E-20</v>
      </c>
      <c r="I446" t="s">
        <v>1240</v>
      </c>
      <c r="J446" t="s">
        <v>1241</v>
      </c>
      <c r="K446" s="1">
        <v>3.2875101459176699E-18</v>
      </c>
      <c r="L446" t="s">
        <v>1178</v>
      </c>
      <c r="M446" t="str">
        <f>HYPERLINK("http://www.broadinstitute.org/gsea/msigdb/cards/GSE10239_NAIVE_VS_KLRG1HIGH_EFF_CD8_TCELL_UP.html")</f>
        <v>http://www.broadinstitute.org/gsea/msigdb/cards/GSE10239_NAIVE_VS_KLRG1HIGH_EFF_CD8_TCELL_UP.html</v>
      </c>
    </row>
    <row r="447" spans="1:13">
      <c r="A447">
        <v>3719</v>
      </c>
      <c r="B447" t="s">
        <v>1242</v>
      </c>
      <c r="C447">
        <v>20</v>
      </c>
      <c r="D447">
        <v>146</v>
      </c>
      <c r="E447">
        <v>200</v>
      </c>
      <c r="F447">
        <v>32441</v>
      </c>
      <c r="G447">
        <v>22.2198630136986</v>
      </c>
      <c r="H447" s="1">
        <v>1.5519854958149899E-20</v>
      </c>
      <c r="I447" t="s">
        <v>1243</v>
      </c>
      <c r="J447" t="s">
        <v>1244</v>
      </c>
      <c r="K447" s="1">
        <v>3.2875101459176699E-18</v>
      </c>
      <c r="L447" t="s">
        <v>1178</v>
      </c>
      <c r="M447" t="str">
        <f>HYPERLINK("http://www.broadinstitute.org/gsea/msigdb/cards/GSE24574_BCL6_HIGH_TFH_VS_TFH_CD4_TCELL_DN.html")</f>
        <v>http://www.broadinstitute.org/gsea/msigdb/cards/GSE24574_BCL6_HIGH_TFH_VS_TFH_CD4_TCELL_DN.html</v>
      </c>
    </row>
    <row r="448" spans="1:13">
      <c r="A448">
        <v>2183</v>
      </c>
      <c r="B448" t="s">
        <v>1245</v>
      </c>
      <c r="C448">
        <v>19</v>
      </c>
      <c r="D448">
        <v>146</v>
      </c>
      <c r="E448">
        <v>171</v>
      </c>
      <c r="F448">
        <v>32441</v>
      </c>
      <c r="G448">
        <v>24.688736681887399</v>
      </c>
      <c r="H448" s="1">
        <v>2.3792986196833499E-20</v>
      </c>
      <c r="I448" t="s">
        <v>1246</v>
      </c>
      <c r="J448" t="s">
        <v>1247</v>
      </c>
      <c r="K448" s="1">
        <v>4.82997619795721E-18</v>
      </c>
      <c r="L448" t="s">
        <v>1178</v>
      </c>
      <c r="M448" t="str">
        <f>HYPERLINK("http://www.broadinstitute.org/gsea/msigdb/cards/GSE3720_LPS_VS_PMA_STIM_VD1_GAMMADELTA_TCELL_DN.html")</f>
        <v>http://www.broadinstitute.org/gsea/msigdb/cards/GSE3720_LPS_VS_PMA_STIM_VD1_GAMMADELTA_TCELL_DN.html</v>
      </c>
    </row>
    <row r="449" spans="1:13">
      <c r="A449">
        <v>3122</v>
      </c>
      <c r="B449" t="s">
        <v>1248</v>
      </c>
      <c r="C449">
        <v>19</v>
      </c>
      <c r="D449">
        <v>146</v>
      </c>
      <c r="E449">
        <v>185</v>
      </c>
      <c r="F449">
        <v>32441</v>
      </c>
      <c r="G449">
        <v>22.8203998519067</v>
      </c>
      <c r="H449" s="1">
        <v>9.3130643929732804E-20</v>
      </c>
      <c r="I449" t="s">
        <v>1249</v>
      </c>
      <c r="J449" t="s">
        <v>1250</v>
      </c>
      <c r="K449" s="1">
        <v>1.8149299889026301E-17</v>
      </c>
      <c r="L449" t="s">
        <v>1178</v>
      </c>
      <c r="M449" t="str">
        <f>HYPERLINK("http://www.broadinstitute.org/gsea/msigdb/cards/GSE21670_UNTREATED_VS_TGFB_IL6_TREATED_CD4_TCELL_DN.html")</f>
        <v>http://www.broadinstitute.org/gsea/msigdb/cards/GSE21670_UNTREATED_VS_TGFB_IL6_TREATED_CD4_TCELL_DN.html</v>
      </c>
    </row>
    <row r="450" spans="1:13">
      <c r="A450">
        <v>1750</v>
      </c>
      <c r="B450" t="s">
        <v>1251</v>
      </c>
      <c r="C450">
        <v>18</v>
      </c>
      <c r="D450">
        <v>146</v>
      </c>
      <c r="E450">
        <v>164</v>
      </c>
      <c r="F450">
        <v>32441</v>
      </c>
      <c r="G450">
        <v>24.3876545272302</v>
      </c>
      <c r="H450" s="1">
        <v>3.0379719301456899E-19</v>
      </c>
      <c r="I450" t="s">
        <v>1252</v>
      </c>
      <c r="J450" t="s">
        <v>1253</v>
      </c>
      <c r="K450" s="1">
        <v>5.6926920167960697E-17</v>
      </c>
      <c r="L450" t="s">
        <v>1178</v>
      </c>
      <c r="M450" t="str">
        <f>HYPERLINK("http://www.broadinstitute.org/gsea/msigdb/cards/GSE6269_FLU_VS_E_COLI_INF_PBMC_DN.html")</f>
        <v>http://www.broadinstitute.org/gsea/msigdb/cards/GSE6269_FLU_VS_E_COLI_INF_PBMC_DN.html</v>
      </c>
    </row>
    <row r="451" spans="1:13">
      <c r="A451">
        <v>226</v>
      </c>
      <c r="B451" t="s">
        <v>1254</v>
      </c>
      <c r="C451">
        <v>18</v>
      </c>
      <c r="D451">
        <v>146</v>
      </c>
      <c r="E451">
        <v>200</v>
      </c>
      <c r="F451">
        <v>32441</v>
      </c>
      <c r="G451">
        <v>19.9978767123288</v>
      </c>
      <c r="H451" s="1">
        <v>7.9266365640986207E-18</v>
      </c>
      <c r="I451" t="s">
        <v>1255</v>
      </c>
      <c r="J451" t="s">
        <v>1256</v>
      </c>
      <c r="K451" s="1">
        <v>1.28728577800962E-15</v>
      </c>
      <c r="L451" t="s">
        <v>1178</v>
      </c>
      <c r="M451" t="str">
        <f>HYPERLINK("http://www.broadinstitute.org/gsea/msigdb/cards/GSE14000_TRANSLATED_RNA_VS_MRNA_4H_LPS_DC_DN.html")</f>
        <v>http://www.broadinstitute.org/gsea/msigdb/cards/GSE14000_TRANSLATED_RNA_VS_MRNA_4H_LPS_DC_DN.html</v>
      </c>
    </row>
    <row r="452" spans="1:13">
      <c r="A452">
        <v>1401</v>
      </c>
      <c r="B452" t="s">
        <v>1257</v>
      </c>
      <c r="C452">
        <v>18</v>
      </c>
      <c r="D452">
        <v>146</v>
      </c>
      <c r="E452">
        <v>200</v>
      </c>
      <c r="F452">
        <v>32441</v>
      </c>
      <c r="G452">
        <v>19.9978767123288</v>
      </c>
      <c r="H452" s="1">
        <v>7.9266365640986207E-18</v>
      </c>
      <c r="I452" t="s">
        <v>1258</v>
      </c>
      <c r="J452" t="s">
        <v>1259</v>
      </c>
      <c r="K452" s="1">
        <v>1.28728577800962E-15</v>
      </c>
      <c r="L452" t="s">
        <v>1178</v>
      </c>
      <c r="M452" t="str">
        <f>HYPERLINK("http://www.broadinstitute.org/gsea/msigdb/cards/GSE34205_HEALTHY_VS_RSV_INF_INFANT_PBMC_UP.html")</f>
        <v>http://www.broadinstitute.org/gsea/msigdb/cards/GSE34205_HEALTHY_VS_RSV_INF_INFANT_PBMC_UP.html</v>
      </c>
    </row>
    <row r="453" spans="1:13">
      <c r="A453">
        <v>1850</v>
      </c>
      <c r="B453" t="s">
        <v>1260</v>
      </c>
      <c r="C453">
        <v>18</v>
      </c>
      <c r="D453">
        <v>146</v>
      </c>
      <c r="E453">
        <v>200</v>
      </c>
      <c r="F453">
        <v>32441</v>
      </c>
      <c r="G453">
        <v>19.9978767123288</v>
      </c>
      <c r="H453" s="1">
        <v>7.9266365640986207E-18</v>
      </c>
      <c r="I453" t="s">
        <v>1261</v>
      </c>
      <c r="J453" t="s">
        <v>1262</v>
      </c>
      <c r="K453" s="1">
        <v>1.28728577800962E-15</v>
      </c>
      <c r="L453" t="s">
        <v>1178</v>
      </c>
      <c r="M453" t="str">
        <f>HYPERLINK("http://www.broadinstitute.org/gsea/msigdb/cards/GSE9006_TYPE_1_DIABETES_AT_DX_VS_4MONTH_POST_DX_PBMC_DN.html")</f>
        <v>http://www.broadinstitute.org/gsea/msigdb/cards/GSE9006_TYPE_1_DIABETES_AT_DX_VS_4MONTH_POST_DX_PBMC_DN.html</v>
      </c>
    </row>
    <row r="454" spans="1:13">
      <c r="A454">
        <v>2347</v>
      </c>
      <c r="B454" t="s">
        <v>1263</v>
      </c>
      <c r="C454">
        <v>18</v>
      </c>
      <c r="D454">
        <v>146</v>
      </c>
      <c r="E454">
        <v>200</v>
      </c>
      <c r="F454">
        <v>32441</v>
      </c>
      <c r="G454">
        <v>19.9978767123288</v>
      </c>
      <c r="H454" s="1">
        <v>7.9266365640986207E-18</v>
      </c>
      <c r="I454" t="s">
        <v>1264</v>
      </c>
      <c r="J454" t="s">
        <v>1265</v>
      </c>
      <c r="K454" s="1">
        <v>1.28728577800962E-15</v>
      </c>
      <c r="L454" t="s">
        <v>1178</v>
      </c>
      <c r="M454" t="str">
        <f>HYPERLINK("http://www.broadinstitute.org/gsea/msigdb/cards/GSE5099_CLASSICAL_M1_VS_ALTERNATIVE_M2_MACROPHAGE_UP.html")</f>
        <v>http://www.broadinstitute.org/gsea/msigdb/cards/GSE5099_CLASSICAL_M1_VS_ALTERNATIVE_M2_MACROPHAGE_UP.html</v>
      </c>
    </row>
    <row r="455" spans="1:13">
      <c r="A455">
        <v>9701</v>
      </c>
      <c r="B455" t="s">
        <v>1266</v>
      </c>
      <c r="C455">
        <v>17</v>
      </c>
      <c r="D455">
        <v>146</v>
      </c>
      <c r="E455">
        <v>200</v>
      </c>
      <c r="F455">
        <v>32441</v>
      </c>
      <c r="G455">
        <v>18.886883561643799</v>
      </c>
      <c r="H455" s="1">
        <v>1.6468678247081299E-16</v>
      </c>
      <c r="I455" t="s">
        <v>1267</v>
      </c>
      <c r="J455" t="s">
        <v>1268</v>
      </c>
      <c r="K455" s="1">
        <v>2.5882387232187199E-14</v>
      </c>
      <c r="L455" t="s">
        <v>1178</v>
      </c>
      <c r="M455" t="str">
        <f>HYPERLINK("http://www.broadinstitute.org/gsea/msigdb/cards/GSE22886_NEUTROPHIL_VS_MONOCYTE_DN.html")</f>
        <v>http://www.broadinstitute.org/gsea/msigdb/cards/GSE22886_NEUTROPHIL_VS_MONOCYTE_DN.html</v>
      </c>
    </row>
    <row r="456" spans="1:13">
      <c r="A456">
        <v>4330</v>
      </c>
      <c r="B456" t="s">
        <v>1269</v>
      </c>
      <c r="C456">
        <v>16</v>
      </c>
      <c r="D456">
        <v>146</v>
      </c>
      <c r="E456">
        <v>187</v>
      </c>
      <c r="F456">
        <v>32441</v>
      </c>
      <c r="G456">
        <v>19.011647498351799</v>
      </c>
      <c r="H456" s="1">
        <v>1.20763230908822E-15</v>
      </c>
      <c r="I456" t="s">
        <v>1270</v>
      </c>
      <c r="J456" t="s">
        <v>1271</v>
      </c>
      <c r="K456" s="1">
        <v>1.8386201905868101E-13</v>
      </c>
      <c r="L456" t="s">
        <v>1178</v>
      </c>
      <c r="M456" t="str">
        <f>HYPERLINK("http://www.broadinstitute.org/gsea/msigdb/cards/GSE20727_CTRL_VS_DNFB_ALLERGEN_TREATED_DC_DN.html")</f>
        <v>http://www.broadinstitute.org/gsea/msigdb/cards/GSE20727_CTRL_VS_DNFB_ALLERGEN_TREATED_DC_DN.html</v>
      </c>
    </row>
    <row r="457" spans="1:13">
      <c r="A457">
        <v>228</v>
      </c>
      <c r="B457" t="s">
        <v>1272</v>
      </c>
      <c r="C457">
        <v>16</v>
      </c>
      <c r="D457">
        <v>146</v>
      </c>
      <c r="E457">
        <v>200</v>
      </c>
      <c r="F457">
        <v>32441</v>
      </c>
      <c r="G457">
        <v>17.775890410958901</v>
      </c>
      <c r="H457" s="1">
        <v>3.2225932231303401E-15</v>
      </c>
      <c r="I457" t="s">
        <v>1273</v>
      </c>
      <c r="J457" t="s">
        <v>1274</v>
      </c>
      <c r="K457" s="1">
        <v>4.36124282863639E-13</v>
      </c>
      <c r="L457" t="s">
        <v>1178</v>
      </c>
      <c r="M457" t="str">
        <f>HYPERLINK("http://www.broadinstitute.org/gsea/msigdb/cards/GSE14000_TRANSLATED_RNA_VS_MRNA_16H_LPS_DC_DN.html")</f>
        <v>http://www.broadinstitute.org/gsea/msigdb/cards/GSE14000_TRANSLATED_RNA_VS_MRNA_16H_LPS_DC_DN.html</v>
      </c>
    </row>
    <row r="458" spans="1:13">
      <c r="A458">
        <v>1999</v>
      </c>
      <c r="B458" t="s">
        <v>1275</v>
      </c>
      <c r="C458">
        <v>16</v>
      </c>
      <c r="D458">
        <v>146</v>
      </c>
      <c r="E458">
        <v>200</v>
      </c>
      <c r="F458">
        <v>32441</v>
      </c>
      <c r="G458">
        <v>17.775890410958901</v>
      </c>
      <c r="H458" s="1">
        <v>3.2225932231303401E-15</v>
      </c>
      <c r="I458" t="s">
        <v>1276</v>
      </c>
      <c r="J458" t="s">
        <v>1277</v>
      </c>
      <c r="K458" s="1">
        <v>4.36124282863639E-13</v>
      </c>
      <c r="L458" t="s">
        <v>1178</v>
      </c>
      <c r="M458" t="str">
        <f>HYPERLINK("http://www.broadinstitute.org/gsea/msigdb/cards/GSE2770_TGFB_AND_IL4_ACT_VS_ACT_CD4_TCELL_2H_UP.html")</f>
        <v>http://www.broadinstitute.org/gsea/msigdb/cards/GSE2770_TGFB_AND_IL4_ACT_VS_ACT_CD4_TCELL_2H_UP.html</v>
      </c>
    </row>
    <row r="459" spans="1:13">
      <c r="A459">
        <v>3940</v>
      </c>
      <c r="B459" t="s">
        <v>1278</v>
      </c>
      <c r="C459">
        <v>16</v>
      </c>
      <c r="D459">
        <v>146</v>
      </c>
      <c r="E459">
        <v>200</v>
      </c>
      <c r="F459">
        <v>32441</v>
      </c>
      <c r="G459">
        <v>17.775890410958901</v>
      </c>
      <c r="H459" s="1">
        <v>3.2225932231303401E-15</v>
      </c>
      <c r="I459" t="s">
        <v>1279</v>
      </c>
      <c r="J459" t="s">
        <v>1280</v>
      </c>
      <c r="K459" s="1">
        <v>4.36124282863639E-13</v>
      </c>
      <c r="L459" t="s">
        <v>1178</v>
      </c>
      <c r="M459" t="str">
        <f>HYPERLINK("http://www.broadinstitute.org/gsea/msigdb/cards/GSE34156_NOD2_LIGAND_VS_NOD2_AND_TLR1_TLR2_LIGAND_24H_TREATED_MONOCYTE_DN.html")</f>
        <v>http://www.broadinstitute.org/gsea/msigdb/cards/GSE34156_NOD2_LIGAND_VS_NOD2_AND_TLR1_TLR2_LIGAND_24H_TREATED_MONOCYTE_DN.html</v>
      </c>
    </row>
    <row r="460" spans="1:13">
      <c r="A460">
        <v>3950</v>
      </c>
      <c r="B460" t="s">
        <v>1281</v>
      </c>
      <c r="C460">
        <v>16</v>
      </c>
      <c r="D460">
        <v>146</v>
      </c>
      <c r="E460">
        <v>200</v>
      </c>
      <c r="F460">
        <v>32441</v>
      </c>
      <c r="G460">
        <v>17.775890410958901</v>
      </c>
      <c r="H460" s="1">
        <v>3.2225932231303401E-15</v>
      </c>
      <c r="I460" t="s">
        <v>1282</v>
      </c>
      <c r="J460" t="s">
        <v>1283</v>
      </c>
      <c r="K460" s="1">
        <v>4.36124282863639E-13</v>
      </c>
      <c r="L460" t="s">
        <v>1178</v>
      </c>
      <c r="M460" t="str">
        <f>HYPERLINK("http://www.broadinstitute.org/gsea/msigdb/cards/GSE34156_NOD2_LIGAND_VS_NOD2_AND_TLR1_TLR2_LIGAND_6H_TREATED_MONOCYTE_UP.html")</f>
        <v>http://www.broadinstitute.org/gsea/msigdb/cards/GSE34156_NOD2_LIGAND_VS_NOD2_AND_TLR1_TLR2_LIGAND_6H_TREATED_MONOCYTE_UP.html</v>
      </c>
    </row>
    <row r="461" spans="1:13">
      <c r="A461">
        <v>3621</v>
      </c>
      <c r="B461" t="s">
        <v>1284</v>
      </c>
      <c r="C461">
        <v>15</v>
      </c>
      <c r="D461">
        <v>146</v>
      </c>
      <c r="E461">
        <v>167</v>
      </c>
      <c r="F461">
        <v>32441</v>
      </c>
      <c r="G461">
        <v>19.9579607907473</v>
      </c>
      <c r="H461" s="1">
        <v>5.0187937345218704E-15</v>
      </c>
      <c r="I461" t="s">
        <v>1285</v>
      </c>
      <c r="J461" t="s">
        <v>1286</v>
      </c>
      <c r="K461" s="1">
        <v>6.60853056070014E-13</v>
      </c>
      <c r="L461" t="s">
        <v>1178</v>
      </c>
      <c r="M461" t="str">
        <f>HYPERLINK("http://www.broadinstitute.org/gsea/msigdb/cards/GSE26488_WT_VS_VP16_TRANSGENIC_HDAC7_KO_DOUBLE_POSITIVE_THYMOCYTE_DN.html")</f>
        <v>http://www.broadinstitute.org/gsea/msigdb/cards/GSE26488_WT_VS_VP16_TRANSGENIC_HDAC7_KO_DOUBLE_POSITIVE_THYMOCYTE_DN.html</v>
      </c>
    </row>
    <row r="462" spans="1:13">
      <c r="A462">
        <v>2811</v>
      </c>
      <c r="B462" t="s">
        <v>1287</v>
      </c>
      <c r="C462">
        <v>15</v>
      </c>
      <c r="D462">
        <v>146</v>
      </c>
      <c r="E462">
        <v>170</v>
      </c>
      <c r="F462">
        <v>32441</v>
      </c>
      <c r="G462">
        <v>19.605761482675302</v>
      </c>
      <c r="H462" s="1">
        <v>6.4041592338212703E-15</v>
      </c>
      <c r="I462" t="s">
        <v>1288</v>
      </c>
      <c r="J462" t="s">
        <v>1289</v>
      </c>
      <c r="K462" s="1">
        <v>8.21080625978348E-13</v>
      </c>
      <c r="L462" t="s">
        <v>1178</v>
      </c>
      <c r="M462" t="str">
        <f>HYPERLINK("http://www.broadinstitute.org/gsea/msigdb/cards/GSE13547_CTRL_VS_ANTI_IGM_STIM_BCELL_12H_DN.html")</f>
        <v>http://www.broadinstitute.org/gsea/msigdb/cards/GSE13547_CTRL_VS_ANTI_IGM_STIM_BCELL_12H_DN.html</v>
      </c>
    </row>
    <row r="463" spans="1:13">
      <c r="A463">
        <v>23</v>
      </c>
      <c r="B463" t="s">
        <v>1290</v>
      </c>
      <c r="C463">
        <v>15</v>
      </c>
      <c r="D463">
        <v>146</v>
      </c>
      <c r="E463">
        <v>200</v>
      </c>
      <c r="F463">
        <v>32441</v>
      </c>
      <c r="G463">
        <v>16.664897260274</v>
      </c>
      <c r="H463" s="1">
        <v>5.9195162853093194E-14</v>
      </c>
      <c r="I463" t="s">
        <v>1291</v>
      </c>
      <c r="J463" t="s">
        <v>1292</v>
      </c>
      <c r="K463" s="1">
        <v>6.4088629648948901E-12</v>
      </c>
      <c r="L463" t="s">
        <v>1178</v>
      </c>
      <c r="M463" t="str">
        <f>HYPERLINK("http://www.broadinstitute.org/gsea/msigdb/cards/GSE10239_NAIVE_VS_KLRG1INT_EFF_CD8_TCELL_UP.html")</f>
        <v>http://www.broadinstitute.org/gsea/msigdb/cards/GSE10239_NAIVE_VS_KLRG1INT_EFF_CD8_TCELL_UP.html</v>
      </c>
    </row>
    <row r="464" spans="1:13">
      <c r="A464">
        <v>929</v>
      </c>
      <c r="B464" t="s">
        <v>1293</v>
      </c>
      <c r="C464">
        <v>15</v>
      </c>
      <c r="D464">
        <v>146</v>
      </c>
      <c r="E464">
        <v>200</v>
      </c>
      <c r="F464">
        <v>32441</v>
      </c>
      <c r="G464">
        <v>16.664897260274</v>
      </c>
      <c r="H464" s="1">
        <v>5.9195162853093194E-14</v>
      </c>
      <c r="I464" t="s">
        <v>1294</v>
      </c>
      <c r="J464" t="s">
        <v>1295</v>
      </c>
      <c r="K464" s="1">
        <v>6.4088629648948901E-12</v>
      </c>
      <c r="L464" t="s">
        <v>1178</v>
      </c>
      <c r="M464" t="str">
        <f>HYPERLINK("http://www.broadinstitute.org/gsea/msigdb/cards/GSE22886_NAIVE_TCELL_VS_NKCELL_UP.html")</f>
        <v>http://www.broadinstitute.org/gsea/msigdb/cards/GSE22886_NAIVE_TCELL_VS_NKCELL_UP.html</v>
      </c>
    </row>
    <row r="465" spans="1:13">
      <c r="A465">
        <v>987</v>
      </c>
      <c r="B465" t="s">
        <v>1296</v>
      </c>
      <c r="C465">
        <v>15</v>
      </c>
      <c r="D465">
        <v>146</v>
      </c>
      <c r="E465">
        <v>200</v>
      </c>
      <c r="F465">
        <v>32441</v>
      </c>
      <c r="G465">
        <v>16.664897260274</v>
      </c>
      <c r="H465" s="1">
        <v>5.9195162853093194E-14</v>
      </c>
      <c r="I465" t="s">
        <v>1297</v>
      </c>
      <c r="J465" t="s">
        <v>1298</v>
      </c>
      <c r="K465" s="1">
        <v>6.4088629648948901E-12</v>
      </c>
      <c r="L465" t="s">
        <v>1178</v>
      </c>
      <c r="M465" t="str">
        <f>HYPERLINK("http://www.broadinstitute.org/gsea/msigdb/cards/GSE22886_NAIVE_CD8_TCELL_VS_DC_UP.html")</f>
        <v>http://www.broadinstitute.org/gsea/msigdb/cards/GSE22886_NAIVE_CD8_TCELL_VS_DC_UP.html</v>
      </c>
    </row>
    <row r="466" spans="1:13">
      <c r="A466">
        <v>1662</v>
      </c>
      <c r="B466" t="s">
        <v>1299</v>
      </c>
      <c r="C466">
        <v>15</v>
      </c>
      <c r="D466">
        <v>146</v>
      </c>
      <c r="E466">
        <v>200</v>
      </c>
      <c r="F466">
        <v>32441</v>
      </c>
      <c r="G466">
        <v>16.664897260274</v>
      </c>
      <c r="H466" s="1">
        <v>5.9195162853093194E-14</v>
      </c>
      <c r="I466" t="s">
        <v>1300</v>
      </c>
      <c r="J466" t="s">
        <v>1301</v>
      </c>
      <c r="K466" s="1">
        <v>6.4088629648948901E-12</v>
      </c>
      <c r="L466" t="s">
        <v>1178</v>
      </c>
      <c r="M466" t="str">
        <f>HYPERLINK("http://www.broadinstitute.org/gsea/msigdb/cards/GSE3982_NEUTROPHIL_VS_BCELL_DN.html")</f>
        <v>http://www.broadinstitute.org/gsea/msigdb/cards/GSE3982_NEUTROPHIL_VS_BCELL_DN.html</v>
      </c>
    </row>
    <row r="467" spans="1:13">
      <c r="A467">
        <v>2345</v>
      </c>
      <c r="B467" t="s">
        <v>1302</v>
      </c>
      <c r="C467">
        <v>15</v>
      </c>
      <c r="D467">
        <v>146</v>
      </c>
      <c r="E467">
        <v>199</v>
      </c>
      <c r="F467">
        <v>32441</v>
      </c>
      <c r="G467">
        <v>16.748640462586899</v>
      </c>
      <c r="H467" s="1">
        <v>5.5274233001256001E-14</v>
      </c>
      <c r="I467" t="s">
        <v>1303</v>
      </c>
      <c r="J467" t="s">
        <v>1304</v>
      </c>
      <c r="K467" s="1">
        <v>6.4088629648948901E-12</v>
      </c>
      <c r="L467" t="s">
        <v>1178</v>
      </c>
      <c r="M467" t="str">
        <f>HYPERLINK("http://www.broadinstitute.org/gsea/msigdb/cards/GSE5099_DAY3_VS_DAY7_MCSF_TREATED_MACROPHAGE_UP.html")</f>
        <v>http://www.broadinstitute.org/gsea/msigdb/cards/GSE5099_DAY3_VS_DAY7_MCSF_TREATED_MACROPHAGE_UP.html</v>
      </c>
    </row>
    <row r="468" spans="1:13">
      <c r="A468">
        <v>3867</v>
      </c>
      <c r="B468" t="s">
        <v>1305</v>
      </c>
      <c r="C468">
        <v>15</v>
      </c>
      <c r="D468">
        <v>146</v>
      </c>
      <c r="E468">
        <v>200</v>
      </c>
      <c r="F468">
        <v>32441</v>
      </c>
      <c r="G468">
        <v>16.664897260274</v>
      </c>
      <c r="H468" s="1">
        <v>5.9195162853093194E-14</v>
      </c>
      <c r="I468" t="s">
        <v>1306</v>
      </c>
      <c r="J468" t="s">
        <v>1307</v>
      </c>
      <c r="K468" s="1">
        <v>6.4088629648948901E-12</v>
      </c>
      <c r="L468" t="s">
        <v>1178</v>
      </c>
      <c r="M468" t="str">
        <f>HYPERLINK("http://www.broadinstitute.org/gsea/msigdb/cards/GSE26030_TH1_VS_TH17_RESTIMULATED_DAY15_POST_POLARIZATION_DN.html")</f>
        <v>http://www.broadinstitute.org/gsea/msigdb/cards/GSE26030_TH1_VS_TH17_RESTIMULATED_DAY15_POST_POLARIZATION_DN.html</v>
      </c>
    </row>
    <row r="469" spans="1:13">
      <c r="A469">
        <v>4774</v>
      </c>
      <c r="B469" t="s">
        <v>1308</v>
      </c>
      <c r="C469">
        <v>15</v>
      </c>
      <c r="D469">
        <v>146</v>
      </c>
      <c r="E469">
        <v>200</v>
      </c>
      <c r="F469">
        <v>32441</v>
      </c>
      <c r="G469">
        <v>16.664897260274</v>
      </c>
      <c r="H469" s="1">
        <v>5.9195162853093194E-14</v>
      </c>
      <c r="I469" t="s">
        <v>1309</v>
      </c>
      <c r="J469" t="s">
        <v>1310</v>
      </c>
      <c r="K469" s="1">
        <v>6.4088629648948901E-12</v>
      </c>
      <c r="L469" t="s">
        <v>1178</v>
      </c>
      <c r="M469" t="str">
        <f>HYPERLINK("http://www.broadinstitute.org/gsea/msigdb/cards/GSE45837_WT_VS_GFI1_KO_PDC_DN.html")</f>
        <v>http://www.broadinstitute.org/gsea/msigdb/cards/GSE45837_WT_VS_GFI1_KO_PDC_DN.html</v>
      </c>
    </row>
    <row r="470" spans="1:13">
      <c r="A470">
        <v>2428</v>
      </c>
      <c r="B470" t="s">
        <v>1311</v>
      </c>
      <c r="C470">
        <v>14</v>
      </c>
      <c r="D470">
        <v>146</v>
      </c>
      <c r="E470">
        <v>164</v>
      </c>
      <c r="F470">
        <v>32441</v>
      </c>
      <c r="G470">
        <v>18.9681757434013</v>
      </c>
      <c r="H470" s="1">
        <v>8.0825400765006802E-14</v>
      </c>
      <c r="I470" t="s">
        <v>1312</v>
      </c>
      <c r="J470" t="s">
        <v>1313</v>
      </c>
      <c r="K470" s="1">
        <v>8.5604641853720206E-12</v>
      </c>
      <c r="L470" t="s">
        <v>1178</v>
      </c>
      <c r="M470" t="str">
        <f>HYPERLINK("http://www.broadinstitute.org/gsea/msigdb/cards/GSE3920_IFNB_VS_IFNG_TREATED_ENDOTHELIAL_CELL_UP.html")</f>
        <v>http://www.broadinstitute.org/gsea/msigdb/cards/GSE3920_IFNB_VS_IFNG_TREATED_ENDOTHELIAL_CELL_UP.html</v>
      </c>
    </row>
    <row r="471" spans="1:13">
      <c r="A471">
        <v>493</v>
      </c>
      <c r="B471" t="s">
        <v>1314</v>
      </c>
      <c r="C471">
        <v>14</v>
      </c>
      <c r="D471">
        <v>146</v>
      </c>
      <c r="E471">
        <v>200</v>
      </c>
      <c r="F471">
        <v>32441</v>
      </c>
      <c r="G471">
        <v>15.553904109589</v>
      </c>
      <c r="H471" s="1">
        <v>1.01688227916449E-12</v>
      </c>
      <c r="I471" t="s">
        <v>1315</v>
      </c>
      <c r="J471" t="s">
        <v>1316</v>
      </c>
      <c r="K471" s="1">
        <v>9.3476423850743505E-11</v>
      </c>
      <c r="L471" t="s">
        <v>1178</v>
      </c>
      <c r="M471" t="str">
        <f>HYPERLINK("http://www.broadinstitute.org/gsea/msigdb/cards/GSE17721_CTRL_VS_PAM3CSK4_24H_BMDC_UP.html")</f>
        <v>http://www.broadinstitute.org/gsea/msigdb/cards/GSE17721_CTRL_VS_PAM3CSK4_24H_BMDC_UP.html</v>
      </c>
    </row>
    <row r="472" spans="1:13">
      <c r="A472">
        <v>981</v>
      </c>
      <c r="B472" t="s">
        <v>1317</v>
      </c>
      <c r="C472">
        <v>14</v>
      </c>
      <c r="D472">
        <v>146</v>
      </c>
      <c r="E472">
        <v>200</v>
      </c>
      <c r="F472">
        <v>32441</v>
      </c>
      <c r="G472">
        <v>15.553904109589</v>
      </c>
      <c r="H472" s="1">
        <v>1.01688227916449E-12</v>
      </c>
      <c r="I472" t="s">
        <v>1318</v>
      </c>
      <c r="J472" t="s">
        <v>1319</v>
      </c>
      <c r="K472" s="1">
        <v>9.3476423850743505E-11</v>
      </c>
      <c r="L472" t="s">
        <v>1178</v>
      </c>
      <c r="M472" t="str">
        <f>HYPERLINK("http://www.broadinstitute.org/gsea/msigdb/cards/GSE22886_NAIVE_BCELL_VS_DC_UP.html")</f>
        <v>http://www.broadinstitute.org/gsea/msigdb/cards/GSE22886_NAIVE_BCELL_VS_DC_UP.html</v>
      </c>
    </row>
    <row r="473" spans="1:13">
      <c r="A473">
        <v>1053</v>
      </c>
      <c r="B473" t="s">
        <v>1320</v>
      </c>
      <c r="C473">
        <v>14</v>
      </c>
      <c r="D473">
        <v>146</v>
      </c>
      <c r="E473">
        <v>200</v>
      </c>
      <c r="F473">
        <v>32441</v>
      </c>
      <c r="G473">
        <v>15.553904109589</v>
      </c>
      <c r="H473" s="1">
        <v>1.01688227916449E-12</v>
      </c>
      <c r="I473" t="s">
        <v>1321</v>
      </c>
      <c r="J473" t="s">
        <v>1322</v>
      </c>
      <c r="K473" s="1">
        <v>9.3476423850743505E-11</v>
      </c>
      <c r="L473" t="s">
        <v>1178</v>
      </c>
      <c r="M473" t="str">
        <f>HYPERLINK("http://www.broadinstitute.org/gsea/msigdb/cards/GSE24634_NAIVE_CD4_TCELL_VS_DAY10_IL4_CONV_TREG_UP.html")</f>
        <v>http://www.broadinstitute.org/gsea/msigdb/cards/GSE24634_NAIVE_CD4_TCELL_VS_DAY10_IL4_CONV_TREG_UP.html</v>
      </c>
    </row>
    <row r="474" spans="1:13">
      <c r="A474">
        <v>1318</v>
      </c>
      <c r="B474" t="s">
        <v>1323</v>
      </c>
      <c r="C474">
        <v>14</v>
      </c>
      <c r="D474">
        <v>146</v>
      </c>
      <c r="E474">
        <v>200</v>
      </c>
      <c r="F474">
        <v>32441</v>
      </c>
      <c r="G474">
        <v>15.553904109589</v>
      </c>
      <c r="H474" s="1">
        <v>1.01688227916449E-12</v>
      </c>
      <c r="I474" t="s">
        <v>1324</v>
      </c>
      <c r="J474" t="s">
        <v>1325</v>
      </c>
      <c r="K474" s="1">
        <v>9.3476423850743505E-11</v>
      </c>
      <c r="L474" t="s">
        <v>1178</v>
      </c>
      <c r="M474" t="str">
        <f>HYPERLINK("http://www.broadinstitute.org/gsea/msigdb/cards/GSE29618_LAIV_VS_TIV_FLU_VACCINE_DAY7_BCELL_DN.html")</f>
        <v>http://www.broadinstitute.org/gsea/msigdb/cards/GSE29618_LAIV_VS_TIV_FLU_VACCINE_DAY7_BCELL_DN.html</v>
      </c>
    </row>
    <row r="475" spans="1:13">
      <c r="A475">
        <v>3454</v>
      </c>
      <c r="B475" t="s">
        <v>1326</v>
      </c>
      <c r="C475">
        <v>14</v>
      </c>
      <c r="D475">
        <v>146</v>
      </c>
      <c r="E475">
        <v>200</v>
      </c>
      <c r="F475">
        <v>32441</v>
      </c>
      <c r="G475">
        <v>15.553904109589</v>
      </c>
      <c r="H475" s="1">
        <v>1.01688227916449E-12</v>
      </c>
      <c r="I475" t="s">
        <v>1327</v>
      </c>
      <c r="J475" t="s">
        <v>1328</v>
      </c>
      <c r="K475" s="1">
        <v>9.3476423850743505E-11</v>
      </c>
      <c r="L475" t="s">
        <v>1178</v>
      </c>
      <c r="M475" t="str">
        <f>HYPERLINK("http://www.broadinstitute.org/gsea/msigdb/cards/GSE25123_WT_VS_PPARG_KO_MACROPHAGE_DN.html")</f>
        <v>http://www.broadinstitute.org/gsea/msigdb/cards/GSE25123_WT_VS_PPARG_KO_MACROPHAGE_DN.html</v>
      </c>
    </row>
    <row r="476" spans="1:13">
      <c r="A476">
        <v>3713</v>
      </c>
      <c r="B476" t="s">
        <v>1329</v>
      </c>
      <c r="C476">
        <v>14</v>
      </c>
      <c r="D476">
        <v>146</v>
      </c>
      <c r="E476">
        <v>200</v>
      </c>
      <c r="F476">
        <v>32441</v>
      </c>
      <c r="G476">
        <v>15.553904109589</v>
      </c>
      <c r="H476" s="1">
        <v>1.01688227916449E-12</v>
      </c>
      <c r="I476" t="s">
        <v>1330</v>
      </c>
      <c r="J476" t="s">
        <v>1331</v>
      </c>
      <c r="K476" s="1">
        <v>9.3476423850743505E-11</v>
      </c>
      <c r="L476" t="s">
        <v>1178</v>
      </c>
      <c r="M476" t="str">
        <f>HYPERLINK("http://www.broadinstitute.org/gsea/msigdb/cards/GSE24574_BCL6_HIGH_VS_LOW_TFH_CD4_TCELL_UP.html")</f>
        <v>http://www.broadinstitute.org/gsea/msigdb/cards/GSE24574_BCL6_HIGH_VS_LOW_TFH_CD4_TCELL_UP.html</v>
      </c>
    </row>
    <row r="477" spans="1:13">
      <c r="A477">
        <v>3942</v>
      </c>
      <c r="B477" t="s">
        <v>1332</v>
      </c>
      <c r="C477">
        <v>14</v>
      </c>
      <c r="D477">
        <v>146</v>
      </c>
      <c r="E477">
        <v>200</v>
      </c>
      <c r="F477">
        <v>32441</v>
      </c>
      <c r="G477">
        <v>15.553904109589</v>
      </c>
      <c r="H477" s="1">
        <v>1.01688227916449E-12</v>
      </c>
      <c r="I477" t="s">
        <v>1333</v>
      </c>
      <c r="J477" t="s">
        <v>1334</v>
      </c>
      <c r="K477" s="1">
        <v>9.3476423850743505E-11</v>
      </c>
      <c r="L477" t="s">
        <v>1178</v>
      </c>
      <c r="M477" t="str">
        <f>HYPERLINK("http://www.broadinstitute.org/gsea/msigdb/cards/GSE34156_NOD2_LIGAND_VS_TLR1_TLR2_LIGAND_24H_TREATED_MONOCYTE_DN.html")</f>
        <v>http://www.broadinstitute.org/gsea/msigdb/cards/GSE34156_NOD2_LIGAND_VS_TLR1_TLR2_LIGAND_24H_TREATED_MONOCYTE_DN.html</v>
      </c>
    </row>
    <row r="478" spans="1:13">
      <c r="A478">
        <v>39481</v>
      </c>
      <c r="B478" t="s">
        <v>1335</v>
      </c>
      <c r="C478">
        <v>13</v>
      </c>
      <c r="D478">
        <v>146</v>
      </c>
      <c r="E478">
        <v>198</v>
      </c>
      <c r="F478">
        <v>32441</v>
      </c>
      <c r="G478">
        <v>14.588798948388</v>
      </c>
      <c r="H478" s="1">
        <v>1.4446945752771101E-11</v>
      </c>
      <c r="I478" t="s">
        <v>1336</v>
      </c>
      <c r="J478" t="s">
        <v>1337</v>
      </c>
      <c r="K478" s="1">
        <v>1.3034355501389E-9</v>
      </c>
      <c r="L478" t="s">
        <v>1178</v>
      </c>
      <c r="M478" t="str">
        <f>HYPERLINK("http://www.broadinstitute.org/gsea/msigdb/cards/GSE34156_UNTREATED_VS_24H_TLR1_TLR2_LIGAND_TREATED_MONOCYTE_DN.html")</f>
        <v>http://www.broadinstitute.org/gsea/msigdb/cards/GSE34156_UNTREATED_VS_24H_TLR1_TLR2_LIGAND_TREATED_MONOCYTE_DN.html</v>
      </c>
    </row>
    <row r="479" spans="1:13">
      <c r="A479">
        <v>959</v>
      </c>
      <c r="B479" t="s">
        <v>1338</v>
      </c>
      <c r="C479">
        <v>13</v>
      </c>
      <c r="D479">
        <v>146</v>
      </c>
      <c r="E479">
        <v>200</v>
      </c>
      <c r="F479">
        <v>32441</v>
      </c>
      <c r="G479">
        <v>14.4429109589041</v>
      </c>
      <c r="H479" s="1">
        <v>1.6266860152429899E-11</v>
      </c>
      <c r="I479" t="s">
        <v>1339</v>
      </c>
      <c r="J479" t="s">
        <v>1340</v>
      </c>
      <c r="K479" s="1">
        <v>1.32086904437731E-9</v>
      </c>
      <c r="L479" t="s">
        <v>1178</v>
      </c>
      <c r="M479" t="str">
        <f>HYPERLINK("http://www.broadinstitute.org/gsea/msigdb/cards/GSE22886_IGM_MEMORY_BCELL_VS_BM_PLASMA_CELL_UP.html")</f>
        <v>http://www.broadinstitute.org/gsea/msigdb/cards/GSE22886_IGM_MEMORY_BCELL_VS_BM_PLASMA_CELL_UP.html</v>
      </c>
    </row>
    <row r="480" spans="1:13">
      <c r="A480">
        <v>961</v>
      </c>
      <c r="B480" t="s">
        <v>1341</v>
      </c>
      <c r="C480">
        <v>13</v>
      </c>
      <c r="D480">
        <v>146</v>
      </c>
      <c r="E480">
        <v>200</v>
      </c>
      <c r="F480">
        <v>32441</v>
      </c>
      <c r="G480">
        <v>14.4429109589041</v>
      </c>
      <c r="H480" s="1">
        <v>1.6266860152429899E-11</v>
      </c>
      <c r="I480" t="s">
        <v>1342</v>
      </c>
      <c r="J480" t="s">
        <v>1343</v>
      </c>
      <c r="K480" s="1">
        <v>1.32086904437731E-9</v>
      </c>
      <c r="L480" t="s">
        <v>1178</v>
      </c>
      <c r="M480" t="str">
        <f>HYPERLINK("http://www.broadinstitute.org/gsea/msigdb/cards/GSE22886_DAY0_VS_DAY1_MONOCYTE_IN_CULTURE_UP.html")</f>
        <v>http://www.broadinstitute.org/gsea/msigdb/cards/GSE22886_DAY0_VS_DAY1_MONOCYTE_IN_CULTURE_UP.html</v>
      </c>
    </row>
    <row r="481" spans="1:13">
      <c r="A481">
        <v>1290</v>
      </c>
      <c r="B481" t="s">
        <v>1344</v>
      </c>
      <c r="C481">
        <v>13</v>
      </c>
      <c r="D481">
        <v>146</v>
      </c>
      <c r="E481">
        <v>200</v>
      </c>
      <c r="F481">
        <v>32441</v>
      </c>
      <c r="G481">
        <v>14.4429109589041</v>
      </c>
      <c r="H481" s="1">
        <v>1.6266860152429899E-11</v>
      </c>
      <c r="I481" t="s">
        <v>1345</v>
      </c>
      <c r="J481" t="s">
        <v>1346</v>
      </c>
      <c r="K481" s="1">
        <v>1.32086904437731E-9</v>
      </c>
      <c r="L481" t="s">
        <v>1178</v>
      </c>
      <c r="M481" t="str">
        <f>HYPERLINK("http://www.broadinstitute.org/gsea/msigdb/cards/GSE29618_MONOCYTE_VS_MDC_DAY7_FLU_VACCINE_DN.html")</f>
        <v>http://www.broadinstitute.org/gsea/msigdb/cards/GSE29618_MONOCYTE_VS_MDC_DAY7_FLU_VACCINE_DN.html</v>
      </c>
    </row>
    <row r="482" spans="1:13">
      <c r="A482">
        <v>1699</v>
      </c>
      <c r="B482" t="s">
        <v>1347</v>
      </c>
      <c r="C482">
        <v>13</v>
      </c>
      <c r="D482">
        <v>146</v>
      </c>
      <c r="E482">
        <v>200</v>
      </c>
      <c r="F482">
        <v>32441</v>
      </c>
      <c r="G482">
        <v>14.4429109589041</v>
      </c>
      <c r="H482" s="1">
        <v>1.6266860152429899E-11</v>
      </c>
      <c r="I482" t="s">
        <v>1348</v>
      </c>
      <c r="J482" t="s">
        <v>1349</v>
      </c>
      <c r="K482" s="1">
        <v>1.32086904437731E-9</v>
      </c>
      <c r="L482" t="s">
        <v>1178</v>
      </c>
      <c r="M482" t="str">
        <f>HYPERLINK("http://www.broadinstitute.org/gsea/msigdb/cards/GSE3982_EFF_MEMORY_CD4_TCELL_VS_NKCELL_UP.html")</f>
        <v>http://www.broadinstitute.org/gsea/msigdb/cards/GSE3982_EFF_MEMORY_CD4_TCELL_VS_NKCELL_UP.html</v>
      </c>
    </row>
    <row r="483" spans="1:13">
      <c r="A483">
        <v>28971</v>
      </c>
      <c r="B483" t="s">
        <v>1350</v>
      </c>
      <c r="C483">
        <v>13</v>
      </c>
      <c r="D483">
        <v>146</v>
      </c>
      <c r="E483">
        <v>199</v>
      </c>
      <c r="F483">
        <v>32441</v>
      </c>
      <c r="G483">
        <v>14.5154884009087</v>
      </c>
      <c r="H483" s="1">
        <v>1.5332270816555599E-11</v>
      </c>
      <c r="I483" t="s">
        <v>1351</v>
      </c>
      <c r="J483" t="s">
        <v>1352</v>
      </c>
      <c r="K483" s="1">
        <v>1.32086904437731E-9</v>
      </c>
      <c r="L483" t="s">
        <v>1178</v>
      </c>
      <c r="M483" t="str">
        <f>HYPERLINK("http://www.broadinstitute.org/gsea/msigdb/cards/GSE9960_HEALTHY_VS_GRAM_POS_SEPSIS_PBMC_UP.html")</f>
        <v>http://www.broadinstitute.org/gsea/msigdb/cards/GSE9960_HEALTHY_VS_GRAM_POS_SEPSIS_PBMC_UP.html</v>
      </c>
    </row>
    <row r="484" spans="1:13">
      <c r="A484">
        <v>4777</v>
      </c>
      <c r="B484" t="s">
        <v>1353</v>
      </c>
      <c r="C484">
        <v>13</v>
      </c>
      <c r="D484">
        <v>146</v>
      </c>
      <c r="E484">
        <v>200</v>
      </c>
      <c r="F484">
        <v>32441</v>
      </c>
      <c r="G484">
        <v>14.4429109589041</v>
      </c>
      <c r="H484" s="1">
        <v>1.6266860152429899E-11</v>
      </c>
      <c r="I484" t="s">
        <v>1354</v>
      </c>
      <c r="J484" t="s">
        <v>1355</v>
      </c>
      <c r="K484" s="1">
        <v>1.32086904437731E-9</v>
      </c>
      <c r="L484" t="s">
        <v>1178</v>
      </c>
      <c r="M484" t="str">
        <f>HYPERLINK("http://www.broadinstitute.org/gsea/msigdb/cards/GSE42088_2H_VS_24H_LEISHMANIA_INF_DC_UP.html")</f>
        <v>http://www.broadinstitute.org/gsea/msigdb/cards/GSE42088_2H_VS_24H_LEISHMANIA_INF_DC_UP.html</v>
      </c>
    </row>
    <row r="485" spans="1:13">
      <c r="A485">
        <v>2173</v>
      </c>
      <c r="B485" t="s">
        <v>1356</v>
      </c>
      <c r="C485">
        <v>12</v>
      </c>
      <c r="D485">
        <v>146</v>
      </c>
      <c r="E485">
        <v>173</v>
      </c>
      <c r="F485">
        <v>32441</v>
      </c>
      <c r="G485">
        <v>15.412621743606</v>
      </c>
      <c r="H485" s="1">
        <v>4.9705253586337098E-11</v>
      </c>
      <c r="I485" t="s">
        <v>1357</v>
      </c>
      <c r="J485" t="s">
        <v>1358</v>
      </c>
      <c r="K485" s="1">
        <v>3.9699015651251499E-9</v>
      </c>
      <c r="L485" t="s">
        <v>1178</v>
      </c>
      <c r="M485" t="str">
        <f>HYPERLINK("http://www.broadinstitute.org/gsea/msigdb/cards/GSE3565_CTRL_VS_LPS_INJECTED_SPLENOCYTES_DN.html")</f>
        <v>http://www.broadinstitute.org/gsea/msigdb/cards/GSE3565_CTRL_VS_LPS_INJECTED_SPLENOCYTES_DN.html</v>
      </c>
    </row>
    <row r="486" spans="1:13">
      <c r="A486">
        <v>4023</v>
      </c>
      <c r="B486" t="s">
        <v>1359</v>
      </c>
      <c r="C486">
        <v>11</v>
      </c>
      <c r="D486">
        <v>146</v>
      </c>
      <c r="E486">
        <v>150</v>
      </c>
      <c r="F486">
        <v>32441</v>
      </c>
      <c r="G486">
        <v>16.294566210045701</v>
      </c>
      <c r="H486" s="1">
        <v>1.86951407963582E-10</v>
      </c>
      <c r="I486" t="s">
        <v>1360</v>
      </c>
      <c r="J486" t="s">
        <v>1361</v>
      </c>
      <c r="K486" s="1">
        <v>1.46907622515898E-8</v>
      </c>
      <c r="L486" t="s">
        <v>1178</v>
      </c>
      <c r="M486" t="str">
        <f>HYPERLINK("http://www.broadinstitute.org/gsea/msigdb/cards/GSE37605_TREG_VS_TCONV_C57BL6_FOXP3_IRES_GFP_DN.html")</f>
        <v>http://www.broadinstitute.org/gsea/msigdb/cards/GSE37605_TREG_VS_TCONV_C57BL6_FOXP3_IRES_GFP_DN.html</v>
      </c>
    </row>
    <row r="487" spans="1:13">
      <c r="A487">
        <v>1761</v>
      </c>
      <c r="B487" t="s">
        <v>1362</v>
      </c>
      <c r="C487">
        <v>12</v>
      </c>
      <c r="D487">
        <v>146</v>
      </c>
      <c r="E487">
        <v>200</v>
      </c>
      <c r="F487">
        <v>32441</v>
      </c>
      <c r="G487">
        <v>13.331917808219201</v>
      </c>
      <c r="H487" s="1">
        <v>2.41133239092178E-10</v>
      </c>
      <c r="I487" t="s">
        <v>1363</v>
      </c>
      <c r="J487" t="s">
        <v>1364</v>
      </c>
      <c r="K487" s="1">
        <v>1.5457909748119599E-8</v>
      </c>
      <c r="L487" t="s">
        <v>1178</v>
      </c>
      <c r="M487" t="str">
        <f>HYPERLINK("http://www.broadinstitute.org/gsea/msigdb/cards/GSE13411_PLASMA_CELL_VS_MEMORY_BCELL_DN.html")</f>
        <v>http://www.broadinstitute.org/gsea/msigdb/cards/GSE13411_PLASMA_CELL_VS_MEMORY_BCELL_DN.html</v>
      </c>
    </row>
    <row r="488" spans="1:13">
      <c r="A488">
        <v>575</v>
      </c>
      <c r="B488" t="s">
        <v>1365</v>
      </c>
      <c r="C488">
        <v>12</v>
      </c>
      <c r="D488">
        <v>146</v>
      </c>
      <c r="E488">
        <v>200</v>
      </c>
      <c r="F488">
        <v>32441</v>
      </c>
      <c r="G488">
        <v>13.331917808219201</v>
      </c>
      <c r="H488" s="1">
        <v>2.41133239092178E-10</v>
      </c>
      <c r="I488" t="s">
        <v>1366</v>
      </c>
      <c r="J488" t="s">
        <v>1367</v>
      </c>
      <c r="K488" s="1">
        <v>1.5457909748119599E-8</v>
      </c>
      <c r="L488" t="s">
        <v>1178</v>
      </c>
      <c r="M488" t="str">
        <f>HYPERLINK("http://www.broadinstitute.org/gsea/msigdb/cards/GSE17721_PAM3CSK4_VS_CPG_12H_BMDC_UP.html")</f>
        <v>http://www.broadinstitute.org/gsea/msigdb/cards/GSE17721_PAM3CSK4_VS_CPG_12H_BMDC_UP.html</v>
      </c>
    </row>
    <row r="489" spans="1:13">
      <c r="A489">
        <v>1003</v>
      </c>
      <c r="B489" t="s">
        <v>1368</v>
      </c>
      <c r="C489">
        <v>12</v>
      </c>
      <c r="D489">
        <v>146</v>
      </c>
      <c r="E489">
        <v>200</v>
      </c>
      <c r="F489">
        <v>32441</v>
      </c>
      <c r="G489">
        <v>13.331917808219201</v>
      </c>
      <c r="H489" s="1">
        <v>2.41133239092178E-10</v>
      </c>
      <c r="I489" t="s">
        <v>1369</v>
      </c>
      <c r="J489" t="s">
        <v>1370</v>
      </c>
      <c r="K489" s="1">
        <v>1.5457909748119599E-8</v>
      </c>
      <c r="L489" t="s">
        <v>1178</v>
      </c>
      <c r="M489" t="str">
        <f>HYPERLINK("http://www.broadinstitute.org/gsea/msigdb/cards/GSE22886_CTRL_VS_LPS_24H_DC_UP.html")</f>
        <v>http://www.broadinstitute.org/gsea/msigdb/cards/GSE22886_CTRL_VS_LPS_24H_DC_UP.html</v>
      </c>
    </row>
    <row r="490" spans="1:13">
      <c r="A490">
        <v>1011</v>
      </c>
      <c r="B490" t="s">
        <v>1371</v>
      </c>
      <c r="C490">
        <v>12</v>
      </c>
      <c r="D490">
        <v>146</v>
      </c>
      <c r="E490">
        <v>200</v>
      </c>
      <c r="F490">
        <v>32441</v>
      </c>
      <c r="G490">
        <v>13.331917808219201</v>
      </c>
      <c r="H490" s="1">
        <v>2.41133239092178E-10</v>
      </c>
      <c r="I490" t="s">
        <v>1372</v>
      </c>
      <c r="J490" t="s">
        <v>1373</v>
      </c>
      <c r="K490" s="1">
        <v>1.5457909748119599E-8</v>
      </c>
      <c r="L490" t="s">
        <v>1178</v>
      </c>
      <c r="M490" t="str">
        <f>HYPERLINK("http://www.broadinstitute.org/gsea/msigdb/cards/GSE22886_NAIVE_CD4_TCELL_VS_48H_ACT_TH2_UP.html")</f>
        <v>http://www.broadinstitute.org/gsea/msigdb/cards/GSE22886_NAIVE_CD4_TCELL_VS_48H_ACT_TH2_UP.html</v>
      </c>
    </row>
    <row r="491" spans="1:13">
      <c r="A491">
        <v>1505</v>
      </c>
      <c r="B491" t="s">
        <v>1374</v>
      </c>
      <c r="C491">
        <v>12</v>
      </c>
      <c r="D491">
        <v>146</v>
      </c>
      <c r="E491">
        <v>200</v>
      </c>
      <c r="F491">
        <v>32441</v>
      </c>
      <c r="G491">
        <v>13.331917808219201</v>
      </c>
      <c r="H491" s="1">
        <v>2.41133239092178E-10</v>
      </c>
      <c r="I491" t="s">
        <v>1375</v>
      </c>
      <c r="J491" t="s">
        <v>1376</v>
      </c>
      <c r="K491" s="1">
        <v>1.5457909748119599E-8</v>
      </c>
      <c r="L491" t="s">
        <v>1178</v>
      </c>
      <c r="M491" t="str">
        <f>HYPERLINK("http://www.broadinstitute.org/gsea/msigdb/cards/GSE36392_TYPE_2_MYELOID_VS_EOSINOPHIL_IL25_TREATED_LUNG_UP.html")</f>
        <v>http://www.broadinstitute.org/gsea/msigdb/cards/GSE36392_TYPE_2_MYELOID_VS_EOSINOPHIL_IL25_TREATED_LUNG_UP.html</v>
      </c>
    </row>
    <row r="492" spans="1:13">
      <c r="A492">
        <v>1596</v>
      </c>
      <c r="B492" t="s">
        <v>1377</v>
      </c>
      <c r="C492">
        <v>12</v>
      </c>
      <c r="D492">
        <v>146</v>
      </c>
      <c r="E492">
        <v>200</v>
      </c>
      <c r="F492">
        <v>32441</v>
      </c>
      <c r="G492">
        <v>13.331917808219201</v>
      </c>
      <c r="H492" s="1">
        <v>2.41133239092178E-10</v>
      </c>
      <c r="I492" t="s">
        <v>1378</v>
      </c>
      <c r="J492" t="s">
        <v>1379</v>
      </c>
      <c r="K492" s="1">
        <v>1.5457909748119599E-8</v>
      </c>
      <c r="L492" t="s">
        <v>1178</v>
      </c>
      <c r="M492" t="str">
        <f>HYPERLINK("http://www.broadinstitute.org/gsea/msigdb/cards/GSE3982_EOSINOPHIL_VS_BASOPHIL_DN.html")</f>
        <v>http://www.broadinstitute.org/gsea/msigdb/cards/GSE3982_EOSINOPHIL_VS_BASOPHIL_DN.html</v>
      </c>
    </row>
    <row r="493" spans="1:13">
      <c r="A493">
        <v>1600</v>
      </c>
      <c r="B493" t="s">
        <v>1380</v>
      </c>
      <c r="C493">
        <v>12</v>
      </c>
      <c r="D493">
        <v>146</v>
      </c>
      <c r="E493">
        <v>200</v>
      </c>
      <c r="F493">
        <v>32441</v>
      </c>
      <c r="G493">
        <v>13.331917808219201</v>
      </c>
      <c r="H493" s="1">
        <v>2.41133239092178E-10</v>
      </c>
      <c r="I493" t="s">
        <v>1381</v>
      </c>
      <c r="J493" t="s">
        <v>1382</v>
      </c>
      <c r="K493" s="1">
        <v>1.5457909748119599E-8</v>
      </c>
      <c r="L493" t="s">
        <v>1178</v>
      </c>
      <c r="M493" t="str">
        <f>HYPERLINK("http://www.broadinstitute.org/gsea/msigdb/cards/GSE3982_EOSINOPHIL_VS_CENT_MEMORY_CD4_TCELL_DN.html")</f>
        <v>http://www.broadinstitute.org/gsea/msigdb/cards/GSE3982_EOSINOPHIL_VS_CENT_MEMORY_CD4_TCELL_DN.html</v>
      </c>
    </row>
    <row r="494" spans="1:13">
      <c r="A494">
        <v>1919</v>
      </c>
      <c r="B494" t="s">
        <v>1383</v>
      </c>
      <c r="C494">
        <v>12</v>
      </c>
      <c r="D494">
        <v>146</v>
      </c>
      <c r="E494">
        <v>200</v>
      </c>
      <c r="F494">
        <v>32441</v>
      </c>
      <c r="G494">
        <v>13.331917808219201</v>
      </c>
      <c r="H494" s="1">
        <v>2.41133239092178E-10</v>
      </c>
      <c r="I494" t="s">
        <v>1384</v>
      </c>
      <c r="J494" t="s">
        <v>1385</v>
      </c>
      <c r="K494" s="1">
        <v>1.5457909748119599E-8</v>
      </c>
      <c r="L494" t="s">
        <v>1178</v>
      </c>
      <c r="M494" t="str">
        <f>HYPERLINK("http://www.broadinstitute.org/gsea/msigdb/cards/GSE369_PRE_VS_POST_IL6_INJECTION_SOCS3_KO_LIVER_UP.html")</f>
        <v>http://www.broadinstitute.org/gsea/msigdb/cards/GSE369_PRE_VS_POST_IL6_INJECTION_SOCS3_KO_LIVER_UP.html</v>
      </c>
    </row>
    <row r="495" spans="1:13">
      <c r="A495">
        <v>1993</v>
      </c>
      <c r="B495" t="s">
        <v>1386</v>
      </c>
      <c r="C495">
        <v>12</v>
      </c>
      <c r="D495">
        <v>146</v>
      </c>
      <c r="E495">
        <v>199</v>
      </c>
      <c r="F495">
        <v>32441</v>
      </c>
      <c r="G495">
        <v>13.3989123700695</v>
      </c>
      <c r="H495" s="1">
        <v>2.2835205220865299E-10</v>
      </c>
      <c r="I495" t="s">
        <v>1387</v>
      </c>
      <c r="J495" t="s">
        <v>1388</v>
      </c>
      <c r="K495" s="1">
        <v>1.5457909748119599E-8</v>
      </c>
      <c r="L495" t="s">
        <v>1178</v>
      </c>
      <c r="M495" t="str">
        <f>HYPERLINK("http://www.broadinstitute.org/gsea/msigdb/cards/GSE2770_TGFB_AND_IL4_VS_IL12_TREATED_ACT_CD4_TCELL_2H_UP.html")</f>
        <v>http://www.broadinstitute.org/gsea/msigdb/cards/GSE2770_TGFB_AND_IL4_VS_IL12_TREATED_ACT_CD4_TCELL_2H_UP.html</v>
      </c>
    </row>
    <row r="496" spans="1:13">
      <c r="A496">
        <v>3495</v>
      </c>
      <c r="B496" t="s">
        <v>1389</v>
      </c>
      <c r="C496">
        <v>12</v>
      </c>
      <c r="D496">
        <v>146</v>
      </c>
      <c r="E496">
        <v>199</v>
      </c>
      <c r="F496">
        <v>32441</v>
      </c>
      <c r="G496">
        <v>13.3989123700695</v>
      </c>
      <c r="H496" s="1">
        <v>2.2835205220865299E-10</v>
      </c>
      <c r="I496" t="s">
        <v>1390</v>
      </c>
      <c r="J496" t="s">
        <v>1391</v>
      </c>
      <c r="K496" s="1">
        <v>1.5457909748119599E-8</v>
      </c>
      <c r="L496" t="s">
        <v>1178</v>
      </c>
      <c r="M496" t="str">
        <f>HYPERLINK("http://www.broadinstitute.org/gsea/msigdb/cards/GSE16385_IL4_VS_ROSIGLITAZONE_STIM_MACROPHAGE_UP.html")</f>
        <v>http://www.broadinstitute.org/gsea/msigdb/cards/GSE16385_IL4_VS_ROSIGLITAZONE_STIM_MACROPHAGE_UP.html</v>
      </c>
    </row>
    <row r="497" spans="1:13">
      <c r="A497">
        <v>3869</v>
      </c>
      <c r="B497" t="s">
        <v>1392</v>
      </c>
      <c r="C497">
        <v>12</v>
      </c>
      <c r="D497">
        <v>146</v>
      </c>
      <c r="E497">
        <v>200</v>
      </c>
      <c r="F497">
        <v>32441</v>
      </c>
      <c r="G497">
        <v>13.331917808219201</v>
      </c>
      <c r="H497" s="1">
        <v>2.41133239092178E-10</v>
      </c>
      <c r="I497" t="s">
        <v>1393</v>
      </c>
      <c r="J497" t="s">
        <v>1394</v>
      </c>
      <c r="K497" s="1">
        <v>1.5457909748119599E-8</v>
      </c>
      <c r="L497" t="s">
        <v>1178</v>
      </c>
      <c r="M497" t="str">
        <f>HYPERLINK("http://www.broadinstitute.org/gsea/msigdb/cards/GSE26030_TH1_VS_TH17_RESTIMULATED_DAY5_POST_POLARIZATION_UP.html")</f>
        <v>http://www.broadinstitute.org/gsea/msigdb/cards/GSE26030_TH1_VS_TH17_RESTIMULATED_DAY5_POST_POLARIZATION_UP.html</v>
      </c>
    </row>
    <row r="498" spans="1:13">
      <c r="A498">
        <v>4203</v>
      </c>
      <c r="B498" t="s">
        <v>1395</v>
      </c>
      <c r="C498">
        <v>12</v>
      </c>
      <c r="D498">
        <v>146</v>
      </c>
      <c r="E498">
        <v>200</v>
      </c>
      <c r="F498">
        <v>32441</v>
      </c>
      <c r="G498">
        <v>13.331917808219201</v>
      </c>
      <c r="H498" s="1">
        <v>2.41133239092178E-10</v>
      </c>
      <c r="I498" t="s">
        <v>1396</v>
      </c>
      <c r="J498" t="s">
        <v>1397</v>
      </c>
      <c r="K498" s="1">
        <v>1.5457909748119599E-8</v>
      </c>
      <c r="L498" t="s">
        <v>1178</v>
      </c>
      <c r="M498" t="str">
        <f>HYPERLINK("http://www.broadinstitute.org/gsea/msigdb/cards/GSE32034_UNTREATED_VS_ROSIGLIZATONE_TREATED_LY6C_HIGH_MONOCYTE_DN.html")</f>
        <v>http://www.broadinstitute.org/gsea/msigdb/cards/GSE32034_UNTREATED_VS_ROSIGLIZATONE_TREATED_LY6C_HIGH_MONOCYTE_DN.html</v>
      </c>
    </row>
    <row r="499" spans="1:13">
      <c r="A499">
        <v>4743</v>
      </c>
      <c r="B499" t="s">
        <v>1398</v>
      </c>
      <c r="C499">
        <v>12</v>
      </c>
      <c r="D499">
        <v>146</v>
      </c>
      <c r="E499">
        <v>200</v>
      </c>
      <c r="F499">
        <v>32441</v>
      </c>
      <c r="G499">
        <v>13.331917808219201</v>
      </c>
      <c r="H499" s="1">
        <v>2.41133239092178E-10</v>
      </c>
      <c r="I499" t="s">
        <v>1399</v>
      </c>
      <c r="J499" t="s">
        <v>1400</v>
      </c>
      <c r="K499" s="1">
        <v>1.5457909748119599E-8</v>
      </c>
      <c r="L499" t="s">
        <v>1178</v>
      </c>
      <c r="M499" t="str">
        <f>HYPERLINK("http://www.broadinstitute.org/gsea/msigdb/cards/GSE46606_IRF4HIGH_VS_IRF4MID_CD40L_IL2_IL5_DAY3_STIMULATED_BCELL_UP.html")</f>
        <v>http://www.broadinstitute.org/gsea/msigdb/cards/GSE46606_IRF4HIGH_VS_IRF4MID_CD40L_IL2_IL5_DAY3_STIMULATED_BCELL_UP.html</v>
      </c>
    </row>
    <row r="500" spans="1:13">
      <c r="A500">
        <v>4785</v>
      </c>
      <c r="B500" t="s">
        <v>1401</v>
      </c>
      <c r="C500">
        <v>12</v>
      </c>
      <c r="D500">
        <v>146</v>
      </c>
      <c r="E500">
        <v>200</v>
      </c>
      <c r="F500">
        <v>32441</v>
      </c>
      <c r="G500">
        <v>13.331917808219201</v>
      </c>
      <c r="H500" s="1">
        <v>2.41133239092178E-10</v>
      </c>
      <c r="I500" t="s">
        <v>1402</v>
      </c>
      <c r="J500" t="s">
        <v>1403</v>
      </c>
      <c r="K500" s="1">
        <v>1.5457909748119599E-8</v>
      </c>
      <c r="L500" t="s">
        <v>1178</v>
      </c>
      <c r="M500" t="str">
        <f>HYPERLINK("http://www.broadinstitute.org/gsea/msigdb/cards/GSE41176_UNSTIM_VS_ANTI_IGM_STIM_BCELL_1H_DN.html")</f>
        <v>http://www.broadinstitute.org/gsea/msigdb/cards/GSE41176_UNSTIM_VS_ANTI_IGM_STIM_BCELL_1H_DN.html</v>
      </c>
    </row>
    <row r="501" spans="1:13">
      <c r="A501">
        <v>122</v>
      </c>
      <c r="B501" t="s">
        <v>1404</v>
      </c>
      <c r="C501">
        <v>11</v>
      </c>
      <c r="D501">
        <v>146</v>
      </c>
      <c r="E501">
        <v>200</v>
      </c>
      <c r="F501">
        <v>32441</v>
      </c>
      <c r="G501">
        <v>12.2209246575342</v>
      </c>
      <c r="H501" s="1">
        <v>3.2935646932533298E-9</v>
      </c>
      <c r="I501" t="s">
        <v>1405</v>
      </c>
      <c r="J501" t="s">
        <v>1406</v>
      </c>
      <c r="K501" s="1">
        <v>1.80294912196969E-7</v>
      </c>
      <c r="L501" t="s">
        <v>1178</v>
      </c>
      <c r="M501" t="str">
        <f>HYPERLINK("http://www.broadinstitute.org/gsea/msigdb/cards/KAECH_DAY15_EFF_VS_MEMORY_CD8_TCELL_DN.html")</f>
        <v>http://www.broadinstitute.org/gsea/msigdb/cards/KAECH_DAY15_EFF_VS_MEMORY_CD8_TCELL_DN.html</v>
      </c>
    </row>
    <row r="502" spans="1:13">
      <c r="A502">
        <v>75</v>
      </c>
      <c r="B502" t="s">
        <v>1407</v>
      </c>
      <c r="C502">
        <v>11</v>
      </c>
      <c r="D502">
        <v>146</v>
      </c>
      <c r="E502">
        <v>200</v>
      </c>
      <c r="F502">
        <v>32441</v>
      </c>
      <c r="G502">
        <v>12.2209246575342</v>
      </c>
      <c r="H502" s="1">
        <v>3.2935646932533298E-9</v>
      </c>
      <c r="I502" t="s">
        <v>1408</v>
      </c>
      <c r="J502" t="s">
        <v>1409</v>
      </c>
      <c r="K502" s="1">
        <v>1.80294912196969E-7</v>
      </c>
      <c r="L502" t="s">
        <v>1178</v>
      </c>
      <c r="M502" t="str">
        <f>HYPERLINK("http://www.broadinstitute.org/gsea/msigdb/cards/GSE11864_UNTREATED_VS_CSF1_IN_MAC_UP.html")</f>
        <v>http://www.broadinstitute.org/gsea/msigdb/cards/GSE11864_UNTREATED_VS_CSF1_IN_MAC_UP.html</v>
      </c>
    </row>
    <row r="503" spans="1:13">
      <c r="A503">
        <v>193</v>
      </c>
      <c r="B503" t="s">
        <v>1410</v>
      </c>
      <c r="C503">
        <v>11</v>
      </c>
      <c r="D503">
        <v>146</v>
      </c>
      <c r="E503">
        <v>200</v>
      </c>
      <c r="F503">
        <v>32441</v>
      </c>
      <c r="G503">
        <v>12.2209246575342</v>
      </c>
      <c r="H503" s="1">
        <v>3.2935646932533298E-9</v>
      </c>
      <c r="I503" t="s">
        <v>1411</v>
      </c>
      <c r="J503" t="s">
        <v>1412</v>
      </c>
      <c r="K503" s="1">
        <v>1.80294912196969E-7</v>
      </c>
      <c r="L503" t="s">
        <v>1178</v>
      </c>
      <c r="M503" t="str">
        <f>HYPERLINK("http://www.broadinstitute.org/gsea/msigdb/cards/GSE13485_CTRL_VS_DAY7_YF17D_VACCINE_PBMC_UP.html")</f>
        <v>http://www.broadinstitute.org/gsea/msigdb/cards/GSE13485_CTRL_VS_DAY7_YF17D_VACCINE_PBMC_UP.html</v>
      </c>
    </row>
    <row r="504" spans="1:13">
      <c r="A504">
        <v>473</v>
      </c>
      <c r="B504" t="s">
        <v>1413</v>
      </c>
      <c r="C504">
        <v>11</v>
      </c>
      <c r="D504">
        <v>146</v>
      </c>
      <c r="E504">
        <v>199</v>
      </c>
      <c r="F504">
        <v>32441</v>
      </c>
      <c r="G504">
        <v>12.282336339230399</v>
      </c>
      <c r="H504" s="1">
        <v>3.13376687784342E-9</v>
      </c>
      <c r="I504" t="s">
        <v>1414</v>
      </c>
      <c r="J504" t="s">
        <v>1415</v>
      </c>
      <c r="K504" s="1">
        <v>1.80294912196969E-7</v>
      </c>
      <c r="L504" t="s">
        <v>1178</v>
      </c>
      <c r="M504" t="str">
        <f>HYPERLINK("http://www.broadinstitute.org/gsea/msigdb/cards/GSE17721_CTRL_VS_POLYIC_8H_BMDC_UP.html")</f>
        <v>http://www.broadinstitute.org/gsea/msigdb/cards/GSE17721_CTRL_VS_POLYIC_8H_BMDC_UP.html</v>
      </c>
    </row>
    <row r="505" spans="1:13">
      <c r="A505">
        <v>993</v>
      </c>
      <c r="B505" t="s">
        <v>1416</v>
      </c>
      <c r="C505">
        <v>11</v>
      </c>
      <c r="D505">
        <v>146</v>
      </c>
      <c r="E505">
        <v>200</v>
      </c>
      <c r="F505">
        <v>32441</v>
      </c>
      <c r="G505">
        <v>12.2209246575342</v>
      </c>
      <c r="H505" s="1">
        <v>3.2935646932533298E-9</v>
      </c>
      <c r="I505" t="s">
        <v>1417</v>
      </c>
      <c r="J505" t="s">
        <v>1418</v>
      </c>
      <c r="K505" s="1">
        <v>1.80294912196969E-7</v>
      </c>
      <c r="L505" t="s">
        <v>1178</v>
      </c>
      <c r="M505" t="str">
        <f>HYPERLINK("http://www.broadinstitute.org/gsea/msigdb/cards/GSE22886_NAIVE_CD4_TCELL_VS_DC_UP.html")</f>
        <v>http://www.broadinstitute.org/gsea/msigdb/cards/GSE22886_NAIVE_CD4_TCELL_VS_DC_UP.html</v>
      </c>
    </row>
    <row r="506" spans="1:13">
      <c r="A506">
        <v>1049</v>
      </c>
      <c r="B506" t="s">
        <v>1419</v>
      </c>
      <c r="C506">
        <v>11</v>
      </c>
      <c r="D506">
        <v>146</v>
      </c>
      <c r="E506">
        <v>200</v>
      </c>
      <c r="F506">
        <v>32441</v>
      </c>
      <c r="G506">
        <v>12.2209246575342</v>
      </c>
      <c r="H506" s="1">
        <v>3.2935646932533298E-9</v>
      </c>
      <c r="I506" t="s">
        <v>1420</v>
      </c>
      <c r="J506" t="s">
        <v>1421</v>
      </c>
      <c r="K506" s="1">
        <v>1.80294912196969E-7</v>
      </c>
      <c r="L506" t="s">
        <v>1178</v>
      </c>
      <c r="M506" t="str">
        <f>HYPERLINK("http://www.broadinstitute.org/gsea/msigdb/cards/GSE24634_NAIVE_CD4_TCELL_VS_DAY5_IL4_CONV_TREG_UP.html")</f>
        <v>http://www.broadinstitute.org/gsea/msigdb/cards/GSE24634_NAIVE_CD4_TCELL_VS_DAY5_IL4_CONV_TREG_UP.html</v>
      </c>
    </row>
    <row r="507" spans="1:13">
      <c r="A507">
        <v>1705</v>
      </c>
      <c r="B507" t="s">
        <v>1422</v>
      </c>
      <c r="C507">
        <v>11</v>
      </c>
      <c r="D507">
        <v>146</v>
      </c>
      <c r="E507">
        <v>200</v>
      </c>
      <c r="F507">
        <v>32441</v>
      </c>
      <c r="G507">
        <v>12.2209246575342</v>
      </c>
      <c r="H507" s="1">
        <v>3.2935646932533298E-9</v>
      </c>
      <c r="I507" t="s">
        <v>1423</v>
      </c>
      <c r="J507" t="s">
        <v>1424</v>
      </c>
      <c r="K507" s="1">
        <v>1.80294912196969E-7</v>
      </c>
      <c r="L507" t="s">
        <v>1178</v>
      </c>
      <c r="M507" t="str">
        <f>HYPERLINK("http://www.broadinstitute.org/gsea/msigdb/cards/GSE3982_CENT_MEMORY_CD4_TCELL_VS_NKCELL_UP.html")</f>
        <v>http://www.broadinstitute.org/gsea/msigdb/cards/GSE3982_CENT_MEMORY_CD4_TCELL_VS_NKCELL_UP.html</v>
      </c>
    </row>
    <row r="508" spans="1:13">
      <c r="A508">
        <v>1982</v>
      </c>
      <c r="B508" t="s">
        <v>1425</v>
      </c>
      <c r="C508">
        <v>11</v>
      </c>
      <c r="D508">
        <v>146</v>
      </c>
      <c r="E508">
        <v>200</v>
      </c>
      <c r="F508">
        <v>32441</v>
      </c>
      <c r="G508">
        <v>12.2209246575342</v>
      </c>
      <c r="H508" s="1">
        <v>3.2935646932533298E-9</v>
      </c>
      <c r="I508" t="s">
        <v>1426</v>
      </c>
      <c r="J508" t="s">
        <v>1427</v>
      </c>
      <c r="K508" s="1">
        <v>1.80294912196969E-7</v>
      </c>
      <c r="L508" t="s">
        <v>1178</v>
      </c>
      <c r="M508" t="str">
        <f>HYPERLINK("http://www.broadinstitute.org/gsea/msigdb/cards/GSE2770_IL12_VS_TGFB_AND_IL12_TREATED_ACT_CD4_TCELL_6H_DN.html")</f>
        <v>http://www.broadinstitute.org/gsea/msigdb/cards/GSE2770_IL12_VS_TGFB_AND_IL12_TREATED_ACT_CD4_TCELL_6H_DN.html</v>
      </c>
    </row>
    <row r="509" spans="1:13">
      <c r="A509">
        <v>2959</v>
      </c>
      <c r="B509" t="s">
        <v>1428</v>
      </c>
      <c r="C509">
        <v>11</v>
      </c>
      <c r="D509">
        <v>146</v>
      </c>
      <c r="E509">
        <v>200</v>
      </c>
      <c r="F509">
        <v>32441</v>
      </c>
      <c r="G509">
        <v>12.2209246575342</v>
      </c>
      <c r="H509" s="1">
        <v>3.2935646932533298E-9</v>
      </c>
      <c r="I509" t="s">
        <v>1429</v>
      </c>
      <c r="J509" t="s">
        <v>1430</v>
      </c>
      <c r="K509" s="1">
        <v>1.80294912196969E-7</v>
      </c>
      <c r="L509" t="s">
        <v>1178</v>
      </c>
      <c r="M509" t="str">
        <f>HYPERLINK("http://www.broadinstitute.org/gsea/msigdb/cards/GSE16266_CTRL_VS_HEATSHOCK_AND_LPS_STIM_MEF_UP.html")</f>
        <v>http://www.broadinstitute.org/gsea/msigdb/cards/GSE16266_CTRL_VS_HEATSHOCK_AND_LPS_STIM_MEF_UP.html</v>
      </c>
    </row>
    <row r="510" spans="1:13">
      <c r="A510">
        <v>3466</v>
      </c>
      <c r="B510" t="s">
        <v>1431</v>
      </c>
      <c r="C510">
        <v>11</v>
      </c>
      <c r="D510">
        <v>146</v>
      </c>
      <c r="E510">
        <v>199</v>
      </c>
      <c r="F510">
        <v>32441</v>
      </c>
      <c r="G510">
        <v>12.282336339230399</v>
      </c>
      <c r="H510" s="1">
        <v>3.13376687784342E-9</v>
      </c>
      <c r="I510" t="s">
        <v>1432</v>
      </c>
      <c r="J510" t="s">
        <v>1433</v>
      </c>
      <c r="K510" s="1">
        <v>1.80294912196969E-7</v>
      </c>
      <c r="L510" t="s">
        <v>1178</v>
      </c>
      <c r="M510" t="str">
        <f>HYPERLINK("http://www.broadinstitute.org/gsea/msigdb/cards/GSE25088_WT_VS_STAT6_KO_MACROPHAGE_UP.html")</f>
        <v>http://www.broadinstitute.org/gsea/msigdb/cards/GSE25088_WT_VS_STAT6_KO_MACROPHAGE_UP.html</v>
      </c>
    </row>
    <row r="511" spans="1:13">
      <c r="A511">
        <v>3539</v>
      </c>
      <c r="B511" t="s">
        <v>1434</v>
      </c>
      <c r="C511">
        <v>11</v>
      </c>
      <c r="D511">
        <v>146</v>
      </c>
      <c r="E511">
        <v>200</v>
      </c>
      <c r="F511">
        <v>32441</v>
      </c>
      <c r="G511">
        <v>12.2209246575342</v>
      </c>
      <c r="H511" s="1">
        <v>3.2935646932533298E-9</v>
      </c>
      <c r="I511" t="s">
        <v>1435</v>
      </c>
      <c r="J511" t="s">
        <v>1436</v>
      </c>
      <c r="K511" s="1">
        <v>1.80294912196969E-7</v>
      </c>
      <c r="L511" t="s">
        <v>1178</v>
      </c>
      <c r="M511" t="str">
        <f>HYPERLINK("http://www.broadinstitute.org/gsea/msigdb/cards/GSE25085_FETAL_LIVER_VS_ADULT_BM_SP4_THYMIC_IMPLANT_UP.html")</f>
        <v>http://www.broadinstitute.org/gsea/msigdb/cards/GSE25085_FETAL_LIVER_VS_ADULT_BM_SP4_THYMIC_IMPLANT_UP.html</v>
      </c>
    </row>
    <row r="512" spans="1:13">
      <c r="A512">
        <v>3543</v>
      </c>
      <c r="B512" t="s">
        <v>1437</v>
      </c>
      <c r="C512">
        <v>11</v>
      </c>
      <c r="D512">
        <v>146</v>
      </c>
      <c r="E512">
        <v>200</v>
      </c>
      <c r="F512">
        <v>32441</v>
      </c>
      <c r="G512">
        <v>12.2209246575342</v>
      </c>
      <c r="H512" s="1">
        <v>3.2935646932533298E-9</v>
      </c>
      <c r="I512" t="s">
        <v>1438</v>
      </c>
      <c r="J512" t="s">
        <v>1439</v>
      </c>
      <c r="K512" s="1">
        <v>1.80294912196969E-7</v>
      </c>
      <c r="L512" t="s">
        <v>1178</v>
      </c>
      <c r="M512" t="str">
        <f>HYPERLINK("http://www.broadinstitute.org/gsea/msigdb/cards/GSE23398_WT_VS_IL2_KO_CD4_TCELL_SCURFY_MOUSE_DN.html")</f>
        <v>http://www.broadinstitute.org/gsea/msigdb/cards/GSE23398_WT_VS_IL2_KO_CD4_TCELL_SCURFY_MOUSE_DN.html</v>
      </c>
    </row>
    <row r="513" spans="1:13">
      <c r="A513">
        <v>42051</v>
      </c>
      <c r="B513" t="s">
        <v>1440</v>
      </c>
      <c r="C513">
        <v>11</v>
      </c>
      <c r="D513">
        <v>146</v>
      </c>
      <c r="E513">
        <v>200</v>
      </c>
      <c r="F513">
        <v>32441</v>
      </c>
      <c r="G513">
        <v>12.2209246575342</v>
      </c>
      <c r="H513" s="1">
        <v>3.2935646932533298E-9</v>
      </c>
      <c r="I513" t="s">
        <v>1441</v>
      </c>
      <c r="J513" t="s">
        <v>1442</v>
      </c>
      <c r="K513" s="1">
        <v>1.80294912196969E-7</v>
      </c>
      <c r="L513" t="s">
        <v>1178</v>
      </c>
      <c r="M513" t="str">
        <f>HYPERLINK("http://www.broadinstitute.org/gsea/msigdb/cards/GSE39864_WT_VS_GATA3_KO_TREG_DN.html")</f>
        <v>http://www.broadinstitute.org/gsea/msigdb/cards/GSE39864_WT_VS_GATA3_KO_TREG_DN.html</v>
      </c>
    </row>
    <row r="514" spans="1:13">
      <c r="A514">
        <v>2456</v>
      </c>
      <c r="B514" t="s">
        <v>1443</v>
      </c>
      <c r="C514">
        <v>10</v>
      </c>
      <c r="D514">
        <v>146</v>
      </c>
      <c r="E514">
        <v>169</v>
      </c>
      <c r="F514">
        <v>32441</v>
      </c>
      <c r="G514">
        <v>13.147847937099799</v>
      </c>
      <c r="H514" s="1">
        <v>9.0252337897546202E-9</v>
      </c>
      <c r="I514" t="s">
        <v>1444</v>
      </c>
      <c r="J514" t="s">
        <v>1445</v>
      </c>
      <c r="K514" s="1">
        <v>4.8856598915204998E-7</v>
      </c>
      <c r="L514" t="s">
        <v>1178</v>
      </c>
      <c r="M514" t="str">
        <f>HYPERLINK("http://www.broadinstitute.org/gsea/msigdb/cards/GSE6259_FLT3L_INDUCED_33D1_POS_DC_VS_CD4_TCELL_DN.html")</f>
        <v>http://www.broadinstitute.org/gsea/msigdb/cards/GSE6259_FLT3L_INDUCED_33D1_POS_DC_VS_CD4_TCELL_DN.html</v>
      </c>
    </row>
    <row r="515" spans="1:13">
      <c r="A515">
        <v>2171</v>
      </c>
      <c r="B515" t="s">
        <v>1446</v>
      </c>
      <c r="C515">
        <v>10</v>
      </c>
      <c r="D515">
        <v>146</v>
      </c>
      <c r="E515">
        <v>177</v>
      </c>
      <c r="F515">
        <v>32441</v>
      </c>
      <c r="G515">
        <v>12.5535949229936</v>
      </c>
      <c r="H515" s="1">
        <v>1.37083352585323E-8</v>
      </c>
      <c r="I515" t="s">
        <v>1447</v>
      </c>
      <c r="J515" t="s">
        <v>1448</v>
      </c>
      <c r="K515" s="1">
        <v>7.3392317999526899E-7</v>
      </c>
      <c r="L515" t="s">
        <v>1178</v>
      </c>
      <c r="M515" t="str">
        <f>HYPERLINK("http://www.broadinstitute.org/gsea/msigdb/cards/GSE3565_DUSP1_VS_WT_SPLENOCYTES_DN.html")</f>
        <v>http://www.broadinstitute.org/gsea/msigdb/cards/GSE3565_DUSP1_VS_WT_SPLENOCYTES_DN.html</v>
      </c>
    </row>
    <row r="516" spans="1:13">
      <c r="A516">
        <v>4371</v>
      </c>
      <c r="B516" t="s">
        <v>1449</v>
      </c>
      <c r="C516">
        <v>10</v>
      </c>
      <c r="D516">
        <v>146</v>
      </c>
      <c r="E516">
        <v>193</v>
      </c>
      <c r="F516">
        <v>32441</v>
      </c>
      <c r="G516">
        <v>11.512882390517399</v>
      </c>
      <c r="H516" s="1">
        <v>2.9898512697716701E-8</v>
      </c>
      <c r="I516" t="s">
        <v>1450</v>
      </c>
      <c r="J516" t="s">
        <v>1451</v>
      </c>
      <c r="K516" s="1">
        <v>1.5833212376443001E-6</v>
      </c>
      <c r="L516" t="s">
        <v>1178</v>
      </c>
      <c r="M516" t="str">
        <f>HYPERLINK("http://www.broadinstitute.org/gsea/msigdb/cards/GSE40685_NAIVE_CD4_TCELL_VS_TREG_UP.html")</f>
        <v>http://www.broadinstitute.org/gsea/msigdb/cards/GSE40685_NAIVE_CD4_TCELL_VS_TREG_UP.html</v>
      </c>
    </row>
    <row r="517" spans="1:13">
      <c r="A517">
        <v>4323</v>
      </c>
      <c r="B517" t="s">
        <v>1452</v>
      </c>
      <c r="C517">
        <v>10</v>
      </c>
      <c r="D517">
        <v>146</v>
      </c>
      <c r="E517">
        <v>194</v>
      </c>
      <c r="F517">
        <v>32441</v>
      </c>
      <c r="G517">
        <v>11.4535376359271</v>
      </c>
      <c r="H517" s="1">
        <v>3.1320483299385202E-8</v>
      </c>
      <c r="I517" t="s">
        <v>1453</v>
      </c>
      <c r="J517" t="s">
        <v>1454</v>
      </c>
      <c r="K517" s="1">
        <v>1.6407891896193999E-6</v>
      </c>
      <c r="L517" t="s">
        <v>1178</v>
      </c>
      <c r="M517" t="str">
        <f>HYPERLINK("http://www.broadinstitute.org/gsea/msigdb/cards/GSE20727_DNFB_ALLERGEN_VS_ROS_INH_AND_DNFB_ALLERGEN_TREATED_DC_UP.html")</f>
        <v>http://www.broadinstitute.org/gsea/msigdb/cards/GSE20727_DNFB_ALLERGEN_VS_ROS_INH_AND_DNFB_ALLERGEN_TREATED_DC_UP.html</v>
      </c>
    </row>
    <row r="518" spans="1:13">
      <c r="A518">
        <v>1</v>
      </c>
      <c r="B518" t="s">
        <v>1455</v>
      </c>
      <c r="C518">
        <v>10</v>
      </c>
      <c r="D518">
        <v>146</v>
      </c>
      <c r="E518">
        <v>200</v>
      </c>
      <c r="F518">
        <v>32441</v>
      </c>
      <c r="G518">
        <v>11.1099315068493</v>
      </c>
      <c r="H518" s="1">
        <v>4.1176221800834101E-8</v>
      </c>
      <c r="I518" t="s">
        <v>1456</v>
      </c>
      <c r="J518" t="s">
        <v>1457</v>
      </c>
      <c r="K518" s="1">
        <v>1.6858029631400301E-6</v>
      </c>
      <c r="L518" t="s">
        <v>1178</v>
      </c>
      <c r="M518" t="str">
        <f>HYPERLINK("http://www.broadinstitute.org/gsea/msigdb/cards/KAECH_NAIVE_VS_DAY8_EFF_CD8_TCELL_UP.html")</f>
        <v>http://www.broadinstitute.org/gsea/msigdb/cards/KAECH_NAIVE_VS_DAY8_EFF_CD8_TCELL_UP.html</v>
      </c>
    </row>
    <row r="519" spans="1:13">
      <c r="A519">
        <v>18</v>
      </c>
      <c r="B519" t="s">
        <v>1458</v>
      </c>
      <c r="C519">
        <v>10</v>
      </c>
      <c r="D519">
        <v>146</v>
      </c>
      <c r="E519">
        <v>200</v>
      </c>
      <c r="F519">
        <v>32441</v>
      </c>
      <c r="G519">
        <v>11.1099315068493</v>
      </c>
      <c r="H519" s="1">
        <v>4.1176221800834101E-8</v>
      </c>
      <c r="I519" t="s">
        <v>1459</v>
      </c>
      <c r="J519" t="s">
        <v>1460</v>
      </c>
      <c r="K519" s="1">
        <v>1.6858029631400301E-6</v>
      </c>
      <c r="L519" t="s">
        <v>1178</v>
      </c>
      <c r="M519" t="str">
        <f>HYPERLINK("http://www.broadinstitute.org/gsea/msigdb/cards/GOLDRATH_EFF_VS_MEMORY_CD8_TCELL_DN.html")</f>
        <v>http://www.broadinstitute.org/gsea/msigdb/cards/GOLDRATH_EFF_VS_MEMORY_CD8_TCELL_DN.html</v>
      </c>
    </row>
    <row r="520" spans="1:13">
      <c r="A520">
        <v>523</v>
      </c>
      <c r="B520" t="s">
        <v>1461</v>
      </c>
      <c r="C520">
        <v>10</v>
      </c>
      <c r="D520">
        <v>146</v>
      </c>
      <c r="E520">
        <v>200</v>
      </c>
      <c r="F520">
        <v>32441</v>
      </c>
      <c r="G520">
        <v>11.1099315068493</v>
      </c>
      <c r="H520" s="1">
        <v>4.1176221800834101E-8</v>
      </c>
      <c r="I520" t="s">
        <v>1462</v>
      </c>
      <c r="J520" t="s">
        <v>1463</v>
      </c>
      <c r="K520" s="1">
        <v>1.6858029631400301E-6</v>
      </c>
      <c r="L520" t="s">
        <v>1178</v>
      </c>
      <c r="M520" t="str">
        <f>HYPERLINK("http://www.broadinstitute.org/gsea/msigdb/cards/GSE17721_CTRL_VS_GARDIQUIMOD_12H_BMDC_UP.html")</f>
        <v>http://www.broadinstitute.org/gsea/msigdb/cards/GSE17721_CTRL_VS_GARDIQUIMOD_12H_BMDC_UP.html</v>
      </c>
    </row>
    <row r="521" spans="1:13">
      <c r="A521">
        <v>581</v>
      </c>
      <c r="B521" t="s">
        <v>1464</v>
      </c>
      <c r="C521">
        <v>10</v>
      </c>
      <c r="D521">
        <v>146</v>
      </c>
      <c r="E521">
        <v>200</v>
      </c>
      <c r="F521">
        <v>32441</v>
      </c>
      <c r="G521">
        <v>11.1099315068493</v>
      </c>
      <c r="H521" s="1">
        <v>4.1176221800834101E-8</v>
      </c>
      <c r="I521" t="s">
        <v>1465</v>
      </c>
      <c r="J521" t="s">
        <v>1466</v>
      </c>
      <c r="K521" s="1">
        <v>1.6858029631400301E-6</v>
      </c>
      <c r="L521" t="s">
        <v>1178</v>
      </c>
      <c r="M521" t="str">
        <f>HYPERLINK("http://www.broadinstitute.org/gsea/msigdb/cards/GSE17721_CPG_VS_GARDIQUIMOD_0.5H_BMDC_UP.html")</f>
        <v>http://www.broadinstitute.org/gsea/msigdb/cards/GSE17721_CPG_VS_GARDIQUIMOD_0.5H_BMDC_UP.html</v>
      </c>
    </row>
    <row r="522" spans="1:13">
      <c r="A522">
        <v>651</v>
      </c>
      <c r="B522" t="s">
        <v>1467</v>
      </c>
      <c r="C522">
        <v>10</v>
      </c>
      <c r="D522">
        <v>146</v>
      </c>
      <c r="E522">
        <v>200</v>
      </c>
      <c r="F522">
        <v>32441</v>
      </c>
      <c r="G522">
        <v>11.1099315068493</v>
      </c>
      <c r="H522" s="1">
        <v>4.1176221800834101E-8</v>
      </c>
      <c r="I522" t="s">
        <v>1468</v>
      </c>
      <c r="J522" t="s">
        <v>1469</v>
      </c>
      <c r="K522" s="1">
        <v>1.6858029631400301E-6</v>
      </c>
      <c r="L522" t="s">
        <v>1178</v>
      </c>
      <c r="M522" t="str">
        <f>HYPERLINK("http://www.broadinstitute.org/gsea/msigdb/cards/GSE17721_PAM3CSK4_VS_GADIQUIMOD_24H_BMDC_UP.html")</f>
        <v>http://www.broadinstitute.org/gsea/msigdb/cards/GSE17721_PAM3CSK4_VS_GADIQUIMOD_24H_BMDC_UP.html</v>
      </c>
    </row>
    <row r="523" spans="1:13">
      <c r="A523">
        <v>707</v>
      </c>
      <c r="B523" t="s">
        <v>1470</v>
      </c>
      <c r="C523">
        <v>10</v>
      </c>
      <c r="D523">
        <v>146</v>
      </c>
      <c r="E523">
        <v>199</v>
      </c>
      <c r="F523">
        <v>32441</v>
      </c>
      <c r="G523">
        <v>11.165760308391301</v>
      </c>
      <c r="H523" s="1">
        <v>3.9364676328310901E-8</v>
      </c>
      <c r="I523" t="s">
        <v>1471</v>
      </c>
      <c r="J523" t="s">
        <v>1472</v>
      </c>
      <c r="K523" s="1">
        <v>1.6858029631400301E-6</v>
      </c>
      <c r="L523" t="s">
        <v>1178</v>
      </c>
      <c r="M523" t="str">
        <f>HYPERLINK("http://www.broadinstitute.org/gsea/msigdb/cards/GSE17721_0.5H_VS_12H_LPS_BMDC_UP.html")</f>
        <v>http://www.broadinstitute.org/gsea/msigdb/cards/GSE17721_0.5H_VS_12H_LPS_BMDC_UP.html</v>
      </c>
    </row>
    <row r="524" spans="1:13">
      <c r="A524">
        <v>711</v>
      </c>
      <c r="B524" t="s">
        <v>1473</v>
      </c>
      <c r="C524">
        <v>10</v>
      </c>
      <c r="D524">
        <v>146</v>
      </c>
      <c r="E524">
        <v>200</v>
      </c>
      <c r="F524">
        <v>32441</v>
      </c>
      <c r="G524">
        <v>11.1099315068493</v>
      </c>
      <c r="H524" s="1">
        <v>4.1176221800834101E-8</v>
      </c>
      <c r="I524" t="s">
        <v>1474</v>
      </c>
      <c r="J524" t="s">
        <v>1475</v>
      </c>
      <c r="K524" s="1">
        <v>1.6858029631400301E-6</v>
      </c>
      <c r="L524" t="s">
        <v>1178</v>
      </c>
      <c r="M524" t="str">
        <f>HYPERLINK("http://www.broadinstitute.org/gsea/msigdb/cards/GSE17721_0.5H_VS_8H_LPS_BMDC_UP.html")</f>
        <v>http://www.broadinstitute.org/gsea/msigdb/cards/GSE17721_0.5H_VS_8H_LPS_BMDC_UP.html</v>
      </c>
    </row>
    <row r="525" spans="1:13">
      <c r="A525">
        <v>7131</v>
      </c>
      <c r="B525" t="s">
        <v>1476</v>
      </c>
      <c r="C525">
        <v>10</v>
      </c>
      <c r="D525">
        <v>146</v>
      </c>
      <c r="E525">
        <v>199</v>
      </c>
      <c r="F525">
        <v>32441</v>
      </c>
      <c r="G525">
        <v>11.165760308391301</v>
      </c>
      <c r="H525" s="1">
        <v>3.9364676328310901E-8</v>
      </c>
      <c r="I525" t="s">
        <v>1477</v>
      </c>
      <c r="J525" t="s">
        <v>1478</v>
      </c>
      <c r="K525" s="1">
        <v>1.6858029631400301E-6</v>
      </c>
      <c r="L525" t="s">
        <v>1178</v>
      </c>
      <c r="M525" t="str">
        <f>HYPERLINK("http://www.broadinstitute.org/gsea/msigdb/cards/GSE17721_0.5H_VS_24H_LPS_BMDC_UP.html")</f>
        <v>http://www.broadinstitute.org/gsea/msigdb/cards/GSE17721_0.5H_VS_24H_LPS_BMDC_UP.html</v>
      </c>
    </row>
    <row r="526" spans="1:13">
      <c r="A526">
        <v>957</v>
      </c>
      <c r="B526" t="s">
        <v>1479</v>
      </c>
      <c r="C526">
        <v>10</v>
      </c>
      <c r="D526">
        <v>146</v>
      </c>
      <c r="E526">
        <v>200</v>
      </c>
      <c r="F526">
        <v>32441</v>
      </c>
      <c r="G526">
        <v>11.1099315068493</v>
      </c>
      <c r="H526" s="1">
        <v>4.1176221800834101E-8</v>
      </c>
      <c r="I526" t="s">
        <v>1480</v>
      </c>
      <c r="J526" t="s">
        <v>1481</v>
      </c>
      <c r="K526" s="1">
        <v>1.6858029631400301E-6</v>
      </c>
      <c r="L526" t="s">
        <v>1178</v>
      </c>
      <c r="M526" t="str">
        <f>HYPERLINK("http://www.broadinstitute.org/gsea/msigdb/cards/GSE22886_IGM_MEMORY_BCELL_VS_BLOOD_PLASMA_CELL_UP.html")</f>
        <v>http://www.broadinstitute.org/gsea/msigdb/cards/GSE22886_IGM_MEMORY_BCELL_VS_BLOOD_PLASMA_CELL_UP.html</v>
      </c>
    </row>
    <row r="527" spans="1:13">
      <c r="A527">
        <v>1150</v>
      </c>
      <c r="B527" t="s">
        <v>1482</v>
      </c>
      <c r="C527">
        <v>10</v>
      </c>
      <c r="D527">
        <v>146</v>
      </c>
      <c r="E527">
        <v>200</v>
      </c>
      <c r="F527">
        <v>32441</v>
      </c>
      <c r="G527">
        <v>11.1099315068493</v>
      </c>
      <c r="H527" s="1">
        <v>4.1176221800834101E-8</v>
      </c>
      <c r="I527" t="s">
        <v>1483</v>
      </c>
      <c r="J527" t="s">
        <v>1484</v>
      </c>
      <c r="K527" s="1">
        <v>1.6858029631400301E-6</v>
      </c>
      <c r="L527" t="s">
        <v>1178</v>
      </c>
      <c r="M527" t="str">
        <f>HYPERLINK("http://www.broadinstitute.org/gsea/msigdb/cards/GSE27786_LSK_VS_CD8_TCELL_DN.html")</f>
        <v>http://www.broadinstitute.org/gsea/msigdb/cards/GSE27786_LSK_VS_CD8_TCELL_DN.html</v>
      </c>
    </row>
    <row r="528" spans="1:13">
      <c r="A528">
        <v>1390</v>
      </c>
      <c r="B528" t="s">
        <v>1485</v>
      </c>
      <c r="C528">
        <v>10</v>
      </c>
      <c r="D528">
        <v>146</v>
      </c>
      <c r="E528">
        <v>200</v>
      </c>
      <c r="F528">
        <v>32441</v>
      </c>
      <c r="G528">
        <v>11.1099315068493</v>
      </c>
      <c r="H528" s="1">
        <v>4.1176221800834101E-8</v>
      </c>
      <c r="I528" t="s">
        <v>1486</v>
      </c>
      <c r="J528" t="s">
        <v>1487</v>
      </c>
      <c r="K528" s="1">
        <v>1.6858029631400301E-6</v>
      </c>
      <c r="L528" t="s">
        <v>1178</v>
      </c>
      <c r="M528" t="str">
        <f>HYPERLINK("http://www.broadinstitute.org/gsea/msigdb/cards/GSE339_CD4POS_VS_CD8POS_DC_IN_CULTURE_DN.html")</f>
        <v>http://www.broadinstitute.org/gsea/msigdb/cards/GSE339_CD4POS_VS_CD8POS_DC_IN_CULTURE_DN.html</v>
      </c>
    </row>
    <row r="529" spans="1:13">
      <c r="A529">
        <v>1594</v>
      </c>
      <c r="B529" t="s">
        <v>1488</v>
      </c>
      <c r="C529">
        <v>10</v>
      </c>
      <c r="D529">
        <v>146</v>
      </c>
      <c r="E529">
        <v>200</v>
      </c>
      <c r="F529">
        <v>32441</v>
      </c>
      <c r="G529">
        <v>11.1099315068493</v>
      </c>
      <c r="H529" s="1">
        <v>4.1176221800834101E-8</v>
      </c>
      <c r="I529" t="s">
        <v>1489</v>
      </c>
      <c r="J529" t="s">
        <v>1490</v>
      </c>
      <c r="K529" s="1">
        <v>1.6858029631400301E-6</v>
      </c>
      <c r="L529" t="s">
        <v>1178</v>
      </c>
      <c r="M529" t="str">
        <f>HYPERLINK("http://www.broadinstitute.org/gsea/msigdb/cards/GSE3982_EOSINOPHIL_VS_BCELL_DN.html")</f>
        <v>http://www.broadinstitute.org/gsea/msigdb/cards/GSE3982_EOSINOPHIL_VS_BCELL_DN.html</v>
      </c>
    </row>
    <row r="530" spans="1:13">
      <c r="A530">
        <v>16661</v>
      </c>
      <c r="B530" t="s">
        <v>1491</v>
      </c>
      <c r="C530">
        <v>10</v>
      </c>
      <c r="D530">
        <v>146</v>
      </c>
      <c r="E530">
        <v>200</v>
      </c>
      <c r="F530">
        <v>32441</v>
      </c>
      <c r="G530">
        <v>11.1099315068493</v>
      </c>
      <c r="H530" s="1">
        <v>4.1176221800834101E-8</v>
      </c>
      <c r="I530" t="s">
        <v>1492</v>
      </c>
      <c r="J530" t="s">
        <v>1493</v>
      </c>
      <c r="K530" s="1">
        <v>1.6858029631400301E-6</v>
      </c>
      <c r="L530" t="s">
        <v>1178</v>
      </c>
      <c r="M530" t="str">
        <f>HYPERLINK("http://www.broadinstitute.org/gsea/msigdb/cards/GSE3982_NEUTROPHIL_VS_EFF_MEMORY_CD4_TCELL_DN.html")</f>
        <v>http://www.broadinstitute.org/gsea/msigdb/cards/GSE3982_NEUTROPHIL_VS_EFF_MEMORY_CD4_TCELL_DN.html</v>
      </c>
    </row>
    <row r="531" spans="1:13">
      <c r="A531">
        <v>1739</v>
      </c>
      <c r="B531" t="s">
        <v>1494</v>
      </c>
      <c r="C531">
        <v>10</v>
      </c>
      <c r="D531">
        <v>146</v>
      </c>
      <c r="E531">
        <v>200</v>
      </c>
      <c r="F531">
        <v>32441</v>
      </c>
      <c r="G531">
        <v>11.1099315068493</v>
      </c>
      <c r="H531" s="1">
        <v>4.1176221800834101E-8</v>
      </c>
      <c r="I531" t="s">
        <v>1495</v>
      </c>
      <c r="J531" t="s">
        <v>1496</v>
      </c>
      <c r="K531" s="1">
        <v>1.6858029631400301E-6</v>
      </c>
      <c r="L531" t="s">
        <v>1178</v>
      </c>
      <c r="M531" t="str">
        <f>HYPERLINK("http://www.broadinstitute.org/gsea/msigdb/cards/GSE5960_TH1_VS_ANERGIC_TH1_UP.html")</f>
        <v>http://www.broadinstitute.org/gsea/msigdb/cards/GSE5960_TH1_VS_ANERGIC_TH1_UP.html</v>
      </c>
    </row>
    <row r="532" spans="1:13">
      <c r="A532">
        <v>1848</v>
      </c>
      <c r="B532" t="s">
        <v>1497</v>
      </c>
      <c r="C532">
        <v>10</v>
      </c>
      <c r="D532">
        <v>146</v>
      </c>
      <c r="E532">
        <v>200</v>
      </c>
      <c r="F532">
        <v>32441</v>
      </c>
      <c r="G532">
        <v>11.1099315068493</v>
      </c>
      <c r="H532" s="1">
        <v>4.1176221800834101E-8</v>
      </c>
      <c r="I532" t="s">
        <v>1498</v>
      </c>
      <c r="J532" t="s">
        <v>1499</v>
      </c>
      <c r="K532" s="1">
        <v>1.6858029631400301E-6</v>
      </c>
      <c r="L532" t="s">
        <v>1178</v>
      </c>
      <c r="M532" t="str">
        <f>HYPERLINK("http://www.broadinstitute.org/gsea/msigdb/cards/GSE9006_TYPE_1_DIABETES_AT_DX_VS_1MONTH_POST_DX_PBMC_DN.html")</f>
        <v>http://www.broadinstitute.org/gsea/msigdb/cards/GSE9006_TYPE_1_DIABETES_AT_DX_VS_1MONTH_POST_DX_PBMC_DN.html</v>
      </c>
    </row>
    <row r="533" spans="1:13">
      <c r="A533">
        <v>2141</v>
      </c>
      <c r="B533" t="s">
        <v>1500</v>
      </c>
      <c r="C533">
        <v>10</v>
      </c>
      <c r="D533">
        <v>146</v>
      </c>
      <c r="E533">
        <v>200</v>
      </c>
      <c r="F533">
        <v>32441</v>
      </c>
      <c r="G533">
        <v>11.1099315068493</v>
      </c>
      <c r="H533" s="1">
        <v>4.1176221800834101E-8</v>
      </c>
      <c r="I533" t="s">
        <v>1501</v>
      </c>
      <c r="J533" t="s">
        <v>1502</v>
      </c>
      <c r="K533" s="1">
        <v>1.6858029631400301E-6</v>
      </c>
      <c r="L533" t="s">
        <v>1178</v>
      </c>
      <c r="M533" t="str">
        <f>HYPERLINK("http://www.broadinstitute.org/gsea/msigdb/cards/GSE2585_THYMIC_DC_VS_THYMIC_MACROPHAGE_DN.html")</f>
        <v>http://www.broadinstitute.org/gsea/msigdb/cards/GSE2585_THYMIC_DC_VS_THYMIC_MACROPHAGE_DN.html</v>
      </c>
    </row>
    <row r="534" spans="1:13">
      <c r="A534">
        <v>2342</v>
      </c>
      <c r="B534" t="s">
        <v>1503</v>
      </c>
      <c r="C534">
        <v>10</v>
      </c>
      <c r="D534">
        <v>146</v>
      </c>
      <c r="E534">
        <v>200</v>
      </c>
      <c r="F534">
        <v>32441</v>
      </c>
      <c r="G534">
        <v>11.1099315068493</v>
      </c>
      <c r="H534" s="1">
        <v>4.1176221800834101E-8</v>
      </c>
      <c r="I534" t="s">
        <v>1504</v>
      </c>
      <c r="J534" t="s">
        <v>1505</v>
      </c>
      <c r="K534" s="1">
        <v>1.6858029631400301E-6</v>
      </c>
      <c r="L534" t="s">
        <v>1178</v>
      </c>
      <c r="M534" t="str">
        <f>HYPERLINK("http://www.broadinstitute.org/gsea/msigdb/cards/GSE5099_MONOCYTE_VS_CLASSICAL_M1_MACROPHAGE_DN.html")</f>
        <v>http://www.broadinstitute.org/gsea/msigdb/cards/GSE5099_MONOCYTE_VS_CLASSICAL_M1_MACROPHAGE_DN.html</v>
      </c>
    </row>
    <row r="535" spans="1:13">
      <c r="A535">
        <v>2957</v>
      </c>
      <c r="B535" t="s">
        <v>1506</v>
      </c>
      <c r="C535">
        <v>10</v>
      </c>
      <c r="D535">
        <v>146</v>
      </c>
      <c r="E535">
        <v>200</v>
      </c>
      <c r="F535">
        <v>32441</v>
      </c>
      <c r="G535">
        <v>11.1099315068493</v>
      </c>
      <c r="H535" s="1">
        <v>4.1176221800834101E-8</v>
      </c>
      <c r="I535" t="s">
        <v>1507</v>
      </c>
      <c r="J535" t="s">
        <v>1508</v>
      </c>
      <c r="K535" s="1">
        <v>1.6858029631400301E-6</v>
      </c>
      <c r="L535" t="s">
        <v>1178</v>
      </c>
      <c r="M535" t="str">
        <f>HYPERLINK("http://www.broadinstitute.org/gsea/msigdb/cards/GSE16266_CTRL_VS_HEATSHOCK_AND_LPS_STIM_MEF_DN.html")</f>
        <v>http://www.broadinstitute.org/gsea/msigdb/cards/GSE16266_CTRL_VS_HEATSHOCK_AND_LPS_STIM_MEF_DN.html</v>
      </c>
    </row>
    <row r="536" spans="1:13">
      <c r="A536">
        <v>3348</v>
      </c>
      <c r="B536" t="s">
        <v>1509</v>
      </c>
      <c r="C536">
        <v>10</v>
      </c>
      <c r="D536">
        <v>146</v>
      </c>
      <c r="E536">
        <v>200</v>
      </c>
      <c r="F536">
        <v>32441</v>
      </c>
      <c r="G536">
        <v>11.1099315068493</v>
      </c>
      <c r="H536" s="1">
        <v>4.1176221800834101E-8</v>
      </c>
      <c r="I536" t="s">
        <v>1510</v>
      </c>
      <c r="J536" t="s">
        <v>1511</v>
      </c>
      <c r="K536" s="1">
        <v>1.6858029631400301E-6</v>
      </c>
      <c r="L536" t="s">
        <v>1178</v>
      </c>
      <c r="M536" t="str">
        <f>HYPERLINK("http://www.broadinstitute.org/gsea/msigdb/cards/GSE22103_UNSTIM_VS_GMCSF_AND_IFNG_STIM_NEUTROPHIL_DN.html")</f>
        <v>http://www.broadinstitute.org/gsea/msigdb/cards/GSE22103_UNSTIM_VS_GMCSF_AND_IFNG_STIM_NEUTROPHIL_DN.html</v>
      </c>
    </row>
    <row r="537" spans="1:13">
      <c r="A537">
        <v>3435</v>
      </c>
      <c r="B537" t="s">
        <v>1512</v>
      </c>
      <c r="C537">
        <v>10</v>
      </c>
      <c r="D537">
        <v>146</v>
      </c>
      <c r="E537">
        <v>199</v>
      </c>
      <c r="F537">
        <v>32441</v>
      </c>
      <c r="G537">
        <v>11.165760308391301</v>
      </c>
      <c r="H537" s="1">
        <v>3.9364676328310901E-8</v>
      </c>
      <c r="I537" t="s">
        <v>1513</v>
      </c>
      <c r="J537" t="s">
        <v>1514</v>
      </c>
      <c r="K537" s="1">
        <v>1.6858029631400301E-6</v>
      </c>
      <c r="L537" t="s">
        <v>1178</v>
      </c>
      <c r="M537" t="str">
        <f>HYPERLINK("http://www.broadinstitute.org/gsea/msigdb/cards/GSE25123_CTRL_VS_IL4_STIM_MACROPHAGE_DN.html")</f>
        <v>http://www.broadinstitute.org/gsea/msigdb/cards/GSE25123_CTRL_VS_IL4_STIM_MACROPHAGE_DN.html</v>
      </c>
    </row>
    <row r="538" spans="1:13">
      <c r="A538">
        <v>3830</v>
      </c>
      <c r="B538" t="s">
        <v>1515</v>
      </c>
      <c r="C538">
        <v>10</v>
      </c>
      <c r="D538">
        <v>146</v>
      </c>
      <c r="E538">
        <v>200</v>
      </c>
      <c r="F538">
        <v>32441</v>
      </c>
      <c r="G538">
        <v>11.1099315068493</v>
      </c>
      <c r="H538" s="1">
        <v>4.1176221800834101E-8</v>
      </c>
      <c r="I538" t="s">
        <v>1516</v>
      </c>
      <c r="J538" t="s">
        <v>1517</v>
      </c>
      <c r="K538" s="1">
        <v>1.6858029631400301E-6</v>
      </c>
      <c r="L538" t="s">
        <v>1178</v>
      </c>
      <c r="M538" t="str">
        <f>HYPERLINK("http://www.broadinstitute.org/gsea/msigdb/cards/GSE23568_CTRL_VS_ID3_TRANSDUCED_CD8_TCELL_DN.html")</f>
        <v>http://www.broadinstitute.org/gsea/msigdb/cards/GSE23568_CTRL_VS_ID3_TRANSDUCED_CD8_TCELL_DN.html</v>
      </c>
    </row>
    <row r="539" spans="1:13">
      <c r="A539">
        <v>4035</v>
      </c>
      <c r="B539" t="s">
        <v>1518</v>
      </c>
      <c r="C539">
        <v>10</v>
      </c>
      <c r="D539">
        <v>146</v>
      </c>
      <c r="E539">
        <v>200</v>
      </c>
      <c r="F539">
        <v>32441</v>
      </c>
      <c r="G539">
        <v>11.1099315068493</v>
      </c>
      <c r="H539" s="1">
        <v>4.1176221800834101E-8</v>
      </c>
      <c r="I539" t="s">
        <v>1519</v>
      </c>
      <c r="J539" t="s">
        <v>1520</v>
      </c>
      <c r="K539" s="1">
        <v>1.6858029631400301E-6</v>
      </c>
      <c r="L539" t="s">
        <v>1178</v>
      </c>
      <c r="M539" t="str">
        <f>HYPERLINK("http://www.broadinstitute.org/gsea/msigdb/cards/GSE37301_GRANULOCYTE_MONOCYTE_PROGENITOR_VS_RAG2_KO_NK_CELL_DN.html")</f>
        <v>http://www.broadinstitute.org/gsea/msigdb/cards/GSE37301_GRANULOCYTE_MONOCYTE_PROGENITOR_VS_RAG2_KO_NK_CELL_DN.html</v>
      </c>
    </row>
    <row r="540" spans="1:13">
      <c r="A540">
        <v>42011</v>
      </c>
      <c r="B540" t="s">
        <v>1521</v>
      </c>
      <c r="C540">
        <v>10</v>
      </c>
      <c r="D540">
        <v>146</v>
      </c>
      <c r="E540">
        <v>200</v>
      </c>
      <c r="F540">
        <v>32441</v>
      </c>
      <c r="G540">
        <v>11.1099315068493</v>
      </c>
      <c r="H540" s="1">
        <v>4.1176221800834101E-8</v>
      </c>
      <c r="I540" t="s">
        <v>1522</v>
      </c>
      <c r="J540" t="s">
        <v>1523</v>
      </c>
      <c r="K540" s="1">
        <v>1.6858029631400301E-6</v>
      </c>
      <c r="L540" t="s">
        <v>1178</v>
      </c>
      <c r="M540" t="str">
        <f>HYPERLINK("http://www.broadinstitute.org/gsea/msigdb/cards/GSE32034_LY6C_HIGH_VS_LOW_ROSIGLIZATONE_TREATED_MONOCYTE_UP.html")</f>
        <v>http://www.broadinstitute.org/gsea/msigdb/cards/GSE32034_LY6C_HIGH_VS_LOW_ROSIGLIZATONE_TREATED_MONOCYTE_UP.html</v>
      </c>
    </row>
    <row r="541" spans="1:13">
      <c r="A541">
        <v>4348</v>
      </c>
      <c r="B541" t="s">
        <v>1524</v>
      </c>
      <c r="C541">
        <v>10</v>
      </c>
      <c r="D541">
        <v>146</v>
      </c>
      <c r="E541">
        <v>200</v>
      </c>
      <c r="F541">
        <v>32441</v>
      </c>
      <c r="G541">
        <v>11.1099315068493</v>
      </c>
      <c r="H541" s="1">
        <v>4.1176221800834101E-8</v>
      </c>
      <c r="I541" t="s">
        <v>1525</v>
      </c>
      <c r="J541" t="s">
        <v>1526</v>
      </c>
      <c r="K541" s="1">
        <v>1.6858029631400301E-6</v>
      </c>
      <c r="L541" t="s">
        <v>1178</v>
      </c>
      <c r="M541" t="str">
        <f>HYPERLINK("http://www.broadinstitute.org/gsea/msigdb/cards/GSE39110_DAY3_VS_DAY6_POST_IMMUNIZATION_CD8_TCELL_UP.html")</f>
        <v>http://www.broadinstitute.org/gsea/msigdb/cards/GSE39110_DAY3_VS_DAY6_POST_IMMUNIZATION_CD8_TCELL_UP.html</v>
      </c>
    </row>
    <row r="542" spans="1:13">
      <c r="A542">
        <v>4749</v>
      </c>
      <c r="B542" t="s">
        <v>1527</v>
      </c>
      <c r="C542">
        <v>10</v>
      </c>
      <c r="D542">
        <v>146</v>
      </c>
      <c r="E542">
        <v>200</v>
      </c>
      <c r="F542">
        <v>32441</v>
      </c>
      <c r="G542">
        <v>11.1099315068493</v>
      </c>
      <c r="H542" s="1">
        <v>4.1176221800834101E-8</v>
      </c>
      <c r="I542" t="s">
        <v>1528</v>
      </c>
      <c r="J542" t="s">
        <v>1529</v>
      </c>
      <c r="K542" s="1">
        <v>1.6858029631400301E-6</v>
      </c>
      <c r="L542" t="s">
        <v>1178</v>
      </c>
      <c r="M542" t="str">
        <f>HYPERLINK("http://www.broadinstitute.org/gsea/msigdb/cards/GSE46606_IRF4HIGH_VS_WT_CD40L_IL2_IL5_DAY3_STIMULATED_BCELL_UP.html")</f>
        <v>http://www.broadinstitute.org/gsea/msigdb/cards/GSE46606_IRF4HIGH_VS_WT_CD40L_IL2_IL5_DAY3_STIMULATED_BCELL_UP.html</v>
      </c>
    </row>
    <row r="543" spans="1:13">
      <c r="A543">
        <v>47531</v>
      </c>
      <c r="B543" t="s">
        <v>1530</v>
      </c>
      <c r="C543">
        <v>10</v>
      </c>
      <c r="D543">
        <v>146</v>
      </c>
      <c r="E543">
        <v>200</v>
      </c>
      <c r="F543">
        <v>32441</v>
      </c>
      <c r="G543">
        <v>11.1099315068493</v>
      </c>
      <c r="H543" s="1">
        <v>4.1176221800834101E-8</v>
      </c>
      <c r="I543" t="s">
        <v>1531</v>
      </c>
      <c r="J543" t="s">
        <v>1532</v>
      </c>
      <c r="K543" s="1">
        <v>1.6858029631400301E-6</v>
      </c>
      <c r="L543" t="s">
        <v>1178</v>
      </c>
      <c r="M543" t="str">
        <f>HYPERLINK("http://www.broadinstitute.org/gsea/msigdb/cards/GSE46606_IRF4_KO_VS_WT_UNSTIM_BCELL_UP.html")</f>
        <v>http://www.broadinstitute.org/gsea/msigdb/cards/GSE46606_IRF4_KO_VS_WT_UNSTIM_BCELL_UP.html</v>
      </c>
    </row>
    <row r="544" spans="1:13">
      <c r="A544">
        <v>2656</v>
      </c>
      <c r="B544" t="s">
        <v>1533</v>
      </c>
      <c r="C544">
        <v>9</v>
      </c>
      <c r="D544">
        <v>146</v>
      </c>
      <c r="E544">
        <v>157</v>
      </c>
      <c r="F544">
        <v>32441</v>
      </c>
      <c r="G544">
        <v>12.7375010906553</v>
      </c>
      <c r="H544" s="1">
        <v>6.6083596036586504E-8</v>
      </c>
      <c r="I544" t="s">
        <v>1534</v>
      </c>
      <c r="J544" t="s">
        <v>1535</v>
      </c>
      <c r="K544" s="1">
        <v>2.6829939990854101E-6</v>
      </c>
      <c r="L544" t="s">
        <v>1178</v>
      </c>
      <c r="M544" t="str">
        <f>HYPERLINK("http://www.broadinstitute.org/gsea/msigdb/cards/GSE8685_IL15_ACT_IL2_STARVED_VS_IL21_ACT_IL2_STARVED_CD4_TCELL_DN.html")</f>
        <v>http://www.broadinstitute.org/gsea/msigdb/cards/GSE8685_IL15_ACT_IL2_STARVED_VS_IL21_ACT_IL2_STARVED_CD4_TCELL_DN.html</v>
      </c>
    </row>
    <row r="545" spans="1:13">
      <c r="A545">
        <v>3304</v>
      </c>
      <c r="B545" t="s">
        <v>1536</v>
      </c>
      <c r="C545">
        <v>9</v>
      </c>
      <c r="D545">
        <v>146</v>
      </c>
      <c r="E545">
        <v>160</v>
      </c>
      <c r="F545">
        <v>32441</v>
      </c>
      <c r="G545">
        <v>12.498672945205501</v>
      </c>
      <c r="H545" s="1">
        <v>7.7072834117126801E-8</v>
      </c>
      <c r="I545" t="s">
        <v>1537</v>
      </c>
      <c r="J545" t="s">
        <v>1538</v>
      </c>
      <c r="K545" s="1">
        <v>3.10329626296398E-6</v>
      </c>
      <c r="L545" t="s">
        <v>1178</v>
      </c>
      <c r="M545" t="str">
        <f>HYPERLINK("http://www.broadinstitute.org/gsea/msigdb/cards/GSE21033_1H_VS_24H_POLYIC_STIM_DC_DN.html")</f>
        <v>http://www.broadinstitute.org/gsea/msigdb/cards/GSE21033_1H_VS_24H_POLYIC_STIM_DC_DN.html</v>
      </c>
    </row>
    <row r="546" spans="1:13">
      <c r="A546">
        <v>2155</v>
      </c>
      <c r="B546" t="s">
        <v>1539</v>
      </c>
      <c r="C546">
        <v>9</v>
      </c>
      <c r="D546">
        <v>146</v>
      </c>
      <c r="E546">
        <v>173</v>
      </c>
      <c r="F546">
        <v>32441</v>
      </c>
      <c r="G546">
        <v>11.559466307704501</v>
      </c>
      <c r="H546" s="1">
        <v>1.45221144754451E-7</v>
      </c>
      <c r="I546" t="s">
        <v>1540</v>
      </c>
      <c r="J546" t="s">
        <v>1541</v>
      </c>
      <c r="K546" s="1">
        <v>5.79932309216137E-6</v>
      </c>
      <c r="L546" t="s">
        <v>1178</v>
      </c>
      <c r="M546" t="str">
        <f>HYPERLINK("http://www.broadinstitute.org/gsea/msigdb/cards/GSE1925_CTRL_VS_IFNG_PRIMED_MACROPHAGE_3H_IFNG_STIM_UP.html")</f>
        <v>http://www.broadinstitute.org/gsea/msigdb/cards/GSE1925_CTRL_VS_IFNG_PRIMED_MACROPHAGE_3H_IFNG_STIM_UP.html</v>
      </c>
    </row>
    <row r="547" spans="1:13">
      <c r="A547">
        <v>27411</v>
      </c>
      <c r="B547" t="s">
        <v>1542</v>
      </c>
      <c r="C547">
        <v>8</v>
      </c>
      <c r="D547">
        <v>146</v>
      </c>
      <c r="E547">
        <v>137</v>
      </c>
      <c r="F547">
        <v>32441</v>
      </c>
      <c r="G547">
        <v>12.975102489751</v>
      </c>
      <c r="H547" s="1">
        <v>3.1771743804843301E-7</v>
      </c>
      <c r="I547" t="s">
        <v>1543</v>
      </c>
      <c r="J547" t="s">
        <v>1544</v>
      </c>
      <c r="K547" s="1">
        <v>1.25847102290404E-5</v>
      </c>
      <c r="L547" t="s">
        <v>1178</v>
      </c>
      <c r="M547" t="str">
        <f>HYPERLINK("http://www.broadinstitute.org/gsea/msigdb/cards/GSE14413_UNSTIM_VS_IFNB_STIM_NIH3T3_CELLS_UP.html")</f>
        <v>http://www.broadinstitute.org/gsea/msigdb/cards/GSE14413_UNSTIM_VS_IFNB_STIM_NIH3T3_CELLS_UP.html</v>
      </c>
    </row>
    <row r="548" spans="1:13">
      <c r="A548">
        <v>3897</v>
      </c>
      <c r="B548" t="s">
        <v>1545</v>
      </c>
      <c r="C548">
        <v>9</v>
      </c>
      <c r="D548">
        <v>146</v>
      </c>
      <c r="E548">
        <v>195</v>
      </c>
      <c r="F548">
        <v>32441</v>
      </c>
      <c r="G548">
        <v>10.2553213909378</v>
      </c>
      <c r="H548" s="1">
        <v>3.8147112310360302E-7</v>
      </c>
      <c r="I548" t="s">
        <v>1546</v>
      </c>
      <c r="J548" t="s">
        <v>1547</v>
      </c>
      <c r="K548" s="1">
        <v>1.49881234819416E-5</v>
      </c>
      <c r="L548" t="s">
        <v>1178</v>
      </c>
      <c r="M548" t="str">
        <f>HYPERLINK("http://www.broadinstitute.org/gsea/msigdb/cards/GSE32986_GMCSF_VS_GMCSF_AND_CURDLAN_LOWDOSE_STIM_DC_DN.html")</f>
        <v>http://www.broadinstitute.org/gsea/msigdb/cards/GSE32986_GMCSF_VS_GMCSF_AND_CURDLAN_LOWDOSE_STIM_DC_DN.html</v>
      </c>
    </row>
    <row r="549" spans="1:13">
      <c r="A549">
        <v>491</v>
      </c>
      <c r="B549" t="s">
        <v>1548</v>
      </c>
      <c r="C549">
        <v>9</v>
      </c>
      <c r="D549">
        <v>146</v>
      </c>
      <c r="E549">
        <v>200</v>
      </c>
      <c r="F549">
        <v>32441</v>
      </c>
      <c r="G549">
        <v>9.9989383561643805</v>
      </c>
      <c r="H549" s="1">
        <v>4.67497663987882E-7</v>
      </c>
      <c r="I549" t="s">
        <v>1549</v>
      </c>
      <c r="J549" t="s">
        <v>1550</v>
      </c>
      <c r="K549" s="1">
        <v>1.5083765688403701E-5</v>
      </c>
      <c r="L549" t="s">
        <v>1178</v>
      </c>
      <c r="M549" t="str">
        <f>HYPERLINK("http://www.broadinstitute.org/gsea/msigdb/cards/GSE10325_CD4_TCELL_VS_LUPUS_CD4_TCELL_UP.html")</f>
        <v>http://www.broadinstitute.org/gsea/msigdb/cards/GSE10325_CD4_TCELL_VS_LUPUS_CD4_TCELL_UP.html</v>
      </c>
    </row>
    <row r="550" spans="1:13">
      <c r="A550">
        <v>114</v>
      </c>
      <c r="B550" t="s">
        <v>1551</v>
      </c>
      <c r="C550">
        <v>9</v>
      </c>
      <c r="D550">
        <v>146</v>
      </c>
      <c r="E550">
        <v>200</v>
      </c>
      <c r="F550">
        <v>32441</v>
      </c>
      <c r="G550">
        <v>9.9989383561643805</v>
      </c>
      <c r="H550" s="1">
        <v>4.67497663987882E-7</v>
      </c>
      <c r="I550" t="s">
        <v>1552</v>
      </c>
      <c r="J550" t="s">
        <v>1553</v>
      </c>
      <c r="K550" s="1">
        <v>1.5083765688403701E-5</v>
      </c>
      <c r="L550" t="s">
        <v>1178</v>
      </c>
      <c r="M550" t="str">
        <f>HYPERLINK("http://www.broadinstitute.org/gsea/msigdb/cards/GSE12366_PLASMA_CELL_VS_NAIVE_BCELL_DN.html")</f>
        <v>http://www.broadinstitute.org/gsea/msigdb/cards/GSE12366_PLASMA_CELL_VS_NAIVE_BCELL_DN.html</v>
      </c>
    </row>
    <row r="551" spans="1:13">
      <c r="A551">
        <v>235</v>
      </c>
      <c r="B551" t="s">
        <v>1554</v>
      </c>
      <c r="C551">
        <v>9</v>
      </c>
      <c r="D551">
        <v>146</v>
      </c>
      <c r="E551">
        <v>200</v>
      </c>
      <c r="F551">
        <v>32441</v>
      </c>
      <c r="G551">
        <v>9.9989383561643805</v>
      </c>
      <c r="H551" s="1">
        <v>4.67497663987882E-7</v>
      </c>
      <c r="I551" t="s">
        <v>1555</v>
      </c>
      <c r="J551" t="s">
        <v>1556</v>
      </c>
      <c r="K551" s="1">
        <v>1.5083765688403701E-5</v>
      </c>
      <c r="L551" t="s">
        <v>1178</v>
      </c>
      <c r="M551" t="str">
        <f>HYPERLINK("http://www.broadinstitute.org/gsea/msigdb/cards/GSE14000_UNSTIM_VS_16H_LPS_DC_UP.html")</f>
        <v>http://www.broadinstitute.org/gsea/msigdb/cards/GSE14000_UNSTIM_VS_16H_LPS_DC_UP.html</v>
      </c>
    </row>
    <row r="552" spans="1:13">
      <c r="A552">
        <v>320</v>
      </c>
      <c r="B552" t="s">
        <v>1557</v>
      </c>
      <c r="C552">
        <v>9</v>
      </c>
      <c r="D552">
        <v>146</v>
      </c>
      <c r="E552">
        <v>200</v>
      </c>
      <c r="F552">
        <v>32441</v>
      </c>
      <c r="G552">
        <v>9.9989383561643805</v>
      </c>
      <c r="H552" s="1">
        <v>4.67497663987882E-7</v>
      </c>
      <c r="I552" t="s">
        <v>1558</v>
      </c>
      <c r="J552" t="s">
        <v>1559</v>
      </c>
      <c r="K552" s="1">
        <v>1.5083765688403701E-5</v>
      </c>
      <c r="L552" t="s">
        <v>1178</v>
      </c>
      <c r="M552" t="str">
        <f>HYPERLINK("http://www.broadinstitute.org/gsea/msigdb/cards/GSE1460_CD4_THYMOCYTE_VS_NAIVE_CD4_TCELL_ADULT_BLOOD_DN.html")</f>
        <v>http://www.broadinstitute.org/gsea/msigdb/cards/GSE1460_CD4_THYMOCYTE_VS_NAIVE_CD4_TCELL_ADULT_BLOOD_DN.html</v>
      </c>
    </row>
    <row r="553" spans="1:13">
      <c r="A553">
        <v>4481</v>
      </c>
      <c r="B553" t="s">
        <v>1560</v>
      </c>
      <c r="C553">
        <v>9</v>
      </c>
      <c r="D553">
        <v>146</v>
      </c>
      <c r="E553">
        <v>200</v>
      </c>
      <c r="F553">
        <v>32441</v>
      </c>
      <c r="G553">
        <v>9.9989383561643805</v>
      </c>
      <c r="H553" s="1">
        <v>4.67497663987882E-7</v>
      </c>
      <c r="I553" t="s">
        <v>1561</v>
      </c>
      <c r="J553" t="s">
        <v>1562</v>
      </c>
      <c r="K553" s="1">
        <v>1.5083765688403701E-5</v>
      </c>
      <c r="L553" t="s">
        <v>1178</v>
      </c>
      <c r="M553" t="str">
        <f>HYPERLINK("http://www.broadinstitute.org/gsea/msigdb/cards/GSE17721_CTRL_VS_LPS_0.5H_BMDC_DN.html")</f>
        <v>http://www.broadinstitute.org/gsea/msigdb/cards/GSE17721_CTRL_VS_LPS_0.5H_BMDC_DN.html</v>
      </c>
    </row>
    <row r="554" spans="1:13">
      <c r="A554">
        <v>564</v>
      </c>
      <c r="B554" t="s">
        <v>1563</v>
      </c>
      <c r="C554">
        <v>9</v>
      </c>
      <c r="D554">
        <v>146</v>
      </c>
      <c r="E554">
        <v>200</v>
      </c>
      <c r="F554">
        <v>32441</v>
      </c>
      <c r="G554">
        <v>9.9989383561643805</v>
      </c>
      <c r="H554" s="1">
        <v>4.67497663987882E-7</v>
      </c>
      <c r="I554" t="s">
        <v>1564</v>
      </c>
      <c r="J554" t="s">
        <v>1565</v>
      </c>
      <c r="K554" s="1">
        <v>1.5083765688403701E-5</v>
      </c>
      <c r="L554" t="s">
        <v>1178</v>
      </c>
      <c r="M554" t="str">
        <f>HYPERLINK("http://www.broadinstitute.org/gsea/msigdb/cards/GSE17721_PAM3CSK4_VS_CPG_0.5H_BMDC_DN.html")</f>
        <v>http://www.broadinstitute.org/gsea/msigdb/cards/GSE17721_PAM3CSK4_VS_CPG_0.5H_BMDC_DN.html</v>
      </c>
    </row>
    <row r="555" spans="1:13">
      <c r="A555">
        <v>610</v>
      </c>
      <c r="B555" t="s">
        <v>1566</v>
      </c>
      <c r="C555">
        <v>9</v>
      </c>
      <c r="D555">
        <v>146</v>
      </c>
      <c r="E555">
        <v>200</v>
      </c>
      <c r="F555">
        <v>32441</v>
      </c>
      <c r="G555">
        <v>9.9989383561643805</v>
      </c>
      <c r="H555" s="1">
        <v>4.67497663987882E-7</v>
      </c>
      <c r="I555" t="s">
        <v>1567</v>
      </c>
      <c r="J555" t="s">
        <v>1568</v>
      </c>
      <c r="K555" s="1">
        <v>1.5083765688403701E-5</v>
      </c>
      <c r="L555" t="s">
        <v>1178</v>
      </c>
      <c r="M555" t="str">
        <f>HYPERLINK("http://www.broadinstitute.org/gsea/msigdb/cards/GSE17721_LPS_VS_PAM3CSK4_8H_BMDC_DN.html")</f>
        <v>http://www.broadinstitute.org/gsea/msigdb/cards/GSE17721_LPS_VS_PAM3CSK4_8H_BMDC_DN.html</v>
      </c>
    </row>
    <row r="556" spans="1:13">
      <c r="A556">
        <v>623</v>
      </c>
      <c r="B556" t="s">
        <v>1569</v>
      </c>
      <c r="C556">
        <v>9</v>
      </c>
      <c r="D556">
        <v>146</v>
      </c>
      <c r="E556">
        <v>200</v>
      </c>
      <c r="F556">
        <v>32441</v>
      </c>
      <c r="G556">
        <v>9.9989383561643805</v>
      </c>
      <c r="H556" s="1">
        <v>4.67497663987882E-7</v>
      </c>
      <c r="I556" t="s">
        <v>1570</v>
      </c>
      <c r="J556" t="s">
        <v>1571</v>
      </c>
      <c r="K556" s="1">
        <v>1.5083765688403701E-5</v>
      </c>
      <c r="L556" t="s">
        <v>1178</v>
      </c>
      <c r="M556" t="str">
        <f>HYPERLINK("http://www.broadinstitute.org/gsea/msigdb/cards/GSE17721_POLYIC_VS_CPG_4H_BMDC_UP.html")</f>
        <v>http://www.broadinstitute.org/gsea/msigdb/cards/GSE17721_POLYIC_VS_CPG_4H_BMDC_UP.html</v>
      </c>
    </row>
    <row r="557" spans="1:13">
      <c r="A557">
        <v>951</v>
      </c>
      <c r="B557" t="s">
        <v>1572</v>
      </c>
      <c r="C557">
        <v>9</v>
      </c>
      <c r="D557">
        <v>146</v>
      </c>
      <c r="E557">
        <v>200</v>
      </c>
      <c r="F557">
        <v>32441</v>
      </c>
      <c r="G557">
        <v>9.9989383561643805</v>
      </c>
      <c r="H557" s="1">
        <v>4.67497663987882E-7</v>
      </c>
      <c r="I557" t="s">
        <v>1573</v>
      </c>
      <c r="J557" t="s">
        <v>1574</v>
      </c>
      <c r="K557" s="1">
        <v>1.5083765688403701E-5</v>
      </c>
      <c r="L557" t="s">
        <v>1178</v>
      </c>
      <c r="M557" t="str">
        <f>HYPERLINK("http://www.broadinstitute.org/gsea/msigdb/cards/GSE22886_NAIVE_BCELL_VS_BM_PLASMA_CELL_UP.html")</f>
        <v>http://www.broadinstitute.org/gsea/msigdb/cards/GSE22886_NAIVE_BCELL_VS_BM_PLASMA_CELL_UP.html</v>
      </c>
    </row>
    <row r="558" spans="1:13">
      <c r="A558">
        <v>973</v>
      </c>
      <c r="B558" t="s">
        <v>1575</v>
      </c>
      <c r="C558">
        <v>9</v>
      </c>
      <c r="D558">
        <v>146</v>
      </c>
      <c r="E558">
        <v>200</v>
      </c>
      <c r="F558">
        <v>32441</v>
      </c>
      <c r="G558">
        <v>9.9989383561643805</v>
      </c>
      <c r="H558" s="1">
        <v>4.67497663987882E-7</v>
      </c>
      <c r="I558" t="s">
        <v>1576</v>
      </c>
      <c r="J558" t="s">
        <v>1577</v>
      </c>
      <c r="K558" s="1">
        <v>1.5083765688403701E-5</v>
      </c>
      <c r="L558" t="s">
        <v>1178</v>
      </c>
      <c r="M558" t="str">
        <f>HYPERLINK("http://www.broadinstitute.org/gsea/msigdb/cards/GSE22886_NAIVE_TCELL_VS_NEUTROPHIL_UP.html")</f>
        <v>http://www.broadinstitute.org/gsea/msigdb/cards/GSE22886_NAIVE_TCELL_VS_NEUTROPHIL_UP.html</v>
      </c>
    </row>
    <row r="559" spans="1:13">
      <c r="A559">
        <v>1007</v>
      </c>
      <c r="B559" t="s">
        <v>1578</v>
      </c>
      <c r="C559">
        <v>9</v>
      </c>
      <c r="D559">
        <v>146</v>
      </c>
      <c r="E559">
        <v>200</v>
      </c>
      <c r="F559">
        <v>32441</v>
      </c>
      <c r="G559">
        <v>9.9989383561643805</v>
      </c>
      <c r="H559" s="1">
        <v>4.67497663987882E-7</v>
      </c>
      <c r="I559" t="s">
        <v>1579</v>
      </c>
      <c r="J559" t="s">
        <v>1580</v>
      </c>
      <c r="K559" s="1">
        <v>1.5083765688403701E-5</v>
      </c>
      <c r="L559" t="s">
        <v>1178</v>
      </c>
      <c r="M559" t="str">
        <f>HYPERLINK("http://www.broadinstitute.org/gsea/msigdb/cards/GSE22886_NAIVE_CD4_TCELL_VS_48H_ACT_TH1_UP.html")</f>
        <v>http://www.broadinstitute.org/gsea/msigdb/cards/GSE22886_NAIVE_CD4_TCELL_VS_48H_ACT_TH1_UP.html</v>
      </c>
    </row>
    <row r="560" spans="1:13">
      <c r="A560">
        <v>1232</v>
      </c>
      <c r="B560" t="s">
        <v>1581</v>
      </c>
      <c r="C560">
        <v>9</v>
      </c>
      <c r="D560">
        <v>146</v>
      </c>
      <c r="E560">
        <v>200</v>
      </c>
      <c r="F560">
        <v>32441</v>
      </c>
      <c r="G560">
        <v>9.9989383561643805</v>
      </c>
      <c r="H560" s="1">
        <v>4.67497663987882E-7</v>
      </c>
      <c r="I560" t="s">
        <v>1582</v>
      </c>
      <c r="J560" t="s">
        <v>1583</v>
      </c>
      <c r="K560" s="1">
        <v>1.5083765688403701E-5</v>
      </c>
      <c r="L560" t="s">
        <v>1178</v>
      </c>
      <c r="M560" t="str">
        <f>HYPERLINK("http://www.broadinstitute.org/gsea/msigdb/cards/GSE27786_NEUTROPHIL_VS_MONO_MAC_DN.html")</f>
        <v>http://www.broadinstitute.org/gsea/msigdb/cards/GSE27786_NEUTROPHIL_VS_MONO_MAC_DN.html</v>
      </c>
    </row>
    <row r="561" spans="1:13">
      <c r="A561">
        <v>1269</v>
      </c>
      <c r="B561" t="s">
        <v>1584</v>
      </c>
      <c r="C561">
        <v>9</v>
      </c>
      <c r="D561">
        <v>146</v>
      </c>
      <c r="E561">
        <v>200</v>
      </c>
      <c r="F561">
        <v>32441</v>
      </c>
      <c r="G561">
        <v>9.9989383561643805</v>
      </c>
      <c r="H561" s="1">
        <v>4.67497663987882E-7</v>
      </c>
      <c r="I561" t="s">
        <v>1585</v>
      </c>
      <c r="J561" t="s">
        <v>1586</v>
      </c>
      <c r="K561" s="1">
        <v>1.5083765688403701E-5</v>
      </c>
      <c r="L561" t="s">
        <v>1178</v>
      </c>
      <c r="M561" t="str">
        <f>HYPERLINK("http://www.broadinstitute.org/gsea/msigdb/cards/GSE29618_BCELL_VS_MONOCYTE_UP.html")</f>
        <v>http://www.broadinstitute.org/gsea/msigdb/cards/GSE29618_BCELL_VS_MONOCYTE_UP.html</v>
      </c>
    </row>
    <row r="562" spans="1:13">
      <c r="A562">
        <v>1583</v>
      </c>
      <c r="B562" t="s">
        <v>1587</v>
      </c>
      <c r="C562">
        <v>9</v>
      </c>
      <c r="D562">
        <v>146</v>
      </c>
      <c r="E562">
        <v>200</v>
      </c>
      <c r="F562">
        <v>32441</v>
      </c>
      <c r="G562">
        <v>9.9989383561643805</v>
      </c>
      <c r="H562" s="1">
        <v>4.67497663987882E-7</v>
      </c>
      <c r="I562" t="s">
        <v>1588</v>
      </c>
      <c r="J562" t="s">
        <v>1589</v>
      </c>
      <c r="K562" s="1">
        <v>1.5083765688403701E-5</v>
      </c>
      <c r="L562" t="s">
        <v>1178</v>
      </c>
      <c r="M562" t="str">
        <f>HYPERLINK("http://www.broadinstitute.org/gsea/msigdb/cards/GSE3982_MAC_VS_NEUTROPHIL_LPS_STIM_UP.html")</f>
        <v>http://www.broadinstitute.org/gsea/msigdb/cards/GSE3982_MAC_VS_NEUTROPHIL_LPS_STIM_UP.html</v>
      </c>
    </row>
    <row r="563" spans="1:13">
      <c r="A563">
        <v>1586</v>
      </c>
      <c r="B563" t="s">
        <v>1590</v>
      </c>
      <c r="C563">
        <v>9</v>
      </c>
      <c r="D563">
        <v>146</v>
      </c>
      <c r="E563">
        <v>200</v>
      </c>
      <c r="F563">
        <v>32441</v>
      </c>
      <c r="G563">
        <v>9.9989383561643805</v>
      </c>
      <c r="H563" s="1">
        <v>4.67497663987882E-7</v>
      </c>
      <c r="I563" t="s">
        <v>1591</v>
      </c>
      <c r="J563" t="s">
        <v>1592</v>
      </c>
      <c r="K563" s="1">
        <v>1.5083765688403701E-5</v>
      </c>
      <c r="L563" t="s">
        <v>1178</v>
      </c>
      <c r="M563" t="str">
        <f>HYPERLINK("http://www.broadinstitute.org/gsea/msigdb/cards/GSE3982_EOSINOPHIL_VS_MAST_CELL_DN.html")</f>
        <v>http://www.broadinstitute.org/gsea/msigdb/cards/GSE3982_EOSINOPHIL_VS_MAST_CELL_DN.html</v>
      </c>
    </row>
    <row r="564" spans="1:13">
      <c r="A564">
        <v>1629</v>
      </c>
      <c r="B564" t="s">
        <v>1593</v>
      </c>
      <c r="C564">
        <v>9</v>
      </c>
      <c r="D564">
        <v>146</v>
      </c>
      <c r="E564">
        <v>200</v>
      </c>
      <c r="F564">
        <v>32441</v>
      </c>
      <c r="G564">
        <v>9.9989383561643805</v>
      </c>
      <c r="H564" s="1">
        <v>4.67497663987882E-7</v>
      </c>
      <c r="I564" t="s">
        <v>1594</v>
      </c>
      <c r="J564" t="s">
        <v>1595</v>
      </c>
      <c r="K564" s="1">
        <v>1.5083765688403701E-5</v>
      </c>
      <c r="L564" t="s">
        <v>1178</v>
      </c>
      <c r="M564" t="str">
        <f>HYPERLINK("http://www.broadinstitute.org/gsea/msigdb/cards/GSE3982_DC_VS_NEUTROPHIL_UP.html")</f>
        <v>http://www.broadinstitute.org/gsea/msigdb/cards/GSE3982_DC_VS_NEUTROPHIL_UP.html</v>
      </c>
    </row>
    <row r="565" spans="1:13">
      <c r="A565">
        <v>1648</v>
      </c>
      <c r="B565" t="s">
        <v>1596</v>
      </c>
      <c r="C565">
        <v>9</v>
      </c>
      <c r="D565">
        <v>146</v>
      </c>
      <c r="E565">
        <v>200</v>
      </c>
      <c r="F565">
        <v>32441</v>
      </c>
      <c r="G565">
        <v>9.9989383561643805</v>
      </c>
      <c r="H565" s="1">
        <v>4.67497663987882E-7</v>
      </c>
      <c r="I565" t="s">
        <v>1597</v>
      </c>
      <c r="J565" t="s">
        <v>1598</v>
      </c>
      <c r="K565" s="1">
        <v>1.5083765688403701E-5</v>
      </c>
      <c r="L565" t="s">
        <v>1178</v>
      </c>
      <c r="M565" t="str">
        <f>HYPERLINK("http://www.broadinstitute.org/gsea/msigdb/cards/GSE3982_MAC_VS_BCELL_DN.html")</f>
        <v>http://www.broadinstitute.org/gsea/msigdb/cards/GSE3982_MAC_VS_BCELL_DN.html</v>
      </c>
    </row>
    <row r="566" spans="1:13">
      <c r="A566">
        <v>1654</v>
      </c>
      <c r="B566" t="s">
        <v>1599</v>
      </c>
      <c r="C566">
        <v>9</v>
      </c>
      <c r="D566">
        <v>146</v>
      </c>
      <c r="E566">
        <v>200</v>
      </c>
      <c r="F566">
        <v>32441</v>
      </c>
      <c r="G566">
        <v>9.9989383561643805</v>
      </c>
      <c r="H566" s="1">
        <v>4.67497663987882E-7</v>
      </c>
      <c r="I566" t="s">
        <v>1600</v>
      </c>
      <c r="J566" t="s">
        <v>1601</v>
      </c>
      <c r="K566" s="1">
        <v>1.5083765688403701E-5</v>
      </c>
      <c r="L566" t="s">
        <v>1178</v>
      </c>
      <c r="M566" t="str">
        <f>HYPERLINK("http://www.broadinstitute.org/gsea/msigdb/cards/GSE3982_MAC_VS_CENT_MEMORY_CD4_TCELL_DN.html")</f>
        <v>http://www.broadinstitute.org/gsea/msigdb/cards/GSE3982_MAC_VS_CENT_MEMORY_CD4_TCELL_DN.html</v>
      </c>
    </row>
    <row r="567" spans="1:13">
      <c r="A567">
        <v>3024</v>
      </c>
      <c r="B567" t="s">
        <v>1602</v>
      </c>
      <c r="C567">
        <v>9</v>
      </c>
      <c r="D567">
        <v>146</v>
      </c>
      <c r="E567">
        <v>200</v>
      </c>
      <c r="F567">
        <v>32441</v>
      </c>
      <c r="G567">
        <v>9.9989383561643805</v>
      </c>
      <c r="H567" s="1">
        <v>4.67497663987882E-7</v>
      </c>
      <c r="I567" t="s">
        <v>1603</v>
      </c>
      <c r="J567" t="s">
        <v>1604</v>
      </c>
      <c r="K567" s="1">
        <v>1.5083765688403701E-5</v>
      </c>
      <c r="L567" t="s">
        <v>1178</v>
      </c>
      <c r="M567" t="str">
        <f>HYPERLINK("http://www.broadinstitute.org/gsea/msigdb/cards/GSE18893_TCONV_VS_TREG_2H_CULTURE_UP.html")</f>
        <v>http://www.broadinstitute.org/gsea/msigdb/cards/GSE18893_TCONV_VS_TREG_2H_CULTURE_UP.html</v>
      </c>
    </row>
    <row r="568" spans="1:13">
      <c r="A568">
        <v>3499</v>
      </c>
      <c r="B568" t="s">
        <v>1605</v>
      </c>
      <c r="C568">
        <v>9</v>
      </c>
      <c r="D568">
        <v>146</v>
      </c>
      <c r="E568">
        <v>198</v>
      </c>
      <c r="F568">
        <v>32441</v>
      </c>
      <c r="G568">
        <v>10.0999377334994</v>
      </c>
      <c r="H568" s="1">
        <v>4.3125873164424899E-7</v>
      </c>
      <c r="I568" t="s">
        <v>1606</v>
      </c>
      <c r="J568" t="s">
        <v>1607</v>
      </c>
      <c r="K568" s="1">
        <v>1.5083765688403701E-5</v>
      </c>
      <c r="L568" t="s">
        <v>1178</v>
      </c>
      <c r="M568" t="str">
        <f>HYPERLINK("http://www.broadinstitute.org/gsea/msigdb/cards/GSE25088_CTRL_VS_IL4_AND_ROSIGLITAZONE_STIM_STAT6_KO_MACROPHAGE_UP.html")</f>
        <v>http://www.broadinstitute.org/gsea/msigdb/cards/GSE25088_CTRL_VS_IL4_AND_ROSIGLITAZONE_STIM_STAT6_KO_MACROPHAGE_UP.html</v>
      </c>
    </row>
    <row r="569" spans="1:13">
      <c r="A569">
        <v>3643</v>
      </c>
      <c r="B569" t="s">
        <v>1608</v>
      </c>
      <c r="C569">
        <v>9</v>
      </c>
      <c r="D569">
        <v>146</v>
      </c>
      <c r="E569">
        <v>200</v>
      </c>
      <c r="F569">
        <v>32441</v>
      </c>
      <c r="G569">
        <v>9.9989383561643805</v>
      </c>
      <c r="H569" s="1">
        <v>4.67497663987882E-7</v>
      </c>
      <c r="I569" t="s">
        <v>1609</v>
      </c>
      <c r="J569" t="s">
        <v>1610</v>
      </c>
      <c r="K569" s="1">
        <v>1.5083765688403701E-5</v>
      </c>
      <c r="L569" t="s">
        <v>1178</v>
      </c>
      <c r="M569" t="str">
        <f>HYPERLINK("http://www.broadinstitute.org/gsea/msigdb/cards/GSE22443_IL2_VS_IL12_TREATED_ACT_CD8_TCELL_DN.html")</f>
        <v>http://www.broadinstitute.org/gsea/msigdb/cards/GSE22443_IL2_VS_IL12_TREATED_ACT_CD8_TCELL_DN.html</v>
      </c>
    </row>
    <row r="570" spans="1:13">
      <c r="A570">
        <v>3701</v>
      </c>
      <c r="B570" t="s">
        <v>1611</v>
      </c>
      <c r="C570">
        <v>9</v>
      </c>
      <c r="D570">
        <v>146</v>
      </c>
      <c r="E570">
        <v>200</v>
      </c>
      <c r="F570">
        <v>32441</v>
      </c>
      <c r="G570">
        <v>9.9989383561643805</v>
      </c>
      <c r="H570" s="1">
        <v>4.67497663987882E-7</v>
      </c>
      <c r="I570" t="s">
        <v>1612</v>
      </c>
      <c r="J570" t="s">
        <v>1613</v>
      </c>
      <c r="K570" s="1">
        <v>1.5083765688403701E-5</v>
      </c>
      <c r="L570" t="s">
        <v>1178</v>
      </c>
      <c r="M570" t="str">
        <f>HYPERLINK("http://www.broadinstitute.org/gsea/msigdb/cards/GSE28726_ACT_CD4_TCELL_VS_ACT_VA24NEG_NKTCELL_DN.html")</f>
        <v>http://www.broadinstitute.org/gsea/msigdb/cards/GSE28726_ACT_CD4_TCELL_VS_ACT_VA24NEG_NKTCELL_DN.html</v>
      </c>
    </row>
    <row r="571" spans="1:13">
      <c r="A571">
        <v>3871</v>
      </c>
      <c r="B571" t="s">
        <v>1614</v>
      </c>
      <c r="C571">
        <v>9</v>
      </c>
      <c r="D571">
        <v>146</v>
      </c>
      <c r="E571">
        <v>200</v>
      </c>
      <c r="F571">
        <v>32441</v>
      </c>
      <c r="G571">
        <v>9.9989383561643805</v>
      </c>
      <c r="H571" s="1">
        <v>4.67497663987882E-7</v>
      </c>
      <c r="I571" t="s">
        <v>1615</v>
      </c>
      <c r="J571" t="s">
        <v>1616</v>
      </c>
      <c r="K571" s="1">
        <v>1.5083765688403701E-5</v>
      </c>
      <c r="L571" t="s">
        <v>1178</v>
      </c>
      <c r="M571" t="str">
        <f>HYPERLINK("http://www.broadinstitute.org/gsea/msigdb/cards/GSE26030_TH1_VS_TH17_DAY15_POST_POLARIZATION_DN.html")</f>
        <v>http://www.broadinstitute.org/gsea/msigdb/cards/GSE26030_TH1_VS_TH17_DAY15_POST_POLARIZATION_DN.html</v>
      </c>
    </row>
    <row r="572" spans="1:13">
      <c r="A572">
        <v>4339</v>
      </c>
      <c r="B572" t="s">
        <v>1617</v>
      </c>
      <c r="C572">
        <v>9</v>
      </c>
      <c r="D572">
        <v>146</v>
      </c>
      <c r="E572">
        <v>200</v>
      </c>
      <c r="F572">
        <v>32441</v>
      </c>
      <c r="G572">
        <v>9.9989383561643805</v>
      </c>
      <c r="H572" s="1">
        <v>4.67497663987882E-7</v>
      </c>
      <c r="I572" t="s">
        <v>1618</v>
      </c>
      <c r="J572" t="s">
        <v>1619</v>
      </c>
      <c r="K572" s="1">
        <v>1.5083765688403701E-5</v>
      </c>
      <c r="L572" t="s">
        <v>1178</v>
      </c>
      <c r="M572" t="str">
        <f>HYPERLINK("http://www.broadinstitute.org/gsea/msigdb/cards/GSE40068_BCL6_POS_VS_NEG_CXCR5_POS_TFH_DN.html")</f>
        <v>http://www.broadinstitute.org/gsea/msigdb/cards/GSE40068_BCL6_POS_VS_NEG_CXCR5_POS_TFH_DN.html</v>
      </c>
    </row>
    <row r="573" spans="1:13">
      <c r="A573">
        <v>4527</v>
      </c>
      <c r="B573" t="s">
        <v>1620</v>
      </c>
      <c r="C573">
        <v>9</v>
      </c>
      <c r="D573">
        <v>146</v>
      </c>
      <c r="E573">
        <v>200</v>
      </c>
      <c r="F573">
        <v>32441</v>
      </c>
      <c r="G573">
        <v>9.9989383561643805</v>
      </c>
      <c r="H573" s="1">
        <v>4.67497663987882E-7</v>
      </c>
      <c r="I573" t="s">
        <v>1621</v>
      </c>
      <c r="J573" t="s">
        <v>1622</v>
      </c>
      <c r="K573" s="1">
        <v>1.5083765688403701E-5</v>
      </c>
      <c r="L573" t="s">
        <v>1178</v>
      </c>
      <c r="M573" t="str">
        <f>HYPERLINK("http://www.broadinstitute.org/gsea/msigdb/cards/GSE36826_NORMAL_VS_STAPH_AUREUS_INF_IL1R_KO_SKIN_DN.html")</f>
        <v>http://www.broadinstitute.org/gsea/msigdb/cards/GSE36826_NORMAL_VS_STAPH_AUREUS_INF_IL1R_KO_SKIN_DN.html</v>
      </c>
    </row>
    <row r="574" spans="1:13">
      <c r="A574">
        <v>4791</v>
      </c>
      <c r="B574" t="s">
        <v>1623</v>
      </c>
      <c r="C574">
        <v>9</v>
      </c>
      <c r="D574">
        <v>146</v>
      </c>
      <c r="E574">
        <v>200</v>
      </c>
      <c r="F574">
        <v>32441</v>
      </c>
      <c r="G574">
        <v>9.9989383561643805</v>
      </c>
      <c r="H574" s="1">
        <v>4.67497663987882E-7</v>
      </c>
      <c r="I574" t="s">
        <v>1624</v>
      </c>
      <c r="J574" t="s">
        <v>1625</v>
      </c>
      <c r="K574" s="1">
        <v>1.5083765688403701E-5</v>
      </c>
      <c r="L574" t="s">
        <v>1178</v>
      </c>
      <c r="M574" t="str">
        <f>HYPERLINK("http://www.broadinstitute.org/gsea/msigdb/cards/GSE41176_WT_VS_TAK1_KO_UNSTIM_BCELL_UP.html")</f>
        <v>http://www.broadinstitute.org/gsea/msigdb/cards/GSE41176_WT_VS_TAK1_KO_UNSTIM_BCELL_UP.html</v>
      </c>
    </row>
    <row r="575" spans="1:13">
      <c r="A575">
        <v>4825</v>
      </c>
      <c r="B575" t="s">
        <v>1626</v>
      </c>
      <c r="C575">
        <v>9</v>
      </c>
      <c r="D575">
        <v>146</v>
      </c>
      <c r="E575">
        <v>200</v>
      </c>
      <c r="F575">
        <v>32441</v>
      </c>
      <c r="G575">
        <v>9.9989383561643805</v>
      </c>
      <c r="H575" s="1">
        <v>4.67497663987882E-7</v>
      </c>
      <c r="I575" t="s">
        <v>1627</v>
      </c>
      <c r="J575" t="s">
        <v>1628</v>
      </c>
      <c r="K575" s="1">
        <v>1.5083765688403701E-5</v>
      </c>
      <c r="L575" t="s">
        <v>1178</v>
      </c>
      <c r="M575" t="str">
        <f>HYPERLINK("http://www.broadinstitute.org/gsea/msigdb/cards/GSE45365_HEALTHY_VS_MCMV_INFECTION_CD8A_DC_IFNAR_KO_UP.html")</f>
        <v>http://www.broadinstitute.org/gsea/msigdb/cards/GSE45365_HEALTHY_VS_MCMV_INFECTION_CD8A_DC_IFNAR_KO_UP.html</v>
      </c>
    </row>
    <row r="576" spans="1:13">
      <c r="A576">
        <v>4067</v>
      </c>
      <c r="B576" t="s">
        <v>1629</v>
      </c>
      <c r="C576">
        <v>8</v>
      </c>
      <c r="D576">
        <v>146</v>
      </c>
      <c r="E576">
        <v>162</v>
      </c>
      <c r="F576">
        <v>32441</v>
      </c>
      <c r="G576">
        <v>10.9727718586166</v>
      </c>
      <c r="H576" s="1">
        <v>1.0631846817534299E-6</v>
      </c>
      <c r="I576" t="s">
        <v>1630</v>
      </c>
      <c r="J576" t="s">
        <v>1631</v>
      </c>
      <c r="K576" s="1">
        <v>3.4077866904623098E-5</v>
      </c>
      <c r="L576" t="s">
        <v>1178</v>
      </c>
      <c r="M576" t="str">
        <f>HYPERLINK("http://www.broadinstitute.org/gsea/msigdb/cards/GSE37301_HEMATOPOIETIC_STEM_CELL_VS_PRO_BCELL_DN.html")</f>
        <v>http://www.broadinstitute.org/gsea/msigdb/cards/GSE37301_HEMATOPOIETIC_STEM_CELL_VS_PRO_BCELL_DN.html</v>
      </c>
    </row>
    <row r="577" spans="1:13">
      <c r="A577">
        <v>4465</v>
      </c>
      <c r="B577" t="s">
        <v>1632</v>
      </c>
      <c r="C577">
        <v>8</v>
      </c>
      <c r="D577">
        <v>146</v>
      </c>
      <c r="E577">
        <v>167</v>
      </c>
      <c r="F577">
        <v>32441</v>
      </c>
      <c r="G577">
        <v>10.644245755065199</v>
      </c>
      <c r="H577" s="1">
        <v>1.3221038135578201E-6</v>
      </c>
      <c r="I577" t="s">
        <v>1633</v>
      </c>
      <c r="J577" t="s">
        <v>1634</v>
      </c>
      <c r="K577" s="1">
        <v>4.2099933200350997E-5</v>
      </c>
      <c r="L577" t="s">
        <v>1178</v>
      </c>
      <c r="M577" t="str">
        <f>HYPERLINK("http://www.broadinstitute.org/gsea/msigdb/cards/GSE24671_CTRL_VS_BAKIMULC_INFECTED_MOUSE_SPLENOCYTES_DN.html")</f>
        <v>http://www.broadinstitute.org/gsea/msigdb/cards/GSE24671_CTRL_VS_BAKIMULC_INFECTED_MOUSE_SPLENOCYTES_DN.html</v>
      </c>
    </row>
    <row r="578" spans="1:13">
      <c r="A578">
        <v>2791</v>
      </c>
      <c r="B578" t="s">
        <v>1635</v>
      </c>
      <c r="C578">
        <v>8</v>
      </c>
      <c r="D578">
        <v>146</v>
      </c>
      <c r="E578">
        <v>170</v>
      </c>
      <c r="F578">
        <v>32441</v>
      </c>
      <c r="G578">
        <v>10.456406124093499</v>
      </c>
      <c r="H578" s="1">
        <v>1.5018632803491601E-6</v>
      </c>
      <c r="I578" t="s">
        <v>1636</v>
      </c>
      <c r="J578" t="s">
        <v>1637</v>
      </c>
      <c r="K578" s="1">
        <v>4.75134928692281E-5</v>
      </c>
      <c r="L578" t="s">
        <v>1178</v>
      </c>
      <c r="M578" t="str">
        <f>HYPERLINK("http://www.broadinstitute.org/gsea/msigdb/cards/GSE14415_INDUCED_TREG_VS_FOXP3_KO_INDUCED_TREG_UP.html")</f>
        <v>http://www.broadinstitute.org/gsea/msigdb/cards/GSE14415_INDUCED_TREG_VS_FOXP3_KO_INDUCED_TREG_UP.html</v>
      </c>
    </row>
    <row r="579" spans="1:13">
      <c r="A579">
        <v>3</v>
      </c>
      <c r="B579" t="s">
        <v>1638</v>
      </c>
      <c r="C579">
        <v>8</v>
      </c>
      <c r="D579">
        <v>146</v>
      </c>
      <c r="E579">
        <v>200</v>
      </c>
      <c r="F579">
        <v>32441</v>
      </c>
      <c r="G579">
        <v>8.8879452054794506</v>
      </c>
      <c r="H579" s="1">
        <v>4.7747898384622803E-6</v>
      </c>
      <c r="I579" t="s">
        <v>1639</v>
      </c>
      <c r="J579" t="s">
        <v>1640</v>
      </c>
      <c r="K579">
        <v>1.1573520444272799E-4</v>
      </c>
      <c r="L579" t="s">
        <v>1178</v>
      </c>
      <c r="M579" t="str">
        <f>HYPERLINK("http://www.broadinstitute.org/gsea/msigdb/cards/KAECH_NAIVE_VS_DAY15_EFF_CD8_TCELL_UP.html")</f>
        <v>http://www.broadinstitute.org/gsea/msigdb/cards/KAECH_NAIVE_VS_DAY15_EFF_CD8_TCELL_UP.html</v>
      </c>
    </row>
    <row r="580" spans="1:13">
      <c r="A580">
        <v>272</v>
      </c>
      <c r="B580" t="s">
        <v>1641</v>
      </c>
      <c r="C580">
        <v>8</v>
      </c>
      <c r="D580">
        <v>146</v>
      </c>
      <c r="E580">
        <v>200</v>
      </c>
      <c r="F580">
        <v>32441</v>
      </c>
      <c r="G580">
        <v>8.8879452054794506</v>
      </c>
      <c r="H580" s="1">
        <v>4.7747898384622803E-6</v>
      </c>
      <c r="I580" t="s">
        <v>1642</v>
      </c>
      <c r="J580" t="s">
        <v>1643</v>
      </c>
      <c r="K580">
        <v>1.1573520444272799E-4</v>
      </c>
      <c r="L580" t="s">
        <v>1178</v>
      </c>
      <c r="M580" t="str">
        <f>HYPERLINK("http://www.broadinstitute.org/gsea/msigdb/cards/GSE10239_MEMORY_VS_KLRG1INT_EFF_CD8_TCELL_UP.html")</f>
        <v>http://www.broadinstitute.org/gsea/msigdb/cards/GSE10239_MEMORY_VS_KLRG1INT_EFF_CD8_TCELL_UP.html</v>
      </c>
    </row>
    <row r="581" spans="1:13">
      <c r="A581">
        <v>47</v>
      </c>
      <c r="B581" t="s">
        <v>1644</v>
      </c>
      <c r="C581">
        <v>8</v>
      </c>
      <c r="D581">
        <v>146</v>
      </c>
      <c r="E581">
        <v>200</v>
      </c>
      <c r="F581">
        <v>32441</v>
      </c>
      <c r="G581">
        <v>8.8879452054794506</v>
      </c>
      <c r="H581" s="1">
        <v>4.7747898384622803E-6</v>
      </c>
      <c r="I581" t="s">
        <v>1645</v>
      </c>
      <c r="J581" t="s">
        <v>1646</v>
      </c>
      <c r="K581">
        <v>1.1573520444272799E-4</v>
      </c>
      <c r="L581" t="s">
        <v>1178</v>
      </c>
      <c r="M581" t="str">
        <f>HYPERLINK("http://www.broadinstitute.org/gsea/msigdb/cards/GSE10325_LUPUS_BCELL_VS_LUPUS_MYELOID_UP.html")</f>
        <v>http://www.broadinstitute.org/gsea/msigdb/cards/GSE10325_LUPUS_BCELL_VS_LUPUS_MYELOID_UP.html</v>
      </c>
    </row>
    <row r="582" spans="1:13">
      <c r="A582">
        <v>171</v>
      </c>
      <c r="B582" t="s">
        <v>1647</v>
      </c>
      <c r="C582">
        <v>8</v>
      </c>
      <c r="D582">
        <v>146</v>
      </c>
      <c r="E582">
        <v>200</v>
      </c>
      <c r="F582">
        <v>32441</v>
      </c>
      <c r="G582">
        <v>8.8879452054794506</v>
      </c>
      <c r="H582" s="1">
        <v>4.7747898384622803E-6</v>
      </c>
      <c r="I582" t="s">
        <v>1648</v>
      </c>
      <c r="J582" t="s">
        <v>1649</v>
      </c>
      <c r="K582">
        <v>1.1573520444272799E-4</v>
      </c>
      <c r="L582" t="s">
        <v>1178</v>
      </c>
      <c r="M582" t="str">
        <f>HYPERLINK("http://www.broadinstitute.org/gsea/msigdb/cards/GSE13411_IGM_MEMORY_BCELL_VS_PLASMA_CELL_UP.html")</f>
        <v>http://www.broadinstitute.org/gsea/msigdb/cards/GSE13411_IGM_MEMORY_BCELL_VS_PLASMA_CELL_UP.html</v>
      </c>
    </row>
    <row r="583" spans="1:13">
      <c r="A583">
        <v>179</v>
      </c>
      <c r="B583" t="s">
        <v>1650</v>
      </c>
      <c r="C583">
        <v>8</v>
      </c>
      <c r="D583">
        <v>146</v>
      </c>
      <c r="E583">
        <v>200</v>
      </c>
      <c r="F583">
        <v>32441</v>
      </c>
      <c r="G583">
        <v>8.8879452054794506</v>
      </c>
      <c r="H583" s="1">
        <v>4.7747898384622803E-6</v>
      </c>
      <c r="I583" t="s">
        <v>1651</v>
      </c>
      <c r="J583" t="s">
        <v>1652</v>
      </c>
      <c r="K583">
        <v>1.1573520444272799E-4</v>
      </c>
      <c r="L583" t="s">
        <v>1178</v>
      </c>
      <c r="M583" t="str">
        <f>HYPERLINK("http://www.broadinstitute.org/gsea/msigdb/cards/GSE13484_UNSTIM_VS_12H_YF17D_VACCINE_STIM_PBMC_UP.html")</f>
        <v>http://www.broadinstitute.org/gsea/msigdb/cards/GSE13484_UNSTIM_VS_12H_YF17D_VACCINE_STIM_PBMC_UP.html</v>
      </c>
    </row>
    <row r="584" spans="1:13">
      <c r="A584">
        <v>203</v>
      </c>
      <c r="B584" t="s">
        <v>1653</v>
      </c>
      <c r="C584">
        <v>8</v>
      </c>
      <c r="D584">
        <v>146</v>
      </c>
      <c r="E584">
        <v>199</v>
      </c>
      <c r="F584">
        <v>32441</v>
      </c>
      <c r="G584">
        <v>8.9326082467130199</v>
      </c>
      <c r="H584" s="1">
        <v>4.6084156644920599E-6</v>
      </c>
      <c r="I584" t="s">
        <v>1654</v>
      </c>
      <c r="J584" t="s">
        <v>1655</v>
      </c>
      <c r="K584">
        <v>1.1573520444272799E-4</v>
      </c>
      <c r="L584" t="s">
        <v>1178</v>
      </c>
      <c r="M584" t="str">
        <f>HYPERLINK("http://www.broadinstitute.org/gsea/msigdb/cards/GSE13485_DAY3_VS_DAY7_YF17D_VACCINE_PBMC_UP.html")</f>
        <v>http://www.broadinstitute.org/gsea/msigdb/cards/GSE13485_DAY3_VS_DAY7_YF17D_VACCINE_PBMC_UP.html</v>
      </c>
    </row>
    <row r="585" spans="1:13">
      <c r="A585">
        <v>560</v>
      </c>
      <c r="B585" t="s">
        <v>1656</v>
      </c>
      <c r="C585">
        <v>8</v>
      </c>
      <c r="D585">
        <v>146</v>
      </c>
      <c r="E585">
        <v>200</v>
      </c>
      <c r="F585">
        <v>32441</v>
      </c>
      <c r="G585">
        <v>8.8879452054794506</v>
      </c>
      <c r="H585" s="1">
        <v>4.7747898384622803E-6</v>
      </c>
      <c r="I585" t="s">
        <v>1657</v>
      </c>
      <c r="J585" t="s">
        <v>1658</v>
      </c>
      <c r="K585">
        <v>1.1573520444272799E-4</v>
      </c>
      <c r="L585" t="s">
        <v>1178</v>
      </c>
      <c r="M585" t="str">
        <f>HYPERLINK("http://www.broadinstitute.org/gsea/msigdb/cards/GSE17721_POLYIC_VS_PAM3CSK4_16H_BMDC_DN.html")</f>
        <v>http://www.broadinstitute.org/gsea/msigdb/cards/GSE17721_POLYIC_VS_PAM3CSK4_16H_BMDC_DN.html</v>
      </c>
    </row>
    <row r="586" spans="1:13">
      <c r="A586">
        <v>614</v>
      </c>
      <c r="B586" t="s">
        <v>1659</v>
      </c>
      <c r="C586">
        <v>8</v>
      </c>
      <c r="D586">
        <v>146</v>
      </c>
      <c r="E586">
        <v>200</v>
      </c>
      <c r="F586">
        <v>32441</v>
      </c>
      <c r="G586">
        <v>8.8879452054794506</v>
      </c>
      <c r="H586" s="1">
        <v>4.7747898384622803E-6</v>
      </c>
      <c r="I586" t="s">
        <v>1660</v>
      </c>
      <c r="J586" t="s">
        <v>1661</v>
      </c>
      <c r="K586">
        <v>1.1573520444272799E-4</v>
      </c>
      <c r="L586" t="s">
        <v>1178</v>
      </c>
      <c r="M586" t="str">
        <f>HYPERLINK("http://www.broadinstitute.org/gsea/msigdb/cards/GSE17721_LPS_VS_PAM3CSK4_16H_BMDC_DN.html")</f>
        <v>http://www.broadinstitute.org/gsea/msigdb/cards/GSE17721_LPS_VS_PAM3CSK4_16H_BMDC_DN.html</v>
      </c>
    </row>
    <row r="587" spans="1:13">
      <c r="A587">
        <v>741</v>
      </c>
      <c r="B587" t="s">
        <v>1662</v>
      </c>
      <c r="C587">
        <v>8</v>
      </c>
      <c r="D587">
        <v>146</v>
      </c>
      <c r="E587">
        <v>200</v>
      </c>
      <c r="F587">
        <v>32441</v>
      </c>
      <c r="G587">
        <v>8.8879452054794506</v>
      </c>
      <c r="H587" s="1">
        <v>4.7747898384622803E-6</v>
      </c>
      <c r="I587" t="s">
        <v>1663</v>
      </c>
      <c r="J587" t="s">
        <v>1664</v>
      </c>
      <c r="K587">
        <v>1.1573520444272799E-4</v>
      </c>
      <c r="L587" t="s">
        <v>1178</v>
      </c>
      <c r="M587" t="str">
        <f>HYPERLINK("http://www.broadinstitute.org/gsea/msigdb/cards/GSE17721_0.5H_VS_12H_CPG_BMDC_UP.html")</f>
        <v>http://www.broadinstitute.org/gsea/msigdb/cards/GSE17721_0.5H_VS_12H_CPG_BMDC_UP.html</v>
      </c>
    </row>
    <row r="588" spans="1:13">
      <c r="A588">
        <v>759</v>
      </c>
      <c r="B588" t="s">
        <v>1665</v>
      </c>
      <c r="C588">
        <v>8</v>
      </c>
      <c r="D588">
        <v>146</v>
      </c>
      <c r="E588">
        <v>200</v>
      </c>
      <c r="F588">
        <v>32441</v>
      </c>
      <c r="G588">
        <v>8.8879452054794506</v>
      </c>
      <c r="H588" s="1">
        <v>4.7747898384622803E-6</v>
      </c>
      <c r="I588" t="s">
        <v>1666</v>
      </c>
      <c r="J588" t="s">
        <v>1667</v>
      </c>
      <c r="K588">
        <v>1.1573520444272799E-4</v>
      </c>
      <c r="L588" t="s">
        <v>1178</v>
      </c>
      <c r="M588" t="str">
        <f>HYPERLINK("http://www.broadinstitute.org/gsea/msigdb/cards/GSE17721_0.5H_VS_24H_GARDIQUIMOD_BMDC_UP.html")</f>
        <v>http://www.broadinstitute.org/gsea/msigdb/cards/GSE17721_0.5H_VS_24H_GARDIQUIMOD_BMDC_UP.html</v>
      </c>
    </row>
    <row r="589" spans="1:13">
      <c r="A589">
        <v>925</v>
      </c>
      <c r="B589" t="s">
        <v>1668</v>
      </c>
      <c r="C589">
        <v>8</v>
      </c>
      <c r="D589">
        <v>146</v>
      </c>
      <c r="E589">
        <v>200</v>
      </c>
      <c r="F589">
        <v>32441</v>
      </c>
      <c r="G589">
        <v>8.8879452054794506</v>
      </c>
      <c r="H589" s="1">
        <v>4.7747898384622803E-6</v>
      </c>
      <c r="I589" t="s">
        <v>1669</v>
      </c>
      <c r="J589" t="s">
        <v>1670</v>
      </c>
      <c r="K589">
        <v>1.1573520444272799E-4</v>
      </c>
      <c r="L589" t="s">
        <v>1178</v>
      </c>
      <c r="M589" t="str">
        <f>HYPERLINK("http://www.broadinstitute.org/gsea/msigdb/cards/GSE22886_UNSTIM_VS_STIM_MEMORY_TCELL_UP.html")</f>
        <v>http://www.broadinstitute.org/gsea/msigdb/cards/GSE22886_UNSTIM_VS_STIM_MEMORY_TCELL_UP.html</v>
      </c>
    </row>
    <row r="590" spans="1:13">
      <c r="A590">
        <v>972</v>
      </c>
      <c r="B590" t="s">
        <v>1671</v>
      </c>
      <c r="C590">
        <v>8</v>
      </c>
      <c r="D590">
        <v>146</v>
      </c>
      <c r="E590">
        <v>200</v>
      </c>
      <c r="F590">
        <v>32441</v>
      </c>
      <c r="G590">
        <v>8.8879452054794506</v>
      </c>
      <c r="H590" s="1">
        <v>4.7747898384622803E-6</v>
      </c>
      <c r="I590" t="s">
        <v>1672</v>
      </c>
      <c r="J590" t="s">
        <v>1673</v>
      </c>
      <c r="K590">
        <v>1.1573520444272799E-4</v>
      </c>
      <c r="L590" t="s">
        <v>1178</v>
      </c>
      <c r="M590" t="str">
        <f>HYPERLINK("http://www.broadinstitute.org/gsea/msigdb/cards/GSE22886_DC_VS_MONOCYTE_DN.html")</f>
        <v>http://www.broadinstitute.org/gsea/msigdb/cards/GSE22886_DC_VS_MONOCYTE_DN.html</v>
      </c>
    </row>
    <row r="591" spans="1:13">
      <c r="A591">
        <v>1017</v>
      </c>
      <c r="B591" t="s">
        <v>1674</v>
      </c>
      <c r="C591">
        <v>8</v>
      </c>
      <c r="D591">
        <v>146</v>
      </c>
      <c r="E591">
        <v>200</v>
      </c>
      <c r="F591">
        <v>32441</v>
      </c>
      <c r="G591">
        <v>8.8879452054794506</v>
      </c>
      <c r="H591" s="1">
        <v>4.7747898384622803E-6</v>
      </c>
      <c r="I591" t="s">
        <v>1675</v>
      </c>
      <c r="J591" t="s">
        <v>1676</v>
      </c>
      <c r="K591">
        <v>1.1573520444272799E-4</v>
      </c>
      <c r="L591" t="s">
        <v>1178</v>
      </c>
      <c r="M591" t="str">
        <f>HYPERLINK("http://www.broadinstitute.org/gsea/msigdb/cards/GSE24026_PD1_LIGATION_VS_CTRL_IN_ACT_TCELL_LINE_UP.html")</f>
        <v>http://www.broadinstitute.org/gsea/msigdb/cards/GSE24026_PD1_LIGATION_VS_CTRL_IN_ACT_TCELL_LINE_UP.html</v>
      </c>
    </row>
    <row r="592" spans="1:13">
      <c r="A592">
        <v>1278</v>
      </c>
      <c r="B592" t="s">
        <v>1677</v>
      </c>
      <c r="C592">
        <v>8</v>
      </c>
      <c r="D592">
        <v>146</v>
      </c>
      <c r="E592">
        <v>200</v>
      </c>
      <c r="F592">
        <v>32441</v>
      </c>
      <c r="G592">
        <v>8.8879452054794506</v>
      </c>
      <c r="H592" s="1">
        <v>4.7747898384622803E-6</v>
      </c>
      <c r="I592" t="s">
        <v>1678</v>
      </c>
      <c r="J592" t="s">
        <v>1679</v>
      </c>
      <c r="K592">
        <v>1.1573520444272799E-4</v>
      </c>
      <c r="L592" t="s">
        <v>1178</v>
      </c>
      <c r="M592" t="str">
        <f>HYPERLINK("http://www.broadinstitute.org/gsea/msigdb/cards/GSE29618_MONOCYTE_VS_MDC_DN.html")</f>
        <v>http://www.broadinstitute.org/gsea/msigdb/cards/GSE29618_MONOCYTE_VS_MDC_DN.html</v>
      </c>
    </row>
    <row r="593" spans="1:13">
      <c r="A593">
        <v>1281</v>
      </c>
      <c r="B593" t="s">
        <v>1680</v>
      </c>
      <c r="C593">
        <v>8</v>
      </c>
      <c r="D593">
        <v>146</v>
      </c>
      <c r="E593">
        <v>200</v>
      </c>
      <c r="F593">
        <v>32441</v>
      </c>
      <c r="G593">
        <v>8.8879452054794506</v>
      </c>
      <c r="H593" s="1">
        <v>4.7747898384622803E-6</v>
      </c>
      <c r="I593" t="s">
        <v>1681</v>
      </c>
      <c r="J593" t="s">
        <v>1682</v>
      </c>
      <c r="K593">
        <v>1.1573520444272799E-4</v>
      </c>
      <c r="L593" t="s">
        <v>1178</v>
      </c>
      <c r="M593" t="str">
        <f>HYPERLINK("http://www.broadinstitute.org/gsea/msigdb/cards/GSE29618_BCELL_VS_MONOCYTE_DAY7_FLU_VACCINE_UP.html")</f>
        <v>http://www.broadinstitute.org/gsea/msigdb/cards/GSE29618_BCELL_VS_MONOCYTE_DAY7_FLU_VACCINE_UP.html</v>
      </c>
    </row>
    <row r="594" spans="1:13">
      <c r="A594">
        <v>1417</v>
      </c>
      <c r="B594" t="s">
        <v>1683</v>
      </c>
      <c r="C594">
        <v>8</v>
      </c>
      <c r="D594">
        <v>146</v>
      </c>
      <c r="E594">
        <v>200</v>
      </c>
      <c r="F594">
        <v>32441</v>
      </c>
      <c r="G594">
        <v>8.8879452054794506</v>
      </c>
      <c r="H594" s="1">
        <v>4.7747898384622803E-6</v>
      </c>
      <c r="I594" t="s">
        <v>1684</v>
      </c>
      <c r="J594" t="s">
        <v>1685</v>
      </c>
      <c r="K594">
        <v>1.1573520444272799E-4</v>
      </c>
      <c r="L594" t="s">
        <v>1178</v>
      </c>
      <c r="M594" t="str">
        <f>HYPERLINK("http://www.broadinstitute.org/gsea/msigdb/cards/GSE360_CTRL_VS_M_TUBERCULOSIS_DC_UP.html")</f>
        <v>http://www.broadinstitute.org/gsea/msigdb/cards/GSE360_CTRL_VS_M_TUBERCULOSIS_DC_UP.html</v>
      </c>
    </row>
    <row r="595" spans="1:13">
      <c r="A595">
        <v>14611</v>
      </c>
      <c r="B595" t="s">
        <v>1686</v>
      </c>
      <c r="C595">
        <v>8</v>
      </c>
      <c r="D595">
        <v>146</v>
      </c>
      <c r="E595">
        <v>200</v>
      </c>
      <c r="F595">
        <v>32441</v>
      </c>
      <c r="G595">
        <v>8.8879452054794506</v>
      </c>
      <c r="H595" s="1">
        <v>4.7747898384622803E-6</v>
      </c>
      <c r="I595" t="s">
        <v>1687</v>
      </c>
      <c r="J595" t="s">
        <v>1688</v>
      </c>
      <c r="K595">
        <v>1.1573520444272799E-4</v>
      </c>
      <c r="L595" t="s">
        <v>1178</v>
      </c>
      <c r="M595" t="str">
        <f>HYPERLINK("http://www.broadinstitute.org/gsea/msigdb/cards/GSE360_L_MAJOR_VS_M_TUBERCULOSIS_DC_UP.html")</f>
        <v>http://www.broadinstitute.org/gsea/msigdb/cards/GSE360_L_MAJOR_VS_M_TUBERCULOSIS_DC_UP.html</v>
      </c>
    </row>
    <row r="596" spans="1:13">
      <c r="A596">
        <v>1514</v>
      </c>
      <c r="B596" t="s">
        <v>1689</v>
      </c>
      <c r="C596">
        <v>8</v>
      </c>
      <c r="D596">
        <v>146</v>
      </c>
      <c r="E596">
        <v>199</v>
      </c>
      <c r="F596">
        <v>32441</v>
      </c>
      <c r="G596">
        <v>8.9326082467130199</v>
      </c>
      <c r="H596" s="1">
        <v>4.6084156644920599E-6</v>
      </c>
      <c r="I596" t="s">
        <v>1690</v>
      </c>
      <c r="J596" t="s">
        <v>1691</v>
      </c>
      <c r="K596">
        <v>1.1573520444272799E-4</v>
      </c>
      <c r="L596" t="s">
        <v>1178</v>
      </c>
      <c r="M596" t="str">
        <f>HYPERLINK("http://www.broadinstitute.org/gsea/msigdb/cards/GSE36392_EOSINOPHIL_VS_NEUTROPHIL_IL25_TREATED_LUNG_DN.html")</f>
        <v>http://www.broadinstitute.org/gsea/msigdb/cards/GSE36392_EOSINOPHIL_VS_NEUTROPHIL_IL25_TREATED_LUNG_DN.html</v>
      </c>
    </row>
    <row r="597" spans="1:13">
      <c r="A597">
        <v>1562</v>
      </c>
      <c r="B597" t="s">
        <v>1692</v>
      </c>
      <c r="C597">
        <v>8</v>
      </c>
      <c r="D597">
        <v>146</v>
      </c>
      <c r="E597">
        <v>200</v>
      </c>
      <c r="F597">
        <v>32441</v>
      </c>
      <c r="G597">
        <v>8.8879452054794506</v>
      </c>
      <c r="H597" s="1">
        <v>4.7747898384622803E-6</v>
      </c>
      <c r="I597" t="s">
        <v>1693</v>
      </c>
      <c r="J597" t="s">
        <v>1694</v>
      </c>
      <c r="K597">
        <v>1.1573520444272799E-4</v>
      </c>
      <c r="L597" t="s">
        <v>1178</v>
      </c>
      <c r="M597" t="str">
        <f>HYPERLINK("http://www.broadinstitute.org/gsea/msigdb/cards/GSE37416_12H_VS_48H_F_TULARENSIS_LVS_NEUTROPHIL_DN.html")</f>
        <v>http://www.broadinstitute.org/gsea/msigdb/cards/GSE37416_12H_VS_48H_F_TULARENSIS_LVS_NEUTROPHIL_DN.html</v>
      </c>
    </row>
    <row r="598" spans="1:13">
      <c r="A598">
        <v>1565</v>
      </c>
      <c r="B598" t="s">
        <v>1695</v>
      </c>
      <c r="C598">
        <v>8</v>
      </c>
      <c r="D598">
        <v>146</v>
      </c>
      <c r="E598">
        <v>200</v>
      </c>
      <c r="F598">
        <v>32441</v>
      </c>
      <c r="G598">
        <v>8.8879452054794506</v>
      </c>
      <c r="H598" s="1">
        <v>4.7747898384622803E-6</v>
      </c>
      <c r="I598" t="s">
        <v>1696</v>
      </c>
      <c r="J598" t="s">
        <v>1697</v>
      </c>
      <c r="K598">
        <v>1.1573520444272799E-4</v>
      </c>
      <c r="L598" t="s">
        <v>1178</v>
      </c>
      <c r="M598" t="str">
        <f>HYPERLINK("http://www.broadinstitute.org/gsea/msigdb/cards/GSE3982_CTRL_VS_IGE_STIM_MAST_CELL_UP.html")</f>
        <v>http://www.broadinstitute.org/gsea/msigdb/cards/GSE3982_CTRL_VS_IGE_STIM_MAST_CELL_UP.html</v>
      </c>
    </row>
    <row r="599" spans="1:13">
      <c r="A599">
        <v>16041</v>
      </c>
      <c r="B599" t="s">
        <v>1698</v>
      </c>
      <c r="C599">
        <v>8</v>
      </c>
      <c r="D599">
        <v>146</v>
      </c>
      <c r="E599">
        <v>200</v>
      </c>
      <c r="F599">
        <v>32441</v>
      </c>
      <c r="G599">
        <v>8.8879452054794506</v>
      </c>
      <c r="H599" s="1">
        <v>4.7747898384622803E-6</v>
      </c>
      <c r="I599" t="s">
        <v>1699</v>
      </c>
      <c r="J599" t="s">
        <v>1700</v>
      </c>
      <c r="K599">
        <v>1.1573520444272799E-4</v>
      </c>
      <c r="L599" t="s">
        <v>1178</v>
      </c>
      <c r="M599" t="str">
        <f>HYPERLINK("http://www.broadinstitute.org/gsea/msigdb/cards/GSE3982_EOSINOPHIL_VS_TH1_DN.html")</f>
        <v>http://www.broadinstitute.org/gsea/msigdb/cards/GSE3982_EOSINOPHIL_VS_TH1_DN.html</v>
      </c>
    </row>
    <row r="600" spans="1:13">
      <c r="A600">
        <v>1664</v>
      </c>
      <c r="B600" t="s">
        <v>1701</v>
      </c>
      <c r="C600">
        <v>8</v>
      </c>
      <c r="D600">
        <v>146</v>
      </c>
      <c r="E600">
        <v>200</v>
      </c>
      <c r="F600">
        <v>32441</v>
      </c>
      <c r="G600">
        <v>8.8879452054794506</v>
      </c>
      <c r="H600" s="1">
        <v>4.7747898384622803E-6</v>
      </c>
      <c r="I600" t="s">
        <v>1702</v>
      </c>
      <c r="J600" t="s">
        <v>1703</v>
      </c>
      <c r="K600">
        <v>1.1573520444272799E-4</v>
      </c>
      <c r="L600" t="s">
        <v>1178</v>
      </c>
      <c r="M600" t="str">
        <f>HYPERLINK("http://www.broadinstitute.org/gsea/msigdb/cards/GSE3982_NEUTROPHIL_VS_BASOPHIL_DN.html")</f>
        <v>http://www.broadinstitute.org/gsea/msigdb/cards/GSE3982_NEUTROPHIL_VS_BASOPHIL_DN.html</v>
      </c>
    </row>
    <row r="601" spans="1:13">
      <c r="A601">
        <v>1730</v>
      </c>
      <c r="B601" t="s">
        <v>1704</v>
      </c>
      <c r="C601">
        <v>8</v>
      </c>
      <c r="D601">
        <v>146</v>
      </c>
      <c r="E601">
        <v>200</v>
      </c>
      <c r="F601">
        <v>32441</v>
      </c>
      <c r="G601">
        <v>8.8879452054794506</v>
      </c>
      <c r="H601" s="1">
        <v>4.7747898384622803E-6</v>
      </c>
      <c r="I601" t="s">
        <v>1705</v>
      </c>
      <c r="J601" t="s">
        <v>1706</v>
      </c>
      <c r="K601">
        <v>1.1573520444272799E-4</v>
      </c>
      <c r="L601" t="s">
        <v>1178</v>
      </c>
      <c r="M601" t="str">
        <f>HYPERLINK("http://www.broadinstitute.org/gsea/msigdb/cards/GSE39820_TGFBETA1_IL6_VS_TGFBETA1_IL6_IL23A_TREATED_CD4_TCELL_DN.html")</f>
        <v>http://www.broadinstitute.org/gsea/msigdb/cards/GSE39820_TGFBETA1_IL6_VS_TGFBETA1_IL6_IL23A_TREATED_CD4_TCELL_DN.html</v>
      </c>
    </row>
    <row r="602" spans="1:13">
      <c r="A602">
        <v>1734</v>
      </c>
      <c r="B602" t="s">
        <v>1707</v>
      </c>
      <c r="C602">
        <v>8</v>
      </c>
      <c r="D602">
        <v>146</v>
      </c>
      <c r="E602">
        <v>200</v>
      </c>
      <c r="F602">
        <v>32441</v>
      </c>
      <c r="G602">
        <v>8.8879452054794506</v>
      </c>
      <c r="H602" s="1">
        <v>4.7747898384622803E-6</v>
      </c>
      <c r="I602" t="s">
        <v>1708</v>
      </c>
      <c r="J602" t="s">
        <v>1709</v>
      </c>
      <c r="K602">
        <v>1.1573520444272799E-4</v>
      </c>
      <c r="L602" t="s">
        <v>1178</v>
      </c>
      <c r="M602" t="str">
        <f>HYPERLINK("http://www.broadinstitute.org/gsea/msigdb/cards/GSE39820_TGFBETA1_VS_TGFBETA3_IN_IL6_TREATED_CD4_TCELL_DN.html")</f>
        <v>http://www.broadinstitute.org/gsea/msigdb/cards/GSE39820_TGFBETA1_VS_TGFBETA3_IN_IL6_TREATED_CD4_TCELL_DN.html</v>
      </c>
    </row>
    <row r="603" spans="1:13">
      <c r="A603">
        <v>1780</v>
      </c>
      <c r="B603" t="s">
        <v>1710</v>
      </c>
      <c r="C603">
        <v>8</v>
      </c>
      <c r="D603">
        <v>146</v>
      </c>
      <c r="E603">
        <v>200</v>
      </c>
      <c r="F603">
        <v>32441</v>
      </c>
      <c r="G603">
        <v>8.8879452054794506</v>
      </c>
      <c r="H603" s="1">
        <v>4.7747898384622803E-6</v>
      </c>
      <c r="I603" t="s">
        <v>1711</v>
      </c>
      <c r="J603" t="s">
        <v>1712</v>
      </c>
      <c r="K603">
        <v>1.1573520444272799E-4</v>
      </c>
      <c r="L603" t="s">
        <v>1178</v>
      </c>
      <c r="M603" t="str">
        <f>HYPERLINK("http://www.broadinstitute.org/gsea/msigdb/cards/GSE7460_TREG_VS_TCONV_ACT_WITH_TGFB_DN.html")</f>
        <v>http://www.broadinstitute.org/gsea/msigdb/cards/GSE7460_TREG_VS_TCONV_ACT_WITH_TGFB_DN.html</v>
      </c>
    </row>
    <row r="604" spans="1:13">
      <c r="A604">
        <v>1853</v>
      </c>
      <c r="B604" t="s">
        <v>1713</v>
      </c>
      <c r="C604">
        <v>8</v>
      </c>
      <c r="D604">
        <v>146</v>
      </c>
      <c r="E604">
        <v>200</v>
      </c>
      <c r="F604">
        <v>32441</v>
      </c>
      <c r="G604">
        <v>8.8879452054794506</v>
      </c>
      <c r="H604" s="1">
        <v>4.7747898384622803E-6</v>
      </c>
      <c r="I604" t="s">
        <v>1714</v>
      </c>
      <c r="J604" t="s">
        <v>1715</v>
      </c>
      <c r="K604">
        <v>1.1573520444272799E-4</v>
      </c>
      <c r="L604" t="s">
        <v>1178</v>
      </c>
      <c r="M604" t="str">
        <f>HYPERLINK("http://www.broadinstitute.org/gsea/msigdb/cards/GSE9006_TYPE_1_VS_TYPE_2_DIABETES_PBMC_AT_DX_UP.html")</f>
        <v>http://www.broadinstitute.org/gsea/msigdb/cards/GSE9006_TYPE_1_VS_TYPE_2_DIABETES_PBMC_AT_DX_UP.html</v>
      </c>
    </row>
    <row r="605" spans="1:13">
      <c r="A605">
        <v>2276</v>
      </c>
      <c r="B605" t="s">
        <v>1716</v>
      </c>
      <c r="C605">
        <v>8</v>
      </c>
      <c r="D605">
        <v>146</v>
      </c>
      <c r="E605">
        <v>200</v>
      </c>
      <c r="F605">
        <v>32441</v>
      </c>
      <c r="G605">
        <v>8.8879452054794506</v>
      </c>
      <c r="H605" s="1">
        <v>4.7747898384622803E-6</v>
      </c>
      <c r="I605" t="s">
        <v>1717</v>
      </c>
      <c r="J605" t="s">
        <v>1718</v>
      </c>
      <c r="K605">
        <v>1.1573520444272799E-4</v>
      </c>
      <c r="L605" t="s">
        <v>1178</v>
      </c>
      <c r="M605" t="str">
        <f>HYPERLINK("http://www.broadinstitute.org/gsea/msigdb/cards/GSE4984_UNTREATED_VS_GALECTIN1_TREATED_DC_DN.html")</f>
        <v>http://www.broadinstitute.org/gsea/msigdb/cards/GSE4984_UNTREATED_VS_GALECTIN1_TREATED_DC_DN.html</v>
      </c>
    </row>
    <row r="606" spans="1:13">
      <c r="A606">
        <v>2310</v>
      </c>
      <c r="B606" t="s">
        <v>1719</v>
      </c>
      <c r="C606">
        <v>8</v>
      </c>
      <c r="D606">
        <v>146</v>
      </c>
      <c r="E606">
        <v>200</v>
      </c>
      <c r="F606">
        <v>32441</v>
      </c>
      <c r="G606">
        <v>8.8879452054794506</v>
      </c>
      <c r="H606" s="1">
        <v>4.7747898384622803E-6</v>
      </c>
      <c r="I606" t="s">
        <v>1720</v>
      </c>
      <c r="J606" t="s">
        <v>1721</v>
      </c>
      <c r="K606">
        <v>1.1573520444272799E-4</v>
      </c>
      <c r="L606" t="s">
        <v>1178</v>
      </c>
      <c r="M606" t="str">
        <f>HYPERLINK("http://www.broadinstitute.org/gsea/msigdb/cards/GSE5542_IFNG_VS_IFNA_TREATED_EPITHELIAL_CELLS_24H_DN.html")</f>
        <v>http://www.broadinstitute.org/gsea/msigdb/cards/GSE5542_IFNG_VS_IFNA_TREATED_EPITHELIAL_CELLS_24H_DN.html</v>
      </c>
    </row>
    <row r="607" spans="1:13">
      <c r="A607">
        <v>30781</v>
      </c>
      <c r="B607" t="s">
        <v>1722</v>
      </c>
      <c r="C607">
        <v>8</v>
      </c>
      <c r="D607">
        <v>146</v>
      </c>
      <c r="E607">
        <v>200</v>
      </c>
      <c r="F607">
        <v>32441</v>
      </c>
      <c r="G607">
        <v>8.8879452054794506</v>
      </c>
      <c r="H607" s="1">
        <v>4.7747898384622803E-6</v>
      </c>
      <c r="I607" t="s">
        <v>1723</v>
      </c>
      <c r="J607" t="s">
        <v>1724</v>
      </c>
      <c r="K607">
        <v>1.1573520444272799E-4</v>
      </c>
      <c r="L607" t="s">
        <v>1178</v>
      </c>
      <c r="M607" t="str">
        <f>HYPERLINK("http://www.broadinstitute.org/gsea/msigdb/cards/GSE17322_CD103_POS_VS_CD11B_HIGH_LUNG_DC_DN.html")</f>
        <v>http://www.broadinstitute.org/gsea/msigdb/cards/GSE17322_CD103_POS_VS_CD11B_HIGH_LUNG_DC_DN.html</v>
      </c>
    </row>
    <row r="608" spans="1:13">
      <c r="A608">
        <v>3259</v>
      </c>
      <c r="B608" t="s">
        <v>1725</v>
      </c>
      <c r="C608">
        <v>8</v>
      </c>
      <c r="D608">
        <v>146</v>
      </c>
      <c r="E608">
        <v>200</v>
      </c>
      <c r="F608">
        <v>32441</v>
      </c>
      <c r="G608">
        <v>8.8879452054794506</v>
      </c>
      <c r="H608" s="1">
        <v>4.7747898384622803E-6</v>
      </c>
      <c r="I608" t="s">
        <v>1726</v>
      </c>
      <c r="J608" t="s">
        <v>1727</v>
      </c>
      <c r="K608">
        <v>1.1573520444272799E-4</v>
      </c>
      <c r="L608" t="s">
        <v>1178</v>
      </c>
      <c r="M608" t="str">
        <f>HYPERLINK("http://www.broadinstitute.org/gsea/msigdb/cards/GSE19401_UNSTIM_VS_RETINOIC_ACID_STIM_FOLLICULAR_DC_DN.html")</f>
        <v>http://www.broadinstitute.org/gsea/msigdb/cards/GSE19401_UNSTIM_VS_RETINOIC_ACID_STIM_FOLLICULAR_DC_DN.html</v>
      </c>
    </row>
    <row r="609" spans="1:13">
      <c r="A609">
        <v>3325</v>
      </c>
      <c r="B609" t="s">
        <v>1728</v>
      </c>
      <c r="C609">
        <v>8</v>
      </c>
      <c r="D609">
        <v>146</v>
      </c>
      <c r="E609">
        <v>200</v>
      </c>
      <c r="F609">
        <v>32441</v>
      </c>
      <c r="G609">
        <v>8.8879452054794506</v>
      </c>
      <c r="H609" s="1">
        <v>4.7747898384622803E-6</v>
      </c>
      <c r="I609" t="s">
        <v>1729</v>
      </c>
      <c r="J609" t="s">
        <v>1730</v>
      </c>
      <c r="K609">
        <v>1.1573520444272799E-4</v>
      </c>
      <c r="L609" t="s">
        <v>1178</v>
      </c>
      <c r="M609" t="str">
        <f>HYPERLINK("http://www.broadinstitute.org/gsea/msigdb/cards/GSE22935_UNSTIM_VS_12H_MBOVIS_BCG_STIM_MACROPHAGE_DN.html")</f>
        <v>http://www.broadinstitute.org/gsea/msigdb/cards/GSE22935_UNSTIM_VS_12H_MBOVIS_BCG_STIM_MACROPHAGE_DN.html</v>
      </c>
    </row>
    <row r="610" spans="1:13">
      <c r="A610">
        <v>3416</v>
      </c>
      <c r="B610" t="s">
        <v>1731</v>
      </c>
      <c r="C610">
        <v>8</v>
      </c>
      <c r="D610">
        <v>146</v>
      </c>
      <c r="E610">
        <v>200</v>
      </c>
      <c r="F610">
        <v>32441</v>
      </c>
      <c r="G610">
        <v>8.8879452054794506</v>
      </c>
      <c r="H610" s="1">
        <v>4.7747898384622803E-6</v>
      </c>
      <c r="I610" t="s">
        <v>1732</v>
      </c>
      <c r="J610" t="s">
        <v>1733</v>
      </c>
      <c r="K610">
        <v>1.1573520444272799E-4</v>
      </c>
      <c r="L610" t="s">
        <v>1178</v>
      </c>
      <c r="M610" t="str">
        <f>HYPERLINK("http://www.broadinstitute.org/gsea/msigdb/cards/GSE16385_MONOCYTE_VS_12H_ROSIGLITAZONE_IL4_TREATED_MACROPHAGE_UP.html")</f>
        <v>http://www.broadinstitute.org/gsea/msigdb/cards/GSE16385_MONOCYTE_VS_12H_ROSIGLITAZONE_IL4_TREATED_MACROPHAGE_UP.html</v>
      </c>
    </row>
    <row r="611" spans="1:13">
      <c r="A611">
        <v>3426</v>
      </c>
      <c r="B611" t="s">
        <v>1734</v>
      </c>
      <c r="C611">
        <v>8</v>
      </c>
      <c r="D611">
        <v>146</v>
      </c>
      <c r="E611">
        <v>200</v>
      </c>
      <c r="F611">
        <v>32441</v>
      </c>
      <c r="G611">
        <v>8.8879452054794506</v>
      </c>
      <c r="H611" s="1">
        <v>4.7747898384622803E-6</v>
      </c>
      <c r="I611" t="s">
        <v>1735</v>
      </c>
      <c r="J611" t="s">
        <v>1736</v>
      </c>
      <c r="K611">
        <v>1.1573520444272799E-4</v>
      </c>
      <c r="L611" t="s">
        <v>1178</v>
      </c>
      <c r="M611" t="str">
        <f>HYPERLINK("http://www.broadinstitute.org/gsea/msigdb/cards/GSE25123_CTRL_VS_IL4_AND_ROSIGLITAZONE_STIM_MACROPHAGE_DN.html")</f>
        <v>http://www.broadinstitute.org/gsea/msigdb/cards/GSE25123_CTRL_VS_IL4_AND_ROSIGLITAZONE_STIM_MACROPHAGE_DN.html</v>
      </c>
    </row>
    <row r="612" spans="1:13">
      <c r="A612">
        <v>3461</v>
      </c>
      <c r="B612" t="s">
        <v>1737</v>
      </c>
      <c r="C612">
        <v>8</v>
      </c>
      <c r="D612">
        <v>146</v>
      </c>
      <c r="E612">
        <v>200</v>
      </c>
      <c r="F612">
        <v>32441</v>
      </c>
      <c r="G612">
        <v>8.8879452054794506</v>
      </c>
      <c r="H612" s="1">
        <v>4.7747898384622803E-6</v>
      </c>
      <c r="I612" t="s">
        <v>1738</v>
      </c>
      <c r="J612" t="s">
        <v>1739</v>
      </c>
      <c r="K612">
        <v>1.1573520444272799E-4</v>
      </c>
      <c r="L612" t="s">
        <v>1178</v>
      </c>
      <c r="M612" t="str">
        <f>HYPERLINK("http://www.broadinstitute.org/gsea/msigdb/cards/GSE25123_IL4_VS_IL4_AND_ROSIGLITAZONE_STIM_MACROPHAGE_DAY10_DN.html")</f>
        <v>http://www.broadinstitute.org/gsea/msigdb/cards/GSE25123_IL4_VS_IL4_AND_ROSIGLITAZONE_STIM_MACROPHAGE_DAY10_DN.html</v>
      </c>
    </row>
    <row r="613" spans="1:13">
      <c r="A613">
        <v>3608</v>
      </c>
      <c r="B613" t="s">
        <v>1740</v>
      </c>
      <c r="C613">
        <v>8</v>
      </c>
      <c r="D613">
        <v>146</v>
      </c>
      <c r="E613">
        <v>200</v>
      </c>
      <c r="F613">
        <v>32441</v>
      </c>
      <c r="G613">
        <v>8.8879452054794506</v>
      </c>
      <c r="H613" s="1">
        <v>4.7747898384622803E-6</v>
      </c>
      <c r="I613" t="s">
        <v>1741</v>
      </c>
      <c r="J613" t="s">
        <v>1742</v>
      </c>
      <c r="K613">
        <v>1.1573520444272799E-4</v>
      </c>
      <c r="L613" t="s">
        <v>1178</v>
      </c>
      <c r="M613" t="str">
        <f>HYPERLINK("http://www.broadinstitute.org/gsea/msigdb/cards/GSE22611_MUTANT_NOD2_VS_CTRL_TRANSDUCED_HEK293T_CELL_UP.html")</f>
        <v>http://www.broadinstitute.org/gsea/msigdb/cards/GSE22611_MUTANT_NOD2_VS_CTRL_TRANSDUCED_HEK293T_CELL_UP.html</v>
      </c>
    </row>
    <row r="614" spans="1:13">
      <c r="A614">
        <v>3707</v>
      </c>
      <c r="B614" t="s">
        <v>1743</v>
      </c>
      <c r="C614">
        <v>8</v>
      </c>
      <c r="D614">
        <v>146</v>
      </c>
      <c r="E614">
        <v>200</v>
      </c>
      <c r="F614">
        <v>32441</v>
      </c>
      <c r="G614">
        <v>8.8879452054794506</v>
      </c>
      <c r="H614" s="1">
        <v>4.7747898384622803E-6</v>
      </c>
      <c r="I614" t="s">
        <v>1744</v>
      </c>
      <c r="J614" t="s">
        <v>1745</v>
      </c>
      <c r="K614">
        <v>1.1573520444272799E-4</v>
      </c>
      <c r="L614" t="s">
        <v>1178</v>
      </c>
      <c r="M614" t="str">
        <f>HYPERLINK("http://www.broadinstitute.org/gsea/msigdb/cards/GSE28726_ACT_CD4_TCELL_VS_ACT_NKTCELL_DN.html")</f>
        <v>http://www.broadinstitute.org/gsea/msigdb/cards/GSE28726_ACT_CD4_TCELL_VS_ACT_NKTCELL_DN.html</v>
      </c>
    </row>
    <row r="615" spans="1:13">
      <c r="A615">
        <v>3711</v>
      </c>
      <c r="B615" t="s">
        <v>1746</v>
      </c>
      <c r="C615">
        <v>8</v>
      </c>
      <c r="D615">
        <v>146</v>
      </c>
      <c r="E615">
        <v>200</v>
      </c>
      <c r="F615">
        <v>32441</v>
      </c>
      <c r="G615">
        <v>8.8879452054794506</v>
      </c>
      <c r="H615" s="1">
        <v>4.7747898384622803E-6</v>
      </c>
      <c r="I615" t="s">
        <v>1747</v>
      </c>
      <c r="J615" t="s">
        <v>1748</v>
      </c>
      <c r="K615">
        <v>1.1573520444272799E-4</v>
      </c>
      <c r="L615" t="s">
        <v>1178</v>
      </c>
      <c r="M615" t="str">
        <f>HYPERLINK("http://www.broadinstitute.org/gsea/msigdb/cards/GSE28726_NAIVE_VS_ACTIVATED_CD4_TCELL_UP.html")</f>
        <v>http://www.broadinstitute.org/gsea/msigdb/cards/GSE28726_NAIVE_VS_ACTIVATED_CD4_TCELL_UP.html</v>
      </c>
    </row>
    <row r="616" spans="1:13">
      <c r="A616">
        <v>3782</v>
      </c>
      <c r="B616" t="s">
        <v>1749</v>
      </c>
      <c r="C616">
        <v>8</v>
      </c>
      <c r="D616">
        <v>146</v>
      </c>
      <c r="E616">
        <v>200</v>
      </c>
      <c r="F616">
        <v>32441</v>
      </c>
      <c r="G616">
        <v>8.8879452054794506</v>
      </c>
      <c r="H616" s="1">
        <v>4.7747898384622803E-6</v>
      </c>
      <c r="I616" t="s">
        <v>1750</v>
      </c>
      <c r="J616" t="s">
        <v>1751</v>
      </c>
      <c r="K616">
        <v>1.1573520444272799E-4</v>
      </c>
      <c r="L616" t="s">
        <v>1178</v>
      </c>
      <c r="M616" t="str">
        <f>HYPERLINK("http://www.broadinstitute.org/gsea/msigdb/cards/GSE23321_CENTRAL_VS_EFFECTOR_MEMORY_CD8_TCELL_DN.html")</f>
        <v>http://www.broadinstitute.org/gsea/msigdb/cards/GSE23321_CENTRAL_VS_EFFECTOR_MEMORY_CD8_TCELL_DN.html</v>
      </c>
    </row>
    <row r="617" spans="1:13">
      <c r="A617">
        <v>3810</v>
      </c>
      <c r="B617" t="s">
        <v>1752</v>
      </c>
      <c r="C617">
        <v>8</v>
      </c>
      <c r="D617">
        <v>146</v>
      </c>
      <c r="E617">
        <v>200</v>
      </c>
      <c r="F617">
        <v>32441</v>
      </c>
      <c r="G617">
        <v>8.8879452054794506</v>
      </c>
      <c r="H617" s="1">
        <v>4.7747898384622803E-6</v>
      </c>
      <c r="I617" t="s">
        <v>1753</v>
      </c>
      <c r="J617" t="s">
        <v>1754</v>
      </c>
      <c r="K617">
        <v>1.1573520444272799E-4</v>
      </c>
      <c r="L617" t="s">
        <v>1178</v>
      </c>
      <c r="M617" t="str">
        <f>HYPERLINK("http://www.broadinstitute.org/gsea/msigdb/cards/GSE26351_UNSTIM_VS_BMP_PATHWAY_STIM_HEMATOPOIETIC_PROGENITORS_UP.html")</f>
        <v>http://www.broadinstitute.org/gsea/msigdb/cards/GSE26351_UNSTIM_VS_BMP_PATHWAY_STIM_HEMATOPOIETIC_PROGENITORS_UP.html</v>
      </c>
    </row>
    <row r="618" spans="1:13">
      <c r="A618">
        <v>3992</v>
      </c>
      <c r="B618" t="s">
        <v>1755</v>
      </c>
      <c r="C618">
        <v>8</v>
      </c>
      <c r="D618">
        <v>146</v>
      </c>
      <c r="E618">
        <v>200</v>
      </c>
      <c r="F618">
        <v>32441</v>
      </c>
      <c r="G618">
        <v>8.8879452054794506</v>
      </c>
      <c r="H618" s="1">
        <v>4.7747898384622803E-6</v>
      </c>
      <c r="I618" t="s">
        <v>1756</v>
      </c>
      <c r="J618" t="s">
        <v>1757</v>
      </c>
      <c r="K618">
        <v>1.1573520444272799E-4</v>
      </c>
      <c r="L618" t="s">
        <v>1178</v>
      </c>
      <c r="M618" t="str">
        <f>HYPERLINK("http://www.broadinstitute.org/gsea/msigdb/cards/GSE34515_CD16_NEG_VS_POS_MONOCYTE_DN.html")</f>
        <v>http://www.broadinstitute.org/gsea/msigdb/cards/GSE34515_CD16_NEG_VS_POS_MONOCYTE_DN.html</v>
      </c>
    </row>
    <row r="619" spans="1:13">
      <c r="A619">
        <v>4217</v>
      </c>
      <c r="B619" t="s">
        <v>1758</v>
      </c>
      <c r="C619">
        <v>8</v>
      </c>
      <c r="D619">
        <v>146</v>
      </c>
      <c r="E619">
        <v>200</v>
      </c>
      <c r="F619">
        <v>32441</v>
      </c>
      <c r="G619">
        <v>8.8879452054794506</v>
      </c>
      <c r="H619" s="1">
        <v>4.7747898384622803E-6</v>
      </c>
      <c r="I619" t="s">
        <v>1759</v>
      </c>
      <c r="J619" t="s">
        <v>1760</v>
      </c>
      <c r="K619">
        <v>1.1573520444272799E-4</v>
      </c>
      <c r="L619" t="s">
        <v>1178</v>
      </c>
      <c r="M619" t="str">
        <f>HYPERLINK("http://www.broadinstitute.org/gsea/msigdb/cards/GSE35685_CD34POS_CD38NEG_VS_CD34POS_CD10NEG_CD62LPOS_BONE_MARROW_UP.html")</f>
        <v>http://www.broadinstitute.org/gsea/msigdb/cards/GSE35685_CD34POS_CD38NEG_VS_CD34POS_CD10NEG_CD62LPOS_BONE_MARROW_UP.html</v>
      </c>
    </row>
    <row r="620" spans="1:13">
      <c r="A620">
        <v>4397</v>
      </c>
      <c r="B620" t="s">
        <v>1761</v>
      </c>
      <c r="C620">
        <v>8</v>
      </c>
      <c r="D620">
        <v>146</v>
      </c>
      <c r="E620">
        <v>200</v>
      </c>
      <c r="F620">
        <v>32441</v>
      </c>
      <c r="G620">
        <v>8.8879452054794506</v>
      </c>
      <c r="H620" s="1">
        <v>4.7747898384622803E-6</v>
      </c>
      <c r="I620" t="s">
        <v>1762</v>
      </c>
      <c r="J620" t="s">
        <v>1763</v>
      </c>
      <c r="K620">
        <v>1.1573520444272799E-4</v>
      </c>
      <c r="L620" t="s">
        <v>1178</v>
      </c>
      <c r="M620" t="str">
        <f>HYPERLINK("http://www.broadinstitute.org/gsea/msigdb/cards/GSE11961_FOLLICULAR_BCELL_VS_MEMORY_BCELL_DAY7_UP.html")</f>
        <v>http://www.broadinstitute.org/gsea/msigdb/cards/GSE11961_FOLLICULAR_BCELL_VS_MEMORY_BCELL_DAY7_UP.html</v>
      </c>
    </row>
    <row r="621" spans="1:13">
      <c r="A621">
        <v>4581</v>
      </c>
      <c r="B621" t="s">
        <v>1764</v>
      </c>
      <c r="C621">
        <v>8</v>
      </c>
      <c r="D621">
        <v>146</v>
      </c>
      <c r="E621">
        <v>200</v>
      </c>
      <c r="F621">
        <v>32441</v>
      </c>
      <c r="G621">
        <v>8.8879452054794506</v>
      </c>
      <c r="H621" s="1">
        <v>4.7747898384622803E-6</v>
      </c>
      <c r="I621" t="s">
        <v>1765</v>
      </c>
      <c r="J621" t="s">
        <v>1766</v>
      </c>
      <c r="K621">
        <v>1.1573520444272799E-4</v>
      </c>
      <c r="L621" t="s">
        <v>1178</v>
      </c>
      <c r="M621" t="str">
        <f>HYPERLINK("http://www.broadinstitute.org/gsea/msigdb/cards/GSE42021_CD24LO_TREG_VS_CD24LO_TCONV_THYMUS_DN.html")</f>
        <v>http://www.broadinstitute.org/gsea/msigdb/cards/GSE42021_CD24LO_TREG_VS_CD24LO_TCONV_THYMUS_DN.html</v>
      </c>
    </row>
    <row r="622" spans="1:13">
      <c r="A622">
        <v>4635</v>
      </c>
      <c r="B622" t="s">
        <v>1767</v>
      </c>
      <c r="C622">
        <v>8</v>
      </c>
      <c r="D622">
        <v>146</v>
      </c>
      <c r="E622">
        <v>200</v>
      </c>
      <c r="F622">
        <v>32441</v>
      </c>
      <c r="G622">
        <v>8.8879452054794506</v>
      </c>
      <c r="H622" s="1">
        <v>4.7747898384622803E-6</v>
      </c>
      <c r="I622" t="s">
        <v>1768</v>
      </c>
      <c r="J622" t="s">
        <v>1769</v>
      </c>
      <c r="K622">
        <v>1.1573520444272799E-4</v>
      </c>
      <c r="L622" t="s">
        <v>1178</v>
      </c>
      <c r="M622" t="str">
        <f>HYPERLINK("http://www.broadinstitute.org/gsea/msigdb/cards/GSE43955_10H_VS_60H_ACT_CD4_TCELL_WITH_TGFB_IL6_UP.html")</f>
        <v>http://www.broadinstitute.org/gsea/msigdb/cards/GSE43955_10H_VS_60H_ACT_CD4_TCELL_WITH_TGFB_IL6_UP.html</v>
      </c>
    </row>
    <row r="623" spans="1:13">
      <c r="A623">
        <v>4711</v>
      </c>
      <c r="B623" t="s">
        <v>1770</v>
      </c>
      <c r="C623">
        <v>8</v>
      </c>
      <c r="D623">
        <v>146</v>
      </c>
      <c r="E623">
        <v>200</v>
      </c>
      <c r="F623">
        <v>32441</v>
      </c>
      <c r="G623">
        <v>8.8879452054794506</v>
      </c>
      <c r="H623" s="1">
        <v>4.7747898384622803E-6</v>
      </c>
      <c r="I623" t="s">
        <v>1771</v>
      </c>
      <c r="J623" t="s">
        <v>1772</v>
      </c>
      <c r="K623">
        <v>1.1573520444272799E-4</v>
      </c>
      <c r="L623" t="s">
        <v>1178</v>
      </c>
      <c r="M623" t="str">
        <f>HYPERLINK("http://www.broadinstitute.org/gsea/msigdb/cards/GSE42724_NAIVE_VS_MEMORY_BCELL_DN.html")</f>
        <v>http://www.broadinstitute.org/gsea/msigdb/cards/GSE42724_NAIVE_VS_MEMORY_BCELL_DN.html</v>
      </c>
    </row>
    <row r="624" spans="1:13">
      <c r="A624">
        <v>4737</v>
      </c>
      <c r="B624" t="s">
        <v>1773</v>
      </c>
      <c r="C624">
        <v>8</v>
      </c>
      <c r="D624">
        <v>146</v>
      </c>
      <c r="E624">
        <v>200</v>
      </c>
      <c r="F624">
        <v>32441</v>
      </c>
      <c r="G624">
        <v>8.8879452054794506</v>
      </c>
      <c r="H624" s="1">
        <v>4.7747898384622803E-6</v>
      </c>
      <c r="I624" t="s">
        <v>1774</v>
      </c>
      <c r="J624" t="s">
        <v>1775</v>
      </c>
      <c r="K624">
        <v>1.1573520444272799E-4</v>
      </c>
      <c r="L624" t="s">
        <v>1178</v>
      </c>
      <c r="M624" t="str">
        <f>HYPERLINK("http://www.broadinstitute.org/gsea/msigdb/cards/GSE46606_DAY1_VS_DAY3_CD40L_IL2_IL5_STIMULATED_IRF4HIGH_BCELL_UP.html")</f>
        <v>http://www.broadinstitute.org/gsea/msigdb/cards/GSE46606_DAY1_VS_DAY3_CD40L_IL2_IL5_STIMULATED_IRF4HIGH_BCELL_UP.html</v>
      </c>
    </row>
    <row r="625" spans="1:13">
      <c r="A625">
        <v>4860</v>
      </c>
      <c r="B625" t="s">
        <v>1776</v>
      </c>
      <c r="C625">
        <v>8</v>
      </c>
      <c r="D625">
        <v>146</v>
      </c>
      <c r="E625">
        <v>198</v>
      </c>
      <c r="F625">
        <v>32441</v>
      </c>
      <c r="G625">
        <v>8.97772242977722</v>
      </c>
      <c r="H625" s="1">
        <v>4.4469796477636403E-6</v>
      </c>
      <c r="I625" t="s">
        <v>1777</v>
      </c>
      <c r="J625" t="s">
        <v>1778</v>
      </c>
      <c r="K625">
        <v>1.1573520444272799E-4</v>
      </c>
      <c r="L625" t="s">
        <v>1178</v>
      </c>
      <c r="M625" t="str">
        <f>HYPERLINK("http://www.broadinstitute.org/gsea/msigdb/cards/GSE18804_SPLEEN_MACROPHAGE_VS_TUMORAL_MACROPHAGE_DN.html")</f>
        <v>http://www.broadinstitute.org/gsea/msigdb/cards/GSE18804_SPLEEN_MACROPHAGE_VS_TUMORAL_MACROPHAGE_DN.html</v>
      </c>
    </row>
    <row r="626" spans="1:13">
      <c r="A626">
        <v>2669</v>
      </c>
      <c r="B626" t="s">
        <v>1779</v>
      </c>
      <c r="C626">
        <v>7</v>
      </c>
      <c r="D626">
        <v>146</v>
      </c>
      <c r="E626">
        <v>148</v>
      </c>
      <c r="F626">
        <v>32441</v>
      </c>
      <c r="G626">
        <v>10.5093946686412</v>
      </c>
      <c r="H626" s="1">
        <v>6.7057696100304999E-6</v>
      </c>
      <c r="I626" t="s">
        <v>1780</v>
      </c>
      <c r="J626" t="s">
        <v>1781</v>
      </c>
      <c r="K626">
        <v>1.6173519574291399E-4</v>
      </c>
      <c r="L626" t="s">
        <v>1178</v>
      </c>
      <c r="M626" t="str">
        <f>HYPERLINK("http://www.broadinstitute.org/gsea/msigdb/cards/GSE10500_ARTHRITIC_SYNOVIAL_FLUID_VS_HEALTHY_MACROPHAGE_UP.html")</f>
        <v>http://www.broadinstitute.org/gsea/msigdb/cards/GSE10500_ARTHRITIC_SYNOVIAL_FLUID_VS_HEALTHY_MACROPHAGE_UP.html</v>
      </c>
    </row>
    <row r="627" spans="1:13">
      <c r="A627">
        <v>2725</v>
      </c>
      <c r="B627" t="s">
        <v>1782</v>
      </c>
      <c r="C627">
        <v>7</v>
      </c>
      <c r="D627">
        <v>146</v>
      </c>
      <c r="E627">
        <v>149</v>
      </c>
      <c r="F627">
        <v>32441</v>
      </c>
      <c r="G627">
        <v>10.4388618185161</v>
      </c>
      <c r="H627" s="1">
        <v>6.9947346936886798E-6</v>
      </c>
      <c r="I627" t="s">
        <v>1783</v>
      </c>
      <c r="J627" t="s">
        <v>1784</v>
      </c>
      <c r="K627">
        <v>1.6787363264852799E-4</v>
      </c>
      <c r="L627" t="s">
        <v>1178</v>
      </c>
      <c r="M627" t="str">
        <f>HYPERLINK("http://www.broadinstitute.org/gsea/msigdb/cards/GSE12505_WT_VS_E2_2_HET_PDC_DN.html")</f>
        <v>http://www.broadinstitute.org/gsea/msigdb/cards/GSE12505_WT_VS_E2_2_HET_PDC_DN.html</v>
      </c>
    </row>
    <row r="628" spans="1:13">
      <c r="A628">
        <v>2816</v>
      </c>
      <c r="B628" t="s">
        <v>1785</v>
      </c>
      <c r="C628">
        <v>7</v>
      </c>
      <c r="D628">
        <v>146</v>
      </c>
      <c r="E628">
        <v>156</v>
      </c>
      <c r="F628">
        <v>32441</v>
      </c>
      <c r="G628">
        <v>9.9704513523006693</v>
      </c>
      <c r="H628" s="1">
        <v>9.3214862175694102E-6</v>
      </c>
      <c r="I628" t="s">
        <v>1786</v>
      </c>
      <c r="J628" t="s">
        <v>1787</v>
      </c>
      <c r="K628">
        <v>2.22619023784305E-4</v>
      </c>
      <c r="L628" t="s">
        <v>1178</v>
      </c>
      <c r="M628" t="str">
        <f>HYPERLINK("http://www.broadinstitute.org/gsea/msigdb/cards/GSE13547_WT_VS_ZFX_KO_BCELL_ANTI_IGM_STIM_2H_DN.html")</f>
        <v>http://www.broadinstitute.org/gsea/msigdb/cards/GSE13547_WT_VS_ZFX_KO_BCELL_ANTI_IGM_STIM_2H_DN.html</v>
      </c>
    </row>
    <row r="629" spans="1:13">
      <c r="A629">
        <v>2800</v>
      </c>
      <c r="B629" t="s">
        <v>1788</v>
      </c>
      <c r="C629">
        <v>7</v>
      </c>
      <c r="D629">
        <v>146</v>
      </c>
      <c r="E629">
        <v>165</v>
      </c>
      <c r="F629">
        <v>32441</v>
      </c>
      <c r="G629">
        <v>9.4266085512660904</v>
      </c>
      <c r="H629" s="1">
        <v>1.32233778749824E-5</v>
      </c>
      <c r="I629" t="s">
        <v>1789</v>
      </c>
      <c r="J629" t="s">
        <v>1790</v>
      </c>
      <c r="K629">
        <v>3.1426486344836302E-4</v>
      </c>
      <c r="L629" t="s">
        <v>1178</v>
      </c>
      <c r="M629" t="str">
        <f>HYPERLINK("http://www.broadinstitute.org/gsea/msigdb/cards/GSE14415_ACT_VS_CTRL_NATURAL_TREG_DN.html")</f>
        <v>http://www.broadinstitute.org/gsea/msigdb/cards/GSE14415_ACT_VS_CTRL_NATURAL_TREG_DN.html</v>
      </c>
    </row>
    <row r="630" spans="1:13">
      <c r="A630">
        <v>4267</v>
      </c>
      <c r="B630" t="s">
        <v>1791</v>
      </c>
      <c r="C630">
        <v>7</v>
      </c>
      <c r="D630">
        <v>146</v>
      </c>
      <c r="E630">
        <v>173</v>
      </c>
      <c r="F630">
        <v>32441</v>
      </c>
      <c r="G630">
        <v>8.99069601710349</v>
      </c>
      <c r="H630" s="1">
        <v>1.7744023318998901E-5</v>
      </c>
      <c r="I630" t="s">
        <v>1792</v>
      </c>
      <c r="J630" t="s">
        <v>1793</v>
      </c>
      <c r="K630">
        <v>4.1965476509787703E-4</v>
      </c>
      <c r="L630" t="s">
        <v>1178</v>
      </c>
      <c r="M630" t="str">
        <f>HYPERLINK("http://www.broadinstitute.org/gsea/msigdb/cards/GSE40274_IRF4_VS_FOXP3_AND_IRF4_TRANSDUCED_ACTIVATED_CD4_TCELL_UP.html")</f>
        <v>http://www.broadinstitute.org/gsea/msigdb/cards/GSE40274_IRF4_VS_FOXP3_AND_IRF4_TRANSDUCED_ACTIVATED_CD4_TCELL_UP.html</v>
      </c>
    </row>
    <row r="631" spans="1:13">
      <c r="A631">
        <v>2547</v>
      </c>
      <c r="B631" t="s">
        <v>1794</v>
      </c>
      <c r="C631">
        <v>7</v>
      </c>
      <c r="D631">
        <v>146</v>
      </c>
      <c r="E631">
        <v>174</v>
      </c>
      <c r="F631">
        <v>32441</v>
      </c>
      <c r="G631">
        <v>8.9390253503385306</v>
      </c>
      <c r="H631" s="1">
        <v>1.83893907350749E-5</v>
      </c>
      <c r="I631" t="s">
        <v>1795</v>
      </c>
      <c r="J631" t="s">
        <v>1796</v>
      </c>
      <c r="K631">
        <v>4.3281696454727E-4</v>
      </c>
      <c r="L631" t="s">
        <v>1178</v>
      </c>
      <c r="M631" t="str">
        <f>HYPERLINK("http://www.broadinstitute.org/gsea/msigdb/cards/GSE9601_UNTREATED_VS_PI3K_INHIBITOR_TREATED_HCMV_INF_MONOCYTE_UP.html")</f>
        <v>http://www.broadinstitute.org/gsea/msigdb/cards/GSE9601_UNTREATED_VS_PI3K_INHIBITOR_TREATED_HCMV_INF_MONOCYTE_UP.html</v>
      </c>
    </row>
    <row r="632" spans="1:13">
      <c r="A632">
        <v>2667</v>
      </c>
      <c r="B632" t="s">
        <v>1797</v>
      </c>
      <c r="C632">
        <v>6</v>
      </c>
      <c r="D632">
        <v>146</v>
      </c>
      <c r="E632">
        <v>127</v>
      </c>
      <c r="F632">
        <v>32441</v>
      </c>
      <c r="G632">
        <v>10.497573077337901</v>
      </c>
      <c r="H632" s="1">
        <v>3.1342031155313402E-5</v>
      </c>
      <c r="I632" t="s">
        <v>1798</v>
      </c>
      <c r="J632" t="s">
        <v>1799</v>
      </c>
      <c r="K632">
        <v>7.34126806676379E-4</v>
      </c>
      <c r="L632" t="s">
        <v>1178</v>
      </c>
      <c r="M632" t="str">
        <f>HYPERLINK("http://www.broadinstitute.org/gsea/msigdb/cards/GSE10422_WT_VS_BAFF_TRANSGENIC_LN_BCELL_DN.html")</f>
        <v>http://www.broadinstitute.org/gsea/msigdb/cards/GSE10422_WT_VS_BAFF_TRANSGENIC_LN_BCELL_DN.html</v>
      </c>
    </row>
    <row r="633" spans="1:13">
      <c r="A633">
        <v>7</v>
      </c>
      <c r="B633" t="s">
        <v>1800</v>
      </c>
      <c r="C633">
        <v>7</v>
      </c>
      <c r="D633">
        <v>146</v>
      </c>
      <c r="E633">
        <v>200</v>
      </c>
      <c r="F633">
        <v>32441</v>
      </c>
      <c r="G633">
        <v>7.7769520547945197</v>
      </c>
      <c r="H633" s="1">
        <v>4.3365219644025802E-5</v>
      </c>
      <c r="I633" t="s">
        <v>1801</v>
      </c>
      <c r="J633" t="s">
        <v>1802</v>
      </c>
      <c r="K633">
        <v>7.7674761068269804E-4</v>
      </c>
      <c r="L633" t="s">
        <v>1178</v>
      </c>
      <c r="M633" t="str">
        <f>HYPERLINK("http://www.broadinstitute.org/gsea/msigdb/cards/KAECH_DAY8_EFF_VS_DAY15_EFF_CD8_TCELL_UP.html")</f>
        <v>http://www.broadinstitute.org/gsea/msigdb/cards/KAECH_DAY8_EFF_VS_DAY15_EFF_CD8_TCELL_UP.html</v>
      </c>
    </row>
    <row r="634" spans="1:13">
      <c r="A634">
        <v>10</v>
      </c>
      <c r="B634" t="s">
        <v>1803</v>
      </c>
      <c r="C634">
        <v>7</v>
      </c>
      <c r="D634">
        <v>146</v>
      </c>
      <c r="E634">
        <v>200</v>
      </c>
      <c r="F634">
        <v>32441</v>
      </c>
      <c r="G634">
        <v>7.7769520547945197</v>
      </c>
      <c r="H634" s="1">
        <v>4.3365219644025802E-5</v>
      </c>
      <c r="I634" t="s">
        <v>1804</v>
      </c>
      <c r="J634" t="s">
        <v>1805</v>
      </c>
      <c r="K634">
        <v>7.7674761068269804E-4</v>
      </c>
      <c r="L634" t="s">
        <v>1178</v>
      </c>
      <c r="M634" t="str">
        <f>HYPERLINK("http://www.broadinstitute.org/gsea/msigdb/cards/KAECH_DAY8_EFF_VS_MEMORY_CD8_TCELL_DN.html")</f>
        <v>http://www.broadinstitute.org/gsea/msigdb/cards/KAECH_DAY8_EFF_VS_MEMORY_CD8_TCELL_DN.html</v>
      </c>
    </row>
    <row r="635" spans="1:13">
      <c r="A635">
        <v>51</v>
      </c>
      <c r="B635" t="s">
        <v>1806</v>
      </c>
      <c r="C635">
        <v>7</v>
      </c>
      <c r="D635">
        <v>146</v>
      </c>
      <c r="E635">
        <v>199</v>
      </c>
      <c r="F635">
        <v>32441</v>
      </c>
      <c r="G635">
        <v>7.8160322158738902</v>
      </c>
      <c r="H635" s="1">
        <v>4.2054603084331397E-5</v>
      </c>
      <c r="I635" t="s">
        <v>1807</v>
      </c>
      <c r="J635" t="s">
        <v>1808</v>
      </c>
      <c r="K635">
        <v>7.7674761068269804E-4</v>
      </c>
      <c r="L635" t="s">
        <v>1178</v>
      </c>
      <c r="M635" t="str">
        <f>HYPERLINK("http://www.broadinstitute.org/gsea/msigdb/cards/GSE10325_BCELL_VS_LUPUS_BCELL_UP.html")</f>
        <v>http://www.broadinstitute.org/gsea/msigdb/cards/GSE10325_BCELL_VS_LUPUS_BCELL_UP.html</v>
      </c>
    </row>
    <row r="636" spans="1:13">
      <c r="A636">
        <v>77</v>
      </c>
      <c r="B636" t="s">
        <v>1809</v>
      </c>
      <c r="C636">
        <v>7</v>
      </c>
      <c r="D636">
        <v>146</v>
      </c>
      <c r="E636">
        <v>200</v>
      </c>
      <c r="F636">
        <v>32441</v>
      </c>
      <c r="G636">
        <v>7.7769520547945197</v>
      </c>
      <c r="H636" s="1">
        <v>4.3365219644025802E-5</v>
      </c>
      <c r="I636" t="s">
        <v>1810</v>
      </c>
      <c r="J636" t="s">
        <v>1811</v>
      </c>
      <c r="K636">
        <v>7.7674761068269804E-4</v>
      </c>
      <c r="L636" t="s">
        <v>1178</v>
      </c>
      <c r="M636" t="str">
        <f>HYPERLINK("http://www.broadinstitute.org/gsea/msigdb/cards/GSE11864_UNTREATED_VS_CSF1_IFNG_IN_MAC_UP.html")</f>
        <v>http://www.broadinstitute.org/gsea/msigdb/cards/GSE11864_UNTREATED_VS_CSF1_IFNG_IN_MAC_UP.html</v>
      </c>
    </row>
    <row r="637" spans="1:13">
      <c r="A637">
        <v>1862</v>
      </c>
      <c r="B637" t="s">
        <v>1812</v>
      </c>
      <c r="C637">
        <v>7</v>
      </c>
      <c r="D637">
        <v>146</v>
      </c>
      <c r="E637">
        <v>200</v>
      </c>
      <c r="F637">
        <v>32441</v>
      </c>
      <c r="G637">
        <v>7.7769520547945197</v>
      </c>
      <c r="H637" s="1">
        <v>4.3365219644025802E-5</v>
      </c>
      <c r="I637" t="s">
        <v>1813</v>
      </c>
      <c r="J637" t="s">
        <v>1814</v>
      </c>
      <c r="K637">
        <v>7.7674761068269804E-4</v>
      </c>
      <c r="L637" t="s">
        <v>1178</v>
      </c>
      <c r="M637" t="str">
        <f>HYPERLINK("http://www.broadinstitute.org/gsea/msigdb/cards/GSE13484_12H_VS_3H_YF17D_VACCINE_STIM_PBMC_DN.html")</f>
        <v>http://www.broadinstitute.org/gsea/msigdb/cards/GSE13484_12H_VS_3H_YF17D_VACCINE_STIM_PBMC_DN.html</v>
      </c>
    </row>
    <row r="638" spans="1:13">
      <c r="A638">
        <v>312</v>
      </c>
      <c r="B638" t="s">
        <v>1815</v>
      </c>
      <c r="C638">
        <v>7</v>
      </c>
      <c r="D638">
        <v>146</v>
      </c>
      <c r="E638">
        <v>200</v>
      </c>
      <c r="F638">
        <v>32441</v>
      </c>
      <c r="G638">
        <v>7.7769520547945197</v>
      </c>
      <c r="H638" s="1">
        <v>4.3365219644025802E-5</v>
      </c>
      <c r="I638" t="s">
        <v>1816</v>
      </c>
      <c r="J638" t="s">
        <v>1817</v>
      </c>
      <c r="K638">
        <v>7.7674761068269804E-4</v>
      </c>
      <c r="L638" t="s">
        <v>1178</v>
      </c>
      <c r="M638" t="str">
        <f>HYPERLINK("http://www.broadinstitute.org/gsea/msigdb/cards/GSE1460_DP_THYMOCYTE_VS_NAIVE_CD4_TCELL_CORD_BLOOD_DN.html")</f>
        <v>http://www.broadinstitute.org/gsea/msigdb/cards/GSE1460_DP_THYMOCYTE_VS_NAIVE_CD4_TCELL_CORD_BLOOD_DN.html</v>
      </c>
    </row>
    <row r="639" spans="1:13">
      <c r="A639">
        <v>324</v>
      </c>
      <c r="B639" t="s">
        <v>1818</v>
      </c>
      <c r="C639">
        <v>7</v>
      </c>
      <c r="D639">
        <v>146</v>
      </c>
      <c r="E639">
        <v>200</v>
      </c>
      <c r="F639">
        <v>32441</v>
      </c>
      <c r="G639">
        <v>7.7769520547945197</v>
      </c>
      <c r="H639" s="1">
        <v>4.3365219644025802E-5</v>
      </c>
      <c r="I639" t="s">
        <v>1819</v>
      </c>
      <c r="J639" t="s">
        <v>1820</v>
      </c>
      <c r="K639">
        <v>7.7674761068269804E-4</v>
      </c>
      <c r="L639" t="s">
        <v>1178</v>
      </c>
      <c r="M639" t="str">
        <f>HYPERLINK("http://www.broadinstitute.org/gsea/msigdb/cards/GSE1460_CORD_VS_ADULT_BLOOD_NAIVE_CD4_TCELL_DN.html")</f>
        <v>http://www.broadinstitute.org/gsea/msigdb/cards/GSE1460_CORD_VS_ADULT_BLOOD_NAIVE_CD4_TCELL_DN.html</v>
      </c>
    </row>
    <row r="640" spans="1:13">
      <c r="A640">
        <v>471</v>
      </c>
      <c r="B640" t="s">
        <v>1821</v>
      </c>
      <c r="C640">
        <v>7</v>
      </c>
      <c r="D640">
        <v>146</v>
      </c>
      <c r="E640">
        <v>200</v>
      </c>
      <c r="F640">
        <v>32441</v>
      </c>
      <c r="G640">
        <v>7.7769520547945197</v>
      </c>
      <c r="H640" s="1">
        <v>4.3365219644025802E-5</v>
      </c>
      <c r="I640" t="s">
        <v>1822</v>
      </c>
      <c r="J640" t="s">
        <v>1823</v>
      </c>
      <c r="K640">
        <v>7.7674761068269804E-4</v>
      </c>
      <c r="L640" t="s">
        <v>1178</v>
      </c>
      <c r="M640" t="str">
        <f>HYPERLINK("http://www.broadinstitute.org/gsea/msigdb/cards/GSE17721_CTRL_VS_POLYIC_6H_BMDC_UP.html")</f>
        <v>http://www.broadinstitute.org/gsea/msigdb/cards/GSE17721_CTRL_VS_POLYIC_6H_BMDC_UP.html</v>
      </c>
    </row>
    <row r="641" spans="1:13">
      <c r="A641">
        <v>477</v>
      </c>
      <c r="B641" t="s">
        <v>1824</v>
      </c>
      <c r="C641">
        <v>7</v>
      </c>
      <c r="D641">
        <v>146</v>
      </c>
      <c r="E641">
        <v>200</v>
      </c>
      <c r="F641">
        <v>32441</v>
      </c>
      <c r="G641">
        <v>7.7769520547945197</v>
      </c>
      <c r="H641" s="1">
        <v>4.3365219644025802E-5</v>
      </c>
      <c r="I641" t="s">
        <v>1825</v>
      </c>
      <c r="J641" t="s">
        <v>1826</v>
      </c>
      <c r="K641">
        <v>7.7674761068269804E-4</v>
      </c>
      <c r="L641" t="s">
        <v>1178</v>
      </c>
      <c r="M641" t="str">
        <f>HYPERLINK("http://www.broadinstitute.org/gsea/msigdb/cards/GSE17721_CTRL_VS_POLYIC_24H_BMDC_UP.html")</f>
        <v>http://www.broadinstitute.org/gsea/msigdb/cards/GSE17721_CTRL_VS_POLYIC_24H_BMDC_UP.html</v>
      </c>
    </row>
    <row r="642" spans="1:13">
      <c r="A642">
        <v>5361</v>
      </c>
      <c r="B642" t="s">
        <v>1827</v>
      </c>
      <c r="C642">
        <v>7</v>
      </c>
      <c r="D642">
        <v>146</v>
      </c>
      <c r="E642">
        <v>199</v>
      </c>
      <c r="F642">
        <v>32441</v>
      </c>
      <c r="G642">
        <v>7.8160322158738902</v>
      </c>
      <c r="H642" s="1">
        <v>4.2054603084331397E-5</v>
      </c>
      <c r="I642" t="s">
        <v>1828</v>
      </c>
      <c r="J642" t="s">
        <v>1829</v>
      </c>
      <c r="K642">
        <v>7.7674761068269804E-4</v>
      </c>
      <c r="L642" t="s">
        <v>1178</v>
      </c>
      <c r="M642" t="str">
        <f>HYPERLINK("http://www.broadinstitute.org/gsea/msigdb/cards/GSE17721_LPS_VS_POLYIC_6H_BMDC_DN.html")</f>
        <v>http://www.broadinstitute.org/gsea/msigdb/cards/GSE17721_LPS_VS_POLYIC_6H_BMDC_DN.html</v>
      </c>
    </row>
    <row r="643" spans="1:13">
      <c r="A643">
        <v>540</v>
      </c>
      <c r="B643" t="s">
        <v>1830</v>
      </c>
      <c r="C643">
        <v>7</v>
      </c>
      <c r="D643">
        <v>146</v>
      </c>
      <c r="E643">
        <v>200</v>
      </c>
      <c r="F643">
        <v>32441</v>
      </c>
      <c r="G643">
        <v>7.7769520547945197</v>
      </c>
      <c r="H643" s="1">
        <v>4.3365219644025802E-5</v>
      </c>
      <c r="I643" t="s">
        <v>1831</v>
      </c>
      <c r="J643" t="s">
        <v>1832</v>
      </c>
      <c r="K643">
        <v>7.7674761068269804E-4</v>
      </c>
      <c r="L643" t="s">
        <v>1178</v>
      </c>
      <c r="M643" t="str">
        <f>HYPERLINK("http://www.broadinstitute.org/gsea/msigdb/cards/GSE17721_LPS_VS_POLYIC_12H_BMDC_DN.html")</f>
        <v>http://www.broadinstitute.org/gsea/msigdb/cards/GSE17721_LPS_VS_POLYIC_12H_BMDC_DN.html</v>
      </c>
    </row>
    <row r="644" spans="1:13">
      <c r="A644">
        <v>579</v>
      </c>
      <c r="B644" t="s">
        <v>1833</v>
      </c>
      <c r="C644">
        <v>7</v>
      </c>
      <c r="D644">
        <v>146</v>
      </c>
      <c r="E644">
        <v>200</v>
      </c>
      <c r="F644">
        <v>32441</v>
      </c>
      <c r="G644">
        <v>7.7769520547945197</v>
      </c>
      <c r="H644" s="1">
        <v>4.3365219644025802E-5</v>
      </c>
      <c r="I644" t="s">
        <v>1834</v>
      </c>
      <c r="J644" t="s">
        <v>1835</v>
      </c>
      <c r="K644">
        <v>7.7674761068269804E-4</v>
      </c>
      <c r="L644" t="s">
        <v>1178</v>
      </c>
      <c r="M644" t="str">
        <f>HYPERLINK("http://www.broadinstitute.org/gsea/msigdb/cards/GSE17721_PAM3CSK4_VS_CPG_24H_BMDC_UP.html")</f>
        <v>http://www.broadinstitute.org/gsea/msigdb/cards/GSE17721_PAM3CSK4_VS_CPG_24H_BMDC_UP.html</v>
      </c>
    </row>
    <row r="645" spans="1:13">
      <c r="A645">
        <v>6471</v>
      </c>
      <c r="B645" t="s">
        <v>1836</v>
      </c>
      <c r="C645">
        <v>7</v>
      </c>
      <c r="D645">
        <v>146</v>
      </c>
      <c r="E645">
        <v>200</v>
      </c>
      <c r="F645">
        <v>32441</v>
      </c>
      <c r="G645">
        <v>7.7769520547945197</v>
      </c>
      <c r="H645" s="1">
        <v>4.3365219644025802E-5</v>
      </c>
      <c r="I645" t="s">
        <v>1837</v>
      </c>
      <c r="J645" t="s">
        <v>1838</v>
      </c>
      <c r="K645">
        <v>7.7674761068269804E-4</v>
      </c>
      <c r="L645" t="s">
        <v>1178</v>
      </c>
      <c r="M645" t="str">
        <f>HYPERLINK("http://www.broadinstitute.org/gsea/msigdb/cards/GSE17721_PAM3CSK4_VS_GADIQUIMOD_12H_BMDC_UP.html")</f>
        <v>http://www.broadinstitute.org/gsea/msigdb/cards/GSE17721_PAM3CSK4_VS_GADIQUIMOD_12H_BMDC_UP.html</v>
      </c>
    </row>
    <row r="646" spans="1:13">
      <c r="A646">
        <v>686</v>
      </c>
      <c r="B646" t="s">
        <v>1839</v>
      </c>
      <c r="C646">
        <v>7</v>
      </c>
      <c r="D646">
        <v>146</v>
      </c>
      <c r="E646">
        <v>200</v>
      </c>
      <c r="F646">
        <v>32441</v>
      </c>
      <c r="G646">
        <v>7.7769520547945197</v>
      </c>
      <c r="H646" s="1">
        <v>4.3365219644025802E-5</v>
      </c>
      <c r="I646" t="s">
        <v>1840</v>
      </c>
      <c r="J646" t="s">
        <v>1841</v>
      </c>
      <c r="K646">
        <v>7.7674761068269804E-4</v>
      </c>
      <c r="L646" t="s">
        <v>1178</v>
      </c>
      <c r="M646" t="str">
        <f>HYPERLINK("http://www.broadinstitute.org/gsea/msigdb/cards/GSE17721_POLYIC_VS_GARDIQUIMOD_16H_BMDC_DN.html")</f>
        <v>http://www.broadinstitute.org/gsea/msigdb/cards/GSE17721_POLYIC_VS_GARDIQUIMOD_16H_BMDC_DN.html</v>
      </c>
    </row>
    <row r="647" spans="1:13">
      <c r="A647">
        <v>702</v>
      </c>
      <c r="B647" t="s">
        <v>1842</v>
      </c>
      <c r="C647">
        <v>7</v>
      </c>
      <c r="D647">
        <v>146</v>
      </c>
      <c r="E647">
        <v>199</v>
      </c>
      <c r="F647">
        <v>32441</v>
      </c>
      <c r="G647">
        <v>7.8160322158738902</v>
      </c>
      <c r="H647" s="1">
        <v>4.2054603084331397E-5</v>
      </c>
      <c r="I647" t="s">
        <v>1843</v>
      </c>
      <c r="J647" t="s">
        <v>1844</v>
      </c>
      <c r="K647">
        <v>7.7674761068269804E-4</v>
      </c>
      <c r="L647" t="s">
        <v>1178</v>
      </c>
      <c r="M647" t="str">
        <f>HYPERLINK("http://www.broadinstitute.org/gsea/msigdb/cards/GSE17721_LPS_VS_GARDIQUIMOD_12H_BMDC_DN.html")</f>
        <v>http://www.broadinstitute.org/gsea/msigdb/cards/GSE17721_LPS_VS_GARDIQUIMOD_12H_BMDC_DN.html</v>
      </c>
    </row>
    <row r="648" spans="1:13">
      <c r="A648">
        <v>719</v>
      </c>
      <c r="B648" t="s">
        <v>1845</v>
      </c>
      <c r="C648">
        <v>7</v>
      </c>
      <c r="D648">
        <v>146</v>
      </c>
      <c r="E648">
        <v>200</v>
      </c>
      <c r="F648">
        <v>32441</v>
      </c>
      <c r="G648">
        <v>7.7769520547945197</v>
      </c>
      <c r="H648" s="1">
        <v>4.3365219644025802E-5</v>
      </c>
      <c r="I648" t="s">
        <v>1846</v>
      </c>
      <c r="J648" t="s">
        <v>1847</v>
      </c>
      <c r="K648">
        <v>7.7674761068269804E-4</v>
      </c>
      <c r="L648" t="s">
        <v>1178</v>
      </c>
      <c r="M648" t="str">
        <f>HYPERLINK("http://www.broadinstitute.org/gsea/msigdb/cards/GSE17721_0.5H_VS_4H_POLYIC_BMDC_UP.html")</f>
        <v>http://www.broadinstitute.org/gsea/msigdb/cards/GSE17721_0.5H_VS_4H_POLYIC_BMDC_UP.html</v>
      </c>
    </row>
    <row r="649" spans="1:13">
      <c r="A649">
        <v>721</v>
      </c>
      <c r="B649" t="s">
        <v>1848</v>
      </c>
      <c r="C649">
        <v>7</v>
      </c>
      <c r="D649">
        <v>146</v>
      </c>
      <c r="E649">
        <v>200</v>
      </c>
      <c r="F649">
        <v>32441</v>
      </c>
      <c r="G649">
        <v>7.7769520547945197</v>
      </c>
      <c r="H649" s="1">
        <v>4.3365219644025802E-5</v>
      </c>
      <c r="I649" t="s">
        <v>1849</v>
      </c>
      <c r="J649" t="s">
        <v>1850</v>
      </c>
      <c r="K649">
        <v>7.7674761068269804E-4</v>
      </c>
      <c r="L649" t="s">
        <v>1178</v>
      </c>
      <c r="M649" t="str">
        <f>HYPERLINK("http://www.broadinstitute.org/gsea/msigdb/cards/GSE17721_0.5H_VS_8H_POLYIC_BMDC_UP.html")</f>
        <v>http://www.broadinstitute.org/gsea/msigdb/cards/GSE17721_0.5H_VS_8H_POLYIC_BMDC_UP.html</v>
      </c>
    </row>
    <row r="650" spans="1:13">
      <c r="A650">
        <v>761</v>
      </c>
      <c r="B650" t="s">
        <v>1851</v>
      </c>
      <c r="C650">
        <v>7</v>
      </c>
      <c r="D650">
        <v>146</v>
      </c>
      <c r="E650">
        <v>199</v>
      </c>
      <c r="F650">
        <v>32441</v>
      </c>
      <c r="G650">
        <v>7.8160322158738902</v>
      </c>
      <c r="H650" s="1">
        <v>4.2054603084331397E-5</v>
      </c>
      <c r="I650" t="s">
        <v>1852</v>
      </c>
      <c r="J650" t="s">
        <v>1853</v>
      </c>
      <c r="K650">
        <v>7.7674761068269804E-4</v>
      </c>
      <c r="L650" t="s">
        <v>1178</v>
      </c>
      <c r="M650" t="str">
        <f>HYPERLINK("http://www.broadinstitute.org/gsea/msigdb/cards/GSE17721_4_VS_24H_GARDIQUIMOD_BMDC_UP.html")</f>
        <v>http://www.broadinstitute.org/gsea/msigdb/cards/GSE17721_4_VS_24H_GARDIQUIMOD_BMDC_UP.html</v>
      </c>
    </row>
    <row r="651" spans="1:13">
      <c r="A651">
        <v>776</v>
      </c>
      <c r="B651" t="s">
        <v>1854</v>
      </c>
      <c r="C651">
        <v>7</v>
      </c>
      <c r="D651">
        <v>146</v>
      </c>
      <c r="E651">
        <v>200</v>
      </c>
      <c r="F651">
        <v>32441</v>
      </c>
      <c r="G651">
        <v>7.7769520547945197</v>
      </c>
      <c r="H651" s="1">
        <v>4.3365219644025802E-5</v>
      </c>
      <c r="I651" t="s">
        <v>1855</v>
      </c>
      <c r="J651" t="s">
        <v>1856</v>
      </c>
      <c r="K651">
        <v>7.7674761068269804E-4</v>
      </c>
      <c r="L651" t="s">
        <v>1178</v>
      </c>
      <c r="M651" t="str">
        <f>HYPERLINK("http://www.broadinstitute.org/gsea/msigdb/cards/GSE17974_0H_VS_12H_IN_VITRO_ACT_CD4_TCELL_DN.html")</f>
        <v>http://www.broadinstitute.org/gsea/msigdb/cards/GSE17974_0H_VS_12H_IN_VITRO_ACT_CD4_TCELL_DN.html</v>
      </c>
    </row>
    <row r="652" spans="1:13">
      <c r="A652">
        <v>801</v>
      </c>
      <c r="B652" t="s">
        <v>1857</v>
      </c>
      <c r="C652">
        <v>7</v>
      </c>
      <c r="D652">
        <v>146</v>
      </c>
      <c r="E652">
        <v>200</v>
      </c>
      <c r="F652">
        <v>32441</v>
      </c>
      <c r="G652">
        <v>7.7769520547945197</v>
      </c>
      <c r="H652" s="1">
        <v>4.3365219644025802E-5</v>
      </c>
      <c r="I652" t="s">
        <v>1858</v>
      </c>
      <c r="J652" t="s">
        <v>1859</v>
      </c>
      <c r="K652">
        <v>7.7674761068269804E-4</v>
      </c>
      <c r="L652" t="s">
        <v>1178</v>
      </c>
      <c r="M652" t="str">
        <f>HYPERLINK("http://www.broadinstitute.org/gsea/msigdb/cards/GSE17974_IL4_AND_ANTI_IL12_VS_UNTREATED_0.5H_ACT_CD4_TCELL_UP.html")</f>
        <v>http://www.broadinstitute.org/gsea/msigdb/cards/GSE17974_IL4_AND_ANTI_IL12_VS_UNTREATED_0.5H_ACT_CD4_TCELL_UP.html</v>
      </c>
    </row>
    <row r="653" spans="1:13">
      <c r="A653">
        <v>1002</v>
      </c>
      <c r="B653" t="s">
        <v>1860</v>
      </c>
      <c r="C653">
        <v>7</v>
      </c>
      <c r="D653">
        <v>146</v>
      </c>
      <c r="E653">
        <v>200</v>
      </c>
      <c r="F653">
        <v>32441</v>
      </c>
      <c r="G653">
        <v>7.7769520547945197</v>
      </c>
      <c r="H653" s="1">
        <v>4.3365219644025802E-5</v>
      </c>
      <c r="I653" t="s">
        <v>1861</v>
      </c>
      <c r="J653" t="s">
        <v>1862</v>
      </c>
      <c r="K653">
        <v>7.7674761068269804E-4</v>
      </c>
      <c r="L653" t="s">
        <v>1178</v>
      </c>
      <c r="M653" t="str">
        <f>HYPERLINK("http://www.broadinstitute.org/gsea/msigdb/cards/GSE22886_IL2_VS_IL15_STIM_NKCELL_DN.html")</f>
        <v>http://www.broadinstitute.org/gsea/msigdb/cards/GSE22886_IL2_VS_IL15_STIM_NKCELL_DN.html</v>
      </c>
    </row>
    <row r="654" spans="1:13">
      <c r="A654">
        <v>1119</v>
      </c>
      <c r="B654" t="s">
        <v>1863</v>
      </c>
      <c r="C654">
        <v>7</v>
      </c>
      <c r="D654">
        <v>146</v>
      </c>
      <c r="E654">
        <v>200</v>
      </c>
      <c r="F654">
        <v>32441</v>
      </c>
      <c r="G654">
        <v>7.7769520547945197</v>
      </c>
      <c r="H654" s="1">
        <v>4.3365219644025802E-5</v>
      </c>
      <c r="I654" t="s">
        <v>1864</v>
      </c>
      <c r="J654" t="s">
        <v>1865</v>
      </c>
      <c r="K654">
        <v>7.7674761068269804E-4</v>
      </c>
      <c r="L654" t="s">
        <v>1178</v>
      </c>
      <c r="M654" t="str">
        <f>HYPERLINK("http://www.broadinstitute.org/gsea/msigdb/cards/GSE2706_UNSTIM_VS_8H_LPS_DC_UP.html")</f>
        <v>http://www.broadinstitute.org/gsea/msigdb/cards/GSE2706_UNSTIM_VS_8H_LPS_DC_UP.html</v>
      </c>
    </row>
    <row r="655" spans="1:13">
      <c r="A655">
        <v>1141</v>
      </c>
      <c r="B655" t="s">
        <v>1866</v>
      </c>
      <c r="C655">
        <v>7</v>
      </c>
      <c r="D655">
        <v>146</v>
      </c>
      <c r="E655">
        <v>200</v>
      </c>
      <c r="F655">
        <v>32441</v>
      </c>
      <c r="G655">
        <v>7.7769520547945197</v>
      </c>
      <c r="H655" s="1">
        <v>4.3365219644025802E-5</v>
      </c>
      <c r="I655" t="s">
        <v>1867</v>
      </c>
      <c r="J655" t="s">
        <v>1868</v>
      </c>
      <c r="K655">
        <v>7.7674761068269804E-4</v>
      </c>
      <c r="L655" t="s">
        <v>1178</v>
      </c>
      <c r="M655" t="str">
        <f>HYPERLINK("http://www.broadinstitute.org/gsea/msigdb/cards/GSE2706_2H_VS_8H_R848_AND_LPS_STIM_DC_UP.html")</f>
        <v>http://www.broadinstitute.org/gsea/msigdb/cards/GSE2706_2H_VS_8H_R848_AND_LPS_STIM_DC_UP.html</v>
      </c>
    </row>
    <row r="656" spans="1:13">
      <c r="A656">
        <v>1154</v>
      </c>
      <c r="B656" t="s">
        <v>1869</v>
      </c>
      <c r="C656">
        <v>7</v>
      </c>
      <c r="D656">
        <v>146</v>
      </c>
      <c r="E656">
        <v>200</v>
      </c>
      <c r="F656">
        <v>32441</v>
      </c>
      <c r="G656">
        <v>7.7769520547945197</v>
      </c>
      <c r="H656" s="1">
        <v>4.3365219644025802E-5</v>
      </c>
      <c r="I656" t="s">
        <v>1870</v>
      </c>
      <c r="J656" t="s">
        <v>1871</v>
      </c>
      <c r="K656">
        <v>7.7674761068269804E-4</v>
      </c>
      <c r="L656" t="s">
        <v>1178</v>
      </c>
      <c r="M656" t="str">
        <f>HYPERLINK("http://www.broadinstitute.org/gsea/msigdb/cards/GSE27786_LSK_VS_NKTCELL_DN.html")</f>
        <v>http://www.broadinstitute.org/gsea/msigdb/cards/GSE27786_LSK_VS_NKTCELL_DN.html</v>
      </c>
    </row>
    <row r="657" spans="1:13">
      <c r="A657">
        <v>1162</v>
      </c>
      <c r="B657" t="s">
        <v>1872</v>
      </c>
      <c r="C657">
        <v>7</v>
      </c>
      <c r="D657">
        <v>146</v>
      </c>
      <c r="E657">
        <v>200</v>
      </c>
      <c r="F657">
        <v>32441</v>
      </c>
      <c r="G657">
        <v>7.7769520547945197</v>
      </c>
      <c r="H657" s="1">
        <v>4.3365219644025802E-5</v>
      </c>
      <c r="I657" t="s">
        <v>1873</v>
      </c>
      <c r="J657" t="s">
        <v>1874</v>
      </c>
      <c r="K657">
        <v>7.7674761068269804E-4</v>
      </c>
      <c r="L657" t="s">
        <v>1178</v>
      </c>
      <c r="M657" t="str">
        <f>HYPERLINK("http://www.broadinstitute.org/gsea/msigdb/cards/GSE27786_LIN_NEG_VS_BCELL_DN.html")</f>
        <v>http://www.broadinstitute.org/gsea/msigdb/cards/GSE27786_LIN_NEG_VS_BCELL_DN.html</v>
      </c>
    </row>
    <row r="658" spans="1:13">
      <c r="A658">
        <v>1168</v>
      </c>
      <c r="B658" t="s">
        <v>1875</v>
      </c>
      <c r="C658">
        <v>7</v>
      </c>
      <c r="D658">
        <v>146</v>
      </c>
      <c r="E658">
        <v>200</v>
      </c>
      <c r="F658">
        <v>32441</v>
      </c>
      <c r="G658">
        <v>7.7769520547945197</v>
      </c>
      <c r="H658" s="1">
        <v>4.3365219644025802E-5</v>
      </c>
      <c r="I658" t="s">
        <v>1876</v>
      </c>
      <c r="J658" t="s">
        <v>1877</v>
      </c>
      <c r="K658">
        <v>7.7674761068269804E-4</v>
      </c>
      <c r="L658" t="s">
        <v>1178</v>
      </c>
      <c r="M658" t="str">
        <f>HYPERLINK("http://www.broadinstitute.org/gsea/msigdb/cards/GSE27786_LIN_NEG_VS_NKCELL_DN.html")</f>
        <v>http://www.broadinstitute.org/gsea/msigdb/cards/GSE27786_LIN_NEG_VS_NKCELL_DN.html</v>
      </c>
    </row>
    <row r="659" spans="1:13">
      <c r="A659">
        <v>1173</v>
      </c>
      <c r="B659" t="s">
        <v>1878</v>
      </c>
      <c r="C659">
        <v>7</v>
      </c>
      <c r="D659">
        <v>146</v>
      </c>
      <c r="E659">
        <v>200</v>
      </c>
      <c r="F659">
        <v>32441</v>
      </c>
      <c r="G659">
        <v>7.7769520547945197</v>
      </c>
      <c r="H659" s="1">
        <v>4.3365219644025802E-5</v>
      </c>
      <c r="I659" t="s">
        <v>1879</v>
      </c>
      <c r="J659" t="s">
        <v>1880</v>
      </c>
      <c r="K659">
        <v>7.7674761068269804E-4</v>
      </c>
      <c r="L659" t="s">
        <v>1178</v>
      </c>
      <c r="M659" t="str">
        <f>HYPERLINK("http://www.broadinstitute.org/gsea/msigdb/cards/GSE27786_LIN_NEG_VS_NEUTROPHIL_UP.html")</f>
        <v>http://www.broadinstitute.org/gsea/msigdb/cards/GSE27786_LIN_NEG_VS_NEUTROPHIL_UP.html</v>
      </c>
    </row>
    <row r="660" spans="1:13">
      <c r="A660">
        <v>1409</v>
      </c>
      <c r="B660" t="s">
        <v>1881</v>
      </c>
      <c r="C660">
        <v>7</v>
      </c>
      <c r="D660">
        <v>146</v>
      </c>
      <c r="E660">
        <v>200</v>
      </c>
      <c r="F660">
        <v>32441</v>
      </c>
      <c r="G660">
        <v>7.7769520547945197</v>
      </c>
      <c r="H660" s="1">
        <v>4.3365219644025802E-5</v>
      </c>
      <c r="I660" t="s">
        <v>1882</v>
      </c>
      <c r="J660" t="s">
        <v>1883</v>
      </c>
      <c r="K660">
        <v>7.7674761068269804E-4</v>
      </c>
      <c r="L660" t="s">
        <v>1178</v>
      </c>
      <c r="M660" t="str">
        <f>HYPERLINK("http://www.broadinstitute.org/gsea/msigdb/cards/GSE360_CTRL_VS_L_MAJOR_DC_UP.html")</f>
        <v>http://www.broadinstitute.org/gsea/msigdb/cards/GSE360_CTRL_VS_L_MAJOR_DC_UP.html</v>
      </c>
    </row>
    <row r="661" spans="1:13">
      <c r="A661">
        <v>1421</v>
      </c>
      <c r="B661" t="s">
        <v>1884</v>
      </c>
      <c r="C661">
        <v>7</v>
      </c>
      <c r="D661">
        <v>146</v>
      </c>
      <c r="E661">
        <v>200</v>
      </c>
      <c r="F661">
        <v>32441</v>
      </c>
      <c r="G661">
        <v>7.7769520547945197</v>
      </c>
      <c r="H661" s="1">
        <v>4.3365219644025802E-5</v>
      </c>
      <c r="I661" t="s">
        <v>1885</v>
      </c>
      <c r="J661" t="s">
        <v>1886</v>
      </c>
      <c r="K661">
        <v>7.7674761068269804E-4</v>
      </c>
      <c r="L661" t="s">
        <v>1178</v>
      </c>
      <c r="M661" t="str">
        <f>HYPERLINK("http://www.broadinstitute.org/gsea/msigdb/cards/GSE360_CTRL_VS_L_MAJOR_MAC_UP.html")</f>
        <v>http://www.broadinstitute.org/gsea/msigdb/cards/GSE360_CTRL_VS_L_MAJOR_MAC_UP.html</v>
      </c>
    </row>
    <row r="662" spans="1:13">
      <c r="A662">
        <v>1473</v>
      </c>
      <c r="B662" t="s">
        <v>1887</v>
      </c>
      <c r="C662">
        <v>7</v>
      </c>
      <c r="D662">
        <v>146</v>
      </c>
      <c r="E662">
        <v>200</v>
      </c>
      <c r="F662">
        <v>32441</v>
      </c>
      <c r="G662">
        <v>7.7769520547945197</v>
      </c>
      <c r="H662" s="1">
        <v>4.3365219644025802E-5</v>
      </c>
      <c r="I662" t="s">
        <v>1888</v>
      </c>
      <c r="J662" t="s">
        <v>1889</v>
      </c>
      <c r="K662">
        <v>7.7674761068269804E-4</v>
      </c>
      <c r="L662" t="s">
        <v>1178</v>
      </c>
      <c r="M662" t="str">
        <f>HYPERLINK("http://www.broadinstitute.org/gsea/msigdb/cards/GSE360_LOW_DOSE_B_MALAYI_VS_M_TUBERCULOSIS_DC_UP.html")</f>
        <v>http://www.broadinstitute.org/gsea/msigdb/cards/GSE360_LOW_DOSE_B_MALAYI_VS_M_TUBERCULOSIS_DC_UP.html</v>
      </c>
    </row>
    <row r="663" spans="1:13">
      <c r="A663">
        <v>1566</v>
      </c>
      <c r="B663" t="s">
        <v>1890</v>
      </c>
      <c r="C663">
        <v>7</v>
      </c>
      <c r="D663">
        <v>146</v>
      </c>
      <c r="E663">
        <v>200</v>
      </c>
      <c r="F663">
        <v>32441</v>
      </c>
      <c r="G663">
        <v>7.7769520547945197</v>
      </c>
      <c r="H663" s="1">
        <v>4.3365219644025802E-5</v>
      </c>
      <c r="I663" t="s">
        <v>1891</v>
      </c>
      <c r="J663" t="s">
        <v>1892</v>
      </c>
      <c r="K663">
        <v>7.7674761068269804E-4</v>
      </c>
      <c r="L663" t="s">
        <v>1178</v>
      </c>
      <c r="M663" t="str">
        <f>HYPERLINK("http://www.broadinstitute.org/gsea/msigdb/cards/GSE3982_CTRL_VS_IGE_STIM_MAST_CELL_DN.html")</f>
        <v>http://www.broadinstitute.org/gsea/msigdb/cards/GSE3982_CTRL_VS_IGE_STIM_MAST_CELL_DN.html</v>
      </c>
    </row>
    <row r="664" spans="1:13">
      <c r="A664">
        <v>1591</v>
      </c>
      <c r="B664" t="s">
        <v>1893</v>
      </c>
      <c r="C664">
        <v>7</v>
      </c>
      <c r="D664">
        <v>146</v>
      </c>
      <c r="E664">
        <v>200</v>
      </c>
      <c r="F664">
        <v>32441</v>
      </c>
      <c r="G664">
        <v>7.7769520547945197</v>
      </c>
      <c r="H664" s="1">
        <v>4.3365219644025802E-5</v>
      </c>
      <c r="I664" t="s">
        <v>1894</v>
      </c>
      <c r="J664" t="s">
        <v>1895</v>
      </c>
      <c r="K664">
        <v>7.7674761068269804E-4</v>
      </c>
      <c r="L664" t="s">
        <v>1178</v>
      </c>
      <c r="M664" t="str">
        <f>HYPERLINK("http://www.broadinstitute.org/gsea/msigdb/cards/GSE3982_EOSINOPHIL_VS_NEUTROPHIL_UP.html")</f>
        <v>http://www.broadinstitute.org/gsea/msigdb/cards/GSE3982_EOSINOPHIL_VS_NEUTROPHIL_UP.html</v>
      </c>
    </row>
    <row r="665" spans="1:13">
      <c r="A665">
        <v>1636</v>
      </c>
      <c r="B665" t="s">
        <v>1896</v>
      </c>
      <c r="C665">
        <v>7</v>
      </c>
      <c r="D665">
        <v>146</v>
      </c>
      <c r="E665">
        <v>200</v>
      </c>
      <c r="F665">
        <v>32441</v>
      </c>
      <c r="G665">
        <v>7.7769520547945197</v>
      </c>
      <c r="H665" s="1">
        <v>4.3365219644025802E-5</v>
      </c>
      <c r="I665" t="s">
        <v>1897</v>
      </c>
      <c r="J665" t="s">
        <v>1898</v>
      </c>
      <c r="K665">
        <v>7.7674761068269804E-4</v>
      </c>
      <c r="L665" t="s">
        <v>1178</v>
      </c>
      <c r="M665" t="str">
        <f>HYPERLINK("http://www.broadinstitute.org/gsea/msigdb/cards/GSE3982_DC_VS_EFF_MEMORY_CD4_TCELL_DN.html")</f>
        <v>http://www.broadinstitute.org/gsea/msigdb/cards/GSE3982_DC_VS_EFF_MEMORY_CD4_TCELL_DN.html</v>
      </c>
    </row>
    <row r="666" spans="1:13">
      <c r="A666">
        <v>1668</v>
      </c>
      <c r="B666" t="s">
        <v>1899</v>
      </c>
      <c r="C666">
        <v>7</v>
      </c>
      <c r="D666">
        <v>146</v>
      </c>
      <c r="E666">
        <v>200</v>
      </c>
      <c r="F666">
        <v>32441</v>
      </c>
      <c r="G666">
        <v>7.7769520547945197</v>
      </c>
      <c r="H666" s="1">
        <v>4.3365219644025802E-5</v>
      </c>
      <c r="I666" t="s">
        <v>1900</v>
      </c>
      <c r="J666" t="s">
        <v>1901</v>
      </c>
      <c r="K666">
        <v>7.7674761068269804E-4</v>
      </c>
      <c r="L666" t="s">
        <v>1178</v>
      </c>
      <c r="M666" t="str">
        <f>HYPERLINK("http://www.broadinstitute.org/gsea/msigdb/cards/GSE3982_NEUTROPHIL_VS_CENT_MEMORY_CD4_TCELL_DN.html")</f>
        <v>http://www.broadinstitute.org/gsea/msigdb/cards/GSE3982_NEUTROPHIL_VS_CENT_MEMORY_CD4_TCELL_DN.html</v>
      </c>
    </row>
    <row r="667" spans="1:13">
      <c r="A667">
        <v>1869</v>
      </c>
      <c r="B667" t="s">
        <v>1902</v>
      </c>
      <c r="C667">
        <v>7</v>
      </c>
      <c r="D667">
        <v>146</v>
      </c>
      <c r="E667">
        <v>200</v>
      </c>
      <c r="F667">
        <v>32441</v>
      </c>
      <c r="G667">
        <v>7.7769520547945197</v>
      </c>
      <c r="H667" s="1">
        <v>4.3365219644025802E-5</v>
      </c>
      <c r="I667" t="s">
        <v>1903</v>
      </c>
      <c r="J667" t="s">
        <v>1904</v>
      </c>
      <c r="K667">
        <v>7.7674761068269804E-4</v>
      </c>
      <c r="L667" t="s">
        <v>1178</v>
      </c>
      <c r="M667" t="str">
        <f>HYPERLINK("http://www.broadinstitute.org/gsea/msigdb/cards/GSE9650_NAIVE_VS_EFF_CD8_TCELL_UP.html")</f>
        <v>http://www.broadinstitute.org/gsea/msigdb/cards/GSE9650_NAIVE_VS_EFF_CD8_TCELL_UP.html</v>
      </c>
    </row>
    <row r="668" spans="1:13">
      <c r="A668">
        <v>1926</v>
      </c>
      <c r="B668" t="s">
        <v>1905</v>
      </c>
      <c r="C668">
        <v>7</v>
      </c>
      <c r="D668">
        <v>146</v>
      </c>
      <c r="E668">
        <v>200</v>
      </c>
      <c r="F668">
        <v>32441</v>
      </c>
      <c r="G668">
        <v>7.7769520547945197</v>
      </c>
      <c r="H668" s="1">
        <v>4.3365219644025802E-5</v>
      </c>
      <c r="I668" t="s">
        <v>1906</v>
      </c>
      <c r="J668" t="s">
        <v>1907</v>
      </c>
      <c r="K668">
        <v>7.7674761068269804E-4</v>
      </c>
      <c r="L668" t="s">
        <v>1178</v>
      </c>
      <c r="M668" t="str">
        <f>HYPERLINK("http://www.broadinstitute.org/gsea/msigdb/cards/GSE411_UNSTIM_VS_100MIN_IL6_STIM_MACROPHAGE_UP.html")</f>
        <v>http://www.broadinstitute.org/gsea/msigdb/cards/GSE411_UNSTIM_VS_100MIN_IL6_STIM_MACROPHAGE_UP.html</v>
      </c>
    </row>
    <row r="669" spans="1:13">
      <c r="A669">
        <v>2228</v>
      </c>
      <c r="B669" t="s">
        <v>1908</v>
      </c>
      <c r="C669">
        <v>7</v>
      </c>
      <c r="D669">
        <v>146</v>
      </c>
      <c r="E669">
        <v>200</v>
      </c>
      <c r="F669">
        <v>32441</v>
      </c>
      <c r="G669">
        <v>7.7769520547945197</v>
      </c>
      <c r="H669" s="1">
        <v>4.3365219644025802E-5</v>
      </c>
      <c r="I669" t="s">
        <v>1909</v>
      </c>
      <c r="J669" t="s">
        <v>1910</v>
      </c>
      <c r="K669">
        <v>7.7674761068269804E-4</v>
      </c>
      <c r="L669" t="s">
        <v>1178</v>
      </c>
      <c r="M669" t="str">
        <f>HYPERLINK("http://www.broadinstitute.org/gsea/msigdb/cards/GSE8921_UNSTIM_VS_TLR1_2_STIM_MONOCYTE_12H_DN.html")</f>
        <v>http://www.broadinstitute.org/gsea/msigdb/cards/GSE8921_UNSTIM_VS_TLR1_2_STIM_MONOCYTE_12H_DN.html</v>
      </c>
    </row>
    <row r="670" spans="1:13">
      <c r="A670">
        <v>2300</v>
      </c>
      <c r="B670" t="s">
        <v>1911</v>
      </c>
      <c r="C670">
        <v>7</v>
      </c>
      <c r="D670">
        <v>146</v>
      </c>
      <c r="E670">
        <v>200</v>
      </c>
      <c r="F670">
        <v>32441</v>
      </c>
      <c r="G670">
        <v>7.7769520547945197</v>
      </c>
      <c r="H670" s="1">
        <v>4.3365219644025802E-5</v>
      </c>
      <c r="I670" t="s">
        <v>1912</v>
      </c>
      <c r="J670" t="s">
        <v>1913</v>
      </c>
      <c r="K670">
        <v>7.7674761068269804E-4</v>
      </c>
      <c r="L670" t="s">
        <v>1178</v>
      </c>
      <c r="M670" t="str">
        <f>HYPERLINK("http://www.broadinstitute.org/gsea/msigdb/cards/GSE5542_IFNG_VS_IFNA_AND_IFNG_TREATED_EPITHELIAL_CELLS_6H_DN.html")</f>
        <v>http://www.broadinstitute.org/gsea/msigdb/cards/GSE5542_IFNG_VS_IFNA_AND_IFNG_TREATED_EPITHELIAL_CELLS_6H_DN.html</v>
      </c>
    </row>
    <row r="671" spans="1:13">
      <c r="A671">
        <v>2337</v>
      </c>
      <c r="B671" t="s">
        <v>1914</v>
      </c>
      <c r="C671">
        <v>7</v>
      </c>
      <c r="D671">
        <v>146</v>
      </c>
      <c r="E671">
        <v>200</v>
      </c>
      <c r="F671">
        <v>32441</v>
      </c>
      <c r="G671">
        <v>7.7769520547945197</v>
      </c>
      <c r="H671" s="1">
        <v>4.3365219644025802E-5</v>
      </c>
      <c r="I671" t="s">
        <v>1915</v>
      </c>
      <c r="J671" t="s">
        <v>1916</v>
      </c>
      <c r="K671">
        <v>7.7674761068269804E-4</v>
      </c>
      <c r="L671" t="s">
        <v>1178</v>
      </c>
      <c r="M671" t="str">
        <f>HYPERLINK("http://www.broadinstitute.org/gsea/msigdb/cards/GSE5099_UNSTIM_VS_MCSF_TREATED_MONOCYTE_DAY3_UP.html")</f>
        <v>http://www.broadinstitute.org/gsea/msigdb/cards/GSE5099_UNSTIM_VS_MCSF_TREATED_MONOCYTE_DAY3_UP.html</v>
      </c>
    </row>
    <row r="672" spans="1:13">
      <c r="A672">
        <v>2339</v>
      </c>
      <c r="B672" t="s">
        <v>1917</v>
      </c>
      <c r="C672">
        <v>7</v>
      </c>
      <c r="D672">
        <v>146</v>
      </c>
      <c r="E672">
        <v>199</v>
      </c>
      <c r="F672">
        <v>32441</v>
      </c>
      <c r="G672">
        <v>7.8160322158738902</v>
      </c>
      <c r="H672" s="1">
        <v>4.2054603084331397E-5</v>
      </c>
      <c r="I672" t="s">
        <v>1918</v>
      </c>
      <c r="J672" t="s">
        <v>1919</v>
      </c>
      <c r="K672">
        <v>7.7674761068269804E-4</v>
      </c>
      <c r="L672" t="s">
        <v>1178</v>
      </c>
      <c r="M672" t="str">
        <f>HYPERLINK("http://www.broadinstitute.org/gsea/msigdb/cards/GSE5099_UNSTIM_VS_MCSF_TREATED_MONOCYTE_DAY7_UP.html")</f>
        <v>http://www.broadinstitute.org/gsea/msigdb/cards/GSE5099_UNSTIM_VS_MCSF_TREATED_MONOCYTE_DAY7_UP.html</v>
      </c>
    </row>
    <row r="673" spans="1:13">
      <c r="A673">
        <v>2453</v>
      </c>
      <c r="B673" t="s">
        <v>1920</v>
      </c>
      <c r="C673">
        <v>7</v>
      </c>
      <c r="D673">
        <v>146</v>
      </c>
      <c r="E673">
        <v>200</v>
      </c>
      <c r="F673">
        <v>32441</v>
      </c>
      <c r="G673">
        <v>7.7769520547945197</v>
      </c>
      <c r="H673" s="1">
        <v>4.3365219644025802E-5</v>
      </c>
      <c r="I673" t="s">
        <v>1921</v>
      </c>
      <c r="J673" t="s">
        <v>1922</v>
      </c>
      <c r="K673">
        <v>7.7674761068269804E-4</v>
      </c>
      <c r="L673" t="s">
        <v>1178</v>
      </c>
      <c r="M673" t="str">
        <f>HYPERLINK("http://www.broadinstitute.org/gsea/msigdb/cards/GSE6259_FLT3L_INDUCED_33D1_POS_DC_VS_BCELL_UP.html")</f>
        <v>http://www.broadinstitute.org/gsea/msigdb/cards/GSE6259_FLT3L_INDUCED_33D1_POS_DC_VS_BCELL_UP.html</v>
      </c>
    </row>
    <row r="674" spans="1:13">
      <c r="A674">
        <v>2857</v>
      </c>
      <c r="B674" t="s">
        <v>1923</v>
      </c>
      <c r="C674">
        <v>7</v>
      </c>
      <c r="D674">
        <v>146</v>
      </c>
      <c r="E674">
        <v>200</v>
      </c>
      <c r="F674">
        <v>32441</v>
      </c>
      <c r="G674">
        <v>7.7769520547945197</v>
      </c>
      <c r="H674" s="1">
        <v>4.3365219644025802E-5</v>
      </c>
      <c r="I674" t="s">
        <v>1924</v>
      </c>
      <c r="J674" t="s">
        <v>1925</v>
      </c>
      <c r="K674">
        <v>7.7674761068269804E-4</v>
      </c>
      <c r="L674" t="s">
        <v>1178</v>
      </c>
      <c r="M674" t="str">
        <f>HYPERLINK("http://www.broadinstitute.org/gsea/msigdb/cards/GSE15330_WT_VS_IKAROS_KO_MEGAKARYOCYTE_ERYTHROID_PROGENITOR_DN.html")</f>
        <v>http://www.broadinstitute.org/gsea/msigdb/cards/GSE15330_WT_VS_IKAROS_KO_MEGAKARYOCYTE_ERYTHROID_PROGENITOR_DN.html</v>
      </c>
    </row>
    <row r="675" spans="1:13">
      <c r="A675">
        <v>2930</v>
      </c>
      <c r="B675" t="s">
        <v>1926</v>
      </c>
      <c r="C675">
        <v>7</v>
      </c>
      <c r="D675">
        <v>146</v>
      </c>
      <c r="E675">
        <v>200</v>
      </c>
      <c r="F675">
        <v>32441</v>
      </c>
      <c r="G675">
        <v>7.7769520547945197</v>
      </c>
      <c r="H675" s="1">
        <v>4.3365219644025802E-5</v>
      </c>
      <c r="I675" t="s">
        <v>1927</v>
      </c>
      <c r="J675" t="s">
        <v>1928</v>
      </c>
      <c r="K675">
        <v>7.7674761068269804E-4</v>
      </c>
      <c r="L675" t="s">
        <v>1178</v>
      </c>
      <c r="M675" t="str">
        <f>HYPERLINK("http://www.broadinstitute.org/gsea/msigdb/cards/GSE17812_WT_VS_THPOK_KO_MEMORY_CD8_TCELL_UP.html")</f>
        <v>http://www.broadinstitute.org/gsea/msigdb/cards/GSE17812_WT_VS_THPOK_KO_MEMORY_CD8_TCELL_UP.html</v>
      </c>
    </row>
    <row r="676" spans="1:13">
      <c r="A676">
        <v>3039</v>
      </c>
      <c r="B676" t="s">
        <v>1929</v>
      </c>
      <c r="C676">
        <v>7</v>
      </c>
      <c r="D676">
        <v>146</v>
      </c>
      <c r="E676">
        <v>200</v>
      </c>
      <c r="F676">
        <v>32441</v>
      </c>
      <c r="G676">
        <v>7.7769520547945197</v>
      </c>
      <c r="H676" s="1">
        <v>4.3365219644025802E-5</v>
      </c>
      <c r="I676" t="s">
        <v>1930</v>
      </c>
      <c r="J676" t="s">
        <v>1931</v>
      </c>
      <c r="K676">
        <v>7.7674761068269804E-4</v>
      </c>
      <c r="L676" t="s">
        <v>1178</v>
      </c>
      <c r="M676" t="str">
        <f>HYPERLINK("http://www.broadinstitute.org/gsea/msigdb/cards/GSE19888_ADENOSINE_A3R_INH_PRETREAT_AND_ACT_BY_A3R_VS_TCELL_MEMBRANES_ACT_MAST_CELL_DN.html")</f>
        <v>http://www.broadinstitute.org/gsea/msigdb/cards/GSE19888_ADENOSINE_A3R_INH_PRETREAT_AND_ACT_BY_A3R_VS_TCELL_MEMBRANES_ACT_MAST_CELL_DN.html</v>
      </c>
    </row>
    <row r="677" spans="1:13">
      <c r="A677">
        <v>3124</v>
      </c>
      <c r="B677" t="s">
        <v>1932</v>
      </c>
      <c r="C677">
        <v>7</v>
      </c>
      <c r="D677">
        <v>146</v>
      </c>
      <c r="E677">
        <v>193</v>
      </c>
      <c r="F677">
        <v>32441</v>
      </c>
      <c r="G677">
        <v>8.0590176733622005</v>
      </c>
      <c r="H677" s="1">
        <v>3.4855489649654303E-5</v>
      </c>
      <c r="I677" t="s">
        <v>1933</v>
      </c>
      <c r="J677" t="s">
        <v>1934</v>
      </c>
      <c r="K677">
        <v>7.7674761068269804E-4</v>
      </c>
      <c r="L677" t="s">
        <v>1178</v>
      </c>
      <c r="M677" t="str">
        <f>HYPERLINK("http://www.broadinstitute.org/gsea/msigdb/cards/GSE21670_IL6_VS_TGFB_AND_IL6_TREATED_CD4_TCELL_UP.html")</f>
        <v>http://www.broadinstitute.org/gsea/msigdb/cards/GSE21670_IL6_VS_TGFB_AND_IL6_TREATED_CD4_TCELL_UP.html</v>
      </c>
    </row>
    <row r="678" spans="1:13">
      <c r="A678">
        <v>3220</v>
      </c>
      <c r="B678" t="s">
        <v>1935</v>
      </c>
      <c r="C678">
        <v>7</v>
      </c>
      <c r="D678">
        <v>146</v>
      </c>
      <c r="E678">
        <v>200</v>
      </c>
      <c r="F678">
        <v>32441</v>
      </c>
      <c r="G678">
        <v>7.7769520547945197</v>
      </c>
      <c r="H678" s="1">
        <v>4.3365219644025802E-5</v>
      </c>
      <c r="I678" t="s">
        <v>1936</v>
      </c>
      <c r="J678" t="s">
        <v>1937</v>
      </c>
      <c r="K678">
        <v>7.7674761068269804E-4</v>
      </c>
      <c r="L678" t="s">
        <v>1178</v>
      </c>
      <c r="M678" t="str">
        <f>HYPERLINK("http://www.broadinstitute.org/gsea/msigdb/cards/GSE21927_SPLEEN_C57BL6_VS_EL4_TUMOR_BALBC_MONOCYTES_DN.html")</f>
        <v>http://www.broadinstitute.org/gsea/msigdb/cards/GSE21927_SPLEEN_C57BL6_VS_EL4_TUMOR_BALBC_MONOCYTES_DN.html</v>
      </c>
    </row>
    <row r="679" spans="1:13">
      <c r="A679">
        <v>3283</v>
      </c>
      <c r="B679" t="s">
        <v>1938</v>
      </c>
      <c r="C679">
        <v>7</v>
      </c>
      <c r="D679">
        <v>146</v>
      </c>
      <c r="E679">
        <v>200</v>
      </c>
      <c r="F679">
        <v>32441</v>
      </c>
      <c r="G679">
        <v>7.7769520547945197</v>
      </c>
      <c r="H679" s="1">
        <v>4.3365219644025802E-5</v>
      </c>
      <c r="I679" t="s">
        <v>1939</v>
      </c>
      <c r="J679" t="s">
        <v>1940</v>
      </c>
      <c r="K679">
        <v>7.7674761068269804E-4</v>
      </c>
      <c r="L679" t="s">
        <v>1178</v>
      </c>
      <c r="M679" t="str">
        <f>HYPERLINK("http://www.broadinstitute.org/gsea/msigdb/cards/GSE20500_CTRL_VS_RETINOIC_ACID_TREATED_CD4_TCELL_UP.html")</f>
        <v>http://www.broadinstitute.org/gsea/msigdb/cards/GSE20500_CTRL_VS_RETINOIC_ACID_TREATED_CD4_TCELL_UP.html</v>
      </c>
    </row>
    <row r="680" spans="1:13">
      <c r="A680">
        <v>3321</v>
      </c>
      <c r="B680" t="s">
        <v>1941</v>
      </c>
      <c r="C680">
        <v>7</v>
      </c>
      <c r="D680">
        <v>146</v>
      </c>
      <c r="E680">
        <v>200</v>
      </c>
      <c r="F680">
        <v>32441</v>
      </c>
      <c r="G680">
        <v>7.7769520547945197</v>
      </c>
      <c r="H680" s="1">
        <v>4.3365219644025802E-5</v>
      </c>
      <c r="I680" t="s">
        <v>1942</v>
      </c>
      <c r="J680" t="s">
        <v>1943</v>
      </c>
      <c r="K680">
        <v>7.7674761068269804E-4</v>
      </c>
      <c r="L680" t="s">
        <v>1178</v>
      </c>
      <c r="M680" t="str">
        <f>HYPERLINK("http://www.broadinstitute.org/gsea/msigdb/cards/GSE22935_WT_VS_MYD88_KO_MACROPHAGE_24H_MBOVIS_BCG_STIM_DN.html")</f>
        <v>http://www.broadinstitute.org/gsea/msigdb/cards/GSE22935_WT_VS_MYD88_KO_MACROPHAGE_24H_MBOVIS_BCG_STIM_DN.html</v>
      </c>
    </row>
    <row r="681" spans="1:13">
      <c r="A681">
        <v>3376</v>
      </c>
      <c r="B681" t="s">
        <v>1944</v>
      </c>
      <c r="C681">
        <v>7</v>
      </c>
      <c r="D681">
        <v>146</v>
      </c>
      <c r="E681">
        <v>199</v>
      </c>
      <c r="F681">
        <v>32441</v>
      </c>
      <c r="G681">
        <v>7.8160322158738902</v>
      </c>
      <c r="H681" s="1">
        <v>4.2054603084331397E-5</v>
      </c>
      <c r="I681" t="s">
        <v>1945</v>
      </c>
      <c r="J681" t="s">
        <v>1946</v>
      </c>
      <c r="K681">
        <v>7.7674761068269804E-4</v>
      </c>
      <c r="L681" t="s">
        <v>1178</v>
      </c>
      <c r="M681" t="str">
        <f>HYPERLINK("http://www.broadinstitute.org/gsea/msigdb/cards/GSE22432_PDC_VS_TGFB1_TREATEDCOMMON_DC_PROGENITOR_UP.html")</f>
        <v>http://www.broadinstitute.org/gsea/msigdb/cards/GSE22432_PDC_VS_TGFB1_TREATEDCOMMON_DC_PROGENITOR_UP.html</v>
      </c>
    </row>
    <row r="682" spans="1:13">
      <c r="A682">
        <v>3382</v>
      </c>
      <c r="B682" t="s">
        <v>1947</v>
      </c>
      <c r="C682">
        <v>7</v>
      </c>
      <c r="D682">
        <v>146</v>
      </c>
      <c r="E682">
        <v>200</v>
      </c>
      <c r="F682">
        <v>32441</v>
      </c>
      <c r="G682">
        <v>7.7769520547945197</v>
      </c>
      <c r="H682" s="1">
        <v>4.3365219644025802E-5</v>
      </c>
      <c r="I682" t="s">
        <v>1948</v>
      </c>
      <c r="J682" t="s">
        <v>1949</v>
      </c>
      <c r="K682">
        <v>7.7674761068269804E-4</v>
      </c>
      <c r="L682" t="s">
        <v>1178</v>
      </c>
      <c r="M682" t="str">
        <f>HYPERLINK("http://www.broadinstitute.org/gsea/msigdb/cards/GSE24210_CTRL_VS_IL35_TREATED_TCONV_CD4_TCELL_DN.html")</f>
        <v>http://www.broadinstitute.org/gsea/msigdb/cards/GSE24210_CTRL_VS_IL35_TREATED_TCONV_CD4_TCELL_DN.html</v>
      </c>
    </row>
    <row r="683" spans="1:13">
      <c r="A683">
        <v>3422</v>
      </c>
      <c r="B683" t="s">
        <v>1950</v>
      </c>
      <c r="C683">
        <v>7</v>
      </c>
      <c r="D683">
        <v>146</v>
      </c>
      <c r="E683">
        <v>200</v>
      </c>
      <c r="F683">
        <v>32441</v>
      </c>
      <c r="G683">
        <v>7.7769520547945197</v>
      </c>
      <c r="H683" s="1">
        <v>4.3365219644025802E-5</v>
      </c>
      <c r="I683" t="s">
        <v>1951</v>
      </c>
      <c r="J683" t="s">
        <v>1952</v>
      </c>
      <c r="K683">
        <v>7.7674761068269804E-4</v>
      </c>
      <c r="L683" t="s">
        <v>1178</v>
      </c>
      <c r="M683" t="str">
        <f>HYPERLINK("http://www.broadinstitute.org/gsea/msigdb/cards/GSE16385_MONOCYTE_VS_12H_ROSIGLITAZONE_TREATED_MACROPHAGE_UP.html")</f>
        <v>http://www.broadinstitute.org/gsea/msigdb/cards/GSE16385_MONOCYTE_VS_12H_ROSIGLITAZONE_TREATED_MACROPHAGE_UP.html</v>
      </c>
    </row>
    <row r="684" spans="1:13">
      <c r="A684">
        <v>3482</v>
      </c>
      <c r="B684" t="s">
        <v>1953</v>
      </c>
      <c r="C684">
        <v>7</v>
      </c>
      <c r="D684">
        <v>146</v>
      </c>
      <c r="E684">
        <v>200</v>
      </c>
      <c r="F684">
        <v>32441</v>
      </c>
      <c r="G684">
        <v>7.7769520547945197</v>
      </c>
      <c r="H684" s="1">
        <v>4.3365219644025802E-5</v>
      </c>
      <c r="I684" t="s">
        <v>1954</v>
      </c>
      <c r="J684" t="s">
        <v>1955</v>
      </c>
      <c r="K684">
        <v>7.7674761068269804E-4</v>
      </c>
      <c r="L684" t="s">
        <v>1178</v>
      </c>
      <c r="M684" t="str">
        <f>HYPERLINK("http://www.broadinstitute.org/gsea/msigdb/cards/GSE25088_CTRL_VS_ROSIGLITAZONE_STIM_STAT6_KO_MACROPHAGE_DN.html")</f>
        <v>http://www.broadinstitute.org/gsea/msigdb/cards/GSE25088_CTRL_VS_ROSIGLITAZONE_STIM_STAT6_KO_MACROPHAGE_DN.html</v>
      </c>
    </row>
    <row r="685" spans="1:13">
      <c r="A685">
        <v>3497</v>
      </c>
      <c r="B685" t="s">
        <v>1956</v>
      </c>
      <c r="C685">
        <v>7</v>
      </c>
      <c r="D685">
        <v>146</v>
      </c>
      <c r="E685">
        <v>199</v>
      </c>
      <c r="F685">
        <v>32441</v>
      </c>
      <c r="G685">
        <v>7.8160322158738902</v>
      </c>
      <c r="H685" s="1">
        <v>4.2054603084331397E-5</v>
      </c>
      <c r="I685" t="s">
        <v>1957</v>
      </c>
      <c r="J685" t="s">
        <v>1958</v>
      </c>
      <c r="K685">
        <v>7.7674761068269804E-4</v>
      </c>
      <c r="L685" t="s">
        <v>1178</v>
      </c>
      <c r="M685" t="str">
        <f>HYPERLINK("http://www.broadinstitute.org/gsea/msigdb/cards/GSE25088_WT_VS_STAT6_KO_MACROPHAGE_ROSIGLITAZONE_STIM_UP.html")</f>
        <v>http://www.broadinstitute.org/gsea/msigdb/cards/GSE25088_WT_VS_STAT6_KO_MACROPHAGE_ROSIGLITAZONE_STIM_UP.html</v>
      </c>
    </row>
    <row r="686" spans="1:13">
      <c r="A686">
        <v>3541</v>
      </c>
      <c r="B686" t="s">
        <v>1959</v>
      </c>
      <c r="C686">
        <v>7</v>
      </c>
      <c r="D686">
        <v>146</v>
      </c>
      <c r="E686">
        <v>200</v>
      </c>
      <c r="F686">
        <v>32441</v>
      </c>
      <c r="G686">
        <v>7.7769520547945197</v>
      </c>
      <c r="H686" s="1">
        <v>4.3365219644025802E-5</v>
      </c>
      <c r="I686" t="s">
        <v>1960</v>
      </c>
      <c r="J686" t="s">
        <v>1961</v>
      </c>
      <c r="K686">
        <v>7.7674761068269804E-4</v>
      </c>
      <c r="L686" t="s">
        <v>1178</v>
      </c>
      <c r="M686" t="str">
        <f>HYPERLINK("http://www.broadinstitute.org/gsea/msigdb/cards/GSE25085_FETAL_LIVER_VS_FETAL_BM_SP4_THYMIC_IMPLANT_UP.html")</f>
        <v>http://www.broadinstitute.org/gsea/msigdb/cards/GSE25085_FETAL_LIVER_VS_FETAL_BM_SP4_THYMIC_IMPLANT_UP.html</v>
      </c>
    </row>
    <row r="687" spans="1:13">
      <c r="A687">
        <v>3717</v>
      </c>
      <c r="B687" t="s">
        <v>1962</v>
      </c>
      <c r="C687">
        <v>7</v>
      </c>
      <c r="D687">
        <v>146</v>
      </c>
      <c r="E687">
        <v>200</v>
      </c>
      <c r="F687">
        <v>32441</v>
      </c>
      <c r="G687">
        <v>7.7769520547945197</v>
      </c>
      <c r="H687" s="1">
        <v>4.3365219644025802E-5</v>
      </c>
      <c r="I687" t="s">
        <v>1963</v>
      </c>
      <c r="J687" t="s">
        <v>1964</v>
      </c>
      <c r="K687">
        <v>7.7674761068269804E-4</v>
      </c>
      <c r="L687" t="s">
        <v>1178</v>
      </c>
      <c r="M687" t="str">
        <f>HYPERLINK("http://www.broadinstitute.org/gsea/msigdb/cards/GSE24574_NAIVE_VS_TCONV_CD4_TCELL_UP.html")</f>
        <v>http://www.broadinstitute.org/gsea/msigdb/cards/GSE24574_NAIVE_VS_TCONV_CD4_TCELL_UP.html</v>
      </c>
    </row>
    <row r="688" spans="1:13">
      <c r="A688">
        <v>3808</v>
      </c>
      <c r="B688" t="s">
        <v>1965</v>
      </c>
      <c r="C688">
        <v>7</v>
      </c>
      <c r="D688">
        <v>146</v>
      </c>
      <c r="E688">
        <v>200</v>
      </c>
      <c r="F688">
        <v>32441</v>
      </c>
      <c r="G688">
        <v>7.7769520547945197</v>
      </c>
      <c r="H688" s="1">
        <v>4.3365219644025802E-5</v>
      </c>
      <c r="I688" t="s">
        <v>1966</v>
      </c>
      <c r="J688" t="s">
        <v>1967</v>
      </c>
      <c r="K688">
        <v>7.7674761068269804E-4</v>
      </c>
      <c r="L688" t="s">
        <v>1178</v>
      </c>
      <c r="M688" t="str">
        <f>HYPERLINK("http://www.broadinstitute.org/gsea/msigdb/cards/GSE26351_UNSTIM_VS_BMP_PATHWAY_STIM_HEMATOPOIETIC_PROGENITORS_DN.html")</f>
        <v>http://www.broadinstitute.org/gsea/msigdb/cards/GSE26351_UNSTIM_VS_BMP_PATHWAY_STIM_HEMATOPOIETIC_PROGENITORS_DN.html</v>
      </c>
    </row>
    <row r="689" spans="1:13">
      <c r="A689">
        <v>3998</v>
      </c>
      <c r="B689" t="s">
        <v>1968</v>
      </c>
      <c r="C689">
        <v>7</v>
      </c>
      <c r="D689">
        <v>146</v>
      </c>
      <c r="E689">
        <v>200</v>
      </c>
      <c r="F689">
        <v>32441</v>
      </c>
      <c r="G689">
        <v>7.7769520547945197</v>
      </c>
      <c r="H689" s="1">
        <v>4.3365219644025802E-5</v>
      </c>
      <c r="I689" t="s">
        <v>1969</v>
      </c>
      <c r="J689" t="s">
        <v>1970</v>
      </c>
      <c r="K689">
        <v>7.7674761068269804E-4</v>
      </c>
      <c r="L689" t="s">
        <v>1178</v>
      </c>
      <c r="M689" t="str">
        <f>HYPERLINK("http://www.broadinstitute.org/gsea/msigdb/cards/GSE36009_UNSTIM_VS_LPS_STIM_NLRP10_KO_DC_DN.html")</f>
        <v>http://www.broadinstitute.org/gsea/msigdb/cards/GSE36009_UNSTIM_VS_LPS_STIM_NLRP10_KO_DC_DN.html</v>
      </c>
    </row>
    <row r="690" spans="1:13">
      <c r="A690">
        <v>4048</v>
      </c>
      <c r="B690" t="s">
        <v>1971</v>
      </c>
      <c r="C690">
        <v>7</v>
      </c>
      <c r="D690">
        <v>146</v>
      </c>
      <c r="E690">
        <v>200</v>
      </c>
      <c r="F690">
        <v>32441</v>
      </c>
      <c r="G690">
        <v>7.7769520547945197</v>
      </c>
      <c r="H690" s="1">
        <v>4.3365219644025802E-5</v>
      </c>
      <c r="I690" t="s">
        <v>1972</v>
      </c>
      <c r="J690" t="s">
        <v>1973</v>
      </c>
      <c r="K690">
        <v>7.7674761068269804E-4</v>
      </c>
      <c r="L690" t="s">
        <v>1178</v>
      </c>
      <c r="M690" t="str">
        <f>HYPERLINK("http://www.broadinstitute.org/gsea/msigdb/cards/GSE37301_LYMPHOID_PRIMED_MPP_VS_PRO_BCELL_UP.html")</f>
        <v>http://www.broadinstitute.org/gsea/msigdb/cards/GSE37301_LYMPHOID_PRIMED_MPP_VS_PRO_BCELL_UP.html</v>
      </c>
    </row>
    <row r="691" spans="1:13">
      <c r="A691">
        <v>4333</v>
      </c>
      <c r="B691" t="s">
        <v>1974</v>
      </c>
      <c r="C691">
        <v>7</v>
      </c>
      <c r="D691">
        <v>146</v>
      </c>
      <c r="E691">
        <v>200</v>
      </c>
      <c r="F691">
        <v>32441</v>
      </c>
      <c r="G691">
        <v>7.7769520547945197</v>
      </c>
      <c r="H691" s="1">
        <v>4.3365219644025802E-5</v>
      </c>
      <c r="I691" t="s">
        <v>1975</v>
      </c>
      <c r="J691" t="s">
        <v>1976</v>
      </c>
      <c r="K691">
        <v>7.7674761068269804E-4</v>
      </c>
      <c r="L691" t="s">
        <v>1178</v>
      </c>
      <c r="M691" t="str">
        <f>HYPERLINK("http://www.broadinstitute.org/gsea/msigdb/cards/GSE20727_H2O2_VS_ROS_INHIBITOR_TREATED_DC_DN.html")</f>
        <v>http://www.broadinstitute.org/gsea/msigdb/cards/GSE20727_H2O2_VS_ROS_INHIBITOR_TREATED_DC_DN.html</v>
      </c>
    </row>
    <row r="692" spans="1:13">
      <c r="A692">
        <v>4352</v>
      </c>
      <c r="B692" t="s">
        <v>1977</v>
      </c>
      <c r="C692">
        <v>7</v>
      </c>
      <c r="D692">
        <v>146</v>
      </c>
      <c r="E692">
        <v>200</v>
      </c>
      <c r="F692">
        <v>32441</v>
      </c>
      <c r="G692">
        <v>7.7769520547945197</v>
      </c>
      <c r="H692" s="1">
        <v>4.3365219644025802E-5</v>
      </c>
      <c r="I692" t="s">
        <v>1978</v>
      </c>
      <c r="J692" t="s">
        <v>1979</v>
      </c>
      <c r="K692">
        <v>7.7674761068269804E-4</v>
      </c>
      <c r="L692" t="s">
        <v>1178</v>
      </c>
      <c r="M692" t="str">
        <f>HYPERLINK("http://www.broadinstitute.org/gsea/msigdb/cards/GSE39110_DAY3_VS_DAY6_POST_IMMUNIZATION_CD8_TCELL_WITH_IL2_TREATMENT_DN.html")</f>
        <v>http://www.broadinstitute.org/gsea/msigdb/cards/GSE39110_DAY3_VS_DAY6_POST_IMMUNIZATION_CD8_TCELL_WITH_IL2_TREATMENT_DN.html</v>
      </c>
    </row>
    <row r="693" spans="1:13">
      <c r="A693">
        <v>4362</v>
      </c>
      <c r="B693" t="s">
        <v>1980</v>
      </c>
      <c r="C693">
        <v>7</v>
      </c>
      <c r="D693">
        <v>146</v>
      </c>
      <c r="E693">
        <v>200</v>
      </c>
      <c r="F693">
        <v>32441</v>
      </c>
      <c r="G693">
        <v>7.7769520547945197</v>
      </c>
      <c r="H693" s="1">
        <v>4.3365219644025802E-5</v>
      </c>
      <c r="I693" t="s">
        <v>1981</v>
      </c>
      <c r="J693" t="s">
        <v>1982</v>
      </c>
      <c r="K693">
        <v>7.7674761068269804E-4</v>
      </c>
      <c r="L693" t="s">
        <v>1178</v>
      </c>
      <c r="M693" t="str">
        <f>HYPERLINK("http://www.broadinstitute.org/gsea/msigdb/cards/GSE36078_WT_VS_IL1R_KO_LUNG_DC_AFTER_AD5_T425A_HEXON_INF_DN.html")</f>
        <v>http://www.broadinstitute.org/gsea/msigdb/cards/GSE36078_WT_VS_IL1R_KO_LUNG_DC_AFTER_AD5_T425A_HEXON_INF_DN.html</v>
      </c>
    </row>
    <row r="694" spans="1:13">
      <c r="A694">
        <v>4585</v>
      </c>
      <c r="B694" t="s">
        <v>1983</v>
      </c>
      <c r="C694">
        <v>7</v>
      </c>
      <c r="D694">
        <v>146</v>
      </c>
      <c r="E694">
        <v>200</v>
      </c>
      <c r="F694">
        <v>32441</v>
      </c>
      <c r="G694">
        <v>7.7769520547945197</v>
      </c>
      <c r="H694" s="1">
        <v>4.3365219644025802E-5</v>
      </c>
      <c r="I694" t="s">
        <v>1984</v>
      </c>
      <c r="J694" t="s">
        <v>1985</v>
      </c>
      <c r="K694">
        <v>7.7674761068269804E-4</v>
      </c>
      <c r="L694" t="s">
        <v>1178</v>
      </c>
      <c r="M694" t="str">
        <f>HYPERLINK("http://www.broadinstitute.org/gsea/msigdb/cards/GSE42021_CD24HI_TREG_VS_CD24HI_TCONV_THYMUS_UP.html")</f>
        <v>http://www.broadinstitute.org/gsea/msigdb/cards/GSE42021_CD24HI_TREG_VS_CD24HI_TCONV_THYMUS_UP.html</v>
      </c>
    </row>
    <row r="695" spans="1:13">
      <c r="A695">
        <v>48121</v>
      </c>
      <c r="B695" t="s">
        <v>1986</v>
      </c>
      <c r="C695">
        <v>7</v>
      </c>
      <c r="D695">
        <v>146</v>
      </c>
      <c r="E695">
        <v>200</v>
      </c>
      <c r="F695">
        <v>32441</v>
      </c>
      <c r="G695">
        <v>7.7769520547945197</v>
      </c>
      <c r="H695" s="1">
        <v>4.3365219644025802E-5</v>
      </c>
      <c r="I695" t="s">
        <v>1987</v>
      </c>
      <c r="J695" t="s">
        <v>1988</v>
      </c>
      <c r="K695">
        <v>7.7674761068269804E-4</v>
      </c>
      <c r="L695" t="s">
        <v>1178</v>
      </c>
      <c r="M695" t="str">
        <f>HYPERLINK("http://www.broadinstitute.org/gsea/msigdb/cards/GSE43260_BTLA_POS_VS_NEG_INTRATUMORAL_CD8_TCELL_DN.html")</f>
        <v>http://www.broadinstitute.org/gsea/msigdb/cards/GSE43260_BTLA_POS_VS_NEG_INTRATUMORAL_CD8_TCELL_DN.html</v>
      </c>
    </row>
    <row r="696" spans="1:13">
      <c r="A696">
        <v>4862</v>
      </c>
      <c r="B696" t="s">
        <v>1989</v>
      </c>
      <c r="C696">
        <v>7</v>
      </c>
      <c r="D696">
        <v>146</v>
      </c>
      <c r="E696">
        <v>199</v>
      </c>
      <c r="F696">
        <v>32441</v>
      </c>
      <c r="G696">
        <v>7.8160322158738902</v>
      </c>
      <c r="H696" s="1">
        <v>4.2054603084331397E-5</v>
      </c>
      <c r="I696" t="s">
        <v>1990</v>
      </c>
      <c r="J696" t="s">
        <v>1991</v>
      </c>
      <c r="K696">
        <v>7.7674761068269804E-4</v>
      </c>
      <c r="L696" t="s">
        <v>1178</v>
      </c>
      <c r="M696" t="str">
        <f>HYPERLINK("http://www.broadinstitute.org/gsea/msigdb/cards/GSE45365_CTRL_VS_MCMV_INFECTION_NK_CELL_DN.html")</f>
        <v>http://www.broadinstitute.org/gsea/msigdb/cards/GSE45365_CTRL_VS_MCMV_INFECTION_NK_CELL_DN.html</v>
      </c>
    </row>
    <row r="697" spans="1:13">
      <c r="A697">
        <v>3308</v>
      </c>
      <c r="B697" t="s">
        <v>1992</v>
      </c>
      <c r="C697">
        <v>6</v>
      </c>
      <c r="D697">
        <v>146</v>
      </c>
      <c r="E697">
        <v>151</v>
      </c>
      <c r="F697">
        <v>32441</v>
      </c>
      <c r="G697">
        <v>8.8290846412047497</v>
      </c>
      <c r="H697" s="1">
        <v>7.9055134574670697E-5</v>
      </c>
      <c r="I697" t="s">
        <v>1993</v>
      </c>
      <c r="J697" t="s">
        <v>1994</v>
      </c>
      <c r="K697">
        <v>1.4108300939479699E-3</v>
      </c>
      <c r="L697" t="s">
        <v>1178</v>
      </c>
      <c r="M697" t="str">
        <f>HYPERLINK("http://www.broadinstitute.org/gsea/msigdb/cards/GSE21033_CTRL_VS_POLYIC_STIM_DC_24H_DN.html")</f>
        <v>http://www.broadinstitute.org/gsea/msigdb/cards/GSE21033_CTRL_VS_POLYIC_STIM_DC_24H_DN.html</v>
      </c>
    </row>
    <row r="698" spans="1:13">
      <c r="A698">
        <v>2750</v>
      </c>
      <c r="B698" t="s">
        <v>1995</v>
      </c>
      <c r="C698">
        <v>5</v>
      </c>
      <c r="D698">
        <v>146</v>
      </c>
      <c r="E698">
        <v>108</v>
      </c>
      <c r="F698">
        <v>32441</v>
      </c>
      <c r="G698">
        <v>10.2869736174531</v>
      </c>
      <c r="H698">
        <v>1.6038042016384399E-4</v>
      </c>
      <c r="I698" t="s">
        <v>1996</v>
      </c>
      <c r="J698" t="s">
        <v>1997</v>
      </c>
      <c r="K698">
        <v>2.8517277629133198E-3</v>
      </c>
      <c r="L698" t="s">
        <v>1178</v>
      </c>
      <c r="M698" t="str">
        <f>HYPERLINK("http://www.broadinstitute.org/gsea/msigdb/cards/GSE13887_RESTING_VS_NO_TREATED_CD4_TCELL_DN.html")</f>
        <v>http://www.broadinstitute.org/gsea/msigdb/cards/GSE13887_RESTING_VS_NO_TREATED_CD4_TCELL_DN.html</v>
      </c>
    </row>
    <row r="699" spans="1:13">
      <c r="A699">
        <v>8</v>
      </c>
      <c r="B699" t="s">
        <v>1998</v>
      </c>
      <c r="C699">
        <v>6</v>
      </c>
      <c r="D699">
        <v>146</v>
      </c>
      <c r="E699">
        <v>200</v>
      </c>
      <c r="F699">
        <v>32441</v>
      </c>
      <c r="G699">
        <v>6.6659589041095897</v>
      </c>
      <c r="H699">
        <v>3.4519085179478498E-4</v>
      </c>
      <c r="I699" t="s">
        <v>1999</v>
      </c>
      <c r="J699" t="s">
        <v>2000</v>
      </c>
      <c r="K699">
        <v>4.5330723179088702E-3</v>
      </c>
      <c r="L699" t="s">
        <v>1178</v>
      </c>
      <c r="M699" t="str">
        <f>HYPERLINK("http://www.broadinstitute.org/gsea/msigdb/cards/KAECH_DAY8_EFF_VS_DAY15_EFF_CD8_TCELL_DN.html")</f>
        <v>http://www.broadinstitute.org/gsea/msigdb/cards/KAECH_DAY8_EFF_VS_DAY15_EFF_CD8_TCELL_DN.html</v>
      </c>
    </row>
    <row r="700" spans="1:13">
      <c r="A700">
        <v>132</v>
      </c>
      <c r="B700" t="s">
        <v>2001</v>
      </c>
      <c r="C700">
        <v>6</v>
      </c>
      <c r="D700">
        <v>146</v>
      </c>
      <c r="E700">
        <v>200</v>
      </c>
      <c r="F700">
        <v>32441</v>
      </c>
      <c r="G700">
        <v>6.6659589041095897</v>
      </c>
      <c r="H700">
        <v>3.4519085179478498E-4</v>
      </c>
      <c r="I700" t="s">
        <v>2002</v>
      </c>
      <c r="J700" t="s">
        <v>2003</v>
      </c>
      <c r="K700">
        <v>4.5330723179088702E-3</v>
      </c>
      <c r="L700" t="s">
        <v>1178</v>
      </c>
      <c r="M700" t="str">
        <f>HYPERLINK("http://www.broadinstitute.org/gsea/msigdb/cards/GOLDRATH_NAIVE_VS_EFF_CD8_TCELL_UP.html")</f>
        <v>http://www.broadinstitute.org/gsea/msigdb/cards/GOLDRATH_NAIVE_VS_EFF_CD8_TCELL_UP.html</v>
      </c>
    </row>
    <row r="701" spans="1:13">
      <c r="A701">
        <v>22</v>
      </c>
      <c r="B701" t="s">
        <v>2004</v>
      </c>
      <c r="C701">
        <v>6</v>
      </c>
      <c r="D701">
        <v>146</v>
      </c>
      <c r="E701">
        <v>200</v>
      </c>
      <c r="F701">
        <v>32441</v>
      </c>
      <c r="G701">
        <v>6.6659589041095897</v>
      </c>
      <c r="H701">
        <v>3.4519085179478498E-4</v>
      </c>
      <c r="I701" t="s">
        <v>2005</v>
      </c>
      <c r="J701" t="s">
        <v>2006</v>
      </c>
      <c r="K701">
        <v>4.5330723179088702E-3</v>
      </c>
      <c r="L701" t="s">
        <v>1178</v>
      </c>
      <c r="M701" t="str">
        <f>HYPERLINK("http://www.broadinstitute.org/gsea/msigdb/cards/GSE10239_NAIVE_VS_MEMORY_CD8_TCELL_DN.html")</f>
        <v>http://www.broadinstitute.org/gsea/msigdb/cards/GSE10239_NAIVE_VS_MEMORY_CD8_TCELL_DN.html</v>
      </c>
    </row>
    <row r="702" spans="1:13">
      <c r="A702">
        <v>29</v>
      </c>
      <c r="B702" t="s">
        <v>2007</v>
      </c>
      <c r="C702">
        <v>6</v>
      </c>
      <c r="D702">
        <v>146</v>
      </c>
      <c r="E702">
        <v>200</v>
      </c>
      <c r="F702">
        <v>32441</v>
      </c>
      <c r="G702">
        <v>6.6659589041095897</v>
      </c>
      <c r="H702">
        <v>3.4519085179478498E-4</v>
      </c>
      <c r="I702" t="s">
        <v>2008</v>
      </c>
      <c r="J702" t="s">
        <v>2009</v>
      </c>
      <c r="K702">
        <v>4.5330723179088702E-3</v>
      </c>
      <c r="L702" t="s">
        <v>1178</v>
      </c>
      <c r="M702" t="str">
        <f>HYPERLINK("http://www.broadinstitute.org/gsea/msigdb/cards/GSE10239_MEMORY_VS_KLRG1HIGH_EFF_CD8_TCELL_UP.html")</f>
        <v>http://www.broadinstitute.org/gsea/msigdb/cards/GSE10239_MEMORY_VS_KLRG1HIGH_EFF_CD8_TCELL_UP.html</v>
      </c>
    </row>
    <row r="703" spans="1:13">
      <c r="A703">
        <v>35</v>
      </c>
      <c r="B703" t="s">
        <v>2010</v>
      </c>
      <c r="C703">
        <v>6</v>
      </c>
      <c r="D703">
        <v>146</v>
      </c>
      <c r="E703">
        <v>200</v>
      </c>
      <c r="F703">
        <v>32441</v>
      </c>
      <c r="G703">
        <v>6.6659589041095897</v>
      </c>
      <c r="H703">
        <v>3.4519085179478498E-4</v>
      </c>
      <c r="I703" t="s">
        <v>2011</v>
      </c>
      <c r="J703" t="s">
        <v>2012</v>
      </c>
      <c r="K703">
        <v>4.5330723179088702E-3</v>
      </c>
      <c r="L703" t="s">
        <v>1178</v>
      </c>
      <c r="M703" t="str">
        <f>HYPERLINK("http://www.broadinstitute.org/gsea/msigdb/cards/GSE10239_MEMORY_VS_DAY4.5_EFF_CD8_TCELL_UP.html")</f>
        <v>http://www.broadinstitute.org/gsea/msigdb/cards/GSE10239_MEMORY_VS_DAY4.5_EFF_CD8_TCELL_UP.html</v>
      </c>
    </row>
    <row r="704" spans="1:13">
      <c r="A704">
        <v>125</v>
      </c>
      <c r="B704" t="s">
        <v>2013</v>
      </c>
      <c r="C704">
        <v>6</v>
      </c>
      <c r="D704">
        <v>146</v>
      </c>
      <c r="E704">
        <v>200</v>
      </c>
      <c r="F704">
        <v>32441</v>
      </c>
      <c r="G704">
        <v>6.6659589041095897</v>
      </c>
      <c r="H704">
        <v>3.4519085179478498E-4</v>
      </c>
      <c r="I704" t="s">
        <v>2014</v>
      </c>
      <c r="J704" t="s">
        <v>2015</v>
      </c>
      <c r="K704">
        <v>4.5330723179088702E-3</v>
      </c>
      <c r="L704" t="s">
        <v>1178</v>
      </c>
      <c r="M704" t="str">
        <f>HYPERLINK("http://www.broadinstitute.org/gsea/msigdb/cards/GSE12845_IGD_POS_BLOOD_VS_DARKZONE_GC_TONSIL_BCELL_UP.html")</f>
        <v>http://www.broadinstitute.org/gsea/msigdb/cards/GSE12845_IGD_POS_BLOOD_VS_DARKZONE_GC_TONSIL_BCELL_UP.html</v>
      </c>
    </row>
    <row r="705" spans="1:13">
      <c r="A705">
        <v>239</v>
      </c>
      <c r="B705" t="s">
        <v>2016</v>
      </c>
      <c r="C705">
        <v>6</v>
      </c>
      <c r="D705">
        <v>146</v>
      </c>
      <c r="E705">
        <v>200</v>
      </c>
      <c r="F705">
        <v>32441</v>
      </c>
      <c r="G705">
        <v>6.6659589041095897</v>
      </c>
      <c r="H705">
        <v>3.4519085179478498E-4</v>
      </c>
      <c r="I705" t="s">
        <v>2017</v>
      </c>
      <c r="J705" t="s">
        <v>2018</v>
      </c>
      <c r="K705">
        <v>4.5330723179088702E-3</v>
      </c>
      <c r="L705" t="s">
        <v>1178</v>
      </c>
      <c r="M705" t="str">
        <f>HYPERLINK("http://www.broadinstitute.org/gsea/msigdb/cards/GSE14000_4H_VS_16H_LPS_DC_UP.html")</f>
        <v>http://www.broadinstitute.org/gsea/msigdb/cards/GSE14000_4H_VS_16H_LPS_DC_UP.html</v>
      </c>
    </row>
    <row r="706" spans="1:13">
      <c r="A706">
        <v>318</v>
      </c>
      <c r="B706" t="s">
        <v>2019</v>
      </c>
      <c r="C706">
        <v>6</v>
      </c>
      <c r="D706">
        <v>146</v>
      </c>
      <c r="E706">
        <v>200</v>
      </c>
      <c r="F706">
        <v>32441</v>
      </c>
      <c r="G706">
        <v>6.6659589041095897</v>
      </c>
      <c r="H706">
        <v>3.4519085179478498E-4</v>
      </c>
      <c r="I706" t="s">
        <v>2020</v>
      </c>
      <c r="J706" t="s">
        <v>2021</v>
      </c>
      <c r="K706">
        <v>4.5330723179088702E-3</v>
      </c>
      <c r="L706" t="s">
        <v>1178</v>
      </c>
      <c r="M706" t="str">
        <f>HYPERLINK("http://www.broadinstitute.org/gsea/msigdb/cards/GSE1460_CD4_THYMOCYTE_VS_NAIVE_CD4_TCELL_CORD_BLOOD_DN.html")</f>
        <v>http://www.broadinstitute.org/gsea/msigdb/cards/GSE1460_CD4_THYMOCYTE_VS_NAIVE_CD4_TCELL_CORD_BLOOD_DN.html</v>
      </c>
    </row>
    <row r="707" spans="1:13">
      <c r="A707">
        <v>327</v>
      </c>
      <c r="B707" t="s">
        <v>2022</v>
      </c>
      <c r="C707">
        <v>6</v>
      </c>
      <c r="D707">
        <v>146</v>
      </c>
      <c r="E707">
        <v>200</v>
      </c>
      <c r="F707">
        <v>32441</v>
      </c>
      <c r="G707">
        <v>6.6659589041095897</v>
      </c>
      <c r="H707">
        <v>3.4519085179478498E-4</v>
      </c>
      <c r="I707" t="s">
        <v>2023</v>
      </c>
      <c r="J707" t="s">
        <v>2024</v>
      </c>
      <c r="K707">
        <v>4.5330723179088702E-3</v>
      </c>
      <c r="L707" t="s">
        <v>1178</v>
      </c>
      <c r="M707" t="str">
        <f>HYPERLINK("http://www.broadinstitute.org/gsea/msigdb/cards/GSE1460_NAIVE_CD4_TCELL_ADULT_BLOOD_VS_THYMIC_STROMAL_CELL_UP.html")</f>
        <v>http://www.broadinstitute.org/gsea/msigdb/cards/GSE1460_NAIVE_CD4_TCELL_ADULT_BLOOD_VS_THYMIC_STROMAL_CELL_UP.html</v>
      </c>
    </row>
    <row r="708" spans="1:13">
      <c r="A708">
        <v>398</v>
      </c>
      <c r="B708" t="s">
        <v>2025</v>
      </c>
      <c r="C708">
        <v>6</v>
      </c>
      <c r="D708">
        <v>146</v>
      </c>
      <c r="E708">
        <v>200</v>
      </c>
      <c r="F708">
        <v>32441</v>
      </c>
      <c r="G708">
        <v>6.6659589041095897</v>
      </c>
      <c r="H708">
        <v>3.4519085179478498E-4</v>
      </c>
      <c r="I708" t="s">
        <v>2026</v>
      </c>
      <c r="J708" t="s">
        <v>2027</v>
      </c>
      <c r="K708">
        <v>4.5330723179088702E-3</v>
      </c>
      <c r="L708" t="s">
        <v>1178</v>
      </c>
      <c r="M708" t="str">
        <f>HYPERLINK("http://www.broadinstitute.org/gsea/msigdb/cards/GSE15930_NAIVE_VS_48H_IN_VITRO_STIM_CD8_TCELL_DN.html")</f>
        <v>http://www.broadinstitute.org/gsea/msigdb/cards/GSE15930_NAIVE_VS_48H_IN_VITRO_STIM_CD8_TCELL_DN.html</v>
      </c>
    </row>
    <row r="709" spans="1:13">
      <c r="A709">
        <v>399</v>
      </c>
      <c r="B709" t="s">
        <v>2028</v>
      </c>
      <c r="C709">
        <v>6</v>
      </c>
      <c r="D709">
        <v>146</v>
      </c>
      <c r="E709">
        <v>200</v>
      </c>
      <c r="F709">
        <v>32441</v>
      </c>
      <c r="G709">
        <v>6.6659589041095897</v>
      </c>
      <c r="H709">
        <v>3.4519085179478498E-4</v>
      </c>
      <c r="I709" t="s">
        <v>2029</v>
      </c>
      <c r="J709" t="s">
        <v>2030</v>
      </c>
      <c r="K709">
        <v>4.5330723179088702E-3</v>
      </c>
      <c r="L709" t="s">
        <v>1178</v>
      </c>
      <c r="M709" t="str">
        <f>HYPERLINK("http://www.broadinstitute.org/gsea/msigdb/cards/GSE15930_NAIVE_VS_48H_IN_VITRO_STIM_IL12_CD8_TCELL_UP.html")</f>
        <v>http://www.broadinstitute.org/gsea/msigdb/cards/GSE15930_NAIVE_VS_48H_IN_VITRO_STIM_IL12_CD8_TCELL_UP.html</v>
      </c>
    </row>
    <row r="710" spans="1:13">
      <c r="A710">
        <v>419</v>
      </c>
      <c r="B710" t="s">
        <v>2031</v>
      </c>
      <c r="C710">
        <v>6</v>
      </c>
      <c r="D710">
        <v>146</v>
      </c>
      <c r="E710">
        <v>200</v>
      </c>
      <c r="F710">
        <v>32441</v>
      </c>
      <c r="G710">
        <v>6.6659589041095897</v>
      </c>
      <c r="H710">
        <v>3.4519085179478498E-4</v>
      </c>
      <c r="I710" t="s">
        <v>2032</v>
      </c>
      <c r="J710" t="s">
        <v>2033</v>
      </c>
      <c r="K710">
        <v>4.5330723179088702E-3</v>
      </c>
      <c r="L710" t="s">
        <v>1178</v>
      </c>
      <c r="M710" t="str">
        <f>HYPERLINK("http://www.broadinstitute.org/gsea/msigdb/cards/GSE15930_STIM_VS_STIM_AND_IFNAB_48H_CD8_T_CELL_UP.html")</f>
        <v>http://www.broadinstitute.org/gsea/msigdb/cards/GSE15930_STIM_VS_STIM_AND_IFNAB_48H_CD8_T_CELL_UP.html</v>
      </c>
    </row>
    <row r="711" spans="1:13">
      <c r="A711">
        <v>459</v>
      </c>
      <c r="B711" t="s">
        <v>2034</v>
      </c>
      <c r="C711">
        <v>6</v>
      </c>
      <c r="D711">
        <v>146</v>
      </c>
      <c r="E711">
        <v>199</v>
      </c>
      <c r="F711">
        <v>32441</v>
      </c>
      <c r="G711">
        <v>6.6994561850347596</v>
      </c>
      <c r="H711">
        <v>3.3636164066729702E-4</v>
      </c>
      <c r="I711" t="s">
        <v>2035</v>
      </c>
      <c r="J711" t="s">
        <v>2036</v>
      </c>
      <c r="K711">
        <v>4.5330723179088702E-3</v>
      </c>
      <c r="L711" t="s">
        <v>1178</v>
      </c>
      <c r="M711" t="str">
        <f>HYPERLINK("http://www.broadinstitute.org/gsea/msigdb/cards/GSE17721_CTRL_VS_LPS_12H_BMDC_UP.html")</f>
        <v>http://www.broadinstitute.org/gsea/msigdb/cards/GSE17721_CTRL_VS_LPS_12H_BMDC_UP.html</v>
      </c>
    </row>
    <row r="712" spans="1:13">
      <c r="A712">
        <v>469</v>
      </c>
      <c r="B712" t="s">
        <v>2037</v>
      </c>
      <c r="C712">
        <v>6</v>
      </c>
      <c r="D712">
        <v>146</v>
      </c>
      <c r="E712">
        <v>200</v>
      </c>
      <c r="F712">
        <v>32441</v>
      </c>
      <c r="G712">
        <v>6.6659589041095897</v>
      </c>
      <c r="H712">
        <v>3.4519085179478498E-4</v>
      </c>
      <c r="I712" t="s">
        <v>2038</v>
      </c>
      <c r="J712" t="s">
        <v>2039</v>
      </c>
      <c r="K712">
        <v>4.5330723179088702E-3</v>
      </c>
      <c r="L712" t="s">
        <v>1178</v>
      </c>
      <c r="M712" t="str">
        <f>HYPERLINK("http://www.broadinstitute.org/gsea/msigdb/cards/GSE17721_CTRL_VS_POLYIC_4H_BMDC_UP.html")</f>
        <v>http://www.broadinstitute.org/gsea/msigdb/cards/GSE17721_CTRL_VS_POLYIC_4H_BMDC_UP.html</v>
      </c>
    </row>
    <row r="713" spans="1:13">
      <c r="A713">
        <v>475</v>
      </c>
      <c r="B713" t="s">
        <v>2040</v>
      </c>
      <c r="C713">
        <v>6</v>
      </c>
      <c r="D713">
        <v>146</v>
      </c>
      <c r="E713">
        <v>200</v>
      </c>
      <c r="F713">
        <v>32441</v>
      </c>
      <c r="G713">
        <v>6.6659589041095897</v>
      </c>
      <c r="H713">
        <v>3.4519085179478498E-4</v>
      </c>
      <c r="I713" t="s">
        <v>2041</v>
      </c>
      <c r="J713" t="s">
        <v>2042</v>
      </c>
      <c r="K713">
        <v>4.5330723179088702E-3</v>
      </c>
      <c r="L713" t="s">
        <v>1178</v>
      </c>
      <c r="M713" t="str">
        <f>HYPERLINK("http://www.broadinstitute.org/gsea/msigdb/cards/GSE17721_CTRL_VS_POLYIC_12H_BMDC_UP.html")</f>
        <v>http://www.broadinstitute.org/gsea/msigdb/cards/GSE17721_CTRL_VS_POLYIC_12H_BMDC_UP.html</v>
      </c>
    </row>
    <row r="714" spans="1:13">
      <c r="A714">
        <v>487</v>
      </c>
      <c r="B714" t="s">
        <v>2043</v>
      </c>
      <c r="C714">
        <v>6</v>
      </c>
      <c r="D714">
        <v>146</v>
      </c>
      <c r="E714">
        <v>200</v>
      </c>
      <c r="F714">
        <v>32441</v>
      </c>
      <c r="G714">
        <v>6.6659589041095897</v>
      </c>
      <c r="H714">
        <v>3.4519085179478498E-4</v>
      </c>
      <c r="I714" t="s">
        <v>2044</v>
      </c>
      <c r="J714" t="s">
        <v>2045</v>
      </c>
      <c r="K714">
        <v>4.5330723179088702E-3</v>
      </c>
      <c r="L714" t="s">
        <v>1178</v>
      </c>
      <c r="M714" t="str">
        <f>HYPERLINK("http://www.broadinstitute.org/gsea/msigdb/cards/GSE17721_CTRL_VS_PAM3CSK4_6H_BMDC_UP.html")</f>
        <v>http://www.broadinstitute.org/gsea/msigdb/cards/GSE17721_CTRL_VS_PAM3CSK4_6H_BMDC_UP.html</v>
      </c>
    </row>
    <row r="715" spans="1:13">
      <c r="A715">
        <v>501</v>
      </c>
      <c r="B715" t="s">
        <v>2046</v>
      </c>
      <c r="C715">
        <v>6</v>
      </c>
      <c r="D715">
        <v>146</v>
      </c>
      <c r="E715">
        <v>200</v>
      </c>
      <c r="F715">
        <v>32441</v>
      </c>
      <c r="G715">
        <v>6.6659589041095897</v>
      </c>
      <c r="H715">
        <v>3.4519085179478498E-4</v>
      </c>
      <c r="I715" t="s">
        <v>2047</v>
      </c>
      <c r="J715" t="s">
        <v>2048</v>
      </c>
      <c r="K715">
        <v>4.5330723179088702E-3</v>
      </c>
      <c r="L715" t="s">
        <v>1178</v>
      </c>
      <c r="M715" t="str">
        <f>HYPERLINK("http://www.broadinstitute.org/gsea/msigdb/cards/GSE17721_CTRL_VS_CPG_4H_BMDC_UP.html")</f>
        <v>http://www.broadinstitute.org/gsea/msigdb/cards/GSE17721_CTRL_VS_CPG_4H_BMDC_UP.html</v>
      </c>
    </row>
    <row r="716" spans="1:13">
      <c r="A716">
        <v>507</v>
      </c>
      <c r="B716" t="s">
        <v>2049</v>
      </c>
      <c r="C716">
        <v>6</v>
      </c>
      <c r="D716">
        <v>146</v>
      </c>
      <c r="E716">
        <v>200</v>
      </c>
      <c r="F716">
        <v>32441</v>
      </c>
      <c r="G716">
        <v>6.6659589041095897</v>
      </c>
      <c r="H716">
        <v>3.4519085179478498E-4</v>
      </c>
      <c r="I716" t="s">
        <v>2050</v>
      </c>
      <c r="J716" t="s">
        <v>2051</v>
      </c>
      <c r="K716">
        <v>4.5330723179088702E-3</v>
      </c>
      <c r="L716" t="s">
        <v>1178</v>
      </c>
      <c r="M716" t="str">
        <f>HYPERLINK("http://www.broadinstitute.org/gsea/msigdb/cards/GSE17721_CTRL_VS_CPG_12H_BMDC_UP.html")</f>
        <v>http://www.broadinstitute.org/gsea/msigdb/cards/GSE17721_CTRL_VS_CPG_12H_BMDC_UP.html</v>
      </c>
    </row>
    <row r="717" spans="1:13">
      <c r="A717">
        <v>534</v>
      </c>
      <c r="B717" t="s">
        <v>2052</v>
      </c>
      <c r="C717">
        <v>6</v>
      </c>
      <c r="D717">
        <v>146</v>
      </c>
      <c r="E717">
        <v>200</v>
      </c>
      <c r="F717">
        <v>32441</v>
      </c>
      <c r="G717">
        <v>6.6659589041095897</v>
      </c>
      <c r="H717">
        <v>3.4519085179478498E-4</v>
      </c>
      <c r="I717" t="s">
        <v>2053</v>
      </c>
      <c r="J717" t="s">
        <v>2054</v>
      </c>
      <c r="K717">
        <v>4.5330723179088702E-3</v>
      </c>
      <c r="L717" t="s">
        <v>1178</v>
      </c>
      <c r="M717" t="str">
        <f>HYPERLINK("http://www.broadinstitute.org/gsea/msigdb/cards/GSE17721_LPS_VS_POLYIC_4H_BMDC_DN.html")</f>
        <v>http://www.broadinstitute.org/gsea/msigdb/cards/GSE17721_LPS_VS_POLYIC_4H_BMDC_DN.html</v>
      </c>
    </row>
    <row r="718" spans="1:13">
      <c r="A718">
        <v>558</v>
      </c>
      <c r="B718" t="s">
        <v>2055</v>
      </c>
      <c r="C718">
        <v>6</v>
      </c>
      <c r="D718">
        <v>146</v>
      </c>
      <c r="E718">
        <v>200</v>
      </c>
      <c r="F718">
        <v>32441</v>
      </c>
      <c r="G718">
        <v>6.6659589041095897</v>
      </c>
      <c r="H718">
        <v>3.4519085179478498E-4</v>
      </c>
      <c r="I718" t="s">
        <v>2056</v>
      </c>
      <c r="J718" t="s">
        <v>2057</v>
      </c>
      <c r="K718">
        <v>4.5330723179088702E-3</v>
      </c>
      <c r="L718" t="s">
        <v>1178</v>
      </c>
      <c r="M718" t="str">
        <f>HYPERLINK("http://www.broadinstitute.org/gsea/msigdb/cards/GSE17721_POLYIC_VS_PAM3CSK4_12H_BMDC_DN.html")</f>
        <v>http://www.broadinstitute.org/gsea/msigdb/cards/GSE17721_POLYIC_VS_PAM3CSK4_12H_BMDC_DN.html</v>
      </c>
    </row>
    <row r="719" spans="1:13">
      <c r="A719">
        <v>612</v>
      </c>
      <c r="B719" t="s">
        <v>2058</v>
      </c>
      <c r="C719">
        <v>6</v>
      </c>
      <c r="D719">
        <v>146</v>
      </c>
      <c r="E719">
        <v>200</v>
      </c>
      <c r="F719">
        <v>32441</v>
      </c>
      <c r="G719">
        <v>6.6659589041095897</v>
      </c>
      <c r="H719">
        <v>3.4519085179478498E-4</v>
      </c>
      <c r="I719" t="s">
        <v>2059</v>
      </c>
      <c r="J719" t="s">
        <v>2060</v>
      </c>
      <c r="K719">
        <v>4.5330723179088702E-3</v>
      </c>
      <c r="L719" t="s">
        <v>1178</v>
      </c>
      <c r="M719" t="str">
        <f>HYPERLINK("http://www.broadinstitute.org/gsea/msigdb/cards/GSE17721_LPS_VS_PAM3CSK4_12H_BMDC_DN.html")</f>
        <v>http://www.broadinstitute.org/gsea/msigdb/cards/GSE17721_LPS_VS_PAM3CSK4_12H_BMDC_DN.html</v>
      </c>
    </row>
    <row r="720" spans="1:13">
      <c r="A720">
        <v>616</v>
      </c>
      <c r="B720" t="s">
        <v>2061</v>
      </c>
      <c r="C720">
        <v>6</v>
      </c>
      <c r="D720">
        <v>146</v>
      </c>
      <c r="E720">
        <v>200</v>
      </c>
      <c r="F720">
        <v>32441</v>
      </c>
      <c r="G720">
        <v>6.6659589041095897</v>
      </c>
      <c r="H720">
        <v>3.4519085179478498E-4</v>
      </c>
      <c r="I720" t="s">
        <v>2062</v>
      </c>
      <c r="J720" t="s">
        <v>2063</v>
      </c>
      <c r="K720">
        <v>4.5330723179088702E-3</v>
      </c>
      <c r="L720" t="s">
        <v>1178</v>
      </c>
      <c r="M720" t="str">
        <f>HYPERLINK("http://www.broadinstitute.org/gsea/msigdb/cards/GSE17721_LPS_VS_PAM3CSK4_24H_BMDC_DN.html")</f>
        <v>http://www.broadinstitute.org/gsea/msigdb/cards/GSE17721_LPS_VS_PAM3CSK4_24H_BMDC_DN.html</v>
      </c>
    </row>
    <row r="721" spans="1:13">
      <c r="A721">
        <v>645</v>
      </c>
      <c r="B721" t="s">
        <v>2064</v>
      </c>
      <c r="C721">
        <v>6</v>
      </c>
      <c r="D721">
        <v>146</v>
      </c>
      <c r="E721">
        <v>200</v>
      </c>
      <c r="F721">
        <v>32441</v>
      </c>
      <c r="G721">
        <v>6.6659589041095897</v>
      </c>
      <c r="H721">
        <v>3.4519085179478498E-4</v>
      </c>
      <c r="I721" t="s">
        <v>2065</v>
      </c>
      <c r="J721" t="s">
        <v>2066</v>
      </c>
      <c r="K721">
        <v>4.5330723179088702E-3</v>
      </c>
      <c r="L721" t="s">
        <v>1178</v>
      </c>
      <c r="M721" t="str">
        <f>HYPERLINK("http://www.broadinstitute.org/gsea/msigdb/cards/GSE17721_PAM3CSK4_VS_GADIQUIMOD_8H_BMDC_UP.html")</f>
        <v>http://www.broadinstitute.org/gsea/msigdb/cards/GSE17721_PAM3CSK4_VS_GADIQUIMOD_8H_BMDC_UP.html</v>
      </c>
    </row>
    <row r="722" spans="1:13">
      <c r="A722">
        <v>673</v>
      </c>
      <c r="B722" t="s">
        <v>2067</v>
      </c>
      <c r="C722">
        <v>6</v>
      </c>
      <c r="D722">
        <v>146</v>
      </c>
      <c r="E722">
        <v>200</v>
      </c>
      <c r="F722">
        <v>32441</v>
      </c>
      <c r="G722">
        <v>6.6659589041095897</v>
      </c>
      <c r="H722">
        <v>3.4519085179478498E-4</v>
      </c>
      <c r="I722" t="s">
        <v>2068</v>
      </c>
      <c r="J722" t="s">
        <v>2069</v>
      </c>
      <c r="K722">
        <v>4.5330723179088702E-3</v>
      </c>
      <c r="L722" t="s">
        <v>1178</v>
      </c>
      <c r="M722" t="str">
        <f>HYPERLINK("http://www.broadinstitute.org/gsea/msigdb/cards/GSE17721_POLYIC_VS_GARDIQUIMOD_1H_BMDC_UP.html")</f>
        <v>http://www.broadinstitute.org/gsea/msigdb/cards/GSE17721_POLYIC_VS_GARDIQUIMOD_1H_BMDC_UP.html</v>
      </c>
    </row>
    <row r="723" spans="1:13">
      <c r="A723">
        <v>6841</v>
      </c>
      <c r="B723" t="s">
        <v>2070</v>
      </c>
      <c r="C723">
        <v>6</v>
      </c>
      <c r="D723">
        <v>146</v>
      </c>
      <c r="E723">
        <v>200</v>
      </c>
      <c r="F723">
        <v>32441</v>
      </c>
      <c r="G723">
        <v>6.6659589041095897</v>
      </c>
      <c r="H723">
        <v>3.4519085179478498E-4</v>
      </c>
      <c r="I723" t="s">
        <v>2071</v>
      </c>
      <c r="J723" t="s">
        <v>2072</v>
      </c>
      <c r="K723">
        <v>4.5330723179088702E-3</v>
      </c>
      <c r="L723" t="s">
        <v>1178</v>
      </c>
      <c r="M723" t="str">
        <f>HYPERLINK("http://www.broadinstitute.org/gsea/msigdb/cards/GSE17721_POLYIC_VS_GARDIQUIMOD_12H_BMDC_DN.html")</f>
        <v>http://www.broadinstitute.org/gsea/msigdb/cards/GSE17721_POLYIC_VS_GARDIQUIMOD_12H_BMDC_DN.html</v>
      </c>
    </row>
    <row r="724" spans="1:13">
      <c r="A724">
        <v>704</v>
      </c>
      <c r="B724" t="s">
        <v>2073</v>
      </c>
      <c r="C724">
        <v>6</v>
      </c>
      <c r="D724">
        <v>146</v>
      </c>
      <c r="E724">
        <v>200</v>
      </c>
      <c r="F724">
        <v>32441</v>
      </c>
      <c r="G724">
        <v>6.6659589041095897</v>
      </c>
      <c r="H724">
        <v>3.4519085179478498E-4</v>
      </c>
      <c r="I724" t="s">
        <v>2074</v>
      </c>
      <c r="J724" t="s">
        <v>2075</v>
      </c>
      <c r="K724">
        <v>4.5330723179088702E-3</v>
      </c>
      <c r="L724" t="s">
        <v>1178</v>
      </c>
      <c r="M724" t="str">
        <f>HYPERLINK("http://www.broadinstitute.org/gsea/msigdb/cards/GSE17721_LPS_VS_GARDIQUIMOD_16H_BMDC_DN.html")</f>
        <v>http://www.broadinstitute.org/gsea/msigdb/cards/GSE17721_LPS_VS_GARDIQUIMOD_16H_BMDC_DN.html</v>
      </c>
    </row>
    <row r="725" spans="1:13">
      <c r="A725">
        <v>7231</v>
      </c>
      <c r="B725" t="s">
        <v>2076</v>
      </c>
      <c r="C725">
        <v>6</v>
      </c>
      <c r="D725">
        <v>146</v>
      </c>
      <c r="E725">
        <v>200</v>
      </c>
      <c r="F725">
        <v>32441</v>
      </c>
      <c r="G725">
        <v>6.6659589041095897</v>
      </c>
      <c r="H725">
        <v>3.4519085179478498E-4</v>
      </c>
      <c r="I725" t="s">
        <v>2077</v>
      </c>
      <c r="J725" t="s">
        <v>2078</v>
      </c>
      <c r="K725">
        <v>4.5330723179088702E-3</v>
      </c>
      <c r="L725" t="s">
        <v>1178</v>
      </c>
      <c r="M725" t="str">
        <f>HYPERLINK("http://www.broadinstitute.org/gsea/msigdb/cards/GSE17721_0.5H_VS_24H_POLYIC_BMDC_UP.html")</f>
        <v>http://www.broadinstitute.org/gsea/msigdb/cards/GSE17721_0.5H_VS_24H_POLYIC_BMDC_UP.html</v>
      </c>
    </row>
    <row r="726" spans="1:13">
      <c r="A726">
        <v>7251</v>
      </c>
      <c r="B726" t="s">
        <v>2079</v>
      </c>
      <c r="C726">
        <v>6</v>
      </c>
      <c r="D726">
        <v>146</v>
      </c>
      <c r="E726">
        <v>200</v>
      </c>
      <c r="F726">
        <v>32441</v>
      </c>
      <c r="G726">
        <v>6.6659589041095897</v>
      </c>
      <c r="H726">
        <v>3.4519085179478498E-4</v>
      </c>
      <c r="I726" t="s">
        <v>2080</v>
      </c>
      <c r="J726" t="s">
        <v>2081</v>
      </c>
      <c r="K726">
        <v>4.5330723179088702E-3</v>
      </c>
      <c r="L726" t="s">
        <v>1178</v>
      </c>
      <c r="M726" t="str">
        <f>HYPERLINK("http://www.broadinstitute.org/gsea/msigdb/cards/GSE17721_4H_VS_24H_POLYIC_BMDC_UP.html")</f>
        <v>http://www.broadinstitute.org/gsea/msigdb/cards/GSE17721_4H_VS_24H_POLYIC_BMDC_UP.html</v>
      </c>
    </row>
    <row r="727" spans="1:13">
      <c r="A727">
        <v>7471</v>
      </c>
      <c r="B727" t="s">
        <v>2082</v>
      </c>
      <c r="C727">
        <v>6</v>
      </c>
      <c r="D727">
        <v>146</v>
      </c>
      <c r="E727">
        <v>200</v>
      </c>
      <c r="F727">
        <v>32441</v>
      </c>
      <c r="G727">
        <v>6.6659589041095897</v>
      </c>
      <c r="H727">
        <v>3.4519085179478498E-4</v>
      </c>
      <c r="I727" t="s">
        <v>2083</v>
      </c>
      <c r="J727" t="s">
        <v>2084</v>
      </c>
      <c r="K727">
        <v>4.5330723179088702E-3</v>
      </c>
      <c r="L727" t="s">
        <v>1178</v>
      </c>
      <c r="M727" t="str">
        <f>HYPERLINK("http://www.broadinstitute.org/gsea/msigdb/cards/GSE17721_0.5H_VS_24H_CPG_BMDC_UP.html")</f>
        <v>http://www.broadinstitute.org/gsea/msigdb/cards/GSE17721_0.5H_VS_24H_CPG_BMDC_UP.html</v>
      </c>
    </row>
    <row r="728" spans="1:13">
      <c r="A728">
        <v>757</v>
      </c>
      <c r="B728" t="s">
        <v>2085</v>
      </c>
      <c r="C728">
        <v>6</v>
      </c>
      <c r="D728">
        <v>146</v>
      </c>
      <c r="E728">
        <v>200</v>
      </c>
      <c r="F728">
        <v>32441</v>
      </c>
      <c r="G728">
        <v>6.6659589041095897</v>
      </c>
      <c r="H728">
        <v>3.4519085179478498E-4</v>
      </c>
      <c r="I728" t="s">
        <v>2086</v>
      </c>
      <c r="J728" t="s">
        <v>2087</v>
      </c>
      <c r="K728">
        <v>4.5330723179088702E-3</v>
      </c>
      <c r="L728" t="s">
        <v>1178</v>
      </c>
      <c r="M728" t="str">
        <f>HYPERLINK("http://www.broadinstitute.org/gsea/msigdb/cards/GSE17721_0.5H_VS_8H_GARDIQUIMOD_BMDC_UP.html")</f>
        <v>http://www.broadinstitute.org/gsea/msigdb/cards/GSE17721_0.5H_VS_8H_GARDIQUIMOD_BMDC_UP.html</v>
      </c>
    </row>
    <row r="729" spans="1:13">
      <c r="A729">
        <v>774</v>
      </c>
      <c r="B729" t="s">
        <v>2088</v>
      </c>
      <c r="C729">
        <v>6</v>
      </c>
      <c r="D729">
        <v>146</v>
      </c>
      <c r="E729">
        <v>200</v>
      </c>
      <c r="F729">
        <v>32441</v>
      </c>
      <c r="G729">
        <v>6.6659589041095897</v>
      </c>
      <c r="H729">
        <v>3.4519085179478498E-4</v>
      </c>
      <c r="I729" t="s">
        <v>2089</v>
      </c>
      <c r="J729" t="s">
        <v>2090</v>
      </c>
      <c r="K729">
        <v>4.5330723179088702E-3</v>
      </c>
      <c r="L729" t="s">
        <v>1178</v>
      </c>
      <c r="M729" t="str">
        <f>HYPERLINK("http://www.broadinstitute.org/gsea/msigdb/cards/GSE17974_0H_VS_6H_IN_VITRO_ACT_CD4_TCELL_DN.html")</f>
        <v>http://www.broadinstitute.org/gsea/msigdb/cards/GSE17974_0H_VS_6H_IN_VITRO_ACT_CD4_TCELL_DN.html</v>
      </c>
    </row>
    <row r="730" spans="1:13">
      <c r="A730">
        <v>889</v>
      </c>
      <c r="B730" t="s">
        <v>2091</v>
      </c>
      <c r="C730">
        <v>6</v>
      </c>
      <c r="D730">
        <v>146</v>
      </c>
      <c r="E730">
        <v>200</v>
      </c>
      <c r="F730">
        <v>32441</v>
      </c>
      <c r="G730">
        <v>6.6659589041095897</v>
      </c>
      <c r="H730">
        <v>3.4519085179478498E-4</v>
      </c>
      <c r="I730" t="s">
        <v>2092</v>
      </c>
      <c r="J730" t="s">
        <v>2093</v>
      </c>
      <c r="K730">
        <v>4.5330723179088702E-3</v>
      </c>
      <c r="L730" t="s">
        <v>1178</v>
      </c>
      <c r="M730" t="str">
        <f>HYPERLINK("http://www.broadinstitute.org/gsea/msigdb/cards/GSE20366_CD103_KLRG1_DP_VS_DN_TREG_UP.html")</f>
        <v>http://www.broadinstitute.org/gsea/msigdb/cards/GSE20366_CD103_KLRG1_DP_VS_DN_TREG_UP.html</v>
      </c>
    </row>
    <row r="731" spans="1:13">
      <c r="A731">
        <v>933</v>
      </c>
      <c r="B731" t="s">
        <v>2094</v>
      </c>
      <c r="C731">
        <v>6</v>
      </c>
      <c r="D731">
        <v>146</v>
      </c>
      <c r="E731">
        <v>200</v>
      </c>
      <c r="F731">
        <v>32441</v>
      </c>
      <c r="G731">
        <v>6.6659589041095897</v>
      </c>
      <c r="H731">
        <v>3.4519085179478498E-4</v>
      </c>
      <c r="I731" t="s">
        <v>2095</v>
      </c>
      <c r="J731" t="s">
        <v>2096</v>
      </c>
      <c r="K731">
        <v>4.5330723179088702E-3</v>
      </c>
      <c r="L731" t="s">
        <v>1178</v>
      </c>
      <c r="M731" t="str">
        <f>HYPERLINK("http://www.broadinstitute.org/gsea/msigdb/cards/GSE22886_NAIVE_CD8_TCELL_VS_NKCELL_UP.html")</f>
        <v>http://www.broadinstitute.org/gsea/msigdb/cards/GSE22886_NAIVE_CD8_TCELL_VS_NKCELL_UP.html</v>
      </c>
    </row>
    <row r="732" spans="1:13">
      <c r="A732">
        <v>953</v>
      </c>
      <c r="B732" t="s">
        <v>2097</v>
      </c>
      <c r="C732">
        <v>6</v>
      </c>
      <c r="D732">
        <v>146</v>
      </c>
      <c r="E732">
        <v>200</v>
      </c>
      <c r="F732">
        <v>32441</v>
      </c>
      <c r="G732">
        <v>6.6659589041095897</v>
      </c>
      <c r="H732">
        <v>3.4519085179478498E-4</v>
      </c>
      <c r="I732" t="s">
        <v>2098</v>
      </c>
      <c r="J732" t="s">
        <v>2099</v>
      </c>
      <c r="K732">
        <v>4.5330723179088702E-3</v>
      </c>
      <c r="L732" t="s">
        <v>1178</v>
      </c>
      <c r="M732" t="str">
        <f>HYPERLINK("http://www.broadinstitute.org/gsea/msigdb/cards/GSE22886_IGG_IGA_MEMORY_BCELL_VS_BLOOD_PLASMA_CELL_UP.html")</f>
        <v>http://www.broadinstitute.org/gsea/msigdb/cards/GSE22886_IGG_IGA_MEMORY_BCELL_VS_BLOOD_PLASMA_CELL_UP.html</v>
      </c>
    </row>
    <row r="733" spans="1:13">
      <c r="A733">
        <v>955</v>
      </c>
      <c r="B733" t="s">
        <v>2100</v>
      </c>
      <c r="C733">
        <v>6</v>
      </c>
      <c r="D733">
        <v>146</v>
      </c>
      <c r="E733">
        <v>200</v>
      </c>
      <c r="F733">
        <v>32441</v>
      </c>
      <c r="G733">
        <v>6.6659589041095897</v>
      </c>
      <c r="H733">
        <v>3.4519085179478498E-4</v>
      </c>
      <c r="I733" t="s">
        <v>2101</v>
      </c>
      <c r="J733" t="s">
        <v>2102</v>
      </c>
      <c r="K733">
        <v>4.5330723179088702E-3</v>
      </c>
      <c r="L733" t="s">
        <v>1178</v>
      </c>
      <c r="M733" t="str">
        <f>HYPERLINK("http://www.broadinstitute.org/gsea/msigdb/cards/GSE22886_IGG_IGA_MEMORY_BCELL_VS_BM_PLASMA_CELL_UP.html")</f>
        <v>http://www.broadinstitute.org/gsea/msigdb/cards/GSE22886_IGG_IGA_MEMORY_BCELL_VS_BM_PLASMA_CELL_UP.html</v>
      </c>
    </row>
    <row r="734" spans="1:13">
      <c r="A734">
        <v>985</v>
      </c>
      <c r="B734" t="s">
        <v>2103</v>
      </c>
      <c r="C734">
        <v>6</v>
      </c>
      <c r="D734">
        <v>146</v>
      </c>
      <c r="E734">
        <v>200</v>
      </c>
      <c r="F734">
        <v>32441</v>
      </c>
      <c r="G734">
        <v>6.6659589041095897</v>
      </c>
      <c r="H734">
        <v>3.4519085179478498E-4</v>
      </c>
      <c r="I734" t="s">
        <v>2104</v>
      </c>
      <c r="J734" t="s">
        <v>2105</v>
      </c>
      <c r="K734">
        <v>4.5330723179088702E-3</v>
      </c>
      <c r="L734" t="s">
        <v>1178</v>
      </c>
      <c r="M734" t="str">
        <f>HYPERLINK("http://www.broadinstitute.org/gsea/msigdb/cards/GSE22886_NAIVE_CD8_TCELL_VS_NEUTROPHIL_UP.html")</f>
        <v>http://www.broadinstitute.org/gsea/msigdb/cards/GSE22886_NAIVE_CD8_TCELL_VS_NEUTROPHIL_UP.html</v>
      </c>
    </row>
    <row r="735" spans="1:13">
      <c r="A735">
        <v>1005</v>
      </c>
      <c r="B735" t="s">
        <v>2106</v>
      </c>
      <c r="C735">
        <v>6</v>
      </c>
      <c r="D735">
        <v>146</v>
      </c>
      <c r="E735">
        <v>200</v>
      </c>
      <c r="F735">
        <v>32441</v>
      </c>
      <c r="G735">
        <v>6.6659589041095897</v>
      </c>
      <c r="H735">
        <v>3.4519085179478498E-4</v>
      </c>
      <c r="I735" t="s">
        <v>2107</v>
      </c>
      <c r="J735" t="s">
        <v>2108</v>
      </c>
      <c r="K735">
        <v>4.5330723179088702E-3</v>
      </c>
      <c r="L735" t="s">
        <v>1178</v>
      </c>
      <c r="M735" t="str">
        <f>HYPERLINK("http://www.broadinstitute.org/gsea/msigdb/cards/GSE22886_NAIVE_CD4_TCELL_VS_12H_ACT_TH1_UP.html")</f>
        <v>http://www.broadinstitute.org/gsea/msigdb/cards/GSE22886_NAIVE_CD4_TCELL_VS_12H_ACT_TH1_UP.html</v>
      </c>
    </row>
    <row r="736" spans="1:13">
      <c r="A736">
        <v>1047</v>
      </c>
      <c r="B736" t="s">
        <v>2109</v>
      </c>
      <c r="C736">
        <v>6</v>
      </c>
      <c r="D736">
        <v>146</v>
      </c>
      <c r="E736">
        <v>200</v>
      </c>
      <c r="F736">
        <v>32441</v>
      </c>
      <c r="G736">
        <v>6.6659589041095897</v>
      </c>
      <c r="H736">
        <v>3.4519085179478498E-4</v>
      </c>
      <c r="I736" t="s">
        <v>2110</v>
      </c>
      <c r="J736" t="s">
        <v>2111</v>
      </c>
      <c r="K736">
        <v>4.5330723179088702E-3</v>
      </c>
      <c r="L736" t="s">
        <v>1178</v>
      </c>
      <c r="M736" t="str">
        <f>HYPERLINK("http://www.broadinstitute.org/gsea/msigdb/cards/GSE24634_NAIVE_CD4_TCELL_VS_DAY3_IL4_CONV_TREG_UP.html")</f>
        <v>http://www.broadinstitute.org/gsea/msigdb/cards/GSE24634_NAIVE_CD4_TCELL_VS_DAY3_IL4_CONV_TREG_UP.html</v>
      </c>
    </row>
    <row r="737" spans="1:13">
      <c r="A737">
        <v>1152</v>
      </c>
      <c r="B737" t="s">
        <v>2112</v>
      </c>
      <c r="C737">
        <v>6</v>
      </c>
      <c r="D737">
        <v>146</v>
      </c>
      <c r="E737">
        <v>200</v>
      </c>
      <c r="F737">
        <v>32441</v>
      </c>
      <c r="G737">
        <v>6.6659589041095897</v>
      </c>
      <c r="H737">
        <v>3.4519085179478498E-4</v>
      </c>
      <c r="I737" t="s">
        <v>2113</v>
      </c>
      <c r="J737" t="s">
        <v>2114</v>
      </c>
      <c r="K737">
        <v>4.5330723179088702E-3</v>
      </c>
      <c r="L737" t="s">
        <v>1178</v>
      </c>
      <c r="M737" t="str">
        <f>HYPERLINK("http://www.broadinstitute.org/gsea/msigdb/cards/GSE27786_LSK_VS_NKCELL_DN.html")</f>
        <v>http://www.broadinstitute.org/gsea/msigdb/cards/GSE27786_LSK_VS_NKCELL_DN.html</v>
      </c>
    </row>
    <row r="738" spans="1:13">
      <c r="A738">
        <v>1192</v>
      </c>
      <c r="B738" t="s">
        <v>2115</v>
      </c>
      <c r="C738">
        <v>6</v>
      </c>
      <c r="D738">
        <v>146</v>
      </c>
      <c r="E738">
        <v>200</v>
      </c>
      <c r="F738">
        <v>32441</v>
      </c>
      <c r="G738">
        <v>6.6659589041095897</v>
      </c>
      <c r="H738">
        <v>3.4519085179478498E-4</v>
      </c>
      <c r="I738" t="s">
        <v>2116</v>
      </c>
      <c r="J738" t="s">
        <v>2117</v>
      </c>
      <c r="K738">
        <v>4.5330723179088702E-3</v>
      </c>
      <c r="L738" t="s">
        <v>1178</v>
      </c>
      <c r="M738" t="str">
        <f>HYPERLINK("http://www.broadinstitute.org/gsea/msigdb/cards/GSE27786_CD4_VS_CD8_TCELL_DN.html")</f>
        <v>http://www.broadinstitute.org/gsea/msigdb/cards/GSE27786_CD4_VS_CD8_TCELL_DN.html</v>
      </c>
    </row>
    <row r="739" spans="1:13">
      <c r="A739">
        <v>1205</v>
      </c>
      <c r="B739" t="s">
        <v>2118</v>
      </c>
      <c r="C739">
        <v>6</v>
      </c>
      <c r="D739">
        <v>146</v>
      </c>
      <c r="E739">
        <v>200</v>
      </c>
      <c r="F739">
        <v>32441</v>
      </c>
      <c r="G739">
        <v>6.6659589041095897</v>
      </c>
      <c r="H739">
        <v>3.4519085179478498E-4</v>
      </c>
      <c r="I739" t="s">
        <v>2119</v>
      </c>
      <c r="J739" t="s">
        <v>2120</v>
      </c>
      <c r="K739">
        <v>4.5330723179088702E-3</v>
      </c>
      <c r="L739" t="s">
        <v>1178</v>
      </c>
      <c r="M739" t="str">
        <f>HYPERLINK("http://www.broadinstitute.org/gsea/msigdb/cards/GSE27786_CD8_TCELL_VS_NKTCELL_UP.html")</f>
        <v>http://www.broadinstitute.org/gsea/msigdb/cards/GSE27786_CD8_TCELL_VS_NKTCELL_UP.html</v>
      </c>
    </row>
    <row r="740" spans="1:13">
      <c r="A740">
        <v>12331</v>
      </c>
      <c r="B740" t="s">
        <v>2121</v>
      </c>
      <c r="C740">
        <v>6</v>
      </c>
      <c r="D740">
        <v>146</v>
      </c>
      <c r="E740">
        <v>200</v>
      </c>
      <c r="F740">
        <v>32441</v>
      </c>
      <c r="G740">
        <v>6.6659589041095897</v>
      </c>
      <c r="H740">
        <v>3.4519085179478498E-4</v>
      </c>
      <c r="I740" t="s">
        <v>2122</v>
      </c>
      <c r="J740" t="s">
        <v>2123</v>
      </c>
      <c r="K740">
        <v>4.5330723179088702E-3</v>
      </c>
      <c r="L740" t="s">
        <v>1178</v>
      </c>
      <c r="M740" t="str">
        <f>HYPERLINK("http://www.broadinstitute.org/gsea/msigdb/cards/GSE28237_FOLLICULAR_VS_EARLY_GC_BCELL_UP.html")</f>
        <v>http://www.broadinstitute.org/gsea/msigdb/cards/GSE28237_FOLLICULAR_VS_EARLY_GC_BCELL_UP.html</v>
      </c>
    </row>
    <row r="741" spans="1:13">
      <c r="A741">
        <v>1319</v>
      </c>
      <c r="B741" t="s">
        <v>2124</v>
      </c>
      <c r="C741">
        <v>6</v>
      </c>
      <c r="D741">
        <v>146</v>
      </c>
      <c r="E741">
        <v>200</v>
      </c>
      <c r="F741">
        <v>32441</v>
      </c>
      <c r="G741">
        <v>6.6659589041095897</v>
      </c>
      <c r="H741">
        <v>3.4519085179478498E-4</v>
      </c>
      <c r="I741" t="s">
        <v>2125</v>
      </c>
      <c r="J741" t="s">
        <v>2126</v>
      </c>
      <c r="K741">
        <v>4.5330723179088702E-3</v>
      </c>
      <c r="L741" t="s">
        <v>1178</v>
      </c>
      <c r="M741" t="str">
        <f>HYPERLINK("http://www.broadinstitute.org/gsea/msigdb/cards/GSE29618_LAIV_VS_TIV_FLU_VACCINE_DAY7_MONOCYTE_UP.html")</f>
        <v>http://www.broadinstitute.org/gsea/msigdb/cards/GSE29618_LAIV_VS_TIV_FLU_VACCINE_DAY7_MONOCYTE_UP.html</v>
      </c>
    </row>
    <row r="742" spans="1:13">
      <c r="A742">
        <v>1345</v>
      </c>
      <c r="B742" t="s">
        <v>2127</v>
      </c>
      <c r="C742">
        <v>6</v>
      </c>
      <c r="D742">
        <v>146</v>
      </c>
      <c r="E742">
        <v>200</v>
      </c>
      <c r="F742">
        <v>32441</v>
      </c>
      <c r="G742">
        <v>6.6659589041095897</v>
      </c>
      <c r="H742">
        <v>3.4519085179478498E-4</v>
      </c>
      <c r="I742" t="s">
        <v>2128</v>
      </c>
      <c r="J742" t="s">
        <v>2129</v>
      </c>
      <c r="K742">
        <v>4.5330723179088702E-3</v>
      </c>
      <c r="L742" t="s">
        <v>1178</v>
      </c>
      <c r="M742" t="str">
        <f>HYPERLINK("http://www.broadinstitute.org/gsea/msigdb/cards/GSE31082_DN_VS_DP_THYMOCYTE_UP.html")</f>
        <v>http://www.broadinstitute.org/gsea/msigdb/cards/GSE31082_DN_VS_DP_THYMOCYTE_UP.html</v>
      </c>
    </row>
    <row r="743" spans="1:13">
      <c r="A743">
        <v>1400</v>
      </c>
      <c r="B743" t="s">
        <v>2130</v>
      </c>
      <c r="C743">
        <v>6</v>
      </c>
      <c r="D743">
        <v>146</v>
      </c>
      <c r="E743">
        <v>200</v>
      </c>
      <c r="F743">
        <v>32441</v>
      </c>
      <c r="G743">
        <v>6.6659589041095897</v>
      </c>
      <c r="H743">
        <v>3.4519085179478498E-4</v>
      </c>
      <c r="I743" t="s">
        <v>2131</v>
      </c>
      <c r="J743" t="s">
        <v>2132</v>
      </c>
      <c r="K743">
        <v>4.5330723179088702E-3</v>
      </c>
      <c r="L743" t="s">
        <v>1178</v>
      </c>
      <c r="M743" t="str">
        <f>HYPERLINK("http://www.broadinstitute.org/gsea/msigdb/cards/GSE339_EX_VIVO_VS_IN_CULTURE_CD4CD8DN_DC_DN.html")</f>
        <v>http://www.broadinstitute.org/gsea/msigdb/cards/GSE339_EX_VIVO_VS_IN_CULTURE_CD4CD8DN_DC_DN.html</v>
      </c>
    </row>
    <row r="744" spans="1:13">
      <c r="A744">
        <v>1407</v>
      </c>
      <c r="B744" t="s">
        <v>2133</v>
      </c>
      <c r="C744">
        <v>6</v>
      </c>
      <c r="D744">
        <v>146</v>
      </c>
      <c r="E744">
        <v>200</v>
      </c>
      <c r="F744">
        <v>32441</v>
      </c>
      <c r="G744">
        <v>6.6659589041095897</v>
      </c>
      <c r="H744">
        <v>3.4519085179478498E-4</v>
      </c>
      <c r="I744" t="s">
        <v>2134</v>
      </c>
      <c r="J744" t="s">
        <v>2135</v>
      </c>
      <c r="K744">
        <v>4.5330723179088702E-3</v>
      </c>
      <c r="L744" t="s">
        <v>1178</v>
      </c>
      <c r="M744" t="str">
        <f>HYPERLINK("http://www.broadinstitute.org/gsea/msigdb/cards/GSE360_CTRL_VS_L_DONOVANI_DC_UP.html")</f>
        <v>http://www.broadinstitute.org/gsea/msigdb/cards/GSE360_CTRL_VS_L_DONOVANI_DC_UP.html</v>
      </c>
    </row>
    <row r="745" spans="1:13">
      <c r="A745">
        <v>1429</v>
      </c>
      <c r="B745" t="s">
        <v>2136</v>
      </c>
      <c r="C745">
        <v>6</v>
      </c>
      <c r="D745">
        <v>146</v>
      </c>
      <c r="E745">
        <v>200</v>
      </c>
      <c r="F745">
        <v>32441</v>
      </c>
      <c r="G745">
        <v>6.6659589041095897</v>
      </c>
      <c r="H745">
        <v>3.4519085179478498E-4</v>
      </c>
      <c r="I745" t="s">
        <v>2137</v>
      </c>
      <c r="J745" t="s">
        <v>2138</v>
      </c>
      <c r="K745">
        <v>4.5330723179088702E-3</v>
      </c>
      <c r="L745" t="s">
        <v>1178</v>
      </c>
      <c r="M745" t="str">
        <f>HYPERLINK("http://www.broadinstitute.org/gsea/msigdb/cards/GSE360_CTRL_VS_M_TUBERCULOSIS_MAC_UP.html")</f>
        <v>http://www.broadinstitute.org/gsea/msigdb/cards/GSE360_CTRL_VS_M_TUBERCULOSIS_MAC_UP.html</v>
      </c>
    </row>
    <row r="746" spans="1:13">
      <c r="A746">
        <v>1432</v>
      </c>
      <c r="B746" t="s">
        <v>2139</v>
      </c>
      <c r="C746">
        <v>6</v>
      </c>
      <c r="D746">
        <v>146</v>
      </c>
      <c r="E746">
        <v>200</v>
      </c>
      <c r="F746">
        <v>32441</v>
      </c>
      <c r="G746">
        <v>6.6659589041095897</v>
      </c>
      <c r="H746">
        <v>3.4519085179478498E-4</v>
      </c>
      <c r="I746" t="s">
        <v>2140</v>
      </c>
      <c r="J746" t="s">
        <v>2141</v>
      </c>
      <c r="K746">
        <v>4.5330723179088702E-3</v>
      </c>
      <c r="L746" t="s">
        <v>1178</v>
      </c>
      <c r="M746" t="str">
        <f>HYPERLINK("http://www.broadinstitute.org/gsea/msigdb/cards/GSE360_DC_VS_MAC_DN.html")</f>
        <v>http://www.broadinstitute.org/gsea/msigdb/cards/GSE360_DC_VS_MAC_DN.html</v>
      </c>
    </row>
    <row r="747" spans="1:13">
      <c r="A747">
        <v>1488</v>
      </c>
      <c r="B747" t="s">
        <v>2142</v>
      </c>
      <c r="C747">
        <v>6</v>
      </c>
      <c r="D747">
        <v>146</v>
      </c>
      <c r="E747">
        <v>200</v>
      </c>
      <c r="F747">
        <v>32441</v>
      </c>
      <c r="G747">
        <v>6.6659589041095897</v>
      </c>
      <c r="H747">
        <v>3.4519085179478498E-4</v>
      </c>
      <c r="I747" t="s">
        <v>2143</v>
      </c>
      <c r="J747" t="s">
        <v>2144</v>
      </c>
      <c r="K747">
        <v>4.5330723179088702E-3</v>
      </c>
      <c r="L747" t="s">
        <v>1178</v>
      </c>
      <c r="M747" t="str">
        <f>HYPERLINK("http://www.broadinstitute.org/gsea/msigdb/cards/GSE360_L_MAJOR_VS_B_MALAYI_HIGH_DOSE_MAC_DN.html")</f>
        <v>http://www.broadinstitute.org/gsea/msigdb/cards/GSE360_L_MAJOR_VS_B_MALAYI_HIGH_DOSE_MAC_DN.html</v>
      </c>
    </row>
    <row r="748" spans="1:13">
      <c r="A748">
        <v>1499</v>
      </c>
      <c r="B748" t="s">
        <v>2145</v>
      </c>
      <c r="C748">
        <v>6</v>
      </c>
      <c r="D748">
        <v>146</v>
      </c>
      <c r="E748">
        <v>200</v>
      </c>
      <c r="F748">
        <v>32441</v>
      </c>
      <c r="G748">
        <v>6.6659589041095897</v>
      </c>
      <c r="H748">
        <v>3.4519085179478498E-4</v>
      </c>
      <c r="I748" t="s">
        <v>2146</v>
      </c>
      <c r="J748" t="s">
        <v>2147</v>
      </c>
      <c r="K748">
        <v>4.5330723179088702E-3</v>
      </c>
      <c r="L748" t="s">
        <v>1178</v>
      </c>
      <c r="M748" t="str">
        <f>HYPERLINK("http://www.broadinstitute.org/gsea/msigdb/cards/GSE360_HIGH_VS_LOW_DOSE_B_MALAYI_MAC_UP.html")</f>
        <v>http://www.broadinstitute.org/gsea/msigdb/cards/GSE360_HIGH_VS_LOW_DOSE_B_MALAYI_MAC_UP.html</v>
      </c>
    </row>
    <row r="749" spans="1:13">
      <c r="A749">
        <v>1510</v>
      </c>
      <c r="B749" t="s">
        <v>2148</v>
      </c>
      <c r="C749">
        <v>6</v>
      </c>
      <c r="D749">
        <v>146</v>
      </c>
      <c r="E749">
        <v>200</v>
      </c>
      <c r="F749">
        <v>32441</v>
      </c>
      <c r="G749">
        <v>6.6659589041095897</v>
      </c>
      <c r="H749">
        <v>3.4519085179478498E-4</v>
      </c>
      <c r="I749" t="s">
        <v>2149</v>
      </c>
      <c r="J749" t="s">
        <v>2150</v>
      </c>
      <c r="K749">
        <v>4.5330723179088702E-3</v>
      </c>
      <c r="L749" t="s">
        <v>1178</v>
      </c>
      <c r="M749" t="str">
        <f>HYPERLINK("http://www.broadinstitute.org/gsea/msigdb/cards/GSE36392_TYPE_2_MYELOID_VS_NEUTROPHIL_IL25_TREATED_LUNG_DN.html")</f>
        <v>http://www.broadinstitute.org/gsea/msigdb/cards/GSE36392_TYPE_2_MYELOID_VS_NEUTROPHIL_IL25_TREATED_LUNG_DN.html</v>
      </c>
    </row>
    <row r="750" spans="1:13">
      <c r="A750">
        <v>1529</v>
      </c>
      <c r="B750" t="s">
        <v>2151</v>
      </c>
      <c r="C750">
        <v>6</v>
      </c>
      <c r="D750">
        <v>146</v>
      </c>
      <c r="E750">
        <v>200</v>
      </c>
      <c r="F750">
        <v>32441</v>
      </c>
      <c r="G750">
        <v>6.6659589041095897</v>
      </c>
      <c r="H750">
        <v>3.4519085179478498E-4</v>
      </c>
      <c r="I750" t="s">
        <v>2152</v>
      </c>
      <c r="J750" t="s">
        <v>2153</v>
      </c>
      <c r="K750">
        <v>4.5330723179088702E-3</v>
      </c>
      <c r="L750" t="s">
        <v>1178</v>
      </c>
      <c r="M750" t="str">
        <f>HYPERLINK("http://www.broadinstitute.org/gsea/msigdb/cards/GSE36476_YOUNG_VS_OLD_DONOR_MEMORY_CD4_TCELL_UP.html")</f>
        <v>http://www.broadinstitute.org/gsea/msigdb/cards/GSE36476_YOUNG_VS_OLD_DONOR_MEMORY_CD4_TCELL_UP.html</v>
      </c>
    </row>
    <row r="751" spans="1:13">
      <c r="A751">
        <v>1548</v>
      </c>
      <c r="B751" t="s">
        <v>2154</v>
      </c>
      <c r="C751">
        <v>6</v>
      </c>
      <c r="D751">
        <v>146</v>
      </c>
      <c r="E751">
        <v>200</v>
      </c>
      <c r="F751">
        <v>32441</v>
      </c>
      <c r="G751">
        <v>6.6659589041095897</v>
      </c>
      <c r="H751">
        <v>3.4519085179478498E-4</v>
      </c>
      <c r="I751" t="s">
        <v>2155</v>
      </c>
      <c r="J751" t="s">
        <v>2156</v>
      </c>
      <c r="K751">
        <v>4.5330723179088702E-3</v>
      </c>
      <c r="L751" t="s">
        <v>1178</v>
      </c>
      <c r="M751" t="str">
        <f>HYPERLINK("http://www.broadinstitute.org/gsea/msigdb/cards/GSE37416_CTRL_VS_48H_F_TULARENSIS_LVS_NEUTROPHIL_DN.html")</f>
        <v>http://www.broadinstitute.org/gsea/msigdb/cards/GSE37416_CTRL_VS_48H_F_TULARENSIS_LVS_NEUTROPHIL_DN.html</v>
      </c>
    </row>
    <row r="752" spans="1:13">
      <c r="A752">
        <v>1581</v>
      </c>
      <c r="B752" t="s">
        <v>2157</v>
      </c>
      <c r="C752">
        <v>6</v>
      </c>
      <c r="D752">
        <v>146</v>
      </c>
      <c r="E752">
        <v>200</v>
      </c>
      <c r="F752">
        <v>32441</v>
      </c>
      <c r="G752">
        <v>6.6659589041095897</v>
      </c>
      <c r="H752">
        <v>3.4519085179478498E-4</v>
      </c>
      <c r="I752" t="s">
        <v>2158</v>
      </c>
      <c r="J752" t="s">
        <v>2159</v>
      </c>
      <c r="K752">
        <v>4.5330723179088702E-3</v>
      </c>
      <c r="L752" t="s">
        <v>1178</v>
      </c>
      <c r="M752" t="str">
        <f>HYPERLINK("http://www.broadinstitute.org/gsea/msigdb/cards/GSE3982_DC_VS_NEUTROPHIL_LPS_STIM_UP.html")</f>
        <v>http://www.broadinstitute.org/gsea/msigdb/cards/GSE3982_DC_VS_NEUTROPHIL_LPS_STIM_UP.html</v>
      </c>
    </row>
    <row r="753" spans="1:13">
      <c r="A753">
        <v>1598</v>
      </c>
      <c r="B753" t="s">
        <v>2160</v>
      </c>
      <c r="C753">
        <v>6</v>
      </c>
      <c r="D753">
        <v>146</v>
      </c>
      <c r="E753">
        <v>200</v>
      </c>
      <c r="F753">
        <v>32441</v>
      </c>
      <c r="G753">
        <v>6.6659589041095897</v>
      </c>
      <c r="H753">
        <v>3.4519085179478498E-4</v>
      </c>
      <c r="I753" t="s">
        <v>2161</v>
      </c>
      <c r="J753" t="s">
        <v>2162</v>
      </c>
      <c r="K753">
        <v>4.5330723179088702E-3</v>
      </c>
      <c r="L753" t="s">
        <v>1178</v>
      </c>
      <c r="M753" t="str">
        <f>HYPERLINK("http://www.broadinstitute.org/gsea/msigdb/cards/GSE3982_EOSINOPHIL_VS_EFF_MEMORY_CD4_TCELL_DN.html")</f>
        <v>http://www.broadinstitute.org/gsea/msigdb/cards/GSE3982_EOSINOPHIL_VS_EFF_MEMORY_CD4_TCELL_DN.html</v>
      </c>
    </row>
    <row r="754" spans="1:13">
      <c r="A754">
        <v>16091</v>
      </c>
      <c r="B754" t="s">
        <v>2163</v>
      </c>
      <c r="C754">
        <v>6</v>
      </c>
      <c r="D754">
        <v>146</v>
      </c>
      <c r="E754">
        <v>200</v>
      </c>
      <c r="F754">
        <v>32441</v>
      </c>
      <c r="G754">
        <v>6.6659589041095897</v>
      </c>
      <c r="H754">
        <v>3.4519085179478498E-4</v>
      </c>
      <c r="I754" t="s">
        <v>2164</v>
      </c>
      <c r="J754" t="s">
        <v>2165</v>
      </c>
      <c r="K754">
        <v>4.5330723179088702E-3</v>
      </c>
      <c r="L754" t="s">
        <v>1178</v>
      </c>
      <c r="M754" t="str">
        <f>HYPERLINK("http://www.broadinstitute.org/gsea/msigdb/cards/GSE3982_MAST_CELL_VS_MAC_UP.html")</f>
        <v>http://www.broadinstitute.org/gsea/msigdb/cards/GSE3982_MAST_CELL_VS_MAC_UP.html</v>
      </c>
    </row>
    <row r="755" spans="1:13">
      <c r="A755">
        <v>1611</v>
      </c>
      <c r="B755" t="s">
        <v>2166</v>
      </c>
      <c r="C755">
        <v>6</v>
      </c>
      <c r="D755">
        <v>146</v>
      </c>
      <c r="E755">
        <v>199</v>
      </c>
      <c r="F755">
        <v>32441</v>
      </c>
      <c r="G755">
        <v>6.6994561850347596</v>
      </c>
      <c r="H755">
        <v>3.3636164066729702E-4</v>
      </c>
      <c r="I755" t="s">
        <v>2167</v>
      </c>
      <c r="J755" t="s">
        <v>2168</v>
      </c>
      <c r="K755">
        <v>4.5330723179088702E-3</v>
      </c>
      <c r="L755" t="s">
        <v>1178</v>
      </c>
      <c r="M755" t="str">
        <f>HYPERLINK("http://www.broadinstitute.org/gsea/msigdb/cards/GSE3982_MAST_CELL_VS_NEUTROPHIL_UP.html")</f>
        <v>http://www.broadinstitute.org/gsea/msigdb/cards/GSE3982_MAST_CELL_VS_NEUTROPHIL_UP.html</v>
      </c>
    </row>
    <row r="756" spans="1:13">
      <c r="A756">
        <v>1638</v>
      </c>
      <c r="B756" t="s">
        <v>2169</v>
      </c>
      <c r="C756">
        <v>6</v>
      </c>
      <c r="D756">
        <v>146</v>
      </c>
      <c r="E756">
        <v>200</v>
      </c>
      <c r="F756">
        <v>32441</v>
      </c>
      <c r="G756">
        <v>6.6659589041095897</v>
      </c>
      <c r="H756">
        <v>3.4519085179478498E-4</v>
      </c>
      <c r="I756" t="s">
        <v>2170</v>
      </c>
      <c r="J756" t="s">
        <v>2171</v>
      </c>
      <c r="K756">
        <v>4.5330723179088702E-3</v>
      </c>
      <c r="L756" t="s">
        <v>1178</v>
      </c>
      <c r="M756" t="str">
        <f>HYPERLINK("http://www.broadinstitute.org/gsea/msigdb/cards/GSE3982_DC_VS_CENT_MEMORY_CD4_TCELL_DN.html")</f>
        <v>http://www.broadinstitute.org/gsea/msigdb/cards/GSE3982_DC_VS_CENT_MEMORY_CD4_TCELL_DN.html</v>
      </c>
    </row>
    <row r="757" spans="1:13">
      <c r="A757">
        <v>1650</v>
      </c>
      <c r="B757" t="s">
        <v>2172</v>
      </c>
      <c r="C757">
        <v>6</v>
      </c>
      <c r="D757">
        <v>146</v>
      </c>
      <c r="E757">
        <v>200</v>
      </c>
      <c r="F757">
        <v>32441</v>
      </c>
      <c r="G757">
        <v>6.6659589041095897</v>
      </c>
      <c r="H757">
        <v>3.4519085179478498E-4</v>
      </c>
      <c r="I757" t="s">
        <v>2173</v>
      </c>
      <c r="J757" t="s">
        <v>2174</v>
      </c>
      <c r="K757">
        <v>4.5330723179088702E-3</v>
      </c>
      <c r="L757" t="s">
        <v>1178</v>
      </c>
      <c r="M757" t="str">
        <f>HYPERLINK("http://www.broadinstitute.org/gsea/msigdb/cards/GSE3982_MAC_VS_BASOPHIL_DN.html")</f>
        <v>http://www.broadinstitute.org/gsea/msigdb/cards/GSE3982_MAC_VS_BASOPHIL_DN.html</v>
      </c>
    </row>
    <row r="758" spans="1:13">
      <c r="A758">
        <v>1672</v>
      </c>
      <c r="B758" t="s">
        <v>2175</v>
      </c>
      <c r="C758">
        <v>6</v>
      </c>
      <c r="D758">
        <v>146</v>
      </c>
      <c r="E758">
        <v>200</v>
      </c>
      <c r="F758">
        <v>32441</v>
      </c>
      <c r="G758">
        <v>6.6659589041095897</v>
      </c>
      <c r="H758">
        <v>3.4519085179478498E-4</v>
      </c>
      <c r="I758" t="s">
        <v>2176</v>
      </c>
      <c r="J758" t="s">
        <v>2177</v>
      </c>
      <c r="K758">
        <v>4.5330723179088702E-3</v>
      </c>
      <c r="L758" t="s">
        <v>1178</v>
      </c>
      <c r="M758" t="str">
        <f>HYPERLINK("http://www.broadinstitute.org/gsea/msigdb/cards/GSE3982_NEUTROPHIL_VS_TH1_DN.html")</f>
        <v>http://www.broadinstitute.org/gsea/msigdb/cards/GSE3982_NEUTROPHIL_VS_TH1_DN.html</v>
      </c>
    </row>
    <row r="759" spans="1:13">
      <c r="A759">
        <v>1674</v>
      </c>
      <c r="B759" t="s">
        <v>2178</v>
      </c>
      <c r="C759">
        <v>6</v>
      </c>
      <c r="D759">
        <v>146</v>
      </c>
      <c r="E759">
        <v>200</v>
      </c>
      <c r="F759">
        <v>32441</v>
      </c>
      <c r="G759">
        <v>6.6659589041095897</v>
      </c>
      <c r="H759">
        <v>3.4519085179478498E-4</v>
      </c>
      <c r="I759" t="s">
        <v>2179</v>
      </c>
      <c r="J759" t="s">
        <v>2180</v>
      </c>
      <c r="K759">
        <v>4.5330723179088702E-3</v>
      </c>
      <c r="L759" t="s">
        <v>1178</v>
      </c>
      <c r="M759" t="str">
        <f>HYPERLINK("http://www.broadinstitute.org/gsea/msigdb/cards/GSE3982_NEUTROPHIL_VS_TH2_DN.html")</f>
        <v>http://www.broadinstitute.org/gsea/msigdb/cards/GSE3982_NEUTROPHIL_VS_TH2_DN.html</v>
      </c>
    </row>
    <row r="760" spans="1:13">
      <c r="A760">
        <v>1738</v>
      </c>
      <c r="B760" t="s">
        <v>2181</v>
      </c>
      <c r="C760">
        <v>6</v>
      </c>
      <c r="D760">
        <v>146</v>
      </c>
      <c r="E760">
        <v>200</v>
      </c>
      <c r="F760">
        <v>32441</v>
      </c>
      <c r="G760">
        <v>6.6659589041095897</v>
      </c>
      <c r="H760">
        <v>3.4519085179478498E-4</v>
      </c>
      <c r="I760" t="s">
        <v>2182</v>
      </c>
      <c r="J760" t="s">
        <v>2183</v>
      </c>
      <c r="K760">
        <v>4.5330723179088702E-3</v>
      </c>
      <c r="L760" t="s">
        <v>1178</v>
      </c>
      <c r="M760" t="str">
        <f>HYPERLINK("http://www.broadinstitute.org/gsea/msigdb/cards/GSE5463_CTRL_VS_DEXAMETHASONE_TREATED_THYMOCYTE_DN.html")</f>
        <v>http://www.broadinstitute.org/gsea/msigdb/cards/GSE5463_CTRL_VS_DEXAMETHASONE_TREATED_THYMOCYTE_DN.html</v>
      </c>
    </row>
    <row r="761" spans="1:13">
      <c r="A761">
        <v>1763</v>
      </c>
      <c r="B761" t="s">
        <v>2184</v>
      </c>
      <c r="C761">
        <v>6</v>
      </c>
      <c r="D761">
        <v>146</v>
      </c>
      <c r="E761">
        <v>200</v>
      </c>
      <c r="F761">
        <v>32441</v>
      </c>
      <c r="G761">
        <v>6.6659589041095897</v>
      </c>
      <c r="H761">
        <v>3.4519085179478498E-4</v>
      </c>
      <c r="I761" t="s">
        <v>2185</v>
      </c>
      <c r="J761" t="s">
        <v>2186</v>
      </c>
      <c r="K761">
        <v>4.5330723179088702E-3</v>
      </c>
      <c r="L761" t="s">
        <v>1178</v>
      </c>
      <c r="M761" t="str">
        <f>HYPERLINK("http://www.broadinstitute.org/gsea/msigdb/cards/GSE7400_CTRL_VS_CSF3_IN_VIVO_TREATED_PBMC_UP.html")</f>
        <v>http://www.broadinstitute.org/gsea/msigdb/cards/GSE7400_CTRL_VS_CSF3_IN_VIVO_TREATED_PBMC_UP.html</v>
      </c>
    </row>
    <row r="762" spans="1:13">
      <c r="A762">
        <v>1845</v>
      </c>
      <c r="B762" t="s">
        <v>2187</v>
      </c>
      <c r="C762">
        <v>6</v>
      </c>
      <c r="D762">
        <v>146</v>
      </c>
      <c r="E762">
        <v>200</v>
      </c>
      <c r="F762">
        <v>32441</v>
      </c>
      <c r="G762">
        <v>6.6659589041095897</v>
      </c>
      <c r="H762">
        <v>3.4519085179478498E-4</v>
      </c>
      <c r="I762" t="s">
        <v>2188</v>
      </c>
      <c r="J762" t="s">
        <v>2189</v>
      </c>
      <c r="K762">
        <v>4.5330723179088702E-3</v>
      </c>
      <c r="L762" t="s">
        <v>1178</v>
      </c>
      <c r="M762" t="str">
        <f>HYPERLINK("http://www.broadinstitute.org/gsea/msigdb/cards/GSE9006_HEALTHY_VS_TYPE_2_DIABETES_PBMC_AT_DX_UP.html")</f>
        <v>http://www.broadinstitute.org/gsea/msigdb/cards/GSE9006_HEALTHY_VS_TYPE_2_DIABETES_PBMC_AT_DX_UP.html</v>
      </c>
    </row>
    <row r="763" spans="1:13">
      <c r="A763">
        <v>1878</v>
      </c>
      <c r="B763" t="s">
        <v>2190</v>
      </c>
      <c r="C763">
        <v>6</v>
      </c>
      <c r="D763">
        <v>146</v>
      </c>
      <c r="E763">
        <v>200</v>
      </c>
      <c r="F763">
        <v>32441</v>
      </c>
      <c r="G763">
        <v>6.6659589041095897</v>
      </c>
      <c r="H763">
        <v>3.4519085179478498E-4</v>
      </c>
      <c r="I763" t="s">
        <v>2191</v>
      </c>
      <c r="J763" t="s">
        <v>2192</v>
      </c>
      <c r="K763">
        <v>4.5330723179088702E-3</v>
      </c>
      <c r="L763" t="s">
        <v>1178</v>
      </c>
      <c r="M763" t="str">
        <f>HYPERLINK("http://www.broadinstitute.org/gsea/msigdb/cards/GSE9650_EFFECTOR_VS_MEMORY_CD8_TCELL_DN.html")</f>
        <v>http://www.broadinstitute.org/gsea/msigdb/cards/GSE9650_EFFECTOR_VS_MEMORY_CD8_TCELL_DN.html</v>
      </c>
    </row>
    <row r="764" spans="1:13">
      <c r="A764">
        <v>2014</v>
      </c>
      <c r="B764" t="s">
        <v>2193</v>
      </c>
      <c r="C764">
        <v>6</v>
      </c>
      <c r="D764">
        <v>146</v>
      </c>
      <c r="E764">
        <v>199</v>
      </c>
      <c r="F764">
        <v>32441</v>
      </c>
      <c r="G764">
        <v>6.6994561850347596</v>
      </c>
      <c r="H764">
        <v>3.3636164066729702E-4</v>
      </c>
      <c r="I764" t="s">
        <v>2194</v>
      </c>
      <c r="J764" t="s">
        <v>2195</v>
      </c>
      <c r="K764">
        <v>4.5330723179088702E-3</v>
      </c>
      <c r="L764" t="s">
        <v>1178</v>
      </c>
      <c r="M764" t="str">
        <f>HYPERLINK("http://www.broadinstitute.org/gsea/msigdb/cards/GSE2770_TGFB_AND_IL4_VS_IL12_TREATED_ACT_CD4_TCELL_6H_DN.html")</f>
        <v>http://www.broadinstitute.org/gsea/msigdb/cards/GSE2770_TGFB_AND_IL4_VS_IL12_TREATED_ACT_CD4_TCELL_6H_DN.html</v>
      </c>
    </row>
    <row r="765" spans="1:13">
      <c r="A765">
        <v>2077</v>
      </c>
      <c r="B765" t="s">
        <v>2196</v>
      </c>
      <c r="C765">
        <v>6</v>
      </c>
      <c r="D765">
        <v>146</v>
      </c>
      <c r="E765">
        <v>200</v>
      </c>
      <c r="F765">
        <v>32441</v>
      </c>
      <c r="G765">
        <v>6.6659589041095897</v>
      </c>
      <c r="H765">
        <v>3.4519085179478498E-4</v>
      </c>
      <c r="I765" t="s">
        <v>2197</v>
      </c>
      <c r="J765" t="s">
        <v>2198</v>
      </c>
      <c r="K765">
        <v>4.5330723179088702E-3</v>
      </c>
      <c r="L765" t="s">
        <v>1178</v>
      </c>
      <c r="M765" t="str">
        <f>HYPERLINK("http://www.broadinstitute.org/gsea/msigdb/cards/GSE2405_HEAT_KILLED_VS_LIVE_A_PHAGOCYTOPHILUM_STIM_NEUTROPHIL_9H_UP.html")</f>
        <v>http://www.broadinstitute.org/gsea/msigdb/cards/GSE2405_HEAT_KILLED_VS_LIVE_A_PHAGOCYTOPHILUM_STIM_NEUTROPHIL_9H_UP.html</v>
      </c>
    </row>
    <row r="766" spans="1:13">
      <c r="A766">
        <v>2130</v>
      </c>
      <c r="B766" t="s">
        <v>2199</v>
      </c>
      <c r="C766">
        <v>6</v>
      </c>
      <c r="D766">
        <v>146</v>
      </c>
      <c r="E766">
        <v>200</v>
      </c>
      <c r="F766">
        <v>32441</v>
      </c>
      <c r="G766">
        <v>6.6659589041095897</v>
      </c>
      <c r="H766">
        <v>3.4519085179478498E-4</v>
      </c>
      <c r="I766" t="s">
        <v>2200</v>
      </c>
      <c r="J766" t="s">
        <v>2201</v>
      </c>
      <c r="K766">
        <v>4.5330723179088702E-3</v>
      </c>
      <c r="L766" t="s">
        <v>1178</v>
      </c>
      <c r="M766" t="str">
        <f>HYPERLINK("http://www.broadinstitute.org/gsea/msigdb/cards/GSE2585_CTEC_VS_MTEC_THYMUS_UP.html")</f>
        <v>http://www.broadinstitute.org/gsea/msigdb/cards/GSE2585_CTEC_VS_MTEC_THYMUS_UP.html</v>
      </c>
    </row>
    <row r="767" spans="1:13">
      <c r="A767">
        <v>2134</v>
      </c>
      <c r="B767" t="s">
        <v>2202</v>
      </c>
      <c r="C767">
        <v>6</v>
      </c>
      <c r="D767">
        <v>146</v>
      </c>
      <c r="E767">
        <v>200</v>
      </c>
      <c r="F767">
        <v>32441</v>
      </c>
      <c r="G767">
        <v>6.6659589041095897</v>
      </c>
      <c r="H767">
        <v>3.4519085179478498E-4</v>
      </c>
      <c r="I767" t="s">
        <v>2203</v>
      </c>
      <c r="J767" t="s">
        <v>2204</v>
      </c>
      <c r="K767">
        <v>4.5330723179088702E-3</v>
      </c>
      <c r="L767" t="s">
        <v>1178</v>
      </c>
      <c r="M767" t="str">
        <f>HYPERLINK("http://www.broadinstitute.org/gsea/msigdb/cards/GSE2585_AIRE_KO_VS_WT_CD80_LOW_MTEC_DN.html")</f>
        <v>http://www.broadinstitute.org/gsea/msigdb/cards/GSE2585_AIRE_KO_VS_WT_CD80_LOW_MTEC_DN.html</v>
      </c>
    </row>
    <row r="768" spans="1:13">
      <c r="A768">
        <v>2160</v>
      </c>
      <c r="B768" t="s">
        <v>2205</v>
      </c>
      <c r="C768">
        <v>6</v>
      </c>
      <c r="D768">
        <v>146</v>
      </c>
      <c r="E768">
        <v>200</v>
      </c>
      <c r="F768">
        <v>32441</v>
      </c>
      <c r="G768">
        <v>6.6659589041095897</v>
      </c>
      <c r="H768">
        <v>3.4519085179478498E-4</v>
      </c>
      <c r="I768" t="s">
        <v>2206</v>
      </c>
      <c r="J768" t="s">
        <v>2207</v>
      </c>
      <c r="K768">
        <v>4.5330723179088702E-3</v>
      </c>
      <c r="L768" t="s">
        <v>1178</v>
      </c>
      <c r="M768" t="str">
        <f>HYPERLINK("http://www.broadinstitute.org/gsea/msigdb/cards/GSE1925_CTRL_VS_3H_IFNG_STIM_MACROPHAGE_UP.html")</f>
        <v>http://www.broadinstitute.org/gsea/msigdb/cards/GSE1925_CTRL_VS_3H_IFNG_STIM_MACROPHAGE_UP.html</v>
      </c>
    </row>
    <row r="769" spans="1:13">
      <c r="A769">
        <v>2269</v>
      </c>
      <c r="B769" t="s">
        <v>2208</v>
      </c>
      <c r="C769">
        <v>6</v>
      </c>
      <c r="D769">
        <v>146</v>
      </c>
      <c r="E769">
        <v>200</v>
      </c>
      <c r="F769">
        <v>32441</v>
      </c>
      <c r="G769">
        <v>6.6659589041095897</v>
      </c>
      <c r="H769">
        <v>3.4519085179478498E-4</v>
      </c>
      <c r="I769" t="s">
        <v>2209</v>
      </c>
      <c r="J769" t="s">
        <v>2210</v>
      </c>
      <c r="K769">
        <v>4.5330723179088702E-3</v>
      </c>
      <c r="L769" t="s">
        <v>1178</v>
      </c>
      <c r="M769" t="str">
        <f>HYPERLINK("http://www.broadinstitute.org/gsea/msigdb/cards/GSE4748_CTRL_VS_CYANOBACTERIUM_LPSLIKE_STIM_DC_1H_UP.html")</f>
        <v>http://www.broadinstitute.org/gsea/msigdb/cards/GSE4748_CTRL_VS_CYANOBACTERIUM_LPSLIKE_STIM_DC_1H_UP.html</v>
      </c>
    </row>
    <row r="770" spans="1:13">
      <c r="A770">
        <v>2308</v>
      </c>
      <c r="B770" t="s">
        <v>2211</v>
      </c>
      <c r="C770">
        <v>6</v>
      </c>
      <c r="D770">
        <v>146</v>
      </c>
      <c r="E770">
        <v>200</v>
      </c>
      <c r="F770">
        <v>32441</v>
      </c>
      <c r="G770">
        <v>6.6659589041095897</v>
      </c>
      <c r="H770">
        <v>3.4519085179478498E-4</v>
      </c>
      <c r="I770" t="s">
        <v>2212</v>
      </c>
      <c r="J770" t="s">
        <v>2213</v>
      </c>
      <c r="K770">
        <v>4.5330723179088702E-3</v>
      </c>
      <c r="L770" t="s">
        <v>1178</v>
      </c>
      <c r="M770" t="str">
        <f>HYPERLINK("http://www.broadinstitute.org/gsea/msigdb/cards/GSE5542_IFNG_VS_IFNA_TREATED_EPITHELIAL_CELLS_6H_DN.html")</f>
        <v>http://www.broadinstitute.org/gsea/msigdb/cards/GSE5542_IFNG_VS_IFNA_TREATED_EPITHELIAL_CELLS_6H_DN.html</v>
      </c>
    </row>
    <row r="771" spans="1:13">
      <c r="A771">
        <v>2620</v>
      </c>
      <c r="B771" t="s">
        <v>2214</v>
      </c>
      <c r="C771">
        <v>6</v>
      </c>
      <c r="D771">
        <v>146</v>
      </c>
      <c r="E771">
        <v>200</v>
      </c>
      <c r="F771">
        <v>32441</v>
      </c>
      <c r="G771">
        <v>6.6659589041095897</v>
      </c>
      <c r="H771">
        <v>3.4519085179478498E-4</v>
      </c>
      <c r="I771" t="s">
        <v>2215</v>
      </c>
      <c r="J771" t="s">
        <v>2216</v>
      </c>
      <c r="K771">
        <v>4.5330723179088702E-3</v>
      </c>
      <c r="L771" t="s">
        <v>1178</v>
      </c>
      <c r="M771" t="str">
        <f>HYPERLINK("http://www.broadinstitute.org/gsea/msigdb/cards/GSE5503_LIVER_DC_VS_SPLEEN_DC_ACTIVATED_ALLOGENIC_TCELL_DN.html")</f>
        <v>http://www.broadinstitute.org/gsea/msigdb/cards/GSE5503_LIVER_DC_VS_SPLEEN_DC_ACTIVATED_ALLOGENIC_TCELL_DN.html</v>
      </c>
    </row>
    <row r="772" spans="1:13">
      <c r="A772">
        <v>2944</v>
      </c>
      <c r="B772" t="s">
        <v>2217</v>
      </c>
      <c r="C772">
        <v>6</v>
      </c>
      <c r="D772">
        <v>146</v>
      </c>
      <c r="E772">
        <v>200</v>
      </c>
      <c r="F772">
        <v>32441</v>
      </c>
      <c r="G772">
        <v>6.6659589041095897</v>
      </c>
      <c r="H772">
        <v>3.4519085179478498E-4</v>
      </c>
      <c r="I772" t="s">
        <v>2218</v>
      </c>
      <c r="J772" t="s">
        <v>2219</v>
      </c>
      <c r="K772">
        <v>4.5330723179088702E-3</v>
      </c>
      <c r="L772" t="s">
        <v>1178</v>
      </c>
      <c r="M772" t="str">
        <f>HYPERLINK("http://www.broadinstitute.org/gsea/msigdb/cards/GSE17186_NAIVE_VS_CD21HIGH_TRANSITIONAL_BCELL_CORD_BLOOD_DN.html")</f>
        <v>http://www.broadinstitute.org/gsea/msigdb/cards/GSE17186_NAIVE_VS_CD21HIGH_TRANSITIONAL_BCELL_CORD_BLOOD_DN.html</v>
      </c>
    </row>
    <row r="773" spans="1:13">
      <c r="A773">
        <v>2950</v>
      </c>
      <c r="B773" t="s">
        <v>2220</v>
      </c>
      <c r="C773">
        <v>6</v>
      </c>
      <c r="D773">
        <v>146</v>
      </c>
      <c r="E773">
        <v>200</v>
      </c>
      <c r="F773">
        <v>32441</v>
      </c>
      <c r="G773">
        <v>6.6659589041095897</v>
      </c>
      <c r="H773">
        <v>3.4519085179478498E-4</v>
      </c>
      <c r="I773" t="s">
        <v>2221</v>
      </c>
      <c r="J773" t="s">
        <v>2222</v>
      </c>
      <c r="K773">
        <v>4.5330723179088702E-3</v>
      </c>
      <c r="L773" t="s">
        <v>1178</v>
      </c>
      <c r="M773" t="str">
        <f>HYPERLINK("http://www.broadinstitute.org/gsea/msigdb/cards/GSE17186_NAIVE_VS_CD21LOW_TRANSITIONAL_BCELL_DN.html")</f>
        <v>http://www.broadinstitute.org/gsea/msigdb/cards/GSE17186_NAIVE_VS_CD21LOW_TRANSITIONAL_BCELL_DN.html</v>
      </c>
    </row>
    <row r="774" spans="1:13">
      <c r="A774">
        <v>29991</v>
      </c>
      <c r="B774" t="s">
        <v>2223</v>
      </c>
      <c r="C774">
        <v>6</v>
      </c>
      <c r="D774">
        <v>146</v>
      </c>
      <c r="E774">
        <v>200</v>
      </c>
      <c r="F774">
        <v>32441</v>
      </c>
      <c r="G774">
        <v>6.6659589041095897</v>
      </c>
      <c r="H774">
        <v>3.4519085179478498E-4</v>
      </c>
      <c r="I774" t="s">
        <v>2224</v>
      </c>
      <c r="J774" t="s">
        <v>2225</v>
      </c>
      <c r="K774">
        <v>4.5330723179088702E-3</v>
      </c>
      <c r="L774" t="s">
        <v>1178</v>
      </c>
      <c r="M774" t="str">
        <f>HYPERLINK("http://www.broadinstitute.org/gsea/msigdb/cards/GSE19923_WT_VS_E2A_KO_DP_THYMOCYTE_UP.html")</f>
        <v>http://www.broadinstitute.org/gsea/msigdb/cards/GSE19923_WT_VS_E2A_KO_DP_THYMOCYTE_UP.html</v>
      </c>
    </row>
    <row r="775" spans="1:13">
      <c r="A775">
        <v>3066</v>
      </c>
      <c r="B775" t="s">
        <v>2226</v>
      </c>
      <c r="C775">
        <v>6</v>
      </c>
      <c r="D775">
        <v>146</v>
      </c>
      <c r="E775">
        <v>200</v>
      </c>
      <c r="F775">
        <v>32441</v>
      </c>
      <c r="G775">
        <v>6.6659589041095897</v>
      </c>
      <c r="H775">
        <v>3.4519085179478498E-4</v>
      </c>
      <c r="I775" t="s">
        <v>2227</v>
      </c>
      <c r="J775" t="s">
        <v>2228</v>
      </c>
      <c r="K775">
        <v>4.5330723179088702E-3</v>
      </c>
      <c r="L775" t="s">
        <v>1178</v>
      </c>
      <c r="M775" t="str">
        <f>HYPERLINK("http://www.broadinstitute.org/gsea/msigdb/cards/GSE20198_IL12_VS_IFNA_TREATED_ACT_CD4_TCELL_UP.html")</f>
        <v>http://www.broadinstitute.org/gsea/msigdb/cards/GSE20198_IL12_VS_IFNA_TREATED_ACT_CD4_TCELL_UP.html</v>
      </c>
    </row>
    <row r="776" spans="1:13">
      <c r="A776">
        <v>3110</v>
      </c>
      <c r="B776" t="s">
        <v>2229</v>
      </c>
      <c r="C776">
        <v>6</v>
      </c>
      <c r="D776">
        <v>146</v>
      </c>
      <c r="E776">
        <v>200</v>
      </c>
      <c r="F776">
        <v>32441</v>
      </c>
      <c r="G776">
        <v>6.6659589041095897</v>
      </c>
      <c r="H776">
        <v>3.4519085179478498E-4</v>
      </c>
      <c r="I776" t="s">
        <v>2230</v>
      </c>
      <c r="J776" t="s">
        <v>2231</v>
      </c>
      <c r="K776">
        <v>4.5330723179088702E-3</v>
      </c>
      <c r="L776" t="s">
        <v>1178</v>
      </c>
      <c r="M776" t="str">
        <f>HYPERLINK("http://www.broadinstitute.org/gsea/msigdb/cards/GSE21670_UNTREATED_VS_TGFB_IL6_TREATED_STAT3_KO_CD4_TCELL_DN.html")</f>
        <v>http://www.broadinstitute.org/gsea/msigdb/cards/GSE21670_UNTREATED_VS_TGFB_IL6_TREATED_STAT3_KO_CD4_TCELL_DN.html</v>
      </c>
    </row>
    <row r="777" spans="1:13">
      <c r="A777">
        <v>3226</v>
      </c>
      <c r="B777" t="s">
        <v>2232</v>
      </c>
      <c r="C777">
        <v>6</v>
      </c>
      <c r="D777">
        <v>146</v>
      </c>
      <c r="E777">
        <v>200</v>
      </c>
      <c r="F777">
        <v>32441</v>
      </c>
      <c r="G777">
        <v>6.6659589041095897</v>
      </c>
      <c r="H777">
        <v>3.4519085179478498E-4</v>
      </c>
      <c r="I777" t="s">
        <v>2233</v>
      </c>
      <c r="J777" t="s">
        <v>2234</v>
      </c>
      <c r="K777">
        <v>4.5330723179088702E-3</v>
      </c>
      <c r="L777" t="s">
        <v>1178</v>
      </c>
      <c r="M777" t="str">
        <f>HYPERLINK("http://www.broadinstitute.org/gsea/msigdb/cards/GSE21360_SECONDARY_VS_TERTIARY_MEMORY_CD8_TCELL_UP.html")</f>
        <v>http://www.broadinstitute.org/gsea/msigdb/cards/GSE21360_SECONDARY_VS_TERTIARY_MEMORY_CD8_TCELL_UP.html</v>
      </c>
    </row>
    <row r="778" spans="1:13">
      <c r="A778">
        <v>32271</v>
      </c>
      <c r="B778" t="s">
        <v>2235</v>
      </c>
      <c r="C778">
        <v>6</v>
      </c>
      <c r="D778">
        <v>146</v>
      </c>
      <c r="E778">
        <v>200</v>
      </c>
      <c r="F778">
        <v>32441</v>
      </c>
      <c r="G778">
        <v>6.6659589041095897</v>
      </c>
      <c r="H778">
        <v>3.4519085179478498E-4</v>
      </c>
      <c r="I778" t="s">
        <v>2236</v>
      </c>
      <c r="J778" t="s">
        <v>2237</v>
      </c>
      <c r="K778">
        <v>4.5330723179088702E-3</v>
      </c>
      <c r="L778" t="s">
        <v>1178</v>
      </c>
      <c r="M778" t="str">
        <f>HYPERLINK("http://www.broadinstitute.org/gsea/msigdb/cards/GSE21360_NAIVE_VS_TERTIARY_MEMORY_CD8_TCELL_DN.html")</f>
        <v>http://www.broadinstitute.org/gsea/msigdb/cards/GSE21360_NAIVE_VS_TERTIARY_MEMORY_CD8_TCELL_DN.html</v>
      </c>
    </row>
    <row r="779" spans="1:13">
      <c r="A779">
        <v>33171</v>
      </c>
      <c r="B779" t="s">
        <v>2238</v>
      </c>
      <c r="C779">
        <v>6</v>
      </c>
      <c r="D779">
        <v>146</v>
      </c>
      <c r="E779">
        <v>200</v>
      </c>
      <c r="F779">
        <v>32441</v>
      </c>
      <c r="G779">
        <v>6.6659589041095897</v>
      </c>
      <c r="H779">
        <v>3.4519085179478498E-4</v>
      </c>
      <c r="I779" t="s">
        <v>2239</v>
      </c>
      <c r="J779" t="s">
        <v>2240</v>
      </c>
      <c r="K779">
        <v>4.5330723179088702E-3</v>
      </c>
      <c r="L779" t="s">
        <v>1178</v>
      </c>
      <c r="M779" t="str">
        <f>HYPERLINK("http://www.broadinstitute.org/gsea/msigdb/cards/GSE22935_WT_VS_MYD88_KO_MACROPHAGE_24H_MBOVIS_BCG_STIM_UP.html")</f>
        <v>http://www.broadinstitute.org/gsea/msigdb/cards/GSE22935_WT_VS_MYD88_KO_MACROPHAGE_24H_MBOVIS_BCG_STIM_UP.html</v>
      </c>
    </row>
    <row r="780" spans="1:13">
      <c r="A780">
        <v>3359</v>
      </c>
      <c r="B780" t="s">
        <v>2241</v>
      </c>
      <c r="C780">
        <v>6</v>
      </c>
      <c r="D780">
        <v>146</v>
      </c>
      <c r="E780">
        <v>200</v>
      </c>
      <c r="F780">
        <v>32441</v>
      </c>
      <c r="G780">
        <v>6.6659589041095897</v>
      </c>
      <c r="H780">
        <v>3.4519085179478498E-4</v>
      </c>
      <c r="I780" t="s">
        <v>2242</v>
      </c>
      <c r="J780" t="s">
        <v>2243</v>
      </c>
      <c r="K780">
        <v>4.5330723179088702E-3</v>
      </c>
      <c r="L780" t="s">
        <v>1178</v>
      </c>
      <c r="M780" t="str">
        <f>HYPERLINK("http://www.broadinstitute.org/gsea/msigdb/cards/GSE22589_HEALTHY_VS_HIV_AND_SIV_INFECTED_DC_UP.html")</f>
        <v>http://www.broadinstitute.org/gsea/msigdb/cards/GSE22589_HEALTHY_VS_HIV_AND_SIV_INFECTED_DC_UP.html</v>
      </c>
    </row>
    <row r="781" spans="1:13">
      <c r="A781">
        <v>3409</v>
      </c>
      <c r="B781" t="s">
        <v>2244</v>
      </c>
      <c r="C781">
        <v>6</v>
      </c>
      <c r="D781">
        <v>146</v>
      </c>
      <c r="E781">
        <v>200</v>
      </c>
      <c r="F781">
        <v>32441</v>
      </c>
      <c r="G781">
        <v>6.6659589041095897</v>
      </c>
      <c r="H781">
        <v>3.4519085179478498E-4</v>
      </c>
      <c r="I781" t="s">
        <v>2245</v>
      </c>
      <c r="J781" t="s">
        <v>2246</v>
      </c>
      <c r="K781">
        <v>4.5330723179088702E-3</v>
      </c>
      <c r="L781" t="s">
        <v>1178</v>
      </c>
      <c r="M781" t="str">
        <f>HYPERLINK("http://www.broadinstitute.org/gsea/msigdb/cards/GSE16385_MONOCYTE_VS_12H_ROSIGLITAZONE_TREATED_MACROPHAGE_DN.html")</f>
        <v>http://www.broadinstitute.org/gsea/msigdb/cards/GSE16385_MONOCYTE_VS_12H_ROSIGLITAZONE_TREATED_MACROPHAGE_DN.html</v>
      </c>
    </row>
    <row r="782" spans="1:13">
      <c r="A782">
        <v>3533</v>
      </c>
      <c r="B782" t="s">
        <v>2247</v>
      </c>
      <c r="C782">
        <v>6</v>
      </c>
      <c r="D782">
        <v>146</v>
      </c>
      <c r="E782">
        <v>200</v>
      </c>
      <c r="F782">
        <v>32441</v>
      </c>
      <c r="G782">
        <v>6.6659589041095897</v>
      </c>
      <c r="H782">
        <v>3.4519085179478498E-4</v>
      </c>
      <c r="I782" t="s">
        <v>2248</v>
      </c>
      <c r="J782" t="s">
        <v>2249</v>
      </c>
      <c r="K782">
        <v>4.5330723179088702E-3</v>
      </c>
      <c r="L782" t="s">
        <v>1178</v>
      </c>
      <c r="M782" t="str">
        <f>HYPERLINK("http://www.broadinstitute.org/gsea/msigdb/cards/GSE24726_WT_VS_E2_2_KO_PDC_DAY6_POST_DELETION_UP.html")</f>
        <v>http://www.broadinstitute.org/gsea/msigdb/cards/GSE24726_WT_VS_E2_2_KO_PDC_DAY6_POST_DELETION_UP.html</v>
      </c>
    </row>
    <row r="783" spans="1:13">
      <c r="A783">
        <v>3683</v>
      </c>
      <c r="B783" t="s">
        <v>2250</v>
      </c>
      <c r="C783">
        <v>6</v>
      </c>
      <c r="D783">
        <v>146</v>
      </c>
      <c r="E783">
        <v>200</v>
      </c>
      <c r="F783">
        <v>32441</v>
      </c>
      <c r="G783">
        <v>6.6659589041095897</v>
      </c>
      <c r="H783">
        <v>3.4519085179478498E-4</v>
      </c>
      <c r="I783" t="s">
        <v>2251</v>
      </c>
      <c r="J783" t="s">
        <v>2252</v>
      </c>
      <c r="K783">
        <v>4.5330723179088702E-3</v>
      </c>
      <c r="L783" t="s">
        <v>1178</v>
      </c>
      <c r="M783" t="str">
        <f>HYPERLINK("http://www.broadinstitute.org/gsea/msigdb/cards/GSE21063_WT_VS_NFATC1_KO_8H_ANTI_IGM_STIM_BCELL_DN.html")</f>
        <v>http://www.broadinstitute.org/gsea/msigdb/cards/GSE21063_WT_VS_NFATC1_KO_8H_ANTI_IGM_STIM_BCELL_DN.html</v>
      </c>
    </row>
    <row r="784" spans="1:13">
      <c r="A784">
        <v>3766</v>
      </c>
      <c r="B784" t="s">
        <v>2253</v>
      </c>
      <c r="C784">
        <v>6</v>
      </c>
      <c r="D784">
        <v>146</v>
      </c>
      <c r="E784">
        <v>200</v>
      </c>
      <c r="F784">
        <v>32441</v>
      </c>
      <c r="G784">
        <v>6.6659589041095897</v>
      </c>
      <c r="H784">
        <v>3.4519085179478498E-4</v>
      </c>
      <c r="I784" t="s">
        <v>2254</v>
      </c>
      <c r="J784" t="s">
        <v>2255</v>
      </c>
      <c r="K784">
        <v>4.5330723179088702E-3</v>
      </c>
      <c r="L784" t="s">
        <v>1178</v>
      </c>
      <c r="M784" t="str">
        <f>HYPERLINK("http://www.broadinstitute.org/gsea/msigdb/cards/GSE29949_CD8_POS_DC_SPLEEN_VS_MONOCYTE_BONE_MARROW_DN.html")</f>
        <v>http://www.broadinstitute.org/gsea/msigdb/cards/GSE29949_CD8_POS_DC_SPLEEN_VS_MONOCYTE_BONE_MARROW_DN.html</v>
      </c>
    </row>
    <row r="785" spans="1:13">
      <c r="A785">
        <v>38871</v>
      </c>
      <c r="B785" t="s">
        <v>2256</v>
      </c>
      <c r="C785">
        <v>6</v>
      </c>
      <c r="D785">
        <v>146</v>
      </c>
      <c r="E785">
        <v>200</v>
      </c>
      <c r="F785">
        <v>32441</v>
      </c>
      <c r="G785">
        <v>6.6659589041095897</v>
      </c>
      <c r="H785">
        <v>3.4519085179478498E-4</v>
      </c>
      <c r="I785" t="s">
        <v>2257</v>
      </c>
      <c r="J785" t="s">
        <v>2258</v>
      </c>
      <c r="K785">
        <v>4.5330723179088702E-3</v>
      </c>
      <c r="L785" t="s">
        <v>1178</v>
      </c>
      <c r="M785" t="str">
        <f>HYPERLINK("http://www.broadinstitute.org/gsea/msigdb/cards/GSE27859_DC_VS_CD11C_INT_F480_INT_DC_UP.html")</f>
        <v>http://www.broadinstitute.org/gsea/msigdb/cards/GSE27859_DC_VS_CD11C_INT_F480_INT_DC_UP.html</v>
      </c>
    </row>
    <row r="786" spans="1:13">
      <c r="A786">
        <v>3888</v>
      </c>
      <c r="B786" t="s">
        <v>2259</v>
      </c>
      <c r="C786">
        <v>6</v>
      </c>
      <c r="D786">
        <v>146</v>
      </c>
      <c r="E786">
        <v>200</v>
      </c>
      <c r="F786">
        <v>32441</v>
      </c>
      <c r="G786">
        <v>6.6659589041095897</v>
      </c>
      <c r="H786">
        <v>3.4519085179478498E-4</v>
      </c>
      <c r="I786" t="s">
        <v>2260</v>
      </c>
      <c r="J786" t="s">
        <v>2261</v>
      </c>
      <c r="K786">
        <v>4.5330723179088702E-3</v>
      </c>
      <c r="L786" t="s">
        <v>1178</v>
      </c>
      <c r="M786" t="str">
        <f>HYPERLINK("http://www.broadinstitute.org/gsea/msigdb/cards/GSE27859_DC_VS_CD11C_INT_F480_HI_MACROPHAGE_UP.html")</f>
        <v>http://www.broadinstitute.org/gsea/msigdb/cards/GSE27859_DC_VS_CD11C_INT_F480_HI_MACROPHAGE_UP.html</v>
      </c>
    </row>
    <row r="787" spans="1:13">
      <c r="A787">
        <v>3996</v>
      </c>
      <c r="B787" t="s">
        <v>2262</v>
      </c>
      <c r="C787">
        <v>6</v>
      </c>
      <c r="D787">
        <v>146</v>
      </c>
      <c r="E787">
        <v>200</v>
      </c>
      <c r="F787">
        <v>32441</v>
      </c>
      <c r="G787">
        <v>6.6659589041095897</v>
      </c>
      <c r="H787">
        <v>3.4519085179478498E-4</v>
      </c>
      <c r="I787" t="s">
        <v>2263</v>
      </c>
      <c r="J787" t="s">
        <v>2264</v>
      </c>
      <c r="K787">
        <v>4.5330723179088702E-3</v>
      </c>
      <c r="L787" t="s">
        <v>1178</v>
      </c>
      <c r="M787" t="str">
        <f>HYPERLINK("http://www.broadinstitute.org/gsea/msigdb/cards/GSE34515_CD16_NEG_MONOCYTE_VS_DC_DN.html")</f>
        <v>http://www.broadinstitute.org/gsea/msigdb/cards/GSE34515_CD16_NEG_MONOCYTE_VS_DC_DN.html</v>
      </c>
    </row>
    <row r="788" spans="1:13">
      <c r="A788">
        <v>4041</v>
      </c>
      <c r="B788" t="s">
        <v>2265</v>
      </c>
      <c r="C788">
        <v>6</v>
      </c>
      <c r="D788">
        <v>146</v>
      </c>
      <c r="E788">
        <v>200</v>
      </c>
      <c r="F788">
        <v>32441</v>
      </c>
      <c r="G788">
        <v>6.6659589041095897</v>
      </c>
      <c r="H788">
        <v>3.4519085179478498E-4</v>
      </c>
      <c r="I788" t="s">
        <v>2266</v>
      </c>
      <c r="J788" t="s">
        <v>2267</v>
      </c>
      <c r="K788">
        <v>4.5330723179088702E-3</v>
      </c>
      <c r="L788" t="s">
        <v>1178</v>
      </c>
      <c r="M788" t="str">
        <f>HYPERLINK("http://www.broadinstitute.org/gsea/msigdb/cards/GSE37301_MULTIPOTENT_PROGENITOR_VS_CD4_TCELL_DN.html")</f>
        <v>http://www.broadinstitute.org/gsea/msigdb/cards/GSE37301_MULTIPOTENT_PROGENITOR_VS_CD4_TCELL_DN.html</v>
      </c>
    </row>
    <row r="789" spans="1:13">
      <c r="A789">
        <v>4192</v>
      </c>
      <c r="B789" t="s">
        <v>2268</v>
      </c>
      <c r="C789">
        <v>6</v>
      </c>
      <c r="D789">
        <v>146</v>
      </c>
      <c r="E789">
        <v>200</v>
      </c>
      <c r="F789">
        <v>32441</v>
      </c>
      <c r="G789">
        <v>6.6659589041095897</v>
      </c>
      <c r="H789">
        <v>3.4519085179478498E-4</v>
      </c>
      <c r="I789" t="s">
        <v>2269</v>
      </c>
      <c r="J789" t="s">
        <v>2270</v>
      </c>
      <c r="K789">
        <v>4.5330723179088702E-3</v>
      </c>
      <c r="L789" t="s">
        <v>1178</v>
      </c>
      <c r="M789" t="str">
        <f>HYPERLINK("http://www.broadinstitute.org/gsea/msigdb/cards/GSE34006_UNTREATED_VS_A2AR_AGONIST_TREATED_TREG_UP.html")</f>
        <v>http://www.broadinstitute.org/gsea/msigdb/cards/GSE34006_UNTREATED_VS_A2AR_AGONIST_TREATED_TREG_UP.html</v>
      </c>
    </row>
    <row r="790" spans="1:13">
      <c r="A790">
        <v>45341</v>
      </c>
      <c r="B790" t="s">
        <v>2271</v>
      </c>
      <c r="C790">
        <v>6</v>
      </c>
      <c r="D790">
        <v>146</v>
      </c>
      <c r="E790">
        <v>200</v>
      </c>
      <c r="F790">
        <v>32441</v>
      </c>
      <c r="G790">
        <v>6.6659589041095897</v>
      </c>
      <c r="H790">
        <v>3.4519085179478498E-4</v>
      </c>
      <c r="I790" t="s">
        <v>2272</v>
      </c>
      <c r="J790" t="s">
        <v>2273</v>
      </c>
      <c r="K790">
        <v>4.5330723179088702E-3</v>
      </c>
      <c r="L790" t="s">
        <v>1178</v>
      </c>
      <c r="M790" t="str">
        <f>HYPERLINK("http://www.broadinstitute.org/gsea/msigdb/cards/GSE39382_IL3_VS_IL3_IL33_TREATED_MAST_CELL_UP.html")</f>
        <v>http://www.broadinstitute.org/gsea/msigdb/cards/GSE39382_IL3_VS_IL3_IL33_TREATED_MAST_CELL_UP.html</v>
      </c>
    </row>
    <row r="791" spans="1:13">
      <c r="A791">
        <v>4589</v>
      </c>
      <c r="B791" t="s">
        <v>2274</v>
      </c>
      <c r="C791">
        <v>6</v>
      </c>
      <c r="D791">
        <v>146</v>
      </c>
      <c r="E791">
        <v>200</v>
      </c>
      <c r="F791">
        <v>32441</v>
      </c>
      <c r="G791">
        <v>6.6659589041095897</v>
      </c>
      <c r="H791">
        <v>3.4519085179478498E-4</v>
      </c>
      <c r="I791" t="s">
        <v>2275</v>
      </c>
      <c r="J791" t="s">
        <v>2276</v>
      </c>
      <c r="K791">
        <v>4.5330723179088702E-3</v>
      </c>
      <c r="L791" t="s">
        <v>1178</v>
      </c>
      <c r="M791" t="str">
        <f>HYPERLINK("http://www.broadinstitute.org/gsea/msigdb/cards/GSE27434_WT_VS_DNMT1_KO_TREG_UP.html")</f>
        <v>http://www.broadinstitute.org/gsea/msigdb/cards/GSE27434_WT_VS_DNMT1_KO_TREG_UP.html</v>
      </c>
    </row>
    <row r="792" spans="1:13">
      <c r="A792">
        <v>4695</v>
      </c>
      <c r="B792" t="s">
        <v>2277</v>
      </c>
      <c r="C792">
        <v>6</v>
      </c>
      <c r="D792">
        <v>146</v>
      </c>
      <c r="E792">
        <v>200</v>
      </c>
      <c r="F792">
        <v>32441</v>
      </c>
      <c r="G792">
        <v>6.6659589041095897</v>
      </c>
      <c r="H792">
        <v>3.4519085179478498E-4</v>
      </c>
      <c r="I792" t="s">
        <v>2278</v>
      </c>
      <c r="J792" t="s">
        <v>2279</v>
      </c>
      <c r="K792">
        <v>4.5330723179088702E-3</v>
      </c>
      <c r="L792" t="s">
        <v>1178</v>
      </c>
      <c r="M792" t="str">
        <f>HYPERLINK("http://www.broadinstitute.org/gsea/msigdb/cards/GSE46143_CTRL_VS_LMP2A_TRANSDUCED_CD10_POS_GC_BCELL_UP.html")</f>
        <v>http://www.broadinstitute.org/gsea/msigdb/cards/GSE46143_CTRL_VS_LMP2A_TRANSDUCED_CD10_POS_GC_BCELL_UP.html</v>
      </c>
    </row>
    <row r="793" spans="1:13">
      <c r="A793">
        <v>4707</v>
      </c>
      <c r="B793" t="s">
        <v>2280</v>
      </c>
      <c r="C793">
        <v>6</v>
      </c>
      <c r="D793">
        <v>146</v>
      </c>
      <c r="E793">
        <v>200</v>
      </c>
      <c r="F793">
        <v>32441</v>
      </c>
      <c r="G793">
        <v>6.6659589041095897</v>
      </c>
      <c r="H793">
        <v>3.4519085179478498E-4</v>
      </c>
      <c r="I793" t="s">
        <v>2281</v>
      </c>
      <c r="J793" t="s">
        <v>2282</v>
      </c>
      <c r="K793">
        <v>4.5330723179088702E-3</v>
      </c>
      <c r="L793" t="s">
        <v>1178</v>
      </c>
      <c r="M793" t="str">
        <f>HYPERLINK("http://www.broadinstitute.org/gsea/msigdb/cards/GSE42724_B1_BCELL_VS_PLASMABLAST_DN.html")</f>
        <v>http://www.broadinstitute.org/gsea/msigdb/cards/GSE42724_B1_BCELL_VS_PLASMABLAST_DN.html</v>
      </c>
    </row>
    <row r="794" spans="1:13">
      <c r="A794">
        <v>4811</v>
      </c>
      <c r="B794" t="s">
        <v>2283</v>
      </c>
      <c r="C794">
        <v>6</v>
      </c>
      <c r="D794">
        <v>146</v>
      </c>
      <c r="E794">
        <v>200</v>
      </c>
      <c r="F794">
        <v>32441</v>
      </c>
      <c r="G794">
        <v>6.6659589041095897</v>
      </c>
      <c r="H794">
        <v>3.4519085179478498E-4</v>
      </c>
      <c r="I794" t="s">
        <v>2284</v>
      </c>
      <c r="J794" t="s">
        <v>2285</v>
      </c>
      <c r="K794">
        <v>4.5330723179088702E-3</v>
      </c>
      <c r="L794" t="s">
        <v>1178</v>
      </c>
      <c r="M794" t="str">
        <f>HYPERLINK("http://www.broadinstitute.org/gsea/msigdb/cards/GSE43260_BTLA_POS_VS_NEG_INTRATUMORAL_CD8_TCELL_UP.html")</f>
        <v>http://www.broadinstitute.org/gsea/msigdb/cards/GSE43260_BTLA_POS_VS_NEG_INTRATUMORAL_CD8_TCELL_UP.html</v>
      </c>
    </row>
    <row r="795" spans="1:13">
      <c r="A795">
        <v>4823</v>
      </c>
      <c r="B795" t="s">
        <v>2286</v>
      </c>
      <c r="C795">
        <v>6</v>
      </c>
      <c r="D795">
        <v>146</v>
      </c>
      <c r="E795">
        <v>200</v>
      </c>
      <c r="F795">
        <v>32441</v>
      </c>
      <c r="G795">
        <v>6.6659589041095897</v>
      </c>
      <c r="H795">
        <v>3.4519085179478498E-4</v>
      </c>
      <c r="I795" t="s">
        <v>2287</v>
      </c>
      <c r="J795" t="s">
        <v>2288</v>
      </c>
      <c r="K795">
        <v>4.5330723179088702E-3</v>
      </c>
      <c r="L795" t="s">
        <v>1178</v>
      </c>
      <c r="M795" t="str">
        <f>HYPERLINK("http://www.broadinstitute.org/gsea/msigdb/cards/GSE45365_HEALTHY_VS_MCMV_INFECTION_CD8A_DC_UP.html")</f>
        <v>http://www.broadinstitute.org/gsea/msigdb/cards/GSE45365_HEALTHY_VS_MCMV_INFECTION_CD8A_DC_UP.html</v>
      </c>
    </row>
    <row r="796" spans="1:13">
      <c r="A796">
        <v>3302</v>
      </c>
      <c r="B796" t="s">
        <v>2289</v>
      </c>
      <c r="C796">
        <v>5</v>
      </c>
      <c r="D796">
        <v>146</v>
      </c>
      <c r="E796">
        <v>158</v>
      </c>
      <c r="F796">
        <v>32441</v>
      </c>
      <c r="G796">
        <v>7.0316022195248804</v>
      </c>
      <c r="H796">
        <v>8.6133707778784496E-4</v>
      </c>
      <c r="I796" t="s">
        <v>2290</v>
      </c>
      <c r="J796" t="s">
        <v>2291</v>
      </c>
      <c r="K796">
        <v>1.12807372123182E-2</v>
      </c>
      <c r="L796" t="s">
        <v>1178</v>
      </c>
      <c r="M796" t="str">
        <f>HYPERLINK("http://www.broadinstitute.org/gsea/msigdb/cards/GSE21033_CTRL_VS_POLYIC_STIM_DC_12H_UP.html")</f>
        <v>http://www.broadinstitute.org/gsea/msigdb/cards/GSE21033_CTRL_VS_POLYIC_STIM_DC_12H_UP.html</v>
      </c>
    </row>
    <row r="797" spans="1:13">
      <c r="A797">
        <v>4089</v>
      </c>
      <c r="B797" t="s">
        <v>2292</v>
      </c>
      <c r="C797">
        <v>5</v>
      </c>
      <c r="D797">
        <v>146</v>
      </c>
      <c r="E797">
        <v>170</v>
      </c>
      <c r="F797">
        <v>32441</v>
      </c>
      <c r="G797">
        <v>6.53525382755842</v>
      </c>
      <c r="H797">
        <v>1.18227348104639E-3</v>
      </c>
      <c r="I797" t="s">
        <v>2293</v>
      </c>
      <c r="J797" t="s">
        <v>2294</v>
      </c>
      <c r="K797">
        <v>1.5442456835544301E-2</v>
      </c>
      <c r="L797" t="s">
        <v>1178</v>
      </c>
      <c r="M797" t="str">
        <f>HYPERLINK("http://www.broadinstitute.org/gsea/msigdb/cards/GSE32255_WT_UNSTIM_VS_JMJD2D_KNOCKDOWN_4H_LPS_STIM_DC_UP.html")</f>
        <v>http://www.broadinstitute.org/gsea/msigdb/cards/GSE32255_WT_UNSTIM_VS_JMJD2D_KNOCKDOWN_4H_LPS_STIM_DC_UP.html</v>
      </c>
    </row>
    <row r="798" spans="1:13">
      <c r="A798">
        <v>2475</v>
      </c>
      <c r="B798" t="s">
        <v>2295</v>
      </c>
      <c r="C798">
        <v>5</v>
      </c>
      <c r="D798">
        <v>146</v>
      </c>
      <c r="E798">
        <v>174</v>
      </c>
      <c r="F798">
        <v>32441</v>
      </c>
      <c r="G798">
        <v>6.3850181073846599</v>
      </c>
      <c r="H798">
        <v>1.3066897415909399E-3</v>
      </c>
      <c r="I798" t="s">
        <v>2296</v>
      </c>
      <c r="J798" t="s">
        <v>2297</v>
      </c>
      <c r="K798">
        <v>1.7021904869067E-2</v>
      </c>
      <c r="L798" t="s">
        <v>1178</v>
      </c>
      <c r="M798" t="str">
        <f>HYPERLINK("http://www.broadinstitute.org/gsea/msigdb/cards/GSE6259_DEC205_POS_DC_VS_CD8_TCELL_UP.html")</f>
        <v>http://www.broadinstitute.org/gsea/msigdb/cards/GSE6259_DEC205_POS_DC_VS_CD8_TCELL_UP.html</v>
      </c>
    </row>
    <row r="799" spans="1:13">
      <c r="A799">
        <v>2696</v>
      </c>
      <c r="B799" t="s">
        <v>2298</v>
      </c>
      <c r="C799">
        <v>5</v>
      </c>
      <c r="D799">
        <v>146</v>
      </c>
      <c r="E799">
        <v>177</v>
      </c>
      <c r="F799">
        <v>32441</v>
      </c>
      <c r="G799">
        <v>6.2767974614967903</v>
      </c>
      <c r="H799">
        <v>1.4061579653199001E-3</v>
      </c>
      <c r="I799" t="s">
        <v>2299</v>
      </c>
      <c r="J799" t="s">
        <v>2300</v>
      </c>
      <c r="K799">
        <v>1.8268804285436101E-2</v>
      </c>
      <c r="L799" t="s">
        <v>1178</v>
      </c>
      <c r="M799" t="str">
        <f>HYPERLINK("http://www.broadinstitute.org/gsea/msigdb/cards/GSE11973_MIR223_KOVS_WT_BONE_MARROW_NEUTROPHIL_DN.html")</f>
        <v>http://www.broadinstitute.org/gsea/msigdb/cards/GSE11973_MIR223_KOVS_WT_BONE_MARROW_NEUTROPHIL_DN.html</v>
      </c>
    </row>
    <row r="800" spans="1:13">
      <c r="A800">
        <v>2451</v>
      </c>
      <c r="B800" t="s">
        <v>2301</v>
      </c>
      <c r="C800">
        <v>5</v>
      </c>
      <c r="D800">
        <v>146</v>
      </c>
      <c r="E800">
        <v>181</v>
      </c>
      <c r="F800">
        <v>32441</v>
      </c>
      <c r="G800">
        <v>6.13808370544161</v>
      </c>
      <c r="H800">
        <v>1.54733079544687E-3</v>
      </c>
      <c r="I800" t="s">
        <v>2302</v>
      </c>
      <c r="J800" t="s">
        <v>2303</v>
      </c>
      <c r="K800">
        <v>2.0049456477173301E-2</v>
      </c>
      <c r="L800" t="s">
        <v>1178</v>
      </c>
      <c r="M800" t="str">
        <f>HYPERLINK("http://www.broadinstitute.org/gsea/msigdb/cards/GSE6259_CD4_TCELL_VS_CD8_TCELL_UP.html")</f>
        <v>http://www.broadinstitute.org/gsea/msigdb/cards/GSE6259_CD4_TCELL_VS_CD8_TCELL_UP.html</v>
      </c>
    </row>
    <row r="801" spans="1:13">
      <c r="A801">
        <v>53</v>
      </c>
      <c r="B801" t="s">
        <v>2304</v>
      </c>
      <c r="C801">
        <v>5</v>
      </c>
      <c r="D801">
        <v>146</v>
      </c>
      <c r="E801">
        <v>200</v>
      </c>
      <c r="F801">
        <v>32441</v>
      </c>
      <c r="G801">
        <v>5.5549657534246597</v>
      </c>
      <c r="H801">
        <v>2.3640745110952901E-3</v>
      </c>
      <c r="I801" t="s">
        <v>2305</v>
      </c>
      <c r="J801" t="s">
        <v>2306</v>
      </c>
      <c r="K801">
        <v>2.1980479042092101E-2</v>
      </c>
      <c r="L801" t="s">
        <v>1178</v>
      </c>
      <c r="M801" t="str">
        <f>HYPERLINK("http://www.broadinstitute.org/gsea/msigdb/cards/GSE10325_MYELOID_VS_LUPUS_MYELOID_UP.html")</f>
        <v>http://www.broadinstitute.org/gsea/msigdb/cards/GSE10325_MYELOID_VS_LUPUS_MYELOID_UP.html</v>
      </c>
    </row>
    <row r="802" spans="1:13">
      <c r="A802">
        <v>100</v>
      </c>
      <c r="B802" t="s">
        <v>2307</v>
      </c>
      <c r="C802">
        <v>5</v>
      </c>
      <c r="D802">
        <v>146</v>
      </c>
      <c r="E802">
        <v>200</v>
      </c>
      <c r="F802">
        <v>32441</v>
      </c>
      <c r="G802">
        <v>5.5549657534246597</v>
      </c>
      <c r="H802">
        <v>2.3640745110952901E-3</v>
      </c>
      <c r="I802" t="s">
        <v>2308</v>
      </c>
      <c r="J802" t="s">
        <v>2309</v>
      </c>
      <c r="K802">
        <v>2.1980479042092101E-2</v>
      </c>
      <c r="L802" t="s">
        <v>1178</v>
      </c>
      <c r="M802" t="str">
        <f>HYPERLINK("http://www.broadinstitute.org/gsea/msigdb/cards/GSE11924_TFH_VS_TH17_CD4_TCELL_DN.html")</f>
        <v>http://www.broadinstitute.org/gsea/msigdb/cards/GSE11924_TFH_VS_TH17_CD4_TCELL_DN.html</v>
      </c>
    </row>
    <row r="803" spans="1:13">
      <c r="A803">
        <v>116</v>
      </c>
      <c r="B803" t="s">
        <v>2310</v>
      </c>
      <c r="C803">
        <v>5</v>
      </c>
      <c r="D803">
        <v>146</v>
      </c>
      <c r="E803">
        <v>200</v>
      </c>
      <c r="F803">
        <v>32441</v>
      </c>
      <c r="G803">
        <v>5.5549657534246597</v>
      </c>
      <c r="H803">
        <v>2.3640745110952901E-3</v>
      </c>
      <c r="I803" t="s">
        <v>2311</v>
      </c>
      <c r="J803" t="s">
        <v>2312</v>
      </c>
      <c r="K803">
        <v>2.1980479042092101E-2</v>
      </c>
      <c r="L803" t="s">
        <v>1178</v>
      </c>
      <c r="M803" t="str">
        <f>HYPERLINK("http://www.broadinstitute.org/gsea/msigdb/cards/GSE12366_PLASMA_CELL_VS_MEMORY_BCELL_DN.html")</f>
        <v>http://www.broadinstitute.org/gsea/msigdb/cards/GSE12366_PLASMA_CELL_VS_MEMORY_BCELL_DN.html</v>
      </c>
    </row>
    <row r="804" spans="1:13">
      <c r="A804">
        <v>123</v>
      </c>
      <c r="B804" t="s">
        <v>2313</v>
      </c>
      <c r="C804">
        <v>5</v>
      </c>
      <c r="D804">
        <v>146</v>
      </c>
      <c r="E804">
        <v>200</v>
      </c>
      <c r="F804">
        <v>32441</v>
      </c>
      <c r="G804">
        <v>5.5549657534246597</v>
      </c>
      <c r="H804">
        <v>2.3640745110952901E-3</v>
      </c>
      <c r="I804" t="s">
        <v>2314</v>
      </c>
      <c r="J804" t="s">
        <v>2315</v>
      </c>
      <c r="K804">
        <v>2.1980479042092101E-2</v>
      </c>
      <c r="L804" t="s">
        <v>1178</v>
      </c>
      <c r="M804" t="str">
        <f>HYPERLINK("http://www.broadinstitute.org/gsea/msigdb/cards/GSE12845_IGD_POS_BLOOD_VS_PRE_GC_TONSIL_BCELL_UP.html")</f>
        <v>http://www.broadinstitute.org/gsea/msigdb/cards/GSE12845_IGD_POS_BLOOD_VS_PRE_GC_TONSIL_BCELL_UP.html</v>
      </c>
    </row>
    <row r="805" spans="1:13">
      <c r="A805">
        <v>2021</v>
      </c>
      <c r="B805" t="s">
        <v>2316</v>
      </c>
      <c r="C805">
        <v>5</v>
      </c>
      <c r="D805">
        <v>146</v>
      </c>
      <c r="E805">
        <v>200</v>
      </c>
      <c r="F805">
        <v>32441</v>
      </c>
      <c r="G805">
        <v>5.5549657534246597</v>
      </c>
      <c r="H805">
        <v>2.3640745110952901E-3</v>
      </c>
      <c r="I805" t="s">
        <v>2317</v>
      </c>
      <c r="J805" t="s">
        <v>2318</v>
      </c>
      <c r="K805">
        <v>2.1980479042092101E-2</v>
      </c>
      <c r="L805" t="s">
        <v>1178</v>
      </c>
      <c r="M805" t="str">
        <f>HYPERLINK("http://www.broadinstitute.org/gsea/msigdb/cards/GSE13485_DAY1_VS_DAY21_YF17D_VACCINE_PBMC_DN.html")</f>
        <v>http://www.broadinstitute.org/gsea/msigdb/cards/GSE13485_DAY1_VS_DAY21_YF17D_VACCINE_PBMC_DN.html</v>
      </c>
    </row>
    <row r="806" spans="1:13">
      <c r="A806">
        <v>208</v>
      </c>
      <c r="B806" t="s">
        <v>2319</v>
      </c>
      <c r="C806">
        <v>5</v>
      </c>
      <c r="D806">
        <v>146</v>
      </c>
      <c r="E806">
        <v>200</v>
      </c>
      <c r="F806">
        <v>32441</v>
      </c>
      <c r="G806">
        <v>5.5549657534246597</v>
      </c>
      <c r="H806">
        <v>2.3640745110952901E-3</v>
      </c>
      <c r="I806" t="s">
        <v>2320</v>
      </c>
      <c r="J806" t="s">
        <v>2321</v>
      </c>
      <c r="K806">
        <v>2.1980479042092101E-2</v>
      </c>
      <c r="L806" t="s">
        <v>1178</v>
      </c>
      <c r="M806" t="str">
        <f>HYPERLINK("http://www.broadinstitute.org/gsea/msigdb/cards/GSE13485_DAY7_VS_DAY21_YF17D_VACCINE_PBMC_DN.html")</f>
        <v>http://www.broadinstitute.org/gsea/msigdb/cards/GSE13485_DAY7_VS_DAY21_YF17D_VACCINE_PBMC_DN.html</v>
      </c>
    </row>
    <row r="807" spans="1:13">
      <c r="A807">
        <v>237</v>
      </c>
      <c r="B807" t="s">
        <v>2322</v>
      </c>
      <c r="C807">
        <v>5</v>
      </c>
      <c r="D807">
        <v>146</v>
      </c>
      <c r="E807">
        <v>200</v>
      </c>
      <c r="F807">
        <v>32441</v>
      </c>
      <c r="G807">
        <v>5.5549657534246597</v>
      </c>
      <c r="H807">
        <v>2.3640745110952901E-3</v>
      </c>
      <c r="I807" t="s">
        <v>2323</v>
      </c>
      <c r="J807" t="s">
        <v>2324</v>
      </c>
      <c r="K807">
        <v>2.1980479042092101E-2</v>
      </c>
      <c r="L807" t="s">
        <v>1178</v>
      </c>
      <c r="M807" t="str">
        <f>HYPERLINK("http://www.broadinstitute.org/gsea/msigdb/cards/GSE14000_4H_VS_16H_LPS_DC_TRANSLATED_RNA_UP.html")</f>
        <v>http://www.broadinstitute.org/gsea/msigdb/cards/GSE14000_4H_VS_16H_LPS_DC_TRANSLATED_RNA_UP.html</v>
      </c>
    </row>
    <row r="808" spans="1:13">
      <c r="A808">
        <v>257</v>
      </c>
      <c r="B808" t="s">
        <v>2325</v>
      </c>
      <c r="C808">
        <v>5</v>
      </c>
      <c r="D808">
        <v>146</v>
      </c>
      <c r="E808">
        <v>200</v>
      </c>
      <c r="F808">
        <v>32441</v>
      </c>
      <c r="G808">
        <v>5.5549657534246597</v>
      </c>
      <c r="H808">
        <v>2.3640745110952901E-3</v>
      </c>
      <c r="I808" t="s">
        <v>2326</v>
      </c>
      <c r="J808" t="s">
        <v>2327</v>
      </c>
      <c r="K808">
        <v>2.1980479042092101E-2</v>
      </c>
      <c r="L808" t="s">
        <v>1178</v>
      </c>
      <c r="M808" t="str">
        <f>HYPERLINK("http://www.broadinstitute.org/gsea/msigdb/cards/GSE14308_TH1_VS_INDUCED_TREG_UP.html")</f>
        <v>http://www.broadinstitute.org/gsea/msigdb/cards/GSE14308_TH1_VS_INDUCED_TREG_UP.html</v>
      </c>
    </row>
    <row r="809" spans="1:13">
      <c r="A809">
        <v>310</v>
      </c>
      <c r="B809" t="s">
        <v>2328</v>
      </c>
      <c r="C809">
        <v>5</v>
      </c>
      <c r="D809">
        <v>146</v>
      </c>
      <c r="E809">
        <v>200</v>
      </c>
      <c r="F809">
        <v>32441</v>
      </c>
      <c r="G809">
        <v>5.5549657534246597</v>
      </c>
      <c r="H809">
        <v>2.3640745110952901E-3</v>
      </c>
      <c r="I809" t="s">
        <v>2329</v>
      </c>
      <c r="J809" t="s">
        <v>2330</v>
      </c>
      <c r="K809">
        <v>2.1980479042092101E-2</v>
      </c>
      <c r="L809" t="s">
        <v>1178</v>
      </c>
      <c r="M809" t="str">
        <f>HYPERLINK("http://www.broadinstitute.org/gsea/msigdb/cards/GSE1460_DP_VS_CD4_THYMOCYTE_DN.html")</f>
        <v>http://www.broadinstitute.org/gsea/msigdb/cards/GSE1460_DP_VS_CD4_THYMOCYTE_DN.html</v>
      </c>
    </row>
    <row r="810" spans="1:13">
      <c r="A810">
        <v>316</v>
      </c>
      <c r="B810" t="s">
        <v>2331</v>
      </c>
      <c r="C810">
        <v>5</v>
      </c>
      <c r="D810">
        <v>146</v>
      </c>
      <c r="E810">
        <v>200</v>
      </c>
      <c r="F810">
        <v>32441</v>
      </c>
      <c r="G810">
        <v>5.5549657534246597</v>
      </c>
      <c r="H810">
        <v>2.3640745110952901E-3</v>
      </c>
      <c r="I810" t="s">
        <v>2332</v>
      </c>
      <c r="J810" t="s">
        <v>2333</v>
      </c>
      <c r="K810">
        <v>2.1980479042092101E-2</v>
      </c>
      <c r="L810" t="s">
        <v>1178</v>
      </c>
      <c r="M810" t="str">
        <f>HYPERLINK("http://www.broadinstitute.org/gsea/msigdb/cards/GSE1460_DP_THYMOCYTE_VS_THYMIC_STROMAL_CELL_DN.html")</f>
        <v>http://www.broadinstitute.org/gsea/msigdb/cards/GSE1460_DP_THYMOCYTE_VS_THYMIC_STROMAL_CELL_DN.html</v>
      </c>
    </row>
    <row r="811" spans="1:13">
      <c r="A811">
        <v>333</v>
      </c>
      <c r="B811" t="s">
        <v>2334</v>
      </c>
      <c r="C811">
        <v>5</v>
      </c>
      <c r="D811">
        <v>146</v>
      </c>
      <c r="E811">
        <v>200</v>
      </c>
      <c r="F811">
        <v>32441</v>
      </c>
      <c r="G811">
        <v>5.5549657534246597</v>
      </c>
      <c r="H811">
        <v>2.3640745110952901E-3</v>
      </c>
      <c r="I811" t="s">
        <v>2335</v>
      </c>
      <c r="J811" t="s">
        <v>2336</v>
      </c>
      <c r="K811">
        <v>2.1980479042092101E-2</v>
      </c>
      <c r="L811" t="s">
        <v>1178</v>
      </c>
      <c r="M811" t="str">
        <f>HYPERLINK("http://www.broadinstitute.org/gsea/msigdb/cards/GSE14769_UNSTIM_VS_60MIN_LPS_BMDM_UP.html")</f>
        <v>http://www.broadinstitute.org/gsea/msigdb/cards/GSE14769_UNSTIM_VS_60MIN_LPS_BMDM_UP.html</v>
      </c>
    </row>
    <row r="812" spans="1:13">
      <c r="A812">
        <v>409</v>
      </c>
      <c r="B812" t="s">
        <v>2337</v>
      </c>
      <c r="C812">
        <v>5</v>
      </c>
      <c r="D812">
        <v>146</v>
      </c>
      <c r="E812">
        <v>200</v>
      </c>
      <c r="F812">
        <v>32441</v>
      </c>
      <c r="G812">
        <v>5.5549657534246597</v>
      </c>
      <c r="H812">
        <v>2.3640745110952901E-3</v>
      </c>
      <c r="I812" t="s">
        <v>2338</v>
      </c>
      <c r="J812" t="s">
        <v>2339</v>
      </c>
      <c r="K812">
        <v>2.1980479042092101E-2</v>
      </c>
      <c r="L812" t="s">
        <v>1178</v>
      </c>
      <c r="M812" t="str">
        <f>HYPERLINK("http://www.broadinstitute.org/gsea/msigdb/cards/GSE15930_NAIVE_VS_72H_IN_VITRO_STIM_TRICHOSTATINA_CD8_TCELL_UP.html")</f>
        <v>http://www.broadinstitute.org/gsea/msigdb/cards/GSE15930_NAIVE_VS_72H_IN_VITRO_STIM_TRICHOSTATINA_CD8_TCELL_UP.html</v>
      </c>
    </row>
    <row r="813" spans="1:13">
      <c r="A813">
        <v>417</v>
      </c>
      <c r="B813" t="s">
        <v>2340</v>
      </c>
      <c r="C813">
        <v>5</v>
      </c>
      <c r="D813">
        <v>146</v>
      </c>
      <c r="E813">
        <v>200</v>
      </c>
      <c r="F813">
        <v>32441</v>
      </c>
      <c r="G813">
        <v>5.5549657534246597</v>
      </c>
      <c r="H813">
        <v>2.3640745110952901E-3</v>
      </c>
      <c r="I813" t="s">
        <v>2341</v>
      </c>
      <c r="J813" t="s">
        <v>2342</v>
      </c>
      <c r="K813">
        <v>2.1980479042092101E-2</v>
      </c>
      <c r="L813" t="s">
        <v>1178</v>
      </c>
      <c r="M813" t="str">
        <f>HYPERLINK("http://www.broadinstitute.org/gsea/msigdb/cards/GSE15930_STIM_VS_STIM_AND_IL12_48H_CD8_T_CELL_UP.html")</f>
        <v>http://www.broadinstitute.org/gsea/msigdb/cards/GSE15930_STIM_VS_STIM_AND_IL12_48H_CD8_T_CELL_UP.html</v>
      </c>
    </row>
    <row r="814" spans="1:13">
      <c r="A814">
        <v>4551</v>
      </c>
      <c r="B814" t="s">
        <v>2343</v>
      </c>
      <c r="C814">
        <v>5</v>
      </c>
      <c r="D814">
        <v>146</v>
      </c>
      <c r="E814">
        <v>200</v>
      </c>
      <c r="F814">
        <v>32441</v>
      </c>
      <c r="G814">
        <v>5.5549657534246597</v>
      </c>
      <c r="H814">
        <v>2.3640745110952901E-3</v>
      </c>
      <c r="I814" t="s">
        <v>2344</v>
      </c>
      <c r="J814" t="s">
        <v>2345</v>
      </c>
      <c r="K814">
        <v>2.1980479042092101E-2</v>
      </c>
      <c r="L814" t="s">
        <v>1178</v>
      </c>
      <c r="M814" t="str">
        <f>HYPERLINK("http://www.broadinstitute.org/gsea/msigdb/cards/GSE17721_CTRL_VS_LPS_6H_BMDC_UP.html")</f>
        <v>http://www.broadinstitute.org/gsea/msigdb/cards/GSE17721_CTRL_VS_LPS_6H_BMDC_UP.html</v>
      </c>
    </row>
    <row r="815" spans="1:13">
      <c r="A815">
        <v>5151</v>
      </c>
      <c r="B815" t="s">
        <v>2346</v>
      </c>
      <c r="C815">
        <v>5</v>
      </c>
      <c r="D815">
        <v>146</v>
      </c>
      <c r="E815">
        <v>200</v>
      </c>
      <c r="F815">
        <v>32441</v>
      </c>
      <c r="G815">
        <v>5.5549657534246597</v>
      </c>
      <c r="H815">
        <v>2.3640745110952901E-3</v>
      </c>
      <c r="I815" t="s">
        <v>2347</v>
      </c>
      <c r="J815" t="s">
        <v>2348</v>
      </c>
      <c r="K815">
        <v>2.1980479042092101E-2</v>
      </c>
      <c r="L815" t="s">
        <v>1178</v>
      </c>
      <c r="M815" t="str">
        <f>HYPERLINK("http://www.broadinstitute.org/gsea/msigdb/cards/GSE17721_CTRL_VS_GARDIQUIMOD_2H_BMDC_UP.html")</f>
        <v>http://www.broadinstitute.org/gsea/msigdb/cards/GSE17721_CTRL_VS_GARDIQUIMOD_2H_BMDC_UP.html</v>
      </c>
    </row>
    <row r="816" spans="1:13">
      <c r="A816">
        <v>532</v>
      </c>
      <c r="B816" t="s">
        <v>2349</v>
      </c>
      <c r="C816">
        <v>5</v>
      </c>
      <c r="D816">
        <v>146</v>
      </c>
      <c r="E816">
        <v>200</v>
      </c>
      <c r="F816">
        <v>32441</v>
      </c>
      <c r="G816">
        <v>5.5549657534246597</v>
      </c>
      <c r="H816">
        <v>2.3640745110952901E-3</v>
      </c>
      <c r="I816" t="s">
        <v>2350</v>
      </c>
      <c r="J816" t="s">
        <v>2351</v>
      </c>
      <c r="K816">
        <v>2.1980479042092101E-2</v>
      </c>
      <c r="L816" t="s">
        <v>1178</v>
      </c>
      <c r="M816" t="str">
        <f>HYPERLINK("http://www.broadinstitute.org/gsea/msigdb/cards/GSE17721_LPS_VS_POLYIC_2H_BMDC_DN.html")</f>
        <v>http://www.broadinstitute.org/gsea/msigdb/cards/GSE17721_LPS_VS_POLYIC_2H_BMDC_DN.html</v>
      </c>
    </row>
    <row r="817" spans="1:13">
      <c r="A817">
        <v>544</v>
      </c>
      <c r="B817" t="s">
        <v>2352</v>
      </c>
      <c r="C817">
        <v>5</v>
      </c>
      <c r="D817">
        <v>146</v>
      </c>
      <c r="E817">
        <v>200</v>
      </c>
      <c r="F817">
        <v>32441</v>
      </c>
      <c r="G817">
        <v>5.5549657534246597</v>
      </c>
      <c r="H817">
        <v>2.3640745110952901E-3</v>
      </c>
      <c r="I817" t="s">
        <v>2353</v>
      </c>
      <c r="J817" t="s">
        <v>2354</v>
      </c>
      <c r="K817">
        <v>2.1980479042092101E-2</v>
      </c>
      <c r="L817" t="s">
        <v>1178</v>
      </c>
      <c r="M817" t="str">
        <f>HYPERLINK("http://www.broadinstitute.org/gsea/msigdb/cards/GSE17721_LPS_VS_POLYIC_24H_BMDC_DN.html")</f>
        <v>http://www.broadinstitute.org/gsea/msigdb/cards/GSE17721_LPS_VS_POLYIC_24H_BMDC_DN.html</v>
      </c>
    </row>
    <row r="818" spans="1:13">
      <c r="A818">
        <v>545</v>
      </c>
      <c r="B818" t="s">
        <v>2355</v>
      </c>
      <c r="C818">
        <v>5</v>
      </c>
      <c r="D818">
        <v>146</v>
      </c>
      <c r="E818">
        <v>200</v>
      </c>
      <c r="F818">
        <v>32441</v>
      </c>
      <c r="G818">
        <v>5.5549657534246597</v>
      </c>
      <c r="H818">
        <v>2.3640745110952901E-3</v>
      </c>
      <c r="I818" t="s">
        <v>2356</v>
      </c>
      <c r="J818" t="s">
        <v>2357</v>
      </c>
      <c r="K818">
        <v>2.1980479042092101E-2</v>
      </c>
      <c r="L818" t="s">
        <v>1178</v>
      </c>
      <c r="M818" t="str">
        <f>HYPERLINK("http://www.broadinstitute.org/gsea/msigdb/cards/GSE17721_POLYIC_VS_PAM3CSK4_0.5H_BMDC_UP.html")</f>
        <v>http://www.broadinstitute.org/gsea/msigdb/cards/GSE17721_POLYIC_VS_PAM3CSK4_0.5H_BMDC_UP.html</v>
      </c>
    </row>
    <row r="819" spans="1:13">
      <c r="A819">
        <v>546</v>
      </c>
      <c r="B819" t="s">
        <v>2358</v>
      </c>
      <c r="C819">
        <v>5</v>
      </c>
      <c r="D819">
        <v>146</v>
      </c>
      <c r="E819">
        <v>200</v>
      </c>
      <c r="F819">
        <v>32441</v>
      </c>
      <c r="G819">
        <v>5.5549657534246597</v>
      </c>
      <c r="H819">
        <v>2.3640745110952901E-3</v>
      </c>
      <c r="I819" t="s">
        <v>2359</v>
      </c>
      <c r="J819" t="s">
        <v>2360</v>
      </c>
      <c r="K819">
        <v>2.1980479042092101E-2</v>
      </c>
      <c r="L819" t="s">
        <v>1178</v>
      </c>
      <c r="M819" t="str">
        <f>HYPERLINK("http://www.broadinstitute.org/gsea/msigdb/cards/GSE17721_POLYIC_VS_PAM3CSK4_0.5H_BMDC_DN.html")</f>
        <v>http://www.broadinstitute.org/gsea/msigdb/cards/GSE17721_POLYIC_VS_PAM3CSK4_0.5H_BMDC_DN.html</v>
      </c>
    </row>
    <row r="820" spans="1:13">
      <c r="A820">
        <v>547</v>
      </c>
      <c r="B820" t="s">
        <v>2361</v>
      </c>
      <c r="C820">
        <v>5</v>
      </c>
      <c r="D820">
        <v>146</v>
      </c>
      <c r="E820">
        <v>200</v>
      </c>
      <c r="F820">
        <v>32441</v>
      </c>
      <c r="G820">
        <v>5.5549657534246597</v>
      </c>
      <c r="H820">
        <v>2.3640745110952901E-3</v>
      </c>
      <c r="I820" t="s">
        <v>2362</v>
      </c>
      <c r="J820" t="s">
        <v>2363</v>
      </c>
      <c r="K820">
        <v>2.1980479042092101E-2</v>
      </c>
      <c r="L820" t="s">
        <v>1178</v>
      </c>
      <c r="M820" t="str">
        <f>HYPERLINK("http://www.broadinstitute.org/gsea/msigdb/cards/GSE17721_POLYIC_VS_PAM3CSK4_1H_BMDC_UP.html")</f>
        <v>http://www.broadinstitute.org/gsea/msigdb/cards/GSE17721_POLYIC_VS_PAM3CSK4_1H_BMDC_UP.html</v>
      </c>
    </row>
    <row r="821" spans="1:13">
      <c r="A821">
        <v>556</v>
      </c>
      <c r="B821" t="s">
        <v>2364</v>
      </c>
      <c r="C821">
        <v>5</v>
      </c>
      <c r="D821">
        <v>146</v>
      </c>
      <c r="E821">
        <v>200</v>
      </c>
      <c r="F821">
        <v>32441</v>
      </c>
      <c r="G821">
        <v>5.5549657534246597</v>
      </c>
      <c r="H821">
        <v>2.3640745110952901E-3</v>
      </c>
      <c r="I821" t="s">
        <v>2365</v>
      </c>
      <c r="J821" t="s">
        <v>2366</v>
      </c>
      <c r="K821">
        <v>2.1980479042092101E-2</v>
      </c>
      <c r="L821" t="s">
        <v>1178</v>
      </c>
      <c r="M821" t="str">
        <f>HYPERLINK("http://www.broadinstitute.org/gsea/msigdb/cards/GSE17721_POLYIC_VS_PAM3CSK4_8H_BMDC_DN.html")</f>
        <v>http://www.broadinstitute.org/gsea/msigdb/cards/GSE17721_POLYIC_VS_PAM3CSK4_8H_BMDC_DN.html</v>
      </c>
    </row>
    <row r="822" spans="1:13">
      <c r="A822">
        <v>632</v>
      </c>
      <c r="B822" t="s">
        <v>2367</v>
      </c>
      <c r="C822">
        <v>5</v>
      </c>
      <c r="D822">
        <v>146</v>
      </c>
      <c r="E822">
        <v>200</v>
      </c>
      <c r="F822">
        <v>32441</v>
      </c>
      <c r="G822">
        <v>5.5549657534246597</v>
      </c>
      <c r="H822">
        <v>2.3640745110952901E-3</v>
      </c>
      <c r="I822" t="s">
        <v>2368</v>
      </c>
      <c r="J822" t="s">
        <v>2369</v>
      </c>
      <c r="K822">
        <v>2.1980479042092101E-2</v>
      </c>
      <c r="L822" t="s">
        <v>1178</v>
      </c>
      <c r="M822" t="str">
        <f>HYPERLINK("http://www.broadinstitute.org/gsea/msigdb/cards/GSE17721_POLYIC_VS_CPG_16H_BMDC_DN.html")</f>
        <v>http://www.broadinstitute.org/gsea/msigdb/cards/GSE17721_POLYIC_VS_CPG_16H_BMDC_DN.html</v>
      </c>
    </row>
    <row r="823" spans="1:13">
      <c r="A823">
        <v>671</v>
      </c>
      <c r="B823" t="s">
        <v>2370</v>
      </c>
      <c r="C823">
        <v>5</v>
      </c>
      <c r="D823">
        <v>146</v>
      </c>
      <c r="E823">
        <v>200</v>
      </c>
      <c r="F823">
        <v>32441</v>
      </c>
      <c r="G823">
        <v>5.5549657534246597</v>
      </c>
      <c r="H823">
        <v>2.3640745110952901E-3</v>
      </c>
      <c r="I823" t="s">
        <v>2371</v>
      </c>
      <c r="J823" t="s">
        <v>2372</v>
      </c>
      <c r="K823">
        <v>2.1980479042092101E-2</v>
      </c>
      <c r="L823" t="s">
        <v>1178</v>
      </c>
      <c r="M823" t="str">
        <f>HYPERLINK("http://www.broadinstitute.org/gsea/msigdb/cards/GSE17721_POLYIC_VS_GARDIQUIMOD_0.5H_BMDC_UP.html")</f>
        <v>http://www.broadinstitute.org/gsea/msigdb/cards/GSE17721_POLYIC_VS_GARDIQUIMOD_0.5H_BMDC_UP.html</v>
      </c>
    </row>
    <row r="824" spans="1:13">
      <c r="A824">
        <v>675</v>
      </c>
      <c r="B824" t="s">
        <v>2373</v>
      </c>
      <c r="C824">
        <v>5</v>
      </c>
      <c r="D824">
        <v>146</v>
      </c>
      <c r="E824">
        <v>200</v>
      </c>
      <c r="F824">
        <v>32441</v>
      </c>
      <c r="G824">
        <v>5.5549657534246597</v>
      </c>
      <c r="H824">
        <v>2.3640745110952901E-3</v>
      </c>
      <c r="I824" t="s">
        <v>2374</v>
      </c>
      <c r="J824" t="s">
        <v>2375</v>
      </c>
      <c r="K824">
        <v>2.1980479042092101E-2</v>
      </c>
      <c r="L824" t="s">
        <v>1178</v>
      </c>
      <c r="M824" t="str">
        <f>HYPERLINK("http://www.broadinstitute.org/gsea/msigdb/cards/GSE17721_POLYIC_VS_GARDIQUIMOD_2H_BMDC_UP.html")</f>
        <v>http://www.broadinstitute.org/gsea/msigdb/cards/GSE17721_POLYIC_VS_GARDIQUIMOD_2H_BMDC_UP.html</v>
      </c>
    </row>
    <row r="825" spans="1:13">
      <c r="A825">
        <v>6821</v>
      </c>
      <c r="B825" t="s">
        <v>2376</v>
      </c>
      <c r="C825">
        <v>5</v>
      </c>
      <c r="D825">
        <v>146</v>
      </c>
      <c r="E825">
        <v>200</v>
      </c>
      <c r="F825">
        <v>32441</v>
      </c>
      <c r="G825">
        <v>5.5549657534246597</v>
      </c>
      <c r="H825">
        <v>2.3640745110952901E-3</v>
      </c>
      <c r="I825" t="s">
        <v>2377</v>
      </c>
      <c r="J825" t="s">
        <v>2378</v>
      </c>
      <c r="K825">
        <v>2.1980479042092101E-2</v>
      </c>
      <c r="L825" t="s">
        <v>1178</v>
      </c>
      <c r="M825" t="str">
        <f>HYPERLINK("http://www.broadinstitute.org/gsea/msigdb/cards/GSE17721_POLYIC_VS_GARDIQUIMOD_8H_BMDC_DN.html")</f>
        <v>http://www.broadinstitute.org/gsea/msigdb/cards/GSE17721_POLYIC_VS_GARDIQUIMOD_8H_BMDC_DN.html</v>
      </c>
    </row>
    <row r="826" spans="1:13">
      <c r="A826">
        <v>695</v>
      </c>
      <c r="B826" t="s">
        <v>2379</v>
      </c>
      <c r="C826">
        <v>5</v>
      </c>
      <c r="D826">
        <v>146</v>
      </c>
      <c r="E826">
        <v>200</v>
      </c>
      <c r="F826">
        <v>32441</v>
      </c>
      <c r="G826">
        <v>5.5549657534246597</v>
      </c>
      <c r="H826">
        <v>2.3640745110952901E-3</v>
      </c>
      <c r="I826" t="s">
        <v>2380</v>
      </c>
      <c r="J826" t="s">
        <v>2381</v>
      </c>
      <c r="K826">
        <v>2.1980479042092101E-2</v>
      </c>
      <c r="L826" t="s">
        <v>1178</v>
      </c>
      <c r="M826" t="str">
        <f>HYPERLINK("http://www.broadinstitute.org/gsea/msigdb/cards/GSE17721_LPS_VS_GARDIQUIMOD_4H_BMDC_UP.html")</f>
        <v>http://www.broadinstitute.org/gsea/msigdb/cards/GSE17721_LPS_VS_GARDIQUIMOD_4H_BMDC_UP.html</v>
      </c>
    </row>
    <row r="827" spans="1:13">
      <c r="A827">
        <v>733</v>
      </c>
      <c r="B827" t="s">
        <v>2382</v>
      </c>
      <c r="C827">
        <v>5</v>
      </c>
      <c r="D827">
        <v>146</v>
      </c>
      <c r="E827">
        <v>200</v>
      </c>
      <c r="F827">
        <v>32441</v>
      </c>
      <c r="G827">
        <v>5.5549657534246597</v>
      </c>
      <c r="H827">
        <v>2.3640745110952901E-3</v>
      </c>
      <c r="I827" t="s">
        <v>2383</v>
      </c>
      <c r="J827" t="s">
        <v>2384</v>
      </c>
      <c r="K827">
        <v>2.1980479042092101E-2</v>
      </c>
      <c r="L827" t="s">
        <v>1178</v>
      </c>
      <c r="M827" t="str">
        <f>HYPERLINK("http://www.broadinstitute.org/gsea/msigdb/cards/GSE17721_0.5H_VS_8H_PAM3CSK4_BMDC_UP.html")</f>
        <v>http://www.broadinstitute.org/gsea/msigdb/cards/GSE17721_0.5H_VS_8H_PAM3CSK4_BMDC_UP.html</v>
      </c>
    </row>
    <row r="828" spans="1:13">
      <c r="A828">
        <v>735</v>
      </c>
      <c r="B828" t="s">
        <v>2385</v>
      </c>
      <c r="C828">
        <v>5</v>
      </c>
      <c r="D828">
        <v>146</v>
      </c>
      <c r="E828">
        <v>200</v>
      </c>
      <c r="F828">
        <v>32441</v>
      </c>
      <c r="G828">
        <v>5.5549657534246597</v>
      </c>
      <c r="H828">
        <v>2.3640745110952901E-3</v>
      </c>
      <c r="I828" t="s">
        <v>2386</v>
      </c>
      <c r="J828" t="s">
        <v>2387</v>
      </c>
      <c r="K828">
        <v>2.1980479042092101E-2</v>
      </c>
      <c r="L828" t="s">
        <v>1178</v>
      </c>
      <c r="M828" t="str">
        <f>HYPERLINK("http://www.broadinstitute.org/gsea/msigdb/cards/GSE17721_0.5H_VS_24H_PAM3CSK4_BMDC_UP.html")</f>
        <v>http://www.broadinstitute.org/gsea/msigdb/cards/GSE17721_0.5H_VS_24H_PAM3CSK4_BMDC_UP.html</v>
      </c>
    </row>
    <row r="829" spans="1:13">
      <c r="A829">
        <v>752</v>
      </c>
      <c r="B829" t="s">
        <v>2388</v>
      </c>
      <c r="C829">
        <v>5</v>
      </c>
      <c r="D829">
        <v>146</v>
      </c>
      <c r="E829">
        <v>200</v>
      </c>
      <c r="F829">
        <v>32441</v>
      </c>
      <c r="G829">
        <v>5.5549657534246597</v>
      </c>
      <c r="H829">
        <v>2.3640745110952901E-3</v>
      </c>
      <c r="I829" t="s">
        <v>2389</v>
      </c>
      <c r="J829" t="s">
        <v>2390</v>
      </c>
      <c r="K829">
        <v>2.1980479042092101E-2</v>
      </c>
      <c r="L829" t="s">
        <v>1178</v>
      </c>
      <c r="M829" t="str">
        <f>HYPERLINK("http://www.broadinstitute.org/gsea/msigdb/cards/GSE17721_12H_VS_24H_CPG_BMDC_DN.html")</f>
        <v>http://www.broadinstitute.org/gsea/msigdb/cards/GSE17721_12H_VS_24H_CPG_BMDC_DN.html</v>
      </c>
    </row>
    <row r="830" spans="1:13">
      <c r="A830">
        <v>753</v>
      </c>
      <c r="B830" t="s">
        <v>2391</v>
      </c>
      <c r="C830">
        <v>5</v>
      </c>
      <c r="D830">
        <v>146</v>
      </c>
      <c r="E830">
        <v>200</v>
      </c>
      <c r="F830">
        <v>32441</v>
      </c>
      <c r="G830">
        <v>5.5549657534246597</v>
      </c>
      <c r="H830">
        <v>2.3640745110952901E-3</v>
      </c>
      <c r="I830" t="s">
        <v>2392</v>
      </c>
      <c r="J830" t="s">
        <v>2393</v>
      </c>
      <c r="K830">
        <v>2.1980479042092101E-2</v>
      </c>
      <c r="L830" t="s">
        <v>1178</v>
      </c>
      <c r="M830" t="str">
        <f>HYPERLINK("http://www.broadinstitute.org/gsea/msigdb/cards/GSE17721_0.5H_VS_12H_GARDIQUIMOD_BMDC_UP.html")</f>
        <v>http://www.broadinstitute.org/gsea/msigdb/cards/GSE17721_0.5H_VS_12H_GARDIQUIMOD_BMDC_UP.html</v>
      </c>
    </row>
    <row r="831" spans="1:13">
      <c r="A831">
        <v>966</v>
      </c>
      <c r="B831" t="s">
        <v>2394</v>
      </c>
      <c r="C831">
        <v>5</v>
      </c>
      <c r="D831">
        <v>146</v>
      </c>
      <c r="E831">
        <v>200</v>
      </c>
      <c r="F831">
        <v>32441</v>
      </c>
      <c r="G831">
        <v>5.5549657534246597</v>
      </c>
      <c r="H831">
        <v>2.3640745110952901E-3</v>
      </c>
      <c r="I831" t="s">
        <v>2395</v>
      </c>
      <c r="J831" t="s">
        <v>2396</v>
      </c>
      <c r="K831">
        <v>2.1980479042092101E-2</v>
      </c>
      <c r="L831" t="s">
        <v>1178</v>
      </c>
      <c r="M831" t="str">
        <f>HYPERLINK("http://www.broadinstitute.org/gsea/msigdb/cards/GSE22886_DAY1_VS_DAY7_MONOCYTE_IN_CULTURE_DN.html")</f>
        <v>http://www.broadinstitute.org/gsea/msigdb/cards/GSE22886_DAY1_VS_DAY7_MONOCYTE_IN_CULTURE_DN.html</v>
      </c>
    </row>
    <row r="832" spans="1:13">
      <c r="A832">
        <v>968</v>
      </c>
      <c r="B832" t="s">
        <v>2397</v>
      </c>
      <c r="C832">
        <v>5</v>
      </c>
      <c r="D832">
        <v>146</v>
      </c>
      <c r="E832">
        <v>200</v>
      </c>
      <c r="F832">
        <v>32441</v>
      </c>
      <c r="G832">
        <v>5.5549657534246597</v>
      </c>
      <c r="H832">
        <v>2.3640745110952901E-3</v>
      </c>
      <c r="I832" t="s">
        <v>2398</v>
      </c>
      <c r="J832" t="s">
        <v>2399</v>
      </c>
      <c r="K832">
        <v>2.1980479042092101E-2</v>
      </c>
      <c r="L832" t="s">
        <v>1178</v>
      </c>
      <c r="M832" t="str">
        <f>HYPERLINK("http://www.broadinstitute.org/gsea/msigdb/cards/GSE22886_NEUTROPHIL_VS_DC_DN.html")</f>
        <v>http://www.broadinstitute.org/gsea/msigdb/cards/GSE22886_NEUTROPHIL_VS_DC_DN.html</v>
      </c>
    </row>
    <row r="833" spans="1:13">
      <c r="A833">
        <v>1013</v>
      </c>
      <c r="B833" t="s">
        <v>2400</v>
      </c>
      <c r="C833">
        <v>5</v>
      </c>
      <c r="D833">
        <v>146</v>
      </c>
      <c r="E833">
        <v>200</v>
      </c>
      <c r="F833">
        <v>32441</v>
      </c>
      <c r="G833">
        <v>5.5549657534246597</v>
      </c>
      <c r="H833">
        <v>2.3640745110952901E-3</v>
      </c>
      <c r="I833" t="s">
        <v>2401</v>
      </c>
      <c r="J833" t="s">
        <v>2402</v>
      </c>
      <c r="K833">
        <v>2.1980479042092101E-2</v>
      </c>
      <c r="L833" t="s">
        <v>1178</v>
      </c>
      <c r="M833" t="str">
        <f>HYPERLINK("http://www.broadinstitute.org/gsea/msigdb/cards/GSE22886_UNSTIM_VS_IL2_STIM_NKCELL_UP.html")</f>
        <v>http://www.broadinstitute.org/gsea/msigdb/cards/GSE22886_UNSTIM_VS_IL2_STIM_NKCELL_UP.html</v>
      </c>
    </row>
    <row r="834" spans="1:13">
      <c r="A834">
        <v>1016</v>
      </c>
      <c r="B834" t="s">
        <v>2403</v>
      </c>
      <c r="C834">
        <v>5</v>
      </c>
      <c r="D834">
        <v>146</v>
      </c>
      <c r="E834">
        <v>200</v>
      </c>
      <c r="F834">
        <v>32441</v>
      </c>
      <c r="G834">
        <v>5.5549657534246597</v>
      </c>
      <c r="H834">
        <v>2.3640745110952901E-3</v>
      </c>
      <c r="I834" t="s">
        <v>2404</v>
      </c>
      <c r="J834" t="s">
        <v>2405</v>
      </c>
      <c r="K834">
        <v>2.1980479042092101E-2</v>
      </c>
      <c r="L834" t="s">
        <v>1178</v>
      </c>
      <c r="M834" t="str">
        <f>HYPERLINK("http://www.broadinstitute.org/gsea/msigdb/cards/GSE22886_UNSTIM_VS_IL15_STIM_NKCELL_DN.html")</f>
        <v>http://www.broadinstitute.org/gsea/msigdb/cards/GSE22886_UNSTIM_VS_IL15_STIM_NKCELL_DN.html</v>
      </c>
    </row>
    <row r="835" spans="1:13">
      <c r="A835">
        <v>1022</v>
      </c>
      <c r="B835" t="s">
        <v>2406</v>
      </c>
      <c r="C835">
        <v>5</v>
      </c>
      <c r="D835">
        <v>146</v>
      </c>
      <c r="E835">
        <v>200</v>
      </c>
      <c r="F835">
        <v>32441</v>
      </c>
      <c r="G835">
        <v>5.5549657534246597</v>
      </c>
      <c r="H835">
        <v>2.3640745110952901E-3</v>
      </c>
      <c r="I835" t="s">
        <v>2407</v>
      </c>
      <c r="J835" t="s">
        <v>2408</v>
      </c>
      <c r="K835">
        <v>2.1980479042092101E-2</v>
      </c>
      <c r="L835" t="s">
        <v>1178</v>
      </c>
      <c r="M835" t="str">
        <f>HYPERLINK("http://www.broadinstitute.org/gsea/msigdb/cards/GSE24102_GRANULOCYSTIC_MDSC_VS_NEUTROPHIL_DN.html")</f>
        <v>http://www.broadinstitute.org/gsea/msigdb/cards/GSE24102_GRANULOCYSTIC_MDSC_VS_NEUTROPHIL_DN.html</v>
      </c>
    </row>
    <row r="836" spans="1:13">
      <c r="A836">
        <v>1086</v>
      </c>
      <c r="B836" t="s">
        <v>2409</v>
      </c>
      <c r="C836">
        <v>5</v>
      </c>
      <c r="D836">
        <v>146</v>
      </c>
      <c r="E836">
        <v>200</v>
      </c>
      <c r="F836">
        <v>32441</v>
      </c>
      <c r="G836">
        <v>5.5549657534246597</v>
      </c>
      <c r="H836">
        <v>2.3640745110952901E-3</v>
      </c>
      <c r="I836" t="s">
        <v>2410</v>
      </c>
      <c r="J836" t="s">
        <v>2411</v>
      </c>
      <c r="K836">
        <v>2.1980479042092101E-2</v>
      </c>
      <c r="L836" t="s">
        <v>1178</v>
      </c>
      <c r="M836" t="str">
        <f>HYPERLINK("http://www.broadinstitute.org/gsea/msigdb/cards/GSE25087_TREG_VS_TCONV_ADULT_DN.html")</f>
        <v>http://www.broadinstitute.org/gsea/msigdb/cards/GSE25087_TREG_VS_TCONV_ADULT_DN.html</v>
      </c>
    </row>
    <row r="837" spans="1:13">
      <c r="A837">
        <v>1123</v>
      </c>
      <c r="B837" t="s">
        <v>2412</v>
      </c>
      <c r="C837">
        <v>5</v>
      </c>
      <c r="D837">
        <v>146</v>
      </c>
      <c r="E837">
        <v>200</v>
      </c>
      <c r="F837">
        <v>32441</v>
      </c>
      <c r="G837">
        <v>5.5549657534246597</v>
      </c>
      <c r="H837">
        <v>2.3640745110952901E-3</v>
      </c>
      <c r="I837" t="s">
        <v>2413</v>
      </c>
      <c r="J837" t="s">
        <v>2414</v>
      </c>
      <c r="K837">
        <v>2.1980479042092101E-2</v>
      </c>
      <c r="L837" t="s">
        <v>1178</v>
      </c>
      <c r="M837" t="str">
        <f>HYPERLINK("http://www.broadinstitute.org/gsea/msigdb/cards/GSE2706_UNSTIM_VS_8H_LPS_AND_R848_DC_UP.html")</f>
        <v>http://www.broadinstitute.org/gsea/msigdb/cards/GSE2706_UNSTIM_VS_8H_LPS_AND_R848_DC_UP.html</v>
      </c>
    </row>
    <row r="838" spans="1:13">
      <c r="A838">
        <v>1139</v>
      </c>
      <c r="B838" t="s">
        <v>2415</v>
      </c>
      <c r="C838">
        <v>5</v>
      </c>
      <c r="D838">
        <v>146</v>
      </c>
      <c r="E838">
        <v>200</v>
      </c>
      <c r="F838">
        <v>32441</v>
      </c>
      <c r="G838">
        <v>5.5549657534246597</v>
      </c>
      <c r="H838">
        <v>2.3640745110952901E-3</v>
      </c>
      <c r="I838" t="s">
        <v>2416</v>
      </c>
      <c r="J838" t="s">
        <v>2417</v>
      </c>
      <c r="K838">
        <v>2.1980479042092101E-2</v>
      </c>
      <c r="L838" t="s">
        <v>1178</v>
      </c>
      <c r="M838" t="str">
        <f>HYPERLINK("http://www.broadinstitute.org/gsea/msigdb/cards/GSE2706_2H_VS_8H_LPS_STIM_DC_UP.html")</f>
        <v>http://www.broadinstitute.org/gsea/msigdb/cards/GSE2706_2H_VS_8H_LPS_STIM_DC_UP.html</v>
      </c>
    </row>
    <row r="839" spans="1:13">
      <c r="A839">
        <v>1146</v>
      </c>
      <c r="B839" t="s">
        <v>2418</v>
      </c>
      <c r="C839">
        <v>5</v>
      </c>
      <c r="D839">
        <v>146</v>
      </c>
      <c r="E839">
        <v>200</v>
      </c>
      <c r="F839">
        <v>32441</v>
      </c>
      <c r="G839">
        <v>5.5549657534246597</v>
      </c>
      <c r="H839">
        <v>2.3640745110952901E-3</v>
      </c>
      <c r="I839" t="s">
        <v>2419</v>
      </c>
      <c r="J839" t="s">
        <v>2420</v>
      </c>
      <c r="K839">
        <v>2.1980479042092101E-2</v>
      </c>
      <c r="L839" t="s">
        <v>1178</v>
      </c>
      <c r="M839" t="str">
        <f>HYPERLINK("http://www.broadinstitute.org/gsea/msigdb/cards/GSE27786_LSK_VS_BCELL_DN.html")</f>
        <v>http://www.broadinstitute.org/gsea/msigdb/cards/GSE27786_LSK_VS_BCELL_DN.html</v>
      </c>
    </row>
    <row r="840" spans="1:13">
      <c r="A840">
        <v>1159</v>
      </c>
      <c r="B840" t="s">
        <v>2421</v>
      </c>
      <c r="C840">
        <v>5</v>
      </c>
      <c r="D840">
        <v>146</v>
      </c>
      <c r="E840">
        <v>200</v>
      </c>
      <c r="F840">
        <v>32441</v>
      </c>
      <c r="G840">
        <v>5.5549657534246597</v>
      </c>
      <c r="H840">
        <v>2.3640745110952901E-3</v>
      </c>
      <c r="I840" t="s">
        <v>2422</v>
      </c>
      <c r="J840" t="s">
        <v>2423</v>
      </c>
      <c r="K840">
        <v>2.1980479042092101E-2</v>
      </c>
      <c r="L840" t="s">
        <v>1178</v>
      </c>
      <c r="M840" t="str">
        <f>HYPERLINK("http://www.broadinstitute.org/gsea/msigdb/cards/GSE27786_LSK_VS_MONO_MAC_UP.html")</f>
        <v>http://www.broadinstitute.org/gsea/msigdb/cards/GSE27786_LSK_VS_MONO_MAC_UP.html</v>
      </c>
    </row>
    <row r="841" spans="1:13">
      <c r="A841">
        <v>1180</v>
      </c>
      <c r="B841" t="s">
        <v>2424</v>
      </c>
      <c r="C841">
        <v>5</v>
      </c>
      <c r="D841">
        <v>146</v>
      </c>
      <c r="E841">
        <v>200</v>
      </c>
      <c r="F841">
        <v>32441</v>
      </c>
      <c r="G841">
        <v>5.5549657534246597</v>
      </c>
      <c r="H841">
        <v>2.3640745110952901E-3</v>
      </c>
      <c r="I841" t="s">
        <v>2425</v>
      </c>
      <c r="J841" t="s">
        <v>2426</v>
      </c>
      <c r="K841">
        <v>2.1980479042092101E-2</v>
      </c>
      <c r="L841" t="s">
        <v>1178</v>
      </c>
      <c r="M841" t="str">
        <f>HYPERLINK("http://www.broadinstitute.org/gsea/msigdb/cards/GSE27786_BCELL_VS_CD8_TCELL_DN.html")</f>
        <v>http://www.broadinstitute.org/gsea/msigdb/cards/GSE27786_BCELL_VS_CD8_TCELL_DN.html</v>
      </c>
    </row>
    <row r="842" spans="1:13">
      <c r="A842">
        <v>12191</v>
      </c>
      <c r="B842" t="s">
        <v>2427</v>
      </c>
      <c r="C842">
        <v>5</v>
      </c>
      <c r="D842">
        <v>146</v>
      </c>
      <c r="E842">
        <v>200</v>
      </c>
      <c r="F842">
        <v>32441</v>
      </c>
      <c r="G842">
        <v>5.5549657534246597</v>
      </c>
      <c r="H842">
        <v>2.3640745110952901E-3</v>
      </c>
      <c r="I842" t="s">
        <v>2428</v>
      </c>
      <c r="J842" t="s">
        <v>2429</v>
      </c>
      <c r="K842">
        <v>2.1980479042092101E-2</v>
      </c>
      <c r="L842" t="s">
        <v>1178</v>
      </c>
      <c r="M842" t="str">
        <f>HYPERLINK("http://www.broadinstitute.org/gsea/msigdb/cards/GSE27786_NKCELL_VS_MONO_MAC_UP.html")</f>
        <v>http://www.broadinstitute.org/gsea/msigdb/cards/GSE27786_NKCELL_VS_MONO_MAC_UP.html</v>
      </c>
    </row>
    <row r="843" spans="1:13">
      <c r="A843">
        <v>1238</v>
      </c>
      <c r="B843" t="s">
        <v>2430</v>
      </c>
      <c r="C843">
        <v>5</v>
      </c>
      <c r="D843">
        <v>146</v>
      </c>
      <c r="E843">
        <v>200</v>
      </c>
      <c r="F843">
        <v>32441</v>
      </c>
      <c r="G843">
        <v>5.5549657534246597</v>
      </c>
      <c r="H843">
        <v>2.3640745110952901E-3</v>
      </c>
      <c r="I843" t="s">
        <v>2431</v>
      </c>
      <c r="J843" t="s">
        <v>2432</v>
      </c>
      <c r="K843">
        <v>2.1980479042092101E-2</v>
      </c>
      <c r="L843" t="s">
        <v>1178</v>
      </c>
      <c r="M843" t="str">
        <f>HYPERLINK("http://www.broadinstitute.org/gsea/msigdb/cards/GSE28237_EARLY_VS_LATE_GC_BCELL_DN.html")</f>
        <v>http://www.broadinstitute.org/gsea/msigdb/cards/GSE28237_EARLY_VS_LATE_GC_BCELL_DN.html</v>
      </c>
    </row>
    <row r="844" spans="1:13">
      <c r="A844">
        <v>1243</v>
      </c>
      <c r="B844" t="s">
        <v>2433</v>
      </c>
      <c r="C844">
        <v>5</v>
      </c>
      <c r="D844">
        <v>146</v>
      </c>
      <c r="E844">
        <v>200</v>
      </c>
      <c r="F844">
        <v>32441</v>
      </c>
      <c r="G844">
        <v>5.5549657534246597</v>
      </c>
      <c r="H844">
        <v>2.3640745110952901E-3</v>
      </c>
      <c r="I844" t="s">
        <v>2434</v>
      </c>
      <c r="J844" t="s">
        <v>2435</v>
      </c>
      <c r="K844">
        <v>2.1980479042092101E-2</v>
      </c>
      <c r="L844" t="s">
        <v>1178</v>
      </c>
      <c r="M844" t="str">
        <f>HYPERLINK("http://www.broadinstitute.org/gsea/msigdb/cards/GSE2826_XID_VS_BTK_KO_BCELL_UP.html")</f>
        <v>http://www.broadinstitute.org/gsea/msigdb/cards/GSE2826_XID_VS_BTK_KO_BCELL_UP.html</v>
      </c>
    </row>
    <row r="845" spans="1:13">
      <c r="A845">
        <v>1301</v>
      </c>
      <c r="B845" t="s">
        <v>2436</v>
      </c>
      <c r="C845">
        <v>5</v>
      </c>
      <c r="D845">
        <v>146</v>
      </c>
      <c r="E845">
        <v>200</v>
      </c>
      <c r="F845">
        <v>32441</v>
      </c>
      <c r="G845">
        <v>5.5549657534246597</v>
      </c>
      <c r="H845">
        <v>2.3640745110952901E-3</v>
      </c>
      <c r="I845" t="s">
        <v>2437</v>
      </c>
      <c r="J845" t="s">
        <v>2438</v>
      </c>
      <c r="K845">
        <v>2.1980479042092101E-2</v>
      </c>
      <c r="L845" t="s">
        <v>1178</v>
      </c>
      <c r="M845" t="str">
        <f>HYPERLINK("http://www.broadinstitute.org/gsea/msigdb/cards/GSE29618_PRE_VS_DAY7_POST_LAIV_FLU_VACCINE_BCELL_UP.html")</f>
        <v>http://www.broadinstitute.org/gsea/msigdb/cards/GSE29618_PRE_VS_DAY7_POST_LAIV_FLU_VACCINE_BCELL_UP.html</v>
      </c>
    </row>
    <row r="846" spans="1:13">
      <c r="A846">
        <v>1312</v>
      </c>
      <c r="B846" t="s">
        <v>2439</v>
      </c>
      <c r="C846">
        <v>5</v>
      </c>
      <c r="D846">
        <v>146</v>
      </c>
      <c r="E846">
        <v>200</v>
      </c>
      <c r="F846">
        <v>32441</v>
      </c>
      <c r="G846">
        <v>5.5549657534246597</v>
      </c>
      <c r="H846">
        <v>2.3640745110952901E-3</v>
      </c>
      <c r="I846" t="s">
        <v>2440</v>
      </c>
      <c r="J846" t="s">
        <v>2441</v>
      </c>
      <c r="K846">
        <v>2.1980479042092101E-2</v>
      </c>
      <c r="L846" t="s">
        <v>1178</v>
      </c>
      <c r="M846" t="str">
        <f>HYPERLINK("http://www.broadinstitute.org/gsea/msigdb/cards/GSE29618_PRE_VS_DAY7_POST_TIV_FLU_VACCINE_PDC_DN.html")</f>
        <v>http://www.broadinstitute.org/gsea/msigdb/cards/GSE29618_PRE_VS_DAY7_POST_TIV_FLU_VACCINE_PDC_DN.html</v>
      </c>
    </row>
    <row r="847" spans="1:13">
      <c r="A847">
        <v>1327</v>
      </c>
      <c r="B847" t="s">
        <v>2442</v>
      </c>
      <c r="C847">
        <v>5</v>
      </c>
      <c r="D847">
        <v>146</v>
      </c>
      <c r="E847">
        <v>200</v>
      </c>
      <c r="F847">
        <v>32441</v>
      </c>
      <c r="G847">
        <v>5.5549657534246597</v>
      </c>
      <c r="H847">
        <v>2.3640745110952901E-3</v>
      </c>
      <c r="I847" t="s">
        <v>2443</v>
      </c>
      <c r="J847" t="s">
        <v>2444</v>
      </c>
      <c r="K847">
        <v>2.1980479042092101E-2</v>
      </c>
      <c r="L847" t="s">
        <v>1178</v>
      </c>
      <c r="M847" t="str">
        <f>HYPERLINK("http://www.broadinstitute.org/gsea/msigdb/cards/GSE30083_SP1_VS_SP3_THYMOCYTE_UP.html")</f>
        <v>http://www.broadinstitute.org/gsea/msigdb/cards/GSE30083_SP1_VS_SP3_THYMOCYTE_UP.html</v>
      </c>
    </row>
    <row r="848" spans="1:13">
      <c r="A848">
        <v>1347</v>
      </c>
      <c r="B848" t="s">
        <v>2445</v>
      </c>
      <c r="C848">
        <v>5</v>
      </c>
      <c r="D848">
        <v>146</v>
      </c>
      <c r="E848">
        <v>200</v>
      </c>
      <c r="F848">
        <v>32441</v>
      </c>
      <c r="G848">
        <v>5.5549657534246597</v>
      </c>
      <c r="H848">
        <v>2.3640745110952901E-3</v>
      </c>
      <c r="I848" t="s">
        <v>2446</v>
      </c>
      <c r="J848" t="s">
        <v>2447</v>
      </c>
      <c r="K848">
        <v>2.1980479042092101E-2</v>
      </c>
      <c r="L848" t="s">
        <v>1178</v>
      </c>
      <c r="M848" t="str">
        <f>HYPERLINK("http://www.broadinstitute.org/gsea/msigdb/cards/GSE31082_DN_VS_CD4_SP_THYMOCYTE_UP.html")</f>
        <v>http://www.broadinstitute.org/gsea/msigdb/cards/GSE31082_DN_VS_CD4_SP_THYMOCYTE_UP.html</v>
      </c>
    </row>
    <row r="849" spans="1:13">
      <c r="A849">
        <v>1352</v>
      </c>
      <c r="B849" t="s">
        <v>2448</v>
      </c>
      <c r="C849">
        <v>5</v>
      </c>
      <c r="D849">
        <v>146</v>
      </c>
      <c r="E849">
        <v>200</v>
      </c>
      <c r="F849">
        <v>32441</v>
      </c>
      <c r="G849">
        <v>5.5549657534246597</v>
      </c>
      <c r="H849">
        <v>2.3640745110952901E-3</v>
      </c>
      <c r="I849" t="s">
        <v>2449</v>
      </c>
      <c r="J849" t="s">
        <v>2450</v>
      </c>
      <c r="K849">
        <v>2.1980479042092101E-2</v>
      </c>
      <c r="L849" t="s">
        <v>1178</v>
      </c>
      <c r="M849" t="str">
        <f>HYPERLINK("http://www.broadinstitute.org/gsea/msigdb/cards/GSE31082_DP_VS_CD4_SP_THYMOCYTE_DN.html")</f>
        <v>http://www.broadinstitute.org/gsea/msigdb/cards/GSE31082_DP_VS_CD4_SP_THYMOCYTE_DN.html</v>
      </c>
    </row>
    <row r="850" spans="1:13">
      <c r="A850">
        <v>1354</v>
      </c>
      <c r="B850" t="s">
        <v>2451</v>
      </c>
      <c r="C850">
        <v>5</v>
      </c>
      <c r="D850">
        <v>146</v>
      </c>
      <c r="E850">
        <v>200</v>
      </c>
      <c r="F850">
        <v>32441</v>
      </c>
      <c r="G850">
        <v>5.5549657534246597</v>
      </c>
      <c r="H850">
        <v>2.3640745110952901E-3</v>
      </c>
      <c r="I850" t="s">
        <v>2452</v>
      </c>
      <c r="J850" t="s">
        <v>2453</v>
      </c>
      <c r="K850">
        <v>2.1980479042092101E-2</v>
      </c>
      <c r="L850" t="s">
        <v>1178</v>
      </c>
      <c r="M850" t="str">
        <f>HYPERLINK("http://www.broadinstitute.org/gsea/msigdb/cards/GSE31082_DP_VS_CD8_SP_THYMOCYTE_DN.html")</f>
        <v>http://www.broadinstitute.org/gsea/msigdb/cards/GSE31082_DP_VS_CD8_SP_THYMOCYTE_DN.html</v>
      </c>
    </row>
    <row r="851" spans="1:13">
      <c r="A851">
        <v>1382</v>
      </c>
      <c r="B851" t="s">
        <v>2454</v>
      </c>
      <c r="C851">
        <v>5</v>
      </c>
      <c r="D851">
        <v>146</v>
      </c>
      <c r="E851">
        <v>199</v>
      </c>
      <c r="F851">
        <v>32441</v>
      </c>
      <c r="G851">
        <v>5.5828801541956397</v>
      </c>
      <c r="H851">
        <v>2.3146180996214401E-3</v>
      </c>
      <c r="I851" t="s">
        <v>2455</v>
      </c>
      <c r="J851" t="s">
        <v>2456</v>
      </c>
      <c r="K851">
        <v>2.1980479042092101E-2</v>
      </c>
      <c r="L851" t="s">
        <v>1178</v>
      </c>
      <c r="M851" t="str">
        <f>HYPERLINK("http://www.broadinstitute.org/gsea/msigdb/cards/GSE33513_TCF7_KO_VS_HET_EARLY_THYMIC_PROGENITOR_DN.html")</f>
        <v>http://www.broadinstitute.org/gsea/msigdb/cards/GSE33513_TCF7_KO_VS_HET_EARLY_THYMIC_PROGENITOR_DN.html</v>
      </c>
    </row>
    <row r="852" spans="1:13">
      <c r="A852">
        <v>1389</v>
      </c>
      <c r="B852" t="s">
        <v>2457</v>
      </c>
      <c r="C852">
        <v>5</v>
      </c>
      <c r="D852">
        <v>146</v>
      </c>
      <c r="E852">
        <v>200</v>
      </c>
      <c r="F852">
        <v>32441</v>
      </c>
      <c r="G852">
        <v>5.5549657534246597</v>
      </c>
      <c r="H852">
        <v>2.3640745110952901E-3</v>
      </c>
      <c r="I852" t="s">
        <v>2458</v>
      </c>
      <c r="J852" t="s">
        <v>2459</v>
      </c>
      <c r="K852">
        <v>2.1980479042092101E-2</v>
      </c>
      <c r="L852" t="s">
        <v>1178</v>
      </c>
      <c r="M852" t="str">
        <f>HYPERLINK("http://www.broadinstitute.org/gsea/msigdb/cards/GSE339_CD4POS_VS_CD8POS_DC_IN_CULTURE_UP.html")</f>
        <v>http://www.broadinstitute.org/gsea/msigdb/cards/GSE339_CD4POS_VS_CD8POS_DC_IN_CULTURE_UP.html</v>
      </c>
    </row>
    <row r="853" spans="1:13">
      <c r="A853">
        <v>1393</v>
      </c>
      <c r="B853" t="s">
        <v>2460</v>
      </c>
      <c r="C853">
        <v>5</v>
      </c>
      <c r="D853">
        <v>146</v>
      </c>
      <c r="E853">
        <v>200</v>
      </c>
      <c r="F853">
        <v>32441</v>
      </c>
      <c r="G853">
        <v>5.5549657534246597</v>
      </c>
      <c r="H853">
        <v>2.3640745110952901E-3</v>
      </c>
      <c r="I853" t="s">
        <v>2461</v>
      </c>
      <c r="J853" t="s">
        <v>2462</v>
      </c>
      <c r="K853">
        <v>2.1980479042092101E-2</v>
      </c>
      <c r="L853" t="s">
        <v>1178</v>
      </c>
      <c r="M853" t="str">
        <f>HYPERLINK("http://www.broadinstitute.org/gsea/msigdb/cards/GSE339_CD8POS_VS_CD4CD8DN_DC_IN_CULTURE_UP.html")</f>
        <v>http://www.broadinstitute.org/gsea/msigdb/cards/GSE339_CD8POS_VS_CD4CD8DN_DC_IN_CULTURE_UP.html</v>
      </c>
    </row>
    <row r="854" spans="1:13">
      <c r="A854">
        <v>1419</v>
      </c>
      <c r="B854" t="s">
        <v>2463</v>
      </c>
      <c r="C854">
        <v>5</v>
      </c>
      <c r="D854">
        <v>146</v>
      </c>
      <c r="E854">
        <v>200</v>
      </c>
      <c r="F854">
        <v>32441</v>
      </c>
      <c r="G854">
        <v>5.5549657534246597</v>
      </c>
      <c r="H854">
        <v>2.3640745110952901E-3</v>
      </c>
      <c r="I854" t="s">
        <v>2464</v>
      </c>
      <c r="J854" t="s">
        <v>2465</v>
      </c>
      <c r="K854">
        <v>2.1980479042092101E-2</v>
      </c>
      <c r="L854" t="s">
        <v>1178</v>
      </c>
      <c r="M854" t="str">
        <f>HYPERLINK("http://www.broadinstitute.org/gsea/msigdb/cards/GSE360_CTRL_VS_L_DONOVANI_MAC_UP.html")</f>
        <v>http://www.broadinstitute.org/gsea/msigdb/cards/GSE360_CTRL_VS_L_DONOVANI_MAC_UP.html</v>
      </c>
    </row>
    <row r="855" spans="1:13">
      <c r="A855">
        <v>1441</v>
      </c>
      <c r="B855" t="s">
        <v>2466</v>
      </c>
      <c r="C855">
        <v>5</v>
      </c>
      <c r="D855">
        <v>146</v>
      </c>
      <c r="E855">
        <v>200</v>
      </c>
      <c r="F855">
        <v>32441</v>
      </c>
      <c r="G855">
        <v>5.5549657534246597</v>
      </c>
      <c r="H855">
        <v>2.3640745110952901E-3</v>
      </c>
      <c r="I855" t="s">
        <v>2467</v>
      </c>
      <c r="J855" t="s">
        <v>2468</v>
      </c>
      <c r="K855">
        <v>2.1980479042092101E-2</v>
      </c>
      <c r="L855" t="s">
        <v>1178</v>
      </c>
      <c r="M855" t="str">
        <f>HYPERLINK("http://www.broadinstitute.org/gsea/msigdb/cards/GSE360_DC_VS_MAC_B_MALAYI_LOW_DOSE_UP.html")</f>
        <v>http://www.broadinstitute.org/gsea/msigdb/cards/GSE360_DC_VS_MAC_B_MALAYI_LOW_DOSE_UP.html</v>
      </c>
    </row>
    <row r="856" spans="1:13">
      <c r="A856">
        <v>1501</v>
      </c>
      <c r="B856" t="s">
        <v>2469</v>
      </c>
      <c r="C856">
        <v>5</v>
      </c>
      <c r="D856">
        <v>146</v>
      </c>
      <c r="E856">
        <v>200</v>
      </c>
      <c r="F856">
        <v>32441</v>
      </c>
      <c r="G856">
        <v>5.5549657534246597</v>
      </c>
      <c r="H856">
        <v>2.3640745110952901E-3</v>
      </c>
      <c r="I856" t="s">
        <v>2470</v>
      </c>
      <c r="J856" t="s">
        <v>2471</v>
      </c>
      <c r="K856">
        <v>2.1980479042092101E-2</v>
      </c>
      <c r="L856" t="s">
        <v>1178</v>
      </c>
      <c r="M856" t="str">
        <f>HYPERLINK("http://www.broadinstitute.org/gsea/msigdb/cards/GSE360_HIGH_DOSE_B_MALAYI_VS_M_TUBERCULOSIS_MAC_UP.html")</f>
        <v>http://www.broadinstitute.org/gsea/msigdb/cards/GSE360_HIGH_DOSE_B_MALAYI_VS_M_TUBERCULOSIS_MAC_UP.html</v>
      </c>
    </row>
    <row r="857" spans="1:13">
      <c r="A857">
        <v>1512</v>
      </c>
      <c r="B857" t="s">
        <v>2472</v>
      </c>
      <c r="C857">
        <v>5</v>
      </c>
      <c r="D857">
        <v>146</v>
      </c>
      <c r="E857">
        <v>200</v>
      </c>
      <c r="F857">
        <v>32441</v>
      </c>
      <c r="G857">
        <v>5.5549657534246597</v>
      </c>
      <c r="H857">
        <v>2.3640745110952901E-3</v>
      </c>
      <c r="I857" t="s">
        <v>2473</v>
      </c>
      <c r="J857" t="s">
        <v>2474</v>
      </c>
      <c r="K857">
        <v>2.1980479042092101E-2</v>
      </c>
      <c r="L857" t="s">
        <v>1178</v>
      </c>
      <c r="M857" t="str">
        <f>HYPERLINK("http://www.broadinstitute.org/gsea/msigdb/cards/GSE36392_EOSINOPHIL_VS_MAC_IL25_TREATED_LUNG_DN.html")</f>
        <v>http://www.broadinstitute.org/gsea/msigdb/cards/GSE36392_EOSINOPHIL_VS_MAC_IL25_TREATED_LUNG_DN.html</v>
      </c>
    </row>
    <row r="858" spans="1:13">
      <c r="A858">
        <v>1517</v>
      </c>
      <c r="B858" t="s">
        <v>2475</v>
      </c>
      <c r="C858">
        <v>5</v>
      </c>
      <c r="D858">
        <v>146</v>
      </c>
      <c r="E858">
        <v>200</v>
      </c>
      <c r="F858">
        <v>32441</v>
      </c>
      <c r="G858">
        <v>5.5549657534246597</v>
      </c>
      <c r="H858">
        <v>2.3640745110952901E-3</v>
      </c>
      <c r="I858" t="s">
        <v>2476</v>
      </c>
      <c r="J858" t="s">
        <v>2477</v>
      </c>
      <c r="K858">
        <v>2.1980479042092101E-2</v>
      </c>
      <c r="L858" t="s">
        <v>1178</v>
      </c>
      <c r="M858" t="str">
        <f>HYPERLINK("http://www.broadinstitute.org/gsea/msigdb/cards/GSE36476_CTRL_VS_TSST_ACT_16H_MEMORY_CD4_TCELL_YOUNG_UP.html")</f>
        <v>http://www.broadinstitute.org/gsea/msigdb/cards/GSE36476_CTRL_VS_TSST_ACT_16H_MEMORY_CD4_TCELL_YOUNG_UP.html</v>
      </c>
    </row>
    <row r="859" spans="1:13">
      <c r="A859">
        <v>1519</v>
      </c>
      <c r="B859" t="s">
        <v>2478</v>
      </c>
      <c r="C859">
        <v>5</v>
      </c>
      <c r="D859">
        <v>146</v>
      </c>
      <c r="E859">
        <v>200</v>
      </c>
      <c r="F859">
        <v>32441</v>
      </c>
      <c r="G859">
        <v>5.5549657534246597</v>
      </c>
      <c r="H859">
        <v>2.3640745110952901E-3</v>
      </c>
      <c r="I859" t="s">
        <v>2479</v>
      </c>
      <c r="J859" t="s">
        <v>2480</v>
      </c>
      <c r="K859">
        <v>2.1980479042092101E-2</v>
      </c>
      <c r="L859" t="s">
        <v>1178</v>
      </c>
      <c r="M859" t="str">
        <f>HYPERLINK("http://www.broadinstitute.org/gsea/msigdb/cards/GSE36476_CTRL_VS_TSST_ACT_40H_MEMORY_CD4_TCELL_YOUNG_UP.html")</f>
        <v>http://www.broadinstitute.org/gsea/msigdb/cards/GSE36476_CTRL_VS_TSST_ACT_40H_MEMORY_CD4_TCELL_YOUNG_UP.html</v>
      </c>
    </row>
    <row r="860" spans="1:13">
      <c r="A860">
        <v>1534</v>
      </c>
      <c r="B860" t="s">
        <v>2481</v>
      </c>
      <c r="C860">
        <v>5</v>
      </c>
      <c r="D860">
        <v>146</v>
      </c>
      <c r="E860">
        <v>200</v>
      </c>
      <c r="F860">
        <v>32441</v>
      </c>
      <c r="G860">
        <v>5.5549657534246597</v>
      </c>
      <c r="H860">
        <v>2.3640745110952901E-3</v>
      </c>
      <c r="I860" t="s">
        <v>2482</v>
      </c>
      <c r="J860" t="s">
        <v>2483</v>
      </c>
      <c r="K860">
        <v>2.1980479042092101E-2</v>
      </c>
      <c r="L860" t="s">
        <v>1178</v>
      </c>
      <c r="M860" t="str">
        <f>HYPERLINK("http://www.broadinstitute.org/gsea/msigdb/cards/GSE36476_YOUNG_VS_OLD_DONOR_MEMORY_CD4_TCELL_40H_TSST_ACT_DN.html")</f>
        <v>http://www.broadinstitute.org/gsea/msigdb/cards/GSE36476_YOUNG_VS_OLD_DONOR_MEMORY_CD4_TCELL_40H_TSST_ACT_DN.html</v>
      </c>
    </row>
    <row r="861" spans="1:13">
      <c r="A861">
        <v>1602</v>
      </c>
      <c r="B861" t="s">
        <v>2484</v>
      </c>
      <c r="C861">
        <v>5</v>
      </c>
      <c r="D861">
        <v>146</v>
      </c>
      <c r="E861">
        <v>200</v>
      </c>
      <c r="F861">
        <v>32441</v>
      </c>
      <c r="G861">
        <v>5.5549657534246597</v>
      </c>
      <c r="H861">
        <v>2.3640745110952901E-3</v>
      </c>
      <c r="I861" t="s">
        <v>2485</v>
      </c>
      <c r="J861" t="s">
        <v>2486</v>
      </c>
      <c r="K861">
        <v>2.1980479042092101E-2</v>
      </c>
      <c r="L861" t="s">
        <v>1178</v>
      </c>
      <c r="M861" t="str">
        <f>HYPERLINK("http://www.broadinstitute.org/gsea/msigdb/cards/GSE3982_EOSINOPHIL_VS_NKCELL_DN.html")</f>
        <v>http://www.broadinstitute.org/gsea/msigdb/cards/GSE3982_EOSINOPHIL_VS_NKCELL_DN.html</v>
      </c>
    </row>
    <row r="862" spans="1:13">
      <c r="A862">
        <v>1607</v>
      </c>
      <c r="B862" t="s">
        <v>2487</v>
      </c>
      <c r="C862">
        <v>5</v>
      </c>
      <c r="D862">
        <v>146</v>
      </c>
      <c r="E862">
        <v>200</v>
      </c>
      <c r="F862">
        <v>32441</v>
      </c>
      <c r="G862">
        <v>5.5549657534246597</v>
      </c>
      <c r="H862">
        <v>2.3640745110952901E-3</v>
      </c>
      <c r="I862" t="s">
        <v>2488</v>
      </c>
      <c r="J862" t="s">
        <v>2489</v>
      </c>
      <c r="K862">
        <v>2.1980479042092101E-2</v>
      </c>
      <c r="L862" t="s">
        <v>1178</v>
      </c>
      <c r="M862" t="str">
        <f>HYPERLINK("http://www.broadinstitute.org/gsea/msigdb/cards/GSE3982_MAST_CELL_VS_DC_UP.html")</f>
        <v>http://www.broadinstitute.org/gsea/msigdb/cards/GSE3982_MAST_CELL_VS_DC_UP.html</v>
      </c>
    </row>
    <row r="863" spans="1:13">
      <c r="A863">
        <v>1616</v>
      </c>
      <c r="B863" t="s">
        <v>2490</v>
      </c>
      <c r="C863">
        <v>5</v>
      </c>
      <c r="D863">
        <v>146</v>
      </c>
      <c r="E863">
        <v>200</v>
      </c>
      <c r="F863">
        <v>32441</v>
      </c>
      <c r="G863">
        <v>5.5549657534246597</v>
      </c>
      <c r="H863">
        <v>2.3640745110952901E-3</v>
      </c>
      <c r="I863" t="s">
        <v>2491</v>
      </c>
      <c r="J863" t="s">
        <v>2492</v>
      </c>
      <c r="K863">
        <v>2.1980479042092101E-2</v>
      </c>
      <c r="L863" t="s">
        <v>1178</v>
      </c>
      <c r="M863" t="str">
        <f>HYPERLINK("http://www.broadinstitute.org/gsea/msigdb/cards/GSE3982_MAST_CELL_VS_BASOPHIL_DN.html")</f>
        <v>http://www.broadinstitute.org/gsea/msigdb/cards/GSE3982_MAST_CELL_VS_BASOPHIL_DN.html</v>
      </c>
    </row>
    <row r="864" spans="1:13">
      <c r="A864">
        <v>1660</v>
      </c>
      <c r="B864" t="s">
        <v>2493</v>
      </c>
      <c r="C864">
        <v>5</v>
      </c>
      <c r="D864">
        <v>146</v>
      </c>
      <c r="E864">
        <v>200</v>
      </c>
      <c r="F864">
        <v>32441</v>
      </c>
      <c r="G864">
        <v>5.5549657534246597</v>
      </c>
      <c r="H864">
        <v>2.3640745110952901E-3</v>
      </c>
      <c r="I864" t="s">
        <v>2494</v>
      </c>
      <c r="J864" t="s">
        <v>2495</v>
      </c>
      <c r="K864">
        <v>2.1980479042092101E-2</v>
      </c>
      <c r="L864" t="s">
        <v>1178</v>
      </c>
      <c r="M864" t="str">
        <f>HYPERLINK("http://www.broadinstitute.org/gsea/msigdb/cards/GSE3982_MAC_VS_TH2_DN.html")</f>
        <v>http://www.broadinstitute.org/gsea/msigdb/cards/GSE3982_MAC_VS_TH2_DN.html</v>
      </c>
    </row>
    <row r="865" spans="1:13">
      <c r="A865">
        <v>1670</v>
      </c>
      <c r="B865" t="s">
        <v>2496</v>
      </c>
      <c r="C865">
        <v>5</v>
      </c>
      <c r="D865">
        <v>146</v>
      </c>
      <c r="E865">
        <v>200</v>
      </c>
      <c r="F865">
        <v>32441</v>
      </c>
      <c r="G865">
        <v>5.5549657534246597</v>
      </c>
      <c r="H865">
        <v>2.3640745110952901E-3</v>
      </c>
      <c r="I865" t="s">
        <v>2497</v>
      </c>
      <c r="J865" t="s">
        <v>2498</v>
      </c>
      <c r="K865">
        <v>2.1980479042092101E-2</v>
      </c>
      <c r="L865" t="s">
        <v>1178</v>
      </c>
      <c r="M865" t="str">
        <f>HYPERLINK("http://www.broadinstitute.org/gsea/msigdb/cards/GSE3982_NEUTROPHIL_VS_NKCELL_DN.html")</f>
        <v>http://www.broadinstitute.org/gsea/msigdb/cards/GSE3982_NEUTROPHIL_VS_NKCELL_DN.html</v>
      </c>
    </row>
    <row r="866" spans="1:13">
      <c r="A866">
        <v>1710</v>
      </c>
      <c r="B866" t="s">
        <v>2499</v>
      </c>
      <c r="C866">
        <v>5</v>
      </c>
      <c r="D866">
        <v>146</v>
      </c>
      <c r="E866">
        <v>200</v>
      </c>
      <c r="F866">
        <v>32441</v>
      </c>
      <c r="G866">
        <v>5.5549657534246597</v>
      </c>
      <c r="H866">
        <v>2.3640745110952901E-3</v>
      </c>
      <c r="I866" t="s">
        <v>2500</v>
      </c>
      <c r="J866" t="s">
        <v>2501</v>
      </c>
      <c r="K866">
        <v>2.1980479042092101E-2</v>
      </c>
      <c r="L866" t="s">
        <v>1178</v>
      </c>
      <c r="M866" t="str">
        <f>HYPERLINK("http://www.broadinstitute.org/gsea/msigdb/cards/GSE3982_CENT_MEMORY_CD4_TCELL_VS_TH2_DN.html")</f>
        <v>http://www.broadinstitute.org/gsea/msigdb/cards/GSE3982_CENT_MEMORY_CD4_TCELL_VS_TH2_DN.html</v>
      </c>
    </row>
    <row r="867" spans="1:13">
      <c r="A867">
        <v>1732</v>
      </c>
      <c r="B867" t="s">
        <v>2502</v>
      </c>
      <c r="C867">
        <v>5</v>
      </c>
      <c r="D867">
        <v>146</v>
      </c>
      <c r="E867">
        <v>200</v>
      </c>
      <c r="F867">
        <v>32441</v>
      </c>
      <c r="G867">
        <v>5.5549657534246597</v>
      </c>
      <c r="H867">
        <v>2.3640745110952901E-3</v>
      </c>
      <c r="I867" t="s">
        <v>2503</v>
      </c>
      <c r="J867" t="s">
        <v>2504</v>
      </c>
      <c r="K867">
        <v>2.1980479042092101E-2</v>
      </c>
      <c r="L867" t="s">
        <v>1178</v>
      </c>
      <c r="M867" t="str">
        <f>HYPERLINK("http://www.broadinstitute.org/gsea/msigdb/cards/GSE39820_TGFBETA3_IL6_VS_TGFBETA3_IL6_IL23A_TREATED_CD4_TCELL_DN.html")</f>
        <v>http://www.broadinstitute.org/gsea/msigdb/cards/GSE39820_TGFBETA3_IL6_VS_TGFBETA3_IL6_IL23A_TREATED_CD4_TCELL_DN.html</v>
      </c>
    </row>
    <row r="868" spans="1:13">
      <c r="A868">
        <v>1737</v>
      </c>
      <c r="B868" t="s">
        <v>2505</v>
      </c>
      <c r="C868">
        <v>5</v>
      </c>
      <c r="D868">
        <v>146</v>
      </c>
      <c r="E868">
        <v>200</v>
      </c>
      <c r="F868">
        <v>32441</v>
      </c>
      <c r="G868">
        <v>5.5549657534246597</v>
      </c>
      <c r="H868">
        <v>2.3640745110952901E-3</v>
      </c>
      <c r="I868" t="s">
        <v>2506</v>
      </c>
      <c r="J868" t="s">
        <v>2507</v>
      </c>
      <c r="K868">
        <v>2.1980479042092101E-2</v>
      </c>
      <c r="L868" t="s">
        <v>1178</v>
      </c>
      <c r="M868" t="str">
        <f>HYPERLINK("http://www.broadinstitute.org/gsea/msigdb/cards/GSE5463_CTRL_VS_DEXAMETHASONE_TREATED_THYMOCYTE_UP.html")</f>
        <v>http://www.broadinstitute.org/gsea/msigdb/cards/GSE5463_CTRL_VS_DEXAMETHASONE_TREATED_THYMOCYTE_UP.html</v>
      </c>
    </row>
    <row r="869" spans="1:13">
      <c r="A869">
        <v>1828</v>
      </c>
      <c r="B869" t="s">
        <v>2508</v>
      </c>
      <c r="C869">
        <v>5</v>
      </c>
      <c r="D869">
        <v>146</v>
      </c>
      <c r="E869">
        <v>200</v>
      </c>
      <c r="F869">
        <v>32441</v>
      </c>
      <c r="G869">
        <v>5.5549657534246597</v>
      </c>
      <c r="H869">
        <v>2.3640745110952901E-3</v>
      </c>
      <c r="I869" t="s">
        <v>2509</v>
      </c>
      <c r="J869" t="s">
        <v>2510</v>
      </c>
      <c r="K869">
        <v>2.1980479042092101E-2</v>
      </c>
      <c r="L869" t="s">
        <v>1178</v>
      </c>
      <c r="M869" t="str">
        <f>HYPERLINK("http://www.broadinstitute.org/gsea/msigdb/cards/GSE8384_CTRL_VS_B_ABORTUS_4H_MAC_CELL_LINE_DN.html")</f>
        <v>http://www.broadinstitute.org/gsea/msigdb/cards/GSE8384_CTRL_VS_B_ABORTUS_4H_MAC_CELL_LINE_DN.html</v>
      </c>
    </row>
    <row r="870" spans="1:13">
      <c r="A870">
        <v>1950</v>
      </c>
      <c r="B870" t="s">
        <v>2511</v>
      </c>
      <c r="C870">
        <v>5</v>
      </c>
      <c r="D870">
        <v>146</v>
      </c>
      <c r="E870">
        <v>200</v>
      </c>
      <c r="F870">
        <v>32441</v>
      </c>
      <c r="G870">
        <v>5.5549657534246597</v>
      </c>
      <c r="H870">
        <v>2.3640745110952901E-3</v>
      </c>
      <c r="I870" t="s">
        <v>2512</v>
      </c>
      <c r="J870" t="s">
        <v>2513</v>
      </c>
      <c r="K870">
        <v>2.1980479042092101E-2</v>
      </c>
      <c r="L870" t="s">
        <v>1178</v>
      </c>
      <c r="M870" t="str">
        <f>HYPERLINK("http://www.broadinstitute.org/gsea/msigdb/cards/GSE2770_UNTREATED_VS_TGFB_AND_IL4_TREATED_ACT_CD4_TCELL_2H_UP.html")</f>
        <v>http://www.broadinstitute.org/gsea/msigdb/cards/GSE2770_UNTREATED_VS_TGFB_AND_IL4_TREATED_ACT_CD4_TCELL_2H_UP.html</v>
      </c>
    </row>
    <row r="871" spans="1:13">
      <c r="A871">
        <v>1974</v>
      </c>
      <c r="B871" t="s">
        <v>2514</v>
      </c>
      <c r="C871">
        <v>5</v>
      </c>
      <c r="D871">
        <v>146</v>
      </c>
      <c r="E871">
        <v>199</v>
      </c>
      <c r="F871">
        <v>32441</v>
      </c>
      <c r="G871">
        <v>5.5828801541956397</v>
      </c>
      <c r="H871">
        <v>2.3146180996214401E-3</v>
      </c>
      <c r="I871" t="s">
        <v>2515</v>
      </c>
      <c r="J871" t="s">
        <v>2516</v>
      </c>
      <c r="K871">
        <v>2.1980479042092101E-2</v>
      </c>
      <c r="L871" t="s">
        <v>1178</v>
      </c>
      <c r="M871" t="str">
        <f>HYPERLINK("http://www.broadinstitute.org/gsea/msigdb/cards/GSE2770_UNTREATED_VS_TGFB_AND_IL12_TREATED_ACT_CD4_TCELL_2H_UP.html")</f>
        <v>http://www.broadinstitute.org/gsea/msigdb/cards/GSE2770_UNTREATED_VS_TGFB_AND_IL12_TREATED_ACT_CD4_TCELL_2H_UP.html</v>
      </c>
    </row>
    <row r="872" spans="1:13">
      <c r="A872">
        <v>1985</v>
      </c>
      <c r="B872" t="s">
        <v>2517</v>
      </c>
      <c r="C872">
        <v>5</v>
      </c>
      <c r="D872">
        <v>146</v>
      </c>
      <c r="E872">
        <v>199</v>
      </c>
      <c r="F872">
        <v>32441</v>
      </c>
      <c r="G872">
        <v>5.5828801541956397</v>
      </c>
      <c r="H872">
        <v>2.3146180996214401E-3</v>
      </c>
      <c r="I872" t="s">
        <v>2518</v>
      </c>
      <c r="J872" t="s">
        <v>2519</v>
      </c>
      <c r="K872">
        <v>2.1980479042092101E-2</v>
      </c>
      <c r="L872" t="s">
        <v>1178</v>
      </c>
      <c r="M872" t="str">
        <f>HYPERLINK("http://www.broadinstitute.org/gsea/msigdb/cards/GSE2770_IL12_ACT_VS_ACT_CD4_TCELL_6H_UP.html")</f>
        <v>http://www.broadinstitute.org/gsea/msigdb/cards/GSE2770_IL12_ACT_VS_ACT_CD4_TCELL_6H_UP.html</v>
      </c>
    </row>
    <row r="873" spans="1:13">
      <c r="A873">
        <v>2020</v>
      </c>
      <c r="B873" t="s">
        <v>2520</v>
      </c>
      <c r="C873">
        <v>5</v>
      </c>
      <c r="D873">
        <v>146</v>
      </c>
      <c r="E873">
        <v>200</v>
      </c>
      <c r="F873">
        <v>32441</v>
      </c>
      <c r="G873">
        <v>5.5549657534246597</v>
      </c>
      <c r="H873">
        <v>2.3640745110952901E-3</v>
      </c>
      <c r="I873" t="s">
        <v>2521</v>
      </c>
      <c r="J873" t="s">
        <v>2522</v>
      </c>
      <c r="K873">
        <v>2.1980479042092101E-2</v>
      </c>
      <c r="L873" t="s">
        <v>1178</v>
      </c>
      <c r="M873" t="str">
        <f>HYPERLINK("http://www.broadinstitute.org/gsea/msigdb/cards/GSE2770_TGFB_AND_IL4_ACT_VS_ACT_CD4_TCELL_6H_DN.html")</f>
        <v>http://www.broadinstitute.org/gsea/msigdb/cards/GSE2770_TGFB_AND_IL4_ACT_VS_ACT_CD4_TCELL_6H_DN.html</v>
      </c>
    </row>
    <row r="874" spans="1:13">
      <c r="A874">
        <v>2136</v>
      </c>
      <c r="B874" t="s">
        <v>2523</v>
      </c>
      <c r="C874">
        <v>5</v>
      </c>
      <c r="D874">
        <v>146</v>
      </c>
      <c r="E874">
        <v>198</v>
      </c>
      <c r="F874">
        <v>32441</v>
      </c>
      <c r="G874">
        <v>5.6110765186107603</v>
      </c>
      <c r="H874">
        <v>2.26591938084037E-3</v>
      </c>
      <c r="I874" t="s">
        <v>2524</v>
      </c>
      <c r="J874" t="s">
        <v>2525</v>
      </c>
      <c r="K874">
        <v>2.1980479042092101E-2</v>
      </c>
      <c r="L874" t="s">
        <v>1178</v>
      </c>
      <c r="M874" t="str">
        <f>HYPERLINK("http://www.broadinstitute.org/gsea/msigdb/cards/GSE2585_CTEC_VS_THYMIC_DC_DN.html")</f>
        <v>http://www.broadinstitute.org/gsea/msigdb/cards/GSE2585_CTEC_VS_THYMIC_DC_DN.html</v>
      </c>
    </row>
    <row r="875" spans="1:13">
      <c r="A875">
        <v>2143</v>
      </c>
      <c r="B875" t="s">
        <v>2526</v>
      </c>
      <c r="C875">
        <v>5</v>
      </c>
      <c r="D875">
        <v>146</v>
      </c>
      <c r="E875">
        <v>200</v>
      </c>
      <c r="F875">
        <v>32441</v>
      </c>
      <c r="G875">
        <v>5.5549657534246597</v>
      </c>
      <c r="H875">
        <v>2.3640745110952901E-3</v>
      </c>
      <c r="I875" t="s">
        <v>2527</v>
      </c>
      <c r="J875" t="s">
        <v>2528</v>
      </c>
      <c r="K875">
        <v>2.1980479042092101E-2</v>
      </c>
      <c r="L875" t="s">
        <v>1178</v>
      </c>
      <c r="M875" t="str">
        <f>HYPERLINK("http://www.broadinstitute.org/gsea/msigdb/cards/GSE2585_THYMIC_MACROPHAGE_VS_MTEC_UP.html")</f>
        <v>http://www.broadinstitute.org/gsea/msigdb/cards/GSE2585_THYMIC_MACROPHAGE_VS_MTEC_UP.html</v>
      </c>
    </row>
    <row r="876" spans="1:13">
      <c r="A876">
        <v>2148</v>
      </c>
      <c r="B876" t="s">
        <v>2529</v>
      </c>
      <c r="C876">
        <v>5</v>
      </c>
      <c r="D876">
        <v>146</v>
      </c>
      <c r="E876">
        <v>200</v>
      </c>
      <c r="F876">
        <v>32441</v>
      </c>
      <c r="G876">
        <v>5.5549657534246597</v>
      </c>
      <c r="H876">
        <v>2.3640745110952901E-3</v>
      </c>
      <c r="I876" t="s">
        <v>2530</v>
      </c>
      <c r="J876" t="s">
        <v>2531</v>
      </c>
      <c r="K876">
        <v>2.1980479042092101E-2</v>
      </c>
      <c r="L876" t="s">
        <v>1178</v>
      </c>
      <c r="M876" t="str">
        <f>HYPERLINK("http://www.broadinstitute.org/gsea/msigdb/cards/GSE2585_THYMIC_DC_VS_MTEC_UP.html")</f>
        <v>http://www.broadinstitute.org/gsea/msigdb/cards/GSE2585_THYMIC_DC_VS_MTEC_UP.html</v>
      </c>
    </row>
    <row r="877" spans="1:13">
      <c r="A877">
        <v>2150</v>
      </c>
      <c r="B877" t="s">
        <v>2532</v>
      </c>
      <c r="C877">
        <v>5</v>
      </c>
      <c r="D877">
        <v>146</v>
      </c>
      <c r="E877">
        <v>200</v>
      </c>
      <c r="F877">
        <v>32441</v>
      </c>
      <c r="G877">
        <v>5.5549657534246597</v>
      </c>
      <c r="H877">
        <v>2.3640745110952901E-3</v>
      </c>
      <c r="I877" t="s">
        <v>2533</v>
      </c>
      <c r="J877" t="s">
        <v>2534</v>
      </c>
      <c r="K877">
        <v>2.1980479042092101E-2</v>
      </c>
      <c r="L877" t="s">
        <v>1178</v>
      </c>
      <c r="M877" t="str">
        <f>HYPERLINK("http://www.broadinstitute.org/gsea/msigdb/cards/GSE1925_3H_VS_24H_IFNG_STIM_MACROPHAGE_DN.html")</f>
        <v>http://www.broadinstitute.org/gsea/msigdb/cards/GSE1925_3H_VS_24H_IFNG_STIM_MACROPHAGE_DN.html</v>
      </c>
    </row>
    <row r="878" spans="1:13">
      <c r="A878">
        <v>2165</v>
      </c>
      <c r="B878" t="s">
        <v>2535</v>
      </c>
      <c r="C878">
        <v>5</v>
      </c>
      <c r="D878">
        <v>146</v>
      </c>
      <c r="E878">
        <v>200</v>
      </c>
      <c r="F878">
        <v>32441</v>
      </c>
      <c r="G878">
        <v>5.5549657534246597</v>
      </c>
      <c r="H878">
        <v>2.3640745110952901E-3</v>
      </c>
      <c r="I878" t="s">
        <v>2536</v>
      </c>
      <c r="J878" t="s">
        <v>2537</v>
      </c>
      <c r="K878">
        <v>2.1980479042092101E-2</v>
      </c>
      <c r="L878" t="s">
        <v>1178</v>
      </c>
      <c r="M878" t="str">
        <f>HYPERLINK("http://www.broadinstitute.org/gsea/msigdb/cards/GSE1925_CTRL_VS_IFNG_PRIMED_MACROPHAGE_DN.html")</f>
        <v>http://www.broadinstitute.org/gsea/msigdb/cards/GSE1925_CTRL_VS_IFNG_PRIMED_MACROPHAGE_DN.html</v>
      </c>
    </row>
    <row r="879" spans="1:13">
      <c r="A879">
        <v>2234</v>
      </c>
      <c r="B879" t="s">
        <v>2538</v>
      </c>
      <c r="C879">
        <v>5</v>
      </c>
      <c r="D879">
        <v>146</v>
      </c>
      <c r="E879">
        <v>200</v>
      </c>
      <c r="F879">
        <v>32441</v>
      </c>
      <c r="G879">
        <v>5.5549657534246597</v>
      </c>
      <c r="H879">
        <v>2.3640745110952901E-3</v>
      </c>
      <c r="I879" t="s">
        <v>2539</v>
      </c>
      <c r="J879" t="s">
        <v>2540</v>
      </c>
      <c r="K879">
        <v>2.1980479042092101E-2</v>
      </c>
      <c r="L879" t="s">
        <v>1178</v>
      </c>
      <c r="M879" t="str">
        <f>HYPERLINK("http://www.broadinstitute.org/gsea/msigdb/cards/GSE3039_NKT_CELL_VS_ALPHABETA_CD8_TCELL_UP.html")</f>
        <v>http://www.broadinstitute.org/gsea/msigdb/cards/GSE3039_NKT_CELL_VS_ALPHABETA_CD8_TCELL_UP.html</v>
      </c>
    </row>
    <row r="880" spans="1:13">
      <c r="A880">
        <v>2238</v>
      </c>
      <c r="B880" t="s">
        <v>2541</v>
      </c>
      <c r="C880">
        <v>5</v>
      </c>
      <c r="D880">
        <v>146</v>
      </c>
      <c r="E880">
        <v>200</v>
      </c>
      <c r="F880">
        <v>32441</v>
      </c>
      <c r="G880">
        <v>5.5549657534246597</v>
      </c>
      <c r="H880">
        <v>2.3640745110952901E-3</v>
      </c>
      <c r="I880" t="s">
        <v>2542</v>
      </c>
      <c r="J880" t="s">
        <v>2543</v>
      </c>
      <c r="K880">
        <v>2.1980479042092101E-2</v>
      </c>
      <c r="L880" t="s">
        <v>1178</v>
      </c>
      <c r="M880" t="str">
        <f>HYPERLINK("http://www.broadinstitute.org/gsea/msigdb/cards/GSE3039_NKT_CELL_VS_B1_BCELL_DN.html")</f>
        <v>http://www.broadinstitute.org/gsea/msigdb/cards/GSE3039_NKT_CELL_VS_B1_BCELL_DN.html</v>
      </c>
    </row>
    <row r="881" spans="1:13">
      <c r="A881">
        <v>22521</v>
      </c>
      <c r="B881" t="s">
        <v>2544</v>
      </c>
      <c r="C881">
        <v>5</v>
      </c>
      <c r="D881">
        <v>146</v>
      </c>
      <c r="E881">
        <v>200</v>
      </c>
      <c r="F881">
        <v>32441</v>
      </c>
      <c r="G881">
        <v>5.5549657534246597</v>
      </c>
      <c r="H881">
        <v>2.3640745110952901E-3</v>
      </c>
      <c r="I881" t="s">
        <v>2545</v>
      </c>
      <c r="J881" t="s">
        <v>2546</v>
      </c>
      <c r="K881">
        <v>2.1980479042092101E-2</v>
      </c>
      <c r="L881" t="s">
        <v>1178</v>
      </c>
      <c r="M881" t="str">
        <f>HYPERLINK("http://www.broadinstitute.org/gsea/msigdb/cards/GSE3039_CD4_TCELL_VS_ALPHAALPHA_CD8_TCELL_DN.html")</f>
        <v>http://www.broadinstitute.org/gsea/msigdb/cards/GSE3039_CD4_TCELL_VS_ALPHAALPHA_CD8_TCELL_DN.html</v>
      </c>
    </row>
    <row r="882" spans="1:13">
      <c r="A882">
        <v>2256</v>
      </c>
      <c r="B882" t="s">
        <v>2547</v>
      </c>
      <c r="C882">
        <v>5</v>
      </c>
      <c r="D882">
        <v>146</v>
      </c>
      <c r="E882">
        <v>200</v>
      </c>
      <c r="F882">
        <v>32441</v>
      </c>
      <c r="G882">
        <v>5.5549657534246597</v>
      </c>
      <c r="H882">
        <v>2.3640745110952901E-3</v>
      </c>
      <c r="I882" t="s">
        <v>2548</v>
      </c>
      <c r="J882" t="s">
        <v>2549</v>
      </c>
      <c r="K882">
        <v>2.1980479042092101E-2</v>
      </c>
      <c r="L882" t="s">
        <v>1178</v>
      </c>
      <c r="M882" t="str">
        <f>HYPERLINK("http://www.broadinstitute.org/gsea/msigdb/cards/GSE3039_CD4_TCELL_VS_B2_BCELL_DN.html")</f>
        <v>http://www.broadinstitute.org/gsea/msigdb/cards/GSE3039_CD4_TCELL_VS_B2_BCELL_DN.html</v>
      </c>
    </row>
    <row r="883" spans="1:13">
      <c r="A883">
        <v>2296</v>
      </c>
      <c r="B883" t="s">
        <v>2550</v>
      </c>
      <c r="C883">
        <v>5</v>
      </c>
      <c r="D883">
        <v>146</v>
      </c>
      <c r="E883">
        <v>193</v>
      </c>
      <c r="F883">
        <v>32441</v>
      </c>
      <c r="G883">
        <v>5.7564411952587102</v>
      </c>
      <c r="H883">
        <v>2.0335506754185898E-3</v>
      </c>
      <c r="I883" t="s">
        <v>2551</v>
      </c>
      <c r="J883" t="s">
        <v>2552</v>
      </c>
      <c r="K883">
        <v>2.1980479042092101E-2</v>
      </c>
      <c r="L883" t="s">
        <v>1178</v>
      </c>
      <c r="M883" t="str">
        <f>HYPERLINK("http://www.broadinstitute.org/gsea/msigdb/cards/GSE5542_UNTREATED_VS_IFNA_TREATED_EPITHELIAL_CELLS_24H_DN.html")</f>
        <v>http://www.broadinstitute.org/gsea/msigdb/cards/GSE5542_UNTREATED_VS_IFNA_TREATED_EPITHELIAL_CELLS_24H_DN.html</v>
      </c>
    </row>
    <row r="884" spans="1:13">
      <c r="A884">
        <v>2297</v>
      </c>
      <c r="B884" t="s">
        <v>2553</v>
      </c>
      <c r="C884">
        <v>5</v>
      </c>
      <c r="D884">
        <v>146</v>
      </c>
      <c r="E884">
        <v>200</v>
      </c>
      <c r="F884">
        <v>32441</v>
      </c>
      <c r="G884">
        <v>5.5549657534246597</v>
      </c>
      <c r="H884">
        <v>2.3640745110952901E-3</v>
      </c>
      <c r="I884" t="s">
        <v>2554</v>
      </c>
      <c r="J884" t="s">
        <v>2555</v>
      </c>
      <c r="K884">
        <v>2.1980479042092101E-2</v>
      </c>
      <c r="L884" t="s">
        <v>1178</v>
      </c>
      <c r="M884" t="str">
        <f>HYPERLINK("http://www.broadinstitute.org/gsea/msigdb/cards/GSE5542_UNTREATED_VS_IFNA_AND_IFNG_TREATED_EPITHELIAL_CELLS_24H_UP.html")</f>
        <v>http://www.broadinstitute.org/gsea/msigdb/cards/GSE5542_UNTREATED_VS_IFNA_AND_IFNG_TREATED_EPITHELIAL_CELLS_24H_UP.html</v>
      </c>
    </row>
    <row r="885" spans="1:13">
      <c r="A885">
        <v>2304</v>
      </c>
      <c r="B885" t="s">
        <v>2556</v>
      </c>
      <c r="C885">
        <v>5</v>
      </c>
      <c r="D885">
        <v>146</v>
      </c>
      <c r="E885">
        <v>200</v>
      </c>
      <c r="F885">
        <v>32441</v>
      </c>
      <c r="G885">
        <v>5.5549657534246597</v>
      </c>
      <c r="H885">
        <v>2.3640745110952901E-3</v>
      </c>
      <c r="I885" t="s">
        <v>2557</v>
      </c>
      <c r="J885" t="s">
        <v>2558</v>
      </c>
      <c r="K885">
        <v>2.1980479042092101E-2</v>
      </c>
      <c r="L885" t="s">
        <v>1178</v>
      </c>
      <c r="M885" t="str">
        <f>HYPERLINK("http://www.broadinstitute.org/gsea/msigdb/cards/GSE5542_IFNA_VS_IFNA_AND_IFNG_TREATED_EPITHELIAL_CELLS_6H_DN.html")</f>
        <v>http://www.broadinstitute.org/gsea/msigdb/cards/GSE5542_IFNA_VS_IFNA_AND_IFNG_TREATED_EPITHELIAL_CELLS_6H_DN.html</v>
      </c>
    </row>
    <row r="886" spans="1:13">
      <c r="A886">
        <v>2349</v>
      </c>
      <c r="B886" t="s">
        <v>2559</v>
      </c>
      <c r="C886">
        <v>5</v>
      </c>
      <c r="D886">
        <v>146</v>
      </c>
      <c r="E886">
        <v>200</v>
      </c>
      <c r="F886">
        <v>32441</v>
      </c>
      <c r="G886">
        <v>5.5549657534246597</v>
      </c>
      <c r="H886">
        <v>2.3640745110952901E-3</v>
      </c>
      <c r="I886" t="s">
        <v>2560</v>
      </c>
      <c r="J886" t="s">
        <v>2561</v>
      </c>
      <c r="K886">
        <v>2.1980479042092101E-2</v>
      </c>
      <c r="L886" t="s">
        <v>1178</v>
      </c>
      <c r="M886" t="str">
        <f>HYPERLINK("http://www.broadinstitute.org/gsea/msigdb/cards/GSE5589_UNSTIM_VS_45MIN_LPS_STIM_MACROPHAGE_UP.html")</f>
        <v>http://www.broadinstitute.org/gsea/msigdb/cards/GSE5589_UNSTIM_VS_45MIN_LPS_STIM_MACROPHAGE_UP.html</v>
      </c>
    </row>
    <row r="887" spans="1:13">
      <c r="A887">
        <v>2354</v>
      </c>
      <c r="B887" t="s">
        <v>2562</v>
      </c>
      <c r="C887">
        <v>5</v>
      </c>
      <c r="D887">
        <v>146</v>
      </c>
      <c r="E887">
        <v>200</v>
      </c>
      <c r="F887">
        <v>32441</v>
      </c>
      <c r="G887">
        <v>5.5549657534246597</v>
      </c>
      <c r="H887">
        <v>2.3640745110952901E-3</v>
      </c>
      <c r="I887" t="s">
        <v>2563</v>
      </c>
      <c r="J887" t="s">
        <v>2564</v>
      </c>
      <c r="K887">
        <v>2.1980479042092101E-2</v>
      </c>
      <c r="L887" t="s">
        <v>1178</v>
      </c>
      <c r="M887" t="str">
        <f>HYPERLINK("http://www.broadinstitute.org/gsea/msigdb/cards/GSE5589_UNSTIM_VS_45MIN_LPS_AND_IL10_STIM_MACROPHAGE_DN.html")</f>
        <v>http://www.broadinstitute.org/gsea/msigdb/cards/GSE5589_UNSTIM_VS_45MIN_LPS_AND_IL10_STIM_MACROPHAGE_DN.html</v>
      </c>
    </row>
    <row r="888" spans="1:13">
      <c r="A888">
        <v>2394</v>
      </c>
      <c r="B888" t="s">
        <v>2565</v>
      </c>
      <c r="C888">
        <v>5</v>
      </c>
      <c r="D888">
        <v>146</v>
      </c>
      <c r="E888">
        <v>199</v>
      </c>
      <c r="F888">
        <v>32441</v>
      </c>
      <c r="G888">
        <v>5.5828801541956397</v>
      </c>
      <c r="H888">
        <v>2.3146180996214401E-3</v>
      </c>
      <c r="I888" t="s">
        <v>2566</v>
      </c>
      <c r="J888" t="s">
        <v>2567</v>
      </c>
      <c r="K888">
        <v>2.1980479042092101E-2</v>
      </c>
      <c r="L888" t="s">
        <v>1178</v>
      </c>
      <c r="M888" t="str">
        <f>HYPERLINK("http://www.broadinstitute.org/gsea/msigdb/cards/GSE5589_WT_VS_IL10_KO_LPS_AND_IL6_STIM_MACROPHAGE_45MIN_DN.html")</f>
        <v>http://www.broadinstitute.org/gsea/msigdb/cards/GSE5589_WT_VS_IL10_KO_LPS_AND_IL6_STIM_MACROPHAGE_45MIN_DN.html</v>
      </c>
    </row>
    <row r="889" spans="1:13">
      <c r="A889">
        <v>2396</v>
      </c>
      <c r="B889" t="s">
        <v>2568</v>
      </c>
      <c r="C889">
        <v>5</v>
      </c>
      <c r="D889">
        <v>146</v>
      </c>
      <c r="E889">
        <v>200</v>
      </c>
      <c r="F889">
        <v>32441</v>
      </c>
      <c r="G889">
        <v>5.5549657534246597</v>
      </c>
      <c r="H889">
        <v>2.3640745110952901E-3</v>
      </c>
      <c r="I889" t="s">
        <v>2569</v>
      </c>
      <c r="J889" t="s">
        <v>2570</v>
      </c>
      <c r="K889">
        <v>2.1980479042092101E-2</v>
      </c>
      <c r="L889" t="s">
        <v>1178</v>
      </c>
      <c r="M889" t="str">
        <f>HYPERLINK("http://www.broadinstitute.org/gsea/msigdb/cards/GSE5589_IL6_KO_VS_IL10_KO_LPS_STIM_MACROPHAGE_45MIN_DN.html")</f>
        <v>http://www.broadinstitute.org/gsea/msigdb/cards/GSE5589_IL6_KO_VS_IL10_KO_LPS_STIM_MACROPHAGE_45MIN_DN.html</v>
      </c>
    </row>
    <row r="890" spans="1:13">
      <c r="A890">
        <v>2561</v>
      </c>
      <c r="B890" t="s">
        <v>2571</v>
      </c>
      <c r="C890">
        <v>5</v>
      </c>
      <c r="D890">
        <v>146</v>
      </c>
      <c r="E890">
        <v>200</v>
      </c>
      <c r="F890">
        <v>32441</v>
      </c>
      <c r="G890">
        <v>5.5549657534246597</v>
      </c>
      <c r="H890">
        <v>2.3640745110952901E-3</v>
      </c>
      <c r="I890" t="s">
        <v>2572</v>
      </c>
      <c r="J890" t="s">
        <v>2573</v>
      </c>
      <c r="K890">
        <v>2.1980479042092101E-2</v>
      </c>
      <c r="L890" t="s">
        <v>1178</v>
      </c>
      <c r="M890" t="str">
        <f>HYPERLINK("http://www.broadinstitute.org/gsea/msigdb/cards/GSE9509_10MIN_VS_30MIN_LPS_STIM_IL10_KO_MACROPHAGE_UP.html")</f>
        <v>http://www.broadinstitute.org/gsea/msigdb/cards/GSE9509_10MIN_VS_30MIN_LPS_STIM_IL10_KO_MACROPHAGE_UP.html</v>
      </c>
    </row>
    <row r="891" spans="1:13">
      <c r="A891">
        <v>2596</v>
      </c>
      <c r="B891" t="s">
        <v>2574</v>
      </c>
      <c r="C891">
        <v>5</v>
      </c>
      <c r="D891">
        <v>146</v>
      </c>
      <c r="E891">
        <v>200</v>
      </c>
      <c r="F891">
        <v>32441</v>
      </c>
      <c r="G891">
        <v>5.5549657534246597</v>
      </c>
      <c r="H891">
        <v>2.3640745110952901E-3</v>
      </c>
      <c r="I891" t="s">
        <v>2575</v>
      </c>
      <c r="J891" t="s">
        <v>2576</v>
      </c>
      <c r="K891">
        <v>2.1980479042092101E-2</v>
      </c>
      <c r="L891" t="s">
        <v>1178</v>
      </c>
      <c r="M891" t="str">
        <f>HYPERLINK("http://www.broadinstitute.org/gsea/msigdb/cards/GSE7831_CPG_VS_INFLUENZA_STIM_PDC_4H_DN.html")</f>
        <v>http://www.broadinstitute.org/gsea/msigdb/cards/GSE7831_CPG_VS_INFLUENZA_STIM_PDC_4H_DN.html</v>
      </c>
    </row>
    <row r="892" spans="1:13">
      <c r="A892">
        <v>2604</v>
      </c>
      <c r="B892" t="s">
        <v>2577</v>
      </c>
      <c r="C892">
        <v>5</v>
      </c>
      <c r="D892">
        <v>146</v>
      </c>
      <c r="E892">
        <v>200</v>
      </c>
      <c r="F892">
        <v>32441</v>
      </c>
      <c r="G892">
        <v>5.5549657534246597</v>
      </c>
      <c r="H892">
        <v>2.3640745110952901E-3</v>
      </c>
      <c r="I892" t="s">
        <v>2578</v>
      </c>
      <c r="J892" t="s">
        <v>2579</v>
      </c>
      <c r="K892">
        <v>2.1980479042092101E-2</v>
      </c>
      <c r="L892" t="s">
        <v>1178</v>
      </c>
      <c r="M892" t="str">
        <f>HYPERLINK("http://www.broadinstitute.org/gsea/msigdb/cards/GSE8621_UNSTIM_VS_LPS_STIM_MACROPHAGE_DN.html")</f>
        <v>http://www.broadinstitute.org/gsea/msigdb/cards/GSE8621_UNSTIM_VS_LPS_STIM_MACROPHAGE_DN.html</v>
      </c>
    </row>
    <row r="893" spans="1:13">
      <c r="A893">
        <v>2605</v>
      </c>
      <c r="B893" t="s">
        <v>2580</v>
      </c>
      <c r="C893">
        <v>5</v>
      </c>
      <c r="D893">
        <v>146</v>
      </c>
      <c r="E893">
        <v>200</v>
      </c>
      <c r="F893">
        <v>32441</v>
      </c>
      <c r="G893">
        <v>5.5549657534246597</v>
      </c>
      <c r="H893">
        <v>2.3640745110952901E-3</v>
      </c>
      <c r="I893" t="s">
        <v>2581</v>
      </c>
      <c r="J893" t="s">
        <v>2582</v>
      </c>
      <c r="K893">
        <v>2.1980479042092101E-2</v>
      </c>
      <c r="L893" t="s">
        <v>1178</v>
      </c>
      <c r="M893" t="str">
        <f>HYPERLINK("http://www.broadinstitute.org/gsea/msigdb/cards/GSE8621_LPS_PRIMED_UNSTIM_VS_LPS_PRIMED_AND_LPS_STIM_MACROPHAGE_UP.html")</f>
        <v>http://www.broadinstitute.org/gsea/msigdb/cards/GSE8621_LPS_PRIMED_UNSTIM_VS_LPS_PRIMED_AND_LPS_STIM_MACROPHAGE_UP.html</v>
      </c>
    </row>
    <row r="894" spans="1:13">
      <c r="A894">
        <v>2616</v>
      </c>
      <c r="B894" t="s">
        <v>2583</v>
      </c>
      <c r="C894">
        <v>5</v>
      </c>
      <c r="D894">
        <v>146</v>
      </c>
      <c r="E894">
        <v>200</v>
      </c>
      <c r="F894">
        <v>32441</v>
      </c>
      <c r="G894">
        <v>5.5549657534246597</v>
      </c>
      <c r="H894">
        <v>2.3640745110952901E-3</v>
      </c>
      <c r="I894" t="s">
        <v>2584</v>
      </c>
      <c r="J894" t="s">
        <v>2585</v>
      </c>
      <c r="K894">
        <v>2.1980479042092101E-2</v>
      </c>
      <c r="L894" t="s">
        <v>1178</v>
      </c>
      <c r="M894" t="str">
        <f>HYPERLINK("http://www.broadinstitute.org/gsea/msigdb/cards/GSE5503_LIVER_DC_VS_MLN_DC_ACTIVATED_ALLOGENIC_TCELL_DN.html")</f>
        <v>http://www.broadinstitute.org/gsea/msigdb/cards/GSE5503_LIVER_DC_VS_MLN_DC_ACTIVATED_ALLOGENIC_TCELL_DN.html</v>
      </c>
    </row>
    <row r="895" spans="1:13">
      <c r="A895">
        <v>26171</v>
      </c>
      <c r="B895" t="s">
        <v>2586</v>
      </c>
      <c r="C895">
        <v>5</v>
      </c>
      <c r="D895">
        <v>146</v>
      </c>
      <c r="E895">
        <v>200</v>
      </c>
      <c r="F895">
        <v>32441</v>
      </c>
      <c r="G895">
        <v>5.5549657534246597</v>
      </c>
      <c r="H895">
        <v>2.3640745110952901E-3</v>
      </c>
      <c r="I895" t="s">
        <v>2587</v>
      </c>
      <c r="J895" t="s">
        <v>2588</v>
      </c>
      <c r="K895">
        <v>2.1980479042092101E-2</v>
      </c>
      <c r="L895" t="s">
        <v>1178</v>
      </c>
      <c r="M895" t="str">
        <f>HYPERLINK("http://www.broadinstitute.org/gsea/msigdb/cards/GSE5503_LIVER_DC_VS_PLN_DC_ACTIVATED_ALLOGENIC_TCELL_UP.html")</f>
        <v>http://www.broadinstitute.org/gsea/msigdb/cards/GSE5503_LIVER_DC_VS_PLN_DC_ACTIVATED_ALLOGENIC_TCELL_UP.html</v>
      </c>
    </row>
    <row r="896" spans="1:13">
      <c r="A896">
        <v>2630</v>
      </c>
      <c r="B896" t="s">
        <v>2589</v>
      </c>
      <c r="C896">
        <v>5</v>
      </c>
      <c r="D896">
        <v>146</v>
      </c>
      <c r="E896">
        <v>200</v>
      </c>
      <c r="F896">
        <v>32441</v>
      </c>
      <c r="G896">
        <v>5.5549657534246597</v>
      </c>
      <c r="H896">
        <v>2.3640745110952901E-3</v>
      </c>
      <c r="I896" t="s">
        <v>2590</v>
      </c>
      <c r="J896" t="s">
        <v>2591</v>
      </c>
      <c r="K896">
        <v>2.1980479042092101E-2</v>
      </c>
      <c r="L896" t="s">
        <v>1178</v>
      </c>
      <c r="M896" t="str">
        <f>HYPERLINK("http://www.broadinstitute.org/gsea/msigdb/cards/GSE10240_CTRL_VS_IL22_STIM_PRIMARY_BRONCHIAL_EPITHELIAL_CELLS_DN.html")</f>
        <v>http://www.broadinstitute.org/gsea/msigdb/cards/GSE10240_CTRL_VS_IL22_STIM_PRIMARY_BRONCHIAL_EPITHELIAL_CELLS_DN.html</v>
      </c>
    </row>
    <row r="897" spans="1:13">
      <c r="A897">
        <v>2907</v>
      </c>
      <c r="B897" t="s">
        <v>2592</v>
      </c>
      <c r="C897">
        <v>5</v>
      </c>
      <c r="D897">
        <v>146</v>
      </c>
      <c r="E897">
        <v>200</v>
      </c>
      <c r="F897">
        <v>32441</v>
      </c>
      <c r="G897">
        <v>5.5549657534246597</v>
      </c>
      <c r="H897">
        <v>2.3640745110952901E-3</v>
      </c>
      <c r="I897" t="s">
        <v>2593</v>
      </c>
      <c r="J897" t="s">
        <v>2594</v>
      </c>
      <c r="K897">
        <v>2.1980479042092101E-2</v>
      </c>
      <c r="L897" t="s">
        <v>1178</v>
      </c>
      <c r="M897" t="str">
        <f>HYPERLINK("http://www.broadinstitute.org/gsea/msigdb/cards/GSE9960_GRAM_POS_VS_GRAM_NEG_AND_POS_SEPSIS_PBMC_UP.html")</f>
        <v>http://www.broadinstitute.org/gsea/msigdb/cards/GSE9960_GRAM_POS_VS_GRAM_NEG_AND_POS_SEPSIS_PBMC_UP.html</v>
      </c>
    </row>
    <row r="898" spans="1:13">
      <c r="A898">
        <v>2940</v>
      </c>
      <c r="B898" t="s">
        <v>2595</v>
      </c>
      <c r="C898">
        <v>5</v>
      </c>
      <c r="D898">
        <v>146</v>
      </c>
      <c r="E898">
        <v>200</v>
      </c>
      <c r="F898">
        <v>32441</v>
      </c>
      <c r="G898">
        <v>5.5549657534246597</v>
      </c>
      <c r="H898">
        <v>2.3640745110952901E-3</v>
      </c>
      <c r="I898" t="s">
        <v>2596</v>
      </c>
      <c r="J898" t="s">
        <v>2597</v>
      </c>
      <c r="K898">
        <v>2.1980479042092101E-2</v>
      </c>
      <c r="L898" t="s">
        <v>1178</v>
      </c>
      <c r="M898" t="str">
        <f>HYPERLINK("http://www.broadinstitute.org/gsea/msigdb/cards/GSE17186_MEMORY_VS_CD21LOW_TRANSITIONAL_BCELL_DN.html")</f>
        <v>http://www.broadinstitute.org/gsea/msigdb/cards/GSE17186_MEMORY_VS_CD21LOW_TRANSITIONAL_BCELL_DN.html</v>
      </c>
    </row>
    <row r="899" spans="1:13">
      <c r="A899">
        <v>2942</v>
      </c>
      <c r="B899" t="s">
        <v>2598</v>
      </c>
      <c r="C899">
        <v>5</v>
      </c>
      <c r="D899">
        <v>146</v>
      </c>
      <c r="E899">
        <v>200</v>
      </c>
      <c r="F899">
        <v>32441</v>
      </c>
      <c r="G899">
        <v>5.5549657534246597</v>
      </c>
      <c r="H899">
        <v>2.3640745110952901E-3</v>
      </c>
      <c r="I899" t="s">
        <v>2599</v>
      </c>
      <c r="J899" t="s">
        <v>2600</v>
      </c>
      <c r="K899">
        <v>2.1980479042092101E-2</v>
      </c>
      <c r="L899" t="s">
        <v>1178</v>
      </c>
      <c r="M899" t="str">
        <f>HYPERLINK("http://www.broadinstitute.org/gsea/msigdb/cards/GSE17186_BLOOD_VS_CORD_BLOOD_CD21HIGH_TRANSITIONAL_BCELL_DN.html")</f>
        <v>http://www.broadinstitute.org/gsea/msigdb/cards/GSE17186_BLOOD_VS_CORD_BLOOD_CD21HIGH_TRANSITIONAL_BCELL_DN.html</v>
      </c>
    </row>
    <row r="900" spans="1:13">
      <c r="A900">
        <v>2948</v>
      </c>
      <c r="B900" t="s">
        <v>2601</v>
      </c>
      <c r="C900">
        <v>5</v>
      </c>
      <c r="D900">
        <v>146</v>
      </c>
      <c r="E900">
        <v>200</v>
      </c>
      <c r="F900">
        <v>32441</v>
      </c>
      <c r="G900">
        <v>5.5549657534246597</v>
      </c>
      <c r="H900">
        <v>2.3640745110952901E-3</v>
      </c>
      <c r="I900" t="s">
        <v>2602</v>
      </c>
      <c r="J900" t="s">
        <v>2603</v>
      </c>
      <c r="K900">
        <v>2.1980479042092101E-2</v>
      </c>
      <c r="L900" t="s">
        <v>1178</v>
      </c>
      <c r="M900" t="str">
        <f>HYPERLINK("http://www.broadinstitute.org/gsea/msigdb/cards/GSE17186_BLOOD_VS_CORD_BLOOD_CD21LOW_TRANSITIONAL_BCELL_UP.html")</f>
        <v>http://www.broadinstitute.org/gsea/msigdb/cards/GSE17186_BLOOD_VS_CORD_BLOOD_CD21LOW_TRANSITIONAL_BCELL_UP.html</v>
      </c>
    </row>
    <row r="901" spans="1:13">
      <c r="A901">
        <v>2956</v>
      </c>
      <c r="B901" t="s">
        <v>2604</v>
      </c>
      <c r="C901">
        <v>5</v>
      </c>
      <c r="D901">
        <v>146</v>
      </c>
      <c r="E901">
        <v>200</v>
      </c>
      <c r="F901">
        <v>32441</v>
      </c>
      <c r="G901">
        <v>5.5549657534246597</v>
      </c>
      <c r="H901">
        <v>2.3640745110952901E-3</v>
      </c>
      <c r="I901" t="s">
        <v>2605</v>
      </c>
      <c r="J901" t="s">
        <v>2606</v>
      </c>
      <c r="K901">
        <v>2.1980479042092101E-2</v>
      </c>
      <c r="L901" t="s">
        <v>1178</v>
      </c>
      <c r="M901" t="str">
        <f>HYPERLINK("http://www.broadinstitute.org/gsea/msigdb/cards/GSE18203_CTRL_VS_INTRATUMORAL_CPG_INJ_MC38_TUMOR_DN.html")</f>
        <v>http://www.broadinstitute.org/gsea/msigdb/cards/GSE18203_CTRL_VS_INTRATUMORAL_CPG_INJ_MC38_TUMOR_DN.html</v>
      </c>
    </row>
    <row r="902" spans="1:13">
      <c r="A902">
        <v>2985</v>
      </c>
      <c r="B902" t="s">
        <v>2607</v>
      </c>
      <c r="C902">
        <v>5</v>
      </c>
      <c r="D902">
        <v>146</v>
      </c>
      <c r="E902">
        <v>200</v>
      </c>
      <c r="F902">
        <v>32441</v>
      </c>
      <c r="G902">
        <v>5.5549657534246597</v>
      </c>
      <c r="H902">
        <v>2.3640745110952901E-3</v>
      </c>
      <c r="I902" t="s">
        <v>2608</v>
      </c>
      <c r="J902" t="s">
        <v>2609</v>
      </c>
      <c r="K902">
        <v>2.1980479042092101E-2</v>
      </c>
      <c r="L902" t="s">
        <v>1178</v>
      </c>
      <c r="M902" t="str">
        <f>HYPERLINK("http://www.broadinstitute.org/gsea/msigdb/cards/GSE18281_SUBCAPSULAR_CORTICAL_REGION_VS_WHOLE_CORTEX_THYMUS_UP.html")</f>
        <v>http://www.broadinstitute.org/gsea/msigdb/cards/GSE18281_SUBCAPSULAR_CORTICAL_REGION_VS_WHOLE_CORTEX_THYMUS_UP.html</v>
      </c>
    </row>
    <row r="903" spans="1:13">
      <c r="A903">
        <v>3017</v>
      </c>
      <c r="B903" t="s">
        <v>2610</v>
      </c>
      <c r="C903">
        <v>5</v>
      </c>
      <c r="D903">
        <v>146</v>
      </c>
      <c r="E903">
        <v>200</v>
      </c>
      <c r="F903">
        <v>32441</v>
      </c>
      <c r="G903">
        <v>5.5549657534246597</v>
      </c>
      <c r="H903">
        <v>2.3640745110952901E-3</v>
      </c>
      <c r="I903" t="s">
        <v>2611</v>
      </c>
      <c r="J903" t="s">
        <v>2612</v>
      </c>
      <c r="K903">
        <v>2.1980479042092101E-2</v>
      </c>
      <c r="L903" t="s">
        <v>1178</v>
      </c>
      <c r="M903" t="str">
        <f>HYPERLINK("http://www.broadinstitute.org/gsea/msigdb/cards/GSE18893_TCONV_VS_TREG_24H_TNF_STIM_DN.html")</f>
        <v>http://www.broadinstitute.org/gsea/msigdb/cards/GSE18893_TCONV_VS_TREG_24H_TNF_STIM_DN.html</v>
      </c>
    </row>
    <row r="904" spans="1:13">
      <c r="A904">
        <v>3072</v>
      </c>
      <c r="B904" t="s">
        <v>2613</v>
      </c>
      <c r="C904">
        <v>5</v>
      </c>
      <c r="D904">
        <v>146</v>
      </c>
      <c r="E904">
        <v>200</v>
      </c>
      <c r="F904">
        <v>32441</v>
      </c>
      <c r="G904">
        <v>5.5549657534246597</v>
      </c>
      <c r="H904">
        <v>2.3640745110952901E-3</v>
      </c>
      <c r="I904" t="s">
        <v>2614</v>
      </c>
      <c r="J904" t="s">
        <v>2615</v>
      </c>
      <c r="K904">
        <v>2.1980479042092101E-2</v>
      </c>
      <c r="L904" t="s">
        <v>1178</v>
      </c>
      <c r="M904" t="str">
        <f>HYPERLINK("http://www.broadinstitute.org/gsea/msigdb/cards/GSE20198_UNTREATED_VS_IFNA_TREATED_ACT_CD4_TCELL_DN.html")</f>
        <v>http://www.broadinstitute.org/gsea/msigdb/cards/GSE20198_UNTREATED_VS_IFNA_TREATED_ACT_CD4_TCELL_DN.html</v>
      </c>
    </row>
    <row r="905" spans="1:13">
      <c r="A905">
        <v>3076</v>
      </c>
      <c r="B905" t="s">
        <v>2616</v>
      </c>
      <c r="C905">
        <v>5</v>
      </c>
      <c r="D905">
        <v>146</v>
      </c>
      <c r="E905">
        <v>199</v>
      </c>
      <c r="F905">
        <v>32441</v>
      </c>
      <c r="G905">
        <v>5.5828801541956397</v>
      </c>
      <c r="H905">
        <v>2.3146180996214401E-3</v>
      </c>
      <c r="I905" t="s">
        <v>2617</v>
      </c>
      <c r="J905" t="s">
        <v>2618</v>
      </c>
      <c r="K905">
        <v>2.1980479042092101E-2</v>
      </c>
      <c r="L905" t="s">
        <v>1178</v>
      </c>
      <c r="M905" t="str">
        <f>HYPERLINK("http://www.broadinstitute.org/gsea/msigdb/cards/GSE20484_MCSG_VS_CXCL4_MONOCYTE_DERIVED_MACROPHAGE_UP.html")</f>
        <v>http://www.broadinstitute.org/gsea/msigdb/cards/GSE20484_MCSG_VS_CXCL4_MONOCYTE_DERIVED_MACROPHAGE_UP.html</v>
      </c>
    </row>
    <row r="906" spans="1:13">
      <c r="A906">
        <v>3161</v>
      </c>
      <c r="B906" t="s">
        <v>2619</v>
      </c>
      <c r="C906">
        <v>5</v>
      </c>
      <c r="D906">
        <v>146</v>
      </c>
      <c r="E906">
        <v>200</v>
      </c>
      <c r="F906">
        <v>32441</v>
      </c>
      <c r="G906">
        <v>5.5549657534246597</v>
      </c>
      <c r="H906">
        <v>2.3640745110952901E-3</v>
      </c>
      <c r="I906" t="s">
        <v>2620</v>
      </c>
      <c r="J906" t="s">
        <v>2621</v>
      </c>
      <c r="K906">
        <v>2.1980479042092101E-2</v>
      </c>
      <c r="L906" t="s">
        <v>1178</v>
      </c>
      <c r="M906" t="str">
        <f>HYPERLINK("http://www.broadinstitute.org/gsea/msigdb/cards/GSE21546_WT_VS_ELK1_KO_DP_THYMOCYTES_UP.html")</f>
        <v>http://www.broadinstitute.org/gsea/msigdb/cards/GSE21546_WT_VS_ELK1_KO_DP_THYMOCYTES_UP.html</v>
      </c>
    </row>
    <row r="907" spans="1:13">
      <c r="A907">
        <v>3222</v>
      </c>
      <c r="B907" t="s">
        <v>2622</v>
      </c>
      <c r="C907">
        <v>5</v>
      </c>
      <c r="D907">
        <v>146</v>
      </c>
      <c r="E907">
        <v>200</v>
      </c>
      <c r="F907">
        <v>32441</v>
      </c>
      <c r="G907">
        <v>5.5549657534246597</v>
      </c>
      <c r="H907">
        <v>2.3640745110952901E-3</v>
      </c>
      <c r="I907" t="s">
        <v>2623</v>
      </c>
      <c r="J907" t="s">
        <v>2624</v>
      </c>
      <c r="K907">
        <v>2.1980479042092101E-2</v>
      </c>
      <c r="L907" t="s">
        <v>1178</v>
      </c>
      <c r="M907" t="str">
        <f>HYPERLINK("http://www.broadinstitute.org/gsea/msigdb/cards/GSE21927_BALBC_VS_C57BL6_MONOCYTE_TUMOR_UP.html")</f>
        <v>http://www.broadinstitute.org/gsea/msigdb/cards/GSE21927_BALBC_VS_C57BL6_MONOCYTE_TUMOR_UP.html</v>
      </c>
    </row>
    <row r="908" spans="1:13">
      <c r="A908">
        <v>3224</v>
      </c>
      <c r="B908" t="s">
        <v>2625</v>
      </c>
      <c r="C908">
        <v>5</v>
      </c>
      <c r="D908">
        <v>146</v>
      </c>
      <c r="E908">
        <v>200</v>
      </c>
      <c r="F908">
        <v>32441</v>
      </c>
      <c r="G908">
        <v>5.5549657534246597</v>
      </c>
      <c r="H908">
        <v>2.3640745110952901E-3</v>
      </c>
      <c r="I908" t="s">
        <v>2626</v>
      </c>
      <c r="J908" t="s">
        <v>2627</v>
      </c>
      <c r="K908">
        <v>2.1980479042092101E-2</v>
      </c>
      <c r="L908" t="s">
        <v>1178</v>
      </c>
      <c r="M908" t="str">
        <f>HYPERLINK("http://www.broadinstitute.org/gsea/msigdb/cards/GSE21927_GMCSF_IL6_VS_GMCSF_GCSF_TREATED_BONE_MARROW_DN.html")</f>
        <v>http://www.broadinstitute.org/gsea/msigdb/cards/GSE21927_GMCSF_IL6_VS_GMCSF_GCSF_TREATED_BONE_MARROW_DN.html</v>
      </c>
    </row>
    <row r="909" spans="1:13">
      <c r="A909">
        <v>3229</v>
      </c>
      <c r="B909" t="s">
        <v>2628</v>
      </c>
      <c r="C909">
        <v>5</v>
      </c>
      <c r="D909">
        <v>146</v>
      </c>
      <c r="E909">
        <v>200</v>
      </c>
      <c r="F909">
        <v>32441</v>
      </c>
      <c r="G909">
        <v>5.5549657534246597</v>
      </c>
      <c r="H909">
        <v>2.3640745110952901E-3</v>
      </c>
      <c r="I909" t="s">
        <v>2629</v>
      </c>
      <c r="J909" t="s">
        <v>2630</v>
      </c>
      <c r="K909">
        <v>2.1980479042092101E-2</v>
      </c>
      <c r="L909" t="s">
        <v>1178</v>
      </c>
      <c r="M909" t="str">
        <f>HYPERLINK("http://www.broadinstitute.org/gsea/msigdb/cards/GSE21360_NAIVE_VS_TERTIARY_MEMORY_CD8_TCELL_UP.html")</f>
        <v>http://www.broadinstitute.org/gsea/msigdb/cards/GSE21360_NAIVE_VS_TERTIARY_MEMORY_CD8_TCELL_UP.html</v>
      </c>
    </row>
    <row r="910" spans="1:13">
      <c r="A910">
        <v>3253</v>
      </c>
      <c r="B910" t="s">
        <v>2631</v>
      </c>
      <c r="C910">
        <v>5</v>
      </c>
      <c r="D910">
        <v>146</v>
      </c>
      <c r="E910">
        <v>200</v>
      </c>
      <c r="F910">
        <v>32441</v>
      </c>
      <c r="G910">
        <v>5.5549657534246597</v>
      </c>
      <c r="H910">
        <v>2.3640745110952901E-3</v>
      </c>
      <c r="I910" t="s">
        <v>2632</v>
      </c>
      <c r="J910" t="s">
        <v>2633</v>
      </c>
      <c r="K910">
        <v>2.1980479042092101E-2</v>
      </c>
      <c r="L910" t="s">
        <v>1178</v>
      </c>
      <c r="M910" t="str">
        <f>HYPERLINK("http://www.broadinstitute.org/gsea/msigdb/cards/GSE22196_HEALTHY_VS_OBESE_MOUSE_SKIN_GAMMADELTA_TCELL_DN.html")</f>
        <v>http://www.broadinstitute.org/gsea/msigdb/cards/GSE22196_HEALTHY_VS_OBESE_MOUSE_SKIN_GAMMADELTA_TCELL_DN.html</v>
      </c>
    </row>
    <row r="911" spans="1:13">
      <c r="A911">
        <v>3267</v>
      </c>
      <c r="B911" t="s">
        <v>2634</v>
      </c>
      <c r="C911">
        <v>5</v>
      </c>
      <c r="D911">
        <v>146</v>
      </c>
      <c r="E911">
        <v>200</v>
      </c>
      <c r="F911">
        <v>32441</v>
      </c>
      <c r="G911">
        <v>5.5549657534246597</v>
      </c>
      <c r="H911">
        <v>2.3640745110952901E-3</v>
      </c>
      <c r="I911" t="s">
        <v>2635</v>
      </c>
      <c r="J911" t="s">
        <v>2636</v>
      </c>
      <c r="K911">
        <v>2.1980479042092101E-2</v>
      </c>
      <c r="L911" t="s">
        <v>1178</v>
      </c>
      <c r="M911" t="str">
        <f>HYPERLINK("http://www.broadinstitute.org/gsea/msigdb/cards/GSE19401_PAM2CSK4_VS_RETINOIC_ACID_AND_PAM2CSK4_STIM_FOLLICULAR_DC_UP.html")</f>
        <v>http://www.broadinstitute.org/gsea/msigdb/cards/GSE19401_PAM2CSK4_VS_RETINOIC_ACID_AND_PAM2CSK4_STIM_FOLLICULAR_DC_UP.html</v>
      </c>
    </row>
    <row r="912" spans="1:13">
      <c r="A912">
        <v>3269</v>
      </c>
      <c r="B912" t="s">
        <v>2637</v>
      </c>
      <c r="C912">
        <v>5</v>
      </c>
      <c r="D912">
        <v>146</v>
      </c>
      <c r="E912">
        <v>200</v>
      </c>
      <c r="F912">
        <v>32441</v>
      </c>
      <c r="G912">
        <v>5.5549657534246597</v>
      </c>
      <c r="H912">
        <v>2.3640745110952901E-3</v>
      </c>
      <c r="I912" t="s">
        <v>2638</v>
      </c>
      <c r="J912" t="s">
        <v>2639</v>
      </c>
      <c r="K912">
        <v>2.1980479042092101E-2</v>
      </c>
      <c r="L912" t="s">
        <v>1178</v>
      </c>
      <c r="M912" t="str">
        <f>HYPERLINK("http://www.broadinstitute.org/gsea/msigdb/cards/GSE19401_RETINOIC_ACID_VS_RETINOIC_ACID_AND_PAM2CSK4_STIM_FOLLICULAR_DC_DN.html")</f>
        <v>http://www.broadinstitute.org/gsea/msigdb/cards/GSE19401_RETINOIC_ACID_VS_RETINOIC_ACID_AND_PAM2CSK4_STIM_FOLLICULAR_DC_DN.html</v>
      </c>
    </row>
    <row r="913" spans="1:13">
      <c r="A913">
        <v>32811</v>
      </c>
      <c r="B913" t="s">
        <v>2640</v>
      </c>
      <c r="C913">
        <v>5</v>
      </c>
      <c r="D913">
        <v>146</v>
      </c>
      <c r="E913">
        <v>200</v>
      </c>
      <c r="F913">
        <v>32441</v>
      </c>
      <c r="G913">
        <v>5.5549657534246597</v>
      </c>
      <c r="H913">
        <v>2.3640745110952901E-3</v>
      </c>
      <c r="I913" t="s">
        <v>2641</v>
      </c>
      <c r="J913" t="s">
        <v>2642</v>
      </c>
      <c r="K913">
        <v>2.1980479042092101E-2</v>
      </c>
      <c r="L913" t="s">
        <v>1178</v>
      </c>
      <c r="M913" t="str">
        <f>HYPERLINK("http://www.broadinstitute.org/gsea/msigdb/cards/GSE22033_UNTREATED_VS_ROSIGLITAZONE_TREATED_MEF_UP.html")</f>
        <v>http://www.broadinstitute.org/gsea/msigdb/cards/GSE22033_UNTREATED_VS_ROSIGLITAZONE_TREATED_MEF_UP.html</v>
      </c>
    </row>
    <row r="914" spans="1:13">
      <c r="A914">
        <v>3287</v>
      </c>
      <c r="B914" t="s">
        <v>2643</v>
      </c>
      <c r="C914">
        <v>5</v>
      </c>
      <c r="D914">
        <v>146</v>
      </c>
      <c r="E914">
        <v>200</v>
      </c>
      <c r="F914">
        <v>32441</v>
      </c>
      <c r="G914">
        <v>5.5549657534246597</v>
      </c>
      <c r="H914">
        <v>2.3640745110952901E-3</v>
      </c>
      <c r="I914" t="s">
        <v>2644</v>
      </c>
      <c r="J914" t="s">
        <v>2645</v>
      </c>
      <c r="K914">
        <v>2.1980479042092101E-2</v>
      </c>
      <c r="L914" t="s">
        <v>1178</v>
      </c>
      <c r="M914" t="str">
        <f>HYPERLINK("http://www.broadinstitute.org/gsea/msigdb/cards/GSE20500_CTRL_VS_RARA_ANTAGONIST_TREATED_CD4_TCELL_DN.html")</f>
        <v>http://www.broadinstitute.org/gsea/msigdb/cards/GSE20500_CTRL_VS_RARA_ANTAGONIST_TREATED_CD4_TCELL_DN.html</v>
      </c>
    </row>
    <row r="915" spans="1:13">
      <c r="A915">
        <v>3455</v>
      </c>
      <c r="B915" t="s">
        <v>2646</v>
      </c>
      <c r="C915">
        <v>5</v>
      </c>
      <c r="D915">
        <v>146</v>
      </c>
      <c r="E915">
        <v>200</v>
      </c>
      <c r="F915">
        <v>32441</v>
      </c>
      <c r="G915">
        <v>5.5549657534246597</v>
      </c>
      <c r="H915">
        <v>2.3640745110952901E-3</v>
      </c>
      <c r="I915" t="s">
        <v>2647</v>
      </c>
      <c r="J915" t="s">
        <v>2648</v>
      </c>
      <c r="K915">
        <v>2.1980479042092101E-2</v>
      </c>
      <c r="L915" t="s">
        <v>1178</v>
      </c>
      <c r="M915" t="str">
        <f>HYPERLINK("http://www.broadinstitute.org/gsea/msigdb/cards/GSE25123_WT_VS_PPARG_KO_MACROPHAGE_IL4_STIM_UP.html")</f>
        <v>http://www.broadinstitute.org/gsea/msigdb/cards/GSE25123_WT_VS_PPARG_KO_MACROPHAGE_IL4_STIM_UP.html</v>
      </c>
    </row>
    <row r="916" spans="1:13">
      <c r="A916">
        <v>3667</v>
      </c>
      <c r="B916" t="s">
        <v>2649</v>
      </c>
      <c r="C916">
        <v>5</v>
      </c>
      <c r="D916">
        <v>146</v>
      </c>
      <c r="E916">
        <v>200</v>
      </c>
      <c r="F916">
        <v>32441</v>
      </c>
      <c r="G916">
        <v>5.5549657534246597</v>
      </c>
      <c r="H916">
        <v>2.3640745110952901E-3</v>
      </c>
      <c r="I916" t="s">
        <v>2650</v>
      </c>
      <c r="J916" t="s">
        <v>2651</v>
      </c>
      <c r="K916">
        <v>2.1980479042092101E-2</v>
      </c>
      <c r="L916" t="s">
        <v>1178</v>
      </c>
      <c r="M916" t="str">
        <f>HYPERLINK("http://www.broadinstitute.org/gsea/msigdb/cards/GSE21063_3H_VS_16H_ANTI_IGM_STIM_NFATC1_KOBCELL_DN.html")</f>
        <v>http://www.broadinstitute.org/gsea/msigdb/cards/GSE21063_3H_VS_16H_ANTI_IGM_STIM_NFATC1_KOBCELL_DN.html</v>
      </c>
    </row>
    <row r="917" spans="1:13">
      <c r="A917">
        <v>3669</v>
      </c>
      <c r="B917" t="s">
        <v>2652</v>
      </c>
      <c r="C917">
        <v>5</v>
      </c>
      <c r="D917">
        <v>146</v>
      </c>
      <c r="E917">
        <v>200</v>
      </c>
      <c r="F917">
        <v>32441</v>
      </c>
      <c r="G917">
        <v>5.5549657534246597</v>
      </c>
      <c r="H917">
        <v>2.3640745110952901E-3</v>
      </c>
      <c r="I917" t="s">
        <v>2653</v>
      </c>
      <c r="J917" t="s">
        <v>2654</v>
      </c>
      <c r="K917">
        <v>2.1980479042092101E-2</v>
      </c>
      <c r="L917" t="s">
        <v>1178</v>
      </c>
      <c r="M917" t="str">
        <f>HYPERLINK("http://www.broadinstitute.org/gsea/msigdb/cards/GSE21063_CTRL_VS_ANTI_IGM_STIM_BCELL_NFATC1_KO_16H_DN.html")</f>
        <v>http://www.broadinstitute.org/gsea/msigdb/cards/GSE21063_CTRL_VS_ANTI_IGM_STIM_BCELL_NFATC1_KO_16H_DN.html</v>
      </c>
    </row>
    <row r="918" spans="1:13">
      <c r="A918">
        <v>3700</v>
      </c>
      <c r="B918" t="s">
        <v>2655</v>
      </c>
      <c r="C918">
        <v>5</v>
      </c>
      <c r="D918">
        <v>146</v>
      </c>
      <c r="E918">
        <v>200</v>
      </c>
      <c r="F918">
        <v>32441</v>
      </c>
      <c r="G918">
        <v>5.5549657534246597</v>
      </c>
      <c r="H918">
        <v>2.3640745110952901E-3</v>
      </c>
      <c r="I918" t="s">
        <v>2656</v>
      </c>
      <c r="J918" t="s">
        <v>2657</v>
      </c>
      <c r="K918">
        <v>2.1980479042092101E-2</v>
      </c>
      <c r="L918" t="s">
        <v>1178</v>
      </c>
      <c r="M918" t="str">
        <f>HYPERLINK("http://www.broadinstitute.org/gsea/msigdb/cards/GSE28726_ACT_CD4_TCELL_VS_ACT_VA24NEG_NKTCELL_UP.html")</f>
        <v>http://www.broadinstitute.org/gsea/msigdb/cards/GSE28726_ACT_CD4_TCELL_VS_ACT_VA24NEG_NKTCELL_UP.html</v>
      </c>
    </row>
    <row r="919" spans="1:13">
      <c r="A919">
        <v>3747</v>
      </c>
      <c r="B919" t="s">
        <v>2658</v>
      </c>
      <c r="C919">
        <v>5</v>
      </c>
      <c r="D919">
        <v>146</v>
      </c>
      <c r="E919">
        <v>200</v>
      </c>
      <c r="F919">
        <v>32441</v>
      </c>
      <c r="G919">
        <v>5.5549657534246597</v>
      </c>
      <c r="H919">
        <v>2.3640745110952901E-3</v>
      </c>
      <c r="I919" t="s">
        <v>2659</v>
      </c>
      <c r="J919" t="s">
        <v>2660</v>
      </c>
      <c r="K919">
        <v>2.1980479042092101E-2</v>
      </c>
      <c r="L919" t="s">
        <v>1178</v>
      </c>
      <c r="M919" t="str">
        <f>HYPERLINK("http://www.broadinstitute.org/gsea/msigdb/cards/GSE22025_UNTREATED_VS_PROGESTERONE_TREATED_CD4_TCELL_DN.html")</f>
        <v>http://www.broadinstitute.org/gsea/msigdb/cards/GSE22025_UNTREATED_VS_PROGESTERONE_TREATED_CD4_TCELL_DN.html</v>
      </c>
    </row>
    <row r="920" spans="1:13">
      <c r="A920">
        <v>3753</v>
      </c>
      <c r="B920" t="s">
        <v>2661</v>
      </c>
      <c r="C920">
        <v>5</v>
      </c>
      <c r="D920">
        <v>146</v>
      </c>
      <c r="E920">
        <v>200</v>
      </c>
      <c r="F920">
        <v>32441</v>
      </c>
      <c r="G920">
        <v>5.5549657534246597</v>
      </c>
      <c r="H920">
        <v>2.3640745110952901E-3</v>
      </c>
      <c r="I920" t="s">
        <v>2662</v>
      </c>
      <c r="J920" t="s">
        <v>2663</v>
      </c>
      <c r="K920">
        <v>2.1980479042092101E-2</v>
      </c>
      <c r="L920" t="s">
        <v>1178</v>
      </c>
      <c r="M920" t="str">
        <f>HYPERLINK("http://www.broadinstitute.org/gsea/msigdb/cards/GSE29949_CD8_NEG_DC_SPLEEN_VS_CD8_POS_DC_SPLEEN_DN.html")</f>
        <v>http://www.broadinstitute.org/gsea/msigdb/cards/GSE29949_CD8_NEG_DC_SPLEEN_VS_CD8_POS_DC_SPLEEN_DN.html</v>
      </c>
    </row>
    <row r="921" spans="1:13">
      <c r="A921">
        <v>3791</v>
      </c>
      <c r="B921" t="s">
        <v>2664</v>
      </c>
      <c r="C921">
        <v>5</v>
      </c>
      <c r="D921">
        <v>146</v>
      </c>
      <c r="E921">
        <v>199</v>
      </c>
      <c r="F921">
        <v>32441</v>
      </c>
      <c r="G921">
        <v>5.5828801541956397</v>
      </c>
      <c r="H921">
        <v>2.3146180996214401E-3</v>
      </c>
      <c r="I921" t="s">
        <v>2665</v>
      </c>
      <c r="J921" t="s">
        <v>2666</v>
      </c>
      <c r="K921">
        <v>2.1980479042092101E-2</v>
      </c>
      <c r="L921" t="s">
        <v>1178</v>
      </c>
      <c r="M921" t="str">
        <f>HYPERLINK("http://www.broadinstitute.org/gsea/msigdb/cards/GSE27291_0H_VS_6H_STIM_GAMMADELTA_TCELL_UP.html")</f>
        <v>http://www.broadinstitute.org/gsea/msigdb/cards/GSE27291_0H_VS_6H_STIM_GAMMADELTA_TCELL_UP.html</v>
      </c>
    </row>
    <row r="922" spans="1:13">
      <c r="A922">
        <v>3816</v>
      </c>
      <c r="B922" t="s">
        <v>2667</v>
      </c>
      <c r="C922">
        <v>5</v>
      </c>
      <c r="D922">
        <v>146</v>
      </c>
      <c r="E922">
        <v>200</v>
      </c>
      <c r="F922">
        <v>32441</v>
      </c>
      <c r="G922">
        <v>5.5549657534246597</v>
      </c>
      <c r="H922">
        <v>2.3640745110952901E-3</v>
      </c>
      <c r="I922" t="s">
        <v>2668</v>
      </c>
      <c r="J922" t="s">
        <v>2669</v>
      </c>
      <c r="K922">
        <v>2.1980479042092101E-2</v>
      </c>
      <c r="L922" t="s">
        <v>1178</v>
      </c>
      <c r="M922" t="str">
        <f>HYPERLINK("http://www.broadinstitute.org/gsea/msigdb/cards/GSE29164_UNTREATED_VS_CD8_TCELL_TREATED_MELANOMA_DAY3_UP.html")</f>
        <v>http://www.broadinstitute.org/gsea/msigdb/cards/GSE29164_UNTREATED_VS_CD8_TCELL_TREATED_MELANOMA_DAY3_UP.html</v>
      </c>
    </row>
    <row r="923" spans="1:13">
      <c r="A923">
        <v>3820</v>
      </c>
      <c r="B923" t="s">
        <v>2670</v>
      </c>
      <c r="C923">
        <v>5</v>
      </c>
      <c r="D923">
        <v>146</v>
      </c>
      <c r="E923">
        <v>200</v>
      </c>
      <c r="F923">
        <v>32441</v>
      </c>
      <c r="G923">
        <v>5.5549657534246597</v>
      </c>
      <c r="H923">
        <v>2.3640745110952901E-3</v>
      </c>
      <c r="I923" t="s">
        <v>2671</v>
      </c>
      <c r="J923" t="s">
        <v>2672</v>
      </c>
      <c r="K923">
        <v>2.1980479042092101E-2</v>
      </c>
      <c r="L923" t="s">
        <v>1178</v>
      </c>
      <c r="M923" t="str">
        <f>HYPERLINK("http://www.broadinstitute.org/gsea/msigdb/cards/GSE29164_DAY3_VS_DAY7_CD8_TCELL_AND_IL12_TREATED_MELANOMA_UP.html")</f>
        <v>http://www.broadinstitute.org/gsea/msigdb/cards/GSE29164_DAY3_VS_DAY7_CD8_TCELL_AND_IL12_TREATED_MELANOMA_UP.html</v>
      </c>
    </row>
    <row r="924" spans="1:13">
      <c r="A924">
        <v>3895</v>
      </c>
      <c r="B924" t="s">
        <v>2673</v>
      </c>
      <c r="C924">
        <v>5</v>
      </c>
      <c r="D924">
        <v>146</v>
      </c>
      <c r="E924">
        <v>199</v>
      </c>
      <c r="F924">
        <v>32441</v>
      </c>
      <c r="G924">
        <v>5.5828801541956397</v>
      </c>
      <c r="H924">
        <v>2.3146180996214401E-3</v>
      </c>
      <c r="I924" t="s">
        <v>2674</v>
      </c>
      <c r="J924" t="s">
        <v>2675</v>
      </c>
      <c r="K924">
        <v>2.1980479042092101E-2</v>
      </c>
      <c r="L924" t="s">
        <v>1178</v>
      </c>
      <c r="M924" t="str">
        <f>HYPERLINK("http://www.broadinstitute.org/gsea/msigdb/cards/GSE32986_UNSTIM_VS_GMCSF_STIM_DC_UP.html")</f>
        <v>http://www.broadinstitute.org/gsea/msigdb/cards/GSE32986_UNSTIM_VS_GMCSF_STIM_DC_UP.html</v>
      </c>
    </row>
    <row r="925" spans="1:13">
      <c r="A925">
        <v>3900</v>
      </c>
      <c r="B925" t="s">
        <v>2676</v>
      </c>
      <c r="C925">
        <v>5</v>
      </c>
      <c r="D925">
        <v>146</v>
      </c>
      <c r="E925">
        <v>199</v>
      </c>
      <c r="F925">
        <v>32441</v>
      </c>
      <c r="G925">
        <v>5.5828801541956397</v>
      </c>
      <c r="H925">
        <v>2.3146180996214401E-3</v>
      </c>
      <c r="I925" t="s">
        <v>2677</v>
      </c>
      <c r="J925" t="s">
        <v>2678</v>
      </c>
      <c r="K925">
        <v>2.1980479042092101E-2</v>
      </c>
      <c r="L925" t="s">
        <v>1178</v>
      </c>
      <c r="M925" t="str">
        <f>HYPERLINK("http://www.broadinstitute.org/gsea/msigdb/cards/GSE32986_UNSTIM_VS_CURDLAN_HIGHDOSE_STIM_DC_DN.html")</f>
        <v>http://www.broadinstitute.org/gsea/msigdb/cards/GSE32986_UNSTIM_VS_CURDLAN_HIGHDOSE_STIM_DC_DN.html</v>
      </c>
    </row>
    <row r="926" spans="1:13">
      <c r="A926">
        <v>3990</v>
      </c>
      <c r="B926" t="s">
        <v>2679</v>
      </c>
      <c r="C926">
        <v>5</v>
      </c>
      <c r="D926">
        <v>146</v>
      </c>
      <c r="E926">
        <v>200</v>
      </c>
      <c r="F926">
        <v>32441</v>
      </c>
      <c r="G926">
        <v>5.5549657534246597</v>
      </c>
      <c r="H926">
        <v>2.3640745110952901E-3</v>
      </c>
      <c r="I926" t="s">
        <v>2680</v>
      </c>
      <c r="J926" t="s">
        <v>2681</v>
      </c>
      <c r="K926">
        <v>2.1980479042092101E-2</v>
      </c>
      <c r="L926" t="s">
        <v>1178</v>
      </c>
      <c r="M926" t="str">
        <f>HYPERLINK("http://www.broadinstitute.org/gsea/msigdb/cards/GSE36888_UNTREATED_VS_IL2_TREATED_STAT5_AB_KNOCKIN_TCELL_2H_DN.html")</f>
        <v>http://www.broadinstitute.org/gsea/msigdb/cards/GSE36888_UNTREATED_VS_IL2_TREATED_STAT5_AB_KNOCKIN_TCELL_2H_DN.html</v>
      </c>
    </row>
    <row r="927" spans="1:13">
      <c r="A927">
        <v>4022</v>
      </c>
      <c r="B927" t="s">
        <v>2682</v>
      </c>
      <c r="C927">
        <v>5</v>
      </c>
      <c r="D927">
        <v>146</v>
      </c>
      <c r="E927">
        <v>200</v>
      </c>
      <c r="F927">
        <v>32441</v>
      </c>
      <c r="G927">
        <v>5.5549657534246597</v>
      </c>
      <c r="H927">
        <v>2.3640745110952901E-3</v>
      </c>
      <c r="I927" t="s">
        <v>2683</v>
      </c>
      <c r="J927" t="s">
        <v>2684</v>
      </c>
      <c r="K927">
        <v>2.1980479042092101E-2</v>
      </c>
      <c r="L927" t="s">
        <v>1178</v>
      </c>
      <c r="M927" t="str">
        <f>HYPERLINK("http://www.broadinstitute.org/gsea/msigdb/cards/GSE37605_FOXP3_FUSION_GFP_VS_IRES_GFP_TREG_NOD_UP.html")</f>
        <v>http://www.broadinstitute.org/gsea/msigdb/cards/GSE37605_FOXP3_FUSION_GFP_VS_IRES_GFP_TREG_NOD_UP.html</v>
      </c>
    </row>
    <row r="928" spans="1:13">
      <c r="A928">
        <v>4058</v>
      </c>
      <c r="B928" t="s">
        <v>2685</v>
      </c>
      <c r="C928">
        <v>5</v>
      </c>
      <c r="D928">
        <v>146</v>
      </c>
      <c r="E928">
        <v>200</v>
      </c>
      <c r="F928">
        <v>32441</v>
      </c>
      <c r="G928">
        <v>5.5549657534246597</v>
      </c>
      <c r="H928">
        <v>2.3640745110952901E-3</v>
      </c>
      <c r="I928" t="s">
        <v>2686</v>
      </c>
      <c r="J928" t="s">
        <v>2687</v>
      </c>
      <c r="K928">
        <v>2.1980479042092101E-2</v>
      </c>
      <c r="L928" t="s">
        <v>1178</v>
      </c>
      <c r="M928" t="str">
        <f>HYPERLINK("http://www.broadinstitute.org/gsea/msigdb/cards/GSE37301_COMMON_LYMPHOID_PROGENITOR_VS_CD4_TCELL_UP.html")</f>
        <v>http://www.broadinstitute.org/gsea/msigdb/cards/GSE37301_COMMON_LYMPHOID_PROGENITOR_VS_CD4_TCELL_UP.html</v>
      </c>
    </row>
    <row r="929" spans="1:13">
      <c r="A929">
        <v>4060</v>
      </c>
      <c r="B929" t="s">
        <v>2688</v>
      </c>
      <c r="C929">
        <v>5</v>
      </c>
      <c r="D929">
        <v>146</v>
      </c>
      <c r="E929">
        <v>200</v>
      </c>
      <c r="F929">
        <v>32441</v>
      </c>
      <c r="G929">
        <v>5.5549657534246597</v>
      </c>
      <c r="H929">
        <v>2.3640745110952901E-3</v>
      </c>
      <c r="I929" t="s">
        <v>2689</v>
      </c>
      <c r="J929" t="s">
        <v>2690</v>
      </c>
      <c r="K929">
        <v>2.1980479042092101E-2</v>
      </c>
      <c r="L929" t="s">
        <v>1178</v>
      </c>
      <c r="M929" t="str">
        <f>HYPERLINK("http://www.broadinstitute.org/gsea/msigdb/cards/GSE37301_COMMON_LYMPHOID_PROGENITOR_VS_GRAN_MONO_PROGENITOR_UP.html")</f>
        <v>http://www.broadinstitute.org/gsea/msigdb/cards/GSE37301_COMMON_LYMPHOID_PROGENITOR_VS_GRAN_MONO_PROGENITOR_UP.html</v>
      </c>
    </row>
    <row r="930" spans="1:13">
      <c r="A930">
        <v>4061</v>
      </c>
      <c r="B930" t="s">
        <v>2691</v>
      </c>
      <c r="C930">
        <v>5</v>
      </c>
      <c r="D930">
        <v>146</v>
      </c>
      <c r="E930">
        <v>199</v>
      </c>
      <c r="F930">
        <v>32441</v>
      </c>
      <c r="G930">
        <v>5.5828801541956397</v>
      </c>
      <c r="H930">
        <v>2.3146180996214401E-3</v>
      </c>
      <c r="I930" t="s">
        <v>2692</v>
      </c>
      <c r="J930" t="s">
        <v>2693</v>
      </c>
      <c r="K930">
        <v>2.1980479042092101E-2</v>
      </c>
      <c r="L930" t="s">
        <v>1178</v>
      </c>
      <c r="M930" t="str">
        <f>HYPERLINK("http://www.broadinstitute.org/gsea/msigdb/cards/GSE37301_COMMON_LYMPHOID_PROGENITOR_VS_GRAN_MONO_PROGENITOR_DN.html")</f>
        <v>http://www.broadinstitute.org/gsea/msigdb/cards/GSE37301_COMMON_LYMPHOID_PROGENITOR_VS_GRAN_MONO_PROGENITOR_DN.html</v>
      </c>
    </row>
    <row r="931" spans="1:13">
      <c r="A931">
        <v>4307</v>
      </c>
      <c r="B931" t="s">
        <v>2694</v>
      </c>
      <c r="C931">
        <v>5</v>
      </c>
      <c r="D931">
        <v>146</v>
      </c>
      <c r="E931">
        <v>199</v>
      </c>
      <c r="F931">
        <v>32441</v>
      </c>
      <c r="G931">
        <v>5.5828801541956397</v>
      </c>
      <c r="H931">
        <v>2.3146180996214401E-3</v>
      </c>
      <c r="I931" t="s">
        <v>2695</v>
      </c>
      <c r="J931" t="s">
        <v>2696</v>
      </c>
      <c r="K931">
        <v>2.1980479042092101E-2</v>
      </c>
      <c r="L931" t="s">
        <v>1178</v>
      </c>
      <c r="M931" t="str">
        <f>HYPERLINK("http://www.broadinstitute.org/gsea/msigdb/cards/GSE40666_STAT1_KO_VS_STAT4_KO_CD8_TCELL_WITH_IFNA_STIM_90MIN_UP.html")</f>
        <v>http://www.broadinstitute.org/gsea/msigdb/cards/GSE40666_STAT1_KO_VS_STAT4_KO_CD8_TCELL_WITH_IFNA_STIM_90MIN_UP.html</v>
      </c>
    </row>
    <row r="932" spans="1:13">
      <c r="A932">
        <v>4313</v>
      </c>
      <c r="B932" t="s">
        <v>2697</v>
      </c>
      <c r="C932">
        <v>5</v>
      </c>
      <c r="D932">
        <v>146</v>
      </c>
      <c r="E932">
        <v>200</v>
      </c>
      <c r="F932">
        <v>32441</v>
      </c>
      <c r="G932">
        <v>5.5549657534246597</v>
      </c>
      <c r="H932">
        <v>2.3640745110952901E-3</v>
      </c>
      <c r="I932" t="s">
        <v>2698</v>
      </c>
      <c r="J932" t="s">
        <v>2699</v>
      </c>
      <c r="K932">
        <v>2.1980479042092101E-2</v>
      </c>
      <c r="L932" t="s">
        <v>1178</v>
      </c>
      <c r="M932" t="str">
        <f>HYPERLINK("http://www.broadinstitute.org/gsea/msigdb/cards/GSE40666_UNTREATED_VS_IFNA_STIM_CD8_TCELL_90MIN_DN.html")</f>
        <v>http://www.broadinstitute.org/gsea/msigdb/cards/GSE40666_UNTREATED_VS_IFNA_STIM_CD8_TCELL_90MIN_DN.html</v>
      </c>
    </row>
    <row r="933" spans="1:13">
      <c r="A933">
        <v>4337</v>
      </c>
      <c r="B933" t="s">
        <v>2700</v>
      </c>
      <c r="C933">
        <v>5</v>
      </c>
      <c r="D933">
        <v>146</v>
      </c>
      <c r="E933">
        <v>200</v>
      </c>
      <c r="F933">
        <v>32441</v>
      </c>
      <c r="G933">
        <v>5.5549657534246597</v>
      </c>
      <c r="H933">
        <v>2.3640745110952901E-3</v>
      </c>
      <c r="I933" t="s">
        <v>2701</v>
      </c>
      <c r="J933" t="s">
        <v>2702</v>
      </c>
      <c r="K933">
        <v>2.1980479042092101E-2</v>
      </c>
      <c r="L933" t="s">
        <v>1178</v>
      </c>
      <c r="M933" t="str">
        <f>HYPERLINK("http://www.broadinstitute.org/gsea/msigdb/cards/GSE40068_CXCR5POS_BCL6POS_TFH_VS_CXCR5NEG_BCL6NEG_CD4_TCELL_UP.html")</f>
        <v>http://www.broadinstitute.org/gsea/msigdb/cards/GSE40068_CXCR5POS_BCL6POS_TFH_VS_CXCR5NEG_BCL6NEG_CD4_TCELL_UP.html</v>
      </c>
    </row>
    <row r="934" spans="1:13">
      <c r="A934">
        <v>4456</v>
      </c>
      <c r="B934" t="s">
        <v>2703</v>
      </c>
      <c r="C934">
        <v>5</v>
      </c>
      <c r="D934">
        <v>146</v>
      </c>
      <c r="E934">
        <v>197</v>
      </c>
      <c r="F934">
        <v>32441</v>
      </c>
      <c r="G934">
        <v>5.6395591405326497</v>
      </c>
      <c r="H934">
        <v>2.2179714774588702E-3</v>
      </c>
      <c r="I934" t="s">
        <v>2704</v>
      </c>
      <c r="J934" t="s">
        <v>2705</v>
      </c>
      <c r="K934">
        <v>2.1980479042092101E-2</v>
      </c>
      <c r="L934" t="s">
        <v>1178</v>
      </c>
      <c r="M934" t="str">
        <f>HYPERLINK("http://www.broadinstitute.org/gsea/msigdb/cards/GSE35543_IN_VIVO_NTREG_VS_CONVERTED_EX_ITREG_UP.html")</f>
        <v>http://www.broadinstitute.org/gsea/msigdb/cards/GSE35543_IN_VIVO_NTREG_VS_CONVERTED_EX_ITREG_UP.html</v>
      </c>
    </row>
    <row r="935" spans="1:13">
      <c r="A935">
        <v>4475</v>
      </c>
      <c r="B935" t="s">
        <v>2706</v>
      </c>
      <c r="C935">
        <v>5</v>
      </c>
      <c r="D935">
        <v>146</v>
      </c>
      <c r="E935">
        <v>200</v>
      </c>
      <c r="F935">
        <v>32441</v>
      </c>
      <c r="G935">
        <v>5.5549657534246597</v>
      </c>
      <c r="H935">
        <v>2.3640745110952901E-3</v>
      </c>
      <c r="I935" t="s">
        <v>2707</v>
      </c>
      <c r="J935" t="s">
        <v>2708</v>
      </c>
      <c r="K935">
        <v>2.1980479042092101E-2</v>
      </c>
      <c r="L935" t="s">
        <v>1178</v>
      </c>
      <c r="M935" t="str">
        <f>HYPERLINK("http://www.broadinstitute.org/gsea/msigdb/cards/GSE41867_DAY6_VS_DAY8_LCMV_ARMSTRONG_EFFECTOR_CD8_TCELL_DN.html")</f>
        <v>http://www.broadinstitute.org/gsea/msigdb/cards/GSE41867_DAY6_VS_DAY8_LCMV_ARMSTRONG_EFFECTOR_CD8_TCELL_DN.html</v>
      </c>
    </row>
    <row r="936" spans="1:13">
      <c r="A936">
        <v>4576</v>
      </c>
      <c r="B936" t="s">
        <v>2709</v>
      </c>
      <c r="C936">
        <v>5</v>
      </c>
      <c r="D936">
        <v>146</v>
      </c>
      <c r="E936">
        <v>199</v>
      </c>
      <c r="F936">
        <v>32441</v>
      </c>
      <c r="G936">
        <v>5.5828801541956397</v>
      </c>
      <c r="H936">
        <v>2.3146180996214401E-3</v>
      </c>
      <c r="I936" t="s">
        <v>2710</v>
      </c>
      <c r="J936" t="s">
        <v>2711</v>
      </c>
      <c r="K936">
        <v>2.1980479042092101E-2</v>
      </c>
      <c r="L936" t="s">
        <v>1178</v>
      </c>
      <c r="M936" t="str">
        <f>HYPERLINK("http://www.broadinstitute.org/gsea/msigdb/cards/GSE42021_TCONV_PLN_VS_CD24INT_TCONV_THYMUS_DN.html")</f>
        <v>http://www.broadinstitute.org/gsea/msigdb/cards/GSE42021_TCONV_PLN_VS_CD24INT_TCONV_THYMUS_DN.html</v>
      </c>
    </row>
    <row r="937" spans="1:13">
      <c r="A937">
        <v>46211</v>
      </c>
      <c r="B937" t="s">
        <v>2712</v>
      </c>
      <c r="C937">
        <v>5</v>
      </c>
      <c r="D937">
        <v>146</v>
      </c>
      <c r="E937">
        <v>200</v>
      </c>
      <c r="F937">
        <v>32441</v>
      </c>
      <c r="G937">
        <v>5.5549657534246597</v>
      </c>
      <c r="H937">
        <v>2.3640745110952901E-3</v>
      </c>
      <c r="I937" t="s">
        <v>2713</v>
      </c>
      <c r="J937" t="s">
        <v>2714</v>
      </c>
      <c r="K937">
        <v>2.1980479042092101E-2</v>
      </c>
      <c r="L937" t="s">
        <v>1178</v>
      </c>
      <c r="M937" t="str">
        <f>HYPERLINK("http://www.broadinstitute.org/gsea/msigdb/cards/GSE43955_1H_VS_42H_ACT_CD4_TCELL_DN.html")</f>
        <v>http://www.broadinstitute.org/gsea/msigdb/cards/GSE43955_1H_VS_42H_ACT_CD4_TCELL_DN.html</v>
      </c>
    </row>
    <row r="938" spans="1:13">
      <c r="A938">
        <v>4625</v>
      </c>
      <c r="B938" t="s">
        <v>2715</v>
      </c>
      <c r="C938">
        <v>5</v>
      </c>
      <c r="D938">
        <v>146</v>
      </c>
      <c r="E938">
        <v>200</v>
      </c>
      <c r="F938">
        <v>32441</v>
      </c>
      <c r="G938">
        <v>5.5549657534246597</v>
      </c>
      <c r="H938">
        <v>2.3640745110952901E-3</v>
      </c>
      <c r="I938" t="s">
        <v>2716</v>
      </c>
      <c r="J938" t="s">
        <v>2717</v>
      </c>
      <c r="K938">
        <v>2.1980479042092101E-2</v>
      </c>
      <c r="L938" t="s">
        <v>1178</v>
      </c>
      <c r="M938" t="str">
        <f>HYPERLINK("http://www.broadinstitute.org/gsea/msigdb/cards/GSE43955_TGFB_IL6_VS_TGFB_IL6_IL23_TH17_ACT_CD4_TCELL_60H_UP.html")</f>
        <v>http://www.broadinstitute.org/gsea/msigdb/cards/GSE43955_TGFB_IL6_VS_TGFB_IL6_IL23_TH17_ACT_CD4_TCELL_60H_UP.html</v>
      </c>
    </row>
    <row r="939" spans="1:13">
      <c r="A939">
        <v>4633</v>
      </c>
      <c r="B939" t="s">
        <v>2718</v>
      </c>
      <c r="C939">
        <v>5</v>
      </c>
      <c r="D939">
        <v>146</v>
      </c>
      <c r="E939">
        <v>200</v>
      </c>
      <c r="F939">
        <v>32441</v>
      </c>
      <c r="G939">
        <v>5.5549657534246597</v>
      </c>
      <c r="H939">
        <v>2.3640745110952901E-3</v>
      </c>
      <c r="I939" t="s">
        <v>2719</v>
      </c>
      <c r="J939" t="s">
        <v>2720</v>
      </c>
      <c r="K939">
        <v>2.1980479042092101E-2</v>
      </c>
      <c r="L939" t="s">
        <v>1178</v>
      </c>
      <c r="M939" t="str">
        <f>HYPERLINK("http://www.broadinstitute.org/gsea/msigdb/cards/GSE43955_1H_VS_60H_ACT_CD4_TCELL_WITH_TGFB_IL6_UP.html")</f>
        <v>http://www.broadinstitute.org/gsea/msigdb/cards/GSE43955_1H_VS_60H_ACT_CD4_TCELL_WITH_TGFB_IL6_UP.html</v>
      </c>
    </row>
    <row r="940" spans="1:13">
      <c r="A940">
        <v>4637</v>
      </c>
      <c r="B940" t="s">
        <v>2721</v>
      </c>
      <c r="C940">
        <v>5</v>
      </c>
      <c r="D940">
        <v>146</v>
      </c>
      <c r="E940">
        <v>200</v>
      </c>
      <c r="F940">
        <v>32441</v>
      </c>
      <c r="G940">
        <v>5.5549657534246597</v>
      </c>
      <c r="H940">
        <v>2.3640745110952901E-3</v>
      </c>
      <c r="I940" t="s">
        <v>2722</v>
      </c>
      <c r="J940" t="s">
        <v>2723</v>
      </c>
      <c r="K940">
        <v>2.1980479042092101E-2</v>
      </c>
      <c r="L940" t="s">
        <v>1178</v>
      </c>
      <c r="M940" t="str">
        <f>HYPERLINK("http://www.broadinstitute.org/gsea/msigdb/cards/GSE43955_TH0_VS_TGFB_IL6_IL23_TH17_ACT_CD4_TCELL_60H_DN.html")</f>
        <v>http://www.broadinstitute.org/gsea/msigdb/cards/GSE43955_TH0_VS_TGFB_IL6_IL23_TH17_ACT_CD4_TCELL_60H_DN.html</v>
      </c>
    </row>
    <row r="941" spans="1:13">
      <c r="A941">
        <v>4706</v>
      </c>
      <c r="B941" t="s">
        <v>2724</v>
      </c>
      <c r="C941">
        <v>5</v>
      </c>
      <c r="D941">
        <v>146</v>
      </c>
      <c r="E941">
        <v>200</v>
      </c>
      <c r="F941">
        <v>32441</v>
      </c>
      <c r="G941">
        <v>5.5549657534246597</v>
      </c>
      <c r="H941">
        <v>2.3640745110952901E-3</v>
      </c>
      <c r="I941" t="s">
        <v>2725</v>
      </c>
      <c r="J941" t="s">
        <v>2726</v>
      </c>
      <c r="K941">
        <v>2.1980479042092101E-2</v>
      </c>
      <c r="L941" t="s">
        <v>1178</v>
      </c>
      <c r="M941" t="str">
        <f>HYPERLINK("http://www.broadinstitute.org/gsea/msigdb/cards/GSE42724_B1_BCELL_VS_PLASMABLAST_UP.html")</f>
        <v>http://www.broadinstitute.org/gsea/msigdb/cards/GSE42724_B1_BCELL_VS_PLASMABLAST_UP.html</v>
      </c>
    </row>
    <row r="942" spans="1:13">
      <c r="A942">
        <v>4745</v>
      </c>
      <c r="B942" t="s">
        <v>2727</v>
      </c>
      <c r="C942">
        <v>5</v>
      </c>
      <c r="D942">
        <v>146</v>
      </c>
      <c r="E942">
        <v>200</v>
      </c>
      <c r="F942">
        <v>32441</v>
      </c>
      <c r="G942">
        <v>5.5549657534246597</v>
      </c>
      <c r="H942">
        <v>2.3640745110952901E-3</v>
      </c>
      <c r="I942" t="s">
        <v>2728</v>
      </c>
      <c r="J942" t="s">
        <v>2729</v>
      </c>
      <c r="K942">
        <v>2.1980479042092101E-2</v>
      </c>
      <c r="L942" t="s">
        <v>1178</v>
      </c>
      <c r="M942" t="str">
        <f>HYPERLINK("http://www.broadinstitute.org/gsea/msigdb/cards/GSE46606_IRF4HIGH_VS_WT_CD40L_IL2_IL5_DAY1_STIMULATED_BCELL_UP.html")</f>
        <v>http://www.broadinstitute.org/gsea/msigdb/cards/GSE46606_IRF4HIGH_VS_WT_CD40L_IL2_IL5_DAY1_STIMULATED_BCELL_UP.html</v>
      </c>
    </row>
    <row r="943" spans="1:13">
      <c r="A943">
        <v>4760</v>
      </c>
      <c r="B943" t="s">
        <v>2730</v>
      </c>
      <c r="C943">
        <v>5</v>
      </c>
      <c r="D943">
        <v>146</v>
      </c>
      <c r="E943">
        <v>199</v>
      </c>
      <c r="F943">
        <v>32441</v>
      </c>
      <c r="G943">
        <v>5.5828801541956397</v>
      </c>
      <c r="H943">
        <v>2.3146180996214401E-3</v>
      </c>
      <c r="I943" t="s">
        <v>2731</v>
      </c>
      <c r="J943" t="s">
        <v>2732</v>
      </c>
      <c r="K943">
        <v>2.1980479042092101E-2</v>
      </c>
      <c r="L943" t="s">
        <v>1178</v>
      </c>
      <c r="M943" t="str">
        <f>HYPERLINK("http://www.broadinstitute.org/gsea/msigdb/cards/GSE46606_DAY1_VS_DAY3_CD40L_IL2_IL5_STIMULATED_BCELL_DN.html")</f>
        <v>http://www.broadinstitute.org/gsea/msigdb/cards/GSE46606_DAY1_VS_DAY3_CD40L_IL2_IL5_STIMULATED_BCELL_DN.html</v>
      </c>
    </row>
    <row r="944" spans="1:13">
      <c r="A944">
        <v>47961</v>
      </c>
      <c r="B944" t="s">
        <v>2733</v>
      </c>
      <c r="C944">
        <v>5</v>
      </c>
      <c r="D944">
        <v>146</v>
      </c>
      <c r="E944">
        <v>200</v>
      </c>
      <c r="F944">
        <v>32441</v>
      </c>
      <c r="G944">
        <v>5.5549657534246597</v>
      </c>
      <c r="H944">
        <v>2.3640745110952901E-3</v>
      </c>
      <c r="I944" t="s">
        <v>2734</v>
      </c>
      <c r="J944" t="s">
        <v>2735</v>
      </c>
      <c r="K944">
        <v>2.1980479042092101E-2</v>
      </c>
      <c r="L944" t="s">
        <v>1178</v>
      </c>
      <c r="M944" t="str">
        <f>HYPERLINK("http://www.broadinstitute.org/gsea/msigdb/cards/GSE41176_UNSTIM_VS_ANTI_IGM_STIM_TAK1_KO_BCELL_1H_UP.html")</f>
        <v>http://www.broadinstitute.org/gsea/msigdb/cards/GSE41176_UNSTIM_VS_ANTI_IGM_STIM_TAK1_KO_BCELL_1H_UP.html</v>
      </c>
    </row>
    <row r="945" spans="1:13">
      <c r="A945">
        <v>4810</v>
      </c>
      <c r="B945" t="s">
        <v>2736</v>
      </c>
      <c r="C945">
        <v>5</v>
      </c>
      <c r="D945">
        <v>146</v>
      </c>
      <c r="E945">
        <v>200</v>
      </c>
      <c r="F945">
        <v>32441</v>
      </c>
      <c r="G945">
        <v>5.5549657534246597</v>
      </c>
      <c r="H945">
        <v>2.3640745110952901E-3</v>
      </c>
      <c r="I945" t="s">
        <v>2737</v>
      </c>
      <c r="J945" t="s">
        <v>2738</v>
      </c>
      <c r="K945">
        <v>2.1980479042092101E-2</v>
      </c>
      <c r="L945" t="s">
        <v>1178</v>
      </c>
      <c r="M945" t="str">
        <f>HYPERLINK("http://www.broadinstitute.org/gsea/msigdb/cards/GSE41176_WT_VS_TAK1_KO_ANTI_IGM_STIM_BCELL_24H_DN.html")</f>
        <v>http://www.broadinstitute.org/gsea/msigdb/cards/GSE41176_WT_VS_TAK1_KO_ANTI_IGM_STIM_BCELL_24H_DN.html</v>
      </c>
    </row>
    <row r="946" spans="1:13">
      <c r="A946">
        <v>4844</v>
      </c>
      <c r="B946" t="s">
        <v>2739</v>
      </c>
      <c r="C946">
        <v>5</v>
      </c>
      <c r="D946">
        <v>146</v>
      </c>
      <c r="E946">
        <v>198</v>
      </c>
      <c r="F946">
        <v>32441</v>
      </c>
      <c r="G946">
        <v>5.6110765186107603</v>
      </c>
      <c r="H946">
        <v>2.26591938084037E-3</v>
      </c>
      <c r="I946" t="s">
        <v>2740</v>
      </c>
      <c r="J946" t="s">
        <v>2741</v>
      </c>
      <c r="K946">
        <v>2.1980479042092101E-2</v>
      </c>
      <c r="L946" t="s">
        <v>1178</v>
      </c>
      <c r="M946" t="str">
        <f>HYPERLINK("http://www.broadinstitute.org/gsea/msigdb/cards/GSE45365_CD8A_DC_VS_CD11B_DC_DN.html")</f>
        <v>http://www.broadinstitute.org/gsea/msigdb/cards/GSE45365_CD8A_DC_VS_CD11B_DC_DN.html</v>
      </c>
    </row>
    <row r="947" spans="1:13">
      <c r="A947">
        <v>4856</v>
      </c>
      <c r="B947" t="s">
        <v>2742</v>
      </c>
      <c r="C947">
        <v>5</v>
      </c>
      <c r="D947">
        <v>146</v>
      </c>
      <c r="E947">
        <v>199</v>
      </c>
      <c r="F947">
        <v>32441</v>
      </c>
      <c r="G947">
        <v>5.5828801541956397</v>
      </c>
      <c r="H947">
        <v>2.3146180996214401E-3</v>
      </c>
      <c r="I947" t="s">
        <v>2743</v>
      </c>
      <c r="J947" t="s">
        <v>2744</v>
      </c>
      <c r="K947">
        <v>2.1980479042092101E-2</v>
      </c>
      <c r="L947" t="s">
        <v>1178</v>
      </c>
      <c r="M947" t="str">
        <f>HYPERLINK("http://www.broadinstitute.org/gsea/msigdb/cards/GSE18804_SPLEEN_MACROPHAGE_VS_BRAIN_TUMORAL_MACROPHAGE_DN.html")</f>
        <v>http://www.broadinstitute.org/gsea/msigdb/cards/GSE18804_SPLEEN_MACROPHAGE_VS_BRAIN_TUMORAL_MACROPHAGE_DN.html</v>
      </c>
    </row>
    <row r="948" spans="1:13">
      <c r="A948">
        <v>4858</v>
      </c>
      <c r="B948" t="s">
        <v>2745</v>
      </c>
      <c r="C948">
        <v>5</v>
      </c>
      <c r="D948">
        <v>146</v>
      </c>
      <c r="E948">
        <v>198</v>
      </c>
      <c r="F948">
        <v>32441</v>
      </c>
      <c r="G948">
        <v>5.6110765186107603</v>
      </c>
      <c r="H948">
        <v>2.26591938084037E-3</v>
      </c>
      <c r="I948" t="s">
        <v>2746</v>
      </c>
      <c r="J948" t="s">
        <v>2747</v>
      </c>
      <c r="K948">
        <v>2.1980479042092101E-2</v>
      </c>
      <c r="L948" t="s">
        <v>1178</v>
      </c>
      <c r="M948" t="str">
        <f>HYPERLINK("http://www.broadinstitute.org/gsea/msigdb/cards/GSE18804_BRAIN_VS_COLON_TUMORAL_MACROPHAGE_DN.html")</f>
        <v>http://www.broadinstitute.org/gsea/msigdb/cards/GSE18804_BRAIN_VS_COLON_TUMORAL_MACROPHAGE_DN.html</v>
      </c>
    </row>
    <row r="949" spans="1:13">
      <c r="A949">
        <v>3300</v>
      </c>
      <c r="B949" t="s">
        <v>2748</v>
      </c>
      <c r="C949">
        <v>4</v>
      </c>
      <c r="D949">
        <v>146</v>
      </c>
      <c r="E949">
        <v>126</v>
      </c>
      <c r="F949">
        <v>32441</v>
      </c>
      <c r="G949">
        <v>7.0539247662535303</v>
      </c>
      <c r="H949">
        <v>2.8381962224111098E-3</v>
      </c>
      <c r="I949" t="s">
        <v>2749</v>
      </c>
      <c r="J949" t="s">
        <v>2750</v>
      </c>
      <c r="K949">
        <v>2.6338460943975101E-2</v>
      </c>
      <c r="L949" t="s">
        <v>1178</v>
      </c>
      <c r="M949" t="str">
        <f>HYPERLINK("http://www.broadinstitute.org/gsea/msigdb/cards/GSE21033_3H_VS_24H_POLYIC_STIM_DC_DN.html")</f>
        <v>http://www.broadinstitute.org/gsea/msigdb/cards/GSE21033_3H_VS_24H_POLYIC_STIM_DC_DN.html</v>
      </c>
    </row>
    <row r="950" spans="1:13">
      <c r="A950">
        <v>2755</v>
      </c>
      <c r="B950" t="s">
        <v>2751</v>
      </c>
      <c r="C950">
        <v>4</v>
      </c>
      <c r="D950">
        <v>146</v>
      </c>
      <c r="E950">
        <v>129</v>
      </c>
      <c r="F950">
        <v>32441</v>
      </c>
      <c r="G950">
        <v>6.8898800042476402</v>
      </c>
      <c r="H950">
        <v>3.0807738056200301E-3</v>
      </c>
      <c r="I950" t="s">
        <v>2752</v>
      </c>
      <c r="J950" t="s">
        <v>2753</v>
      </c>
      <c r="K950">
        <v>2.8535228100723901E-2</v>
      </c>
      <c r="L950" t="s">
        <v>1178</v>
      </c>
      <c r="M950" t="str">
        <f>HYPERLINK("http://www.broadinstitute.org/gsea/msigdb/cards/GSE13762_CTRL_VS_125_VITAMIND_DAY5_DC_DN.html")</f>
        <v>http://www.broadinstitute.org/gsea/msigdb/cards/GSE13762_CTRL_VS_125_VITAMIND_DAY5_DC_DN.html</v>
      </c>
    </row>
    <row r="951" spans="1:13">
      <c r="A951">
        <v>2662</v>
      </c>
      <c r="B951" t="s">
        <v>2754</v>
      </c>
      <c r="C951">
        <v>4</v>
      </c>
      <c r="D951">
        <v>146</v>
      </c>
      <c r="E951">
        <v>138</v>
      </c>
      <c r="F951">
        <v>32441</v>
      </c>
      <c r="G951">
        <v>6.4405400039706198</v>
      </c>
      <c r="H951">
        <v>3.8927179745302598E-3</v>
      </c>
      <c r="I951" t="s">
        <v>2755</v>
      </c>
      <c r="J951" t="s">
        <v>2756</v>
      </c>
      <c r="K951">
        <v>3.5987328219945797E-2</v>
      </c>
      <c r="L951" t="s">
        <v>1178</v>
      </c>
      <c r="M951" t="str">
        <f>HYPERLINK("http://www.broadinstitute.org/gsea/msigdb/cards/GSE10147_IL3_VS_IL3_AND_HIVP17_STIM_PDC_DN.html")</f>
        <v>http://www.broadinstitute.org/gsea/msigdb/cards/GSE10147_IL3_VS_IL3_AND_HIVP17_STIM_PDC_DN.html</v>
      </c>
    </row>
    <row r="952" spans="1:13">
      <c r="A952">
        <v>2569</v>
      </c>
      <c r="B952" t="s">
        <v>2757</v>
      </c>
      <c r="C952">
        <v>4</v>
      </c>
      <c r="D952">
        <v>146</v>
      </c>
      <c r="E952">
        <v>146</v>
      </c>
      <c r="F952">
        <v>32441</v>
      </c>
      <c r="G952">
        <v>6.0876337023831901</v>
      </c>
      <c r="H952">
        <v>4.7265835191075203E-3</v>
      </c>
      <c r="I952" t="s">
        <v>2758</v>
      </c>
      <c r="J952" t="s">
        <v>2759</v>
      </c>
      <c r="K952">
        <v>4.3613475199037501E-2</v>
      </c>
      <c r="L952" t="s">
        <v>1178</v>
      </c>
      <c r="M952" t="str">
        <f>HYPERLINK("http://www.broadinstitute.org/gsea/msigdb/cards/GSE6674_UNSTIM_VS_PL2_3_STIM_BCELL_UP.html")</f>
        <v>http://www.broadinstitute.org/gsea/msigdb/cards/GSE6674_UNSTIM_VS_PL2_3_STIM_BCELL_UP.html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"/>
  <sheetViews>
    <sheetView workbookViewId="0">
      <selection sqref="A1:M206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49</v>
      </c>
      <c r="B2" s="2" t="s">
        <v>28</v>
      </c>
      <c r="C2" s="2">
        <v>12</v>
      </c>
      <c r="D2" s="2">
        <v>100</v>
      </c>
      <c r="E2" s="2">
        <v>645</v>
      </c>
      <c r="F2" s="2">
        <v>32441</v>
      </c>
      <c r="G2" s="2">
        <v>6.0355348839999996</v>
      </c>
      <c r="H2" s="3">
        <v>8.6499999999999998E-7</v>
      </c>
      <c r="I2" s="2" t="s">
        <v>2760</v>
      </c>
      <c r="J2" s="2" t="s">
        <v>2761</v>
      </c>
      <c r="K2" s="2">
        <v>2.8184599999999998E-4</v>
      </c>
      <c r="L2" s="2" t="s">
        <v>31</v>
      </c>
      <c r="M2" s="4" t="s">
        <v>2762</v>
      </c>
    </row>
    <row r="3" spans="1:13">
      <c r="A3" s="2">
        <v>205</v>
      </c>
      <c r="B3" s="2" t="s">
        <v>2763</v>
      </c>
      <c r="C3" s="2">
        <v>5</v>
      </c>
      <c r="D3" s="2">
        <v>100</v>
      </c>
      <c r="E3" s="2">
        <v>62</v>
      </c>
      <c r="F3" s="2">
        <v>32441</v>
      </c>
      <c r="G3" s="2">
        <v>26.162096770000002</v>
      </c>
      <c r="H3" s="3">
        <v>2.0600000000000002E-6</v>
      </c>
      <c r="I3" s="2" t="s">
        <v>2764</v>
      </c>
      <c r="J3" s="2" t="s">
        <v>2765</v>
      </c>
      <c r="K3" s="2">
        <v>3.3530000000000002E-4</v>
      </c>
      <c r="L3" s="2" t="s">
        <v>31</v>
      </c>
      <c r="M3" s="4" t="s">
        <v>2766</v>
      </c>
    </row>
    <row r="4" spans="1:13">
      <c r="A4" s="2">
        <v>122</v>
      </c>
      <c r="B4" s="2" t="s">
        <v>2767</v>
      </c>
      <c r="C4" s="2">
        <v>6</v>
      </c>
      <c r="D4" s="2">
        <v>100</v>
      </c>
      <c r="E4" s="2">
        <v>179</v>
      </c>
      <c r="F4" s="2">
        <v>32441</v>
      </c>
      <c r="G4" s="2">
        <v>10.87407821</v>
      </c>
      <c r="H4" s="3">
        <v>2.3799999999999999E-5</v>
      </c>
      <c r="I4" s="2" t="s">
        <v>2768</v>
      </c>
      <c r="J4" s="2" t="s">
        <v>2769</v>
      </c>
      <c r="K4" s="2">
        <v>2.5892390000000001E-3</v>
      </c>
      <c r="L4" s="2" t="s">
        <v>31</v>
      </c>
      <c r="M4" s="4" t="s">
        <v>2770</v>
      </c>
    </row>
    <row r="5" spans="1:13">
      <c r="A5" s="2">
        <v>4335</v>
      </c>
      <c r="B5" s="2" t="s">
        <v>2771</v>
      </c>
      <c r="C5" s="2">
        <v>9</v>
      </c>
      <c r="D5" s="2">
        <v>100</v>
      </c>
      <c r="E5" s="2">
        <v>147</v>
      </c>
      <c r="F5" s="2">
        <v>32441</v>
      </c>
      <c r="G5" s="2">
        <v>19.86183673</v>
      </c>
      <c r="H5" s="3">
        <v>1.39E-9</v>
      </c>
      <c r="I5" s="2" t="s">
        <v>2772</v>
      </c>
      <c r="J5" s="2" t="s">
        <v>2773</v>
      </c>
      <c r="K5" s="3">
        <v>6.6200000000000001E-6</v>
      </c>
      <c r="L5" s="2" t="s">
        <v>35</v>
      </c>
      <c r="M5" s="4" t="s">
        <v>2774</v>
      </c>
    </row>
    <row r="6" spans="1:13">
      <c r="A6" s="2">
        <v>3707</v>
      </c>
      <c r="B6" s="2" t="s">
        <v>2775</v>
      </c>
      <c r="C6" s="2">
        <v>10</v>
      </c>
      <c r="D6" s="2">
        <v>100</v>
      </c>
      <c r="E6" s="2">
        <v>223</v>
      </c>
      <c r="F6" s="2">
        <v>32441</v>
      </c>
      <c r="G6" s="2">
        <v>14.54753363</v>
      </c>
      <c r="H6" s="3">
        <v>2.88E-9</v>
      </c>
      <c r="I6" s="2" t="s">
        <v>2776</v>
      </c>
      <c r="J6" s="2" t="s">
        <v>2777</v>
      </c>
      <c r="K6" s="3">
        <v>6.8499999999999996E-6</v>
      </c>
      <c r="L6" s="2" t="s">
        <v>35</v>
      </c>
      <c r="M6" s="4" t="s">
        <v>2778</v>
      </c>
    </row>
    <row r="7" spans="1:13">
      <c r="A7" s="2">
        <v>848</v>
      </c>
      <c r="B7" s="2" t="s">
        <v>2779</v>
      </c>
      <c r="C7" s="2">
        <v>11</v>
      </c>
      <c r="D7" s="2">
        <v>100</v>
      </c>
      <c r="E7" s="2">
        <v>352</v>
      </c>
      <c r="F7" s="2">
        <v>32441</v>
      </c>
      <c r="G7" s="2">
        <v>10.137812500000001</v>
      </c>
      <c r="H7" s="3">
        <v>1.6700000000000001E-8</v>
      </c>
      <c r="I7" s="2" t="s">
        <v>2780</v>
      </c>
      <c r="J7" s="2" t="s">
        <v>2781</v>
      </c>
      <c r="K7" s="3">
        <v>2.65E-5</v>
      </c>
      <c r="L7" s="2" t="s">
        <v>35</v>
      </c>
      <c r="M7" s="4" t="s">
        <v>2782</v>
      </c>
    </row>
    <row r="8" spans="1:13">
      <c r="A8" s="2">
        <v>4702</v>
      </c>
      <c r="B8" s="2" t="s">
        <v>2783</v>
      </c>
      <c r="C8" s="2">
        <v>10</v>
      </c>
      <c r="D8" s="2">
        <v>100</v>
      </c>
      <c r="E8" s="2">
        <v>293</v>
      </c>
      <c r="F8" s="2">
        <v>32441</v>
      </c>
      <c r="G8" s="2">
        <v>11.072013650000001</v>
      </c>
      <c r="H8" s="3">
        <v>3.4900000000000001E-8</v>
      </c>
      <c r="I8" s="2" t="s">
        <v>2784</v>
      </c>
      <c r="J8" s="2" t="s">
        <v>2785</v>
      </c>
      <c r="K8" s="3">
        <v>4.1600000000000002E-5</v>
      </c>
      <c r="L8" s="2" t="s">
        <v>35</v>
      </c>
      <c r="M8" s="4" t="s">
        <v>2786</v>
      </c>
    </row>
    <row r="9" spans="1:13">
      <c r="A9" s="2">
        <v>1509</v>
      </c>
      <c r="B9" s="2" t="s">
        <v>2787</v>
      </c>
      <c r="C9" s="2">
        <v>10</v>
      </c>
      <c r="D9" s="2">
        <v>100</v>
      </c>
      <c r="E9" s="2">
        <v>335</v>
      </c>
      <c r="F9" s="2">
        <v>32441</v>
      </c>
      <c r="G9" s="2">
        <v>9.6838805969999999</v>
      </c>
      <c r="H9" s="3">
        <v>1.17E-7</v>
      </c>
      <c r="I9" s="2" t="s">
        <v>2788</v>
      </c>
      <c r="J9" s="2" t="s">
        <v>2789</v>
      </c>
      <c r="K9" s="2">
        <v>1.11604E-4</v>
      </c>
      <c r="L9" s="2" t="s">
        <v>35</v>
      </c>
      <c r="M9" s="4" t="s">
        <v>2790</v>
      </c>
    </row>
    <row r="10" spans="1:13">
      <c r="A10" s="2">
        <v>1548</v>
      </c>
      <c r="B10" s="2" t="s">
        <v>2791</v>
      </c>
      <c r="C10" s="2">
        <v>5</v>
      </c>
      <c r="D10" s="2">
        <v>100</v>
      </c>
      <c r="E10" s="2">
        <v>42</v>
      </c>
      <c r="F10" s="2">
        <v>32441</v>
      </c>
      <c r="G10" s="2">
        <v>38.620238100000002</v>
      </c>
      <c r="H10" s="3">
        <v>3.4299999999999999E-7</v>
      </c>
      <c r="I10" s="2" t="s">
        <v>2792</v>
      </c>
      <c r="J10" s="2" t="s">
        <v>2793</v>
      </c>
      <c r="K10" s="2">
        <v>2.7222800000000001E-4</v>
      </c>
      <c r="L10" s="2" t="s">
        <v>35</v>
      </c>
      <c r="M10" s="4" t="s">
        <v>2794</v>
      </c>
    </row>
    <row r="11" spans="1:13">
      <c r="A11" s="2">
        <v>4244</v>
      </c>
      <c r="B11" s="2" t="s">
        <v>2795</v>
      </c>
      <c r="C11" s="2">
        <v>6</v>
      </c>
      <c r="D11" s="2">
        <v>100</v>
      </c>
      <c r="E11" s="2">
        <v>86</v>
      </c>
      <c r="F11" s="2">
        <v>32441</v>
      </c>
      <c r="G11" s="2">
        <v>22.633255810000001</v>
      </c>
      <c r="H11" s="3">
        <v>4.1699999999999999E-7</v>
      </c>
      <c r="I11" s="2" t="s">
        <v>2796</v>
      </c>
      <c r="J11" s="2" t="s">
        <v>2797</v>
      </c>
      <c r="K11" s="2">
        <v>2.83503E-4</v>
      </c>
      <c r="L11" s="2" t="s">
        <v>35</v>
      </c>
      <c r="M11" s="4" t="s">
        <v>2798</v>
      </c>
    </row>
    <row r="12" spans="1:13">
      <c r="A12" s="2">
        <v>3565</v>
      </c>
      <c r="B12" s="2" t="s">
        <v>2799</v>
      </c>
      <c r="C12" s="2">
        <v>10</v>
      </c>
      <c r="D12" s="2">
        <v>100</v>
      </c>
      <c r="E12" s="2">
        <v>439</v>
      </c>
      <c r="F12" s="2">
        <v>32441</v>
      </c>
      <c r="G12" s="2">
        <v>7.3897494310000003</v>
      </c>
      <c r="H12" s="3">
        <v>1.3E-6</v>
      </c>
      <c r="I12" s="2" t="s">
        <v>2800</v>
      </c>
      <c r="J12" s="2" t="s">
        <v>2801</v>
      </c>
      <c r="K12" s="2">
        <v>7.7125700000000002E-4</v>
      </c>
      <c r="L12" s="2" t="s">
        <v>35</v>
      </c>
      <c r="M12" s="4" t="s">
        <v>2802</v>
      </c>
    </row>
    <row r="13" spans="1:13">
      <c r="A13" s="2">
        <v>3554</v>
      </c>
      <c r="B13" s="2" t="s">
        <v>364</v>
      </c>
      <c r="C13" s="2">
        <v>7</v>
      </c>
      <c r="D13" s="2">
        <v>100</v>
      </c>
      <c r="E13" s="2">
        <v>174</v>
      </c>
      <c r="F13" s="2">
        <v>32441</v>
      </c>
      <c r="G13" s="2">
        <v>13.05097701</v>
      </c>
      <c r="H13" s="3">
        <v>1.5200000000000001E-6</v>
      </c>
      <c r="I13" s="2" t="s">
        <v>2803</v>
      </c>
      <c r="J13" s="2" t="s">
        <v>2804</v>
      </c>
      <c r="K13" s="2">
        <v>8.0327000000000003E-4</v>
      </c>
      <c r="L13" s="2" t="s">
        <v>35</v>
      </c>
      <c r="M13" s="4" t="s">
        <v>2805</v>
      </c>
    </row>
    <row r="14" spans="1:13">
      <c r="A14" s="2">
        <v>1511</v>
      </c>
      <c r="B14" s="2" t="s">
        <v>2806</v>
      </c>
      <c r="C14" s="2">
        <v>7</v>
      </c>
      <c r="D14" s="2">
        <v>100</v>
      </c>
      <c r="E14" s="2">
        <v>180</v>
      </c>
      <c r="F14" s="2">
        <v>32441</v>
      </c>
      <c r="G14" s="2">
        <v>12.61594444</v>
      </c>
      <c r="H14" s="3">
        <v>1.8899999999999999E-6</v>
      </c>
      <c r="I14" s="2" t="s">
        <v>2807</v>
      </c>
      <c r="J14" s="2" t="s">
        <v>2808</v>
      </c>
      <c r="K14" s="2">
        <v>8.9824000000000002E-4</v>
      </c>
      <c r="L14" s="2" t="s">
        <v>35</v>
      </c>
      <c r="M14" s="4" t="s">
        <v>2809</v>
      </c>
    </row>
    <row r="15" spans="1:13">
      <c r="A15" s="2">
        <v>3452</v>
      </c>
      <c r="B15" s="2" t="s">
        <v>2810</v>
      </c>
      <c r="C15" s="2">
        <v>6</v>
      </c>
      <c r="D15" s="2">
        <v>100</v>
      </c>
      <c r="E15" s="2">
        <v>125</v>
      </c>
      <c r="F15" s="2">
        <v>32441</v>
      </c>
      <c r="G15" s="2">
        <v>15.571680000000001</v>
      </c>
      <c r="H15" s="3">
        <v>3.32E-6</v>
      </c>
      <c r="I15" s="2" t="s">
        <v>2811</v>
      </c>
      <c r="J15" s="2" t="s">
        <v>2812</v>
      </c>
      <c r="K15" s="2">
        <v>1.435846E-3</v>
      </c>
      <c r="L15" s="2" t="s">
        <v>35</v>
      </c>
      <c r="M15" s="4" t="s">
        <v>2813</v>
      </c>
    </row>
    <row r="16" spans="1:13">
      <c r="A16" s="2">
        <v>1331</v>
      </c>
      <c r="B16" s="2" t="s">
        <v>2814</v>
      </c>
      <c r="C16" s="2">
        <v>11</v>
      </c>
      <c r="D16" s="2">
        <v>100</v>
      </c>
      <c r="E16" s="2">
        <v>634</v>
      </c>
      <c r="F16" s="2">
        <v>32441</v>
      </c>
      <c r="G16" s="2">
        <v>5.6285646690000002</v>
      </c>
      <c r="H16" s="3">
        <v>4.8899999999999998E-6</v>
      </c>
      <c r="I16" s="2" t="s">
        <v>2815</v>
      </c>
      <c r="J16" s="2" t="s">
        <v>2816</v>
      </c>
      <c r="K16" s="2">
        <v>1.942032E-3</v>
      </c>
      <c r="L16" s="2" t="s">
        <v>35</v>
      </c>
      <c r="M16" s="4" t="s">
        <v>2817</v>
      </c>
    </row>
    <row r="17" spans="1:13">
      <c r="A17" s="2">
        <v>2314</v>
      </c>
      <c r="B17" s="2" t="s">
        <v>2818</v>
      </c>
      <c r="C17" s="2">
        <v>12</v>
      </c>
      <c r="D17" s="2">
        <v>100</v>
      </c>
      <c r="E17" s="2">
        <v>811</v>
      </c>
      <c r="F17" s="2">
        <v>32441</v>
      </c>
      <c r="G17" s="2">
        <v>4.8001479649999999</v>
      </c>
      <c r="H17" s="3">
        <v>8.67E-6</v>
      </c>
      <c r="I17" s="2" t="s">
        <v>2819</v>
      </c>
      <c r="J17" s="2" t="s">
        <v>2820</v>
      </c>
      <c r="K17" s="2">
        <v>3.1754069999999999E-3</v>
      </c>
      <c r="L17" s="2" t="s">
        <v>35</v>
      </c>
      <c r="M17" s="4" t="s">
        <v>2821</v>
      </c>
    </row>
    <row r="18" spans="1:13">
      <c r="A18" s="2">
        <v>2266</v>
      </c>
      <c r="B18" s="2" t="s">
        <v>141</v>
      </c>
      <c r="C18" s="2">
        <v>16</v>
      </c>
      <c r="D18" s="2">
        <v>100</v>
      </c>
      <c r="E18" s="2">
        <v>1442</v>
      </c>
      <c r="F18" s="2">
        <v>32441</v>
      </c>
      <c r="G18" s="2">
        <v>3.5995561720000002</v>
      </c>
      <c r="H18" s="3">
        <v>9.3400000000000004E-6</v>
      </c>
      <c r="I18" s="2" t="s">
        <v>2822</v>
      </c>
      <c r="J18" s="2" t="s">
        <v>2823</v>
      </c>
      <c r="K18" s="2">
        <v>3.177834E-3</v>
      </c>
      <c r="L18" s="2" t="s">
        <v>35</v>
      </c>
      <c r="M18" s="4" t="s">
        <v>2824</v>
      </c>
    </row>
    <row r="19" spans="1:13">
      <c r="A19" s="2">
        <v>3614</v>
      </c>
      <c r="B19" s="2" t="s">
        <v>2825</v>
      </c>
      <c r="C19" s="2">
        <v>9</v>
      </c>
      <c r="D19" s="2">
        <v>100</v>
      </c>
      <c r="E19" s="2">
        <v>463</v>
      </c>
      <c r="F19" s="2">
        <v>32441</v>
      </c>
      <c r="G19" s="2">
        <v>6.3060259179999996</v>
      </c>
      <c r="H19" s="3">
        <v>1.56E-5</v>
      </c>
      <c r="I19" s="2" t="s">
        <v>2826</v>
      </c>
      <c r="J19" s="2" t="s">
        <v>2827</v>
      </c>
      <c r="K19" s="2">
        <v>4.95226E-3</v>
      </c>
      <c r="L19" s="2" t="s">
        <v>35</v>
      </c>
      <c r="M19" s="4" t="s">
        <v>2828</v>
      </c>
    </row>
    <row r="20" spans="1:13">
      <c r="A20" s="2">
        <v>4014</v>
      </c>
      <c r="B20" s="2" t="s">
        <v>102</v>
      </c>
      <c r="C20" s="2">
        <v>6</v>
      </c>
      <c r="D20" s="2">
        <v>100</v>
      </c>
      <c r="E20" s="2">
        <v>181</v>
      </c>
      <c r="F20" s="2">
        <v>32441</v>
      </c>
      <c r="G20" s="2">
        <v>10.75392265</v>
      </c>
      <c r="H20" s="3">
        <v>2.5299999999999998E-5</v>
      </c>
      <c r="I20" s="2" t="s">
        <v>2829</v>
      </c>
      <c r="J20" s="2" t="s">
        <v>2830</v>
      </c>
      <c r="K20" s="2">
        <v>7.5336520000000001E-3</v>
      </c>
      <c r="L20" s="2" t="s">
        <v>35</v>
      </c>
      <c r="M20" s="4" t="s">
        <v>2831</v>
      </c>
    </row>
    <row r="21" spans="1:13">
      <c r="A21" s="2">
        <v>1513</v>
      </c>
      <c r="B21" s="2" t="s">
        <v>2832</v>
      </c>
      <c r="C21" s="2">
        <v>7</v>
      </c>
      <c r="D21" s="2">
        <v>100</v>
      </c>
      <c r="E21" s="2">
        <v>275</v>
      </c>
      <c r="F21" s="2">
        <v>32441</v>
      </c>
      <c r="G21" s="2">
        <v>8.2577090910000006</v>
      </c>
      <c r="H21" s="3">
        <v>2.7399999999999999E-5</v>
      </c>
      <c r="I21" s="2" t="s">
        <v>2833</v>
      </c>
      <c r="J21" s="2" t="s">
        <v>2834</v>
      </c>
      <c r="K21" s="2">
        <v>7.5591699999999996E-3</v>
      </c>
      <c r="L21" s="2" t="s">
        <v>35</v>
      </c>
      <c r="M21" s="4" t="s">
        <v>2835</v>
      </c>
    </row>
    <row r="22" spans="1:13">
      <c r="A22" s="2">
        <v>2304</v>
      </c>
      <c r="B22" s="2" t="s">
        <v>2836</v>
      </c>
      <c r="C22" s="2">
        <v>11</v>
      </c>
      <c r="D22" s="2">
        <v>100</v>
      </c>
      <c r="E22" s="2">
        <v>769</v>
      </c>
      <c r="F22" s="2">
        <v>32441</v>
      </c>
      <c r="G22" s="2">
        <v>4.640455137</v>
      </c>
      <c r="H22" s="3">
        <v>2.8600000000000001E-5</v>
      </c>
      <c r="I22" s="2" t="s">
        <v>2837</v>
      </c>
      <c r="J22" s="2" t="s">
        <v>2838</v>
      </c>
      <c r="K22" s="2">
        <v>7.5591699999999996E-3</v>
      </c>
      <c r="L22" s="2" t="s">
        <v>35</v>
      </c>
      <c r="M22" s="4" t="s">
        <v>2839</v>
      </c>
    </row>
    <row r="23" spans="1:13">
      <c r="A23" s="2">
        <v>77</v>
      </c>
      <c r="B23" s="2" t="s">
        <v>2840</v>
      </c>
      <c r="C23" s="2">
        <v>5</v>
      </c>
      <c r="D23" s="2">
        <v>100</v>
      </c>
      <c r="E23" s="2">
        <v>128</v>
      </c>
      <c r="F23" s="2">
        <v>32441</v>
      </c>
      <c r="G23" s="2">
        <v>12.67226563</v>
      </c>
      <c r="H23" s="3">
        <v>5.8300000000000001E-5</v>
      </c>
      <c r="I23" s="2" t="s">
        <v>2841</v>
      </c>
      <c r="J23" s="2" t="s">
        <v>2842</v>
      </c>
      <c r="K23" s="2">
        <v>1.3888467999999999E-2</v>
      </c>
      <c r="L23" s="2" t="s">
        <v>35</v>
      </c>
      <c r="M23" s="4" t="s">
        <v>2843</v>
      </c>
    </row>
    <row r="24" spans="1:13">
      <c r="A24" s="2">
        <v>3759</v>
      </c>
      <c r="B24" s="2" t="s">
        <v>2844</v>
      </c>
      <c r="C24" s="2">
        <v>6</v>
      </c>
      <c r="D24" s="2">
        <v>100</v>
      </c>
      <c r="E24" s="2">
        <v>210</v>
      </c>
      <c r="F24" s="2">
        <v>32441</v>
      </c>
      <c r="G24" s="2">
        <v>9.268857143</v>
      </c>
      <c r="H24" s="3">
        <v>5.66E-5</v>
      </c>
      <c r="I24" s="2" t="s">
        <v>2845</v>
      </c>
      <c r="J24" s="2" t="s">
        <v>2846</v>
      </c>
      <c r="K24" s="2">
        <v>1.3888467999999999E-2</v>
      </c>
      <c r="L24" s="2" t="s">
        <v>35</v>
      </c>
      <c r="M24" s="4" t="s">
        <v>2847</v>
      </c>
    </row>
    <row r="25" spans="1:13">
      <c r="A25" s="2">
        <v>1444</v>
      </c>
      <c r="B25" s="2" t="s">
        <v>2848</v>
      </c>
      <c r="C25" s="2">
        <v>7</v>
      </c>
      <c r="D25" s="2">
        <v>100</v>
      </c>
      <c r="E25" s="2">
        <v>320</v>
      </c>
      <c r="F25" s="2">
        <v>32441</v>
      </c>
      <c r="G25" s="2">
        <v>7.0964687499999997</v>
      </c>
      <c r="H25" s="3">
        <v>6.9800000000000003E-5</v>
      </c>
      <c r="I25" s="2" t="s">
        <v>2849</v>
      </c>
      <c r="J25" s="2" t="s">
        <v>2850</v>
      </c>
      <c r="K25" s="2">
        <v>1.5118131E-2</v>
      </c>
      <c r="L25" s="2" t="s">
        <v>35</v>
      </c>
      <c r="M25" s="4" t="s">
        <v>2851</v>
      </c>
    </row>
    <row r="26" spans="1:13">
      <c r="A26" s="2">
        <v>2130</v>
      </c>
      <c r="B26" s="2" t="s">
        <v>2852</v>
      </c>
      <c r="C26" s="2">
        <v>6</v>
      </c>
      <c r="D26" s="2">
        <v>100</v>
      </c>
      <c r="E26" s="2">
        <v>217</v>
      </c>
      <c r="F26" s="2">
        <v>32441</v>
      </c>
      <c r="G26" s="2">
        <v>8.9698617509999998</v>
      </c>
      <c r="H26" s="3">
        <v>6.7500000000000001E-5</v>
      </c>
      <c r="I26" s="2" t="s">
        <v>2853</v>
      </c>
      <c r="J26" s="2" t="s">
        <v>2854</v>
      </c>
      <c r="K26" s="2">
        <v>1.5118131E-2</v>
      </c>
      <c r="L26" s="2" t="s">
        <v>35</v>
      </c>
      <c r="M26" s="4" t="s">
        <v>2855</v>
      </c>
    </row>
    <row r="27" spans="1:13">
      <c r="A27" s="2">
        <v>832</v>
      </c>
      <c r="B27" s="2" t="s">
        <v>2856</v>
      </c>
      <c r="C27" s="2">
        <v>5</v>
      </c>
      <c r="D27" s="2">
        <v>100</v>
      </c>
      <c r="E27" s="2">
        <v>140</v>
      </c>
      <c r="F27" s="2">
        <v>32441</v>
      </c>
      <c r="G27" s="2">
        <v>11.586071430000001</v>
      </c>
      <c r="H27" s="3">
        <v>8.7800000000000006E-5</v>
      </c>
      <c r="I27" s="2" t="s">
        <v>2857</v>
      </c>
      <c r="J27" s="2" t="s">
        <v>2858</v>
      </c>
      <c r="K27" s="2">
        <v>1.8183725000000001E-2</v>
      </c>
      <c r="L27" s="2" t="s">
        <v>35</v>
      </c>
      <c r="M27" s="4" t="s">
        <v>2859</v>
      </c>
    </row>
    <row r="28" spans="1:13">
      <c r="A28" s="2">
        <v>1625</v>
      </c>
      <c r="B28" s="2" t="s">
        <v>2860</v>
      </c>
      <c r="C28" s="2">
        <v>8</v>
      </c>
      <c r="D28" s="2">
        <v>100</v>
      </c>
      <c r="E28" s="2">
        <v>459</v>
      </c>
      <c r="F28" s="2">
        <v>32441</v>
      </c>
      <c r="G28" s="2">
        <v>5.6542047929999999</v>
      </c>
      <c r="H28" s="3">
        <v>9.9500000000000006E-5</v>
      </c>
      <c r="I28" s="2" t="s">
        <v>2861</v>
      </c>
      <c r="J28" s="2" t="s">
        <v>2862</v>
      </c>
      <c r="K28" s="2">
        <v>1.8982631E-2</v>
      </c>
      <c r="L28" s="2" t="s">
        <v>35</v>
      </c>
      <c r="M28" s="4" t="s">
        <v>2863</v>
      </c>
    </row>
    <row r="29" spans="1:13">
      <c r="A29" s="2">
        <v>2071</v>
      </c>
      <c r="B29" s="2" t="s">
        <v>2864</v>
      </c>
      <c r="C29" s="2">
        <v>3</v>
      </c>
      <c r="D29" s="2">
        <v>100</v>
      </c>
      <c r="E29" s="2">
        <v>27</v>
      </c>
      <c r="F29" s="2">
        <v>32441</v>
      </c>
      <c r="G29" s="2">
        <v>36.045555559999997</v>
      </c>
      <c r="H29" s="2">
        <v>1.07629E-4</v>
      </c>
      <c r="I29" s="2" t="s">
        <v>2865</v>
      </c>
      <c r="J29" s="2" t="s">
        <v>2866</v>
      </c>
      <c r="K29" s="2">
        <v>1.8982631E-2</v>
      </c>
      <c r="L29" s="2" t="s">
        <v>35</v>
      </c>
      <c r="M29" s="4" t="s">
        <v>2867</v>
      </c>
    </row>
    <row r="30" spans="1:13">
      <c r="A30" s="2">
        <v>2369</v>
      </c>
      <c r="B30" s="2" t="s">
        <v>548</v>
      </c>
      <c r="C30" s="2">
        <v>6</v>
      </c>
      <c r="D30" s="2">
        <v>100</v>
      </c>
      <c r="E30" s="2">
        <v>236</v>
      </c>
      <c r="F30" s="2">
        <v>32441</v>
      </c>
      <c r="G30" s="2">
        <v>8.2477118639999993</v>
      </c>
      <c r="H30" s="2">
        <v>1.0576799999999999E-4</v>
      </c>
      <c r="I30" s="2" t="s">
        <v>2868</v>
      </c>
      <c r="J30" s="2" t="s">
        <v>2869</v>
      </c>
      <c r="K30" s="2">
        <v>1.8982631E-2</v>
      </c>
      <c r="L30" s="2" t="s">
        <v>35</v>
      </c>
      <c r="M30" s="4" t="s">
        <v>2870</v>
      </c>
    </row>
    <row r="31" spans="1:13">
      <c r="A31" s="2">
        <v>4648</v>
      </c>
      <c r="B31" s="2" t="s">
        <v>2871</v>
      </c>
      <c r="C31" s="2">
        <v>5</v>
      </c>
      <c r="D31" s="2">
        <v>100</v>
      </c>
      <c r="E31" s="2">
        <v>146</v>
      </c>
      <c r="F31" s="2">
        <v>32441</v>
      </c>
      <c r="G31" s="2">
        <v>11.109931509999999</v>
      </c>
      <c r="H31" s="2">
        <v>1.0631E-4</v>
      </c>
      <c r="I31" s="2" t="s">
        <v>2872</v>
      </c>
      <c r="J31" s="2" t="s">
        <v>2873</v>
      </c>
      <c r="K31" s="2">
        <v>1.8982631E-2</v>
      </c>
      <c r="L31" s="2" t="s">
        <v>35</v>
      </c>
      <c r="M31" s="4" t="s">
        <v>2874</v>
      </c>
    </row>
    <row r="32" spans="1:13">
      <c r="A32" s="2">
        <v>1432</v>
      </c>
      <c r="B32" s="2" t="s">
        <v>2875</v>
      </c>
      <c r="C32" s="2">
        <v>6</v>
      </c>
      <c r="D32" s="2">
        <v>100</v>
      </c>
      <c r="E32" s="2">
        <v>244</v>
      </c>
      <c r="F32" s="2">
        <v>32441</v>
      </c>
      <c r="G32" s="2">
        <v>7.9772950820000004</v>
      </c>
      <c r="H32" s="2">
        <v>1.2630599999999999E-4</v>
      </c>
      <c r="I32" s="2" t="s">
        <v>2876</v>
      </c>
      <c r="J32" s="2" t="s">
        <v>2877</v>
      </c>
      <c r="K32" s="2">
        <v>2.1480978000000001E-2</v>
      </c>
      <c r="L32" s="2" t="s">
        <v>35</v>
      </c>
      <c r="M32" s="4" t="s">
        <v>2878</v>
      </c>
    </row>
    <row r="33" spans="1:13">
      <c r="A33" s="2">
        <v>3089</v>
      </c>
      <c r="B33" s="2" t="s">
        <v>2879</v>
      </c>
      <c r="C33" s="2">
        <v>5</v>
      </c>
      <c r="D33" s="2">
        <v>100</v>
      </c>
      <c r="E33" s="2">
        <v>156</v>
      </c>
      <c r="F33" s="2">
        <v>32441</v>
      </c>
      <c r="G33" s="2">
        <v>10.39775641</v>
      </c>
      <c r="H33" s="2">
        <v>1.4359400000000001E-4</v>
      </c>
      <c r="I33" s="2" t="s">
        <v>2880</v>
      </c>
      <c r="J33" s="2" t="s">
        <v>2881</v>
      </c>
      <c r="K33" s="2">
        <v>2.3579062000000001E-2</v>
      </c>
      <c r="L33" s="2" t="s">
        <v>35</v>
      </c>
      <c r="M33" s="4" t="s">
        <v>2882</v>
      </c>
    </row>
    <row r="34" spans="1:13">
      <c r="A34" s="2">
        <v>941</v>
      </c>
      <c r="B34" s="2" t="s">
        <v>2883</v>
      </c>
      <c r="C34" s="2">
        <v>5</v>
      </c>
      <c r="D34" s="2">
        <v>100</v>
      </c>
      <c r="E34" s="2">
        <v>161</v>
      </c>
      <c r="F34" s="2">
        <v>32441</v>
      </c>
      <c r="G34" s="2">
        <v>10.07484472</v>
      </c>
      <c r="H34" s="2">
        <v>1.6562400000000001E-4</v>
      </c>
      <c r="I34" s="2" t="s">
        <v>2857</v>
      </c>
      <c r="J34" s="2" t="s">
        <v>2858</v>
      </c>
      <c r="K34" s="2">
        <v>2.5275841E-2</v>
      </c>
      <c r="L34" s="2" t="s">
        <v>35</v>
      </c>
      <c r="M34" s="4" t="s">
        <v>2884</v>
      </c>
    </row>
    <row r="35" spans="1:13">
      <c r="A35" s="2">
        <v>1467</v>
      </c>
      <c r="B35" s="2" t="s">
        <v>2885</v>
      </c>
      <c r="C35" s="2">
        <v>4</v>
      </c>
      <c r="D35" s="2">
        <v>100</v>
      </c>
      <c r="E35" s="2">
        <v>86</v>
      </c>
      <c r="F35" s="2">
        <v>32441</v>
      </c>
      <c r="G35" s="2">
        <v>15.088837209999999</v>
      </c>
      <c r="H35" s="2">
        <v>1.7515799999999999E-4</v>
      </c>
      <c r="I35" s="2" t="s">
        <v>2886</v>
      </c>
      <c r="J35" s="2" t="s">
        <v>2887</v>
      </c>
      <c r="K35" s="2">
        <v>2.5275841E-2</v>
      </c>
      <c r="L35" s="2" t="s">
        <v>35</v>
      </c>
      <c r="M35" s="4" t="s">
        <v>2888</v>
      </c>
    </row>
    <row r="36" spans="1:13">
      <c r="A36" s="2">
        <v>1491</v>
      </c>
      <c r="B36" s="2" t="s">
        <v>2889</v>
      </c>
      <c r="C36" s="2">
        <v>7</v>
      </c>
      <c r="D36" s="2">
        <v>100</v>
      </c>
      <c r="E36" s="2">
        <v>372</v>
      </c>
      <c r="F36" s="2">
        <v>32441</v>
      </c>
      <c r="G36" s="2">
        <v>6.1044892470000001</v>
      </c>
      <c r="H36" s="2">
        <v>1.73945E-4</v>
      </c>
      <c r="I36" s="2" t="s">
        <v>2890</v>
      </c>
      <c r="J36" s="2" t="s">
        <v>2891</v>
      </c>
      <c r="K36" s="2">
        <v>2.5275841E-2</v>
      </c>
      <c r="L36" s="2" t="s">
        <v>35</v>
      </c>
      <c r="M36" s="4" t="s">
        <v>2892</v>
      </c>
    </row>
    <row r="37" spans="1:13">
      <c r="A37" s="2">
        <v>4336</v>
      </c>
      <c r="B37" s="2" t="s">
        <v>2893</v>
      </c>
      <c r="C37" s="2">
        <v>5</v>
      </c>
      <c r="D37" s="2">
        <v>100</v>
      </c>
      <c r="E37" s="2">
        <v>162</v>
      </c>
      <c r="F37" s="2">
        <v>32441</v>
      </c>
      <c r="G37" s="2">
        <v>10.012654319999999</v>
      </c>
      <c r="H37" s="2">
        <v>1.70323E-4</v>
      </c>
      <c r="I37" s="2" t="s">
        <v>2894</v>
      </c>
      <c r="J37" s="2" t="s">
        <v>2895</v>
      </c>
      <c r="K37" s="2">
        <v>2.5275841E-2</v>
      </c>
      <c r="L37" s="2" t="s">
        <v>35</v>
      </c>
      <c r="M37" s="4" t="s">
        <v>2896</v>
      </c>
    </row>
    <row r="38" spans="1:13">
      <c r="A38" s="2">
        <v>2433</v>
      </c>
      <c r="B38" s="2" t="s">
        <v>2897</v>
      </c>
      <c r="C38" s="2">
        <v>9</v>
      </c>
      <c r="D38" s="2">
        <v>100</v>
      </c>
      <c r="E38" s="2">
        <v>648</v>
      </c>
      <c r="F38" s="2">
        <v>32441</v>
      </c>
      <c r="G38" s="2">
        <v>4.5056944440000004</v>
      </c>
      <c r="H38" s="2">
        <v>1.9622800000000001E-4</v>
      </c>
      <c r="I38" s="2" t="s">
        <v>2898</v>
      </c>
      <c r="J38" s="2" t="s">
        <v>2899</v>
      </c>
      <c r="K38" s="2">
        <v>2.7483513000000001E-2</v>
      </c>
      <c r="L38" s="2" t="s">
        <v>35</v>
      </c>
      <c r="M38" s="4" t="s">
        <v>2900</v>
      </c>
    </row>
    <row r="39" spans="1:13">
      <c r="A39" s="2">
        <v>2145</v>
      </c>
      <c r="B39" s="2" t="s">
        <v>2901</v>
      </c>
      <c r="C39" s="2">
        <v>8</v>
      </c>
      <c r="D39" s="2">
        <v>100</v>
      </c>
      <c r="E39" s="2">
        <v>514</v>
      </c>
      <c r="F39" s="2">
        <v>32441</v>
      </c>
      <c r="G39" s="2">
        <v>5.049182879</v>
      </c>
      <c r="H39" s="2">
        <v>2.1269E-4</v>
      </c>
      <c r="I39" s="2" t="s">
        <v>2902</v>
      </c>
      <c r="J39" s="2" t="s">
        <v>2903</v>
      </c>
      <c r="K39" s="2">
        <v>2.8938038999999999E-2</v>
      </c>
      <c r="L39" s="2" t="s">
        <v>35</v>
      </c>
      <c r="M39" s="4" t="s">
        <v>2904</v>
      </c>
    </row>
    <row r="40" spans="1:13">
      <c r="A40" s="2">
        <v>3061</v>
      </c>
      <c r="B40" s="2" t="s">
        <v>2905</v>
      </c>
      <c r="C40" s="2">
        <v>3</v>
      </c>
      <c r="D40" s="2">
        <v>100</v>
      </c>
      <c r="E40" s="2">
        <v>36</v>
      </c>
      <c r="F40" s="2">
        <v>32441</v>
      </c>
      <c r="G40" s="2">
        <v>27.034166670000001</v>
      </c>
      <c r="H40" s="2">
        <v>2.37459E-4</v>
      </c>
      <c r="I40" s="2" t="s">
        <v>2906</v>
      </c>
      <c r="J40" s="2" t="s">
        <v>2907</v>
      </c>
      <c r="K40" s="2">
        <v>3.1410556999999999E-2</v>
      </c>
      <c r="L40" s="2" t="s">
        <v>35</v>
      </c>
      <c r="M40" s="4" t="s">
        <v>2908</v>
      </c>
    </row>
    <row r="41" spans="1:13">
      <c r="A41" s="2">
        <v>4379</v>
      </c>
      <c r="B41" s="2" t="s">
        <v>2909</v>
      </c>
      <c r="C41" s="2">
        <v>7</v>
      </c>
      <c r="D41" s="2">
        <v>100</v>
      </c>
      <c r="E41" s="2">
        <v>397</v>
      </c>
      <c r="F41" s="2">
        <v>32441</v>
      </c>
      <c r="G41" s="2">
        <v>5.7200755670000003</v>
      </c>
      <c r="H41" s="2">
        <v>2.56507E-4</v>
      </c>
      <c r="I41" s="2" t="s">
        <v>2910</v>
      </c>
      <c r="J41" s="2" t="s">
        <v>2911</v>
      </c>
      <c r="K41" s="2">
        <v>3.3013099999999997E-2</v>
      </c>
      <c r="L41" s="2" t="s">
        <v>35</v>
      </c>
      <c r="M41" s="4" t="s">
        <v>2912</v>
      </c>
    </row>
    <row r="42" spans="1:13">
      <c r="A42" s="2">
        <v>1328</v>
      </c>
      <c r="B42" s="2" t="s">
        <v>2913</v>
      </c>
      <c r="C42" s="2">
        <v>4</v>
      </c>
      <c r="D42" s="2">
        <v>100</v>
      </c>
      <c r="E42" s="2">
        <v>98</v>
      </c>
      <c r="F42" s="2">
        <v>32441</v>
      </c>
      <c r="G42" s="2">
        <v>13.24122449</v>
      </c>
      <c r="H42" s="2">
        <v>2.8321899999999997E-4</v>
      </c>
      <c r="I42" s="2" t="s">
        <v>2914</v>
      </c>
      <c r="J42" s="2" t="s">
        <v>2915</v>
      </c>
      <c r="K42" s="2">
        <v>3.5034406999999997E-2</v>
      </c>
      <c r="L42" s="2" t="s">
        <v>35</v>
      </c>
      <c r="M42" s="4" t="s">
        <v>2916</v>
      </c>
    </row>
    <row r="43" spans="1:13">
      <c r="A43" s="2">
        <v>1397</v>
      </c>
      <c r="B43" s="2" t="s">
        <v>2917</v>
      </c>
      <c r="C43" s="2">
        <v>7</v>
      </c>
      <c r="D43" s="2">
        <v>100</v>
      </c>
      <c r="E43" s="2">
        <v>408</v>
      </c>
      <c r="F43" s="2">
        <v>32441</v>
      </c>
      <c r="G43" s="2">
        <v>5.5658578429999999</v>
      </c>
      <c r="H43" s="2">
        <v>3.0163999999999999E-4</v>
      </c>
      <c r="I43" s="2" t="s">
        <v>2918</v>
      </c>
      <c r="J43" s="2" t="s">
        <v>2919</v>
      </c>
      <c r="K43" s="2">
        <v>3.5034406999999997E-2</v>
      </c>
      <c r="L43" s="2" t="s">
        <v>35</v>
      </c>
      <c r="M43" s="4" t="s">
        <v>2920</v>
      </c>
    </row>
    <row r="44" spans="1:13">
      <c r="A44" s="2">
        <v>1507</v>
      </c>
      <c r="B44" s="2" t="s">
        <v>74</v>
      </c>
      <c r="C44" s="2">
        <v>7</v>
      </c>
      <c r="D44" s="2">
        <v>100</v>
      </c>
      <c r="E44" s="2">
        <v>406</v>
      </c>
      <c r="F44" s="2">
        <v>32441</v>
      </c>
      <c r="G44" s="2">
        <v>5.5932758619999996</v>
      </c>
      <c r="H44" s="2">
        <v>2.92992E-4</v>
      </c>
      <c r="I44" s="2" t="s">
        <v>2921</v>
      </c>
      <c r="J44" s="2" t="s">
        <v>2922</v>
      </c>
      <c r="K44" s="2">
        <v>3.5034406999999997E-2</v>
      </c>
      <c r="L44" s="2" t="s">
        <v>35</v>
      </c>
      <c r="M44" s="4" t="s">
        <v>2923</v>
      </c>
    </row>
    <row r="45" spans="1:13">
      <c r="A45" s="2">
        <v>4355</v>
      </c>
      <c r="B45" s="2" t="s">
        <v>68</v>
      </c>
      <c r="C45" s="2">
        <v>10</v>
      </c>
      <c r="D45" s="2">
        <v>100</v>
      </c>
      <c r="E45" s="2">
        <v>841</v>
      </c>
      <c r="F45" s="2">
        <v>32441</v>
      </c>
      <c r="G45" s="2">
        <v>3.8574316290000001</v>
      </c>
      <c r="H45" s="2">
        <v>2.9472400000000001E-4</v>
      </c>
      <c r="I45" s="2" t="s">
        <v>2924</v>
      </c>
      <c r="J45" s="2" t="s">
        <v>2925</v>
      </c>
      <c r="K45" s="2">
        <v>3.5034406999999997E-2</v>
      </c>
      <c r="L45" s="2" t="s">
        <v>35</v>
      </c>
      <c r="M45" s="4" t="s">
        <v>2926</v>
      </c>
    </row>
    <row r="46" spans="1:13">
      <c r="A46" s="2">
        <v>2828</v>
      </c>
      <c r="B46" s="2" t="s">
        <v>2927</v>
      </c>
      <c r="C46" s="2">
        <v>6</v>
      </c>
      <c r="D46" s="2">
        <v>100</v>
      </c>
      <c r="E46" s="2">
        <v>293</v>
      </c>
      <c r="F46" s="2">
        <v>32441</v>
      </c>
      <c r="G46" s="2">
        <v>6.6432081910000003</v>
      </c>
      <c r="H46" s="2">
        <v>3.3096699999999999E-4</v>
      </c>
      <c r="I46" s="2" t="s">
        <v>2928</v>
      </c>
      <c r="J46" s="2" t="s">
        <v>2929</v>
      </c>
      <c r="K46" s="2">
        <v>3.7525309E-2</v>
      </c>
      <c r="L46" s="2" t="s">
        <v>35</v>
      </c>
      <c r="M46" s="4" t="s">
        <v>2930</v>
      </c>
    </row>
    <row r="47" spans="1:13">
      <c r="A47" s="2">
        <v>1763</v>
      </c>
      <c r="B47" s="2" t="s">
        <v>2931</v>
      </c>
      <c r="C47" s="2">
        <v>15</v>
      </c>
      <c r="D47" s="2">
        <v>100</v>
      </c>
      <c r="E47" s="2">
        <v>1781</v>
      </c>
      <c r="F47" s="2">
        <v>32441</v>
      </c>
      <c r="G47" s="2">
        <v>2.732257159</v>
      </c>
      <c r="H47" s="2">
        <v>3.8116400000000003E-4</v>
      </c>
      <c r="I47" s="2" t="s">
        <v>2932</v>
      </c>
      <c r="J47" s="2" t="s">
        <v>2933</v>
      </c>
      <c r="K47" s="2">
        <v>4.1252320000000002E-2</v>
      </c>
      <c r="L47" s="2" t="s">
        <v>35</v>
      </c>
      <c r="M47" s="4" t="s">
        <v>2934</v>
      </c>
    </row>
    <row r="48" spans="1:13">
      <c r="A48" s="2">
        <v>4166</v>
      </c>
      <c r="B48" s="2" t="s">
        <v>2935</v>
      </c>
      <c r="C48" s="2">
        <v>5</v>
      </c>
      <c r="D48" s="2">
        <v>100</v>
      </c>
      <c r="E48" s="2">
        <v>193</v>
      </c>
      <c r="F48" s="2">
        <v>32441</v>
      </c>
      <c r="G48" s="2">
        <v>8.4044041450000009</v>
      </c>
      <c r="H48" s="2">
        <v>3.7379600000000002E-4</v>
      </c>
      <c r="I48" s="2" t="s">
        <v>2936</v>
      </c>
      <c r="J48" s="2" t="s">
        <v>2937</v>
      </c>
      <c r="K48" s="2">
        <v>4.1252320000000002E-2</v>
      </c>
      <c r="L48" s="2" t="s">
        <v>35</v>
      </c>
      <c r="M48" s="4" t="s">
        <v>2938</v>
      </c>
    </row>
    <row r="49" spans="1:13">
      <c r="A49" s="2">
        <v>2436</v>
      </c>
      <c r="B49" s="2" t="s">
        <v>2939</v>
      </c>
      <c r="C49" s="2">
        <v>5</v>
      </c>
      <c r="D49" s="2">
        <v>100</v>
      </c>
      <c r="E49" s="2">
        <v>195</v>
      </c>
      <c r="F49" s="2">
        <v>32441</v>
      </c>
      <c r="G49" s="2">
        <v>8.3182051280000007</v>
      </c>
      <c r="H49" s="2">
        <v>3.91367E-4</v>
      </c>
      <c r="I49" s="2" t="s">
        <v>2940</v>
      </c>
      <c r="J49" s="2" t="s">
        <v>2941</v>
      </c>
      <c r="K49" s="2">
        <v>4.1415345999999999E-2</v>
      </c>
      <c r="L49" s="2" t="s">
        <v>35</v>
      </c>
      <c r="M49" s="4" t="s">
        <v>2942</v>
      </c>
    </row>
    <row r="50" spans="1:13">
      <c r="A50" s="2">
        <v>3912</v>
      </c>
      <c r="B50" s="2" t="s">
        <v>2943</v>
      </c>
      <c r="C50" s="2">
        <v>5</v>
      </c>
      <c r="D50" s="2">
        <v>100</v>
      </c>
      <c r="E50" s="2">
        <v>200</v>
      </c>
      <c r="F50" s="2">
        <v>32441</v>
      </c>
      <c r="G50" s="2">
        <v>8.1102500000000006</v>
      </c>
      <c r="H50" s="2">
        <v>4.3802700000000001E-4</v>
      </c>
      <c r="I50" s="2" t="s">
        <v>2944</v>
      </c>
      <c r="J50" s="2" t="s">
        <v>2945</v>
      </c>
      <c r="K50" s="2">
        <v>4.5345327999999997E-2</v>
      </c>
      <c r="L50" s="2" t="s">
        <v>35</v>
      </c>
      <c r="M50" s="4" t="s">
        <v>2946</v>
      </c>
    </row>
    <row r="51" spans="1:13">
      <c r="A51" s="2">
        <v>2425</v>
      </c>
      <c r="B51" s="2" t="s">
        <v>400</v>
      </c>
      <c r="C51" s="2">
        <v>9</v>
      </c>
      <c r="D51" s="2">
        <v>100</v>
      </c>
      <c r="E51" s="2">
        <v>734</v>
      </c>
      <c r="F51" s="2">
        <v>32441</v>
      </c>
      <c r="G51" s="2">
        <v>3.9777792920000001</v>
      </c>
      <c r="H51" s="2">
        <v>4.8123000000000003E-4</v>
      </c>
      <c r="I51" s="2" t="s">
        <v>2947</v>
      </c>
      <c r="J51" s="2" t="s">
        <v>2948</v>
      </c>
      <c r="K51" s="2">
        <v>4.8757854000000003E-2</v>
      </c>
      <c r="L51" s="2" t="s">
        <v>35</v>
      </c>
      <c r="M51" s="4" t="s">
        <v>2949</v>
      </c>
    </row>
    <row r="52" spans="1:13">
      <c r="A52" s="2">
        <v>836</v>
      </c>
      <c r="B52" s="2" t="s">
        <v>2950</v>
      </c>
      <c r="C52" s="2">
        <v>10</v>
      </c>
      <c r="D52" s="2">
        <v>100</v>
      </c>
      <c r="E52" s="2">
        <v>427</v>
      </c>
      <c r="F52" s="2">
        <v>32441</v>
      </c>
      <c r="G52" s="2">
        <v>7.5974238879999998</v>
      </c>
      <c r="H52" s="3">
        <v>1.02E-6</v>
      </c>
      <c r="I52" s="2" t="s">
        <v>2951</v>
      </c>
      <c r="J52" s="2" t="s">
        <v>2952</v>
      </c>
      <c r="K52" s="2">
        <v>8.4917499999999997E-4</v>
      </c>
      <c r="L52" s="2" t="s">
        <v>606</v>
      </c>
      <c r="M52" s="4" t="s">
        <v>2953</v>
      </c>
    </row>
    <row r="53" spans="1:13">
      <c r="A53" s="2">
        <v>347</v>
      </c>
      <c r="B53" s="2" t="s">
        <v>2954</v>
      </c>
      <c r="C53" s="2">
        <v>7</v>
      </c>
      <c r="D53" s="2">
        <v>100</v>
      </c>
      <c r="E53" s="2">
        <v>245</v>
      </c>
      <c r="F53" s="2">
        <v>32441</v>
      </c>
      <c r="G53" s="2">
        <v>9.268857143</v>
      </c>
      <c r="H53" s="3">
        <v>1.33E-5</v>
      </c>
      <c r="I53" s="2" t="s">
        <v>2955</v>
      </c>
      <c r="J53" s="2" t="s">
        <v>2956</v>
      </c>
      <c r="K53" s="2">
        <v>5.5726079999999997E-3</v>
      </c>
      <c r="L53" s="2" t="s">
        <v>606</v>
      </c>
      <c r="M53" s="4" t="s">
        <v>2957</v>
      </c>
    </row>
    <row r="54" spans="1:13">
      <c r="A54" s="2">
        <v>579</v>
      </c>
      <c r="B54" s="2" t="s">
        <v>2958</v>
      </c>
      <c r="C54" s="2">
        <v>5</v>
      </c>
      <c r="D54" s="2">
        <v>100</v>
      </c>
      <c r="E54" s="2">
        <v>105</v>
      </c>
      <c r="F54" s="2">
        <v>32441</v>
      </c>
      <c r="G54" s="2">
        <v>15.448095240000001</v>
      </c>
      <c r="H54" s="3">
        <v>2.3499999999999999E-5</v>
      </c>
      <c r="I54" s="2" t="s">
        <v>2959</v>
      </c>
      <c r="J54" s="2" t="s">
        <v>2960</v>
      </c>
      <c r="K54" s="2">
        <v>6.5446649999999999E-3</v>
      </c>
      <c r="L54" s="2" t="s">
        <v>606</v>
      </c>
      <c r="M54" s="4" t="s">
        <v>2961</v>
      </c>
    </row>
    <row r="55" spans="1:13">
      <c r="A55" s="2">
        <v>735</v>
      </c>
      <c r="B55" s="2" t="s">
        <v>2962</v>
      </c>
      <c r="C55" s="2">
        <v>8</v>
      </c>
      <c r="D55" s="2">
        <v>100</v>
      </c>
      <c r="E55" s="2">
        <v>402</v>
      </c>
      <c r="F55" s="2">
        <v>32441</v>
      </c>
      <c r="G55" s="2">
        <v>6.4559203979999999</v>
      </c>
      <c r="H55" s="3">
        <v>4.0200000000000001E-5</v>
      </c>
      <c r="I55" s="2" t="s">
        <v>2963</v>
      </c>
      <c r="J55" s="2" t="s">
        <v>2964</v>
      </c>
      <c r="K55" s="2">
        <v>8.4013579999999994E-3</v>
      </c>
      <c r="L55" s="2" t="s">
        <v>606</v>
      </c>
      <c r="M55" s="4" t="s">
        <v>2965</v>
      </c>
    </row>
    <row r="56" spans="1:13">
      <c r="A56" s="2">
        <v>743</v>
      </c>
      <c r="B56" s="2" t="s">
        <v>2966</v>
      </c>
      <c r="C56" s="2">
        <v>9</v>
      </c>
      <c r="D56" s="2">
        <v>100</v>
      </c>
      <c r="E56" s="2">
        <v>545</v>
      </c>
      <c r="F56" s="2">
        <v>32441</v>
      </c>
      <c r="G56" s="2">
        <v>5.3572293579999997</v>
      </c>
      <c r="H56" s="3">
        <v>5.4299999999999998E-5</v>
      </c>
      <c r="I56" s="2" t="s">
        <v>2967</v>
      </c>
      <c r="J56" s="2" t="s">
        <v>2968</v>
      </c>
      <c r="K56" s="2">
        <v>9.0715589999999999E-3</v>
      </c>
      <c r="L56" s="2" t="s">
        <v>606</v>
      </c>
      <c r="M56" s="4" t="s">
        <v>2969</v>
      </c>
    </row>
    <row r="57" spans="1:13">
      <c r="A57" s="2">
        <v>650</v>
      </c>
      <c r="B57" s="2" t="s">
        <v>2970</v>
      </c>
      <c r="C57" s="2">
        <v>7</v>
      </c>
      <c r="D57" s="2">
        <v>100</v>
      </c>
      <c r="E57" s="2">
        <v>336</v>
      </c>
      <c r="F57" s="2">
        <v>32441</v>
      </c>
      <c r="G57" s="2">
        <v>6.7585416670000003</v>
      </c>
      <c r="H57" s="3">
        <v>9.4099999999999997E-5</v>
      </c>
      <c r="I57" s="2" t="s">
        <v>2971</v>
      </c>
      <c r="J57" s="2" t="s">
        <v>2972</v>
      </c>
      <c r="K57" s="2">
        <v>1.3104475000000001E-2</v>
      </c>
      <c r="L57" s="2" t="s">
        <v>606</v>
      </c>
      <c r="M57" s="4" t="s">
        <v>2973</v>
      </c>
    </row>
    <row r="58" spans="1:13">
      <c r="A58" s="2">
        <v>548</v>
      </c>
      <c r="B58" s="2" t="s">
        <v>2974</v>
      </c>
      <c r="C58" s="2">
        <v>4</v>
      </c>
      <c r="D58" s="2">
        <v>100</v>
      </c>
      <c r="E58" s="2">
        <v>109</v>
      </c>
      <c r="F58" s="2">
        <v>32441</v>
      </c>
      <c r="G58" s="2">
        <v>11.90495413</v>
      </c>
      <c r="H58" s="2">
        <v>4.1819300000000003E-4</v>
      </c>
      <c r="I58" s="2" t="s">
        <v>2975</v>
      </c>
      <c r="J58" s="2" t="s">
        <v>2976</v>
      </c>
      <c r="K58" s="2">
        <v>4.9944199000000002E-2</v>
      </c>
      <c r="L58" s="2" t="s">
        <v>606</v>
      </c>
      <c r="M58" s="4" t="s">
        <v>2977</v>
      </c>
    </row>
    <row r="59" spans="1:13">
      <c r="A59" s="2">
        <v>242</v>
      </c>
      <c r="B59" s="2" t="s">
        <v>2978</v>
      </c>
      <c r="C59" s="2">
        <v>10</v>
      </c>
      <c r="D59" s="2">
        <v>100</v>
      </c>
      <c r="E59" s="2">
        <v>173</v>
      </c>
      <c r="F59" s="2">
        <v>32441</v>
      </c>
      <c r="G59" s="2">
        <v>18.75202312</v>
      </c>
      <c r="H59" s="3">
        <v>2.7599999999999998E-10</v>
      </c>
      <c r="I59" s="2" t="s">
        <v>2979</v>
      </c>
      <c r="J59" s="2" t="s">
        <v>2980</v>
      </c>
      <c r="K59" s="3">
        <v>2.3699999999999999E-7</v>
      </c>
      <c r="L59" s="2" t="s">
        <v>637</v>
      </c>
      <c r="M59" s="4" t="s">
        <v>2981</v>
      </c>
    </row>
    <row r="60" spans="1:13">
      <c r="A60" s="2">
        <v>814</v>
      </c>
      <c r="B60" s="2" t="s">
        <v>2982</v>
      </c>
      <c r="C60" s="2">
        <v>8</v>
      </c>
      <c r="D60" s="2">
        <v>100</v>
      </c>
      <c r="E60" s="2">
        <v>103</v>
      </c>
      <c r="F60" s="2">
        <v>32441</v>
      </c>
      <c r="G60" s="2">
        <v>25.196893200000002</v>
      </c>
      <c r="H60" s="3">
        <v>2.0299999999999998E-9</v>
      </c>
      <c r="I60" s="2" t="s">
        <v>2983</v>
      </c>
      <c r="J60" s="2" t="s">
        <v>2984</v>
      </c>
      <c r="K60" s="3">
        <v>8.7300000000000005E-7</v>
      </c>
      <c r="L60" s="2" t="s">
        <v>637</v>
      </c>
      <c r="M60" s="4" t="s">
        <v>2985</v>
      </c>
    </row>
    <row r="61" spans="1:13">
      <c r="A61" s="2">
        <v>344</v>
      </c>
      <c r="B61" s="2" t="s">
        <v>2986</v>
      </c>
      <c r="C61" s="2">
        <v>6</v>
      </c>
      <c r="D61" s="2">
        <v>100</v>
      </c>
      <c r="E61" s="2">
        <v>63</v>
      </c>
      <c r="F61" s="2">
        <v>32441</v>
      </c>
      <c r="G61" s="2">
        <v>30.896190480000001</v>
      </c>
      <c r="H61" s="3">
        <v>7.4200000000000003E-8</v>
      </c>
      <c r="I61" s="2" t="s">
        <v>2987</v>
      </c>
      <c r="J61" s="2" t="s">
        <v>2988</v>
      </c>
      <c r="K61" s="3">
        <v>2.12E-5</v>
      </c>
      <c r="L61" s="2" t="s">
        <v>637</v>
      </c>
      <c r="M61" s="4" t="s">
        <v>2989</v>
      </c>
    </row>
    <row r="62" spans="1:13">
      <c r="A62" s="2">
        <v>275</v>
      </c>
      <c r="B62" s="2" t="s">
        <v>2990</v>
      </c>
      <c r="C62" s="2">
        <v>6</v>
      </c>
      <c r="D62" s="2">
        <v>100</v>
      </c>
      <c r="E62" s="2">
        <v>118</v>
      </c>
      <c r="F62" s="2">
        <v>32441</v>
      </c>
      <c r="G62" s="2">
        <v>16.495423729999999</v>
      </c>
      <c r="H62" s="3">
        <v>2.4099999999999998E-6</v>
      </c>
      <c r="I62" s="2" t="s">
        <v>2991</v>
      </c>
      <c r="J62" s="2" t="s">
        <v>2992</v>
      </c>
      <c r="K62" s="2">
        <v>5.1720599999999998E-4</v>
      </c>
      <c r="L62" s="2" t="s">
        <v>637</v>
      </c>
      <c r="M62" s="4" t="s">
        <v>2993</v>
      </c>
    </row>
    <row r="63" spans="1:13">
      <c r="A63" s="2">
        <v>178</v>
      </c>
      <c r="B63" s="2" t="s">
        <v>2994</v>
      </c>
      <c r="C63" s="2">
        <v>4</v>
      </c>
      <c r="D63" s="2">
        <v>100</v>
      </c>
      <c r="E63" s="2">
        <v>61</v>
      </c>
      <c r="F63" s="2">
        <v>32441</v>
      </c>
      <c r="G63" s="2">
        <v>21.272786889999999</v>
      </c>
      <c r="H63" s="3">
        <v>4.9200000000000003E-5</v>
      </c>
      <c r="I63" s="2" t="s">
        <v>2995</v>
      </c>
      <c r="J63" s="2" t="s">
        <v>2996</v>
      </c>
      <c r="K63" s="2">
        <v>7.631194E-3</v>
      </c>
      <c r="L63" s="2" t="s">
        <v>637</v>
      </c>
      <c r="M63" s="4" t="s">
        <v>2997</v>
      </c>
    </row>
    <row r="64" spans="1:13">
      <c r="A64" s="2">
        <v>222</v>
      </c>
      <c r="B64" s="2" t="s">
        <v>2998</v>
      </c>
      <c r="C64" s="2">
        <v>4</v>
      </c>
      <c r="D64" s="2">
        <v>100</v>
      </c>
      <c r="E64" s="2">
        <v>65</v>
      </c>
      <c r="F64" s="2">
        <v>32441</v>
      </c>
      <c r="G64" s="2">
        <v>19.963692309999999</v>
      </c>
      <c r="H64" s="3">
        <v>6.2299999999999996E-5</v>
      </c>
      <c r="I64" s="2" t="s">
        <v>2999</v>
      </c>
      <c r="J64" s="2" t="s">
        <v>3000</v>
      </c>
      <c r="K64" s="2">
        <v>7.631194E-3</v>
      </c>
      <c r="L64" s="2" t="s">
        <v>637</v>
      </c>
      <c r="M64" s="4" t="s">
        <v>3001</v>
      </c>
    </row>
    <row r="65" spans="1:13">
      <c r="A65" s="2">
        <v>600</v>
      </c>
      <c r="B65" s="2" t="s">
        <v>3002</v>
      </c>
      <c r="C65" s="2">
        <v>4</v>
      </c>
      <c r="D65" s="2">
        <v>100</v>
      </c>
      <c r="E65" s="2">
        <v>65</v>
      </c>
      <c r="F65" s="2">
        <v>32441</v>
      </c>
      <c r="G65" s="2">
        <v>19.963692309999999</v>
      </c>
      <c r="H65" s="3">
        <v>6.2299999999999996E-5</v>
      </c>
      <c r="I65" s="2" t="s">
        <v>3003</v>
      </c>
      <c r="J65" s="2" t="s">
        <v>3004</v>
      </c>
      <c r="K65" s="2">
        <v>7.631194E-3</v>
      </c>
      <c r="L65" s="2" t="s">
        <v>637</v>
      </c>
      <c r="M65" s="4" t="s">
        <v>3005</v>
      </c>
    </row>
    <row r="66" spans="1:13">
      <c r="A66" s="2">
        <v>230</v>
      </c>
      <c r="B66" s="2" t="s">
        <v>3006</v>
      </c>
      <c r="C66" s="2">
        <v>3</v>
      </c>
      <c r="D66" s="2">
        <v>100</v>
      </c>
      <c r="E66" s="2">
        <v>24</v>
      </c>
      <c r="F66" s="2">
        <v>32441</v>
      </c>
      <c r="G66" s="2">
        <v>40.551250000000003</v>
      </c>
      <c r="H66" s="3">
        <v>7.8100000000000001E-5</v>
      </c>
      <c r="I66" s="2" t="s">
        <v>3007</v>
      </c>
      <c r="J66" s="2" t="s">
        <v>3008</v>
      </c>
      <c r="K66" s="2">
        <v>8.3721119999999993E-3</v>
      </c>
      <c r="L66" s="2" t="s">
        <v>637</v>
      </c>
      <c r="M66" s="4" t="s">
        <v>3009</v>
      </c>
    </row>
    <row r="67" spans="1:13">
      <c r="A67" s="2">
        <v>272</v>
      </c>
      <c r="B67" s="2" t="s">
        <v>3010</v>
      </c>
      <c r="C67" s="2">
        <v>5</v>
      </c>
      <c r="D67" s="2">
        <v>100</v>
      </c>
      <c r="E67" s="2">
        <v>155</v>
      </c>
      <c r="F67" s="2">
        <v>32441</v>
      </c>
      <c r="G67" s="2">
        <v>10.46483871</v>
      </c>
      <c r="H67" s="2">
        <v>1.3947100000000001E-4</v>
      </c>
      <c r="I67" s="2" t="s">
        <v>3011</v>
      </c>
      <c r="J67" s="2" t="s">
        <v>3012</v>
      </c>
      <c r="K67" s="2">
        <v>1.2327085E-2</v>
      </c>
      <c r="L67" s="2" t="s">
        <v>637</v>
      </c>
      <c r="M67" s="4" t="s">
        <v>3013</v>
      </c>
    </row>
    <row r="68" spans="1:13">
      <c r="A68" s="2">
        <v>282</v>
      </c>
      <c r="B68" s="2" t="s">
        <v>3014</v>
      </c>
      <c r="C68" s="2">
        <v>3</v>
      </c>
      <c r="D68" s="2">
        <v>100</v>
      </c>
      <c r="E68" s="2">
        <v>30</v>
      </c>
      <c r="F68" s="2">
        <v>32441</v>
      </c>
      <c r="G68" s="2">
        <v>32.441000000000003</v>
      </c>
      <c r="H68" s="2">
        <v>1.4367199999999999E-4</v>
      </c>
      <c r="I68" s="2" t="s">
        <v>3015</v>
      </c>
      <c r="J68" s="2" t="s">
        <v>3016</v>
      </c>
      <c r="K68" s="2">
        <v>1.2327085E-2</v>
      </c>
      <c r="L68" s="2" t="s">
        <v>637</v>
      </c>
      <c r="M68" s="4" t="s">
        <v>3017</v>
      </c>
    </row>
    <row r="69" spans="1:13">
      <c r="A69" s="2">
        <v>232</v>
      </c>
      <c r="B69" s="2" t="s">
        <v>3018</v>
      </c>
      <c r="C69" s="2">
        <v>5</v>
      </c>
      <c r="D69" s="2">
        <v>100</v>
      </c>
      <c r="E69" s="2">
        <v>167</v>
      </c>
      <c r="F69" s="2">
        <v>32441</v>
      </c>
      <c r="G69" s="2">
        <v>9.7128742510000006</v>
      </c>
      <c r="H69" s="2">
        <v>1.9536900000000001E-4</v>
      </c>
      <c r="I69" s="2" t="s">
        <v>3019</v>
      </c>
      <c r="J69" s="2" t="s">
        <v>3020</v>
      </c>
      <c r="K69" s="2">
        <v>1.5238745E-2</v>
      </c>
      <c r="L69" s="2" t="s">
        <v>637</v>
      </c>
      <c r="M69" s="4" t="s">
        <v>3021</v>
      </c>
    </row>
    <row r="70" spans="1:13">
      <c r="A70" s="2">
        <v>245</v>
      </c>
      <c r="B70" s="2" t="s">
        <v>3022</v>
      </c>
      <c r="C70" s="2">
        <v>5</v>
      </c>
      <c r="D70" s="2">
        <v>100</v>
      </c>
      <c r="E70" s="2">
        <v>173</v>
      </c>
      <c r="F70" s="2">
        <v>32441</v>
      </c>
      <c r="G70" s="2">
        <v>9.3760115610000003</v>
      </c>
      <c r="H70" s="2">
        <v>2.2902400000000001E-4</v>
      </c>
      <c r="I70" s="2" t="s">
        <v>3023</v>
      </c>
      <c r="J70" s="2" t="s">
        <v>3024</v>
      </c>
      <c r="K70" s="2">
        <v>1.6375213999999999E-2</v>
      </c>
      <c r="L70" s="2" t="s">
        <v>637</v>
      </c>
      <c r="M70" s="4" t="s">
        <v>3025</v>
      </c>
    </row>
    <row r="71" spans="1:13">
      <c r="A71" s="2">
        <v>4539</v>
      </c>
      <c r="B71" s="2" t="s">
        <v>3026</v>
      </c>
      <c r="C71" s="2">
        <v>11</v>
      </c>
      <c r="D71" s="2">
        <v>100</v>
      </c>
      <c r="E71" s="2">
        <v>194</v>
      </c>
      <c r="F71" s="2">
        <v>32441</v>
      </c>
      <c r="G71" s="2">
        <v>18.39438144</v>
      </c>
      <c r="H71" s="3">
        <v>4.1099999999999999E-11</v>
      </c>
      <c r="I71" s="2" t="s">
        <v>3027</v>
      </c>
      <c r="J71" s="2" t="s">
        <v>3028</v>
      </c>
      <c r="K71" s="3">
        <v>2.4299999999999999E-7</v>
      </c>
      <c r="L71" s="2" t="s">
        <v>848</v>
      </c>
      <c r="M71" s="4" t="s">
        <v>3029</v>
      </c>
    </row>
    <row r="72" spans="1:13">
      <c r="A72" s="2">
        <v>612</v>
      </c>
      <c r="B72" s="2" t="s">
        <v>3030</v>
      </c>
      <c r="C72" s="2">
        <v>14</v>
      </c>
      <c r="D72" s="2">
        <v>100</v>
      </c>
      <c r="E72" s="2">
        <v>432</v>
      </c>
      <c r="F72" s="2">
        <v>32441</v>
      </c>
      <c r="G72" s="2">
        <v>10.51328704</v>
      </c>
      <c r="H72" s="3">
        <v>1.02E-10</v>
      </c>
      <c r="I72" s="2" t="s">
        <v>3031</v>
      </c>
      <c r="J72" s="2" t="s">
        <v>3032</v>
      </c>
      <c r="K72" s="3">
        <v>3.0199999999999998E-7</v>
      </c>
      <c r="L72" s="2" t="s">
        <v>848</v>
      </c>
      <c r="M72" s="4" t="s">
        <v>3033</v>
      </c>
    </row>
    <row r="73" spans="1:13">
      <c r="A73" s="2">
        <v>3883</v>
      </c>
      <c r="B73" s="2" t="s">
        <v>3034</v>
      </c>
      <c r="C73" s="2">
        <v>13</v>
      </c>
      <c r="D73" s="2">
        <v>100</v>
      </c>
      <c r="E73" s="2">
        <v>367</v>
      </c>
      <c r="F73" s="2">
        <v>32441</v>
      </c>
      <c r="G73" s="2">
        <v>11.4913624</v>
      </c>
      <c r="H73" s="3">
        <v>1.7399999999999999E-10</v>
      </c>
      <c r="I73" s="2" t="s">
        <v>3035</v>
      </c>
      <c r="J73" s="2" t="s">
        <v>3036</v>
      </c>
      <c r="K73" s="3">
        <v>3.4299999999999999E-7</v>
      </c>
      <c r="L73" s="2" t="s">
        <v>848</v>
      </c>
      <c r="M73" s="4" t="s">
        <v>3037</v>
      </c>
    </row>
    <row r="74" spans="1:13">
      <c r="A74" s="2">
        <v>1211</v>
      </c>
      <c r="B74" s="2" t="s">
        <v>927</v>
      </c>
      <c r="C74" s="2">
        <v>17</v>
      </c>
      <c r="D74" s="2">
        <v>100</v>
      </c>
      <c r="E74" s="2">
        <v>835</v>
      </c>
      <c r="F74" s="2">
        <v>32441</v>
      </c>
      <c r="G74" s="2">
        <v>6.6047544909999996</v>
      </c>
      <c r="H74" s="3">
        <v>9.5099999999999992E-10</v>
      </c>
      <c r="I74" s="2" t="s">
        <v>3038</v>
      </c>
      <c r="J74" s="2" t="s">
        <v>3039</v>
      </c>
      <c r="K74" s="3">
        <v>1.4100000000000001E-6</v>
      </c>
      <c r="L74" s="2" t="s">
        <v>848</v>
      </c>
      <c r="M74" s="4" t="s">
        <v>3040</v>
      </c>
    </row>
    <row r="75" spans="1:13">
      <c r="A75" s="2">
        <v>4583</v>
      </c>
      <c r="B75" s="2" t="s">
        <v>3041</v>
      </c>
      <c r="C75" s="2">
        <v>12</v>
      </c>
      <c r="D75" s="2">
        <v>100</v>
      </c>
      <c r="E75" s="2">
        <v>349</v>
      </c>
      <c r="F75" s="2">
        <v>32441</v>
      </c>
      <c r="G75" s="2">
        <v>11.154498569999999</v>
      </c>
      <c r="H75" s="3">
        <v>1.27E-9</v>
      </c>
      <c r="I75" s="2" t="s">
        <v>3042</v>
      </c>
      <c r="J75" s="2" t="s">
        <v>3043</v>
      </c>
      <c r="K75" s="3">
        <v>1.5E-6</v>
      </c>
      <c r="L75" s="2" t="s">
        <v>848</v>
      </c>
      <c r="M75" s="4" t="s">
        <v>3044</v>
      </c>
    </row>
    <row r="76" spans="1:13">
      <c r="A76" s="2">
        <v>4811</v>
      </c>
      <c r="B76" s="2" t="s">
        <v>3045</v>
      </c>
      <c r="C76" s="2">
        <v>9</v>
      </c>
      <c r="D76" s="2">
        <v>100</v>
      </c>
      <c r="E76" s="2">
        <v>172</v>
      </c>
      <c r="F76" s="2">
        <v>32441</v>
      </c>
      <c r="G76" s="2">
        <v>16.974941860000001</v>
      </c>
      <c r="H76" s="3">
        <v>5.14E-9</v>
      </c>
      <c r="I76" s="2" t="s">
        <v>3046</v>
      </c>
      <c r="J76" s="2" t="s">
        <v>3047</v>
      </c>
      <c r="K76" s="3">
        <v>5.0699999999999997E-6</v>
      </c>
      <c r="L76" s="2" t="s">
        <v>848</v>
      </c>
      <c r="M76" s="4" t="s">
        <v>3048</v>
      </c>
    </row>
    <row r="77" spans="1:13">
      <c r="A77" s="2">
        <v>3221</v>
      </c>
      <c r="B77" s="2" t="s">
        <v>915</v>
      </c>
      <c r="C77" s="2">
        <v>14</v>
      </c>
      <c r="D77" s="2">
        <v>100</v>
      </c>
      <c r="E77" s="2">
        <v>611</v>
      </c>
      <c r="F77" s="2">
        <v>32441</v>
      </c>
      <c r="G77" s="2">
        <v>7.4332896890000004</v>
      </c>
      <c r="H77" s="3">
        <v>7.8000000000000004E-9</v>
      </c>
      <c r="I77" s="2" t="s">
        <v>3031</v>
      </c>
      <c r="J77" s="2" t="s">
        <v>3032</v>
      </c>
      <c r="K77" s="3">
        <v>6.5899999999999996E-6</v>
      </c>
      <c r="L77" s="2" t="s">
        <v>848</v>
      </c>
      <c r="M77" s="4" t="s">
        <v>3049</v>
      </c>
    </row>
    <row r="78" spans="1:13">
      <c r="A78" s="2">
        <v>2165</v>
      </c>
      <c r="B78" s="2" t="s">
        <v>3050</v>
      </c>
      <c r="C78" s="2">
        <v>10</v>
      </c>
      <c r="D78" s="2">
        <v>100</v>
      </c>
      <c r="E78" s="2">
        <v>267</v>
      </c>
      <c r="F78" s="2">
        <v>32441</v>
      </c>
      <c r="G78" s="2">
        <v>12.15018727</v>
      </c>
      <c r="H78" s="3">
        <v>1.4999999999999999E-8</v>
      </c>
      <c r="I78" s="2" t="s">
        <v>3051</v>
      </c>
      <c r="J78" s="2" t="s">
        <v>3052</v>
      </c>
      <c r="K78" s="3">
        <v>1.11E-5</v>
      </c>
      <c r="L78" s="2" t="s">
        <v>848</v>
      </c>
      <c r="M78" s="4" t="s">
        <v>3053</v>
      </c>
    </row>
    <row r="79" spans="1:13">
      <c r="A79" s="2">
        <v>3684</v>
      </c>
      <c r="B79" s="2" t="s">
        <v>3054</v>
      </c>
      <c r="C79" s="2">
        <v>6</v>
      </c>
      <c r="D79" s="2">
        <v>100</v>
      </c>
      <c r="E79" s="2">
        <v>53</v>
      </c>
      <c r="F79" s="2">
        <v>32441</v>
      </c>
      <c r="G79" s="2">
        <v>36.725660380000001</v>
      </c>
      <c r="H79" s="3">
        <v>2.8600000000000001E-8</v>
      </c>
      <c r="I79" s="2" t="s">
        <v>3055</v>
      </c>
      <c r="J79" s="2" t="s">
        <v>3056</v>
      </c>
      <c r="K79" s="3">
        <v>1.88E-5</v>
      </c>
      <c r="L79" s="2" t="s">
        <v>848</v>
      </c>
      <c r="M79" s="4" t="s">
        <v>3057</v>
      </c>
    </row>
    <row r="80" spans="1:13">
      <c r="A80" s="2">
        <v>4338</v>
      </c>
      <c r="B80" s="2" t="s">
        <v>3058</v>
      </c>
      <c r="C80" s="2">
        <v>7</v>
      </c>
      <c r="D80" s="2">
        <v>100</v>
      </c>
      <c r="E80" s="2">
        <v>97</v>
      </c>
      <c r="F80" s="2">
        <v>32441</v>
      </c>
      <c r="G80" s="2">
        <v>23.411030929999999</v>
      </c>
      <c r="H80" s="3">
        <v>3.4800000000000001E-8</v>
      </c>
      <c r="I80" s="2" t="s">
        <v>3059</v>
      </c>
      <c r="J80" s="2" t="s">
        <v>3060</v>
      </c>
      <c r="K80" s="3">
        <v>2.0599999999999999E-5</v>
      </c>
      <c r="L80" s="2" t="s">
        <v>848</v>
      </c>
      <c r="M80" s="4" t="s">
        <v>3061</v>
      </c>
    </row>
    <row r="81" spans="1:13">
      <c r="A81" s="2">
        <v>5880</v>
      </c>
      <c r="B81" s="2" t="s">
        <v>945</v>
      </c>
      <c r="C81" s="2">
        <v>20</v>
      </c>
      <c r="D81" s="2">
        <v>100</v>
      </c>
      <c r="E81" s="2">
        <v>1598</v>
      </c>
      <c r="F81" s="2">
        <v>32441</v>
      </c>
      <c r="G81" s="2">
        <v>4.0602002500000003</v>
      </c>
      <c r="H81" s="3">
        <v>8.9700000000000003E-8</v>
      </c>
      <c r="I81" s="2" t="s">
        <v>3062</v>
      </c>
      <c r="J81" s="2" t="s">
        <v>3063</v>
      </c>
      <c r="K81" s="3">
        <v>4.8199999999999999E-5</v>
      </c>
      <c r="L81" s="2" t="s">
        <v>848</v>
      </c>
      <c r="M81" s="4" t="s">
        <v>3064</v>
      </c>
    </row>
    <row r="82" spans="1:13">
      <c r="A82" s="2">
        <v>4731</v>
      </c>
      <c r="B82" s="2" t="s">
        <v>3065</v>
      </c>
      <c r="C82" s="2">
        <v>13</v>
      </c>
      <c r="D82" s="2">
        <v>100</v>
      </c>
      <c r="E82" s="2">
        <v>708</v>
      </c>
      <c r="F82" s="2">
        <v>32441</v>
      </c>
      <c r="G82" s="2">
        <v>5.9566807910000001</v>
      </c>
      <c r="H82" s="3">
        <v>3.3799999999999998E-7</v>
      </c>
      <c r="I82" s="2" t="s">
        <v>3066</v>
      </c>
      <c r="J82" s="2" t="s">
        <v>3067</v>
      </c>
      <c r="K82" s="2">
        <v>1.66551E-4</v>
      </c>
      <c r="L82" s="2" t="s">
        <v>848</v>
      </c>
      <c r="M82" s="4" t="s">
        <v>3068</v>
      </c>
    </row>
    <row r="83" spans="1:13">
      <c r="A83" s="2">
        <v>5715</v>
      </c>
      <c r="B83" s="2" t="s">
        <v>959</v>
      </c>
      <c r="C83" s="2">
        <v>16</v>
      </c>
      <c r="D83" s="2">
        <v>100</v>
      </c>
      <c r="E83" s="2">
        <v>1170</v>
      </c>
      <c r="F83" s="2">
        <v>32441</v>
      </c>
      <c r="G83" s="2">
        <v>4.4363760680000004</v>
      </c>
      <c r="H83" s="3">
        <v>6.6400000000000002E-7</v>
      </c>
      <c r="I83" s="2" t="s">
        <v>3069</v>
      </c>
      <c r="J83" s="2" t="s">
        <v>3070</v>
      </c>
      <c r="K83" s="2">
        <v>3.0214100000000002E-4</v>
      </c>
      <c r="L83" s="2" t="s">
        <v>848</v>
      </c>
      <c r="M83" s="4" t="s">
        <v>3071</v>
      </c>
    </row>
    <row r="84" spans="1:13">
      <c r="A84" s="2">
        <v>240</v>
      </c>
      <c r="B84" s="2" t="s">
        <v>3072</v>
      </c>
      <c r="C84" s="2">
        <v>4</v>
      </c>
      <c r="D84" s="2">
        <v>100</v>
      </c>
      <c r="E84" s="2">
        <v>26</v>
      </c>
      <c r="F84" s="2">
        <v>32441</v>
      </c>
      <c r="G84" s="2">
        <v>49.909230770000001</v>
      </c>
      <c r="H84" s="3">
        <v>2.1600000000000001E-6</v>
      </c>
      <c r="I84" s="2" t="s">
        <v>3073</v>
      </c>
      <c r="J84" s="2" t="s">
        <v>3074</v>
      </c>
      <c r="K84" s="2">
        <v>9.1439400000000001E-4</v>
      </c>
      <c r="L84" s="2" t="s">
        <v>848</v>
      </c>
      <c r="M84" s="4" t="s">
        <v>3075</v>
      </c>
    </row>
    <row r="85" spans="1:13">
      <c r="A85" s="2">
        <v>4471</v>
      </c>
      <c r="B85" s="2" t="s">
        <v>3076</v>
      </c>
      <c r="C85" s="2">
        <v>3</v>
      </c>
      <c r="D85" s="2">
        <v>100</v>
      </c>
      <c r="E85" s="2">
        <v>13</v>
      </c>
      <c r="F85" s="2">
        <v>32441</v>
      </c>
      <c r="G85" s="2">
        <v>74.863846150000001</v>
      </c>
      <c r="H85" s="3">
        <v>1.5299999999999999E-5</v>
      </c>
      <c r="I85" s="2" t="s">
        <v>3077</v>
      </c>
      <c r="J85" s="2" t="s">
        <v>3078</v>
      </c>
      <c r="K85" s="2">
        <v>6.0419779999999999E-3</v>
      </c>
      <c r="L85" s="2" t="s">
        <v>848</v>
      </c>
      <c r="M85" s="4" t="s">
        <v>3079</v>
      </c>
    </row>
    <row r="86" spans="1:13">
      <c r="A86" s="2">
        <v>4800</v>
      </c>
      <c r="B86" s="2" t="s">
        <v>3080</v>
      </c>
      <c r="C86" s="2">
        <v>3</v>
      </c>
      <c r="D86" s="2">
        <v>100</v>
      </c>
      <c r="E86" s="2">
        <v>16</v>
      </c>
      <c r="F86" s="2">
        <v>32441</v>
      </c>
      <c r="G86" s="2">
        <v>60.826875000000001</v>
      </c>
      <c r="H86" s="3">
        <v>2.6299999999999999E-5</v>
      </c>
      <c r="I86" s="2" t="s">
        <v>3081</v>
      </c>
      <c r="J86" s="2" t="s">
        <v>3082</v>
      </c>
      <c r="K86" s="2">
        <v>9.7358740000000003E-3</v>
      </c>
      <c r="L86" s="2" t="s">
        <v>848</v>
      </c>
      <c r="M86" s="4" t="s">
        <v>3083</v>
      </c>
    </row>
    <row r="87" spans="1:13">
      <c r="A87" s="2">
        <v>4473</v>
      </c>
      <c r="B87" s="2" t="s">
        <v>3084</v>
      </c>
      <c r="C87" s="2">
        <v>3</v>
      </c>
      <c r="D87" s="2">
        <v>100</v>
      </c>
      <c r="E87" s="2">
        <v>17</v>
      </c>
      <c r="F87" s="2">
        <v>32441</v>
      </c>
      <c r="G87" s="2">
        <v>57.248823530000003</v>
      </c>
      <c r="H87" s="3">
        <v>3.0899999999999999E-5</v>
      </c>
      <c r="I87" s="2" t="s">
        <v>3081</v>
      </c>
      <c r="J87" s="2" t="s">
        <v>3082</v>
      </c>
      <c r="K87" s="2">
        <v>1.0756152E-2</v>
      </c>
      <c r="L87" s="2" t="s">
        <v>848</v>
      </c>
      <c r="M87" s="4" t="s">
        <v>3085</v>
      </c>
    </row>
    <row r="88" spans="1:13">
      <c r="A88" s="2">
        <v>2252</v>
      </c>
      <c r="B88" s="2" t="s">
        <v>998</v>
      </c>
      <c r="C88" s="2">
        <v>6</v>
      </c>
      <c r="D88" s="2">
        <v>100</v>
      </c>
      <c r="E88" s="2">
        <v>199</v>
      </c>
      <c r="F88" s="2">
        <v>32441</v>
      </c>
      <c r="G88" s="2">
        <v>9.7812060299999999</v>
      </c>
      <c r="H88" s="3">
        <v>4.2299999999999998E-5</v>
      </c>
      <c r="I88" s="2" t="s">
        <v>3055</v>
      </c>
      <c r="J88" s="2" t="s">
        <v>3056</v>
      </c>
      <c r="K88" s="2">
        <v>1.3914737E-2</v>
      </c>
      <c r="L88" s="2" t="s">
        <v>848</v>
      </c>
      <c r="M88" s="4" t="s">
        <v>3086</v>
      </c>
    </row>
    <row r="89" spans="1:13">
      <c r="A89" s="2">
        <v>5014</v>
      </c>
      <c r="B89" s="2" t="s">
        <v>3087</v>
      </c>
      <c r="C89" s="2">
        <v>4</v>
      </c>
      <c r="D89" s="2">
        <v>100</v>
      </c>
      <c r="E89" s="2">
        <v>60</v>
      </c>
      <c r="F89" s="2">
        <v>32441</v>
      </c>
      <c r="G89" s="2">
        <v>21.627333329999999</v>
      </c>
      <c r="H89" s="3">
        <v>4.6300000000000001E-5</v>
      </c>
      <c r="I89" s="2" t="s">
        <v>3088</v>
      </c>
      <c r="J89" s="2" t="s">
        <v>3089</v>
      </c>
      <c r="K89" s="2">
        <v>1.4418637999999999E-2</v>
      </c>
      <c r="L89" s="2" t="s">
        <v>848</v>
      </c>
      <c r="M89" s="4" t="s">
        <v>3090</v>
      </c>
    </row>
    <row r="90" spans="1:13">
      <c r="A90" s="2">
        <v>3069</v>
      </c>
      <c r="B90" s="2" t="s">
        <v>3091</v>
      </c>
      <c r="C90" s="2">
        <v>4</v>
      </c>
      <c r="D90" s="2">
        <v>100</v>
      </c>
      <c r="E90" s="2">
        <v>62</v>
      </c>
      <c r="F90" s="2">
        <v>32441</v>
      </c>
      <c r="G90" s="2">
        <v>20.929677420000001</v>
      </c>
      <c r="H90" s="3">
        <v>5.2299999999999997E-5</v>
      </c>
      <c r="I90" s="2" t="s">
        <v>3092</v>
      </c>
      <c r="J90" s="2" t="s">
        <v>3093</v>
      </c>
      <c r="K90" s="2">
        <v>1.5321909E-2</v>
      </c>
      <c r="L90" s="2" t="s">
        <v>848</v>
      </c>
      <c r="M90" s="4" t="s">
        <v>3094</v>
      </c>
    </row>
    <row r="91" spans="1:13">
      <c r="A91" s="2">
        <v>4769</v>
      </c>
      <c r="B91" s="2" t="s">
        <v>3095</v>
      </c>
      <c r="C91" s="2">
        <v>3</v>
      </c>
      <c r="D91" s="2">
        <v>100</v>
      </c>
      <c r="E91" s="2">
        <v>21</v>
      </c>
      <c r="F91" s="2">
        <v>32441</v>
      </c>
      <c r="G91" s="2">
        <v>46.344285710000001</v>
      </c>
      <c r="H91" s="3">
        <v>5.4400000000000001E-5</v>
      </c>
      <c r="I91" s="2" t="s">
        <v>3081</v>
      </c>
      <c r="J91" s="2" t="s">
        <v>3082</v>
      </c>
      <c r="K91" s="2">
        <v>1.5321909E-2</v>
      </c>
      <c r="L91" s="2" t="s">
        <v>848</v>
      </c>
      <c r="M91" s="4" t="s">
        <v>3096</v>
      </c>
    </row>
    <row r="92" spans="1:13">
      <c r="A92" s="2">
        <v>4947</v>
      </c>
      <c r="B92" s="2" t="s">
        <v>907</v>
      </c>
      <c r="C92" s="2">
        <v>10</v>
      </c>
      <c r="D92" s="2">
        <v>100</v>
      </c>
      <c r="E92" s="2">
        <v>721</v>
      </c>
      <c r="F92" s="2">
        <v>32441</v>
      </c>
      <c r="G92" s="2">
        <v>4.4994452149999997</v>
      </c>
      <c r="H92" s="3">
        <v>8.6500000000000002E-5</v>
      </c>
      <c r="I92" s="2" t="s">
        <v>3097</v>
      </c>
      <c r="J92" s="2" t="s">
        <v>3098</v>
      </c>
      <c r="K92" s="2">
        <v>2.3265913999999999E-2</v>
      </c>
      <c r="L92" s="2" t="s">
        <v>848</v>
      </c>
      <c r="M92" s="4" t="s">
        <v>3099</v>
      </c>
    </row>
    <row r="93" spans="1:13">
      <c r="A93" s="2">
        <v>2025</v>
      </c>
      <c r="B93" s="2" t="s">
        <v>3100</v>
      </c>
      <c r="C93" s="2">
        <v>4</v>
      </c>
      <c r="D93" s="2">
        <v>100</v>
      </c>
      <c r="E93" s="2">
        <v>72</v>
      </c>
      <c r="F93" s="2">
        <v>32441</v>
      </c>
      <c r="G93" s="2">
        <v>18.022777779999998</v>
      </c>
      <c r="H93" s="3">
        <v>9.09E-5</v>
      </c>
      <c r="I93" s="2" t="s">
        <v>3101</v>
      </c>
      <c r="J93" s="2" t="s">
        <v>3102</v>
      </c>
      <c r="K93" s="2">
        <v>2.3382027999999999E-2</v>
      </c>
      <c r="L93" s="2" t="s">
        <v>848</v>
      </c>
      <c r="M93" s="4" t="s">
        <v>3103</v>
      </c>
    </row>
    <row r="94" spans="1:13">
      <c r="A94" s="2">
        <v>5225</v>
      </c>
      <c r="B94" s="2" t="s">
        <v>1103</v>
      </c>
      <c r="C94" s="2">
        <v>5</v>
      </c>
      <c r="D94" s="2">
        <v>100</v>
      </c>
      <c r="E94" s="2">
        <v>155</v>
      </c>
      <c r="F94" s="2">
        <v>32441</v>
      </c>
      <c r="G94" s="2">
        <v>10.46483871</v>
      </c>
      <c r="H94" s="2">
        <v>1.3947100000000001E-4</v>
      </c>
      <c r="I94" s="2" t="s">
        <v>3104</v>
      </c>
      <c r="J94" s="2" t="s">
        <v>3105</v>
      </c>
      <c r="K94" s="2">
        <v>3.4385435999999998E-2</v>
      </c>
      <c r="L94" s="2" t="s">
        <v>848</v>
      </c>
      <c r="M94" s="4" t="s">
        <v>3106</v>
      </c>
    </row>
    <row r="95" spans="1:13">
      <c r="A95" s="2">
        <v>4505</v>
      </c>
      <c r="B95" s="2" t="s">
        <v>3107</v>
      </c>
      <c r="C95" s="2">
        <v>3</v>
      </c>
      <c r="D95" s="2">
        <v>100</v>
      </c>
      <c r="E95" s="2">
        <v>31</v>
      </c>
      <c r="F95" s="2">
        <v>32441</v>
      </c>
      <c r="G95" s="2">
        <v>31.39451613</v>
      </c>
      <c r="H95" s="2">
        <v>1.5722500000000001E-4</v>
      </c>
      <c r="I95" s="2" t="s">
        <v>3081</v>
      </c>
      <c r="J95" s="2" t="s">
        <v>3082</v>
      </c>
      <c r="K95" s="2">
        <v>3.7212038000000003E-2</v>
      </c>
      <c r="L95" s="2" t="s">
        <v>848</v>
      </c>
      <c r="M95" s="4" t="s">
        <v>3108</v>
      </c>
    </row>
    <row r="96" spans="1:13">
      <c r="A96" s="2">
        <v>2255</v>
      </c>
      <c r="B96" s="2" t="s">
        <v>3109</v>
      </c>
      <c r="C96" s="2">
        <v>3</v>
      </c>
      <c r="D96" s="2">
        <v>100</v>
      </c>
      <c r="E96" s="2">
        <v>35</v>
      </c>
      <c r="F96" s="2">
        <v>32441</v>
      </c>
      <c r="G96" s="2">
        <v>27.806571430000002</v>
      </c>
      <c r="H96" s="2">
        <v>2.1968199999999999E-4</v>
      </c>
      <c r="I96" s="2" t="s">
        <v>3110</v>
      </c>
      <c r="J96" s="2" t="s">
        <v>3111</v>
      </c>
      <c r="K96" s="2">
        <v>4.9994549999999999E-2</v>
      </c>
      <c r="L96" s="2" t="s">
        <v>848</v>
      </c>
      <c r="M96" s="4" t="s">
        <v>3112</v>
      </c>
    </row>
    <row r="97" spans="1:13">
      <c r="A97" s="2">
        <v>168</v>
      </c>
      <c r="B97" s="2" t="s">
        <v>3113</v>
      </c>
      <c r="C97" s="2">
        <v>9</v>
      </c>
      <c r="D97" s="2">
        <v>100</v>
      </c>
      <c r="E97" s="2">
        <v>173</v>
      </c>
      <c r="F97" s="2">
        <v>32441</v>
      </c>
      <c r="G97" s="2">
        <v>16.876820810000002</v>
      </c>
      <c r="H97" s="3">
        <v>5.3899999999999998E-9</v>
      </c>
      <c r="I97" s="2" t="s">
        <v>3114</v>
      </c>
      <c r="J97" s="2" t="s">
        <v>3115</v>
      </c>
      <c r="K97" s="3">
        <v>1.02E-6</v>
      </c>
      <c r="L97" s="2" t="s">
        <v>3116</v>
      </c>
      <c r="M97" s="4" t="s">
        <v>3117</v>
      </c>
    </row>
    <row r="98" spans="1:13">
      <c r="A98" s="2">
        <v>87</v>
      </c>
      <c r="B98" s="2" t="s">
        <v>3118</v>
      </c>
      <c r="C98" s="2">
        <v>5</v>
      </c>
      <c r="D98" s="2">
        <v>100</v>
      </c>
      <c r="E98" s="2">
        <v>193</v>
      </c>
      <c r="F98" s="2">
        <v>32441</v>
      </c>
      <c r="G98" s="2">
        <v>8.4044041450000009</v>
      </c>
      <c r="H98" s="2">
        <v>3.7379600000000002E-4</v>
      </c>
      <c r="I98" s="2" t="s">
        <v>3119</v>
      </c>
      <c r="J98" s="2" t="s">
        <v>3120</v>
      </c>
      <c r="K98" s="2">
        <v>3.5323686E-2</v>
      </c>
      <c r="L98" s="2" t="s">
        <v>3116</v>
      </c>
      <c r="M98" s="4" t="s">
        <v>3121</v>
      </c>
    </row>
    <row r="99" spans="1:13">
      <c r="A99" s="2">
        <v>32211</v>
      </c>
      <c r="B99" s="2" t="s">
        <v>3122</v>
      </c>
      <c r="C99" s="2">
        <v>14</v>
      </c>
      <c r="D99" s="2">
        <v>100</v>
      </c>
      <c r="E99" s="2">
        <v>200</v>
      </c>
      <c r="F99" s="2">
        <v>32441</v>
      </c>
      <c r="G99" s="2">
        <v>22.7087</v>
      </c>
      <c r="H99" s="3">
        <v>4.9500000000000004E-15</v>
      </c>
      <c r="I99" s="2" t="s">
        <v>3123</v>
      </c>
      <c r="J99" s="2" t="s">
        <v>3124</v>
      </c>
      <c r="K99" s="3">
        <v>2.4099999999999999E-11</v>
      </c>
      <c r="L99" s="2" t="s">
        <v>1178</v>
      </c>
      <c r="M99" s="4" t="s">
        <v>3125</v>
      </c>
    </row>
    <row r="100" spans="1:13">
      <c r="A100" s="2">
        <v>3219</v>
      </c>
      <c r="B100" s="2" t="s">
        <v>3126</v>
      </c>
      <c r="C100" s="2">
        <v>13</v>
      </c>
      <c r="D100" s="2">
        <v>100</v>
      </c>
      <c r="E100" s="2">
        <v>200</v>
      </c>
      <c r="F100" s="2">
        <v>32441</v>
      </c>
      <c r="G100" s="2">
        <v>21.086649999999999</v>
      </c>
      <c r="H100" s="3">
        <v>1.2099999999999999E-13</v>
      </c>
      <c r="I100" s="2" t="s">
        <v>3127</v>
      </c>
      <c r="J100" s="2" t="s">
        <v>3128</v>
      </c>
      <c r="K100" s="3">
        <v>2.9400000000000002E-10</v>
      </c>
      <c r="L100" s="2" t="s">
        <v>1178</v>
      </c>
      <c r="M100" s="4" t="s">
        <v>3129</v>
      </c>
    </row>
    <row r="101" spans="1:13">
      <c r="A101" s="2">
        <v>3581</v>
      </c>
      <c r="B101" s="2" t="s">
        <v>3130</v>
      </c>
      <c r="C101" s="2">
        <v>12</v>
      </c>
      <c r="D101" s="2">
        <v>100</v>
      </c>
      <c r="E101" s="2">
        <v>162</v>
      </c>
      <c r="F101" s="2">
        <v>32441</v>
      </c>
      <c r="G101" s="2">
        <v>24.03037037</v>
      </c>
      <c r="H101" s="3">
        <v>2.6E-13</v>
      </c>
      <c r="I101" s="2" t="s">
        <v>3131</v>
      </c>
      <c r="J101" s="2" t="s">
        <v>3132</v>
      </c>
      <c r="K101" s="3">
        <v>4.2199999999999999E-10</v>
      </c>
      <c r="L101" s="2" t="s">
        <v>1178</v>
      </c>
      <c r="M101" s="4" t="s">
        <v>3133</v>
      </c>
    </row>
    <row r="102" spans="1:13">
      <c r="A102" s="2">
        <v>856</v>
      </c>
      <c r="B102" s="2" t="s">
        <v>3134</v>
      </c>
      <c r="C102" s="2">
        <v>12</v>
      </c>
      <c r="D102" s="2">
        <v>100</v>
      </c>
      <c r="E102" s="2">
        <v>200</v>
      </c>
      <c r="F102" s="2">
        <v>32441</v>
      </c>
      <c r="G102" s="2">
        <v>19.464600000000001</v>
      </c>
      <c r="H102" s="3">
        <v>2.7200000000000001E-12</v>
      </c>
      <c r="I102" s="2" t="s">
        <v>3135</v>
      </c>
      <c r="J102" s="2" t="s">
        <v>3136</v>
      </c>
      <c r="K102" s="3">
        <v>2.21E-9</v>
      </c>
      <c r="L102" s="2" t="s">
        <v>1178</v>
      </c>
      <c r="M102" s="4" t="s">
        <v>3137</v>
      </c>
    </row>
    <row r="103" spans="1:13">
      <c r="A103" s="2">
        <v>963</v>
      </c>
      <c r="B103" s="2" t="s">
        <v>3138</v>
      </c>
      <c r="C103" s="2">
        <v>12</v>
      </c>
      <c r="D103" s="2">
        <v>100</v>
      </c>
      <c r="E103" s="2">
        <v>200</v>
      </c>
      <c r="F103" s="2">
        <v>32441</v>
      </c>
      <c r="G103" s="2">
        <v>19.464600000000001</v>
      </c>
      <c r="H103" s="3">
        <v>2.7200000000000001E-12</v>
      </c>
      <c r="I103" s="2" t="s">
        <v>3139</v>
      </c>
      <c r="J103" s="2" t="s">
        <v>3140</v>
      </c>
      <c r="K103" s="3">
        <v>2.21E-9</v>
      </c>
      <c r="L103" s="2" t="s">
        <v>1178</v>
      </c>
      <c r="M103" s="4" t="s">
        <v>3141</v>
      </c>
    </row>
    <row r="104" spans="1:13">
      <c r="A104" s="2">
        <v>1007</v>
      </c>
      <c r="B104" s="2" t="s">
        <v>1578</v>
      </c>
      <c r="C104" s="2">
        <v>12</v>
      </c>
      <c r="D104" s="2">
        <v>100</v>
      </c>
      <c r="E104" s="2">
        <v>200</v>
      </c>
      <c r="F104" s="2">
        <v>32441</v>
      </c>
      <c r="G104" s="2">
        <v>19.464600000000001</v>
      </c>
      <c r="H104" s="3">
        <v>2.7200000000000001E-12</v>
      </c>
      <c r="I104" s="2" t="s">
        <v>3142</v>
      </c>
      <c r="J104" s="2" t="s">
        <v>3143</v>
      </c>
      <c r="K104" s="3">
        <v>2.21E-9</v>
      </c>
      <c r="L104" s="2" t="s">
        <v>1178</v>
      </c>
      <c r="M104" s="4" t="s">
        <v>3144</v>
      </c>
    </row>
    <row r="105" spans="1:13">
      <c r="A105" s="2">
        <v>1268</v>
      </c>
      <c r="B105" s="2" t="s">
        <v>3145</v>
      </c>
      <c r="C105" s="2">
        <v>10</v>
      </c>
      <c r="D105" s="2">
        <v>100</v>
      </c>
      <c r="E105" s="2">
        <v>200</v>
      </c>
      <c r="F105" s="2">
        <v>32441</v>
      </c>
      <c r="G105" s="2">
        <v>16.220500000000001</v>
      </c>
      <c r="H105" s="3">
        <v>1.0600000000000001E-9</v>
      </c>
      <c r="I105" s="2" t="s">
        <v>3146</v>
      </c>
      <c r="J105" s="2" t="s">
        <v>3147</v>
      </c>
      <c r="K105" s="3">
        <v>7.3499999999999995E-7</v>
      </c>
      <c r="L105" s="2" t="s">
        <v>1178</v>
      </c>
      <c r="M105" s="4" t="s">
        <v>3148</v>
      </c>
    </row>
    <row r="106" spans="1:13">
      <c r="A106" s="2">
        <v>2424</v>
      </c>
      <c r="B106" s="2" t="s">
        <v>3149</v>
      </c>
      <c r="C106" s="2">
        <v>9</v>
      </c>
      <c r="D106" s="2">
        <v>100</v>
      </c>
      <c r="E106" s="2">
        <v>166</v>
      </c>
      <c r="F106" s="2">
        <v>32441</v>
      </c>
      <c r="G106" s="2">
        <v>17.588493979999999</v>
      </c>
      <c r="H106" s="3">
        <v>3.8300000000000002E-9</v>
      </c>
      <c r="I106" s="2" t="s">
        <v>3150</v>
      </c>
      <c r="J106" s="2" t="s">
        <v>3151</v>
      </c>
      <c r="K106" s="3">
        <v>2.3300000000000001E-6</v>
      </c>
      <c r="L106" s="2" t="s">
        <v>1178</v>
      </c>
      <c r="M106" s="4" t="s">
        <v>3152</v>
      </c>
    </row>
    <row r="107" spans="1:13">
      <c r="A107" s="2">
        <v>1536</v>
      </c>
      <c r="B107" s="2" t="s">
        <v>3153</v>
      </c>
      <c r="C107" s="2">
        <v>9</v>
      </c>
      <c r="D107" s="2">
        <v>100</v>
      </c>
      <c r="E107" s="2">
        <v>200</v>
      </c>
      <c r="F107" s="2">
        <v>32441</v>
      </c>
      <c r="G107" s="2">
        <v>14.59845</v>
      </c>
      <c r="H107" s="3">
        <v>1.7999999999999999E-8</v>
      </c>
      <c r="I107" s="2" t="s">
        <v>3154</v>
      </c>
      <c r="J107" s="2" t="s">
        <v>3155</v>
      </c>
      <c r="K107" s="3">
        <v>9.7200000000000001E-6</v>
      </c>
      <c r="L107" s="2" t="s">
        <v>1178</v>
      </c>
      <c r="M107" s="4" t="s">
        <v>3156</v>
      </c>
    </row>
    <row r="108" spans="1:13">
      <c r="A108" s="2">
        <v>2508</v>
      </c>
      <c r="B108" s="2" t="s">
        <v>3157</v>
      </c>
      <c r="C108" s="2">
        <v>8</v>
      </c>
      <c r="D108" s="2">
        <v>100</v>
      </c>
      <c r="E108" s="2">
        <v>142</v>
      </c>
      <c r="F108" s="2">
        <v>32441</v>
      </c>
      <c r="G108" s="2">
        <v>18.276619719999999</v>
      </c>
      <c r="H108" s="3">
        <v>2.1999999999999998E-8</v>
      </c>
      <c r="I108" s="2" t="s">
        <v>3158</v>
      </c>
      <c r="J108" s="2" t="s">
        <v>3159</v>
      </c>
      <c r="K108" s="3">
        <v>1.0699999999999999E-5</v>
      </c>
      <c r="L108" s="2" t="s">
        <v>1178</v>
      </c>
      <c r="M108" s="4" t="s">
        <v>3160</v>
      </c>
    </row>
    <row r="109" spans="1:13">
      <c r="A109" s="2">
        <v>4074</v>
      </c>
      <c r="B109" s="2" t="s">
        <v>3161</v>
      </c>
      <c r="C109" s="2">
        <v>8</v>
      </c>
      <c r="D109" s="2">
        <v>100</v>
      </c>
      <c r="E109" s="2">
        <v>153</v>
      </c>
      <c r="F109" s="2">
        <v>32441</v>
      </c>
      <c r="G109" s="2">
        <v>16.962614380000002</v>
      </c>
      <c r="H109" s="3">
        <v>3.8099999999999997E-8</v>
      </c>
      <c r="I109" s="2" t="s">
        <v>3162</v>
      </c>
      <c r="J109" s="2" t="s">
        <v>3163</v>
      </c>
      <c r="K109" s="3">
        <v>1.6900000000000001E-5</v>
      </c>
      <c r="L109" s="2" t="s">
        <v>1178</v>
      </c>
      <c r="M109" s="4" t="s">
        <v>3164</v>
      </c>
    </row>
    <row r="110" spans="1:13">
      <c r="A110" s="2">
        <v>1005</v>
      </c>
      <c r="B110" s="2" t="s">
        <v>2106</v>
      </c>
      <c r="C110" s="2">
        <v>8</v>
      </c>
      <c r="D110" s="2">
        <v>100</v>
      </c>
      <c r="E110" s="2">
        <v>200</v>
      </c>
      <c r="F110" s="2">
        <v>32441</v>
      </c>
      <c r="G110" s="2">
        <v>12.9764</v>
      </c>
      <c r="H110" s="3">
        <v>2.7399999999999999E-7</v>
      </c>
      <c r="I110" s="2" t="s">
        <v>3165</v>
      </c>
      <c r="J110" s="2" t="s">
        <v>3166</v>
      </c>
      <c r="K110" s="3">
        <v>7.4099999999999999E-5</v>
      </c>
      <c r="L110" s="2" t="s">
        <v>1178</v>
      </c>
      <c r="M110" s="4" t="s">
        <v>3167</v>
      </c>
    </row>
    <row r="111" spans="1:13">
      <c r="A111" s="2">
        <v>1009</v>
      </c>
      <c r="B111" s="2" t="s">
        <v>3168</v>
      </c>
      <c r="C111" s="2">
        <v>8</v>
      </c>
      <c r="D111" s="2">
        <v>100</v>
      </c>
      <c r="E111" s="2">
        <v>200</v>
      </c>
      <c r="F111" s="2">
        <v>32441</v>
      </c>
      <c r="G111" s="2">
        <v>12.9764</v>
      </c>
      <c r="H111" s="3">
        <v>2.7399999999999999E-7</v>
      </c>
      <c r="I111" s="2" t="s">
        <v>3169</v>
      </c>
      <c r="J111" s="2" t="s">
        <v>3170</v>
      </c>
      <c r="K111" s="3">
        <v>7.4099999999999999E-5</v>
      </c>
      <c r="L111" s="2" t="s">
        <v>1178</v>
      </c>
      <c r="M111" s="4" t="s">
        <v>3171</v>
      </c>
    </row>
    <row r="112" spans="1:13">
      <c r="A112" s="2">
        <v>1015</v>
      </c>
      <c r="B112" s="2" t="s">
        <v>3172</v>
      </c>
      <c r="C112" s="2">
        <v>8</v>
      </c>
      <c r="D112" s="2">
        <v>100</v>
      </c>
      <c r="E112" s="2">
        <v>200</v>
      </c>
      <c r="F112" s="2">
        <v>32441</v>
      </c>
      <c r="G112" s="2">
        <v>12.9764</v>
      </c>
      <c r="H112" s="3">
        <v>2.7399999999999999E-7</v>
      </c>
      <c r="I112" s="2" t="s">
        <v>3173</v>
      </c>
      <c r="J112" s="2" t="s">
        <v>3174</v>
      </c>
      <c r="K112" s="3">
        <v>7.4099999999999999E-5</v>
      </c>
      <c r="L112" s="2" t="s">
        <v>1178</v>
      </c>
      <c r="M112" s="4" t="s">
        <v>3175</v>
      </c>
    </row>
    <row r="113" spans="1:13">
      <c r="A113" s="2">
        <v>1121</v>
      </c>
      <c r="B113" s="2" t="s">
        <v>3176</v>
      </c>
      <c r="C113" s="2">
        <v>8</v>
      </c>
      <c r="D113" s="2">
        <v>100</v>
      </c>
      <c r="E113" s="2">
        <v>200</v>
      </c>
      <c r="F113" s="2">
        <v>32441</v>
      </c>
      <c r="G113" s="2">
        <v>12.9764</v>
      </c>
      <c r="H113" s="3">
        <v>2.7399999999999999E-7</v>
      </c>
      <c r="I113" s="2" t="s">
        <v>3177</v>
      </c>
      <c r="J113" s="2" t="s">
        <v>3178</v>
      </c>
      <c r="K113" s="3">
        <v>7.4099999999999999E-5</v>
      </c>
      <c r="L113" s="2" t="s">
        <v>1178</v>
      </c>
      <c r="M113" s="4" t="s">
        <v>3179</v>
      </c>
    </row>
    <row r="114" spans="1:13">
      <c r="A114" s="2">
        <v>3043</v>
      </c>
      <c r="B114" s="2" t="s">
        <v>3180</v>
      </c>
      <c r="C114" s="2">
        <v>8</v>
      </c>
      <c r="D114" s="2">
        <v>100</v>
      </c>
      <c r="E114" s="2">
        <v>200</v>
      </c>
      <c r="F114" s="2">
        <v>32441</v>
      </c>
      <c r="G114" s="2">
        <v>12.9764</v>
      </c>
      <c r="H114" s="3">
        <v>2.7399999999999999E-7</v>
      </c>
      <c r="I114" s="2" t="s">
        <v>3181</v>
      </c>
      <c r="J114" s="2" t="s">
        <v>3182</v>
      </c>
      <c r="K114" s="3">
        <v>7.4099999999999999E-5</v>
      </c>
      <c r="L114" s="2" t="s">
        <v>1178</v>
      </c>
      <c r="M114" s="4" t="s">
        <v>3183</v>
      </c>
    </row>
    <row r="115" spans="1:13">
      <c r="A115" s="2">
        <v>4463</v>
      </c>
      <c r="B115" s="2" t="s">
        <v>3184</v>
      </c>
      <c r="C115" s="2">
        <v>8</v>
      </c>
      <c r="D115" s="2">
        <v>100</v>
      </c>
      <c r="E115" s="2">
        <v>200</v>
      </c>
      <c r="F115" s="2">
        <v>32441</v>
      </c>
      <c r="G115" s="2">
        <v>12.9764</v>
      </c>
      <c r="H115" s="3">
        <v>2.7399999999999999E-7</v>
      </c>
      <c r="I115" s="2" t="s">
        <v>3185</v>
      </c>
      <c r="J115" s="2" t="s">
        <v>3186</v>
      </c>
      <c r="K115" s="3">
        <v>7.4099999999999999E-5</v>
      </c>
      <c r="L115" s="2" t="s">
        <v>1178</v>
      </c>
      <c r="M115" s="4" t="s">
        <v>3187</v>
      </c>
    </row>
    <row r="116" spans="1:13">
      <c r="A116" s="2">
        <v>4477</v>
      </c>
      <c r="B116" s="2" t="s">
        <v>3188</v>
      </c>
      <c r="C116" s="2">
        <v>8</v>
      </c>
      <c r="D116" s="2">
        <v>100</v>
      </c>
      <c r="E116" s="2">
        <v>200</v>
      </c>
      <c r="F116" s="2">
        <v>32441</v>
      </c>
      <c r="G116" s="2">
        <v>12.9764</v>
      </c>
      <c r="H116" s="3">
        <v>2.7399999999999999E-7</v>
      </c>
      <c r="I116" s="2" t="s">
        <v>3189</v>
      </c>
      <c r="J116" s="2" t="s">
        <v>3190</v>
      </c>
      <c r="K116" s="3">
        <v>7.4099999999999999E-5</v>
      </c>
      <c r="L116" s="2" t="s">
        <v>1178</v>
      </c>
      <c r="M116" s="4" t="s">
        <v>3191</v>
      </c>
    </row>
    <row r="117" spans="1:13">
      <c r="A117" s="2">
        <v>965</v>
      </c>
      <c r="B117" s="2" t="s">
        <v>3192</v>
      </c>
      <c r="C117" s="2">
        <v>7</v>
      </c>
      <c r="D117" s="2">
        <v>100</v>
      </c>
      <c r="E117" s="2">
        <v>200</v>
      </c>
      <c r="F117" s="2">
        <v>32441</v>
      </c>
      <c r="G117" s="2">
        <v>11.35435</v>
      </c>
      <c r="H117" s="3">
        <v>3.7000000000000002E-6</v>
      </c>
      <c r="I117" s="2" t="s">
        <v>3193</v>
      </c>
      <c r="J117" s="2" t="s">
        <v>3194</v>
      </c>
      <c r="K117" s="2">
        <v>6.4295400000000005E-4</v>
      </c>
      <c r="L117" s="2" t="s">
        <v>1178</v>
      </c>
      <c r="M117" s="4" t="s">
        <v>3195</v>
      </c>
    </row>
    <row r="118" spans="1:13">
      <c r="A118" s="2">
        <v>1321</v>
      </c>
      <c r="B118" s="2" t="s">
        <v>3196</v>
      </c>
      <c r="C118" s="2">
        <v>7</v>
      </c>
      <c r="D118" s="2">
        <v>100</v>
      </c>
      <c r="E118" s="2">
        <v>200</v>
      </c>
      <c r="F118" s="2">
        <v>32441</v>
      </c>
      <c r="G118" s="2">
        <v>11.35435</v>
      </c>
      <c r="H118" s="3">
        <v>3.7000000000000002E-6</v>
      </c>
      <c r="I118" s="2" t="s">
        <v>3197</v>
      </c>
      <c r="J118" s="2" t="s">
        <v>3198</v>
      </c>
      <c r="K118" s="2">
        <v>6.4295400000000005E-4</v>
      </c>
      <c r="L118" s="2" t="s">
        <v>1178</v>
      </c>
      <c r="M118" s="4" t="s">
        <v>3199</v>
      </c>
    </row>
    <row r="119" spans="1:13">
      <c r="A119" s="2">
        <v>1589</v>
      </c>
      <c r="B119" s="2" t="s">
        <v>3200</v>
      </c>
      <c r="C119" s="2">
        <v>7</v>
      </c>
      <c r="D119" s="2">
        <v>100</v>
      </c>
      <c r="E119" s="2">
        <v>200</v>
      </c>
      <c r="F119" s="2">
        <v>32441</v>
      </c>
      <c r="G119" s="2">
        <v>11.35435</v>
      </c>
      <c r="H119" s="3">
        <v>3.7000000000000002E-6</v>
      </c>
      <c r="I119" s="2" t="s">
        <v>3201</v>
      </c>
      <c r="J119" s="2" t="s">
        <v>3202</v>
      </c>
      <c r="K119" s="2">
        <v>6.4295400000000005E-4</v>
      </c>
      <c r="L119" s="2" t="s">
        <v>1178</v>
      </c>
      <c r="M119" s="4" t="s">
        <v>3203</v>
      </c>
    </row>
    <row r="120" spans="1:13">
      <c r="A120" s="2">
        <v>2116</v>
      </c>
      <c r="B120" s="2" t="s">
        <v>3204</v>
      </c>
      <c r="C120" s="2">
        <v>7</v>
      </c>
      <c r="D120" s="2">
        <v>100</v>
      </c>
      <c r="E120" s="2">
        <v>200</v>
      </c>
      <c r="F120" s="2">
        <v>32441</v>
      </c>
      <c r="G120" s="2">
        <v>11.35435</v>
      </c>
      <c r="H120" s="3">
        <v>3.7000000000000002E-6</v>
      </c>
      <c r="I120" s="2" t="s">
        <v>3205</v>
      </c>
      <c r="J120" s="2" t="s">
        <v>3206</v>
      </c>
      <c r="K120" s="2">
        <v>6.4295400000000005E-4</v>
      </c>
      <c r="L120" s="2" t="s">
        <v>1178</v>
      </c>
      <c r="M120" s="4" t="s">
        <v>3207</v>
      </c>
    </row>
    <row r="121" spans="1:13">
      <c r="A121" s="2">
        <v>2222</v>
      </c>
      <c r="B121" s="2" t="s">
        <v>3208</v>
      </c>
      <c r="C121" s="2">
        <v>7</v>
      </c>
      <c r="D121" s="2">
        <v>100</v>
      </c>
      <c r="E121" s="2">
        <v>200</v>
      </c>
      <c r="F121" s="2">
        <v>32441</v>
      </c>
      <c r="G121" s="2">
        <v>11.35435</v>
      </c>
      <c r="H121" s="3">
        <v>3.7000000000000002E-6</v>
      </c>
      <c r="I121" s="2" t="s">
        <v>3209</v>
      </c>
      <c r="J121" s="2" t="s">
        <v>3210</v>
      </c>
      <c r="K121" s="2">
        <v>6.4295400000000005E-4</v>
      </c>
      <c r="L121" s="2" t="s">
        <v>1178</v>
      </c>
      <c r="M121" s="4" t="s">
        <v>3211</v>
      </c>
    </row>
    <row r="122" spans="1:13">
      <c r="A122" s="2">
        <v>2318</v>
      </c>
      <c r="B122" s="2" t="s">
        <v>3212</v>
      </c>
      <c r="C122" s="2">
        <v>7</v>
      </c>
      <c r="D122" s="2">
        <v>100</v>
      </c>
      <c r="E122" s="2">
        <v>200</v>
      </c>
      <c r="F122" s="2">
        <v>32441</v>
      </c>
      <c r="G122" s="2">
        <v>11.35435</v>
      </c>
      <c r="H122" s="3">
        <v>3.7000000000000002E-6</v>
      </c>
      <c r="I122" s="2" t="s">
        <v>3213</v>
      </c>
      <c r="J122" s="2" t="s">
        <v>3214</v>
      </c>
      <c r="K122" s="2">
        <v>6.4295400000000005E-4</v>
      </c>
      <c r="L122" s="2" t="s">
        <v>1178</v>
      </c>
      <c r="M122" s="4" t="s">
        <v>3215</v>
      </c>
    </row>
    <row r="123" spans="1:13">
      <c r="A123" s="2">
        <v>3223</v>
      </c>
      <c r="B123" s="2" t="s">
        <v>3216</v>
      </c>
      <c r="C123" s="2">
        <v>7</v>
      </c>
      <c r="D123" s="2">
        <v>100</v>
      </c>
      <c r="E123" s="2">
        <v>200</v>
      </c>
      <c r="F123" s="2">
        <v>32441</v>
      </c>
      <c r="G123" s="2">
        <v>11.35435</v>
      </c>
      <c r="H123" s="3">
        <v>3.7000000000000002E-6</v>
      </c>
      <c r="I123" s="2" t="s">
        <v>3217</v>
      </c>
      <c r="J123" s="2" t="s">
        <v>3218</v>
      </c>
      <c r="K123" s="2">
        <v>6.4295400000000005E-4</v>
      </c>
      <c r="L123" s="2" t="s">
        <v>1178</v>
      </c>
      <c r="M123" s="4" t="s">
        <v>3219</v>
      </c>
    </row>
    <row r="124" spans="1:13">
      <c r="A124" s="2">
        <v>37071</v>
      </c>
      <c r="B124" s="2" t="s">
        <v>1743</v>
      </c>
      <c r="C124" s="2">
        <v>7</v>
      </c>
      <c r="D124" s="2">
        <v>100</v>
      </c>
      <c r="E124" s="2">
        <v>200</v>
      </c>
      <c r="F124" s="2">
        <v>32441</v>
      </c>
      <c r="G124" s="2">
        <v>11.35435</v>
      </c>
      <c r="H124" s="3">
        <v>3.7000000000000002E-6</v>
      </c>
      <c r="I124" s="2" t="s">
        <v>3220</v>
      </c>
      <c r="J124" s="2" t="s">
        <v>3221</v>
      </c>
      <c r="K124" s="2">
        <v>6.4295400000000005E-4</v>
      </c>
      <c r="L124" s="2" t="s">
        <v>1178</v>
      </c>
      <c r="M124" s="4" t="s">
        <v>3222</v>
      </c>
    </row>
    <row r="125" spans="1:13">
      <c r="A125" s="2">
        <v>3893</v>
      </c>
      <c r="B125" s="2" t="s">
        <v>3223</v>
      </c>
      <c r="C125" s="2">
        <v>7</v>
      </c>
      <c r="D125" s="2">
        <v>100</v>
      </c>
      <c r="E125" s="2">
        <v>193</v>
      </c>
      <c r="F125" s="2">
        <v>32441</v>
      </c>
      <c r="G125" s="2">
        <v>11.7661658</v>
      </c>
      <c r="H125" s="3">
        <v>2.9399999999999998E-6</v>
      </c>
      <c r="I125" s="2" t="s">
        <v>3224</v>
      </c>
      <c r="J125" s="2" t="s">
        <v>3225</v>
      </c>
      <c r="K125" s="2">
        <v>6.4295400000000005E-4</v>
      </c>
      <c r="L125" s="2" t="s">
        <v>1178</v>
      </c>
      <c r="M125" s="4" t="s">
        <v>3226</v>
      </c>
    </row>
    <row r="126" spans="1:13">
      <c r="A126" s="2">
        <v>4483</v>
      </c>
      <c r="B126" s="2" t="s">
        <v>3227</v>
      </c>
      <c r="C126" s="2">
        <v>7</v>
      </c>
      <c r="D126" s="2">
        <v>100</v>
      </c>
      <c r="E126" s="2">
        <v>200</v>
      </c>
      <c r="F126" s="2">
        <v>32441</v>
      </c>
      <c r="G126" s="2">
        <v>11.35435</v>
      </c>
      <c r="H126" s="3">
        <v>3.7000000000000002E-6</v>
      </c>
      <c r="I126" s="2" t="s">
        <v>3228</v>
      </c>
      <c r="J126" s="2" t="s">
        <v>3229</v>
      </c>
      <c r="K126" s="2">
        <v>6.4295400000000005E-4</v>
      </c>
      <c r="L126" s="2" t="s">
        <v>1178</v>
      </c>
      <c r="M126" s="4" t="s">
        <v>3230</v>
      </c>
    </row>
    <row r="127" spans="1:13">
      <c r="A127" s="2">
        <v>2432</v>
      </c>
      <c r="B127" s="2" t="s">
        <v>3231</v>
      </c>
      <c r="C127" s="2">
        <v>6</v>
      </c>
      <c r="D127" s="2">
        <v>100</v>
      </c>
      <c r="E127" s="2">
        <v>146</v>
      </c>
      <c r="F127" s="2">
        <v>32441</v>
      </c>
      <c r="G127" s="2">
        <v>13.33191781</v>
      </c>
      <c r="H127" s="3">
        <v>7.8099999999999998E-6</v>
      </c>
      <c r="I127" s="2" t="s">
        <v>3232</v>
      </c>
      <c r="J127" s="2" t="s">
        <v>3233</v>
      </c>
      <c r="K127" s="2">
        <v>1.3121319999999999E-3</v>
      </c>
      <c r="L127" s="2" t="s">
        <v>1178</v>
      </c>
      <c r="M127" s="4" t="s">
        <v>3234</v>
      </c>
    </row>
    <row r="128" spans="1:13">
      <c r="A128" s="2">
        <v>2430</v>
      </c>
      <c r="B128" s="2" t="s">
        <v>3235</v>
      </c>
      <c r="C128" s="2">
        <v>6</v>
      </c>
      <c r="D128" s="2">
        <v>100</v>
      </c>
      <c r="E128" s="2">
        <v>164</v>
      </c>
      <c r="F128" s="2">
        <v>32441</v>
      </c>
      <c r="G128" s="2">
        <v>11.86865854</v>
      </c>
      <c r="H128" s="3">
        <v>1.4800000000000001E-5</v>
      </c>
      <c r="I128" s="2" t="s">
        <v>3236</v>
      </c>
      <c r="J128" s="2" t="s">
        <v>3237</v>
      </c>
      <c r="K128" s="2">
        <v>2.4000969999999999E-3</v>
      </c>
      <c r="L128" s="2" t="s">
        <v>1178</v>
      </c>
      <c r="M128" s="4" t="s">
        <v>3238</v>
      </c>
    </row>
    <row r="129" spans="1:13">
      <c r="A129" s="2">
        <v>201</v>
      </c>
      <c r="B129" s="2" t="s">
        <v>3239</v>
      </c>
      <c r="C129" s="2">
        <v>6</v>
      </c>
      <c r="D129" s="2">
        <v>100</v>
      </c>
      <c r="E129" s="2">
        <v>199</v>
      </c>
      <c r="F129" s="2">
        <v>32441</v>
      </c>
      <c r="G129" s="2">
        <v>9.7812060299999999</v>
      </c>
      <c r="H129" s="3">
        <v>4.2299999999999998E-5</v>
      </c>
      <c r="I129" s="2" t="s">
        <v>3240</v>
      </c>
      <c r="J129" s="2" t="s">
        <v>3241</v>
      </c>
      <c r="K129" s="2">
        <v>4.6064010000000004E-3</v>
      </c>
      <c r="L129" s="2" t="s">
        <v>1178</v>
      </c>
      <c r="M129" s="4" t="s">
        <v>3242</v>
      </c>
    </row>
    <row r="130" spans="1:13">
      <c r="A130" s="2">
        <v>287</v>
      </c>
      <c r="B130" s="2" t="s">
        <v>3243</v>
      </c>
      <c r="C130" s="2">
        <v>6</v>
      </c>
      <c r="D130" s="2">
        <v>100</v>
      </c>
      <c r="E130" s="2">
        <v>200</v>
      </c>
      <c r="F130" s="2">
        <v>32441</v>
      </c>
      <c r="G130" s="2">
        <v>9.7323000000000004</v>
      </c>
      <c r="H130" s="3">
        <v>4.35E-5</v>
      </c>
      <c r="I130" s="2" t="s">
        <v>3244</v>
      </c>
      <c r="J130" s="2" t="s">
        <v>3245</v>
      </c>
      <c r="K130" s="2">
        <v>4.6064010000000004E-3</v>
      </c>
      <c r="L130" s="2" t="s">
        <v>1178</v>
      </c>
      <c r="M130" s="4" t="s">
        <v>3246</v>
      </c>
    </row>
    <row r="131" spans="1:13">
      <c r="A131" s="2">
        <v>955</v>
      </c>
      <c r="B131" s="2" t="s">
        <v>2100</v>
      </c>
      <c r="C131" s="2">
        <v>6</v>
      </c>
      <c r="D131" s="2">
        <v>100</v>
      </c>
      <c r="E131" s="2">
        <v>200</v>
      </c>
      <c r="F131" s="2">
        <v>32441</v>
      </c>
      <c r="G131" s="2">
        <v>9.7323000000000004</v>
      </c>
      <c r="H131" s="3">
        <v>4.35E-5</v>
      </c>
      <c r="I131" s="2" t="s">
        <v>3247</v>
      </c>
      <c r="J131" s="2" t="s">
        <v>3248</v>
      </c>
      <c r="K131" s="2">
        <v>4.6064010000000004E-3</v>
      </c>
      <c r="L131" s="2" t="s">
        <v>1178</v>
      </c>
      <c r="M131" s="4" t="s">
        <v>3249</v>
      </c>
    </row>
    <row r="132" spans="1:13">
      <c r="A132" s="2">
        <v>1389</v>
      </c>
      <c r="B132" s="2" t="s">
        <v>2457</v>
      </c>
      <c r="C132" s="2">
        <v>6</v>
      </c>
      <c r="D132" s="2">
        <v>100</v>
      </c>
      <c r="E132" s="2">
        <v>200</v>
      </c>
      <c r="F132" s="2">
        <v>32441</v>
      </c>
      <c r="G132" s="2">
        <v>9.7323000000000004</v>
      </c>
      <c r="H132" s="3">
        <v>4.35E-5</v>
      </c>
      <c r="I132" s="2" t="s">
        <v>3250</v>
      </c>
      <c r="J132" s="2" t="s">
        <v>3251</v>
      </c>
      <c r="K132" s="2">
        <v>4.6064010000000004E-3</v>
      </c>
      <c r="L132" s="2" t="s">
        <v>1178</v>
      </c>
      <c r="M132" s="4" t="s">
        <v>3252</v>
      </c>
    </row>
    <row r="133" spans="1:13">
      <c r="A133" s="2">
        <v>1521</v>
      </c>
      <c r="B133" s="2" t="s">
        <v>3253</v>
      </c>
      <c r="C133" s="2">
        <v>6</v>
      </c>
      <c r="D133" s="2">
        <v>100</v>
      </c>
      <c r="E133" s="2">
        <v>200</v>
      </c>
      <c r="F133" s="2">
        <v>32441</v>
      </c>
      <c r="G133" s="2">
        <v>9.7323000000000004</v>
      </c>
      <c r="H133" s="3">
        <v>4.35E-5</v>
      </c>
      <c r="I133" s="2" t="s">
        <v>3254</v>
      </c>
      <c r="J133" s="2" t="s">
        <v>3255</v>
      </c>
      <c r="K133" s="2">
        <v>4.6064010000000004E-3</v>
      </c>
      <c r="L133" s="2" t="s">
        <v>1178</v>
      </c>
      <c r="M133" s="4" t="s">
        <v>3256</v>
      </c>
    </row>
    <row r="134" spans="1:13">
      <c r="A134" s="2">
        <v>1532</v>
      </c>
      <c r="B134" s="2" t="s">
        <v>3257</v>
      </c>
      <c r="C134" s="2">
        <v>6</v>
      </c>
      <c r="D134" s="2">
        <v>100</v>
      </c>
      <c r="E134" s="2">
        <v>200</v>
      </c>
      <c r="F134" s="2">
        <v>32441</v>
      </c>
      <c r="G134" s="2">
        <v>9.7323000000000004</v>
      </c>
      <c r="H134" s="3">
        <v>4.35E-5</v>
      </c>
      <c r="I134" s="2" t="s">
        <v>3258</v>
      </c>
      <c r="J134" s="2" t="s">
        <v>3259</v>
      </c>
      <c r="K134" s="2">
        <v>4.6064010000000004E-3</v>
      </c>
      <c r="L134" s="2" t="s">
        <v>1178</v>
      </c>
      <c r="M134" s="4" t="s">
        <v>3260</v>
      </c>
    </row>
    <row r="135" spans="1:13">
      <c r="A135" s="2">
        <v>1575</v>
      </c>
      <c r="B135" s="2" t="s">
        <v>3261</v>
      </c>
      <c r="C135" s="2">
        <v>6</v>
      </c>
      <c r="D135" s="2">
        <v>100</v>
      </c>
      <c r="E135" s="2">
        <v>200</v>
      </c>
      <c r="F135" s="2">
        <v>32441</v>
      </c>
      <c r="G135" s="2">
        <v>9.7323000000000004</v>
      </c>
      <c r="H135" s="3">
        <v>4.35E-5</v>
      </c>
      <c r="I135" s="2" t="s">
        <v>3262</v>
      </c>
      <c r="J135" s="2" t="s">
        <v>3263</v>
      </c>
      <c r="K135" s="2">
        <v>4.6064010000000004E-3</v>
      </c>
      <c r="L135" s="2" t="s">
        <v>1178</v>
      </c>
      <c r="M135" s="4" t="s">
        <v>3264</v>
      </c>
    </row>
    <row r="136" spans="1:13">
      <c r="A136" s="2">
        <v>2089</v>
      </c>
      <c r="B136" s="2" t="s">
        <v>3265</v>
      </c>
      <c r="C136" s="2">
        <v>6</v>
      </c>
      <c r="D136" s="2">
        <v>100</v>
      </c>
      <c r="E136" s="2">
        <v>200</v>
      </c>
      <c r="F136" s="2">
        <v>32441</v>
      </c>
      <c r="G136" s="2">
        <v>9.7323000000000004</v>
      </c>
      <c r="H136" s="3">
        <v>4.35E-5</v>
      </c>
      <c r="I136" s="2" t="s">
        <v>3266</v>
      </c>
      <c r="J136" s="2" t="s">
        <v>3267</v>
      </c>
      <c r="K136" s="2">
        <v>4.6064010000000004E-3</v>
      </c>
      <c r="L136" s="2" t="s">
        <v>1178</v>
      </c>
      <c r="M136" s="4" t="s">
        <v>3268</v>
      </c>
    </row>
    <row r="137" spans="1:13">
      <c r="A137" s="2">
        <v>2270</v>
      </c>
      <c r="B137" s="2" t="s">
        <v>3269</v>
      </c>
      <c r="C137" s="2">
        <v>6</v>
      </c>
      <c r="D137" s="2">
        <v>100</v>
      </c>
      <c r="E137" s="2">
        <v>200</v>
      </c>
      <c r="F137" s="2">
        <v>32441</v>
      </c>
      <c r="G137" s="2">
        <v>9.7323000000000004</v>
      </c>
      <c r="H137" s="3">
        <v>4.35E-5</v>
      </c>
      <c r="I137" s="2" t="s">
        <v>3270</v>
      </c>
      <c r="J137" s="2" t="s">
        <v>3271</v>
      </c>
      <c r="K137" s="2">
        <v>4.6064010000000004E-3</v>
      </c>
      <c r="L137" s="2" t="s">
        <v>1178</v>
      </c>
      <c r="M137" s="4" t="s">
        <v>3272</v>
      </c>
    </row>
    <row r="138" spans="1:13">
      <c r="A138" s="2">
        <v>3037</v>
      </c>
      <c r="B138" s="2" t="s">
        <v>3273</v>
      </c>
      <c r="C138" s="2">
        <v>6</v>
      </c>
      <c r="D138" s="2">
        <v>100</v>
      </c>
      <c r="E138" s="2">
        <v>200</v>
      </c>
      <c r="F138" s="2">
        <v>32441</v>
      </c>
      <c r="G138" s="2">
        <v>9.7323000000000004</v>
      </c>
      <c r="H138" s="3">
        <v>4.35E-5</v>
      </c>
      <c r="I138" s="2" t="s">
        <v>3274</v>
      </c>
      <c r="J138" s="2" t="s">
        <v>3275</v>
      </c>
      <c r="K138" s="2">
        <v>4.6064010000000004E-3</v>
      </c>
      <c r="L138" s="2" t="s">
        <v>1178</v>
      </c>
      <c r="M138" s="4" t="s">
        <v>3276</v>
      </c>
    </row>
    <row r="139" spans="1:13">
      <c r="A139" s="2">
        <v>3194</v>
      </c>
      <c r="B139" s="2" t="s">
        <v>3277</v>
      </c>
      <c r="C139" s="2">
        <v>6</v>
      </c>
      <c r="D139" s="2">
        <v>100</v>
      </c>
      <c r="E139" s="2">
        <v>195</v>
      </c>
      <c r="F139" s="2">
        <v>32441</v>
      </c>
      <c r="G139" s="2">
        <v>9.9818461539999994</v>
      </c>
      <c r="H139" s="3">
        <v>3.79E-5</v>
      </c>
      <c r="I139" s="2" t="s">
        <v>3278</v>
      </c>
      <c r="J139" s="2" t="s">
        <v>3279</v>
      </c>
      <c r="K139" s="2">
        <v>4.6064010000000004E-3</v>
      </c>
      <c r="L139" s="2" t="s">
        <v>1178</v>
      </c>
      <c r="M139" s="4" t="s">
        <v>3280</v>
      </c>
    </row>
    <row r="140" spans="1:13">
      <c r="A140" s="2">
        <v>3461</v>
      </c>
      <c r="B140" s="2" t="s">
        <v>1737</v>
      </c>
      <c r="C140" s="2">
        <v>6</v>
      </c>
      <c r="D140" s="2">
        <v>100</v>
      </c>
      <c r="E140" s="2">
        <v>200</v>
      </c>
      <c r="F140" s="2">
        <v>32441</v>
      </c>
      <c r="G140" s="2">
        <v>9.7323000000000004</v>
      </c>
      <c r="H140" s="3">
        <v>4.35E-5</v>
      </c>
      <c r="I140" s="2" t="s">
        <v>3281</v>
      </c>
      <c r="J140" s="2" t="s">
        <v>3282</v>
      </c>
      <c r="K140" s="2">
        <v>4.6064010000000004E-3</v>
      </c>
      <c r="L140" s="2" t="s">
        <v>1178</v>
      </c>
      <c r="M140" s="4" t="s">
        <v>3283</v>
      </c>
    </row>
    <row r="141" spans="1:13">
      <c r="A141" s="2">
        <v>3791</v>
      </c>
      <c r="B141" s="2" t="s">
        <v>2664</v>
      </c>
      <c r="C141" s="2">
        <v>6</v>
      </c>
      <c r="D141" s="2">
        <v>100</v>
      </c>
      <c r="E141" s="2">
        <v>199</v>
      </c>
      <c r="F141" s="2">
        <v>32441</v>
      </c>
      <c r="G141" s="2">
        <v>9.7812060299999999</v>
      </c>
      <c r="H141" s="3">
        <v>4.2299999999999998E-5</v>
      </c>
      <c r="I141" s="2" t="s">
        <v>3284</v>
      </c>
      <c r="J141" s="2" t="s">
        <v>3285</v>
      </c>
      <c r="K141" s="2">
        <v>4.6064010000000004E-3</v>
      </c>
      <c r="L141" s="2" t="s">
        <v>1178</v>
      </c>
      <c r="M141" s="4" t="s">
        <v>3286</v>
      </c>
    </row>
    <row r="142" spans="1:13">
      <c r="A142" s="2">
        <v>3948</v>
      </c>
      <c r="B142" s="2" t="s">
        <v>1335</v>
      </c>
      <c r="C142" s="2">
        <v>6</v>
      </c>
      <c r="D142" s="2">
        <v>100</v>
      </c>
      <c r="E142" s="2">
        <v>198</v>
      </c>
      <c r="F142" s="2">
        <v>32441</v>
      </c>
      <c r="G142" s="2">
        <v>9.8306060609999992</v>
      </c>
      <c r="H142" s="3">
        <v>4.1199999999999999E-5</v>
      </c>
      <c r="I142" s="2" t="s">
        <v>3287</v>
      </c>
      <c r="J142" s="2" t="s">
        <v>3288</v>
      </c>
      <c r="K142" s="2">
        <v>4.6064010000000004E-3</v>
      </c>
      <c r="L142" s="2" t="s">
        <v>1178</v>
      </c>
      <c r="M142" s="4" t="s">
        <v>3289</v>
      </c>
    </row>
    <row r="143" spans="1:13">
      <c r="A143" s="2">
        <v>4127</v>
      </c>
      <c r="B143" s="2" t="s">
        <v>3290</v>
      </c>
      <c r="C143" s="2">
        <v>6</v>
      </c>
      <c r="D143" s="2">
        <v>100</v>
      </c>
      <c r="E143" s="2">
        <v>200</v>
      </c>
      <c r="F143" s="2">
        <v>32441</v>
      </c>
      <c r="G143" s="2">
        <v>9.7323000000000004</v>
      </c>
      <c r="H143" s="3">
        <v>4.35E-5</v>
      </c>
      <c r="I143" s="2" t="s">
        <v>3291</v>
      </c>
      <c r="J143" s="2" t="s">
        <v>3292</v>
      </c>
      <c r="K143" s="2">
        <v>4.6064010000000004E-3</v>
      </c>
      <c r="L143" s="2" t="s">
        <v>1178</v>
      </c>
      <c r="M143" s="4" t="s">
        <v>3293</v>
      </c>
    </row>
    <row r="144" spans="1:13">
      <c r="A144" s="2">
        <v>4321</v>
      </c>
      <c r="B144" s="2" t="s">
        <v>3294</v>
      </c>
      <c r="C144" s="2">
        <v>6</v>
      </c>
      <c r="D144" s="2">
        <v>100</v>
      </c>
      <c r="E144" s="2">
        <v>194</v>
      </c>
      <c r="F144" s="2">
        <v>32441</v>
      </c>
      <c r="G144" s="2">
        <v>10.033298970000001</v>
      </c>
      <c r="H144" s="3">
        <v>3.6900000000000002E-5</v>
      </c>
      <c r="I144" s="2" t="s">
        <v>3295</v>
      </c>
      <c r="J144" s="2" t="s">
        <v>3296</v>
      </c>
      <c r="K144" s="2">
        <v>4.6064010000000004E-3</v>
      </c>
      <c r="L144" s="2" t="s">
        <v>1178</v>
      </c>
      <c r="M144" s="4" t="s">
        <v>3297</v>
      </c>
    </row>
    <row r="145" spans="1:13">
      <c r="A145" s="2">
        <v>4156</v>
      </c>
      <c r="B145" s="2" t="s">
        <v>3298</v>
      </c>
      <c r="C145" s="2">
        <v>5</v>
      </c>
      <c r="D145" s="2">
        <v>100</v>
      </c>
      <c r="E145" s="2">
        <v>159</v>
      </c>
      <c r="F145" s="2">
        <v>32441</v>
      </c>
      <c r="G145" s="2">
        <v>10.201572329999999</v>
      </c>
      <c r="H145" s="2">
        <v>1.5652299999999999E-4</v>
      </c>
      <c r="I145" s="2" t="s">
        <v>3299</v>
      </c>
      <c r="J145" s="2" t="s">
        <v>3300</v>
      </c>
      <c r="K145" s="2">
        <v>1.6225065E-2</v>
      </c>
      <c r="L145" s="2" t="s">
        <v>1178</v>
      </c>
      <c r="M145" s="4" t="s">
        <v>3301</v>
      </c>
    </row>
    <row r="146" spans="1:13">
      <c r="A146" s="2">
        <v>2510</v>
      </c>
      <c r="B146" s="2" t="s">
        <v>3302</v>
      </c>
      <c r="C146" s="2">
        <v>5</v>
      </c>
      <c r="D146" s="2">
        <v>100</v>
      </c>
      <c r="E146" s="2">
        <v>161</v>
      </c>
      <c r="F146" s="2">
        <v>32441</v>
      </c>
      <c r="G146" s="2">
        <v>10.07484472</v>
      </c>
      <c r="H146" s="2">
        <v>1.6562400000000001E-4</v>
      </c>
      <c r="I146" s="2" t="s">
        <v>3303</v>
      </c>
      <c r="J146" s="2" t="s">
        <v>3304</v>
      </c>
      <c r="K146" s="2">
        <v>1.6810825000000001E-2</v>
      </c>
      <c r="L146" s="2" t="s">
        <v>1178</v>
      </c>
      <c r="M146" s="4" t="s">
        <v>3305</v>
      </c>
    </row>
    <row r="147" spans="1:13">
      <c r="A147" s="2">
        <v>57</v>
      </c>
      <c r="B147" s="2" t="s">
        <v>3306</v>
      </c>
      <c r="C147" s="2">
        <v>5</v>
      </c>
      <c r="D147" s="2">
        <v>100</v>
      </c>
      <c r="E147" s="2">
        <v>199</v>
      </c>
      <c r="F147" s="2">
        <v>32441</v>
      </c>
      <c r="G147" s="2">
        <v>8.1510050249999999</v>
      </c>
      <c r="H147" s="2">
        <v>4.2837600000000001E-4</v>
      </c>
      <c r="I147" s="2" t="s">
        <v>3307</v>
      </c>
      <c r="J147" s="2" t="s">
        <v>3308</v>
      </c>
      <c r="K147" s="2">
        <v>1.9944561E-2</v>
      </c>
      <c r="L147" s="2" t="s">
        <v>1178</v>
      </c>
      <c r="M147" s="4" t="s">
        <v>3309</v>
      </c>
    </row>
    <row r="148" spans="1:13">
      <c r="A148" s="2">
        <v>97</v>
      </c>
      <c r="B148" s="2" t="s">
        <v>3310</v>
      </c>
      <c r="C148" s="2">
        <v>5</v>
      </c>
      <c r="D148" s="2">
        <v>100</v>
      </c>
      <c r="E148" s="2">
        <v>200</v>
      </c>
      <c r="F148" s="2">
        <v>32441</v>
      </c>
      <c r="G148" s="2">
        <v>8.1102500000000006</v>
      </c>
      <c r="H148" s="2">
        <v>4.3802700000000001E-4</v>
      </c>
      <c r="I148" s="2" t="s">
        <v>3311</v>
      </c>
      <c r="J148" s="2" t="s">
        <v>3312</v>
      </c>
      <c r="K148" s="2">
        <v>1.9944561E-2</v>
      </c>
      <c r="L148" s="2" t="s">
        <v>1178</v>
      </c>
      <c r="M148" s="4" t="s">
        <v>3313</v>
      </c>
    </row>
    <row r="149" spans="1:13">
      <c r="A149" s="2">
        <v>135</v>
      </c>
      <c r="B149" s="2" t="s">
        <v>3314</v>
      </c>
      <c r="C149" s="2">
        <v>5</v>
      </c>
      <c r="D149" s="2">
        <v>100</v>
      </c>
      <c r="E149" s="2">
        <v>200</v>
      </c>
      <c r="F149" s="2">
        <v>32441</v>
      </c>
      <c r="G149" s="2">
        <v>8.1102500000000006</v>
      </c>
      <c r="H149" s="2">
        <v>4.3802700000000001E-4</v>
      </c>
      <c r="I149" s="2" t="s">
        <v>3315</v>
      </c>
      <c r="J149" s="2" t="s">
        <v>3316</v>
      </c>
      <c r="K149" s="2">
        <v>1.9944561E-2</v>
      </c>
      <c r="L149" s="2" t="s">
        <v>1178</v>
      </c>
      <c r="M149" s="4" t="s">
        <v>3317</v>
      </c>
    </row>
    <row r="150" spans="1:13">
      <c r="A150" s="2">
        <v>203</v>
      </c>
      <c r="B150" s="2" t="s">
        <v>1653</v>
      </c>
      <c r="C150" s="2">
        <v>5</v>
      </c>
      <c r="D150" s="2">
        <v>100</v>
      </c>
      <c r="E150" s="2">
        <v>199</v>
      </c>
      <c r="F150" s="2">
        <v>32441</v>
      </c>
      <c r="G150" s="2">
        <v>8.1510050249999999</v>
      </c>
      <c r="H150" s="2">
        <v>4.2837600000000001E-4</v>
      </c>
      <c r="I150" s="2" t="s">
        <v>3318</v>
      </c>
      <c r="J150" s="2" t="s">
        <v>3319</v>
      </c>
      <c r="K150" s="2">
        <v>1.9944561E-2</v>
      </c>
      <c r="L150" s="2" t="s">
        <v>1178</v>
      </c>
      <c r="M150" s="4" t="s">
        <v>3320</v>
      </c>
    </row>
    <row r="151" spans="1:13">
      <c r="A151" s="2">
        <v>211</v>
      </c>
      <c r="B151" s="2" t="s">
        <v>3321</v>
      </c>
      <c r="C151" s="2">
        <v>5</v>
      </c>
      <c r="D151" s="2">
        <v>100</v>
      </c>
      <c r="E151" s="2">
        <v>200</v>
      </c>
      <c r="F151" s="2">
        <v>32441</v>
      </c>
      <c r="G151" s="2">
        <v>8.1102500000000006</v>
      </c>
      <c r="H151" s="2">
        <v>4.3802700000000001E-4</v>
      </c>
      <c r="I151" s="2" t="s">
        <v>3322</v>
      </c>
      <c r="J151" s="2" t="s">
        <v>3323</v>
      </c>
      <c r="K151" s="2">
        <v>1.9944561E-2</v>
      </c>
      <c r="L151" s="2" t="s">
        <v>1178</v>
      </c>
      <c r="M151" s="4" t="s">
        <v>3324</v>
      </c>
    </row>
    <row r="152" spans="1:13">
      <c r="A152" s="2">
        <v>217</v>
      </c>
      <c r="B152" s="2" t="s">
        <v>3325</v>
      </c>
      <c r="C152" s="2">
        <v>5</v>
      </c>
      <c r="D152" s="2">
        <v>100</v>
      </c>
      <c r="E152" s="2">
        <v>200</v>
      </c>
      <c r="F152" s="2">
        <v>32441</v>
      </c>
      <c r="G152" s="2">
        <v>8.1102500000000006</v>
      </c>
      <c r="H152" s="2">
        <v>4.3802700000000001E-4</v>
      </c>
      <c r="I152" s="2" t="s">
        <v>3326</v>
      </c>
      <c r="J152" s="2" t="s">
        <v>3327</v>
      </c>
      <c r="K152" s="2">
        <v>1.9944561E-2</v>
      </c>
      <c r="L152" s="2" t="s">
        <v>1178</v>
      </c>
      <c r="M152" s="4" t="s">
        <v>3328</v>
      </c>
    </row>
    <row r="153" spans="1:13">
      <c r="A153" s="2">
        <v>267</v>
      </c>
      <c r="B153" s="2" t="s">
        <v>3329</v>
      </c>
      <c r="C153" s="2">
        <v>5</v>
      </c>
      <c r="D153" s="2">
        <v>100</v>
      </c>
      <c r="E153" s="2">
        <v>200</v>
      </c>
      <c r="F153" s="2">
        <v>32441</v>
      </c>
      <c r="G153" s="2">
        <v>8.1102500000000006</v>
      </c>
      <c r="H153" s="2">
        <v>4.3802700000000001E-4</v>
      </c>
      <c r="I153" s="2" t="s">
        <v>3330</v>
      </c>
      <c r="J153" s="2" t="s">
        <v>3331</v>
      </c>
      <c r="K153" s="2">
        <v>1.9944561E-2</v>
      </c>
      <c r="L153" s="2" t="s">
        <v>1178</v>
      </c>
      <c r="M153" s="4" t="s">
        <v>3332</v>
      </c>
    </row>
    <row r="154" spans="1:13">
      <c r="A154" s="2">
        <v>2721</v>
      </c>
      <c r="B154" s="2" t="s">
        <v>3333</v>
      </c>
      <c r="C154" s="2">
        <v>5</v>
      </c>
      <c r="D154" s="2">
        <v>100</v>
      </c>
      <c r="E154" s="2">
        <v>200</v>
      </c>
      <c r="F154" s="2">
        <v>32441</v>
      </c>
      <c r="G154" s="2">
        <v>8.1102500000000006</v>
      </c>
      <c r="H154" s="2">
        <v>4.3802700000000001E-4</v>
      </c>
      <c r="I154" s="2" t="s">
        <v>3334</v>
      </c>
      <c r="J154" s="2" t="s">
        <v>3335</v>
      </c>
      <c r="K154" s="2">
        <v>1.9944561E-2</v>
      </c>
      <c r="L154" s="2" t="s">
        <v>1178</v>
      </c>
      <c r="M154" s="4" t="s">
        <v>3336</v>
      </c>
    </row>
    <row r="155" spans="1:13">
      <c r="A155" s="2">
        <v>331</v>
      </c>
      <c r="B155" s="2" t="s">
        <v>3337</v>
      </c>
      <c r="C155" s="2">
        <v>5</v>
      </c>
      <c r="D155" s="2">
        <v>100</v>
      </c>
      <c r="E155" s="2">
        <v>200</v>
      </c>
      <c r="F155" s="2">
        <v>32441</v>
      </c>
      <c r="G155" s="2">
        <v>8.1102500000000006</v>
      </c>
      <c r="H155" s="2">
        <v>4.3802700000000001E-4</v>
      </c>
      <c r="I155" s="2" t="s">
        <v>3338</v>
      </c>
      <c r="J155" s="2" t="s">
        <v>3339</v>
      </c>
      <c r="K155" s="2">
        <v>1.9944561E-2</v>
      </c>
      <c r="L155" s="2" t="s">
        <v>1178</v>
      </c>
      <c r="M155" s="4" t="s">
        <v>3340</v>
      </c>
    </row>
    <row r="156" spans="1:13">
      <c r="A156" s="2">
        <v>388</v>
      </c>
      <c r="B156" s="2" t="s">
        <v>3341</v>
      </c>
      <c r="C156" s="2">
        <v>5</v>
      </c>
      <c r="D156" s="2">
        <v>100</v>
      </c>
      <c r="E156" s="2">
        <v>200</v>
      </c>
      <c r="F156" s="2">
        <v>32441</v>
      </c>
      <c r="G156" s="2">
        <v>8.1102500000000006</v>
      </c>
      <c r="H156" s="2">
        <v>4.3802700000000001E-4</v>
      </c>
      <c r="I156" s="2" t="s">
        <v>3342</v>
      </c>
      <c r="J156" s="2" t="s">
        <v>3343</v>
      </c>
      <c r="K156" s="2">
        <v>1.9944561E-2</v>
      </c>
      <c r="L156" s="2" t="s">
        <v>1178</v>
      </c>
      <c r="M156" s="4" t="s">
        <v>3344</v>
      </c>
    </row>
    <row r="157" spans="1:13">
      <c r="A157" s="2">
        <v>530</v>
      </c>
      <c r="B157" s="2" t="s">
        <v>3345</v>
      </c>
      <c r="C157" s="2">
        <v>5</v>
      </c>
      <c r="D157" s="2">
        <v>100</v>
      </c>
      <c r="E157" s="2">
        <v>200</v>
      </c>
      <c r="F157" s="2">
        <v>32441</v>
      </c>
      <c r="G157" s="2">
        <v>8.1102500000000006</v>
      </c>
      <c r="H157" s="2">
        <v>4.3802700000000001E-4</v>
      </c>
      <c r="I157" s="2" t="s">
        <v>3346</v>
      </c>
      <c r="J157" s="2" t="s">
        <v>3347</v>
      </c>
      <c r="K157" s="2">
        <v>1.9944561E-2</v>
      </c>
      <c r="L157" s="2" t="s">
        <v>1178</v>
      </c>
      <c r="M157" s="4" t="s">
        <v>3348</v>
      </c>
    </row>
    <row r="158" spans="1:13">
      <c r="A158" s="2">
        <v>754</v>
      </c>
      <c r="B158" s="2" t="s">
        <v>3349</v>
      </c>
      <c r="C158" s="2">
        <v>5</v>
      </c>
      <c r="D158" s="2">
        <v>100</v>
      </c>
      <c r="E158" s="2">
        <v>200</v>
      </c>
      <c r="F158" s="2">
        <v>32441</v>
      </c>
      <c r="G158" s="2">
        <v>8.1102500000000006</v>
      </c>
      <c r="H158" s="2">
        <v>4.3802700000000001E-4</v>
      </c>
      <c r="I158" s="2" t="s">
        <v>3350</v>
      </c>
      <c r="J158" s="2" t="s">
        <v>3351</v>
      </c>
      <c r="K158" s="2">
        <v>1.9944561E-2</v>
      </c>
      <c r="L158" s="2" t="s">
        <v>1178</v>
      </c>
      <c r="M158" s="4" t="s">
        <v>3352</v>
      </c>
    </row>
    <row r="159" spans="1:13">
      <c r="A159" s="2">
        <v>819</v>
      </c>
      <c r="B159" s="2" t="s">
        <v>3353</v>
      </c>
      <c r="C159" s="2">
        <v>5</v>
      </c>
      <c r="D159" s="2">
        <v>100</v>
      </c>
      <c r="E159" s="2">
        <v>200</v>
      </c>
      <c r="F159" s="2">
        <v>32441</v>
      </c>
      <c r="G159" s="2">
        <v>8.1102500000000006</v>
      </c>
      <c r="H159" s="2">
        <v>4.3802700000000001E-4</v>
      </c>
      <c r="I159" s="2" t="s">
        <v>3354</v>
      </c>
      <c r="J159" s="2" t="s">
        <v>3355</v>
      </c>
      <c r="K159" s="2">
        <v>1.9944561E-2</v>
      </c>
      <c r="L159" s="2" t="s">
        <v>1178</v>
      </c>
      <c r="M159" s="4" t="s">
        <v>3356</v>
      </c>
    </row>
    <row r="160" spans="1:13">
      <c r="A160" s="2">
        <v>922</v>
      </c>
      <c r="B160" s="2" t="s">
        <v>3357</v>
      </c>
      <c r="C160" s="2">
        <v>5</v>
      </c>
      <c r="D160" s="2">
        <v>100</v>
      </c>
      <c r="E160" s="2">
        <v>200</v>
      </c>
      <c r="F160" s="2">
        <v>32441</v>
      </c>
      <c r="G160" s="2">
        <v>8.1102500000000006</v>
      </c>
      <c r="H160" s="2">
        <v>4.3802700000000001E-4</v>
      </c>
      <c r="I160" s="2" t="s">
        <v>3358</v>
      </c>
      <c r="J160" s="2" t="s">
        <v>3359</v>
      </c>
      <c r="K160" s="2">
        <v>1.9944561E-2</v>
      </c>
      <c r="L160" s="2" t="s">
        <v>1178</v>
      </c>
      <c r="M160" s="4" t="s">
        <v>3360</v>
      </c>
    </row>
    <row r="161" spans="1:13">
      <c r="A161" s="2">
        <v>1013</v>
      </c>
      <c r="B161" s="2" t="s">
        <v>2400</v>
      </c>
      <c r="C161" s="2">
        <v>5</v>
      </c>
      <c r="D161" s="2">
        <v>100</v>
      </c>
      <c r="E161" s="2">
        <v>200</v>
      </c>
      <c r="F161" s="2">
        <v>32441</v>
      </c>
      <c r="G161" s="2">
        <v>8.1102500000000006</v>
      </c>
      <c r="H161" s="2">
        <v>4.3802700000000001E-4</v>
      </c>
      <c r="I161" s="2" t="s">
        <v>3361</v>
      </c>
      <c r="J161" s="2" t="s">
        <v>3362</v>
      </c>
      <c r="K161" s="2">
        <v>1.9944561E-2</v>
      </c>
      <c r="L161" s="2" t="s">
        <v>1178</v>
      </c>
      <c r="M161" s="4" t="s">
        <v>3363</v>
      </c>
    </row>
    <row r="162" spans="1:13">
      <c r="A162" s="2">
        <v>1082</v>
      </c>
      <c r="B162" s="2" t="s">
        <v>3364</v>
      </c>
      <c r="C162" s="2">
        <v>5</v>
      </c>
      <c r="D162" s="2">
        <v>100</v>
      </c>
      <c r="E162" s="2">
        <v>200</v>
      </c>
      <c r="F162" s="2">
        <v>32441</v>
      </c>
      <c r="G162" s="2">
        <v>8.1102500000000006</v>
      </c>
      <c r="H162" s="2">
        <v>4.3802700000000001E-4</v>
      </c>
      <c r="I162" s="2" t="s">
        <v>3365</v>
      </c>
      <c r="J162" s="2" t="s">
        <v>3366</v>
      </c>
      <c r="K162" s="2">
        <v>1.9944561E-2</v>
      </c>
      <c r="L162" s="2" t="s">
        <v>1178</v>
      </c>
      <c r="M162" s="4" t="s">
        <v>3367</v>
      </c>
    </row>
    <row r="163" spans="1:13">
      <c r="A163" s="2">
        <v>1113</v>
      </c>
      <c r="B163" s="2" t="s">
        <v>3368</v>
      </c>
      <c r="C163" s="2">
        <v>5</v>
      </c>
      <c r="D163" s="2">
        <v>100</v>
      </c>
      <c r="E163" s="2">
        <v>200</v>
      </c>
      <c r="F163" s="2">
        <v>32441</v>
      </c>
      <c r="G163" s="2">
        <v>8.1102500000000006</v>
      </c>
      <c r="H163" s="2">
        <v>4.3802700000000001E-4</v>
      </c>
      <c r="I163" s="2" t="s">
        <v>3369</v>
      </c>
      <c r="J163" s="2" t="s">
        <v>3370</v>
      </c>
      <c r="K163" s="2">
        <v>1.9944561E-2</v>
      </c>
      <c r="L163" s="2" t="s">
        <v>1178</v>
      </c>
      <c r="M163" s="4" t="s">
        <v>3371</v>
      </c>
    </row>
    <row r="164" spans="1:13">
      <c r="A164" s="2">
        <v>1117</v>
      </c>
      <c r="B164" s="2" t="s">
        <v>3372</v>
      </c>
      <c r="C164" s="2">
        <v>5</v>
      </c>
      <c r="D164" s="2">
        <v>100</v>
      </c>
      <c r="E164" s="2">
        <v>200</v>
      </c>
      <c r="F164" s="2">
        <v>32441</v>
      </c>
      <c r="G164" s="2">
        <v>8.1102500000000006</v>
      </c>
      <c r="H164" s="2">
        <v>4.3802700000000001E-4</v>
      </c>
      <c r="I164" s="2" t="s">
        <v>3373</v>
      </c>
      <c r="J164" s="2" t="s">
        <v>3374</v>
      </c>
      <c r="K164" s="2">
        <v>1.9944561E-2</v>
      </c>
      <c r="L164" s="2" t="s">
        <v>1178</v>
      </c>
      <c r="M164" s="4" t="s">
        <v>3375</v>
      </c>
    </row>
    <row r="165" spans="1:13">
      <c r="A165" s="2">
        <v>1187</v>
      </c>
      <c r="B165" s="2" t="s">
        <v>3376</v>
      </c>
      <c r="C165" s="2">
        <v>5</v>
      </c>
      <c r="D165" s="2">
        <v>100</v>
      </c>
      <c r="E165" s="2">
        <v>200</v>
      </c>
      <c r="F165" s="2">
        <v>32441</v>
      </c>
      <c r="G165" s="2">
        <v>8.1102500000000006</v>
      </c>
      <c r="H165" s="2">
        <v>4.3802700000000001E-4</v>
      </c>
      <c r="I165" s="2" t="s">
        <v>3377</v>
      </c>
      <c r="J165" s="2" t="s">
        <v>3378</v>
      </c>
      <c r="K165" s="2">
        <v>1.9944561E-2</v>
      </c>
      <c r="L165" s="2" t="s">
        <v>1178</v>
      </c>
      <c r="M165" s="4" t="s">
        <v>3379</v>
      </c>
    </row>
    <row r="166" spans="1:13">
      <c r="A166" s="2">
        <v>1199</v>
      </c>
      <c r="B166" s="2" t="s">
        <v>3380</v>
      </c>
      <c r="C166" s="2">
        <v>5</v>
      </c>
      <c r="D166" s="2">
        <v>100</v>
      </c>
      <c r="E166" s="2">
        <v>200</v>
      </c>
      <c r="F166" s="2">
        <v>32441</v>
      </c>
      <c r="G166" s="2">
        <v>8.1102500000000006</v>
      </c>
      <c r="H166" s="2">
        <v>4.3802700000000001E-4</v>
      </c>
      <c r="I166" s="2" t="s">
        <v>3381</v>
      </c>
      <c r="J166" s="2" t="s">
        <v>3382</v>
      </c>
      <c r="K166" s="2">
        <v>1.9944561E-2</v>
      </c>
      <c r="L166" s="2" t="s">
        <v>1178</v>
      </c>
      <c r="M166" s="4" t="s">
        <v>3383</v>
      </c>
    </row>
    <row r="167" spans="1:13">
      <c r="A167" s="2">
        <v>1263</v>
      </c>
      <c r="B167" s="2" t="s">
        <v>3384</v>
      </c>
      <c r="C167" s="2">
        <v>5</v>
      </c>
      <c r="D167" s="2">
        <v>100</v>
      </c>
      <c r="E167" s="2">
        <v>200</v>
      </c>
      <c r="F167" s="2">
        <v>32441</v>
      </c>
      <c r="G167" s="2">
        <v>8.1102500000000006</v>
      </c>
      <c r="H167" s="2">
        <v>4.3802700000000001E-4</v>
      </c>
      <c r="I167" s="2" t="s">
        <v>3385</v>
      </c>
      <c r="J167" s="2" t="s">
        <v>3386</v>
      </c>
      <c r="K167" s="2">
        <v>1.9944561E-2</v>
      </c>
      <c r="L167" s="2" t="s">
        <v>1178</v>
      </c>
      <c r="M167" s="4" t="s">
        <v>3387</v>
      </c>
    </row>
    <row r="168" spans="1:13">
      <c r="A168" s="2">
        <v>1515</v>
      </c>
      <c r="B168" s="2" t="s">
        <v>3388</v>
      </c>
      <c r="C168" s="2">
        <v>5</v>
      </c>
      <c r="D168" s="2">
        <v>100</v>
      </c>
      <c r="E168" s="2">
        <v>200</v>
      </c>
      <c r="F168" s="2">
        <v>32441</v>
      </c>
      <c r="G168" s="2">
        <v>8.1102500000000006</v>
      </c>
      <c r="H168" s="2">
        <v>4.3802700000000001E-4</v>
      </c>
      <c r="I168" s="2" t="s">
        <v>3389</v>
      </c>
      <c r="J168" s="2" t="s">
        <v>3390</v>
      </c>
      <c r="K168" s="2">
        <v>1.9944561E-2</v>
      </c>
      <c r="L168" s="2" t="s">
        <v>1178</v>
      </c>
      <c r="M168" s="4" t="s">
        <v>3391</v>
      </c>
    </row>
    <row r="169" spans="1:13">
      <c r="A169" s="2">
        <v>1549</v>
      </c>
      <c r="B169" s="2" t="s">
        <v>3392</v>
      </c>
      <c r="C169" s="2">
        <v>5</v>
      </c>
      <c r="D169" s="2">
        <v>100</v>
      </c>
      <c r="E169" s="2">
        <v>200</v>
      </c>
      <c r="F169" s="2">
        <v>32441</v>
      </c>
      <c r="G169" s="2">
        <v>8.1102500000000006</v>
      </c>
      <c r="H169" s="2">
        <v>4.3802700000000001E-4</v>
      </c>
      <c r="I169" s="2" t="s">
        <v>3393</v>
      </c>
      <c r="J169" s="2" t="s">
        <v>3394</v>
      </c>
      <c r="K169" s="2">
        <v>1.9944561E-2</v>
      </c>
      <c r="L169" s="2" t="s">
        <v>1178</v>
      </c>
      <c r="M169" s="4" t="s">
        <v>3395</v>
      </c>
    </row>
    <row r="170" spans="1:13">
      <c r="A170" s="2">
        <v>1573</v>
      </c>
      <c r="B170" s="2" t="s">
        <v>3396</v>
      </c>
      <c r="C170" s="2">
        <v>5</v>
      </c>
      <c r="D170" s="2">
        <v>100</v>
      </c>
      <c r="E170" s="2">
        <v>200</v>
      </c>
      <c r="F170" s="2">
        <v>32441</v>
      </c>
      <c r="G170" s="2">
        <v>8.1102500000000006</v>
      </c>
      <c r="H170" s="2">
        <v>4.3802700000000001E-4</v>
      </c>
      <c r="I170" s="2" t="s">
        <v>3397</v>
      </c>
      <c r="J170" s="2" t="s">
        <v>3398</v>
      </c>
      <c r="K170" s="2">
        <v>1.9944561E-2</v>
      </c>
      <c r="L170" s="2" t="s">
        <v>1178</v>
      </c>
      <c r="M170" s="4" t="s">
        <v>3399</v>
      </c>
    </row>
    <row r="171" spans="1:13">
      <c r="A171" s="2">
        <v>1707</v>
      </c>
      <c r="B171" s="2" t="s">
        <v>3400</v>
      </c>
      <c r="C171" s="2">
        <v>5</v>
      </c>
      <c r="D171" s="2">
        <v>100</v>
      </c>
      <c r="E171" s="2">
        <v>200</v>
      </c>
      <c r="F171" s="2">
        <v>32441</v>
      </c>
      <c r="G171" s="2">
        <v>8.1102500000000006</v>
      </c>
      <c r="H171" s="2">
        <v>4.3802700000000001E-4</v>
      </c>
      <c r="I171" s="2" t="s">
        <v>3401</v>
      </c>
      <c r="J171" s="2" t="s">
        <v>3402</v>
      </c>
      <c r="K171" s="2">
        <v>1.9944561E-2</v>
      </c>
      <c r="L171" s="2" t="s">
        <v>1178</v>
      </c>
      <c r="M171" s="4" t="s">
        <v>3403</v>
      </c>
    </row>
    <row r="172" spans="1:13">
      <c r="A172" s="2">
        <v>1721</v>
      </c>
      <c r="B172" s="2" t="s">
        <v>3404</v>
      </c>
      <c r="C172" s="2">
        <v>5</v>
      </c>
      <c r="D172" s="2">
        <v>100</v>
      </c>
      <c r="E172" s="2">
        <v>200</v>
      </c>
      <c r="F172" s="2">
        <v>32441</v>
      </c>
      <c r="G172" s="2">
        <v>8.1102500000000006</v>
      </c>
      <c r="H172" s="2">
        <v>4.3802700000000001E-4</v>
      </c>
      <c r="I172" s="2" t="s">
        <v>3405</v>
      </c>
      <c r="J172" s="2" t="s">
        <v>3406</v>
      </c>
      <c r="K172" s="2">
        <v>1.9944561E-2</v>
      </c>
      <c r="L172" s="2" t="s">
        <v>1178</v>
      </c>
      <c r="M172" s="4" t="s">
        <v>3407</v>
      </c>
    </row>
    <row r="173" spans="1:13">
      <c r="A173" s="2">
        <v>1767</v>
      </c>
      <c r="B173" s="2" t="s">
        <v>3408</v>
      </c>
      <c r="C173" s="2">
        <v>5</v>
      </c>
      <c r="D173" s="2">
        <v>100</v>
      </c>
      <c r="E173" s="2">
        <v>200</v>
      </c>
      <c r="F173" s="2">
        <v>32441</v>
      </c>
      <c r="G173" s="2">
        <v>8.1102500000000006</v>
      </c>
      <c r="H173" s="2">
        <v>4.3802700000000001E-4</v>
      </c>
      <c r="I173" s="2" t="s">
        <v>3409</v>
      </c>
      <c r="J173" s="2" t="s">
        <v>3410</v>
      </c>
      <c r="K173" s="2">
        <v>1.9944561E-2</v>
      </c>
      <c r="L173" s="2" t="s">
        <v>1178</v>
      </c>
      <c r="M173" s="4" t="s">
        <v>3411</v>
      </c>
    </row>
    <row r="174" spans="1:13">
      <c r="A174" s="2">
        <v>1773</v>
      </c>
      <c r="B174" s="2" t="s">
        <v>3412</v>
      </c>
      <c r="C174" s="2">
        <v>5</v>
      </c>
      <c r="D174" s="2">
        <v>100</v>
      </c>
      <c r="E174" s="2">
        <v>200</v>
      </c>
      <c r="F174" s="2">
        <v>32441</v>
      </c>
      <c r="G174" s="2">
        <v>8.1102500000000006</v>
      </c>
      <c r="H174" s="2">
        <v>4.3802700000000001E-4</v>
      </c>
      <c r="I174" s="2" t="s">
        <v>3413</v>
      </c>
      <c r="J174" s="2" t="s">
        <v>3414</v>
      </c>
      <c r="K174" s="2">
        <v>1.9944561E-2</v>
      </c>
      <c r="L174" s="2" t="s">
        <v>1178</v>
      </c>
      <c r="M174" s="4" t="s">
        <v>3415</v>
      </c>
    </row>
    <row r="175" spans="1:13">
      <c r="A175" s="2">
        <v>1823</v>
      </c>
      <c r="B175" s="2" t="s">
        <v>3416</v>
      </c>
      <c r="C175" s="2">
        <v>5</v>
      </c>
      <c r="D175" s="2">
        <v>100</v>
      </c>
      <c r="E175" s="2">
        <v>200</v>
      </c>
      <c r="F175" s="2">
        <v>32441</v>
      </c>
      <c r="G175" s="2">
        <v>8.1102500000000006</v>
      </c>
      <c r="H175" s="2">
        <v>4.3802700000000001E-4</v>
      </c>
      <c r="I175" s="2" t="s">
        <v>3417</v>
      </c>
      <c r="J175" s="2" t="s">
        <v>3418</v>
      </c>
      <c r="K175" s="2">
        <v>1.9944561E-2</v>
      </c>
      <c r="L175" s="2" t="s">
        <v>1178</v>
      </c>
      <c r="M175" s="4" t="s">
        <v>3419</v>
      </c>
    </row>
    <row r="176" spans="1:13">
      <c r="A176" s="2">
        <v>1915</v>
      </c>
      <c r="B176" s="2" t="s">
        <v>3420</v>
      </c>
      <c r="C176" s="2">
        <v>5</v>
      </c>
      <c r="D176" s="2">
        <v>100</v>
      </c>
      <c r="E176" s="2">
        <v>200</v>
      </c>
      <c r="F176" s="2">
        <v>32441</v>
      </c>
      <c r="G176" s="2">
        <v>8.1102500000000006</v>
      </c>
      <c r="H176" s="2">
        <v>4.3802700000000001E-4</v>
      </c>
      <c r="I176" s="2" t="s">
        <v>3421</v>
      </c>
      <c r="J176" s="2" t="s">
        <v>3422</v>
      </c>
      <c r="K176" s="2">
        <v>1.9944561E-2</v>
      </c>
      <c r="L176" s="2" t="s">
        <v>1178</v>
      </c>
      <c r="M176" s="4" t="s">
        <v>3423</v>
      </c>
    </row>
    <row r="177" spans="1:13">
      <c r="A177" s="2">
        <v>1992</v>
      </c>
      <c r="B177" s="2" t="s">
        <v>3424</v>
      </c>
      <c r="C177" s="2">
        <v>5</v>
      </c>
      <c r="D177" s="2">
        <v>100</v>
      </c>
      <c r="E177" s="2">
        <v>199</v>
      </c>
      <c r="F177" s="2">
        <v>32441</v>
      </c>
      <c r="G177" s="2">
        <v>8.1510050249999999</v>
      </c>
      <c r="H177" s="2">
        <v>4.2837600000000001E-4</v>
      </c>
      <c r="I177" s="2" t="s">
        <v>3425</v>
      </c>
      <c r="J177" s="2" t="s">
        <v>3426</v>
      </c>
      <c r="K177" s="2">
        <v>1.9944561E-2</v>
      </c>
      <c r="L177" s="2" t="s">
        <v>1178</v>
      </c>
      <c r="M177" s="4" t="s">
        <v>3427</v>
      </c>
    </row>
    <row r="178" spans="1:13">
      <c r="A178" s="2">
        <v>2017</v>
      </c>
      <c r="B178" s="2" t="s">
        <v>3428</v>
      </c>
      <c r="C178" s="2">
        <v>5</v>
      </c>
      <c r="D178" s="2">
        <v>100</v>
      </c>
      <c r="E178" s="2">
        <v>200</v>
      </c>
      <c r="F178" s="2">
        <v>32441</v>
      </c>
      <c r="G178" s="2">
        <v>8.1102500000000006</v>
      </c>
      <c r="H178" s="2">
        <v>4.3802700000000001E-4</v>
      </c>
      <c r="I178" s="2" t="s">
        <v>3429</v>
      </c>
      <c r="J178" s="2" t="s">
        <v>3430</v>
      </c>
      <c r="K178" s="2">
        <v>1.9944561E-2</v>
      </c>
      <c r="L178" s="2" t="s">
        <v>1178</v>
      </c>
      <c r="M178" s="4" t="s">
        <v>3431</v>
      </c>
    </row>
    <row r="179" spans="1:13">
      <c r="A179" s="2">
        <v>2062</v>
      </c>
      <c r="B179" s="2" t="s">
        <v>3432</v>
      </c>
      <c r="C179" s="2">
        <v>5</v>
      </c>
      <c r="D179" s="2">
        <v>100</v>
      </c>
      <c r="E179" s="2">
        <v>200</v>
      </c>
      <c r="F179" s="2">
        <v>32441</v>
      </c>
      <c r="G179" s="2">
        <v>8.1102500000000006</v>
      </c>
      <c r="H179" s="2">
        <v>4.3802700000000001E-4</v>
      </c>
      <c r="I179" s="2" t="s">
        <v>3433</v>
      </c>
      <c r="J179" s="2" t="s">
        <v>3434</v>
      </c>
      <c r="K179" s="2">
        <v>1.9944561E-2</v>
      </c>
      <c r="L179" s="2" t="s">
        <v>1178</v>
      </c>
      <c r="M179" s="4" t="s">
        <v>3435</v>
      </c>
    </row>
    <row r="180" spans="1:13">
      <c r="A180" s="2">
        <v>2195</v>
      </c>
      <c r="B180" s="2" t="s">
        <v>3436</v>
      </c>
      <c r="C180" s="2">
        <v>5</v>
      </c>
      <c r="D180" s="2">
        <v>100</v>
      </c>
      <c r="E180" s="2">
        <v>200</v>
      </c>
      <c r="F180" s="2">
        <v>32441</v>
      </c>
      <c r="G180" s="2">
        <v>8.1102500000000006</v>
      </c>
      <c r="H180" s="2">
        <v>4.3802700000000001E-4</v>
      </c>
      <c r="I180" s="2" t="s">
        <v>3437</v>
      </c>
      <c r="J180" s="2" t="s">
        <v>3438</v>
      </c>
      <c r="K180" s="2">
        <v>1.9944561E-2</v>
      </c>
      <c r="L180" s="2" t="s">
        <v>1178</v>
      </c>
      <c r="M180" s="4" t="s">
        <v>3439</v>
      </c>
    </row>
    <row r="181" spans="1:13">
      <c r="A181" s="2">
        <v>2210</v>
      </c>
      <c r="B181" s="2" t="s">
        <v>3440</v>
      </c>
      <c r="C181" s="2">
        <v>5</v>
      </c>
      <c r="D181" s="2">
        <v>100</v>
      </c>
      <c r="E181" s="2">
        <v>200</v>
      </c>
      <c r="F181" s="2">
        <v>32441</v>
      </c>
      <c r="G181" s="2">
        <v>8.1102500000000006</v>
      </c>
      <c r="H181" s="2">
        <v>4.3802700000000001E-4</v>
      </c>
      <c r="I181" s="2" t="s">
        <v>3441</v>
      </c>
      <c r="J181" s="2" t="s">
        <v>3442</v>
      </c>
      <c r="K181" s="2">
        <v>1.9944561E-2</v>
      </c>
      <c r="L181" s="2" t="s">
        <v>1178</v>
      </c>
      <c r="M181" s="4" t="s">
        <v>3443</v>
      </c>
    </row>
    <row r="182" spans="1:13">
      <c r="A182" s="2">
        <v>2220</v>
      </c>
      <c r="B182" s="2" t="s">
        <v>3444</v>
      </c>
      <c r="C182" s="2">
        <v>5</v>
      </c>
      <c r="D182" s="2">
        <v>100</v>
      </c>
      <c r="E182" s="2">
        <v>200</v>
      </c>
      <c r="F182" s="2">
        <v>32441</v>
      </c>
      <c r="G182" s="2">
        <v>8.1102500000000006</v>
      </c>
      <c r="H182" s="2">
        <v>4.3802700000000001E-4</v>
      </c>
      <c r="I182" s="2" t="s">
        <v>3445</v>
      </c>
      <c r="J182" s="2" t="s">
        <v>3446</v>
      </c>
      <c r="K182" s="2">
        <v>1.9944561E-2</v>
      </c>
      <c r="L182" s="2" t="s">
        <v>1178</v>
      </c>
      <c r="M182" s="4" t="s">
        <v>3447</v>
      </c>
    </row>
    <row r="183" spans="1:13">
      <c r="A183" s="2">
        <v>2300</v>
      </c>
      <c r="B183" s="2" t="s">
        <v>1911</v>
      </c>
      <c r="C183" s="2">
        <v>5</v>
      </c>
      <c r="D183" s="2">
        <v>100</v>
      </c>
      <c r="E183" s="2">
        <v>200</v>
      </c>
      <c r="F183" s="2">
        <v>32441</v>
      </c>
      <c r="G183" s="2">
        <v>8.1102500000000006</v>
      </c>
      <c r="H183" s="2">
        <v>4.3802700000000001E-4</v>
      </c>
      <c r="I183" s="2" t="s">
        <v>3448</v>
      </c>
      <c r="J183" s="2" t="s">
        <v>3449</v>
      </c>
      <c r="K183" s="2">
        <v>1.9944561E-2</v>
      </c>
      <c r="L183" s="2" t="s">
        <v>1178</v>
      </c>
      <c r="M183" s="4" t="s">
        <v>3450</v>
      </c>
    </row>
    <row r="184" spans="1:13">
      <c r="A184" s="2">
        <v>2320</v>
      </c>
      <c r="B184" s="2" t="s">
        <v>3451</v>
      </c>
      <c r="C184" s="2">
        <v>5</v>
      </c>
      <c r="D184" s="2">
        <v>100</v>
      </c>
      <c r="E184" s="2">
        <v>200</v>
      </c>
      <c r="F184" s="2">
        <v>32441</v>
      </c>
      <c r="G184" s="2">
        <v>8.1102500000000006</v>
      </c>
      <c r="H184" s="2">
        <v>4.3802700000000001E-4</v>
      </c>
      <c r="I184" s="2" t="s">
        <v>3452</v>
      </c>
      <c r="J184" s="2" t="s">
        <v>3453</v>
      </c>
      <c r="K184" s="2">
        <v>1.9944561E-2</v>
      </c>
      <c r="L184" s="2" t="s">
        <v>1178</v>
      </c>
      <c r="M184" s="4" t="s">
        <v>3454</v>
      </c>
    </row>
    <row r="185" spans="1:13">
      <c r="A185" s="2">
        <v>2418</v>
      </c>
      <c r="B185" s="2" t="s">
        <v>3455</v>
      </c>
      <c r="C185" s="2">
        <v>5</v>
      </c>
      <c r="D185" s="2">
        <v>100</v>
      </c>
      <c r="E185" s="2">
        <v>175</v>
      </c>
      <c r="F185" s="2">
        <v>32441</v>
      </c>
      <c r="G185" s="2">
        <v>9.268857143</v>
      </c>
      <c r="H185" s="2">
        <v>2.4116799999999999E-4</v>
      </c>
      <c r="I185" s="2" t="s">
        <v>3456</v>
      </c>
      <c r="J185" s="2" t="s">
        <v>3457</v>
      </c>
      <c r="K185" s="2">
        <v>1.9944561E-2</v>
      </c>
      <c r="L185" s="2" t="s">
        <v>1178</v>
      </c>
      <c r="M185" s="4" t="s">
        <v>3458</v>
      </c>
    </row>
    <row r="186" spans="1:13">
      <c r="A186" s="2">
        <v>2633</v>
      </c>
      <c r="B186" s="2" t="s">
        <v>3459</v>
      </c>
      <c r="C186" s="2">
        <v>5</v>
      </c>
      <c r="D186" s="2">
        <v>100</v>
      </c>
      <c r="E186" s="2">
        <v>200</v>
      </c>
      <c r="F186" s="2">
        <v>32441</v>
      </c>
      <c r="G186" s="2">
        <v>8.1102500000000006</v>
      </c>
      <c r="H186" s="2">
        <v>4.3802700000000001E-4</v>
      </c>
      <c r="I186" s="2" t="s">
        <v>3460</v>
      </c>
      <c r="J186" s="2" t="s">
        <v>3461</v>
      </c>
      <c r="K186" s="2">
        <v>1.9944561E-2</v>
      </c>
      <c r="L186" s="2" t="s">
        <v>1178</v>
      </c>
      <c r="M186" s="4" t="s">
        <v>3462</v>
      </c>
    </row>
    <row r="187" spans="1:13">
      <c r="A187" s="2">
        <v>3059</v>
      </c>
      <c r="B187" s="2" t="s">
        <v>3463</v>
      </c>
      <c r="C187" s="2">
        <v>5</v>
      </c>
      <c r="D187" s="2">
        <v>100</v>
      </c>
      <c r="E187" s="2">
        <v>200</v>
      </c>
      <c r="F187" s="2">
        <v>32441</v>
      </c>
      <c r="G187" s="2">
        <v>8.1102500000000006</v>
      </c>
      <c r="H187" s="2">
        <v>4.3802700000000001E-4</v>
      </c>
      <c r="I187" s="2" t="s">
        <v>3464</v>
      </c>
      <c r="J187" s="2" t="s">
        <v>3465</v>
      </c>
      <c r="K187" s="2">
        <v>1.9944561E-2</v>
      </c>
      <c r="L187" s="2" t="s">
        <v>1178</v>
      </c>
      <c r="M187" s="4" t="s">
        <v>3466</v>
      </c>
    </row>
    <row r="188" spans="1:13">
      <c r="A188" s="2">
        <v>3169</v>
      </c>
      <c r="B188" s="2" t="s">
        <v>3467</v>
      </c>
      <c r="C188" s="2">
        <v>5</v>
      </c>
      <c r="D188" s="2">
        <v>100</v>
      </c>
      <c r="E188" s="2">
        <v>200</v>
      </c>
      <c r="F188" s="2">
        <v>32441</v>
      </c>
      <c r="G188" s="2">
        <v>8.1102500000000006</v>
      </c>
      <c r="H188" s="2">
        <v>4.3802700000000001E-4</v>
      </c>
      <c r="I188" s="2" t="s">
        <v>3468</v>
      </c>
      <c r="J188" s="2" t="s">
        <v>3469</v>
      </c>
      <c r="K188" s="2">
        <v>1.9944561E-2</v>
      </c>
      <c r="L188" s="2" t="s">
        <v>1178</v>
      </c>
      <c r="M188" s="4" t="s">
        <v>3470</v>
      </c>
    </row>
    <row r="189" spans="1:13">
      <c r="A189" s="2">
        <v>3323</v>
      </c>
      <c r="B189" s="2" t="s">
        <v>3471</v>
      </c>
      <c r="C189" s="2">
        <v>5</v>
      </c>
      <c r="D189" s="2">
        <v>100</v>
      </c>
      <c r="E189" s="2">
        <v>200</v>
      </c>
      <c r="F189" s="2">
        <v>32441</v>
      </c>
      <c r="G189" s="2">
        <v>8.1102500000000006</v>
      </c>
      <c r="H189" s="2">
        <v>4.3802700000000001E-4</v>
      </c>
      <c r="I189" s="2" t="s">
        <v>3472</v>
      </c>
      <c r="J189" s="2" t="s">
        <v>3473</v>
      </c>
      <c r="K189" s="2">
        <v>1.9944561E-2</v>
      </c>
      <c r="L189" s="2" t="s">
        <v>1178</v>
      </c>
      <c r="M189" s="4" t="s">
        <v>3474</v>
      </c>
    </row>
    <row r="190" spans="1:13">
      <c r="A190" s="2">
        <v>3433</v>
      </c>
      <c r="B190" s="2" t="s">
        <v>3475</v>
      </c>
      <c r="C190" s="2">
        <v>5</v>
      </c>
      <c r="D190" s="2">
        <v>100</v>
      </c>
      <c r="E190" s="2">
        <v>198</v>
      </c>
      <c r="F190" s="2">
        <v>32441</v>
      </c>
      <c r="G190" s="2">
        <v>8.1921717170000008</v>
      </c>
      <c r="H190" s="2">
        <v>4.1888599999999999E-4</v>
      </c>
      <c r="I190" s="2" t="s">
        <v>3476</v>
      </c>
      <c r="J190" s="2" t="s">
        <v>3477</v>
      </c>
      <c r="K190" s="2">
        <v>1.9944561E-2</v>
      </c>
      <c r="L190" s="2" t="s">
        <v>1178</v>
      </c>
      <c r="M190" s="4" t="s">
        <v>3478</v>
      </c>
    </row>
    <row r="191" spans="1:13">
      <c r="A191" s="2">
        <v>3713</v>
      </c>
      <c r="B191" s="2" t="s">
        <v>1329</v>
      </c>
      <c r="C191" s="2">
        <v>5</v>
      </c>
      <c r="D191" s="2">
        <v>100</v>
      </c>
      <c r="E191" s="2">
        <v>200</v>
      </c>
      <c r="F191" s="2">
        <v>32441</v>
      </c>
      <c r="G191" s="2">
        <v>8.1102500000000006</v>
      </c>
      <c r="H191" s="2">
        <v>4.3802700000000001E-4</v>
      </c>
      <c r="I191" s="2" t="s">
        <v>3479</v>
      </c>
      <c r="J191" s="2" t="s">
        <v>3480</v>
      </c>
      <c r="K191" s="2">
        <v>1.9944561E-2</v>
      </c>
      <c r="L191" s="2" t="s">
        <v>1178</v>
      </c>
      <c r="M191" s="4" t="s">
        <v>3481</v>
      </c>
    </row>
    <row r="192" spans="1:13">
      <c r="A192" s="2">
        <v>3829</v>
      </c>
      <c r="B192" s="2" t="s">
        <v>3482</v>
      </c>
      <c r="C192" s="2">
        <v>5</v>
      </c>
      <c r="D192" s="2">
        <v>100</v>
      </c>
      <c r="E192" s="2">
        <v>200</v>
      </c>
      <c r="F192" s="2">
        <v>32441</v>
      </c>
      <c r="G192" s="2">
        <v>8.1102500000000006</v>
      </c>
      <c r="H192" s="2">
        <v>4.3802700000000001E-4</v>
      </c>
      <c r="I192" s="2" t="s">
        <v>3483</v>
      </c>
      <c r="J192" s="2" t="s">
        <v>3484</v>
      </c>
      <c r="K192" s="2">
        <v>1.9944561E-2</v>
      </c>
      <c r="L192" s="2" t="s">
        <v>1178</v>
      </c>
      <c r="M192" s="4" t="s">
        <v>3485</v>
      </c>
    </row>
    <row r="193" spans="1:13">
      <c r="A193" s="2">
        <v>3889</v>
      </c>
      <c r="B193" s="2" t="s">
        <v>3486</v>
      </c>
      <c r="C193" s="2">
        <v>5</v>
      </c>
      <c r="D193" s="2">
        <v>100</v>
      </c>
      <c r="E193" s="2">
        <v>200</v>
      </c>
      <c r="F193" s="2">
        <v>32441</v>
      </c>
      <c r="G193" s="2">
        <v>8.1102500000000006</v>
      </c>
      <c r="H193" s="2">
        <v>4.3802700000000001E-4</v>
      </c>
      <c r="I193" s="2" t="s">
        <v>3487</v>
      </c>
      <c r="J193" s="2" t="s">
        <v>3488</v>
      </c>
      <c r="K193" s="2">
        <v>1.9944561E-2</v>
      </c>
      <c r="L193" s="2" t="s">
        <v>1178</v>
      </c>
      <c r="M193" s="4" t="s">
        <v>3489</v>
      </c>
    </row>
    <row r="194" spans="1:13">
      <c r="A194" s="2">
        <v>3940</v>
      </c>
      <c r="B194" s="2" t="s">
        <v>1278</v>
      </c>
      <c r="C194" s="2">
        <v>5</v>
      </c>
      <c r="D194" s="2">
        <v>100</v>
      </c>
      <c r="E194" s="2">
        <v>200</v>
      </c>
      <c r="F194" s="2">
        <v>32441</v>
      </c>
      <c r="G194" s="2">
        <v>8.1102500000000006</v>
      </c>
      <c r="H194" s="2">
        <v>4.3802700000000001E-4</v>
      </c>
      <c r="I194" s="2" t="s">
        <v>3490</v>
      </c>
      <c r="J194" s="2" t="s">
        <v>3491</v>
      </c>
      <c r="K194" s="2">
        <v>1.9944561E-2</v>
      </c>
      <c r="L194" s="2" t="s">
        <v>1178</v>
      </c>
      <c r="M194" s="4" t="s">
        <v>3492</v>
      </c>
    </row>
    <row r="195" spans="1:13">
      <c r="A195" s="2">
        <v>3942</v>
      </c>
      <c r="B195" s="2" t="s">
        <v>1332</v>
      </c>
      <c r="C195" s="2">
        <v>5</v>
      </c>
      <c r="D195" s="2">
        <v>100</v>
      </c>
      <c r="E195" s="2">
        <v>200</v>
      </c>
      <c r="F195" s="2">
        <v>32441</v>
      </c>
      <c r="G195" s="2">
        <v>8.1102500000000006</v>
      </c>
      <c r="H195" s="2">
        <v>4.3802700000000001E-4</v>
      </c>
      <c r="I195" s="2" t="s">
        <v>3493</v>
      </c>
      <c r="J195" s="2" t="s">
        <v>3494</v>
      </c>
      <c r="K195" s="2">
        <v>1.9944561E-2</v>
      </c>
      <c r="L195" s="2" t="s">
        <v>1178</v>
      </c>
      <c r="M195" s="4" t="s">
        <v>3495</v>
      </c>
    </row>
    <row r="196" spans="1:13">
      <c r="A196" s="2">
        <v>3950</v>
      </c>
      <c r="B196" s="2" t="s">
        <v>1281</v>
      </c>
      <c r="C196" s="2">
        <v>5</v>
      </c>
      <c r="D196" s="2">
        <v>100</v>
      </c>
      <c r="E196" s="2">
        <v>200</v>
      </c>
      <c r="F196" s="2">
        <v>32441</v>
      </c>
      <c r="G196" s="2">
        <v>8.1102500000000006</v>
      </c>
      <c r="H196" s="2">
        <v>4.3802700000000001E-4</v>
      </c>
      <c r="I196" s="2" t="s">
        <v>3496</v>
      </c>
      <c r="J196" s="2" t="s">
        <v>3497</v>
      </c>
      <c r="K196" s="2">
        <v>1.9944561E-2</v>
      </c>
      <c r="L196" s="2" t="s">
        <v>1178</v>
      </c>
      <c r="M196" s="4" t="s">
        <v>3498</v>
      </c>
    </row>
    <row r="197" spans="1:13">
      <c r="A197" s="2">
        <v>3998</v>
      </c>
      <c r="B197" s="2" t="s">
        <v>1968</v>
      </c>
      <c r="C197" s="2">
        <v>5</v>
      </c>
      <c r="D197" s="2">
        <v>100</v>
      </c>
      <c r="E197" s="2">
        <v>200</v>
      </c>
      <c r="F197" s="2">
        <v>32441</v>
      </c>
      <c r="G197" s="2">
        <v>8.1102500000000006</v>
      </c>
      <c r="H197" s="2">
        <v>4.3802700000000001E-4</v>
      </c>
      <c r="I197" s="2" t="s">
        <v>3499</v>
      </c>
      <c r="J197" s="2" t="s">
        <v>3500</v>
      </c>
      <c r="K197" s="2">
        <v>1.9944561E-2</v>
      </c>
      <c r="L197" s="2" t="s">
        <v>1178</v>
      </c>
      <c r="M197" s="4" t="s">
        <v>3501</v>
      </c>
    </row>
    <row r="198" spans="1:13">
      <c r="A198" s="2">
        <v>4001</v>
      </c>
      <c r="B198" s="2" t="s">
        <v>3502</v>
      </c>
      <c r="C198" s="2">
        <v>5</v>
      </c>
      <c r="D198" s="2">
        <v>100</v>
      </c>
      <c r="E198" s="2">
        <v>199</v>
      </c>
      <c r="F198" s="2">
        <v>32441</v>
      </c>
      <c r="G198" s="2">
        <v>8.1510050249999999</v>
      </c>
      <c r="H198" s="2">
        <v>4.2837600000000001E-4</v>
      </c>
      <c r="I198" s="2" t="s">
        <v>3503</v>
      </c>
      <c r="J198" s="2" t="s">
        <v>3504</v>
      </c>
      <c r="K198" s="2">
        <v>1.9944561E-2</v>
      </c>
      <c r="L198" s="2" t="s">
        <v>1178</v>
      </c>
      <c r="M198" s="4" t="s">
        <v>3505</v>
      </c>
    </row>
    <row r="199" spans="1:13">
      <c r="A199" s="2">
        <v>4167</v>
      </c>
      <c r="B199" s="2" t="s">
        <v>3506</v>
      </c>
      <c r="C199" s="2">
        <v>5</v>
      </c>
      <c r="D199" s="2">
        <v>100</v>
      </c>
      <c r="E199" s="2">
        <v>175</v>
      </c>
      <c r="F199" s="2">
        <v>32441</v>
      </c>
      <c r="G199" s="2">
        <v>9.268857143</v>
      </c>
      <c r="H199" s="2">
        <v>2.4116799999999999E-4</v>
      </c>
      <c r="I199" s="2" t="s">
        <v>3507</v>
      </c>
      <c r="J199" s="2" t="s">
        <v>3508</v>
      </c>
      <c r="K199" s="2">
        <v>1.9944561E-2</v>
      </c>
      <c r="L199" s="2" t="s">
        <v>1178</v>
      </c>
      <c r="M199" s="4" t="s">
        <v>3509</v>
      </c>
    </row>
    <row r="200" spans="1:13">
      <c r="A200" s="2">
        <v>4203</v>
      </c>
      <c r="B200" s="2" t="s">
        <v>1395</v>
      </c>
      <c r="C200" s="2">
        <v>5</v>
      </c>
      <c r="D200" s="2">
        <v>100</v>
      </c>
      <c r="E200" s="2">
        <v>200</v>
      </c>
      <c r="F200" s="2">
        <v>32441</v>
      </c>
      <c r="G200" s="2">
        <v>8.1102500000000006</v>
      </c>
      <c r="H200" s="2">
        <v>4.3802700000000001E-4</v>
      </c>
      <c r="I200" s="2" t="s">
        <v>3510</v>
      </c>
      <c r="J200" s="2" t="s">
        <v>3511</v>
      </c>
      <c r="K200" s="2">
        <v>1.9944561E-2</v>
      </c>
      <c r="L200" s="2" t="s">
        <v>1178</v>
      </c>
      <c r="M200" s="4" t="s">
        <v>3512</v>
      </c>
    </row>
    <row r="201" spans="1:13">
      <c r="A201" s="2">
        <v>4486</v>
      </c>
      <c r="B201" s="2" t="s">
        <v>3513</v>
      </c>
      <c r="C201" s="2">
        <v>5</v>
      </c>
      <c r="D201" s="2">
        <v>100</v>
      </c>
      <c r="E201" s="2">
        <v>200</v>
      </c>
      <c r="F201" s="2">
        <v>32441</v>
      </c>
      <c r="G201" s="2">
        <v>8.1102500000000006</v>
      </c>
      <c r="H201" s="2">
        <v>4.3802700000000001E-4</v>
      </c>
      <c r="I201" s="2" t="s">
        <v>3514</v>
      </c>
      <c r="J201" s="2" t="s">
        <v>3515</v>
      </c>
      <c r="K201" s="2">
        <v>1.9944561E-2</v>
      </c>
      <c r="L201" s="2" t="s">
        <v>1178</v>
      </c>
      <c r="M201" s="4" t="s">
        <v>3516</v>
      </c>
    </row>
    <row r="202" spans="1:13">
      <c r="A202" s="2">
        <v>4658</v>
      </c>
      <c r="B202" s="2" t="s">
        <v>3517</v>
      </c>
      <c r="C202" s="2">
        <v>5</v>
      </c>
      <c r="D202" s="2">
        <v>100</v>
      </c>
      <c r="E202" s="2">
        <v>198</v>
      </c>
      <c r="F202" s="2">
        <v>32441</v>
      </c>
      <c r="G202" s="2">
        <v>8.1921717170000008</v>
      </c>
      <c r="H202" s="2">
        <v>4.1888599999999999E-4</v>
      </c>
      <c r="I202" s="2" t="s">
        <v>3518</v>
      </c>
      <c r="J202" s="2" t="s">
        <v>3519</v>
      </c>
      <c r="K202" s="2">
        <v>1.9944561E-2</v>
      </c>
      <c r="L202" s="2" t="s">
        <v>1178</v>
      </c>
      <c r="M202" s="4" t="s">
        <v>3520</v>
      </c>
    </row>
    <row r="203" spans="1:13">
      <c r="A203" s="2">
        <v>4747</v>
      </c>
      <c r="B203" s="2" t="s">
        <v>3521</v>
      </c>
      <c r="C203" s="2">
        <v>5</v>
      </c>
      <c r="D203" s="2">
        <v>100</v>
      </c>
      <c r="E203" s="2">
        <v>200</v>
      </c>
      <c r="F203" s="2">
        <v>32441</v>
      </c>
      <c r="G203" s="2">
        <v>8.1102500000000006</v>
      </c>
      <c r="H203" s="2">
        <v>4.3802700000000001E-4</v>
      </c>
      <c r="I203" s="2" t="s">
        <v>3522</v>
      </c>
      <c r="J203" s="2" t="s">
        <v>3523</v>
      </c>
      <c r="K203" s="2">
        <v>1.9944561E-2</v>
      </c>
      <c r="L203" s="2" t="s">
        <v>1178</v>
      </c>
      <c r="M203" s="4" t="s">
        <v>3524</v>
      </c>
    </row>
    <row r="204" spans="1:13">
      <c r="A204" s="2">
        <v>4767</v>
      </c>
      <c r="B204" s="2" t="s">
        <v>3525</v>
      </c>
      <c r="C204" s="2">
        <v>5</v>
      </c>
      <c r="D204" s="2">
        <v>100</v>
      </c>
      <c r="E204" s="2">
        <v>200</v>
      </c>
      <c r="F204" s="2">
        <v>32441</v>
      </c>
      <c r="G204" s="2">
        <v>8.1102500000000006</v>
      </c>
      <c r="H204" s="2">
        <v>4.3802700000000001E-4</v>
      </c>
      <c r="I204" s="2" t="s">
        <v>3526</v>
      </c>
      <c r="J204" s="2" t="s">
        <v>3527</v>
      </c>
      <c r="K204" s="2">
        <v>1.9944561E-2</v>
      </c>
      <c r="L204" s="2" t="s">
        <v>1178</v>
      </c>
      <c r="M204" s="4" t="s">
        <v>3528</v>
      </c>
    </row>
    <row r="205" spans="1:13">
      <c r="A205" s="2">
        <v>4771</v>
      </c>
      <c r="B205" s="2" t="s">
        <v>3529</v>
      </c>
      <c r="C205" s="2">
        <v>5</v>
      </c>
      <c r="D205" s="2">
        <v>100</v>
      </c>
      <c r="E205" s="2">
        <v>200</v>
      </c>
      <c r="F205" s="2">
        <v>32441</v>
      </c>
      <c r="G205" s="2">
        <v>8.1102500000000006</v>
      </c>
      <c r="H205" s="2">
        <v>4.3802700000000001E-4</v>
      </c>
      <c r="I205" s="2" t="s">
        <v>3530</v>
      </c>
      <c r="J205" s="2" t="s">
        <v>3531</v>
      </c>
      <c r="K205" s="2">
        <v>1.9944561E-2</v>
      </c>
      <c r="L205" s="2" t="s">
        <v>1178</v>
      </c>
      <c r="M205" s="4" t="s">
        <v>3532</v>
      </c>
    </row>
    <row r="206" spans="1:13">
      <c r="A206" s="2">
        <v>2184</v>
      </c>
      <c r="B206" s="2" t="s">
        <v>3533</v>
      </c>
      <c r="C206" s="2">
        <v>4</v>
      </c>
      <c r="D206" s="2">
        <v>100</v>
      </c>
      <c r="E206" s="2">
        <v>132</v>
      </c>
      <c r="F206" s="2">
        <v>32441</v>
      </c>
      <c r="G206" s="2">
        <v>9.8306060609999992</v>
      </c>
      <c r="H206" s="2">
        <v>8.3908500000000005E-4</v>
      </c>
      <c r="I206" s="2" t="s">
        <v>3534</v>
      </c>
      <c r="J206" s="2" t="s">
        <v>3535</v>
      </c>
      <c r="K206" s="2">
        <v>3.7852071000000001E-2</v>
      </c>
      <c r="L206" s="2" t="s">
        <v>1178</v>
      </c>
      <c r="M206" s="4" t="s">
        <v>3536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09"/>
  <sheetViews>
    <sheetView workbookViewId="0">
      <selection sqref="A1:M5309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46</v>
      </c>
      <c r="B2" s="2" t="s">
        <v>22</v>
      </c>
      <c r="C2" s="2">
        <v>77</v>
      </c>
      <c r="D2" s="2">
        <v>556</v>
      </c>
      <c r="E2" s="2">
        <v>200</v>
      </c>
      <c r="F2" s="2">
        <v>32441</v>
      </c>
      <c r="G2" s="2">
        <v>22.46364209</v>
      </c>
      <c r="H2" s="3">
        <v>4.5399999999999997E-71</v>
      </c>
      <c r="I2" s="3" t="s">
        <v>3537</v>
      </c>
      <c r="J2" s="3" t="s">
        <v>3538</v>
      </c>
      <c r="K2" s="3">
        <v>2.27E-69</v>
      </c>
      <c r="L2" s="2" t="s">
        <v>15</v>
      </c>
      <c r="M2" s="4" t="s">
        <v>3539</v>
      </c>
    </row>
    <row r="3" spans="1:13">
      <c r="A3" s="2">
        <v>31</v>
      </c>
      <c r="B3" s="2" t="s">
        <v>3540</v>
      </c>
      <c r="C3" s="2">
        <v>48</v>
      </c>
      <c r="D3" s="2">
        <v>556</v>
      </c>
      <c r="E3" s="2">
        <v>200</v>
      </c>
      <c r="F3" s="2">
        <v>32441</v>
      </c>
      <c r="G3" s="2">
        <v>14.00330935</v>
      </c>
      <c r="H3" s="3">
        <v>2.4200000000000001E-36</v>
      </c>
      <c r="I3" s="2" t="s">
        <v>3541</v>
      </c>
      <c r="J3" s="2" t="s">
        <v>3542</v>
      </c>
      <c r="K3" s="3">
        <v>6.0499999999999999E-35</v>
      </c>
      <c r="L3" s="2" t="s">
        <v>15</v>
      </c>
      <c r="M3" s="4" t="s">
        <v>3543</v>
      </c>
    </row>
    <row r="4" spans="1:13">
      <c r="A4" s="2">
        <v>19</v>
      </c>
      <c r="B4" s="2" t="s">
        <v>3544</v>
      </c>
      <c r="C4" s="2">
        <v>39</v>
      </c>
      <c r="D4" s="2">
        <v>556</v>
      </c>
      <c r="E4" s="2">
        <v>200</v>
      </c>
      <c r="F4" s="2">
        <v>32441</v>
      </c>
      <c r="G4" s="2">
        <v>11.37768885</v>
      </c>
      <c r="H4" s="3">
        <v>8.6299999999999994E-27</v>
      </c>
      <c r="I4" s="2" t="s">
        <v>3545</v>
      </c>
      <c r="J4" s="2" t="s">
        <v>3546</v>
      </c>
      <c r="K4" s="3">
        <v>1.4400000000000001E-25</v>
      </c>
      <c r="L4" s="2" t="s">
        <v>15</v>
      </c>
      <c r="M4" s="4" t="s">
        <v>3547</v>
      </c>
    </row>
    <row r="5" spans="1:13">
      <c r="A5" s="2">
        <v>23</v>
      </c>
      <c r="B5" s="2" t="s">
        <v>3548</v>
      </c>
      <c r="C5" s="2">
        <v>32</v>
      </c>
      <c r="D5" s="2">
        <v>556</v>
      </c>
      <c r="E5" s="2">
        <v>200</v>
      </c>
      <c r="F5" s="2">
        <v>32441</v>
      </c>
      <c r="G5" s="2">
        <v>9.3355395679999997</v>
      </c>
      <c r="H5" s="3">
        <v>6.5099999999999994E-20</v>
      </c>
      <c r="I5" s="2" t="s">
        <v>3549</v>
      </c>
      <c r="J5" s="2" t="s">
        <v>3550</v>
      </c>
      <c r="K5" s="3">
        <v>8.1300000000000003E-19</v>
      </c>
      <c r="L5" s="2" t="s">
        <v>15</v>
      </c>
      <c r="M5" s="4" t="s">
        <v>3551</v>
      </c>
    </row>
    <row r="6" spans="1:13">
      <c r="A6" s="2">
        <v>43</v>
      </c>
      <c r="B6" s="2" t="s">
        <v>3552</v>
      </c>
      <c r="C6" s="2">
        <v>31</v>
      </c>
      <c r="D6" s="2">
        <v>556</v>
      </c>
      <c r="E6" s="2">
        <v>200</v>
      </c>
      <c r="F6" s="2">
        <v>32441</v>
      </c>
      <c r="G6" s="2">
        <v>9.0438039569999997</v>
      </c>
      <c r="H6" s="3">
        <v>5.6199999999999998E-19</v>
      </c>
      <c r="I6" s="2" t="s">
        <v>3553</v>
      </c>
      <c r="J6" s="2" t="s">
        <v>3554</v>
      </c>
      <c r="K6" s="3">
        <v>5.6200000000000001E-18</v>
      </c>
      <c r="L6" s="2" t="s">
        <v>15</v>
      </c>
      <c r="M6" s="4" t="s">
        <v>3555</v>
      </c>
    </row>
    <row r="7" spans="1:13">
      <c r="A7" s="2">
        <v>48</v>
      </c>
      <c r="B7" s="2" t="s">
        <v>3556</v>
      </c>
      <c r="C7" s="2">
        <v>28</v>
      </c>
      <c r="D7" s="2">
        <v>556</v>
      </c>
      <c r="E7" s="2">
        <v>200</v>
      </c>
      <c r="F7" s="2">
        <v>32441</v>
      </c>
      <c r="G7" s="2">
        <v>8.1685971219999995</v>
      </c>
      <c r="H7" s="3">
        <v>3.0299999999999999E-16</v>
      </c>
      <c r="I7" s="2" t="s">
        <v>3557</v>
      </c>
      <c r="J7" s="2" t="s">
        <v>3558</v>
      </c>
      <c r="K7" s="3">
        <v>2.5300000000000001E-15</v>
      </c>
      <c r="L7" s="2" t="s">
        <v>15</v>
      </c>
      <c r="M7" s="4" t="s">
        <v>3559</v>
      </c>
    </row>
    <row r="8" spans="1:13">
      <c r="A8" s="2">
        <v>7</v>
      </c>
      <c r="B8" s="2" t="s">
        <v>3560</v>
      </c>
      <c r="C8" s="2">
        <v>20</v>
      </c>
      <c r="D8" s="2">
        <v>556</v>
      </c>
      <c r="E8" s="2">
        <v>87</v>
      </c>
      <c r="F8" s="2">
        <v>32441</v>
      </c>
      <c r="G8" s="2">
        <v>13.41313156</v>
      </c>
      <c r="H8" s="3">
        <v>1.49E-15</v>
      </c>
      <c r="I8" s="2" t="s">
        <v>3561</v>
      </c>
      <c r="J8" s="2" t="s">
        <v>3562</v>
      </c>
      <c r="K8" s="3">
        <v>1.07E-14</v>
      </c>
      <c r="L8" s="2" t="s">
        <v>15</v>
      </c>
      <c r="M8" s="4" t="s">
        <v>3563</v>
      </c>
    </row>
    <row r="9" spans="1:13">
      <c r="A9" s="2">
        <v>1</v>
      </c>
      <c r="B9" s="2" t="s">
        <v>3564</v>
      </c>
      <c r="C9" s="2">
        <v>21</v>
      </c>
      <c r="D9" s="2">
        <v>556</v>
      </c>
      <c r="E9" s="2">
        <v>200</v>
      </c>
      <c r="F9" s="2">
        <v>32441</v>
      </c>
      <c r="G9" s="2">
        <v>6.1264478420000001</v>
      </c>
      <c r="H9" s="3">
        <v>2.18E-10</v>
      </c>
      <c r="I9" s="2" t="s">
        <v>3565</v>
      </c>
      <c r="J9" s="2" t="s">
        <v>3566</v>
      </c>
      <c r="K9" s="3">
        <v>1.3600000000000001E-9</v>
      </c>
      <c r="L9" s="2" t="s">
        <v>15</v>
      </c>
      <c r="M9" s="4" t="s">
        <v>3567</v>
      </c>
    </row>
    <row r="10" spans="1:13">
      <c r="A10" s="2">
        <v>18</v>
      </c>
      <c r="B10" s="2" t="s">
        <v>3568</v>
      </c>
      <c r="C10" s="2">
        <v>14</v>
      </c>
      <c r="D10" s="2">
        <v>556</v>
      </c>
      <c r="E10" s="2">
        <v>97</v>
      </c>
      <c r="F10" s="2">
        <v>32441</v>
      </c>
      <c r="G10" s="2">
        <v>8.4212341469999998</v>
      </c>
      <c r="H10" s="3">
        <v>5.9600000000000001E-9</v>
      </c>
      <c r="I10" s="2" t="s">
        <v>3569</v>
      </c>
      <c r="J10" s="2" t="s">
        <v>3570</v>
      </c>
      <c r="K10" s="3">
        <v>3.3099999999999999E-8</v>
      </c>
      <c r="L10" s="2" t="s">
        <v>15</v>
      </c>
      <c r="M10" s="4" t="s">
        <v>3571</v>
      </c>
    </row>
    <row r="11" spans="1:13">
      <c r="A11" s="2">
        <v>10</v>
      </c>
      <c r="B11" s="2" t="s">
        <v>3572</v>
      </c>
      <c r="C11" s="2">
        <v>9</v>
      </c>
      <c r="D11" s="2">
        <v>556</v>
      </c>
      <c r="E11" s="2">
        <v>161</v>
      </c>
      <c r="F11" s="2">
        <v>32441</v>
      </c>
      <c r="G11" s="2">
        <v>3.261640377</v>
      </c>
      <c r="H11" s="2">
        <v>2.474389E-3</v>
      </c>
      <c r="I11" s="2" t="s">
        <v>3573</v>
      </c>
      <c r="J11" s="2" t="s">
        <v>3574</v>
      </c>
      <c r="K11" s="2">
        <v>1.2371945000000001E-2</v>
      </c>
      <c r="L11" s="2" t="s">
        <v>15</v>
      </c>
      <c r="M11" s="4" t="s">
        <v>3575</v>
      </c>
    </row>
    <row r="12" spans="1:13">
      <c r="A12" s="2">
        <v>20</v>
      </c>
      <c r="B12" s="2" t="s">
        <v>3576</v>
      </c>
      <c r="C12" s="2">
        <v>9</v>
      </c>
      <c r="D12" s="2">
        <v>556</v>
      </c>
      <c r="E12" s="2">
        <v>200</v>
      </c>
      <c r="F12" s="2">
        <v>32441</v>
      </c>
      <c r="G12" s="2">
        <v>2.625620504</v>
      </c>
      <c r="H12" s="2">
        <v>9.3616380000000003E-3</v>
      </c>
      <c r="I12" s="2" t="s">
        <v>3577</v>
      </c>
      <c r="J12" s="2" t="s">
        <v>3578</v>
      </c>
      <c r="K12" s="2">
        <v>4.2552900999999997E-2</v>
      </c>
      <c r="L12" s="2" t="s">
        <v>15</v>
      </c>
      <c r="M12" s="4" t="s">
        <v>3579</v>
      </c>
    </row>
    <row r="13" spans="1:13">
      <c r="A13" s="2">
        <v>25</v>
      </c>
      <c r="B13" s="2" t="s">
        <v>3580</v>
      </c>
      <c r="C13" s="2">
        <v>6</v>
      </c>
      <c r="D13" s="2">
        <v>556</v>
      </c>
      <c r="E13" s="2">
        <v>105</v>
      </c>
      <c r="F13" s="2">
        <v>32441</v>
      </c>
      <c r="G13" s="2">
        <v>3.3341212740000001</v>
      </c>
      <c r="H13" s="2">
        <v>1.1407524E-2</v>
      </c>
      <c r="I13" s="2" t="s">
        <v>3581</v>
      </c>
      <c r="J13" s="2" t="s">
        <v>3582</v>
      </c>
      <c r="K13" s="2">
        <v>4.7531349000000001E-2</v>
      </c>
      <c r="L13" s="2" t="s">
        <v>15</v>
      </c>
      <c r="M13" s="4" t="s">
        <v>3583</v>
      </c>
    </row>
    <row r="14" spans="1:13">
      <c r="A14" s="2">
        <v>102</v>
      </c>
      <c r="B14" s="2" t="s">
        <v>3584</v>
      </c>
      <c r="C14" s="2">
        <v>13</v>
      </c>
      <c r="D14" s="2">
        <v>556</v>
      </c>
      <c r="E14" s="2">
        <v>139</v>
      </c>
      <c r="F14" s="2">
        <v>32441</v>
      </c>
      <c r="G14" s="2">
        <v>5.456925107</v>
      </c>
      <c r="H14" s="3">
        <v>1.99E-6</v>
      </c>
      <c r="I14" s="2" t="s">
        <v>3585</v>
      </c>
      <c r="J14" s="2" t="s">
        <v>3586</v>
      </c>
      <c r="K14" s="2">
        <v>6.50119E-4</v>
      </c>
      <c r="L14" s="2" t="s">
        <v>31</v>
      </c>
      <c r="M14" s="4" t="s">
        <v>3587</v>
      </c>
    </row>
    <row r="15" spans="1:13">
      <c r="A15" s="2">
        <v>145</v>
      </c>
      <c r="B15" s="2" t="s">
        <v>3588</v>
      </c>
      <c r="C15" s="2">
        <v>36</v>
      </c>
      <c r="D15" s="2">
        <v>556</v>
      </c>
      <c r="E15" s="2">
        <v>948</v>
      </c>
      <c r="F15" s="2">
        <v>32441</v>
      </c>
      <c r="G15" s="2">
        <v>2.2157135050000001</v>
      </c>
      <c r="H15" s="3">
        <v>1.4100000000000001E-5</v>
      </c>
      <c r="I15" s="2" t="s">
        <v>3589</v>
      </c>
      <c r="J15" s="2" t="s">
        <v>3590</v>
      </c>
      <c r="K15" s="2">
        <v>2.2908960000000002E-3</v>
      </c>
      <c r="L15" s="2" t="s">
        <v>31</v>
      </c>
      <c r="M15" s="4" t="s">
        <v>3591</v>
      </c>
    </row>
    <row r="16" spans="1:13">
      <c r="A16" s="2">
        <v>98</v>
      </c>
      <c r="B16" s="2" t="s">
        <v>3592</v>
      </c>
      <c r="C16" s="2">
        <v>24</v>
      </c>
      <c r="D16" s="2">
        <v>556</v>
      </c>
      <c r="E16" s="2">
        <v>544</v>
      </c>
      <c r="F16" s="2">
        <v>32441</v>
      </c>
      <c r="G16" s="2">
        <v>2.5741377490000001</v>
      </c>
      <c r="H16" s="3">
        <v>4.3300000000000002E-5</v>
      </c>
      <c r="I16" s="2" t="s">
        <v>3593</v>
      </c>
      <c r="J16" s="2" t="s">
        <v>3594</v>
      </c>
      <c r="K16" s="2">
        <v>4.7030409999999998E-3</v>
      </c>
      <c r="L16" s="2" t="s">
        <v>31</v>
      </c>
      <c r="M16" s="4" t="s">
        <v>3595</v>
      </c>
    </row>
    <row r="17" spans="1:13">
      <c r="A17" s="2">
        <v>299</v>
      </c>
      <c r="B17" s="2" t="s">
        <v>3596</v>
      </c>
      <c r="C17" s="2">
        <v>15</v>
      </c>
      <c r="D17" s="2">
        <v>556</v>
      </c>
      <c r="E17" s="2">
        <v>270</v>
      </c>
      <c r="F17" s="2">
        <v>32441</v>
      </c>
      <c r="G17" s="2">
        <v>3.2415067949999998</v>
      </c>
      <c r="H17" s="2">
        <v>1.13417E-4</v>
      </c>
      <c r="I17" s="2" t="s">
        <v>3597</v>
      </c>
      <c r="J17" s="2" t="s">
        <v>3598</v>
      </c>
      <c r="K17" s="2">
        <v>9.2434790000000006E-3</v>
      </c>
      <c r="L17" s="2" t="s">
        <v>31</v>
      </c>
      <c r="M17" s="4" t="s">
        <v>3599</v>
      </c>
    </row>
    <row r="18" spans="1:13">
      <c r="A18" s="2">
        <v>3933</v>
      </c>
      <c r="B18" s="2" t="s">
        <v>3600</v>
      </c>
      <c r="C18" s="2">
        <v>169</v>
      </c>
      <c r="D18" s="2">
        <v>556</v>
      </c>
      <c r="E18" s="2">
        <v>1210</v>
      </c>
      <c r="F18" s="2">
        <v>32441</v>
      </c>
      <c r="G18" s="2">
        <v>8.1493088169999996</v>
      </c>
      <c r="H18" s="3">
        <v>1.11E-97</v>
      </c>
      <c r="I18" s="3" t="s">
        <v>3601</v>
      </c>
      <c r="J18" s="3" t="s">
        <v>3602</v>
      </c>
      <c r="K18" s="3">
        <v>5.2999999999999995E-94</v>
      </c>
      <c r="L18" s="2" t="s">
        <v>35</v>
      </c>
      <c r="M18" s="4" t="s">
        <v>3603</v>
      </c>
    </row>
    <row r="19" spans="1:13">
      <c r="A19" s="2">
        <v>3588</v>
      </c>
      <c r="B19" s="2" t="s">
        <v>3604</v>
      </c>
      <c r="C19" s="2">
        <v>114</v>
      </c>
      <c r="D19" s="2">
        <v>556</v>
      </c>
      <c r="E19" s="2">
        <v>476</v>
      </c>
      <c r="F19" s="2">
        <v>32441</v>
      </c>
      <c r="G19" s="2">
        <v>13.97389064</v>
      </c>
      <c r="H19" s="3">
        <v>1.2699999999999999E-86</v>
      </c>
      <c r="I19" s="3" t="s">
        <v>3605</v>
      </c>
      <c r="J19" s="3" t="s">
        <v>3606</v>
      </c>
      <c r="K19" s="3">
        <v>3.0300000000000001E-83</v>
      </c>
      <c r="L19" s="2" t="s">
        <v>35</v>
      </c>
      <c r="M19" s="4" t="s">
        <v>3607</v>
      </c>
    </row>
    <row r="20" spans="1:13">
      <c r="A20" s="2">
        <v>3490</v>
      </c>
      <c r="B20" s="2" t="s">
        <v>3608</v>
      </c>
      <c r="C20" s="2">
        <v>96</v>
      </c>
      <c r="D20" s="2">
        <v>556</v>
      </c>
      <c r="E20" s="2">
        <v>299</v>
      </c>
      <c r="F20" s="2">
        <v>32441</v>
      </c>
      <c r="G20" s="2">
        <v>18.73352422</v>
      </c>
      <c r="H20" s="3">
        <v>1.0300000000000001E-82</v>
      </c>
      <c r="I20" s="3" t="s">
        <v>3609</v>
      </c>
      <c r="J20" s="3" t="s">
        <v>3610</v>
      </c>
      <c r="K20" s="3">
        <v>1.64E-79</v>
      </c>
      <c r="L20" s="2" t="s">
        <v>35</v>
      </c>
      <c r="M20" s="4" t="s">
        <v>3611</v>
      </c>
    </row>
    <row r="21" spans="1:13">
      <c r="A21" s="2">
        <v>4015</v>
      </c>
      <c r="B21" s="2" t="s">
        <v>3612</v>
      </c>
      <c r="C21" s="2">
        <v>94</v>
      </c>
      <c r="D21" s="2">
        <v>556</v>
      </c>
      <c r="E21" s="2">
        <v>288</v>
      </c>
      <c r="F21" s="2">
        <v>32441</v>
      </c>
      <c r="G21" s="2">
        <v>19.04385242</v>
      </c>
      <c r="H21" s="3">
        <v>1.6700000000000001E-81</v>
      </c>
      <c r="I21" s="3" t="s">
        <v>3613</v>
      </c>
      <c r="J21" s="3" t="s">
        <v>3614</v>
      </c>
      <c r="K21" s="3">
        <v>1.9799999999999999E-78</v>
      </c>
      <c r="L21" s="2" t="s">
        <v>35</v>
      </c>
      <c r="M21" s="4" t="s">
        <v>3615</v>
      </c>
    </row>
    <row r="22" spans="1:13">
      <c r="A22" s="2">
        <v>3300</v>
      </c>
      <c r="B22" s="2" t="s">
        <v>3616</v>
      </c>
      <c r="C22" s="2">
        <v>87</v>
      </c>
      <c r="D22" s="2">
        <v>556</v>
      </c>
      <c r="E22" s="2">
        <v>254</v>
      </c>
      <c r="F22" s="2">
        <v>32441</v>
      </c>
      <c r="G22" s="2">
        <v>19.985037949999999</v>
      </c>
      <c r="H22" s="3">
        <v>8.0199999999999999E-77</v>
      </c>
      <c r="I22" s="3" t="s">
        <v>3617</v>
      </c>
      <c r="J22" s="3" t="s">
        <v>3618</v>
      </c>
      <c r="K22" s="3">
        <v>7.6299999999999996E-74</v>
      </c>
      <c r="L22" s="2" t="s">
        <v>35</v>
      </c>
      <c r="M22" s="4" t="s">
        <v>3619</v>
      </c>
    </row>
    <row r="23" spans="1:13">
      <c r="A23" s="2">
        <v>1640</v>
      </c>
      <c r="B23" s="2" t="s">
        <v>3620</v>
      </c>
      <c r="C23" s="2">
        <v>72</v>
      </c>
      <c r="D23" s="2">
        <v>556</v>
      </c>
      <c r="E23" s="2">
        <v>226</v>
      </c>
      <c r="F23" s="2">
        <v>32441</v>
      </c>
      <c r="G23" s="2">
        <v>18.588463740000002</v>
      </c>
      <c r="H23" s="3">
        <v>1.3000000000000001E-61</v>
      </c>
      <c r="I23" s="3" t="s">
        <v>3621</v>
      </c>
      <c r="J23" s="3" t="s">
        <v>3622</v>
      </c>
      <c r="K23" s="3">
        <v>1.03E-58</v>
      </c>
      <c r="L23" s="2" t="s">
        <v>35</v>
      </c>
      <c r="M23" s="4" t="s">
        <v>3623</v>
      </c>
    </row>
    <row r="24" spans="1:13">
      <c r="A24" s="2">
        <v>1256</v>
      </c>
      <c r="B24" s="2" t="s">
        <v>3624</v>
      </c>
      <c r="C24" s="2">
        <v>117</v>
      </c>
      <c r="D24" s="2">
        <v>556</v>
      </c>
      <c r="E24" s="2">
        <v>933</v>
      </c>
      <c r="F24" s="2">
        <v>32441</v>
      </c>
      <c r="G24" s="2">
        <v>7.3168417029999997</v>
      </c>
      <c r="H24" s="3">
        <v>2.3700000000000001E-61</v>
      </c>
      <c r="I24" s="3" t="s">
        <v>3625</v>
      </c>
      <c r="J24" s="3" t="s">
        <v>3626</v>
      </c>
      <c r="K24" s="3">
        <v>1.61E-58</v>
      </c>
      <c r="L24" s="2" t="s">
        <v>35</v>
      </c>
      <c r="M24" s="4" t="s">
        <v>3627</v>
      </c>
    </row>
    <row r="25" spans="1:13">
      <c r="A25" s="2">
        <v>3156</v>
      </c>
      <c r="B25" s="2" t="s">
        <v>274</v>
      </c>
      <c r="C25" s="2">
        <v>90</v>
      </c>
      <c r="D25" s="2">
        <v>556</v>
      </c>
      <c r="E25" s="2">
        <v>487</v>
      </c>
      <c r="F25" s="2">
        <v>32441</v>
      </c>
      <c r="G25" s="2">
        <v>10.782835739999999</v>
      </c>
      <c r="H25" s="3">
        <v>1.91E-59</v>
      </c>
      <c r="I25" s="3" t="s">
        <v>3628</v>
      </c>
      <c r="J25" s="3" t="s">
        <v>3629</v>
      </c>
      <c r="K25" s="3">
        <v>1.1399999999999999E-56</v>
      </c>
      <c r="L25" s="2" t="s">
        <v>35</v>
      </c>
      <c r="M25" s="4" t="s">
        <v>3630</v>
      </c>
    </row>
    <row r="26" spans="1:13">
      <c r="A26" s="2">
        <v>3912</v>
      </c>
      <c r="B26" s="2" t="s">
        <v>2943</v>
      </c>
      <c r="C26" s="2">
        <v>60</v>
      </c>
      <c r="D26" s="2">
        <v>556</v>
      </c>
      <c r="E26" s="2">
        <v>200</v>
      </c>
      <c r="F26" s="2">
        <v>32441</v>
      </c>
      <c r="G26" s="2">
        <v>17.504136689999999</v>
      </c>
      <c r="H26" s="3">
        <v>4.48E-50</v>
      </c>
      <c r="I26" s="3" t="s">
        <v>3631</v>
      </c>
      <c r="J26" s="3" t="s">
        <v>3632</v>
      </c>
      <c r="K26" s="3">
        <v>2.37E-47</v>
      </c>
      <c r="L26" s="2" t="s">
        <v>35</v>
      </c>
      <c r="M26" s="4" t="s">
        <v>2946</v>
      </c>
    </row>
    <row r="27" spans="1:13">
      <c r="A27" s="2">
        <v>1980</v>
      </c>
      <c r="B27" s="2" t="s">
        <v>3633</v>
      </c>
      <c r="C27" s="2">
        <v>73</v>
      </c>
      <c r="D27" s="2">
        <v>556</v>
      </c>
      <c r="E27" s="2">
        <v>392</v>
      </c>
      <c r="F27" s="2">
        <v>32441</v>
      </c>
      <c r="G27" s="2">
        <v>10.865663079999999</v>
      </c>
      <c r="H27" s="3">
        <v>2.5899999999999999E-48</v>
      </c>
      <c r="I27" s="3" t="s">
        <v>3634</v>
      </c>
      <c r="J27" s="3" t="s">
        <v>3635</v>
      </c>
      <c r="K27" s="3">
        <v>1.23E-45</v>
      </c>
      <c r="L27" s="2" t="s">
        <v>35</v>
      </c>
      <c r="M27" s="4" t="s">
        <v>3636</v>
      </c>
    </row>
    <row r="28" spans="1:13">
      <c r="A28" s="2">
        <v>1356</v>
      </c>
      <c r="B28" s="2" t="s">
        <v>3637</v>
      </c>
      <c r="C28" s="2">
        <v>70</v>
      </c>
      <c r="D28" s="2">
        <v>556</v>
      </c>
      <c r="E28" s="2">
        <v>351</v>
      </c>
      <c r="F28" s="2">
        <v>32441</v>
      </c>
      <c r="G28" s="2">
        <v>11.63617824</v>
      </c>
      <c r="H28" s="3">
        <v>4.5600000000000003E-48</v>
      </c>
      <c r="I28" s="3" t="s">
        <v>3638</v>
      </c>
      <c r="J28" s="3" t="s">
        <v>3639</v>
      </c>
      <c r="K28" s="3">
        <v>1.9700000000000001E-45</v>
      </c>
      <c r="L28" s="2" t="s">
        <v>35</v>
      </c>
      <c r="M28" s="4" t="s">
        <v>3640</v>
      </c>
    </row>
    <row r="29" spans="1:13">
      <c r="A29" s="2">
        <v>3866</v>
      </c>
      <c r="B29" s="2" t="s">
        <v>3641</v>
      </c>
      <c r="C29" s="2">
        <v>69</v>
      </c>
      <c r="D29" s="2">
        <v>556</v>
      </c>
      <c r="E29" s="2">
        <v>408</v>
      </c>
      <c r="F29" s="2">
        <v>32441</v>
      </c>
      <c r="G29" s="2">
        <v>9.8675280359999995</v>
      </c>
      <c r="H29" s="3">
        <v>2.9899999999999999E-43</v>
      </c>
      <c r="I29" s="3" t="s">
        <v>3642</v>
      </c>
      <c r="J29" s="3" t="s">
        <v>3643</v>
      </c>
      <c r="K29" s="3">
        <v>1.19E-40</v>
      </c>
      <c r="L29" s="2" t="s">
        <v>35</v>
      </c>
      <c r="M29" s="4" t="s">
        <v>3644</v>
      </c>
    </row>
    <row r="30" spans="1:13">
      <c r="A30" s="2">
        <v>1416</v>
      </c>
      <c r="B30" s="2" t="s">
        <v>3645</v>
      </c>
      <c r="C30" s="2">
        <v>72</v>
      </c>
      <c r="D30" s="2">
        <v>556</v>
      </c>
      <c r="E30" s="2">
        <v>463</v>
      </c>
      <c r="F30" s="2">
        <v>32441</v>
      </c>
      <c r="G30" s="2">
        <v>9.0734185870000008</v>
      </c>
      <c r="H30" s="3">
        <v>6.1100000000000001E-43</v>
      </c>
      <c r="I30" s="3" t="s">
        <v>3646</v>
      </c>
      <c r="J30" s="3" t="s">
        <v>3647</v>
      </c>
      <c r="K30" s="3">
        <v>2.16E-40</v>
      </c>
      <c r="L30" s="2" t="s">
        <v>35</v>
      </c>
      <c r="M30" s="4" t="s">
        <v>3648</v>
      </c>
    </row>
    <row r="31" spans="1:13">
      <c r="A31" s="2">
        <v>1743</v>
      </c>
      <c r="B31" s="2" t="s">
        <v>3649</v>
      </c>
      <c r="C31" s="2">
        <v>56</v>
      </c>
      <c r="D31" s="2">
        <v>556</v>
      </c>
      <c r="E31" s="2">
        <v>226</v>
      </c>
      <c r="F31" s="2">
        <v>32441</v>
      </c>
      <c r="G31" s="2">
        <v>14.45769402</v>
      </c>
      <c r="H31" s="3">
        <v>6.3600000000000001E-43</v>
      </c>
      <c r="I31" s="3" t="s">
        <v>3650</v>
      </c>
      <c r="J31" s="3" t="s">
        <v>3651</v>
      </c>
      <c r="K31" s="3">
        <v>2.16E-40</v>
      </c>
      <c r="L31" s="2" t="s">
        <v>35</v>
      </c>
      <c r="M31" s="4" t="s">
        <v>3652</v>
      </c>
    </row>
    <row r="32" spans="1:13">
      <c r="A32" s="2">
        <v>3863</v>
      </c>
      <c r="B32" s="2" t="s">
        <v>3653</v>
      </c>
      <c r="C32" s="2">
        <v>61</v>
      </c>
      <c r="D32" s="2">
        <v>556</v>
      </c>
      <c r="E32" s="2">
        <v>315</v>
      </c>
      <c r="F32" s="2">
        <v>32441</v>
      </c>
      <c r="G32" s="2">
        <v>11.29896654</v>
      </c>
      <c r="H32" s="3">
        <v>2.8800000000000002E-41</v>
      </c>
      <c r="I32" s="3" t="s">
        <v>3654</v>
      </c>
      <c r="J32" s="3" t="s">
        <v>3655</v>
      </c>
      <c r="K32" s="3">
        <v>9.1500000000000006E-39</v>
      </c>
      <c r="L32" s="2" t="s">
        <v>35</v>
      </c>
      <c r="M32" s="4" t="s">
        <v>3656</v>
      </c>
    </row>
    <row r="33" spans="1:13">
      <c r="A33" s="2">
        <v>2657</v>
      </c>
      <c r="B33" s="2" t="s">
        <v>3657</v>
      </c>
      <c r="C33" s="2">
        <v>41</v>
      </c>
      <c r="D33" s="2">
        <v>556</v>
      </c>
      <c r="E33" s="2">
        <v>87</v>
      </c>
      <c r="F33" s="2">
        <v>32441</v>
      </c>
      <c r="G33" s="2">
        <v>27.49691971</v>
      </c>
      <c r="H33" s="3">
        <v>6.3300000000000001E-41</v>
      </c>
      <c r="I33" s="2" t="s">
        <v>3658</v>
      </c>
      <c r="J33" s="2" t="s">
        <v>3659</v>
      </c>
      <c r="K33" s="3">
        <v>1.8800000000000001E-38</v>
      </c>
      <c r="L33" s="2" t="s">
        <v>35</v>
      </c>
      <c r="M33" s="4" t="s">
        <v>3660</v>
      </c>
    </row>
    <row r="34" spans="1:13">
      <c r="A34" s="2">
        <v>1270</v>
      </c>
      <c r="B34" s="2" t="s">
        <v>3661</v>
      </c>
      <c r="C34" s="2">
        <v>74</v>
      </c>
      <c r="D34" s="2">
        <v>556</v>
      </c>
      <c r="E34" s="2">
        <v>539</v>
      </c>
      <c r="F34" s="2">
        <v>32441</v>
      </c>
      <c r="G34" s="2">
        <v>8.0105511140000001</v>
      </c>
      <c r="H34" s="3">
        <v>8.3300000000000003E-41</v>
      </c>
      <c r="I34" s="3" t="s">
        <v>3662</v>
      </c>
      <c r="J34" s="3" t="s">
        <v>3663</v>
      </c>
      <c r="K34" s="3">
        <v>2.2000000000000001E-38</v>
      </c>
      <c r="L34" s="2" t="s">
        <v>35</v>
      </c>
      <c r="M34" s="4" t="s">
        <v>3664</v>
      </c>
    </row>
    <row r="35" spans="1:13">
      <c r="A35" s="2">
        <v>4644</v>
      </c>
      <c r="B35" s="2" t="s">
        <v>3665</v>
      </c>
      <c r="C35" s="2">
        <v>44</v>
      </c>
      <c r="D35" s="2">
        <v>556</v>
      </c>
      <c r="E35" s="2">
        <v>114</v>
      </c>
      <c r="F35" s="2">
        <v>32441</v>
      </c>
      <c r="G35" s="2">
        <v>22.519941939999999</v>
      </c>
      <c r="H35" s="3">
        <v>8E-41</v>
      </c>
      <c r="I35" s="2" t="s">
        <v>3666</v>
      </c>
      <c r="J35" s="2" t="s">
        <v>3667</v>
      </c>
      <c r="K35" s="3">
        <v>2.2000000000000001E-38</v>
      </c>
      <c r="L35" s="2" t="s">
        <v>35</v>
      </c>
      <c r="M35" s="4" t="s">
        <v>3668</v>
      </c>
    </row>
    <row r="36" spans="1:13">
      <c r="A36" s="2">
        <v>3829</v>
      </c>
      <c r="B36" s="2" t="s">
        <v>3669</v>
      </c>
      <c r="C36" s="2">
        <v>45</v>
      </c>
      <c r="D36" s="2">
        <v>556</v>
      </c>
      <c r="E36" s="2">
        <v>131</v>
      </c>
      <c r="F36" s="2">
        <v>32441</v>
      </c>
      <c r="G36" s="2">
        <v>20.042904610000001</v>
      </c>
      <c r="H36" s="3">
        <v>6.8400000000000001E-40</v>
      </c>
      <c r="I36" s="2" t="s">
        <v>3670</v>
      </c>
      <c r="J36" s="2" t="s">
        <v>3671</v>
      </c>
      <c r="K36" s="3">
        <v>1.7100000000000001E-37</v>
      </c>
      <c r="L36" s="2" t="s">
        <v>35</v>
      </c>
      <c r="M36" s="4" t="s">
        <v>3672</v>
      </c>
    </row>
    <row r="37" spans="1:13">
      <c r="A37" s="2">
        <v>3726</v>
      </c>
      <c r="B37" s="2" t="s">
        <v>3673</v>
      </c>
      <c r="C37" s="2">
        <v>55</v>
      </c>
      <c r="D37" s="2">
        <v>556</v>
      </c>
      <c r="E37" s="2">
        <v>259</v>
      </c>
      <c r="F37" s="2">
        <v>32441</v>
      </c>
      <c r="G37" s="2">
        <v>12.39031555</v>
      </c>
      <c r="H37" s="3">
        <v>4.2400000000000002E-39</v>
      </c>
      <c r="I37" s="3" t="s">
        <v>3674</v>
      </c>
      <c r="J37" s="3" t="s">
        <v>3675</v>
      </c>
      <c r="K37" s="3">
        <v>1.01E-36</v>
      </c>
      <c r="L37" s="2" t="s">
        <v>35</v>
      </c>
      <c r="M37" s="4" t="s">
        <v>3676</v>
      </c>
    </row>
    <row r="38" spans="1:13">
      <c r="A38" s="2">
        <v>4372</v>
      </c>
      <c r="B38" s="2" t="s">
        <v>3677</v>
      </c>
      <c r="C38" s="2">
        <v>51</v>
      </c>
      <c r="D38" s="2">
        <v>556</v>
      </c>
      <c r="E38" s="2">
        <v>216</v>
      </c>
      <c r="F38" s="2">
        <v>32441</v>
      </c>
      <c r="G38" s="2">
        <v>13.77640388</v>
      </c>
      <c r="H38" s="3">
        <v>2.9100000000000001E-38</v>
      </c>
      <c r="I38" s="3" t="s">
        <v>3678</v>
      </c>
      <c r="J38" s="3" t="s">
        <v>3679</v>
      </c>
      <c r="K38" s="3">
        <v>6.5999999999999998E-36</v>
      </c>
      <c r="L38" s="2" t="s">
        <v>35</v>
      </c>
      <c r="M38" s="4" t="s">
        <v>3680</v>
      </c>
    </row>
    <row r="39" spans="1:13">
      <c r="A39" s="2">
        <v>1538</v>
      </c>
      <c r="B39" s="2" t="s">
        <v>3681</v>
      </c>
      <c r="C39" s="2">
        <v>49</v>
      </c>
      <c r="D39" s="2">
        <v>556</v>
      </c>
      <c r="E39" s="2">
        <v>205</v>
      </c>
      <c r="F39" s="2">
        <v>32441</v>
      </c>
      <c r="G39" s="2">
        <v>13.94638533</v>
      </c>
      <c r="H39" s="3">
        <v>5.2099999999999998E-37</v>
      </c>
      <c r="I39" s="2" t="s">
        <v>3682</v>
      </c>
      <c r="J39" s="2" t="s">
        <v>3683</v>
      </c>
      <c r="K39" s="3">
        <v>1.13E-34</v>
      </c>
      <c r="L39" s="2" t="s">
        <v>35</v>
      </c>
      <c r="M39" s="4" t="s">
        <v>3684</v>
      </c>
    </row>
    <row r="40" spans="1:13">
      <c r="A40" s="2">
        <v>3583</v>
      </c>
      <c r="B40" s="2" t="s">
        <v>3685</v>
      </c>
      <c r="C40" s="2">
        <v>70</v>
      </c>
      <c r="D40" s="2">
        <v>556</v>
      </c>
      <c r="E40" s="2">
        <v>564</v>
      </c>
      <c r="F40" s="2">
        <v>32441</v>
      </c>
      <c r="G40" s="2">
        <v>7.2416641159999999</v>
      </c>
      <c r="H40" s="3">
        <v>4.5200000000000003E-36</v>
      </c>
      <c r="I40" s="3" t="s">
        <v>3686</v>
      </c>
      <c r="J40" s="3" t="s">
        <v>3687</v>
      </c>
      <c r="K40" s="3">
        <v>9.3600000000000008E-34</v>
      </c>
      <c r="L40" s="2" t="s">
        <v>35</v>
      </c>
      <c r="M40" s="4" t="s">
        <v>3688</v>
      </c>
    </row>
    <row r="41" spans="1:13">
      <c r="A41" s="2">
        <v>2665</v>
      </c>
      <c r="B41" s="2" t="s">
        <v>3689</v>
      </c>
      <c r="C41" s="2">
        <v>38</v>
      </c>
      <c r="D41" s="2">
        <v>556</v>
      </c>
      <c r="E41" s="2">
        <v>101</v>
      </c>
      <c r="F41" s="2">
        <v>32441</v>
      </c>
      <c r="G41" s="2">
        <v>21.952382650000001</v>
      </c>
      <c r="H41" s="3">
        <v>4.6899999999999998E-35</v>
      </c>
      <c r="I41" s="2" t="s">
        <v>3690</v>
      </c>
      <c r="J41" s="2" t="s">
        <v>3691</v>
      </c>
      <c r="K41" s="3">
        <v>9.3000000000000006E-33</v>
      </c>
      <c r="L41" s="2" t="s">
        <v>35</v>
      </c>
      <c r="M41" s="4" t="s">
        <v>3692</v>
      </c>
    </row>
    <row r="42" spans="1:13">
      <c r="A42" s="2">
        <v>3384</v>
      </c>
      <c r="B42" s="2" t="s">
        <v>3693</v>
      </c>
      <c r="C42" s="2">
        <v>63</v>
      </c>
      <c r="D42" s="2">
        <v>556</v>
      </c>
      <c r="E42" s="2">
        <v>491</v>
      </c>
      <c r="F42" s="2">
        <v>32441</v>
      </c>
      <c r="G42" s="2">
        <v>7.4864943080000002</v>
      </c>
      <c r="H42" s="3">
        <v>3.0300000000000001E-33</v>
      </c>
      <c r="I42" s="3" t="s">
        <v>3694</v>
      </c>
      <c r="J42" s="3" t="s">
        <v>3695</v>
      </c>
      <c r="K42" s="3">
        <v>5.7700000000000002E-31</v>
      </c>
      <c r="L42" s="2" t="s">
        <v>35</v>
      </c>
      <c r="M42" s="4" t="s">
        <v>3696</v>
      </c>
    </row>
    <row r="43" spans="1:13">
      <c r="A43" s="2">
        <v>1431</v>
      </c>
      <c r="B43" s="2" t="s">
        <v>3697</v>
      </c>
      <c r="C43" s="2">
        <v>59</v>
      </c>
      <c r="D43" s="2">
        <v>556</v>
      </c>
      <c r="E43" s="2">
        <v>423</v>
      </c>
      <c r="F43" s="2">
        <v>32441</v>
      </c>
      <c r="G43" s="2">
        <v>8.1382511009999998</v>
      </c>
      <c r="H43" s="3">
        <v>6.2300000000000006E-33</v>
      </c>
      <c r="I43" s="3" t="s">
        <v>3698</v>
      </c>
      <c r="J43" s="3" t="s">
        <v>3699</v>
      </c>
      <c r="K43" s="3">
        <v>1.14E-30</v>
      </c>
      <c r="L43" s="2" t="s">
        <v>35</v>
      </c>
      <c r="M43" s="4" t="s">
        <v>3700</v>
      </c>
    </row>
    <row r="44" spans="1:13">
      <c r="A44" s="2">
        <v>2973</v>
      </c>
      <c r="B44" s="2" t="s">
        <v>3701</v>
      </c>
      <c r="C44" s="2">
        <v>33</v>
      </c>
      <c r="D44" s="2">
        <v>556</v>
      </c>
      <c r="E44" s="2">
        <v>74</v>
      </c>
      <c r="F44" s="2">
        <v>32441</v>
      </c>
      <c r="G44" s="2">
        <v>26.019662650000001</v>
      </c>
      <c r="H44" s="3">
        <v>1.57E-32</v>
      </c>
      <c r="I44" s="2" t="s">
        <v>3702</v>
      </c>
      <c r="J44" s="2" t="s">
        <v>3703</v>
      </c>
      <c r="K44" s="3">
        <v>2.7700000000000001E-30</v>
      </c>
      <c r="L44" s="2" t="s">
        <v>35</v>
      </c>
      <c r="M44" s="4" t="s">
        <v>3704</v>
      </c>
    </row>
    <row r="45" spans="1:13">
      <c r="A45" s="2">
        <v>3103</v>
      </c>
      <c r="B45" s="2" t="s">
        <v>3705</v>
      </c>
      <c r="C45" s="2">
        <v>31</v>
      </c>
      <c r="D45" s="2">
        <v>556</v>
      </c>
      <c r="E45" s="2">
        <v>59</v>
      </c>
      <c r="F45" s="2">
        <v>32441</v>
      </c>
      <c r="G45" s="2">
        <v>30.656962570000001</v>
      </c>
      <c r="H45" s="3">
        <v>2.3799999999999999E-32</v>
      </c>
      <c r="I45" s="2" t="s">
        <v>3706</v>
      </c>
      <c r="J45" s="2" t="s">
        <v>3707</v>
      </c>
      <c r="K45" s="3">
        <v>4.0500000000000003E-30</v>
      </c>
      <c r="L45" s="2" t="s">
        <v>35</v>
      </c>
      <c r="M45" s="4" t="s">
        <v>3708</v>
      </c>
    </row>
    <row r="46" spans="1:13">
      <c r="A46" s="2">
        <v>1479</v>
      </c>
      <c r="B46" s="2" t="s">
        <v>3709</v>
      </c>
      <c r="C46" s="2">
        <v>47</v>
      </c>
      <c r="D46" s="2">
        <v>556</v>
      </c>
      <c r="E46" s="2">
        <v>244</v>
      </c>
      <c r="F46" s="2">
        <v>32441</v>
      </c>
      <c r="G46" s="2">
        <v>11.238994870000001</v>
      </c>
      <c r="H46" s="3">
        <v>7.2300000000000005E-32</v>
      </c>
      <c r="I46" s="2" t="s">
        <v>3710</v>
      </c>
      <c r="J46" s="2" t="s">
        <v>3711</v>
      </c>
      <c r="K46" s="3">
        <v>1.19E-29</v>
      </c>
      <c r="L46" s="2" t="s">
        <v>35</v>
      </c>
      <c r="M46" s="4" t="s">
        <v>3712</v>
      </c>
    </row>
    <row r="47" spans="1:13">
      <c r="A47" s="2">
        <v>3454</v>
      </c>
      <c r="B47" s="2" t="s">
        <v>3713</v>
      </c>
      <c r="C47" s="2">
        <v>49</v>
      </c>
      <c r="D47" s="2">
        <v>556</v>
      </c>
      <c r="E47" s="2">
        <v>282</v>
      </c>
      <c r="F47" s="2">
        <v>32441</v>
      </c>
      <c r="G47" s="2">
        <v>10.13832976</v>
      </c>
      <c r="H47" s="3">
        <v>2.3400000000000001E-31</v>
      </c>
      <c r="I47" s="3" t="s">
        <v>3714</v>
      </c>
      <c r="J47" s="3" t="s">
        <v>3715</v>
      </c>
      <c r="K47" s="3">
        <v>3.71E-29</v>
      </c>
      <c r="L47" s="2" t="s">
        <v>35</v>
      </c>
      <c r="M47" s="4" t="s">
        <v>3716</v>
      </c>
    </row>
    <row r="48" spans="1:13">
      <c r="A48" s="2">
        <v>4673</v>
      </c>
      <c r="B48" s="2" t="s">
        <v>3717</v>
      </c>
      <c r="C48" s="2">
        <v>37</v>
      </c>
      <c r="D48" s="2">
        <v>556</v>
      </c>
      <c r="E48" s="2">
        <v>128</v>
      </c>
      <c r="F48" s="2">
        <v>32441</v>
      </c>
      <c r="G48" s="2">
        <v>16.865965039999999</v>
      </c>
      <c r="H48" s="3">
        <v>1.0199999999999999E-30</v>
      </c>
      <c r="I48" s="2" t="s">
        <v>3718</v>
      </c>
      <c r="J48" s="2" t="s">
        <v>3719</v>
      </c>
      <c r="K48" s="3">
        <v>1.5700000000000001E-28</v>
      </c>
      <c r="L48" s="2" t="s">
        <v>35</v>
      </c>
      <c r="M48" s="4" t="s">
        <v>3720</v>
      </c>
    </row>
    <row r="49" spans="1:13">
      <c r="A49" s="2">
        <v>1444</v>
      </c>
      <c r="B49" s="2" t="s">
        <v>2848</v>
      </c>
      <c r="C49" s="2">
        <v>50</v>
      </c>
      <c r="D49" s="2">
        <v>556</v>
      </c>
      <c r="E49" s="2">
        <v>320</v>
      </c>
      <c r="F49" s="2">
        <v>32441</v>
      </c>
      <c r="G49" s="2">
        <v>9.1167378600000006</v>
      </c>
      <c r="H49" s="3">
        <v>4.61E-30</v>
      </c>
      <c r="I49" s="2" t="s">
        <v>3721</v>
      </c>
      <c r="J49" s="2" t="s">
        <v>3722</v>
      </c>
      <c r="K49" s="3">
        <v>6.8600000000000002E-28</v>
      </c>
      <c r="L49" s="2" t="s">
        <v>35</v>
      </c>
      <c r="M49" s="4" t="s">
        <v>2851</v>
      </c>
    </row>
    <row r="50" spans="1:13">
      <c r="A50" s="2">
        <v>4220</v>
      </c>
      <c r="B50" s="2" t="s">
        <v>3723</v>
      </c>
      <c r="C50" s="2">
        <v>31</v>
      </c>
      <c r="D50" s="2">
        <v>556</v>
      </c>
      <c r="E50" s="2">
        <v>76</v>
      </c>
      <c r="F50" s="2">
        <v>32441</v>
      </c>
      <c r="G50" s="2">
        <v>23.799484100000001</v>
      </c>
      <c r="H50" s="3">
        <v>1.11E-29</v>
      </c>
      <c r="I50" s="2" t="s">
        <v>3724</v>
      </c>
      <c r="J50" s="2" t="s">
        <v>3725</v>
      </c>
      <c r="K50" s="3">
        <v>1.6E-27</v>
      </c>
      <c r="L50" s="2" t="s">
        <v>35</v>
      </c>
      <c r="M50" s="4" t="s">
        <v>3726</v>
      </c>
    </row>
    <row r="51" spans="1:13">
      <c r="A51" s="2">
        <v>2266</v>
      </c>
      <c r="B51" s="2" t="s">
        <v>141</v>
      </c>
      <c r="C51" s="2">
        <v>97</v>
      </c>
      <c r="D51" s="2">
        <v>556</v>
      </c>
      <c r="E51" s="2">
        <v>1442</v>
      </c>
      <c r="F51" s="2">
        <v>32441</v>
      </c>
      <c r="G51" s="2">
        <v>3.924875772</v>
      </c>
      <c r="H51" s="3">
        <v>1.3100000000000001E-29</v>
      </c>
      <c r="I51" s="3" t="s">
        <v>3727</v>
      </c>
      <c r="J51" s="3" t="s">
        <v>3728</v>
      </c>
      <c r="K51" s="3">
        <v>1.8399999999999999E-27</v>
      </c>
      <c r="L51" s="2" t="s">
        <v>35</v>
      </c>
      <c r="M51" s="4" t="s">
        <v>2824</v>
      </c>
    </row>
    <row r="52" spans="1:13">
      <c r="A52" s="2">
        <v>4163</v>
      </c>
      <c r="B52" s="2" t="s">
        <v>3729</v>
      </c>
      <c r="C52" s="2">
        <v>44</v>
      </c>
      <c r="D52" s="2">
        <v>556</v>
      </c>
      <c r="E52" s="2">
        <v>237</v>
      </c>
      <c r="F52" s="2">
        <v>32441</v>
      </c>
      <c r="G52" s="2">
        <v>10.83237714</v>
      </c>
      <c r="H52" s="3">
        <v>2.6200000000000002E-29</v>
      </c>
      <c r="I52" s="2" t="s">
        <v>3730</v>
      </c>
      <c r="J52" s="2" t="s">
        <v>3731</v>
      </c>
      <c r="K52" s="3">
        <v>3.5699999999999998E-27</v>
      </c>
      <c r="L52" s="2" t="s">
        <v>35</v>
      </c>
      <c r="M52" s="4" t="s">
        <v>3732</v>
      </c>
    </row>
    <row r="53" spans="1:13">
      <c r="A53" s="2">
        <v>2838</v>
      </c>
      <c r="B53" s="2" t="s">
        <v>3733</v>
      </c>
      <c r="C53" s="2">
        <v>40</v>
      </c>
      <c r="D53" s="2">
        <v>556</v>
      </c>
      <c r="E53" s="2">
        <v>183</v>
      </c>
      <c r="F53" s="2">
        <v>32441</v>
      </c>
      <c r="G53" s="2">
        <v>12.75346936</v>
      </c>
      <c r="H53" s="3">
        <v>4.2399999999999998E-29</v>
      </c>
      <c r="I53" s="2" t="s">
        <v>3734</v>
      </c>
      <c r="J53" s="2" t="s">
        <v>3735</v>
      </c>
      <c r="K53" s="3">
        <v>5.6100000000000002E-27</v>
      </c>
      <c r="L53" s="2" t="s">
        <v>35</v>
      </c>
      <c r="M53" s="4" t="s">
        <v>3736</v>
      </c>
    </row>
    <row r="54" spans="1:13">
      <c r="A54" s="2">
        <v>1570</v>
      </c>
      <c r="B54" s="2" t="s">
        <v>3737</v>
      </c>
      <c r="C54" s="2">
        <v>40</v>
      </c>
      <c r="D54" s="2">
        <v>556</v>
      </c>
      <c r="E54" s="2">
        <v>187</v>
      </c>
      <c r="F54" s="2">
        <v>32441</v>
      </c>
      <c r="G54" s="2">
        <v>12.48066787</v>
      </c>
      <c r="H54" s="3">
        <v>8.7000000000000002E-29</v>
      </c>
      <c r="I54" s="2" t="s">
        <v>3738</v>
      </c>
      <c r="J54" s="2" t="s">
        <v>3739</v>
      </c>
      <c r="K54" s="3">
        <v>1.12E-26</v>
      </c>
      <c r="L54" s="2" t="s">
        <v>35</v>
      </c>
      <c r="M54" s="4" t="s">
        <v>3740</v>
      </c>
    </row>
    <row r="55" spans="1:13">
      <c r="A55" s="2">
        <v>4423</v>
      </c>
      <c r="B55" s="2" t="s">
        <v>3741</v>
      </c>
      <c r="C55" s="2">
        <v>52</v>
      </c>
      <c r="D55" s="2">
        <v>556</v>
      </c>
      <c r="E55" s="2">
        <v>387</v>
      </c>
      <c r="F55" s="2">
        <v>32441</v>
      </c>
      <c r="G55" s="2">
        <v>7.8399234099999999</v>
      </c>
      <c r="H55" s="3">
        <v>2.0599999999999998E-28</v>
      </c>
      <c r="I55" s="3" t="s">
        <v>3742</v>
      </c>
      <c r="J55" s="3" t="s">
        <v>3743</v>
      </c>
      <c r="K55" s="3">
        <v>2.5799999999999999E-26</v>
      </c>
      <c r="L55" s="2" t="s">
        <v>35</v>
      </c>
      <c r="M55" s="4" t="s">
        <v>3744</v>
      </c>
    </row>
    <row r="56" spans="1:13">
      <c r="A56" s="2">
        <v>4346</v>
      </c>
      <c r="B56" s="2" t="s">
        <v>3745</v>
      </c>
      <c r="C56" s="2">
        <v>47</v>
      </c>
      <c r="D56" s="2">
        <v>556</v>
      </c>
      <c r="E56" s="2">
        <v>307</v>
      </c>
      <c r="F56" s="2">
        <v>32441</v>
      </c>
      <c r="G56" s="2">
        <v>8.9326213299999999</v>
      </c>
      <c r="H56" s="3">
        <v>5.7300000000000004E-28</v>
      </c>
      <c r="I56" s="2" t="s">
        <v>3746</v>
      </c>
      <c r="J56" s="2" t="s">
        <v>3747</v>
      </c>
      <c r="K56" s="3">
        <v>6.9999999999999997E-26</v>
      </c>
      <c r="L56" s="2" t="s">
        <v>35</v>
      </c>
      <c r="M56" s="4" t="s">
        <v>3748</v>
      </c>
    </row>
    <row r="57" spans="1:13">
      <c r="A57" s="2">
        <v>115</v>
      </c>
      <c r="B57" s="2" t="s">
        <v>3749</v>
      </c>
      <c r="C57" s="2">
        <v>35</v>
      </c>
      <c r="D57" s="2">
        <v>556</v>
      </c>
      <c r="E57" s="2">
        <v>134</v>
      </c>
      <c r="F57" s="2">
        <v>32441</v>
      </c>
      <c r="G57" s="2">
        <v>15.23992</v>
      </c>
      <c r="H57" s="3">
        <v>7.5600000000000004E-28</v>
      </c>
      <c r="I57" s="2" t="s">
        <v>3750</v>
      </c>
      <c r="J57" s="2" t="s">
        <v>3751</v>
      </c>
      <c r="K57" s="3">
        <v>8.8000000000000003E-26</v>
      </c>
      <c r="L57" s="2" t="s">
        <v>35</v>
      </c>
      <c r="M57" s="4" t="s">
        <v>3752</v>
      </c>
    </row>
    <row r="58" spans="1:13">
      <c r="A58" s="2">
        <v>3864</v>
      </c>
      <c r="B58" s="2" t="s">
        <v>3753</v>
      </c>
      <c r="C58" s="2">
        <v>53</v>
      </c>
      <c r="D58" s="2">
        <v>556</v>
      </c>
      <c r="E58" s="2">
        <v>418</v>
      </c>
      <c r="F58" s="2">
        <v>32441</v>
      </c>
      <c r="G58" s="2">
        <v>7.3980801009999997</v>
      </c>
      <c r="H58" s="3">
        <v>7.5799999999999998E-28</v>
      </c>
      <c r="I58" s="3" t="s">
        <v>3754</v>
      </c>
      <c r="J58" s="3" t="s">
        <v>3755</v>
      </c>
      <c r="K58" s="3">
        <v>8.8000000000000003E-26</v>
      </c>
      <c r="L58" s="2" t="s">
        <v>35</v>
      </c>
      <c r="M58" s="4" t="s">
        <v>3756</v>
      </c>
    </row>
    <row r="59" spans="1:13">
      <c r="A59" s="2">
        <v>4437</v>
      </c>
      <c r="B59" s="2" t="s">
        <v>3757</v>
      </c>
      <c r="C59" s="2">
        <v>111</v>
      </c>
      <c r="D59" s="2">
        <v>556</v>
      </c>
      <c r="E59" s="2">
        <v>1972</v>
      </c>
      <c r="F59" s="2">
        <v>32441</v>
      </c>
      <c r="G59" s="2">
        <v>3.2842447140000002</v>
      </c>
      <c r="H59" s="3">
        <v>1.09E-27</v>
      </c>
      <c r="I59" s="3" t="s">
        <v>3758</v>
      </c>
      <c r="J59" s="3" t="s">
        <v>3759</v>
      </c>
      <c r="K59" s="3">
        <v>1.2399999999999999E-25</v>
      </c>
      <c r="L59" s="2" t="s">
        <v>35</v>
      </c>
      <c r="M59" s="4" t="s">
        <v>3760</v>
      </c>
    </row>
    <row r="60" spans="1:13">
      <c r="A60" s="2">
        <v>89</v>
      </c>
      <c r="B60" s="2" t="s">
        <v>3761</v>
      </c>
      <c r="C60" s="2">
        <v>44</v>
      </c>
      <c r="D60" s="2">
        <v>556</v>
      </c>
      <c r="E60" s="2">
        <v>267</v>
      </c>
      <c r="F60" s="2">
        <v>32441</v>
      </c>
      <c r="G60" s="2">
        <v>9.6152561100000007</v>
      </c>
      <c r="H60" s="3">
        <v>2.0599999999999998E-27</v>
      </c>
      <c r="I60" s="2" t="s">
        <v>3762</v>
      </c>
      <c r="J60" s="2" t="s">
        <v>3763</v>
      </c>
      <c r="K60" s="3">
        <v>2.28E-25</v>
      </c>
      <c r="L60" s="2" t="s">
        <v>35</v>
      </c>
      <c r="M60" s="4" t="s">
        <v>3764</v>
      </c>
    </row>
    <row r="61" spans="1:13">
      <c r="A61" s="2">
        <v>2762</v>
      </c>
      <c r="B61" s="2" t="s">
        <v>3765</v>
      </c>
      <c r="C61" s="2">
        <v>37</v>
      </c>
      <c r="D61" s="2">
        <v>556</v>
      </c>
      <c r="E61" s="2">
        <v>165</v>
      </c>
      <c r="F61" s="2">
        <v>32441</v>
      </c>
      <c r="G61" s="2">
        <v>13.08390015</v>
      </c>
      <c r="H61" s="3">
        <v>2.4200000000000002E-27</v>
      </c>
      <c r="I61" s="2" t="s">
        <v>3766</v>
      </c>
      <c r="J61" s="2" t="s">
        <v>3767</v>
      </c>
      <c r="K61" s="3">
        <v>2.6199999999999999E-25</v>
      </c>
      <c r="L61" s="2" t="s">
        <v>35</v>
      </c>
      <c r="M61" s="4" t="s">
        <v>3768</v>
      </c>
    </row>
    <row r="62" spans="1:13">
      <c r="A62" s="2">
        <v>3827</v>
      </c>
      <c r="B62" s="2" t="s">
        <v>3769</v>
      </c>
      <c r="C62" s="2">
        <v>32</v>
      </c>
      <c r="D62" s="2">
        <v>556</v>
      </c>
      <c r="E62" s="2">
        <v>107</v>
      </c>
      <c r="F62" s="2">
        <v>32441</v>
      </c>
      <c r="G62" s="2">
        <v>17.449606670000001</v>
      </c>
      <c r="H62" s="3">
        <v>4.1199999999999997E-27</v>
      </c>
      <c r="I62" s="2" t="s">
        <v>3770</v>
      </c>
      <c r="J62" s="2" t="s">
        <v>3771</v>
      </c>
      <c r="K62" s="3">
        <v>4.3599999999999996E-25</v>
      </c>
      <c r="L62" s="2" t="s">
        <v>35</v>
      </c>
      <c r="M62" s="4" t="s">
        <v>3772</v>
      </c>
    </row>
    <row r="63" spans="1:13">
      <c r="A63" s="2">
        <v>698</v>
      </c>
      <c r="B63" s="2" t="s">
        <v>3773</v>
      </c>
      <c r="C63" s="2">
        <v>28</v>
      </c>
      <c r="D63" s="2">
        <v>556</v>
      </c>
      <c r="E63" s="2">
        <v>70</v>
      </c>
      <c r="F63" s="2">
        <v>32441</v>
      </c>
      <c r="G63" s="2">
        <v>23.33884892</v>
      </c>
      <c r="H63" s="3">
        <v>9.7100000000000001E-27</v>
      </c>
      <c r="I63" s="2" t="s">
        <v>3774</v>
      </c>
      <c r="J63" s="2" t="s">
        <v>3775</v>
      </c>
      <c r="K63" s="3">
        <v>1.0100000000000001E-24</v>
      </c>
      <c r="L63" s="2" t="s">
        <v>35</v>
      </c>
      <c r="M63" s="4" t="s">
        <v>3776</v>
      </c>
    </row>
    <row r="64" spans="1:13">
      <c r="A64" s="2">
        <v>161</v>
      </c>
      <c r="B64" s="2" t="s">
        <v>3777</v>
      </c>
      <c r="C64" s="2">
        <v>28</v>
      </c>
      <c r="D64" s="2">
        <v>556</v>
      </c>
      <c r="E64" s="2">
        <v>72</v>
      </c>
      <c r="F64" s="2">
        <v>32441</v>
      </c>
      <c r="G64" s="2">
        <v>22.690547559999999</v>
      </c>
      <c r="H64" s="3">
        <v>1.82E-26</v>
      </c>
      <c r="I64" s="2" t="s">
        <v>3778</v>
      </c>
      <c r="J64" s="2" t="s">
        <v>3779</v>
      </c>
      <c r="K64" s="3">
        <v>1.81E-24</v>
      </c>
      <c r="L64" s="2" t="s">
        <v>35</v>
      </c>
      <c r="M64" s="4" t="s">
        <v>3780</v>
      </c>
    </row>
    <row r="65" spans="1:13">
      <c r="A65" s="2">
        <v>486</v>
      </c>
      <c r="B65" s="2" t="s">
        <v>3781</v>
      </c>
      <c r="C65" s="2">
        <v>27</v>
      </c>
      <c r="D65" s="2">
        <v>556</v>
      </c>
      <c r="E65" s="2">
        <v>63</v>
      </c>
      <c r="F65" s="2">
        <v>32441</v>
      </c>
      <c r="G65" s="2">
        <v>25.005909559999999</v>
      </c>
      <c r="H65" s="3">
        <v>1.8000000000000001E-26</v>
      </c>
      <c r="I65" s="2" t="s">
        <v>3782</v>
      </c>
      <c r="J65" s="2" t="s">
        <v>3783</v>
      </c>
      <c r="K65" s="3">
        <v>1.81E-24</v>
      </c>
      <c r="L65" s="2" t="s">
        <v>35</v>
      </c>
      <c r="M65" s="4" t="s">
        <v>3784</v>
      </c>
    </row>
    <row r="66" spans="1:13">
      <c r="A66" s="2">
        <v>1563</v>
      </c>
      <c r="B66" s="2" t="s">
        <v>3785</v>
      </c>
      <c r="C66" s="2">
        <v>51</v>
      </c>
      <c r="D66" s="2">
        <v>556</v>
      </c>
      <c r="E66" s="2">
        <v>418</v>
      </c>
      <c r="F66" s="2">
        <v>32441</v>
      </c>
      <c r="G66" s="2">
        <v>7.118907267</v>
      </c>
      <c r="H66" s="3">
        <v>3.9499999999999997E-26</v>
      </c>
      <c r="I66" s="3" t="s">
        <v>3786</v>
      </c>
      <c r="J66" s="3" t="s">
        <v>3787</v>
      </c>
      <c r="K66" s="3">
        <v>3.8299999999999998E-24</v>
      </c>
      <c r="L66" s="2" t="s">
        <v>35</v>
      </c>
      <c r="M66" s="4" t="s">
        <v>3788</v>
      </c>
    </row>
    <row r="67" spans="1:13">
      <c r="A67" s="2">
        <v>2764</v>
      </c>
      <c r="B67" s="2" t="s">
        <v>3789</v>
      </c>
      <c r="C67" s="2">
        <v>48</v>
      </c>
      <c r="D67" s="2">
        <v>556</v>
      </c>
      <c r="E67" s="2">
        <v>366</v>
      </c>
      <c r="F67" s="2">
        <v>32441</v>
      </c>
      <c r="G67" s="2">
        <v>7.652081613</v>
      </c>
      <c r="H67" s="3">
        <v>7.0099999999999997E-26</v>
      </c>
      <c r="I67" s="2" t="s">
        <v>3790</v>
      </c>
      <c r="J67" s="2" t="s">
        <v>3791</v>
      </c>
      <c r="K67" s="3">
        <v>6.6800000000000002E-24</v>
      </c>
      <c r="L67" s="2" t="s">
        <v>35</v>
      </c>
      <c r="M67" s="4" t="s">
        <v>3792</v>
      </c>
    </row>
    <row r="68" spans="1:13">
      <c r="A68" s="2">
        <v>3622</v>
      </c>
      <c r="B68" s="2" t="s">
        <v>3793</v>
      </c>
      <c r="C68" s="2">
        <v>27</v>
      </c>
      <c r="D68" s="2">
        <v>556</v>
      </c>
      <c r="E68" s="2">
        <v>73</v>
      </c>
      <c r="F68" s="2">
        <v>32441</v>
      </c>
      <c r="G68" s="2">
        <v>21.5804425</v>
      </c>
      <c r="H68" s="3">
        <v>4.2899999999999998E-25</v>
      </c>
      <c r="I68" s="2" t="s">
        <v>3794</v>
      </c>
      <c r="J68" s="2" t="s">
        <v>3795</v>
      </c>
      <c r="K68" s="3">
        <v>4.0099999999999999E-23</v>
      </c>
      <c r="L68" s="2" t="s">
        <v>35</v>
      </c>
      <c r="M68" s="4" t="s">
        <v>3796</v>
      </c>
    </row>
    <row r="69" spans="1:13">
      <c r="A69" s="2">
        <v>1561</v>
      </c>
      <c r="B69" s="2" t="s">
        <v>3797</v>
      </c>
      <c r="C69" s="2">
        <v>47</v>
      </c>
      <c r="D69" s="2">
        <v>556</v>
      </c>
      <c r="E69" s="2">
        <v>380</v>
      </c>
      <c r="F69" s="2">
        <v>32441</v>
      </c>
      <c r="G69" s="2">
        <v>7.2166177579999999</v>
      </c>
      <c r="H69" s="3">
        <v>2.21E-24</v>
      </c>
      <c r="I69" s="3" t="s">
        <v>3798</v>
      </c>
      <c r="J69" s="3" t="s">
        <v>3799</v>
      </c>
      <c r="K69" s="3">
        <v>2.0300000000000001E-22</v>
      </c>
      <c r="L69" s="2" t="s">
        <v>35</v>
      </c>
      <c r="M69" s="4" t="s">
        <v>3800</v>
      </c>
    </row>
    <row r="70" spans="1:13">
      <c r="A70" s="2">
        <v>2899</v>
      </c>
      <c r="B70" s="2" t="s">
        <v>3801</v>
      </c>
      <c r="C70" s="2">
        <v>29</v>
      </c>
      <c r="D70" s="2">
        <v>556</v>
      </c>
      <c r="E70" s="2">
        <v>101</v>
      </c>
      <c r="F70" s="2">
        <v>32441</v>
      </c>
      <c r="G70" s="2">
        <v>16.753134129999999</v>
      </c>
      <c r="H70" s="3">
        <v>2.8899999999999999E-24</v>
      </c>
      <c r="I70" s="2" t="s">
        <v>3802</v>
      </c>
      <c r="J70" s="2" t="s">
        <v>3803</v>
      </c>
      <c r="K70" s="3">
        <v>2.5899999999999998E-22</v>
      </c>
      <c r="L70" s="2" t="s">
        <v>35</v>
      </c>
      <c r="M70" s="4" t="s">
        <v>3804</v>
      </c>
    </row>
    <row r="71" spans="1:13">
      <c r="A71" s="2">
        <v>3385</v>
      </c>
      <c r="B71" s="2" t="s">
        <v>3805</v>
      </c>
      <c r="C71" s="2">
        <v>73</v>
      </c>
      <c r="D71" s="2">
        <v>556</v>
      </c>
      <c r="E71" s="2">
        <v>1022</v>
      </c>
      <c r="F71" s="2">
        <v>32441</v>
      </c>
      <c r="G71" s="2">
        <v>4.1676515930000004</v>
      </c>
      <c r="H71" s="3">
        <v>1.07E-23</v>
      </c>
      <c r="I71" s="3" t="s">
        <v>3806</v>
      </c>
      <c r="J71" s="3" t="s">
        <v>3807</v>
      </c>
      <c r="K71" s="3">
        <v>9.4000000000000006E-22</v>
      </c>
      <c r="L71" s="2" t="s">
        <v>35</v>
      </c>
      <c r="M71" s="4" t="s">
        <v>3808</v>
      </c>
    </row>
    <row r="72" spans="1:13">
      <c r="A72" s="2">
        <v>4379</v>
      </c>
      <c r="B72" s="2" t="s">
        <v>2909</v>
      </c>
      <c r="C72" s="2">
        <v>47</v>
      </c>
      <c r="D72" s="2">
        <v>556</v>
      </c>
      <c r="E72" s="2">
        <v>397</v>
      </c>
      <c r="F72" s="2">
        <v>32441</v>
      </c>
      <c r="G72" s="2">
        <v>6.9075938240000001</v>
      </c>
      <c r="H72" s="3">
        <v>1.1899999999999999E-23</v>
      </c>
      <c r="I72" s="3" t="s">
        <v>3809</v>
      </c>
      <c r="J72" s="3" t="s">
        <v>3810</v>
      </c>
      <c r="K72" s="3">
        <v>1.0299999999999999E-21</v>
      </c>
      <c r="L72" s="2" t="s">
        <v>35</v>
      </c>
      <c r="M72" s="4" t="s">
        <v>2912</v>
      </c>
    </row>
    <row r="73" spans="1:13">
      <c r="A73" s="2">
        <v>1325</v>
      </c>
      <c r="B73" s="2" t="s">
        <v>3811</v>
      </c>
      <c r="C73" s="2">
        <v>23</v>
      </c>
      <c r="D73" s="2">
        <v>556</v>
      </c>
      <c r="E73" s="2">
        <v>52</v>
      </c>
      <c r="F73" s="2">
        <v>32441</v>
      </c>
      <c r="G73" s="2">
        <v>25.807381020000001</v>
      </c>
      <c r="H73" s="3">
        <v>5.4699999999999994E-23</v>
      </c>
      <c r="I73" s="2" t="s">
        <v>3812</v>
      </c>
      <c r="J73" s="2" t="s">
        <v>3813</v>
      </c>
      <c r="K73" s="3">
        <v>4.6500000000000001E-21</v>
      </c>
      <c r="L73" s="2" t="s">
        <v>35</v>
      </c>
      <c r="M73" s="4" t="s">
        <v>3814</v>
      </c>
    </row>
    <row r="74" spans="1:13">
      <c r="A74" s="2">
        <v>4121</v>
      </c>
      <c r="B74" s="2" t="s">
        <v>3815</v>
      </c>
      <c r="C74" s="2">
        <v>22</v>
      </c>
      <c r="D74" s="2">
        <v>556</v>
      </c>
      <c r="E74" s="2">
        <v>44</v>
      </c>
      <c r="F74" s="2">
        <v>32441</v>
      </c>
      <c r="G74" s="2">
        <v>29.173561150000001</v>
      </c>
      <c r="H74" s="3">
        <v>5.8599999999999994E-23</v>
      </c>
      <c r="I74" s="2" t="s">
        <v>3816</v>
      </c>
      <c r="J74" s="2" t="s">
        <v>3817</v>
      </c>
      <c r="K74" s="3">
        <v>4.8900000000000003E-21</v>
      </c>
      <c r="L74" s="2" t="s">
        <v>35</v>
      </c>
      <c r="M74" s="4" t="s">
        <v>3818</v>
      </c>
    </row>
    <row r="75" spans="1:13">
      <c r="A75" s="2">
        <v>3865</v>
      </c>
      <c r="B75" s="2" t="s">
        <v>3819</v>
      </c>
      <c r="C75" s="2">
        <v>37</v>
      </c>
      <c r="D75" s="2">
        <v>556</v>
      </c>
      <c r="E75" s="2">
        <v>235</v>
      </c>
      <c r="F75" s="2">
        <v>32441</v>
      </c>
      <c r="G75" s="2">
        <v>9.1865681919999993</v>
      </c>
      <c r="H75" s="3">
        <v>1.2799999999999999E-22</v>
      </c>
      <c r="I75" s="2" t="s">
        <v>3820</v>
      </c>
      <c r="J75" s="2" t="s">
        <v>3821</v>
      </c>
      <c r="K75" s="3">
        <v>1.0499999999999999E-20</v>
      </c>
      <c r="L75" s="2" t="s">
        <v>35</v>
      </c>
      <c r="M75" s="4" t="s">
        <v>3822</v>
      </c>
    </row>
    <row r="76" spans="1:13">
      <c r="A76" s="2">
        <v>2809</v>
      </c>
      <c r="B76" s="2" t="s">
        <v>3823</v>
      </c>
      <c r="C76" s="2">
        <v>25</v>
      </c>
      <c r="D76" s="2">
        <v>556</v>
      </c>
      <c r="E76" s="2">
        <v>77</v>
      </c>
      <c r="F76" s="2">
        <v>32441</v>
      </c>
      <c r="G76" s="2">
        <v>18.943870879999999</v>
      </c>
      <c r="H76" s="3">
        <v>3.4599999999999999E-22</v>
      </c>
      <c r="I76" s="2" t="s">
        <v>3824</v>
      </c>
      <c r="J76" s="2" t="s">
        <v>3825</v>
      </c>
      <c r="K76" s="3">
        <v>2.8000000000000003E-20</v>
      </c>
      <c r="L76" s="2" t="s">
        <v>35</v>
      </c>
      <c r="M76" s="4" t="s">
        <v>3826</v>
      </c>
    </row>
    <row r="77" spans="1:13">
      <c r="A77" s="2">
        <v>127</v>
      </c>
      <c r="B77" s="2" t="s">
        <v>3827</v>
      </c>
      <c r="C77" s="2">
        <v>26</v>
      </c>
      <c r="D77" s="2">
        <v>556</v>
      </c>
      <c r="E77" s="2">
        <v>88</v>
      </c>
      <c r="F77" s="2">
        <v>32441</v>
      </c>
      <c r="G77" s="2">
        <v>17.238922500000001</v>
      </c>
      <c r="H77" s="3">
        <v>3.7400000000000002E-22</v>
      </c>
      <c r="I77" s="2" t="s">
        <v>3828</v>
      </c>
      <c r="J77" s="2" t="s">
        <v>3829</v>
      </c>
      <c r="K77" s="3">
        <v>2.9699999999999999E-20</v>
      </c>
      <c r="L77" s="2" t="s">
        <v>35</v>
      </c>
      <c r="M77" s="4" t="s">
        <v>3830</v>
      </c>
    </row>
    <row r="78" spans="1:13">
      <c r="A78" s="2">
        <v>2498</v>
      </c>
      <c r="B78" s="2" t="s">
        <v>3831</v>
      </c>
      <c r="C78" s="2">
        <v>26</v>
      </c>
      <c r="D78" s="2">
        <v>556</v>
      </c>
      <c r="E78" s="2">
        <v>90</v>
      </c>
      <c r="F78" s="2">
        <v>32441</v>
      </c>
      <c r="G78" s="2">
        <v>16.855835330000001</v>
      </c>
      <c r="H78" s="3">
        <v>6.0399999999999995E-22</v>
      </c>
      <c r="I78" s="2" t="s">
        <v>3832</v>
      </c>
      <c r="J78" s="2" t="s">
        <v>3833</v>
      </c>
      <c r="K78" s="3">
        <v>4.7200000000000002E-20</v>
      </c>
      <c r="L78" s="2" t="s">
        <v>35</v>
      </c>
      <c r="M78" s="4" t="s">
        <v>3834</v>
      </c>
    </row>
    <row r="79" spans="1:13">
      <c r="A79" s="2">
        <v>2826</v>
      </c>
      <c r="B79" s="2" t="s">
        <v>3835</v>
      </c>
      <c r="C79" s="2">
        <v>29</v>
      </c>
      <c r="D79" s="2">
        <v>556</v>
      </c>
      <c r="E79" s="2">
        <v>128</v>
      </c>
      <c r="F79" s="2">
        <v>32441</v>
      </c>
      <c r="G79" s="2">
        <v>13.2192699</v>
      </c>
      <c r="H79" s="3">
        <v>8.4000000000000003E-22</v>
      </c>
      <c r="I79" s="2" t="s">
        <v>3836</v>
      </c>
      <c r="J79" s="2" t="s">
        <v>3837</v>
      </c>
      <c r="K79" s="3">
        <v>6.4499999999999999E-20</v>
      </c>
      <c r="L79" s="2" t="s">
        <v>35</v>
      </c>
      <c r="M79" s="4" t="s">
        <v>3838</v>
      </c>
    </row>
    <row r="80" spans="1:13">
      <c r="A80" s="2">
        <v>3788</v>
      </c>
      <c r="B80" s="2" t="s">
        <v>3839</v>
      </c>
      <c r="C80" s="2">
        <v>37</v>
      </c>
      <c r="D80" s="2">
        <v>556</v>
      </c>
      <c r="E80" s="2">
        <v>252</v>
      </c>
      <c r="F80" s="2">
        <v>32441</v>
      </c>
      <c r="G80" s="2">
        <v>8.5668393859999998</v>
      </c>
      <c r="H80" s="3">
        <v>1.0800000000000001E-21</v>
      </c>
      <c r="I80" s="2" t="s">
        <v>3840</v>
      </c>
      <c r="J80" s="2" t="s">
        <v>3841</v>
      </c>
      <c r="K80" s="3">
        <v>8.1899999999999999E-20</v>
      </c>
      <c r="L80" s="2" t="s">
        <v>35</v>
      </c>
      <c r="M80" s="4" t="s">
        <v>3842</v>
      </c>
    </row>
    <row r="81" spans="1:13">
      <c r="A81" s="2">
        <v>473</v>
      </c>
      <c r="B81" s="2" t="s">
        <v>3843</v>
      </c>
      <c r="C81" s="2">
        <v>23</v>
      </c>
      <c r="D81" s="2">
        <v>556</v>
      </c>
      <c r="E81" s="2">
        <v>66</v>
      </c>
      <c r="F81" s="2">
        <v>32441</v>
      </c>
      <c r="G81" s="2">
        <v>20.333088069999999</v>
      </c>
      <c r="H81" s="3">
        <v>4.3300000000000002E-21</v>
      </c>
      <c r="I81" s="2" t="s">
        <v>3844</v>
      </c>
      <c r="J81" s="2" t="s">
        <v>3845</v>
      </c>
      <c r="K81" s="3">
        <v>3.22E-19</v>
      </c>
      <c r="L81" s="2" t="s">
        <v>35</v>
      </c>
      <c r="M81" s="4" t="s">
        <v>3846</v>
      </c>
    </row>
    <row r="82" spans="1:13">
      <c r="A82" s="2">
        <v>847</v>
      </c>
      <c r="B82" s="2" t="s">
        <v>3847</v>
      </c>
      <c r="C82" s="2">
        <v>18</v>
      </c>
      <c r="D82" s="2">
        <v>556</v>
      </c>
      <c r="E82" s="2">
        <v>27</v>
      </c>
      <c r="F82" s="2">
        <v>32441</v>
      </c>
      <c r="G82" s="2">
        <v>38.898081529999999</v>
      </c>
      <c r="H82" s="3">
        <v>1.03E-20</v>
      </c>
      <c r="I82" s="2" t="s">
        <v>3848</v>
      </c>
      <c r="J82" s="2" t="s">
        <v>3849</v>
      </c>
      <c r="K82" s="3">
        <v>7.5299999999999996E-19</v>
      </c>
      <c r="L82" s="2" t="s">
        <v>35</v>
      </c>
      <c r="M82" s="4" t="s">
        <v>3850</v>
      </c>
    </row>
    <row r="83" spans="1:13">
      <c r="A83" s="2">
        <v>181</v>
      </c>
      <c r="B83" s="2" t="s">
        <v>3851</v>
      </c>
      <c r="C83" s="2">
        <v>20</v>
      </c>
      <c r="D83" s="2">
        <v>556</v>
      </c>
      <c r="E83" s="2">
        <v>42</v>
      </c>
      <c r="F83" s="2">
        <v>32441</v>
      </c>
      <c r="G83" s="2">
        <v>27.78434395</v>
      </c>
      <c r="H83" s="3">
        <v>1.16E-20</v>
      </c>
      <c r="I83" s="2" t="s">
        <v>3852</v>
      </c>
      <c r="J83" s="2" t="s">
        <v>3853</v>
      </c>
      <c r="K83" s="3">
        <v>8.3600000000000002E-19</v>
      </c>
      <c r="L83" s="2" t="s">
        <v>35</v>
      </c>
      <c r="M83" s="4" t="s">
        <v>3854</v>
      </c>
    </row>
    <row r="84" spans="1:13">
      <c r="A84" s="2">
        <v>1440</v>
      </c>
      <c r="B84" s="2" t="s">
        <v>187</v>
      </c>
      <c r="C84" s="2">
        <v>27</v>
      </c>
      <c r="D84" s="2">
        <v>556</v>
      </c>
      <c r="E84" s="2">
        <v>116</v>
      </c>
      <c r="F84" s="2">
        <v>32441</v>
      </c>
      <c r="G84" s="2">
        <v>13.58079571</v>
      </c>
      <c r="H84" s="3">
        <v>1.1899999999999999E-20</v>
      </c>
      <c r="I84" s="2" t="s">
        <v>3855</v>
      </c>
      <c r="J84" s="2" t="s">
        <v>3856</v>
      </c>
      <c r="K84" s="3">
        <v>8.4800000000000003E-19</v>
      </c>
      <c r="L84" s="2" t="s">
        <v>35</v>
      </c>
      <c r="M84" s="4" t="s">
        <v>3857</v>
      </c>
    </row>
    <row r="85" spans="1:13">
      <c r="A85" s="2">
        <v>3457</v>
      </c>
      <c r="B85" s="2" t="s">
        <v>3858</v>
      </c>
      <c r="C85" s="2">
        <v>38</v>
      </c>
      <c r="D85" s="2">
        <v>556</v>
      </c>
      <c r="E85" s="2">
        <v>292</v>
      </c>
      <c r="F85" s="2">
        <v>32441</v>
      </c>
      <c r="G85" s="2">
        <v>7.5931186559999997</v>
      </c>
      <c r="H85" s="3">
        <v>1.31E-20</v>
      </c>
      <c r="I85" s="2" t="s">
        <v>3859</v>
      </c>
      <c r="J85" s="2" t="s">
        <v>3860</v>
      </c>
      <c r="K85" s="3">
        <v>9.1999999999999992E-19</v>
      </c>
      <c r="L85" s="2" t="s">
        <v>35</v>
      </c>
      <c r="M85" s="4" t="s">
        <v>3861</v>
      </c>
    </row>
    <row r="86" spans="1:13">
      <c r="A86" s="2">
        <v>4353</v>
      </c>
      <c r="B86" s="2" t="s">
        <v>3862</v>
      </c>
      <c r="C86" s="2">
        <v>46</v>
      </c>
      <c r="D86" s="2">
        <v>556</v>
      </c>
      <c r="E86" s="2">
        <v>456</v>
      </c>
      <c r="F86" s="2">
        <v>32441</v>
      </c>
      <c r="G86" s="2">
        <v>5.8858939159999997</v>
      </c>
      <c r="H86" s="3">
        <v>1.37E-20</v>
      </c>
      <c r="I86" s="3" t="s">
        <v>3863</v>
      </c>
      <c r="J86" s="3" t="s">
        <v>3864</v>
      </c>
      <c r="K86" s="3">
        <v>9.4299999999999991E-19</v>
      </c>
      <c r="L86" s="2" t="s">
        <v>35</v>
      </c>
      <c r="M86" s="4" t="s">
        <v>3865</v>
      </c>
    </row>
    <row r="87" spans="1:13">
      <c r="A87" s="2">
        <v>90</v>
      </c>
      <c r="B87" s="2" t="s">
        <v>3866</v>
      </c>
      <c r="C87" s="2">
        <v>32</v>
      </c>
      <c r="D87" s="2">
        <v>556</v>
      </c>
      <c r="E87" s="2">
        <v>190</v>
      </c>
      <c r="F87" s="2">
        <v>32441</v>
      </c>
      <c r="G87" s="2">
        <v>9.8268837560000009</v>
      </c>
      <c r="H87" s="3">
        <v>1.6700000000000001E-20</v>
      </c>
      <c r="I87" s="2" t="s">
        <v>3867</v>
      </c>
      <c r="J87" s="2" t="s">
        <v>3868</v>
      </c>
      <c r="K87" s="3">
        <v>1.1399999999999999E-18</v>
      </c>
      <c r="L87" s="2" t="s">
        <v>35</v>
      </c>
      <c r="M87" s="4" t="s">
        <v>3869</v>
      </c>
    </row>
    <row r="88" spans="1:13">
      <c r="A88" s="2">
        <v>3804</v>
      </c>
      <c r="B88" s="2" t="s">
        <v>3870</v>
      </c>
      <c r="C88" s="2">
        <v>21</v>
      </c>
      <c r="D88" s="2">
        <v>556</v>
      </c>
      <c r="E88" s="2">
        <v>52</v>
      </c>
      <c r="F88" s="2">
        <v>32441</v>
      </c>
      <c r="G88" s="2">
        <v>23.563260929999998</v>
      </c>
      <c r="H88" s="3">
        <v>1.8999999999999999E-20</v>
      </c>
      <c r="I88" s="2" t="s">
        <v>3871</v>
      </c>
      <c r="J88" s="2" t="s">
        <v>3872</v>
      </c>
      <c r="K88" s="3">
        <v>1.27E-18</v>
      </c>
      <c r="L88" s="2" t="s">
        <v>35</v>
      </c>
      <c r="M88" s="4" t="s">
        <v>3873</v>
      </c>
    </row>
    <row r="89" spans="1:13">
      <c r="A89" s="2">
        <v>4585</v>
      </c>
      <c r="B89" s="2" t="s">
        <v>3874</v>
      </c>
      <c r="C89" s="2">
        <v>29</v>
      </c>
      <c r="D89" s="2">
        <v>556</v>
      </c>
      <c r="E89" s="2">
        <v>149</v>
      </c>
      <c r="F89" s="2">
        <v>32441</v>
      </c>
      <c r="G89" s="2">
        <v>11.35615132</v>
      </c>
      <c r="H89" s="3">
        <v>3.2599999999999999E-20</v>
      </c>
      <c r="I89" s="2" t="s">
        <v>3875</v>
      </c>
      <c r="J89" s="2" t="s">
        <v>3876</v>
      </c>
      <c r="K89" s="3">
        <v>2.1600000000000001E-18</v>
      </c>
      <c r="L89" s="2" t="s">
        <v>35</v>
      </c>
      <c r="M89" s="4" t="s">
        <v>3877</v>
      </c>
    </row>
    <row r="90" spans="1:13">
      <c r="A90" s="2">
        <v>180</v>
      </c>
      <c r="B90" s="2" t="s">
        <v>3878</v>
      </c>
      <c r="C90" s="2">
        <v>19</v>
      </c>
      <c r="D90" s="2">
        <v>556</v>
      </c>
      <c r="E90" s="2">
        <v>38</v>
      </c>
      <c r="F90" s="2">
        <v>32441</v>
      </c>
      <c r="G90" s="2">
        <v>29.173561150000001</v>
      </c>
      <c r="H90" s="3">
        <v>5.24E-20</v>
      </c>
      <c r="I90" s="2" t="s">
        <v>3879</v>
      </c>
      <c r="J90" s="2" t="s">
        <v>3880</v>
      </c>
      <c r="K90" s="3">
        <v>3.4199999999999999E-18</v>
      </c>
      <c r="L90" s="2" t="s">
        <v>35</v>
      </c>
      <c r="M90" s="4" t="s">
        <v>3881</v>
      </c>
    </row>
    <row r="91" spans="1:13">
      <c r="A91" s="2">
        <v>3826</v>
      </c>
      <c r="B91" s="2" t="s">
        <v>3882</v>
      </c>
      <c r="C91" s="2">
        <v>40</v>
      </c>
      <c r="D91" s="2">
        <v>556</v>
      </c>
      <c r="E91" s="2">
        <v>346</v>
      </c>
      <c r="F91" s="2">
        <v>32441</v>
      </c>
      <c r="G91" s="2">
        <v>6.7453320579999998</v>
      </c>
      <c r="H91" s="3">
        <v>5.91E-20</v>
      </c>
      <c r="I91" s="2" t="s">
        <v>3883</v>
      </c>
      <c r="J91" s="2" t="s">
        <v>3884</v>
      </c>
      <c r="K91" s="3">
        <v>3.8099999999999998E-18</v>
      </c>
      <c r="L91" s="2" t="s">
        <v>35</v>
      </c>
      <c r="M91" s="4" t="s">
        <v>3885</v>
      </c>
    </row>
    <row r="92" spans="1:13">
      <c r="A92" s="2">
        <v>3386</v>
      </c>
      <c r="B92" s="2" t="s">
        <v>3886</v>
      </c>
      <c r="C92" s="2">
        <v>73</v>
      </c>
      <c r="D92" s="2">
        <v>556</v>
      </c>
      <c r="E92" s="2">
        <v>1229</v>
      </c>
      <c r="F92" s="2">
        <v>32441</v>
      </c>
      <c r="G92" s="2">
        <v>3.4656956289999998</v>
      </c>
      <c r="H92" s="3">
        <v>2.1800000000000001E-19</v>
      </c>
      <c r="I92" s="3" t="s">
        <v>3887</v>
      </c>
      <c r="J92" s="3" t="s">
        <v>3888</v>
      </c>
      <c r="K92" s="3">
        <v>1.3900000000000002E-17</v>
      </c>
      <c r="L92" s="2" t="s">
        <v>35</v>
      </c>
      <c r="M92" s="4" t="s">
        <v>3889</v>
      </c>
    </row>
    <row r="93" spans="1:13">
      <c r="A93" s="2">
        <v>148</v>
      </c>
      <c r="B93" s="2" t="s">
        <v>3890</v>
      </c>
      <c r="C93" s="2">
        <v>19</v>
      </c>
      <c r="D93" s="2">
        <v>556</v>
      </c>
      <c r="E93" s="2">
        <v>44</v>
      </c>
      <c r="F93" s="2">
        <v>32441</v>
      </c>
      <c r="G93" s="2">
        <v>25.19534827</v>
      </c>
      <c r="H93" s="3">
        <v>4.5900000000000002E-19</v>
      </c>
      <c r="I93" s="2" t="s">
        <v>3891</v>
      </c>
      <c r="J93" s="2" t="s">
        <v>3892</v>
      </c>
      <c r="K93" s="3">
        <v>2.8800000000000001E-17</v>
      </c>
      <c r="L93" s="2" t="s">
        <v>35</v>
      </c>
      <c r="M93" s="4" t="s">
        <v>3893</v>
      </c>
    </row>
    <row r="94" spans="1:13">
      <c r="A94" s="2">
        <v>1030</v>
      </c>
      <c r="B94" s="2" t="s">
        <v>3894</v>
      </c>
      <c r="C94" s="2">
        <v>21</v>
      </c>
      <c r="D94" s="2">
        <v>556</v>
      </c>
      <c r="E94" s="2">
        <v>63</v>
      </c>
      <c r="F94" s="2">
        <v>32441</v>
      </c>
      <c r="G94" s="2">
        <v>19.44904077</v>
      </c>
      <c r="H94" s="3">
        <v>4.8200000000000002E-19</v>
      </c>
      <c r="I94" s="2" t="s">
        <v>3895</v>
      </c>
      <c r="J94" s="2" t="s">
        <v>3896</v>
      </c>
      <c r="K94" s="3">
        <v>2.9799999999999999E-17</v>
      </c>
      <c r="L94" s="2" t="s">
        <v>35</v>
      </c>
      <c r="M94" s="4" t="s">
        <v>3897</v>
      </c>
    </row>
    <row r="95" spans="1:13">
      <c r="A95" s="2">
        <v>834</v>
      </c>
      <c r="B95" s="2" t="s">
        <v>3898</v>
      </c>
      <c r="C95" s="2">
        <v>20</v>
      </c>
      <c r="D95" s="2">
        <v>556</v>
      </c>
      <c r="E95" s="2">
        <v>54</v>
      </c>
      <c r="F95" s="2">
        <v>32441</v>
      </c>
      <c r="G95" s="2">
        <v>21.610045299999999</v>
      </c>
      <c r="H95" s="3">
        <v>6.15E-19</v>
      </c>
      <c r="I95" s="2" t="s">
        <v>3899</v>
      </c>
      <c r="J95" s="2" t="s">
        <v>3900</v>
      </c>
      <c r="K95" s="3">
        <v>3.7499999999999999E-17</v>
      </c>
      <c r="L95" s="2" t="s">
        <v>35</v>
      </c>
      <c r="M95" s="4" t="s">
        <v>3901</v>
      </c>
    </row>
    <row r="96" spans="1:13">
      <c r="A96" s="2">
        <v>1540</v>
      </c>
      <c r="B96" s="2" t="s">
        <v>3902</v>
      </c>
      <c r="C96" s="2">
        <v>27</v>
      </c>
      <c r="D96" s="2">
        <v>556</v>
      </c>
      <c r="E96" s="2">
        <v>142</v>
      </c>
      <c r="F96" s="2">
        <v>32441</v>
      </c>
      <c r="G96" s="2">
        <v>11.09417114</v>
      </c>
      <c r="H96" s="3">
        <v>1.1100000000000001E-18</v>
      </c>
      <c r="I96" s="2" t="s">
        <v>3903</v>
      </c>
      <c r="J96" s="2" t="s">
        <v>3904</v>
      </c>
      <c r="K96" s="3">
        <v>6.6E-17</v>
      </c>
      <c r="L96" s="2" t="s">
        <v>35</v>
      </c>
      <c r="M96" s="4" t="s">
        <v>3905</v>
      </c>
    </row>
    <row r="97" spans="1:13">
      <c r="A97" s="2">
        <v>3539</v>
      </c>
      <c r="B97" s="2" t="s">
        <v>3906</v>
      </c>
      <c r="C97" s="2">
        <v>20</v>
      </c>
      <c r="D97" s="2">
        <v>556</v>
      </c>
      <c r="E97" s="2">
        <v>56</v>
      </c>
      <c r="F97" s="2">
        <v>32441</v>
      </c>
      <c r="G97" s="2">
        <v>20.838257970000001</v>
      </c>
      <c r="H97" s="3">
        <v>1.0999999999999999E-18</v>
      </c>
      <c r="I97" s="2" t="s">
        <v>3907</v>
      </c>
      <c r="J97" s="2" t="s">
        <v>3908</v>
      </c>
      <c r="K97" s="3">
        <v>6.6E-17</v>
      </c>
      <c r="L97" s="2" t="s">
        <v>35</v>
      </c>
      <c r="M97" s="4" t="s">
        <v>3909</v>
      </c>
    </row>
    <row r="98" spans="1:13">
      <c r="A98" s="2">
        <v>120</v>
      </c>
      <c r="B98" s="2" t="s">
        <v>3910</v>
      </c>
      <c r="C98" s="2">
        <v>23</v>
      </c>
      <c r="D98" s="2">
        <v>556</v>
      </c>
      <c r="E98" s="2">
        <v>89</v>
      </c>
      <c r="F98" s="2">
        <v>32441</v>
      </c>
      <c r="G98" s="2">
        <v>15.07846981</v>
      </c>
      <c r="H98" s="3">
        <v>1.19E-18</v>
      </c>
      <c r="I98" s="2" t="s">
        <v>3911</v>
      </c>
      <c r="J98" s="2" t="s">
        <v>3912</v>
      </c>
      <c r="K98" s="3">
        <v>7.0099999999999995E-17</v>
      </c>
      <c r="L98" s="2" t="s">
        <v>35</v>
      </c>
      <c r="M98" s="4" t="s">
        <v>3913</v>
      </c>
    </row>
    <row r="99" spans="1:13">
      <c r="A99" s="2">
        <v>2700</v>
      </c>
      <c r="B99" s="2" t="s">
        <v>3914</v>
      </c>
      <c r="C99" s="2">
        <v>22</v>
      </c>
      <c r="D99" s="2">
        <v>556</v>
      </c>
      <c r="E99" s="2">
        <v>78</v>
      </c>
      <c r="F99" s="2">
        <v>32441</v>
      </c>
      <c r="G99" s="2">
        <v>16.456880649999999</v>
      </c>
      <c r="H99" s="3">
        <v>1.3899999999999999E-18</v>
      </c>
      <c r="I99" s="2" t="s">
        <v>3915</v>
      </c>
      <c r="J99" s="2" t="s">
        <v>3916</v>
      </c>
      <c r="K99" s="3">
        <v>8.0500000000000002E-17</v>
      </c>
      <c r="L99" s="2" t="s">
        <v>35</v>
      </c>
      <c r="M99" s="4" t="s">
        <v>3917</v>
      </c>
    </row>
    <row r="100" spans="1:13">
      <c r="A100" s="2">
        <v>134</v>
      </c>
      <c r="B100" s="2" t="s">
        <v>3918</v>
      </c>
      <c r="C100" s="2">
        <v>19</v>
      </c>
      <c r="D100" s="2">
        <v>556</v>
      </c>
      <c r="E100" s="2">
        <v>48</v>
      </c>
      <c r="F100" s="2">
        <v>32441</v>
      </c>
      <c r="G100" s="2">
        <v>23.095735909999998</v>
      </c>
      <c r="H100" s="3">
        <v>1.7E-18</v>
      </c>
      <c r="I100" s="2" t="s">
        <v>3919</v>
      </c>
      <c r="J100" s="2" t="s">
        <v>3920</v>
      </c>
      <c r="K100" s="3">
        <v>9.7599999999999998E-17</v>
      </c>
      <c r="L100" s="2" t="s">
        <v>35</v>
      </c>
      <c r="M100" s="4" t="s">
        <v>3921</v>
      </c>
    </row>
    <row r="101" spans="1:13">
      <c r="A101" s="2">
        <v>1741</v>
      </c>
      <c r="B101" s="2" t="s">
        <v>3922</v>
      </c>
      <c r="C101" s="2">
        <v>25</v>
      </c>
      <c r="D101" s="2">
        <v>556</v>
      </c>
      <c r="E101" s="2">
        <v>118</v>
      </c>
      <c r="F101" s="2">
        <v>32441</v>
      </c>
      <c r="G101" s="2">
        <v>12.361678449999999</v>
      </c>
      <c r="H101" s="3">
        <v>2.2699999999999999E-18</v>
      </c>
      <c r="I101" s="2" t="s">
        <v>3923</v>
      </c>
      <c r="J101" s="2" t="s">
        <v>3924</v>
      </c>
      <c r="K101" s="3">
        <v>1.29E-16</v>
      </c>
      <c r="L101" s="2" t="s">
        <v>35</v>
      </c>
      <c r="M101" s="4" t="s">
        <v>3925</v>
      </c>
    </row>
    <row r="102" spans="1:13">
      <c r="A102" s="2">
        <v>182</v>
      </c>
      <c r="B102" s="2" t="s">
        <v>3926</v>
      </c>
      <c r="C102" s="2">
        <v>17</v>
      </c>
      <c r="D102" s="2">
        <v>556</v>
      </c>
      <c r="E102" s="2">
        <v>35</v>
      </c>
      <c r="F102" s="2">
        <v>32441</v>
      </c>
      <c r="G102" s="2">
        <v>28.34003083</v>
      </c>
      <c r="H102" s="3">
        <v>7.1099999999999999E-18</v>
      </c>
      <c r="I102" s="2" t="s">
        <v>3927</v>
      </c>
      <c r="J102" s="2" t="s">
        <v>3928</v>
      </c>
      <c r="K102" s="3">
        <v>3.9800000000000001E-16</v>
      </c>
      <c r="L102" s="2" t="s">
        <v>35</v>
      </c>
      <c r="M102" s="4" t="s">
        <v>3929</v>
      </c>
    </row>
    <row r="103" spans="1:13">
      <c r="A103" s="2">
        <v>178</v>
      </c>
      <c r="B103" s="2" t="s">
        <v>3930</v>
      </c>
      <c r="C103" s="2">
        <v>19</v>
      </c>
      <c r="D103" s="2">
        <v>556</v>
      </c>
      <c r="E103" s="2">
        <v>53</v>
      </c>
      <c r="F103" s="2">
        <v>32441</v>
      </c>
      <c r="G103" s="2">
        <v>20.916892900000001</v>
      </c>
      <c r="H103" s="3">
        <v>7.67E-18</v>
      </c>
      <c r="I103" s="2" t="s">
        <v>3931</v>
      </c>
      <c r="J103" s="2" t="s">
        <v>3932</v>
      </c>
      <c r="K103" s="3">
        <v>4.25E-16</v>
      </c>
      <c r="L103" s="2" t="s">
        <v>35</v>
      </c>
      <c r="M103" s="4" t="s">
        <v>3933</v>
      </c>
    </row>
    <row r="104" spans="1:13">
      <c r="A104" s="2">
        <v>3459</v>
      </c>
      <c r="B104" s="2" t="s">
        <v>3934</v>
      </c>
      <c r="C104" s="2">
        <v>34</v>
      </c>
      <c r="D104" s="2">
        <v>556</v>
      </c>
      <c r="E104" s="2">
        <v>281</v>
      </c>
      <c r="F104" s="2">
        <v>32441</v>
      </c>
      <c r="G104" s="2">
        <v>7.0597941579999999</v>
      </c>
      <c r="H104" s="3">
        <v>1.0900000000000001E-17</v>
      </c>
      <c r="I104" s="2" t="s">
        <v>3935</v>
      </c>
      <c r="J104" s="2" t="s">
        <v>3936</v>
      </c>
      <c r="K104" s="3">
        <v>5.9799999999999995E-16</v>
      </c>
      <c r="L104" s="2" t="s">
        <v>35</v>
      </c>
      <c r="M104" s="4" t="s">
        <v>3937</v>
      </c>
    </row>
    <row r="105" spans="1:13">
      <c r="A105" s="2">
        <v>3635</v>
      </c>
      <c r="B105" s="2" t="s">
        <v>3938</v>
      </c>
      <c r="C105" s="2">
        <v>16</v>
      </c>
      <c r="D105" s="2">
        <v>556</v>
      </c>
      <c r="E105" s="2">
        <v>29</v>
      </c>
      <c r="F105" s="2">
        <v>32441</v>
      </c>
      <c r="G105" s="2">
        <v>32.191515750000001</v>
      </c>
      <c r="H105" s="3">
        <v>1.41E-17</v>
      </c>
      <c r="I105" s="2" t="s">
        <v>3939</v>
      </c>
      <c r="J105" s="2" t="s">
        <v>3940</v>
      </c>
      <c r="K105" s="3">
        <v>7.6000000000000002E-16</v>
      </c>
      <c r="L105" s="2" t="s">
        <v>35</v>
      </c>
      <c r="M105" s="4" t="s">
        <v>3941</v>
      </c>
    </row>
    <row r="106" spans="1:13">
      <c r="A106" s="2">
        <v>1025</v>
      </c>
      <c r="B106" s="2" t="s">
        <v>3942</v>
      </c>
      <c r="C106" s="2">
        <v>14</v>
      </c>
      <c r="D106" s="2">
        <v>556</v>
      </c>
      <c r="E106" s="2">
        <v>18</v>
      </c>
      <c r="F106" s="2">
        <v>32441</v>
      </c>
      <c r="G106" s="2">
        <v>45.381095119999998</v>
      </c>
      <c r="H106" s="3">
        <v>4.5100000000000002E-17</v>
      </c>
      <c r="I106" s="2" t="s">
        <v>3943</v>
      </c>
      <c r="J106" s="2" t="s">
        <v>3944</v>
      </c>
      <c r="K106" s="3">
        <v>2.4199999999999999E-15</v>
      </c>
      <c r="L106" s="2" t="s">
        <v>35</v>
      </c>
      <c r="M106" s="4" t="s">
        <v>3945</v>
      </c>
    </row>
    <row r="107" spans="1:13">
      <c r="A107" s="2">
        <v>645</v>
      </c>
      <c r="B107" s="2" t="s">
        <v>3946</v>
      </c>
      <c r="C107" s="2">
        <v>16</v>
      </c>
      <c r="D107" s="2">
        <v>556</v>
      </c>
      <c r="E107" s="2">
        <v>33</v>
      </c>
      <c r="F107" s="2">
        <v>32441</v>
      </c>
      <c r="G107" s="2">
        <v>28.289513840000001</v>
      </c>
      <c r="H107" s="3">
        <v>6.84E-17</v>
      </c>
      <c r="I107" s="2" t="s">
        <v>3947</v>
      </c>
      <c r="J107" s="2" t="s">
        <v>3948</v>
      </c>
      <c r="K107" s="3">
        <v>3.6199999999999997E-15</v>
      </c>
      <c r="L107" s="2" t="s">
        <v>35</v>
      </c>
      <c r="M107" s="4" t="s">
        <v>3949</v>
      </c>
    </row>
    <row r="108" spans="1:13">
      <c r="A108" s="2">
        <v>1415</v>
      </c>
      <c r="B108" s="2" t="s">
        <v>3950</v>
      </c>
      <c r="C108" s="2">
        <v>46</v>
      </c>
      <c r="D108" s="2">
        <v>556</v>
      </c>
      <c r="E108" s="2">
        <v>579</v>
      </c>
      <c r="F108" s="2">
        <v>32441</v>
      </c>
      <c r="G108" s="2">
        <v>4.6355226700000003</v>
      </c>
      <c r="H108" s="3">
        <v>7.5100000000000003E-17</v>
      </c>
      <c r="I108" s="2" t="s">
        <v>3951</v>
      </c>
      <c r="J108" s="2" t="s">
        <v>3952</v>
      </c>
      <c r="K108" s="3">
        <v>3.9300000000000004E-15</v>
      </c>
      <c r="L108" s="2" t="s">
        <v>35</v>
      </c>
      <c r="M108" s="4" t="s">
        <v>3953</v>
      </c>
    </row>
    <row r="109" spans="1:13">
      <c r="A109" s="2">
        <v>2968</v>
      </c>
      <c r="B109" s="2" t="s">
        <v>3954</v>
      </c>
      <c r="C109" s="2">
        <v>20</v>
      </c>
      <c r="D109" s="2">
        <v>556</v>
      </c>
      <c r="E109" s="2">
        <v>74</v>
      </c>
      <c r="F109" s="2">
        <v>32441</v>
      </c>
      <c r="G109" s="2">
        <v>15.769492509999999</v>
      </c>
      <c r="H109" s="3">
        <v>1.03E-16</v>
      </c>
      <c r="I109" s="2" t="s">
        <v>3955</v>
      </c>
      <c r="J109" s="2" t="s">
        <v>3956</v>
      </c>
      <c r="K109" s="3">
        <v>5.34E-15</v>
      </c>
      <c r="L109" s="2" t="s">
        <v>35</v>
      </c>
      <c r="M109" s="4" t="s">
        <v>3957</v>
      </c>
    </row>
    <row r="110" spans="1:13">
      <c r="A110" s="2">
        <v>2035</v>
      </c>
      <c r="B110" s="2" t="s">
        <v>3958</v>
      </c>
      <c r="C110" s="2">
        <v>17</v>
      </c>
      <c r="D110" s="2">
        <v>556</v>
      </c>
      <c r="E110" s="2">
        <v>44</v>
      </c>
      <c r="F110" s="2">
        <v>32441</v>
      </c>
      <c r="G110" s="2">
        <v>22.543206340000001</v>
      </c>
      <c r="H110" s="3">
        <v>1.5099999999999999E-16</v>
      </c>
      <c r="I110" s="2" t="s">
        <v>3959</v>
      </c>
      <c r="J110" s="2" t="s">
        <v>3960</v>
      </c>
      <c r="K110" s="3">
        <v>7.7400000000000003E-15</v>
      </c>
      <c r="L110" s="2" t="s">
        <v>35</v>
      </c>
      <c r="M110" s="4" t="s">
        <v>3961</v>
      </c>
    </row>
    <row r="111" spans="1:13">
      <c r="A111" s="2">
        <v>2952</v>
      </c>
      <c r="B111" s="2" t="s">
        <v>3962</v>
      </c>
      <c r="C111" s="2">
        <v>44</v>
      </c>
      <c r="D111" s="2">
        <v>556</v>
      </c>
      <c r="E111" s="2">
        <v>544</v>
      </c>
      <c r="F111" s="2">
        <v>32441</v>
      </c>
      <c r="G111" s="2">
        <v>4.7192525390000002</v>
      </c>
      <c r="H111" s="3">
        <v>1.9799999999999999E-16</v>
      </c>
      <c r="I111" s="2" t="s">
        <v>3963</v>
      </c>
      <c r="J111" s="2" t="s">
        <v>3964</v>
      </c>
      <c r="K111" s="3">
        <v>1.0099999999999999E-14</v>
      </c>
      <c r="L111" s="2" t="s">
        <v>35</v>
      </c>
      <c r="M111" s="4" t="s">
        <v>3965</v>
      </c>
    </row>
    <row r="112" spans="1:13">
      <c r="A112" s="2">
        <v>2821</v>
      </c>
      <c r="B112" s="2" t="s">
        <v>3966</v>
      </c>
      <c r="C112" s="2">
        <v>18</v>
      </c>
      <c r="D112" s="2">
        <v>556</v>
      </c>
      <c r="E112" s="2">
        <v>55</v>
      </c>
      <c r="F112" s="2">
        <v>32441</v>
      </c>
      <c r="G112" s="2">
        <v>19.09542184</v>
      </c>
      <c r="H112" s="3">
        <v>2.1300000000000001E-16</v>
      </c>
      <c r="I112" s="2" t="s">
        <v>3967</v>
      </c>
      <c r="J112" s="2" t="s">
        <v>3968</v>
      </c>
      <c r="K112" s="3">
        <v>1.07E-14</v>
      </c>
      <c r="L112" s="2" t="s">
        <v>35</v>
      </c>
      <c r="M112" s="4" t="s">
        <v>3969</v>
      </c>
    </row>
    <row r="113" spans="1:13">
      <c r="A113" s="2">
        <v>4522</v>
      </c>
      <c r="B113" s="2" t="s">
        <v>3970</v>
      </c>
      <c r="C113" s="2">
        <v>34</v>
      </c>
      <c r="D113" s="2">
        <v>556</v>
      </c>
      <c r="E113" s="2">
        <v>321</v>
      </c>
      <c r="F113" s="2">
        <v>32441</v>
      </c>
      <c r="G113" s="2">
        <v>6.1800690290000002</v>
      </c>
      <c r="H113" s="3">
        <v>4.2300000000000002E-16</v>
      </c>
      <c r="I113" s="2" t="s">
        <v>3971</v>
      </c>
      <c r="J113" s="2" t="s">
        <v>3972</v>
      </c>
      <c r="K113" s="3">
        <v>2.0999999999999999E-14</v>
      </c>
      <c r="L113" s="2" t="s">
        <v>35</v>
      </c>
      <c r="M113" s="4" t="s">
        <v>3973</v>
      </c>
    </row>
    <row r="114" spans="1:13">
      <c r="A114" s="2">
        <v>2493</v>
      </c>
      <c r="B114" s="2" t="s">
        <v>3974</v>
      </c>
      <c r="C114" s="2">
        <v>18</v>
      </c>
      <c r="D114" s="2">
        <v>556</v>
      </c>
      <c r="E114" s="2">
        <v>58</v>
      </c>
      <c r="F114" s="2">
        <v>32441</v>
      </c>
      <c r="G114" s="2">
        <v>18.107727610000001</v>
      </c>
      <c r="H114" s="3">
        <v>4.6300000000000003E-16</v>
      </c>
      <c r="I114" s="2" t="s">
        <v>3975</v>
      </c>
      <c r="J114" s="2" t="s">
        <v>3976</v>
      </c>
      <c r="K114" s="3">
        <v>2.27E-14</v>
      </c>
      <c r="L114" s="2" t="s">
        <v>35</v>
      </c>
      <c r="M114" s="4" t="s">
        <v>3977</v>
      </c>
    </row>
    <row r="115" spans="1:13">
      <c r="A115" s="2">
        <v>128</v>
      </c>
      <c r="B115" s="2" t="s">
        <v>3978</v>
      </c>
      <c r="C115" s="2">
        <v>24</v>
      </c>
      <c r="D115" s="2">
        <v>556</v>
      </c>
      <c r="E115" s="2">
        <v>137</v>
      </c>
      <c r="F115" s="2">
        <v>32441</v>
      </c>
      <c r="G115" s="2">
        <v>10.221393689999999</v>
      </c>
      <c r="H115" s="3">
        <v>4.8100000000000003E-16</v>
      </c>
      <c r="I115" s="2" t="s">
        <v>3979</v>
      </c>
      <c r="J115" s="2" t="s">
        <v>3980</v>
      </c>
      <c r="K115" s="3">
        <v>2.34E-14</v>
      </c>
      <c r="L115" s="2" t="s">
        <v>35</v>
      </c>
      <c r="M115" s="4" t="s">
        <v>3981</v>
      </c>
    </row>
    <row r="116" spans="1:13">
      <c r="A116" s="2">
        <v>129</v>
      </c>
      <c r="B116" s="2" t="s">
        <v>3982</v>
      </c>
      <c r="C116" s="2">
        <v>22</v>
      </c>
      <c r="D116" s="2">
        <v>556</v>
      </c>
      <c r="E116" s="2">
        <v>108</v>
      </c>
      <c r="F116" s="2">
        <v>32441</v>
      </c>
      <c r="G116" s="2">
        <v>11.885524910000001</v>
      </c>
      <c r="H116" s="3">
        <v>5.1399999999999997E-16</v>
      </c>
      <c r="I116" s="2" t="s">
        <v>3983</v>
      </c>
      <c r="J116" s="2" t="s">
        <v>3984</v>
      </c>
      <c r="K116" s="3">
        <v>2.4700000000000001E-14</v>
      </c>
      <c r="L116" s="2" t="s">
        <v>35</v>
      </c>
      <c r="M116" s="4" t="s">
        <v>3985</v>
      </c>
    </row>
    <row r="117" spans="1:13">
      <c r="A117" s="2">
        <v>179</v>
      </c>
      <c r="B117" s="2" t="s">
        <v>3986</v>
      </c>
      <c r="C117" s="2">
        <v>24</v>
      </c>
      <c r="D117" s="2">
        <v>556</v>
      </c>
      <c r="E117" s="2">
        <v>140</v>
      </c>
      <c r="F117" s="2">
        <v>32441</v>
      </c>
      <c r="G117" s="2">
        <v>10.002363819999999</v>
      </c>
      <c r="H117" s="3">
        <v>7.3999999999999999E-16</v>
      </c>
      <c r="I117" s="2" t="s">
        <v>3987</v>
      </c>
      <c r="J117" s="2" t="s">
        <v>3988</v>
      </c>
      <c r="K117" s="3">
        <v>3.5199999999999998E-14</v>
      </c>
      <c r="L117" s="2" t="s">
        <v>35</v>
      </c>
      <c r="M117" s="4" t="s">
        <v>3989</v>
      </c>
    </row>
    <row r="118" spans="1:13">
      <c r="A118" s="2">
        <v>1218</v>
      </c>
      <c r="B118" s="2" t="s">
        <v>3990</v>
      </c>
      <c r="C118" s="2">
        <v>40</v>
      </c>
      <c r="D118" s="2">
        <v>556</v>
      </c>
      <c r="E118" s="2">
        <v>466</v>
      </c>
      <c r="F118" s="2">
        <v>32441</v>
      </c>
      <c r="G118" s="2">
        <v>5.008336678</v>
      </c>
      <c r="H118" s="3">
        <v>7.7200000000000002E-16</v>
      </c>
      <c r="I118" s="2" t="s">
        <v>3991</v>
      </c>
      <c r="J118" s="2" t="s">
        <v>3992</v>
      </c>
      <c r="K118" s="3">
        <v>3.6400000000000001E-14</v>
      </c>
      <c r="L118" s="2" t="s">
        <v>35</v>
      </c>
      <c r="M118" s="4" t="s">
        <v>3993</v>
      </c>
    </row>
    <row r="119" spans="1:13">
      <c r="A119" s="2">
        <v>1501</v>
      </c>
      <c r="B119" s="2" t="s">
        <v>3994</v>
      </c>
      <c r="C119" s="2">
        <v>25</v>
      </c>
      <c r="D119" s="2">
        <v>556</v>
      </c>
      <c r="E119" s="2">
        <v>158</v>
      </c>
      <c r="F119" s="2">
        <v>32441</v>
      </c>
      <c r="G119" s="2">
        <v>9.2321396050000004</v>
      </c>
      <c r="H119" s="3">
        <v>9.649999999999999E-16</v>
      </c>
      <c r="I119" s="2" t="s">
        <v>3995</v>
      </c>
      <c r="J119" s="2" t="s">
        <v>3996</v>
      </c>
      <c r="K119" s="3">
        <v>4.4999999999999998E-14</v>
      </c>
      <c r="L119" s="2" t="s">
        <v>35</v>
      </c>
      <c r="M119" s="4" t="s">
        <v>3997</v>
      </c>
    </row>
    <row r="120" spans="1:13">
      <c r="A120" s="2">
        <v>2790</v>
      </c>
      <c r="B120" s="2" t="s">
        <v>3998</v>
      </c>
      <c r="C120" s="2">
        <v>40</v>
      </c>
      <c r="D120" s="2">
        <v>556</v>
      </c>
      <c r="E120" s="2">
        <v>475</v>
      </c>
      <c r="F120" s="2">
        <v>32441</v>
      </c>
      <c r="G120" s="2">
        <v>4.9134418780000004</v>
      </c>
      <c r="H120" s="3">
        <v>1.4000000000000001E-15</v>
      </c>
      <c r="I120" s="2" t="s">
        <v>3999</v>
      </c>
      <c r="J120" s="2" t="s">
        <v>4000</v>
      </c>
      <c r="K120" s="3">
        <v>6.4599999999999997E-14</v>
      </c>
      <c r="L120" s="2" t="s">
        <v>35</v>
      </c>
      <c r="M120" s="4" t="s">
        <v>4001</v>
      </c>
    </row>
    <row r="121" spans="1:13">
      <c r="A121" s="2">
        <v>1827</v>
      </c>
      <c r="B121" s="2" t="s">
        <v>4002</v>
      </c>
      <c r="C121" s="2">
        <v>17</v>
      </c>
      <c r="D121" s="2">
        <v>556</v>
      </c>
      <c r="E121" s="2">
        <v>52</v>
      </c>
      <c r="F121" s="2">
        <v>32441</v>
      </c>
      <c r="G121" s="2">
        <v>19.07502075</v>
      </c>
      <c r="H121" s="3">
        <v>1.48E-15</v>
      </c>
      <c r="I121" s="2" t="s">
        <v>4003</v>
      </c>
      <c r="J121" s="2" t="s">
        <v>4004</v>
      </c>
      <c r="K121" s="3">
        <v>6.7900000000000006E-14</v>
      </c>
      <c r="L121" s="2" t="s">
        <v>35</v>
      </c>
      <c r="M121" s="4" t="s">
        <v>4005</v>
      </c>
    </row>
    <row r="122" spans="1:13">
      <c r="A122" s="2">
        <v>1170</v>
      </c>
      <c r="B122" s="2" t="s">
        <v>4006</v>
      </c>
      <c r="C122" s="2">
        <v>18</v>
      </c>
      <c r="D122" s="2">
        <v>556</v>
      </c>
      <c r="E122" s="2">
        <v>63</v>
      </c>
      <c r="F122" s="2">
        <v>32441</v>
      </c>
      <c r="G122" s="2">
        <v>16.670606370000002</v>
      </c>
      <c r="H122" s="3">
        <v>1.5599999999999999E-15</v>
      </c>
      <c r="I122" s="2" t="s">
        <v>4007</v>
      </c>
      <c r="J122" s="2" t="s">
        <v>4008</v>
      </c>
      <c r="K122" s="3">
        <v>7.0799999999999999E-14</v>
      </c>
      <c r="L122" s="2" t="s">
        <v>35</v>
      </c>
      <c r="M122" s="4" t="s">
        <v>4009</v>
      </c>
    </row>
    <row r="123" spans="1:13">
      <c r="A123" s="2">
        <v>511</v>
      </c>
      <c r="B123" s="2" t="s">
        <v>4010</v>
      </c>
      <c r="C123" s="2">
        <v>17</v>
      </c>
      <c r="D123" s="2">
        <v>556</v>
      </c>
      <c r="E123" s="2">
        <v>53</v>
      </c>
      <c r="F123" s="2">
        <v>32441</v>
      </c>
      <c r="G123" s="2">
        <v>18.715114700000001</v>
      </c>
      <c r="H123" s="3">
        <v>1.9299999999999998E-15</v>
      </c>
      <c r="I123" s="2" t="s">
        <v>4011</v>
      </c>
      <c r="J123" s="2" t="s">
        <v>4012</v>
      </c>
      <c r="K123" s="3">
        <v>8.6600000000000005E-14</v>
      </c>
      <c r="L123" s="2" t="s">
        <v>35</v>
      </c>
      <c r="M123" s="4" t="s">
        <v>4013</v>
      </c>
    </row>
    <row r="124" spans="1:13">
      <c r="A124" s="2">
        <v>533</v>
      </c>
      <c r="B124" s="2" t="s">
        <v>4014</v>
      </c>
      <c r="C124" s="2">
        <v>21</v>
      </c>
      <c r="D124" s="2">
        <v>556</v>
      </c>
      <c r="E124" s="2">
        <v>102</v>
      </c>
      <c r="F124" s="2">
        <v>32441</v>
      </c>
      <c r="G124" s="2">
        <v>12.012642830000001</v>
      </c>
      <c r="H124" s="3">
        <v>1.9799999999999998E-15</v>
      </c>
      <c r="I124" s="2" t="s">
        <v>4015</v>
      </c>
      <c r="J124" s="2" t="s">
        <v>4016</v>
      </c>
      <c r="K124" s="3">
        <v>8.8200000000000005E-14</v>
      </c>
      <c r="L124" s="2" t="s">
        <v>35</v>
      </c>
      <c r="M124" s="4" t="s">
        <v>4017</v>
      </c>
    </row>
    <row r="125" spans="1:13">
      <c r="A125" s="2">
        <v>4643</v>
      </c>
      <c r="B125" s="2" t="s">
        <v>4018</v>
      </c>
      <c r="C125" s="2">
        <v>24</v>
      </c>
      <c r="D125" s="2">
        <v>556</v>
      </c>
      <c r="E125" s="2">
        <v>151</v>
      </c>
      <c r="F125" s="2">
        <v>32441</v>
      </c>
      <c r="G125" s="2">
        <v>9.2737148030000007</v>
      </c>
      <c r="H125" s="3">
        <v>3.3300000000000001E-15</v>
      </c>
      <c r="I125" s="2" t="s">
        <v>4019</v>
      </c>
      <c r="J125" s="2" t="s">
        <v>4020</v>
      </c>
      <c r="K125" s="3">
        <v>1.47E-13</v>
      </c>
      <c r="L125" s="2" t="s">
        <v>35</v>
      </c>
      <c r="M125" s="4" t="s">
        <v>4021</v>
      </c>
    </row>
    <row r="126" spans="1:13">
      <c r="A126" s="2">
        <v>844</v>
      </c>
      <c r="B126" s="2" t="s">
        <v>4022</v>
      </c>
      <c r="C126" s="2">
        <v>12</v>
      </c>
      <c r="D126" s="2">
        <v>556</v>
      </c>
      <c r="E126" s="2">
        <v>14</v>
      </c>
      <c r="F126" s="2">
        <v>32441</v>
      </c>
      <c r="G126" s="2">
        <v>50.011819119999998</v>
      </c>
      <c r="H126" s="3">
        <v>3.6300000000000002E-15</v>
      </c>
      <c r="I126" s="2" t="s">
        <v>4023</v>
      </c>
      <c r="J126" s="2" t="s">
        <v>4024</v>
      </c>
      <c r="K126" s="3">
        <v>1.59E-13</v>
      </c>
      <c r="L126" s="2" t="s">
        <v>35</v>
      </c>
      <c r="M126" s="4" t="s">
        <v>4025</v>
      </c>
    </row>
    <row r="127" spans="1:13">
      <c r="A127" s="2">
        <v>3834</v>
      </c>
      <c r="B127" s="2" t="s">
        <v>4026</v>
      </c>
      <c r="C127" s="2">
        <v>18</v>
      </c>
      <c r="D127" s="2">
        <v>556</v>
      </c>
      <c r="E127" s="2">
        <v>68</v>
      </c>
      <c r="F127" s="2">
        <v>32441</v>
      </c>
      <c r="G127" s="2">
        <v>15.444826490000001</v>
      </c>
      <c r="H127" s="3">
        <v>4.83E-15</v>
      </c>
      <c r="I127" s="2" t="s">
        <v>4027</v>
      </c>
      <c r="J127" s="2" t="s">
        <v>4028</v>
      </c>
      <c r="K127" s="3">
        <v>2.0899999999999999E-13</v>
      </c>
      <c r="L127" s="2" t="s">
        <v>35</v>
      </c>
      <c r="M127" s="4" t="s">
        <v>4029</v>
      </c>
    </row>
    <row r="128" spans="1:13">
      <c r="A128" s="2">
        <v>385</v>
      </c>
      <c r="B128" s="2" t="s">
        <v>4030</v>
      </c>
      <c r="C128" s="2">
        <v>13</v>
      </c>
      <c r="D128" s="2">
        <v>556</v>
      </c>
      <c r="E128" s="2">
        <v>21</v>
      </c>
      <c r="F128" s="2">
        <v>32441</v>
      </c>
      <c r="G128" s="2">
        <v>36.119647139999998</v>
      </c>
      <c r="H128" s="3">
        <v>5.1600000000000002E-15</v>
      </c>
      <c r="I128" s="2" t="s">
        <v>4031</v>
      </c>
      <c r="J128" s="2" t="s">
        <v>4032</v>
      </c>
      <c r="K128" s="3">
        <v>2.19E-13</v>
      </c>
      <c r="L128" s="2" t="s">
        <v>35</v>
      </c>
      <c r="M128" s="4" t="s">
        <v>4033</v>
      </c>
    </row>
    <row r="129" spans="1:13">
      <c r="A129" s="2">
        <v>4122</v>
      </c>
      <c r="B129" s="2" t="s">
        <v>4034</v>
      </c>
      <c r="C129" s="2">
        <v>13</v>
      </c>
      <c r="D129" s="2">
        <v>556</v>
      </c>
      <c r="E129" s="2">
        <v>21</v>
      </c>
      <c r="F129" s="2">
        <v>32441</v>
      </c>
      <c r="G129" s="2">
        <v>36.119647139999998</v>
      </c>
      <c r="H129" s="3">
        <v>5.1600000000000002E-15</v>
      </c>
      <c r="I129" s="2" t="s">
        <v>4035</v>
      </c>
      <c r="J129" s="2" t="s">
        <v>4036</v>
      </c>
      <c r="K129" s="3">
        <v>2.19E-13</v>
      </c>
      <c r="L129" s="2" t="s">
        <v>35</v>
      </c>
      <c r="M129" s="4" t="s">
        <v>4037</v>
      </c>
    </row>
    <row r="130" spans="1:13">
      <c r="A130" s="2">
        <v>2910</v>
      </c>
      <c r="B130" s="2" t="s">
        <v>4038</v>
      </c>
      <c r="C130" s="2">
        <v>36</v>
      </c>
      <c r="D130" s="2">
        <v>556</v>
      </c>
      <c r="E130" s="2">
        <v>405</v>
      </c>
      <c r="F130" s="2">
        <v>32441</v>
      </c>
      <c r="G130" s="2">
        <v>5.1864108709999996</v>
      </c>
      <c r="H130" s="3">
        <v>8.3999999999999992E-15</v>
      </c>
      <c r="I130" s="2" t="s">
        <v>4039</v>
      </c>
      <c r="J130" s="2" t="s">
        <v>4040</v>
      </c>
      <c r="K130" s="3">
        <v>3.5400000000000001E-13</v>
      </c>
      <c r="L130" s="2" t="s">
        <v>35</v>
      </c>
      <c r="M130" s="4" t="s">
        <v>4041</v>
      </c>
    </row>
    <row r="131" spans="1:13">
      <c r="A131" s="2">
        <v>177</v>
      </c>
      <c r="B131" s="2" t="s">
        <v>4042</v>
      </c>
      <c r="C131" s="2">
        <v>14</v>
      </c>
      <c r="D131" s="2">
        <v>556</v>
      </c>
      <c r="E131" s="2">
        <v>30</v>
      </c>
      <c r="F131" s="2">
        <v>32441</v>
      </c>
      <c r="G131" s="2">
        <v>27.228657070000001</v>
      </c>
      <c r="H131" s="3">
        <v>9.1500000000000008E-15</v>
      </c>
      <c r="I131" s="2" t="s">
        <v>4043</v>
      </c>
      <c r="J131" s="2" t="s">
        <v>4044</v>
      </c>
      <c r="K131" s="3">
        <v>3.8199999999999999E-13</v>
      </c>
      <c r="L131" s="2" t="s">
        <v>35</v>
      </c>
      <c r="M131" s="4" t="s">
        <v>4045</v>
      </c>
    </row>
    <row r="132" spans="1:13">
      <c r="A132" s="2">
        <v>3377</v>
      </c>
      <c r="B132" s="2" t="s">
        <v>4046</v>
      </c>
      <c r="C132" s="2">
        <v>24</v>
      </c>
      <c r="D132" s="2">
        <v>556</v>
      </c>
      <c r="E132" s="2">
        <v>160</v>
      </c>
      <c r="F132" s="2">
        <v>32441</v>
      </c>
      <c r="G132" s="2">
        <v>8.7520683449999996</v>
      </c>
      <c r="H132" s="3">
        <v>1.0499999999999999E-14</v>
      </c>
      <c r="I132" s="2" t="s">
        <v>4047</v>
      </c>
      <c r="J132" s="2" t="s">
        <v>4048</v>
      </c>
      <c r="K132" s="3">
        <v>4.3400000000000002E-13</v>
      </c>
      <c r="L132" s="2" t="s">
        <v>35</v>
      </c>
      <c r="M132" s="4" t="s">
        <v>4049</v>
      </c>
    </row>
    <row r="133" spans="1:13">
      <c r="A133" s="2">
        <v>842</v>
      </c>
      <c r="B133" s="2" t="s">
        <v>4050</v>
      </c>
      <c r="C133" s="2">
        <v>12</v>
      </c>
      <c r="D133" s="2">
        <v>556</v>
      </c>
      <c r="E133" s="2">
        <v>16</v>
      </c>
      <c r="F133" s="2">
        <v>32441</v>
      </c>
      <c r="G133" s="2">
        <v>43.76034173</v>
      </c>
      <c r="H133" s="3">
        <v>1.11E-14</v>
      </c>
      <c r="I133" s="2" t="s">
        <v>4051</v>
      </c>
      <c r="J133" s="2" t="s">
        <v>4052</v>
      </c>
      <c r="K133" s="3">
        <v>4.5499999999999998E-13</v>
      </c>
      <c r="L133" s="2" t="s">
        <v>35</v>
      </c>
      <c r="M133" s="4" t="s">
        <v>4053</v>
      </c>
    </row>
    <row r="134" spans="1:13">
      <c r="A134" s="2">
        <v>3318</v>
      </c>
      <c r="B134" s="2" t="s">
        <v>4054</v>
      </c>
      <c r="C134" s="2">
        <v>50</v>
      </c>
      <c r="D134" s="2">
        <v>556</v>
      </c>
      <c r="E134" s="2">
        <v>783</v>
      </c>
      <c r="F134" s="2">
        <v>32441</v>
      </c>
      <c r="G134" s="2">
        <v>3.7258698790000002</v>
      </c>
      <c r="H134" s="3">
        <v>1.13E-14</v>
      </c>
      <c r="I134" s="3" t="s">
        <v>4055</v>
      </c>
      <c r="J134" s="3" t="s">
        <v>4056</v>
      </c>
      <c r="K134" s="3">
        <v>4.5799999999999997E-13</v>
      </c>
      <c r="L134" s="2" t="s">
        <v>35</v>
      </c>
      <c r="M134" s="4" t="s">
        <v>4057</v>
      </c>
    </row>
    <row r="135" spans="1:13">
      <c r="A135" s="2">
        <v>4159</v>
      </c>
      <c r="B135" s="2" t="s">
        <v>4058</v>
      </c>
      <c r="C135" s="2">
        <v>20</v>
      </c>
      <c r="D135" s="2">
        <v>556</v>
      </c>
      <c r="E135" s="2">
        <v>101</v>
      </c>
      <c r="F135" s="2">
        <v>32441</v>
      </c>
      <c r="G135" s="2">
        <v>11.553885599999999</v>
      </c>
      <c r="H135" s="3">
        <v>1.77E-14</v>
      </c>
      <c r="I135" s="2" t="s">
        <v>4059</v>
      </c>
      <c r="J135" s="2" t="s">
        <v>4060</v>
      </c>
      <c r="K135" s="3">
        <v>7.1399999999999999E-13</v>
      </c>
      <c r="L135" s="2" t="s">
        <v>35</v>
      </c>
      <c r="M135" s="4" t="s">
        <v>4061</v>
      </c>
    </row>
    <row r="136" spans="1:13">
      <c r="A136" s="2">
        <v>4104</v>
      </c>
      <c r="B136" s="2" t="s">
        <v>4062</v>
      </c>
      <c r="C136" s="2">
        <v>15</v>
      </c>
      <c r="D136" s="2">
        <v>556</v>
      </c>
      <c r="E136" s="2">
        <v>41</v>
      </c>
      <c r="F136" s="2">
        <v>32441</v>
      </c>
      <c r="G136" s="2">
        <v>21.346508159999999</v>
      </c>
      <c r="H136" s="3">
        <v>1.7900000000000001E-14</v>
      </c>
      <c r="I136" s="2" t="s">
        <v>4063</v>
      </c>
      <c r="J136" s="2" t="s">
        <v>4064</v>
      </c>
      <c r="K136" s="3">
        <v>7.1599999999999998E-13</v>
      </c>
      <c r="L136" s="2" t="s">
        <v>35</v>
      </c>
      <c r="M136" s="4" t="s">
        <v>4065</v>
      </c>
    </row>
    <row r="137" spans="1:13">
      <c r="A137" s="2">
        <v>2807</v>
      </c>
      <c r="B137" s="2" t="s">
        <v>4066</v>
      </c>
      <c r="C137" s="2">
        <v>19</v>
      </c>
      <c r="D137" s="2">
        <v>556</v>
      </c>
      <c r="E137" s="2">
        <v>88</v>
      </c>
      <c r="F137" s="2">
        <v>32441</v>
      </c>
      <c r="G137" s="2">
        <v>12.59767413</v>
      </c>
      <c r="H137" s="3">
        <v>2.0500000000000001E-14</v>
      </c>
      <c r="I137" s="2" t="s">
        <v>4067</v>
      </c>
      <c r="J137" s="2" t="s">
        <v>4068</v>
      </c>
      <c r="K137" s="3">
        <v>8.1499999999999996E-13</v>
      </c>
      <c r="L137" s="2" t="s">
        <v>35</v>
      </c>
      <c r="M137" s="4" t="s">
        <v>4069</v>
      </c>
    </row>
    <row r="138" spans="1:13">
      <c r="A138" s="2">
        <v>1708</v>
      </c>
      <c r="B138" s="2" t="s">
        <v>4070</v>
      </c>
      <c r="C138" s="2">
        <v>37</v>
      </c>
      <c r="D138" s="2">
        <v>556</v>
      </c>
      <c r="E138" s="2">
        <v>443</v>
      </c>
      <c r="F138" s="2">
        <v>32441</v>
      </c>
      <c r="G138" s="2">
        <v>4.8732359479999996</v>
      </c>
      <c r="H138" s="3">
        <v>2.1200000000000001E-14</v>
      </c>
      <c r="I138" s="2" t="s">
        <v>4071</v>
      </c>
      <c r="J138" s="2" t="s">
        <v>4072</v>
      </c>
      <c r="K138" s="3">
        <v>8.3E-13</v>
      </c>
      <c r="L138" s="2" t="s">
        <v>35</v>
      </c>
      <c r="M138" s="4" t="s">
        <v>4073</v>
      </c>
    </row>
    <row r="139" spans="1:13">
      <c r="A139" s="2">
        <v>2870</v>
      </c>
      <c r="B139" s="2" t="s">
        <v>4074</v>
      </c>
      <c r="C139" s="2">
        <v>17</v>
      </c>
      <c r="D139" s="2">
        <v>556</v>
      </c>
      <c r="E139" s="2">
        <v>63</v>
      </c>
      <c r="F139" s="2">
        <v>32441</v>
      </c>
      <c r="G139" s="2">
        <v>15.74446157</v>
      </c>
      <c r="H139" s="3">
        <v>2.1300000000000001E-14</v>
      </c>
      <c r="I139" s="2" t="s">
        <v>4075</v>
      </c>
      <c r="J139" s="2" t="s">
        <v>4076</v>
      </c>
      <c r="K139" s="3">
        <v>8.3E-13</v>
      </c>
      <c r="L139" s="2" t="s">
        <v>35</v>
      </c>
      <c r="M139" s="4" t="s">
        <v>4077</v>
      </c>
    </row>
    <row r="140" spans="1:13">
      <c r="A140" s="2">
        <v>893</v>
      </c>
      <c r="B140" s="2" t="s">
        <v>4078</v>
      </c>
      <c r="C140" s="2">
        <v>31</v>
      </c>
      <c r="D140" s="2">
        <v>556</v>
      </c>
      <c r="E140" s="2">
        <v>305</v>
      </c>
      <c r="F140" s="2">
        <v>32441</v>
      </c>
      <c r="G140" s="2">
        <v>5.9303632500000001</v>
      </c>
      <c r="H140" s="3">
        <v>2.3900000000000001E-14</v>
      </c>
      <c r="I140" s="2" t="s">
        <v>4079</v>
      </c>
      <c r="J140" s="2" t="s">
        <v>4080</v>
      </c>
      <c r="K140" s="3">
        <v>9.1900000000000002E-13</v>
      </c>
      <c r="L140" s="2" t="s">
        <v>35</v>
      </c>
      <c r="M140" s="4" t="s">
        <v>4081</v>
      </c>
    </row>
    <row r="141" spans="1:13">
      <c r="A141" s="2">
        <v>4106</v>
      </c>
      <c r="B141" s="2" t="s">
        <v>4082</v>
      </c>
      <c r="C141" s="2">
        <v>15</v>
      </c>
      <c r="D141" s="2">
        <v>556</v>
      </c>
      <c r="E141" s="2">
        <v>42</v>
      </c>
      <c r="F141" s="2">
        <v>32441</v>
      </c>
      <c r="G141" s="2">
        <v>20.838257970000001</v>
      </c>
      <c r="H141" s="3">
        <v>2.3900000000000001E-14</v>
      </c>
      <c r="I141" s="2" t="s">
        <v>4083</v>
      </c>
      <c r="J141" s="2" t="s">
        <v>4084</v>
      </c>
      <c r="K141" s="3">
        <v>9.1900000000000002E-13</v>
      </c>
      <c r="L141" s="2" t="s">
        <v>35</v>
      </c>
      <c r="M141" s="4" t="s">
        <v>4085</v>
      </c>
    </row>
    <row r="142" spans="1:13">
      <c r="A142" s="2">
        <v>3997</v>
      </c>
      <c r="B142" s="2" t="s">
        <v>4086</v>
      </c>
      <c r="C142" s="2">
        <v>14</v>
      </c>
      <c r="D142" s="2">
        <v>556</v>
      </c>
      <c r="E142" s="2">
        <v>33</v>
      </c>
      <c r="F142" s="2">
        <v>32441</v>
      </c>
      <c r="G142" s="2">
        <v>24.75332461</v>
      </c>
      <c r="H142" s="3">
        <v>2.6E-14</v>
      </c>
      <c r="I142" s="2" t="s">
        <v>4087</v>
      </c>
      <c r="J142" s="2" t="s">
        <v>4088</v>
      </c>
      <c r="K142" s="3">
        <v>9.8899999999999993E-13</v>
      </c>
      <c r="L142" s="2" t="s">
        <v>35</v>
      </c>
      <c r="M142" s="4" t="s">
        <v>4089</v>
      </c>
    </row>
    <row r="143" spans="1:13">
      <c r="A143" s="2">
        <v>633</v>
      </c>
      <c r="B143" s="2" t="s">
        <v>4090</v>
      </c>
      <c r="C143" s="2">
        <v>17</v>
      </c>
      <c r="D143" s="2">
        <v>556</v>
      </c>
      <c r="E143" s="2">
        <v>65</v>
      </c>
      <c r="F143" s="2">
        <v>32441</v>
      </c>
      <c r="G143" s="2">
        <v>15.2600166</v>
      </c>
      <c r="H143" s="3">
        <v>3.2899999999999997E-14</v>
      </c>
      <c r="I143" s="2" t="s">
        <v>4091</v>
      </c>
      <c r="J143" s="2" t="s">
        <v>4092</v>
      </c>
      <c r="K143" s="3">
        <v>1.24E-12</v>
      </c>
      <c r="L143" s="2" t="s">
        <v>35</v>
      </c>
      <c r="M143" s="4" t="s">
        <v>4093</v>
      </c>
    </row>
    <row r="144" spans="1:13">
      <c r="A144" s="2">
        <v>1272</v>
      </c>
      <c r="B144" s="2" t="s">
        <v>4094</v>
      </c>
      <c r="C144" s="2">
        <v>29</v>
      </c>
      <c r="D144" s="2">
        <v>556</v>
      </c>
      <c r="E144" s="2">
        <v>270</v>
      </c>
      <c r="F144" s="2">
        <v>32441</v>
      </c>
      <c r="G144" s="2">
        <v>6.2669131360000003</v>
      </c>
      <c r="H144" s="3">
        <v>4.61E-14</v>
      </c>
      <c r="I144" s="2" t="s">
        <v>4095</v>
      </c>
      <c r="J144" s="2" t="s">
        <v>4096</v>
      </c>
      <c r="K144" s="3">
        <v>1.7300000000000001E-12</v>
      </c>
      <c r="L144" s="2" t="s">
        <v>35</v>
      </c>
      <c r="M144" s="4" t="s">
        <v>4097</v>
      </c>
    </row>
    <row r="145" spans="1:13">
      <c r="A145" s="2">
        <v>2717</v>
      </c>
      <c r="B145" s="2" t="s">
        <v>4098</v>
      </c>
      <c r="C145" s="2">
        <v>19</v>
      </c>
      <c r="D145" s="2">
        <v>556</v>
      </c>
      <c r="E145" s="2">
        <v>94</v>
      </c>
      <c r="F145" s="2">
        <v>32441</v>
      </c>
      <c r="G145" s="2">
        <v>11.79356727</v>
      </c>
      <c r="H145" s="3">
        <v>5.8000000000000005E-14</v>
      </c>
      <c r="I145" s="2" t="s">
        <v>4099</v>
      </c>
      <c r="J145" s="2" t="s">
        <v>4100</v>
      </c>
      <c r="K145" s="3">
        <v>2.1600000000000001E-12</v>
      </c>
      <c r="L145" s="2" t="s">
        <v>35</v>
      </c>
      <c r="M145" s="4" t="s">
        <v>4101</v>
      </c>
    </row>
    <row r="146" spans="1:13">
      <c r="A146" s="2">
        <v>4498</v>
      </c>
      <c r="B146" s="2" t="s">
        <v>4102</v>
      </c>
      <c r="C146" s="2">
        <v>25</v>
      </c>
      <c r="D146" s="2">
        <v>556</v>
      </c>
      <c r="E146" s="2">
        <v>194</v>
      </c>
      <c r="F146" s="2">
        <v>32441</v>
      </c>
      <c r="G146" s="2">
        <v>7.5189590600000002</v>
      </c>
      <c r="H146" s="3">
        <v>6.57E-14</v>
      </c>
      <c r="I146" s="2" t="s">
        <v>4103</v>
      </c>
      <c r="J146" s="2" t="s">
        <v>4104</v>
      </c>
      <c r="K146" s="3">
        <v>2.4299999999999999E-12</v>
      </c>
      <c r="L146" s="2" t="s">
        <v>35</v>
      </c>
      <c r="M146" s="4" t="s">
        <v>4105</v>
      </c>
    </row>
    <row r="147" spans="1:13">
      <c r="A147" s="2">
        <v>1014</v>
      </c>
      <c r="B147" s="2" t="s">
        <v>4106</v>
      </c>
      <c r="C147" s="2">
        <v>25</v>
      </c>
      <c r="D147" s="2">
        <v>556</v>
      </c>
      <c r="E147" s="2">
        <v>195</v>
      </c>
      <c r="F147" s="2">
        <v>32441</v>
      </c>
      <c r="G147" s="2">
        <v>7.4804002949999999</v>
      </c>
      <c r="H147" s="3">
        <v>7.3000000000000004E-14</v>
      </c>
      <c r="I147" s="2" t="s">
        <v>4107</v>
      </c>
      <c r="J147" s="2" t="s">
        <v>4108</v>
      </c>
      <c r="K147" s="3">
        <v>2.6700000000000001E-12</v>
      </c>
      <c r="L147" s="2" t="s">
        <v>35</v>
      </c>
      <c r="M147" s="4" t="s">
        <v>4109</v>
      </c>
    </row>
    <row r="148" spans="1:13">
      <c r="A148" s="2">
        <v>908</v>
      </c>
      <c r="B148" s="2" t="s">
        <v>4110</v>
      </c>
      <c r="C148" s="2">
        <v>16</v>
      </c>
      <c r="D148" s="2">
        <v>556</v>
      </c>
      <c r="E148" s="2">
        <v>57</v>
      </c>
      <c r="F148" s="2">
        <v>32441</v>
      </c>
      <c r="G148" s="2">
        <v>16.37813959</v>
      </c>
      <c r="H148" s="3">
        <v>7.4200000000000002E-14</v>
      </c>
      <c r="I148" s="2" t="s">
        <v>4111</v>
      </c>
      <c r="J148" s="2" t="s">
        <v>4112</v>
      </c>
      <c r="K148" s="3">
        <v>2.6999999999999998E-12</v>
      </c>
      <c r="L148" s="2" t="s">
        <v>35</v>
      </c>
      <c r="M148" s="4" t="s">
        <v>4113</v>
      </c>
    </row>
    <row r="149" spans="1:13">
      <c r="A149" s="2">
        <v>364</v>
      </c>
      <c r="B149" s="2" t="s">
        <v>4114</v>
      </c>
      <c r="C149" s="2">
        <v>13</v>
      </c>
      <c r="D149" s="2">
        <v>556</v>
      </c>
      <c r="E149" s="2">
        <v>29</v>
      </c>
      <c r="F149" s="2">
        <v>32441</v>
      </c>
      <c r="G149" s="2">
        <v>26.155606550000002</v>
      </c>
      <c r="H149" s="3">
        <v>1.25E-13</v>
      </c>
      <c r="I149" s="2" t="s">
        <v>4115</v>
      </c>
      <c r="J149" s="2" t="s">
        <v>4116</v>
      </c>
      <c r="K149" s="3">
        <v>4.5300000000000003E-12</v>
      </c>
      <c r="L149" s="2" t="s">
        <v>35</v>
      </c>
      <c r="M149" s="4" t="s">
        <v>4117</v>
      </c>
    </row>
    <row r="150" spans="1:13">
      <c r="A150" s="2">
        <v>2824</v>
      </c>
      <c r="B150" s="2" t="s">
        <v>4118</v>
      </c>
      <c r="C150" s="2">
        <v>20</v>
      </c>
      <c r="D150" s="2">
        <v>556</v>
      </c>
      <c r="E150" s="2">
        <v>114</v>
      </c>
      <c r="F150" s="2">
        <v>32441</v>
      </c>
      <c r="G150" s="2">
        <v>10.23633725</v>
      </c>
      <c r="H150" s="3">
        <v>1.3199999999999999E-13</v>
      </c>
      <c r="I150" s="2" t="s">
        <v>4119</v>
      </c>
      <c r="J150" s="2" t="s">
        <v>4120</v>
      </c>
      <c r="K150" s="3">
        <v>4.7200000000000001E-12</v>
      </c>
      <c r="L150" s="2" t="s">
        <v>35</v>
      </c>
      <c r="M150" s="4" t="s">
        <v>4121</v>
      </c>
    </row>
    <row r="151" spans="1:13">
      <c r="A151" s="2">
        <v>186</v>
      </c>
      <c r="B151" s="2" t="s">
        <v>4122</v>
      </c>
      <c r="C151" s="2">
        <v>17</v>
      </c>
      <c r="D151" s="2">
        <v>556</v>
      </c>
      <c r="E151" s="2">
        <v>73</v>
      </c>
      <c r="F151" s="2">
        <v>32441</v>
      </c>
      <c r="G151" s="2">
        <v>13.58768602</v>
      </c>
      <c r="H151" s="3">
        <v>1.6799999999999999E-13</v>
      </c>
      <c r="I151" s="2" t="s">
        <v>4123</v>
      </c>
      <c r="J151" s="2" t="s">
        <v>4124</v>
      </c>
      <c r="K151" s="3">
        <v>5.9599999999999996E-12</v>
      </c>
      <c r="L151" s="2" t="s">
        <v>35</v>
      </c>
      <c r="M151" s="4" t="s">
        <v>4125</v>
      </c>
    </row>
    <row r="152" spans="1:13">
      <c r="A152" s="2">
        <v>4703</v>
      </c>
      <c r="B152" s="2" t="s">
        <v>4126</v>
      </c>
      <c r="C152" s="2">
        <v>76</v>
      </c>
      <c r="D152" s="2">
        <v>556</v>
      </c>
      <c r="E152" s="2">
        <v>1725</v>
      </c>
      <c r="F152" s="2">
        <v>32441</v>
      </c>
      <c r="G152" s="2">
        <v>2.5706558230000001</v>
      </c>
      <c r="H152" s="3">
        <v>1.7899999999999999E-13</v>
      </c>
      <c r="I152" s="3" t="s">
        <v>4127</v>
      </c>
      <c r="J152" s="3" t="s">
        <v>4128</v>
      </c>
      <c r="K152" s="3">
        <v>6.3100000000000004E-12</v>
      </c>
      <c r="L152" s="2" t="s">
        <v>35</v>
      </c>
      <c r="M152" s="4" t="s">
        <v>4129</v>
      </c>
    </row>
    <row r="153" spans="1:13">
      <c r="A153" s="2">
        <v>1090</v>
      </c>
      <c r="B153" s="2" t="s">
        <v>4130</v>
      </c>
      <c r="C153" s="2">
        <v>34</v>
      </c>
      <c r="D153" s="2">
        <v>556</v>
      </c>
      <c r="E153" s="2">
        <v>408</v>
      </c>
      <c r="F153" s="2">
        <v>32441</v>
      </c>
      <c r="G153" s="2">
        <v>4.8622601919999999</v>
      </c>
      <c r="H153" s="3">
        <v>2.6199999999999999E-13</v>
      </c>
      <c r="I153" s="2" t="s">
        <v>4131</v>
      </c>
      <c r="J153" s="2" t="s">
        <v>4132</v>
      </c>
      <c r="K153" s="3">
        <v>9.1600000000000006E-12</v>
      </c>
      <c r="L153" s="2" t="s">
        <v>35</v>
      </c>
      <c r="M153" s="4" t="s">
        <v>4133</v>
      </c>
    </row>
    <row r="154" spans="1:13">
      <c r="A154" s="2">
        <v>3978</v>
      </c>
      <c r="B154" s="2" t="s">
        <v>4134</v>
      </c>
      <c r="C154" s="2">
        <v>14</v>
      </c>
      <c r="D154" s="2">
        <v>556</v>
      </c>
      <c r="E154" s="2">
        <v>41</v>
      </c>
      <c r="F154" s="2">
        <v>32441</v>
      </c>
      <c r="G154" s="2">
        <v>19.923407619999999</v>
      </c>
      <c r="H154" s="3">
        <v>2.9200000000000002E-13</v>
      </c>
      <c r="I154" s="2" t="s">
        <v>4135</v>
      </c>
      <c r="J154" s="2" t="s">
        <v>4136</v>
      </c>
      <c r="K154" s="3">
        <v>1.0199999999999999E-11</v>
      </c>
      <c r="L154" s="2" t="s">
        <v>35</v>
      </c>
      <c r="M154" s="4" t="s">
        <v>4137</v>
      </c>
    </row>
    <row r="155" spans="1:13">
      <c r="A155" s="2">
        <v>314</v>
      </c>
      <c r="B155" s="2" t="s">
        <v>4138</v>
      </c>
      <c r="C155" s="2">
        <v>11</v>
      </c>
      <c r="D155" s="2">
        <v>556</v>
      </c>
      <c r="E155" s="2">
        <v>17</v>
      </c>
      <c r="F155" s="2">
        <v>32441</v>
      </c>
      <c r="G155" s="2">
        <v>37.754020310000001</v>
      </c>
      <c r="H155" s="3">
        <v>4.6700000000000003E-13</v>
      </c>
      <c r="I155" s="2" t="s">
        <v>4139</v>
      </c>
      <c r="J155" s="2" t="s">
        <v>4140</v>
      </c>
      <c r="K155" s="3">
        <v>1.6100000000000001E-11</v>
      </c>
      <c r="L155" s="2" t="s">
        <v>35</v>
      </c>
      <c r="M155" s="4" t="s">
        <v>4141</v>
      </c>
    </row>
    <row r="156" spans="1:13">
      <c r="A156" s="2">
        <v>3666</v>
      </c>
      <c r="B156" s="2" t="s">
        <v>4142</v>
      </c>
      <c r="C156" s="2">
        <v>25</v>
      </c>
      <c r="D156" s="2">
        <v>556</v>
      </c>
      <c r="E156" s="2">
        <v>216</v>
      </c>
      <c r="F156" s="2">
        <v>32441</v>
      </c>
      <c r="G156" s="2">
        <v>6.7531391550000004</v>
      </c>
      <c r="H156" s="3">
        <v>5.8400000000000004E-13</v>
      </c>
      <c r="I156" s="2" t="s">
        <v>4143</v>
      </c>
      <c r="J156" s="2" t="s">
        <v>4144</v>
      </c>
      <c r="K156" s="3">
        <v>1.9999999999999999E-11</v>
      </c>
      <c r="L156" s="2" t="s">
        <v>35</v>
      </c>
      <c r="M156" s="4" t="s">
        <v>4145</v>
      </c>
    </row>
    <row r="157" spans="1:13">
      <c r="A157" s="2">
        <v>4427</v>
      </c>
      <c r="B157" s="2" t="s">
        <v>4146</v>
      </c>
      <c r="C157" s="2">
        <v>25</v>
      </c>
      <c r="D157" s="2">
        <v>556</v>
      </c>
      <c r="E157" s="2">
        <v>217</v>
      </c>
      <c r="F157" s="2">
        <v>32441</v>
      </c>
      <c r="G157" s="2">
        <v>6.7220186980000003</v>
      </c>
      <c r="H157" s="3">
        <v>6.4099999999999999E-13</v>
      </c>
      <c r="I157" s="2" t="s">
        <v>4147</v>
      </c>
      <c r="J157" s="2" t="s">
        <v>4148</v>
      </c>
      <c r="K157" s="3">
        <v>2.1799999999999998E-11</v>
      </c>
      <c r="L157" s="2" t="s">
        <v>35</v>
      </c>
      <c r="M157" s="4" t="s">
        <v>4149</v>
      </c>
    </row>
    <row r="158" spans="1:13">
      <c r="A158" s="2">
        <v>4013</v>
      </c>
      <c r="B158" s="2" t="s">
        <v>4150</v>
      </c>
      <c r="C158" s="2">
        <v>23</v>
      </c>
      <c r="D158" s="2">
        <v>556</v>
      </c>
      <c r="E158" s="2">
        <v>181</v>
      </c>
      <c r="F158" s="2">
        <v>32441</v>
      </c>
      <c r="G158" s="2">
        <v>7.4142752099999996</v>
      </c>
      <c r="H158" s="3">
        <v>8.6500000000000005E-13</v>
      </c>
      <c r="I158" s="2" t="s">
        <v>4151</v>
      </c>
      <c r="J158" s="2" t="s">
        <v>4152</v>
      </c>
      <c r="K158" s="3">
        <v>2.92E-11</v>
      </c>
      <c r="L158" s="2" t="s">
        <v>35</v>
      </c>
      <c r="M158" s="4" t="s">
        <v>4153</v>
      </c>
    </row>
    <row r="159" spans="1:13">
      <c r="A159" s="2">
        <v>1969</v>
      </c>
      <c r="B159" s="2" t="s">
        <v>4154</v>
      </c>
      <c r="C159" s="2">
        <v>17</v>
      </c>
      <c r="D159" s="2">
        <v>556</v>
      </c>
      <c r="E159" s="2">
        <v>84</v>
      </c>
      <c r="F159" s="2">
        <v>32441</v>
      </c>
      <c r="G159" s="2">
        <v>11.808346179999999</v>
      </c>
      <c r="H159" s="3">
        <v>1.2100000000000001E-12</v>
      </c>
      <c r="I159" s="2" t="s">
        <v>4155</v>
      </c>
      <c r="J159" s="2" t="s">
        <v>4156</v>
      </c>
      <c r="K159" s="3">
        <v>4.0600000000000001E-11</v>
      </c>
      <c r="L159" s="2" t="s">
        <v>35</v>
      </c>
      <c r="M159" s="4" t="s">
        <v>4157</v>
      </c>
    </row>
    <row r="160" spans="1:13">
      <c r="A160" s="2">
        <v>1332</v>
      </c>
      <c r="B160" s="2" t="s">
        <v>4158</v>
      </c>
      <c r="C160" s="2">
        <v>24</v>
      </c>
      <c r="D160" s="2">
        <v>556</v>
      </c>
      <c r="E160" s="2">
        <v>205</v>
      </c>
      <c r="F160" s="2">
        <v>32441</v>
      </c>
      <c r="G160" s="2">
        <v>6.8308826109999998</v>
      </c>
      <c r="H160" s="3">
        <v>1.3600000000000001E-12</v>
      </c>
      <c r="I160" s="2" t="s">
        <v>4159</v>
      </c>
      <c r="J160" s="2" t="s">
        <v>4160</v>
      </c>
      <c r="K160" s="3">
        <v>4.54E-11</v>
      </c>
      <c r="L160" s="2" t="s">
        <v>35</v>
      </c>
      <c r="M160" s="4" t="s">
        <v>4161</v>
      </c>
    </row>
    <row r="161" spans="1:13">
      <c r="A161" s="2">
        <v>296</v>
      </c>
      <c r="B161" s="2" t="s">
        <v>4162</v>
      </c>
      <c r="C161" s="2">
        <v>10</v>
      </c>
      <c r="D161" s="2">
        <v>556</v>
      </c>
      <c r="E161" s="2">
        <v>13</v>
      </c>
      <c r="F161" s="2">
        <v>32441</v>
      </c>
      <c r="G161" s="2">
        <v>44.882401770000001</v>
      </c>
      <c r="H161" s="3">
        <v>1.6E-12</v>
      </c>
      <c r="I161" s="2" t="s">
        <v>4163</v>
      </c>
      <c r="J161" s="2" t="s">
        <v>4164</v>
      </c>
      <c r="K161" s="3">
        <v>5.29E-11</v>
      </c>
      <c r="L161" s="2" t="s">
        <v>35</v>
      </c>
      <c r="M161" s="4" t="s">
        <v>4165</v>
      </c>
    </row>
    <row r="162" spans="1:13">
      <c r="A162" s="2">
        <v>3033</v>
      </c>
      <c r="B162" s="2" t="s">
        <v>4166</v>
      </c>
      <c r="C162" s="2">
        <v>11</v>
      </c>
      <c r="D162" s="2">
        <v>556</v>
      </c>
      <c r="E162" s="2">
        <v>20</v>
      </c>
      <c r="F162" s="2">
        <v>32441</v>
      </c>
      <c r="G162" s="2">
        <v>32.090917269999998</v>
      </c>
      <c r="H162" s="3">
        <v>1.76E-12</v>
      </c>
      <c r="I162" s="2" t="s">
        <v>4167</v>
      </c>
      <c r="J162" s="2" t="s">
        <v>4168</v>
      </c>
      <c r="K162" s="3">
        <v>5.7799999999999997E-11</v>
      </c>
      <c r="L162" s="2" t="s">
        <v>35</v>
      </c>
      <c r="M162" s="4" t="s">
        <v>4169</v>
      </c>
    </row>
    <row r="163" spans="1:13">
      <c r="A163" s="2">
        <v>2763</v>
      </c>
      <c r="B163" s="2" t="s">
        <v>4170</v>
      </c>
      <c r="C163" s="2">
        <v>15</v>
      </c>
      <c r="D163" s="2">
        <v>556</v>
      </c>
      <c r="E163" s="2">
        <v>61</v>
      </c>
      <c r="F163" s="2">
        <v>32441</v>
      </c>
      <c r="G163" s="2">
        <v>14.34765303</v>
      </c>
      <c r="H163" s="3">
        <v>2.2999999999999999E-12</v>
      </c>
      <c r="I163" s="2" t="s">
        <v>4171</v>
      </c>
      <c r="J163" s="2" t="s">
        <v>4172</v>
      </c>
      <c r="K163" s="3">
        <v>7.4899999999999995E-11</v>
      </c>
      <c r="L163" s="2" t="s">
        <v>35</v>
      </c>
      <c r="M163" s="4" t="s">
        <v>4173</v>
      </c>
    </row>
    <row r="164" spans="1:13">
      <c r="A164" s="2">
        <v>377</v>
      </c>
      <c r="B164" s="2" t="s">
        <v>4174</v>
      </c>
      <c r="C164" s="2">
        <v>10</v>
      </c>
      <c r="D164" s="2">
        <v>556</v>
      </c>
      <c r="E164" s="2">
        <v>14</v>
      </c>
      <c r="F164" s="2">
        <v>32441</v>
      </c>
      <c r="G164" s="2">
        <v>41.676515930000001</v>
      </c>
      <c r="H164" s="3">
        <v>2.6999999999999998E-12</v>
      </c>
      <c r="I164" s="2" t="s">
        <v>4175</v>
      </c>
      <c r="J164" s="2" t="s">
        <v>4176</v>
      </c>
      <c r="K164" s="3">
        <v>8.6300000000000002E-11</v>
      </c>
      <c r="L164" s="2" t="s">
        <v>35</v>
      </c>
      <c r="M164" s="4" t="s">
        <v>4177</v>
      </c>
    </row>
    <row r="165" spans="1:13">
      <c r="A165" s="2">
        <v>378</v>
      </c>
      <c r="B165" s="2" t="s">
        <v>4178</v>
      </c>
      <c r="C165" s="2">
        <v>10</v>
      </c>
      <c r="D165" s="2">
        <v>556</v>
      </c>
      <c r="E165" s="2">
        <v>14</v>
      </c>
      <c r="F165" s="2">
        <v>32441</v>
      </c>
      <c r="G165" s="2">
        <v>41.676515930000001</v>
      </c>
      <c r="H165" s="3">
        <v>2.6999999999999998E-12</v>
      </c>
      <c r="I165" s="2" t="s">
        <v>4179</v>
      </c>
      <c r="J165" s="2" t="s">
        <v>4180</v>
      </c>
      <c r="K165" s="3">
        <v>8.6300000000000002E-11</v>
      </c>
      <c r="L165" s="2" t="s">
        <v>35</v>
      </c>
      <c r="M165" s="4" t="s">
        <v>4181</v>
      </c>
    </row>
    <row r="166" spans="1:13">
      <c r="A166" s="2">
        <v>1664</v>
      </c>
      <c r="B166" s="2" t="s">
        <v>4182</v>
      </c>
      <c r="C166" s="2">
        <v>10</v>
      </c>
      <c r="D166" s="2">
        <v>556</v>
      </c>
      <c r="E166" s="2">
        <v>14</v>
      </c>
      <c r="F166" s="2">
        <v>32441</v>
      </c>
      <c r="G166" s="2">
        <v>41.676515930000001</v>
      </c>
      <c r="H166" s="3">
        <v>2.6999999999999998E-12</v>
      </c>
      <c r="I166" s="2" t="s">
        <v>4183</v>
      </c>
      <c r="J166" s="2" t="s">
        <v>4184</v>
      </c>
      <c r="K166" s="3">
        <v>8.6300000000000002E-11</v>
      </c>
      <c r="L166" s="2" t="s">
        <v>35</v>
      </c>
      <c r="M166" s="4" t="s">
        <v>4185</v>
      </c>
    </row>
    <row r="167" spans="1:13">
      <c r="A167" s="2">
        <v>4428</v>
      </c>
      <c r="B167" s="2" t="s">
        <v>4186</v>
      </c>
      <c r="C167" s="2">
        <v>24</v>
      </c>
      <c r="D167" s="2">
        <v>556</v>
      </c>
      <c r="E167" s="2">
        <v>213</v>
      </c>
      <c r="F167" s="2">
        <v>32441</v>
      </c>
      <c r="G167" s="2">
        <v>6.5743236400000002</v>
      </c>
      <c r="H167" s="3">
        <v>2.8599999999999999E-12</v>
      </c>
      <c r="I167" s="2" t="s">
        <v>4187</v>
      </c>
      <c r="J167" s="2" t="s">
        <v>4188</v>
      </c>
      <c r="K167" s="3">
        <v>9.0900000000000004E-11</v>
      </c>
      <c r="L167" s="2" t="s">
        <v>35</v>
      </c>
      <c r="M167" s="4" t="s">
        <v>4189</v>
      </c>
    </row>
    <row r="168" spans="1:13">
      <c r="A168" s="2">
        <v>1541</v>
      </c>
      <c r="B168" s="2" t="s">
        <v>4190</v>
      </c>
      <c r="C168" s="2">
        <v>22</v>
      </c>
      <c r="D168" s="2">
        <v>556</v>
      </c>
      <c r="E168" s="2">
        <v>175</v>
      </c>
      <c r="F168" s="2">
        <v>32441</v>
      </c>
      <c r="G168" s="2">
        <v>7.3350668040000002</v>
      </c>
      <c r="H168" s="3">
        <v>3.3000000000000001E-12</v>
      </c>
      <c r="I168" s="2" t="s">
        <v>4191</v>
      </c>
      <c r="J168" s="2" t="s">
        <v>4192</v>
      </c>
      <c r="K168" s="3">
        <v>1.04E-10</v>
      </c>
      <c r="L168" s="2" t="s">
        <v>35</v>
      </c>
      <c r="M168" s="4" t="s">
        <v>4193</v>
      </c>
    </row>
    <row r="169" spans="1:13">
      <c r="A169" s="2">
        <v>4752</v>
      </c>
      <c r="B169" s="2" t="s">
        <v>4194</v>
      </c>
      <c r="C169" s="2">
        <v>18</v>
      </c>
      <c r="D169" s="2">
        <v>556</v>
      </c>
      <c r="E169" s="2">
        <v>106</v>
      </c>
      <c r="F169" s="2">
        <v>32441</v>
      </c>
      <c r="G169" s="2">
        <v>9.9080019000000004</v>
      </c>
      <c r="H169" s="3">
        <v>3.6E-12</v>
      </c>
      <c r="I169" s="2" t="s">
        <v>4195</v>
      </c>
      <c r="J169" s="2" t="s">
        <v>4196</v>
      </c>
      <c r="K169" s="3">
        <v>1.13E-10</v>
      </c>
      <c r="L169" s="2" t="s">
        <v>35</v>
      </c>
      <c r="M169" s="4" t="s">
        <v>4197</v>
      </c>
    </row>
    <row r="170" spans="1:13">
      <c r="A170" s="2">
        <v>1433</v>
      </c>
      <c r="B170" s="2" t="s">
        <v>4198</v>
      </c>
      <c r="C170" s="2">
        <v>22</v>
      </c>
      <c r="D170" s="2">
        <v>556</v>
      </c>
      <c r="E170" s="2">
        <v>177</v>
      </c>
      <c r="F170" s="2">
        <v>32441</v>
      </c>
      <c r="G170" s="2">
        <v>7.2521846930000002</v>
      </c>
      <c r="H170" s="3">
        <v>4.0399999999999997E-12</v>
      </c>
      <c r="I170" s="2" t="s">
        <v>4199</v>
      </c>
      <c r="J170" s="2" t="s">
        <v>4200</v>
      </c>
      <c r="K170" s="3">
        <v>1.26E-10</v>
      </c>
      <c r="L170" s="2" t="s">
        <v>35</v>
      </c>
      <c r="M170" s="4" t="s">
        <v>4201</v>
      </c>
    </row>
    <row r="171" spans="1:13">
      <c r="A171" s="2">
        <v>1582</v>
      </c>
      <c r="B171" s="2" t="s">
        <v>4202</v>
      </c>
      <c r="C171" s="2">
        <v>14</v>
      </c>
      <c r="D171" s="2">
        <v>556</v>
      </c>
      <c r="E171" s="2">
        <v>52</v>
      </c>
      <c r="F171" s="2">
        <v>32441</v>
      </c>
      <c r="G171" s="2">
        <v>15.70884062</v>
      </c>
      <c r="H171" s="3">
        <v>4.3899999999999997E-12</v>
      </c>
      <c r="I171" s="2" t="s">
        <v>4203</v>
      </c>
      <c r="J171" s="2" t="s">
        <v>4204</v>
      </c>
      <c r="K171" s="3">
        <v>1.36E-10</v>
      </c>
      <c r="L171" s="2" t="s">
        <v>35</v>
      </c>
      <c r="M171" s="4" t="s">
        <v>4205</v>
      </c>
    </row>
    <row r="172" spans="1:13">
      <c r="A172" s="2">
        <v>2688</v>
      </c>
      <c r="B172" s="2" t="s">
        <v>4206</v>
      </c>
      <c r="C172" s="2">
        <v>16</v>
      </c>
      <c r="D172" s="2">
        <v>556</v>
      </c>
      <c r="E172" s="2">
        <v>78</v>
      </c>
      <c r="F172" s="2">
        <v>32441</v>
      </c>
      <c r="G172" s="2">
        <v>11.96864047</v>
      </c>
      <c r="H172" s="3">
        <v>4.6599999999999999E-12</v>
      </c>
      <c r="I172" s="2" t="s">
        <v>4207</v>
      </c>
      <c r="J172" s="2" t="s">
        <v>4208</v>
      </c>
      <c r="K172" s="3">
        <v>1.43E-10</v>
      </c>
      <c r="L172" s="2" t="s">
        <v>35</v>
      </c>
      <c r="M172" s="4" t="s">
        <v>4209</v>
      </c>
    </row>
    <row r="173" spans="1:13">
      <c r="A173" s="2">
        <v>2496</v>
      </c>
      <c r="B173" s="2" t="s">
        <v>4210</v>
      </c>
      <c r="C173" s="2">
        <v>14</v>
      </c>
      <c r="D173" s="2">
        <v>556</v>
      </c>
      <c r="E173" s="2">
        <v>53</v>
      </c>
      <c r="F173" s="2">
        <v>32441</v>
      </c>
      <c r="G173" s="2">
        <v>15.4124474</v>
      </c>
      <c r="H173" s="3">
        <v>5.4599999999999998E-12</v>
      </c>
      <c r="I173" s="2" t="s">
        <v>4211</v>
      </c>
      <c r="J173" s="2" t="s">
        <v>4212</v>
      </c>
      <c r="K173" s="3">
        <v>1.6699999999999999E-10</v>
      </c>
      <c r="L173" s="2" t="s">
        <v>35</v>
      </c>
      <c r="M173" s="4" t="s">
        <v>4213</v>
      </c>
    </row>
    <row r="174" spans="1:13">
      <c r="A174" s="2">
        <v>3482</v>
      </c>
      <c r="B174" s="2" t="s">
        <v>4214</v>
      </c>
      <c r="C174" s="2">
        <v>10</v>
      </c>
      <c r="D174" s="2">
        <v>556</v>
      </c>
      <c r="E174" s="2">
        <v>16</v>
      </c>
      <c r="F174" s="2">
        <v>32441</v>
      </c>
      <c r="G174" s="2">
        <v>36.466951440000003</v>
      </c>
      <c r="H174" s="3">
        <v>7.1E-12</v>
      </c>
      <c r="I174" s="2" t="s">
        <v>4215</v>
      </c>
      <c r="J174" s="2" t="s">
        <v>4216</v>
      </c>
      <c r="K174" s="3">
        <v>2.1400000000000001E-10</v>
      </c>
      <c r="L174" s="2" t="s">
        <v>35</v>
      </c>
      <c r="M174" s="4" t="s">
        <v>4217</v>
      </c>
    </row>
    <row r="175" spans="1:13">
      <c r="A175" s="2">
        <v>4183</v>
      </c>
      <c r="B175" s="2" t="s">
        <v>4218</v>
      </c>
      <c r="C175" s="2">
        <v>10</v>
      </c>
      <c r="D175" s="2">
        <v>556</v>
      </c>
      <c r="E175" s="2">
        <v>16</v>
      </c>
      <c r="F175" s="2">
        <v>32441</v>
      </c>
      <c r="G175" s="2">
        <v>36.466951440000003</v>
      </c>
      <c r="H175" s="3">
        <v>7.1E-12</v>
      </c>
      <c r="I175" s="2" t="s">
        <v>4219</v>
      </c>
      <c r="J175" s="2" t="s">
        <v>4220</v>
      </c>
      <c r="K175" s="3">
        <v>2.1400000000000001E-10</v>
      </c>
      <c r="L175" s="2" t="s">
        <v>35</v>
      </c>
      <c r="M175" s="4" t="s">
        <v>4221</v>
      </c>
    </row>
    <row r="176" spans="1:13">
      <c r="A176" s="2">
        <v>3862</v>
      </c>
      <c r="B176" s="2" t="s">
        <v>4222</v>
      </c>
      <c r="C176" s="2">
        <v>29</v>
      </c>
      <c r="D176" s="2">
        <v>556</v>
      </c>
      <c r="E176" s="2">
        <v>338</v>
      </c>
      <c r="F176" s="2">
        <v>32441</v>
      </c>
      <c r="G176" s="2">
        <v>5.0061140440000003</v>
      </c>
      <c r="H176" s="3">
        <v>7.9400000000000005E-12</v>
      </c>
      <c r="I176" s="2" t="s">
        <v>4223</v>
      </c>
      <c r="J176" s="2" t="s">
        <v>4224</v>
      </c>
      <c r="K176" s="3">
        <v>2.3800000000000001E-10</v>
      </c>
      <c r="L176" s="2" t="s">
        <v>35</v>
      </c>
      <c r="M176" s="4" t="s">
        <v>4225</v>
      </c>
    </row>
    <row r="177" spans="1:13">
      <c r="A177" s="2">
        <v>4103</v>
      </c>
      <c r="B177" s="2" t="s">
        <v>4226</v>
      </c>
      <c r="C177" s="2">
        <v>11</v>
      </c>
      <c r="D177" s="2">
        <v>556</v>
      </c>
      <c r="E177" s="2">
        <v>24</v>
      </c>
      <c r="F177" s="2">
        <v>32441</v>
      </c>
      <c r="G177" s="2">
        <v>26.742431060000001</v>
      </c>
      <c r="H177" s="3">
        <v>8.1600000000000008E-12</v>
      </c>
      <c r="I177" s="2" t="s">
        <v>4227</v>
      </c>
      <c r="J177" s="2" t="s">
        <v>4228</v>
      </c>
      <c r="K177" s="3">
        <v>2.4299999999999999E-10</v>
      </c>
      <c r="L177" s="2" t="s">
        <v>35</v>
      </c>
      <c r="M177" s="4" t="s">
        <v>4229</v>
      </c>
    </row>
    <row r="178" spans="1:13">
      <c r="A178" s="2">
        <v>1354</v>
      </c>
      <c r="B178" s="2" t="s">
        <v>4230</v>
      </c>
      <c r="C178" s="2">
        <v>23</v>
      </c>
      <c r="D178" s="2">
        <v>556</v>
      </c>
      <c r="E178" s="2">
        <v>206</v>
      </c>
      <c r="F178" s="2">
        <v>32441</v>
      </c>
      <c r="G178" s="2">
        <v>6.5144845289999997</v>
      </c>
      <c r="H178" s="3">
        <v>9.6700000000000006E-12</v>
      </c>
      <c r="I178" s="2" t="s">
        <v>4231</v>
      </c>
      <c r="J178" s="2" t="s">
        <v>4232</v>
      </c>
      <c r="K178" s="3">
        <v>2.8599999999999999E-10</v>
      </c>
      <c r="L178" s="2" t="s">
        <v>35</v>
      </c>
      <c r="M178" s="4" t="s">
        <v>4233</v>
      </c>
    </row>
    <row r="179" spans="1:13">
      <c r="A179" s="2">
        <v>4688</v>
      </c>
      <c r="B179" s="2" t="s">
        <v>4234</v>
      </c>
      <c r="C179" s="2">
        <v>18</v>
      </c>
      <c r="D179" s="2">
        <v>556</v>
      </c>
      <c r="E179" s="2">
        <v>114</v>
      </c>
      <c r="F179" s="2">
        <v>32441</v>
      </c>
      <c r="G179" s="2">
        <v>9.2127035209999999</v>
      </c>
      <c r="H179" s="3">
        <v>1.0599999999999999E-11</v>
      </c>
      <c r="I179" s="2" t="s">
        <v>4235</v>
      </c>
      <c r="J179" s="2" t="s">
        <v>4236</v>
      </c>
      <c r="K179" s="3">
        <v>3.1200000000000001E-10</v>
      </c>
      <c r="L179" s="2" t="s">
        <v>35</v>
      </c>
      <c r="M179" s="4" t="s">
        <v>4237</v>
      </c>
    </row>
    <row r="180" spans="1:13">
      <c r="A180" s="2">
        <v>4354</v>
      </c>
      <c r="B180" s="2" t="s">
        <v>4238</v>
      </c>
      <c r="C180" s="2">
        <v>47</v>
      </c>
      <c r="D180" s="2">
        <v>556</v>
      </c>
      <c r="E180" s="2">
        <v>857</v>
      </c>
      <c r="F180" s="2">
        <v>32441</v>
      </c>
      <c r="G180" s="2">
        <v>3.1999005230000002</v>
      </c>
      <c r="H180" s="3">
        <v>1.1700000000000001E-11</v>
      </c>
      <c r="I180" s="3" t="s">
        <v>4239</v>
      </c>
      <c r="J180" s="3" t="s">
        <v>4240</v>
      </c>
      <c r="K180" s="3">
        <v>3.4200000000000001E-10</v>
      </c>
      <c r="L180" s="2" t="s">
        <v>35</v>
      </c>
      <c r="M180" s="4" t="s">
        <v>4241</v>
      </c>
    </row>
    <row r="181" spans="1:13">
      <c r="A181" s="2">
        <v>891</v>
      </c>
      <c r="B181" s="2" t="s">
        <v>4242</v>
      </c>
      <c r="C181" s="2">
        <v>22</v>
      </c>
      <c r="D181" s="2">
        <v>556</v>
      </c>
      <c r="E181" s="2">
        <v>188</v>
      </c>
      <c r="F181" s="2">
        <v>32441</v>
      </c>
      <c r="G181" s="2">
        <v>6.827854737</v>
      </c>
      <c r="H181" s="3">
        <v>1.1900000000000001E-11</v>
      </c>
      <c r="I181" s="2" t="s">
        <v>4243</v>
      </c>
      <c r="J181" s="2" t="s">
        <v>4244</v>
      </c>
      <c r="K181" s="3">
        <v>3.45E-10</v>
      </c>
      <c r="L181" s="2" t="s">
        <v>35</v>
      </c>
      <c r="M181" s="4" t="s">
        <v>4245</v>
      </c>
    </row>
    <row r="182" spans="1:13">
      <c r="A182" s="2">
        <v>4460</v>
      </c>
      <c r="B182" s="2" t="s">
        <v>4246</v>
      </c>
      <c r="C182" s="2">
        <v>16</v>
      </c>
      <c r="D182" s="2">
        <v>556</v>
      </c>
      <c r="E182" s="2">
        <v>84</v>
      </c>
      <c r="F182" s="2">
        <v>32441</v>
      </c>
      <c r="G182" s="2">
        <v>11.11373758</v>
      </c>
      <c r="H182" s="3">
        <v>1.25E-11</v>
      </c>
      <c r="I182" s="2" t="s">
        <v>4247</v>
      </c>
      <c r="J182" s="2" t="s">
        <v>4248</v>
      </c>
      <c r="K182" s="3">
        <v>3.6E-10</v>
      </c>
      <c r="L182" s="2" t="s">
        <v>35</v>
      </c>
      <c r="M182" s="4" t="s">
        <v>4249</v>
      </c>
    </row>
    <row r="183" spans="1:13">
      <c r="A183" s="2">
        <v>1244</v>
      </c>
      <c r="B183" s="2" t="s">
        <v>4250</v>
      </c>
      <c r="C183" s="2">
        <v>26</v>
      </c>
      <c r="D183" s="2">
        <v>556</v>
      </c>
      <c r="E183" s="2">
        <v>279</v>
      </c>
      <c r="F183" s="2">
        <v>32441</v>
      </c>
      <c r="G183" s="2">
        <v>5.4373662359999999</v>
      </c>
      <c r="H183" s="3">
        <v>1.7999999999999999E-11</v>
      </c>
      <c r="I183" s="2" t="s">
        <v>4251</v>
      </c>
      <c r="J183" s="2" t="s">
        <v>4252</v>
      </c>
      <c r="K183" s="3">
        <v>5.1799999999999997E-10</v>
      </c>
      <c r="L183" s="2" t="s">
        <v>35</v>
      </c>
      <c r="M183" s="4" t="s">
        <v>4253</v>
      </c>
    </row>
    <row r="184" spans="1:13">
      <c r="A184" s="2">
        <v>836</v>
      </c>
      <c r="B184" s="2" t="s">
        <v>4254</v>
      </c>
      <c r="C184" s="2">
        <v>12</v>
      </c>
      <c r="D184" s="2">
        <v>556</v>
      </c>
      <c r="E184" s="2">
        <v>37</v>
      </c>
      <c r="F184" s="2">
        <v>32441</v>
      </c>
      <c r="G184" s="2">
        <v>18.92339102</v>
      </c>
      <c r="H184" s="3">
        <v>2.4400000000000001E-11</v>
      </c>
      <c r="I184" s="2" t="s">
        <v>4255</v>
      </c>
      <c r="J184" s="2" t="s">
        <v>4256</v>
      </c>
      <c r="K184" s="3">
        <v>6.9499999999999998E-10</v>
      </c>
      <c r="L184" s="2" t="s">
        <v>35</v>
      </c>
      <c r="M184" s="4" t="s">
        <v>4257</v>
      </c>
    </row>
    <row r="185" spans="1:13">
      <c r="A185" s="2">
        <v>1575</v>
      </c>
      <c r="B185" s="2" t="s">
        <v>4258</v>
      </c>
      <c r="C185" s="2">
        <v>20</v>
      </c>
      <c r="D185" s="2">
        <v>556</v>
      </c>
      <c r="E185" s="2">
        <v>157</v>
      </c>
      <c r="F185" s="2">
        <v>32441</v>
      </c>
      <c r="G185" s="2">
        <v>7.4327544330000004</v>
      </c>
      <c r="H185" s="3">
        <v>2.5699999999999999E-11</v>
      </c>
      <c r="I185" s="2" t="s">
        <v>4259</v>
      </c>
      <c r="J185" s="2" t="s">
        <v>4260</v>
      </c>
      <c r="K185" s="3">
        <v>7.2899999999999996E-10</v>
      </c>
      <c r="L185" s="2" t="s">
        <v>35</v>
      </c>
      <c r="M185" s="4" t="s">
        <v>4261</v>
      </c>
    </row>
    <row r="186" spans="1:13">
      <c r="A186" s="2">
        <v>762</v>
      </c>
      <c r="B186" s="2" t="s">
        <v>4262</v>
      </c>
      <c r="C186" s="2">
        <v>16</v>
      </c>
      <c r="D186" s="2">
        <v>556</v>
      </c>
      <c r="E186" s="2">
        <v>91</v>
      </c>
      <c r="F186" s="2">
        <v>32441</v>
      </c>
      <c r="G186" s="2">
        <v>10.25883469</v>
      </c>
      <c r="H186" s="3">
        <v>3.5999999999999998E-11</v>
      </c>
      <c r="I186" s="2" t="s">
        <v>4263</v>
      </c>
      <c r="J186" s="2" t="s">
        <v>4264</v>
      </c>
      <c r="K186" s="3">
        <v>1.02E-9</v>
      </c>
      <c r="L186" s="2" t="s">
        <v>35</v>
      </c>
      <c r="M186" s="4" t="s">
        <v>4265</v>
      </c>
    </row>
    <row r="187" spans="1:13">
      <c r="A187" s="2">
        <v>2975</v>
      </c>
      <c r="B187" s="2" t="s">
        <v>4266</v>
      </c>
      <c r="C187" s="2">
        <v>10</v>
      </c>
      <c r="D187" s="2">
        <v>556</v>
      </c>
      <c r="E187" s="2">
        <v>20</v>
      </c>
      <c r="F187" s="2">
        <v>32441</v>
      </c>
      <c r="G187" s="2">
        <v>29.173561150000001</v>
      </c>
      <c r="H187" s="3">
        <v>3.7800000000000001E-11</v>
      </c>
      <c r="I187" s="2" t="s">
        <v>4267</v>
      </c>
      <c r="J187" s="2" t="s">
        <v>4268</v>
      </c>
      <c r="K187" s="3">
        <v>1.0600000000000001E-9</v>
      </c>
      <c r="L187" s="2" t="s">
        <v>35</v>
      </c>
      <c r="M187" s="4" t="s">
        <v>4269</v>
      </c>
    </row>
    <row r="188" spans="1:13">
      <c r="A188" s="2">
        <v>1417</v>
      </c>
      <c r="B188" s="2" t="s">
        <v>4270</v>
      </c>
      <c r="C188" s="2">
        <v>33</v>
      </c>
      <c r="D188" s="2">
        <v>556</v>
      </c>
      <c r="E188" s="2">
        <v>473</v>
      </c>
      <c r="F188" s="2">
        <v>32441</v>
      </c>
      <c r="G188" s="2">
        <v>4.0707294630000002</v>
      </c>
      <c r="H188" s="3">
        <v>5.0199999999999999E-11</v>
      </c>
      <c r="I188" s="2" t="s">
        <v>4271</v>
      </c>
      <c r="J188" s="2" t="s">
        <v>4272</v>
      </c>
      <c r="K188" s="3">
        <v>1.3999999999999999E-9</v>
      </c>
      <c r="L188" s="2" t="s">
        <v>35</v>
      </c>
      <c r="M188" s="4" t="s">
        <v>4273</v>
      </c>
    </row>
    <row r="189" spans="1:13">
      <c r="A189" s="2">
        <v>606</v>
      </c>
      <c r="B189" s="2" t="s">
        <v>4274</v>
      </c>
      <c r="C189" s="2">
        <v>11</v>
      </c>
      <c r="D189" s="2">
        <v>556</v>
      </c>
      <c r="E189" s="2">
        <v>30</v>
      </c>
      <c r="F189" s="2">
        <v>32441</v>
      </c>
      <c r="G189" s="2">
        <v>21.39394484</v>
      </c>
      <c r="H189" s="3">
        <v>5.64E-11</v>
      </c>
      <c r="I189" s="2" t="s">
        <v>4275</v>
      </c>
      <c r="J189" s="2" t="s">
        <v>4276</v>
      </c>
      <c r="K189" s="3">
        <v>1.56E-9</v>
      </c>
      <c r="L189" s="2" t="s">
        <v>35</v>
      </c>
      <c r="M189" s="4" t="s">
        <v>4277</v>
      </c>
    </row>
    <row r="190" spans="1:13">
      <c r="A190" s="2">
        <v>1007</v>
      </c>
      <c r="B190" s="2" t="s">
        <v>4278</v>
      </c>
      <c r="C190" s="2">
        <v>44</v>
      </c>
      <c r="D190" s="2">
        <v>556</v>
      </c>
      <c r="E190" s="2">
        <v>805</v>
      </c>
      <c r="F190" s="2">
        <v>32441</v>
      </c>
      <c r="G190" s="2">
        <v>3.1891594799999998</v>
      </c>
      <c r="H190" s="3">
        <v>6.0600000000000003E-11</v>
      </c>
      <c r="I190" s="2" t="s">
        <v>4279</v>
      </c>
      <c r="J190" s="2" t="s">
        <v>4280</v>
      </c>
      <c r="K190" s="3">
        <v>1.67E-9</v>
      </c>
      <c r="L190" s="2" t="s">
        <v>35</v>
      </c>
      <c r="M190" s="4" t="s">
        <v>4281</v>
      </c>
    </row>
    <row r="191" spans="1:13">
      <c r="A191" s="2">
        <v>1590</v>
      </c>
      <c r="B191" s="2" t="s">
        <v>4282</v>
      </c>
      <c r="C191" s="2">
        <v>15</v>
      </c>
      <c r="D191" s="2">
        <v>556</v>
      </c>
      <c r="E191" s="2">
        <v>83</v>
      </c>
      <c r="F191" s="2">
        <v>32441</v>
      </c>
      <c r="G191" s="2">
        <v>10.54466066</v>
      </c>
      <c r="H191" s="3">
        <v>1.05E-10</v>
      </c>
      <c r="I191" s="2" t="s">
        <v>4283</v>
      </c>
      <c r="J191" s="2" t="s">
        <v>4284</v>
      </c>
      <c r="K191" s="3">
        <v>2.88E-9</v>
      </c>
      <c r="L191" s="2" t="s">
        <v>35</v>
      </c>
      <c r="M191" s="4" t="s">
        <v>4285</v>
      </c>
    </row>
    <row r="192" spans="1:13">
      <c r="A192" s="2">
        <v>233</v>
      </c>
      <c r="B192" s="2" t="s">
        <v>4286</v>
      </c>
      <c r="C192" s="2">
        <v>9</v>
      </c>
      <c r="D192" s="2">
        <v>556</v>
      </c>
      <c r="E192" s="2">
        <v>15</v>
      </c>
      <c r="F192" s="2">
        <v>32441</v>
      </c>
      <c r="G192" s="2">
        <v>35.008273379999999</v>
      </c>
      <c r="H192" s="3">
        <v>1.0700000000000001E-10</v>
      </c>
      <c r="I192" s="2" t="s">
        <v>4287</v>
      </c>
      <c r="J192" s="2" t="s">
        <v>4288</v>
      </c>
      <c r="K192" s="3">
        <v>2.9199999999999998E-9</v>
      </c>
      <c r="L192" s="2" t="s">
        <v>35</v>
      </c>
      <c r="M192" s="4" t="s">
        <v>4289</v>
      </c>
    </row>
    <row r="193" spans="1:13">
      <c r="A193" s="2">
        <v>284</v>
      </c>
      <c r="B193" s="2" t="s">
        <v>4290</v>
      </c>
      <c r="C193" s="2">
        <v>10</v>
      </c>
      <c r="D193" s="2">
        <v>556</v>
      </c>
      <c r="E193" s="2">
        <v>23</v>
      </c>
      <c r="F193" s="2">
        <v>32441</v>
      </c>
      <c r="G193" s="2">
        <v>25.368314040000001</v>
      </c>
      <c r="H193" s="3">
        <v>1.11E-10</v>
      </c>
      <c r="I193" s="2" t="s">
        <v>4291</v>
      </c>
      <c r="J193" s="2" t="s">
        <v>4292</v>
      </c>
      <c r="K193" s="3">
        <v>3.0100000000000002E-9</v>
      </c>
      <c r="L193" s="2" t="s">
        <v>35</v>
      </c>
      <c r="M193" s="4" t="s">
        <v>4293</v>
      </c>
    </row>
    <row r="194" spans="1:13">
      <c r="A194" s="2">
        <v>890</v>
      </c>
      <c r="B194" s="2" t="s">
        <v>4294</v>
      </c>
      <c r="C194" s="2">
        <v>47</v>
      </c>
      <c r="D194" s="2">
        <v>556</v>
      </c>
      <c r="E194" s="2">
        <v>920</v>
      </c>
      <c r="F194" s="2">
        <v>32441</v>
      </c>
      <c r="G194" s="2">
        <v>2.9807769</v>
      </c>
      <c r="H194" s="3">
        <v>1.13E-10</v>
      </c>
      <c r="I194" s="2" t="s">
        <v>4295</v>
      </c>
      <c r="J194" s="2" t="s">
        <v>4296</v>
      </c>
      <c r="K194" s="3">
        <v>3.05E-9</v>
      </c>
      <c r="L194" s="2" t="s">
        <v>35</v>
      </c>
      <c r="M194" s="4" t="s">
        <v>4297</v>
      </c>
    </row>
    <row r="195" spans="1:13">
      <c r="A195" s="2">
        <v>3412</v>
      </c>
      <c r="B195" s="2" t="s">
        <v>4298</v>
      </c>
      <c r="C195" s="2">
        <v>30</v>
      </c>
      <c r="D195" s="2">
        <v>556</v>
      </c>
      <c r="E195" s="2">
        <v>409</v>
      </c>
      <c r="F195" s="2">
        <v>32441</v>
      </c>
      <c r="G195" s="2">
        <v>4.2797400220000004</v>
      </c>
      <c r="H195" s="3">
        <v>1.2500000000000001E-10</v>
      </c>
      <c r="I195" s="2" t="s">
        <v>4299</v>
      </c>
      <c r="J195" s="2" t="s">
        <v>4300</v>
      </c>
      <c r="K195" s="3">
        <v>3.3499999999999998E-9</v>
      </c>
      <c r="L195" s="2" t="s">
        <v>35</v>
      </c>
      <c r="M195" s="4" t="s">
        <v>4301</v>
      </c>
    </row>
    <row r="196" spans="1:13">
      <c r="A196" s="2">
        <v>189</v>
      </c>
      <c r="B196" s="2" t="s">
        <v>4302</v>
      </c>
      <c r="C196" s="2">
        <v>10</v>
      </c>
      <c r="D196" s="2">
        <v>556</v>
      </c>
      <c r="E196" s="2">
        <v>24</v>
      </c>
      <c r="F196" s="2">
        <v>32441</v>
      </c>
      <c r="G196" s="2">
        <v>24.311300960000001</v>
      </c>
      <c r="H196" s="3">
        <v>1.5500000000000001E-10</v>
      </c>
      <c r="I196" s="2" t="s">
        <v>4163</v>
      </c>
      <c r="J196" s="2" t="s">
        <v>4164</v>
      </c>
      <c r="K196" s="3">
        <v>4.1299999999999996E-9</v>
      </c>
      <c r="L196" s="2" t="s">
        <v>35</v>
      </c>
      <c r="M196" s="4" t="s">
        <v>4303</v>
      </c>
    </row>
    <row r="197" spans="1:13">
      <c r="A197" s="2">
        <v>432</v>
      </c>
      <c r="B197" s="2" t="s">
        <v>4304</v>
      </c>
      <c r="C197" s="2">
        <v>12</v>
      </c>
      <c r="D197" s="2">
        <v>556</v>
      </c>
      <c r="E197" s="2">
        <v>45</v>
      </c>
      <c r="F197" s="2">
        <v>32441</v>
      </c>
      <c r="G197" s="2">
        <v>15.55923261</v>
      </c>
      <c r="H197" s="3">
        <v>1.65E-10</v>
      </c>
      <c r="I197" s="2" t="s">
        <v>4305</v>
      </c>
      <c r="J197" s="2" t="s">
        <v>4306</v>
      </c>
      <c r="K197" s="3">
        <v>4.3699999999999996E-9</v>
      </c>
      <c r="L197" s="2" t="s">
        <v>35</v>
      </c>
      <c r="M197" s="4" t="s">
        <v>4307</v>
      </c>
    </row>
    <row r="198" spans="1:13">
      <c r="A198" s="2">
        <v>2306</v>
      </c>
      <c r="B198" s="2" t="s">
        <v>4308</v>
      </c>
      <c r="C198" s="2">
        <v>50</v>
      </c>
      <c r="D198" s="2">
        <v>556</v>
      </c>
      <c r="E198" s="2">
        <v>1037</v>
      </c>
      <c r="F198" s="2">
        <v>32441</v>
      </c>
      <c r="G198" s="2">
        <v>2.8132652990000002</v>
      </c>
      <c r="H198" s="3">
        <v>1.8999999999999999E-10</v>
      </c>
      <c r="I198" s="3" t="s">
        <v>4309</v>
      </c>
      <c r="J198" s="3" t="s">
        <v>4310</v>
      </c>
      <c r="K198" s="3">
        <v>4.9900000000000003E-9</v>
      </c>
      <c r="L198" s="2" t="s">
        <v>35</v>
      </c>
      <c r="M198" s="4" t="s">
        <v>4311</v>
      </c>
    </row>
    <row r="199" spans="1:13">
      <c r="A199" s="2">
        <v>580</v>
      </c>
      <c r="B199" s="2" t="s">
        <v>4312</v>
      </c>
      <c r="C199" s="2">
        <v>11</v>
      </c>
      <c r="D199" s="2">
        <v>556</v>
      </c>
      <c r="E199" s="2">
        <v>37</v>
      </c>
      <c r="F199" s="2">
        <v>32441</v>
      </c>
      <c r="G199" s="2">
        <v>17.346441769999998</v>
      </c>
      <c r="H199" s="3">
        <v>3.6199999999999999E-10</v>
      </c>
      <c r="I199" s="2" t="s">
        <v>4313</v>
      </c>
      <c r="J199" s="2" t="s">
        <v>4314</v>
      </c>
      <c r="K199" s="3">
        <v>9.4799999999999995E-9</v>
      </c>
      <c r="L199" s="2" t="s">
        <v>35</v>
      </c>
      <c r="M199" s="4" t="s">
        <v>4315</v>
      </c>
    </row>
    <row r="200" spans="1:13">
      <c r="A200" s="2">
        <v>208</v>
      </c>
      <c r="B200" s="2" t="s">
        <v>4316</v>
      </c>
      <c r="C200" s="2">
        <v>8</v>
      </c>
      <c r="D200" s="2">
        <v>556</v>
      </c>
      <c r="E200" s="2">
        <v>11</v>
      </c>
      <c r="F200" s="2">
        <v>32441</v>
      </c>
      <c r="G200" s="2">
        <v>42.434270769999998</v>
      </c>
      <c r="H200" s="3">
        <v>3.9700000000000002E-10</v>
      </c>
      <c r="I200" s="2" t="s">
        <v>4317</v>
      </c>
      <c r="J200" s="2" t="s">
        <v>4318</v>
      </c>
      <c r="K200" s="3">
        <v>1.02E-8</v>
      </c>
      <c r="L200" s="2" t="s">
        <v>35</v>
      </c>
      <c r="M200" s="4" t="s">
        <v>4319</v>
      </c>
    </row>
    <row r="201" spans="1:13">
      <c r="A201" s="2">
        <v>269</v>
      </c>
      <c r="B201" s="2" t="s">
        <v>4320</v>
      </c>
      <c r="C201" s="2">
        <v>8</v>
      </c>
      <c r="D201" s="2">
        <v>556</v>
      </c>
      <c r="E201" s="2">
        <v>11</v>
      </c>
      <c r="F201" s="2">
        <v>32441</v>
      </c>
      <c r="G201" s="2">
        <v>42.434270769999998</v>
      </c>
      <c r="H201" s="3">
        <v>3.9700000000000002E-10</v>
      </c>
      <c r="I201" s="2" t="s">
        <v>4321</v>
      </c>
      <c r="J201" s="2" t="s">
        <v>4322</v>
      </c>
      <c r="K201" s="3">
        <v>1.02E-8</v>
      </c>
      <c r="L201" s="2" t="s">
        <v>35</v>
      </c>
      <c r="M201" s="4" t="s">
        <v>4323</v>
      </c>
    </row>
    <row r="202" spans="1:13">
      <c r="A202" s="2">
        <v>4026</v>
      </c>
      <c r="B202" s="2" t="s">
        <v>4324</v>
      </c>
      <c r="C202" s="2">
        <v>10</v>
      </c>
      <c r="D202" s="2">
        <v>556</v>
      </c>
      <c r="E202" s="2">
        <v>27</v>
      </c>
      <c r="F202" s="2">
        <v>32441</v>
      </c>
      <c r="G202" s="2">
        <v>21.610045299999999</v>
      </c>
      <c r="H202" s="3">
        <v>3.9399999999999998E-10</v>
      </c>
      <c r="I202" s="2" t="s">
        <v>4325</v>
      </c>
      <c r="J202" s="2" t="s">
        <v>4326</v>
      </c>
      <c r="K202" s="3">
        <v>1.02E-8</v>
      </c>
      <c r="L202" s="2" t="s">
        <v>35</v>
      </c>
      <c r="M202" s="4" t="s">
        <v>4327</v>
      </c>
    </row>
    <row r="203" spans="1:13">
      <c r="A203" s="2">
        <v>2482</v>
      </c>
      <c r="B203" s="2" t="s">
        <v>4328</v>
      </c>
      <c r="C203" s="2">
        <v>10</v>
      </c>
      <c r="D203" s="2">
        <v>556</v>
      </c>
      <c r="E203" s="2">
        <v>28</v>
      </c>
      <c r="F203" s="2">
        <v>32441</v>
      </c>
      <c r="G203" s="2">
        <v>20.838257970000001</v>
      </c>
      <c r="H203" s="3">
        <v>5.2700000000000004E-10</v>
      </c>
      <c r="I203" s="2" t="s">
        <v>4329</v>
      </c>
      <c r="J203" s="2" t="s">
        <v>4330</v>
      </c>
      <c r="K203" s="3">
        <v>1.35E-8</v>
      </c>
      <c r="L203" s="2" t="s">
        <v>35</v>
      </c>
      <c r="M203" s="4" t="s">
        <v>4331</v>
      </c>
    </row>
    <row r="204" spans="1:13">
      <c r="A204" s="2">
        <v>382</v>
      </c>
      <c r="B204" s="2" t="s">
        <v>4332</v>
      </c>
      <c r="C204" s="2">
        <v>9</v>
      </c>
      <c r="D204" s="2">
        <v>556</v>
      </c>
      <c r="E204" s="2">
        <v>19</v>
      </c>
      <c r="F204" s="2">
        <v>32441</v>
      </c>
      <c r="G204" s="2">
        <v>27.638110560000001</v>
      </c>
      <c r="H204" s="3">
        <v>5.3300000000000002E-10</v>
      </c>
      <c r="I204" s="2" t="s">
        <v>4333</v>
      </c>
      <c r="J204" s="2" t="s">
        <v>4334</v>
      </c>
      <c r="K204" s="3">
        <v>1.3599999999999999E-8</v>
      </c>
      <c r="L204" s="2" t="s">
        <v>35</v>
      </c>
      <c r="M204" s="4" t="s">
        <v>4335</v>
      </c>
    </row>
    <row r="205" spans="1:13">
      <c r="A205" s="2">
        <v>3466</v>
      </c>
      <c r="B205" s="2" t="s">
        <v>4336</v>
      </c>
      <c r="C205" s="2">
        <v>15</v>
      </c>
      <c r="D205" s="2">
        <v>556</v>
      </c>
      <c r="E205" s="2">
        <v>95</v>
      </c>
      <c r="F205" s="2">
        <v>32441</v>
      </c>
      <c r="G205" s="2">
        <v>9.2127035209999999</v>
      </c>
      <c r="H205" s="3">
        <v>5.6200000000000002E-10</v>
      </c>
      <c r="I205" s="2" t="s">
        <v>4337</v>
      </c>
      <c r="J205" s="2" t="s">
        <v>4338</v>
      </c>
      <c r="K205" s="3">
        <v>1.42E-8</v>
      </c>
      <c r="L205" s="2" t="s">
        <v>35</v>
      </c>
      <c r="M205" s="4" t="s">
        <v>4339</v>
      </c>
    </row>
    <row r="206" spans="1:13">
      <c r="A206" s="2">
        <v>4711</v>
      </c>
      <c r="B206" s="2" t="s">
        <v>4340</v>
      </c>
      <c r="C206" s="2">
        <v>15</v>
      </c>
      <c r="D206" s="2">
        <v>556</v>
      </c>
      <c r="E206" s="2">
        <v>95</v>
      </c>
      <c r="F206" s="2">
        <v>32441</v>
      </c>
      <c r="G206" s="2">
        <v>9.2127035209999999</v>
      </c>
      <c r="H206" s="3">
        <v>5.6200000000000002E-10</v>
      </c>
      <c r="I206" s="2" t="s">
        <v>4341</v>
      </c>
      <c r="J206" s="2" t="s">
        <v>4342</v>
      </c>
      <c r="K206" s="3">
        <v>1.42E-8</v>
      </c>
      <c r="L206" s="2" t="s">
        <v>35</v>
      </c>
      <c r="M206" s="4" t="s">
        <v>4343</v>
      </c>
    </row>
    <row r="207" spans="1:13">
      <c r="A207" s="2">
        <v>201</v>
      </c>
      <c r="B207" s="2" t="s">
        <v>4344</v>
      </c>
      <c r="C207" s="2">
        <v>8</v>
      </c>
      <c r="D207" s="2">
        <v>556</v>
      </c>
      <c r="E207" s="2">
        <v>12</v>
      </c>
      <c r="F207" s="2">
        <v>32441</v>
      </c>
      <c r="G207" s="2">
        <v>38.898081529999999</v>
      </c>
      <c r="H207" s="3">
        <v>6.5200000000000002E-10</v>
      </c>
      <c r="I207" s="2" t="s">
        <v>4345</v>
      </c>
      <c r="J207" s="2" t="s">
        <v>4346</v>
      </c>
      <c r="K207" s="3">
        <v>1.6199999999999999E-8</v>
      </c>
      <c r="L207" s="2" t="s">
        <v>35</v>
      </c>
      <c r="M207" s="4" t="s">
        <v>4347</v>
      </c>
    </row>
    <row r="208" spans="1:13">
      <c r="A208" s="2">
        <v>3855</v>
      </c>
      <c r="B208" s="2" t="s">
        <v>4348</v>
      </c>
      <c r="C208" s="2">
        <v>8</v>
      </c>
      <c r="D208" s="2">
        <v>556</v>
      </c>
      <c r="E208" s="2">
        <v>12</v>
      </c>
      <c r="F208" s="2">
        <v>32441</v>
      </c>
      <c r="G208" s="2">
        <v>38.898081529999999</v>
      </c>
      <c r="H208" s="3">
        <v>6.5200000000000002E-10</v>
      </c>
      <c r="I208" s="2" t="s">
        <v>4349</v>
      </c>
      <c r="J208" s="2" t="s">
        <v>4350</v>
      </c>
      <c r="K208" s="3">
        <v>1.6199999999999999E-8</v>
      </c>
      <c r="L208" s="2" t="s">
        <v>35</v>
      </c>
      <c r="M208" s="4" t="s">
        <v>4351</v>
      </c>
    </row>
    <row r="209" spans="1:13">
      <c r="A209" s="2">
        <v>3388</v>
      </c>
      <c r="B209" s="2" t="s">
        <v>4352</v>
      </c>
      <c r="C209" s="2">
        <v>10</v>
      </c>
      <c r="D209" s="2">
        <v>556</v>
      </c>
      <c r="E209" s="2">
        <v>29</v>
      </c>
      <c r="F209" s="2">
        <v>32441</v>
      </c>
      <c r="G209" s="2">
        <v>20.119697349999999</v>
      </c>
      <c r="H209" s="3">
        <v>6.9799999999999997E-10</v>
      </c>
      <c r="I209" s="2" t="s">
        <v>4353</v>
      </c>
      <c r="J209" s="2" t="s">
        <v>4354</v>
      </c>
      <c r="K209" s="3">
        <v>1.7299999999999999E-8</v>
      </c>
      <c r="L209" s="2" t="s">
        <v>35</v>
      </c>
      <c r="M209" s="4" t="s">
        <v>4355</v>
      </c>
    </row>
    <row r="210" spans="1:13">
      <c r="A210" s="2">
        <v>3831</v>
      </c>
      <c r="B210" s="2" t="s">
        <v>4356</v>
      </c>
      <c r="C210" s="2">
        <v>13</v>
      </c>
      <c r="D210" s="2">
        <v>556</v>
      </c>
      <c r="E210" s="2">
        <v>67</v>
      </c>
      <c r="F210" s="2">
        <v>32441</v>
      </c>
      <c r="G210" s="2">
        <v>11.32108343</v>
      </c>
      <c r="H210" s="3">
        <v>8.6400000000000001E-10</v>
      </c>
      <c r="I210" s="2" t="s">
        <v>4357</v>
      </c>
      <c r="J210" s="2" t="s">
        <v>4358</v>
      </c>
      <c r="K210" s="3">
        <v>2.1299999999999999E-8</v>
      </c>
      <c r="L210" s="2" t="s">
        <v>35</v>
      </c>
      <c r="M210" s="4" t="s">
        <v>4359</v>
      </c>
    </row>
    <row r="211" spans="1:13">
      <c r="A211" s="2">
        <v>3853</v>
      </c>
      <c r="B211" s="2" t="s">
        <v>4360</v>
      </c>
      <c r="C211" s="2">
        <v>56</v>
      </c>
      <c r="D211" s="2">
        <v>556</v>
      </c>
      <c r="E211" s="2">
        <v>1305</v>
      </c>
      <c r="F211" s="2">
        <v>32441</v>
      </c>
      <c r="G211" s="2">
        <v>2.5037845590000001</v>
      </c>
      <c r="H211" s="3">
        <v>9.1400000000000005E-10</v>
      </c>
      <c r="I211" s="3" t="s">
        <v>4361</v>
      </c>
      <c r="J211" s="3" t="s">
        <v>4362</v>
      </c>
      <c r="K211" s="3">
        <v>2.2399999999999999E-8</v>
      </c>
      <c r="L211" s="2" t="s">
        <v>35</v>
      </c>
      <c r="M211" s="4" t="s">
        <v>4363</v>
      </c>
    </row>
    <row r="212" spans="1:13">
      <c r="A212" s="2">
        <v>126</v>
      </c>
      <c r="B212" s="2" t="s">
        <v>4364</v>
      </c>
      <c r="C212" s="2">
        <v>18</v>
      </c>
      <c r="D212" s="2">
        <v>556</v>
      </c>
      <c r="E212" s="2">
        <v>155</v>
      </c>
      <c r="F212" s="2">
        <v>32441</v>
      </c>
      <c r="G212" s="2">
        <v>6.7757948480000003</v>
      </c>
      <c r="H212" s="3">
        <v>9.859999999999999E-10</v>
      </c>
      <c r="I212" s="2" t="s">
        <v>4365</v>
      </c>
      <c r="J212" s="2" t="s">
        <v>4366</v>
      </c>
      <c r="K212" s="3">
        <v>2.4100000000000001E-8</v>
      </c>
      <c r="L212" s="2" t="s">
        <v>35</v>
      </c>
      <c r="M212" s="4" t="s">
        <v>4367</v>
      </c>
    </row>
    <row r="213" spans="1:13">
      <c r="A213" s="2">
        <v>3316</v>
      </c>
      <c r="B213" s="2" t="s">
        <v>4368</v>
      </c>
      <c r="C213" s="2">
        <v>46</v>
      </c>
      <c r="D213" s="2">
        <v>556</v>
      </c>
      <c r="E213" s="2">
        <v>953</v>
      </c>
      <c r="F213" s="2">
        <v>32441</v>
      </c>
      <c r="G213" s="2">
        <v>2.8163353889999998</v>
      </c>
      <c r="H213" s="3">
        <v>1.02E-9</v>
      </c>
      <c r="I213" s="2" t="s">
        <v>4369</v>
      </c>
      <c r="J213" s="2" t="s">
        <v>4370</v>
      </c>
      <c r="K213" s="3">
        <v>2.4699999999999999E-8</v>
      </c>
      <c r="L213" s="2" t="s">
        <v>35</v>
      </c>
      <c r="M213" s="4" t="s">
        <v>4371</v>
      </c>
    </row>
    <row r="214" spans="1:13">
      <c r="A214" s="2">
        <v>4070</v>
      </c>
      <c r="B214" s="2" t="s">
        <v>4372</v>
      </c>
      <c r="C214" s="2">
        <v>27</v>
      </c>
      <c r="D214" s="2">
        <v>556</v>
      </c>
      <c r="E214" s="2">
        <v>368</v>
      </c>
      <c r="F214" s="2">
        <v>32441</v>
      </c>
      <c r="G214" s="2">
        <v>4.2809029949999999</v>
      </c>
      <c r="H214" s="3">
        <v>1.0600000000000001E-9</v>
      </c>
      <c r="I214" s="2" t="s">
        <v>4373</v>
      </c>
      <c r="J214" s="2" t="s">
        <v>4374</v>
      </c>
      <c r="K214" s="3">
        <v>2.5600000000000001E-8</v>
      </c>
      <c r="L214" s="2" t="s">
        <v>35</v>
      </c>
      <c r="M214" s="4" t="s">
        <v>4375</v>
      </c>
    </row>
    <row r="215" spans="1:13">
      <c r="A215" s="2">
        <v>3411</v>
      </c>
      <c r="B215" s="2" t="s">
        <v>4376</v>
      </c>
      <c r="C215" s="2">
        <v>18</v>
      </c>
      <c r="D215" s="2">
        <v>556</v>
      </c>
      <c r="E215" s="2">
        <v>156</v>
      </c>
      <c r="F215" s="2">
        <v>32441</v>
      </c>
      <c r="G215" s="2">
        <v>6.7323602659999997</v>
      </c>
      <c r="H215" s="3">
        <v>1.08E-9</v>
      </c>
      <c r="I215" s="2" t="s">
        <v>4377</v>
      </c>
      <c r="J215" s="2" t="s">
        <v>4378</v>
      </c>
      <c r="K215" s="3">
        <v>2.6000000000000001E-8</v>
      </c>
      <c r="L215" s="2" t="s">
        <v>35</v>
      </c>
      <c r="M215" s="4" t="s">
        <v>4379</v>
      </c>
    </row>
    <row r="216" spans="1:13">
      <c r="A216" s="2">
        <v>1676</v>
      </c>
      <c r="B216" s="2" t="s">
        <v>4380</v>
      </c>
      <c r="C216" s="2">
        <v>11</v>
      </c>
      <c r="D216" s="2">
        <v>556</v>
      </c>
      <c r="E216" s="2">
        <v>42</v>
      </c>
      <c r="F216" s="2">
        <v>32441</v>
      </c>
      <c r="G216" s="2">
        <v>15.281389170000001</v>
      </c>
      <c r="H216" s="3">
        <v>1.13E-9</v>
      </c>
      <c r="I216" s="2" t="s">
        <v>4381</v>
      </c>
      <c r="J216" s="2" t="s">
        <v>4382</v>
      </c>
      <c r="K216" s="3">
        <v>2.7E-8</v>
      </c>
      <c r="L216" s="2" t="s">
        <v>35</v>
      </c>
      <c r="M216" s="4" t="s">
        <v>4383</v>
      </c>
    </row>
    <row r="217" spans="1:13">
      <c r="A217" s="2">
        <v>3152</v>
      </c>
      <c r="B217" s="2" t="s">
        <v>4384</v>
      </c>
      <c r="C217" s="2">
        <v>14</v>
      </c>
      <c r="D217" s="2">
        <v>556</v>
      </c>
      <c r="E217" s="2">
        <v>84</v>
      </c>
      <c r="F217" s="2">
        <v>32441</v>
      </c>
      <c r="G217" s="2">
        <v>9.7245203839999999</v>
      </c>
      <c r="H217" s="3">
        <v>1.13E-9</v>
      </c>
      <c r="I217" s="2" t="s">
        <v>4385</v>
      </c>
      <c r="J217" s="2" t="s">
        <v>4386</v>
      </c>
      <c r="K217" s="3">
        <v>2.7E-8</v>
      </c>
      <c r="L217" s="2" t="s">
        <v>35</v>
      </c>
      <c r="M217" s="4" t="s">
        <v>4387</v>
      </c>
    </row>
    <row r="218" spans="1:13">
      <c r="A218" s="2">
        <v>532</v>
      </c>
      <c r="B218" s="2" t="s">
        <v>4388</v>
      </c>
      <c r="C218" s="2">
        <v>12</v>
      </c>
      <c r="D218" s="2">
        <v>556</v>
      </c>
      <c r="E218" s="2">
        <v>55</v>
      </c>
      <c r="F218" s="2">
        <v>32441</v>
      </c>
      <c r="G218" s="2">
        <v>12.730281229999999</v>
      </c>
      <c r="H218" s="3">
        <v>1.2E-9</v>
      </c>
      <c r="I218" s="2" t="s">
        <v>4389</v>
      </c>
      <c r="J218" s="2" t="s">
        <v>4390</v>
      </c>
      <c r="K218" s="3">
        <v>2.85E-8</v>
      </c>
      <c r="L218" s="2" t="s">
        <v>35</v>
      </c>
      <c r="M218" s="4" t="s">
        <v>4391</v>
      </c>
    </row>
    <row r="219" spans="1:13">
      <c r="A219" s="2">
        <v>122</v>
      </c>
      <c r="B219" s="2" t="s">
        <v>4392</v>
      </c>
      <c r="C219" s="2">
        <v>15</v>
      </c>
      <c r="D219" s="2">
        <v>556</v>
      </c>
      <c r="E219" s="2">
        <v>102</v>
      </c>
      <c r="F219" s="2">
        <v>32441</v>
      </c>
      <c r="G219" s="2">
        <v>8.5804591620000004</v>
      </c>
      <c r="H219" s="3">
        <v>1.3500000000000001E-9</v>
      </c>
      <c r="I219" s="2" t="s">
        <v>4393</v>
      </c>
      <c r="J219" s="2" t="s">
        <v>4394</v>
      </c>
      <c r="K219" s="3">
        <v>3.1900000000000001E-8</v>
      </c>
      <c r="L219" s="2" t="s">
        <v>35</v>
      </c>
      <c r="M219" s="4" t="s">
        <v>4395</v>
      </c>
    </row>
    <row r="220" spans="1:13">
      <c r="A220" s="2">
        <v>1181</v>
      </c>
      <c r="B220" s="2" t="s">
        <v>4396</v>
      </c>
      <c r="C220" s="2">
        <v>18</v>
      </c>
      <c r="D220" s="2">
        <v>556</v>
      </c>
      <c r="E220" s="2">
        <v>159</v>
      </c>
      <c r="F220" s="2">
        <v>32441</v>
      </c>
      <c r="G220" s="2">
        <v>6.6053345999999999</v>
      </c>
      <c r="H220" s="3">
        <v>1.43E-9</v>
      </c>
      <c r="I220" s="2" t="s">
        <v>4007</v>
      </c>
      <c r="J220" s="2" t="s">
        <v>4008</v>
      </c>
      <c r="K220" s="3">
        <v>3.3500000000000002E-8</v>
      </c>
      <c r="L220" s="2" t="s">
        <v>35</v>
      </c>
      <c r="M220" s="4" t="s">
        <v>4397</v>
      </c>
    </row>
    <row r="221" spans="1:13">
      <c r="A221" s="2">
        <v>240</v>
      </c>
      <c r="B221" s="2" t="s">
        <v>4398</v>
      </c>
      <c r="C221" s="2">
        <v>9</v>
      </c>
      <c r="D221" s="2">
        <v>556</v>
      </c>
      <c r="E221" s="2">
        <v>22</v>
      </c>
      <c r="F221" s="2">
        <v>32441</v>
      </c>
      <c r="G221" s="2">
        <v>23.869277310000001</v>
      </c>
      <c r="H221" s="3">
        <v>1.49E-9</v>
      </c>
      <c r="I221" s="2" t="s">
        <v>4399</v>
      </c>
      <c r="J221" s="2" t="s">
        <v>4400</v>
      </c>
      <c r="K221" s="3">
        <v>3.4599999999999999E-8</v>
      </c>
      <c r="L221" s="2" t="s">
        <v>35</v>
      </c>
      <c r="M221" s="4" t="s">
        <v>4401</v>
      </c>
    </row>
    <row r="222" spans="1:13">
      <c r="A222" s="2">
        <v>3381</v>
      </c>
      <c r="B222" s="2" t="s">
        <v>4402</v>
      </c>
      <c r="C222" s="2">
        <v>9</v>
      </c>
      <c r="D222" s="2">
        <v>556</v>
      </c>
      <c r="E222" s="2">
        <v>22</v>
      </c>
      <c r="F222" s="2">
        <v>32441</v>
      </c>
      <c r="G222" s="2">
        <v>23.869277310000001</v>
      </c>
      <c r="H222" s="3">
        <v>1.49E-9</v>
      </c>
      <c r="I222" s="2" t="s">
        <v>4403</v>
      </c>
      <c r="J222" s="2" t="s">
        <v>4404</v>
      </c>
      <c r="K222" s="3">
        <v>3.4599999999999999E-8</v>
      </c>
      <c r="L222" s="2" t="s">
        <v>35</v>
      </c>
      <c r="M222" s="4" t="s">
        <v>4405</v>
      </c>
    </row>
    <row r="223" spans="1:13">
      <c r="A223" s="2">
        <v>3530</v>
      </c>
      <c r="B223" s="2" t="s">
        <v>4406</v>
      </c>
      <c r="C223" s="2">
        <v>29</v>
      </c>
      <c r="D223" s="2">
        <v>556</v>
      </c>
      <c r="E223" s="2">
        <v>430</v>
      </c>
      <c r="F223" s="2">
        <v>32441</v>
      </c>
      <c r="G223" s="2">
        <v>3.9350384809999999</v>
      </c>
      <c r="H223" s="3">
        <v>1.56E-9</v>
      </c>
      <c r="I223" s="2" t="s">
        <v>4407</v>
      </c>
      <c r="J223" s="2" t="s">
        <v>4408</v>
      </c>
      <c r="K223" s="3">
        <v>3.6099999999999999E-8</v>
      </c>
      <c r="L223" s="2" t="s">
        <v>35</v>
      </c>
      <c r="M223" s="4" t="s">
        <v>4409</v>
      </c>
    </row>
    <row r="224" spans="1:13">
      <c r="A224" s="2">
        <v>1656</v>
      </c>
      <c r="B224" s="2" t="s">
        <v>4410</v>
      </c>
      <c r="C224" s="2">
        <v>18</v>
      </c>
      <c r="D224" s="2">
        <v>556</v>
      </c>
      <c r="E224" s="2">
        <v>161</v>
      </c>
      <c r="F224" s="2">
        <v>32441</v>
      </c>
      <c r="G224" s="2">
        <v>6.523280754</v>
      </c>
      <c r="H224" s="3">
        <v>1.7100000000000001E-9</v>
      </c>
      <c r="I224" s="2" t="s">
        <v>4411</v>
      </c>
      <c r="J224" s="2" t="s">
        <v>4412</v>
      </c>
      <c r="K224" s="3">
        <v>3.9400000000000002E-8</v>
      </c>
      <c r="L224" s="2" t="s">
        <v>35</v>
      </c>
      <c r="M224" s="4" t="s">
        <v>4413</v>
      </c>
    </row>
    <row r="225" spans="1:13">
      <c r="A225" s="2">
        <v>2885</v>
      </c>
      <c r="B225" s="2" t="s">
        <v>4414</v>
      </c>
      <c r="C225" s="2">
        <v>10</v>
      </c>
      <c r="D225" s="2">
        <v>556</v>
      </c>
      <c r="E225" s="2">
        <v>33</v>
      </c>
      <c r="F225" s="2">
        <v>32441</v>
      </c>
      <c r="G225" s="2">
        <v>17.68094615</v>
      </c>
      <c r="H225" s="3">
        <v>1.9800000000000002E-9</v>
      </c>
      <c r="I225" s="2" t="s">
        <v>4415</v>
      </c>
      <c r="J225" s="2" t="s">
        <v>4416</v>
      </c>
      <c r="K225" s="3">
        <v>4.5400000000000003E-8</v>
      </c>
      <c r="L225" s="2" t="s">
        <v>35</v>
      </c>
      <c r="M225" s="4" t="s">
        <v>4417</v>
      </c>
    </row>
    <row r="226" spans="1:13">
      <c r="A226" s="2">
        <v>2709</v>
      </c>
      <c r="B226" s="2" t="s">
        <v>4418</v>
      </c>
      <c r="C226" s="2">
        <v>11</v>
      </c>
      <c r="D226" s="2">
        <v>556</v>
      </c>
      <c r="E226" s="2">
        <v>45</v>
      </c>
      <c r="F226" s="2">
        <v>32441</v>
      </c>
      <c r="G226" s="2">
        <v>14.2626299</v>
      </c>
      <c r="H226" s="3">
        <v>2.11E-9</v>
      </c>
      <c r="I226" s="2" t="s">
        <v>4419</v>
      </c>
      <c r="J226" s="2" t="s">
        <v>4420</v>
      </c>
      <c r="K226" s="3">
        <v>4.8200000000000001E-8</v>
      </c>
      <c r="L226" s="2" t="s">
        <v>35</v>
      </c>
      <c r="M226" s="4" t="s">
        <v>4421</v>
      </c>
    </row>
    <row r="227" spans="1:13">
      <c r="A227" s="2">
        <v>3972</v>
      </c>
      <c r="B227" s="2" t="s">
        <v>4422</v>
      </c>
      <c r="C227" s="2">
        <v>14</v>
      </c>
      <c r="D227" s="2">
        <v>556</v>
      </c>
      <c r="E227" s="2">
        <v>89</v>
      </c>
      <c r="F227" s="2">
        <v>32441</v>
      </c>
      <c r="G227" s="2">
        <v>9.1781990140000005</v>
      </c>
      <c r="H227" s="3">
        <v>2.1999999999999998E-9</v>
      </c>
      <c r="I227" s="2" t="s">
        <v>4423</v>
      </c>
      <c r="J227" s="2" t="s">
        <v>4424</v>
      </c>
      <c r="K227" s="3">
        <v>4.9999999999999998E-8</v>
      </c>
      <c r="L227" s="2" t="s">
        <v>35</v>
      </c>
      <c r="M227" s="4" t="s">
        <v>4425</v>
      </c>
    </row>
    <row r="228" spans="1:13">
      <c r="A228" s="2">
        <v>441</v>
      </c>
      <c r="B228" s="2" t="s">
        <v>4426</v>
      </c>
      <c r="C228" s="2">
        <v>8</v>
      </c>
      <c r="D228" s="2">
        <v>556</v>
      </c>
      <c r="E228" s="2">
        <v>15</v>
      </c>
      <c r="F228" s="2">
        <v>32441</v>
      </c>
      <c r="G228" s="2">
        <v>31.118465230000002</v>
      </c>
      <c r="H228" s="3">
        <v>2.4300000000000001E-9</v>
      </c>
      <c r="I228" s="2" t="s">
        <v>4427</v>
      </c>
      <c r="J228" s="2" t="s">
        <v>4428</v>
      </c>
      <c r="K228" s="3">
        <v>5.4800000000000001E-8</v>
      </c>
      <c r="L228" s="2" t="s">
        <v>35</v>
      </c>
      <c r="M228" s="4" t="s">
        <v>4429</v>
      </c>
    </row>
    <row r="229" spans="1:13">
      <c r="A229" s="2">
        <v>4719</v>
      </c>
      <c r="B229" s="2" t="s">
        <v>4430</v>
      </c>
      <c r="C229" s="2">
        <v>39</v>
      </c>
      <c r="D229" s="2">
        <v>556</v>
      </c>
      <c r="E229" s="2">
        <v>753</v>
      </c>
      <c r="F229" s="2">
        <v>32441</v>
      </c>
      <c r="G229" s="2">
        <v>3.0219625099999998</v>
      </c>
      <c r="H229" s="3">
        <v>3.22E-9</v>
      </c>
      <c r="I229" s="2" t="s">
        <v>4431</v>
      </c>
      <c r="J229" s="2" t="s">
        <v>4432</v>
      </c>
      <c r="K229" s="3">
        <v>7.24E-8</v>
      </c>
      <c r="L229" s="2" t="s">
        <v>35</v>
      </c>
      <c r="M229" s="4" t="s">
        <v>4433</v>
      </c>
    </row>
    <row r="230" spans="1:13">
      <c r="A230" s="2">
        <v>1611</v>
      </c>
      <c r="B230" s="2" t="s">
        <v>4434</v>
      </c>
      <c r="C230" s="2">
        <v>23</v>
      </c>
      <c r="D230" s="2">
        <v>556</v>
      </c>
      <c r="E230" s="2">
        <v>284</v>
      </c>
      <c r="F230" s="2">
        <v>32441</v>
      </c>
      <c r="G230" s="2">
        <v>4.7252951159999999</v>
      </c>
      <c r="H230" s="3">
        <v>3.2700000000000001E-9</v>
      </c>
      <c r="I230" s="2" t="s">
        <v>4435</v>
      </c>
      <c r="J230" s="2" t="s">
        <v>4436</v>
      </c>
      <c r="K230" s="3">
        <v>7.3099999999999999E-8</v>
      </c>
      <c r="L230" s="2" t="s">
        <v>35</v>
      </c>
      <c r="M230" s="4" t="s">
        <v>4437</v>
      </c>
    </row>
    <row r="231" spans="1:13">
      <c r="A231" s="2">
        <v>2486</v>
      </c>
      <c r="B231" s="2" t="s">
        <v>4438</v>
      </c>
      <c r="C231" s="2">
        <v>10</v>
      </c>
      <c r="D231" s="2">
        <v>556</v>
      </c>
      <c r="E231" s="2">
        <v>36</v>
      </c>
      <c r="F231" s="2">
        <v>32441</v>
      </c>
      <c r="G231" s="2">
        <v>16.20753397</v>
      </c>
      <c r="H231" s="3">
        <v>4.0300000000000004E-9</v>
      </c>
      <c r="I231" s="2" t="s">
        <v>4439</v>
      </c>
      <c r="J231" s="2" t="s">
        <v>4440</v>
      </c>
      <c r="K231" s="3">
        <v>8.9599999999999995E-8</v>
      </c>
      <c r="L231" s="2" t="s">
        <v>35</v>
      </c>
      <c r="M231" s="4" t="s">
        <v>4441</v>
      </c>
    </row>
    <row r="232" spans="1:13">
      <c r="A232" s="2">
        <v>2895</v>
      </c>
      <c r="B232" s="2" t="s">
        <v>4442</v>
      </c>
      <c r="C232" s="2">
        <v>17</v>
      </c>
      <c r="D232" s="2">
        <v>556</v>
      </c>
      <c r="E232" s="2">
        <v>151</v>
      </c>
      <c r="F232" s="2">
        <v>32441</v>
      </c>
      <c r="G232" s="2">
        <v>6.5688813189999999</v>
      </c>
      <c r="H232" s="3">
        <v>4.3999999999999997E-9</v>
      </c>
      <c r="I232" s="2" t="s">
        <v>4443</v>
      </c>
      <c r="J232" s="2" t="s">
        <v>4444</v>
      </c>
      <c r="K232" s="3">
        <v>9.76E-8</v>
      </c>
      <c r="L232" s="2" t="s">
        <v>35</v>
      </c>
      <c r="M232" s="4" t="s">
        <v>4445</v>
      </c>
    </row>
    <row r="233" spans="1:13">
      <c r="A233" s="2">
        <v>1652</v>
      </c>
      <c r="B233" s="2" t="s">
        <v>4446</v>
      </c>
      <c r="C233" s="2">
        <v>14</v>
      </c>
      <c r="D233" s="2">
        <v>556</v>
      </c>
      <c r="E233" s="2">
        <v>95</v>
      </c>
      <c r="F233" s="2">
        <v>32441</v>
      </c>
      <c r="G233" s="2">
        <v>8.5985232870000008</v>
      </c>
      <c r="H233" s="3">
        <v>4.6800000000000004E-9</v>
      </c>
      <c r="I233" s="2" t="s">
        <v>4447</v>
      </c>
      <c r="J233" s="2" t="s">
        <v>4448</v>
      </c>
      <c r="K233" s="3">
        <v>1.03E-7</v>
      </c>
      <c r="L233" s="2" t="s">
        <v>35</v>
      </c>
      <c r="M233" s="4" t="s">
        <v>4449</v>
      </c>
    </row>
    <row r="234" spans="1:13">
      <c r="A234" s="2">
        <v>4041</v>
      </c>
      <c r="B234" s="2" t="s">
        <v>4450</v>
      </c>
      <c r="C234" s="2">
        <v>9</v>
      </c>
      <c r="D234" s="2">
        <v>556</v>
      </c>
      <c r="E234" s="2">
        <v>26</v>
      </c>
      <c r="F234" s="2">
        <v>32441</v>
      </c>
      <c r="G234" s="2">
        <v>20.197080799999998</v>
      </c>
      <c r="H234" s="3">
        <v>4.9099999999999998E-9</v>
      </c>
      <c r="I234" s="2" t="s">
        <v>4451</v>
      </c>
      <c r="J234" s="2" t="s">
        <v>4452</v>
      </c>
      <c r="K234" s="3">
        <v>1.08E-7</v>
      </c>
      <c r="L234" s="2" t="s">
        <v>35</v>
      </c>
      <c r="M234" s="4" t="s">
        <v>4453</v>
      </c>
    </row>
    <row r="235" spans="1:13">
      <c r="A235" s="2">
        <v>3394</v>
      </c>
      <c r="B235" s="2" t="s">
        <v>4454</v>
      </c>
      <c r="C235" s="2">
        <v>10</v>
      </c>
      <c r="D235" s="2">
        <v>556</v>
      </c>
      <c r="E235" s="2">
        <v>37</v>
      </c>
      <c r="F235" s="2">
        <v>32441</v>
      </c>
      <c r="G235" s="2">
        <v>15.769492509999999</v>
      </c>
      <c r="H235" s="3">
        <v>5.04E-9</v>
      </c>
      <c r="I235" s="2" t="s">
        <v>4455</v>
      </c>
      <c r="J235" s="2" t="s">
        <v>4456</v>
      </c>
      <c r="K235" s="3">
        <v>1.1000000000000001E-7</v>
      </c>
      <c r="L235" s="2" t="s">
        <v>35</v>
      </c>
      <c r="M235" s="4" t="s">
        <v>4457</v>
      </c>
    </row>
    <row r="236" spans="1:13">
      <c r="A236" s="2">
        <v>2638</v>
      </c>
      <c r="B236" s="2" t="s">
        <v>223</v>
      </c>
      <c r="C236" s="2">
        <v>27</v>
      </c>
      <c r="D236" s="2">
        <v>556</v>
      </c>
      <c r="E236" s="2">
        <v>398</v>
      </c>
      <c r="F236" s="2">
        <v>32441</v>
      </c>
      <c r="G236" s="2">
        <v>3.9582218650000001</v>
      </c>
      <c r="H236" s="3">
        <v>5.1199999999999997E-9</v>
      </c>
      <c r="I236" s="2" t="s">
        <v>4458</v>
      </c>
      <c r="J236" s="2" t="s">
        <v>4459</v>
      </c>
      <c r="K236" s="3">
        <v>1.11E-7</v>
      </c>
      <c r="L236" s="2" t="s">
        <v>35</v>
      </c>
      <c r="M236" s="4" t="s">
        <v>4460</v>
      </c>
    </row>
    <row r="237" spans="1:13">
      <c r="A237" s="2">
        <v>3655</v>
      </c>
      <c r="B237" s="2" t="s">
        <v>4461</v>
      </c>
      <c r="C237" s="2">
        <v>16</v>
      </c>
      <c r="D237" s="2">
        <v>556</v>
      </c>
      <c r="E237" s="2">
        <v>134</v>
      </c>
      <c r="F237" s="2">
        <v>32441</v>
      </c>
      <c r="G237" s="2">
        <v>6.9668205729999997</v>
      </c>
      <c r="H237" s="3">
        <v>5.8500000000000003E-9</v>
      </c>
      <c r="I237" s="2" t="s">
        <v>4462</v>
      </c>
      <c r="J237" s="2" t="s">
        <v>4463</v>
      </c>
      <c r="K237" s="3">
        <v>1.2700000000000001E-7</v>
      </c>
      <c r="L237" s="2" t="s">
        <v>35</v>
      </c>
      <c r="M237" s="4" t="s">
        <v>4464</v>
      </c>
    </row>
    <row r="238" spans="1:13">
      <c r="A238" s="2">
        <v>132</v>
      </c>
      <c r="B238" s="2" t="s">
        <v>4465</v>
      </c>
      <c r="C238" s="2">
        <v>14</v>
      </c>
      <c r="D238" s="2">
        <v>556</v>
      </c>
      <c r="E238" s="2">
        <v>97</v>
      </c>
      <c r="F238" s="2">
        <v>32441</v>
      </c>
      <c r="G238" s="2">
        <v>8.4212341469999998</v>
      </c>
      <c r="H238" s="3">
        <v>5.9600000000000001E-9</v>
      </c>
      <c r="I238" s="2" t="s">
        <v>4466</v>
      </c>
      <c r="J238" s="2" t="s">
        <v>4467</v>
      </c>
      <c r="K238" s="3">
        <v>1.2800000000000001E-7</v>
      </c>
      <c r="L238" s="2" t="s">
        <v>35</v>
      </c>
      <c r="M238" s="4" t="s">
        <v>4468</v>
      </c>
    </row>
    <row r="239" spans="1:13">
      <c r="A239" s="2">
        <v>1369</v>
      </c>
      <c r="B239" s="2" t="s">
        <v>4469</v>
      </c>
      <c r="C239" s="2">
        <v>23</v>
      </c>
      <c r="D239" s="2">
        <v>556</v>
      </c>
      <c r="E239" s="2">
        <v>294</v>
      </c>
      <c r="F239" s="2">
        <v>32441</v>
      </c>
      <c r="G239" s="2">
        <v>4.5645707919999996</v>
      </c>
      <c r="H239" s="3">
        <v>6.0099999999999997E-9</v>
      </c>
      <c r="I239" s="2" t="s">
        <v>4470</v>
      </c>
      <c r="J239" s="2" t="s">
        <v>4471</v>
      </c>
      <c r="K239" s="3">
        <v>1.29E-7</v>
      </c>
      <c r="L239" s="2" t="s">
        <v>35</v>
      </c>
      <c r="M239" s="4" t="s">
        <v>4472</v>
      </c>
    </row>
    <row r="240" spans="1:13">
      <c r="A240" s="2">
        <v>3867</v>
      </c>
      <c r="B240" s="2" t="s">
        <v>4473</v>
      </c>
      <c r="C240" s="2">
        <v>21</v>
      </c>
      <c r="D240" s="2">
        <v>556</v>
      </c>
      <c r="E240" s="2">
        <v>245</v>
      </c>
      <c r="F240" s="2">
        <v>32441</v>
      </c>
      <c r="G240" s="2">
        <v>5.0011819119999998</v>
      </c>
      <c r="H240" s="3">
        <v>6.2799999999999998E-9</v>
      </c>
      <c r="I240" s="2" t="s">
        <v>4474</v>
      </c>
      <c r="J240" s="2" t="s">
        <v>4475</v>
      </c>
      <c r="K240" s="3">
        <v>1.3400000000000001E-7</v>
      </c>
      <c r="L240" s="2" t="s">
        <v>35</v>
      </c>
      <c r="M240" s="4" t="s">
        <v>4476</v>
      </c>
    </row>
    <row r="241" spans="1:13">
      <c r="A241" s="2">
        <v>468</v>
      </c>
      <c r="B241" s="2" t="s">
        <v>4477</v>
      </c>
      <c r="C241" s="2">
        <v>12</v>
      </c>
      <c r="D241" s="2">
        <v>556</v>
      </c>
      <c r="E241" s="2">
        <v>65</v>
      </c>
      <c r="F241" s="2">
        <v>32441</v>
      </c>
      <c r="G241" s="2">
        <v>10.771776429999999</v>
      </c>
      <c r="H241" s="3">
        <v>6.3300000000000003E-9</v>
      </c>
      <c r="I241" s="2" t="s">
        <v>4478</v>
      </c>
      <c r="J241" s="2" t="s">
        <v>4479</v>
      </c>
      <c r="K241" s="3">
        <v>1.35E-7</v>
      </c>
      <c r="L241" s="2" t="s">
        <v>35</v>
      </c>
      <c r="M241" s="4" t="s">
        <v>4480</v>
      </c>
    </row>
    <row r="242" spans="1:13">
      <c r="A242" s="2">
        <v>2883</v>
      </c>
      <c r="B242" s="2" t="s">
        <v>4481</v>
      </c>
      <c r="C242" s="2">
        <v>21</v>
      </c>
      <c r="D242" s="2">
        <v>556</v>
      </c>
      <c r="E242" s="2">
        <v>246</v>
      </c>
      <c r="F242" s="2">
        <v>32441</v>
      </c>
      <c r="G242" s="2">
        <v>4.9808519039999997</v>
      </c>
      <c r="H242" s="3">
        <v>6.72E-9</v>
      </c>
      <c r="I242" s="2" t="s">
        <v>4482</v>
      </c>
      <c r="J242" s="2" t="s">
        <v>4483</v>
      </c>
      <c r="K242" s="3">
        <v>1.42E-7</v>
      </c>
      <c r="L242" s="2" t="s">
        <v>35</v>
      </c>
      <c r="M242" s="4" t="s">
        <v>4484</v>
      </c>
    </row>
    <row r="243" spans="1:13">
      <c r="A243" s="2">
        <v>1653</v>
      </c>
      <c r="B243" s="2" t="s">
        <v>4485</v>
      </c>
      <c r="C243" s="2">
        <v>12</v>
      </c>
      <c r="D243" s="2">
        <v>556</v>
      </c>
      <c r="E243" s="2">
        <v>66</v>
      </c>
      <c r="F243" s="2">
        <v>32441</v>
      </c>
      <c r="G243" s="2">
        <v>10.608567689999999</v>
      </c>
      <c r="H243" s="3">
        <v>7.37E-9</v>
      </c>
      <c r="I243" s="2" t="s">
        <v>4486</v>
      </c>
      <c r="J243" s="2" t="s">
        <v>4487</v>
      </c>
      <c r="K243" s="3">
        <v>1.55E-7</v>
      </c>
      <c r="L243" s="2" t="s">
        <v>35</v>
      </c>
      <c r="M243" s="4" t="s">
        <v>4488</v>
      </c>
    </row>
    <row r="244" spans="1:13">
      <c r="A244" s="2">
        <v>4515</v>
      </c>
      <c r="B244" s="2" t="s">
        <v>4489</v>
      </c>
      <c r="C244" s="2">
        <v>36</v>
      </c>
      <c r="D244" s="2">
        <v>556</v>
      </c>
      <c r="E244" s="2">
        <v>682</v>
      </c>
      <c r="F244" s="2">
        <v>32441</v>
      </c>
      <c r="G244" s="2">
        <v>3.0799067490000001</v>
      </c>
      <c r="H244" s="3">
        <v>8.3099999999999996E-9</v>
      </c>
      <c r="I244" s="2" t="s">
        <v>4490</v>
      </c>
      <c r="J244" s="2" t="s">
        <v>4491</v>
      </c>
      <c r="K244" s="3">
        <v>1.74E-7</v>
      </c>
      <c r="L244" s="2" t="s">
        <v>35</v>
      </c>
      <c r="M244" s="4" t="s">
        <v>4492</v>
      </c>
    </row>
    <row r="245" spans="1:13">
      <c r="A245" s="2">
        <v>1486</v>
      </c>
      <c r="B245" s="2" t="s">
        <v>4493</v>
      </c>
      <c r="C245" s="2">
        <v>9</v>
      </c>
      <c r="D245" s="2">
        <v>556</v>
      </c>
      <c r="E245" s="2">
        <v>28</v>
      </c>
      <c r="F245" s="2">
        <v>32441</v>
      </c>
      <c r="G245" s="2">
        <v>18.754432170000001</v>
      </c>
      <c r="H245" s="3">
        <v>8.3899999999999994E-9</v>
      </c>
      <c r="I245" s="2" t="s">
        <v>4494</v>
      </c>
      <c r="J245" s="2" t="s">
        <v>4495</v>
      </c>
      <c r="K245" s="3">
        <v>1.7499999999999999E-7</v>
      </c>
      <c r="L245" s="2" t="s">
        <v>35</v>
      </c>
      <c r="M245" s="4" t="s">
        <v>4496</v>
      </c>
    </row>
    <row r="246" spans="1:13">
      <c r="A246" s="2">
        <v>2745</v>
      </c>
      <c r="B246" s="2" t="s">
        <v>4497</v>
      </c>
      <c r="C246" s="2">
        <v>19</v>
      </c>
      <c r="D246" s="2">
        <v>556</v>
      </c>
      <c r="E246" s="2">
        <v>203</v>
      </c>
      <c r="F246" s="2">
        <v>32441</v>
      </c>
      <c r="G246" s="2">
        <v>5.4610607079999998</v>
      </c>
      <c r="H246" s="3">
        <v>8.9399999999999993E-9</v>
      </c>
      <c r="I246" s="2" t="s">
        <v>4498</v>
      </c>
      <c r="J246" s="2" t="s">
        <v>4499</v>
      </c>
      <c r="K246" s="3">
        <v>1.86E-7</v>
      </c>
      <c r="L246" s="2" t="s">
        <v>35</v>
      </c>
      <c r="M246" s="4" t="s">
        <v>4500</v>
      </c>
    </row>
    <row r="247" spans="1:13">
      <c r="A247" s="2">
        <v>4721</v>
      </c>
      <c r="B247" s="2" t="s">
        <v>4501</v>
      </c>
      <c r="C247" s="2">
        <v>46</v>
      </c>
      <c r="D247" s="2">
        <v>556</v>
      </c>
      <c r="E247" s="2">
        <v>1028</v>
      </c>
      <c r="F247" s="2">
        <v>32441</v>
      </c>
      <c r="G247" s="2">
        <v>2.610863449</v>
      </c>
      <c r="H247" s="3">
        <v>9.5200000000000002E-9</v>
      </c>
      <c r="I247" s="2" t="s">
        <v>4502</v>
      </c>
      <c r="J247" s="2" t="s">
        <v>4503</v>
      </c>
      <c r="K247" s="3">
        <v>1.97E-7</v>
      </c>
      <c r="L247" s="2" t="s">
        <v>35</v>
      </c>
      <c r="M247" s="4" t="s">
        <v>4504</v>
      </c>
    </row>
    <row r="248" spans="1:13">
      <c r="A248" s="2">
        <v>3390</v>
      </c>
      <c r="B248" s="2" t="s">
        <v>4505</v>
      </c>
      <c r="C248" s="2">
        <v>8</v>
      </c>
      <c r="D248" s="2">
        <v>556</v>
      </c>
      <c r="E248" s="2">
        <v>19</v>
      </c>
      <c r="F248" s="2">
        <v>32441</v>
      </c>
      <c r="G248" s="2">
        <v>24.567209389999999</v>
      </c>
      <c r="H248" s="3">
        <v>1.04E-8</v>
      </c>
      <c r="I248" s="2" t="s">
        <v>4506</v>
      </c>
      <c r="J248" s="2" t="s">
        <v>4507</v>
      </c>
      <c r="K248" s="3">
        <v>2.1299999999999999E-7</v>
      </c>
      <c r="L248" s="2" t="s">
        <v>35</v>
      </c>
      <c r="M248" s="4" t="s">
        <v>4508</v>
      </c>
    </row>
    <row r="249" spans="1:13">
      <c r="A249" s="2">
        <v>2898</v>
      </c>
      <c r="B249" s="2" t="s">
        <v>4509</v>
      </c>
      <c r="C249" s="2">
        <v>10</v>
      </c>
      <c r="D249" s="2">
        <v>556</v>
      </c>
      <c r="E249" s="2">
        <v>41</v>
      </c>
      <c r="F249" s="2">
        <v>32441</v>
      </c>
      <c r="G249" s="2">
        <v>14.231005440000001</v>
      </c>
      <c r="H249" s="3">
        <v>1.1700000000000001E-8</v>
      </c>
      <c r="I249" s="2" t="s">
        <v>4510</v>
      </c>
      <c r="J249" s="2" t="s">
        <v>4511</v>
      </c>
      <c r="K249" s="3">
        <v>2.3900000000000001E-7</v>
      </c>
      <c r="L249" s="2" t="s">
        <v>35</v>
      </c>
      <c r="M249" s="4" t="s">
        <v>4512</v>
      </c>
    </row>
    <row r="250" spans="1:13">
      <c r="A250" s="2">
        <v>3980</v>
      </c>
      <c r="B250" s="2" t="s">
        <v>4513</v>
      </c>
      <c r="C250" s="2">
        <v>10</v>
      </c>
      <c r="D250" s="2">
        <v>556</v>
      </c>
      <c r="E250" s="2">
        <v>41</v>
      </c>
      <c r="F250" s="2">
        <v>32441</v>
      </c>
      <c r="G250" s="2">
        <v>14.231005440000001</v>
      </c>
      <c r="H250" s="3">
        <v>1.1700000000000001E-8</v>
      </c>
      <c r="I250" s="2" t="s">
        <v>4514</v>
      </c>
      <c r="J250" s="2" t="s">
        <v>4515</v>
      </c>
      <c r="K250" s="3">
        <v>2.3900000000000001E-7</v>
      </c>
      <c r="L250" s="2" t="s">
        <v>35</v>
      </c>
      <c r="M250" s="4" t="s">
        <v>4516</v>
      </c>
    </row>
    <row r="251" spans="1:13">
      <c r="A251" s="2">
        <v>3846</v>
      </c>
      <c r="B251" s="2" t="s">
        <v>4517</v>
      </c>
      <c r="C251" s="2">
        <v>9</v>
      </c>
      <c r="D251" s="2">
        <v>556</v>
      </c>
      <c r="E251" s="2">
        <v>30</v>
      </c>
      <c r="F251" s="2">
        <v>32441</v>
      </c>
      <c r="G251" s="2">
        <v>17.504136689999999</v>
      </c>
      <c r="H251" s="3">
        <v>1.39E-8</v>
      </c>
      <c r="I251" s="2" t="s">
        <v>4518</v>
      </c>
      <c r="J251" s="2" t="s">
        <v>4519</v>
      </c>
      <c r="K251" s="3">
        <v>2.8200000000000001E-7</v>
      </c>
      <c r="L251" s="2" t="s">
        <v>35</v>
      </c>
      <c r="M251" s="4" t="s">
        <v>4520</v>
      </c>
    </row>
    <row r="252" spans="1:13">
      <c r="A252" s="2">
        <v>3805</v>
      </c>
      <c r="B252" s="2" t="s">
        <v>4521</v>
      </c>
      <c r="C252" s="2">
        <v>8</v>
      </c>
      <c r="D252" s="2">
        <v>556</v>
      </c>
      <c r="E252" s="2">
        <v>20</v>
      </c>
      <c r="F252" s="2">
        <v>32441</v>
      </c>
      <c r="G252" s="2">
        <v>23.33884892</v>
      </c>
      <c r="H252" s="3">
        <v>1.4300000000000001E-8</v>
      </c>
      <c r="I252" s="2" t="s">
        <v>4522</v>
      </c>
      <c r="J252" s="2" t="s">
        <v>4523</v>
      </c>
      <c r="K252" s="3">
        <v>2.8900000000000001E-7</v>
      </c>
      <c r="L252" s="2" t="s">
        <v>35</v>
      </c>
      <c r="M252" s="4" t="s">
        <v>4524</v>
      </c>
    </row>
    <row r="253" spans="1:13">
      <c r="A253" s="2">
        <v>3479</v>
      </c>
      <c r="B253" s="2" t="s">
        <v>4525</v>
      </c>
      <c r="C253" s="2">
        <v>33</v>
      </c>
      <c r="D253" s="2">
        <v>556</v>
      </c>
      <c r="E253" s="2">
        <v>601</v>
      </c>
      <c r="F253" s="2">
        <v>32441</v>
      </c>
      <c r="G253" s="2">
        <v>3.2037521400000002</v>
      </c>
      <c r="H253" s="3">
        <v>1.4500000000000001E-8</v>
      </c>
      <c r="I253" s="2" t="s">
        <v>4526</v>
      </c>
      <c r="J253" s="2" t="s">
        <v>4527</v>
      </c>
      <c r="K253" s="3">
        <v>2.9200000000000002E-7</v>
      </c>
      <c r="L253" s="2" t="s">
        <v>35</v>
      </c>
      <c r="M253" s="4" t="s">
        <v>4528</v>
      </c>
    </row>
    <row r="254" spans="1:13">
      <c r="A254" s="2">
        <v>2420</v>
      </c>
      <c r="B254" s="2" t="s">
        <v>4529</v>
      </c>
      <c r="C254" s="2">
        <v>17</v>
      </c>
      <c r="D254" s="2">
        <v>556</v>
      </c>
      <c r="E254" s="2">
        <v>165</v>
      </c>
      <c r="F254" s="2">
        <v>32441</v>
      </c>
      <c r="G254" s="2">
        <v>6.0115216919999996</v>
      </c>
      <c r="H254" s="3">
        <v>1.48E-8</v>
      </c>
      <c r="I254" s="2" t="s">
        <v>4530</v>
      </c>
      <c r="J254" s="2" t="s">
        <v>4531</v>
      </c>
      <c r="K254" s="3">
        <v>2.9700000000000003E-7</v>
      </c>
      <c r="L254" s="2" t="s">
        <v>35</v>
      </c>
      <c r="M254" s="4" t="s">
        <v>4532</v>
      </c>
    </row>
    <row r="255" spans="1:13">
      <c r="A255" s="2">
        <v>3564</v>
      </c>
      <c r="B255" s="2" t="s">
        <v>4533</v>
      </c>
      <c r="C255" s="2">
        <v>43</v>
      </c>
      <c r="D255" s="2">
        <v>556</v>
      </c>
      <c r="E255" s="2">
        <v>940</v>
      </c>
      <c r="F255" s="2">
        <v>32441</v>
      </c>
      <c r="G255" s="2">
        <v>2.669070488</v>
      </c>
      <c r="H255" s="3">
        <v>1.6199999999999999E-8</v>
      </c>
      <c r="I255" s="2" t="s">
        <v>4534</v>
      </c>
      <c r="J255" s="2" t="s">
        <v>4535</v>
      </c>
      <c r="K255" s="3">
        <v>3.2399999999999999E-7</v>
      </c>
      <c r="L255" s="2" t="s">
        <v>35</v>
      </c>
      <c r="M255" s="4" t="s">
        <v>4536</v>
      </c>
    </row>
    <row r="256" spans="1:13">
      <c r="A256" s="2">
        <v>3187</v>
      </c>
      <c r="B256" s="2" t="s">
        <v>4537</v>
      </c>
      <c r="C256" s="2">
        <v>14</v>
      </c>
      <c r="D256" s="2">
        <v>556</v>
      </c>
      <c r="E256" s="2">
        <v>106</v>
      </c>
      <c r="F256" s="2">
        <v>32441</v>
      </c>
      <c r="G256" s="2">
        <v>7.7062236999999998</v>
      </c>
      <c r="H256" s="3">
        <v>1.6499999999999999E-8</v>
      </c>
      <c r="I256" s="2" t="s">
        <v>4538</v>
      </c>
      <c r="J256" s="2" t="s">
        <v>4539</v>
      </c>
      <c r="K256" s="3">
        <v>3.2899999999999999E-7</v>
      </c>
      <c r="L256" s="2" t="s">
        <v>35</v>
      </c>
      <c r="M256" s="4" t="s">
        <v>4540</v>
      </c>
    </row>
    <row r="257" spans="1:13">
      <c r="A257" s="2">
        <v>3897</v>
      </c>
      <c r="B257" s="2" t="s">
        <v>4541</v>
      </c>
      <c r="C257" s="2">
        <v>10</v>
      </c>
      <c r="D257" s="2">
        <v>556</v>
      </c>
      <c r="E257" s="2">
        <v>43</v>
      </c>
      <c r="F257" s="2">
        <v>32441</v>
      </c>
      <c r="G257" s="2">
        <v>13.56909821</v>
      </c>
      <c r="H257" s="3">
        <v>1.7299999999999999E-8</v>
      </c>
      <c r="I257" s="2" t="s">
        <v>4542</v>
      </c>
      <c r="J257" s="2" t="s">
        <v>4543</v>
      </c>
      <c r="K257" s="3">
        <v>3.4400000000000001E-7</v>
      </c>
      <c r="L257" s="2" t="s">
        <v>35</v>
      </c>
      <c r="M257" s="4" t="s">
        <v>4544</v>
      </c>
    </row>
    <row r="258" spans="1:13">
      <c r="A258" s="2">
        <v>3906</v>
      </c>
      <c r="B258" s="2" t="s">
        <v>4545</v>
      </c>
      <c r="C258" s="2">
        <v>11</v>
      </c>
      <c r="D258" s="2">
        <v>556</v>
      </c>
      <c r="E258" s="2">
        <v>57</v>
      </c>
      <c r="F258" s="2">
        <v>32441</v>
      </c>
      <c r="G258" s="2">
        <v>11.259970969999999</v>
      </c>
      <c r="H258" s="3">
        <v>1.81E-8</v>
      </c>
      <c r="I258" s="2" t="s">
        <v>4546</v>
      </c>
      <c r="J258" s="2" t="s">
        <v>4547</v>
      </c>
      <c r="K258" s="3">
        <v>3.5900000000000003E-7</v>
      </c>
      <c r="L258" s="2" t="s">
        <v>35</v>
      </c>
      <c r="M258" s="4" t="s">
        <v>4548</v>
      </c>
    </row>
    <row r="259" spans="1:13">
      <c r="A259" s="2">
        <v>2603</v>
      </c>
      <c r="B259" s="2" t="s">
        <v>4549</v>
      </c>
      <c r="C259" s="2">
        <v>8</v>
      </c>
      <c r="D259" s="2">
        <v>556</v>
      </c>
      <c r="E259" s="2">
        <v>21</v>
      </c>
      <c r="F259" s="2">
        <v>32441</v>
      </c>
      <c r="G259" s="2">
        <v>22.227475160000001</v>
      </c>
      <c r="H259" s="3">
        <v>1.9399999999999998E-8</v>
      </c>
      <c r="I259" s="2" t="s">
        <v>4550</v>
      </c>
      <c r="J259" s="2" t="s">
        <v>4551</v>
      </c>
      <c r="K259" s="3">
        <v>3.8200000000000001E-7</v>
      </c>
      <c r="L259" s="2" t="s">
        <v>35</v>
      </c>
      <c r="M259" s="4" t="s">
        <v>4552</v>
      </c>
    </row>
    <row r="260" spans="1:13">
      <c r="A260" s="2">
        <v>2886</v>
      </c>
      <c r="B260" s="2" t="s">
        <v>4553</v>
      </c>
      <c r="C260" s="2">
        <v>18</v>
      </c>
      <c r="D260" s="2">
        <v>556</v>
      </c>
      <c r="E260" s="2">
        <v>191</v>
      </c>
      <c r="F260" s="2">
        <v>32441</v>
      </c>
      <c r="G260" s="2">
        <v>5.498681683</v>
      </c>
      <c r="H260" s="3">
        <v>1.99E-8</v>
      </c>
      <c r="I260" s="2" t="s">
        <v>4554</v>
      </c>
      <c r="J260" s="2" t="s">
        <v>4555</v>
      </c>
      <c r="K260" s="3">
        <v>3.9099999999999999E-7</v>
      </c>
      <c r="L260" s="2" t="s">
        <v>35</v>
      </c>
      <c r="M260" s="4" t="s">
        <v>4556</v>
      </c>
    </row>
    <row r="261" spans="1:13">
      <c r="A261" s="2">
        <v>3467</v>
      </c>
      <c r="B261" s="2" t="s">
        <v>4557</v>
      </c>
      <c r="C261" s="2">
        <v>17</v>
      </c>
      <c r="D261" s="2">
        <v>556</v>
      </c>
      <c r="E261" s="2">
        <v>171</v>
      </c>
      <c r="F261" s="2">
        <v>32441</v>
      </c>
      <c r="G261" s="2">
        <v>5.8005911059999997</v>
      </c>
      <c r="H261" s="3">
        <v>2.4E-8</v>
      </c>
      <c r="I261" s="2" t="s">
        <v>4558</v>
      </c>
      <c r="J261" s="2" t="s">
        <v>4559</v>
      </c>
      <c r="K261" s="3">
        <v>4.6800000000000001E-7</v>
      </c>
      <c r="L261" s="2" t="s">
        <v>35</v>
      </c>
      <c r="M261" s="4" t="s">
        <v>4560</v>
      </c>
    </row>
    <row r="262" spans="1:13">
      <c r="A262" s="2">
        <v>1961</v>
      </c>
      <c r="B262" s="2" t="s">
        <v>4561</v>
      </c>
      <c r="C262" s="2">
        <v>10</v>
      </c>
      <c r="D262" s="2">
        <v>556</v>
      </c>
      <c r="E262" s="2">
        <v>45</v>
      </c>
      <c r="F262" s="2">
        <v>32441</v>
      </c>
      <c r="G262" s="2">
        <v>12.966027179999999</v>
      </c>
      <c r="H262" s="3">
        <v>2.5200000000000001E-8</v>
      </c>
      <c r="I262" s="2" t="s">
        <v>4562</v>
      </c>
      <c r="J262" s="2" t="s">
        <v>4563</v>
      </c>
      <c r="K262" s="3">
        <v>4.8999999999999997E-7</v>
      </c>
      <c r="L262" s="2" t="s">
        <v>35</v>
      </c>
      <c r="M262" s="4" t="s">
        <v>4564</v>
      </c>
    </row>
    <row r="263" spans="1:13">
      <c r="A263" s="2">
        <v>3440</v>
      </c>
      <c r="B263" s="2" t="s">
        <v>4565</v>
      </c>
      <c r="C263" s="2">
        <v>18</v>
      </c>
      <c r="D263" s="2">
        <v>556</v>
      </c>
      <c r="E263" s="2">
        <v>196</v>
      </c>
      <c r="F263" s="2">
        <v>32441</v>
      </c>
      <c r="G263" s="2">
        <v>5.3584091909999998</v>
      </c>
      <c r="H263" s="3">
        <v>2.8699999999999999E-8</v>
      </c>
      <c r="I263" s="2" t="s">
        <v>4566</v>
      </c>
      <c r="J263" s="2" t="s">
        <v>4567</v>
      </c>
      <c r="K263" s="3">
        <v>5.5599999999999995E-7</v>
      </c>
      <c r="L263" s="2" t="s">
        <v>35</v>
      </c>
      <c r="M263" s="4" t="s">
        <v>4568</v>
      </c>
    </row>
    <row r="264" spans="1:13">
      <c r="A264" s="2">
        <v>490</v>
      </c>
      <c r="B264" s="2" t="s">
        <v>4569</v>
      </c>
      <c r="C264" s="2">
        <v>10</v>
      </c>
      <c r="D264" s="2">
        <v>556</v>
      </c>
      <c r="E264" s="2">
        <v>47</v>
      </c>
      <c r="F264" s="2">
        <v>32441</v>
      </c>
      <c r="G264" s="2">
        <v>12.41428134</v>
      </c>
      <c r="H264" s="3">
        <v>3.6099999999999999E-8</v>
      </c>
      <c r="I264" s="2" t="s">
        <v>4570</v>
      </c>
      <c r="J264" s="2" t="s">
        <v>4571</v>
      </c>
      <c r="K264" s="3">
        <v>6.9400000000000005E-7</v>
      </c>
      <c r="L264" s="2" t="s">
        <v>35</v>
      </c>
      <c r="M264" s="4" t="s">
        <v>4572</v>
      </c>
    </row>
    <row r="265" spans="1:13">
      <c r="A265" s="2">
        <v>1646</v>
      </c>
      <c r="B265" s="2" t="s">
        <v>4573</v>
      </c>
      <c r="C265" s="2">
        <v>10</v>
      </c>
      <c r="D265" s="2">
        <v>556</v>
      </c>
      <c r="E265" s="2">
        <v>47</v>
      </c>
      <c r="F265" s="2">
        <v>32441</v>
      </c>
      <c r="G265" s="2">
        <v>12.41428134</v>
      </c>
      <c r="H265" s="3">
        <v>3.6099999999999999E-8</v>
      </c>
      <c r="I265" s="2" t="s">
        <v>4574</v>
      </c>
      <c r="J265" s="2" t="s">
        <v>4575</v>
      </c>
      <c r="K265" s="3">
        <v>6.9400000000000005E-7</v>
      </c>
      <c r="L265" s="2" t="s">
        <v>35</v>
      </c>
      <c r="M265" s="4" t="s">
        <v>4576</v>
      </c>
    </row>
    <row r="266" spans="1:13">
      <c r="A266" s="2">
        <v>1549</v>
      </c>
      <c r="B266" s="2" t="s">
        <v>4577</v>
      </c>
      <c r="C266" s="2">
        <v>13</v>
      </c>
      <c r="D266" s="2">
        <v>556</v>
      </c>
      <c r="E266" s="2">
        <v>95</v>
      </c>
      <c r="F266" s="2">
        <v>32441</v>
      </c>
      <c r="G266" s="2">
        <v>7.9843430519999998</v>
      </c>
      <c r="H266" s="3">
        <v>3.6799999999999999E-8</v>
      </c>
      <c r="I266" s="2" t="s">
        <v>4578</v>
      </c>
      <c r="J266" s="2" t="s">
        <v>4579</v>
      </c>
      <c r="K266" s="3">
        <v>7.0299999999999998E-7</v>
      </c>
      <c r="L266" s="2" t="s">
        <v>35</v>
      </c>
      <c r="M266" s="4" t="s">
        <v>4580</v>
      </c>
    </row>
    <row r="267" spans="1:13">
      <c r="A267" s="2">
        <v>3786</v>
      </c>
      <c r="B267" s="2" t="s">
        <v>4581</v>
      </c>
      <c r="C267" s="2">
        <v>12</v>
      </c>
      <c r="D267" s="2">
        <v>556</v>
      </c>
      <c r="E267" s="2">
        <v>78</v>
      </c>
      <c r="F267" s="2">
        <v>32441</v>
      </c>
      <c r="G267" s="2">
        <v>8.9764803539999996</v>
      </c>
      <c r="H267" s="3">
        <v>3.8700000000000002E-8</v>
      </c>
      <c r="I267" s="2" t="s">
        <v>4582</v>
      </c>
      <c r="J267" s="2" t="s">
        <v>4583</v>
      </c>
      <c r="K267" s="3">
        <v>7.37E-7</v>
      </c>
      <c r="L267" s="2" t="s">
        <v>35</v>
      </c>
      <c r="M267" s="4" t="s">
        <v>4584</v>
      </c>
    </row>
    <row r="268" spans="1:13">
      <c r="A268" s="2">
        <v>2850</v>
      </c>
      <c r="B268" s="2" t="s">
        <v>4585</v>
      </c>
      <c r="C268" s="2">
        <v>19</v>
      </c>
      <c r="D268" s="2">
        <v>556</v>
      </c>
      <c r="E268" s="2">
        <v>225</v>
      </c>
      <c r="F268" s="2">
        <v>32441</v>
      </c>
      <c r="G268" s="2">
        <v>4.9270903280000002</v>
      </c>
      <c r="H268" s="3">
        <v>4.1199999999999998E-8</v>
      </c>
      <c r="I268" s="2" t="s">
        <v>4586</v>
      </c>
      <c r="J268" s="2" t="s">
        <v>4587</v>
      </c>
      <c r="K268" s="3">
        <v>7.8100000000000002E-7</v>
      </c>
      <c r="L268" s="2" t="s">
        <v>35</v>
      </c>
      <c r="M268" s="4" t="s">
        <v>4588</v>
      </c>
    </row>
    <row r="269" spans="1:13">
      <c r="A269" s="2">
        <v>3497</v>
      </c>
      <c r="B269" s="2" t="s">
        <v>4589</v>
      </c>
      <c r="C269" s="2">
        <v>14</v>
      </c>
      <c r="D269" s="2">
        <v>556</v>
      </c>
      <c r="E269" s="2">
        <v>115</v>
      </c>
      <c r="F269" s="2">
        <v>32441</v>
      </c>
      <c r="G269" s="2">
        <v>7.1031279319999996</v>
      </c>
      <c r="H269" s="3">
        <v>4.1899999999999998E-8</v>
      </c>
      <c r="I269" s="2" t="s">
        <v>4590</v>
      </c>
      <c r="J269" s="2" t="s">
        <v>4591</v>
      </c>
      <c r="K269" s="3">
        <v>7.92E-7</v>
      </c>
      <c r="L269" s="2" t="s">
        <v>35</v>
      </c>
      <c r="M269" s="4" t="s">
        <v>4592</v>
      </c>
    </row>
    <row r="270" spans="1:13">
      <c r="A270" s="2">
        <v>3682</v>
      </c>
      <c r="B270" s="2" t="s">
        <v>4593</v>
      </c>
      <c r="C270" s="2">
        <v>8</v>
      </c>
      <c r="D270" s="2">
        <v>556</v>
      </c>
      <c r="E270" s="2">
        <v>24</v>
      </c>
      <c r="F270" s="2">
        <v>32441</v>
      </c>
      <c r="G270" s="2">
        <v>19.44904077</v>
      </c>
      <c r="H270" s="3">
        <v>4.5499999999999997E-8</v>
      </c>
      <c r="I270" s="2" t="s">
        <v>4594</v>
      </c>
      <c r="J270" s="2" t="s">
        <v>4595</v>
      </c>
      <c r="K270" s="3">
        <v>8.5700000000000001E-7</v>
      </c>
      <c r="L270" s="2" t="s">
        <v>35</v>
      </c>
      <c r="M270" s="4" t="s">
        <v>4596</v>
      </c>
    </row>
    <row r="271" spans="1:13">
      <c r="A271" s="2">
        <v>4347</v>
      </c>
      <c r="B271" s="2" t="s">
        <v>4597</v>
      </c>
      <c r="C271" s="2">
        <v>14</v>
      </c>
      <c r="D271" s="2">
        <v>556</v>
      </c>
      <c r="E271" s="2">
        <v>116</v>
      </c>
      <c r="F271" s="2">
        <v>32441</v>
      </c>
      <c r="G271" s="2">
        <v>7.0418940709999998</v>
      </c>
      <c r="H271" s="3">
        <v>4.6199999999999997E-8</v>
      </c>
      <c r="I271" s="2" t="s">
        <v>4598</v>
      </c>
      <c r="J271" s="2" t="s">
        <v>4599</v>
      </c>
      <c r="K271" s="3">
        <v>8.6400000000000001E-7</v>
      </c>
      <c r="L271" s="2" t="s">
        <v>35</v>
      </c>
      <c r="M271" s="4" t="s">
        <v>4600</v>
      </c>
    </row>
    <row r="272" spans="1:13">
      <c r="A272" s="2">
        <v>4433</v>
      </c>
      <c r="B272" s="2" t="s">
        <v>4601</v>
      </c>
      <c r="C272" s="2">
        <v>14</v>
      </c>
      <c r="D272" s="2">
        <v>556</v>
      </c>
      <c r="E272" s="2">
        <v>116</v>
      </c>
      <c r="F272" s="2">
        <v>32441</v>
      </c>
      <c r="G272" s="2">
        <v>7.0418940709999998</v>
      </c>
      <c r="H272" s="3">
        <v>4.6199999999999997E-8</v>
      </c>
      <c r="I272" s="2" t="s">
        <v>4602</v>
      </c>
      <c r="J272" s="2" t="s">
        <v>4603</v>
      </c>
      <c r="K272" s="3">
        <v>8.6400000000000001E-7</v>
      </c>
      <c r="L272" s="2" t="s">
        <v>35</v>
      </c>
      <c r="M272" s="4" t="s">
        <v>4604</v>
      </c>
    </row>
    <row r="273" spans="1:13">
      <c r="A273" s="2">
        <v>545</v>
      </c>
      <c r="B273" s="2" t="s">
        <v>4605</v>
      </c>
      <c r="C273" s="2">
        <v>10</v>
      </c>
      <c r="D273" s="2">
        <v>556</v>
      </c>
      <c r="E273" s="2">
        <v>49</v>
      </c>
      <c r="F273" s="2">
        <v>32441</v>
      </c>
      <c r="G273" s="2">
        <v>11.907575980000001</v>
      </c>
      <c r="H273" s="3">
        <v>5.1E-8</v>
      </c>
      <c r="I273" s="2" t="s">
        <v>4606</v>
      </c>
      <c r="J273" s="2" t="s">
        <v>4607</v>
      </c>
      <c r="K273" s="3">
        <v>9.4900000000000004E-7</v>
      </c>
      <c r="L273" s="2" t="s">
        <v>35</v>
      </c>
      <c r="M273" s="4" t="s">
        <v>4608</v>
      </c>
    </row>
    <row r="274" spans="1:13">
      <c r="A274" s="2">
        <v>1675</v>
      </c>
      <c r="B274" s="2" t="s">
        <v>4609</v>
      </c>
      <c r="C274" s="2">
        <v>13</v>
      </c>
      <c r="D274" s="2">
        <v>556</v>
      </c>
      <c r="E274" s="2">
        <v>98</v>
      </c>
      <c r="F274" s="2">
        <v>32441</v>
      </c>
      <c r="G274" s="2">
        <v>7.7399243870000003</v>
      </c>
      <c r="H274" s="3">
        <v>5.1200000000000002E-8</v>
      </c>
      <c r="I274" s="2" t="s">
        <v>4610</v>
      </c>
      <c r="J274" s="2" t="s">
        <v>4611</v>
      </c>
      <c r="K274" s="3">
        <v>9.4900000000000004E-7</v>
      </c>
      <c r="L274" s="2" t="s">
        <v>35</v>
      </c>
      <c r="M274" s="4" t="s">
        <v>4612</v>
      </c>
    </row>
    <row r="275" spans="1:13">
      <c r="A275" s="2">
        <v>3451</v>
      </c>
      <c r="B275" s="2" t="s">
        <v>4613</v>
      </c>
      <c r="C275" s="2">
        <v>9</v>
      </c>
      <c r="D275" s="2">
        <v>556</v>
      </c>
      <c r="E275" s="2">
        <v>36</v>
      </c>
      <c r="F275" s="2">
        <v>32441</v>
      </c>
      <c r="G275" s="2">
        <v>14.586780579999999</v>
      </c>
      <c r="H275" s="3">
        <v>5.2999999999999998E-8</v>
      </c>
      <c r="I275" s="2" t="s">
        <v>4614</v>
      </c>
      <c r="J275" s="2" t="s">
        <v>4615</v>
      </c>
      <c r="K275" s="3">
        <v>9.7900000000000007E-7</v>
      </c>
      <c r="L275" s="2" t="s">
        <v>35</v>
      </c>
      <c r="M275" s="4" t="s">
        <v>4616</v>
      </c>
    </row>
    <row r="276" spans="1:13">
      <c r="A276" s="2">
        <v>3468</v>
      </c>
      <c r="B276" s="2" t="s">
        <v>4617</v>
      </c>
      <c r="C276" s="2">
        <v>12</v>
      </c>
      <c r="D276" s="2">
        <v>556</v>
      </c>
      <c r="E276" s="2">
        <v>81</v>
      </c>
      <c r="F276" s="2">
        <v>32441</v>
      </c>
      <c r="G276" s="2">
        <v>8.6440181190000001</v>
      </c>
      <c r="H276" s="3">
        <v>5.62E-8</v>
      </c>
      <c r="I276" s="2" t="s">
        <v>4618</v>
      </c>
      <c r="J276" s="2" t="s">
        <v>4619</v>
      </c>
      <c r="K276" s="3">
        <v>1.0300000000000001E-6</v>
      </c>
      <c r="L276" s="2" t="s">
        <v>35</v>
      </c>
      <c r="M276" s="4" t="s">
        <v>4620</v>
      </c>
    </row>
    <row r="277" spans="1:13">
      <c r="A277" s="2">
        <v>4099</v>
      </c>
      <c r="B277" s="2" t="s">
        <v>4621</v>
      </c>
      <c r="C277" s="2">
        <v>8</v>
      </c>
      <c r="D277" s="2">
        <v>556</v>
      </c>
      <c r="E277" s="2">
        <v>25</v>
      </c>
      <c r="F277" s="2">
        <v>32441</v>
      </c>
      <c r="G277" s="2">
        <v>18.67107914</v>
      </c>
      <c r="H277" s="3">
        <v>5.9200000000000001E-8</v>
      </c>
      <c r="I277" s="2" t="s">
        <v>4622</v>
      </c>
      <c r="J277" s="2" t="s">
        <v>4623</v>
      </c>
      <c r="K277" s="3">
        <v>1.08E-6</v>
      </c>
      <c r="L277" s="2" t="s">
        <v>35</v>
      </c>
      <c r="M277" s="4" t="s">
        <v>4624</v>
      </c>
    </row>
    <row r="278" spans="1:13">
      <c r="A278" s="2">
        <v>1288</v>
      </c>
      <c r="B278" s="2" t="s">
        <v>4625</v>
      </c>
      <c r="C278" s="2">
        <v>18</v>
      </c>
      <c r="D278" s="2">
        <v>556</v>
      </c>
      <c r="E278" s="2">
        <v>208</v>
      </c>
      <c r="F278" s="2">
        <v>32441</v>
      </c>
      <c r="G278" s="2">
        <v>5.0492701990000004</v>
      </c>
      <c r="H278" s="3">
        <v>6.6300000000000005E-8</v>
      </c>
      <c r="I278" s="2" t="s">
        <v>4626</v>
      </c>
      <c r="J278" s="2" t="s">
        <v>4627</v>
      </c>
      <c r="K278" s="3">
        <v>1.2100000000000001E-6</v>
      </c>
      <c r="L278" s="2" t="s">
        <v>35</v>
      </c>
      <c r="M278" s="4" t="s">
        <v>4628</v>
      </c>
    </row>
    <row r="279" spans="1:13">
      <c r="A279" s="2">
        <v>4101</v>
      </c>
      <c r="B279" s="2" t="s">
        <v>4629</v>
      </c>
      <c r="C279" s="2">
        <v>11</v>
      </c>
      <c r="D279" s="2">
        <v>556</v>
      </c>
      <c r="E279" s="2">
        <v>66</v>
      </c>
      <c r="F279" s="2">
        <v>32441</v>
      </c>
      <c r="G279" s="2">
        <v>9.7245203839999999</v>
      </c>
      <c r="H279" s="3">
        <v>6.8999999999999996E-8</v>
      </c>
      <c r="I279" s="2" t="s">
        <v>4630</v>
      </c>
      <c r="J279" s="2" t="s">
        <v>4631</v>
      </c>
      <c r="K279" s="3">
        <v>1.2500000000000001E-6</v>
      </c>
      <c r="L279" s="2" t="s">
        <v>35</v>
      </c>
      <c r="M279" s="4" t="s">
        <v>4632</v>
      </c>
    </row>
    <row r="280" spans="1:13">
      <c r="A280" s="2">
        <v>474</v>
      </c>
      <c r="B280" s="2" t="s">
        <v>4633</v>
      </c>
      <c r="C280" s="2">
        <v>8</v>
      </c>
      <c r="D280" s="2">
        <v>556</v>
      </c>
      <c r="E280" s="2">
        <v>26</v>
      </c>
      <c r="F280" s="2">
        <v>32441</v>
      </c>
      <c r="G280" s="2">
        <v>17.952960709999999</v>
      </c>
      <c r="H280" s="3">
        <v>7.6300000000000002E-8</v>
      </c>
      <c r="I280" s="2" t="s">
        <v>4634</v>
      </c>
      <c r="J280" s="2" t="s">
        <v>4635</v>
      </c>
      <c r="K280" s="3">
        <v>1.3799999999999999E-6</v>
      </c>
      <c r="L280" s="2" t="s">
        <v>35</v>
      </c>
      <c r="M280" s="4" t="s">
        <v>4636</v>
      </c>
    </row>
    <row r="281" spans="1:13">
      <c r="A281" s="2">
        <v>3914</v>
      </c>
      <c r="B281" s="2" t="s">
        <v>4637</v>
      </c>
      <c r="C281" s="2">
        <v>8</v>
      </c>
      <c r="D281" s="2">
        <v>556</v>
      </c>
      <c r="E281" s="2">
        <v>26</v>
      </c>
      <c r="F281" s="2">
        <v>32441</v>
      </c>
      <c r="G281" s="2">
        <v>17.952960709999999</v>
      </c>
      <c r="H281" s="3">
        <v>7.6300000000000002E-8</v>
      </c>
      <c r="I281" s="2" t="s">
        <v>4638</v>
      </c>
      <c r="J281" s="2" t="s">
        <v>4639</v>
      </c>
      <c r="K281" s="3">
        <v>1.3799999999999999E-6</v>
      </c>
      <c r="L281" s="2" t="s">
        <v>35</v>
      </c>
      <c r="M281" s="4" t="s">
        <v>4640</v>
      </c>
    </row>
    <row r="282" spans="1:13">
      <c r="A282" s="2">
        <v>285</v>
      </c>
      <c r="B282" s="2" t="s">
        <v>4641</v>
      </c>
      <c r="C282" s="2">
        <v>9</v>
      </c>
      <c r="D282" s="2">
        <v>556</v>
      </c>
      <c r="E282" s="2">
        <v>38</v>
      </c>
      <c r="F282" s="2">
        <v>32441</v>
      </c>
      <c r="G282" s="2">
        <v>13.819055280000001</v>
      </c>
      <c r="H282" s="3">
        <v>7.9199999999999995E-8</v>
      </c>
      <c r="I282" s="2" t="s">
        <v>4642</v>
      </c>
      <c r="J282" s="2" t="s">
        <v>4643</v>
      </c>
      <c r="K282" s="3">
        <v>1.42E-6</v>
      </c>
      <c r="L282" s="2" t="s">
        <v>35</v>
      </c>
      <c r="M282" s="4" t="s">
        <v>4644</v>
      </c>
    </row>
    <row r="283" spans="1:13">
      <c r="A283" s="2">
        <v>2652</v>
      </c>
      <c r="B283" s="2" t="s">
        <v>4645</v>
      </c>
      <c r="C283" s="2">
        <v>9</v>
      </c>
      <c r="D283" s="2">
        <v>556</v>
      </c>
      <c r="E283" s="2">
        <v>38</v>
      </c>
      <c r="F283" s="2">
        <v>32441</v>
      </c>
      <c r="G283" s="2">
        <v>13.819055280000001</v>
      </c>
      <c r="H283" s="3">
        <v>7.9199999999999995E-8</v>
      </c>
      <c r="I283" s="2" t="s">
        <v>4646</v>
      </c>
      <c r="J283" s="2" t="s">
        <v>4647</v>
      </c>
      <c r="K283" s="3">
        <v>1.42E-6</v>
      </c>
      <c r="L283" s="2" t="s">
        <v>35</v>
      </c>
      <c r="M283" s="4" t="s">
        <v>4648</v>
      </c>
    </row>
    <row r="284" spans="1:13">
      <c r="A284" s="2">
        <v>2376</v>
      </c>
      <c r="B284" s="2" t="s">
        <v>4649</v>
      </c>
      <c r="C284" s="2">
        <v>20</v>
      </c>
      <c r="D284" s="2">
        <v>556</v>
      </c>
      <c r="E284" s="2">
        <v>261</v>
      </c>
      <c r="F284" s="2">
        <v>32441</v>
      </c>
      <c r="G284" s="2">
        <v>4.4710438549999996</v>
      </c>
      <c r="H284" s="3">
        <v>8.05E-8</v>
      </c>
      <c r="I284" s="2" t="s">
        <v>4650</v>
      </c>
      <c r="J284" s="2" t="s">
        <v>4651</v>
      </c>
      <c r="K284" s="3">
        <v>1.44E-6</v>
      </c>
      <c r="L284" s="2" t="s">
        <v>35</v>
      </c>
      <c r="M284" s="4" t="s">
        <v>4652</v>
      </c>
    </row>
    <row r="285" spans="1:13">
      <c r="A285" s="2">
        <v>2600</v>
      </c>
      <c r="B285" s="2" t="s">
        <v>4653</v>
      </c>
      <c r="C285" s="2">
        <v>10</v>
      </c>
      <c r="D285" s="2">
        <v>556</v>
      </c>
      <c r="E285" s="2">
        <v>52</v>
      </c>
      <c r="F285" s="2">
        <v>32441</v>
      </c>
      <c r="G285" s="2">
        <v>11.22060044</v>
      </c>
      <c r="H285" s="3">
        <v>8.3400000000000006E-8</v>
      </c>
      <c r="I285" s="2" t="s">
        <v>4654</v>
      </c>
      <c r="J285" s="2" t="s">
        <v>4655</v>
      </c>
      <c r="K285" s="3">
        <v>1.48E-6</v>
      </c>
      <c r="L285" s="2" t="s">
        <v>35</v>
      </c>
      <c r="M285" s="4" t="s">
        <v>4656</v>
      </c>
    </row>
    <row r="286" spans="1:13">
      <c r="A286" s="2">
        <v>3885</v>
      </c>
      <c r="B286" s="2" t="s">
        <v>457</v>
      </c>
      <c r="C286" s="2">
        <v>28</v>
      </c>
      <c r="D286" s="2">
        <v>556</v>
      </c>
      <c r="E286" s="2">
        <v>491</v>
      </c>
      <c r="F286" s="2">
        <v>32441</v>
      </c>
      <c r="G286" s="2">
        <v>3.3273308030000002</v>
      </c>
      <c r="H286" s="3">
        <v>8.6999999999999998E-8</v>
      </c>
      <c r="I286" s="2" t="s">
        <v>4657</v>
      </c>
      <c r="J286" s="2" t="s">
        <v>4658</v>
      </c>
      <c r="K286" s="3">
        <v>1.5400000000000001E-6</v>
      </c>
      <c r="L286" s="2" t="s">
        <v>35</v>
      </c>
      <c r="M286" s="4" t="s">
        <v>4659</v>
      </c>
    </row>
    <row r="287" spans="1:13">
      <c r="A287" s="2">
        <v>1618</v>
      </c>
      <c r="B287" s="2" t="s">
        <v>4660</v>
      </c>
      <c r="C287" s="2">
        <v>21</v>
      </c>
      <c r="D287" s="2">
        <v>556</v>
      </c>
      <c r="E287" s="2">
        <v>291</v>
      </c>
      <c r="F287" s="2">
        <v>32441</v>
      </c>
      <c r="G287" s="2">
        <v>4.2106170729999999</v>
      </c>
      <c r="H287" s="3">
        <v>9.8900000000000005E-8</v>
      </c>
      <c r="I287" s="2" t="s">
        <v>4661</v>
      </c>
      <c r="J287" s="2" t="s">
        <v>4662</v>
      </c>
      <c r="K287" s="3">
        <v>1.7400000000000001E-6</v>
      </c>
      <c r="L287" s="2" t="s">
        <v>35</v>
      </c>
      <c r="M287" s="4" t="s">
        <v>4663</v>
      </c>
    </row>
    <row r="288" spans="1:13">
      <c r="A288" s="2">
        <v>277</v>
      </c>
      <c r="B288" s="2" t="s">
        <v>4664</v>
      </c>
      <c r="C288" s="2">
        <v>7</v>
      </c>
      <c r="D288" s="2">
        <v>556</v>
      </c>
      <c r="E288" s="2">
        <v>17</v>
      </c>
      <c r="F288" s="2">
        <v>32441</v>
      </c>
      <c r="G288" s="2">
        <v>24.025285650000001</v>
      </c>
      <c r="H288" s="3">
        <v>9.9999999999999995E-8</v>
      </c>
      <c r="I288" s="2" t="s">
        <v>4665</v>
      </c>
      <c r="J288" s="2" t="s">
        <v>4666</v>
      </c>
      <c r="K288" s="3">
        <v>1.7600000000000001E-6</v>
      </c>
      <c r="L288" s="2" t="s">
        <v>35</v>
      </c>
      <c r="M288" s="4" t="s">
        <v>4667</v>
      </c>
    </row>
    <row r="289" spans="1:13">
      <c r="A289" s="2">
        <v>287</v>
      </c>
      <c r="B289" s="2" t="s">
        <v>4668</v>
      </c>
      <c r="C289" s="2">
        <v>7</v>
      </c>
      <c r="D289" s="2">
        <v>556</v>
      </c>
      <c r="E289" s="2">
        <v>17</v>
      </c>
      <c r="F289" s="2">
        <v>32441</v>
      </c>
      <c r="G289" s="2">
        <v>24.025285650000001</v>
      </c>
      <c r="H289" s="3">
        <v>9.9999999999999995E-8</v>
      </c>
      <c r="I289" s="2" t="s">
        <v>4669</v>
      </c>
      <c r="J289" s="2" t="s">
        <v>4670</v>
      </c>
      <c r="K289" s="3">
        <v>1.7600000000000001E-6</v>
      </c>
      <c r="L289" s="2" t="s">
        <v>35</v>
      </c>
      <c r="M289" s="4" t="s">
        <v>4671</v>
      </c>
    </row>
    <row r="290" spans="1:13">
      <c r="A290" s="2">
        <v>3895</v>
      </c>
      <c r="B290" s="2" t="s">
        <v>4672</v>
      </c>
      <c r="C290" s="2">
        <v>11</v>
      </c>
      <c r="D290" s="2">
        <v>556</v>
      </c>
      <c r="E290" s="2">
        <v>70</v>
      </c>
      <c r="F290" s="2">
        <v>32441</v>
      </c>
      <c r="G290" s="2">
        <v>9.1688335050000003</v>
      </c>
      <c r="H290" s="3">
        <v>1.18E-7</v>
      </c>
      <c r="I290" s="2" t="s">
        <v>4673</v>
      </c>
      <c r="J290" s="2" t="s">
        <v>4674</v>
      </c>
      <c r="K290" s="3">
        <v>2.0499999999999999E-6</v>
      </c>
      <c r="L290" s="2" t="s">
        <v>35</v>
      </c>
      <c r="M290" s="4" t="s">
        <v>4675</v>
      </c>
    </row>
    <row r="291" spans="1:13">
      <c r="A291" s="2">
        <v>1251</v>
      </c>
      <c r="B291" s="2" t="s">
        <v>4676</v>
      </c>
      <c r="C291" s="2">
        <v>8</v>
      </c>
      <c r="D291" s="2">
        <v>556</v>
      </c>
      <c r="E291" s="2">
        <v>28</v>
      </c>
      <c r="F291" s="2">
        <v>32441</v>
      </c>
      <c r="G291" s="2">
        <v>16.670606370000002</v>
      </c>
      <c r="H291" s="3">
        <v>1.23E-7</v>
      </c>
      <c r="I291" s="2" t="s">
        <v>4677</v>
      </c>
      <c r="J291" s="2" t="s">
        <v>4678</v>
      </c>
      <c r="K291" s="3">
        <v>2.1500000000000002E-6</v>
      </c>
      <c r="L291" s="2" t="s">
        <v>35</v>
      </c>
      <c r="M291" s="4" t="s">
        <v>4679</v>
      </c>
    </row>
    <row r="292" spans="1:13">
      <c r="A292" s="2">
        <v>4761</v>
      </c>
      <c r="B292" s="2" t="s">
        <v>4680</v>
      </c>
      <c r="C292" s="2">
        <v>24</v>
      </c>
      <c r="D292" s="2">
        <v>556</v>
      </c>
      <c r="E292" s="2">
        <v>380</v>
      </c>
      <c r="F292" s="2">
        <v>32441</v>
      </c>
      <c r="G292" s="2">
        <v>3.6850814089999999</v>
      </c>
      <c r="H292" s="3">
        <v>1.2700000000000001E-7</v>
      </c>
      <c r="I292" s="2" t="s">
        <v>4681</v>
      </c>
      <c r="J292" s="2" t="s">
        <v>4682</v>
      </c>
      <c r="K292" s="3">
        <v>2.21E-6</v>
      </c>
      <c r="L292" s="2" t="s">
        <v>35</v>
      </c>
      <c r="M292" s="4" t="s">
        <v>4683</v>
      </c>
    </row>
    <row r="293" spans="1:13">
      <c r="A293" s="2">
        <v>1108</v>
      </c>
      <c r="B293" s="2" t="s">
        <v>4684</v>
      </c>
      <c r="C293" s="2">
        <v>13</v>
      </c>
      <c r="D293" s="2">
        <v>556</v>
      </c>
      <c r="E293" s="2">
        <v>107</v>
      </c>
      <c r="F293" s="2">
        <v>32441</v>
      </c>
      <c r="G293" s="2">
        <v>7.0889027100000002</v>
      </c>
      <c r="H293" s="3">
        <v>1.3E-7</v>
      </c>
      <c r="I293" s="2" t="s">
        <v>4685</v>
      </c>
      <c r="J293" s="2" t="s">
        <v>4686</v>
      </c>
      <c r="K293" s="3">
        <v>2.2400000000000002E-6</v>
      </c>
      <c r="L293" s="2" t="s">
        <v>35</v>
      </c>
      <c r="M293" s="4" t="s">
        <v>4687</v>
      </c>
    </row>
    <row r="294" spans="1:13">
      <c r="A294" s="2">
        <v>3477</v>
      </c>
      <c r="B294" s="2" t="s">
        <v>4688</v>
      </c>
      <c r="C294" s="2">
        <v>31</v>
      </c>
      <c r="D294" s="2">
        <v>556</v>
      </c>
      <c r="E294" s="2">
        <v>602</v>
      </c>
      <c r="F294" s="2">
        <v>32441</v>
      </c>
      <c r="G294" s="2">
        <v>3.0045860320000002</v>
      </c>
      <c r="H294" s="3">
        <v>1.54E-7</v>
      </c>
      <c r="I294" s="2" t="s">
        <v>4689</v>
      </c>
      <c r="J294" s="2" t="s">
        <v>4690</v>
      </c>
      <c r="K294" s="3">
        <v>2.65E-6</v>
      </c>
      <c r="L294" s="2" t="s">
        <v>35</v>
      </c>
      <c r="M294" s="4" t="s">
        <v>4691</v>
      </c>
    </row>
    <row r="295" spans="1:13">
      <c r="A295" s="2">
        <v>817</v>
      </c>
      <c r="B295" s="2" t="s">
        <v>4692</v>
      </c>
      <c r="C295" s="2">
        <v>12</v>
      </c>
      <c r="D295" s="2">
        <v>556</v>
      </c>
      <c r="E295" s="2">
        <v>91</v>
      </c>
      <c r="F295" s="2">
        <v>32441</v>
      </c>
      <c r="G295" s="2">
        <v>7.6941260180000004</v>
      </c>
      <c r="H295" s="3">
        <v>1.7700000000000001E-7</v>
      </c>
      <c r="I295" s="2" t="s">
        <v>4693</v>
      </c>
      <c r="J295" s="2" t="s">
        <v>4694</v>
      </c>
      <c r="K295" s="3">
        <v>3.0199999999999999E-6</v>
      </c>
      <c r="L295" s="2" t="s">
        <v>35</v>
      </c>
      <c r="M295" s="4" t="s">
        <v>4695</v>
      </c>
    </row>
    <row r="296" spans="1:13">
      <c r="A296" s="2">
        <v>3888</v>
      </c>
      <c r="B296" s="2" t="s">
        <v>4696</v>
      </c>
      <c r="C296" s="2">
        <v>12</v>
      </c>
      <c r="D296" s="2">
        <v>556</v>
      </c>
      <c r="E296" s="2">
        <v>91</v>
      </c>
      <c r="F296" s="2">
        <v>32441</v>
      </c>
      <c r="G296" s="2">
        <v>7.6941260180000004</v>
      </c>
      <c r="H296" s="3">
        <v>1.7700000000000001E-7</v>
      </c>
      <c r="I296" s="2" t="s">
        <v>4697</v>
      </c>
      <c r="J296" s="2" t="s">
        <v>4698</v>
      </c>
      <c r="K296" s="3">
        <v>3.0199999999999999E-6</v>
      </c>
      <c r="L296" s="2" t="s">
        <v>35</v>
      </c>
      <c r="M296" s="4" t="s">
        <v>4699</v>
      </c>
    </row>
    <row r="297" spans="1:13">
      <c r="A297" s="2">
        <v>1495</v>
      </c>
      <c r="B297" s="2" t="s">
        <v>4700</v>
      </c>
      <c r="C297" s="2">
        <v>16</v>
      </c>
      <c r="D297" s="2">
        <v>556</v>
      </c>
      <c r="E297" s="2">
        <v>175</v>
      </c>
      <c r="F297" s="2">
        <v>32441</v>
      </c>
      <c r="G297" s="2">
        <v>5.3345940389999997</v>
      </c>
      <c r="H297" s="3">
        <v>1.7800000000000001E-7</v>
      </c>
      <c r="I297" s="2" t="s">
        <v>4701</v>
      </c>
      <c r="J297" s="2" t="s">
        <v>4702</v>
      </c>
      <c r="K297" s="3">
        <v>3.0299999999999998E-6</v>
      </c>
      <c r="L297" s="2" t="s">
        <v>35</v>
      </c>
      <c r="M297" s="4" t="s">
        <v>4703</v>
      </c>
    </row>
    <row r="298" spans="1:13">
      <c r="A298" s="2">
        <v>4142</v>
      </c>
      <c r="B298" s="2" t="s">
        <v>4704</v>
      </c>
      <c r="C298" s="2">
        <v>8</v>
      </c>
      <c r="D298" s="2">
        <v>556</v>
      </c>
      <c r="E298" s="2">
        <v>30</v>
      </c>
      <c r="F298" s="2">
        <v>32441</v>
      </c>
      <c r="G298" s="2">
        <v>15.55923261</v>
      </c>
      <c r="H298" s="3">
        <v>1.9399999999999999E-7</v>
      </c>
      <c r="I298" s="2" t="s">
        <v>4705</v>
      </c>
      <c r="J298" s="2" t="s">
        <v>4706</v>
      </c>
      <c r="K298" s="3">
        <v>3.2799999999999999E-6</v>
      </c>
      <c r="L298" s="2" t="s">
        <v>35</v>
      </c>
      <c r="M298" s="4" t="s">
        <v>4707</v>
      </c>
    </row>
    <row r="299" spans="1:13">
      <c r="A299" s="2">
        <v>2632</v>
      </c>
      <c r="B299" s="2" t="s">
        <v>4708</v>
      </c>
      <c r="C299" s="2">
        <v>10</v>
      </c>
      <c r="D299" s="2">
        <v>556</v>
      </c>
      <c r="E299" s="2">
        <v>58</v>
      </c>
      <c r="F299" s="2">
        <v>32441</v>
      </c>
      <c r="G299" s="2">
        <v>10.059848669999999</v>
      </c>
      <c r="H299" s="3">
        <v>2.0599999999999999E-7</v>
      </c>
      <c r="I299" s="2" t="s">
        <v>4709</v>
      </c>
      <c r="J299" s="2" t="s">
        <v>4710</v>
      </c>
      <c r="K299" s="3">
        <v>3.4699999999999998E-6</v>
      </c>
      <c r="L299" s="2" t="s">
        <v>35</v>
      </c>
      <c r="M299" s="4" t="s">
        <v>4711</v>
      </c>
    </row>
    <row r="300" spans="1:13">
      <c r="A300" s="2">
        <v>3856</v>
      </c>
      <c r="B300" s="2" t="s">
        <v>4712</v>
      </c>
      <c r="C300" s="2">
        <v>10</v>
      </c>
      <c r="D300" s="2">
        <v>556</v>
      </c>
      <c r="E300" s="2">
        <v>58</v>
      </c>
      <c r="F300" s="2">
        <v>32441</v>
      </c>
      <c r="G300" s="2">
        <v>10.059848669999999</v>
      </c>
      <c r="H300" s="3">
        <v>2.0599999999999999E-7</v>
      </c>
      <c r="I300" s="2" t="s">
        <v>4713</v>
      </c>
      <c r="J300" s="2" t="s">
        <v>4714</v>
      </c>
      <c r="K300" s="3">
        <v>3.4699999999999998E-6</v>
      </c>
      <c r="L300" s="2" t="s">
        <v>35</v>
      </c>
      <c r="M300" s="4" t="s">
        <v>4715</v>
      </c>
    </row>
    <row r="301" spans="1:13">
      <c r="A301" s="2">
        <v>1536</v>
      </c>
      <c r="B301" s="2" t="s">
        <v>4716</v>
      </c>
      <c r="C301" s="2">
        <v>8</v>
      </c>
      <c r="D301" s="2">
        <v>556</v>
      </c>
      <c r="E301" s="2">
        <v>31</v>
      </c>
      <c r="F301" s="2">
        <v>32441</v>
      </c>
      <c r="G301" s="2">
        <v>15.05732188</v>
      </c>
      <c r="H301" s="3">
        <v>2.3999999999999998E-7</v>
      </c>
      <c r="I301" s="2" t="s">
        <v>4717</v>
      </c>
      <c r="J301" s="2" t="s">
        <v>4718</v>
      </c>
      <c r="K301" s="3">
        <v>4.0300000000000004E-6</v>
      </c>
      <c r="L301" s="2" t="s">
        <v>35</v>
      </c>
      <c r="M301" s="4" t="s">
        <v>4719</v>
      </c>
    </row>
    <row r="302" spans="1:13">
      <c r="A302" s="2">
        <v>3120</v>
      </c>
      <c r="B302" s="2" t="s">
        <v>4720</v>
      </c>
      <c r="C302" s="2">
        <v>7</v>
      </c>
      <c r="D302" s="2">
        <v>556</v>
      </c>
      <c r="E302" s="2">
        <v>20</v>
      </c>
      <c r="F302" s="2">
        <v>32441</v>
      </c>
      <c r="G302" s="2">
        <v>20.42149281</v>
      </c>
      <c r="H302" s="3">
        <v>2.4600000000000001E-7</v>
      </c>
      <c r="I302" s="2" t="s">
        <v>4721</v>
      </c>
      <c r="J302" s="2" t="s">
        <v>4722</v>
      </c>
      <c r="K302" s="3">
        <v>4.0999999999999997E-6</v>
      </c>
      <c r="L302" s="2" t="s">
        <v>35</v>
      </c>
      <c r="M302" s="4" t="s">
        <v>4723</v>
      </c>
    </row>
    <row r="303" spans="1:13">
      <c r="A303" s="2">
        <v>4306</v>
      </c>
      <c r="B303" s="2" t="s">
        <v>4724</v>
      </c>
      <c r="C303" s="2">
        <v>7</v>
      </c>
      <c r="D303" s="2">
        <v>556</v>
      </c>
      <c r="E303" s="2">
        <v>20</v>
      </c>
      <c r="F303" s="2">
        <v>32441</v>
      </c>
      <c r="G303" s="2">
        <v>20.42149281</v>
      </c>
      <c r="H303" s="3">
        <v>2.4600000000000001E-7</v>
      </c>
      <c r="I303" s="2" t="s">
        <v>4725</v>
      </c>
      <c r="J303" s="2" t="s">
        <v>4726</v>
      </c>
      <c r="K303" s="3">
        <v>4.0999999999999997E-6</v>
      </c>
      <c r="L303" s="2" t="s">
        <v>35</v>
      </c>
      <c r="M303" s="4" t="s">
        <v>4727</v>
      </c>
    </row>
    <row r="304" spans="1:13">
      <c r="A304" s="2">
        <v>4430</v>
      </c>
      <c r="B304" s="2" t="s">
        <v>4728</v>
      </c>
      <c r="C304" s="2">
        <v>10</v>
      </c>
      <c r="D304" s="2">
        <v>556</v>
      </c>
      <c r="E304" s="2">
        <v>60</v>
      </c>
      <c r="F304" s="2">
        <v>32441</v>
      </c>
      <c r="G304" s="2">
        <v>9.7245203839999999</v>
      </c>
      <c r="H304" s="3">
        <v>2.7300000000000002E-7</v>
      </c>
      <c r="I304" s="2" t="s">
        <v>4729</v>
      </c>
      <c r="J304" s="2" t="s">
        <v>4730</v>
      </c>
      <c r="K304" s="3">
        <v>4.5299999999999998E-6</v>
      </c>
      <c r="L304" s="2" t="s">
        <v>35</v>
      </c>
      <c r="M304" s="4" t="s">
        <v>4731</v>
      </c>
    </row>
    <row r="305" spans="1:13">
      <c r="A305" s="2">
        <v>362</v>
      </c>
      <c r="B305" s="2" t="s">
        <v>4732</v>
      </c>
      <c r="C305" s="2">
        <v>7</v>
      </c>
      <c r="D305" s="2">
        <v>556</v>
      </c>
      <c r="E305" s="2">
        <v>21</v>
      </c>
      <c r="F305" s="2">
        <v>32441</v>
      </c>
      <c r="G305" s="2">
        <v>19.44904077</v>
      </c>
      <c r="H305" s="3">
        <v>3.2399999999999999E-7</v>
      </c>
      <c r="I305" s="2" t="s">
        <v>4733</v>
      </c>
      <c r="J305" s="2" t="s">
        <v>4734</v>
      </c>
      <c r="K305" s="3">
        <v>5.3499999999999996E-6</v>
      </c>
      <c r="L305" s="2" t="s">
        <v>35</v>
      </c>
      <c r="M305" s="4" t="s">
        <v>4735</v>
      </c>
    </row>
    <row r="306" spans="1:13">
      <c r="A306" s="2">
        <v>3845</v>
      </c>
      <c r="B306" s="2" t="s">
        <v>4736</v>
      </c>
      <c r="C306" s="2">
        <v>6</v>
      </c>
      <c r="D306" s="2">
        <v>556</v>
      </c>
      <c r="E306" s="2">
        <v>12</v>
      </c>
      <c r="F306" s="2">
        <v>32441</v>
      </c>
      <c r="G306" s="2">
        <v>29.173561150000001</v>
      </c>
      <c r="H306" s="3">
        <v>3.4799999999999999E-7</v>
      </c>
      <c r="I306" s="2" t="s">
        <v>4737</v>
      </c>
      <c r="J306" s="2" t="s">
        <v>4738</v>
      </c>
      <c r="K306" s="3">
        <v>5.7400000000000001E-6</v>
      </c>
      <c r="L306" s="2" t="s">
        <v>35</v>
      </c>
      <c r="M306" s="4" t="s">
        <v>4739</v>
      </c>
    </row>
    <row r="307" spans="1:13">
      <c r="A307" s="2">
        <v>3376</v>
      </c>
      <c r="B307" s="2" t="s">
        <v>4740</v>
      </c>
      <c r="C307" s="2">
        <v>11</v>
      </c>
      <c r="D307" s="2">
        <v>556</v>
      </c>
      <c r="E307" s="2">
        <v>79</v>
      </c>
      <c r="F307" s="2">
        <v>32441</v>
      </c>
      <c r="G307" s="2">
        <v>8.1242828520000003</v>
      </c>
      <c r="H307" s="3">
        <v>3.53E-7</v>
      </c>
      <c r="I307" s="2" t="s">
        <v>4741</v>
      </c>
      <c r="J307" s="2" t="s">
        <v>4742</v>
      </c>
      <c r="K307" s="3">
        <v>5.7899999999999996E-6</v>
      </c>
      <c r="L307" s="2" t="s">
        <v>35</v>
      </c>
      <c r="M307" s="4" t="s">
        <v>4743</v>
      </c>
    </row>
    <row r="308" spans="1:13">
      <c r="A308" s="2">
        <v>452</v>
      </c>
      <c r="B308" s="2" t="s">
        <v>4744</v>
      </c>
      <c r="C308" s="2">
        <v>10</v>
      </c>
      <c r="D308" s="2">
        <v>556</v>
      </c>
      <c r="E308" s="2">
        <v>62</v>
      </c>
      <c r="F308" s="2">
        <v>32441</v>
      </c>
      <c r="G308" s="2">
        <v>9.4108261780000007</v>
      </c>
      <c r="H308" s="3">
        <v>3.58E-7</v>
      </c>
      <c r="I308" s="2" t="s">
        <v>4745</v>
      </c>
      <c r="J308" s="2" t="s">
        <v>4746</v>
      </c>
      <c r="K308" s="3">
        <v>5.84E-6</v>
      </c>
      <c r="L308" s="2" t="s">
        <v>35</v>
      </c>
      <c r="M308" s="4" t="s">
        <v>4747</v>
      </c>
    </row>
    <row r="309" spans="1:13">
      <c r="A309" s="2">
        <v>4049</v>
      </c>
      <c r="B309" s="2" t="s">
        <v>4748</v>
      </c>
      <c r="C309" s="2">
        <v>10</v>
      </c>
      <c r="D309" s="2">
        <v>556</v>
      </c>
      <c r="E309" s="2">
        <v>62</v>
      </c>
      <c r="F309" s="2">
        <v>32441</v>
      </c>
      <c r="G309" s="2">
        <v>9.4108261780000007</v>
      </c>
      <c r="H309" s="3">
        <v>3.58E-7</v>
      </c>
      <c r="I309" s="2" t="s">
        <v>4749</v>
      </c>
      <c r="J309" s="2" t="s">
        <v>4750</v>
      </c>
      <c r="K309" s="3">
        <v>5.84E-6</v>
      </c>
      <c r="L309" s="2" t="s">
        <v>35</v>
      </c>
      <c r="M309" s="4" t="s">
        <v>4751</v>
      </c>
    </row>
    <row r="310" spans="1:13">
      <c r="A310" s="2">
        <v>133</v>
      </c>
      <c r="B310" s="2" t="s">
        <v>4752</v>
      </c>
      <c r="C310" s="2">
        <v>13</v>
      </c>
      <c r="D310" s="2">
        <v>556</v>
      </c>
      <c r="E310" s="2">
        <v>118</v>
      </c>
      <c r="F310" s="2">
        <v>32441</v>
      </c>
      <c r="G310" s="2">
        <v>6.4280727960000004</v>
      </c>
      <c r="H310" s="3">
        <v>3.65E-7</v>
      </c>
      <c r="I310" s="2" t="s">
        <v>4753</v>
      </c>
      <c r="J310" s="2" t="s">
        <v>4754</v>
      </c>
      <c r="K310" s="3">
        <v>5.9200000000000001E-6</v>
      </c>
      <c r="L310" s="2" t="s">
        <v>35</v>
      </c>
      <c r="M310" s="4" t="s">
        <v>4755</v>
      </c>
    </row>
    <row r="311" spans="1:13">
      <c r="A311" s="2">
        <v>4558</v>
      </c>
      <c r="B311" s="2" t="s">
        <v>4756</v>
      </c>
      <c r="C311" s="2">
        <v>15</v>
      </c>
      <c r="D311" s="2">
        <v>556</v>
      </c>
      <c r="E311" s="2">
        <v>163</v>
      </c>
      <c r="F311" s="2">
        <v>32441</v>
      </c>
      <c r="G311" s="2">
        <v>5.3693670830000002</v>
      </c>
      <c r="H311" s="3">
        <v>3.9900000000000001E-7</v>
      </c>
      <c r="I311" s="2" t="s">
        <v>4757</v>
      </c>
      <c r="J311" s="2" t="s">
        <v>4758</v>
      </c>
      <c r="K311" s="3">
        <v>6.46E-6</v>
      </c>
      <c r="L311" s="2" t="s">
        <v>35</v>
      </c>
      <c r="M311" s="4" t="s">
        <v>4759</v>
      </c>
    </row>
    <row r="312" spans="1:13">
      <c r="A312" s="2">
        <v>1666</v>
      </c>
      <c r="B312" s="2" t="s">
        <v>518</v>
      </c>
      <c r="C312" s="2">
        <v>51</v>
      </c>
      <c r="D312" s="2">
        <v>556</v>
      </c>
      <c r="E312" s="2">
        <v>1375</v>
      </c>
      <c r="F312" s="2">
        <v>32441</v>
      </c>
      <c r="G312" s="2">
        <v>2.1641478090000001</v>
      </c>
      <c r="H312" s="3">
        <v>4.34E-7</v>
      </c>
      <c r="I312" s="3" t="s">
        <v>4760</v>
      </c>
      <c r="J312" s="3" t="s">
        <v>4761</v>
      </c>
      <c r="K312" s="3">
        <v>7.0099999999999998E-6</v>
      </c>
      <c r="L312" s="2" t="s">
        <v>35</v>
      </c>
      <c r="M312" s="4" t="s">
        <v>4762</v>
      </c>
    </row>
    <row r="313" spans="1:13">
      <c r="A313" s="2">
        <v>4073</v>
      </c>
      <c r="B313" s="2" t="s">
        <v>4763</v>
      </c>
      <c r="C313" s="2">
        <v>22</v>
      </c>
      <c r="D313" s="2">
        <v>556</v>
      </c>
      <c r="E313" s="2">
        <v>351</v>
      </c>
      <c r="F313" s="2">
        <v>32441</v>
      </c>
      <c r="G313" s="2">
        <v>3.6570845890000001</v>
      </c>
      <c r="H313" s="3">
        <v>4.7999999999999996E-7</v>
      </c>
      <c r="I313" s="2" t="s">
        <v>4764</v>
      </c>
      <c r="J313" s="2" t="s">
        <v>4765</v>
      </c>
      <c r="K313" s="3">
        <v>7.7100000000000007E-6</v>
      </c>
      <c r="L313" s="2" t="s">
        <v>35</v>
      </c>
      <c r="M313" s="4" t="s">
        <v>4766</v>
      </c>
    </row>
    <row r="314" spans="1:13">
      <c r="A314" s="2">
        <v>376</v>
      </c>
      <c r="B314" s="2" t="s">
        <v>4767</v>
      </c>
      <c r="C314" s="2">
        <v>9</v>
      </c>
      <c r="D314" s="2">
        <v>556</v>
      </c>
      <c r="E314" s="2">
        <v>49</v>
      </c>
      <c r="F314" s="2">
        <v>32441</v>
      </c>
      <c r="G314" s="2">
        <v>10.716818379999999</v>
      </c>
      <c r="H314" s="3">
        <v>5.2499999999999995E-7</v>
      </c>
      <c r="I314" s="2" t="s">
        <v>4768</v>
      </c>
      <c r="J314" s="2" t="s">
        <v>4769</v>
      </c>
      <c r="K314" s="3">
        <v>8.4100000000000008E-6</v>
      </c>
      <c r="L314" s="2" t="s">
        <v>35</v>
      </c>
      <c r="M314" s="4" t="s">
        <v>4770</v>
      </c>
    </row>
    <row r="315" spans="1:13">
      <c r="A315" s="2">
        <v>454</v>
      </c>
      <c r="B315" s="2" t="s">
        <v>4771</v>
      </c>
      <c r="C315" s="2">
        <v>10</v>
      </c>
      <c r="D315" s="2">
        <v>556</v>
      </c>
      <c r="E315" s="2">
        <v>65</v>
      </c>
      <c r="F315" s="2">
        <v>32441</v>
      </c>
      <c r="G315" s="2">
        <v>8.9764803539999996</v>
      </c>
      <c r="H315" s="3">
        <v>5.2900000000000004E-7</v>
      </c>
      <c r="I315" s="2" t="s">
        <v>4772</v>
      </c>
      <c r="J315" s="2" t="s">
        <v>4773</v>
      </c>
      <c r="K315" s="3">
        <v>8.4200000000000007E-6</v>
      </c>
      <c r="L315" s="2" t="s">
        <v>35</v>
      </c>
      <c r="M315" s="4" t="s">
        <v>4774</v>
      </c>
    </row>
    <row r="316" spans="1:13">
      <c r="A316" s="2">
        <v>2680</v>
      </c>
      <c r="B316" s="2" t="s">
        <v>4775</v>
      </c>
      <c r="C316" s="2">
        <v>14</v>
      </c>
      <c r="D316" s="2">
        <v>556</v>
      </c>
      <c r="E316" s="2">
        <v>144</v>
      </c>
      <c r="F316" s="2">
        <v>32441</v>
      </c>
      <c r="G316" s="2">
        <v>5.6726368899999997</v>
      </c>
      <c r="H316" s="3">
        <v>5.2699999999999999E-7</v>
      </c>
      <c r="I316" s="2" t="s">
        <v>4776</v>
      </c>
      <c r="J316" s="2" t="s">
        <v>4777</v>
      </c>
      <c r="K316" s="3">
        <v>8.4200000000000007E-6</v>
      </c>
      <c r="L316" s="2" t="s">
        <v>35</v>
      </c>
      <c r="M316" s="4" t="s">
        <v>4778</v>
      </c>
    </row>
    <row r="317" spans="1:13">
      <c r="A317" s="2">
        <v>4105</v>
      </c>
      <c r="B317" s="2" t="s">
        <v>4779</v>
      </c>
      <c r="C317" s="2">
        <v>7</v>
      </c>
      <c r="D317" s="2">
        <v>556</v>
      </c>
      <c r="E317" s="2">
        <v>23</v>
      </c>
      <c r="F317" s="2">
        <v>32441</v>
      </c>
      <c r="G317" s="2">
        <v>17.757819829999999</v>
      </c>
      <c r="H317" s="3">
        <v>5.4000000000000002E-7</v>
      </c>
      <c r="I317" s="2" t="s">
        <v>4780</v>
      </c>
      <c r="J317" s="2" t="s">
        <v>4781</v>
      </c>
      <c r="K317" s="3">
        <v>8.5799999999999992E-6</v>
      </c>
      <c r="L317" s="2" t="s">
        <v>35</v>
      </c>
      <c r="M317" s="4" t="s">
        <v>4782</v>
      </c>
    </row>
    <row r="318" spans="1:13">
      <c r="A318" s="2">
        <v>1420</v>
      </c>
      <c r="B318" s="2" t="s">
        <v>4783</v>
      </c>
      <c r="C318" s="2">
        <v>23</v>
      </c>
      <c r="D318" s="2">
        <v>556</v>
      </c>
      <c r="E318" s="2">
        <v>384</v>
      </c>
      <c r="F318" s="2">
        <v>32441</v>
      </c>
      <c r="G318" s="2">
        <v>3.4947495129999999</v>
      </c>
      <c r="H318" s="3">
        <v>5.5700000000000002E-7</v>
      </c>
      <c r="I318" s="2" t="s">
        <v>4784</v>
      </c>
      <c r="J318" s="2" t="s">
        <v>4785</v>
      </c>
      <c r="K318" s="3">
        <v>8.8200000000000003E-6</v>
      </c>
      <c r="L318" s="2" t="s">
        <v>35</v>
      </c>
      <c r="M318" s="4" t="s">
        <v>4786</v>
      </c>
    </row>
    <row r="319" spans="1:13">
      <c r="A319" s="2">
        <v>2112</v>
      </c>
      <c r="B319" s="2" t="s">
        <v>4787</v>
      </c>
      <c r="C319" s="2">
        <v>9</v>
      </c>
      <c r="D319" s="2">
        <v>556</v>
      </c>
      <c r="E319" s="2">
        <v>50</v>
      </c>
      <c r="F319" s="2">
        <v>32441</v>
      </c>
      <c r="G319" s="2">
        <v>10.50248201</v>
      </c>
      <c r="H319" s="3">
        <v>6.0999999999999998E-7</v>
      </c>
      <c r="I319" s="2" t="s">
        <v>4788</v>
      </c>
      <c r="J319" s="2" t="s">
        <v>4789</v>
      </c>
      <c r="K319" s="3">
        <v>9.5899999999999997E-6</v>
      </c>
      <c r="L319" s="2" t="s">
        <v>35</v>
      </c>
      <c r="M319" s="4" t="s">
        <v>4790</v>
      </c>
    </row>
    <row r="320" spans="1:13">
      <c r="A320" s="2">
        <v>3844</v>
      </c>
      <c r="B320" s="2" t="s">
        <v>4791</v>
      </c>
      <c r="C320" s="2">
        <v>9</v>
      </c>
      <c r="D320" s="2">
        <v>556</v>
      </c>
      <c r="E320" s="2">
        <v>50</v>
      </c>
      <c r="F320" s="2">
        <v>32441</v>
      </c>
      <c r="G320" s="2">
        <v>10.50248201</v>
      </c>
      <c r="H320" s="3">
        <v>6.0999999999999998E-7</v>
      </c>
      <c r="I320" s="2" t="s">
        <v>4792</v>
      </c>
      <c r="J320" s="2" t="s">
        <v>4793</v>
      </c>
      <c r="K320" s="3">
        <v>9.5899999999999997E-6</v>
      </c>
      <c r="L320" s="2" t="s">
        <v>35</v>
      </c>
      <c r="M320" s="4" t="s">
        <v>4794</v>
      </c>
    </row>
    <row r="321" spans="1:13">
      <c r="A321" s="2">
        <v>2179</v>
      </c>
      <c r="B321" s="2" t="s">
        <v>4795</v>
      </c>
      <c r="C321" s="2">
        <v>22</v>
      </c>
      <c r="D321" s="2">
        <v>556</v>
      </c>
      <c r="E321" s="2">
        <v>358</v>
      </c>
      <c r="F321" s="2">
        <v>32441</v>
      </c>
      <c r="G321" s="2">
        <v>3.5855773480000002</v>
      </c>
      <c r="H321" s="3">
        <v>6.5499999999999998E-7</v>
      </c>
      <c r="I321" s="2" t="s">
        <v>4796</v>
      </c>
      <c r="J321" s="2" t="s">
        <v>4797</v>
      </c>
      <c r="K321" s="3">
        <v>1.03E-5</v>
      </c>
      <c r="L321" s="2" t="s">
        <v>35</v>
      </c>
      <c r="M321" s="4" t="s">
        <v>4798</v>
      </c>
    </row>
    <row r="322" spans="1:13">
      <c r="A322" s="2">
        <v>2151</v>
      </c>
      <c r="B322" s="2" t="s">
        <v>4799</v>
      </c>
      <c r="C322" s="2">
        <v>7</v>
      </c>
      <c r="D322" s="2">
        <v>556</v>
      </c>
      <c r="E322" s="2">
        <v>24</v>
      </c>
      <c r="F322" s="2">
        <v>32441</v>
      </c>
      <c r="G322" s="2">
        <v>17.017910669999999</v>
      </c>
      <c r="H322" s="3">
        <v>6.8800000000000002E-7</v>
      </c>
      <c r="I322" s="2" t="s">
        <v>4800</v>
      </c>
      <c r="J322" s="2" t="s">
        <v>4801</v>
      </c>
      <c r="K322" s="3">
        <v>1.0699999999999999E-5</v>
      </c>
      <c r="L322" s="2" t="s">
        <v>35</v>
      </c>
      <c r="M322" s="4" t="s">
        <v>4802</v>
      </c>
    </row>
    <row r="323" spans="1:13">
      <c r="A323" s="2">
        <v>192</v>
      </c>
      <c r="B323" s="2" t="s">
        <v>4803</v>
      </c>
      <c r="C323" s="2">
        <v>6</v>
      </c>
      <c r="D323" s="2">
        <v>556</v>
      </c>
      <c r="E323" s="2">
        <v>14</v>
      </c>
      <c r="F323" s="2">
        <v>32441</v>
      </c>
      <c r="G323" s="2">
        <v>25.005909559999999</v>
      </c>
      <c r="H323" s="3">
        <v>7.06E-7</v>
      </c>
      <c r="I323" s="2" t="s">
        <v>4804</v>
      </c>
      <c r="J323" s="2" t="s">
        <v>4805</v>
      </c>
      <c r="K323" s="3">
        <v>1.1E-5</v>
      </c>
      <c r="L323" s="2" t="s">
        <v>35</v>
      </c>
      <c r="M323" s="4" t="s">
        <v>4806</v>
      </c>
    </row>
    <row r="324" spans="1:13">
      <c r="A324" s="2">
        <v>3391</v>
      </c>
      <c r="B324" s="2" t="s">
        <v>4807</v>
      </c>
      <c r="C324" s="2">
        <v>16</v>
      </c>
      <c r="D324" s="2">
        <v>556</v>
      </c>
      <c r="E324" s="2">
        <v>196</v>
      </c>
      <c r="F324" s="2">
        <v>32441</v>
      </c>
      <c r="G324" s="2">
        <v>4.7630303920000001</v>
      </c>
      <c r="H324" s="3">
        <v>7.3E-7</v>
      </c>
      <c r="I324" s="2" t="s">
        <v>4808</v>
      </c>
      <c r="J324" s="2" t="s">
        <v>4809</v>
      </c>
      <c r="K324" s="3">
        <v>1.13E-5</v>
      </c>
      <c r="L324" s="2" t="s">
        <v>35</v>
      </c>
      <c r="M324" s="4" t="s">
        <v>4810</v>
      </c>
    </row>
    <row r="325" spans="1:13">
      <c r="A325" s="2">
        <v>1554</v>
      </c>
      <c r="B325" s="2" t="s">
        <v>4811</v>
      </c>
      <c r="C325" s="2">
        <v>10</v>
      </c>
      <c r="D325" s="2">
        <v>556</v>
      </c>
      <c r="E325" s="2">
        <v>68</v>
      </c>
      <c r="F325" s="2">
        <v>32441</v>
      </c>
      <c r="G325" s="2">
        <v>8.5804591620000004</v>
      </c>
      <c r="H325" s="3">
        <v>7.6700000000000003E-7</v>
      </c>
      <c r="I325" s="2" t="s">
        <v>4812</v>
      </c>
      <c r="J325" s="2" t="s">
        <v>4813</v>
      </c>
      <c r="K325" s="3">
        <v>1.19E-5</v>
      </c>
      <c r="L325" s="2" t="s">
        <v>35</v>
      </c>
      <c r="M325" s="4" t="s">
        <v>4814</v>
      </c>
    </row>
    <row r="326" spans="1:13">
      <c r="A326" s="2">
        <v>4219</v>
      </c>
      <c r="B326" s="2" t="s">
        <v>4815</v>
      </c>
      <c r="C326" s="2">
        <v>33</v>
      </c>
      <c r="D326" s="2">
        <v>556</v>
      </c>
      <c r="E326" s="2">
        <v>721</v>
      </c>
      <c r="F326" s="2">
        <v>32441</v>
      </c>
      <c r="G326" s="2">
        <v>2.6705340299999998</v>
      </c>
      <c r="H326" s="3">
        <v>7.7499999999999999E-7</v>
      </c>
      <c r="I326" s="2" t="s">
        <v>4816</v>
      </c>
      <c r="J326" s="2" t="s">
        <v>4817</v>
      </c>
      <c r="K326" s="3">
        <v>1.19E-5</v>
      </c>
      <c r="L326" s="2" t="s">
        <v>35</v>
      </c>
      <c r="M326" s="4" t="s">
        <v>4818</v>
      </c>
    </row>
    <row r="327" spans="1:13">
      <c r="A327" s="2">
        <v>4388</v>
      </c>
      <c r="B327" s="2" t="s">
        <v>4819</v>
      </c>
      <c r="C327" s="2">
        <v>9</v>
      </c>
      <c r="D327" s="2">
        <v>556</v>
      </c>
      <c r="E327" s="2">
        <v>55</v>
      </c>
      <c r="F327" s="2">
        <v>32441</v>
      </c>
      <c r="G327" s="2">
        <v>9.5477109220000003</v>
      </c>
      <c r="H327" s="3">
        <v>1.24E-6</v>
      </c>
      <c r="I327" s="2" t="s">
        <v>4820</v>
      </c>
      <c r="J327" s="2" t="s">
        <v>4821</v>
      </c>
      <c r="K327" s="3">
        <v>1.91E-5</v>
      </c>
      <c r="L327" s="2" t="s">
        <v>35</v>
      </c>
      <c r="M327" s="4" t="s">
        <v>4822</v>
      </c>
    </row>
    <row r="328" spans="1:13">
      <c r="A328" s="2">
        <v>3379</v>
      </c>
      <c r="B328" s="2" t="s">
        <v>4823</v>
      </c>
      <c r="C328" s="2">
        <v>11</v>
      </c>
      <c r="D328" s="2">
        <v>556</v>
      </c>
      <c r="E328" s="2">
        <v>91</v>
      </c>
      <c r="F328" s="2">
        <v>32441</v>
      </c>
      <c r="G328" s="2">
        <v>7.0529488499999999</v>
      </c>
      <c r="H328" s="3">
        <v>1.26E-6</v>
      </c>
      <c r="I328" s="2" t="s">
        <v>4824</v>
      </c>
      <c r="J328" s="2" t="s">
        <v>4825</v>
      </c>
      <c r="K328" s="3">
        <v>1.9300000000000002E-5</v>
      </c>
      <c r="L328" s="2" t="s">
        <v>35</v>
      </c>
      <c r="M328" s="4" t="s">
        <v>4826</v>
      </c>
    </row>
    <row r="329" spans="1:13">
      <c r="A329" s="2">
        <v>1506</v>
      </c>
      <c r="B329" s="2" t="s">
        <v>4827</v>
      </c>
      <c r="C329" s="2">
        <v>23</v>
      </c>
      <c r="D329" s="2">
        <v>556</v>
      </c>
      <c r="E329" s="2">
        <v>404</v>
      </c>
      <c r="F329" s="2">
        <v>32441</v>
      </c>
      <c r="G329" s="2">
        <v>3.3217421109999998</v>
      </c>
      <c r="H329" s="3">
        <v>1.2699999999999999E-6</v>
      </c>
      <c r="I329" s="2" t="s">
        <v>4828</v>
      </c>
      <c r="J329" s="2" t="s">
        <v>4829</v>
      </c>
      <c r="K329" s="3">
        <v>1.9400000000000001E-5</v>
      </c>
      <c r="L329" s="2" t="s">
        <v>35</v>
      </c>
      <c r="M329" s="4" t="s">
        <v>4830</v>
      </c>
    </row>
    <row r="330" spans="1:13">
      <c r="A330" s="2">
        <v>3801</v>
      </c>
      <c r="B330" s="2" t="s">
        <v>4831</v>
      </c>
      <c r="C330" s="2">
        <v>8</v>
      </c>
      <c r="D330" s="2">
        <v>556</v>
      </c>
      <c r="E330" s="2">
        <v>40</v>
      </c>
      <c r="F330" s="2">
        <v>32441</v>
      </c>
      <c r="G330" s="2">
        <v>11.66942446</v>
      </c>
      <c r="H330" s="3">
        <v>1.2899999999999999E-6</v>
      </c>
      <c r="I330" s="2" t="s">
        <v>4832</v>
      </c>
      <c r="J330" s="2" t="s">
        <v>4833</v>
      </c>
      <c r="K330" s="3">
        <v>1.9599999999999999E-5</v>
      </c>
      <c r="L330" s="2" t="s">
        <v>35</v>
      </c>
      <c r="M330" s="4" t="s">
        <v>4834</v>
      </c>
    </row>
    <row r="331" spans="1:13">
      <c r="A331" s="2">
        <v>4176</v>
      </c>
      <c r="B331" s="2" t="s">
        <v>4835</v>
      </c>
      <c r="C331" s="2">
        <v>9</v>
      </c>
      <c r="D331" s="2">
        <v>556</v>
      </c>
      <c r="E331" s="2">
        <v>56</v>
      </c>
      <c r="F331" s="2">
        <v>32441</v>
      </c>
      <c r="G331" s="2">
        <v>9.3772160840000005</v>
      </c>
      <c r="H331" s="3">
        <v>1.42E-6</v>
      </c>
      <c r="I331" s="2" t="s">
        <v>4836</v>
      </c>
      <c r="J331" s="2" t="s">
        <v>4837</v>
      </c>
      <c r="K331" s="3">
        <v>2.1500000000000001E-5</v>
      </c>
      <c r="L331" s="2" t="s">
        <v>35</v>
      </c>
      <c r="M331" s="4" t="s">
        <v>4838</v>
      </c>
    </row>
    <row r="332" spans="1:13">
      <c r="A332" s="2">
        <v>664</v>
      </c>
      <c r="B332" s="2" t="s">
        <v>4839</v>
      </c>
      <c r="C332" s="2">
        <v>12</v>
      </c>
      <c r="D332" s="2">
        <v>556</v>
      </c>
      <c r="E332" s="2">
        <v>113</v>
      </c>
      <c r="F332" s="2">
        <v>32441</v>
      </c>
      <c r="G332" s="2">
        <v>6.1961545810000001</v>
      </c>
      <c r="H332" s="3">
        <v>1.46E-6</v>
      </c>
      <c r="I332" s="2" t="s">
        <v>4840</v>
      </c>
      <c r="J332" s="2" t="s">
        <v>4841</v>
      </c>
      <c r="K332" s="3">
        <v>2.2099999999999998E-5</v>
      </c>
      <c r="L332" s="2" t="s">
        <v>35</v>
      </c>
      <c r="M332" s="4" t="s">
        <v>4842</v>
      </c>
    </row>
    <row r="333" spans="1:13">
      <c r="A333" s="2">
        <v>1196</v>
      </c>
      <c r="B333" s="2" t="s">
        <v>4843</v>
      </c>
      <c r="C333" s="2">
        <v>8</v>
      </c>
      <c r="D333" s="2">
        <v>556</v>
      </c>
      <c r="E333" s="2">
        <v>41</v>
      </c>
      <c r="F333" s="2">
        <v>32441</v>
      </c>
      <c r="G333" s="2">
        <v>11.38480435</v>
      </c>
      <c r="H333" s="3">
        <v>1.5200000000000001E-6</v>
      </c>
      <c r="I333" s="2" t="s">
        <v>4844</v>
      </c>
      <c r="J333" s="2" t="s">
        <v>4845</v>
      </c>
      <c r="K333" s="3">
        <v>2.2799999999999999E-5</v>
      </c>
      <c r="L333" s="2" t="s">
        <v>35</v>
      </c>
      <c r="M333" s="4" t="s">
        <v>4846</v>
      </c>
    </row>
    <row r="334" spans="1:13">
      <c r="A334" s="2">
        <v>1534</v>
      </c>
      <c r="B334" s="2" t="s">
        <v>4847</v>
      </c>
      <c r="C334" s="2">
        <v>8</v>
      </c>
      <c r="D334" s="2">
        <v>556</v>
      </c>
      <c r="E334" s="2">
        <v>41</v>
      </c>
      <c r="F334" s="2">
        <v>32441</v>
      </c>
      <c r="G334" s="2">
        <v>11.38480435</v>
      </c>
      <c r="H334" s="3">
        <v>1.5200000000000001E-6</v>
      </c>
      <c r="I334" s="2" t="s">
        <v>4848</v>
      </c>
      <c r="J334" s="2" t="s">
        <v>4849</v>
      </c>
      <c r="K334" s="3">
        <v>2.2799999999999999E-5</v>
      </c>
      <c r="L334" s="2" t="s">
        <v>35</v>
      </c>
      <c r="M334" s="4" t="s">
        <v>4850</v>
      </c>
    </row>
    <row r="335" spans="1:13">
      <c r="A335" s="2">
        <v>2806</v>
      </c>
      <c r="B335" s="2" t="s">
        <v>4851</v>
      </c>
      <c r="C335" s="2">
        <v>5</v>
      </c>
      <c r="D335" s="2">
        <v>556</v>
      </c>
      <c r="E335" s="2">
        <v>8</v>
      </c>
      <c r="F335" s="2">
        <v>32441</v>
      </c>
      <c r="G335" s="2">
        <v>36.466951440000003</v>
      </c>
      <c r="H335" s="3">
        <v>1.5400000000000001E-6</v>
      </c>
      <c r="I335" s="2" t="s">
        <v>4852</v>
      </c>
      <c r="J335" s="2" t="s">
        <v>4853</v>
      </c>
      <c r="K335" s="3">
        <v>2.3E-5</v>
      </c>
      <c r="L335" s="2" t="s">
        <v>35</v>
      </c>
      <c r="M335" s="4" t="s">
        <v>4854</v>
      </c>
    </row>
    <row r="336" spans="1:13">
      <c r="A336" s="2">
        <v>517</v>
      </c>
      <c r="B336" s="2" t="s">
        <v>4855</v>
      </c>
      <c r="C336" s="2">
        <v>9</v>
      </c>
      <c r="D336" s="2">
        <v>556</v>
      </c>
      <c r="E336" s="2">
        <v>57</v>
      </c>
      <c r="F336" s="2">
        <v>32441</v>
      </c>
      <c r="G336" s="2">
        <v>9.2127035209999999</v>
      </c>
      <c r="H336" s="3">
        <v>1.6199999999999999E-6</v>
      </c>
      <c r="I336" s="2" t="s">
        <v>4856</v>
      </c>
      <c r="J336" s="2" t="s">
        <v>4857</v>
      </c>
      <c r="K336" s="3">
        <v>2.4199999999999999E-5</v>
      </c>
      <c r="L336" s="2" t="s">
        <v>35</v>
      </c>
      <c r="M336" s="4" t="s">
        <v>4858</v>
      </c>
    </row>
    <row r="337" spans="1:13">
      <c r="A337" s="2">
        <v>130</v>
      </c>
      <c r="B337" s="2" t="s">
        <v>4859</v>
      </c>
      <c r="C337" s="2">
        <v>10</v>
      </c>
      <c r="D337" s="2">
        <v>556</v>
      </c>
      <c r="E337" s="2">
        <v>75</v>
      </c>
      <c r="F337" s="2">
        <v>32441</v>
      </c>
      <c r="G337" s="2">
        <v>7.7796163070000004</v>
      </c>
      <c r="H337" s="3">
        <v>1.72E-6</v>
      </c>
      <c r="I337" s="2" t="s">
        <v>4860</v>
      </c>
      <c r="J337" s="2" t="s">
        <v>4861</v>
      </c>
      <c r="K337" s="3">
        <v>2.5599999999999999E-5</v>
      </c>
      <c r="L337" s="2" t="s">
        <v>35</v>
      </c>
      <c r="M337" s="4" t="s">
        <v>4862</v>
      </c>
    </row>
    <row r="338" spans="1:13">
      <c r="A338" s="2">
        <v>1281</v>
      </c>
      <c r="B338" s="2" t="s">
        <v>4863</v>
      </c>
      <c r="C338" s="2">
        <v>6</v>
      </c>
      <c r="D338" s="2">
        <v>556</v>
      </c>
      <c r="E338" s="2">
        <v>17</v>
      </c>
      <c r="F338" s="2">
        <v>32441</v>
      </c>
      <c r="G338" s="2">
        <v>20.593101990000001</v>
      </c>
      <c r="H338" s="3">
        <v>1.7600000000000001E-6</v>
      </c>
      <c r="I338" s="2" t="s">
        <v>4864</v>
      </c>
      <c r="J338" s="2" t="s">
        <v>4865</v>
      </c>
      <c r="K338" s="3">
        <v>2.6100000000000001E-5</v>
      </c>
      <c r="L338" s="2" t="s">
        <v>35</v>
      </c>
      <c r="M338" s="4" t="s">
        <v>4866</v>
      </c>
    </row>
    <row r="339" spans="1:13">
      <c r="A339" s="2">
        <v>1760</v>
      </c>
      <c r="B339" s="2" t="s">
        <v>4867</v>
      </c>
      <c r="C339" s="2">
        <v>16</v>
      </c>
      <c r="D339" s="2">
        <v>556</v>
      </c>
      <c r="E339" s="2">
        <v>211</v>
      </c>
      <c r="F339" s="2">
        <v>32441</v>
      </c>
      <c r="G339" s="2">
        <v>4.4244263359999998</v>
      </c>
      <c r="H339" s="3">
        <v>1.7999999999999999E-6</v>
      </c>
      <c r="I339" s="2" t="s">
        <v>4868</v>
      </c>
      <c r="J339" s="2" t="s">
        <v>4869</v>
      </c>
      <c r="K339" s="3">
        <v>2.6599999999999999E-5</v>
      </c>
      <c r="L339" s="2" t="s">
        <v>35</v>
      </c>
      <c r="M339" s="4" t="s">
        <v>4870</v>
      </c>
    </row>
    <row r="340" spans="1:13">
      <c r="A340" s="2">
        <v>2566</v>
      </c>
      <c r="B340" s="2" t="s">
        <v>4871</v>
      </c>
      <c r="C340" s="2">
        <v>18</v>
      </c>
      <c r="D340" s="2">
        <v>556</v>
      </c>
      <c r="E340" s="2">
        <v>266</v>
      </c>
      <c r="F340" s="2">
        <v>32441</v>
      </c>
      <c r="G340" s="2">
        <v>3.9483015090000002</v>
      </c>
      <c r="H340" s="3">
        <v>1.9099999999999999E-6</v>
      </c>
      <c r="I340" s="2" t="s">
        <v>4872</v>
      </c>
      <c r="J340" s="2" t="s">
        <v>4873</v>
      </c>
      <c r="K340" s="3">
        <v>2.8099999999999999E-5</v>
      </c>
      <c r="L340" s="2" t="s">
        <v>35</v>
      </c>
      <c r="M340" s="4" t="s">
        <v>4874</v>
      </c>
    </row>
    <row r="341" spans="1:13">
      <c r="A341" s="2">
        <v>238</v>
      </c>
      <c r="B341" s="2" t="s">
        <v>4875</v>
      </c>
      <c r="C341" s="2">
        <v>7</v>
      </c>
      <c r="D341" s="2">
        <v>556</v>
      </c>
      <c r="E341" s="2">
        <v>29</v>
      </c>
      <c r="F341" s="2">
        <v>32441</v>
      </c>
      <c r="G341" s="2">
        <v>14.083788139999999</v>
      </c>
      <c r="H341" s="3">
        <v>2.03E-6</v>
      </c>
      <c r="I341" s="2" t="s">
        <v>4876</v>
      </c>
      <c r="J341" s="2" t="s">
        <v>4877</v>
      </c>
      <c r="K341" s="3">
        <v>2.9600000000000001E-5</v>
      </c>
      <c r="L341" s="2" t="s">
        <v>35</v>
      </c>
      <c r="M341" s="4" t="s">
        <v>4878</v>
      </c>
    </row>
    <row r="342" spans="1:13">
      <c r="A342" s="2">
        <v>564</v>
      </c>
      <c r="B342" s="2" t="s">
        <v>4879</v>
      </c>
      <c r="C342" s="2">
        <v>7</v>
      </c>
      <c r="D342" s="2">
        <v>556</v>
      </c>
      <c r="E342" s="2">
        <v>29</v>
      </c>
      <c r="F342" s="2">
        <v>32441</v>
      </c>
      <c r="G342" s="2">
        <v>14.083788139999999</v>
      </c>
      <c r="H342" s="3">
        <v>2.03E-6</v>
      </c>
      <c r="I342" s="2" t="s">
        <v>4880</v>
      </c>
      <c r="J342" s="2" t="s">
        <v>4881</v>
      </c>
      <c r="K342" s="3">
        <v>2.9600000000000001E-5</v>
      </c>
      <c r="L342" s="2" t="s">
        <v>35</v>
      </c>
      <c r="M342" s="4" t="s">
        <v>4882</v>
      </c>
    </row>
    <row r="343" spans="1:13">
      <c r="A343" s="2">
        <v>4653</v>
      </c>
      <c r="B343" s="2" t="s">
        <v>4883</v>
      </c>
      <c r="C343" s="2">
        <v>7</v>
      </c>
      <c r="D343" s="2">
        <v>556</v>
      </c>
      <c r="E343" s="2">
        <v>29</v>
      </c>
      <c r="F343" s="2">
        <v>32441</v>
      </c>
      <c r="G343" s="2">
        <v>14.083788139999999</v>
      </c>
      <c r="H343" s="3">
        <v>2.03E-6</v>
      </c>
      <c r="I343" s="2" t="s">
        <v>4884</v>
      </c>
      <c r="J343" s="2" t="s">
        <v>4885</v>
      </c>
      <c r="K343" s="3">
        <v>2.9600000000000001E-5</v>
      </c>
      <c r="L343" s="2" t="s">
        <v>35</v>
      </c>
      <c r="M343" s="4" t="s">
        <v>4886</v>
      </c>
    </row>
    <row r="344" spans="1:13">
      <c r="A344" s="2">
        <v>1135</v>
      </c>
      <c r="B344" s="2" t="s">
        <v>4887</v>
      </c>
      <c r="C344" s="2">
        <v>8</v>
      </c>
      <c r="D344" s="2">
        <v>556</v>
      </c>
      <c r="E344" s="2">
        <v>43</v>
      </c>
      <c r="F344" s="2">
        <v>32441</v>
      </c>
      <c r="G344" s="2">
        <v>10.855278569999999</v>
      </c>
      <c r="H344" s="3">
        <v>2.08E-6</v>
      </c>
      <c r="I344" s="2" t="s">
        <v>4888</v>
      </c>
      <c r="J344" s="2" t="s">
        <v>4889</v>
      </c>
      <c r="K344" s="3">
        <v>3.0300000000000001E-5</v>
      </c>
      <c r="L344" s="2" t="s">
        <v>35</v>
      </c>
      <c r="M344" s="4" t="s">
        <v>4890</v>
      </c>
    </row>
    <row r="345" spans="1:13">
      <c r="A345" s="2">
        <v>1731</v>
      </c>
      <c r="B345" s="2" t="s">
        <v>4891</v>
      </c>
      <c r="C345" s="2">
        <v>13</v>
      </c>
      <c r="D345" s="2">
        <v>556</v>
      </c>
      <c r="E345" s="2">
        <v>141</v>
      </c>
      <c r="F345" s="2">
        <v>32441</v>
      </c>
      <c r="G345" s="2">
        <v>5.3795219139999997</v>
      </c>
      <c r="H345" s="3">
        <v>2.3099999999999999E-6</v>
      </c>
      <c r="I345" s="2" t="s">
        <v>4892</v>
      </c>
      <c r="J345" s="2" t="s">
        <v>4893</v>
      </c>
      <c r="K345" s="3">
        <v>3.3500000000000001E-5</v>
      </c>
      <c r="L345" s="2" t="s">
        <v>35</v>
      </c>
      <c r="M345" s="4" t="s">
        <v>4894</v>
      </c>
    </row>
    <row r="346" spans="1:13">
      <c r="A346" s="2">
        <v>3875</v>
      </c>
      <c r="B346" s="2" t="s">
        <v>4895</v>
      </c>
      <c r="C346" s="2">
        <v>10</v>
      </c>
      <c r="D346" s="2">
        <v>556</v>
      </c>
      <c r="E346" s="2">
        <v>78</v>
      </c>
      <c r="F346" s="2">
        <v>32441</v>
      </c>
      <c r="G346" s="2">
        <v>7.4804002949999999</v>
      </c>
      <c r="H346" s="3">
        <v>2.3700000000000002E-6</v>
      </c>
      <c r="I346" s="2" t="s">
        <v>4896</v>
      </c>
      <c r="J346" s="2" t="s">
        <v>4897</v>
      </c>
      <c r="K346" s="3">
        <v>3.43E-5</v>
      </c>
      <c r="L346" s="2" t="s">
        <v>35</v>
      </c>
      <c r="M346" s="4" t="s">
        <v>4898</v>
      </c>
    </row>
    <row r="347" spans="1:13">
      <c r="A347" s="2">
        <v>4232</v>
      </c>
      <c r="B347" s="2" t="s">
        <v>4899</v>
      </c>
      <c r="C347" s="2">
        <v>13</v>
      </c>
      <c r="D347" s="2">
        <v>556</v>
      </c>
      <c r="E347" s="2">
        <v>142</v>
      </c>
      <c r="F347" s="2">
        <v>32441</v>
      </c>
      <c r="G347" s="2">
        <v>5.3416379569999997</v>
      </c>
      <c r="H347" s="3">
        <v>2.48E-6</v>
      </c>
      <c r="I347" s="2" t="s">
        <v>4900</v>
      </c>
      <c r="J347" s="2" t="s">
        <v>4901</v>
      </c>
      <c r="K347" s="3">
        <v>3.5800000000000003E-5</v>
      </c>
      <c r="L347" s="2" t="s">
        <v>35</v>
      </c>
      <c r="M347" s="4" t="s">
        <v>4902</v>
      </c>
    </row>
    <row r="348" spans="1:13">
      <c r="A348" s="2">
        <v>3453</v>
      </c>
      <c r="B348" s="2" t="s">
        <v>4903</v>
      </c>
      <c r="C348" s="2">
        <v>9</v>
      </c>
      <c r="D348" s="2">
        <v>556</v>
      </c>
      <c r="E348" s="2">
        <v>61</v>
      </c>
      <c r="F348" s="2">
        <v>32441</v>
      </c>
      <c r="G348" s="2">
        <v>8.6085918150000005</v>
      </c>
      <c r="H348" s="3">
        <v>2.6800000000000002E-6</v>
      </c>
      <c r="I348" s="2" t="s">
        <v>4904</v>
      </c>
      <c r="J348" s="2" t="s">
        <v>4905</v>
      </c>
      <c r="K348" s="3">
        <v>3.8500000000000001E-5</v>
      </c>
      <c r="L348" s="2" t="s">
        <v>35</v>
      </c>
      <c r="M348" s="4" t="s">
        <v>4906</v>
      </c>
    </row>
    <row r="349" spans="1:13">
      <c r="A349" s="2">
        <v>3378</v>
      </c>
      <c r="B349" s="2" t="s">
        <v>4907</v>
      </c>
      <c r="C349" s="2">
        <v>11</v>
      </c>
      <c r="D349" s="2">
        <v>556</v>
      </c>
      <c r="E349" s="2">
        <v>100</v>
      </c>
      <c r="F349" s="2">
        <v>32441</v>
      </c>
      <c r="G349" s="2">
        <v>6.4181834530000001</v>
      </c>
      <c r="H349" s="3">
        <v>2.92E-6</v>
      </c>
      <c r="I349" s="2" t="s">
        <v>4908</v>
      </c>
      <c r="J349" s="2" t="s">
        <v>4909</v>
      </c>
      <c r="K349" s="3">
        <v>4.1900000000000002E-5</v>
      </c>
      <c r="L349" s="2" t="s">
        <v>35</v>
      </c>
      <c r="M349" s="4" t="s">
        <v>4910</v>
      </c>
    </row>
    <row r="350" spans="1:13">
      <c r="A350" s="2">
        <v>946</v>
      </c>
      <c r="B350" s="2" t="s">
        <v>4911</v>
      </c>
      <c r="C350" s="2">
        <v>7</v>
      </c>
      <c r="D350" s="2">
        <v>556</v>
      </c>
      <c r="E350" s="2">
        <v>31</v>
      </c>
      <c r="F350" s="2">
        <v>32441</v>
      </c>
      <c r="G350" s="2">
        <v>13.17515665</v>
      </c>
      <c r="H350" s="3">
        <v>2.9799999999999998E-6</v>
      </c>
      <c r="I350" s="2" t="s">
        <v>4912</v>
      </c>
      <c r="J350" s="2" t="s">
        <v>4913</v>
      </c>
      <c r="K350" s="3">
        <v>4.2599999999999999E-5</v>
      </c>
      <c r="L350" s="2" t="s">
        <v>35</v>
      </c>
      <c r="M350" s="4" t="s">
        <v>4914</v>
      </c>
    </row>
    <row r="351" spans="1:13">
      <c r="A351" s="2">
        <v>374</v>
      </c>
      <c r="B351" s="2" t="s">
        <v>4915</v>
      </c>
      <c r="C351" s="2">
        <v>6</v>
      </c>
      <c r="D351" s="2">
        <v>556</v>
      </c>
      <c r="E351" s="2">
        <v>19</v>
      </c>
      <c r="F351" s="2">
        <v>32441</v>
      </c>
      <c r="G351" s="2">
        <v>18.42540704</v>
      </c>
      <c r="H351" s="3">
        <v>3.0000000000000001E-6</v>
      </c>
      <c r="I351" s="2" t="s">
        <v>4916</v>
      </c>
      <c r="J351" s="2" t="s">
        <v>4917</v>
      </c>
      <c r="K351" s="3">
        <v>4.2799999999999997E-5</v>
      </c>
      <c r="L351" s="2" t="s">
        <v>35</v>
      </c>
      <c r="M351" s="4" t="s">
        <v>4918</v>
      </c>
    </row>
    <row r="352" spans="1:13">
      <c r="A352" s="2">
        <v>123</v>
      </c>
      <c r="B352" s="2" t="s">
        <v>4919</v>
      </c>
      <c r="C352" s="2">
        <v>9</v>
      </c>
      <c r="D352" s="2">
        <v>556</v>
      </c>
      <c r="E352" s="2">
        <v>62</v>
      </c>
      <c r="F352" s="2">
        <v>32441</v>
      </c>
      <c r="G352" s="2">
        <v>8.4697435599999995</v>
      </c>
      <c r="H352" s="3">
        <v>3.0199999999999999E-6</v>
      </c>
      <c r="I352" s="2" t="s">
        <v>4920</v>
      </c>
      <c r="J352" s="2" t="s">
        <v>4921</v>
      </c>
      <c r="K352" s="3">
        <v>4.3000000000000002E-5</v>
      </c>
      <c r="L352" s="2" t="s">
        <v>35</v>
      </c>
      <c r="M352" s="4" t="s">
        <v>4922</v>
      </c>
    </row>
    <row r="353" spans="1:13">
      <c r="A353" s="2">
        <v>1437</v>
      </c>
      <c r="B353" s="2" t="s">
        <v>4923</v>
      </c>
      <c r="C353" s="2">
        <v>18</v>
      </c>
      <c r="D353" s="2">
        <v>556</v>
      </c>
      <c r="E353" s="2">
        <v>276</v>
      </c>
      <c r="F353" s="2">
        <v>32441</v>
      </c>
      <c r="G353" s="2">
        <v>3.805247107</v>
      </c>
      <c r="H353" s="3">
        <v>3.1E-6</v>
      </c>
      <c r="I353" s="2" t="s">
        <v>4924</v>
      </c>
      <c r="J353" s="2" t="s">
        <v>4925</v>
      </c>
      <c r="K353" s="3">
        <v>4.3999999999999999E-5</v>
      </c>
      <c r="L353" s="2" t="s">
        <v>35</v>
      </c>
      <c r="M353" s="4" t="s">
        <v>4926</v>
      </c>
    </row>
    <row r="354" spans="1:13">
      <c r="A354" s="2">
        <v>4038</v>
      </c>
      <c r="B354" s="2" t="s">
        <v>4927</v>
      </c>
      <c r="C354" s="2">
        <v>14</v>
      </c>
      <c r="D354" s="2">
        <v>556</v>
      </c>
      <c r="E354" s="2">
        <v>170</v>
      </c>
      <c r="F354" s="2">
        <v>32441</v>
      </c>
      <c r="G354" s="2">
        <v>4.8050571309999999</v>
      </c>
      <c r="H354" s="3">
        <v>3.2499999999999998E-6</v>
      </c>
      <c r="I354" s="2" t="s">
        <v>4928</v>
      </c>
      <c r="J354" s="2" t="s">
        <v>4929</v>
      </c>
      <c r="K354" s="3">
        <v>4.6E-5</v>
      </c>
      <c r="L354" s="2" t="s">
        <v>35</v>
      </c>
      <c r="M354" s="4" t="s">
        <v>4930</v>
      </c>
    </row>
    <row r="355" spans="1:13">
      <c r="A355" s="2">
        <v>4059</v>
      </c>
      <c r="B355" s="2" t="s">
        <v>4931</v>
      </c>
      <c r="C355" s="2">
        <v>5</v>
      </c>
      <c r="D355" s="2">
        <v>556</v>
      </c>
      <c r="E355" s="2">
        <v>10</v>
      </c>
      <c r="F355" s="2">
        <v>32441</v>
      </c>
      <c r="G355" s="2">
        <v>29.173561150000001</v>
      </c>
      <c r="H355" s="3">
        <v>3.4800000000000001E-6</v>
      </c>
      <c r="I355" s="2" t="s">
        <v>4932</v>
      </c>
      <c r="J355" s="2" t="s">
        <v>4933</v>
      </c>
      <c r="K355" s="3">
        <v>4.9100000000000001E-5</v>
      </c>
      <c r="L355" s="2" t="s">
        <v>35</v>
      </c>
      <c r="M355" s="4" t="s">
        <v>4934</v>
      </c>
    </row>
    <row r="356" spans="1:13">
      <c r="A356" s="2">
        <v>2701</v>
      </c>
      <c r="B356" s="2" t="s">
        <v>4935</v>
      </c>
      <c r="C356" s="2">
        <v>10</v>
      </c>
      <c r="D356" s="2">
        <v>556</v>
      </c>
      <c r="E356" s="2">
        <v>83</v>
      </c>
      <c r="F356" s="2">
        <v>32441</v>
      </c>
      <c r="G356" s="2">
        <v>7.0297737710000003</v>
      </c>
      <c r="H356" s="3">
        <v>3.9299999999999996E-6</v>
      </c>
      <c r="I356" s="2" t="s">
        <v>4936</v>
      </c>
      <c r="J356" s="2" t="s">
        <v>4937</v>
      </c>
      <c r="K356" s="3">
        <v>5.52E-5</v>
      </c>
      <c r="L356" s="2" t="s">
        <v>35</v>
      </c>
      <c r="M356" s="4" t="s">
        <v>4938</v>
      </c>
    </row>
    <row r="357" spans="1:13">
      <c r="A357" s="2">
        <v>2501</v>
      </c>
      <c r="B357" s="2" t="s">
        <v>4939</v>
      </c>
      <c r="C357" s="2">
        <v>7</v>
      </c>
      <c r="D357" s="2">
        <v>556</v>
      </c>
      <c r="E357" s="2">
        <v>33</v>
      </c>
      <c r="F357" s="2">
        <v>32441</v>
      </c>
      <c r="G357" s="2">
        <v>12.37666231</v>
      </c>
      <c r="H357" s="3">
        <v>4.2799999999999997E-6</v>
      </c>
      <c r="I357" s="2" t="s">
        <v>4940</v>
      </c>
      <c r="J357" s="2" t="s">
        <v>4941</v>
      </c>
      <c r="K357" s="3">
        <v>5.9899999999999999E-5</v>
      </c>
      <c r="L357" s="2" t="s">
        <v>35</v>
      </c>
      <c r="M357" s="4" t="s">
        <v>4942</v>
      </c>
    </row>
    <row r="358" spans="1:13">
      <c r="A358" s="2">
        <v>2880</v>
      </c>
      <c r="B358" s="2" t="s">
        <v>4943</v>
      </c>
      <c r="C358" s="2">
        <v>8</v>
      </c>
      <c r="D358" s="2">
        <v>556</v>
      </c>
      <c r="E358" s="2">
        <v>48</v>
      </c>
      <c r="F358" s="2">
        <v>32441</v>
      </c>
      <c r="G358" s="2">
        <v>9.7245203839999999</v>
      </c>
      <c r="H358" s="3">
        <v>4.3100000000000002E-6</v>
      </c>
      <c r="I358" s="2" t="s">
        <v>4944</v>
      </c>
      <c r="J358" s="2" t="s">
        <v>4945</v>
      </c>
      <c r="K358" s="3">
        <v>6.02E-5</v>
      </c>
      <c r="L358" s="2" t="s">
        <v>35</v>
      </c>
      <c r="M358" s="4" t="s">
        <v>4946</v>
      </c>
    </row>
    <row r="359" spans="1:13">
      <c r="A359" s="2">
        <v>1346</v>
      </c>
      <c r="B359" s="2" t="s">
        <v>4947</v>
      </c>
      <c r="C359" s="2">
        <v>15</v>
      </c>
      <c r="D359" s="2">
        <v>556</v>
      </c>
      <c r="E359" s="2">
        <v>201</v>
      </c>
      <c r="F359" s="2">
        <v>32441</v>
      </c>
      <c r="G359" s="2">
        <v>4.3542628580000002</v>
      </c>
      <c r="H359" s="3">
        <v>4.5199999999999999E-6</v>
      </c>
      <c r="I359" s="2" t="s">
        <v>4948</v>
      </c>
      <c r="J359" s="2" t="s">
        <v>4949</v>
      </c>
      <c r="K359" s="3">
        <v>6.2899999999999997E-5</v>
      </c>
      <c r="L359" s="2" t="s">
        <v>35</v>
      </c>
      <c r="M359" s="4" t="s">
        <v>4950</v>
      </c>
    </row>
    <row r="360" spans="1:13">
      <c r="A360" s="2">
        <v>2082</v>
      </c>
      <c r="B360" s="2" t="s">
        <v>4951</v>
      </c>
      <c r="C360" s="2">
        <v>9</v>
      </c>
      <c r="D360" s="2">
        <v>556</v>
      </c>
      <c r="E360" s="2">
        <v>66</v>
      </c>
      <c r="F360" s="2">
        <v>32441</v>
      </c>
      <c r="G360" s="2">
        <v>7.9564257679999999</v>
      </c>
      <c r="H360" s="3">
        <v>4.7999999999999998E-6</v>
      </c>
      <c r="I360" s="2" t="s">
        <v>4952</v>
      </c>
      <c r="J360" s="2" t="s">
        <v>4953</v>
      </c>
      <c r="K360" s="3">
        <v>6.5900000000000003E-5</v>
      </c>
      <c r="L360" s="2" t="s">
        <v>35</v>
      </c>
      <c r="M360" s="4" t="s">
        <v>4954</v>
      </c>
    </row>
    <row r="361" spans="1:13">
      <c r="A361" s="2">
        <v>2684</v>
      </c>
      <c r="B361" s="2" t="s">
        <v>4955</v>
      </c>
      <c r="C361" s="2">
        <v>9</v>
      </c>
      <c r="D361" s="2">
        <v>556</v>
      </c>
      <c r="E361" s="2">
        <v>66</v>
      </c>
      <c r="F361" s="2">
        <v>32441</v>
      </c>
      <c r="G361" s="2">
        <v>7.9564257679999999</v>
      </c>
      <c r="H361" s="3">
        <v>4.7999999999999998E-6</v>
      </c>
      <c r="I361" s="2" t="s">
        <v>4956</v>
      </c>
      <c r="J361" s="2" t="s">
        <v>4957</v>
      </c>
      <c r="K361" s="3">
        <v>6.5900000000000003E-5</v>
      </c>
      <c r="L361" s="2" t="s">
        <v>35</v>
      </c>
      <c r="M361" s="4" t="s">
        <v>4958</v>
      </c>
    </row>
    <row r="362" spans="1:13">
      <c r="A362" s="2">
        <v>2771</v>
      </c>
      <c r="B362" s="2" t="s">
        <v>4959</v>
      </c>
      <c r="C362" s="2">
        <v>10</v>
      </c>
      <c r="D362" s="2">
        <v>556</v>
      </c>
      <c r="E362" s="2">
        <v>85</v>
      </c>
      <c r="F362" s="2">
        <v>32441</v>
      </c>
      <c r="G362" s="2">
        <v>6.8643673300000003</v>
      </c>
      <c r="H362" s="3">
        <v>4.7700000000000001E-6</v>
      </c>
      <c r="I362" s="2" t="s">
        <v>4960</v>
      </c>
      <c r="J362" s="2" t="s">
        <v>4961</v>
      </c>
      <c r="K362" s="3">
        <v>6.5900000000000003E-5</v>
      </c>
      <c r="L362" s="2" t="s">
        <v>35</v>
      </c>
      <c r="M362" s="4" t="s">
        <v>4962</v>
      </c>
    </row>
    <row r="363" spans="1:13">
      <c r="A363" s="2">
        <v>2789</v>
      </c>
      <c r="B363" s="2" t="s">
        <v>4963</v>
      </c>
      <c r="C363" s="2">
        <v>9</v>
      </c>
      <c r="D363" s="2">
        <v>556</v>
      </c>
      <c r="E363" s="2">
        <v>66</v>
      </c>
      <c r="F363" s="2">
        <v>32441</v>
      </c>
      <c r="G363" s="2">
        <v>7.9564257679999999</v>
      </c>
      <c r="H363" s="3">
        <v>4.7999999999999998E-6</v>
      </c>
      <c r="I363" s="2" t="s">
        <v>4964</v>
      </c>
      <c r="J363" s="2" t="s">
        <v>4965</v>
      </c>
      <c r="K363" s="3">
        <v>6.5900000000000003E-5</v>
      </c>
      <c r="L363" s="2" t="s">
        <v>35</v>
      </c>
      <c r="M363" s="4" t="s">
        <v>4966</v>
      </c>
    </row>
    <row r="364" spans="1:13">
      <c r="A364" s="2">
        <v>3769</v>
      </c>
      <c r="B364" s="2" t="s">
        <v>4967</v>
      </c>
      <c r="C364" s="2">
        <v>9</v>
      </c>
      <c r="D364" s="2">
        <v>556</v>
      </c>
      <c r="E364" s="2">
        <v>66</v>
      </c>
      <c r="F364" s="2">
        <v>32441</v>
      </c>
      <c r="G364" s="2">
        <v>7.9564257679999999</v>
      </c>
      <c r="H364" s="3">
        <v>4.7999999999999998E-6</v>
      </c>
      <c r="I364" s="2" t="s">
        <v>4968</v>
      </c>
      <c r="J364" s="2" t="s">
        <v>4969</v>
      </c>
      <c r="K364" s="3">
        <v>6.5900000000000003E-5</v>
      </c>
      <c r="L364" s="2" t="s">
        <v>35</v>
      </c>
      <c r="M364" s="4" t="s">
        <v>4970</v>
      </c>
    </row>
    <row r="365" spans="1:13">
      <c r="A365" s="2">
        <v>2830</v>
      </c>
      <c r="B365" s="2" t="s">
        <v>4971</v>
      </c>
      <c r="C365" s="2">
        <v>6</v>
      </c>
      <c r="D365" s="2">
        <v>556</v>
      </c>
      <c r="E365" s="2">
        <v>21</v>
      </c>
      <c r="F365" s="2">
        <v>32441</v>
      </c>
      <c r="G365" s="2">
        <v>16.670606370000002</v>
      </c>
      <c r="H365" s="3">
        <v>4.8799999999999999E-6</v>
      </c>
      <c r="I365" s="2" t="s">
        <v>4972</v>
      </c>
      <c r="J365" s="2" t="s">
        <v>4973</v>
      </c>
      <c r="K365" s="3">
        <v>6.6799999999999997E-5</v>
      </c>
      <c r="L365" s="2" t="s">
        <v>35</v>
      </c>
      <c r="M365" s="4" t="s">
        <v>4974</v>
      </c>
    </row>
    <row r="366" spans="1:13">
      <c r="A366" s="2">
        <v>304</v>
      </c>
      <c r="B366" s="2" t="s">
        <v>4975</v>
      </c>
      <c r="C366" s="2">
        <v>5</v>
      </c>
      <c r="D366" s="2">
        <v>556</v>
      </c>
      <c r="E366" s="2">
        <v>11</v>
      </c>
      <c r="F366" s="2">
        <v>32441</v>
      </c>
      <c r="G366" s="2">
        <v>26.521419229999999</v>
      </c>
      <c r="H366" s="3">
        <v>5.0000000000000004E-6</v>
      </c>
      <c r="I366" s="2" t="s">
        <v>4976</v>
      </c>
      <c r="J366" s="2" t="s">
        <v>4977</v>
      </c>
      <c r="K366" s="3">
        <v>6.8200000000000004E-5</v>
      </c>
      <c r="L366" s="2" t="s">
        <v>35</v>
      </c>
      <c r="M366" s="4" t="s">
        <v>4978</v>
      </c>
    </row>
    <row r="367" spans="1:13">
      <c r="A367" s="2">
        <v>591</v>
      </c>
      <c r="B367" s="2" t="s">
        <v>4979</v>
      </c>
      <c r="C367" s="2">
        <v>7</v>
      </c>
      <c r="D367" s="2">
        <v>556</v>
      </c>
      <c r="E367" s="2">
        <v>34</v>
      </c>
      <c r="F367" s="2">
        <v>32441</v>
      </c>
      <c r="G367" s="2">
        <v>12.012642830000001</v>
      </c>
      <c r="H367" s="3">
        <v>5.0799999999999996E-6</v>
      </c>
      <c r="I367" s="2" t="s">
        <v>4980</v>
      </c>
      <c r="J367" s="2" t="s">
        <v>4981</v>
      </c>
      <c r="K367" s="3">
        <v>6.8899999999999994E-5</v>
      </c>
      <c r="L367" s="2" t="s">
        <v>35</v>
      </c>
      <c r="M367" s="4" t="s">
        <v>4982</v>
      </c>
    </row>
    <row r="368" spans="1:13">
      <c r="A368" s="2">
        <v>605</v>
      </c>
      <c r="B368" s="2" t="s">
        <v>4983</v>
      </c>
      <c r="C368" s="2">
        <v>7</v>
      </c>
      <c r="D368" s="2">
        <v>556</v>
      </c>
      <c r="E368" s="2">
        <v>34</v>
      </c>
      <c r="F368" s="2">
        <v>32441</v>
      </c>
      <c r="G368" s="2">
        <v>12.012642830000001</v>
      </c>
      <c r="H368" s="3">
        <v>5.0799999999999996E-6</v>
      </c>
      <c r="I368" s="2" t="s">
        <v>4984</v>
      </c>
      <c r="J368" s="2" t="s">
        <v>4985</v>
      </c>
      <c r="K368" s="3">
        <v>6.8899999999999994E-5</v>
      </c>
      <c r="L368" s="2" t="s">
        <v>35</v>
      </c>
      <c r="M368" s="4" t="s">
        <v>4986</v>
      </c>
    </row>
    <row r="369" spans="1:13">
      <c r="A369" s="2">
        <v>2787</v>
      </c>
      <c r="B369" s="2" t="s">
        <v>4987</v>
      </c>
      <c r="C369" s="2">
        <v>10</v>
      </c>
      <c r="D369" s="2">
        <v>556</v>
      </c>
      <c r="E369" s="2">
        <v>87</v>
      </c>
      <c r="F369" s="2">
        <v>32441</v>
      </c>
      <c r="G369" s="2">
        <v>6.7065657820000002</v>
      </c>
      <c r="H369" s="3">
        <v>5.7599999999999999E-6</v>
      </c>
      <c r="I369" s="2" t="s">
        <v>4988</v>
      </c>
      <c r="J369" s="2" t="s">
        <v>4989</v>
      </c>
      <c r="K369" s="3">
        <v>7.7999999999999999E-5</v>
      </c>
      <c r="L369" s="2" t="s">
        <v>35</v>
      </c>
      <c r="M369" s="4" t="s">
        <v>4990</v>
      </c>
    </row>
    <row r="370" spans="1:13">
      <c r="A370" s="2">
        <v>3030</v>
      </c>
      <c r="B370" s="2" t="s">
        <v>4991</v>
      </c>
      <c r="C370" s="2">
        <v>9</v>
      </c>
      <c r="D370" s="2">
        <v>556</v>
      </c>
      <c r="E370" s="2">
        <v>68</v>
      </c>
      <c r="F370" s="2">
        <v>32441</v>
      </c>
      <c r="G370" s="2">
        <v>7.7224132460000003</v>
      </c>
      <c r="H370" s="3">
        <v>5.9900000000000002E-6</v>
      </c>
      <c r="I370" s="2" t="s">
        <v>4992</v>
      </c>
      <c r="J370" s="2" t="s">
        <v>4993</v>
      </c>
      <c r="K370" s="3">
        <v>8.0799999999999999E-5</v>
      </c>
      <c r="L370" s="2" t="s">
        <v>35</v>
      </c>
      <c r="M370" s="4" t="s">
        <v>4994</v>
      </c>
    </row>
    <row r="371" spans="1:13">
      <c r="A371" s="2">
        <v>278</v>
      </c>
      <c r="B371" s="2" t="s">
        <v>4995</v>
      </c>
      <c r="C371" s="2">
        <v>6</v>
      </c>
      <c r="D371" s="2">
        <v>556</v>
      </c>
      <c r="E371" s="2">
        <v>22</v>
      </c>
      <c r="F371" s="2">
        <v>32441</v>
      </c>
      <c r="G371" s="2">
        <v>15.91285154</v>
      </c>
      <c r="H371" s="3">
        <v>6.1199999999999999E-6</v>
      </c>
      <c r="I371" s="2" t="s">
        <v>4996</v>
      </c>
      <c r="J371" s="2" t="s">
        <v>4997</v>
      </c>
      <c r="K371" s="3">
        <v>8.2399999999999997E-5</v>
      </c>
      <c r="L371" s="2" t="s">
        <v>35</v>
      </c>
      <c r="M371" s="4" t="s">
        <v>4998</v>
      </c>
    </row>
    <row r="372" spans="1:13">
      <c r="A372" s="2">
        <v>2938</v>
      </c>
      <c r="B372" s="2" t="s">
        <v>4999</v>
      </c>
      <c r="C372" s="2">
        <v>18</v>
      </c>
      <c r="D372" s="2">
        <v>556</v>
      </c>
      <c r="E372" s="2">
        <v>293</v>
      </c>
      <c r="F372" s="2">
        <v>32441</v>
      </c>
      <c r="G372" s="2">
        <v>3.5844648509999999</v>
      </c>
      <c r="H372" s="3">
        <v>6.7599999999999997E-6</v>
      </c>
      <c r="I372" s="2" t="s">
        <v>5000</v>
      </c>
      <c r="J372" s="2" t="s">
        <v>5001</v>
      </c>
      <c r="K372" s="3">
        <v>9.0699999999999996E-5</v>
      </c>
      <c r="L372" s="2" t="s">
        <v>35</v>
      </c>
      <c r="M372" s="4" t="s">
        <v>5002</v>
      </c>
    </row>
    <row r="373" spans="1:13">
      <c r="A373" s="2">
        <v>484</v>
      </c>
      <c r="B373" s="2" t="s">
        <v>5003</v>
      </c>
      <c r="C373" s="2">
        <v>8</v>
      </c>
      <c r="D373" s="2">
        <v>556</v>
      </c>
      <c r="E373" s="2">
        <v>52</v>
      </c>
      <c r="F373" s="2">
        <v>32441</v>
      </c>
      <c r="G373" s="2">
        <v>8.9764803539999996</v>
      </c>
      <c r="H373" s="3">
        <v>7.3200000000000002E-6</v>
      </c>
      <c r="I373" s="2" t="s">
        <v>5004</v>
      </c>
      <c r="J373" s="2" t="s">
        <v>5005</v>
      </c>
      <c r="K373" s="3">
        <v>9.7700000000000003E-5</v>
      </c>
      <c r="L373" s="2" t="s">
        <v>35</v>
      </c>
      <c r="M373" s="4" t="s">
        <v>5006</v>
      </c>
    </row>
    <row r="374" spans="1:13">
      <c r="A374" s="2">
        <v>603</v>
      </c>
      <c r="B374" s="2" t="s">
        <v>5007</v>
      </c>
      <c r="C374" s="2">
        <v>8</v>
      </c>
      <c r="D374" s="2">
        <v>556</v>
      </c>
      <c r="E374" s="2">
        <v>52</v>
      </c>
      <c r="F374" s="2">
        <v>32441</v>
      </c>
      <c r="G374" s="2">
        <v>8.9764803539999996</v>
      </c>
      <c r="H374" s="3">
        <v>7.3200000000000002E-6</v>
      </c>
      <c r="I374" s="2" t="s">
        <v>5008</v>
      </c>
      <c r="J374" s="2" t="s">
        <v>5009</v>
      </c>
      <c r="K374" s="3">
        <v>9.7700000000000003E-5</v>
      </c>
      <c r="L374" s="2" t="s">
        <v>35</v>
      </c>
      <c r="M374" s="4" t="s">
        <v>5010</v>
      </c>
    </row>
    <row r="375" spans="1:13">
      <c r="A375" s="2">
        <v>4410</v>
      </c>
      <c r="B375" s="2" t="s">
        <v>5011</v>
      </c>
      <c r="C375" s="2">
        <v>12</v>
      </c>
      <c r="D375" s="2">
        <v>556</v>
      </c>
      <c r="E375" s="2">
        <v>134</v>
      </c>
      <c r="F375" s="2">
        <v>32441</v>
      </c>
      <c r="G375" s="2">
        <v>5.2251154299999998</v>
      </c>
      <c r="H375" s="3">
        <v>7.4100000000000002E-6</v>
      </c>
      <c r="I375" s="2" t="s">
        <v>5012</v>
      </c>
      <c r="J375" s="2" t="s">
        <v>5013</v>
      </c>
      <c r="K375" s="3">
        <v>9.8599999999999998E-5</v>
      </c>
      <c r="L375" s="2" t="s">
        <v>35</v>
      </c>
      <c r="M375" s="4" t="s">
        <v>5014</v>
      </c>
    </row>
    <row r="376" spans="1:13">
      <c r="A376" s="2">
        <v>2507</v>
      </c>
      <c r="B376" s="2" t="s">
        <v>5015</v>
      </c>
      <c r="C376" s="2">
        <v>8</v>
      </c>
      <c r="D376" s="2">
        <v>556</v>
      </c>
      <c r="E376" s="2">
        <v>53</v>
      </c>
      <c r="F376" s="2">
        <v>32441</v>
      </c>
      <c r="G376" s="2">
        <v>8.8071128000000005</v>
      </c>
      <c r="H376" s="3">
        <v>8.3100000000000001E-6</v>
      </c>
      <c r="I376" s="2" t="s">
        <v>5016</v>
      </c>
      <c r="J376" s="2" t="s">
        <v>5017</v>
      </c>
      <c r="K376" s="2">
        <v>1.09863E-4</v>
      </c>
      <c r="L376" s="2" t="s">
        <v>35</v>
      </c>
      <c r="M376" s="4" t="s">
        <v>5018</v>
      </c>
    </row>
    <row r="377" spans="1:13">
      <c r="A377" s="2">
        <v>3832</v>
      </c>
      <c r="B377" s="2" t="s">
        <v>5019</v>
      </c>
      <c r="C377" s="2">
        <v>8</v>
      </c>
      <c r="D377" s="2">
        <v>556</v>
      </c>
      <c r="E377" s="2">
        <v>53</v>
      </c>
      <c r="F377" s="2">
        <v>32441</v>
      </c>
      <c r="G377" s="2">
        <v>8.8071128000000005</v>
      </c>
      <c r="H377" s="3">
        <v>8.3100000000000001E-6</v>
      </c>
      <c r="I377" s="2" t="s">
        <v>5020</v>
      </c>
      <c r="J377" s="2" t="s">
        <v>5021</v>
      </c>
      <c r="K377" s="2">
        <v>1.09863E-4</v>
      </c>
      <c r="L377" s="2" t="s">
        <v>35</v>
      </c>
      <c r="M377" s="4" t="s">
        <v>5022</v>
      </c>
    </row>
    <row r="378" spans="1:13">
      <c r="A378" s="2">
        <v>3879</v>
      </c>
      <c r="B378" s="2" t="s">
        <v>5023</v>
      </c>
      <c r="C378" s="2">
        <v>16</v>
      </c>
      <c r="D378" s="2">
        <v>556</v>
      </c>
      <c r="E378" s="2">
        <v>240</v>
      </c>
      <c r="F378" s="2">
        <v>32441</v>
      </c>
      <c r="G378" s="2">
        <v>3.8898081530000002</v>
      </c>
      <c r="H378" s="3">
        <v>8.3899999999999993E-6</v>
      </c>
      <c r="I378" s="2" t="s">
        <v>5024</v>
      </c>
      <c r="J378" s="2" t="s">
        <v>5025</v>
      </c>
      <c r="K378" s="2">
        <v>1.1071200000000001E-4</v>
      </c>
      <c r="L378" s="2" t="s">
        <v>35</v>
      </c>
      <c r="M378" s="4" t="s">
        <v>5026</v>
      </c>
    </row>
    <row r="379" spans="1:13">
      <c r="A379" s="2">
        <v>4429</v>
      </c>
      <c r="B379" s="2" t="s">
        <v>5027</v>
      </c>
      <c r="C379" s="2">
        <v>12</v>
      </c>
      <c r="D379" s="2">
        <v>556</v>
      </c>
      <c r="E379" s="2">
        <v>136</v>
      </c>
      <c r="F379" s="2">
        <v>32441</v>
      </c>
      <c r="G379" s="2">
        <v>5.1482754970000002</v>
      </c>
      <c r="H379" s="3">
        <v>8.5199999999999997E-6</v>
      </c>
      <c r="I379" s="2" t="s">
        <v>5028</v>
      </c>
      <c r="J379" s="2" t="s">
        <v>5029</v>
      </c>
      <c r="K379" s="2">
        <v>1.12089E-4</v>
      </c>
      <c r="L379" s="2" t="s">
        <v>35</v>
      </c>
      <c r="M379" s="4" t="s">
        <v>5030</v>
      </c>
    </row>
    <row r="380" spans="1:13">
      <c r="A380" s="2">
        <v>1574</v>
      </c>
      <c r="B380" s="2" t="s">
        <v>5031</v>
      </c>
      <c r="C380" s="2">
        <v>8</v>
      </c>
      <c r="D380" s="2">
        <v>556</v>
      </c>
      <c r="E380" s="2">
        <v>54</v>
      </c>
      <c r="F380" s="2">
        <v>32441</v>
      </c>
      <c r="G380" s="2">
        <v>8.6440181190000001</v>
      </c>
      <c r="H380" s="3">
        <v>9.3999999999999998E-6</v>
      </c>
      <c r="I380" s="2" t="s">
        <v>5032</v>
      </c>
      <c r="J380" s="2" t="s">
        <v>5033</v>
      </c>
      <c r="K380" s="2">
        <v>1.2282999999999999E-4</v>
      </c>
      <c r="L380" s="2" t="s">
        <v>35</v>
      </c>
      <c r="M380" s="4" t="s">
        <v>5034</v>
      </c>
    </row>
    <row r="381" spans="1:13">
      <c r="A381" s="2">
        <v>4084</v>
      </c>
      <c r="B381" s="2" t="s">
        <v>5035</v>
      </c>
      <c r="C381" s="2">
        <v>13</v>
      </c>
      <c r="D381" s="2">
        <v>556</v>
      </c>
      <c r="E381" s="2">
        <v>162</v>
      </c>
      <c r="F381" s="2">
        <v>32441</v>
      </c>
      <c r="G381" s="2">
        <v>4.6821764809999999</v>
      </c>
      <c r="H381" s="3">
        <v>9.4099999999999997E-6</v>
      </c>
      <c r="I381" s="2" t="s">
        <v>5036</v>
      </c>
      <c r="J381" s="2" t="s">
        <v>5037</v>
      </c>
      <c r="K381" s="2">
        <v>1.2282999999999999E-4</v>
      </c>
      <c r="L381" s="2" t="s">
        <v>35</v>
      </c>
      <c r="M381" s="4" t="s">
        <v>5038</v>
      </c>
    </row>
    <row r="382" spans="1:13">
      <c r="A382" s="2">
        <v>4102</v>
      </c>
      <c r="B382" s="2" t="s">
        <v>5039</v>
      </c>
      <c r="C382" s="2">
        <v>8</v>
      </c>
      <c r="D382" s="2">
        <v>556</v>
      </c>
      <c r="E382" s="2">
        <v>54</v>
      </c>
      <c r="F382" s="2">
        <v>32441</v>
      </c>
      <c r="G382" s="2">
        <v>8.6440181190000001</v>
      </c>
      <c r="H382" s="3">
        <v>9.3999999999999998E-6</v>
      </c>
      <c r="I382" s="2" t="s">
        <v>5040</v>
      </c>
      <c r="J382" s="2" t="s">
        <v>5041</v>
      </c>
      <c r="K382" s="2">
        <v>1.2282999999999999E-4</v>
      </c>
      <c r="L382" s="2" t="s">
        <v>35</v>
      </c>
      <c r="M382" s="4" t="s">
        <v>5042</v>
      </c>
    </row>
    <row r="383" spans="1:13">
      <c r="A383" s="2">
        <v>141</v>
      </c>
      <c r="B383" s="2" t="s">
        <v>5043</v>
      </c>
      <c r="C383" s="2">
        <v>15</v>
      </c>
      <c r="D383" s="2">
        <v>556</v>
      </c>
      <c r="E383" s="2">
        <v>216</v>
      </c>
      <c r="F383" s="2">
        <v>32441</v>
      </c>
      <c r="G383" s="2">
        <v>4.0518834930000001</v>
      </c>
      <c r="H383" s="3">
        <v>1.01E-5</v>
      </c>
      <c r="I383" s="2" t="s">
        <v>5044</v>
      </c>
      <c r="J383" s="2" t="s">
        <v>5045</v>
      </c>
      <c r="K383" s="2">
        <v>1.3205000000000001E-4</v>
      </c>
      <c r="L383" s="2" t="s">
        <v>35</v>
      </c>
      <c r="M383" s="4" t="s">
        <v>5046</v>
      </c>
    </row>
    <row r="384" spans="1:13">
      <c r="A384" s="2">
        <v>2143</v>
      </c>
      <c r="B384" s="2" t="s">
        <v>5047</v>
      </c>
      <c r="C384" s="2">
        <v>13</v>
      </c>
      <c r="D384" s="2">
        <v>556</v>
      </c>
      <c r="E384" s="2">
        <v>164</v>
      </c>
      <c r="F384" s="2">
        <v>32441</v>
      </c>
      <c r="G384" s="2">
        <v>4.6250767679999996</v>
      </c>
      <c r="H384" s="3">
        <v>1.06E-5</v>
      </c>
      <c r="I384" s="2" t="s">
        <v>5048</v>
      </c>
      <c r="J384" s="2" t="s">
        <v>5049</v>
      </c>
      <c r="K384" s="2">
        <v>1.3808599999999999E-4</v>
      </c>
      <c r="L384" s="2" t="s">
        <v>35</v>
      </c>
      <c r="M384" s="4" t="s">
        <v>5050</v>
      </c>
    </row>
    <row r="385" spans="1:13">
      <c r="A385" s="2">
        <v>3374</v>
      </c>
      <c r="B385" s="2" t="s">
        <v>5051</v>
      </c>
      <c r="C385" s="2">
        <v>10</v>
      </c>
      <c r="D385" s="2">
        <v>556</v>
      </c>
      <c r="E385" s="2">
        <v>94</v>
      </c>
      <c r="F385" s="2">
        <v>32441</v>
      </c>
      <c r="G385" s="2">
        <v>6.2071406700000002</v>
      </c>
      <c r="H385" s="3">
        <v>1.08E-5</v>
      </c>
      <c r="I385" s="2" t="s">
        <v>5052</v>
      </c>
      <c r="J385" s="2" t="s">
        <v>5053</v>
      </c>
      <c r="K385" s="2">
        <v>1.39331E-4</v>
      </c>
      <c r="L385" s="2" t="s">
        <v>35</v>
      </c>
      <c r="M385" s="4" t="s">
        <v>5054</v>
      </c>
    </row>
    <row r="386" spans="1:13">
      <c r="A386" s="2">
        <v>3877</v>
      </c>
      <c r="B386" s="2" t="s">
        <v>5055</v>
      </c>
      <c r="C386" s="2">
        <v>9</v>
      </c>
      <c r="D386" s="2">
        <v>556</v>
      </c>
      <c r="E386" s="2">
        <v>74</v>
      </c>
      <c r="F386" s="2">
        <v>32441</v>
      </c>
      <c r="G386" s="2">
        <v>7.0962716309999996</v>
      </c>
      <c r="H386" s="3">
        <v>1.1199999999999999E-5</v>
      </c>
      <c r="I386" s="2" t="s">
        <v>5056</v>
      </c>
      <c r="J386" s="2" t="s">
        <v>5057</v>
      </c>
      <c r="K386" s="2">
        <v>1.43991E-4</v>
      </c>
      <c r="L386" s="2" t="s">
        <v>35</v>
      </c>
      <c r="M386" s="4" t="s">
        <v>5058</v>
      </c>
    </row>
    <row r="387" spans="1:13">
      <c r="A387" s="2">
        <v>1647</v>
      </c>
      <c r="B387" s="2" t="s">
        <v>5059</v>
      </c>
      <c r="C387" s="2">
        <v>8</v>
      </c>
      <c r="D387" s="2">
        <v>556</v>
      </c>
      <c r="E387" s="2">
        <v>57</v>
      </c>
      <c r="F387" s="2">
        <v>32441</v>
      </c>
      <c r="G387" s="2">
        <v>8.1890697970000002</v>
      </c>
      <c r="H387" s="3">
        <v>1.34E-5</v>
      </c>
      <c r="I387" s="2" t="s">
        <v>5060</v>
      </c>
      <c r="J387" s="2" t="s">
        <v>5061</v>
      </c>
      <c r="K387" s="2">
        <v>1.71798E-4</v>
      </c>
      <c r="L387" s="2" t="s">
        <v>35</v>
      </c>
      <c r="M387" s="4" t="s">
        <v>5062</v>
      </c>
    </row>
    <row r="388" spans="1:13">
      <c r="A388" s="2">
        <v>2685</v>
      </c>
      <c r="B388" s="2" t="s">
        <v>5063</v>
      </c>
      <c r="C388" s="2">
        <v>18</v>
      </c>
      <c r="D388" s="2">
        <v>556</v>
      </c>
      <c r="E388" s="2">
        <v>309</v>
      </c>
      <c r="F388" s="2">
        <v>32441</v>
      </c>
      <c r="G388" s="2">
        <v>3.3988614930000001</v>
      </c>
      <c r="H388" s="3">
        <v>1.34E-5</v>
      </c>
      <c r="I388" s="2" t="s">
        <v>5064</v>
      </c>
      <c r="J388" s="2" t="s">
        <v>5065</v>
      </c>
      <c r="K388" s="2">
        <v>1.71798E-4</v>
      </c>
      <c r="L388" s="2" t="s">
        <v>35</v>
      </c>
      <c r="M388" s="4" t="s">
        <v>5066</v>
      </c>
    </row>
    <row r="389" spans="1:13">
      <c r="A389" s="2">
        <v>3714</v>
      </c>
      <c r="B389" s="2" t="s">
        <v>5067</v>
      </c>
      <c r="C389" s="2">
        <v>8</v>
      </c>
      <c r="D389" s="2">
        <v>556</v>
      </c>
      <c r="E389" s="2">
        <v>57</v>
      </c>
      <c r="F389" s="2">
        <v>32441</v>
      </c>
      <c r="G389" s="2">
        <v>8.1890697970000002</v>
      </c>
      <c r="H389" s="3">
        <v>1.34E-5</v>
      </c>
      <c r="I389" s="2" t="s">
        <v>5068</v>
      </c>
      <c r="J389" s="2" t="s">
        <v>5069</v>
      </c>
      <c r="K389" s="2">
        <v>1.71798E-4</v>
      </c>
      <c r="L389" s="2" t="s">
        <v>35</v>
      </c>
      <c r="M389" s="4" t="s">
        <v>5070</v>
      </c>
    </row>
    <row r="390" spans="1:13">
      <c r="A390" s="2">
        <v>2736</v>
      </c>
      <c r="B390" s="2" t="s">
        <v>5071</v>
      </c>
      <c r="C390" s="2">
        <v>9</v>
      </c>
      <c r="D390" s="2">
        <v>556</v>
      </c>
      <c r="E390" s="2">
        <v>76</v>
      </c>
      <c r="F390" s="2">
        <v>32441</v>
      </c>
      <c r="G390" s="2">
        <v>6.9095276410000004</v>
      </c>
      <c r="H390" s="3">
        <v>1.36E-5</v>
      </c>
      <c r="I390" s="2" t="s">
        <v>5072</v>
      </c>
      <c r="J390" s="2" t="s">
        <v>5073</v>
      </c>
      <c r="K390" s="2">
        <v>1.7320200000000001E-4</v>
      </c>
      <c r="L390" s="2" t="s">
        <v>35</v>
      </c>
      <c r="M390" s="4" t="s">
        <v>5074</v>
      </c>
    </row>
    <row r="391" spans="1:13">
      <c r="A391" s="2">
        <v>482</v>
      </c>
      <c r="B391" s="2" t="s">
        <v>5075</v>
      </c>
      <c r="C391" s="2">
        <v>6</v>
      </c>
      <c r="D391" s="2">
        <v>556</v>
      </c>
      <c r="E391" s="2">
        <v>26</v>
      </c>
      <c r="F391" s="2">
        <v>32441</v>
      </c>
      <c r="G391" s="2">
        <v>13.464720529999999</v>
      </c>
      <c r="H391" s="3">
        <v>1.3900000000000001E-5</v>
      </c>
      <c r="I391" s="2" t="s">
        <v>5076</v>
      </c>
      <c r="J391" s="2" t="s">
        <v>5077</v>
      </c>
      <c r="K391" s="2">
        <v>1.7663800000000001E-4</v>
      </c>
      <c r="L391" s="2" t="s">
        <v>35</v>
      </c>
      <c r="M391" s="4" t="s">
        <v>5078</v>
      </c>
    </row>
    <row r="392" spans="1:13">
      <c r="A392" s="2">
        <v>4126</v>
      </c>
      <c r="B392" s="2" t="s">
        <v>5079</v>
      </c>
      <c r="C392" s="2">
        <v>6</v>
      </c>
      <c r="D392" s="2">
        <v>556</v>
      </c>
      <c r="E392" s="2">
        <v>26</v>
      </c>
      <c r="F392" s="2">
        <v>32441</v>
      </c>
      <c r="G392" s="2">
        <v>13.464720529999999</v>
      </c>
      <c r="H392" s="3">
        <v>1.3900000000000001E-5</v>
      </c>
      <c r="I392" s="2" t="s">
        <v>5080</v>
      </c>
      <c r="J392" s="2" t="s">
        <v>5081</v>
      </c>
      <c r="K392" s="2">
        <v>1.7663800000000001E-4</v>
      </c>
      <c r="L392" s="2" t="s">
        <v>35</v>
      </c>
      <c r="M392" s="4" t="s">
        <v>5082</v>
      </c>
    </row>
    <row r="393" spans="1:13">
      <c r="A393" s="2">
        <v>4552</v>
      </c>
      <c r="B393" s="2" t="s">
        <v>5083</v>
      </c>
      <c r="C393" s="2">
        <v>13</v>
      </c>
      <c r="D393" s="2">
        <v>556</v>
      </c>
      <c r="E393" s="2">
        <v>169</v>
      </c>
      <c r="F393" s="2">
        <v>32441</v>
      </c>
      <c r="G393" s="2">
        <v>4.4882401769999998</v>
      </c>
      <c r="H393" s="3">
        <v>1.43E-5</v>
      </c>
      <c r="I393" s="2" t="s">
        <v>5084</v>
      </c>
      <c r="J393" s="2" t="s">
        <v>5085</v>
      </c>
      <c r="K393" s="2">
        <v>1.8169200000000001E-4</v>
      </c>
      <c r="L393" s="2" t="s">
        <v>35</v>
      </c>
      <c r="M393" s="4" t="s">
        <v>5086</v>
      </c>
    </row>
    <row r="394" spans="1:13">
      <c r="A394" s="2">
        <v>2488</v>
      </c>
      <c r="B394" s="2" t="s">
        <v>5087</v>
      </c>
      <c r="C394" s="2">
        <v>15</v>
      </c>
      <c r="D394" s="2">
        <v>556</v>
      </c>
      <c r="E394" s="2">
        <v>223</v>
      </c>
      <c r="F394" s="2">
        <v>32441</v>
      </c>
      <c r="G394" s="2">
        <v>3.9246943249999999</v>
      </c>
      <c r="H394" s="3">
        <v>1.45E-5</v>
      </c>
      <c r="I394" s="2" t="s">
        <v>5088</v>
      </c>
      <c r="J394" s="2" t="s">
        <v>5089</v>
      </c>
      <c r="K394" s="2">
        <v>1.8271800000000001E-4</v>
      </c>
      <c r="L394" s="2" t="s">
        <v>35</v>
      </c>
      <c r="M394" s="4" t="s">
        <v>5090</v>
      </c>
    </row>
    <row r="395" spans="1:13">
      <c r="A395" s="2">
        <v>2491</v>
      </c>
      <c r="B395" s="2" t="s">
        <v>5091</v>
      </c>
      <c r="C395" s="2">
        <v>9</v>
      </c>
      <c r="D395" s="2">
        <v>556</v>
      </c>
      <c r="E395" s="2">
        <v>77</v>
      </c>
      <c r="F395" s="2">
        <v>32441</v>
      </c>
      <c r="G395" s="2">
        <v>6.8197935159999998</v>
      </c>
      <c r="H395" s="3">
        <v>1.49E-5</v>
      </c>
      <c r="I395" s="2" t="s">
        <v>5092</v>
      </c>
      <c r="J395" s="2" t="s">
        <v>5093</v>
      </c>
      <c r="K395" s="2">
        <v>1.8806899999999999E-4</v>
      </c>
      <c r="L395" s="2" t="s">
        <v>35</v>
      </c>
      <c r="M395" s="4" t="s">
        <v>5094</v>
      </c>
    </row>
    <row r="396" spans="1:13">
      <c r="A396" s="2">
        <v>518</v>
      </c>
      <c r="B396" s="2" t="s">
        <v>5095</v>
      </c>
      <c r="C396" s="2">
        <v>8</v>
      </c>
      <c r="D396" s="2">
        <v>556</v>
      </c>
      <c r="E396" s="2">
        <v>58</v>
      </c>
      <c r="F396" s="2">
        <v>32441</v>
      </c>
      <c r="G396" s="2">
        <v>8.0478789380000002</v>
      </c>
      <c r="H396" s="3">
        <v>1.5E-5</v>
      </c>
      <c r="I396" s="2" t="s">
        <v>5096</v>
      </c>
      <c r="J396" s="2" t="s">
        <v>5097</v>
      </c>
      <c r="K396" s="2">
        <v>1.8907900000000001E-4</v>
      </c>
      <c r="L396" s="2" t="s">
        <v>35</v>
      </c>
      <c r="M396" s="4" t="s">
        <v>5098</v>
      </c>
    </row>
    <row r="397" spans="1:13">
      <c r="A397" s="2">
        <v>4717</v>
      </c>
      <c r="B397" s="2" t="s">
        <v>5099</v>
      </c>
      <c r="C397" s="2">
        <v>19</v>
      </c>
      <c r="D397" s="2">
        <v>556</v>
      </c>
      <c r="E397" s="2">
        <v>344</v>
      </c>
      <c r="F397" s="2">
        <v>32441</v>
      </c>
      <c r="G397" s="2">
        <v>3.2226608250000002</v>
      </c>
      <c r="H397" s="3">
        <v>1.5699999999999999E-5</v>
      </c>
      <c r="I397" s="2" t="s">
        <v>5100</v>
      </c>
      <c r="J397" s="2" t="s">
        <v>5101</v>
      </c>
      <c r="K397" s="2">
        <v>1.9672099999999999E-4</v>
      </c>
      <c r="L397" s="2" t="s">
        <v>35</v>
      </c>
      <c r="M397" s="4" t="s">
        <v>5102</v>
      </c>
    </row>
    <row r="398" spans="1:13">
      <c r="A398" s="2">
        <v>4715</v>
      </c>
      <c r="B398" s="2" t="s">
        <v>5103</v>
      </c>
      <c r="C398" s="2">
        <v>13</v>
      </c>
      <c r="D398" s="2">
        <v>556</v>
      </c>
      <c r="E398" s="2">
        <v>171</v>
      </c>
      <c r="F398" s="2">
        <v>32441</v>
      </c>
      <c r="G398" s="2">
        <v>4.43574614</v>
      </c>
      <c r="H398" s="3">
        <v>1.6099999999999998E-5</v>
      </c>
      <c r="I398" s="2" t="s">
        <v>5104</v>
      </c>
      <c r="J398" s="2" t="s">
        <v>5105</v>
      </c>
      <c r="K398" s="2">
        <v>2.0146199999999999E-4</v>
      </c>
      <c r="L398" s="2" t="s">
        <v>35</v>
      </c>
      <c r="M398" s="4" t="s">
        <v>5106</v>
      </c>
    </row>
    <row r="399" spans="1:13">
      <c r="A399" s="2">
        <v>1555</v>
      </c>
      <c r="B399" s="2" t="s">
        <v>5107</v>
      </c>
      <c r="C399" s="2">
        <v>9</v>
      </c>
      <c r="D399" s="2">
        <v>556</v>
      </c>
      <c r="E399" s="2">
        <v>78</v>
      </c>
      <c r="F399" s="2">
        <v>32441</v>
      </c>
      <c r="G399" s="2">
        <v>6.7323602659999997</v>
      </c>
      <c r="H399" s="3">
        <v>1.6399999999999999E-5</v>
      </c>
      <c r="I399" s="2" t="s">
        <v>5108</v>
      </c>
      <c r="J399" s="2" t="s">
        <v>5109</v>
      </c>
      <c r="K399" s="2">
        <v>2.04508E-4</v>
      </c>
      <c r="L399" s="2" t="s">
        <v>35</v>
      </c>
      <c r="M399" s="4" t="s">
        <v>5110</v>
      </c>
    </row>
    <row r="400" spans="1:13">
      <c r="A400" s="2">
        <v>1141</v>
      </c>
      <c r="B400" s="2" t="s">
        <v>5111</v>
      </c>
      <c r="C400" s="2">
        <v>6</v>
      </c>
      <c r="D400" s="2">
        <v>556</v>
      </c>
      <c r="E400" s="2">
        <v>27</v>
      </c>
      <c r="F400" s="2">
        <v>32441</v>
      </c>
      <c r="G400" s="2">
        <v>12.966027179999999</v>
      </c>
      <c r="H400" s="3">
        <v>1.6799999999999998E-5</v>
      </c>
      <c r="I400" s="2" t="s">
        <v>5112</v>
      </c>
      <c r="J400" s="2" t="s">
        <v>5113</v>
      </c>
      <c r="K400" s="2">
        <v>2.08383E-4</v>
      </c>
      <c r="L400" s="2" t="s">
        <v>35</v>
      </c>
      <c r="M400" s="4" t="s">
        <v>5114</v>
      </c>
    </row>
    <row r="401" spans="1:13">
      <c r="A401" s="2">
        <v>1729</v>
      </c>
      <c r="B401" s="2" t="s">
        <v>5115</v>
      </c>
      <c r="C401" s="2">
        <v>20</v>
      </c>
      <c r="D401" s="2">
        <v>556</v>
      </c>
      <c r="E401" s="2">
        <v>378</v>
      </c>
      <c r="F401" s="2">
        <v>32441</v>
      </c>
      <c r="G401" s="2">
        <v>3.0871493280000002</v>
      </c>
      <c r="H401" s="3">
        <v>1.7E-5</v>
      </c>
      <c r="I401" s="2" t="s">
        <v>5116</v>
      </c>
      <c r="J401" s="2" t="s">
        <v>5117</v>
      </c>
      <c r="K401" s="2">
        <v>2.1111200000000001E-4</v>
      </c>
      <c r="L401" s="2" t="s">
        <v>35</v>
      </c>
      <c r="M401" s="4" t="s">
        <v>5118</v>
      </c>
    </row>
    <row r="402" spans="1:13">
      <c r="A402" s="2">
        <v>3365</v>
      </c>
      <c r="B402" s="2" t="s">
        <v>5119</v>
      </c>
      <c r="C402" s="2">
        <v>7</v>
      </c>
      <c r="D402" s="2">
        <v>556</v>
      </c>
      <c r="E402" s="2">
        <v>42</v>
      </c>
      <c r="F402" s="2">
        <v>32441</v>
      </c>
      <c r="G402" s="2">
        <v>9.7245203839999999</v>
      </c>
      <c r="H402" s="3">
        <v>1.73E-5</v>
      </c>
      <c r="I402" s="2" t="s">
        <v>5120</v>
      </c>
      <c r="J402" s="2" t="s">
        <v>5121</v>
      </c>
      <c r="K402" s="2">
        <v>2.1322999999999999E-4</v>
      </c>
      <c r="L402" s="2" t="s">
        <v>35</v>
      </c>
      <c r="M402" s="4" t="s">
        <v>5122</v>
      </c>
    </row>
    <row r="403" spans="1:13">
      <c r="A403" s="2">
        <v>3966</v>
      </c>
      <c r="B403" s="2" t="s">
        <v>5123</v>
      </c>
      <c r="C403" s="2">
        <v>7</v>
      </c>
      <c r="D403" s="2">
        <v>556</v>
      </c>
      <c r="E403" s="2">
        <v>42</v>
      </c>
      <c r="F403" s="2">
        <v>32441</v>
      </c>
      <c r="G403" s="2">
        <v>9.7245203839999999</v>
      </c>
      <c r="H403" s="3">
        <v>1.73E-5</v>
      </c>
      <c r="I403" s="2" t="s">
        <v>5124</v>
      </c>
      <c r="J403" s="2" t="s">
        <v>5125</v>
      </c>
      <c r="K403" s="2">
        <v>2.1322999999999999E-4</v>
      </c>
      <c r="L403" s="2" t="s">
        <v>35</v>
      </c>
      <c r="M403" s="4" t="s">
        <v>5126</v>
      </c>
    </row>
    <row r="404" spans="1:13">
      <c r="A404" s="2">
        <v>4095</v>
      </c>
      <c r="B404" s="2" t="s">
        <v>5127</v>
      </c>
      <c r="C404" s="2">
        <v>13</v>
      </c>
      <c r="D404" s="2">
        <v>556</v>
      </c>
      <c r="E404" s="2">
        <v>174</v>
      </c>
      <c r="F404" s="2">
        <v>32441</v>
      </c>
      <c r="G404" s="2">
        <v>4.3592677579999997</v>
      </c>
      <c r="H404" s="3">
        <v>1.91E-5</v>
      </c>
      <c r="I404" s="2" t="s">
        <v>5128</v>
      </c>
      <c r="J404" s="2" t="s">
        <v>5129</v>
      </c>
      <c r="K404" s="2">
        <v>2.3548899999999999E-4</v>
      </c>
      <c r="L404" s="2" t="s">
        <v>35</v>
      </c>
      <c r="M404" s="4" t="s">
        <v>5130</v>
      </c>
    </row>
    <row r="405" spans="1:13">
      <c r="A405" s="2">
        <v>598</v>
      </c>
      <c r="B405" s="2" t="s">
        <v>5131</v>
      </c>
      <c r="C405" s="2">
        <v>7</v>
      </c>
      <c r="D405" s="2">
        <v>556</v>
      </c>
      <c r="E405" s="2">
        <v>43</v>
      </c>
      <c r="F405" s="2">
        <v>32441</v>
      </c>
      <c r="G405" s="2">
        <v>9.4983687470000007</v>
      </c>
      <c r="H405" s="3">
        <v>1.98E-5</v>
      </c>
      <c r="I405" s="2" t="s">
        <v>5132</v>
      </c>
      <c r="J405" s="2" t="s">
        <v>5133</v>
      </c>
      <c r="K405" s="2">
        <v>2.4310600000000001E-4</v>
      </c>
      <c r="L405" s="2" t="s">
        <v>35</v>
      </c>
      <c r="M405" s="4" t="s">
        <v>5134</v>
      </c>
    </row>
    <row r="406" spans="1:13">
      <c r="A406" s="2">
        <v>2205</v>
      </c>
      <c r="B406" s="2" t="s">
        <v>5135</v>
      </c>
      <c r="C406" s="2">
        <v>12</v>
      </c>
      <c r="D406" s="2">
        <v>556</v>
      </c>
      <c r="E406" s="2">
        <v>149</v>
      </c>
      <c r="F406" s="2">
        <v>32441</v>
      </c>
      <c r="G406" s="2">
        <v>4.6990970980000002</v>
      </c>
      <c r="H406" s="3">
        <v>2.0000000000000002E-5</v>
      </c>
      <c r="I406" s="2" t="s">
        <v>5136</v>
      </c>
      <c r="J406" s="2" t="s">
        <v>5137</v>
      </c>
      <c r="K406" s="2">
        <v>2.4429699999999998E-4</v>
      </c>
      <c r="L406" s="2" t="s">
        <v>35</v>
      </c>
      <c r="M406" s="4" t="s">
        <v>5138</v>
      </c>
    </row>
    <row r="407" spans="1:13">
      <c r="A407" s="2">
        <v>619</v>
      </c>
      <c r="B407" s="2" t="s">
        <v>5139</v>
      </c>
      <c r="C407" s="2">
        <v>6</v>
      </c>
      <c r="D407" s="2">
        <v>556</v>
      </c>
      <c r="E407" s="2">
        <v>28</v>
      </c>
      <c r="F407" s="2">
        <v>32441</v>
      </c>
      <c r="G407" s="2">
        <v>12.50295478</v>
      </c>
      <c r="H407" s="3">
        <v>2.0100000000000001E-5</v>
      </c>
      <c r="I407" s="2" t="s">
        <v>5140</v>
      </c>
      <c r="J407" s="2" t="s">
        <v>5141</v>
      </c>
      <c r="K407" s="2">
        <v>2.4497100000000002E-4</v>
      </c>
      <c r="L407" s="2" t="s">
        <v>35</v>
      </c>
      <c r="M407" s="4" t="s">
        <v>5142</v>
      </c>
    </row>
    <row r="408" spans="1:13">
      <c r="A408" s="2">
        <v>286</v>
      </c>
      <c r="B408" s="2" t="s">
        <v>5143</v>
      </c>
      <c r="C408" s="2">
        <v>5</v>
      </c>
      <c r="D408" s="2">
        <v>556</v>
      </c>
      <c r="E408" s="2">
        <v>16</v>
      </c>
      <c r="F408" s="2">
        <v>32441</v>
      </c>
      <c r="G408" s="2">
        <v>18.233475720000001</v>
      </c>
      <c r="H408" s="3">
        <v>2.1699999999999999E-5</v>
      </c>
      <c r="I408" s="2" t="s">
        <v>5144</v>
      </c>
      <c r="J408" s="2" t="s">
        <v>5145</v>
      </c>
      <c r="K408" s="2">
        <v>2.6378000000000003E-4</v>
      </c>
      <c r="L408" s="2" t="s">
        <v>35</v>
      </c>
      <c r="M408" s="4" t="s">
        <v>5146</v>
      </c>
    </row>
    <row r="409" spans="1:13">
      <c r="A409" s="2">
        <v>2019</v>
      </c>
      <c r="B409" s="2" t="s">
        <v>5147</v>
      </c>
      <c r="C409" s="2">
        <v>5</v>
      </c>
      <c r="D409" s="2">
        <v>556</v>
      </c>
      <c r="E409" s="2">
        <v>16</v>
      </c>
      <c r="F409" s="2">
        <v>32441</v>
      </c>
      <c r="G409" s="2">
        <v>18.233475720000001</v>
      </c>
      <c r="H409" s="3">
        <v>2.1699999999999999E-5</v>
      </c>
      <c r="I409" s="2" t="s">
        <v>5148</v>
      </c>
      <c r="J409" s="2" t="s">
        <v>5149</v>
      </c>
      <c r="K409" s="2">
        <v>2.6378000000000003E-4</v>
      </c>
      <c r="L409" s="2" t="s">
        <v>35</v>
      </c>
      <c r="M409" s="4" t="s">
        <v>5150</v>
      </c>
    </row>
    <row r="410" spans="1:13">
      <c r="A410" s="2">
        <v>1677</v>
      </c>
      <c r="B410" s="2" t="s">
        <v>5151</v>
      </c>
      <c r="C410" s="2">
        <v>13</v>
      </c>
      <c r="D410" s="2">
        <v>556</v>
      </c>
      <c r="E410" s="2">
        <v>177</v>
      </c>
      <c r="F410" s="2">
        <v>32441</v>
      </c>
      <c r="G410" s="2">
        <v>4.2853818639999997</v>
      </c>
      <c r="H410" s="3">
        <v>2.26E-5</v>
      </c>
      <c r="I410" s="2" t="s">
        <v>5152</v>
      </c>
      <c r="J410" s="2" t="s">
        <v>5153</v>
      </c>
      <c r="K410" s="2">
        <v>2.7331300000000002E-4</v>
      </c>
      <c r="L410" s="2" t="s">
        <v>35</v>
      </c>
      <c r="M410" s="4" t="s">
        <v>5154</v>
      </c>
    </row>
    <row r="411" spans="1:13">
      <c r="A411" s="2">
        <v>2890</v>
      </c>
      <c r="B411" s="2" t="s">
        <v>5155</v>
      </c>
      <c r="C411" s="2">
        <v>7</v>
      </c>
      <c r="D411" s="2">
        <v>556</v>
      </c>
      <c r="E411" s="2">
        <v>44</v>
      </c>
      <c r="F411" s="2">
        <v>32441</v>
      </c>
      <c r="G411" s="2">
        <v>9.2824967300000001</v>
      </c>
      <c r="H411" s="3">
        <v>2.26E-5</v>
      </c>
      <c r="I411" s="2" t="s">
        <v>5156</v>
      </c>
      <c r="J411" s="2" t="s">
        <v>5157</v>
      </c>
      <c r="K411" s="2">
        <v>2.7331300000000002E-4</v>
      </c>
      <c r="L411" s="2" t="s">
        <v>35</v>
      </c>
      <c r="M411" s="4" t="s">
        <v>5158</v>
      </c>
    </row>
    <row r="412" spans="1:13">
      <c r="A412" s="2">
        <v>3257</v>
      </c>
      <c r="B412" s="2" t="s">
        <v>5159</v>
      </c>
      <c r="C412" s="2">
        <v>21</v>
      </c>
      <c r="D412" s="2">
        <v>556</v>
      </c>
      <c r="E412" s="2">
        <v>419</v>
      </c>
      <c r="F412" s="2">
        <v>32441</v>
      </c>
      <c r="G412" s="2">
        <v>2.924318779</v>
      </c>
      <c r="H412" s="3">
        <v>2.27E-5</v>
      </c>
      <c r="I412" s="2" t="s">
        <v>5160</v>
      </c>
      <c r="J412" s="2" t="s">
        <v>5161</v>
      </c>
      <c r="K412" s="2">
        <v>2.7331300000000002E-4</v>
      </c>
      <c r="L412" s="2" t="s">
        <v>35</v>
      </c>
      <c r="M412" s="4" t="s">
        <v>5162</v>
      </c>
    </row>
    <row r="413" spans="1:13">
      <c r="A413" s="2">
        <v>3762</v>
      </c>
      <c r="B413" s="2" t="s">
        <v>5163</v>
      </c>
      <c r="C413" s="2">
        <v>18</v>
      </c>
      <c r="D413" s="2">
        <v>556</v>
      </c>
      <c r="E413" s="2">
        <v>323</v>
      </c>
      <c r="F413" s="2">
        <v>32441</v>
      </c>
      <c r="G413" s="2">
        <v>3.2515424190000002</v>
      </c>
      <c r="H413" s="3">
        <v>2.34E-5</v>
      </c>
      <c r="I413" s="2" t="s">
        <v>5164</v>
      </c>
      <c r="J413" s="2" t="s">
        <v>5165</v>
      </c>
      <c r="K413" s="2">
        <v>2.80859E-4</v>
      </c>
      <c r="L413" s="2" t="s">
        <v>35</v>
      </c>
      <c r="M413" s="4" t="s">
        <v>5166</v>
      </c>
    </row>
    <row r="414" spans="1:13">
      <c r="A414" s="2">
        <v>2572</v>
      </c>
      <c r="B414" s="2" t="s">
        <v>5167</v>
      </c>
      <c r="C414" s="2">
        <v>9</v>
      </c>
      <c r="D414" s="2">
        <v>556</v>
      </c>
      <c r="E414" s="2">
        <v>82</v>
      </c>
      <c r="F414" s="2">
        <v>32441</v>
      </c>
      <c r="G414" s="2">
        <v>6.4039524480000001</v>
      </c>
      <c r="H414" s="3">
        <v>2.3600000000000001E-5</v>
      </c>
      <c r="I414" s="2" t="s">
        <v>5168</v>
      </c>
      <c r="J414" s="2" t="s">
        <v>5169</v>
      </c>
      <c r="K414" s="2">
        <v>2.8333399999999999E-4</v>
      </c>
      <c r="L414" s="2" t="s">
        <v>35</v>
      </c>
      <c r="M414" s="4" t="s">
        <v>5170</v>
      </c>
    </row>
    <row r="415" spans="1:13">
      <c r="A415" s="2">
        <v>4677</v>
      </c>
      <c r="B415" s="2" t="s">
        <v>5171</v>
      </c>
      <c r="C415" s="2">
        <v>23</v>
      </c>
      <c r="D415" s="2">
        <v>556</v>
      </c>
      <c r="E415" s="2">
        <v>489</v>
      </c>
      <c r="F415" s="2">
        <v>32441</v>
      </c>
      <c r="G415" s="2">
        <v>2.7443431760000001</v>
      </c>
      <c r="H415" s="3">
        <v>2.44E-5</v>
      </c>
      <c r="I415" s="2" t="s">
        <v>5172</v>
      </c>
      <c r="J415" s="2" t="s">
        <v>5173</v>
      </c>
      <c r="K415" s="2">
        <v>2.9139200000000002E-4</v>
      </c>
      <c r="L415" s="2" t="s">
        <v>35</v>
      </c>
      <c r="M415" s="4" t="s">
        <v>5174</v>
      </c>
    </row>
    <row r="416" spans="1:13">
      <c r="A416" s="2">
        <v>1588</v>
      </c>
      <c r="B416" s="2" t="s">
        <v>5175</v>
      </c>
      <c r="C416" s="2">
        <v>22</v>
      </c>
      <c r="D416" s="2">
        <v>556</v>
      </c>
      <c r="E416" s="2">
        <v>456</v>
      </c>
      <c r="F416" s="2">
        <v>32441</v>
      </c>
      <c r="G416" s="2">
        <v>2.8149927429999999</v>
      </c>
      <c r="H416" s="3">
        <v>2.5299999999999998E-5</v>
      </c>
      <c r="I416" s="2" t="s">
        <v>5176</v>
      </c>
      <c r="J416" s="2" t="s">
        <v>5177</v>
      </c>
      <c r="K416" s="2">
        <v>3.0198099999999999E-4</v>
      </c>
      <c r="L416" s="2" t="s">
        <v>35</v>
      </c>
      <c r="M416" s="4" t="s">
        <v>5178</v>
      </c>
    </row>
    <row r="417" spans="1:13">
      <c r="A417" s="2">
        <v>2805</v>
      </c>
      <c r="B417" s="2" t="s">
        <v>5179</v>
      </c>
      <c r="C417" s="2">
        <v>11</v>
      </c>
      <c r="D417" s="2">
        <v>556</v>
      </c>
      <c r="E417" s="2">
        <v>129</v>
      </c>
      <c r="F417" s="2">
        <v>32441</v>
      </c>
      <c r="G417" s="2">
        <v>4.9753360100000004</v>
      </c>
      <c r="H417" s="3">
        <v>2.6999999999999999E-5</v>
      </c>
      <c r="I417" s="2" t="s">
        <v>5180</v>
      </c>
      <c r="J417" s="2" t="s">
        <v>5181</v>
      </c>
      <c r="K417" s="2">
        <v>3.2137099999999998E-4</v>
      </c>
      <c r="L417" s="2" t="s">
        <v>35</v>
      </c>
      <c r="M417" s="4" t="s">
        <v>5182</v>
      </c>
    </row>
    <row r="418" spans="1:13">
      <c r="A418" s="2">
        <v>283</v>
      </c>
      <c r="B418" s="2" t="s">
        <v>5183</v>
      </c>
      <c r="C418" s="2">
        <v>5</v>
      </c>
      <c r="D418" s="2">
        <v>556</v>
      </c>
      <c r="E418" s="2">
        <v>17</v>
      </c>
      <c r="F418" s="2">
        <v>32441</v>
      </c>
      <c r="G418" s="2">
        <v>17.16091832</v>
      </c>
      <c r="H418" s="3">
        <v>2.7699999999999999E-5</v>
      </c>
      <c r="I418" s="2" t="s">
        <v>5184</v>
      </c>
      <c r="J418" s="2" t="s">
        <v>5185</v>
      </c>
      <c r="K418" s="2">
        <v>3.2745099999999998E-4</v>
      </c>
      <c r="L418" s="2" t="s">
        <v>35</v>
      </c>
      <c r="M418" s="4" t="s">
        <v>5186</v>
      </c>
    </row>
    <row r="419" spans="1:13">
      <c r="A419" s="2">
        <v>1572</v>
      </c>
      <c r="B419" s="2" t="s">
        <v>5187</v>
      </c>
      <c r="C419" s="2">
        <v>5</v>
      </c>
      <c r="D419" s="2">
        <v>556</v>
      </c>
      <c r="E419" s="2">
        <v>17</v>
      </c>
      <c r="F419" s="2">
        <v>32441</v>
      </c>
      <c r="G419" s="2">
        <v>17.16091832</v>
      </c>
      <c r="H419" s="3">
        <v>2.7699999999999999E-5</v>
      </c>
      <c r="I419" s="2" t="s">
        <v>5188</v>
      </c>
      <c r="J419" s="2" t="s">
        <v>5189</v>
      </c>
      <c r="K419" s="2">
        <v>3.2745099999999998E-4</v>
      </c>
      <c r="L419" s="2" t="s">
        <v>35</v>
      </c>
      <c r="M419" s="4" t="s">
        <v>5190</v>
      </c>
    </row>
    <row r="420" spans="1:13">
      <c r="A420" s="2">
        <v>4635</v>
      </c>
      <c r="B420" s="2" t="s">
        <v>5191</v>
      </c>
      <c r="C420" s="2">
        <v>16</v>
      </c>
      <c r="D420" s="2">
        <v>556</v>
      </c>
      <c r="E420" s="2">
        <v>266</v>
      </c>
      <c r="F420" s="2">
        <v>32441</v>
      </c>
      <c r="G420" s="2">
        <v>3.5096013410000002</v>
      </c>
      <c r="H420" s="3">
        <v>2.7699999999999999E-5</v>
      </c>
      <c r="I420" s="2" t="s">
        <v>5192</v>
      </c>
      <c r="J420" s="2" t="s">
        <v>5193</v>
      </c>
      <c r="K420" s="2">
        <v>3.2745099999999998E-4</v>
      </c>
      <c r="L420" s="2" t="s">
        <v>35</v>
      </c>
      <c r="M420" s="4" t="s">
        <v>5194</v>
      </c>
    </row>
    <row r="421" spans="1:13">
      <c r="A421" s="2">
        <v>3326</v>
      </c>
      <c r="B421" s="2" t="s">
        <v>5195</v>
      </c>
      <c r="C421" s="2">
        <v>6</v>
      </c>
      <c r="D421" s="2">
        <v>556</v>
      </c>
      <c r="E421" s="2">
        <v>30</v>
      </c>
      <c r="F421" s="2">
        <v>32441</v>
      </c>
      <c r="G421" s="2">
        <v>11.66942446</v>
      </c>
      <c r="H421" s="3">
        <v>2.8200000000000001E-5</v>
      </c>
      <c r="I421" s="2" t="s">
        <v>5196</v>
      </c>
      <c r="J421" s="2" t="s">
        <v>5197</v>
      </c>
      <c r="K421" s="2">
        <v>3.3285200000000002E-4</v>
      </c>
      <c r="L421" s="2" t="s">
        <v>35</v>
      </c>
      <c r="M421" s="4" t="s">
        <v>5198</v>
      </c>
    </row>
    <row r="422" spans="1:13">
      <c r="A422" s="2">
        <v>1679</v>
      </c>
      <c r="B422" s="2" t="s">
        <v>5199</v>
      </c>
      <c r="C422" s="2">
        <v>8</v>
      </c>
      <c r="D422" s="2">
        <v>556</v>
      </c>
      <c r="E422" s="2">
        <v>64</v>
      </c>
      <c r="F422" s="2">
        <v>32441</v>
      </c>
      <c r="G422" s="2">
        <v>7.2933902880000003</v>
      </c>
      <c r="H422" s="3">
        <v>2.87E-5</v>
      </c>
      <c r="I422" s="2" t="s">
        <v>5200</v>
      </c>
      <c r="J422" s="2" t="s">
        <v>5201</v>
      </c>
      <c r="K422" s="2">
        <v>3.3756200000000002E-4</v>
      </c>
      <c r="L422" s="2" t="s">
        <v>35</v>
      </c>
      <c r="M422" s="4" t="s">
        <v>5202</v>
      </c>
    </row>
    <row r="423" spans="1:13">
      <c r="A423" s="2">
        <v>1283</v>
      </c>
      <c r="B423" s="2" t="s">
        <v>5203</v>
      </c>
      <c r="C423" s="2">
        <v>7</v>
      </c>
      <c r="D423" s="2">
        <v>556</v>
      </c>
      <c r="E423" s="2">
        <v>46</v>
      </c>
      <c r="F423" s="2">
        <v>32441</v>
      </c>
      <c r="G423" s="2">
        <v>8.8789099159999996</v>
      </c>
      <c r="H423" s="3">
        <v>2.9300000000000001E-5</v>
      </c>
      <c r="I423" s="2" t="s">
        <v>5204</v>
      </c>
      <c r="J423" s="2" t="s">
        <v>5205</v>
      </c>
      <c r="K423" s="2">
        <v>3.43245E-4</v>
      </c>
      <c r="L423" s="2" t="s">
        <v>35</v>
      </c>
      <c r="M423" s="4" t="s">
        <v>5206</v>
      </c>
    </row>
    <row r="424" spans="1:13">
      <c r="A424" s="2">
        <v>3506</v>
      </c>
      <c r="B424" s="2" t="s">
        <v>5207</v>
      </c>
      <c r="C424" s="2">
        <v>14</v>
      </c>
      <c r="D424" s="2">
        <v>556</v>
      </c>
      <c r="E424" s="2">
        <v>210</v>
      </c>
      <c r="F424" s="2">
        <v>32441</v>
      </c>
      <c r="G424" s="2">
        <v>3.8898081530000002</v>
      </c>
      <c r="H424" s="3">
        <v>3.04E-5</v>
      </c>
      <c r="I424" s="2" t="s">
        <v>5208</v>
      </c>
      <c r="J424" s="2" t="s">
        <v>5209</v>
      </c>
      <c r="K424" s="2">
        <v>3.5570699999999997E-4</v>
      </c>
      <c r="L424" s="2" t="s">
        <v>35</v>
      </c>
      <c r="M424" s="4" t="s">
        <v>5210</v>
      </c>
    </row>
    <row r="425" spans="1:13">
      <c r="A425" s="2">
        <v>1533</v>
      </c>
      <c r="B425" s="2" t="s">
        <v>5211</v>
      </c>
      <c r="C425" s="2">
        <v>9</v>
      </c>
      <c r="D425" s="2">
        <v>556</v>
      </c>
      <c r="E425" s="2">
        <v>85</v>
      </c>
      <c r="F425" s="2">
        <v>32441</v>
      </c>
      <c r="G425" s="2">
        <v>6.1779305969999996</v>
      </c>
      <c r="H425" s="3">
        <v>3.0700000000000001E-5</v>
      </c>
      <c r="I425" s="2" t="s">
        <v>5212</v>
      </c>
      <c r="J425" s="2" t="s">
        <v>5213</v>
      </c>
      <c r="K425" s="2">
        <v>3.57843E-4</v>
      </c>
      <c r="L425" s="2" t="s">
        <v>35</v>
      </c>
      <c r="M425" s="4" t="s">
        <v>5214</v>
      </c>
    </row>
    <row r="426" spans="1:13">
      <c r="A426" s="2">
        <v>3004</v>
      </c>
      <c r="B426" s="2" t="s">
        <v>5215</v>
      </c>
      <c r="C426" s="2">
        <v>32</v>
      </c>
      <c r="D426" s="2">
        <v>556</v>
      </c>
      <c r="E426" s="2">
        <v>830</v>
      </c>
      <c r="F426" s="2">
        <v>32441</v>
      </c>
      <c r="G426" s="2">
        <v>2.2495276070000001</v>
      </c>
      <c r="H426" s="3">
        <v>3.1900000000000003E-5</v>
      </c>
      <c r="I426" s="2" t="s">
        <v>5216</v>
      </c>
      <c r="J426" s="2" t="s">
        <v>5217</v>
      </c>
      <c r="K426" s="2">
        <v>3.7103100000000002E-4</v>
      </c>
      <c r="L426" s="2" t="s">
        <v>35</v>
      </c>
      <c r="M426" s="4" t="s">
        <v>5218</v>
      </c>
    </row>
    <row r="427" spans="1:13">
      <c r="A427" s="2">
        <v>2854</v>
      </c>
      <c r="B427" s="2" t="s">
        <v>5219</v>
      </c>
      <c r="C427" s="2">
        <v>13</v>
      </c>
      <c r="D427" s="2">
        <v>556</v>
      </c>
      <c r="E427" s="2">
        <v>184</v>
      </c>
      <c r="F427" s="2">
        <v>32441</v>
      </c>
      <c r="G427" s="2">
        <v>4.1223510320000001</v>
      </c>
      <c r="H427" s="3">
        <v>3.3099999999999998E-5</v>
      </c>
      <c r="I427" s="2" t="s">
        <v>5220</v>
      </c>
      <c r="J427" s="2" t="s">
        <v>5221</v>
      </c>
      <c r="K427" s="2">
        <v>3.8395399999999999E-4</v>
      </c>
      <c r="L427" s="2" t="s">
        <v>35</v>
      </c>
      <c r="M427" s="4" t="s">
        <v>5222</v>
      </c>
    </row>
    <row r="428" spans="1:13">
      <c r="A428" s="2">
        <v>4199</v>
      </c>
      <c r="B428" s="2" t="s">
        <v>5223</v>
      </c>
      <c r="C428" s="2">
        <v>7</v>
      </c>
      <c r="D428" s="2">
        <v>556</v>
      </c>
      <c r="E428" s="2">
        <v>47</v>
      </c>
      <c r="F428" s="2">
        <v>32441</v>
      </c>
      <c r="G428" s="2">
        <v>8.6899969390000003</v>
      </c>
      <c r="H428" s="3">
        <v>3.3099999999999998E-5</v>
      </c>
      <c r="I428" s="2" t="s">
        <v>5224</v>
      </c>
      <c r="J428" s="2" t="s">
        <v>5225</v>
      </c>
      <c r="K428" s="2">
        <v>3.8395399999999999E-4</v>
      </c>
      <c r="L428" s="2" t="s">
        <v>35</v>
      </c>
      <c r="M428" s="4" t="s">
        <v>5226</v>
      </c>
    </row>
    <row r="429" spans="1:13">
      <c r="A429" s="2">
        <v>4521</v>
      </c>
      <c r="B429" s="2" t="s">
        <v>5227</v>
      </c>
      <c r="C429" s="2">
        <v>16</v>
      </c>
      <c r="D429" s="2">
        <v>556</v>
      </c>
      <c r="E429" s="2">
        <v>271</v>
      </c>
      <c r="F429" s="2">
        <v>32441</v>
      </c>
      <c r="G429" s="2">
        <v>3.444848549</v>
      </c>
      <c r="H429" s="3">
        <v>3.4199999999999998E-5</v>
      </c>
      <c r="I429" s="2" t="s">
        <v>5228</v>
      </c>
      <c r="J429" s="2" t="s">
        <v>5229</v>
      </c>
      <c r="K429" s="2">
        <v>3.9536699999999998E-4</v>
      </c>
      <c r="L429" s="2" t="s">
        <v>35</v>
      </c>
      <c r="M429" s="4" t="s">
        <v>5230</v>
      </c>
    </row>
    <row r="430" spans="1:13">
      <c r="A430" s="2">
        <v>2184</v>
      </c>
      <c r="B430" s="2" t="s">
        <v>5231</v>
      </c>
      <c r="C430" s="2">
        <v>8</v>
      </c>
      <c r="D430" s="2">
        <v>556</v>
      </c>
      <c r="E430" s="2">
        <v>66</v>
      </c>
      <c r="F430" s="2">
        <v>32441</v>
      </c>
      <c r="G430" s="2">
        <v>7.0723784609999996</v>
      </c>
      <c r="H430" s="3">
        <v>3.5099999999999999E-5</v>
      </c>
      <c r="I430" s="2" t="s">
        <v>5232</v>
      </c>
      <c r="J430" s="2" t="s">
        <v>5233</v>
      </c>
      <c r="K430" s="2">
        <v>4.0474599999999999E-4</v>
      </c>
      <c r="L430" s="2" t="s">
        <v>35</v>
      </c>
      <c r="M430" s="4" t="s">
        <v>5234</v>
      </c>
    </row>
    <row r="431" spans="1:13">
      <c r="A431" s="2">
        <v>92</v>
      </c>
      <c r="B431" s="2" t="s">
        <v>5235</v>
      </c>
      <c r="C431" s="2">
        <v>16</v>
      </c>
      <c r="D431" s="2">
        <v>556</v>
      </c>
      <c r="E431" s="2">
        <v>272</v>
      </c>
      <c r="F431" s="2">
        <v>32441</v>
      </c>
      <c r="G431" s="2">
        <v>3.4321836650000002</v>
      </c>
      <c r="H431" s="3">
        <v>3.57E-5</v>
      </c>
      <c r="I431" s="2" t="s">
        <v>5236</v>
      </c>
      <c r="J431" s="2" t="s">
        <v>5237</v>
      </c>
      <c r="K431" s="2">
        <v>4.1025300000000002E-4</v>
      </c>
      <c r="L431" s="2" t="s">
        <v>35</v>
      </c>
      <c r="M431" s="4" t="s">
        <v>5238</v>
      </c>
    </row>
    <row r="432" spans="1:13">
      <c r="A432" s="2">
        <v>3886</v>
      </c>
      <c r="B432" s="2" t="s">
        <v>5239</v>
      </c>
      <c r="C432" s="2">
        <v>21</v>
      </c>
      <c r="D432" s="2">
        <v>556</v>
      </c>
      <c r="E432" s="2">
        <v>435</v>
      </c>
      <c r="F432" s="2">
        <v>32441</v>
      </c>
      <c r="G432" s="2">
        <v>2.816757628</v>
      </c>
      <c r="H432" s="3">
        <v>3.8099999999999998E-5</v>
      </c>
      <c r="I432" s="2" t="s">
        <v>5240</v>
      </c>
      <c r="J432" s="2" t="s">
        <v>5241</v>
      </c>
      <c r="K432" s="2">
        <v>4.3729100000000003E-4</v>
      </c>
      <c r="L432" s="2" t="s">
        <v>35</v>
      </c>
      <c r="M432" s="4" t="s">
        <v>5242</v>
      </c>
    </row>
    <row r="433" spans="1:13">
      <c r="A433" s="2">
        <v>2278</v>
      </c>
      <c r="B433" s="2" t="s">
        <v>542</v>
      </c>
      <c r="C433" s="2">
        <v>9</v>
      </c>
      <c r="D433" s="2">
        <v>556</v>
      </c>
      <c r="E433" s="2">
        <v>88</v>
      </c>
      <c r="F433" s="2">
        <v>32441</v>
      </c>
      <c r="G433" s="2">
        <v>5.9673193260000001</v>
      </c>
      <c r="H433" s="3">
        <v>3.9400000000000002E-5</v>
      </c>
      <c r="I433" s="2" t="s">
        <v>5243</v>
      </c>
      <c r="J433" s="2" t="s">
        <v>5244</v>
      </c>
      <c r="K433" s="2">
        <v>4.5100099999999997E-4</v>
      </c>
      <c r="L433" s="2" t="s">
        <v>35</v>
      </c>
      <c r="M433" s="4" t="s">
        <v>5245</v>
      </c>
    </row>
    <row r="434" spans="1:13">
      <c r="A434" s="2">
        <v>4630</v>
      </c>
      <c r="B434" s="2" t="s">
        <v>5246</v>
      </c>
      <c r="C434" s="2">
        <v>18</v>
      </c>
      <c r="D434" s="2">
        <v>556</v>
      </c>
      <c r="E434" s="2">
        <v>337</v>
      </c>
      <c r="F434" s="2">
        <v>32441</v>
      </c>
      <c r="G434" s="2">
        <v>3.1164635060000001</v>
      </c>
      <c r="H434" s="3">
        <v>3.9499999999999998E-5</v>
      </c>
      <c r="I434" s="2" t="s">
        <v>5247</v>
      </c>
      <c r="J434" s="2" t="s">
        <v>5248</v>
      </c>
      <c r="K434" s="2">
        <v>4.5158299999999998E-4</v>
      </c>
      <c r="L434" s="2" t="s">
        <v>35</v>
      </c>
      <c r="M434" s="4" t="s">
        <v>5249</v>
      </c>
    </row>
    <row r="435" spans="1:13">
      <c r="A435" s="2">
        <v>4124</v>
      </c>
      <c r="B435" s="2" t="s">
        <v>5250</v>
      </c>
      <c r="C435" s="2">
        <v>8</v>
      </c>
      <c r="D435" s="2">
        <v>556</v>
      </c>
      <c r="E435" s="2">
        <v>68</v>
      </c>
      <c r="F435" s="2">
        <v>32441</v>
      </c>
      <c r="G435" s="2">
        <v>6.8643673300000003</v>
      </c>
      <c r="H435" s="3">
        <v>4.2599999999999999E-5</v>
      </c>
      <c r="I435" s="2" t="s">
        <v>5251</v>
      </c>
      <c r="J435" s="2" t="s">
        <v>5252</v>
      </c>
      <c r="K435" s="2">
        <v>4.8582399999999999E-4</v>
      </c>
      <c r="L435" s="2" t="s">
        <v>35</v>
      </c>
      <c r="M435" s="4" t="s">
        <v>5253</v>
      </c>
    </row>
    <row r="436" spans="1:13">
      <c r="A436" s="2">
        <v>3382</v>
      </c>
      <c r="B436" s="2" t="s">
        <v>5254</v>
      </c>
      <c r="C436" s="2">
        <v>5</v>
      </c>
      <c r="D436" s="2">
        <v>556</v>
      </c>
      <c r="E436" s="2">
        <v>19</v>
      </c>
      <c r="F436" s="2">
        <v>32441</v>
      </c>
      <c r="G436" s="2">
        <v>15.354505870000001</v>
      </c>
      <c r="H436" s="3">
        <v>4.35E-5</v>
      </c>
      <c r="I436" s="2" t="s">
        <v>5255</v>
      </c>
      <c r="J436" s="2" t="s">
        <v>5256</v>
      </c>
      <c r="K436" s="2">
        <v>4.93203E-4</v>
      </c>
      <c r="L436" s="2" t="s">
        <v>35</v>
      </c>
      <c r="M436" s="4" t="s">
        <v>5257</v>
      </c>
    </row>
    <row r="437" spans="1:13">
      <c r="A437" s="2">
        <v>3911</v>
      </c>
      <c r="B437" s="2" t="s">
        <v>5258</v>
      </c>
      <c r="C437" s="2">
        <v>5</v>
      </c>
      <c r="D437" s="2">
        <v>556</v>
      </c>
      <c r="E437" s="2">
        <v>19</v>
      </c>
      <c r="F437" s="2">
        <v>32441</v>
      </c>
      <c r="G437" s="2">
        <v>15.354505870000001</v>
      </c>
      <c r="H437" s="3">
        <v>4.35E-5</v>
      </c>
      <c r="I437" s="2" t="s">
        <v>5259</v>
      </c>
      <c r="J437" s="2" t="s">
        <v>5260</v>
      </c>
      <c r="K437" s="2">
        <v>4.93203E-4</v>
      </c>
      <c r="L437" s="2" t="s">
        <v>35</v>
      </c>
      <c r="M437" s="4" t="s">
        <v>5261</v>
      </c>
    </row>
    <row r="438" spans="1:13">
      <c r="A438" s="2">
        <v>4230</v>
      </c>
      <c r="B438" s="2" t="s">
        <v>5262</v>
      </c>
      <c r="C438" s="2">
        <v>11</v>
      </c>
      <c r="D438" s="2">
        <v>556</v>
      </c>
      <c r="E438" s="2">
        <v>137</v>
      </c>
      <c r="F438" s="2">
        <v>32441</v>
      </c>
      <c r="G438" s="2">
        <v>4.6848054399999999</v>
      </c>
      <c r="H438" s="3">
        <v>4.5099999999999998E-5</v>
      </c>
      <c r="I438" s="2" t="s">
        <v>5263</v>
      </c>
      <c r="J438" s="2" t="s">
        <v>5264</v>
      </c>
      <c r="K438" s="2">
        <v>5.1005099999999997E-4</v>
      </c>
      <c r="L438" s="2" t="s">
        <v>35</v>
      </c>
      <c r="M438" s="4" t="s">
        <v>5265</v>
      </c>
    </row>
    <row r="439" spans="1:13">
      <c r="A439" s="2">
        <v>804</v>
      </c>
      <c r="B439" s="2" t="s">
        <v>5266</v>
      </c>
      <c r="C439" s="2">
        <v>6</v>
      </c>
      <c r="D439" s="2">
        <v>556</v>
      </c>
      <c r="E439" s="2">
        <v>33</v>
      </c>
      <c r="F439" s="2">
        <v>32441</v>
      </c>
      <c r="G439" s="2">
        <v>10.608567689999999</v>
      </c>
      <c r="H439" s="3">
        <v>4.5300000000000003E-5</v>
      </c>
      <c r="I439" s="2" t="s">
        <v>5267</v>
      </c>
      <c r="J439" s="2" t="s">
        <v>5268</v>
      </c>
      <c r="K439" s="2">
        <v>5.1140099999999998E-4</v>
      </c>
      <c r="L439" s="2" t="s">
        <v>35</v>
      </c>
      <c r="M439" s="4" t="s">
        <v>5269</v>
      </c>
    </row>
    <row r="440" spans="1:13">
      <c r="A440" s="2">
        <v>547</v>
      </c>
      <c r="B440" s="2" t="s">
        <v>5270</v>
      </c>
      <c r="C440" s="2">
        <v>6</v>
      </c>
      <c r="D440" s="2">
        <v>556</v>
      </c>
      <c r="E440" s="2">
        <v>34</v>
      </c>
      <c r="F440" s="2">
        <v>32441</v>
      </c>
      <c r="G440" s="2">
        <v>10.29655099</v>
      </c>
      <c r="H440" s="3">
        <v>5.2599999999999998E-5</v>
      </c>
      <c r="I440" s="2" t="s">
        <v>5271</v>
      </c>
      <c r="J440" s="2" t="s">
        <v>5272</v>
      </c>
      <c r="K440" s="2">
        <v>5.9033499999999999E-4</v>
      </c>
      <c r="L440" s="2" t="s">
        <v>35</v>
      </c>
      <c r="M440" s="4" t="s">
        <v>5273</v>
      </c>
    </row>
    <row r="441" spans="1:13">
      <c r="A441" s="2">
        <v>568</v>
      </c>
      <c r="B441" s="2" t="s">
        <v>5274</v>
      </c>
      <c r="C441" s="2">
        <v>6</v>
      </c>
      <c r="D441" s="2">
        <v>556</v>
      </c>
      <c r="E441" s="2">
        <v>34</v>
      </c>
      <c r="F441" s="2">
        <v>32441</v>
      </c>
      <c r="G441" s="2">
        <v>10.29655099</v>
      </c>
      <c r="H441" s="3">
        <v>5.2599999999999998E-5</v>
      </c>
      <c r="I441" s="2" t="s">
        <v>5275</v>
      </c>
      <c r="J441" s="2" t="s">
        <v>5276</v>
      </c>
      <c r="K441" s="2">
        <v>5.9033499999999999E-4</v>
      </c>
      <c r="L441" s="2" t="s">
        <v>35</v>
      </c>
      <c r="M441" s="4" t="s">
        <v>5277</v>
      </c>
    </row>
    <row r="442" spans="1:13">
      <c r="A442" s="2">
        <v>1539</v>
      </c>
      <c r="B442" s="2" t="s">
        <v>5278</v>
      </c>
      <c r="C442" s="2">
        <v>13</v>
      </c>
      <c r="D442" s="2">
        <v>556</v>
      </c>
      <c r="E442" s="2">
        <v>194</v>
      </c>
      <c r="F442" s="2">
        <v>32441</v>
      </c>
      <c r="G442" s="2">
        <v>3.909858711</v>
      </c>
      <c r="H442" s="3">
        <v>5.52E-5</v>
      </c>
      <c r="I442" s="2" t="s">
        <v>5279</v>
      </c>
      <c r="J442" s="2" t="s">
        <v>5280</v>
      </c>
      <c r="K442" s="2">
        <v>6.1818599999999995E-4</v>
      </c>
      <c r="L442" s="2" t="s">
        <v>35</v>
      </c>
      <c r="M442" s="4" t="s">
        <v>5281</v>
      </c>
    </row>
    <row r="443" spans="1:13">
      <c r="A443" s="2">
        <v>697</v>
      </c>
      <c r="B443" s="2" t="s">
        <v>5282</v>
      </c>
      <c r="C443" s="2">
        <v>5</v>
      </c>
      <c r="D443" s="2">
        <v>556</v>
      </c>
      <c r="E443" s="2">
        <v>21</v>
      </c>
      <c r="F443" s="2">
        <v>32441</v>
      </c>
      <c r="G443" s="2">
        <v>13.892171980000001</v>
      </c>
      <c r="H443" s="3">
        <v>6.5500000000000006E-5</v>
      </c>
      <c r="I443" s="2" t="s">
        <v>5283</v>
      </c>
      <c r="J443" s="2" t="s">
        <v>5284</v>
      </c>
      <c r="K443" s="2">
        <v>7.3189399999999997E-4</v>
      </c>
      <c r="L443" s="2" t="s">
        <v>35</v>
      </c>
      <c r="M443" s="4" t="s">
        <v>5285</v>
      </c>
    </row>
    <row r="444" spans="1:13">
      <c r="A444" s="2">
        <v>3144</v>
      </c>
      <c r="B444" s="2" t="s">
        <v>5286</v>
      </c>
      <c r="C444" s="2">
        <v>7</v>
      </c>
      <c r="D444" s="2">
        <v>556</v>
      </c>
      <c r="E444" s="2">
        <v>53</v>
      </c>
      <c r="F444" s="2">
        <v>32441</v>
      </c>
      <c r="G444" s="2">
        <v>7.7062236999999998</v>
      </c>
      <c r="H444" s="3">
        <v>6.6199999999999996E-5</v>
      </c>
      <c r="I444" s="2" t="s">
        <v>5287</v>
      </c>
      <c r="J444" s="2" t="s">
        <v>5288</v>
      </c>
      <c r="K444" s="2">
        <v>7.3875000000000004E-4</v>
      </c>
      <c r="L444" s="2" t="s">
        <v>35</v>
      </c>
      <c r="M444" s="4" t="s">
        <v>5289</v>
      </c>
    </row>
    <row r="445" spans="1:13">
      <c r="A445" s="2">
        <v>281</v>
      </c>
      <c r="B445" s="2" t="s">
        <v>5290</v>
      </c>
      <c r="C445" s="2">
        <v>4</v>
      </c>
      <c r="D445" s="2">
        <v>556</v>
      </c>
      <c r="E445" s="2">
        <v>10</v>
      </c>
      <c r="F445" s="2">
        <v>32441</v>
      </c>
      <c r="G445" s="2">
        <v>23.33884892</v>
      </c>
      <c r="H445" s="3">
        <v>6.9800000000000003E-5</v>
      </c>
      <c r="I445" s="2" t="s">
        <v>5291</v>
      </c>
      <c r="J445" s="2" t="s">
        <v>5292</v>
      </c>
      <c r="K445" s="2">
        <v>7.7318500000000002E-4</v>
      </c>
      <c r="L445" s="2" t="s">
        <v>35</v>
      </c>
      <c r="M445" s="4" t="s">
        <v>5293</v>
      </c>
    </row>
    <row r="446" spans="1:13">
      <c r="A446" s="2">
        <v>2218</v>
      </c>
      <c r="B446" s="2" t="s">
        <v>5294</v>
      </c>
      <c r="C446" s="2">
        <v>4</v>
      </c>
      <c r="D446" s="2">
        <v>556</v>
      </c>
      <c r="E446" s="2">
        <v>10</v>
      </c>
      <c r="F446" s="2">
        <v>32441</v>
      </c>
      <c r="G446" s="2">
        <v>23.33884892</v>
      </c>
      <c r="H446" s="3">
        <v>6.9800000000000003E-5</v>
      </c>
      <c r="I446" s="2" t="s">
        <v>5295</v>
      </c>
      <c r="J446" s="2" t="s">
        <v>5296</v>
      </c>
      <c r="K446" s="2">
        <v>7.7318500000000002E-4</v>
      </c>
      <c r="L446" s="2" t="s">
        <v>35</v>
      </c>
      <c r="M446" s="4" t="s">
        <v>5297</v>
      </c>
    </row>
    <row r="447" spans="1:13">
      <c r="A447" s="2">
        <v>4003</v>
      </c>
      <c r="B447" s="2" t="s">
        <v>5298</v>
      </c>
      <c r="C447" s="2">
        <v>6</v>
      </c>
      <c r="D447" s="2">
        <v>556</v>
      </c>
      <c r="E447" s="2">
        <v>36</v>
      </c>
      <c r="F447" s="2">
        <v>32441</v>
      </c>
      <c r="G447" s="2">
        <v>9.7245203839999999</v>
      </c>
      <c r="H447" s="3">
        <v>6.9800000000000003E-5</v>
      </c>
      <c r="I447" s="2" t="s">
        <v>5299</v>
      </c>
      <c r="J447" s="2" t="s">
        <v>5300</v>
      </c>
      <c r="K447" s="2">
        <v>7.7318500000000002E-4</v>
      </c>
      <c r="L447" s="2" t="s">
        <v>35</v>
      </c>
      <c r="M447" s="4" t="s">
        <v>5301</v>
      </c>
    </row>
    <row r="448" spans="1:13">
      <c r="A448" s="2">
        <v>992</v>
      </c>
      <c r="B448" s="2" t="s">
        <v>5302</v>
      </c>
      <c r="C448" s="2">
        <v>8</v>
      </c>
      <c r="D448" s="2">
        <v>556</v>
      </c>
      <c r="E448" s="2">
        <v>74</v>
      </c>
      <c r="F448" s="2">
        <v>32441</v>
      </c>
      <c r="G448" s="2">
        <v>6.3077970060000004</v>
      </c>
      <c r="H448" s="3">
        <v>7.3800000000000005E-5</v>
      </c>
      <c r="I448" s="2" t="s">
        <v>5303</v>
      </c>
      <c r="J448" s="2" t="s">
        <v>5304</v>
      </c>
      <c r="K448" s="2">
        <v>8.1547800000000001E-4</v>
      </c>
      <c r="L448" s="2" t="s">
        <v>35</v>
      </c>
      <c r="M448" s="4" t="s">
        <v>5305</v>
      </c>
    </row>
    <row r="449" spans="1:13">
      <c r="A449" s="2">
        <v>1808</v>
      </c>
      <c r="B449" s="2" t="s">
        <v>5306</v>
      </c>
      <c r="C449" s="2">
        <v>10</v>
      </c>
      <c r="D449" s="2">
        <v>556</v>
      </c>
      <c r="E449" s="2">
        <v>121</v>
      </c>
      <c r="F449" s="2">
        <v>32441</v>
      </c>
      <c r="G449" s="2">
        <v>4.8220762229999998</v>
      </c>
      <c r="H449" s="3">
        <v>7.9400000000000006E-5</v>
      </c>
      <c r="I449" s="2" t="s">
        <v>5307</v>
      </c>
      <c r="J449" s="2" t="s">
        <v>5308</v>
      </c>
      <c r="K449" s="2">
        <v>8.7341399999999998E-4</v>
      </c>
      <c r="L449" s="2" t="s">
        <v>35</v>
      </c>
      <c r="M449" s="4" t="s">
        <v>5309</v>
      </c>
    </row>
    <row r="450" spans="1:13">
      <c r="A450" s="2">
        <v>3847</v>
      </c>
      <c r="B450" s="2" t="s">
        <v>5310</v>
      </c>
      <c r="C450" s="2">
        <v>5</v>
      </c>
      <c r="D450" s="2">
        <v>556</v>
      </c>
      <c r="E450" s="2">
        <v>22</v>
      </c>
      <c r="F450" s="2">
        <v>32441</v>
      </c>
      <c r="G450" s="2">
        <v>13.260709609999999</v>
      </c>
      <c r="H450" s="3">
        <v>7.9200000000000001E-5</v>
      </c>
      <c r="I450" s="2" t="s">
        <v>5311</v>
      </c>
      <c r="J450" s="2" t="s">
        <v>5312</v>
      </c>
      <c r="K450" s="2">
        <v>8.7341399999999998E-4</v>
      </c>
      <c r="L450" s="2" t="s">
        <v>35</v>
      </c>
      <c r="M450" s="4" t="s">
        <v>5313</v>
      </c>
    </row>
    <row r="451" spans="1:13">
      <c r="A451" s="2">
        <v>465</v>
      </c>
      <c r="B451" s="2" t="s">
        <v>5314</v>
      </c>
      <c r="C451" s="2">
        <v>6</v>
      </c>
      <c r="D451" s="2">
        <v>556</v>
      </c>
      <c r="E451" s="2">
        <v>37</v>
      </c>
      <c r="F451" s="2">
        <v>32441</v>
      </c>
      <c r="G451" s="2">
        <v>9.461695508</v>
      </c>
      <c r="H451" s="3">
        <v>8.0000000000000007E-5</v>
      </c>
      <c r="I451" s="2" t="s">
        <v>5315</v>
      </c>
      <c r="J451" s="2" t="s">
        <v>5316</v>
      </c>
      <c r="K451" s="2">
        <v>8.7769599999999997E-4</v>
      </c>
      <c r="L451" s="2" t="s">
        <v>35</v>
      </c>
      <c r="M451" s="4" t="s">
        <v>5317</v>
      </c>
    </row>
    <row r="452" spans="1:13">
      <c r="A452" s="2">
        <v>1453</v>
      </c>
      <c r="B452" s="2" t="s">
        <v>5318</v>
      </c>
      <c r="C452" s="2">
        <v>21</v>
      </c>
      <c r="D452" s="2">
        <v>556</v>
      </c>
      <c r="E452" s="2">
        <v>460</v>
      </c>
      <c r="F452" s="2">
        <v>32441</v>
      </c>
      <c r="G452" s="2">
        <v>2.6636729749999999</v>
      </c>
      <c r="H452" s="3">
        <v>8.14E-5</v>
      </c>
      <c r="I452" s="2" t="s">
        <v>5319</v>
      </c>
      <c r="J452" s="2" t="s">
        <v>5320</v>
      </c>
      <c r="K452" s="2">
        <v>8.90568E-4</v>
      </c>
      <c r="L452" s="2" t="s">
        <v>35</v>
      </c>
      <c r="M452" s="4" t="s">
        <v>5321</v>
      </c>
    </row>
    <row r="453" spans="1:13">
      <c r="A453" s="2">
        <v>684</v>
      </c>
      <c r="B453" s="2" t="s">
        <v>5322</v>
      </c>
      <c r="C453" s="2">
        <v>8</v>
      </c>
      <c r="D453" s="2">
        <v>556</v>
      </c>
      <c r="E453" s="2">
        <v>76</v>
      </c>
      <c r="F453" s="2">
        <v>32441</v>
      </c>
      <c r="G453" s="2">
        <v>6.1418023479999997</v>
      </c>
      <c r="H453" s="3">
        <v>8.7700000000000004E-5</v>
      </c>
      <c r="I453" s="2" t="s">
        <v>5323</v>
      </c>
      <c r="J453" s="2" t="s">
        <v>5324</v>
      </c>
      <c r="K453" s="2">
        <v>9.5749799999999999E-4</v>
      </c>
      <c r="L453" s="2" t="s">
        <v>35</v>
      </c>
      <c r="M453" s="4" t="s">
        <v>5325</v>
      </c>
    </row>
    <row r="454" spans="1:13">
      <c r="A454" s="2">
        <v>4682</v>
      </c>
      <c r="B454" s="2" t="s">
        <v>5326</v>
      </c>
      <c r="C454" s="2">
        <v>9</v>
      </c>
      <c r="D454" s="2">
        <v>556</v>
      </c>
      <c r="E454" s="2">
        <v>99</v>
      </c>
      <c r="F454" s="2">
        <v>32441</v>
      </c>
      <c r="G454" s="2">
        <v>5.3042838459999997</v>
      </c>
      <c r="H454" s="3">
        <v>9.1600000000000004E-5</v>
      </c>
      <c r="I454" s="2" t="s">
        <v>5327</v>
      </c>
      <c r="J454" s="2" t="s">
        <v>5328</v>
      </c>
      <c r="K454" s="2">
        <v>9.9811699999999997E-4</v>
      </c>
      <c r="L454" s="2" t="s">
        <v>35</v>
      </c>
      <c r="M454" s="4" t="s">
        <v>5329</v>
      </c>
    </row>
    <row r="455" spans="1:13">
      <c r="A455" s="2">
        <v>193</v>
      </c>
      <c r="B455" s="2" t="s">
        <v>5330</v>
      </c>
      <c r="C455" s="2">
        <v>4</v>
      </c>
      <c r="D455" s="2">
        <v>556</v>
      </c>
      <c r="E455" s="2">
        <v>11</v>
      </c>
      <c r="F455" s="2">
        <v>32441</v>
      </c>
      <c r="G455" s="2">
        <v>21.217135379999998</v>
      </c>
      <c r="H455" s="3">
        <v>9.3900000000000006E-5</v>
      </c>
      <c r="I455" s="2" t="s">
        <v>5331</v>
      </c>
      <c r="J455" s="2" t="s">
        <v>5332</v>
      </c>
      <c r="K455" s="2">
        <v>1.014076E-3</v>
      </c>
      <c r="L455" s="2" t="s">
        <v>35</v>
      </c>
      <c r="M455" s="4" t="s">
        <v>5333</v>
      </c>
    </row>
    <row r="456" spans="1:13">
      <c r="A456" s="2">
        <v>707</v>
      </c>
      <c r="B456" s="2" t="s">
        <v>5334</v>
      </c>
      <c r="C456" s="2">
        <v>4</v>
      </c>
      <c r="D456" s="2">
        <v>556</v>
      </c>
      <c r="E456" s="2">
        <v>11</v>
      </c>
      <c r="F456" s="2">
        <v>32441</v>
      </c>
      <c r="G456" s="2">
        <v>21.217135379999998</v>
      </c>
      <c r="H456" s="3">
        <v>9.3900000000000006E-5</v>
      </c>
      <c r="I456" s="2" t="s">
        <v>5335</v>
      </c>
      <c r="J456" s="2" t="s">
        <v>5336</v>
      </c>
      <c r="K456" s="2">
        <v>1.014076E-3</v>
      </c>
      <c r="L456" s="2" t="s">
        <v>35</v>
      </c>
      <c r="M456" s="4" t="s">
        <v>5337</v>
      </c>
    </row>
    <row r="457" spans="1:13">
      <c r="A457" s="2">
        <v>1016</v>
      </c>
      <c r="B457" s="2" t="s">
        <v>5338</v>
      </c>
      <c r="C457" s="2">
        <v>4</v>
      </c>
      <c r="D457" s="2">
        <v>556</v>
      </c>
      <c r="E457" s="2">
        <v>11</v>
      </c>
      <c r="F457" s="2">
        <v>32441</v>
      </c>
      <c r="G457" s="2">
        <v>21.217135379999998</v>
      </c>
      <c r="H457" s="3">
        <v>9.3900000000000006E-5</v>
      </c>
      <c r="I457" s="2" t="s">
        <v>5339</v>
      </c>
      <c r="J457" s="2" t="s">
        <v>5340</v>
      </c>
      <c r="K457" s="2">
        <v>1.014076E-3</v>
      </c>
      <c r="L457" s="2" t="s">
        <v>35</v>
      </c>
      <c r="M457" s="4" t="s">
        <v>5341</v>
      </c>
    </row>
    <row r="458" spans="1:13">
      <c r="A458" s="2">
        <v>4114</v>
      </c>
      <c r="B458" s="2" t="s">
        <v>5342</v>
      </c>
      <c r="C458" s="2">
        <v>4</v>
      </c>
      <c r="D458" s="2">
        <v>556</v>
      </c>
      <c r="E458" s="2">
        <v>11</v>
      </c>
      <c r="F458" s="2">
        <v>32441</v>
      </c>
      <c r="G458" s="2">
        <v>21.217135379999998</v>
      </c>
      <c r="H458" s="3">
        <v>9.3900000000000006E-5</v>
      </c>
      <c r="I458" s="2" t="s">
        <v>5343</v>
      </c>
      <c r="J458" s="2" t="s">
        <v>5344</v>
      </c>
      <c r="K458" s="2">
        <v>1.014076E-3</v>
      </c>
      <c r="L458" s="2" t="s">
        <v>35</v>
      </c>
      <c r="M458" s="4" t="s">
        <v>5345</v>
      </c>
    </row>
    <row r="459" spans="1:13">
      <c r="A459" s="2">
        <v>3904</v>
      </c>
      <c r="B459" s="2" t="s">
        <v>5346</v>
      </c>
      <c r="C459" s="2">
        <v>5</v>
      </c>
      <c r="D459" s="2">
        <v>556</v>
      </c>
      <c r="E459" s="2">
        <v>23</v>
      </c>
      <c r="F459" s="2">
        <v>32441</v>
      </c>
      <c r="G459" s="2">
        <v>12.684157020000001</v>
      </c>
      <c r="H459" s="3">
        <v>9.5099999999999994E-5</v>
      </c>
      <c r="I459" s="2" t="s">
        <v>5347</v>
      </c>
      <c r="J459" s="2" t="s">
        <v>5348</v>
      </c>
      <c r="K459" s="2">
        <v>1.025029E-3</v>
      </c>
      <c r="L459" s="2" t="s">
        <v>35</v>
      </c>
      <c r="M459" s="4" t="s">
        <v>5349</v>
      </c>
    </row>
    <row r="460" spans="1:13">
      <c r="A460" s="2">
        <v>2718</v>
      </c>
      <c r="B460" s="2" t="s">
        <v>5350</v>
      </c>
      <c r="C460" s="2">
        <v>32</v>
      </c>
      <c r="D460" s="2">
        <v>556</v>
      </c>
      <c r="E460" s="2">
        <v>882</v>
      </c>
      <c r="F460" s="2">
        <v>32441</v>
      </c>
      <c r="G460" s="2">
        <v>2.116902396</v>
      </c>
      <c r="H460" s="3">
        <v>9.5400000000000001E-5</v>
      </c>
      <c r="I460" s="2" t="s">
        <v>5351</v>
      </c>
      <c r="J460" s="2" t="s">
        <v>5352</v>
      </c>
      <c r="K460" s="2">
        <v>1.025148E-3</v>
      </c>
      <c r="L460" s="2" t="s">
        <v>35</v>
      </c>
      <c r="M460" s="4" t="s">
        <v>5353</v>
      </c>
    </row>
    <row r="461" spans="1:13">
      <c r="A461" s="2">
        <v>1594</v>
      </c>
      <c r="B461" s="2" t="s">
        <v>5354</v>
      </c>
      <c r="C461" s="2">
        <v>14</v>
      </c>
      <c r="D461" s="2">
        <v>556</v>
      </c>
      <c r="E461" s="2">
        <v>238</v>
      </c>
      <c r="F461" s="2">
        <v>32441</v>
      </c>
      <c r="G461" s="2">
        <v>3.4321836650000002</v>
      </c>
      <c r="H461" s="2">
        <v>1.08126E-4</v>
      </c>
      <c r="I461" s="2" t="s">
        <v>5355</v>
      </c>
      <c r="J461" s="2" t="s">
        <v>5356</v>
      </c>
      <c r="K461" s="2">
        <v>1.15967E-3</v>
      </c>
      <c r="L461" s="2" t="s">
        <v>35</v>
      </c>
      <c r="M461" s="4" t="s">
        <v>5357</v>
      </c>
    </row>
    <row r="462" spans="1:13">
      <c r="A462" s="2">
        <v>131</v>
      </c>
      <c r="B462" s="2" t="s">
        <v>5358</v>
      </c>
      <c r="C462" s="2">
        <v>8</v>
      </c>
      <c r="D462" s="2">
        <v>556</v>
      </c>
      <c r="E462" s="2">
        <v>79</v>
      </c>
      <c r="F462" s="2">
        <v>32441</v>
      </c>
      <c r="G462" s="2">
        <v>5.9085693470000002</v>
      </c>
      <c r="H462" s="2">
        <v>1.12447E-4</v>
      </c>
      <c r="I462" s="2" t="s">
        <v>5359</v>
      </c>
      <c r="J462" s="2" t="s">
        <v>5360</v>
      </c>
      <c r="K462" s="2">
        <v>1.2006090000000001E-3</v>
      </c>
      <c r="L462" s="2" t="s">
        <v>35</v>
      </c>
      <c r="M462" s="4" t="s">
        <v>5361</v>
      </c>
    </row>
    <row r="463" spans="1:13">
      <c r="A463" s="2">
        <v>862</v>
      </c>
      <c r="B463" s="2" t="s">
        <v>5362</v>
      </c>
      <c r="C463" s="2">
        <v>8</v>
      </c>
      <c r="D463" s="2">
        <v>556</v>
      </c>
      <c r="E463" s="2">
        <v>79</v>
      </c>
      <c r="F463" s="2">
        <v>32441</v>
      </c>
      <c r="G463" s="2">
        <v>5.9085693470000002</v>
      </c>
      <c r="H463" s="2">
        <v>1.12447E-4</v>
      </c>
      <c r="I463" s="2" t="s">
        <v>5363</v>
      </c>
      <c r="J463" s="2" t="s">
        <v>5364</v>
      </c>
      <c r="K463" s="2">
        <v>1.2006090000000001E-3</v>
      </c>
      <c r="L463" s="2" t="s">
        <v>35</v>
      </c>
      <c r="M463" s="4" t="s">
        <v>5365</v>
      </c>
    </row>
    <row r="464" spans="1:13">
      <c r="A464" s="2">
        <v>393</v>
      </c>
      <c r="B464" s="2" t="s">
        <v>5366</v>
      </c>
      <c r="C464" s="2">
        <v>5</v>
      </c>
      <c r="D464" s="2">
        <v>556</v>
      </c>
      <c r="E464" s="2">
        <v>24</v>
      </c>
      <c r="F464" s="2">
        <v>32441</v>
      </c>
      <c r="G464" s="2">
        <v>12.15565048</v>
      </c>
      <c r="H464" s="2">
        <v>1.13377E-4</v>
      </c>
      <c r="I464" s="2" t="s">
        <v>5367</v>
      </c>
      <c r="J464" s="2" t="s">
        <v>5368</v>
      </c>
      <c r="K464" s="2">
        <v>1.205135E-3</v>
      </c>
      <c r="L464" s="2" t="s">
        <v>35</v>
      </c>
      <c r="M464" s="4" t="s">
        <v>5369</v>
      </c>
    </row>
    <row r="465" spans="1:13">
      <c r="A465" s="2">
        <v>2777</v>
      </c>
      <c r="B465" s="2" t="s">
        <v>5370</v>
      </c>
      <c r="C465" s="2">
        <v>5</v>
      </c>
      <c r="D465" s="2">
        <v>556</v>
      </c>
      <c r="E465" s="2">
        <v>24</v>
      </c>
      <c r="F465" s="2">
        <v>32441</v>
      </c>
      <c r="G465" s="2">
        <v>12.15565048</v>
      </c>
      <c r="H465" s="2">
        <v>1.13377E-4</v>
      </c>
      <c r="I465" s="2" t="s">
        <v>5371</v>
      </c>
      <c r="J465" s="2" t="s">
        <v>5372</v>
      </c>
      <c r="K465" s="2">
        <v>1.205135E-3</v>
      </c>
      <c r="L465" s="2" t="s">
        <v>35</v>
      </c>
      <c r="M465" s="4" t="s">
        <v>5373</v>
      </c>
    </row>
    <row r="466" spans="1:13">
      <c r="A466" s="2">
        <v>3686</v>
      </c>
      <c r="B466" s="2" t="s">
        <v>271</v>
      </c>
      <c r="C466" s="2">
        <v>10</v>
      </c>
      <c r="D466" s="2">
        <v>556</v>
      </c>
      <c r="E466" s="2">
        <v>127</v>
      </c>
      <c r="F466" s="2">
        <v>32441</v>
      </c>
      <c r="G466" s="2">
        <v>4.5942615990000002</v>
      </c>
      <c r="H466" s="2">
        <v>1.15438E-4</v>
      </c>
      <c r="I466" s="2" t="s">
        <v>5374</v>
      </c>
      <c r="J466" s="2" t="s">
        <v>5375</v>
      </c>
      <c r="K466" s="2">
        <v>1.224314E-3</v>
      </c>
      <c r="L466" s="2" t="s">
        <v>35</v>
      </c>
      <c r="M466" s="4" t="s">
        <v>5376</v>
      </c>
    </row>
    <row r="467" spans="1:13">
      <c r="A467" s="2">
        <v>3612</v>
      </c>
      <c r="B467" s="2" t="s">
        <v>5377</v>
      </c>
      <c r="C467" s="2">
        <v>8</v>
      </c>
      <c r="D467" s="2">
        <v>556</v>
      </c>
      <c r="E467" s="2">
        <v>80</v>
      </c>
      <c r="F467" s="2">
        <v>32441</v>
      </c>
      <c r="G467" s="2">
        <v>5.8347122300000001</v>
      </c>
      <c r="H467" s="2">
        <v>1.21891E-4</v>
      </c>
      <c r="I467" s="2" t="s">
        <v>5378</v>
      </c>
      <c r="J467" s="2" t="s">
        <v>5379</v>
      </c>
      <c r="K467" s="2">
        <v>1.2898779999999999E-3</v>
      </c>
      <c r="L467" s="2" t="s">
        <v>35</v>
      </c>
      <c r="M467" s="4" t="s">
        <v>5380</v>
      </c>
    </row>
    <row r="468" spans="1:13">
      <c r="A468" s="2">
        <v>1144</v>
      </c>
      <c r="B468" s="2" t="s">
        <v>5381</v>
      </c>
      <c r="C468" s="2">
        <v>4</v>
      </c>
      <c r="D468" s="2">
        <v>556</v>
      </c>
      <c r="E468" s="2">
        <v>12</v>
      </c>
      <c r="F468" s="2">
        <v>32441</v>
      </c>
      <c r="G468" s="2">
        <v>19.44904077</v>
      </c>
      <c r="H468" s="2">
        <v>1.2354999999999999E-4</v>
      </c>
      <c r="I468" s="2" t="s">
        <v>5382</v>
      </c>
      <c r="J468" s="2" t="s">
        <v>5383</v>
      </c>
      <c r="K468" s="2">
        <v>1.295912E-3</v>
      </c>
      <c r="L468" s="2" t="s">
        <v>35</v>
      </c>
      <c r="M468" s="4" t="s">
        <v>5384</v>
      </c>
    </row>
    <row r="469" spans="1:13">
      <c r="A469" s="2">
        <v>1275</v>
      </c>
      <c r="B469" s="2" t="s">
        <v>5385</v>
      </c>
      <c r="C469" s="2">
        <v>4</v>
      </c>
      <c r="D469" s="2">
        <v>556</v>
      </c>
      <c r="E469" s="2">
        <v>12</v>
      </c>
      <c r="F469" s="2">
        <v>32441</v>
      </c>
      <c r="G469" s="2">
        <v>19.44904077</v>
      </c>
      <c r="H469" s="2">
        <v>1.2354999999999999E-4</v>
      </c>
      <c r="I469" s="2" t="s">
        <v>5386</v>
      </c>
      <c r="J469" s="2" t="s">
        <v>5387</v>
      </c>
      <c r="K469" s="2">
        <v>1.295912E-3</v>
      </c>
      <c r="L469" s="2" t="s">
        <v>35</v>
      </c>
      <c r="M469" s="4" t="s">
        <v>5388</v>
      </c>
    </row>
    <row r="470" spans="1:13">
      <c r="A470" s="2">
        <v>2255</v>
      </c>
      <c r="B470" s="2" t="s">
        <v>5389</v>
      </c>
      <c r="C470" s="2">
        <v>24</v>
      </c>
      <c r="D470" s="2">
        <v>556</v>
      </c>
      <c r="E470" s="2">
        <v>584</v>
      </c>
      <c r="F470" s="2">
        <v>32441</v>
      </c>
      <c r="G470" s="2">
        <v>2.3978269440000002</v>
      </c>
      <c r="H470" s="2">
        <v>1.2302999999999999E-4</v>
      </c>
      <c r="I470" s="2" t="s">
        <v>5390</v>
      </c>
      <c r="J470" s="2" t="s">
        <v>5391</v>
      </c>
      <c r="K470" s="2">
        <v>1.295912E-3</v>
      </c>
      <c r="L470" s="2" t="s">
        <v>35</v>
      </c>
      <c r="M470" s="4" t="s">
        <v>5392</v>
      </c>
    </row>
    <row r="471" spans="1:13">
      <c r="A471" s="2">
        <v>2954</v>
      </c>
      <c r="B471" s="2" t="s">
        <v>5393</v>
      </c>
      <c r="C471" s="2">
        <v>4</v>
      </c>
      <c r="D471" s="2">
        <v>556</v>
      </c>
      <c r="E471" s="2">
        <v>12</v>
      </c>
      <c r="F471" s="2">
        <v>32441</v>
      </c>
      <c r="G471" s="2">
        <v>19.44904077</v>
      </c>
      <c r="H471" s="2">
        <v>1.2354999999999999E-4</v>
      </c>
      <c r="I471" s="2" t="s">
        <v>5394</v>
      </c>
      <c r="J471" s="2" t="s">
        <v>5395</v>
      </c>
      <c r="K471" s="2">
        <v>1.295912E-3</v>
      </c>
      <c r="L471" s="2" t="s">
        <v>35</v>
      </c>
      <c r="M471" s="4" t="s">
        <v>5396</v>
      </c>
    </row>
    <row r="472" spans="1:13">
      <c r="A472" s="2">
        <v>575</v>
      </c>
      <c r="B472" s="2" t="s">
        <v>5397</v>
      </c>
      <c r="C472" s="2">
        <v>10</v>
      </c>
      <c r="D472" s="2">
        <v>556</v>
      </c>
      <c r="E472" s="2">
        <v>129</v>
      </c>
      <c r="F472" s="2">
        <v>32441</v>
      </c>
      <c r="G472" s="2">
        <v>4.5230327370000003</v>
      </c>
      <c r="H472" s="2">
        <v>1.3015999999999999E-4</v>
      </c>
      <c r="I472" s="2" t="s">
        <v>5398</v>
      </c>
      <c r="J472" s="2" t="s">
        <v>5399</v>
      </c>
      <c r="K472" s="2">
        <v>1.3622459999999999E-3</v>
      </c>
      <c r="L472" s="2" t="s">
        <v>35</v>
      </c>
      <c r="M472" s="4" t="s">
        <v>5400</v>
      </c>
    </row>
    <row r="473" spans="1:13">
      <c r="A473" s="2">
        <v>2062</v>
      </c>
      <c r="B473" s="2" t="s">
        <v>5401</v>
      </c>
      <c r="C473" s="2">
        <v>8</v>
      </c>
      <c r="D473" s="2">
        <v>556</v>
      </c>
      <c r="E473" s="2">
        <v>81</v>
      </c>
      <c r="F473" s="2">
        <v>32441</v>
      </c>
      <c r="G473" s="2">
        <v>5.7626787459999997</v>
      </c>
      <c r="H473" s="2">
        <v>1.3198100000000001E-4</v>
      </c>
      <c r="I473" s="2" t="s">
        <v>5402</v>
      </c>
      <c r="J473" s="2" t="s">
        <v>5403</v>
      </c>
      <c r="K473" s="2">
        <v>1.3782709999999999E-3</v>
      </c>
      <c r="L473" s="2" t="s">
        <v>35</v>
      </c>
      <c r="M473" s="4" t="s">
        <v>5404</v>
      </c>
    </row>
    <row r="474" spans="1:13">
      <c r="A474" s="2">
        <v>555</v>
      </c>
      <c r="B474" s="2" t="s">
        <v>5405</v>
      </c>
      <c r="C474" s="2">
        <v>6</v>
      </c>
      <c r="D474" s="2">
        <v>556</v>
      </c>
      <c r="E474" s="2">
        <v>41</v>
      </c>
      <c r="F474" s="2">
        <v>32441</v>
      </c>
      <c r="G474" s="2">
        <v>8.5386032640000007</v>
      </c>
      <c r="H474" s="2">
        <v>1.3309300000000001E-4</v>
      </c>
      <c r="I474" s="2" t="s">
        <v>5406</v>
      </c>
      <c r="J474" s="2" t="s">
        <v>5407</v>
      </c>
      <c r="K474" s="2">
        <v>1.3838139999999999E-3</v>
      </c>
      <c r="L474" s="2" t="s">
        <v>35</v>
      </c>
      <c r="M474" s="4" t="s">
        <v>5408</v>
      </c>
    </row>
    <row r="475" spans="1:13">
      <c r="A475" s="2">
        <v>3243</v>
      </c>
      <c r="B475" s="2" t="s">
        <v>5409</v>
      </c>
      <c r="C475" s="2">
        <v>6</v>
      </c>
      <c r="D475" s="2">
        <v>556</v>
      </c>
      <c r="E475" s="2">
        <v>41</v>
      </c>
      <c r="F475" s="2">
        <v>32441</v>
      </c>
      <c r="G475" s="2">
        <v>8.5386032640000007</v>
      </c>
      <c r="H475" s="2">
        <v>1.3309300000000001E-4</v>
      </c>
      <c r="I475" s="2" t="s">
        <v>5410</v>
      </c>
      <c r="J475" s="2" t="s">
        <v>5411</v>
      </c>
      <c r="K475" s="2">
        <v>1.3838139999999999E-3</v>
      </c>
      <c r="L475" s="2" t="s">
        <v>35</v>
      </c>
      <c r="M475" s="4" t="s">
        <v>5412</v>
      </c>
    </row>
    <row r="476" spans="1:13">
      <c r="A476" s="2">
        <v>1022</v>
      </c>
      <c r="B476" s="2" t="s">
        <v>5413</v>
      </c>
      <c r="C476" s="2">
        <v>5</v>
      </c>
      <c r="D476" s="2">
        <v>556</v>
      </c>
      <c r="E476" s="2">
        <v>25</v>
      </c>
      <c r="F476" s="2">
        <v>32441</v>
      </c>
      <c r="G476" s="2">
        <v>11.66942446</v>
      </c>
      <c r="H476" s="2">
        <v>1.3417600000000001E-4</v>
      </c>
      <c r="I476" s="2" t="s">
        <v>5414</v>
      </c>
      <c r="J476" s="2" t="s">
        <v>5415</v>
      </c>
      <c r="K476" s="2">
        <v>1.3890179999999999E-3</v>
      </c>
      <c r="L476" s="2" t="s">
        <v>35</v>
      </c>
      <c r="M476" s="4" t="s">
        <v>5416</v>
      </c>
    </row>
    <row r="477" spans="1:13">
      <c r="A477" s="2">
        <v>2872</v>
      </c>
      <c r="B477" s="2" t="s">
        <v>5417</v>
      </c>
      <c r="C477" s="2">
        <v>5</v>
      </c>
      <c r="D477" s="2">
        <v>556</v>
      </c>
      <c r="E477" s="2">
        <v>25</v>
      </c>
      <c r="F477" s="2">
        <v>32441</v>
      </c>
      <c r="G477" s="2">
        <v>11.66942446</v>
      </c>
      <c r="H477" s="2">
        <v>1.3417600000000001E-4</v>
      </c>
      <c r="I477" s="2" t="s">
        <v>5418</v>
      </c>
      <c r="J477" s="2" t="s">
        <v>5419</v>
      </c>
      <c r="K477" s="2">
        <v>1.3890179999999999E-3</v>
      </c>
      <c r="L477" s="2" t="s">
        <v>35</v>
      </c>
      <c r="M477" s="4" t="s">
        <v>5420</v>
      </c>
    </row>
    <row r="478" spans="1:13">
      <c r="A478" s="2">
        <v>1746</v>
      </c>
      <c r="B478" s="2" t="s">
        <v>5421</v>
      </c>
      <c r="C478" s="2">
        <v>23</v>
      </c>
      <c r="D478" s="2">
        <v>556</v>
      </c>
      <c r="E478" s="2">
        <v>552</v>
      </c>
      <c r="F478" s="2">
        <v>32441</v>
      </c>
      <c r="G478" s="2">
        <v>2.431130096</v>
      </c>
      <c r="H478" s="2">
        <v>1.3970399999999999E-4</v>
      </c>
      <c r="I478" s="2" t="s">
        <v>5422</v>
      </c>
      <c r="J478" s="2" t="s">
        <v>5423</v>
      </c>
      <c r="K478" s="2">
        <v>1.443099E-3</v>
      </c>
      <c r="L478" s="2" t="s">
        <v>35</v>
      </c>
      <c r="M478" s="4" t="s">
        <v>5424</v>
      </c>
    </row>
    <row r="479" spans="1:13">
      <c r="A479" s="2">
        <v>1352</v>
      </c>
      <c r="B479" s="2" t="s">
        <v>5425</v>
      </c>
      <c r="C479" s="2">
        <v>29</v>
      </c>
      <c r="D479" s="2">
        <v>556</v>
      </c>
      <c r="E479" s="2">
        <v>783</v>
      </c>
      <c r="F479" s="2">
        <v>32441</v>
      </c>
      <c r="G479" s="2">
        <v>2.16100453</v>
      </c>
      <c r="H479" s="2">
        <v>1.4394399999999999E-4</v>
      </c>
      <c r="I479" s="2" t="s">
        <v>5426</v>
      </c>
      <c r="J479" s="2" t="s">
        <v>5427</v>
      </c>
      <c r="K479" s="2">
        <v>1.483685E-3</v>
      </c>
      <c r="L479" s="2" t="s">
        <v>35</v>
      </c>
      <c r="M479" s="4" t="s">
        <v>5428</v>
      </c>
    </row>
    <row r="480" spans="1:13">
      <c r="A480" s="2">
        <v>3395</v>
      </c>
      <c r="B480" s="2" t="s">
        <v>5429</v>
      </c>
      <c r="C480" s="2">
        <v>5</v>
      </c>
      <c r="D480" s="2">
        <v>556</v>
      </c>
      <c r="E480" s="2">
        <v>26</v>
      </c>
      <c r="F480" s="2">
        <v>32441</v>
      </c>
      <c r="G480" s="2">
        <v>11.22060044</v>
      </c>
      <c r="H480" s="2">
        <v>1.57775E-4</v>
      </c>
      <c r="I480" s="2" t="s">
        <v>5430</v>
      </c>
      <c r="J480" s="2" t="s">
        <v>5431</v>
      </c>
      <c r="K480" s="2">
        <v>1.62273E-3</v>
      </c>
      <c r="L480" s="2" t="s">
        <v>35</v>
      </c>
      <c r="M480" s="4" t="s">
        <v>5432</v>
      </c>
    </row>
    <row r="481" spans="1:13">
      <c r="A481" s="2">
        <v>4537</v>
      </c>
      <c r="B481" s="2" t="s">
        <v>5433</v>
      </c>
      <c r="C481" s="2">
        <v>20</v>
      </c>
      <c r="D481" s="2">
        <v>556</v>
      </c>
      <c r="E481" s="2">
        <v>448</v>
      </c>
      <c r="F481" s="2">
        <v>32441</v>
      </c>
      <c r="G481" s="2">
        <v>2.6047822460000001</v>
      </c>
      <c r="H481" s="2">
        <v>1.5853199999999999E-4</v>
      </c>
      <c r="I481" s="2" t="s">
        <v>5434</v>
      </c>
      <c r="J481" s="2" t="s">
        <v>5435</v>
      </c>
      <c r="K481" s="2">
        <v>1.6269990000000001E-3</v>
      </c>
      <c r="L481" s="2" t="s">
        <v>35</v>
      </c>
      <c r="M481" s="4" t="s">
        <v>5436</v>
      </c>
    </row>
    <row r="482" spans="1:13">
      <c r="A482" s="2">
        <v>2480</v>
      </c>
      <c r="B482" s="2" t="s">
        <v>5437</v>
      </c>
      <c r="C482" s="2">
        <v>4</v>
      </c>
      <c r="D482" s="2">
        <v>556</v>
      </c>
      <c r="E482" s="2">
        <v>13</v>
      </c>
      <c r="F482" s="2">
        <v>32441</v>
      </c>
      <c r="G482" s="2">
        <v>17.952960709999999</v>
      </c>
      <c r="H482" s="2">
        <v>1.59417E-4</v>
      </c>
      <c r="I482" s="2" t="s">
        <v>5438</v>
      </c>
      <c r="J482" s="2" t="s">
        <v>5439</v>
      </c>
      <c r="K482" s="2">
        <v>1.6290619999999999E-3</v>
      </c>
      <c r="L482" s="2" t="s">
        <v>35</v>
      </c>
      <c r="M482" s="4" t="s">
        <v>5440</v>
      </c>
    </row>
    <row r="483" spans="1:13">
      <c r="A483" s="2">
        <v>4180</v>
      </c>
      <c r="B483" s="2" t="s">
        <v>5441</v>
      </c>
      <c r="C483" s="2">
        <v>4</v>
      </c>
      <c r="D483" s="2">
        <v>556</v>
      </c>
      <c r="E483" s="2">
        <v>13</v>
      </c>
      <c r="F483" s="2">
        <v>32441</v>
      </c>
      <c r="G483" s="2">
        <v>17.952960709999999</v>
      </c>
      <c r="H483" s="2">
        <v>1.59417E-4</v>
      </c>
      <c r="I483" s="2" t="s">
        <v>5442</v>
      </c>
      <c r="J483" s="2" t="s">
        <v>5443</v>
      </c>
      <c r="K483" s="2">
        <v>1.6290619999999999E-3</v>
      </c>
      <c r="L483" s="2" t="s">
        <v>35</v>
      </c>
      <c r="M483" s="4" t="s">
        <v>5444</v>
      </c>
    </row>
    <row r="484" spans="1:13">
      <c r="A484" s="2">
        <v>620</v>
      </c>
      <c r="B484" s="2" t="s">
        <v>5445</v>
      </c>
      <c r="C484" s="2">
        <v>7</v>
      </c>
      <c r="D484" s="2">
        <v>556</v>
      </c>
      <c r="E484" s="2">
        <v>63</v>
      </c>
      <c r="F484" s="2">
        <v>32441</v>
      </c>
      <c r="G484" s="2">
        <v>6.4830135889999996</v>
      </c>
      <c r="H484" s="2">
        <v>1.77904E-4</v>
      </c>
      <c r="I484" s="2" t="s">
        <v>5446</v>
      </c>
      <c r="J484" s="2" t="s">
        <v>5447</v>
      </c>
      <c r="K484" s="2">
        <v>1.814085E-3</v>
      </c>
      <c r="L484" s="2" t="s">
        <v>35</v>
      </c>
      <c r="M484" s="4" t="s">
        <v>5448</v>
      </c>
    </row>
    <row r="485" spans="1:13">
      <c r="A485" s="2">
        <v>3908</v>
      </c>
      <c r="B485" s="2" t="s">
        <v>5449</v>
      </c>
      <c r="C485" s="2">
        <v>5</v>
      </c>
      <c r="D485" s="2">
        <v>556</v>
      </c>
      <c r="E485" s="2">
        <v>27</v>
      </c>
      <c r="F485" s="2">
        <v>32441</v>
      </c>
      <c r="G485" s="2">
        <v>10.80502265</v>
      </c>
      <c r="H485" s="2">
        <v>1.8441700000000001E-4</v>
      </c>
      <c r="I485" s="2" t="s">
        <v>5450</v>
      </c>
      <c r="J485" s="2" t="s">
        <v>5451</v>
      </c>
      <c r="K485" s="2">
        <v>1.876478E-3</v>
      </c>
      <c r="L485" s="2" t="s">
        <v>35</v>
      </c>
      <c r="M485" s="4" t="s">
        <v>5452</v>
      </c>
    </row>
    <row r="486" spans="1:13">
      <c r="A486" s="2">
        <v>2248</v>
      </c>
      <c r="B486" s="2" t="s">
        <v>5453</v>
      </c>
      <c r="C486" s="2">
        <v>6</v>
      </c>
      <c r="D486" s="2">
        <v>556</v>
      </c>
      <c r="E486" s="2">
        <v>44</v>
      </c>
      <c r="F486" s="2">
        <v>32441</v>
      </c>
      <c r="G486" s="2">
        <v>7.9564257679999999</v>
      </c>
      <c r="H486" s="2">
        <v>1.8874300000000001E-4</v>
      </c>
      <c r="I486" s="2" t="s">
        <v>5454</v>
      </c>
      <c r="J486" s="2" t="s">
        <v>5455</v>
      </c>
      <c r="K486" s="2">
        <v>1.916409E-3</v>
      </c>
      <c r="L486" s="2" t="s">
        <v>35</v>
      </c>
      <c r="M486" s="4" t="s">
        <v>5456</v>
      </c>
    </row>
    <row r="487" spans="1:13">
      <c r="A487" s="2">
        <v>4229</v>
      </c>
      <c r="B487" s="2" t="s">
        <v>5457</v>
      </c>
      <c r="C487" s="2">
        <v>27</v>
      </c>
      <c r="D487" s="2">
        <v>556</v>
      </c>
      <c r="E487" s="2">
        <v>718</v>
      </c>
      <c r="F487" s="2">
        <v>32441</v>
      </c>
      <c r="G487" s="2">
        <v>2.1941118409999998</v>
      </c>
      <c r="H487" s="2">
        <v>1.9177699999999999E-4</v>
      </c>
      <c r="I487" s="2" t="s">
        <v>5458</v>
      </c>
      <c r="J487" s="2" t="s">
        <v>5459</v>
      </c>
      <c r="K487" s="2">
        <v>1.9430680000000001E-3</v>
      </c>
      <c r="L487" s="2" t="s">
        <v>35</v>
      </c>
      <c r="M487" s="4" t="s">
        <v>5460</v>
      </c>
    </row>
    <row r="488" spans="1:13">
      <c r="A488" s="2">
        <v>2578</v>
      </c>
      <c r="B488" s="2" t="s">
        <v>5461</v>
      </c>
      <c r="C488" s="2">
        <v>7</v>
      </c>
      <c r="D488" s="2">
        <v>556</v>
      </c>
      <c r="E488" s="2">
        <v>64</v>
      </c>
      <c r="F488" s="2">
        <v>32441</v>
      </c>
      <c r="G488" s="2">
        <v>6.3817165019999997</v>
      </c>
      <c r="H488" s="2">
        <v>1.9452900000000001E-4</v>
      </c>
      <c r="I488" s="2" t="s">
        <v>5462</v>
      </c>
      <c r="J488" s="2" t="s">
        <v>5463</v>
      </c>
      <c r="K488" s="2">
        <v>1.966771E-3</v>
      </c>
      <c r="L488" s="2" t="s">
        <v>35</v>
      </c>
      <c r="M488" s="4" t="s">
        <v>5464</v>
      </c>
    </row>
    <row r="489" spans="1:13">
      <c r="A489" s="2">
        <v>577</v>
      </c>
      <c r="B489" s="2" t="s">
        <v>5465</v>
      </c>
      <c r="C489" s="2">
        <v>4</v>
      </c>
      <c r="D489" s="2">
        <v>556</v>
      </c>
      <c r="E489" s="2">
        <v>14</v>
      </c>
      <c r="F489" s="2">
        <v>32441</v>
      </c>
      <c r="G489" s="2">
        <v>16.670606370000002</v>
      </c>
      <c r="H489" s="2">
        <v>2.02241E-4</v>
      </c>
      <c r="I489" s="2" t="s">
        <v>5466</v>
      </c>
      <c r="J489" s="2" t="s">
        <v>5467</v>
      </c>
      <c r="K489" s="2">
        <v>2.0404030000000001E-3</v>
      </c>
      <c r="L489" s="2" t="s">
        <v>35</v>
      </c>
      <c r="M489" s="4" t="s">
        <v>5468</v>
      </c>
    </row>
    <row r="490" spans="1:13">
      <c r="A490" s="2">
        <v>3500</v>
      </c>
      <c r="B490" s="2" t="s">
        <v>5469</v>
      </c>
      <c r="C490" s="2">
        <v>17</v>
      </c>
      <c r="D490" s="2">
        <v>556</v>
      </c>
      <c r="E490" s="2">
        <v>353</v>
      </c>
      <c r="F490" s="2">
        <v>32441</v>
      </c>
      <c r="G490" s="2">
        <v>2.8099180709999998</v>
      </c>
      <c r="H490" s="2">
        <v>2.0956499999999999E-4</v>
      </c>
      <c r="I490" s="2" t="s">
        <v>5470</v>
      </c>
      <c r="J490" s="2" t="s">
        <v>5471</v>
      </c>
      <c r="K490" s="2">
        <v>2.1098240000000002E-3</v>
      </c>
      <c r="L490" s="2" t="s">
        <v>35</v>
      </c>
      <c r="M490" s="4" t="s">
        <v>5472</v>
      </c>
    </row>
    <row r="491" spans="1:13">
      <c r="A491" s="2">
        <v>3770</v>
      </c>
      <c r="B491" s="2" t="s">
        <v>5473</v>
      </c>
      <c r="C491" s="2">
        <v>11</v>
      </c>
      <c r="D491" s="2">
        <v>556</v>
      </c>
      <c r="E491" s="2">
        <v>165</v>
      </c>
      <c r="F491" s="2">
        <v>32441</v>
      </c>
      <c r="G491" s="2">
        <v>3.8898081530000002</v>
      </c>
      <c r="H491" s="2">
        <v>2.1180299999999999E-4</v>
      </c>
      <c r="I491" s="2" t="s">
        <v>5474</v>
      </c>
      <c r="J491" s="2" t="s">
        <v>5475</v>
      </c>
      <c r="K491" s="2">
        <v>2.1278579999999998E-3</v>
      </c>
      <c r="L491" s="2" t="s">
        <v>35</v>
      </c>
      <c r="M491" s="4" t="s">
        <v>5476</v>
      </c>
    </row>
    <row r="492" spans="1:13">
      <c r="A492" s="2">
        <v>1034</v>
      </c>
      <c r="B492" s="2" t="s">
        <v>5477</v>
      </c>
      <c r="C492" s="2">
        <v>5</v>
      </c>
      <c r="D492" s="2">
        <v>556</v>
      </c>
      <c r="E492" s="2">
        <v>28</v>
      </c>
      <c r="F492" s="2">
        <v>32441</v>
      </c>
      <c r="G492" s="2">
        <v>10.41912898</v>
      </c>
      <c r="H492" s="2">
        <v>2.14355E-4</v>
      </c>
      <c r="I492" s="2" t="s">
        <v>5414</v>
      </c>
      <c r="J492" s="2" t="s">
        <v>5415</v>
      </c>
      <c r="K492" s="2">
        <v>2.1489669999999999E-3</v>
      </c>
      <c r="L492" s="2" t="s">
        <v>35</v>
      </c>
      <c r="M492" s="4" t="s">
        <v>5478</v>
      </c>
    </row>
    <row r="493" spans="1:13">
      <c r="A493" s="2">
        <v>3667</v>
      </c>
      <c r="B493" s="2" t="s">
        <v>5479</v>
      </c>
      <c r="C493" s="2">
        <v>19</v>
      </c>
      <c r="D493" s="2">
        <v>556</v>
      </c>
      <c r="E493" s="2">
        <v>425</v>
      </c>
      <c r="F493" s="2">
        <v>32441</v>
      </c>
      <c r="G493" s="2">
        <v>2.6084595849999999</v>
      </c>
      <c r="H493" s="2">
        <v>2.25603E-4</v>
      </c>
      <c r="I493" s="2" t="s">
        <v>5480</v>
      </c>
      <c r="J493" s="2" t="s">
        <v>5481</v>
      </c>
      <c r="K493" s="2">
        <v>2.25698E-3</v>
      </c>
      <c r="L493" s="2" t="s">
        <v>35</v>
      </c>
      <c r="M493" s="4" t="s">
        <v>5482</v>
      </c>
    </row>
    <row r="494" spans="1:13">
      <c r="A494" s="2">
        <v>2225</v>
      </c>
      <c r="B494" s="2" t="s">
        <v>5483</v>
      </c>
      <c r="C494" s="2">
        <v>18</v>
      </c>
      <c r="D494" s="2">
        <v>556</v>
      </c>
      <c r="E494" s="2">
        <v>390</v>
      </c>
      <c r="F494" s="2">
        <v>32441</v>
      </c>
      <c r="G494" s="2">
        <v>2.6929441060000001</v>
      </c>
      <c r="H494" s="2">
        <v>2.2670700000000001E-4</v>
      </c>
      <c r="I494" s="2" t="s">
        <v>5484</v>
      </c>
      <c r="J494" s="2" t="s">
        <v>5485</v>
      </c>
      <c r="K494" s="2">
        <v>2.2632680000000001E-3</v>
      </c>
      <c r="L494" s="2" t="s">
        <v>35</v>
      </c>
      <c r="M494" s="4" t="s">
        <v>5486</v>
      </c>
    </row>
    <row r="495" spans="1:13">
      <c r="A495" s="2">
        <v>2611</v>
      </c>
      <c r="B495" s="2" t="s">
        <v>5487</v>
      </c>
      <c r="C495" s="2">
        <v>7</v>
      </c>
      <c r="D495" s="2">
        <v>556</v>
      </c>
      <c r="E495" s="2">
        <v>66</v>
      </c>
      <c r="F495" s="2">
        <v>32441</v>
      </c>
      <c r="G495" s="2">
        <v>6.188331153</v>
      </c>
      <c r="H495" s="2">
        <v>2.3154299999999999E-4</v>
      </c>
      <c r="I495" s="2" t="s">
        <v>5488</v>
      </c>
      <c r="J495" s="2" t="s">
        <v>5489</v>
      </c>
      <c r="K495" s="2">
        <v>2.3046260000000002E-3</v>
      </c>
      <c r="L495" s="2" t="s">
        <v>35</v>
      </c>
      <c r="M495" s="4" t="s">
        <v>5490</v>
      </c>
    </row>
    <row r="496" spans="1:13">
      <c r="A496" s="2">
        <v>3436</v>
      </c>
      <c r="B496" s="2" t="s">
        <v>5491</v>
      </c>
      <c r="C496" s="2">
        <v>13</v>
      </c>
      <c r="D496" s="2">
        <v>556</v>
      </c>
      <c r="E496" s="2">
        <v>226</v>
      </c>
      <c r="F496" s="2">
        <v>32441</v>
      </c>
      <c r="G496" s="2">
        <v>3.3562503979999998</v>
      </c>
      <c r="H496" s="2">
        <v>2.3181800000000001E-4</v>
      </c>
      <c r="I496" s="2" t="s">
        <v>5492</v>
      </c>
      <c r="J496" s="2" t="s">
        <v>5493</v>
      </c>
      <c r="K496" s="2">
        <v>2.3046260000000002E-3</v>
      </c>
      <c r="L496" s="2" t="s">
        <v>35</v>
      </c>
      <c r="M496" s="4" t="s">
        <v>5494</v>
      </c>
    </row>
    <row r="497" spans="1:13">
      <c r="A497" s="2">
        <v>2470</v>
      </c>
      <c r="B497" s="2" t="s">
        <v>5495</v>
      </c>
      <c r="C497" s="2">
        <v>17</v>
      </c>
      <c r="D497" s="2">
        <v>556</v>
      </c>
      <c r="E497" s="2">
        <v>357</v>
      </c>
      <c r="F497" s="2">
        <v>32441</v>
      </c>
      <c r="G497" s="2">
        <v>2.7784343950000001</v>
      </c>
      <c r="H497" s="2">
        <v>2.37579E-4</v>
      </c>
      <c r="I497" s="2" t="s">
        <v>5496</v>
      </c>
      <c r="J497" s="2" t="s">
        <v>5497</v>
      </c>
      <c r="K497" s="2">
        <v>2.3569810000000002E-3</v>
      </c>
      <c r="L497" s="2" t="s">
        <v>35</v>
      </c>
      <c r="M497" s="4" t="s">
        <v>5498</v>
      </c>
    </row>
    <row r="498" spans="1:13">
      <c r="A498" s="2">
        <v>3910</v>
      </c>
      <c r="B498" s="2" t="s">
        <v>5499</v>
      </c>
      <c r="C498" s="2">
        <v>13</v>
      </c>
      <c r="D498" s="2">
        <v>556</v>
      </c>
      <c r="E498" s="2">
        <v>227</v>
      </c>
      <c r="F498" s="2">
        <v>32441</v>
      </c>
      <c r="G498" s="2">
        <v>3.3414651540000002</v>
      </c>
      <c r="H498" s="2">
        <v>2.41408E-4</v>
      </c>
      <c r="I498" s="2" t="s">
        <v>5500</v>
      </c>
      <c r="J498" s="2" t="s">
        <v>5501</v>
      </c>
      <c r="K498" s="2">
        <v>2.3899899999999998E-3</v>
      </c>
      <c r="L498" s="2" t="s">
        <v>35</v>
      </c>
      <c r="M498" s="4" t="s">
        <v>5502</v>
      </c>
    </row>
    <row r="499" spans="1:13">
      <c r="A499" s="2">
        <v>2385</v>
      </c>
      <c r="B499" s="2" t="s">
        <v>5503</v>
      </c>
      <c r="C499" s="2">
        <v>19</v>
      </c>
      <c r="D499" s="2">
        <v>556</v>
      </c>
      <c r="E499" s="2">
        <v>428</v>
      </c>
      <c r="F499" s="2">
        <v>32441</v>
      </c>
      <c r="G499" s="2">
        <v>2.5901759900000001</v>
      </c>
      <c r="H499" s="2">
        <v>2.4546700000000003E-4</v>
      </c>
      <c r="I499" s="2" t="s">
        <v>5504</v>
      </c>
      <c r="J499" s="2" t="s">
        <v>5505</v>
      </c>
      <c r="K499" s="2">
        <v>2.4251289999999998E-3</v>
      </c>
      <c r="L499" s="2" t="s">
        <v>35</v>
      </c>
      <c r="M499" s="4" t="s">
        <v>5506</v>
      </c>
    </row>
    <row r="500" spans="1:13">
      <c r="A500" s="2">
        <v>3836</v>
      </c>
      <c r="B500" s="2" t="s">
        <v>5507</v>
      </c>
      <c r="C500" s="2">
        <v>5</v>
      </c>
      <c r="D500" s="2">
        <v>556</v>
      </c>
      <c r="E500" s="2">
        <v>29</v>
      </c>
      <c r="F500" s="2">
        <v>32441</v>
      </c>
      <c r="G500" s="2">
        <v>10.059848669999999</v>
      </c>
      <c r="H500" s="2">
        <v>2.4785399999999999E-4</v>
      </c>
      <c r="I500" s="2" t="s">
        <v>5508</v>
      </c>
      <c r="J500" s="2" t="s">
        <v>5509</v>
      </c>
      <c r="K500" s="2">
        <v>2.4436449999999999E-3</v>
      </c>
      <c r="L500" s="2" t="s">
        <v>35</v>
      </c>
      <c r="M500" s="4" t="s">
        <v>5510</v>
      </c>
    </row>
    <row r="501" spans="1:13">
      <c r="A501" s="2">
        <v>1890</v>
      </c>
      <c r="B501" s="2" t="s">
        <v>5511</v>
      </c>
      <c r="C501" s="2">
        <v>4</v>
      </c>
      <c r="D501" s="2">
        <v>556</v>
      </c>
      <c r="E501" s="2">
        <v>15</v>
      </c>
      <c r="F501" s="2">
        <v>32441</v>
      </c>
      <c r="G501" s="2">
        <v>15.55923261</v>
      </c>
      <c r="H501" s="2">
        <v>2.5276900000000002E-4</v>
      </c>
      <c r="I501" s="2" t="s">
        <v>5512</v>
      </c>
      <c r="J501" s="2" t="s">
        <v>5513</v>
      </c>
      <c r="K501" s="2">
        <v>2.4869570000000001E-3</v>
      </c>
      <c r="L501" s="2" t="s">
        <v>35</v>
      </c>
      <c r="M501" s="4" t="s">
        <v>5514</v>
      </c>
    </row>
    <row r="502" spans="1:13">
      <c r="A502" s="2">
        <v>3380</v>
      </c>
      <c r="B502" s="2" t="s">
        <v>5515</v>
      </c>
      <c r="C502" s="2">
        <v>8</v>
      </c>
      <c r="D502" s="2">
        <v>556</v>
      </c>
      <c r="E502" s="2">
        <v>90</v>
      </c>
      <c r="F502" s="2">
        <v>32441</v>
      </c>
      <c r="G502" s="2">
        <v>5.1864108709999996</v>
      </c>
      <c r="H502" s="2">
        <v>2.5776299999999999E-4</v>
      </c>
      <c r="I502" s="2" t="s">
        <v>5516</v>
      </c>
      <c r="J502" s="2" t="s">
        <v>5517</v>
      </c>
      <c r="K502" s="2">
        <v>2.5308639999999999E-3</v>
      </c>
      <c r="L502" s="2" t="s">
        <v>35</v>
      </c>
      <c r="M502" s="4" t="s">
        <v>5518</v>
      </c>
    </row>
    <row r="503" spans="1:13">
      <c r="A503" s="2">
        <v>2273</v>
      </c>
      <c r="B503" s="2" t="s">
        <v>5519</v>
      </c>
      <c r="C503" s="2">
        <v>6</v>
      </c>
      <c r="D503" s="2">
        <v>556</v>
      </c>
      <c r="E503" s="2">
        <v>47</v>
      </c>
      <c r="F503" s="2">
        <v>32441</v>
      </c>
      <c r="G503" s="2">
        <v>7.4485688049999998</v>
      </c>
      <c r="H503" s="2">
        <v>2.6130700000000001E-4</v>
      </c>
      <c r="I503" s="2" t="s">
        <v>5520</v>
      </c>
      <c r="J503" s="2" t="s">
        <v>5521</v>
      </c>
      <c r="K503" s="2">
        <v>2.5603819999999999E-3</v>
      </c>
      <c r="L503" s="2" t="s">
        <v>35</v>
      </c>
      <c r="M503" s="4" t="s">
        <v>5522</v>
      </c>
    </row>
    <row r="504" spans="1:13">
      <c r="A504" s="2">
        <v>3075</v>
      </c>
      <c r="B504" s="2" t="s">
        <v>5523</v>
      </c>
      <c r="C504" s="2">
        <v>21</v>
      </c>
      <c r="D504" s="2">
        <v>556</v>
      </c>
      <c r="E504" s="2">
        <v>504</v>
      </c>
      <c r="F504" s="2">
        <v>32441</v>
      </c>
      <c r="G504" s="2">
        <v>2.431130096</v>
      </c>
      <c r="H504" s="2">
        <v>2.6880300000000002E-4</v>
      </c>
      <c r="I504" s="2" t="s">
        <v>5524</v>
      </c>
      <c r="J504" s="2" t="s">
        <v>5525</v>
      </c>
      <c r="K504" s="2">
        <v>2.6284170000000001E-3</v>
      </c>
      <c r="L504" s="2" t="s">
        <v>35</v>
      </c>
      <c r="M504" s="4" t="s">
        <v>5526</v>
      </c>
    </row>
    <row r="505" spans="1:13">
      <c r="A505" s="2">
        <v>1018</v>
      </c>
      <c r="B505" s="2" t="s">
        <v>5527</v>
      </c>
      <c r="C505" s="2">
        <v>7</v>
      </c>
      <c r="D505" s="2">
        <v>556</v>
      </c>
      <c r="E505" s="2">
        <v>68</v>
      </c>
      <c r="F505" s="2">
        <v>32441</v>
      </c>
      <c r="G505" s="2">
        <v>6.0063214130000002</v>
      </c>
      <c r="H505" s="2">
        <v>2.7402900000000002E-4</v>
      </c>
      <c r="I505" s="2" t="s">
        <v>5528</v>
      </c>
      <c r="J505" s="2" t="s">
        <v>5529</v>
      </c>
      <c r="K505" s="2">
        <v>2.668559E-3</v>
      </c>
      <c r="L505" s="2" t="s">
        <v>35</v>
      </c>
      <c r="M505" s="4" t="s">
        <v>5530</v>
      </c>
    </row>
    <row r="506" spans="1:13">
      <c r="A506" s="2">
        <v>2840</v>
      </c>
      <c r="B506" s="2" t="s">
        <v>5531</v>
      </c>
      <c r="C506" s="2">
        <v>7</v>
      </c>
      <c r="D506" s="2">
        <v>556</v>
      </c>
      <c r="E506" s="2">
        <v>68</v>
      </c>
      <c r="F506" s="2">
        <v>32441</v>
      </c>
      <c r="G506" s="2">
        <v>6.0063214130000002</v>
      </c>
      <c r="H506" s="2">
        <v>2.7402900000000002E-4</v>
      </c>
      <c r="I506" s="2" t="s">
        <v>5532</v>
      </c>
      <c r="J506" s="2" t="s">
        <v>5533</v>
      </c>
      <c r="K506" s="2">
        <v>2.668559E-3</v>
      </c>
      <c r="L506" s="2" t="s">
        <v>35</v>
      </c>
      <c r="M506" s="4" t="s">
        <v>5534</v>
      </c>
    </row>
    <row r="507" spans="1:13">
      <c r="A507" s="2">
        <v>3518</v>
      </c>
      <c r="B507" s="2" t="s">
        <v>5535</v>
      </c>
      <c r="C507" s="2">
        <v>20</v>
      </c>
      <c r="D507" s="2">
        <v>556</v>
      </c>
      <c r="E507" s="2">
        <v>469</v>
      </c>
      <c r="F507" s="2">
        <v>32441</v>
      </c>
      <c r="G507" s="2">
        <v>2.4881502050000002</v>
      </c>
      <c r="H507" s="2">
        <v>2.8078700000000001E-4</v>
      </c>
      <c r="I507" s="2" t="s">
        <v>5536</v>
      </c>
      <c r="J507" s="2" t="s">
        <v>5537</v>
      </c>
      <c r="K507" s="2">
        <v>2.728795E-3</v>
      </c>
      <c r="L507" s="2" t="s">
        <v>35</v>
      </c>
      <c r="M507" s="4" t="s">
        <v>5538</v>
      </c>
    </row>
    <row r="508" spans="1:13">
      <c r="A508" s="2">
        <v>630</v>
      </c>
      <c r="B508" s="2" t="s">
        <v>5539</v>
      </c>
      <c r="C508" s="2">
        <v>5</v>
      </c>
      <c r="D508" s="2">
        <v>556</v>
      </c>
      <c r="E508" s="2">
        <v>30</v>
      </c>
      <c r="F508" s="2">
        <v>32441</v>
      </c>
      <c r="G508" s="2">
        <v>9.7245203839999999</v>
      </c>
      <c r="H508" s="2">
        <v>2.8518400000000001E-4</v>
      </c>
      <c r="I508" s="2" t="s">
        <v>5540</v>
      </c>
      <c r="J508" s="2" t="s">
        <v>5541</v>
      </c>
      <c r="K508" s="2">
        <v>2.760261E-3</v>
      </c>
      <c r="L508" s="2" t="s">
        <v>35</v>
      </c>
      <c r="M508" s="4" t="s">
        <v>5542</v>
      </c>
    </row>
    <row r="509" spans="1:13">
      <c r="A509" s="2">
        <v>4599</v>
      </c>
      <c r="B509" s="2" t="s">
        <v>5543</v>
      </c>
      <c r="C509" s="2">
        <v>5</v>
      </c>
      <c r="D509" s="2">
        <v>556</v>
      </c>
      <c r="E509" s="2">
        <v>30</v>
      </c>
      <c r="F509" s="2">
        <v>32441</v>
      </c>
      <c r="G509" s="2">
        <v>9.7245203839999999</v>
      </c>
      <c r="H509" s="2">
        <v>2.8518400000000001E-4</v>
      </c>
      <c r="I509" s="2" t="s">
        <v>5544</v>
      </c>
      <c r="J509" s="2" t="s">
        <v>5545</v>
      </c>
      <c r="K509" s="2">
        <v>2.760261E-3</v>
      </c>
      <c r="L509" s="2" t="s">
        <v>35</v>
      </c>
      <c r="M509" s="4" t="s">
        <v>5546</v>
      </c>
    </row>
    <row r="510" spans="1:13">
      <c r="A510" s="2">
        <v>119</v>
      </c>
      <c r="B510" s="2" t="s">
        <v>5547</v>
      </c>
      <c r="C510" s="2">
        <v>7</v>
      </c>
      <c r="D510" s="2">
        <v>556</v>
      </c>
      <c r="E510" s="2">
        <v>69</v>
      </c>
      <c r="F510" s="2">
        <v>32441</v>
      </c>
      <c r="G510" s="2">
        <v>5.9192732770000003</v>
      </c>
      <c r="H510" s="2">
        <v>2.9750300000000001E-4</v>
      </c>
      <c r="I510" s="2" t="s">
        <v>5548</v>
      </c>
      <c r="J510" s="2" t="s">
        <v>5549</v>
      </c>
      <c r="K510" s="2">
        <v>2.8620350000000002E-3</v>
      </c>
      <c r="L510" s="2" t="s">
        <v>35</v>
      </c>
      <c r="M510" s="4" t="s">
        <v>5550</v>
      </c>
    </row>
    <row r="511" spans="1:13">
      <c r="A511" s="2">
        <v>2222</v>
      </c>
      <c r="B511" s="2" t="s">
        <v>5551</v>
      </c>
      <c r="C511" s="2">
        <v>7</v>
      </c>
      <c r="D511" s="2">
        <v>556</v>
      </c>
      <c r="E511" s="2">
        <v>69</v>
      </c>
      <c r="F511" s="2">
        <v>32441</v>
      </c>
      <c r="G511" s="2">
        <v>5.9192732770000003</v>
      </c>
      <c r="H511" s="2">
        <v>2.9750300000000001E-4</v>
      </c>
      <c r="I511" s="2" t="s">
        <v>5552</v>
      </c>
      <c r="J511" s="2" t="s">
        <v>5553</v>
      </c>
      <c r="K511" s="2">
        <v>2.8620350000000002E-3</v>
      </c>
      <c r="L511" s="2" t="s">
        <v>35</v>
      </c>
      <c r="M511" s="4" t="s">
        <v>5554</v>
      </c>
    </row>
    <row r="512" spans="1:13">
      <c r="A512" s="2">
        <v>3833</v>
      </c>
      <c r="B512" s="2" t="s">
        <v>5555</v>
      </c>
      <c r="C512" s="2">
        <v>7</v>
      </c>
      <c r="D512" s="2">
        <v>556</v>
      </c>
      <c r="E512" s="2">
        <v>69</v>
      </c>
      <c r="F512" s="2">
        <v>32441</v>
      </c>
      <c r="G512" s="2">
        <v>5.9192732770000003</v>
      </c>
      <c r="H512" s="2">
        <v>2.9750300000000001E-4</v>
      </c>
      <c r="I512" s="2" t="s">
        <v>5556</v>
      </c>
      <c r="J512" s="2" t="s">
        <v>5557</v>
      </c>
      <c r="K512" s="2">
        <v>2.8620350000000002E-3</v>
      </c>
      <c r="L512" s="2" t="s">
        <v>35</v>
      </c>
      <c r="M512" s="4" t="s">
        <v>5558</v>
      </c>
    </row>
    <row r="513" spans="1:13">
      <c r="A513" s="2">
        <v>1734</v>
      </c>
      <c r="B513" s="2" t="s">
        <v>5559</v>
      </c>
      <c r="C513" s="2">
        <v>4</v>
      </c>
      <c r="D513" s="2">
        <v>556</v>
      </c>
      <c r="E513" s="2">
        <v>16</v>
      </c>
      <c r="F513" s="2">
        <v>32441</v>
      </c>
      <c r="G513" s="2">
        <v>14.586780579999999</v>
      </c>
      <c r="H513" s="2">
        <v>3.1176799999999997E-4</v>
      </c>
      <c r="I513" s="2" t="s">
        <v>5560</v>
      </c>
      <c r="J513" s="2" t="s">
        <v>5561</v>
      </c>
      <c r="K513" s="2">
        <v>2.99322E-3</v>
      </c>
      <c r="L513" s="2" t="s">
        <v>35</v>
      </c>
      <c r="M513" s="4" t="s">
        <v>5562</v>
      </c>
    </row>
    <row r="514" spans="1:13">
      <c r="A514" s="2">
        <v>1265</v>
      </c>
      <c r="B514" s="2" t="s">
        <v>5563</v>
      </c>
      <c r="C514" s="2">
        <v>9</v>
      </c>
      <c r="D514" s="2">
        <v>556</v>
      </c>
      <c r="E514" s="2">
        <v>118</v>
      </c>
      <c r="F514" s="2">
        <v>32441</v>
      </c>
      <c r="G514" s="2">
        <v>4.4502042429999999</v>
      </c>
      <c r="H514" s="2">
        <v>3.13312E-4</v>
      </c>
      <c r="I514" s="2" t="s">
        <v>5564</v>
      </c>
      <c r="J514" s="2" t="s">
        <v>5565</v>
      </c>
      <c r="K514" s="2">
        <v>3.0019959999999998E-3</v>
      </c>
      <c r="L514" s="2" t="s">
        <v>35</v>
      </c>
      <c r="M514" s="4" t="s">
        <v>5566</v>
      </c>
    </row>
    <row r="515" spans="1:13">
      <c r="A515" s="2">
        <v>4449</v>
      </c>
      <c r="B515" s="2" t="s">
        <v>5567</v>
      </c>
      <c r="C515" s="2">
        <v>22</v>
      </c>
      <c r="D515" s="2">
        <v>556</v>
      </c>
      <c r="E515" s="2">
        <v>549</v>
      </c>
      <c r="F515" s="2">
        <v>32441</v>
      </c>
      <c r="G515" s="2">
        <v>2.338136049</v>
      </c>
      <c r="H515" s="2">
        <v>3.2435800000000001E-4</v>
      </c>
      <c r="I515" s="2" t="s">
        <v>5568</v>
      </c>
      <c r="J515" s="2" t="s">
        <v>5569</v>
      </c>
      <c r="K515" s="2">
        <v>3.101595E-3</v>
      </c>
      <c r="L515" s="2" t="s">
        <v>35</v>
      </c>
      <c r="M515" s="4" t="s">
        <v>5570</v>
      </c>
    </row>
    <row r="516" spans="1:13">
      <c r="A516" s="2">
        <v>2813</v>
      </c>
      <c r="B516" s="2" t="s">
        <v>5571</v>
      </c>
      <c r="C516" s="2">
        <v>5</v>
      </c>
      <c r="D516" s="2">
        <v>556</v>
      </c>
      <c r="E516" s="2">
        <v>31</v>
      </c>
      <c r="F516" s="2">
        <v>32441</v>
      </c>
      <c r="G516" s="2">
        <v>9.4108261780000007</v>
      </c>
      <c r="H516" s="2">
        <v>3.2662700000000002E-4</v>
      </c>
      <c r="I516" s="2" t="s">
        <v>5572</v>
      </c>
      <c r="J516" s="2" t="s">
        <v>5573</v>
      </c>
      <c r="K516" s="2">
        <v>3.117033E-3</v>
      </c>
      <c r="L516" s="2" t="s">
        <v>35</v>
      </c>
      <c r="M516" s="4" t="s">
        <v>5574</v>
      </c>
    </row>
    <row r="517" spans="1:13">
      <c r="A517" s="2">
        <v>3059</v>
      </c>
      <c r="B517" s="2" t="s">
        <v>403</v>
      </c>
      <c r="C517" s="2">
        <v>49</v>
      </c>
      <c r="D517" s="2">
        <v>556</v>
      </c>
      <c r="E517" s="2">
        <v>1691</v>
      </c>
      <c r="F517" s="2">
        <v>32441</v>
      </c>
      <c r="G517" s="2">
        <v>1.6907208709999999</v>
      </c>
      <c r="H517" s="2">
        <v>3.3614199999999999E-4</v>
      </c>
      <c r="I517" s="2" t="s">
        <v>5575</v>
      </c>
      <c r="J517" s="2" t="s">
        <v>5576</v>
      </c>
      <c r="K517" s="2">
        <v>3.2014169999999998E-3</v>
      </c>
      <c r="L517" s="2" t="s">
        <v>35</v>
      </c>
      <c r="M517" s="4" t="s">
        <v>5577</v>
      </c>
    </row>
    <row r="518" spans="1:13">
      <c r="A518" s="2">
        <v>2620</v>
      </c>
      <c r="B518" s="2" t="s">
        <v>5578</v>
      </c>
      <c r="C518" s="2">
        <v>7</v>
      </c>
      <c r="D518" s="2">
        <v>556</v>
      </c>
      <c r="E518" s="2">
        <v>71</v>
      </c>
      <c r="F518" s="2">
        <v>32441</v>
      </c>
      <c r="G518" s="2">
        <v>5.7525331849999999</v>
      </c>
      <c r="H518" s="2">
        <v>3.4928900000000002E-4</v>
      </c>
      <c r="I518" s="2" t="s">
        <v>5579</v>
      </c>
      <c r="J518" s="2" t="s">
        <v>5580</v>
      </c>
      <c r="K518" s="2">
        <v>3.319986E-3</v>
      </c>
      <c r="L518" s="2" t="s">
        <v>35</v>
      </c>
      <c r="M518" s="4" t="s">
        <v>5581</v>
      </c>
    </row>
    <row r="519" spans="1:13">
      <c r="A519" s="2">
        <v>4403</v>
      </c>
      <c r="B519" s="2" t="s">
        <v>5582</v>
      </c>
      <c r="C519" s="2">
        <v>6</v>
      </c>
      <c r="D519" s="2">
        <v>556</v>
      </c>
      <c r="E519" s="2">
        <v>50</v>
      </c>
      <c r="F519" s="2">
        <v>32441</v>
      </c>
      <c r="G519" s="2">
        <v>7.0016546760000002</v>
      </c>
      <c r="H519" s="2">
        <v>3.5416499999999998E-4</v>
      </c>
      <c r="I519" s="2" t="s">
        <v>5583</v>
      </c>
      <c r="J519" s="2" t="s">
        <v>5584</v>
      </c>
      <c r="K519" s="2">
        <v>3.359627E-3</v>
      </c>
      <c r="L519" s="2" t="s">
        <v>35</v>
      </c>
      <c r="M519" s="4" t="s">
        <v>5585</v>
      </c>
    </row>
    <row r="520" spans="1:13">
      <c r="A520" s="2">
        <v>2739</v>
      </c>
      <c r="B520" s="2" t="s">
        <v>5586</v>
      </c>
      <c r="C520" s="2">
        <v>11</v>
      </c>
      <c r="D520" s="2">
        <v>556</v>
      </c>
      <c r="E520" s="2">
        <v>176</v>
      </c>
      <c r="F520" s="2">
        <v>32441</v>
      </c>
      <c r="G520" s="2">
        <v>3.6466951440000002</v>
      </c>
      <c r="H520" s="2">
        <v>3.5663600000000002E-4</v>
      </c>
      <c r="I520" s="2" t="s">
        <v>5587</v>
      </c>
      <c r="J520" s="2" t="s">
        <v>5588</v>
      </c>
      <c r="K520" s="2">
        <v>3.3763389999999999E-3</v>
      </c>
      <c r="L520" s="2" t="s">
        <v>35</v>
      </c>
      <c r="M520" s="4" t="s">
        <v>5589</v>
      </c>
    </row>
    <row r="521" spans="1:13">
      <c r="A521" s="2">
        <v>4086</v>
      </c>
      <c r="B521" s="2" t="s">
        <v>5590</v>
      </c>
      <c r="C521" s="2">
        <v>12</v>
      </c>
      <c r="D521" s="2">
        <v>556</v>
      </c>
      <c r="E521" s="2">
        <v>206</v>
      </c>
      <c r="F521" s="2">
        <v>32441</v>
      </c>
      <c r="G521" s="2">
        <v>3.3988614930000001</v>
      </c>
      <c r="H521" s="2">
        <v>3.5817599999999998E-4</v>
      </c>
      <c r="I521" s="2" t="s">
        <v>5591</v>
      </c>
      <c r="J521" s="2" t="s">
        <v>5592</v>
      </c>
      <c r="K521" s="2">
        <v>3.3841909999999999E-3</v>
      </c>
      <c r="L521" s="2" t="s">
        <v>35</v>
      </c>
      <c r="M521" s="4" t="s">
        <v>5593</v>
      </c>
    </row>
    <row r="522" spans="1:13">
      <c r="A522" s="2">
        <v>3930</v>
      </c>
      <c r="B522" s="2" t="s">
        <v>5594</v>
      </c>
      <c r="C522" s="2">
        <v>19</v>
      </c>
      <c r="D522" s="2">
        <v>556</v>
      </c>
      <c r="E522" s="2">
        <v>442</v>
      </c>
      <c r="F522" s="2">
        <v>32441</v>
      </c>
      <c r="G522" s="2">
        <v>2.5081342169999998</v>
      </c>
      <c r="H522" s="2">
        <v>3.5976299999999998E-4</v>
      </c>
      <c r="I522" s="2" t="s">
        <v>5595</v>
      </c>
      <c r="J522" s="2" t="s">
        <v>5596</v>
      </c>
      <c r="K522" s="2">
        <v>3.3924630000000001E-3</v>
      </c>
      <c r="L522" s="2" t="s">
        <v>35</v>
      </c>
      <c r="M522" s="4" t="s">
        <v>5597</v>
      </c>
    </row>
    <row r="523" spans="1:13">
      <c r="A523" s="2">
        <v>2073</v>
      </c>
      <c r="B523" s="2" t="s">
        <v>5598</v>
      </c>
      <c r="C523" s="2">
        <v>8</v>
      </c>
      <c r="D523" s="2">
        <v>556</v>
      </c>
      <c r="E523" s="2">
        <v>95</v>
      </c>
      <c r="F523" s="2">
        <v>32441</v>
      </c>
      <c r="G523" s="2">
        <v>4.9134418780000004</v>
      </c>
      <c r="H523" s="2">
        <v>3.6199099999999998E-4</v>
      </c>
      <c r="I523" s="2" t="s">
        <v>5599</v>
      </c>
      <c r="J523" s="2" t="s">
        <v>5600</v>
      </c>
      <c r="K523" s="2">
        <v>3.406723E-3</v>
      </c>
      <c r="L523" s="2" t="s">
        <v>35</v>
      </c>
      <c r="M523" s="4" t="s">
        <v>5601</v>
      </c>
    </row>
    <row r="524" spans="1:13">
      <c r="A524" s="2">
        <v>1006</v>
      </c>
      <c r="B524" s="2" t="s">
        <v>5602</v>
      </c>
      <c r="C524" s="2">
        <v>5</v>
      </c>
      <c r="D524" s="2">
        <v>556</v>
      </c>
      <c r="E524" s="2">
        <v>32</v>
      </c>
      <c r="F524" s="2">
        <v>32441</v>
      </c>
      <c r="G524" s="2">
        <v>9.1167378600000006</v>
      </c>
      <c r="H524" s="2">
        <v>3.7247099999999998E-4</v>
      </c>
      <c r="I524" s="2" t="s">
        <v>5603</v>
      </c>
      <c r="J524" s="2" t="s">
        <v>5604</v>
      </c>
      <c r="K524" s="2">
        <v>3.498438E-3</v>
      </c>
      <c r="L524" s="2" t="s">
        <v>35</v>
      </c>
      <c r="M524" s="4" t="s">
        <v>5605</v>
      </c>
    </row>
    <row r="525" spans="1:13">
      <c r="A525" s="2">
        <v>224</v>
      </c>
      <c r="B525" s="2" t="s">
        <v>5606</v>
      </c>
      <c r="C525" s="2">
        <v>4</v>
      </c>
      <c r="D525" s="2">
        <v>556</v>
      </c>
      <c r="E525" s="2">
        <v>17</v>
      </c>
      <c r="F525" s="2">
        <v>32441</v>
      </c>
      <c r="G525" s="2">
        <v>13.728734660000001</v>
      </c>
      <c r="H525" s="2">
        <v>3.8001499999999999E-4</v>
      </c>
      <c r="I525" s="2" t="s">
        <v>5607</v>
      </c>
      <c r="J525" s="2" t="s">
        <v>5608</v>
      </c>
      <c r="K525" s="2">
        <v>3.5552729999999999E-3</v>
      </c>
      <c r="L525" s="2" t="s">
        <v>35</v>
      </c>
      <c r="M525" s="4" t="s">
        <v>5609</v>
      </c>
    </row>
    <row r="526" spans="1:13">
      <c r="A526" s="2">
        <v>3108</v>
      </c>
      <c r="B526" s="2" t="s">
        <v>5610</v>
      </c>
      <c r="C526" s="2">
        <v>4</v>
      </c>
      <c r="D526" s="2">
        <v>556</v>
      </c>
      <c r="E526" s="2">
        <v>17</v>
      </c>
      <c r="F526" s="2">
        <v>32441</v>
      </c>
      <c r="G526" s="2">
        <v>13.728734660000001</v>
      </c>
      <c r="H526" s="2">
        <v>3.8001499999999999E-4</v>
      </c>
      <c r="I526" s="2" t="s">
        <v>5394</v>
      </c>
      <c r="J526" s="2" t="s">
        <v>5395</v>
      </c>
      <c r="K526" s="2">
        <v>3.5552729999999999E-3</v>
      </c>
      <c r="L526" s="2" t="s">
        <v>35</v>
      </c>
      <c r="M526" s="4" t="s">
        <v>5611</v>
      </c>
    </row>
    <row r="527" spans="1:13">
      <c r="A527" s="2">
        <v>2738</v>
      </c>
      <c r="B527" s="2" t="s">
        <v>5612</v>
      </c>
      <c r="C527" s="2">
        <v>6</v>
      </c>
      <c r="D527" s="2">
        <v>556</v>
      </c>
      <c r="E527" s="2">
        <v>51</v>
      </c>
      <c r="F527" s="2">
        <v>32441</v>
      </c>
      <c r="G527" s="2">
        <v>6.8643673300000003</v>
      </c>
      <c r="H527" s="2">
        <v>3.9025900000000001E-4</v>
      </c>
      <c r="I527" s="2" t="s">
        <v>5613</v>
      </c>
      <c r="J527" s="2" t="s">
        <v>5614</v>
      </c>
      <c r="K527" s="2">
        <v>3.6439480000000002E-3</v>
      </c>
      <c r="L527" s="2" t="s">
        <v>35</v>
      </c>
      <c r="M527" s="4" t="s">
        <v>5615</v>
      </c>
    </row>
    <row r="528" spans="1:13">
      <c r="A528" s="2">
        <v>2108</v>
      </c>
      <c r="B528" s="2" t="s">
        <v>5616</v>
      </c>
      <c r="C528" s="2">
        <v>7</v>
      </c>
      <c r="D528" s="2">
        <v>556</v>
      </c>
      <c r="E528" s="2">
        <v>73</v>
      </c>
      <c r="F528" s="2">
        <v>32441</v>
      </c>
      <c r="G528" s="2">
        <v>5.5949295360000004</v>
      </c>
      <c r="H528" s="2">
        <v>4.0805399999999998E-4</v>
      </c>
      <c r="I528" s="2" t="s">
        <v>5617</v>
      </c>
      <c r="J528" s="2" t="s">
        <v>5618</v>
      </c>
      <c r="K528" s="2">
        <v>3.8026480000000001E-3</v>
      </c>
      <c r="L528" s="2" t="s">
        <v>35</v>
      </c>
      <c r="M528" s="4" t="s">
        <v>5619</v>
      </c>
    </row>
    <row r="529" spans="1:13">
      <c r="A529" s="2">
        <v>1419</v>
      </c>
      <c r="B529" s="2" t="s">
        <v>5620</v>
      </c>
      <c r="C529" s="2">
        <v>20</v>
      </c>
      <c r="D529" s="2">
        <v>556</v>
      </c>
      <c r="E529" s="2">
        <v>485</v>
      </c>
      <c r="F529" s="2">
        <v>32441</v>
      </c>
      <c r="G529" s="2">
        <v>2.4060668989999998</v>
      </c>
      <c r="H529" s="2">
        <v>4.23008E-4</v>
      </c>
      <c r="I529" s="2" t="s">
        <v>5621</v>
      </c>
      <c r="J529" s="2" t="s">
        <v>5622</v>
      </c>
      <c r="K529" s="2">
        <v>3.903849E-3</v>
      </c>
      <c r="L529" s="2" t="s">
        <v>35</v>
      </c>
      <c r="M529" s="4" t="s">
        <v>5623</v>
      </c>
    </row>
    <row r="530" spans="1:13">
      <c r="A530" s="2">
        <v>1954</v>
      </c>
      <c r="B530" s="2" t="s">
        <v>5624</v>
      </c>
      <c r="C530" s="2">
        <v>5</v>
      </c>
      <c r="D530" s="2">
        <v>556</v>
      </c>
      <c r="E530" s="2">
        <v>33</v>
      </c>
      <c r="F530" s="2">
        <v>32441</v>
      </c>
      <c r="G530" s="2">
        <v>8.8404730760000003</v>
      </c>
      <c r="H530" s="2">
        <v>4.2301300000000002E-4</v>
      </c>
      <c r="I530" s="2" t="s">
        <v>5625</v>
      </c>
      <c r="J530" s="2" t="s">
        <v>5626</v>
      </c>
      <c r="K530" s="2">
        <v>3.903849E-3</v>
      </c>
      <c r="L530" s="2" t="s">
        <v>35</v>
      </c>
      <c r="M530" s="4" t="s">
        <v>5627</v>
      </c>
    </row>
    <row r="531" spans="1:13">
      <c r="A531" s="2">
        <v>3984</v>
      </c>
      <c r="B531" s="2" t="s">
        <v>5628</v>
      </c>
      <c r="C531" s="2">
        <v>5</v>
      </c>
      <c r="D531" s="2">
        <v>556</v>
      </c>
      <c r="E531" s="2">
        <v>33</v>
      </c>
      <c r="F531" s="2">
        <v>32441</v>
      </c>
      <c r="G531" s="2">
        <v>8.8404730760000003</v>
      </c>
      <c r="H531" s="2">
        <v>4.2301300000000002E-4</v>
      </c>
      <c r="I531" s="2" t="s">
        <v>5629</v>
      </c>
      <c r="J531" s="2" t="s">
        <v>5630</v>
      </c>
      <c r="K531" s="2">
        <v>3.903849E-3</v>
      </c>
      <c r="L531" s="2" t="s">
        <v>35</v>
      </c>
      <c r="M531" s="4" t="s">
        <v>5631</v>
      </c>
    </row>
    <row r="532" spans="1:13">
      <c r="A532" s="2">
        <v>4171</v>
      </c>
      <c r="B532" s="2" t="s">
        <v>5632</v>
      </c>
      <c r="C532" s="2">
        <v>12</v>
      </c>
      <c r="D532" s="2">
        <v>556</v>
      </c>
      <c r="E532" s="2">
        <v>210</v>
      </c>
      <c r="F532" s="2">
        <v>32441</v>
      </c>
      <c r="G532" s="2">
        <v>3.3341212740000001</v>
      </c>
      <c r="H532" s="2">
        <v>4.2183599999999998E-4</v>
      </c>
      <c r="I532" s="2" t="s">
        <v>5633</v>
      </c>
      <c r="J532" s="2" t="s">
        <v>5634</v>
      </c>
      <c r="K532" s="2">
        <v>3.903849E-3</v>
      </c>
      <c r="L532" s="2" t="s">
        <v>35</v>
      </c>
      <c r="M532" s="4" t="s">
        <v>5635</v>
      </c>
    </row>
    <row r="533" spans="1:13">
      <c r="A533" s="2">
        <v>4596</v>
      </c>
      <c r="B533" s="2" t="s">
        <v>5636</v>
      </c>
      <c r="C533" s="2">
        <v>5</v>
      </c>
      <c r="D533" s="2">
        <v>556</v>
      </c>
      <c r="E533" s="2">
        <v>33</v>
      </c>
      <c r="F533" s="2">
        <v>32441</v>
      </c>
      <c r="G533" s="2">
        <v>8.8404730760000003</v>
      </c>
      <c r="H533" s="2">
        <v>4.2301300000000002E-4</v>
      </c>
      <c r="I533" s="2" t="s">
        <v>5637</v>
      </c>
      <c r="J533" s="2" t="s">
        <v>5638</v>
      </c>
      <c r="K533" s="2">
        <v>3.903849E-3</v>
      </c>
      <c r="L533" s="2" t="s">
        <v>35</v>
      </c>
      <c r="M533" s="4" t="s">
        <v>5639</v>
      </c>
    </row>
    <row r="534" spans="1:13">
      <c r="A534" s="2">
        <v>929</v>
      </c>
      <c r="B534" s="2" t="s">
        <v>5640</v>
      </c>
      <c r="C534" s="2">
        <v>18</v>
      </c>
      <c r="D534" s="2">
        <v>556</v>
      </c>
      <c r="E534" s="2">
        <v>413</v>
      </c>
      <c r="F534" s="2">
        <v>32441</v>
      </c>
      <c r="G534" s="2">
        <v>2.5429738529999999</v>
      </c>
      <c r="H534" s="2">
        <v>4.3611600000000001E-4</v>
      </c>
      <c r="I534" s="2" t="s">
        <v>5641</v>
      </c>
      <c r="J534" s="2" t="s">
        <v>5642</v>
      </c>
      <c r="K534" s="2">
        <v>4.0169949999999998E-3</v>
      </c>
      <c r="L534" s="2" t="s">
        <v>35</v>
      </c>
      <c r="M534" s="4" t="s">
        <v>5643</v>
      </c>
    </row>
    <row r="535" spans="1:13">
      <c r="A535" s="2">
        <v>3375</v>
      </c>
      <c r="B535" s="2" t="s">
        <v>337</v>
      </c>
      <c r="C535" s="2">
        <v>8</v>
      </c>
      <c r="D535" s="2">
        <v>556</v>
      </c>
      <c r="E535" s="2">
        <v>98</v>
      </c>
      <c r="F535" s="2">
        <v>32441</v>
      </c>
      <c r="G535" s="2">
        <v>4.7630303920000001</v>
      </c>
      <c r="H535" s="2">
        <v>4.39462E-4</v>
      </c>
      <c r="I535" s="2" t="s">
        <v>5644</v>
      </c>
      <c r="J535" s="2" t="s">
        <v>5645</v>
      </c>
      <c r="K535" s="2">
        <v>4.0395329999999997E-3</v>
      </c>
      <c r="L535" s="2" t="s">
        <v>35</v>
      </c>
      <c r="M535" s="4" t="s">
        <v>5646</v>
      </c>
    </row>
    <row r="536" spans="1:13">
      <c r="A536" s="2">
        <v>4082</v>
      </c>
      <c r="B536" s="2" t="s">
        <v>5647</v>
      </c>
      <c r="C536" s="2">
        <v>7</v>
      </c>
      <c r="D536" s="2">
        <v>556</v>
      </c>
      <c r="E536" s="2">
        <v>74</v>
      </c>
      <c r="F536" s="2">
        <v>32441</v>
      </c>
      <c r="G536" s="2">
        <v>5.5193223800000002</v>
      </c>
      <c r="H536" s="2">
        <v>4.4025999999999999E-4</v>
      </c>
      <c r="I536" s="2" t="s">
        <v>5648</v>
      </c>
      <c r="J536" s="2" t="s">
        <v>5649</v>
      </c>
      <c r="K536" s="2">
        <v>4.0395329999999997E-3</v>
      </c>
      <c r="L536" s="2" t="s">
        <v>35</v>
      </c>
      <c r="M536" s="4" t="s">
        <v>5650</v>
      </c>
    </row>
    <row r="537" spans="1:13">
      <c r="A537" s="2">
        <v>3184</v>
      </c>
      <c r="B537" s="2" t="s">
        <v>5651</v>
      </c>
      <c r="C537" s="2">
        <v>4</v>
      </c>
      <c r="D537" s="2">
        <v>556</v>
      </c>
      <c r="E537" s="2">
        <v>18</v>
      </c>
      <c r="F537" s="2">
        <v>32441</v>
      </c>
      <c r="G537" s="2">
        <v>12.966027179999999</v>
      </c>
      <c r="H537" s="2">
        <v>4.58305E-4</v>
      </c>
      <c r="I537" s="2" t="s">
        <v>5652</v>
      </c>
      <c r="J537" s="2" t="s">
        <v>5653</v>
      </c>
      <c r="K537" s="2">
        <v>4.1889630000000004E-3</v>
      </c>
      <c r="L537" s="2" t="s">
        <v>35</v>
      </c>
      <c r="M537" s="4" t="s">
        <v>5654</v>
      </c>
    </row>
    <row r="538" spans="1:13">
      <c r="A538" s="2">
        <v>3353</v>
      </c>
      <c r="B538" s="2" t="s">
        <v>5655</v>
      </c>
      <c r="C538" s="2">
        <v>4</v>
      </c>
      <c r="D538" s="2">
        <v>556</v>
      </c>
      <c r="E538" s="2">
        <v>18</v>
      </c>
      <c r="F538" s="2">
        <v>32441</v>
      </c>
      <c r="G538" s="2">
        <v>12.966027179999999</v>
      </c>
      <c r="H538" s="2">
        <v>4.58305E-4</v>
      </c>
      <c r="I538" s="2" t="s">
        <v>5656</v>
      </c>
      <c r="J538" s="2" t="s">
        <v>5657</v>
      </c>
      <c r="K538" s="2">
        <v>4.1889630000000004E-3</v>
      </c>
      <c r="L538" s="2" t="s">
        <v>35</v>
      </c>
      <c r="M538" s="4" t="s">
        <v>5658</v>
      </c>
    </row>
    <row r="539" spans="1:13">
      <c r="A539" s="2">
        <v>2752</v>
      </c>
      <c r="B539" s="2" t="s">
        <v>5659</v>
      </c>
      <c r="C539" s="2">
        <v>7</v>
      </c>
      <c r="D539" s="2">
        <v>556</v>
      </c>
      <c r="E539" s="2">
        <v>76</v>
      </c>
      <c r="F539" s="2">
        <v>32441</v>
      </c>
      <c r="G539" s="2">
        <v>5.3740770539999998</v>
      </c>
      <c r="H539" s="2">
        <v>5.1074900000000001E-4</v>
      </c>
      <c r="I539" s="2" t="s">
        <v>5660</v>
      </c>
      <c r="J539" s="2" t="s">
        <v>5661</v>
      </c>
      <c r="K539" s="2">
        <v>4.6593620000000002E-3</v>
      </c>
      <c r="L539" s="2" t="s">
        <v>35</v>
      </c>
      <c r="M539" s="4" t="s">
        <v>5662</v>
      </c>
    </row>
    <row r="540" spans="1:13">
      <c r="A540" s="2">
        <v>1568</v>
      </c>
      <c r="B540" s="2" t="s">
        <v>5663</v>
      </c>
      <c r="C540" s="2">
        <v>3</v>
      </c>
      <c r="D540" s="2">
        <v>556</v>
      </c>
      <c r="E540" s="2">
        <v>7</v>
      </c>
      <c r="F540" s="2">
        <v>32441</v>
      </c>
      <c r="G540" s="2">
        <v>25.005909559999999</v>
      </c>
      <c r="H540" s="2">
        <v>5.2277400000000005E-4</v>
      </c>
      <c r="I540" s="2" t="s">
        <v>5664</v>
      </c>
      <c r="J540" s="2" t="s">
        <v>5665</v>
      </c>
      <c r="K540" s="2">
        <v>4.7418080000000001E-3</v>
      </c>
      <c r="L540" s="2" t="s">
        <v>35</v>
      </c>
      <c r="M540" s="4" t="s">
        <v>5666</v>
      </c>
    </row>
    <row r="541" spans="1:13">
      <c r="A541" s="2">
        <v>1854</v>
      </c>
      <c r="B541" s="2" t="s">
        <v>5667</v>
      </c>
      <c r="C541" s="2">
        <v>3</v>
      </c>
      <c r="D541" s="2">
        <v>556</v>
      </c>
      <c r="E541" s="2">
        <v>7</v>
      </c>
      <c r="F541" s="2">
        <v>32441</v>
      </c>
      <c r="G541" s="2">
        <v>25.005909559999999</v>
      </c>
      <c r="H541" s="2">
        <v>5.2277400000000005E-4</v>
      </c>
      <c r="I541" s="2" t="s">
        <v>5668</v>
      </c>
      <c r="J541" s="2" t="s">
        <v>5669</v>
      </c>
      <c r="K541" s="2">
        <v>4.7418080000000001E-3</v>
      </c>
      <c r="L541" s="2" t="s">
        <v>35</v>
      </c>
      <c r="M541" s="4" t="s">
        <v>5670</v>
      </c>
    </row>
    <row r="542" spans="1:13">
      <c r="A542" s="2">
        <v>2597</v>
      </c>
      <c r="B542" s="2" t="s">
        <v>5671</v>
      </c>
      <c r="C542" s="2">
        <v>3</v>
      </c>
      <c r="D542" s="2">
        <v>556</v>
      </c>
      <c r="E542" s="2">
        <v>7</v>
      </c>
      <c r="F542" s="2">
        <v>32441</v>
      </c>
      <c r="G542" s="2">
        <v>25.005909559999999</v>
      </c>
      <c r="H542" s="2">
        <v>5.2277400000000005E-4</v>
      </c>
      <c r="I542" s="2" t="s">
        <v>5672</v>
      </c>
      <c r="J542" s="2" t="s">
        <v>5673</v>
      </c>
      <c r="K542" s="2">
        <v>4.7418080000000001E-3</v>
      </c>
      <c r="L542" s="2" t="s">
        <v>35</v>
      </c>
      <c r="M542" s="4" t="s">
        <v>5674</v>
      </c>
    </row>
    <row r="543" spans="1:13">
      <c r="A543" s="2">
        <v>1858</v>
      </c>
      <c r="B543" s="2" t="s">
        <v>5675</v>
      </c>
      <c r="C543" s="2">
        <v>11</v>
      </c>
      <c r="D543" s="2">
        <v>556</v>
      </c>
      <c r="E543" s="2">
        <v>185</v>
      </c>
      <c r="F543" s="2">
        <v>32441</v>
      </c>
      <c r="G543" s="2">
        <v>3.469288353</v>
      </c>
      <c r="H543" s="2">
        <v>5.3008299999999999E-4</v>
      </c>
      <c r="I543" s="2" t="s">
        <v>5676</v>
      </c>
      <c r="J543" s="2" t="s">
        <v>5677</v>
      </c>
      <c r="K543" s="2">
        <v>4.7989640000000002E-3</v>
      </c>
      <c r="L543" s="2" t="s">
        <v>35</v>
      </c>
      <c r="M543" s="4" t="s">
        <v>5678</v>
      </c>
    </row>
    <row r="544" spans="1:13">
      <c r="A544" s="2">
        <v>157</v>
      </c>
      <c r="B544" s="2" t="s">
        <v>5679</v>
      </c>
      <c r="C544" s="2">
        <v>5</v>
      </c>
      <c r="D544" s="2">
        <v>556</v>
      </c>
      <c r="E544" s="2">
        <v>35</v>
      </c>
      <c r="F544" s="2">
        <v>32441</v>
      </c>
      <c r="G544" s="2">
        <v>8.3353031860000009</v>
      </c>
      <c r="H544" s="2">
        <v>5.3941199999999996E-4</v>
      </c>
      <c r="I544" s="2" t="s">
        <v>5680</v>
      </c>
      <c r="J544" s="2" t="s">
        <v>5681</v>
      </c>
      <c r="K544" s="2">
        <v>4.8741549999999998E-3</v>
      </c>
      <c r="L544" s="2" t="s">
        <v>35</v>
      </c>
      <c r="M544" s="4" t="s">
        <v>5682</v>
      </c>
    </row>
    <row r="545" spans="1:13">
      <c r="A545" s="2">
        <v>2836</v>
      </c>
      <c r="B545" s="2" t="s">
        <v>5683</v>
      </c>
      <c r="C545" s="2">
        <v>7</v>
      </c>
      <c r="D545" s="2">
        <v>556</v>
      </c>
      <c r="E545" s="2">
        <v>77</v>
      </c>
      <c r="F545" s="2">
        <v>32441</v>
      </c>
      <c r="G545" s="2">
        <v>5.3042838459999997</v>
      </c>
      <c r="H545" s="2">
        <v>5.4921099999999997E-4</v>
      </c>
      <c r="I545" s="2" t="s">
        <v>5684</v>
      </c>
      <c r="J545" s="2" t="s">
        <v>5685</v>
      </c>
      <c r="K545" s="2">
        <v>4.9253170000000002E-3</v>
      </c>
      <c r="L545" s="2" t="s">
        <v>35</v>
      </c>
      <c r="M545" s="4" t="s">
        <v>5686</v>
      </c>
    </row>
    <row r="546" spans="1:13">
      <c r="A546" s="2">
        <v>3816</v>
      </c>
      <c r="B546" s="2" t="s">
        <v>5687</v>
      </c>
      <c r="C546" s="2">
        <v>7</v>
      </c>
      <c r="D546" s="2">
        <v>556</v>
      </c>
      <c r="E546" s="2">
        <v>77</v>
      </c>
      <c r="F546" s="2">
        <v>32441</v>
      </c>
      <c r="G546" s="2">
        <v>5.3042838459999997</v>
      </c>
      <c r="H546" s="2">
        <v>5.4921099999999997E-4</v>
      </c>
      <c r="I546" s="2" t="s">
        <v>5688</v>
      </c>
      <c r="J546" s="2" t="s">
        <v>5689</v>
      </c>
      <c r="K546" s="2">
        <v>4.9253170000000002E-3</v>
      </c>
      <c r="L546" s="2" t="s">
        <v>35</v>
      </c>
      <c r="M546" s="4" t="s">
        <v>5690</v>
      </c>
    </row>
    <row r="547" spans="1:13">
      <c r="A547" s="2">
        <v>4088</v>
      </c>
      <c r="B547" s="2" t="s">
        <v>5691</v>
      </c>
      <c r="C547" s="2">
        <v>9</v>
      </c>
      <c r="D547" s="2">
        <v>556</v>
      </c>
      <c r="E547" s="2">
        <v>128</v>
      </c>
      <c r="F547" s="2">
        <v>32441</v>
      </c>
      <c r="G547" s="2">
        <v>4.1025320369999996</v>
      </c>
      <c r="H547" s="2">
        <v>5.4642500000000001E-4</v>
      </c>
      <c r="I547" s="2" t="s">
        <v>5692</v>
      </c>
      <c r="J547" s="2" t="s">
        <v>5693</v>
      </c>
      <c r="K547" s="2">
        <v>4.9253170000000002E-3</v>
      </c>
      <c r="L547" s="2" t="s">
        <v>35</v>
      </c>
      <c r="M547" s="4" t="s">
        <v>5694</v>
      </c>
    </row>
    <row r="548" spans="1:13">
      <c r="A548" s="2">
        <v>4193</v>
      </c>
      <c r="B548" s="2" t="s">
        <v>5695</v>
      </c>
      <c r="C548" s="2">
        <v>4</v>
      </c>
      <c r="D548" s="2">
        <v>556</v>
      </c>
      <c r="E548" s="2">
        <v>19</v>
      </c>
      <c r="F548" s="2">
        <v>32441</v>
      </c>
      <c r="G548" s="2">
        <v>12.2836047</v>
      </c>
      <c r="H548" s="2">
        <v>5.4743900000000004E-4</v>
      </c>
      <c r="I548" s="2" t="s">
        <v>5696</v>
      </c>
      <c r="J548" s="2" t="s">
        <v>5697</v>
      </c>
      <c r="K548" s="2">
        <v>4.9253170000000002E-3</v>
      </c>
      <c r="L548" s="2" t="s">
        <v>35</v>
      </c>
      <c r="M548" s="4" t="s">
        <v>5698</v>
      </c>
    </row>
    <row r="549" spans="1:13">
      <c r="A549" s="2">
        <v>3931</v>
      </c>
      <c r="B549" s="2" t="s">
        <v>5699</v>
      </c>
      <c r="C549" s="2">
        <v>15</v>
      </c>
      <c r="D549" s="2">
        <v>556</v>
      </c>
      <c r="E549" s="2">
        <v>317</v>
      </c>
      <c r="F549" s="2">
        <v>32441</v>
      </c>
      <c r="G549" s="2">
        <v>2.7609048409999999</v>
      </c>
      <c r="H549" s="2">
        <v>5.7684000000000001E-4</v>
      </c>
      <c r="I549" s="2" t="s">
        <v>5700</v>
      </c>
      <c r="J549" s="2" t="s">
        <v>5701</v>
      </c>
      <c r="K549" s="2">
        <v>5.1633729999999997E-3</v>
      </c>
      <c r="L549" s="2" t="s">
        <v>35</v>
      </c>
      <c r="M549" s="4" t="s">
        <v>5702</v>
      </c>
    </row>
    <row r="550" spans="1:13">
      <c r="A550" s="2">
        <v>2577</v>
      </c>
      <c r="B550" s="2" t="s">
        <v>5703</v>
      </c>
      <c r="C550" s="2">
        <v>7</v>
      </c>
      <c r="D550" s="2">
        <v>556</v>
      </c>
      <c r="E550" s="2">
        <v>78</v>
      </c>
      <c r="F550" s="2">
        <v>32441</v>
      </c>
      <c r="G550" s="2">
        <v>5.2362802070000001</v>
      </c>
      <c r="H550" s="2">
        <v>5.8994099999999997E-4</v>
      </c>
      <c r="I550" s="2" t="s">
        <v>5704</v>
      </c>
      <c r="J550" s="2" t="s">
        <v>5705</v>
      </c>
      <c r="K550" s="2">
        <v>5.251024E-3</v>
      </c>
      <c r="L550" s="2" t="s">
        <v>35</v>
      </c>
      <c r="M550" s="4" t="s">
        <v>5706</v>
      </c>
    </row>
    <row r="551" spans="1:13">
      <c r="A551" s="2">
        <v>3469</v>
      </c>
      <c r="B551" s="2" t="s">
        <v>5707</v>
      </c>
      <c r="C551" s="2">
        <v>7</v>
      </c>
      <c r="D551" s="2">
        <v>556</v>
      </c>
      <c r="E551" s="2">
        <v>78</v>
      </c>
      <c r="F551" s="2">
        <v>32441</v>
      </c>
      <c r="G551" s="2">
        <v>5.2362802070000001</v>
      </c>
      <c r="H551" s="2">
        <v>5.8994099999999997E-4</v>
      </c>
      <c r="I551" s="2" t="s">
        <v>5708</v>
      </c>
      <c r="J551" s="2" t="s">
        <v>5709</v>
      </c>
      <c r="K551" s="2">
        <v>5.251024E-3</v>
      </c>
      <c r="L551" s="2" t="s">
        <v>35</v>
      </c>
      <c r="M551" s="4" t="s">
        <v>5710</v>
      </c>
    </row>
    <row r="552" spans="1:13">
      <c r="A552" s="2">
        <v>4645</v>
      </c>
      <c r="B552" s="2" t="s">
        <v>5711</v>
      </c>
      <c r="C552" s="2">
        <v>7</v>
      </c>
      <c r="D552" s="2">
        <v>556</v>
      </c>
      <c r="E552" s="2">
        <v>78</v>
      </c>
      <c r="F552" s="2">
        <v>32441</v>
      </c>
      <c r="G552" s="2">
        <v>5.2362802070000001</v>
      </c>
      <c r="H552" s="2">
        <v>5.8994099999999997E-4</v>
      </c>
      <c r="I552" s="2" t="s">
        <v>5712</v>
      </c>
      <c r="J552" s="2" t="s">
        <v>5713</v>
      </c>
      <c r="K552" s="2">
        <v>5.251024E-3</v>
      </c>
      <c r="L552" s="2" t="s">
        <v>35</v>
      </c>
      <c r="M552" s="4" t="s">
        <v>5714</v>
      </c>
    </row>
    <row r="553" spans="1:13">
      <c r="A553" s="2">
        <v>2034</v>
      </c>
      <c r="B553" s="2" t="s">
        <v>5715</v>
      </c>
      <c r="C553" s="2">
        <v>5</v>
      </c>
      <c r="D553" s="2">
        <v>556</v>
      </c>
      <c r="E553" s="2">
        <v>36</v>
      </c>
      <c r="F553" s="2">
        <v>32441</v>
      </c>
      <c r="G553" s="2">
        <v>8.1037669860000001</v>
      </c>
      <c r="H553" s="2">
        <v>6.0589900000000002E-4</v>
      </c>
      <c r="I553" s="2" t="s">
        <v>5716</v>
      </c>
      <c r="J553" s="2" t="s">
        <v>5717</v>
      </c>
      <c r="K553" s="2">
        <v>5.3830099999999997E-3</v>
      </c>
      <c r="L553" s="2" t="s">
        <v>35</v>
      </c>
      <c r="M553" s="4" t="s">
        <v>5718</v>
      </c>
    </row>
    <row r="554" spans="1:13">
      <c r="A554" s="2">
        <v>2981</v>
      </c>
      <c r="B554" s="2" t="s">
        <v>5719</v>
      </c>
      <c r="C554" s="2">
        <v>6</v>
      </c>
      <c r="D554" s="2">
        <v>556</v>
      </c>
      <c r="E554" s="2">
        <v>56</v>
      </c>
      <c r="F554" s="2">
        <v>32441</v>
      </c>
      <c r="G554" s="2">
        <v>6.2514773899999998</v>
      </c>
      <c r="H554" s="2">
        <v>6.1592400000000001E-4</v>
      </c>
      <c r="I554" s="2" t="s">
        <v>5720</v>
      </c>
      <c r="J554" s="2" t="s">
        <v>5721</v>
      </c>
      <c r="K554" s="2">
        <v>5.4618799999999997E-3</v>
      </c>
      <c r="L554" s="2" t="s">
        <v>35</v>
      </c>
      <c r="M554" s="4" t="s">
        <v>5722</v>
      </c>
    </row>
    <row r="555" spans="1:13">
      <c r="A555" s="2">
        <v>1469</v>
      </c>
      <c r="B555" s="2" t="s">
        <v>5723</v>
      </c>
      <c r="C555" s="2">
        <v>8</v>
      </c>
      <c r="D555" s="2">
        <v>556</v>
      </c>
      <c r="E555" s="2">
        <v>104</v>
      </c>
      <c r="F555" s="2">
        <v>32441</v>
      </c>
      <c r="G555" s="2">
        <v>4.4882401769999998</v>
      </c>
      <c r="H555" s="2">
        <v>6.3478700000000005E-4</v>
      </c>
      <c r="I555" s="2" t="s">
        <v>5724</v>
      </c>
      <c r="J555" s="2" t="s">
        <v>5725</v>
      </c>
      <c r="K555" s="2">
        <v>5.6186949999999999E-3</v>
      </c>
      <c r="L555" s="2" t="s">
        <v>35</v>
      </c>
      <c r="M555" s="4" t="s">
        <v>5726</v>
      </c>
    </row>
    <row r="556" spans="1:13">
      <c r="A556" s="2">
        <v>2123</v>
      </c>
      <c r="B556" s="2" t="s">
        <v>5727</v>
      </c>
      <c r="C556" s="2">
        <v>6</v>
      </c>
      <c r="D556" s="2">
        <v>556</v>
      </c>
      <c r="E556" s="2">
        <v>57</v>
      </c>
      <c r="F556" s="2">
        <v>32441</v>
      </c>
      <c r="G556" s="2">
        <v>6.1418023479999997</v>
      </c>
      <c r="H556" s="2">
        <v>6.7119399999999996E-4</v>
      </c>
      <c r="I556" s="2" t="s">
        <v>5728</v>
      </c>
      <c r="J556" s="2" t="s">
        <v>5729</v>
      </c>
      <c r="K556" s="2">
        <v>5.9261890000000001E-3</v>
      </c>
      <c r="L556" s="2" t="s">
        <v>35</v>
      </c>
      <c r="M556" s="4" t="s">
        <v>5730</v>
      </c>
    </row>
    <row r="557" spans="1:13">
      <c r="A557" s="2">
        <v>4064</v>
      </c>
      <c r="B557" s="2" t="s">
        <v>5731</v>
      </c>
      <c r="C557" s="2">
        <v>8</v>
      </c>
      <c r="D557" s="2">
        <v>556</v>
      </c>
      <c r="E557" s="2">
        <v>105</v>
      </c>
      <c r="F557" s="2">
        <v>32441</v>
      </c>
      <c r="G557" s="2">
        <v>4.4454950330000003</v>
      </c>
      <c r="H557" s="2">
        <v>6.7326099999999998E-4</v>
      </c>
      <c r="I557" s="2" t="s">
        <v>5732</v>
      </c>
      <c r="J557" s="2" t="s">
        <v>5733</v>
      </c>
      <c r="K557" s="2">
        <v>5.9261890000000001E-3</v>
      </c>
      <c r="L557" s="2" t="s">
        <v>35</v>
      </c>
      <c r="M557" s="4" t="s">
        <v>5734</v>
      </c>
    </row>
    <row r="558" spans="1:13">
      <c r="A558" s="2">
        <v>4173</v>
      </c>
      <c r="B558" s="2" t="s">
        <v>5735</v>
      </c>
      <c r="C558" s="2">
        <v>12</v>
      </c>
      <c r="D558" s="2">
        <v>556</v>
      </c>
      <c r="E558" s="2">
        <v>222</v>
      </c>
      <c r="F558" s="2">
        <v>32441</v>
      </c>
      <c r="G558" s="2">
        <v>3.1538985030000002</v>
      </c>
      <c r="H558" s="2">
        <v>6.7286799999999997E-4</v>
      </c>
      <c r="I558" s="2" t="s">
        <v>5736</v>
      </c>
      <c r="J558" s="2" t="s">
        <v>5737</v>
      </c>
      <c r="K558" s="2">
        <v>5.9261890000000001E-3</v>
      </c>
      <c r="L558" s="2" t="s">
        <v>35</v>
      </c>
      <c r="M558" s="4" t="s">
        <v>5738</v>
      </c>
    </row>
    <row r="559" spans="1:13">
      <c r="A559" s="2">
        <v>2405</v>
      </c>
      <c r="B559" s="2" t="s">
        <v>5739</v>
      </c>
      <c r="C559" s="2">
        <v>5</v>
      </c>
      <c r="D559" s="2">
        <v>556</v>
      </c>
      <c r="E559" s="2">
        <v>37</v>
      </c>
      <c r="F559" s="2">
        <v>32441</v>
      </c>
      <c r="G559" s="2">
        <v>7.8847462569999998</v>
      </c>
      <c r="H559" s="2">
        <v>6.7834299999999998E-4</v>
      </c>
      <c r="I559" s="2" t="s">
        <v>5740</v>
      </c>
      <c r="J559" s="2" t="s">
        <v>5741</v>
      </c>
      <c r="K559" s="2">
        <v>5.9510459999999998E-3</v>
      </c>
      <c r="L559" s="2" t="s">
        <v>35</v>
      </c>
      <c r="M559" s="4" t="s">
        <v>5742</v>
      </c>
    </row>
    <row r="560" spans="1:13">
      <c r="A560" s="2">
        <v>4128</v>
      </c>
      <c r="B560" s="2" t="s">
        <v>5743</v>
      </c>
      <c r="C560" s="2">
        <v>7</v>
      </c>
      <c r="D560" s="2">
        <v>556</v>
      </c>
      <c r="E560" s="2">
        <v>80</v>
      </c>
      <c r="F560" s="2">
        <v>32441</v>
      </c>
      <c r="G560" s="2">
        <v>5.1053732009999999</v>
      </c>
      <c r="H560" s="2">
        <v>6.7858399999999998E-4</v>
      </c>
      <c r="I560" s="2" t="s">
        <v>5744</v>
      </c>
      <c r="J560" s="2" t="s">
        <v>5745</v>
      </c>
      <c r="K560" s="2">
        <v>5.9510459999999998E-3</v>
      </c>
      <c r="L560" s="2" t="s">
        <v>35</v>
      </c>
      <c r="M560" s="4" t="s">
        <v>5746</v>
      </c>
    </row>
    <row r="561" spans="1:13">
      <c r="A561" s="2">
        <v>1472</v>
      </c>
      <c r="B561" s="2" t="s">
        <v>5747</v>
      </c>
      <c r="C561" s="2">
        <v>7</v>
      </c>
      <c r="D561" s="2">
        <v>556</v>
      </c>
      <c r="E561" s="2">
        <v>81</v>
      </c>
      <c r="F561" s="2">
        <v>32441</v>
      </c>
      <c r="G561" s="2">
        <v>5.0423439029999999</v>
      </c>
      <c r="H561" s="2">
        <v>7.2669300000000004E-4</v>
      </c>
      <c r="I561" s="2" t="s">
        <v>5748</v>
      </c>
      <c r="J561" s="2" t="s">
        <v>5749</v>
      </c>
      <c r="K561" s="2">
        <v>6.3612399999999998E-3</v>
      </c>
      <c r="L561" s="2" t="s">
        <v>35</v>
      </c>
      <c r="M561" s="4" t="s">
        <v>5750</v>
      </c>
    </row>
    <row r="562" spans="1:13">
      <c r="A562" s="2">
        <v>4503</v>
      </c>
      <c r="B562" s="2" t="s">
        <v>5751</v>
      </c>
      <c r="C562" s="2">
        <v>26</v>
      </c>
      <c r="D562" s="2">
        <v>556</v>
      </c>
      <c r="E562" s="2">
        <v>745</v>
      </c>
      <c r="F562" s="2">
        <v>32441</v>
      </c>
      <c r="G562" s="2">
        <v>2.0362754089999999</v>
      </c>
      <c r="H562" s="2">
        <v>7.3298999999999999E-4</v>
      </c>
      <c r="I562" s="2" t="s">
        <v>5752</v>
      </c>
      <c r="J562" s="2" t="s">
        <v>5753</v>
      </c>
      <c r="K562" s="2">
        <v>6.404585E-3</v>
      </c>
      <c r="L562" s="2" t="s">
        <v>35</v>
      </c>
      <c r="M562" s="4" t="s">
        <v>5754</v>
      </c>
    </row>
    <row r="563" spans="1:13">
      <c r="A563" s="2">
        <v>2026</v>
      </c>
      <c r="B563" s="2" t="s">
        <v>5755</v>
      </c>
      <c r="C563" s="2">
        <v>9</v>
      </c>
      <c r="D563" s="2">
        <v>556</v>
      </c>
      <c r="E563" s="2">
        <v>134</v>
      </c>
      <c r="F563" s="2">
        <v>32441</v>
      </c>
      <c r="G563" s="2">
        <v>3.9188365730000001</v>
      </c>
      <c r="H563" s="2">
        <v>7.4415699999999996E-4</v>
      </c>
      <c r="I563" s="2" t="s">
        <v>5756</v>
      </c>
      <c r="J563" s="2" t="s">
        <v>5757</v>
      </c>
      <c r="K563" s="2">
        <v>6.4902470000000002E-3</v>
      </c>
      <c r="L563" s="2" t="s">
        <v>35</v>
      </c>
      <c r="M563" s="4" t="s">
        <v>5758</v>
      </c>
    </row>
    <row r="564" spans="1:13">
      <c r="A564" s="2">
        <v>3179</v>
      </c>
      <c r="B564" s="2" t="s">
        <v>5759</v>
      </c>
      <c r="C564" s="2">
        <v>5</v>
      </c>
      <c r="D564" s="2">
        <v>556</v>
      </c>
      <c r="E564" s="2">
        <v>38</v>
      </c>
      <c r="F564" s="2">
        <v>32441</v>
      </c>
      <c r="G564" s="2">
        <v>7.6772529340000002</v>
      </c>
      <c r="H564" s="2">
        <v>7.5707300000000003E-4</v>
      </c>
      <c r="I564" s="2" t="s">
        <v>5760</v>
      </c>
      <c r="J564" s="2" t="s">
        <v>5761</v>
      </c>
      <c r="K564" s="2">
        <v>6.5908290000000003E-3</v>
      </c>
      <c r="L564" s="2" t="s">
        <v>35</v>
      </c>
      <c r="M564" s="4" t="s">
        <v>5762</v>
      </c>
    </row>
    <row r="565" spans="1:13">
      <c r="A565" s="2">
        <v>1037</v>
      </c>
      <c r="B565" s="2" t="s">
        <v>5763</v>
      </c>
      <c r="C565" s="2">
        <v>4</v>
      </c>
      <c r="D565" s="2">
        <v>556</v>
      </c>
      <c r="E565" s="2">
        <v>21</v>
      </c>
      <c r="F565" s="2">
        <v>32441</v>
      </c>
      <c r="G565" s="2">
        <v>11.11373758</v>
      </c>
      <c r="H565" s="2">
        <v>7.61485E-4</v>
      </c>
      <c r="I565" s="2" t="s">
        <v>5764</v>
      </c>
      <c r="J565" s="2" t="s">
        <v>5765</v>
      </c>
      <c r="K565" s="2">
        <v>6.6171349999999997E-3</v>
      </c>
      <c r="L565" s="2" t="s">
        <v>35</v>
      </c>
      <c r="M565" s="4" t="s">
        <v>5766</v>
      </c>
    </row>
    <row r="566" spans="1:13">
      <c r="A566" s="2">
        <v>1918</v>
      </c>
      <c r="B566" s="2" t="s">
        <v>5767</v>
      </c>
      <c r="C566" s="2">
        <v>36</v>
      </c>
      <c r="D566" s="2">
        <v>556</v>
      </c>
      <c r="E566" s="2">
        <v>1174</v>
      </c>
      <c r="F566" s="2">
        <v>32441</v>
      </c>
      <c r="G566" s="2">
        <v>1.789179219</v>
      </c>
      <c r="H566" s="2">
        <v>7.9439199999999999E-4</v>
      </c>
      <c r="I566" s="2" t="s">
        <v>5768</v>
      </c>
      <c r="J566" s="2" t="s">
        <v>5769</v>
      </c>
      <c r="K566" s="2">
        <v>6.8905219999999996E-3</v>
      </c>
      <c r="L566" s="2" t="s">
        <v>35</v>
      </c>
      <c r="M566" s="4" t="s">
        <v>5770</v>
      </c>
    </row>
    <row r="567" spans="1:13">
      <c r="A567" s="2">
        <v>1381</v>
      </c>
      <c r="B567" s="2" t="s">
        <v>5771</v>
      </c>
      <c r="C567" s="2">
        <v>5</v>
      </c>
      <c r="D567" s="2">
        <v>556</v>
      </c>
      <c r="E567" s="2">
        <v>39</v>
      </c>
      <c r="F567" s="2">
        <v>32441</v>
      </c>
      <c r="G567" s="2">
        <v>7.4804002949999999</v>
      </c>
      <c r="H567" s="2">
        <v>8.4242699999999998E-4</v>
      </c>
      <c r="I567" s="2" t="s">
        <v>5772</v>
      </c>
      <c r="J567" s="2" t="s">
        <v>5773</v>
      </c>
      <c r="K567" s="2">
        <v>7.2806520000000003E-3</v>
      </c>
      <c r="L567" s="2" t="s">
        <v>35</v>
      </c>
      <c r="M567" s="4" t="s">
        <v>5774</v>
      </c>
    </row>
    <row r="568" spans="1:13">
      <c r="A568" s="2">
        <v>2874</v>
      </c>
      <c r="B568" s="2" t="s">
        <v>5775</v>
      </c>
      <c r="C568" s="2">
        <v>5</v>
      </c>
      <c r="D568" s="2">
        <v>556</v>
      </c>
      <c r="E568" s="2">
        <v>39</v>
      </c>
      <c r="F568" s="2">
        <v>32441</v>
      </c>
      <c r="G568" s="2">
        <v>7.4804002949999999</v>
      </c>
      <c r="H568" s="2">
        <v>8.4242699999999998E-4</v>
      </c>
      <c r="I568" s="2" t="s">
        <v>5776</v>
      </c>
      <c r="J568" s="2" t="s">
        <v>5777</v>
      </c>
      <c r="K568" s="2">
        <v>7.2806520000000003E-3</v>
      </c>
      <c r="L568" s="2" t="s">
        <v>35</v>
      </c>
      <c r="M568" s="4" t="s">
        <v>5778</v>
      </c>
    </row>
    <row r="569" spans="1:13">
      <c r="A569" s="2">
        <v>3560</v>
      </c>
      <c r="B569" s="2" t="s">
        <v>5779</v>
      </c>
      <c r="C569" s="2">
        <v>14</v>
      </c>
      <c r="D569" s="2">
        <v>556</v>
      </c>
      <c r="E569" s="2">
        <v>295</v>
      </c>
      <c r="F569" s="2">
        <v>32441</v>
      </c>
      <c r="G569" s="2">
        <v>2.7690159740000002</v>
      </c>
      <c r="H569" s="2">
        <v>8.4610100000000004E-4</v>
      </c>
      <c r="I569" s="2" t="s">
        <v>5780</v>
      </c>
      <c r="J569" s="2" t="s">
        <v>5781</v>
      </c>
      <c r="K569" s="2">
        <v>7.2991530000000001E-3</v>
      </c>
      <c r="L569" s="2" t="s">
        <v>35</v>
      </c>
      <c r="M569" s="4" t="s">
        <v>5782</v>
      </c>
    </row>
    <row r="570" spans="1:13">
      <c r="A570" s="2">
        <v>237</v>
      </c>
      <c r="B570" s="2" t="s">
        <v>5783</v>
      </c>
      <c r="C570" s="2">
        <v>4</v>
      </c>
      <c r="D570" s="2">
        <v>556</v>
      </c>
      <c r="E570" s="2">
        <v>22</v>
      </c>
      <c r="F570" s="2">
        <v>32441</v>
      </c>
      <c r="G570" s="2">
        <v>10.608567689999999</v>
      </c>
      <c r="H570" s="2">
        <v>8.8803199999999997E-4</v>
      </c>
      <c r="I570" s="2" t="s">
        <v>5784</v>
      </c>
      <c r="J570" s="2" t="s">
        <v>5785</v>
      </c>
      <c r="K570" s="2">
        <v>7.6057720000000002E-3</v>
      </c>
      <c r="L570" s="2" t="s">
        <v>35</v>
      </c>
      <c r="M570" s="4" t="s">
        <v>5786</v>
      </c>
    </row>
    <row r="571" spans="1:13">
      <c r="A571" s="2">
        <v>579</v>
      </c>
      <c r="B571" s="2" t="s">
        <v>5787</v>
      </c>
      <c r="C571" s="2">
        <v>7</v>
      </c>
      <c r="D571" s="2">
        <v>556</v>
      </c>
      <c r="E571" s="2">
        <v>84</v>
      </c>
      <c r="F571" s="2">
        <v>32441</v>
      </c>
      <c r="G571" s="2">
        <v>4.8622601919999999</v>
      </c>
      <c r="H571" s="2">
        <v>8.8738800000000002E-4</v>
      </c>
      <c r="I571" s="2" t="s">
        <v>5788</v>
      </c>
      <c r="J571" s="2" t="s">
        <v>5789</v>
      </c>
      <c r="K571" s="2">
        <v>7.6057720000000002E-3</v>
      </c>
      <c r="L571" s="2" t="s">
        <v>35</v>
      </c>
      <c r="M571" s="4" t="s">
        <v>5790</v>
      </c>
    </row>
    <row r="572" spans="1:13">
      <c r="A572" s="2">
        <v>1032</v>
      </c>
      <c r="B572" s="2" t="s">
        <v>5791</v>
      </c>
      <c r="C572" s="2">
        <v>4</v>
      </c>
      <c r="D572" s="2">
        <v>556</v>
      </c>
      <c r="E572" s="2">
        <v>22</v>
      </c>
      <c r="F572" s="2">
        <v>32441</v>
      </c>
      <c r="G572" s="2">
        <v>10.608567689999999</v>
      </c>
      <c r="H572" s="2">
        <v>8.8803199999999997E-4</v>
      </c>
      <c r="I572" s="2" t="s">
        <v>5339</v>
      </c>
      <c r="J572" s="2" t="s">
        <v>5340</v>
      </c>
      <c r="K572" s="2">
        <v>7.6057720000000002E-3</v>
      </c>
      <c r="L572" s="2" t="s">
        <v>35</v>
      </c>
      <c r="M572" s="4" t="s">
        <v>5792</v>
      </c>
    </row>
    <row r="573" spans="1:13">
      <c r="A573" s="2">
        <v>2575</v>
      </c>
      <c r="B573" s="2" t="s">
        <v>5793</v>
      </c>
      <c r="C573" s="2">
        <v>4</v>
      </c>
      <c r="D573" s="2">
        <v>556</v>
      </c>
      <c r="E573" s="2">
        <v>22</v>
      </c>
      <c r="F573" s="2">
        <v>32441</v>
      </c>
      <c r="G573" s="2">
        <v>10.608567689999999</v>
      </c>
      <c r="H573" s="2">
        <v>8.8803199999999997E-4</v>
      </c>
      <c r="I573" s="2" t="s">
        <v>5794</v>
      </c>
      <c r="J573" s="2" t="s">
        <v>5795</v>
      </c>
      <c r="K573" s="2">
        <v>7.6057720000000002E-3</v>
      </c>
      <c r="L573" s="2" t="s">
        <v>35</v>
      </c>
      <c r="M573" s="4" t="s">
        <v>5796</v>
      </c>
    </row>
    <row r="574" spans="1:13">
      <c r="A574" s="2">
        <v>557</v>
      </c>
      <c r="B574" s="2" t="s">
        <v>5797</v>
      </c>
      <c r="C574" s="2">
        <v>5</v>
      </c>
      <c r="D574" s="2">
        <v>556</v>
      </c>
      <c r="E574" s="2">
        <v>40</v>
      </c>
      <c r="F574" s="2">
        <v>32441</v>
      </c>
      <c r="G574" s="2">
        <v>7.2933902880000003</v>
      </c>
      <c r="H574" s="2">
        <v>9.3474699999999999E-4</v>
      </c>
      <c r="I574" s="2" t="s">
        <v>5798</v>
      </c>
      <c r="J574" s="2" t="s">
        <v>5799</v>
      </c>
      <c r="K574" s="2">
        <v>7.9484320000000001E-3</v>
      </c>
      <c r="L574" s="2" t="s">
        <v>35</v>
      </c>
      <c r="M574" s="4" t="s">
        <v>5800</v>
      </c>
    </row>
    <row r="575" spans="1:13">
      <c r="A575" s="2">
        <v>1658</v>
      </c>
      <c r="B575" s="2" t="s">
        <v>5801</v>
      </c>
      <c r="C575" s="2">
        <v>11</v>
      </c>
      <c r="D575" s="2">
        <v>556</v>
      </c>
      <c r="E575" s="2">
        <v>199</v>
      </c>
      <c r="F575" s="2">
        <v>32441</v>
      </c>
      <c r="G575" s="2">
        <v>3.2252178159999998</v>
      </c>
      <c r="H575" s="2">
        <v>9.3638599999999999E-4</v>
      </c>
      <c r="I575" s="2" t="s">
        <v>5802</v>
      </c>
      <c r="J575" s="2" t="s">
        <v>5803</v>
      </c>
      <c r="K575" s="2">
        <v>7.9484320000000001E-3</v>
      </c>
      <c r="L575" s="2" t="s">
        <v>35</v>
      </c>
      <c r="M575" s="4" t="s">
        <v>5804</v>
      </c>
    </row>
    <row r="576" spans="1:13">
      <c r="A576" s="2">
        <v>1967</v>
      </c>
      <c r="B576" s="2" t="s">
        <v>5805</v>
      </c>
      <c r="C576" s="2">
        <v>6</v>
      </c>
      <c r="D576" s="2">
        <v>556</v>
      </c>
      <c r="E576" s="2">
        <v>61</v>
      </c>
      <c r="F576" s="2">
        <v>32441</v>
      </c>
      <c r="G576" s="2">
        <v>5.73906121</v>
      </c>
      <c r="H576" s="2">
        <v>9.3162200000000001E-4</v>
      </c>
      <c r="I576" s="2" t="s">
        <v>5806</v>
      </c>
      <c r="J576" s="2" t="s">
        <v>5807</v>
      </c>
      <c r="K576" s="2">
        <v>7.9484320000000001E-3</v>
      </c>
      <c r="L576" s="2" t="s">
        <v>35</v>
      </c>
      <c r="M576" s="4" t="s">
        <v>5808</v>
      </c>
    </row>
    <row r="577" spans="1:13">
      <c r="A577" s="2">
        <v>3784</v>
      </c>
      <c r="B577" s="2" t="s">
        <v>5809</v>
      </c>
      <c r="C577" s="2">
        <v>5</v>
      </c>
      <c r="D577" s="2">
        <v>556</v>
      </c>
      <c r="E577" s="2">
        <v>40</v>
      </c>
      <c r="F577" s="2">
        <v>32441</v>
      </c>
      <c r="G577" s="2">
        <v>7.2933902880000003</v>
      </c>
      <c r="H577" s="2">
        <v>9.3474699999999999E-4</v>
      </c>
      <c r="I577" s="2" t="s">
        <v>5810</v>
      </c>
      <c r="J577" s="2" t="s">
        <v>5811</v>
      </c>
      <c r="K577" s="2">
        <v>7.9484320000000001E-3</v>
      </c>
      <c r="L577" s="2" t="s">
        <v>35</v>
      </c>
      <c r="M577" s="4" t="s">
        <v>5812</v>
      </c>
    </row>
    <row r="578" spans="1:13">
      <c r="A578" s="2">
        <v>4397</v>
      </c>
      <c r="B578" s="2" t="s">
        <v>5813</v>
      </c>
      <c r="C578" s="2">
        <v>3</v>
      </c>
      <c r="D578" s="2">
        <v>556</v>
      </c>
      <c r="E578" s="2">
        <v>9</v>
      </c>
      <c r="F578" s="2">
        <v>32441</v>
      </c>
      <c r="G578" s="2">
        <v>19.44904077</v>
      </c>
      <c r="H578" s="2">
        <v>9.3462299999999999E-4</v>
      </c>
      <c r="I578" s="2" t="s">
        <v>5814</v>
      </c>
      <c r="J578" s="2" t="s">
        <v>5815</v>
      </c>
      <c r="K578" s="2">
        <v>7.9484320000000001E-3</v>
      </c>
      <c r="L578" s="2" t="s">
        <v>35</v>
      </c>
      <c r="M578" s="4" t="s">
        <v>5816</v>
      </c>
    </row>
    <row r="579" spans="1:13">
      <c r="A579" s="2">
        <v>1507</v>
      </c>
      <c r="B579" s="2" t="s">
        <v>74</v>
      </c>
      <c r="C579" s="2">
        <v>17</v>
      </c>
      <c r="D579" s="2">
        <v>556</v>
      </c>
      <c r="E579" s="2">
        <v>406</v>
      </c>
      <c r="F579" s="2">
        <v>32441</v>
      </c>
      <c r="G579" s="2">
        <v>2.4431061060000001</v>
      </c>
      <c r="H579" s="2">
        <v>9.4974399999999998E-4</v>
      </c>
      <c r="I579" s="2" t="s">
        <v>5817</v>
      </c>
      <c r="J579" s="2" t="s">
        <v>5818</v>
      </c>
      <c r="K579" s="2">
        <v>8.0474729999999994E-3</v>
      </c>
      <c r="L579" s="2" t="s">
        <v>35</v>
      </c>
      <c r="M579" s="4" t="s">
        <v>2923</v>
      </c>
    </row>
    <row r="580" spans="1:13">
      <c r="A580" s="2">
        <v>1466</v>
      </c>
      <c r="B580" s="2" t="s">
        <v>5819</v>
      </c>
      <c r="C580" s="2">
        <v>8</v>
      </c>
      <c r="D580" s="2">
        <v>556</v>
      </c>
      <c r="E580" s="2">
        <v>112</v>
      </c>
      <c r="F580" s="2">
        <v>32441</v>
      </c>
      <c r="G580" s="2">
        <v>4.1676515930000004</v>
      </c>
      <c r="H580" s="2">
        <v>9.9831500000000005E-4</v>
      </c>
      <c r="I580" s="2" t="s">
        <v>5820</v>
      </c>
      <c r="J580" s="2" t="s">
        <v>5821</v>
      </c>
      <c r="K580" s="2">
        <v>8.4290370000000003E-3</v>
      </c>
      <c r="L580" s="2" t="s">
        <v>35</v>
      </c>
      <c r="M580" s="4" t="s">
        <v>5822</v>
      </c>
    </row>
    <row r="581" spans="1:13">
      <c r="A581" s="2">
        <v>2778</v>
      </c>
      <c r="B581" s="2" t="s">
        <v>5823</v>
      </c>
      <c r="C581" s="2">
        <v>9</v>
      </c>
      <c r="D581" s="2">
        <v>556</v>
      </c>
      <c r="E581" s="2">
        <v>140</v>
      </c>
      <c r="F581" s="2">
        <v>32441</v>
      </c>
      <c r="G581" s="2">
        <v>3.7508864339999999</v>
      </c>
      <c r="H581" s="2">
        <v>9.9665400000000003E-4</v>
      </c>
      <c r="I581" s="2" t="s">
        <v>5824</v>
      </c>
      <c r="J581" s="2" t="s">
        <v>5825</v>
      </c>
      <c r="K581" s="2">
        <v>8.4290370000000003E-3</v>
      </c>
      <c r="L581" s="2" t="s">
        <v>35</v>
      </c>
      <c r="M581" s="4" t="s">
        <v>5826</v>
      </c>
    </row>
    <row r="582" spans="1:13">
      <c r="A582" s="2">
        <v>1512</v>
      </c>
      <c r="B582" s="2" t="s">
        <v>5827</v>
      </c>
      <c r="C582" s="2">
        <v>12</v>
      </c>
      <c r="D582" s="2">
        <v>556</v>
      </c>
      <c r="E582" s="2">
        <v>233</v>
      </c>
      <c r="F582" s="2">
        <v>32441</v>
      </c>
      <c r="G582" s="2">
        <v>3.0050020069999999</v>
      </c>
      <c r="H582" s="2">
        <v>1.0028350000000001E-3</v>
      </c>
      <c r="I582" s="2" t="s">
        <v>5828</v>
      </c>
      <c r="J582" s="2" t="s">
        <v>5829</v>
      </c>
      <c r="K582" s="2">
        <v>8.4522130000000001E-3</v>
      </c>
      <c r="L582" s="2" t="s">
        <v>35</v>
      </c>
      <c r="M582" s="4" t="s">
        <v>5830</v>
      </c>
    </row>
    <row r="583" spans="1:13">
      <c r="A583" s="2">
        <v>3556</v>
      </c>
      <c r="B583" s="2" t="s">
        <v>370</v>
      </c>
      <c r="C583" s="2">
        <v>31</v>
      </c>
      <c r="D583" s="2">
        <v>556</v>
      </c>
      <c r="E583" s="2">
        <v>973</v>
      </c>
      <c r="F583" s="2">
        <v>32441</v>
      </c>
      <c r="G583" s="2">
        <v>1.8589525090000001</v>
      </c>
      <c r="H583" s="2">
        <v>1.0095060000000001E-3</v>
      </c>
      <c r="I583" s="2" t="s">
        <v>5831</v>
      </c>
      <c r="J583" s="2" t="s">
        <v>5832</v>
      </c>
      <c r="K583" s="2">
        <v>8.4784300000000003E-3</v>
      </c>
      <c r="L583" s="2" t="s">
        <v>35</v>
      </c>
      <c r="M583" s="4" t="s">
        <v>5833</v>
      </c>
    </row>
    <row r="584" spans="1:13">
      <c r="A584" s="2">
        <v>4691</v>
      </c>
      <c r="B584" s="2" t="s">
        <v>5834</v>
      </c>
      <c r="C584" s="2">
        <v>7</v>
      </c>
      <c r="D584" s="2">
        <v>556</v>
      </c>
      <c r="E584" s="2">
        <v>86</v>
      </c>
      <c r="F584" s="2">
        <v>32441</v>
      </c>
      <c r="G584" s="2">
        <v>4.7491843730000003</v>
      </c>
      <c r="H584" s="2">
        <v>1.0092110000000001E-3</v>
      </c>
      <c r="I584" s="2" t="s">
        <v>5835</v>
      </c>
      <c r="J584" s="2" t="s">
        <v>5836</v>
      </c>
      <c r="K584" s="2">
        <v>8.4784300000000003E-3</v>
      </c>
      <c r="L584" s="2" t="s">
        <v>35</v>
      </c>
      <c r="M584" s="4" t="s">
        <v>5837</v>
      </c>
    </row>
    <row r="585" spans="1:13">
      <c r="A585" s="2">
        <v>291</v>
      </c>
      <c r="B585" s="2" t="s">
        <v>5838</v>
      </c>
      <c r="C585" s="2">
        <v>4</v>
      </c>
      <c r="D585" s="2">
        <v>556</v>
      </c>
      <c r="E585" s="2">
        <v>23</v>
      </c>
      <c r="F585" s="2">
        <v>32441</v>
      </c>
      <c r="G585" s="2">
        <v>10.14732562</v>
      </c>
      <c r="H585" s="2">
        <v>1.028691E-3</v>
      </c>
      <c r="I585" s="2" t="s">
        <v>5839</v>
      </c>
      <c r="J585" s="2" t="s">
        <v>5840</v>
      </c>
      <c r="K585" s="2">
        <v>8.6091829999999994E-3</v>
      </c>
      <c r="L585" s="2" t="s">
        <v>35</v>
      </c>
      <c r="M585" s="4" t="s">
        <v>5841</v>
      </c>
    </row>
    <row r="586" spans="1:13">
      <c r="A586" s="2">
        <v>4120</v>
      </c>
      <c r="B586" s="2" t="s">
        <v>5842</v>
      </c>
      <c r="C586" s="2">
        <v>4</v>
      </c>
      <c r="D586" s="2">
        <v>556</v>
      </c>
      <c r="E586" s="2">
        <v>23</v>
      </c>
      <c r="F586" s="2">
        <v>32441</v>
      </c>
      <c r="G586" s="2">
        <v>10.14732562</v>
      </c>
      <c r="H586" s="2">
        <v>1.028691E-3</v>
      </c>
      <c r="I586" s="2" t="s">
        <v>5843</v>
      </c>
      <c r="J586" s="2" t="s">
        <v>5844</v>
      </c>
      <c r="K586" s="2">
        <v>8.6091829999999994E-3</v>
      </c>
      <c r="L586" s="2" t="s">
        <v>35</v>
      </c>
      <c r="M586" s="4" t="s">
        <v>5845</v>
      </c>
    </row>
    <row r="587" spans="1:13">
      <c r="A587" s="2">
        <v>3250</v>
      </c>
      <c r="B587" s="2" t="s">
        <v>5846</v>
      </c>
      <c r="C587" s="2">
        <v>7</v>
      </c>
      <c r="D587" s="2">
        <v>556</v>
      </c>
      <c r="E587" s="2">
        <v>87</v>
      </c>
      <c r="F587" s="2">
        <v>32441</v>
      </c>
      <c r="G587" s="2">
        <v>4.6945960470000001</v>
      </c>
      <c r="H587" s="2">
        <v>1.074857E-3</v>
      </c>
      <c r="I587" s="2" t="s">
        <v>5847</v>
      </c>
      <c r="J587" s="2" t="s">
        <v>5848</v>
      </c>
      <c r="K587" s="2">
        <v>8.9797729999999999E-3</v>
      </c>
      <c r="L587" s="2" t="s">
        <v>35</v>
      </c>
      <c r="M587" s="4" t="s">
        <v>5849</v>
      </c>
    </row>
    <row r="588" spans="1:13">
      <c r="A588" s="2">
        <v>565</v>
      </c>
      <c r="B588" s="2" t="s">
        <v>5850</v>
      </c>
      <c r="C588" s="2">
        <v>5</v>
      </c>
      <c r="D588" s="2">
        <v>556</v>
      </c>
      <c r="E588" s="2">
        <v>42</v>
      </c>
      <c r="F588" s="2">
        <v>32441</v>
      </c>
      <c r="G588" s="2">
        <v>6.9460859880000001</v>
      </c>
      <c r="H588" s="2">
        <v>1.141675E-3</v>
      </c>
      <c r="I588" s="2" t="s">
        <v>5851</v>
      </c>
      <c r="J588" s="2" t="s">
        <v>5852</v>
      </c>
      <c r="K588" s="2">
        <v>9.5212869999999998E-3</v>
      </c>
      <c r="L588" s="2" t="s">
        <v>35</v>
      </c>
      <c r="M588" s="4" t="s">
        <v>5853</v>
      </c>
    </row>
    <row r="589" spans="1:13">
      <c r="A589" s="2">
        <v>4364</v>
      </c>
      <c r="B589" s="2" t="s">
        <v>5854</v>
      </c>
      <c r="C589" s="2">
        <v>7</v>
      </c>
      <c r="D589" s="2">
        <v>556</v>
      </c>
      <c r="E589" s="2">
        <v>88</v>
      </c>
      <c r="F589" s="2">
        <v>32441</v>
      </c>
      <c r="G589" s="2">
        <v>4.641248365</v>
      </c>
      <c r="H589" s="2">
        <v>1.143809E-3</v>
      </c>
      <c r="I589" s="2" t="s">
        <v>5855</v>
      </c>
      <c r="J589" s="2" t="s">
        <v>5856</v>
      </c>
      <c r="K589" s="2">
        <v>9.5224119999999992E-3</v>
      </c>
      <c r="L589" s="2" t="s">
        <v>35</v>
      </c>
      <c r="M589" s="4" t="s">
        <v>5857</v>
      </c>
    </row>
    <row r="590" spans="1:13">
      <c r="A590" s="2">
        <v>4260</v>
      </c>
      <c r="B590" s="2" t="s">
        <v>5858</v>
      </c>
      <c r="C590" s="2">
        <v>10</v>
      </c>
      <c r="D590" s="2">
        <v>556</v>
      </c>
      <c r="E590" s="2">
        <v>173</v>
      </c>
      <c r="F590" s="2">
        <v>32441</v>
      </c>
      <c r="G590" s="2">
        <v>3.3726660289999999</v>
      </c>
      <c r="H590" s="2">
        <v>1.1476380000000001E-3</v>
      </c>
      <c r="I590" s="2" t="s">
        <v>5859</v>
      </c>
      <c r="J590" s="2" t="s">
        <v>5860</v>
      </c>
      <c r="K590" s="2">
        <v>9.5376109999999997E-3</v>
      </c>
      <c r="L590" s="2" t="s">
        <v>35</v>
      </c>
      <c r="M590" s="4" t="s">
        <v>5861</v>
      </c>
    </row>
    <row r="591" spans="1:13">
      <c r="A591" s="2">
        <v>2064</v>
      </c>
      <c r="B591" s="2" t="s">
        <v>5862</v>
      </c>
      <c r="C591" s="2">
        <v>6</v>
      </c>
      <c r="D591" s="2">
        <v>556</v>
      </c>
      <c r="E591" s="2">
        <v>64</v>
      </c>
      <c r="F591" s="2">
        <v>32441</v>
      </c>
      <c r="G591" s="2">
        <v>5.470042716</v>
      </c>
      <c r="H591" s="2">
        <v>1.173239E-3</v>
      </c>
      <c r="I591" s="2" t="s">
        <v>5863</v>
      </c>
      <c r="J591" s="2" t="s">
        <v>5864</v>
      </c>
      <c r="K591" s="2">
        <v>9.7333860000000001E-3</v>
      </c>
      <c r="L591" s="2" t="s">
        <v>35</v>
      </c>
      <c r="M591" s="4" t="s">
        <v>5865</v>
      </c>
    </row>
    <row r="592" spans="1:13">
      <c r="A592" s="2">
        <v>1476</v>
      </c>
      <c r="B592" s="2" t="s">
        <v>5866</v>
      </c>
      <c r="C592" s="2">
        <v>14</v>
      </c>
      <c r="D592" s="2">
        <v>556</v>
      </c>
      <c r="E592" s="2">
        <v>306</v>
      </c>
      <c r="F592" s="2">
        <v>32441</v>
      </c>
      <c r="G592" s="2">
        <v>2.6694761840000001</v>
      </c>
      <c r="H592" s="2">
        <v>1.1810189999999999E-3</v>
      </c>
      <c r="I592" s="2" t="s">
        <v>5867</v>
      </c>
      <c r="J592" s="2" t="s">
        <v>5868</v>
      </c>
      <c r="K592" s="2">
        <v>9.7808949999999995E-3</v>
      </c>
      <c r="L592" s="2" t="s">
        <v>35</v>
      </c>
      <c r="M592" s="4" t="s">
        <v>5869</v>
      </c>
    </row>
    <row r="593" spans="1:13">
      <c r="A593" s="2">
        <v>4448</v>
      </c>
      <c r="B593" s="2" t="s">
        <v>5870</v>
      </c>
      <c r="C593" s="2">
        <v>29</v>
      </c>
      <c r="D593" s="2">
        <v>556</v>
      </c>
      <c r="E593" s="2">
        <v>898</v>
      </c>
      <c r="F593" s="2">
        <v>32441</v>
      </c>
      <c r="G593" s="2">
        <v>1.884261188</v>
      </c>
      <c r="H593" s="2">
        <v>1.192865E-3</v>
      </c>
      <c r="I593" s="2" t="s">
        <v>5871</v>
      </c>
      <c r="J593" s="2" t="s">
        <v>5872</v>
      </c>
      <c r="K593" s="2">
        <v>9.8618479999999994E-3</v>
      </c>
      <c r="L593" s="2" t="s">
        <v>35</v>
      </c>
      <c r="M593" s="4" t="s">
        <v>5873</v>
      </c>
    </row>
    <row r="594" spans="1:13">
      <c r="A594" s="2">
        <v>404</v>
      </c>
      <c r="B594" s="2" t="s">
        <v>5874</v>
      </c>
      <c r="C594" s="2">
        <v>3</v>
      </c>
      <c r="D594" s="2">
        <v>556</v>
      </c>
      <c r="E594" s="2">
        <v>10</v>
      </c>
      <c r="F594" s="2">
        <v>32441</v>
      </c>
      <c r="G594" s="2">
        <v>17.504136689999999</v>
      </c>
      <c r="H594" s="2">
        <v>1.1998519999999999E-3</v>
      </c>
      <c r="I594" s="2" t="s">
        <v>5875</v>
      </c>
      <c r="J594" s="2" t="s">
        <v>5876</v>
      </c>
      <c r="K594" s="2">
        <v>9.868211E-3</v>
      </c>
      <c r="L594" s="2" t="s">
        <v>35</v>
      </c>
      <c r="M594" s="4" t="s">
        <v>5877</v>
      </c>
    </row>
    <row r="595" spans="1:13">
      <c r="A595" s="2">
        <v>1290</v>
      </c>
      <c r="B595" s="2" t="s">
        <v>5878</v>
      </c>
      <c r="C595" s="2">
        <v>3</v>
      </c>
      <c r="D595" s="2">
        <v>556</v>
      </c>
      <c r="E595" s="2">
        <v>10</v>
      </c>
      <c r="F595" s="2">
        <v>32441</v>
      </c>
      <c r="G595" s="2">
        <v>17.504136689999999</v>
      </c>
      <c r="H595" s="2">
        <v>1.1998519999999999E-3</v>
      </c>
      <c r="I595" s="2" t="s">
        <v>5879</v>
      </c>
      <c r="J595" s="2" t="s">
        <v>5880</v>
      </c>
      <c r="K595" s="2">
        <v>9.868211E-3</v>
      </c>
      <c r="L595" s="2" t="s">
        <v>35</v>
      </c>
      <c r="M595" s="4" t="s">
        <v>5881</v>
      </c>
    </row>
    <row r="596" spans="1:13">
      <c r="A596" s="2">
        <v>1650</v>
      </c>
      <c r="B596" s="2" t="s">
        <v>5882</v>
      </c>
      <c r="C596" s="2">
        <v>3</v>
      </c>
      <c r="D596" s="2">
        <v>556</v>
      </c>
      <c r="E596" s="2">
        <v>10</v>
      </c>
      <c r="F596" s="2">
        <v>32441</v>
      </c>
      <c r="G596" s="2">
        <v>17.504136689999999</v>
      </c>
      <c r="H596" s="2">
        <v>1.1998519999999999E-3</v>
      </c>
      <c r="I596" s="2" t="s">
        <v>5883</v>
      </c>
      <c r="J596" s="2" t="s">
        <v>5884</v>
      </c>
      <c r="K596" s="2">
        <v>9.868211E-3</v>
      </c>
      <c r="L596" s="2" t="s">
        <v>35</v>
      </c>
      <c r="M596" s="4" t="s">
        <v>5885</v>
      </c>
    </row>
    <row r="597" spans="1:13">
      <c r="A597" s="2">
        <v>513</v>
      </c>
      <c r="B597" s="2" t="s">
        <v>5886</v>
      </c>
      <c r="C597" s="2">
        <v>5</v>
      </c>
      <c r="D597" s="2">
        <v>556</v>
      </c>
      <c r="E597" s="2">
        <v>43</v>
      </c>
      <c r="F597" s="2">
        <v>32441</v>
      </c>
      <c r="G597" s="2">
        <v>6.784549105</v>
      </c>
      <c r="H597" s="2">
        <v>1.2569910000000001E-3</v>
      </c>
      <c r="I597" s="2" t="s">
        <v>5887</v>
      </c>
      <c r="J597" s="2" t="s">
        <v>5888</v>
      </c>
      <c r="K597" s="2">
        <v>1.0320325999999999E-2</v>
      </c>
      <c r="L597" s="2" t="s">
        <v>35</v>
      </c>
      <c r="M597" s="4" t="s">
        <v>5889</v>
      </c>
    </row>
    <row r="598" spans="1:13">
      <c r="A598" s="2">
        <v>4651</v>
      </c>
      <c r="B598" s="2" t="s">
        <v>5890</v>
      </c>
      <c r="C598" s="2">
        <v>13</v>
      </c>
      <c r="D598" s="2">
        <v>556</v>
      </c>
      <c r="E598" s="2">
        <v>275</v>
      </c>
      <c r="F598" s="2">
        <v>32441</v>
      </c>
      <c r="G598" s="2">
        <v>2.7582276000000001</v>
      </c>
      <c r="H598" s="2">
        <v>1.322417E-3</v>
      </c>
      <c r="I598" s="2" t="s">
        <v>5891</v>
      </c>
      <c r="J598" s="2" t="s">
        <v>5892</v>
      </c>
      <c r="K598" s="2">
        <v>1.0838814E-2</v>
      </c>
      <c r="L598" s="2" t="s">
        <v>35</v>
      </c>
      <c r="M598" s="4" t="s">
        <v>5893</v>
      </c>
    </row>
    <row r="599" spans="1:13">
      <c r="A599" s="2">
        <v>1519</v>
      </c>
      <c r="B599" s="2" t="s">
        <v>5894</v>
      </c>
      <c r="C599" s="2">
        <v>4</v>
      </c>
      <c r="D599" s="2">
        <v>556</v>
      </c>
      <c r="E599" s="2">
        <v>25</v>
      </c>
      <c r="F599" s="2">
        <v>32441</v>
      </c>
      <c r="G599" s="2">
        <v>9.3355395679999997</v>
      </c>
      <c r="H599" s="2">
        <v>1.3556270000000001E-3</v>
      </c>
      <c r="I599" s="2" t="s">
        <v>5895</v>
      </c>
      <c r="J599" s="2" t="s">
        <v>5896</v>
      </c>
      <c r="K599" s="2">
        <v>1.1072893E-2</v>
      </c>
      <c r="L599" s="2" t="s">
        <v>35</v>
      </c>
      <c r="M599" s="4" t="s">
        <v>5897</v>
      </c>
    </row>
    <row r="600" spans="1:13">
      <c r="A600" s="2">
        <v>4010</v>
      </c>
      <c r="B600" s="2" t="s">
        <v>5898</v>
      </c>
      <c r="C600" s="2">
        <v>4</v>
      </c>
      <c r="D600" s="2">
        <v>556</v>
      </c>
      <c r="E600" s="2">
        <v>25</v>
      </c>
      <c r="F600" s="2">
        <v>32441</v>
      </c>
      <c r="G600" s="2">
        <v>9.3355395679999997</v>
      </c>
      <c r="H600" s="2">
        <v>1.3556270000000001E-3</v>
      </c>
      <c r="I600" s="2" t="s">
        <v>5899</v>
      </c>
      <c r="J600" s="2" t="s">
        <v>5900</v>
      </c>
      <c r="K600" s="2">
        <v>1.1072893E-2</v>
      </c>
      <c r="L600" s="2" t="s">
        <v>35</v>
      </c>
      <c r="M600" s="4" t="s">
        <v>5901</v>
      </c>
    </row>
    <row r="601" spans="1:13">
      <c r="A601" s="2">
        <v>2906</v>
      </c>
      <c r="B601" s="2" t="s">
        <v>5902</v>
      </c>
      <c r="C601" s="2">
        <v>6</v>
      </c>
      <c r="D601" s="2">
        <v>556</v>
      </c>
      <c r="E601" s="2">
        <v>66</v>
      </c>
      <c r="F601" s="2">
        <v>32441</v>
      </c>
      <c r="G601" s="2">
        <v>5.3042838459999997</v>
      </c>
      <c r="H601" s="2">
        <v>1.3591440000000001E-3</v>
      </c>
      <c r="I601" s="2" t="s">
        <v>5903</v>
      </c>
      <c r="J601" s="2" t="s">
        <v>5904</v>
      </c>
      <c r="K601" s="2">
        <v>1.1082613E-2</v>
      </c>
      <c r="L601" s="2" t="s">
        <v>35</v>
      </c>
      <c r="M601" s="4" t="s">
        <v>5905</v>
      </c>
    </row>
    <row r="602" spans="1:13">
      <c r="A602" s="2">
        <v>2770</v>
      </c>
      <c r="B602" s="2" t="s">
        <v>5906</v>
      </c>
      <c r="C602" s="2">
        <v>5</v>
      </c>
      <c r="D602" s="2">
        <v>556</v>
      </c>
      <c r="E602" s="2">
        <v>44</v>
      </c>
      <c r="F602" s="2">
        <v>32441</v>
      </c>
      <c r="G602" s="2">
        <v>6.6303548069999998</v>
      </c>
      <c r="H602" s="2">
        <v>1.3806859999999999E-3</v>
      </c>
      <c r="I602" s="2" t="s">
        <v>5907</v>
      </c>
      <c r="J602" s="2" t="s">
        <v>5908</v>
      </c>
      <c r="K602" s="2">
        <v>1.1181678E-2</v>
      </c>
      <c r="L602" s="2" t="s">
        <v>35</v>
      </c>
      <c r="M602" s="4" t="s">
        <v>5909</v>
      </c>
    </row>
    <row r="603" spans="1:13">
      <c r="A603" s="2">
        <v>2791</v>
      </c>
      <c r="B603" s="2" t="s">
        <v>5910</v>
      </c>
      <c r="C603" s="2">
        <v>5</v>
      </c>
      <c r="D603" s="2">
        <v>556</v>
      </c>
      <c r="E603" s="2">
        <v>44</v>
      </c>
      <c r="F603" s="2">
        <v>32441</v>
      </c>
      <c r="G603" s="2">
        <v>6.6303548069999998</v>
      </c>
      <c r="H603" s="2">
        <v>1.3806859999999999E-3</v>
      </c>
      <c r="I603" s="2" t="s">
        <v>5911</v>
      </c>
      <c r="J603" s="2" t="s">
        <v>5912</v>
      </c>
      <c r="K603" s="2">
        <v>1.1181678E-2</v>
      </c>
      <c r="L603" s="2" t="s">
        <v>35</v>
      </c>
      <c r="M603" s="4" t="s">
        <v>5913</v>
      </c>
    </row>
    <row r="604" spans="1:13">
      <c r="A604" s="2">
        <v>3656</v>
      </c>
      <c r="B604" s="2" t="s">
        <v>5914</v>
      </c>
      <c r="C604" s="2">
        <v>5</v>
      </c>
      <c r="D604" s="2">
        <v>556</v>
      </c>
      <c r="E604" s="2">
        <v>44</v>
      </c>
      <c r="F604" s="2">
        <v>32441</v>
      </c>
      <c r="G604" s="2">
        <v>6.6303548069999998</v>
      </c>
      <c r="H604" s="2">
        <v>1.3806859999999999E-3</v>
      </c>
      <c r="I604" s="2" t="s">
        <v>5915</v>
      </c>
      <c r="J604" s="2" t="s">
        <v>5916</v>
      </c>
      <c r="K604" s="2">
        <v>1.1181678E-2</v>
      </c>
      <c r="L604" s="2" t="s">
        <v>35</v>
      </c>
      <c r="M604" s="4" t="s">
        <v>5917</v>
      </c>
    </row>
    <row r="605" spans="1:13">
      <c r="A605" s="2">
        <v>4198</v>
      </c>
      <c r="B605" s="2" t="s">
        <v>5918</v>
      </c>
      <c r="C605" s="2">
        <v>5</v>
      </c>
      <c r="D605" s="2">
        <v>556</v>
      </c>
      <c r="E605" s="2">
        <v>44</v>
      </c>
      <c r="F605" s="2">
        <v>32441</v>
      </c>
      <c r="G605" s="2">
        <v>6.6303548069999998</v>
      </c>
      <c r="H605" s="2">
        <v>1.3806859999999999E-3</v>
      </c>
      <c r="I605" s="2" t="s">
        <v>5919</v>
      </c>
      <c r="J605" s="2" t="s">
        <v>5920</v>
      </c>
      <c r="K605" s="2">
        <v>1.1181678E-2</v>
      </c>
      <c r="L605" s="2" t="s">
        <v>35</v>
      </c>
      <c r="M605" s="4" t="s">
        <v>5921</v>
      </c>
    </row>
    <row r="606" spans="1:13">
      <c r="A606" s="2">
        <v>4593</v>
      </c>
      <c r="B606" s="2" t="s">
        <v>5922</v>
      </c>
      <c r="C606" s="2">
        <v>12</v>
      </c>
      <c r="D606" s="2">
        <v>556</v>
      </c>
      <c r="E606" s="2">
        <v>244</v>
      </c>
      <c r="F606" s="2">
        <v>32441</v>
      </c>
      <c r="G606" s="2">
        <v>2.869530605</v>
      </c>
      <c r="H606" s="2">
        <v>1.4575269999999999E-3</v>
      </c>
      <c r="I606" s="2" t="s">
        <v>5923</v>
      </c>
      <c r="J606" s="2" t="s">
        <v>5924</v>
      </c>
      <c r="K606" s="2">
        <v>1.1783946E-2</v>
      </c>
      <c r="L606" s="2" t="s">
        <v>35</v>
      </c>
      <c r="M606" s="4" t="s">
        <v>5925</v>
      </c>
    </row>
    <row r="607" spans="1:13">
      <c r="A607" s="2">
        <v>266</v>
      </c>
      <c r="B607" s="2" t="s">
        <v>5926</v>
      </c>
      <c r="C607" s="2">
        <v>3</v>
      </c>
      <c r="D607" s="2">
        <v>556</v>
      </c>
      <c r="E607" s="2">
        <v>11</v>
      </c>
      <c r="F607" s="2">
        <v>32441</v>
      </c>
      <c r="G607" s="2">
        <v>15.91285154</v>
      </c>
      <c r="H607" s="2">
        <v>1.5080479999999999E-3</v>
      </c>
      <c r="I607" s="2" t="s">
        <v>5927</v>
      </c>
      <c r="J607" s="2" t="s">
        <v>5928</v>
      </c>
      <c r="K607" s="2">
        <v>1.2130619E-2</v>
      </c>
      <c r="L607" s="2" t="s">
        <v>35</v>
      </c>
      <c r="M607" s="4" t="s">
        <v>5929</v>
      </c>
    </row>
    <row r="608" spans="1:13">
      <c r="A608" s="2">
        <v>1362</v>
      </c>
      <c r="B608" s="2" t="s">
        <v>5930</v>
      </c>
      <c r="C608" s="2">
        <v>3</v>
      </c>
      <c r="D608" s="2">
        <v>556</v>
      </c>
      <c r="E608" s="2">
        <v>11</v>
      </c>
      <c r="F608" s="2">
        <v>32441</v>
      </c>
      <c r="G608" s="2">
        <v>15.91285154</v>
      </c>
      <c r="H608" s="2">
        <v>1.5080479999999999E-3</v>
      </c>
      <c r="I608" s="2" t="s">
        <v>5931</v>
      </c>
      <c r="J608" s="2" t="s">
        <v>5932</v>
      </c>
      <c r="K608" s="2">
        <v>1.2130619E-2</v>
      </c>
      <c r="L608" s="2" t="s">
        <v>35</v>
      </c>
      <c r="M608" s="4" t="s">
        <v>5933</v>
      </c>
    </row>
    <row r="609" spans="1:13">
      <c r="A609" s="2">
        <v>2733</v>
      </c>
      <c r="B609" s="2" t="s">
        <v>5934</v>
      </c>
      <c r="C609" s="2">
        <v>3</v>
      </c>
      <c r="D609" s="2">
        <v>556</v>
      </c>
      <c r="E609" s="2">
        <v>11</v>
      </c>
      <c r="F609" s="2">
        <v>32441</v>
      </c>
      <c r="G609" s="2">
        <v>15.91285154</v>
      </c>
      <c r="H609" s="2">
        <v>1.5080479999999999E-3</v>
      </c>
      <c r="I609" s="2" t="s">
        <v>5935</v>
      </c>
      <c r="J609" s="2" t="s">
        <v>5936</v>
      </c>
      <c r="K609" s="2">
        <v>1.2130619E-2</v>
      </c>
      <c r="L609" s="2" t="s">
        <v>35</v>
      </c>
      <c r="M609" s="4" t="s">
        <v>5937</v>
      </c>
    </row>
    <row r="610" spans="1:13">
      <c r="A610" s="2">
        <v>2758</v>
      </c>
      <c r="B610" s="2" t="s">
        <v>5938</v>
      </c>
      <c r="C610" s="2">
        <v>5</v>
      </c>
      <c r="D610" s="2">
        <v>556</v>
      </c>
      <c r="E610" s="2">
        <v>45</v>
      </c>
      <c r="F610" s="2">
        <v>32441</v>
      </c>
      <c r="G610" s="2">
        <v>6.4830135889999996</v>
      </c>
      <c r="H610" s="2">
        <v>1.513124E-3</v>
      </c>
      <c r="I610" s="2" t="s">
        <v>5939</v>
      </c>
      <c r="J610" s="2" t="s">
        <v>5940</v>
      </c>
      <c r="K610" s="2">
        <v>1.2150922E-2</v>
      </c>
      <c r="L610" s="2" t="s">
        <v>35</v>
      </c>
      <c r="M610" s="4" t="s">
        <v>5941</v>
      </c>
    </row>
    <row r="611" spans="1:13">
      <c r="A611" s="2">
        <v>439</v>
      </c>
      <c r="B611" s="2" t="s">
        <v>5942</v>
      </c>
      <c r="C611" s="2">
        <v>4</v>
      </c>
      <c r="D611" s="2">
        <v>556</v>
      </c>
      <c r="E611" s="2">
        <v>26</v>
      </c>
      <c r="F611" s="2">
        <v>32441</v>
      </c>
      <c r="G611" s="2">
        <v>8.9764803539999996</v>
      </c>
      <c r="H611" s="2">
        <v>1.5435430000000001E-3</v>
      </c>
      <c r="I611" s="2" t="s">
        <v>5943</v>
      </c>
      <c r="J611" s="2" t="s">
        <v>5944</v>
      </c>
      <c r="K611" s="2">
        <v>1.2332802E-2</v>
      </c>
      <c r="L611" s="2" t="s">
        <v>35</v>
      </c>
      <c r="M611" s="4" t="s">
        <v>5945</v>
      </c>
    </row>
    <row r="612" spans="1:13">
      <c r="A612" s="2">
        <v>4020</v>
      </c>
      <c r="B612" s="2" t="s">
        <v>5946</v>
      </c>
      <c r="C612" s="2">
        <v>7</v>
      </c>
      <c r="D612" s="2">
        <v>556</v>
      </c>
      <c r="E612" s="2">
        <v>93</v>
      </c>
      <c r="F612" s="2">
        <v>32441</v>
      </c>
      <c r="G612" s="2">
        <v>4.3917188830000002</v>
      </c>
      <c r="H612" s="2">
        <v>1.5422260000000001E-3</v>
      </c>
      <c r="I612" s="2" t="s">
        <v>5947</v>
      </c>
      <c r="J612" s="2" t="s">
        <v>5948</v>
      </c>
      <c r="K612" s="2">
        <v>1.2332802E-2</v>
      </c>
      <c r="L612" s="2" t="s">
        <v>35</v>
      </c>
      <c r="M612" s="4" t="s">
        <v>5949</v>
      </c>
    </row>
    <row r="613" spans="1:13">
      <c r="A613" s="2">
        <v>4182</v>
      </c>
      <c r="B613" s="2" t="s">
        <v>5950</v>
      </c>
      <c r="C613" s="2">
        <v>4</v>
      </c>
      <c r="D613" s="2">
        <v>556</v>
      </c>
      <c r="E613" s="2">
        <v>26</v>
      </c>
      <c r="F613" s="2">
        <v>32441</v>
      </c>
      <c r="G613" s="2">
        <v>8.9764803539999996</v>
      </c>
      <c r="H613" s="2">
        <v>1.5435430000000001E-3</v>
      </c>
      <c r="I613" s="2" t="s">
        <v>5951</v>
      </c>
      <c r="J613" s="2" t="s">
        <v>5952</v>
      </c>
      <c r="K613" s="2">
        <v>1.2332802E-2</v>
      </c>
      <c r="L613" s="2" t="s">
        <v>35</v>
      </c>
      <c r="M613" s="4" t="s">
        <v>5953</v>
      </c>
    </row>
    <row r="614" spans="1:13">
      <c r="A614" s="2">
        <v>4328</v>
      </c>
      <c r="B614" s="2" t="s">
        <v>5954</v>
      </c>
      <c r="C614" s="2">
        <v>9</v>
      </c>
      <c r="D614" s="2">
        <v>556</v>
      </c>
      <c r="E614" s="2">
        <v>150</v>
      </c>
      <c r="F614" s="2">
        <v>32441</v>
      </c>
      <c r="G614" s="2">
        <v>3.5008273380000001</v>
      </c>
      <c r="H614" s="2">
        <v>1.5684519999999999E-3</v>
      </c>
      <c r="I614" s="2" t="s">
        <v>5955</v>
      </c>
      <c r="J614" s="2" t="s">
        <v>5956</v>
      </c>
      <c r="K614" s="2">
        <v>1.2510833000000001E-2</v>
      </c>
      <c r="L614" s="2" t="s">
        <v>35</v>
      </c>
      <c r="M614" s="4" t="s">
        <v>5957</v>
      </c>
    </row>
    <row r="615" spans="1:13">
      <c r="A615" s="2">
        <v>99</v>
      </c>
      <c r="B615" s="2" t="s">
        <v>5958</v>
      </c>
      <c r="C615" s="2">
        <v>8</v>
      </c>
      <c r="D615" s="2">
        <v>556</v>
      </c>
      <c r="E615" s="2">
        <v>121</v>
      </c>
      <c r="F615" s="2">
        <v>32441</v>
      </c>
      <c r="G615" s="2">
        <v>3.8576609789999998</v>
      </c>
      <c r="H615" s="2">
        <v>1.5887340000000001E-3</v>
      </c>
      <c r="I615" s="2" t="s">
        <v>5959</v>
      </c>
      <c r="J615" s="2" t="s">
        <v>5960</v>
      </c>
      <c r="K615" s="2">
        <v>1.2651425000000001E-2</v>
      </c>
      <c r="L615" s="2" t="s">
        <v>35</v>
      </c>
      <c r="M615" s="4" t="s">
        <v>5961</v>
      </c>
    </row>
    <row r="616" spans="1:13">
      <c r="A616" s="2">
        <v>1610</v>
      </c>
      <c r="B616" s="2" t="s">
        <v>5962</v>
      </c>
      <c r="C616" s="2">
        <v>20</v>
      </c>
      <c r="D616" s="2">
        <v>556</v>
      </c>
      <c r="E616" s="2">
        <v>544</v>
      </c>
      <c r="F616" s="2">
        <v>32441</v>
      </c>
      <c r="G616" s="2">
        <v>2.1451147910000001</v>
      </c>
      <c r="H616" s="2">
        <v>1.6187949999999999E-3</v>
      </c>
      <c r="I616" s="2" t="s">
        <v>5963</v>
      </c>
      <c r="J616" s="2" t="s">
        <v>5964</v>
      </c>
      <c r="K616" s="2">
        <v>1.2869281999999999E-2</v>
      </c>
      <c r="L616" s="2" t="s">
        <v>35</v>
      </c>
      <c r="M616" s="4" t="s">
        <v>5965</v>
      </c>
    </row>
    <row r="617" spans="1:13">
      <c r="A617" s="2">
        <v>295</v>
      </c>
      <c r="B617" s="2" t="s">
        <v>5966</v>
      </c>
      <c r="C617" s="2">
        <v>5</v>
      </c>
      <c r="D617" s="2">
        <v>556</v>
      </c>
      <c r="E617" s="2">
        <v>46</v>
      </c>
      <c r="F617" s="2">
        <v>32441</v>
      </c>
      <c r="G617" s="2">
        <v>6.3420785110000004</v>
      </c>
      <c r="H617" s="2">
        <v>1.6546709999999999E-3</v>
      </c>
      <c r="I617" s="2" t="s">
        <v>5967</v>
      </c>
      <c r="J617" s="2" t="s">
        <v>5968</v>
      </c>
      <c r="K617" s="2">
        <v>1.3067235999999999E-2</v>
      </c>
      <c r="L617" s="2" t="s">
        <v>35</v>
      </c>
      <c r="M617" s="4" t="s">
        <v>5969</v>
      </c>
    </row>
    <row r="618" spans="1:13">
      <c r="A618" s="2">
        <v>436</v>
      </c>
      <c r="B618" s="2" t="s">
        <v>5970</v>
      </c>
      <c r="C618" s="2">
        <v>5</v>
      </c>
      <c r="D618" s="2">
        <v>556</v>
      </c>
      <c r="E618" s="2">
        <v>46</v>
      </c>
      <c r="F618" s="2">
        <v>32441</v>
      </c>
      <c r="G618" s="2">
        <v>6.3420785110000004</v>
      </c>
      <c r="H618" s="2">
        <v>1.6546709999999999E-3</v>
      </c>
      <c r="I618" s="2" t="s">
        <v>5971</v>
      </c>
      <c r="J618" s="2" t="s">
        <v>5972</v>
      </c>
      <c r="K618" s="2">
        <v>1.3067235999999999E-2</v>
      </c>
      <c r="L618" s="2" t="s">
        <v>35</v>
      </c>
      <c r="M618" s="4" t="s">
        <v>5973</v>
      </c>
    </row>
    <row r="619" spans="1:13">
      <c r="A619" s="2">
        <v>3512</v>
      </c>
      <c r="B619" s="2" t="s">
        <v>5974</v>
      </c>
      <c r="C619" s="2">
        <v>5</v>
      </c>
      <c r="D619" s="2">
        <v>556</v>
      </c>
      <c r="E619" s="2">
        <v>46</v>
      </c>
      <c r="F619" s="2">
        <v>32441</v>
      </c>
      <c r="G619" s="2">
        <v>6.3420785110000004</v>
      </c>
      <c r="H619" s="2">
        <v>1.6546709999999999E-3</v>
      </c>
      <c r="I619" s="2" t="s">
        <v>5975</v>
      </c>
      <c r="J619" s="2" t="s">
        <v>5976</v>
      </c>
      <c r="K619" s="2">
        <v>1.3067235999999999E-2</v>
      </c>
      <c r="L619" s="2" t="s">
        <v>35</v>
      </c>
      <c r="M619" s="4" t="s">
        <v>5977</v>
      </c>
    </row>
    <row r="620" spans="1:13">
      <c r="A620" s="2">
        <v>3841</v>
      </c>
      <c r="B620" s="2" t="s">
        <v>5978</v>
      </c>
      <c r="C620" s="2">
        <v>5</v>
      </c>
      <c r="D620" s="2">
        <v>556</v>
      </c>
      <c r="E620" s="2">
        <v>46</v>
      </c>
      <c r="F620" s="2">
        <v>32441</v>
      </c>
      <c r="G620" s="2">
        <v>6.3420785110000004</v>
      </c>
      <c r="H620" s="2">
        <v>1.6546709999999999E-3</v>
      </c>
      <c r="I620" s="2" t="s">
        <v>5979</v>
      </c>
      <c r="J620" s="2" t="s">
        <v>5980</v>
      </c>
      <c r="K620" s="2">
        <v>1.3067235999999999E-2</v>
      </c>
      <c r="L620" s="2" t="s">
        <v>35</v>
      </c>
      <c r="M620" s="4" t="s">
        <v>5981</v>
      </c>
    </row>
    <row r="621" spans="1:13">
      <c r="A621" s="2">
        <v>1407</v>
      </c>
      <c r="B621" s="2" t="s">
        <v>5982</v>
      </c>
      <c r="C621" s="2">
        <v>6</v>
      </c>
      <c r="D621" s="2">
        <v>556</v>
      </c>
      <c r="E621" s="2">
        <v>69</v>
      </c>
      <c r="F621" s="2">
        <v>32441</v>
      </c>
      <c r="G621" s="2">
        <v>5.073662809</v>
      </c>
      <c r="H621" s="2">
        <v>1.6791250000000001E-3</v>
      </c>
      <c r="I621" s="2" t="s">
        <v>5983</v>
      </c>
      <c r="J621" s="2" t="s">
        <v>5984</v>
      </c>
      <c r="K621" s="2">
        <v>1.3238395999999999E-2</v>
      </c>
      <c r="L621" s="2" t="s">
        <v>35</v>
      </c>
      <c r="M621" s="4" t="s">
        <v>5985</v>
      </c>
    </row>
    <row r="622" spans="1:13">
      <c r="A622" s="2">
        <v>2707</v>
      </c>
      <c r="B622" s="2" t="s">
        <v>5986</v>
      </c>
      <c r="C622" s="2">
        <v>10</v>
      </c>
      <c r="D622" s="2">
        <v>556</v>
      </c>
      <c r="E622" s="2">
        <v>183</v>
      </c>
      <c r="F622" s="2">
        <v>32441</v>
      </c>
      <c r="G622" s="2">
        <v>3.188367339</v>
      </c>
      <c r="H622" s="2">
        <v>1.7071460000000001E-3</v>
      </c>
      <c r="I622" s="2" t="s">
        <v>5987</v>
      </c>
      <c r="J622" s="2" t="s">
        <v>5988</v>
      </c>
      <c r="K622" s="2">
        <v>1.3437071E-2</v>
      </c>
      <c r="L622" s="2" t="s">
        <v>35</v>
      </c>
      <c r="M622" s="4" t="s">
        <v>5989</v>
      </c>
    </row>
    <row r="623" spans="1:13">
      <c r="A623" s="2">
        <v>571</v>
      </c>
      <c r="B623" s="2" t="s">
        <v>5990</v>
      </c>
      <c r="C623" s="2">
        <v>4</v>
      </c>
      <c r="D623" s="2">
        <v>556</v>
      </c>
      <c r="E623" s="2">
        <v>27</v>
      </c>
      <c r="F623" s="2">
        <v>32441</v>
      </c>
      <c r="G623" s="2">
        <v>8.6440181190000001</v>
      </c>
      <c r="H623" s="2">
        <v>1.748842E-3</v>
      </c>
      <c r="I623" s="2" t="s">
        <v>5991</v>
      </c>
      <c r="J623" s="2" t="s">
        <v>5992</v>
      </c>
      <c r="K623" s="2">
        <v>1.3697342E-2</v>
      </c>
      <c r="L623" s="2" t="s">
        <v>35</v>
      </c>
      <c r="M623" s="4" t="s">
        <v>5993</v>
      </c>
    </row>
    <row r="624" spans="1:13">
      <c r="A624" s="2">
        <v>2730</v>
      </c>
      <c r="B624" s="2" t="s">
        <v>5994</v>
      </c>
      <c r="C624" s="2">
        <v>4</v>
      </c>
      <c r="D624" s="2">
        <v>556</v>
      </c>
      <c r="E624" s="2">
        <v>27</v>
      </c>
      <c r="F624" s="2">
        <v>32441</v>
      </c>
      <c r="G624" s="2">
        <v>8.6440181190000001</v>
      </c>
      <c r="H624" s="2">
        <v>1.748842E-3</v>
      </c>
      <c r="I624" s="2" t="s">
        <v>5995</v>
      </c>
      <c r="J624" s="2" t="s">
        <v>5996</v>
      </c>
      <c r="K624" s="2">
        <v>1.3697342E-2</v>
      </c>
      <c r="L624" s="2" t="s">
        <v>35</v>
      </c>
      <c r="M624" s="4" t="s">
        <v>5997</v>
      </c>
    </row>
    <row r="625" spans="1:13">
      <c r="A625" s="2">
        <v>2928</v>
      </c>
      <c r="B625" s="2" t="s">
        <v>5998</v>
      </c>
      <c r="C625" s="2">
        <v>4</v>
      </c>
      <c r="D625" s="2">
        <v>556</v>
      </c>
      <c r="E625" s="2">
        <v>27</v>
      </c>
      <c r="F625" s="2">
        <v>32441</v>
      </c>
      <c r="G625" s="2">
        <v>8.6440181190000001</v>
      </c>
      <c r="H625" s="2">
        <v>1.748842E-3</v>
      </c>
      <c r="I625" s="2" t="s">
        <v>5999</v>
      </c>
      <c r="J625" s="2" t="s">
        <v>6000</v>
      </c>
      <c r="K625" s="2">
        <v>1.3697342E-2</v>
      </c>
      <c r="L625" s="2" t="s">
        <v>35</v>
      </c>
      <c r="M625" s="4" t="s">
        <v>6001</v>
      </c>
    </row>
    <row r="626" spans="1:13">
      <c r="A626" s="2">
        <v>1418</v>
      </c>
      <c r="B626" s="2" t="s">
        <v>6002</v>
      </c>
      <c r="C626" s="2">
        <v>17</v>
      </c>
      <c r="D626" s="2">
        <v>556</v>
      </c>
      <c r="E626" s="2">
        <v>431</v>
      </c>
      <c r="F626" s="2">
        <v>32441</v>
      </c>
      <c r="G626" s="2">
        <v>2.301394615</v>
      </c>
      <c r="H626" s="2">
        <v>1.7524839999999999E-3</v>
      </c>
      <c r="I626" s="2" t="s">
        <v>6003</v>
      </c>
      <c r="J626" s="2" t="s">
        <v>6004</v>
      </c>
      <c r="K626" s="2">
        <v>1.3703335000000001E-2</v>
      </c>
      <c r="L626" s="2" t="s">
        <v>35</v>
      </c>
      <c r="M626" s="4" t="s">
        <v>6005</v>
      </c>
    </row>
    <row r="627" spans="1:13">
      <c r="A627" s="2">
        <v>975</v>
      </c>
      <c r="B627" s="2" t="s">
        <v>6006</v>
      </c>
      <c r="C627" s="2">
        <v>10</v>
      </c>
      <c r="D627" s="2">
        <v>556</v>
      </c>
      <c r="E627" s="2">
        <v>184</v>
      </c>
      <c r="F627" s="2">
        <v>32441</v>
      </c>
      <c r="G627" s="2">
        <v>3.1710392559999998</v>
      </c>
      <c r="H627" s="2">
        <v>1.7734879999999999E-3</v>
      </c>
      <c r="I627" s="2" t="s">
        <v>6007</v>
      </c>
      <c r="J627" s="2" t="s">
        <v>6008</v>
      </c>
      <c r="K627" s="2">
        <v>1.3844833000000001E-2</v>
      </c>
      <c r="L627" s="2" t="s">
        <v>35</v>
      </c>
      <c r="M627" s="4" t="s">
        <v>6009</v>
      </c>
    </row>
    <row r="628" spans="1:13">
      <c r="A628" s="2">
        <v>4340</v>
      </c>
      <c r="B628" s="2" t="s">
        <v>6010</v>
      </c>
      <c r="C628" s="2">
        <v>6</v>
      </c>
      <c r="D628" s="2">
        <v>556</v>
      </c>
      <c r="E628" s="2">
        <v>70</v>
      </c>
      <c r="F628" s="2">
        <v>32441</v>
      </c>
      <c r="G628" s="2">
        <v>5.0011819119999998</v>
      </c>
      <c r="H628" s="2">
        <v>1.7975490000000001E-3</v>
      </c>
      <c r="I628" s="2" t="s">
        <v>6011</v>
      </c>
      <c r="J628" s="2" t="s">
        <v>6012</v>
      </c>
      <c r="K628" s="2">
        <v>1.4009706E-2</v>
      </c>
      <c r="L628" s="2" t="s">
        <v>35</v>
      </c>
      <c r="M628" s="4" t="s">
        <v>6013</v>
      </c>
    </row>
    <row r="629" spans="1:13">
      <c r="A629" s="2">
        <v>2841</v>
      </c>
      <c r="B629" s="2" t="s">
        <v>6014</v>
      </c>
      <c r="C629" s="2">
        <v>5</v>
      </c>
      <c r="D629" s="2">
        <v>556</v>
      </c>
      <c r="E629" s="2">
        <v>47</v>
      </c>
      <c r="F629" s="2">
        <v>32441</v>
      </c>
      <c r="G629" s="2">
        <v>6.2071406700000002</v>
      </c>
      <c r="H629" s="2">
        <v>1.8056960000000001E-3</v>
      </c>
      <c r="I629" s="2" t="s">
        <v>6015</v>
      </c>
      <c r="J629" s="2" t="s">
        <v>6016</v>
      </c>
      <c r="K629" s="2">
        <v>1.4050201E-2</v>
      </c>
      <c r="L629" s="2" t="s">
        <v>35</v>
      </c>
      <c r="M629" s="4" t="s">
        <v>6017</v>
      </c>
    </row>
    <row r="630" spans="1:13">
      <c r="A630" s="2">
        <v>1569</v>
      </c>
      <c r="B630" s="2" t="s">
        <v>6018</v>
      </c>
      <c r="C630" s="2">
        <v>10</v>
      </c>
      <c r="D630" s="2">
        <v>556</v>
      </c>
      <c r="E630" s="2">
        <v>185</v>
      </c>
      <c r="F630" s="2">
        <v>32441</v>
      </c>
      <c r="G630" s="2">
        <v>3.1538985030000002</v>
      </c>
      <c r="H630" s="2">
        <v>1.8418989999999999E-3</v>
      </c>
      <c r="I630" s="2" t="s">
        <v>6019</v>
      </c>
      <c r="J630" s="2" t="s">
        <v>6020</v>
      </c>
      <c r="K630" s="2">
        <v>1.430852E-2</v>
      </c>
      <c r="L630" s="2" t="s">
        <v>35</v>
      </c>
      <c r="M630" s="4" t="s">
        <v>6021</v>
      </c>
    </row>
    <row r="631" spans="1:13">
      <c r="A631" s="2">
        <v>976</v>
      </c>
      <c r="B631" s="2" t="s">
        <v>6022</v>
      </c>
      <c r="C631" s="2">
        <v>3</v>
      </c>
      <c r="D631" s="2">
        <v>556</v>
      </c>
      <c r="E631" s="2">
        <v>12</v>
      </c>
      <c r="F631" s="2">
        <v>32441</v>
      </c>
      <c r="G631" s="2">
        <v>14.586780579999999</v>
      </c>
      <c r="H631" s="2">
        <v>1.861583E-3</v>
      </c>
      <c r="I631" s="2" t="s">
        <v>6023</v>
      </c>
      <c r="J631" s="2" t="s">
        <v>6024</v>
      </c>
      <c r="K631" s="2">
        <v>1.4344427E-2</v>
      </c>
      <c r="L631" s="2" t="s">
        <v>35</v>
      </c>
      <c r="M631" s="4" t="s">
        <v>6025</v>
      </c>
    </row>
    <row r="632" spans="1:13">
      <c r="A632" s="2">
        <v>1648</v>
      </c>
      <c r="B632" s="2" t="s">
        <v>6026</v>
      </c>
      <c r="C632" s="2">
        <v>3</v>
      </c>
      <c r="D632" s="2">
        <v>556</v>
      </c>
      <c r="E632" s="2">
        <v>12</v>
      </c>
      <c r="F632" s="2">
        <v>32441</v>
      </c>
      <c r="G632" s="2">
        <v>14.586780579999999</v>
      </c>
      <c r="H632" s="2">
        <v>1.861583E-3</v>
      </c>
      <c r="I632" s="2" t="s">
        <v>6027</v>
      </c>
      <c r="J632" s="2" t="s">
        <v>6028</v>
      </c>
      <c r="K632" s="2">
        <v>1.4344427E-2</v>
      </c>
      <c r="L632" s="2" t="s">
        <v>35</v>
      </c>
      <c r="M632" s="4" t="s">
        <v>6029</v>
      </c>
    </row>
    <row r="633" spans="1:13">
      <c r="A633" s="2">
        <v>2131</v>
      </c>
      <c r="B633" s="2" t="s">
        <v>6030</v>
      </c>
      <c r="C633" s="2">
        <v>3</v>
      </c>
      <c r="D633" s="2">
        <v>556</v>
      </c>
      <c r="E633" s="2">
        <v>12</v>
      </c>
      <c r="F633" s="2">
        <v>32441</v>
      </c>
      <c r="G633" s="2">
        <v>14.586780579999999</v>
      </c>
      <c r="H633" s="2">
        <v>1.861583E-3</v>
      </c>
      <c r="I633" s="2" t="s">
        <v>6031</v>
      </c>
      <c r="J633" s="2" t="s">
        <v>6032</v>
      </c>
      <c r="K633" s="2">
        <v>1.4344427E-2</v>
      </c>
      <c r="L633" s="2" t="s">
        <v>35</v>
      </c>
      <c r="M633" s="4" t="s">
        <v>6033</v>
      </c>
    </row>
    <row r="634" spans="1:13">
      <c r="A634" s="2">
        <v>3857</v>
      </c>
      <c r="B634" s="2" t="s">
        <v>6034</v>
      </c>
      <c r="C634" s="2">
        <v>3</v>
      </c>
      <c r="D634" s="2">
        <v>556</v>
      </c>
      <c r="E634" s="2">
        <v>12</v>
      </c>
      <c r="F634" s="2">
        <v>32441</v>
      </c>
      <c r="G634" s="2">
        <v>14.586780579999999</v>
      </c>
      <c r="H634" s="2">
        <v>1.861583E-3</v>
      </c>
      <c r="I634" s="2" t="s">
        <v>6035</v>
      </c>
      <c r="J634" s="2" t="s">
        <v>6036</v>
      </c>
      <c r="K634" s="2">
        <v>1.4344427E-2</v>
      </c>
      <c r="L634" s="2" t="s">
        <v>35</v>
      </c>
      <c r="M634" s="4" t="s">
        <v>6037</v>
      </c>
    </row>
    <row r="635" spans="1:13">
      <c r="A635" s="2">
        <v>4175</v>
      </c>
      <c r="B635" s="2" t="s">
        <v>6038</v>
      </c>
      <c r="C635" s="2">
        <v>3</v>
      </c>
      <c r="D635" s="2">
        <v>556</v>
      </c>
      <c r="E635" s="2">
        <v>12</v>
      </c>
      <c r="F635" s="2">
        <v>32441</v>
      </c>
      <c r="G635" s="2">
        <v>14.586780579999999</v>
      </c>
      <c r="H635" s="2">
        <v>1.861583E-3</v>
      </c>
      <c r="I635" s="2" t="s">
        <v>6039</v>
      </c>
      <c r="J635" s="2" t="s">
        <v>6040</v>
      </c>
      <c r="K635" s="2">
        <v>1.4344427E-2</v>
      </c>
      <c r="L635" s="2" t="s">
        <v>35</v>
      </c>
      <c r="M635" s="4" t="s">
        <v>6041</v>
      </c>
    </row>
    <row r="636" spans="1:13">
      <c r="A636" s="2">
        <v>3670</v>
      </c>
      <c r="B636" s="2" t="s">
        <v>6042</v>
      </c>
      <c r="C636" s="2">
        <v>7</v>
      </c>
      <c r="D636" s="2">
        <v>556</v>
      </c>
      <c r="E636" s="2">
        <v>97</v>
      </c>
      <c r="F636" s="2">
        <v>32441</v>
      </c>
      <c r="G636" s="2">
        <v>4.2106170729999999</v>
      </c>
      <c r="H636" s="2">
        <v>1.9326149999999999E-3</v>
      </c>
      <c r="I636" s="2" t="s">
        <v>6043</v>
      </c>
      <c r="J636" s="2" t="s">
        <v>6044</v>
      </c>
      <c r="K636" s="2">
        <v>1.4867709E-2</v>
      </c>
      <c r="L636" s="2" t="s">
        <v>35</v>
      </c>
      <c r="M636" s="4" t="s">
        <v>6045</v>
      </c>
    </row>
    <row r="637" spans="1:13">
      <c r="A637" s="2">
        <v>4204</v>
      </c>
      <c r="B637" s="2" t="s">
        <v>6046</v>
      </c>
      <c r="C637" s="2">
        <v>12</v>
      </c>
      <c r="D637" s="2">
        <v>556</v>
      </c>
      <c r="E637" s="2">
        <v>253</v>
      </c>
      <c r="F637" s="2">
        <v>32441</v>
      </c>
      <c r="G637" s="2">
        <v>2.7674524410000001</v>
      </c>
      <c r="H637" s="2">
        <v>1.9454940000000001E-3</v>
      </c>
      <c r="I637" s="2" t="s">
        <v>6047</v>
      </c>
      <c r="J637" s="2" t="s">
        <v>6048</v>
      </c>
      <c r="K637" s="2">
        <v>1.4942647999999999E-2</v>
      </c>
      <c r="L637" s="2" t="s">
        <v>35</v>
      </c>
      <c r="M637" s="4" t="s">
        <v>6049</v>
      </c>
    </row>
    <row r="638" spans="1:13">
      <c r="A638" s="2">
        <v>267</v>
      </c>
      <c r="B638" s="2" t="s">
        <v>6050</v>
      </c>
      <c r="C638" s="2">
        <v>4</v>
      </c>
      <c r="D638" s="2">
        <v>556</v>
      </c>
      <c r="E638" s="2">
        <v>28</v>
      </c>
      <c r="F638" s="2">
        <v>32441</v>
      </c>
      <c r="G638" s="2">
        <v>8.3353031860000009</v>
      </c>
      <c r="H638" s="2">
        <v>1.9723309999999999E-3</v>
      </c>
      <c r="I638" s="2" t="s">
        <v>6051</v>
      </c>
      <c r="J638" s="2" t="s">
        <v>6052</v>
      </c>
      <c r="K638" s="2">
        <v>1.5003578E-2</v>
      </c>
      <c r="L638" s="2" t="s">
        <v>35</v>
      </c>
      <c r="M638" s="4" t="s">
        <v>6053</v>
      </c>
    </row>
    <row r="639" spans="1:13">
      <c r="A639" s="2">
        <v>2779</v>
      </c>
      <c r="B639" s="2" t="s">
        <v>6054</v>
      </c>
      <c r="C639" s="2">
        <v>5</v>
      </c>
      <c r="D639" s="2">
        <v>556</v>
      </c>
      <c r="E639" s="2">
        <v>48</v>
      </c>
      <c r="F639" s="2">
        <v>32441</v>
      </c>
      <c r="G639" s="2">
        <v>6.0778252400000001</v>
      </c>
      <c r="H639" s="2">
        <v>1.96657E-3</v>
      </c>
      <c r="I639" s="2" t="s">
        <v>6055</v>
      </c>
      <c r="J639" s="2" t="s">
        <v>6056</v>
      </c>
      <c r="K639" s="2">
        <v>1.5003578E-2</v>
      </c>
      <c r="L639" s="2" t="s">
        <v>35</v>
      </c>
      <c r="M639" s="4" t="s">
        <v>6057</v>
      </c>
    </row>
    <row r="640" spans="1:13">
      <c r="A640" s="2">
        <v>3537</v>
      </c>
      <c r="B640" s="2" t="s">
        <v>6058</v>
      </c>
      <c r="C640" s="2">
        <v>5</v>
      </c>
      <c r="D640" s="2">
        <v>556</v>
      </c>
      <c r="E640" s="2">
        <v>48</v>
      </c>
      <c r="F640" s="2">
        <v>32441</v>
      </c>
      <c r="G640" s="2">
        <v>6.0778252400000001</v>
      </c>
      <c r="H640" s="2">
        <v>1.96657E-3</v>
      </c>
      <c r="I640" s="2" t="s">
        <v>6059</v>
      </c>
      <c r="J640" s="2" t="s">
        <v>6060</v>
      </c>
      <c r="K640" s="2">
        <v>1.5003578E-2</v>
      </c>
      <c r="L640" s="2" t="s">
        <v>35</v>
      </c>
      <c r="M640" s="4" t="s">
        <v>6061</v>
      </c>
    </row>
    <row r="641" spans="1:13">
      <c r="A641" s="2">
        <v>4216</v>
      </c>
      <c r="B641" s="2" t="s">
        <v>6062</v>
      </c>
      <c r="C641" s="2">
        <v>4</v>
      </c>
      <c r="D641" s="2">
        <v>556</v>
      </c>
      <c r="E641" s="2">
        <v>28</v>
      </c>
      <c r="F641" s="2">
        <v>32441</v>
      </c>
      <c r="G641" s="2">
        <v>8.3353031860000009</v>
      </c>
      <c r="H641" s="2">
        <v>1.9723309999999999E-3</v>
      </c>
      <c r="I641" s="2" t="s">
        <v>6063</v>
      </c>
      <c r="J641" s="2" t="s">
        <v>6064</v>
      </c>
      <c r="K641" s="2">
        <v>1.5003578E-2</v>
      </c>
      <c r="L641" s="2" t="s">
        <v>35</v>
      </c>
      <c r="M641" s="4" t="s">
        <v>6065</v>
      </c>
    </row>
    <row r="642" spans="1:13">
      <c r="A642" s="2">
        <v>4351</v>
      </c>
      <c r="B642" s="2" t="s">
        <v>6066</v>
      </c>
      <c r="C642" s="2">
        <v>4</v>
      </c>
      <c r="D642" s="2">
        <v>556</v>
      </c>
      <c r="E642" s="2">
        <v>28</v>
      </c>
      <c r="F642" s="2">
        <v>32441</v>
      </c>
      <c r="G642" s="2">
        <v>8.3353031860000009</v>
      </c>
      <c r="H642" s="2">
        <v>1.9723309999999999E-3</v>
      </c>
      <c r="I642" s="2" t="s">
        <v>6067</v>
      </c>
      <c r="J642" s="2" t="s">
        <v>6068</v>
      </c>
      <c r="K642" s="2">
        <v>1.5003578E-2</v>
      </c>
      <c r="L642" s="2" t="s">
        <v>35</v>
      </c>
      <c r="M642" s="4" t="s">
        <v>6069</v>
      </c>
    </row>
    <row r="643" spans="1:13">
      <c r="A643" s="2">
        <v>4395</v>
      </c>
      <c r="B643" s="2" t="s">
        <v>6070</v>
      </c>
      <c r="C643" s="2">
        <v>5</v>
      </c>
      <c r="D643" s="2">
        <v>556</v>
      </c>
      <c r="E643" s="2">
        <v>48</v>
      </c>
      <c r="F643" s="2">
        <v>32441</v>
      </c>
      <c r="G643" s="2">
        <v>6.0778252400000001</v>
      </c>
      <c r="H643" s="2">
        <v>1.96657E-3</v>
      </c>
      <c r="I643" s="2" t="s">
        <v>6071</v>
      </c>
      <c r="J643" s="2" t="s">
        <v>6072</v>
      </c>
      <c r="K643" s="2">
        <v>1.5003578E-2</v>
      </c>
      <c r="L643" s="2" t="s">
        <v>35</v>
      </c>
      <c r="M643" s="4" t="s">
        <v>6073</v>
      </c>
    </row>
    <row r="644" spans="1:13">
      <c r="A644" s="2">
        <v>4600</v>
      </c>
      <c r="B644" s="2" t="s">
        <v>6074</v>
      </c>
      <c r="C644" s="2">
        <v>13</v>
      </c>
      <c r="D644" s="2">
        <v>556</v>
      </c>
      <c r="E644" s="2">
        <v>289</v>
      </c>
      <c r="F644" s="2">
        <v>32441</v>
      </c>
      <c r="G644" s="2">
        <v>2.6246110379999998</v>
      </c>
      <c r="H644" s="2">
        <v>2.0109279999999999E-3</v>
      </c>
      <c r="I644" s="2" t="s">
        <v>6075</v>
      </c>
      <c r="J644" s="2" t="s">
        <v>6076</v>
      </c>
      <c r="K644" s="2">
        <v>1.5272786999999999E-2</v>
      </c>
      <c r="L644" s="2" t="s">
        <v>35</v>
      </c>
      <c r="M644" s="4" t="s">
        <v>6077</v>
      </c>
    </row>
    <row r="645" spans="1:13">
      <c r="A645" s="2">
        <v>2878</v>
      </c>
      <c r="B645" s="2" t="s">
        <v>460</v>
      </c>
      <c r="C645" s="2">
        <v>5</v>
      </c>
      <c r="D645" s="2">
        <v>556</v>
      </c>
      <c r="E645" s="2">
        <v>49</v>
      </c>
      <c r="F645" s="2">
        <v>32441</v>
      </c>
      <c r="G645" s="2">
        <v>5.9537879900000004</v>
      </c>
      <c r="H645" s="2">
        <v>2.1376659999999999E-3</v>
      </c>
      <c r="I645" s="2" t="s">
        <v>6078</v>
      </c>
      <c r="J645" s="2" t="s">
        <v>6079</v>
      </c>
      <c r="K645" s="2">
        <v>1.6208910999999999E-2</v>
      </c>
      <c r="L645" s="2" t="s">
        <v>35</v>
      </c>
      <c r="M645" s="4" t="s">
        <v>6080</v>
      </c>
    </row>
    <row r="646" spans="1:13">
      <c r="A646" s="2">
        <v>3155</v>
      </c>
      <c r="B646" s="2" t="s">
        <v>530</v>
      </c>
      <c r="C646" s="2">
        <v>11</v>
      </c>
      <c r="D646" s="2">
        <v>556</v>
      </c>
      <c r="E646" s="2">
        <v>222</v>
      </c>
      <c r="F646" s="2">
        <v>32441</v>
      </c>
      <c r="G646" s="2">
        <v>2.891073628</v>
      </c>
      <c r="H646" s="2">
        <v>2.140992E-3</v>
      </c>
      <c r="I646" s="2" t="s">
        <v>6081</v>
      </c>
      <c r="J646" s="2" t="s">
        <v>6082</v>
      </c>
      <c r="K646" s="2">
        <v>1.6208910999999999E-2</v>
      </c>
      <c r="L646" s="2" t="s">
        <v>35</v>
      </c>
      <c r="M646" s="4" t="s">
        <v>6083</v>
      </c>
    </row>
    <row r="647" spans="1:13">
      <c r="A647" s="2">
        <v>4051</v>
      </c>
      <c r="B647" s="2" t="s">
        <v>6084</v>
      </c>
      <c r="C647" s="2">
        <v>6</v>
      </c>
      <c r="D647" s="2">
        <v>556</v>
      </c>
      <c r="E647" s="2">
        <v>73</v>
      </c>
      <c r="F647" s="2">
        <v>32441</v>
      </c>
      <c r="G647" s="2">
        <v>4.7956538880000004</v>
      </c>
      <c r="H647" s="2">
        <v>2.1909849999999999E-3</v>
      </c>
      <c r="I647" s="2" t="s">
        <v>6085</v>
      </c>
      <c r="J647" s="2" t="s">
        <v>6086</v>
      </c>
      <c r="K647" s="2">
        <v>1.6561065E-2</v>
      </c>
      <c r="L647" s="2" t="s">
        <v>35</v>
      </c>
      <c r="M647" s="4" t="s">
        <v>6087</v>
      </c>
    </row>
    <row r="648" spans="1:13">
      <c r="A648" s="2">
        <v>607</v>
      </c>
      <c r="B648" s="2" t="s">
        <v>6088</v>
      </c>
      <c r="C648" s="2">
        <v>4</v>
      </c>
      <c r="D648" s="2">
        <v>556</v>
      </c>
      <c r="E648" s="2">
        <v>29</v>
      </c>
      <c r="F648" s="2">
        <v>32441</v>
      </c>
      <c r="G648" s="2">
        <v>8.0478789380000002</v>
      </c>
      <c r="H648" s="2">
        <v>2.2148100000000002E-3</v>
      </c>
      <c r="I648" s="2" t="s">
        <v>6089</v>
      </c>
      <c r="J648" s="2" t="s">
        <v>6090</v>
      </c>
      <c r="K648" s="2">
        <v>1.6670099000000001E-2</v>
      </c>
      <c r="L648" s="2" t="s">
        <v>35</v>
      </c>
      <c r="M648" s="4" t="s">
        <v>6091</v>
      </c>
    </row>
    <row r="649" spans="1:13">
      <c r="A649" s="2">
        <v>2213</v>
      </c>
      <c r="B649" s="2" t="s">
        <v>6092</v>
      </c>
      <c r="C649" s="2">
        <v>4</v>
      </c>
      <c r="D649" s="2">
        <v>556</v>
      </c>
      <c r="E649" s="2">
        <v>29</v>
      </c>
      <c r="F649" s="2">
        <v>32441</v>
      </c>
      <c r="G649" s="2">
        <v>8.0478789380000002</v>
      </c>
      <c r="H649" s="2">
        <v>2.2148100000000002E-3</v>
      </c>
      <c r="I649" s="2" t="s">
        <v>6093</v>
      </c>
      <c r="J649" s="2" t="s">
        <v>6094</v>
      </c>
      <c r="K649" s="2">
        <v>1.6670099000000001E-2</v>
      </c>
      <c r="L649" s="2" t="s">
        <v>35</v>
      </c>
      <c r="M649" s="4" t="s">
        <v>6095</v>
      </c>
    </row>
    <row r="650" spans="1:13">
      <c r="A650" s="2">
        <v>2596</v>
      </c>
      <c r="B650" s="2" t="s">
        <v>6096</v>
      </c>
      <c r="C650" s="2">
        <v>8</v>
      </c>
      <c r="D650" s="2">
        <v>556</v>
      </c>
      <c r="E650" s="2">
        <v>128</v>
      </c>
      <c r="F650" s="2">
        <v>32441</v>
      </c>
      <c r="G650" s="2">
        <v>3.6466951440000002</v>
      </c>
      <c r="H650" s="2">
        <v>2.215912E-3</v>
      </c>
      <c r="I650" s="2" t="s">
        <v>6097</v>
      </c>
      <c r="J650" s="2" t="s">
        <v>6098</v>
      </c>
      <c r="K650" s="2">
        <v>1.6670099000000001E-2</v>
      </c>
      <c r="L650" s="2" t="s">
        <v>35</v>
      </c>
      <c r="M650" s="4" t="s">
        <v>6099</v>
      </c>
    </row>
    <row r="651" spans="1:13">
      <c r="A651" s="2">
        <v>2259</v>
      </c>
      <c r="B651" s="2" t="s">
        <v>6100</v>
      </c>
      <c r="C651" s="2">
        <v>3</v>
      </c>
      <c r="D651" s="2">
        <v>556</v>
      </c>
      <c r="E651" s="2">
        <v>13</v>
      </c>
      <c r="F651" s="2">
        <v>32441</v>
      </c>
      <c r="G651" s="2">
        <v>13.464720529999999</v>
      </c>
      <c r="H651" s="2">
        <v>2.2626669999999999E-3</v>
      </c>
      <c r="I651" s="2" t="s">
        <v>6101</v>
      </c>
      <c r="J651" s="2" t="s">
        <v>6102</v>
      </c>
      <c r="K651" s="2">
        <v>1.6888433000000001E-2</v>
      </c>
      <c r="L651" s="2" t="s">
        <v>35</v>
      </c>
      <c r="M651" s="4" t="s">
        <v>6103</v>
      </c>
    </row>
    <row r="652" spans="1:13">
      <c r="A652" s="2">
        <v>2512</v>
      </c>
      <c r="B652" s="2" t="s">
        <v>6104</v>
      </c>
      <c r="C652" s="2">
        <v>3</v>
      </c>
      <c r="D652" s="2">
        <v>556</v>
      </c>
      <c r="E652" s="2">
        <v>13</v>
      </c>
      <c r="F652" s="2">
        <v>32441</v>
      </c>
      <c r="G652" s="2">
        <v>13.464720529999999</v>
      </c>
      <c r="H652" s="2">
        <v>2.2626669999999999E-3</v>
      </c>
      <c r="I652" s="2" t="s">
        <v>6105</v>
      </c>
      <c r="J652" s="2" t="s">
        <v>6106</v>
      </c>
      <c r="K652" s="2">
        <v>1.6888433000000001E-2</v>
      </c>
      <c r="L652" s="2" t="s">
        <v>35</v>
      </c>
      <c r="M652" s="4" t="s">
        <v>6107</v>
      </c>
    </row>
    <row r="653" spans="1:13">
      <c r="A653" s="2">
        <v>2828</v>
      </c>
      <c r="B653" s="2" t="s">
        <v>2927</v>
      </c>
      <c r="C653" s="2">
        <v>13</v>
      </c>
      <c r="D653" s="2">
        <v>556</v>
      </c>
      <c r="E653" s="2">
        <v>293</v>
      </c>
      <c r="F653" s="2">
        <v>32441</v>
      </c>
      <c r="G653" s="2">
        <v>2.5887801700000002</v>
      </c>
      <c r="H653" s="2">
        <v>2.2545339999999999E-3</v>
      </c>
      <c r="I653" s="2" t="s">
        <v>6108</v>
      </c>
      <c r="J653" s="2" t="s">
        <v>6109</v>
      </c>
      <c r="K653" s="2">
        <v>1.6888433000000001E-2</v>
      </c>
      <c r="L653" s="2" t="s">
        <v>35</v>
      </c>
      <c r="M653" s="4" t="s">
        <v>2930</v>
      </c>
    </row>
    <row r="654" spans="1:13">
      <c r="A654" s="2">
        <v>3838</v>
      </c>
      <c r="B654" s="2" t="s">
        <v>6110</v>
      </c>
      <c r="C654" s="2">
        <v>3</v>
      </c>
      <c r="D654" s="2">
        <v>556</v>
      </c>
      <c r="E654" s="2">
        <v>13</v>
      </c>
      <c r="F654" s="2">
        <v>32441</v>
      </c>
      <c r="G654" s="2">
        <v>13.464720529999999</v>
      </c>
      <c r="H654" s="2">
        <v>2.2626669999999999E-3</v>
      </c>
      <c r="I654" s="2" t="s">
        <v>6111</v>
      </c>
      <c r="J654" s="2" t="s">
        <v>6112</v>
      </c>
      <c r="K654" s="2">
        <v>1.6888433000000001E-2</v>
      </c>
      <c r="L654" s="2" t="s">
        <v>35</v>
      </c>
      <c r="M654" s="4" t="s">
        <v>6113</v>
      </c>
    </row>
    <row r="655" spans="1:13">
      <c r="A655" s="2">
        <v>3977</v>
      </c>
      <c r="B655" s="2" t="s">
        <v>6114</v>
      </c>
      <c r="C655" s="2">
        <v>3</v>
      </c>
      <c r="D655" s="2">
        <v>556</v>
      </c>
      <c r="E655" s="2">
        <v>13</v>
      </c>
      <c r="F655" s="2">
        <v>32441</v>
      </c>
      <c r="G655" s="2">
        <v>13.464720529999999</v>
      </c>
      <c r="H655" s="2">
        <v>2.2626669999999999E-3</v>
      </c>
      <c r="I655" s="2" t="s">
        <v>6115</v>
      </c>
      <c r="J655" s="2" t="s">
        <v>6116</v>
      </c>
      <c r="K655" s="2">
        <v>1.6888433000000001E-2</v>
      </c>
      <c r="L655" s="2" t="s">
        <v>35</v>
      </c>
      <c r="M655" s="4" t="s">
        <v>6117</v>
      </c>
    </row>
    <row r="656" spans="1:13">
      <c r="A656" s="2">
        <v>3896</v>
      </c>
      <c r="B656" s="2" t="s">
        <v>6118</v>
      </c>
      <c r="C656" s="2">
        <v>5</v>
      </c>
      <c r="D656" s="2">
        <v>556</v>
      </c>
      <c r="E656" s="2">
        <v>50</v>
      </c>
      <c r="F656" s="2">
        <v>32441</v>
      </c>
      <c r="G656" s="2">
        <v>5.8347122300000001</v>
      </c>
      <c r="H656" s="2">
        <v>2.319359E-3</v>
      </c>
      <c r="I656" s="2" t="s">
        <v>6119</v>
      </c>
      <c r="J656" s="2" t="s">
        <v>6120</v>
      </c>
      <c r="K656" s="2">
        <v>1.7284483999999999E-2</v>
      </c>
      <c r="L656" s="2" t="s">
        <v>35</v>
      </c>
      <c r="M656" s="4" t="s">
        <v>6121</v>
      </c>
    </row>
    <row r="657" spans="1:13">
      <c r="A657" s="2">
        <v>2621</v>
      </c>
      <c r="B657" s="2" t="s">
        <v>6122</v>
      </c>
      <c r="C657" s="2">
        <v>6</v>
      </c>
      <c r="D657" s="2">
        <v>556</v>
      </c>
      <c r="E657" s="2">
        <v>74</v>
      </c>
      <c r="F657" s="2">
        <v>32441</v>
      </c>
      <c r="G657" s="2">
        <v>4.730847754</v>
      </c>
      <c r="H657" s="2">
        <v>2.3355469999999999E-3</v>
      </c>
      <c r="I657" s="2" t="s">
        <v>6123</v>
      </c>
      <c r="J657" s="2" t="s">
        <v>6124</v>
      </c>
      <c r="K657" s="2">
        <v>1.7350819E-2</v>
      </c>
      <c r="L657" s="2" t="s">
        <v>35</v>
      </c>
      <c r="M657" s="4" t="s">
        <v>6125</v>
      </c>
    </row>
    <row r="658" spans="1:13">
      <c r="A658" s="2">
        <v>3471</v>
      </c>
      <c r="B658" s="2" t="s">
        <v>6126</v>
      </c>
      <c r="C658" s="2">
        <v>6</v>
      </c>
      <c r="D658" s="2">
        <v>556</v>
      </c>
      <c r="E658" s="2">
        <v>74</v>
      </c>
      <c r="F658" s="2">
        <v>32441</v>
      </c>
      <c r="G658" s="2">
        <v>4.730847754</v>
      </c>
      <c r="H658" s="2">
        <v>2.3355469999999999E-3</v>
      </c>
      <c r="I658" s="2" t="s">
        <v>6127</v>
      </c>
      <c r="J658" s="2" t="s">
        <v>6128</v>
      </c>
      <c r="K658" s="2">
        <v>1.7350819E-2</v>
      </c>
      <c r="L658" s="2" t="s">
        <v>35</v>
      </c>
      <c r="M658" s="4" t="s">
        <v>6129</v>
      </c>
    </row>
    <row r="659" spans="1:13">
      <c r="A659" s="2">
        <v>4457</v>
      </c>
      <c r="B659" s="2" t="s">
        <v>6130</v>
      </c>
      <c r="C659" s="2">
        <v>12</v>
      </c>
      <c r="D659" s="2">
        <v>556</v>
      </c>
      <c r="E659" s="2">
        <v>259</v>
      </c>
      <c r="F659" s="2">
        <v>32441</v>
      </c>
      <c r="G659" s="2">
        <v>2.703341574</v>
      </c>
      <c r="H659" s="2">
        <v>2.3397240000000001E-3</v>
      </c>
      <c r="I659" s="2" t="s">
        <v>6131</v>
      </c>
      <c r="J659" s="2" t="s">
        <v>6132</v>
      </c>
      <c r="K659" s="2">
        <v>1.7354774999999999E-2</v>
      </c>
      <c r="L659" s="2" t="s">
        <v>35</v>
      </c>
      <c r="M659" s="4" t="s">
        <v>6133</v>
      </c>
    </row>
    <row r="660" spans="1:13">
      <c r="A660" s="2">
        <v>3188</v>
      </c>
      <c r="B660" s="2" t="s">
        <v>6134</v>
      </c>
      <c r="C660" s="2">
        <v>7</v>
      </c>
      <c r="D660" s="2">
        <v>556</v>
      </c>
      <c r="E660" s="2">
        <v>101</v>
      </c>
      <c r="F660" s="2">
        <v>32441</v>
      </c>
      <c r="G660" s="2">
        <v>4.043859962</v>
      </c>
      <c r="H660" s="2">
        <v>2.3954839999999998E-3</v>
      </c>
      <c r="I660" s="2" t="s">
        <v>6135</v>
      </c>
      <c r="J660" s="2" t="s">
        <v>6136</v>
      </c>
      <c r="K660" s="2">
        <v>1.7740735000000001E-2</v>
      </c>
      <c r="L660" s="2" t="s">
        <v>35</v>
      </c>
      <c r="M660" s="4" t="s">
        <v>6137</v>
      </c>
    </row>
    <row r="661" spans="1:13">
      <c r="A661" s="2">
        <v>2324</v>
      </c>
      <c r="B661" s="2" t="s">
        <v>6138</v>
      </c>
      <c r="C661" s="2">
        <v>4</v>
      </c>
      <c r="D661" s="2">
        <v>556</v>
      </c>
      <c r="E661" s="2">
        <v>30</v>
      </c>
      <c r="F661" s="2">
        <v>32441</v>
      </c>
      <c r="G661" s="2">
        <v>7.7796163070000004</v>
      </c>
      <c r="H661" s="2">
        <v>2.477071E-3</v>
      </c>
      <c r="I661" s="2" t="s">
        <v>6139</v>
      </c>
      <c r="J661" s="2" t="s">
        <v>6140</v>
      </c>
      <c r="K661" s="2">
        <v>1.8231549999999999E-2</v>
      </c>
      <c r="L661" s="2" t="s">
        <v>35</v>
      </c>
      <c r="M661" s="4" t="s">
        <v>6141</v>
      </c>
    </row>
    <row r="662" spans="1:13">
      <c r="A662" s="2">
        <v>2481</v>
      </c>
      <c r="B662" s="2" t="s">
        <v>6142</v>
      </c>
      <c r="C662" s="2">
        <v>4</v>
      </c>
      <c r="D662" s="2">
        <v>556</v>
      </c>
      <c r="E662" s="2">
        <v>30</v>
      </c>
      <c r="F662" s="2">
        <v>32441</v>
      </c>
      <c r="G662" s="2">
        <v>7.7796163070000004</v>
      </c>
      <c r="H662" s="2">
        <v>2.477071E-3</v>
      </c>
      <c r="I662" s="2" t="s">
        <v>6143</v>
      </c>
      <c r="J662" s="2" t="s">
        <v>6144</v>
      </c>
      <c r="K662" s="2">
        <v>1.8231549999999999E-2</v>
      </c>
      <c r="L662" s="2" t="s">
        <v>35</v>
      </c>
      <c r="M662" s="4" t="s">
        <v>6145</v>
      </c>
    </row>
    <row r="663" spans="1:13">
      <c r="A663" s="2">
        <v>2761</v>
      </c>
      <c r="B663" s="2" t="s">
        <v>6146</v>
      </c>
      <c r="C663" s="2">
        <v>4</v>
      </c>
      <c r="D663" s="2">
        <v>556</v>
      </c>
      <c r="E663" s="2">
        <v>30</v>
      </c>
      <c r="F663" s="2">
        <v>32441</v>
      </c>
      <c r="G663" s="2">
        <v>7.7796163070000004</v>
      </c>
      <c r="H663" s="2">
        <v>2.477071E-3</v>
      </c>
      <c r="I663" s="2" t="s">
        <v>6147</v>
      </c>
      <c r="J663" s="2" t="s">
        <v>6148</v>
      </c>
      <c r="K663" s="2">
        <v>1.8231549999999999E-2</v>
      </c>
      <c r="L663" s="2" t="s">
        <v>35</v>
      </c>
      <c r="M663" s="4" t="s">
        <v>6149</v>
      </c>
    </row>
    <row r="664" spans="1:13">
      <c r="A664" s="2">
        <v>4192</v>
      </c>
      <c r="B664" s="2" t="s">
        <v>6150</v>
      </c>
      <c r="C664" s="2">
        <v>4</v>
      </c>
      <c r="D664" s="2">
        <v>556</v>
      </c>
      <c r="E664" s="2">
        <v>30</v>
      </c>
      <c r="F664" s="2">
        <v>32441</v>
      </c>
      <c r="G664" s="2">
        <v>7.7796163070000004</v>
      </c>
      <c r="H664" s="2">
        <v>2.477071E-3</v>
      </c>
      <c r="I664" s="2" t="s">
        <v>6151</v>
      </c>
      <c r="J664" s="2" t="s">
        <v>6152</v>
      </c>
      <c r="K664" s="2">
        <v>1.8231549999999999E-2</v>
      </c>
      <c r="L664" s="2" t="s">
        <v>35</v>
      </c>
      <c r="M664" s="4" t="s">
        <v>6153</v>
      </c>
    </row>
    <row r="665" spans="1:13">
      <c r="A665" s="2">
        <v>2239</v>
      </c>
      <c r="B665" s="2" t="s">
        <v>6154</v>
      </c>
      <c r="C665" s="2">
        <v>12</v>
      </c>
      <c r="D665" s="2">
        <v>556</v>
      </c>
      <c r="E665" s="2">
        <v>261</v>
      </c>
      <c r="F665" s="2">
        <v>32441</v>
      </c>
      <c r="G665" s="2">
        <v>2.6826263130000001</v>
      </c>
      <c r="H665" s="2">
        <v>2.4847649999999999E-3</v>
      </c>
      <c r="I665" s="2" t="s">
        <v>6155</v>
      </c>
      <c r="J665" s="2" t="s">
        <v>6156</v>
      </c>
      <c r="K665" s="2">
        <v>1.8259958E-2</v>
      </c>
      <c r="L665" s="2" t="s">
        <v>35</v>
      </c>
      <c r="M665" s="4" t="s">
        <v>6157</v>
      </c>
    </row>
    <row r="666" spans="1:13">
      <c r="A666" s="2">
        <v>3195</v>
      </c>
      <c r="B666" s="2" t="s">
        <v>6158</v>
      </c>
      <c r="C666" s="2">
        <v>5</v>
      </c>
      <c r="D666" s="2">
        <v>556</v>
      </c>
      <c r="E666" s="2">
        <v>51</v>
      </c>
      <c r="F666" s="2">
        <v>32441</v>
      </c>
      <c r="G666" s="2">
        <v>5.7203061079999999</v>
      </c>
      <c r="H666" s="2">
        <v>2.5120250000000002E-3</v>
      </c>
      <c r="I666" s="2" t="s">
        <v>6159</v>
      </c>
      <c r="J666" s="2" t="s">
        <v>6160</v>
      </c>
      <c r="K666" s="2">
        <v>1.8431836E-2</v>
      </c>
      <c r="L666" s="2" t="s">
        <v>35</v>
      </c>
      <c r="M666" s="4" t="s">
        <v>6161</v>
      </c>
    </row>
    <row r="667" spans="1:13">
      <c r="A667" s="2">
        <v>1227</v>
      </c>
      <c r="B667" s="2" t="s">
        <v>508</v>
      </c>
      <c r="C667" s="2">
        <v>8</v>
      </c>
      <c r="D667" s="2">
        <v>556</v>
      </c>
      <c r="E667" s="2">
        <v>132</v>
      </c>
      <c r="F667" s="2">
        <v>32441</v>
      </c>
      <c r="G667" s="2">
        <v>3.5361892300000002</v>
      </c>
      <c r="H667" s="2">
        <v>2.6529520000000001E-3</v>
      </c>
      <c r="I667" s="2" t="s">
        <v>4677</v>
      </c>
      <c r="J667" s="2" t="s">
        <v>4678</v>
      </c>
      <c r="K667" s="2">
        <v>1.9406079999999999E-2</v>
      </c>
      <c r="L667" s="2" t="s">
        <v>35</v>
      </c>
      <c r="M667" s="4" t="s">
        <v>6162</v>
      </c>
    </row>
    <row r="668" spans="1:13">
      <c r="A668" s="2">
        <v>3435</v>
      </c>
      <c r="B668" s="2" t="s">
        <v>6163</v>
      </c>
      <c r="C668" s="2">
        <v>10</v>
      </c>
      <c r="D668" s="2">
        <v>556</v>
      </c>
      <c r="E668" s="2">
        <v>195</v>
      </c>
      <c r="F668" s="2">
        <v>32441</v>
      </c>
      <c r="G668" s="2">
        <v>2.9921601180000001</v>
      </c>
      <c r="H668" s="2">
        <v>2.6504340000000001E-3</v>
      </c>
      <c r="I668" s="2" t="s">
        <v>6164</v>
      </c>
      <c r="J668" s="2" t="s">
        <v>6165</v>
      </c>
      <c r="K668" s="2">
        <v>1.9406079999999999E-2</v>
      </c>
      <c r="L668" s="2" t="s">
        <v>35</v>
      </c>
      <c r="M668" s="4" t="s">
        <v>6166</v>
      </c>
    </row>
    <row r="669" spans="1:13">
      <c r="A669" s="2">
        <v>227</v>
      </c>
      <c r="B669" s="2" t="s">
        <v>6167</v>
      </c>
      <c r="C669" s="2">
        <v>3</v>
      </c>
      <c r="D669" s="2">
        <v>556</v>
      </c>
      <c r="E669" s="2">
        <v>14</v>
      </c>
      <c r="F669" s="2">
        <v>32441</v>
      </c>
      <c r="G669" s="2">
        <v>12.50295478</v>
      </c>
      <c r="H669" s="2">
        <v>2.7133629999999999E-3</v>
      </c>
      <c r="I669" s="2" t="s">
        <v>5879</v>
      </c>
      <c r="J669" s="2" t="s">
        <v>5880</v>
      </c>
      <c r="K669" s="2">
        <v>1.9686127000000001E-2</v>
      </c>
      <c r="L669" s="2" t="s">
        <v>35</v>
      </c>
      <c r="M669" s="4" t="s">
        <v>6168</v>
      </c>
    </row>
    <row r="670" spans="1:13">
      <c r="A670" s="2">
        <v>539</v>
      </c>
      <c r="B670" s="2" t="s">
        <v>6169</v>
      </c>
      <c r="C670" s="2">
        <v>3</v>
      </c>
      <c r="D670" s="2">
        <v>556</v>
      </c>
      <c r="E670" s="2">
        <v>14</v>
      </c>
      <c r="F670" s="2">
        <v>32441</v>
      </c>
      <c r="G670" s="2">
        <v>12.50295478</v>
      </c>
      <c r="H670" s="2">
        <v>2.7133629999999999E-3</v>
      </c>
      <c r="I670" s="2" t="s">
        <v>6170</v>
      </c>
      <c r="J670" s="2" t="s">
        <v>6171</v>
      </c>
      <c r="K670" s="2">
        <v>1.9686127000000001E-2</v>
      </c>
      <c r="L670" s="2" t="s">
        <v>35</v>
      </c>
      <c r="M670" s="4" t="s">
        <v>6172</v>
      </c>
    </row>
    <row r="671" spans="1:13">
      <c r="A671" s="2">
        <v>739</v>
      </c>
      <c r="B671" s="2" t="s">
        <v>6173</v>
      </c>
      <c r="C671" s="2">
        <v>3</v>
      </c>
      <c r="D671" s="2">
        <v>556</v>
      </c>
      <c r="E671" s="2">
        <v>14</v>
      </c>
      <c r="F671" s="2">
        <v>32441</v>
      </c>
      <c r="G671" s="2">
        <v>12.50295478</v>
      </c>
      <c r="H671" s="2">
        <v>2.7133629999999999E-3</v>
      </c>
      <c r="I671" s="2" t="s">
        <v>6174</v>
      </c>
      <c r="J671" s="2" t="s">
        <v>6175</v>
      </c>
      <c r="K671" s="2">
        <v>1.9686127000000001E-2</v>
      </c>
      <c r="L671" s="2" t="s">
        <v>35</v>
      </c>
      <c r="M671" s="4" t="s">
        <v>6176</v>
      </c>
    </row>
    <row r="672" spans="1:13">
      <c r="A672" s="2">
        <v>1157</v>
      </c>
      <c r="B672" s="2" t="s">
        <v>6177</v>
      </c>
      <c r="C672" s="2">
        <v>3</v>
      </c>
      <c r="D672" s="2">
        <v>556</v>
      </c>
      <c r="E672" s="2">
        <v>14</v>
      </c>
      <c r="F672" s="2">
        <v>32441</v>
      </c>
      <c r="G672" s="2">
        <v>12.50295478</v>
      </c>
      <c r="H672" s="2">
        <v>2.7133629999999999E-3</v>
      </c>
      <c r="I672" s="2" t="s">
        <v>5875</v>
      </c>
      <c r="J672" s="2" t="s">
        <v>5876</v>
      </c>
      <c r="K672" s="2">
        <v>1.9686127000000001E-2</v>
      </c>
      <c r="L672" s="2" t="s">
        <v>35</v>
      </c>
      <c r="M672" s="4" t="s">
        <v>6178</v>
      </c>
    </row>
    <row r="673" spans="1:13">
      <c r="A673" s="2">
        <v>2650</v>
      </c>
      <c r="B673" s="2" t="s">
        <v>6179</v>
      </c>
      <c r="C673" s="2">
        <v>5</v>
      </c>
      <c r="D673" s="2">
        <v>556</v>
      </c>
      <c r="E673" s="2">
        <v>52</v>
      </c>
      <c r="F673" s="2">
        <v>32441</v>
      </c>
      <c r="G673" s="2">
        <v>5.6103002210000001</v>
      </c>
      <c r="H673" s="2">
        <v>2.7160410000000002E-3</v>
      </c>
      <c r="I673" s="2" t="s">
        <v>6180</v>
      </c>
      <c r="J673" s="2" t="s">
        <v>6181</v>
      </c>
      <c r="K673" s="2">
        <v>1.9686127000000001E-2</v>
      </c>
      <c r="L673" s="2" t="s">
        <v>35</v>
      </c>
      <c r="M673" s="4" t="s">
        <v>6182</v>
      </c>
    </row>
    <row r="674" spans="1:13">
      <c r="A674" s="2">
        <v>3843</v>
      </c>
      <c r="B674" s="2" t="s">
        <v>6183</v>
      </c>
      <c r="C674" s="2">
        <v>3</v>
      </c>
      <c r="D674" s="2">
        <v>556</v>
      </c>
      <c r="E674" s="2">
        <v>14</v>
      </c>
      <c r="F674" s="2">
        <v>32441</v>
      </c>
      <c r="G674" s="2">
        <v>12.50295478</v>
      </c>
      <c r="H674" s="2">
        <v>2.7133629999999999E-3</v>
      </c>
      <c r="I674" s="2" t="s">
        <v>6184</v>
      </c>
      <c r="J674" s="2" t="s">
        <v>6185</v>
      </c>
      <c r="K674" s="2">
        <v>1.9686127000000001E-2</v>
      </c>
      <c r="L674" s="2" t="s">
        <v>35</v>
      </c>
      <c r="M674" s="4" t="s">
        <v>6186</v>
      </c>
    </row>
    <row r="675" spans="1:13">
      <c r="A675" s="2">
        <v>480</v>
      </c>
      <c r="B675" s="2" t="s">
        <v>6187</v>
      </c>
      <c r="C675" s="2">
        <v>4</v>
      </c>
      <c r="D675" s="2">
        <v>556</v>
      </c>
      <c r="E675" s="2">
        <v>31</v>
      </c>
      <c r="F675" s="2">
        <v>32441</v>
      </c>
      <c r="G675" s="2">
        <v>7.5286609420000001</v>
      </c>
      <c r="H675" s="2">
        <v>2.7598950000000001E-3</v>
      </c>
      <c r="I675" s="2" t="s">
        <v>6188</v>
      </c>
      <c r="J675" s="2" t="s">
        <v>6189</v>
      </c>
      <c r="K675" s="2">
        <v>1.9704079999999999E-2</v>
      </c>
      <c r="L675" s="2" t="s">
        <v>35</v>
      </c>
      <c r="M675" s="4" t="s">
        <v>6190</v>
      </c>
    </row>
    <row r="676" spans="1:13">
      <c r="A676" s="2">
        <v>502</v>
      </c>
      <c r="B676" s="2" t="s">
        <v>6191</v>
      </c>
      <c r="C676" s="2">
        <v>4</v>
      </c>
      <c r="D676" s="2">
        <v>556</v>
      </c>
      <c r="E676" s="2">
        <v>31</v>
      </c>
      <c r="F676" s="2">
        <v>32441</v>
      </c>
      <c r="G676" s="2">
        <v>7.5286609420000001</v>
      </c>
      <c r="H676" s="2">
        <v>2.7598950000000001E-3</v>
      </c>
      <c r="I676" s="2" t="s">
        <v>6192</v>
      </c>
      <c r="J676" s="2" t="s">
        <v>6193</v>
      </c>
      <c r="K676" s="2">
        <v>1.9704079999999999E-2</v>
      </c>
      <c r="L676" s="2" t="s">
        <v>35</v>
      </c>
      <c r="M676" s="4" t="s">
        <v>6194</v>
      </c>
    </row>
    <row r="677" spans="1:13">
      <c r="A677" s="2">
        <v>1049</v>
      </c>
      <c r="B677" s="2" t="s">
        <v>6195</v>
      </c>
      <c r="C677" s="2">
        <v>4</v>
      </c>
      <c r="D677" s="2">
        <v>556</v>
      </c>
      <c r="E677" s="2">
        <v>31</v>
      </c>
      <c r="F677" s="2">
        <v>32441</v>
      </c>
      <c r="G677" s="2">
        <v>7.5286609420000001</v>
      </c>
      <c r="H677" s="2">
        <v>2.7598950000000001E-3</v>
      </c>
      <c r="I677" s="2" t="s">
        <v>6196</v>
      </c>
      <c r="J677" s="2" t="s">
        <v>6197</v>
      </c>
      <c r="K677" s="2">
        <v>1.9704079999999999E-2</v>
      </c>
      <c r="L677" s="2" t="s">
        <v>35</v>
      </c>
      <c r="M677" s="4" t="s">
        <v>6198</v>
      </c>
    </row>
    <row r="678" spans="1:13">
      <c r="A678" s="2">
        <v>1483</v>
      </c>
      <c r="B678" s="2" t="s">
        <v>6199</v>
      </c>
      <c r="C678" s="2">
        <v>4</v>
      </c>
      <c r="D678" s="2">
        <v>556</v>
      </c>
      <c r="E678" s="2">
        <v>31</v>
      </c>
      <c r="F678" s="2">
        <v>32441</v>
      </c>
      <c r="G678" s="2">
        <v>7.5286609420000001</v>
      </c>
      <c r="H678" s="2">
        <v>2.7598950000000001E-3</v>
      </c>
      <c r="I678" s="2" t="s">
        <v>6200</v>
      </c>
      <c r="J678" s="2" t="s">
        <v>6201</v>
      </c>
      <c r="K678" s="2">
        <v>1.9704079999999999E-2</v>
      </c>
      <c r="L678" s="2" t="s">
        <v>35</v>
      </c>
      <c r="M678" s="4" t="s">
        <v>6202</v>
      </c>
    </row>
    <row r="679" spans="1:13">
      <c r="A679" s="2">
        <v>2859</v>
      </c>
      <c r="B679" s="2" t="s">
        <v>6203</v>
      </c>
      <c r="C679" s="2">
        <v>16</v>
      </c>
      <c r="D679" s="2">
        <v>556</v>
      </c>
      <c r="E679" s="2">
        <v>412</v>
      </c>
      <c r="F679" s="2">
        <v>32441</v>
      </c>
      <c r="G679" s="2">
        <v>2.265907662</v>
      </c>
      <c r="H679" s="2">
        <v>2.7350859999999999E-3</v>
      </c>
      <c r="I679" s="2" t="s">
        <v>6204</v>
      </c>
      <c r="J679" s="2" t="s">
        <v>6205</v>
      </c>
      <c r="K679" s="2">
        <v>1.9704079999999999E-2</v>
      </c>
      <c r="L679" s="2" t="s">
        <v>35</v>
      </c>
      <c r="M679" s="4" t="s">
        <v>6206</v>
      </c>
    </row>
    <row r="680" spans="1:13">
      <c r="A680" s="2">
        <v>2863</v>
      </c>
      <c r="B680" s="2" t="s">
        <v>6207</v>
      </c>
      <c r="C680" s="2">
        <v>4</v>
      </c>
      <c r="D680" s="2">
        <v>556</v>
      </c>
      <c r="E680" s="2">
        <v>31</v>
      </c>
      <c r="F680" s="2">
        <v>32441</v>
      </c>
      <c r="G680" s="2">
        <v>7.5286609420000001</v>
      </c>
      <c r="H680" s="2">
        <v>2.7598950000000001E-3</v>
      </c>
      <c r="I680" s="2" t="s">
        <v>6208</v>
      </c>
      <c r="J680" s="2" t="s">
        <v>6209</v>
      </c>
      <c r="K680" s="2">
        <v>1.9704079999999999E-2</v>
      </c>
      <c r="L680" s="2" t="s">
        <v>35</v>
      </c>
      <c r="M680" s="4" t="s">
        <v>6210</v>
      </c>
    </row>
    <row r="681" spans="1:13">
      <c r="A681" s="2">
        <v>2869</v>
      </c>
      <c r="B681" s="2" t="s">
        <v>6211</v>
      </c>
      <c r="C681" s="2">
        <v>4</v>
      </c>
      <c r="D681" s="2">
        <v>556</v>
      </c>
      <c r="E681" s="2">
        <v>31</v>
      </c>
      <c r="F681" s="2">
        <v>32441</v>
      </c>
      <c r="G681" s="2">
        <v>7.5286609420000001</v>
      </c>
      <c r="H681" s="2">
        <v>2.7598950000000001E-3</v>
      </c>
      <c r="I681" s="2" t="s">
        <v>6212</v>
      </c>
      <c r="J681" s="2" t="s">
        <v>6213</v>
      </c>
      <c r="K681" s="2">
        <v>1.9704079999999999E-2</v>
      </c>
      <c r="L681" s="2" t="s">
        <v>35</v>
      </c>
      <c r="M681" s="4" t="s">
        <v>6214</v>
      </c>
    </row>
    <row r="682" spans="1:13">
      <c r="A682" s="2">
        <v>3604</v>
      </c>
      <c r="B682" s="2" t="s">
        <v>6215</v>
      </c>
      <c r="C682" s="2">
        <v>4</v>
      </c>
      <c r="D682" s="2">
        <v>556</v>
      </c>
      <c r="E682" s="2">
        <v>31</v>
      </c>
      <c r="F682" s="2">
        <v>32441</v>
      </c>
      <c r="G682" s="2">
        <v>7.5286609420000001</v>
      </c>
      <c r="H682" s="2">
        <v>2.7598950000000001E-3</v>
      </c>
      <c r="I682" s="2" t="s">
        <v>6216</v>
      </c>
      <c r="J682" s="2" t="s">
        <v>6217</v>
      </c>
      <c r="K682" s="2">
        <v>1.9704079999999999E-2</v>
      </c>
      <c r="L682" s="2" t="s">
        <v>35</v>
      </c>
      <c r="M682" s="4" t="s">
        <v>6218</v>
      </c>
    </row>
    <row r="683" spans="1:13">
      <c r="A683" s="2">
        <v>3668</v>
      </c>
      <c r="B683" s="2" t="s">
        <v>6219</v>
      </c>
      <c r="C683" s="2">
        <v>4</v>
      </c>
      <c r="D683" s="2">
        <v>556</v>
      </c>
      <c r="E683" s="2">
        <v>31</v>
      </c>
      <c r="F683" s="2">
        <v>32441</v>
      </c>
      <c r="G683" s="2">
        <v>7.5286609420000001</v>
      </c>
      <c r="H683" s="2">
        <v>2.7598950000000001E-3</v>
      </c>
      <c r="I683" s="2" t="s">
        <v>6220</v>
      </c>
      <c r="J683" s="2" t="s">
        <v>6221</v>
      </c>
      <c r="K683" s="2">
        <v>1.9704079999999999E-2</v>
      </c>
      <c r="L683" s="2" t="s">
        <v>35</v>
      </c>
      <c r="M683" s="4" t="s">
        <v>6222</v>
      </c>
    </row>
    <row r="684" spans="1:13">
      <c r="A684" s="2">
        <v>3996</v>
      </c>
      <c r="B684" s="2" t="s">
        <v>6223</v>
      </c>
      <c r="C684" s="2">
        <v>4</v>
      </c>
      <c r="D684" s="2">
        <v>556</v>
      </c>
      <c r="E684" s="2">
        <v>31</v>
      </c>
      <c r="F684" s="2">
        <v>32441</v>
      </c>
      <c r="G684" s="2">
        <v>7.5286609420000001</v>
      </c>
      <c r="H684" s="2">
        <v>2.7598950000000001E-3</v>
      </c>
      <c r="I684" s="2" t="s">
        <v>6224</v>
      </c>
      <c r="J684" s="2" t="s">
        <v>6225</v>
      </c>
      <c r="K684" s="2">
        <v>1.9704079999999999E-2</v>
      </c>
      <c r="L684" s="2" t="s">
        <v>35</v>
      </c>
      <c r="M684" s="4" t="s">
        <v>6226</v>
      </c>
    </row>
    <row r="685" spans="1:13">
      <c r="A685" s="2">
        <v>2129</v>
      </c>
      <c r="B685" s="2" t="s">
        <v>6227</v>
      </c>
      <c r="C685" s="2">
        <v>7</v>
      </c>
      <c r="D685" s="2">
        <v>556</v>
      </c>
      <c r="E685" s="2">
        <v>105</v>
      </c>
      <c r="F685" s="2">
        <v>32441</v>
      </c>
      <c r="G685" s="2">
        <v>3.8898081530000002</v>
      </c>
      <c r="H685" s="2">
        <v>2.9393399999999999E-3</v>
      </c>
      <c r="I685" s="2" t="s">
        <v>6228</v>
      </c>
      <c r="J685" s="2" t="s">
        <v>6229</v>
      </c>
      <c r="K685" s="2">
        <v>2.0953798999999999E-2</v>
      </c>
      <c r="L685" s="2" t="s">
        <v>35</v>
      </c>
      <c r="M685" s="4" t="s">
        <v>6230</v>
      </c>
    </row>
    <row r="686" spans="1:13">
      <c r="A686" s="2">
        <v>86</v>
      </c>
      <c r="B686" s="2" t="s">
        <v>6231</v>
      </c>
      <c r="C686" s="2">
        <v>12</v>
      </c>
      <c r="D686" s="2">
        <v>556</v>
      </c>
      <c r="E686" s="2">
        <v>267</v>
      </c>
      <c r="F686" s="2">
        <v>32441</v>
      </c>
      <c r="G686" s="2">
        <v>2.6223425749999998</v>
      </c>
      <c r="H686" s="2">
        <v>2.9644039999999999E-3</v>
      </c>
      <c r="I686" s="2" t="s">
        <v>6232</v>
      </c>
      <c r="J686" s="2" t="s">
        <v>6233</v>
      </c>
      <c r="K686" s="2">
        <v>2.1100882000000001E-2</v>
      </c>
      <c r="L686" s="2" t="s">
        <v>35</v>
      </c>
      <c r="M686" s="4" t="s">
        <v>6234</v>
      </c>
    </row>
    <row r="687" spans="1:13">
      <c r="A687" s="2">
        <v>676</v>
      </c>
      <c r="B687" s="2" t="s">
        <v>6235</v>
      </c>
      <c r="C687" s="2">
        <v>6</v>
      </c>
      <c r="D687" s="2">
        <v>556</v>
      </c>
      <c r="E687" s="2">
        <v>78</v>
      </c>
      <c r="F687" s="2">
        <v>32441</v>
      </c>
      <c r="G687" s="2">
        <v>4.4882401769999998</v>
      </c>
      <c r="H687" s="2">
        <v>2.986552E-3</v>
      </c>
      <c r="I687" s="2" t="s">
        <v>6236</v>
      </c>
      <c r="J687" s="2" t="s">
        <v>6237</v>
      </c>
      <c r="K687" s="2">
        <v>2.1226809999999999E-2</v>
      </c>
      <c r="L687" s="2" t="s">
        <v>35</v>
      </c>
      <c r="M687" s="4" t="s">
        <v>6238</v>
      </c>
    </row>
    <row r="688" spans="1:13">
      <c r="A688" s="2">
        <v>320</v>
      </c>
      <c r="B688" s="2" t="s">
        <v>6239</v>
      </c>
      <c r="C688" s="2">
        <v>4</v>
      </c>
      <c r="D688" s="2">
        <v>556</v>
      </c>
      <c r="E688" s="2">
        <v>32</v>
      </c>
      <c r="F688" s="2">
        <v>32441</v>
      </c>
      <c r="G688" s="2">
        <v>7.2933902880000003</v>
      </c>
      <c r="H688" s="2">
        <v>3.0640540000000001E-3</v>
      </c>
      <c r="I688" s="2" t="s">
        <v>6240</v>
      </c>
      <c r="J688" s="2" t="s">
        <v>6241</v>
      </c>
      <c r="K688" s="2">
        <v>2.1648403E-2</v>
      </c>
      <c r="L688" s="2" t="s">
        <v>35</v>
      </c>
      <c r="M688" s="4" t="s">
        <v>6242</v>
      </c>
    </row>
    <row r="689" spans="1:13">
      <c r="A689" s="2">
        <v>1017</v>
      </c>
      <c r="B689" s="2" t="s">
        <v>6243</v>
      </c>
      <c r="C689" s="2">
        <v>4</v>
      </c>
      <c r="D689" s="2">
        <v>556</v>
      </c>
      <c r="E689" s="2">
        <v>32</v>
      </c>
      <c r="F689" s="2">
        <v>32441</v>
      </c>
      <c r="G689" s="2">
        <v>7.2933902880000003</v>
      </c>
      <c r="H689" s="2">
        <v>3.0640540000000001E-3</v>
      </c>
      <c r="I689" s="2" t="s">
        <v>6244</v>
      </c>
      <c r="J689" s="2" t="s">
        <v>6245</v>
      </c>
      <c r="K689" s="2">
        <v>2.1648403E-2</v>
      </c>
      <c r="L689" s="2" t="s">
        <v>35</v>
      </c>
      <c r="M689" s="4" t="s">
        <v>6246</v>
      </c>
    </row>
    <row r="690" spans="1:13">
      <c r="A690" s="2">
        <v>1262</v>
      </c>
      <c r="B690" s="2" t="s">
        <v>6247</v>
      </c>
      <c r="C690" s="2">
        <v>4</v>
      </c>
      <c r="D690" s="2">
        <v>556</v>
      </c>
      <c r="E690" s="2">
        <v>32</v>
      </c>
      <c r="F690" s="2">
        <v>32441</v>
      </c>
      <c r="G690" s="2">
        <v>7.2933902880000003</v>
      </c>
      <c r="H690" s="2">
        <v>3.0640540000000001E-3</v>
      </c>
      <c r="I690" s="2" t="s">
        <v>6248</v>
      </c>
      <c r="J690" s="2" t="s">
        <v>6249</v>
      </c>
      <c r="K690" s="2">
        <v>2.1648403E-2</v>
      </c>
      <c r="L690" s="2" t="s">
        <v>35</v>
      </c>
      <c r="M690" s="4" t="s">
        <v>6250</v>
      </c>
    </row>
    <row r="691" spans="1:13">
      <c r="A691" s="2">
        <v>4275</v>
      </c>
      <c r="B691" s="2" t="s">
        <v>6251</v>
      </c>
      <c r="C691" s="2">
        <v>4</v>
      </c>
      <c r="D691" s="2">
        <v>556</v>
      </c>
      <c r="E691" s="2">
        <v>32</v>
      </c>
      <c r="F691" s="2">
        <v>32441</v>
      </c>
      <c r="G691" s="2">
        <v>7.2933902880000003</v>
      </c>
      <c r="H691" s="2">
        <v>3.0640540000000001E-3</v>
      </c>
      <c r="I691" s="2" t="s">
        <v>6252</v>
      </c>
      <c r="J691" s="2" t="s">
        <v>6253</v>
      </c>
      <c r="K691" s="2">
        <v>2.1648403E-2</v>
      </c>
      <c r="L691" s="2" t="s">
        <v>35</v>
      </c>
      <c r="M691" s="4" t="s">
        <v>6254</v>
      </c>
    </row>
    <row r="692" spans="1:13">
      <c r="A692" s="2">
        <v>1592</v>
      </c>
      <c r="B692" s="2" t="s">
        <v>6255</v>
      </c>
      <c r="C692" s="2">
        <v>17</v>
      </c>
      <c r="D692" s="2">
        <v>556</v>
      </c>
      <c r="E692" s="2">
        <v>457</v>
      </c>
      <c r="F692" s="2">
        <v>32441</v>
      </c>
      <c r="G692" s="2">
        <v>2.17046188</v>
      </c>
      <c r="H692" s="2">
        <v>3.128858E-3</v>
      </c>
      <c r="I692" s="2" t="s">
        <v>6256</v>
      </c>
      <c r="J692" s="2" t="s">
        <v>6257</v>
      </c>
      <c r="K692" s="2">
        <v>2.2063995999999999E-2</v>
      </c>
      <c r="L692" s="2" t="s">
        <v>35</v>
      </c>
      <c r="M692" s="4" t="s">
        <v>6258</v>
      </c>
    </row>
    <row r="693" spans="1:13">
      <c r="A693" s="2">
        <v>4625</v>
      </c>
      <c r="B693" s="2" t="s">
        <v>6259</v>
      </c>
      <c r="C693" s="2">
        <v>16</v>
      </c>
      <c r="D693" s="2">
        <v>556</v>
      </c>
      <c r="E693" s="2">
        <v>418</v>
      </c>
      <c r="F693" s="2">
        <v>32441</v>
      </c>
      <c r="G693" s="2">
        <v>2.2333826719999998</v>
      </c>
      <c r="H693" s="2">
        <v>3.1321420000000001E-3</v>
      </c>
      <c r="I693" s="2" t="s">
        <v>6260</v>
      </c>
      <c r="J693" s="2" t="s">
        <v>6261</v>
      </c>
      <c r="K693" s="2">
        <v>2.2063995999999999E-2</v>
      </c>
      <c r="L693" s="2" t="s">
        <v>35</v>
      </c>
      <c r="M693" s="4" t="s">
        <v>6262</v>
      </c>
    </row>
    <row r="694" spans="1:13">
      <c r="A694" s="2">
        <v>279</v>
      </c>
      <c r="B694" s="2" t="s">
        <v>6263</v>
      </c>
      <c r="C694" s="2">
        <v>3</v>
      </c>
      <c r="D694" s="2">
        <v>556</v>
      </c>
      <c r="E694" s="2">
        <v>15</v>
      </c>
      <c r="F694" s="2">
        <v>32441</v>
      </c>
      <c r="G694" s="2">
        <v>11.66942446</v>
      </c>
      <c r="H694" s="2">
        <v>3.2155880000000001E-3</v>
      </c>
      <c r="I694" s="2" t="s">
        <v>6170</v>
      </c>
      <c r="J694" s="2" t="s">
        <v>6171</v>
      </c>
      <c r="K694" s="2">
        <v>2.2386886000000002E-2</v>
      </c>
      <c r="L694" s="2" t="s">
        <v>35</v>
      </c>
      <c r="M694" s="4" t="s">
        <v>6264</v>
      </c>
    </row>
    <row r="695" spans="1:13">
      <c r="A695" s="2">
        <v>342</v>
      </c>
      <c r="B695" s="2" t="s">
        <v>6265</v>
      </c>
      <c r="C695" s="2">
        <v>3</v>
      </c>
      <c r="D695" s="2">
        <v>556</v>
      </c>
      <c r="E695" s="2">
        <v>15</v>
      </c>
      <c r="F695" s="2">
        <v>32441</v>
      </c>
      <c r="G695" s="2">
        <v>11.66942446</v>
      </c>
      <c r="H695" s="2">
        <v>3.2155880000000001E-3</v>
      </c>
      <c r="I695" s="2" t="s">
        <v>6266</v>
      </c>
      <c r="J695" s="2" t="s">
        <v>6267</v>
      </c>
      <c r="K695" s="2">
        <v>2.2386886000000002E-2</v>
      </c>
      <c r="L695" s="2" t="s">
        <v>35</v>
      </c>
      <c r="M695" s="4" t="s">
        <v>6268</v>
      </c>
    </row>
    <row r="696" spans="1:13">
      <c r="A696" s="2">
        <v>1011</v>
      </c>
      <c r="B696" s="2" t="s">
        <v>6269</v>
      </c>
      <c r="C696" s="2">
        <v>3</v>
      </c>
      <c r="D696" s="2">
        <v>556</v>
      </c>
      <c r="E696" s="2">
        <v>15</v>
      </c>
      <c r="F696" s="2">
        <v>32441</v>
      </c>
      <c r="G696" s="2">
        <v>11.66942446</v>
      </c>
      <c r="H696" s="2">
        <v>3.2155880000000001E-3</v>
      </c>
      <c r="I696" s="2" t="s">
        <v>6270</v>
      </c>
      <c r="J696" s="2" t="s">
        <v>6271</v>
      </c>
      <c r="K696" s="2">
        <v>2.2386886000000002E-2</v>
      </c>
      <c r="L696" s="2" t="s">
        <v>35</v>
      </c>
      <c r="M696" s="4" t="s">
        <v>6272</v>
      </c>
    </row>
    <row r="697" spans="1:13">
      <c r="A697" s="2">
        <v>1429</v>
      </c>
      <c r="B697" s="2" t="s">
        <v>6273</v>
      </c>
      <c r="C697" s="2">
        <v>3</v>
      </c>
      <c r="D697" s="2">
        <v>556</v>
      </c>
      <c r="E697" s="2">
        <v>15</v>
      </c>
      <c r="F697" s="2">
        <v>32441</v>
      </c>
      <c r="G697" s="2">
        <v>11.66942446</v>
      </c>
      <c r="H697" s="2">
        <v>3.2155880000000001E-3</v>
      </c>
      <c r="I697" s="2" t="s">
        <v>6274</v>
      </c>
      <c r="J697" s="2" t="s">
        <v>6275</v>
      </c>
      <c r="K697" s="2">
        <v>2.2386886000000002E-2</v>
      </c>
      <c r="L697" s="2" t="s">
        <v>35</v>
      </c>
      <c r="M697" s="4" t="s">
        <v>6276</v>
      </c>
    </row>
    <row r="698" spans="1:13">
      <c r="A698" s="2">
        <v>1603</v>
      </c>
      <c r="B698" s="2" t="s">
        <v>6277</v>
      </c>
      <c r="C698" s="2">
        <v>3</v>
      </c>
      <c r="D698" s="2">
        <v>556</v>
      </c>
      <c r="E698" s="2">
        <v>15</v>
      </c>
      <c r="F698" s="2">
        <v>32441</v>
      </c>
      <c r="G698" s="2">
        <v>11.66942446</v>
      </c>
      <c r="H698" s="2">
        <v>3.2155880000000001E-3</v>
      </c>
      <c r="I698" s="2" t="s">
        <v>6278</v>
      </c>
      <c r="J698" s="2" t="s">
        <v>6279</v>
      </c>
      <c r="K698" s="2">
        <v>2.2386886000000002E-2</v>
      </c>
      <c r="L698" s="2" t="s">
        <v>35</v>
      </c>
      <c r="M698" s="4" t="s">
        <v>6280</v>
      </c>
    </row>
    <row r="699" spans="1:13">
      <c r="A699" s="2">
        <v>1762</v>
      </c>
      <c r="B699" s="2" t="s">
        <v>6281</v>
      </c>
      <c r="C699" s="2">
        <v>33</v>
      </c>
      <c r="D699" s="2">
        <v>556</v>
      </c>
      <c r="E699" s="2">
        <v>1142</v>
      </c>
      <c r="F699" s="2">
        <v>32441</v>
      </c>
      <c r="G699" s="2">
        <v>1.6860376850000001</v>
      </c>
      <c r="H699" s="2">
        <v>3.2046420000000002E-3</v>
      </c>
      <c r="I699" s="2" t="s">
        <v>6282</v>
      </c>
      <c r="J699" s="2" t="s">
        <v>6283</v>
      </c>
      <c r="K699" s="2">
        <v>2.2386886000000002E-2</v>
      </c>
      <c r="L699" s="2" t="s">
        <v>35</v>
      </c>
      <c r="M699" s="4" t="s">
        <v>6284</v>
      </c>
    </row>
    <row r="700" spans="1:13">
      <c r="A700" s="2">
        <v>3131</v>
      </c>
      <c r="B700" s="2" t="s">
        <v>6285</v>
      </c>
      <c r="C700" s="2">
        <v>3</v>
      </c>
      <c r="D700" s="2">
        <v>556</v>
      </c>
      <c r="E700" s="2">
        <v>15</v>
      </c>
      <c r="F700" s="2">
        <v>32441</v>
      </c>
      <c r="G700" s="2">
        <v>11.66942446</v>
      </c>
      <c r="H700" s="2">
        <v>3.2155880000000001E-3</v>
      </c>
      <c r="I700" s="2" t="s">
        <v>6286</v>
      </c>
      <c r="J700" s="2" t="s">
        <v>6287</v>
      </c>
      <c r="K700" s="2">
        <v>2.2386886000000002E-2</v>
      </c>
      <c r="L700" s="2" t="s">
        <v>35</v>
      </c>
      <c r="M700" s="4" t="s">
        <v>6288</v>
      </c>
    </row>
    <row r="701" spans="1:13">
      <c r="A701" s="2">
        <v>4401</v>
      </c>
      <c r="B701" s="2" t="s">
        <v>6289</v>
      </c>
      <c r="C701" s="2">
        <v>3</v>
      </c>
      <c r="D701" s="2">
        <v>556</v>
      </c>
      <c r="E701" s="2">
        <v>15</v>
      </c>
      <c r="F701" s="2">
        <v>32441</v>
      </c>
      <c r="G701" s="2">
        <v>11.66942446</v>
      </c>
      <c r="H701" s="2">
        <v>3.2155880000000001E-3</v>
      </c>
      <c r="I701" s="2" t="s">
        <v>6290</v>
      </c>
      <c r="J701" s="2" t="s">
        <v>6291</v>
      </c>
      <c r="K701" s="2">
        <v>2.2386886000000002E-2</v>
      </c>
      <c r="L701" s="2" t="s">
        <v>35</v>
      </c>
      <c r="M701" s="4" t="s">
        <v>6292</v>
      </c>
    </row>
    <row r="702" spans="1:13">
      <c r="A702" s="2">
        <v>3507</v>
      </c>
      <c r="B702" s="2" t="s">
        <v>6293</v>
      </c>
      <c r="C702" s="2">
        <v>12</v>
      </c>
      <c r="D702" s="2">
        <v>556</v>
      </c>
      <c r="E702" s="2">
        <v>270</v>
      </c>
      <c r="F702" s="2">
        <v>32441</v>
      </c>
      <c r="G702" s="2">
        <v>2.5932054359999999</v>
      </c>
      <c r="H702" s="2">
        <v>3.230929E-3</v>
      </c>
      <c r="I702" s="2" t="s">
        <v>6294</v>
      </c>
      <c r="J702" s="2" t="s">
        <v>6295</v>
      </c>
      <c r="K702" s="2">
        <v>2.2460850000000001E-2</v>
      </c>
      <c r="L702" s="2" t="s">
        <v>35</v>
      </c>
      <c r="M702" s="4" t="s">
        <v>6296</v>
      </c>
    </row>
    <row r="703" spans="1:13">
      <c r="A703" s="2">
        <v>1551</v>
      </c>
      <c r="B703" s="2" t="s">
        <v>6297</v>
      </c>
      <c r="C703" s="2">
        <v>4</v>
      </c>
      <c r="D703" s="2">
        <v>556</v>
      </c>
      <c r="E703" s="2">
        <v>33</v>
      </c>
      <c r="F703" s="2">
        <v>32441</v>
      </c>
      <c r="G703" s="2">
        <v>7.0723784609999996</v>
      </c>
      <c r="H703" s="2">
        <v>3.390306E-3</v>
      </c>
      <c r="I703" s="2" t="s">
        <v>6298</v>
      </c>
      <c r="J703" s="2" t="s">
        <v>6299</v>
      </c>
      <c r="K703" s="2">
        <v>2.3500200999999998E-2</v>
      </c>
      <c r="L703" s="2" t="s">
        <v>35</v>
      </c>
      <c r="M703" s="4" t="s">
        <v>6300</v>
      </c>
    </row>
    <row r="704" spans="1:13">
      <c r="A704" s="2">
        <v>3998</v>
      </c>
      <c r="B704" s="2" t="s">
        <v>6301</v>
      </c>
      <c r="C704" s="2">
        <v>4</v>
      </c>
      <c r="D704" s="2">
        <v>556</v>
      </c>
      <c r="E704" s="2">
        <v>33</v>
      </c>
      <c r="F704" s="2">
        <v>32441</v>
      </c>
      <c r="G704" s="2">
        <v>7.0723784609999996</v>
      </c>
      <c r="H704" s="2">
        <v>3.390306E-3</v>
      </c>
      <c r="I704" s="2" t="s">
        <v>6302</v>
      </c>
      <c r="J704" s="2" t="s">
        <v>6303</v>
      </c>
      <c r="K704" s="2">
        <v>2.3500200999999998E-2</v>
      </c>
      <c r="L704" s="2" t="s">
        <v>35</v>
      </c>
      <c r="M704" s="4" t="s">
        <v>6304</v>
      </c>
    </row>
    <row r="705" spans="1:13">
      <c r="A705" s="2">
        <v>4686</v>
      </c>
      <c r="B705" s="2" t="s">
        <v>6305</v>
      </c>
      <c r="C705" s="2">
        <v>5</v>
      </c>
      <c r="D705" s="2">
        <v>556</v>
      </c>
      <c r="E705" s="2">
        <v>55</v>
      </c>
      <c r="F705" s="2">
        <v>32441</v>
      </c>
      <c r="G705" s="2">
        <v>5.3042838459999997</v>
      </c>
      <c r="H705" s="2">
        <v>3.399961E-3</v>
      </c>
      <c r="I705" s="2" t="s">
        <v>6306</v>
      </c>
      <c r="J705" s="2" t="s">
        <v>6307</v>
      </c>
      <c r="K705" s="2">
        <v>2.3532872999999999E-2</v>
      </c>
      <c r="L705" s="2" t="s">
        <v>35</v>
      </c>
      <c r="M705" s="4" t="s">
        <v>6308</v>
      </c>
    </row>
    <row r="706" spans="1:13">
      <c r="A706" s="2">
        <v>3476</v>
      </c>
      <c r="B706" s="2" t="s">
        <v>358</v>
      </c>
      <c r="C706" s="2">
        <v>19</v>
      </c>
      <c r="D706" s="2">
        <v>556</v>
      </c>
      <c r="E706" s="2">
        <v>543</v>
      </c>
      <c r="F706" s="2">
        <v>32441</v>
      </c>
      <c r="G706" s="2">
        <v>2.041612014</v>
      </c>
      <c r="H706" s="2">
        <v>3.5243969999999999E-3</v>
      </c>
      <c r="I706" s="2" t="s">
        <v>6309</v>
      </c>
      <c r="J706" s="2" t="s">
        <v>6310</v>
      </c>
      <c r="K706" s="2">
        <v>2.4358748E-2</v>
      </c>
      <c r="L706" s="2" t="s">
        <v>35</v>
      </c>
      <c r="M706" s="4" t="s">
        <v>6311</v>
      </c>
    </row>
    <row r="707" spans="1:13">
      <c r="A707" s="2">
        <v>3292</v>
      </c>
      <c r="B707" s="2" t="s">
        <v>6312</v>
      </c>
      <c r="C707" s="2">
        <v>6</v>
      </c>
      <c r="D707" s="2">
        <v>556</v>
      </c>
      <c r="E707" s="2">
        <v>81</v>
      </c>
      <c r="F707" s="2">
        <v>32441</v>
      </c>
      <c r="G707" s="2">
        <v>4.322009059</v>
      </c>
      <c r="H707" s="2">
        <v>3.5572690000000001E-3</v>
      </c>
      <c r="I707" s="2" t="s">
        <v>6313</v>
      </c>
      <c r="J707" s="2" t="s">
        <v>6314</v>
      </c>
      <c r="K707" s="2">
        <v>2.4514782999999998E-2</v>
      </c>
      <c r="L707" s="2" t="s">
        <v>35</v>
      </c>
      <c r="M707" s="4" t="s">
        <v>6315</v>
      </c>
    </row>
    <row r="708" spans="1:13">
      <c r="A708" s="2">
        <v>3424</v>
      </c>
      <c r="B708" s="2" t="s">
        <v>6316</v>
      </c>
      <c r="C708" s="2">
        <v>6</v>
      </c>
      <c r="D708" s="2">
        <v>556</v>
      </c>
      <c r="E708" s="2">
        <v>81</v>
      </c>
      <c r="F708" s="2">
        <v>32441</v>
      </c>
      <c r="G708" s="2">
        <v>4.322009059</v>
      </c>
      <c r="H708" s="2">
        <v>3.5572690000000001E-3</v>
      </c>
      <c r="I708" s="2" t="s">
        <v>6317</v>
      </c>
      <c r="J708" s="2" t="s">
        <v>6318</v>
      </c>
      <c r="K708" s="2">
        <v>2.4514782999999998E-2</v>
      </c>
      <c r="L708" s="2" t="s">
        <v>35</v>
      </c>
      <c r="M708" s="4" t="s">
        <v>6319</v>
      </c>
    </row>
    <row r="709" spans="1:13">
      <c r="A709" s="2">
        <v>125</v>
      </c>
      <c r="B709" s="2" t="s">
        <v>6320</v>
      </c>
      <c r="C709" s="2">
        <v>5</v>
      </c>
      <c r="D709" s="2">
        <v>556</v>
      </c>
      <c r="E709" s="2">
        <v>56</v>
      </c>
      <c r="F709" s="2">
        <v>32441</v>
      </c>
      <c r="G709" s="2">
        <v>5.2095644910000001</v>
      </c>
      <c r="H709" s="2">
        <v>3.65315E-3</v>
      </c>
      <c r="I709" s="2" t="s">
        <v>6321</v>
      </c>
      <c r="J709" s="2" t="s">
        <v>6322</v>
      </c>
      <c r="K709" s="2">
        <v>2.5102887000000001E-2</v>
      </c>
      <c r="L709" s="2" t="s">
        <v>35</v>
      </c>
      <c r="M709" s="4" t="s">
        <v>6323</v>
      </c>
    </row>
    <row r="710" spans="1:13">
      <c r="A710" s="2">
        <v>2691</v>
      </c>
      <c r="B710" s="2" t="s">
        <v>6324</v>
      </c>
      <c r="C710" s="2">
        <v>5</v>
      </c>
      <c r="D710" s="2">
        <v>556</v>
      </c>
      <c r="E710" s="2">
        <v>56</v>
      </c>
      <c r="F710" s="2">
        <v>32441</v>
      </c>
      <c r="G710" s="2">
        <v>5.2095644910000001</v>
      </c>
      <c r="H710" s="2">
        <v>3.65315E-3</v>
      </c>
      <c r="I710" s="2" t="s">
        <v>6325</v>
      </c>
      <c r="J710" s="2" t="s">
        <v>6326</v>
      </c>
      <c r="K710" s="2">
        <v>2.5102887000000001E-2</v>
      </c>
      <c r="L710" s="2" t="s">
        <v>35</v>
      </c>
      <c r="M710" s="4" t="s">
        <v>6327</v>
      </c>
    </row>
    <row r="711" spans="1:13">
      <c r="A711" s="2">
        <v>787</v>
      </c>
      <c r="B711" s="2" t="s">
        <v>6328</v>
      </c>
      <c r="C711" s="2">
        <v>10</v>
      </c>
      <c r="D711" s="2">
        <v>556</v>
      </c>
      <c r="E711" s="2">
        <v>205</v>
      </c>
      <c r="F711" s="2">
        <v>32441</v>
      </c>
      <c r="G711" s="2">
        <v>2.8462010879999999</v>
      </c>
      <c r="H711" s="2">
        <v>3.7209909999999999E-3</v>
      </c>
      <c r="I711" s="2" t="s">
        <v>6007</v>
      </c>
      <c r="J711" s="2" t="s">
        <v>6008</v>
      </c>
      <c r="K711" s="2">
        <v>2.5495482999999999E-2</v>
      </c>
      <c r="L711" s="2" t="s">
        <v>35</v>
      </c>
      <c r="M711" s="4" t="s">
        <v>6329</v>
      </c>
    </row>
    <row r="712" spans="1:13">
      <c r="A712" s="2">
        <v>1513</v>
      </c>
      <c r="B712" s="2" t="s">
        <v>2832</v>
      </c>
      <c r="C712" s="2">
        <v>12</v>
      </c>
      <c r="D712" s="2">
        <v>556</v>
      </c>
      <c r="E712" s="2">
        <v>275</v>
      </c>
      <c r="F712" s="2">
        <v>32441</v>
      </c>
      <c r="G712" s="2">
        <v>2.546056246</v>
      </c>
      <c r="H712" s="2">
        <v>3.7179600000000002E-3</v>
      </c>
      <c r="I712" s="2" t="s">
        <v>6330</v>
      </c>
      <c r="J712" s="2" t="s">
        <v>6331</v>
      </c>
      <c r="K712" s="2">
        <v>2.5495482999999999E-2</v>
      </c>
      <c r="L712" s="2" t="s">
        <v>35</v>
      </c>
      <c r="M712" s="4" t="s">
        <v>2835</v>
      </c>
    </row>
    <row r="713" spans="1:13">
      <c r="A713" s="2">
        <v>526</v>
      </c>
      <c r="B713" s="2" t="s">
        <v>6332</v>
      </c>
      <c r="C713" s="2">
        <v>6</v>
      </c>
      <c r="D713" s="2">
        <v>556</v>
      </c>
      <c r="E713" s="2">
        <v>82</v>
      </c>
      <c r="F713" s="2">
        <v>32441</v>
      </c>
      <c r="G713" s="2">
        <v>4.2693016320000003</v>
      </c>
      <c r="H713" s="2">
        <v>3.764384E-3</v>
      </c>
      <c r="I713" s="2" t="s">
        <v>6333</v>
      </c>
      <c r="J713" s="2" t="s">
        <v>6334</v>
      </c>
      <c r="K713" s="2">
        <v>2.5581277999999999E-2</v>
      </c>
      <c r="L713" s="2" t="s">
        <v>35</v>
      </c>
      <c r="M713" s="4" t="s">
        <v>6335</v>
      </c>
    </row>
    <row r="714" spans="1:13">
      <c r="A714" s="2">
        <v>983</v>
      </c>
      <c r="B714" s="2" t="s">
        <v>6336</v>
      </c>
      <c r="C714" s="2">
        <v>3</v>
      </c>
      <c r="D714" s="2">
        <v>556</v>
      </c>
      <c r="E714" s="2">
        <v>16</v>
      </c>
      <c r="F714" s="2">
        <v>32441</v>
      </c>
      <c r="G714" s="2">
        <v>10.94008543</v>
      </c>
      <c r="H714" s="2">
        <v>3.771117E-3</v>
      </c>
      <c r="I714" s="2" t="s">
        <v>6023</v>
      </c>
      <c r="J714" s="2" t="s">
        <v>6024</v>
      </c>
      <c r="K714" s="2">
        <v>2.5581277999999999E-2</v>
      </c>
      <c r="L714" s="2" t="s">
        <v>35</v>
      </c>
      <c r="M714" s="4" t="s">
        <v>6337</v>
      </c>
    </row>
    <row r="715" spans="1:13">
      <c r="A715" s="2">
        <v>1292</v>
      </c>
      <c r="B715" s="2" t="s">
        <v>6338</v>
      </c>
      <c r="C715" s="2">
        <v>3</v>
      </c>
      <c r="D715" s="2">
        <v>556</v>
      </c>
      <c r="E715" s="2">
        <v>16</v>
      </c>
      <c r="F715" s="2">
        <v>32441</v>
      </c>
      <c r="G715" s="2">
        <v>10.94008543</v>
      </c>
      <c r="H715" s="2">
        <v>3.771117E-3</v>
      </c>
      <c r="I715" s="2" t="s">
        <v>5879</v>
      </c>
      <c r="J715" s="2" t="s">
        <v>5880</v>
      </c>
      <c r="K715" s="2">
        <v>2.5581277999999999E-2</v>
      </c>
      <c r="L715" s="2" t="s">
        <v>35</v>
      </c>
      <c r="M715" s="4" t="s">
        <v>6339</v>
      </c>
    </row>
    <row r="716" spans="1:13">
      <c r="A716" s="2">
        <v>2864</v>
      </c>
      <c r="B716" s="2" t="s">
        <v>6340</v>
      </c>
      <c r="C716" s="2">
        <v>3</v>
      </c>
      <c r="D716" s="2">
        <v>556</v>
      </c>
      <c r="E716" s="2">
        <v>16</v>
      </c>
      <c r="F716" s="2">
        <v>32441</v>
      </c>
      <c r="G716" s="2">
        <v>10.94008543</v>
      </c>
      <c r="H716" s="2">
        <v>3.771117E-3</v>
      </c>
      <c r="I716" s="2" t="s">
        <v>6341</v>
      </c>
      <c r="J716" s="2" t="s">
        <v>6342</v>
      </c>
      <c r="K716" s="2">
        <v>2.5581277999999999E-2</v>
      </c>
      <c r="L716" s="2" t="s">
        <v>35</v>
      </c>
      <c r="M716" s="4" t="s">
        <v>6343</v>
      </c>
    </row>
    <row r="717" spans="1:13">
      <c r="A717" s="2">
        <v>3859</v>
      </c>
      <c r="B717" s="2" t="s">
        <v>6344</v>
      </c>
      <c r="C717" s="2">
        <v>3</v>
      </c>
      <c r="D717" s="2">
        <v>556</v>
      </c>
      <c r="E717" s="2">
        <v>16</v>
      </c>
      <c r="F717" s="2">
        <v>32441</v>
      </c>
      <c r="G717" s="2">
        <v>10.94008543</v>
      </c>
      <c r="H717" s="2">
        <v>3.771117E-3</v>
      </c>
      <c r="I717" s="2" t="s">
        <v>6345</v>
      </c>
      <c r="J717" s="2" t="s">
        <v>6346</v>
      </c>
      <c r="K717" s="2">
        <v>2.5581277999999999E-2</v>
      </c>
      <c r="L717" s="2" t="s">
        <v>35</v>
      </c>
      <c r="M717" s="4" t="s">
        <v>6347</v>
      </c>
    </row>
    <row r="718" spans="1:13">
      <c r="A718" s="2">
        <v>3985</v>
      </c>
      <c r="B718" s="2" t="s">
        <v>6348</v>
      </c>
      <c r="C718" s="2">
        <v>3</v>
      </c>
      <c r="D718" s="2">
        <v>556</v>
      </c>
      <c r="E718" s="2">
        <v>16</v>
      </c>
      <c r="F718" s="2">
        <v>32441</v>
      </c>
      <c r="G718" s="2">
        <v>10.94008543</v>
      </c>
      <c r="H718" s="2">
        <v>3.771117E-3</v>
      </c>
      <c r="I718" s="2" t="s">
        <v>6349</v>
      </c>
      <c r="J718" s="2" t="s">
        <v>6350</v>
      </c>
      <c r="K718" s="2">
        <v>2.5581277999999999E-2</v>
      </c>
      <c r="L718" s="2" t="s">
        <v>35</v>
      </c>
      <c r="M718" s="4" t="s">
        <v>6351</v>
      </c>
    </row>
    <row r="719" spans="1:13">
      <c r="A719" s="2">
        <v>4109</v>
      </c>
      <c r="B719" s="2" t="s">
        <v>6352</v>
      </c>
      <c r="C719" s="2">
        <v>4</v>
      </c>
      <c r="D719" s="2">
        <v>556</v>
      </c>
      <c r="E719" s="2">
        <v>34</v>
      </c>
      <c r="F719" s="2">
        <v>32441</v>
      </c>
      <c r="G719" s="2">
        <v>6.8643673300000003</v>
      </c>
      <c r="H719" s="2">
        <v>3.739399E-3</v>
      </c>
      <c r="I719" s="2" t="s">
        <v>6353</v>
      </c>
      <c r="J719" s="2" t="s">
        <v>6354</v>
      </c>
      <c r="K719" s="2">
        <v>2.5581277999999999E-2</v>
      </c>
      <c r="L719" s="2" t="s">
        <v>35</v>
      </c>
      <c r="M719" s="4" t="s">
        <v>6355</v>
      </c>
    </row>
    <row r="720" spans="1:13">
      <c r="A720" s="2">
        <v>3526</v>
      </c>
      <c r="B720" s="2" t="s">
        <v>6356</v>
      </c>
      <c r="C720" s="2">
        <v>5</v>
      </c>
      <c r="D720" s="2">
        <v>556</v>
      </c>
      <c r="E720" s="2">
        <v>57</v>
      </c>
      <c r="F720" s="2">
        <v>32441</v>
      </c>
      <c r="G720" s="2">
        <v>5.1181686229999999</v>
      </c>
      <c r="H720" s="2">
        <v>3.919573E-3</v>
      </c>
      <c r="I720" s="2" t="s">
        <v>6357</v>
      </c>
      <c r="J720" s="2" t="s">
        <v>6358</v>
      </c>
      <c r="K720" s="2">
        <v>2.6550509999999999E-2</v>
      </c>
      <c r="L720" s="2" t="s">
        <v>35</v>
      </c>
      <c r="M720" s="4" t="s">
        <v>6359</v>
      </c>
    </row>
    <row r="721" spans="1:13">
      <c r="A721" s="2">
        <v>1917</v>
      </c>
      <c r="B721" s="2" t="s">
        <v>6360</v>
      </c>
      <c r="C721" s="2">
        <v>10</v>
      </c>
      <c r="D721" s="2">
        <v>556</v>
      </c>
      <c r="E721" s="2">
        <v>207</v>
      </c>
      <c r="F721" s="2">
        <v>32441</v>
      </c>
      <c r="G721" s="2">
        <v>2.8187015600000001</v>
      </c>
      <c r="H721" s="2">
        <v>3.9713040000000002E-3</v>
      </c>
      <c r="I721" s="2" t="s">
        <v>6361</v>
      </c>
      <c r="J721" s="2" t="s">
        <v>6362</v>
      </c>
      <c r="K721" s="2">
        <v>2.6862714999999999E-2</v>
      </c>
      <c r="L721" s="2" t="s">
        <v>35</v>
      </c>
      <c r="M721" s="4" t="s">
        <v>6363</v>
      </c>
    </row>
    <row r="722" spans="1:13">
      <c r="A722" s="2">
        <v>2937</v>
      </c>
      <c r="B722" s="2" t="s">
        <v>6364</v>
      </c>
      <c r="C722" s="2">
        <v>15</v>
      </c>
      <c r="D722" s="2">
        <v>556</v>
      </c>
      <c r="E722" s="2">
        <v>390</v>
      </c>
      <c r="F722" s="2">
        <v>32441</v>
      </c>
      <c r="G722" s="2">
        <v>2.2441200889999999</v>
      </c>
      <c r="H722" s="2">
        <v>3.981732E-3</v>
      </c>
      <c r="I722" s="2" t="s">
        <v>6365</v>
      </c>
      <c r="J722" s="2" t="s">
        <v>6366</v>
      </c>
      <c r="K722" s="2">
        <v>2.6895044999999999E-2</v>
      </c>
      <c r="L722" s="2" t="s">
        <v>35</v>
      </c>
      <c r="M722" s="4" t="s">
        <v>6367</v>
      </c>
    </row>
    <row r="723" spans="1:13">
      <c r="A723" s="2">
        <v>4373</v>
      </c>
      <c r="B723" s="2" t="s">
        <v>6368</v>
      </c>
      <c r="C723" s="2">
        <v>11</v>
      </c>
      <c r="D723" s="2">
        <v>556</v>
      </c>
      <c r="E723" s="2">
        <v>242</v>
      </c>
      <c r="F723" s="2">
        <v>32441</v>
      </c>
      <c r="G723" s="2">
        <v>2.6521419229999998</v>
      </c>
      <c r="H723" s="2">
        <v>4.0112669999999998E-3</v>
      </c>
      <c r="I723" s="2" t="s">
        <v>6369</v>
      </c>
      <c r="J723" s="2" t="s">
        <v>6370</v>
      </c>
      <c r="K723" s="2">
        <v>2.7056169000000001E-2</v>
      </c>
      <c r="L723" s="2" t="s">
        <v>35</v>
      </c>
      <c r="M723" s="4" t="s">
        <v>6371</v>
      </c>
    </row>
    <row r="724" spans="1:13">
      <c r="A724" s="2">
        <v>4742</v>
      </c>
      <c r="B724" s="2" t="s">
        <v>6372</v>
      </c>
      <c r="C724" s="2">
        <v>12</v>
      </c>
      <c r="D724" s="2">
        <v>556</v>
      </c>
      <c r="E724" s="2">
        <v>278</v>
      </c>
      <c r="F724" s="2">
        <v>32441</v>
      </c>
      <c r="G724" s="2">
        <v>2.5185808189999999</v>
      </c>
      <c r="H724" s="2">
        <v>4.0374649999999996E-3</v>
      </c>
      <c r="I724" s="2" t="s">
        <v>6373</v>
      </c>
      <c r="J724" s="2" t="s">
        <v>6374</v>
      </c>
      <c r="K724" s="2">
        <v>2.7194350999999999E-2</v>
      </c>
      <c r="L724" s="2" t="s">
        <v>35</v>
      </c>
      <c r="M724" s="4" t="s">
        <v>6375</v>
      </c>
    </row>
    <row r="725" spans="1:13">
      <c r="A725" s="2">
        <v>581</v>
      </c>
      <c r="B725" s="2" t="s">
        <v>6376</v>
      </c>
      <c r="C725" s="2">
        <v>4</v>
      </c>
      <c r="D725" s="2">
        <v>556</v>
      </c>
      <c r="E725" s="2">
        <v>35</v>
      </c>
      <c r="F725" s="2">
        <v>32441</v>
      </c>
      <c r="G725" s="2">
        <v>6.6682425490000004</v>
      </c>
      <c r="H725" s="2">
        <v>4.1120669999999996E-3</v>
      </c>
      <c r="I725" s="2" t="s">
        <v>6377</v>
      </c>
      <c r="J725" s="2" t="s">
        <v>6378</v>
      </c>
      <c r="K725" s="2">
        <v>2.7657718000000001E-2</v>
      </c>
      <c r="L725" s="2" t="s">
        <v>35</v>
      </c>
      <c r="M725" s="4" t="s">
        <v>6379</v>
      </c>
    </row>
    <row r="726" spans="1:13">
      <c r="A726" s="2">
        <v>3753</v>
      </c>
      <c r="B726" s="2" t="s">
        <v>6380</v>
      </c>
      <c r="C726" s="2">
        <v>9</v>
      </c>
      <c r="D726" s="2">
        <v>556</v>
      </c>
      <c r="E726" s="2">
        <v>175</v>
      </c>
      <c r="F726" s="2">
        <v>32441</v>
      </c>
      <c r="G726" s="2">
        <v>3.0007091469999998</v>
      </c>
      <c r="H726" s="2">
        <v>4.17907E-3</v>
      </c>
      <c r="I726" s="2" t="s">
        <v>6381</v>
      </c>
      <c r="J726" s="2" t="s">
        <v>6382</v>
      </c>
      <c r="K726" s="2">
        <v>2.8068729000000001E-2</v>
      </c>
      <c r="L726" s="2" t="s">
        <v>35</v>
      </c>
      <c r="M726" s="4" t="s">
        <v>6383</v>
      </c>
    </row>
    <row r="727" spans="1:13">
      <c r="A727" s="2">
        <v>2595</v>
      </c>
      <c r="B727" s="2" t="s">
        <v>6384</v>
      </c>
      <c r="C727" s="2">
        <v>8</v>
      </c>
      <c r="D727" s="2">
        <v>556</v>
      </c>
      <c r="E727" s="2">
        <v>143</v>
      </c>
      <c r="F727" s="2">
        <v>32441</v>
      </c>
      <c r="G727" s="2">
        <v>3.2641746739999999</v>
      </c>
      <c r="H727" s="2">
        <v>4.2066480000000003E-3</v>
      </c>
      <c r="I727" s="2" t="s">
        <v>6385</v>
      </c>
      <c r="J727" s="2" t="s">
        <v>6386</v>
      </c>
      <c r="K727" s="2">
        <v>2.8174484999999999E-2</v>
      </c>
      <c r="L727" s="2" t="s">
        <v>35</v>
      </c>
      <c r="M727" s="4" t="s">
        <v>6387</v>
      </c>
    </row>
    <row r="728" spans="1:13">
      <c r="A728" s="2">
        <v>3161</v>
      </c>
      <c r="B728" s="2" t="s">
        <v>6388</v>
      </c>
      <c r="C728" s="2">
        <v>6</v>
      </c>
      <c r="D728" s="2">
        <v>556</v>
      </c>
      <c r="E728" s="2">
        <v>84</v>
      </c>
      <c r="F728" s="2">
        <v>32441</v>
      </c>
      <c r="G728" s="2">
        <v>4.1676515930000004</v>
      </c>
      <c r="H728" s="2">
        <v>4.2052569999999996E-3</v>
      </c>
      <c r="I728" s="2" t="s">
        <v>6389</v>
      </c>
      <c r="J728" s="2" t="s">
        <v>6390</v>
      </c>
      <c r="K728" s="2">
        <v>2.8174484999999999E-2</v>
      </c>
      <c r="L728" s="2" t="s">
        <v>35</v>
      </c>
      <c r="M728" s="4" t="s">
        <v>6391</v>
      </c>
    </row>
    <row r="729" spans="1:13">
      <c r="A729" s="2">
        <v>345</v>
      </c>
      <c r="B729" s="2" t="s">
        <v>6392</v>
      </c>
      <c r="C729" s="2">
        <v>3</v>
      </c>
      <c r="D729" s="2">
        <v>556</v>
      </c>
      <c r="E729" s="2">
        <v>17</v>
      </c>
      <c r="F729" s="2">
        <v>32441</v>
      </c>
      <c r="G729" s="2">
        <v>10.29655099</v>
      </c>
      <c r="H729" s="2">
        <v>4.3815900000000003E-3</v>
      </c>
      <c r="I729" s="2" t="s">
        <v>6393</v>
      </c>
      <c r="J729" s="2" t="s">
        <v>6394</v>
      </c>
      <c r="K729" s="2">
        <v>2.9263858E-2</v>
      </c>
      <c r="L729" s="2" t="s">
        <v>35</v>
      </c>
      <c r="M729" s="4" t="s">
        <v>6395</v>
      </c>
    </row>
    <row r="730" spans="1:13">
      <c r="A730" s="2">
        <v>2781</v>
      </c>
      <c r="B730" s="2" t="s">
        <v>6396</v>
      </c>
      <c r="C730" s="2">
        <v>3</v>
      </c>
      <c r="D730" s="2">
        <v>556</v>
      </c>
      <c r="E730" s="2">
        <v>17</v>
      </c>
      <c r="F730" s="2">
        <v>32441</v>
      </c>
      <c r="G730" s="2">
        <v>10.29655099</v>
      </c>
      <c r="H730" s="2">
        <v>4.3815900000000003E-3</v>
      </c>
      <c r="I730" s="2" t="s">
        <v>6397</v>
      </c>
      <c r="J730" s="2" t="s">
        <v>6398</v>
      </c>
      <c r="K730" s="2">
        <v>2.9263858E-2</v>
      </c>
      <c r="L730" s="2" t="s">
        <v>35</v>
      </c>
      <c r="M730" s="4" t="s">
        <v>6399</v>
      </c>
    </row>
    <row r="731" spans="1:13">
      <c r="A731" s="2">
        <v>435</v>
      </c>
      <c r="B731" s="2" t="s">
        <v>6400</v>
      </c>
      <c r="C731" s="2">
        <v>4</v>
      </c>
      <c r="D731" s="2">
        <v>556</v>
      </c>
      <c r="E731" s="2">
        <v>36</v>
      </c>
      <c r="F731" s="2">
        <v>32441</v>
      </c>
      <c r="G731" s="2">
        <v>6.4830135889999996</v>
      </c>
      <c r="H731" s="2">
        <v>4.5090290000000003E-3</v>
      </c>
      <c r="I731" s="2" t="s">
        <v>6401</v>
      </c>
      <c r="J731" s="2" t="s">
        <v>6402</v>
      </c>
      <c r="K731" s="2">
        <v>3.0072824000000001E-2</v>
      </c>
      <c r="L731" s="2" t="s">
        <v>35</v>
      </c>
      <c r="M731" s="4" t="s">
        <v>6403</v>
      </c>
    </row>
    <row r="732" spans="1:13">
      <c r="A732" s="2">
        <v>174</v>
      </c>
      <c r="B732" s="2" t="s">
        <v>6404</v>
      </c>
      <c r="C732" s="2">
        <v>5</v>
      </c>
      <c r="D732" s="2">
        <v>556</v>
      </c>
      <c r="E732" s="2">
        <v>60</v>
      </c>
      <c r="F732" s="2">
        <v>32441</v>
      </c>
      <c r="G732" s="2">
        <v>4.8622601919999999</v>
      </c>
      <c r="H732" s="2">
        <v>4.8019910000000002E-3</v>
      </c>
      <c r="I732" s="2" t="s">
        <v>6405</v>
      </c>
      <c r="J732" s="2" t="s">
        <v>6406</v>
      </c>
      <c r="K732" s="2">
        <v>3.1937262000000001E-2</v>
      </c>
      <c r="L732" s="2" t="s">
        <v>35</v>
      </c>
      <c r="M732" s="4" t="s">
        <v>6407</v>
      </c>
    </row>
    <row r="733" spans="1:13">
      <c r="A733" s="2">
        <v>1438</v>
      </c>
      <c r="B733" s="2" t="s">
        <v>6408</v>
      </c>
      <c r="C733" s="2">
        <v>5</v>
      </c>
      <c r="D733" s="2">
        <v>556</v>
      </c>
      <c r="E733" s="2">
        <v>60</v>
      </c>
      <c r="F733" s="2">
        <v>32441</v>
      </c>
      <c r="G733" s="2">
        <v>4.8622601919999999</v>
      </c>
      <c r="H733" s="2">
        <v>4.8019910000000002E-3</v>
      </c>
      <c r="I733" s="2" t="s">
        <v>6409</v>
      </c>
      <c r="J733" s="2" t="s">
        <v>6410</v>
      </c>
      <c r="K733" s="2">
        <v>3.1937262000000001E-2</v>
      </c>
      <c r="L733" s="2" t="s">
        <v>35</v>
      </c>
      <c r="M733" s="4" t="s">
        <v>6411</v>
      </c>
    </row>
    <row r="734" spans="1:13">
      <c r="A734" s="2">
        <v>2427</v>
      </c>
      <c r="B734" s="2" t="s">
        <v>6412</v>
      </c>
      <c r="C734" s="2">
        <v>30</v>
      </c>
      <c r="D734" s="2">
        <v>556</v>
      </c>
      <c r="E734" s="2">
        <v>1038</v>
      </c>
      <c r="F734" s="2">
        <v>32441</v>
      </c>
      <c r="G734" s="2">
        <v>1.686333015</v>
      </c>
      <c r="H734" s="2">
        <v>4.8171070000000002E-3</v>
      </c>
      <c r="I734" s="2" t="s">
        <v>6413</v>
      </c>
      <c r="J734" s="2" t="s">
        <v>6414</v>
      </c>
      <c r="K734" s="2">
        <v>3.1993112999999997E-2</v>
      </c>
      <c r="L734" s="2" t="s">
        <v>35</v>
      </c>
      <c r="M734" s="4" t="s">
        <v>6415</v>
      </c>
    </row>
    <row r="735" spans="1:13">
      <c r="A735" s="2">
        <v>388</v>
      </c>
      <c r="B735" s="2" t="s">
        <v>6416</v>
      </c>
      <c r="C735" s="2">
        <v>4</v>
      </c>
      <c r="D735" s="2">
        <v>556</v>
      </c>
      <c r="E735" s="2">
        <v>37</v>
      </c>
      <c r="F735" s="2">
        <v>32441</v>
      </c>
      <c r="G735" s="2">
        <v>6.3077970060000004</v>
      </c>
      <c r="H735" s="2">
        <v>4.9309890000000002E-3</v>
      </c>
      <c r="I735" s="2" t="s">
        <v>6417</v>
      </c>
      <c r="J735" s="2" t="s">
        <v>6418</v>
      </c>
      <c r="K735" s="2">
        <v>3.2658371999999998E-2</v>
      </c>
      <c r="L735" s="2" t="s">
        <v>35</v>
      </c>
      <c r="M735" s="4" t="s">
        <v>6419</v>
      </c>
    </row>
    <row r="736" spans="1:13">
      <c r="A736" s="2">
        <v>4366</v>
      </c>
      <c r="B736" s="2" t="s">
        <v>6420</v>
      </c>
      <c r="C736" s="2">
        <v>4</v>
      </c>
      <c r="D736" s="2">
        <v>556</v>
      </c>
      <c r="E736" s="2">
        <v>37</v>
      </c>
      <c r="F736" s="2">
        <v>32441</v>
      </c>
      <c r="G736" s="2">
        <v>6.3077970060000004</v>
      </c>
      <c r="H736" s="2">
        <v>4.9309890000000002E-3</v>
      </c>
      <c r="I736" s="2" t="s">
        <v>6421</v>
      </c>
      <c r="J736" s="2" t="s">
        <v>6422</v>
      </c>
      <c r="K736" s="2">
        <v>3.2658371999999998E-2</v>
      </c>
      <c r="L736" s="2" t="s">
        <v>35</v>
      </c>
      <c r="M736" s="4" t="s">
        <v>6423</v>
      </c>
    </row>
    <row r="737" spans="1:13">
      <c r="A737" s="2">
        <v>303</v>
      </c>
      <c r="B737" s="2" t="s">
        <v>6424</v>
      </c>
      <c r="C737" s="2">
        <v>3</v>
      </c>
      <c r="D737" s="2">
        <v>556</v>
      </c>
      <c r="E737" s="2">
        <v>18</v>
      </c>
      <c r="F737" s="2">
        <v>32441</v>
      </c>
      <c r="G737" s="2">
        <v>9.7245203839999999</v>
      </c>
      <c r="H737" s="2">
        <v>5.0485189999999996E-3</v>
      </c>
      <c r="I737" s="2" t="s">
        <v>6425</v>
      </c>
      <c r="J737" s="2" t="s">
        <v>6426</v>
      </c>
      <c r="K737" s="2">
        <v>3.3160065000000002E-2</v>
      </c>
      <c r="L737" s="2" t="s">
        <v>35</v>
      </c>
      <c r="M737" s="4" t="s">
        <v>6427</v>
      </c>
    </row>
    <row r="738" spans="1:13">
      <c r="A738" s="2">
        <v>391</v>
      </c>
      <c r="B738" s="2" t="s">
        <v>6428</v>
      </c>
      <c r="C738" s="2">
        <v>3</v>
      </c>
      <c r="D738" s="2">
        <v>556</v>
      </c>
      <c r="E738" s="2">
        <v>18</v>
      </c>
      <c r="F738" s="2">
        <v>32441</v>
      </c>
      <c r="G738" s="2">
        <v>9.7245203839999999</v>
      </c>
      <c r="H738" s="2">
        <v>5.0485189999999996E-3</v>
      </c>
      <c r="I738" s="2" t="s">
        <v>6429</v>
      </c>
      <c r="J738" s="2" t="s">
        <v>6430</v>
      </c>
      <c r="K738" s="2">
        <v>3.3160065000000002E-2</v>
      </c>
      <c r="L738" s="2" t="s">
        <v>35</v>
      </c>
      <c r="M738" s="4" t="s">
        <v>6431</v>
      </c>
    </row>
    <row r="739" spans="1:13">
      <c r="A739" s="2">
        <v>2053</v>
      </c>
      <c r="B739" s="2" t="s">
        <v>6432</v>
      </c>
      <c r="C739" s="2">
        <v>3</v>
      </c>
      <c r="D739" s="2">
        <v>556</v>
      </c>
      <c r="E739" s="2">
        <v>18</v>
      </c>
      <c r="F739" s="2">
        <v>32441</v>
      </c>
      <c r="G739" s="2">
        <v>9.7245203839999999</v>
      </c>
      <c r="H739" s="2">
        <v>5.0485189999999996E-3</v>
      </c>
      <c r="I739" s="2" t="s">
        <v>6433</v>
      </c>
      <c r="J739" s="2" t="s">
        <v>6434</v>
      </c>
      <c r="K739" s="2">
        <v>3.3160065000000002E-2</v>
      </c>
      <c r="L739" s="2" t="s">
        <v>35</v>
      </c>
      <c r="M739" s="4" t="s">
        <v>6435</v>
      </c>
    </row>
    <row r="740" spans="1:13">
      <c r="A740" s="2">
        <v>2483</v>
      </c>
      <c r="B740" s="2" t="s">
        <v>6436</v>
      </c>
      <c r="C740" s="2">
        <v>3</v>
      </c>
      <c r="D740" s="2">
        <v>556</v>
      </c>
      <c r="E740" s="2">
        <v>18</v>
      </c>
      <c r="F740" s="2">
        <v>32441</v>
      </c>
      <c r="G740" s="2">
        <v>9.7245203839999999</v>
      </c>
      <c r="H740" s="2">
        <v>5.0485189999999996E-3</v>
      </c>
      <c r="I740" s="2" t="s">
        <v>6437</v>
      </c>
      <c r="J740" s="2" t="s">
        <v>6438</v>
      </c>
      <c r="K740" s="2">
        <v>3.3160065000000002E-2</v>
      </c>
      <c r="L740" s="2" t="s">
        <v>35</v>
      </c>
      <c r="M740" s="4" t="s">
        <v>6439</v>
      </c>
    </row>
    <row r="741" spans="1:13">
      <c r="A741" s="2">
        <v>3254</v>
      </c>
      <c r="B741" s="2" t="s">
        <v>6440</v>
      </c>
      <c r="C741" s="2">
        <v>3</v>
      </c>
      <c r="D741" s="2">
        <v>556</v>
      </c>
      <c r="E741" s="2">
        <v>18</v>
      </c>
      <c r="F741" s="2">
        <v>32441</v>
      </c>
      <c r="G741" s="2">
        <v>9.7245203839999999</v>
      </c>
      <c r="H741" s="2">
        <v>5.0485189999999996E-3</v>
      </c>
      <c r="I741" s="2" t="s">
        <v>6441</v>
      </c>
      <c r="J741" s="2" t="s">
        <v>6442</v>
      </c>
      <c r="K741" s="2">
        <v>3.3160065000000002E-2</v>
      </c>
      <c r="L741" s="2" t="s">
        <v>35</v>
      </c>
      <c r="M741" s="4" t="s">
        <v>6443</v>
      </c>
    </row>
    <row r="742" spans="1:13">
      <c r="A742" s="2">
        <v>4520</v>
      </c>
      <c r="B742" s="2" t="s">
        <v>6444</v>
      </c>
      <c r="C742" s="2">
        <v>3</v>
      </c>
      <c r="D742" s="2">
        <v>556</v>
      </c>
      <c r="E742" s="2">
        <v>18</v>
      </c>
      <c r="F742" s="2">
        <v>32441</v>
      </c>
      <c r="G742" s="2">
        <v>9.7245203839999999</v>
      </c>
      <c r="H742" s="2">
        <v>5.0485189999999996E-3</v>
      </c>
      <c r="I742" s="2" t="s">
        <v>6445</v>
      </c>
      <c r="J742" s="2" t="s">
        <v>6446</v>
      </c>
      <c r="K742" s="2">
        <v>3.3160065000000002E-2</v>
      </c>
      <c r="L742" s="2" t="s">
        <v>35</v>
      </c>
      <c r="M742" s="4" t="s">
        <v>6447</v>
      </c>
    </row>
    <row r="743" spans="1:13">
      <c r="A743" s="2">
        <v>103</v>
      </c>
      <c r="B743" s="2" t="s">
        <v>6448</v>
      </c>
      <c r="C743" s="2">
        <v>6</v>
      </c>
      <c r="D743" s="2">
        <v>556</v>
      </c>
      <c r="E743" s="2">
        <v>88</v>
      </c>
      <c r="F743" s="2">
        <v>32441</v>
      </c>
      <c r="G743" s="2">
        <v>3.9782128839999999</v>
      </c>
      <c r="H743" s="2">
        <v>5.1998060000000004E-3</v>
      </c>
      <c r="I743" s="2" t="s">
        <v>6449</v>
      </c>
      <c r="J743" s="2" t="s">
        <v>6450</v>
      </c>
      <c r="K743" s="2">
        <v>3.4106714000000003E-2</v>
      </c>
      <c r="L743" s="2" t="s">
        <v>35</v>
      </c>
      <c r="M743" s="4" t="s">
        <v>6451</v>
      </c>
    </row>
    <row r="744" spans="1:13">
      <c r="A744" s="2">
        <v>2264</v>
      </c>
      <c r="B744" s="2" t="s">
        <v>108</v>
      </c>
      <c r="C744" s="2">
        <v>43</v>
      </c>
      <c r="D744" s="2">
        <v>556</v>
      </c>
      <c r="E744" s="2">
        <v>1652</v>
      </c>
      <c r="F744" s="2">
        <v>32441</v>
      </c>
      <c r="G744" s="2">
        <v>1.518720496</v>
      </c>
      <c r="H744" s="2">
        <v>5.2945079999999999E-3</v>
      </c>
      <c r="I744" s="2" t="s">
        <v>6452</v>
      </c>
      <c r="J744" s="2" t="s">
        <v>6453</v>
      </c>
      <c r="K744" s="2">
        <v>3.4680123E-2</v>
      </c>
      <c r="L744" s="2" t="s">
        <v>35</v>
      </c>
      <c r="M744" s="4" t="s">
        <v>6454</v>
      </c>
    </row>
    <row r="745" spans="1:13">
      <c r="A745" s="2">
        <v>1673</v>
      </c>
      <c r="B745" s="2" t="s">
        <v>6455</v>
      </c>
      <c r="C745" s="2">
        <v>8</v>
      </c>
      <c r="D745" s="2">
        <v>556</v>
      </c>
      <c r="E745" s="2">
        <v>149</v>
      </c>
      <c r="F745" s="2">
        <v>32441</v>
      </c>
      <c r="G745" s="2">
        <v>3.1327313989999999</v>
      </c>
      <c r="H745" s="2">
        <v>5.3072199999999996E-3</v>
      </c>
      <c r="I745" s="2" t="s">
        <v>6456</v>
      </c>
      <c r="J745" s="2" t="s">
        <v>6457</v>
      </c>
      <c r="K745" s="2">
        <v>3.4715634000000002E-2</v>
      </c>
      <c r="L745" s="2" t="s">
        <v>35</v>
      </c>
      <c r="M745" s="4" t="s">
        <v>6458</v>
      </c>
    </row>
    <row r="746" spans="1:13">
      <c r="A746" s="2">
        <v>613</v>
      </c>
      <c r="B746" s="2" t="s">
        <v>6459</v>
      </c>
      <c r="C746" s="2">
        <v>4</v>
      </c>
      <c r="D746" s="2">
        <v>556</v>
      </c>
      <c r="E746" s="2">
        <v>38</v>
      </c>
      <c r="F746" s="2">
        <v>32441</v>
      </c>
      <c r="G746" s="2">
        <v>6.1418023479999997</v>
      </c>
      <c r="H746" s="2">
        <v>5.378636E-3</v>
      </c>
      <c r="I746" s="2" t="s">
        <v>6460</v>
      </c>
      <c r="J746" s="2" t="s">
        <v>6461</v>
      </c>
      <c r="K746" s="2">
        <v>3.5038392000000002E-2</v>
      </c>
      <c r="L746" s="2" t="s">
        <v>35</v>
      </c>
      <c r="M746" s="4" t="s">
        <v>6462</v>
      </c>
    </row>
    <row r="747" spans="1:13">
      <c r="A747" s="2">
        <v>4269</v>
      </c>
      <c r="B747" s="2" t="s">
        <v>6463</v>
      </c>
      <c r="C747" s="2">
        <v>4</v>
      </c>
      <c r="D747" s="2">
        <v>556</v>
      </c>
      <c r="E747" s="2">
        <v>38</v>
      </c>
      <c r="F747" s="2">
        <v>32441</v>
      </c>
      <c r="G747" s="2">
        <v>6.1418023479999997</v>
      </c>
      <c r="H747" s="2">
        <v>5.378636E-3</v>
      </c>
      <c r="I747" s="2" t="s">
        <v>6464</v>
      </c>
      <c r="J747" s="2" t="s">
        <v>6465</v>
      </c>
      <c r="K747" s="2">
        <v>3.5038392000000002E-2</v>
      </c>
      <c r="L747" s="2" t="s">
        <v>35</v>
      </c>
      <c r="M747" s="4" t="s">
        <v>6466</v>
      </c>
    </row>
    <row r="748" spans="1:13">
      <c r="A748" s="2">
        <v>4405</v>
      </c>
      <c r="B748" s="2" t="s">
        <v>6467</v>
      </c>
      <c r="C748" s="2">
        <v>4</v>
      </c>
      <c r="D748" s="2">
        <v>556</v>
      </c>
      <c r="E748" s="2">
        <v>38</v>
      </c>
      <c r="F748" s="2">
        <v>32441</v>
      </c>
      <c r="G748" s="2">
        <v>6.1418023479999997</v>
      </c>
      <c r="H748" s="2">
        <v>5.378636E-3</v>
      </c>
      <c r="I748" s="2" t="s">
        <v>6468</v>
      </c>
      <c r="J748" s="2" t="s">
        <v>6469</v>
      </c>
      <c r="K748" s="2">
        <v>3.5038392000000002E-2</v>
      </c>
      <c r="L748" s="2" t="s">
        <v>35</v>
      </c>
      <c r="M748" s="4" t="s">
        <v>6470</v>
      </c>
    </row>
    <row r="749" spans="1:13">
      <c r="A749" s="2">
        <v>3887</v>
      </c>
      <c r="B749" s="2" t="s">
        <v>331</v>
      </c>
      <c r="C749" s="2">
        <v>6</v>
      </c>
      <c r="D749" s="2">
        <v>556</v>
      </c>
      <c r="E749" s="2">
        <v>89</v>
      </c>
      <c r="F749" s="2">
        <v>32441</v>
      </c>
      <c r="G749" s="2">
        <v>3.9335138629999999</v>
      </c>
      <c r="H749" s="2">
        <v>5.4732440000000004E-3</v>
      </c>
      <c r="I749" s="2" t="s">
        <v>6471</v>
      </c>
      <c r="J749" s="2" t="s">
        <v>6472</v>
      </c>
      <c r="K749" s="2">
        <v>3.5605992000000003E-2</v>
      </c>
      <c r="L749" s="2" t="s">
        <v>35</v>
      </c>
      <c r="M749" s="4" t="s">
        <v>6473</v>
      </c>
    </row>
    <row r="750" spans="1:13">
      <c r="A750" s="2">
        <v>100</v>
      </c>
      <c r="B750" s="2" t="s">
        <v>6474</v>
      </c>
      <c r="C750" s="2">
        <v>9</v>
      </c>
      <c r="D750" s="2">
        <v>556</v>
      </c>
      <c r="E750" s="2">
        <v>183</v>
      </c>
      <c r="F750" s="2">
        <v>32441</v>
      </c>
      <c r="G750" s="2">
        <v>2.869530605</v>
      </c>
      <c r="H750" s="2">
        <v>5.5001879999999996E-3</v>
      </c>
      <c r="I750" s="2" t="s">
        <v>6475</v>
      </c>
      <c r="J750" s="2" t="s">
        <v>6476</v>
      </c>
      <c r="K750" s="2">
        <v>3.5683782999999997E-2</v>
      </c>
      <c r="L750" s="2" t="s">
        <v>35</v>
      </c>
      <c r="M750" s="4" t="s">
        <v>6477</v>
      </c>
    </row>
    <row r="751" spans="1:13">
      <c r="A751" s="2">
        <v>1389</v>
      </c>
      <c r="B751" s="2" t="s">
        <v>6478</v>
      </c>
      <c r="C751" s="2">
        <v>9</v>
      </c>
      <c r="D751" s="2">
        <v>556</v>
      </c>
      <c r="E751" s="2">
        <v>183</v>
      </c>
      <c r="F751" s="2">
        <v>32441</v>
      </c>
      <c r="G751" s="2">
        <v>2.869530605</v>
      </c>
      <c r="H751" s="2">
        <v>5.5001879999999996E-3</v>
      </c>
      <c r="I751" s="2" t="s">
        <v>6479</v>
      </c>
      <c r="J751" s="2" t="s">
        <v>6480</v>
      </c>
      <c r="K751" s="2">
        <v>3.5683782999999997E-2</v>
      </c>
      <c r="L751" s="2" t="s">
        <v>35</v>
      </c>
      <c r="M751" s="4" t="s">
        <v>6481</v>
      </c>
    </row>
    <row r="752" spans="1:13">
      <c r="A752" s="2">
        <v>226</v>
      </c>
      <c r="B752" s="2" t="s">
        <v>6482</v>
      </c>
      <c r="C752" s="2">
        <v>3</v>
      </c>
      <c r="D752" s="2">
        <v>556</v>
      </c>
      <c r="E752" s="2">
        <v>19</v>
      </c>
      <c r="F752" s="2">
        <v>32441</v>
      </c>
      <c r="G752" s="2">
        <v>9.2127035209999999</v>
      </c>
      <c r="H752" s="2">
        <v>5.7732900000000004E-3</v>
      </c>
      <c r="I752" s="2" t="s">
        <v>6483</v>
      </c>
      <c r="J752" s="2" t="s">
        <v>6484</v>
      </c>
      <c r="K752" s="2">
        <v>3.7151898000000003E-2</v>
      </c>
      <c r="L752" s="2" t="s">
        <v>35</v>
      </c>
      <c r="M752" s="4" t="s">
        <v>6485</v>
      </c>
    </row>
    <row r="753" spans="1:13">
      <c r="A753" s="2">
        <v>228</v>
      </c>
      <c r="B753" s="2" t="s">
        <v>6486</v>
      </c>
      <c r="C753" s="2">
        <v>3</v>
      </c>
      <c r="D753" s="2">
        <v>556</v>
      </c>
      <c r="E753" s="2">
        <v>19</v>
      </c>
      <c r="F753" s="2">
        <v>32441</v>
      </c>
      <c r="G753" s="2">
        <v>9.2127035209999999</v>
      </c>
      <c r="H753" s="2">
        <v>5.7732900000000004E-3</v>
      </c>
      <c r="I753" s="2" t="s">
        <v>5879</v>
      </c>
      <c r="J753" s="2" t="s">
        <v>5880</v>
      </c>
      <c r="K753" s="2">
        <v>3.7151898000000003E-2</v>
      </c>
      <c r="L753" s="2" t="s">
        <v>35</v>
      </c>
      <c r="M753" s="4" t="s">
        <v>6487</v>
      </c>
    </row>
    <row r="754" spans="1:13">
      <c r="A754" s="2">
        <v>412</v>
      </c>
      <c r="B754" s="2" t="s">
        <v>6488</v>
      </c>
      <c r="C754" s="2">
        <v>3</v>
      </c>
      <c r="D754" s="2">
        <v>556</v>
      </c>
      <c r="E754" s="2">
        <v>19</v>
      </c>
      <c r="F754" s="2">
        <v>32441</v>
      </c>
      <c r="G754" s="2">
        <v>9.2127035209999999</v>
      </c>
      <c r="H754" s="2">
        <v>5.7732900000000004E-3</v>
      </c>
      <c r="I754" s="2" t="s">
        <v>6489</v>
      </c>
      <c r="J754" s="2" t="s">
        <v>6490</v>
      </c>
      <c r="K754" s="2">
        <v>3.7151898000000003E-2</v>
      </c>
      <c r="L754" s="2" t="s">
        <v>35</v>
      </c>
      <c r="M754" s="4" t="s">
        <v>6491</v>
      </c>
    </row>
    <row r="755" spans="1:13">
      <c r="A755" s="2">
        <v>1681</v>
      </c>
      <c r="B755" s="2" t="s">
        <v>6492</v>
      </c>
      <c r="C755" s="2">
        <v>3</v>
      </c>
      <c r="D755" s="2">
        <v>556</v>
      </c>
      <c r="E755" s="2">
        <v>19</v>
      </c>
      <c r="F755" s="2">
        <v>32441</v>
      </c>
      <c r="G755" s="2">
        <v>9.2127035209999999</v>
      </c>
      <c r="H755" s="2">
        <v>5.7732900000000004E-3</v>
      </c>
      <c r="I755" s="2" t="s">
        <v>6493</v>
      </c>
      <c r="J755" s="2" t="s">
        <v>6494</v>
      </c>
      <c r="K755" s="2">
        <v>3.7151898000000003E-2</v>
      </c>
      <c r="L755" s="2" t="s">
        <v>35</v>
      </c>
      <c r="M755" s="4" t="s">
        <v>6495</v>
      </c>
    </row>
    <row r="756" spans="1:13">
      <c r="A756" s="2">
        <v>3529</v>
      </c>
      <c r="B756" s="2" t="s">
        <v>6496</v>
      </c>
      <c r="C756" s="2">
        <v>3</v>
      </c>
      <c r="D756" s="2">
        <v>556</v>
      </c>
      <c r="E756" s="2">
        <v>19</v>
      </c>
      <c r="F756" s="2">
        <v>32441</v>
      </c>
      <c r="G756" s="2">
        <v>9.2127035209999999</v>
      </c>
      <c r="H756" s="2">
        <v>5.7732900000000004E-3</v>
      </c>
      <c r="I756" s="2" t="s">
        <v>6497</v>
      </c>
      <c r="J756" s="2" t="s">
        <v>6498</v>
      </c>
      <c r="K756" s="2">
        <v>3.7151898000000003E-2</v>
      </c>
      <c r="L756" s="2" t="s">
        <v>35</v>
      </c>
      <c r="M756" s="4" t="s">
        <v>6499</v>
      </c>
    </row>
    <row r="757" spans="1:13">
      <c r="A757" s="2">
        <v>4654</v>
      </c>
      <c r="B757" s="2" t="s">
        <v>6500</v>
      </c>
      <c r="C757" s="2">
        <v>3</v>
      </c>
      <c r="D757" s="2">
        <v>556</v>
      </c>
      <c r="E757" s="2">
        <v>19</v>
      </c>
      <c r="F757" s="2">
        <v>32441</v>
      </c>
      <c r="G757" s="2">
        <v>9.2127035209999999</v>
      </c>
      <c r="H757" s="2">
        <v>5.7732900000000004E-3</v>
      </c>
      <c r="I757" s="2" t="s">
        <v>6501</v>
      </c>
      <c r="J757" s="2" t="s">
        <v>6502</v>
      </c>
      <c r="K757" s="2">
        <v>3.7151898000000003E-2</v>
      </c>
      <c r="L757" s="2" t="s">
        <v>35</v>
      </c>
      <c r="M757" s="4" t="s">
        <v>6503</v>
      </c>
    </row>
    <row r="758" spans="1:13">
      <c r="A758" s="2">
        <v>1547</v>
      </c>
      <c r="B758" s="2" t="s">
        <v>6504</v>
      </c>
      <c r="C758" s="2">
        <v>5</v>
      </c>
      <c r="D758" s="2">
        <v>556</v>
      </c>
      <c r="E758" s="2">
        <v>63</v>
      </c>
      <c r="F758" s="2">
        <v>32441</v>
      </c>
      <c r="G758" s="2">
        <v>4.6307239920000001</v>
      </c>
      <c r="H758" s="2">
        <v>5.8169019999999997E-3</v>
      </c>
      <c r="I758" s="2" t="s">
        <v>6505</v>
      </c>
      <c r="J758" s="2" t="s">
        <v>6506</v>
      </c>
      <c r="K758" s="2">
        <v>3.7331652E-2</v>
      </c>
      <c r="L758" s="2" t="s">
        <v>35</v>
      </c>
      <c r="M758" s="4" t="s">
        <v>6507</v>
      </c>
    </row>
    <row r="759" spans="1:13">
      <c r="A759" s="2">
        <v>3427</v>
      </c>
      <c r="B759" s="2" t="s">
        <v>6508</v>
      </c>
      <c r="C759" s="2">
        <v>5</v>
      </c>
      <c r="D759" s="2">
        <v>556</v>
      </c>
      <c r="E759" s="2">
        <v>63</v>
      </c>
      <c r="F759" s="2">
        <v>32441</v>
      </c>
      <c r="G759" s="2">
        <v>4.6307239920000001</v>
      </c>
      <c r="H759" s="2">
        <v>5.8169019999999997E-3</v>
      </c>
      <c r="I759" s="2" t="s">
        <v>6509</v>
      </c>
      <c r="J759" s="2" t="s">
        <v>6510</v>
      </c>
      <c r="K759" s="2">
        <v>3.7331652E-2</v>
      </c>
      <c r="L759" s="2" t="s">
        <v>35</v>
      </c>
      <c r="M759" s="4" t="s">
        <v>6511</v>
      </c>
    </row>
    <row r="760" spans="1:13">
      <c r="A760" s="2">
        <v>1441</v>
      </c>
      <c r="B760" s="2" t="s">
        <v>6512</v>
      </c>
      <c r="C760" s="2">
        <v>4</v>
      </c>
      <c r="D760" s="2">
        <v>556</v>
      </c>
      <c r="E760" s="2">
        <v>39</v>
      </c>
      <c r="F760" s="2">
        <v>32441</v>
      </c>
      <c r="G760" s="2">
        <v>5.9843202360000003</v>
      </c>
      <c r="H760" s="2">
        <v>5.8526419999999999E-3</v>
      </c>
      <c r="I760" s="2" t="s">
        <v>6513</v>
      </c>
      <c r="J760" s="2" t="s">
        <v>6514</v>
      </c>
      <c r="K760" s="2">
        <v>3.7366376E-2</v>
      </c>
      <c r="L760" s="2" t="s">
        <v>35</v>
      </c>
      <c r="M760" s="4" t="s">
        <v>6515</v>
      </c>
    </row>
    <row r="761" spans="1:13">
      <c r="A761" s="2">
        <v>3104</v>
      </c>
      <c r="B761" s="2" t="s">
        <v>6516</v>
      </c>
      <c r="C761" s="2">
        <v>7</v>
      </c>
      <c r="D761" s="2">
        <v>556</v>
      </c>
      <c r="E761" s="2">
        <v>120</v>
      </c>
      <c r="F761" s="2">
        <v>32441</v>
      </c>
      <c r="G761" s="2">
        <v>3.4035821340000001</v>
      </c>
      <c r="H761" s="2">
        <v>5.8536990000000004E-3</v>
      </c>
      <c r="I761" s="2" t="s">
        <v>6517</v>
      </c>
      <c r="J761" s="2" t="s">
        <v>6518</v>
      </c>
      <c r="K761" s="2">
        <v>3.7366376E-2</v>
      </c>
      <c r="L761" s="2" t="s">
        <v>35</v>
      </c>
      <c r="M761" s="4" t="s">
        <v>6519</v>
      </c>
    </row>
    <row r="762" spans="1:13">
      <c r="A762" s="2">
        <v>3270</v>
      </c>
      <c r="B762" s="2" t="s">
        <v>6520</v>
      </c>
      <c r="C762" s="2">
        <v>4</v>
      </c>
      <c r="D762" s="2">
        <v>556</v>
      </c>
      <c r="E762" s="2">
        <v>39</v>
      </c>
      <c r="F762" s="2">
        <v>32441</v>
      </c>
      <c r="G762" s="2">
        <v>5.9843202360000003</v>
      </c>
      <c r="H762" s="2">
        <v>5.8526419999999999E-3</v>
      </c>
      <c r="I762" s="2" t="s">
        <v>6521</v>
      </c>
      <c r="J762" s="2" t="s">
        <v>6522</v>
      </c>
      <c r="K762" s="2">
        <v>3.7366376E-2</v>
      </c>
      <c r="L762" s="2" t="s">
        <v>35</v>
      </c>
      <c r="M762" s="4" t="s">
        <v>6523</v>
      </c>
    </row>
    <row r="763" spans="1:13">
      <c r="A763" s="2">
        <v>4331</v>
      </c>
      <c r="B763" s="2" t="s">
        <v>6524</v>
      </c>
      <c r="C763" s="2">
        <v>4</v>
      </c>
      <c r="D763" s="2">
        <v>556</v>
      </c>
      <c r="E763" s="2">
        <v>39</v>
      </c>
      <c r="F763" s="2">
        <v>32441</v>
      </c>
      <c r="G763" s="2">
        <v>5.9843202360000003</v>
      </c>
      <c r="H763" s="2">
        <v>5.8526419999999999E-3</v>
      </c>
      <c r="I763" s="2" t="s">
        <v>6525</v>
      </c>
      <c r="J763" s="2" t="s">
        <v>6526</v>
      </c>
      <c r="K763" s="2">
        <v>3.7366376E-2</v>
      </c>
      <c r="L763" s="2" t="s">
        <v>35</v>
      </c>
      <c r="M763" s="4" t="s">
        <v>6527</v>
      </c>
    </row>
    <row r="764" spans="1:13">
      <c r="A764" s="2">
        <v>4492</v>
      </c>
      <c r="B764" s="2" t="s">
        <v>6528</v>
      </c>
      <c r="C764" s="2">
        <v>7</v>
      </c>
      <c r="D764" s="2">
        <v>556</v>
      </c>
      <c r="E764" s="2">
        <v>121</v>
      </c>
      <c r="F764" s="2">
        <v>32441</v>
      </c>
      <c r="G764" s="2">
        <v>3.375453356</v>
      </c>
      <c r="H764" s="2">
        <v>6.1048710000000004E-3</v>
      </c>
      <c r="I764" s="2" t="s">
        <v>6529</v>
      </c>
      <c r="J764" s="2" t="s">
        <v>6530</v>
      </c>
      <c r="K764" s="2">
        <v>3.8917529999999999E-2</v>
      </c>
      <c r="L764" s="2" t="s">
        <v>35</v>
      </c>
      <c r="M764" s="4" t="s">
        <v>6531</v>
      </c>
    </row>
    <row r="765" spans="1:13">
      <c r="A765" s="2">
        <v>2861</v>
      </c>
      <c r="B765" s="2" t="s">
        <v>6532</v>
      </c>
      <c r="C765" s="2">
        <v>5</v>
      </c>
      <c r="D765" s="2">
        <v>556</v>
      </c>
      <c r="E765" s="2">
        <v>64</v>
      </c>
      <c r="F765" s="2">
        <v>32441</v>
      </c>
      <c r="G765" s="2">
        <v>4.5583689300000003</v>
      </c>
      <c r="H765" s="2">
        <v>6.1863530000000003E-3</v>
      </c>
      <c r="I765" s="2" t="s">
        <v>6533</v>
      </c>
      <c r="J765" s="2" t="s">
        <v>6534</v>
      </c>
      <c r="K765" s="2">
        <v>3.9384242E-2</v>
      </c>
      <c r="L765" s="2" t="s">
        <v>35</v>
      </c>
      <c r="M765" s="4" t="s">
        <v>6535</v>
      </c>
    </row>
    <row r="766" spans="1:13">
      <c r="A766" s="2">
        <v>4076</v>
      </c>
      <c r="B766" s="2" t="s">
        <v>6536</v>
      </c>
      <c r="C766" s="2">
        <v>4</v>
      </c>
      <c r="D766" s="2">
        <v>556</v>
      </c>
      <c r="E766" s="2">
        <v>40</v>
      </c>
      <c r="F766" s="2">
        <v>32441</v>
      </c>
      <c r="G766" s="2">
        <v>5.8347122300000001</v>
      </c>
      <c r="H766" s="2">
        <v>6.3536640000000002E-3</v>
      </c>
      <c r="I766" s="2" t="s">
        <v>6537</v>
      </c>
      <c r="J766" s="2" t="s">
        <v>6538</v>
      </c>
      <c r="K766" s="2">
        <v>4.0395390000000003E-2</v>
      </c>
      <c r="L766" s="2" t="s">
        <v>35</v>
      </c>
      <c r="M766" s="4" t="s">
        <v>6539</v>
      </c>
    </row>
    <row r="767" spans="1:13">
      <c r="A767" s="2">
        <v>321</v>
      </c>
      <c r="B767" s="2" t="s">
        <v>6540</v>
      </c>
      <c r="C767" s="2">
        <v>3</v>
      </c>
      <c r="D767" s="2">
        <v>556</v>
      </c>
      <c r="E767" s="2">
        <v>20</v>
      </c>
      <c r="F767" s="2">
        <v>32441</v>
      </c>
      <c r="G767" s="2">
        <v>8.7520683449999996</v>
      </c>
      <c r="H767" s="2">
        <v>6.557167E-3</v>
      </c>
      <c r="I767" s="2" t="s">
        <v>6541</v>
      </c>
      <c r="J767" s="2" t="s">
        <v>6542</v>
      </c>
      <c r="K767" s="2">
        <v>4.1467769000000002E-2</v>
      </c>
      <c r="L767" s="2" t="s">
        <v>35</v>
      </c>
      <c r="M767" s="4" t="s">
        <v>6543</v>
      </c>
    </row>
    <row r="768" spans="1:13">
      <c r="A768" s="2">
        <v>1448</v>
      </c>
      <c r="B768" s="2" t="s">
        <v>6544</v>
      </c>
      <c r="C768" s="2">
        <v>3</v>
      </c>
      <c r="D768" s="2">
        <v>556</v>
      </c>
      <c r="E768" s="2">
        <v>20</v>
      </c>
      <c r="F768" s="2">
        <v>32441</v>
      </c>
      <c r="G768" s="2">
        <v>8.7520683449999996</v>
      </c>
      <c r="H768" s="2">
        <v>6.557167E-3</v>
      </c>
      <c r="I768" s="2" t="s">
        <v>6545</v>
      </c>
      <c r="J768" s="2" t="s">
        <v>6546</v>
      </c>
      <c r="K768" s="2">
        <v>4.1467769000000002E-2</v>
      </c>
      <c r="L768" s="2" t="s">
        <v>35</v>
      </c>
      <c r="M768" s="4" t="s">
        <v>6547</v>
      </c>
    </row>
    <row r="769" spans="1:13">
      <c r="A769" s="2">
        <v>1934</v>
      </c>
      <c r="B769" s="2" t="s">
        <v>6548</v>
      </c>
      <c r="C769" s="2">
        <v>3</v>
      </c>
      <c r="D769" s="2">
        <v>556</v>
      </c>
      <c r="E769" s="2">
        <v>20</v>
      </c>
      <c r="F769" s="2">
        <v>32441</v>
      </c>
      <c r="G769" s="2">
        <v>8.7520683449999996</v>
      </c>
      <c r="H769" s="2">
        <v>6.557167E-3</v>
      </c>
      <c r="I769" s="2" t="s">
        <v>6549</v>
      </c>
      <c r="J769" s="2" t="s">
        <v>6550</v>
      </c>
      <c r="K769" s="2">
        <v>4.1467769000000002E-2</v>
      </c>
      <c r="L769" s="2" t="s">
        <v>35</v>
      </c>
      <c r="M769" s="4" t="s">
        <v>6551</v>
      </c>
    </row>
    <row r="770" spans="1:13">
      <c r="A770" s="2">
        <v>4519</v>
      </c>
      <c r="B770" s="2" t="s">
        <v>6552</v>
      </c>
      <c r="C770" s="2">
        <v>3</v>
      </c>
      <c r="D770" s="2">
        <v>556</v>
      </c>
      <c r="E770" s="2">
        <v>20</v>
      </c>
      <c r="F770" s="2">
        <v>32441</v>
      </c>
      <c r="G770" s="2">
        <v>8.7520683449999996</v>
      </c>
      <c r="H770" s="2">
        <v>6.557167E-3</v>
      </c>
      <c r="I770" s="2" t="s">
        <v>6553</v>
      </c>
      <c r="J770" s="2" t="s">
        <v>6554</v>
      </c>
      <c r="K770" s="2">
        <v>4.1467769000000002E-2</v>
      </c>
      <c r="L770" s="2" t="s">
        <v>35</v>
      </c>
      <c r="M770" s="4" t="s">
        <v>6555</v>
      </c>
    </row>
    <row r="771" spans="1:13">
      <c r="A771" s="2">
        <v>2750</v>
      </c>
      <c r="B771" s="2" t="s">
        <v>6556</v>
      </c>
      <c r="C771" s="2">
        <v>5</v>
      </c>
      <c r="D771" s="2">
        <v>556</v>
      </c>
      <c r="E771" s="2">
        <v>65</v>
      </c>
      <c r="F771" s="2">
        <v>32441</v>
      </c>
      <c r="G771" s="2">
        <v>4.4882401769999998</v>
      </c>
      <c r="H771" s="2">
        <v>6.5719769999999997E-3</v>
      </c>
      <c r="I771" s="2" t="s">
        <v>6557</v>
      </c>
      <c r="J771" s="2" t="s">
        <v>6558</v>
      </c>
      <c r="K771" s="2">
        <v>4.1506306999999999E-2</v>
      </c>
      <c r="L771" s="2" t="s">
        <v>35</v>
      </c>
      <c r="M771" s="4" t="s">
        <v>6559</v>
      </c>
    </row>
    <row r="772" spans="1:13">
      <c r="A772" s="2">
        <v>4380</v>
      </c>
      <c r="B772" s="2" t="s">
        <v>6560</v>
      </c>
      <c r="C772" s="2">
        <v>14</v>
      </c>
      <c r="D772" s="2">
        <v>556</v>
      </c>
      <c r="E772" s="2">
        <v>374</v>
      </c>
      <c r="F772" s="2">
        <v>32441</v>
      </c>
      <c r="G772" s="2">
        <v>2.1841168780000002</v>
      </c>
      <c r="H772" s="2">
        <v>6.6145270000000003E-3</v>
      </c>
      <c r="I772" s="2" t="s">
        <v>6561</v>
      </c>
      <c r="J772" s="2" t="s">
        <v>6562</v>
      </c>
      <c r="K772" s="2">
        <v>4.1719708000000001E-2</v>
      </c>
      <c r="L772" s="2" t="s">
        <v>35</v>
      </c>
      <c r="M772" s="4" t="s">
        <v>6563</v>
      </c>
    </row>
    <row r="773" spans="1:13">
      <c r="A773" s="2">
        <v>3711</v>
      </c>
      <c r="B773" s="2" t="s">
        <v>6564</v>
      </c>
      <c r="C773" s="2">
        <v>6</v>
      </c>
      <c r="D773" s="2">
        <v>556</v>
      </c>
      <c r="E773" s="2">
        <v>93</v>
      </c>
      <c r="F773" s="2">
        <v>32441</v>
      </c>
      <c r="G773" s="2">
        <v>3.7643304710000001</v>
      </c>
      <c r="H773" s="2">
        <v>6.67288E-3</v>
      </c>
      <c r="I773" s="2" t="s">
        <v>6565</v>
      </c>
      <c r="J773" s="2" t="s">
        <v>6566</v>
      </c>
      <c r="K773" s="2">
        <v>4.2032079999999999E-2</v>
      </c>
      <c r="L773" s="2" t="s">
        <v>35</v>
      </c>
      <c r="M773" s="4" t="s">
        <v>6567</v>
      </c>
    </row>
    <row r="774" spans="1:13">
      <c r="A774" s="2">
        <v>258</v>
      </c>
      <c r="B774" s="2" t="s">
        <v>6568</v>
      </c>
      <c r="C774" s="2">
        <v>4</v>
      </c>
      <c r="D774" s="2">
        <v>556</v>
      </c>
      <c r="E774" s="2">
        <v>41</v>
      </c>
      <c r="F774" s="2">
        <v>32441</v>
      </c>
      <c r="G774" s="2">
        <v>5.6924021759999999</v>
      </c>
      <c r="H774" s="2">
        <v>6.8823390000000003E-3</v>
      </c>
      <c r="I774" s="2" t="s">
        <v>6569</v>
      </c>
      <c r="J774" s="2" t="s">
        <v>6570</v>
      </c>
      <c r="K774" s="2">
        <v>4.3237066999999997E-2</v>
      </c>
      <c r="L774" s="2" t="s">
        <v>35</v>
      </c>
      <c r="M774" s="4" t="s">
        <v>6571</v>
      </c>
    </row>
    <row r="775" spans="1:13">
      <c r="A775" s="2">
        <v>2627</v>
      </c>
      <c r="B775" s="2" t="s">
        <v>6572</v>
      </c>
      <c r="C775" s="2">
        <v>4</v>
      </c>
      <c r="D775" s="2">
        <v>556</v>
      </c>
      <c r="E775" s="2">
        <v>41</v>
      </c>
      <c r="F775" s="2">
        <v>32441</v>
      </c>
      <c r="G775" s="2">
        <v>5.6924021759999999</v>
      </c>
      <c r="H775" s="2">
        <v>6.8823390000000003E-3</v>
      </c>
      <c r="I775" s="2" t="s">
        <v>6573</v>
      </c>
      <c r="J775" s="2" t="s">
        <v>6574</v>
      </c>
      <c r="K775" s="2">
        <v>4.3237066999999997E-2</v>
      </c>
      <c r="L775" s="2" t="s">
        <v>35</v>
      </c>
      <c r="M775" s="4" t="s">
        <v>6575</v>
      </c>
    </row>
    <row r="776" spans="1:13">
      <c r="A776" s="2">
        <v>2240</v>
      </c>
      <c r="B776" s="2" t="s">
        <v>6576</v>
      </c>
      <c r="C776" s="2">
        <v>6</v>
      </c>
      <c r="D776" s="2">
        <v>556</v>
      </c>
      <c r="E776" s="2">
        <v>94</v>
      </c>
      <c r="F776" s="2">
        <v>32441</v>
      </c>
      <c r="G776" s="2">
        <v>3.7242844019999999</v>
      </c>
      <c r="H776" s="2">
        <v>7.0003679999999999E-3</v>
      </c>
      <c r="I776" s="2" t="s">
        <v>6577</v>
      </c>
      <c r="J776" s="2" t="s">
        <v>6578</v>
      </c>
      <c r="K776" s="2">
        <v>4.3920622999999999E-2</v>
      </c>
      <c r="L776" s="2" t="s">
        <v>35</v>
      </c>
      <c r="M776" s="4" t="s">
        <v>6579</v>
      </c>
    </row>
    <row r="777" spans="1:13">
      <c r="A777" s="2">
        <v>1537</v>
      </c>
      <c r="B777" s="2" t="s">
        <v>6580</v>
      </c>
      <c r="C777" s="2">
        <v>8</v>
      </c>
      <c r="D777" s="2">
        <v>556</v>
      </c>
      <c r="E777" s="2">
        <v>157</v>
      </c>
      <c r="F777" s="2">
        <v>32441</v>
      </c>
      <c r="G777" s="2">
        <v>2.9731017729999998</v>
      </c>
      <c r="H777" s="2">
        <v>7.1011909999999998E-3</v>
      </c>
      <c r="I777" s="2" t="s">
        <v>6581</v>
      </c>
      <c r="J777" s="2" t="s">
        <v>6582</v>
      </c>
      <c r="K777" s="2">
        <v>4.4494568999999998E-2</v>
      </c>
      <c r="L777" s="2" t="s">
        <v>35</v>
      </c>
      <c r="M777" s="4" t="s">
        <v>6583</v>
      </c>
    </row>
    <row r="778" spans="1:13">
      <c r="A778" s="2">
        <v>150</v>
      </c>
      <c r="B778" s="2" t="s">
        <v>6584</v>
      </c>
      <c r="C778" s="2">
        <v>4</v>
      </c>
      <c r="D778" s="2">
        <v>556</v>
      </c>
      <c r="E778" s="2">
        <v>42</v>
      </c>
      <c r="F778" s="2">
        <v>32441</v>
      </c>
      <c r="G778" s="2">
        <v>5.5568687910000003</v>
      </c>
      <c r="H778" s="2">
        <v>7.4392870000000002E-3</v>
      </c>
      <c r="I778" s="2" t="s">
        <v>6585</v>
      </c>
      <c r="J778" s="2" t="s">
        <v>6586</v>
      </c>
      <c r="K778" s="2">
        <v>4.6007644E-2</v>
      </c>
      <c r="L778" s="2" t="s">
        <v>35</v>
      </c>
      <c r="M778" s="4" t="s">
        <v>6587</v>
      </c>
    </row>
    <row r="779" spans="1:13">
      <c r="A779" s="2">
        <v>1067</v>
      </c>
      <c r="B779" s="2" t="s">
        <v>6588</v>
      </c>
      <c r="C779" s="2">
        <v>3</v>
      </c>
      <c r="D779" s="2">
        <v>556</v>
      </c>
      <c r="E779" s="2">
        <v>21</v>
      </c>
      <c r="F779" s="2">
        <v>32441</v>
      </c>
      <c r="G779" s="2">
        <v>8.3353031860000009</v>
      </c>
      <c r="H779" s="2">
        <v>7.4013009999999999E-3</v>
      </c>
      <c r="I779" s="2" t="s">
        <v>6589</v>
      </c>
      <c r="J779" s="2" t="s">
        <v>6590</v>
      </c>
      <c r="K779" s="2">
        <v>4.6007644E-2</v>
      </c>
      <c r="L779" s="2" t="s">
        <v>35</v>
      </c>
      <c r="M779" s="4" t="s">
        <v>6591</v>
      </c>
    </row>
    <row r="780" spans="1:13">
      <c r="A780" s="2">
        <v>1548</v>
      </c>
      <c r="B780" s="2" t="s">
        <v>2791</v>
      </c>
      <c r="C780" s="2">
        <v>4</v>
      </c>
      <c r="D780" s="2">
        <v>556</v>
      </c>
      <c r="E780" s="2">
        <v>42</v>
      </c>
      <c r="F780" s="2">
        <v>32441</v>
      </c>
      <c r="G780" s="2">
        <v>5.5568687910000003</v>
      </c>
      <c r="H780" s="2">
        <v>7.4392870000000002E-3</v>
      </c>
      <c r="I780" s="2" t="s">
        <v>6592</v>
      </c>
      <c r="J780" s="2" t="s">
        <v>6593</v>
      </c>
      <c r="K780" s="2">
        <v>4.6007644E-2</v>
      </c>
      <c r="L780" s="2" t="s">
        <v>35</v>
      </c>
      <c r="M780" s="4" t="s">
        <v>2794</v>
      </c>
    </row>
    <row r="781" spans="1:13">
      <c r="A781" s="2">
        <v>1846</v>
      </c>
      <c r="B781" s="2" t="s">
        <v>6594</v>
      </c>
      <c r="C781" s="2">
        <v>2</v>
      </c>
      <c r="D781" s="2">
        <v>556</v>
      </c>
      <c r="E781" s="2">
        <v>6</v>
      </c>
      <c r="F781" s="2">
        <v>32441</v>
      </c>
      <c r="G781" s="2">
        <v>19.44904077</v>
      </c>
      <c r="H781" s="2">
        <v>7.4192609999999999E-3</v>
      </c>
      <c r="I781" s="2" t="s">
        <v>6595</v>
      </c>
      <c r="J781" s="2" t="s">
        <v>6596</v>
      </c>
      <c r="K781" s="2">
        <v>4.6007644E-2</v>
      </c>
      <c r="L781" s="2" t="s">
        <v>35</v>
      </c>
      <c r="M781" s="4" t="s">
        <v>6597</v>
      </c>
    </row>
    <row r="782" spans="1:13">
      <c r="A782" s="2">
        <v>2429</v>
      </c>
      <c r="B782" s="2" t="s">
        <v>6598</v>
      </c>
      <c r="C782" s="2">
        <v>31</v>
      </c>
      <c r="D782" s="2">
        <v>556</v>
      </c>
      <c r="E782" s="2">
        <v>1118</v>
      </c>
      <c r="F782" s="2">
        <v>32441</v>
      </c>
      <c r="G782" s="2">
        <v>1.617854017</v>
      </c>
      <c r="H782" s="2">
        <v>7.3705999999999997E-3</v>
      </c>
      <c r="I782" s="2" t="s">
        <v>6599</v>
      </c>
      <c r="J782" s="2" t="s">
        <v>6600</v>
      </c>
      <c r="K782" s="2">
        <v>4.6007644E-2</v>
      </c>
      <c r="L782" s="2" t="s">
        <v>35</v>
      </c>
      <c r="M782" s="4" t="s">
        <v>6601</v>
      </c>
    </row>
    <row r="783" spans="1:13">
      <c r="A783" s="2">
        <v>2619</v>
      </c>
      <c r="B783" s="2" t="s">
        <v>6602</v>
      </c>
      <c r="C783" s="2">
        <v>3</v>
      </c>
      <c r="D783" s="2">
        <v>556</v>
      </c>
      <c r="E783" s="2">
        <v>21</v>
      </c>
      <c r="F783" s="2">
        <v>32441</v>
      </c>
      <c r="G783" s="2">
        <v>8.3353031860000009</v>
      </c>
      <c r="H783" s="2">
        <v>7.4013009999999999E-3</v>
      </c>
      <c r="I783" s="2" t="s">
        <v>6603</v>
      </c>
      <c r="J783" s="2" t="s">
        <v>6604</v>
      </c>
      <c r="K783" s="2">
        <v>4.6007644E-2</v>
      </c>
      <c r="L783" s="2" t="s">
        <v>35</v>
      </c>
      <c r="M783" s="4" t="s">
        <v>6605</v>
      </c>
    </row>
    <row r="784" spans="1:13">
      <c r="A784" s="2">
        <v>2860</v>
      </c>
      <c r="B784" s="2" t="s">
        <v>6606</v>
      </c>
      <c r="C784" s="2">
        <v>5</v>
      </c>
      <c r="D784" s="2">
        <v>556</v>
      </c>
      <c r="E784" s="2">
        <v>67</v>
      </c>
      <c r="F784" s="2">
        <v>32441</v>
      </c>
      <c r="G784" s="2">
        <v>4.3542628580000002</v>
      </c>
      <c r="H784" s="2">
        <v>7.393157E-3</v>
      </c>
      <c r="I784" s="2" t="s">
        <v>6607</v>
      </c>
      <c r="J784" s="2" t="s">
        <v>6608</v>
      </c>
      <c r="K784" s="2">
        <v>4.6007644E-2</v>
      </c>
      <c r="L784" s="2" t="s">
        <v>35</v>
      </c>
      <c r="M784" s="4" t="s">
        <v>6609</v>
      </c>
    </row>
    <row r="785" spans="1:13">
      <c r="A785" s="2">
        <v>2984</v>
      </c>
      <c r="B785" s="2" t="s">
        <v>6610</v>
      </c>
      <c r="C785" s="2">
        <v>4</v>
      </c>
      <c r="D785" s="2">
        <v>556</v>
      </c>
      <c r="E785" s="2">
        <v>42</v>
      </c>
      <c r="F785" s="2">
        <v>32441</v>
      </c>
      <c r="G785" s="2">
        <v>5.5568687910000003</v>
      </c>
      <c r="H785" s="2">
        <v>7.4392870000000002E-3</v>
      </c>
      <c r="I785" s="2" t="s">
        <v>6611</v>
      </c>
      <c r="J785" s="2" t="s">
        <v>6612</v>
      </c>
      <c r="K785" s="2">
        <v>4.6007644E-2</v>
      </c>
      <c r="L785" s="2" t="s">
        <v>35</v>
      </c>
      <c r="M785" s="4" t="s">
        <v>6613</v>
      </c>
    </row>
    <row r="786" spans="1:13">
      <c r="A786" s="2">
        <v>4233</v>
      </c>
      <c r="B786" s="2" t="s">
        <v>6614</v>
      </c>
      <c r="C786" s="2">
        <v>2</v>
      </c>
      <c r="D786" s="2">
        <v>556</v>
      </c>
      <c r="E786" s="2">
        <v>6</v>
      </c>
      <c r="F786" s="2">
        <v>32441</v>
      </c>
      <c r="G786" s="2">
        <v>19.44904077</v>
      </c>
      <c r="H786" s="2">
        <v>7.4192609999999999E-3</v>
      </c>
      <c r="I786" s="2" t="s">
        <v>6615</v>
      </c>
      <c r="J786" s="2" t="s">
        <v>6616</v>
      </c>
      <c r="K786" s="2">
        <v>4.6007644E-2</v>
      </c>
      <c r="L786" s="2" t="s">
        <v>35</v>
      </c>
      <c r="M786" s="4" t="s">
        <v>6617</v>
      </c>
    </row>
    <row r="787" spans="1:13">
      <c r="A787" s="2">
        <v>4500</v>
      </c>
      <c r="B787" s="2" t="s">
        <v>6618</v>
      </c>
      <c r="C787" s="2">
        <v>2</v>
      </c>
      <c r="D787" s="2">
        <v>556</v>
      </c>
      <c r="E787" s="2">
        <v>6</v>
      </c>
      <c r="F787" s="2">
        <v>32441</v>
      </c>
      <c r="G787" s="2">
        <v>19.44904077</v>
      </c>
      <c r="H787" s="2">
        <v>7.4192609999999999E-3</v>
      </c>
      <c r="I787" s="2" t="s">
        <v>6619</v>
      </c>
      <c r="J787" s="2" t="s">
        <v>6620</v>
      </c>
      <c r="K787" s="2">
        <v>4.6007644E-2</v>
      </c>
      <c r="L787" s="2" t="s">
        <v>35</v>
      </c>
      <c r="M787" s="4" t="s">
        <v>6621</v>
      </c>
    </row>
    <row r="788" spans="1:13">
      <c r="A788" s="2">
        <v>137</v>
      </c>
      <c r="B788" s="2" t="s">
        <v>6622</v>
      </c>
      <c r="C788" s="2">
        <v>7</v>
      </c>
      <c r="D788" s="2">
        <v>556</v>
      </c>
      <c r="E788" s="2">
        <v>126</v>
      </c>
      <c r="F788" s="2">
        <v>32441</v>
      </c>
      <c r="G788" s="2">
        <v>3.2415067949999998</v>
      </c>
      <c r="H788" s="2">
        <v>7.4829889999999998E-3</v>
      </c>
      <c r="I788" s="2" t="s">
        <v>6623</v>
      </c>
      <c r="J788" s="2" t="s">
        <v>6624</v>
      </c>
      <c r="K788" s="2">
        <v>4.6047286E-2</v>
      </c>
      <c r="L788" s="2" t="s">
        <v>35</v>
      </c>
      <c r="M788" s="4" t="s">
        <v>6625</v>
      </c>
    </row>
    <row r="789" spans="1:13">
      <c r="A789" s="2">
        <v>1712</v>
      </c>
      <c r="B789" s="2" t="s">
        <v>6626</v>
      </c>
      <c r="C789" s="2">
        <v>7</v>
      </c>
      <c r="D789" s="2">
        <v>556</v>
      </c>
      <c r="E789" s="2">
        <v>126</v>
      </c>
      <c r="F789" s="2">
        <v>32441</v>
      </c>
      <c r="G789" s="2">
        <v>3.2415067949999998</v>
      </c>
      <c r="H789" s="2">
        <v>7.4829889999999998E-3</v>
      </c>
      <c r="I789" s="2" t="s">
        <v>6627</v>
      </c>
      <c r="J789" s="2" t="s">
        <v>6628</v>
      </c>
      <c r="K789" s="2">
        <v>4.6047286E-2</v>
      </c>
      <c r="L789" s="2" t="s">
        <v>35</v>
      </c>
      <c r="M789" s="4" t="s">
        <v>6629</v>
      </c>
    </row>
    <row r="790" spans="1:13">
      <c r="A790" s="2">
        <v>3615</v>
      </c>
      <c r="B790" s="2" t="s">
        <v>6630</v>
      </c>
      <c r="C790" s="2">
        <v>7</v>
      </c>
      <c r="D790" s="2">
        <v>556</v>
      </c>
      <c r="E790" s="2">
        <v>126</v>
      </c>
      <c r="F790" s="2">
        <v>32441</v>
      </c>
      <c r="G790" s="2">
        <v>3.2415067949999998</v>
      </c>
      <c r="H790" s="2">
        <v>7.4829889999999998E-3</v>
      </c>
      <c r="I790" s="2" t="s">
        <v>6631</v>
      </c>
      <c r="J790" s="2" t="s">
        <v>6632</v>
      </c>
      <c r="K790" s="2">
        <v>4.6047286E-2</v>
      </c>
      <c r="L790" s="2" t="s">
        <v>35</v>
      </c>
      <c r="M790" s="4" t="s">
        <v>6633</v>
      </c>
    </row>
    <row r="791" spans="1:13">
      <c r="A791" s="2">
        <v>4241</v>
      </c>
      <c r="B791" s="2" t="s">
        <v>6634</v>
      </c>
      <c r="C791" s="2">
        <v>10</v>
      </c>
      <c r="D791" s="2">
        <v>556</v>
      </c>
      <c r="E791" s="2">
        <v>228</v>
      </c>
      <c r="F791" s="2">
        <v>32441</v>
      </c>
      <c r="G791" s="2">
        <v>2.5590843109999999</v>
      </c>
      <c r="H791" s="2">
        <v>7.484376E-3</v>
      </c>
      <c r="I791" s="2" t="s">
        <v>6635</v>
      </c>
      <c r="J791" s="2" t="s">
        <v>6636</v>
      </c>
      <c r="K791" s="2">
        <v>4.6047286E-2</v>
      </c>
      <c r="L791" s="2" t="s">
        <v>35</v>
      </c>
      <c r="M791" s="4" t="s">
        <v>6637</v>
      </c>
    </row>
    <row r="792" spans="1:13">
      <c r="A792" s="2">
        <v>3458</v>
      </c>
      <c r="B792" s="2" t="s">
        <v>6638</v>
      </c>
      <c r="C792" s="2">
        <v>16</v>
      </c>
      <c r="D792" s="2">
        <v>556</v>
      </c>
      <c r="E792" s="2">
        <v>461</v>
      </c>
      <c r="F792" s="2">
        <v>32441</v>
      </c>
      <c r="G792" s="2">
        <v>2.0250628129999999</v>
      </c>
      <c r="H792" s="2">
        <v>7.5910769999999999E-3</v>
      </c>
      <c r="I792" s="2" t="s">
        <v>6639</v>
      </c>
      <c r="J792" s="2" t="s">
        <v>6640</v>
      </c>
      <c r="K792" s="2">
        <v>4.6643495E-2</v>
      </c>
      <c r="L792" s="2" t="s">
        <v>35</v>
      </c>
      <c r="M792" s="4" t="s">
        <v>6641</v>
      </c>
    </row>
    <row r="793" spans="1:13">
      <c r="A793" s="2">
        <v>1394</v>
      </c>
      <c r="B793" s="2" t="s">
        <v>6642</v>
      </c>
      <c r="C793" s="2">
        <v>5</v>
      </c>
      <c r="D793" s="2">
        <v>556</v>
      </c>
      <c r="E793" s="2">
        <v>68</v>
      </c>
      <c r="F793" s="2">
        <v>32441</v>
      </c>
      <c r="G793" s="2">
        <v>4.2902295810000002</v>
      </c>
      <c r="H793" s="2">
        <v>7.8294090000000007E-3</v>
      </c>
      <c r="I793" s="2" t="s">
        <v>6643</v>
      </c>
      <c r="J793" s="2" t="s">
        <v>6644</v>
      </c>
      <c r="K793" s="2">
        <v>4.8045938000000003E-2</v>
      </c>
      <c r="L793" s="2" t="s">
        <v>35</v>
      </c>
      <c r="M793" s="4" t="s">
        <v>6645</v>
      </c>
    </row>
    <row r="794" spans="1:13">
      <c r="A794" s="2">
        <v>1347</v>
      </c>
      <c r="B794" s="2" t="s">
        <v>6646</v>
      </c>
      <c r="C794" s="2">
        <v>11</v>
      </c>
      <c r="D794" s="2">
        <v>556</v>
      </c>
      <c r="E794" s="2">
        <v>267</v>
      </c>
      <c r="F794" s="2">
        <v>32441</v>
      </c>
      <c r="G794" s="2">
        <v>2.4038140270000001</v>
      </c>
      <c r="H794" s="2">
        <v>7.9688580000000005E-3</v>
      </c>
      <c r="I794" s="2" t="s">
        <v>6647</v>
      </c>
      <c r="J794" s="2" t="s">
        <v>6648</v>
      </c>
      <c r="K794" s="2">
        <v>4.8838739999999999E-2</v>
      </c>
      <c r="L794" s="2" t="s">
        <v>35</v>
      </c>
      <c r="M794" s="4" t="s">
        <v>6649</v>
      </c>
    </row>
    <row r="795" spans="1:13">
      <c r="A795" s="2">
        <v>868</v>
      </c>
      <c r="B795" s="2" t="s">
        <v>6650</v>
      </c>
      <c r="C795" s="2">
        <v>4</v>
      </c>
      <c r="D795" s="2">
        <v>556</v>
      </c>
      <c r="E795" s="2">
        <v>43</v>
      </c>
      <c r="F795" s="2">
        <v>32441</v>
      </c>
      <c r="G795" s="2">
        <v>5.4276392839999996</v>
      </c>
      <c r="H795" s="2">
        <v>8.0251119999999992E-3</v>
      </c>
      <c r="I795" s="2" t="s">
        <v>6651</v>
      </c>
      <c r="J795" s="2" t="s">
        <v>6652</v>
      </c>
      <c r="K795" s="2">
        <v>4.905723E-2</v>
      </c>
      <c r="L795" s="2" t="s">
        <v>35</v>
      </c>
      <c r="M795" s="4" t="s">
        <v>6653</v>
      </c>
    </row>
    <row r="796" spans="1:13">
      <c r="A796" s="2">
        <v>3510</v>
      </c>
      <c r="B796" s="2" t="s">
        <v>6654</v>
      </c>
      <c r="C796" s="2">
        <v>4</v>
      </c>
      <c r="D796" s="2">
        <v>556</v>
      </c>
      <c r="E796" s="2">
        <v>43</v>
      </c>
      <c r="F796" s="2">
        <v>32441</v>
      </c>
      <c r="G796" s="2">
        <v>5.4276392839999996</v>
      </c>
      <c r="H796" s="2">
        <v>8.0251119999999992E-3</v>
      </c>
      <c r="I796" s="2" t="s">
        <v>6655</v>
      </c>
      <c r="J796" s="2" t="s">
        <v>6656</v>
      </c>
      <c r="K796" s="2">
        <v>4.905723E-2</v>
      </c>
      <c r="L796" s="2" t="s">
        <v>35</v>
      </c>
      <c r="M796" s="4" t="s">
        <v>6657</v>
      </c>
    </row>
    <row r="797" spans="1:13">
      <c r="A797" s="2">
        <v>2436</v>
      </c>
      <c r="B797" s="2" t="s">
        <v>2939</v>
      </c>
      <c r="C797" s="2">
        <v>9</v>
      </c>
      <c r="D797" s="2">
        <v>556</v>
      </c>
      <c r="E797" s="2">
        <v>195</v>
      </c>
      <c r="F797" s="2">
        <v>32441</v>
      </c>
      <c r="G797" s="2">
        <v>2.6929441060000001</v>
      </c>
      <c r="H797" s="2">
        <v>8.0608559999999999E-3</v>
      </c>
      <c r="I797" s="2" t="s">
        <v>6658</v>
      </c>
      <c r="J797" s="2" t="s">
        <v>6659</v>
      </c>
      <c r="K797" s="2">
        <v>4.9212560000000002E-2</v>
      </c>
      <c r="L797" s="2" t="s">
        <v>35</v>
      </c>
      <c r="M797" s="4" t="s">
        <v>2942</v>
      </c>
    </row>
    <row r="798" spans="1:13">
      <c r="A798" s="2">
        <v>792</v>
      </c>
      <c r="B798" s="2" t="s">
        <v>6660</v>
      </c>
      <c r="C798" s="2">
        <v>80</v>
      </c>
      <c r="D798" s="2">
        <v>556</v>
      </c>
      <c r="E798" s="2">
        <v>1085</v>
      </c>
      <c r="F798" s="2">
        <v>32441</v>
      </c>
      <c r="G798" s="2">
        <v>4.302091967</v>
      </c>
      <c r="H798" s="3">
        <v>8.6700000000000004E-27</v>
      </c>
      <c r="I798" s="3" t="s">
        <v>6661</v>
      </c>
      <c r="J798" s="3" t="s">
        <v>6662</v>
      </c>
      <c r="K798" s="3">
        <v>7.2500000000000004E-24</v>
      </c>
      <c r="L798" s="2" t="s">
        <v>606</v>
      </c>
      <c r="M798" s="4" t="s">
        <v>6663</v>
      </c>
    </row>
    <row r="799" spans="1:13">
      <c r="A799" s="2">
        <v>824</v>
      </c>
      <c r="B799" s="2" t="s">
        <v>6664</v>
      </c>
      <c r="C799" s="2">
        <v>49</v>
      </c>
      <c r="D799" s="2">
        <v>556</v>
      </c>
      <c r="E799" s="2">
        <v>502</v>
      </c>
      <c r="F799" s="2">
        <v>32441</v>
      </c>
      <c r="G799" s="2">
        <v>5.6952370370000001</v>
      </c>
      <c r="H799" s="3">
        <v>2.6100000000000001E-21</v>
      </c>
      <c r="I799" s="3" t="s">
        <v>6665</v>
      </c>
      <c r="J799" s="3" t="s">
        <v>6666</v>
      </c>
      <c r="K799" s="3">
        <v>1.09E-18</v>
      </c>
      <c r="L799" s="2" t="s">
        <v>606</v>
      </c>
      <c r="M799" s="4" t="s">
        <v>6667</v>
      </c>
    </row>
    <row r="800" spans="1:13">
      <c r="A800" s="2">
        <v>778</v>
      </c>
      <c r="B800" s="2" t="s">
        <v>6668</v>
      </c>
      <c r="C800" s="2">
        <v>32</v>
      </c>
      <c r="D800" s="2">
        <v>556</v>
      </c>
      <c r="E800" s="2">
        <v>261</v>
      </c>
      <c r="F800" s="2">
        <v>32441</v>
      </c>
      <c r="G800" s="2">
        <v>7.1536701669999996</v>
      </c>
      <c r="H800" s="3">
        <v>7.1699999999999999E-17</v>
      </c>
      <c r="I800" s="2" t="s">
        <v>6669</v>
      </c>
      <c r="J800" s="2" t="s">
        <v>6670</v>
      </c>
      <c r="K800" s="3">
        <v>2E-14</v>
      </c>
      <c r="L800" s="2" t="s">
        <v>606</v>
      </c>
      <c r="M800" s="4" t="s">
        <v>6671</v>
      </c>
    </row>
    <row r="801" spans="1:13">
      <c r="A801" s="2">
        <v>350</v>
      </c>
      <c r="B801" s="2" t="s">
        <v>6672</v>
      </c>
      <c r="C801" s="2">
        <v>30</v>
      </c>
      <c r="D801" s="2">
        <v>556</v>
      </c>
      <c r="E801" s="2">
        <v>255</v>
      </c>
      <c r="F801" s="2">
        <v>32441</v>
      </c>
      <c r="G801" s="2">
        <v>6.8643673300000003</v>
      </c>
      <c r="H801" s="3">
        <v>1.8500000000000001E-15</v>
      </c>
      <c r="I801" s="2" t="s">
        <v>6673</v>
      </c>
      <c r="J801" s="2" t="s">
        <v>6674</v>
      </c>
      <c r="K801" s="3">
        <v>3.8600000000000002E-13</v>
      </c>
      <c r="L801" s="2" t="s">
        <v>606</v>
      </c>
      <c r="M801" s="4" t="s">
        <v>6675</v>
      </c>
    </row>
    <row r="802" spans="1:13">
      <c r="A802" s="2">
        <v>396</v>
      </c>
      <c r="B802" s="2" t="s">
        <v>6676</v>
      </c>
      <c r="C802" s="2">
        <v>27</v>
      </c>
      <c r="D802" s="2">
        <v>556</v>
      </c>
      <c r="E802" s="2">
        <v>244</v>
      </c>
      <c r="F802" s="2">
        <v>32441</v>
      </c>
      <c r="G802" s="2">
        <v>6.4564438610000003</v>
      </c>
      <c r="H802" s="3">
        <v>1.83E-13</v>
      </c>
      <c r="I802" s="2" t="s">
        <v>6677</v>
      </c>
      <c r="J802" s="2" t="s">
        <v>6678</v>
      </c>
      <c r="K802" s="3">
        <v>2.5499999999999999E-11</v>
      </c>
      <c r="L802" s="2" t="s">
        <v>606</v>
      </c>
      <c r="M802" s="4" t="s">
        <v>6679</v>
      </c>
    </row>
    <row r="803" spans="1:13">
      <c r="A803" s="2">
        <v>4123</v>
      </c>
      <c r="B803" s="2" t="s">
        <v>6680</v>
      </c>
      <c r="C803" s="2">
        <v>27</v>
      </c>
      <c r="D803" s="2">
        <v>556</v>
      </c>
      <c r="E803" s="2">
        <v>242</v>
      </c>
      <c r="F803" s="2">
        <v>32441</v>
      </c>
      <c r="G803" s="2">
        <v>6.5098029009999996</v>
      </c>
      <c r="H803" s="3">
        <v>1.53E-13</v>
      </c>
      <c r="I803" s="2" t="s">
        <v>6681</v>
      </c>
      <c r="J803" s="2" t="s">
        <v>6682</v>
      </c>
      <c r="K803" s="3">
        <v>2.5499999999999999E-11</v>
      </c>
      <c r="L803" s="2" t="s">
        <v>606</v>
      </c>
      <c r="M803" s="4" t="s">
        <v>6683</v>
      </c>
    </row>
    <row r="804" spans="1:13">
      <c r="A804" s="2">
        <v>352</v>
      </c>
      <c r="B804" s="2" t="s">
        <v>6684</v>
      </c>
      <c r="C804" s="2">
        <v>25</v>
      </c>
      <c r="D804" s="2">
        <v>556</v>
      </c>
      <c r="E804" s="2">
        <v>234</v>
      </c>
      <c r="F804" s="2">
        <v>32441</v>
      </c>
      <c r="G804" s="2">
        <v>6.2336669130000004</v>
      </c>
      <c r="H804" s="3">
        <v>2.9299999999999998E-12</v>
      </c>
      <c r="I804" s="2" t="s">
        <v>6685</v>
      </c>
      <c r="J804" s="2" t="s">
        <v>6686</v>
      </c>
      <c r="K804" s="3">
        <v>3.4999999999999998E-10</v>
      </c>
      <c r="L804" s="2" t="s">
        <v>606</v>
      </c>
      <c r="M804" s="4" t="s">
        <v>6687</v>
      </c>
    </row>
    <row r="805" spans="1:13">
      <c r="A805" s="2">
        <v>803</v>
      </c>
      <c r="B805" s="2" t="s">
        <v>6688</v>
      </c>
      <c r="C805" s="2">
        <v>21</v>
      </c>
      <c r="D805" s="2">
        <v>556</v>
      </c>
      <c r="E805" s="2">
        <v>188</v>
      </c>
      <c r="F805" s="2">
        <v>32441</v>
      </c>
      <c r="G805" s="2">
        <v>6.5174977040000002</v>
      </c>
      <c r="H805" s="3">
        <v>7.6799999999999996E-11</v>
      </c>
      <c r="I805" s="2" t="s">
        <v>6689</v>
      </c>
      <c r="J805" s="2" t="s">
        <v>6690</v>
      </c>
      <c r="K805" s="3">
        <v>8.02E-9</v>
      </c>
      <c r="L805" s="2" t="s">
        <v>606</v>
      </c>
      <c r="M805" s="4" t="s">
        <v>6691</v>
      </c>
    </row>
    <row r="806" spans="1:13">
      <c r="A806" s="2">
        <v>795</v>
      </c>
      <c r="B806" s="2" t="s">
        <v>622</v>
      </c>
      <c r="C806" s="2">
        <v>42</v>
      </c>
      <c r="D806" s="2">
        <v>556</v>
      </c>
      <c r="E806" s="2">
        <v>757</v>
      </c>
      <c r="F806" s="2">
        <v>32441</v>
      </c>
      <c r="G806" s="2">
        <v>3.2372247509999998</v>
      </c>
      <c r="H806" s="3">
        <v>1.09E-10</v>
      </c>
      <c r="I806" s="2" t="s">
        <v>6692</v>
      </c>
      <c r="J806" s="2" t="s">
        <v>6693</v>
      </c>
      <c r="K806" s="3">
        <v>1.0099999999999999E-8</v>
      </c>
      <c r="L806" s="2" t="s">
        <v>606</v>
      </c>
      <c r="M806" s="4" t="s">
        <v>6694</v>
      </c>
    </row>
    <row r="807" spans="1:13">
      <c r="A807" s="2">
        <v>411</v>
      </c>
      <c r="B807" s="2" t="s">
        <v>6695</v>
      </c>
      <c r="C807" s="2">
        <v>23</v>
      </c>
      <c r="D807" s="2">
        <v>556</v>
      </c>
      <c r="E807" s="2">
        <v>247</v>
      </c>
      <c r="F807" s="2">
        <v>32441</v>
      </c>
      <c r="G807" s="2">
        <v>5.4331328460000003</v>
      </c>
      <c r="H807" s="3">
        <v>2.69E-10</v>
      </c>
      <c r="I807" s="2" t="s">
        <v>6696</v>
      </c>
      <c r="J807" s="2" t="s">
        <v>6697</v>
      </c>
      <c r="K807" s="3">
        <v>2.25E-8</v>
      </c>
      <c r="L807" s="2" t="s">
        <v>606</v>
      </c>
      <c r="M807" s="4" t="s">
        <v>6698</v>
      </c>
    </row>
    <row r="808" spans="1:13">
      <c r="A808" s="2">
        <v>779</v>
      </c>
      <c r="B808" s="2" t="s">
        <v>6699</v>
      </c>
      <c r="C808" s="2">
        <v>52</v>
      </c>
      <c r="D808" s="2">
        <v>556</v>
      </c>
      <c r="E808" s="2">
        <v>1121</v>
      </c>
      <c r="F808" s="2">
        <v>32441</v>
      </c>
      <c r="G808" s="2">
        <v>2.706556967</v>
      </c>
      <c r="H808" s="3">
        <v>2.9600000000000001E-10</v>
      </c>
      <c r="I808" s="3" t="s">
        <v>6700</v>
      </c>
      <c r="J808" s="3" t="s">
        <v>6701</v>
      </c>
      <c r="K808" s="3">
        <v>2.25E-8</v>
      </c>
      <c r="L808" s="2" t="s">
        <v>606</v>
      </c>
      <c r="M808" s="4" t="s">
        <v>6702</v>
      </c>
    </row>
    <row r="809" spans="1:13">
      <c r="A809" s="2">
        <v>3771</v>
      </c>
      <c r="B809" s="2" t="s">
        <v>6703</v>
      </c>
      <c r="C809" s="2">
        <v>24</v>
      </c>
      <c r="D809" s="2">
        <v>556</v>
      </c>
      <c r="E809" s="2">
        <v>273</v>
      </c>
      <c r="F809" s="2">
        <v>32441</v>
      </c>
      <c r="G809" s="2">
        <v>5.1294173450000002</v>
      </c>
      <c r="H809" s="3">
        <v>3.2400000000000002E-10</v>
      </c>
      <c r="I809" s="2" t="s">
        <v>6704</v>
      </c>
      <c r="J809" s="2" t="s">
        <v>6705</v>
      </c>
      <c r="K809" s="3">
        <v>2.2600000000000001E-8</v>
      </c>
      <c r="L809" s="2" t="s">
        <v>606</v>
      </c>
      <c r="M809" s="4" t="s">
        <v>6706</v>
      </c>
    </row>
    <row r="810" spans="1:13">
      <c r="A810" s="2">
        <v>30</v>
      </c>
      <c r="B810" s="2" t="s">
        <v>6707</v>
      </c>
      <c r="C810" s="2">
        <v>23</v>
      </c>
      <c r="D810" s="2">
        <v>556</v>
      </c>
      <c r="E810" s="2">
        <v>251</v>
      </c>
      <c r="F810" s="2">
        <v>32441</v>
      </c>
      <c r="G810" s="2">
        <v>5.3465490559999997</v>
      </c>
      <c r="H810" s="3">
        <v>3.6E-10</v>
      </c>
      <c r="I810" s="2" t="s">
        <v>6708</v>
      </c>
      <c r="J810" s="2" t="s">
        <v>6709</v>
      </c>
      <c r="K810" s="3">
        <v>2.3199999999999999E-8</v>
      </c>
      <c r="L810" s="2" t="s">
        <v>606</v>
      </c>
      <c r="M810" s="4" t="s">
        <v>6710</v>
      </c>
    </row>
    <row r="811" spans="1:13">
      <c r="A811" s="2">
        <v>28</v>
      </c>
      <c r="B811" s="2" t="s">
        <v>6711</v>
      </c>
      <c r="C811" s="2">
        <v>23</v>
      </c>
      <c r="D811" s="2">
        <v>556</v>
      </c>
      <c r="E811" s="2">
        <v>256</v>
      </c>
      <c r="F811" s="2">
        <v>32441</v>
      </c>
      <c r="G811" s="2">
        <v>5.2421242689999996</v>
      </c>
      <c r="H811" s="3">
        <v>5.1399999999999998E-10</v>
      </c>
      <c r="I811" s="2" t="s">
        <v>6712</v>
      </c>
      <c r="J811" s="2" t="s">
        <v>6713</v>
      </c>
      <c r="K811" s="3">
        <v>3.0699999999999997E-8</v>
      </c>
      <c r="L811" s="2" t="s">
        <v>606</v>
      </c>
      <c r="M811" s="4" t="s">
        <v>6714</v>
      </c>
    </row>
    <row r="812" spans="1:13">
      <c r="A812" s="2">
        <v>308</v>
      </c>
      <c r="B812" s="2" t="s">
        <v>6715</v>
      </c>
      <c r="C812" s="2">
        <v>23</v>
      </c>
      <c r="D812" s="2">
        <v>556</v>
      </c>
      <c r="E812" s="2">
        <v>258</v>
      </c>
      <c r="F812" s="2">
        <v>32441</v>
      </c>
      <c r="G812" s="2">
        <v>5.2014876470000004</v>
      </c>
      <c r="H812" s="3">
        <v>5.9100000000000003E-10</v>
      </c>
      <c r="I812" s="2" t="s">
        <v>6716</v>
      </c>
      <c r="J812" s="2" t="s">
        <v>6717</v>
      </c>
      <c r="K812" s="3">
        <v>3.2899999999999997E-8</v>
      </c>
      <c r="L812" s="2" t="s">
        <v>606</v>
      </c>
      <c r="M812" s="4" t="s">
        <v>6718</v>
      </c>
    </row>
    <row r="813" spans="1:13">
      <c r="A813" s="2">
        <v>397</v>
      </c>
      <c r="B813" s="2" t="s">
        <v>6719</v>
      </c>
      <c r="C813" s="2">
        <v>21</v>
      </c>
      <c r="D813" s="2">
        <v>556</v>
      </c>
      <c r="E813" s="2">
        <v>258</v>
      </c>
      <c r="F813" s="2">
        <v>32441</v>
      </c>
      <c r="G813" s="2">
        <v>4.7491843730000003</v>
      </c>
      <c r="H813" s="3">
        <v>1.4500000000000001E-8</v>
      </c>
      <c r="I813" s="2" t="s">
        <v>6720</v>
      </c>
      <c r="J813" s="2" t="s">
        <v>6721</v>
      </c>
      <c r="K813" s="3">
        <v>7.5899999999999995E-7</v>
      </c>
      <c r="L813" s="2" t="s">
        <v>606</v>
      </c>
      <c r="M813" s="4" t="s">
        <v>6722</v>
      </c>
    </row>
    <row r="814" spans="1:13">
      <c r="A814" s="2">
        <v>409</v>
      </c>
      <c r="B814" s="2" t="s">
        <v>6723</v>
      </c>
      <c r="C814" s="2">
        <v>21</v>
      </c>
      <c r="D814" s="2">
        <v>556</v>
      </c>
      <c r="E814" s="2">
        <v>266</v>
      </c>
      <c r="F814" s="2">
        <v>32441</v>
      </c>
      <c r="G814" s="2">
        <v>4.606351761</v>
      </c>
      <c r="H814" s="3">
        <v>2.3800000000000001E-8</v>
      </c>
      <c r="I814" s="2" t="s">
        <v>6724</v>
      </c>
      <c r="J814" s="2" t="s">
        <v>6725</v>
      </c>
      <c r="K814" s="3">
        <v>1.17E-6</v>
      </c>
      <c r="L814" s="2" t="s">
        <v>606</v>
      </c>
      <c r="M814" s="4" t="s">
        <v>6726</v>
      </c>
    </row>
    <row r="815" spans="1:13">
      <c r="A815" s="2">
        <v>816</v>
      </c>
      <c r="B815" s="2" t="s">
        <v>6727</v>
      </c>
      <c r="C815" s="2">
        <v>15</v>
      </c>
      <c r="D815" s="2">
        <v>556</v>
      </c>
      <c r="E815" s="2">
        <v>134</v>
      </c>
      <c r="F815" s="2">
        <v>32441</v>
      </c>
      <c r="G815" s="2">
        <v>6.5313942880000004</v>
      </c>
      <c r="H815" s="3">
        <v>3.8299999999999999E-8</v>
      </c>
      <c r="I815" s="2" t="s">
        <v>6728</v>
      </c>
      <c r="J815" s="2" t="s">
        <v>6729</v>
      </c>
      <c r="K815" s="3">
        <v>1.7799999999999999E-6</v>
      </c>
      <c r="L815" s="2" t="s">
        <v>606</v>
      </c>
      <c r="M815" s="4" t="s">
        <v>6730</v>
      </c>
    </row>
    <row r="816" spans="1:13">
      <c r="A816" s="2">
        <v>36</v>
      </c>
      <c r="B816" s="2" t="s">
        <v>6731</v>
      </c>
      <c r="C816" s="2">
        <v>20</v>
      </c>
      <c r="D816" s="2">
        <v>556</v>
      </c>
      <c r="E816" s="2">
        <v>250</v>
      </c>
      <c r="F816" s="2">
        <v>32441</v>
      </c>
      <c r="G816" s="2">
        <v>4.6677697839999999</v>
      </c>
      <c r="H816" s="3">
        <v>4.1799999999999997E-8</v>
      </c>
      <c r="I816" s="2" t="s">
        <v>6732</v>
      </c>
      <c r="J816" s="2" t="s">
        <v>6733</v>
      </c>
      <c r="K816" s="3">
        <v>1.84E-6</v>
      </c>
      <c r="L816" s="2" t="s">
        <v>606</v>
      </c>
      <c r="M816" s="4" t="s">
        <v>6734</v>
      </c>
    </row>
    <row r="817" spans="1:13">
      <c r="A817" s="2">
        <v>415</v>
      </c>
      <c r="B817" s="2" t="s">
        <v>6735</v>
      </c>
      <c r="C817" s="2">
        <v>19</v>
      </c>
      <c r="D817" s="2">
        <v>556</v>
      </c>
      <c r="E817" s="2">
        <v>232</v>
      </c>
      <c r="F817" s="2">
        <v>32441</v>
      </c>
      <c r="G817" s="2">
        <v>4.7784281200000001</v>
      </c>
      <c r="H817" s="3">
        <v>6.4500000000000002E-8</v>
      </c>
      <c r="I817" s="2" t="s">
        <v>6736</v>
      </c>
      <c r="J817" s="2" t="s">
        <v>6737</v>
      </c>
      <c r="K817" s="3">
        <v>2.7E-6</v>
      </c>
      <c r="L817" s="2" t="s">
        <v>606</v>
      </c>
      <c r="M817" s="4" t="s">
        <v>6738</v>
      </c>
    </row>
    <row r="818" spans="1:13">
      <c r="A818" s="2">
        <v>27</v>
      </c>
      <c r="B818" s="2" t="s">
        <v>6739</v>
      </c>
      <c r="C818" s="2">
        <v>19</v>
      </c>
      <c r="D818" s="2">
        <v>556</v>
      </c>
      <c r="E818" s="2">
        <v>237</v>
      </c>
      <c r="F818" s="2">
        <v>32441</v>
      </c>
      <c r="G818" s="2">
        <v>4.6776173999999999</v>
      </c>
      <c r="H818" s="3">
        <v>8.8100000000000001E-8</v>
      </c>
      <c r="I818" s="2" t="s">
        <v>6740</v>
      </c>
      <c r="J818" s="2" t="s">
        <v>6741</v>
      </c>
      <c r="K818" s="3">
        <v>3.5099999999999999E-6</v>
      </c>
      <c r="L818" s="2" t="s">
        <v>606</v>
      </c>
      <c r="M818" s="4" t="s">
        <v>6742</v>
      </c>
    </row>
    <row r="819" spans="1:13">
      <c r="A819" s="2">
        <v>185</v>
      </c>
      <c r="B819" s="2" t="s">
        <v>6743</v>
      </c>
      <c r="C819" s="2">
        <v>19</v>
      </c>
      <c r="D819" s="2">
        <v>556</v>
      </c>
      <c r="E819" s="2">
        <v>247</v>
      </c>
      <c r="F819" s="2">
        <v>32441</v>
      </c>
      <c r="G819" s="2">
        <v>4.4882401769999998</v>
      </c>
      <c r="H819" s="3">
        <v>1.6E-7</v>
      </c>
      <c r="I819" s="2" t="s">
        <v>6744</v>
      </c>
      <c r="J819" s="2" t="s">
        <v>6745</v>
      </c>
      <c r="K819" s="3">
        <v>5.9200000000000001E-6</v>
      </c>
      <c r="L819" s="2" t="s">
        <v>606</v>
      </c>
      <c r="M819" s="4" t="s">
        <v>6746</v>
      </c>
    </row>
    <row r="820" spans="1:13">
      <c r="A820" s="2">
        <v>366</v>
      </c>
      <c r="B820" s="2" t="s">
        <v>6747</v>
      </c>
      <c r="C820" s="2">
        <v>19</v>
      </c>
      <c r="D820" s="2">
        <v>556</v>
      </c>
      <c r="E820" s="2">
        <v>248</v>
      </c>
      <c r="F820" s="2">
        <v>32441</v>
      </c>
      <c r="G820" s="2">
        <v>4.4701424340000004</v>
      </c>
      <c r="H820" s="3">
        <v>1.6999999999999999E-7</v>
      </c>
      <c r="I820" s="2" t="s">
        <v>6748</v>
      </c>
      <c r="J820" s="2" t="s">
        <v>6749</v>
      </c>
      <c r="K820" s="3">
        <v>5.9200000000000001E-6</v>
      </c>
      <c r="L820" s="2" t="s">
        <v>606</v>
      </c>
      <c r="M820" s="4" t="s">
        <v>6750</v>
      </c>
    </row>
    <row r="821" spans="1:13">
      <c r="A821" s="2">
        <v>814</v>
      </c>
      <c r="B821" s="2" t="s">
        <v>6751</v>
      </c>
      <c r="C821" s="2">
        <v>65</v>
      </c>
      <c r="D821" s="2">
        <v>556</v>
      </c>
      <c r="E821" s="2">
        <v>1896</v>
      </c>
      <c r="F821" s="2">
        <v>32441</v>
      </c>
      <c r="G821" s="2">
        <v>2.0002969140000002</v>
      </c>
      <c r="H821" s="3">
        <v>1.6400000000000001E-7</v>
      </c>
      <c r="I821" s="3" t="s">
        <v>6752</v>
      </c>
      <c r="J821" s="3" t="s">
        <v>6753</v>
      </c>
      <c r="K821" s="3">
        <v>5.9200000000000001E-6</v>
      </c>
      <c r="L821" s="2" t="s">
        <v>606</v>
      </c>
      <c r="M821" s="4" t="s">
        <v>6754</v>
      </c>
    </row>
    <row r="822" spans="1:13">
      <c r="A822" s="2">
        <v>780</v>
      </c>
      <c r="B822" s="2" t="s">
        <v>6755</v>
      </c>
      <c r="C822" s="2">
        <v>55</v>
      </c>
      <c r="D822" s="2">
        <v>556</v>
      </c>
      <c r="E822" s="2">
        <v>1524</v>
      </c>
      <c r="F822" s="2">
        <v>32441</v>
      </c>
      <c r="G822" s="2">
        <v>2.1057032329999998</v>
      </c>
      <c r="H822" s="3">
        <v>3.4499999999999998E-7</v>
      </c>
      <c r="I822" s="3" t="s">
        <v>6756</v>
      </c>
      <c r="J822" s="3" t="s">
        <v>6757</v>
      </c>
      <c r="K822" s="3">
        <v>1.15E-5</v>
      </c>
      <c r="L822" s="2" t="s">
        <v>606</v>
      </c>
      <c r="M822" s="4" t="s">
        <v>6758</v>
      </c>
    </row>
    <row r="823" spans="1:13">
      <c r="A823" s="2">
        <v>214</v>
      </c>
      <c r="B823" s="2" t="s">
        <v>6759</v>
      </c>
      <c r="C823" s="2">
        <v>19</v>
      </c>
      <c r="D823" s="2">
        <v>556</v>
      </c>
      <c r="E823" s="2">
        <v>274</v>
      </c>
      <c r="F823" s="2">
        <v>32441</v>
      </c>
      <c r="G823" s="2">
        <v>4.0459683350000004</v>
      </c>
      <c r="H823" s="3">
        <v>7.0500000000000003E-7</v>
      </c>
      <c r="I823" s="2" t="s">
        <v>6760</v>
      </c>
      <c r="J823" s="2" t="s">
        <v>6761</v>
      </c>
      <c r="K823" s="3">
        <v>2.27E-5</v>
      </c>
      <c r="L823" s="2" t="s">
        <v>606</v>
      </c>
      <c r="M823" s="4" t="s">
        <v>6762</v>
      </c>
    </row>
    <row r="824" spans="1:13">
      <c r="A824" s="2">
        <v>401</v>
      </c>
      <c r="B824" s="2" t="s">
        <v>6763</v>
      </c>
      <c r="C824" s="2">
        <v>18</v>
      </c>
      <c r="D824" s="2">
        <v>556</v>
      </c>
      <c r="E824" s="2">
        <v>256</v>
      </c>
      <c r="F824" s="2">
        <v>32441</v>
      </c>
      <c r="G824" s="2">
        <v>4.1025320369999996</v>
      </c>
      <c r="H824" s="3">
        <v>1.1400000000000001E-6</v>
      </c>
      <c r="I824" s="2" t="s">
        <v>6764</v>
      </c>
      <c r="J824" s="2" t="s">
        <v>6765</v>
      </c>
      <c r="K824" s="3">
        <v>3.4799999999999999E-5</v>
      </c>
      <c r="L824" s="2" t="s">
        <v>606</v>
      </c>
      <c r="M824" s="4" t="s">
        <v>6766</v>
      </c>
    </row>
    <row r="825" spans="1:13">
      <c r="A825" s="2">
        <v>742</v>
      </c>
      <c r="B825" s="2" t="s">
        <v>6767</v>
      </c>
      <c r="C825" s="2">
        <v>31</v>
      </c>
      <c r="D825" s="2">
        <v>556</v>
      </c>
      <c r="E825" s="2">
        <v>665</v>
      </c>
      <c r="F825" s="2">
        <v>32441</v>
      </c>
      <c r="G825" s="2">
        <v>2.7199410400000001</v>
      </c>
      <c r="H825" s="3">
        <v>1.17E-6</v>
      </c>
      <c r="I825" s="2" t="s">
        <v>6768</v>
      </c>
      <c r="J825" s="2" t="s">
        <v>6769</v>
      </c>
      <c r="K825" s="3">
        <v>3.4799999999999999E-5</v>
      </c>
      <c r="L825" s="2" t="s">
        <v>606</v>
      </c>
      <c r="M825" s="4" t="s">
        <v>6770</v>
      </c>
    </row>
    <row r="826" spans="1:13">
      <c r="A826" s="2">
        <v>188</v>
      </c>
      <c r="B826" s="2" t="s">
        <v>6771</v>
      </c>
      <c r="C826" s="2">
        <v>18</v>
      </c>
      <c r="D826" s="2">
        <v>556</v>
      </c>
      <c r="E826" s="2">
        <v>263</v>
      </c>
      <c r="F826" s="2">
        <v>32441</v>
      </c>
      <c r="G826" s="2">
        <v>3.993339169</v>
      </c>
      <c r="H826" s="3">
        <v>1.64E-6</v>
      </c>
      <c r="I826" s="2" t="s">
        <v>6772</v>
      </c>
      <c r="J826" s="2" t="s">
        <v>6773</v>
      </c>
      <c r="K826" s="3">
        <v>4.57E-5</v>
      </c>
      <c r="L826" s="2" t="s">
        <v>606</v>
      </c>
      <c r="M826" s="4" t="s">
        <v>6774</v>
      </c>
    </row>
    <row r="827" spans="1:13">
      <c r="A827" s="2">
        <v>400</v>
      </c>
      <c r="B827" s="2" t="s">
        <v>6775</v>
      </c>
      <c r="C827" s="2">
        <v>18</v>
      </c>
      <c r="D827" s="2">
        <v>556</v>
      </c>
      <c r="E827" s="2">
        <v>263</v>
      </c>
      <c r="F827" s="2">
        <v>32441</v>
      </c>
      <c r="G827" s="2">
        <v>3.993339169</v>
      </c>
      <c r="H827" s="3">
        <v>1.64E-6</v>
      </c>
      <c r="I827" s="2" t="s">
        <v>6772</v>
      </c>
      <c r="J827" s="2" t="s">
        <v>6773</v>
      </c>
      <c r="K827" s="3">
        <v>4.57E-5</v>
      </c>
      <c r="L827" s="2" t="s">
        <v>606</v>
      </c>
      <c r="M827" s="4" t="s">
        <v>6776</v>
      </c>
    </row>
    <row r="828" spans="1:13">
      <c r="A828" s="2">
        <v>793</v>
      </c>
      <c r="B828" s="2" t="s">
        <v>6777</v>
      </c>
      <c r="C828" s="2">
        <v>64</v>
      </c>
      <c r="D828" s="2">
        <v>556</v>
      </c>
      <c r="E828" s="2">
        <v>2061</v>
      </c>
      <c r="F828" s="2">
        <v>32441</v>
      </c>
      <c r="G828" s="2">
        <v>1.8118465930000001</v>
      </c>
      <c r="H828" s="3">
        <v>5.1399999999999999E-6</v>
      </c>
      <c r="I828" s="3" t="s">
        <v>6778</v>
      </c>
      <c r="J828" s="3" t="s">
        <v>6779</v>
      </c>
      <c r="K828" s="2">
        <v>1.3863499999999999E-4</v>
      </c>
      <c r="L828" s="2" t="s">
        <v>606</v>
      </c>
      <c r="M828" s="4" t="s">
        <v>6780</v>
      </c>
    </row>
    <row r="829" spans="1:13">
      <c r="A829" s="2">
        <v>213</v>
      </c>
      <c r="B829" s="2" t="s">
        <v>6781</v>
      </c>
      <c r="C829" s="2">
        <v>17</v>
      </c>
      <c r="D829" s="2">
        <v>556</v>
      </c>
      <c r="E829" s="2">
        <v>259</v>
      </c>
      <c r="F829" s="2">
        <v>32441</v>
      </c>
      <c r="G829" s="2">
        <v>3.829733896</v>
      </c>
      <c r="H829" s="3">
        <v>5.3600000000000004E-6</v>
      </c>
      <c r="I829" s="2" t="s">
        <v>6782</v>
      </c>
      <c r="J829" s="2" t="s">
        <v>6783</v>
      </c>
      <c r="K829" s="2">
        <v>1.40047E-4</v>
      </c>
      <c r="L829" s="2" t="s">
        <v>606</v>
      </c>
      <c r="M829" s="4" t="s">
        <v>6784</v>
      </c>
    </row>
    <row r="830" spans="1:13">
      <c r="A830" s="2">
        <v>1481</v>
      </c>
      <c r="B830" s="2" t="s">
        <v>6785</v>
      </c>
      <c r="C830" s="2">
        <v>17</v>
      </c>
      <c r="D830" s="2">
        <v>556</v>
      </c>
      <c r="E830" s="2">
        <v>263</v>
      </c>
      <c r="F830" s="2">
        <v>32441</v>
      </c>
      <c r="G830" s="2">
        <v>3.7714869929999999</v>
      </c>
      <c r="H830" s="3">
        <v>6.4799999999999998E-6</v>
      </c>
      <c r="I830" s="2" t="s">
        <v>6786</v>
      </c>
      <c r="J830" s="2" t="s">
        <v>6787</v>
      </c>
      <c r="K830" s="2">
        <v>1.6425899999999999E-4</v>
      </c>
      <c r="L830" s="2" t="s">
        <v>606</v>
      </c>
      <c r="M830" s="4" t="s">
        <v>6788</v>
      </c>
    </row>
    <row r="831" spans="1:13">
      <c r="A831" s="2">
        <v>9</v>
      </c>
      <c r="B831" s="2" t="s">
        <v>6789</v>
      </c>
      <c r="C831" s="2">
        <v>17</v>
      </c>
      <c r="D831" s="2">
        <v>556</v>
      </c>
      <c r="E831" s="2">
        <v>269</v>
      </c>
      <c r="F831" s="2">
        <v>32441</v>
      </c>
      <c r="G831" s="2">
        <v>3.687364606</v>
      </c>
      <c r="H831" s="3">
        <v>8.5699999999999993E-6</v>
      </c>
      <c r="I831" s="2" t="s">
        <v>6790</v>
      </c>
      <c r="J831" s="2" t="s">
        <v>6791</v>
      </c>
      <c r="K831" s="2">
        <v>2.10631E-4</v>
      </c>
      <c r="L831" s="2" t="s">
        <v>606</v>
      </c>
      <c r="M831" s="4" t="s">
        <v>6792</v>
      </c>
    </row>
    <row r="832" spans="1:13">
      <c r="A832" s="2">
        <v>832</v>
      </c>
      <c r="B832" s="2" t="s">
        <v>6793</v>
      </c>
      <c r="C832" s="2">
        <v>19</v>
      </c>
      <c r="D832" s="2">
        <v>556</v>
      </c>
      <c r="E832" s="2">
        <v>335</v>
      </c>
      <c r="F832" s="2">
        <v>32441</v>
      </c>
      <c r="G832" s="2">
        <v>3.3092397720000002</v>
      </c>
      <c r="H832" s="3">
        <v>1.11E-5</v>
      </c>
      <c r="I832" s="2" t="s">
        <v>6794</v>
      </c>
      <c r="J832" s="2" t="s">
        <v>6795</v>
      </c>
      <c r="K832" s="2">
        <v>2.64174E-4</v>
      </c>
      <c r="L832" s="2" t="s">
        <v>606</v>
      </c>
      <c r="M832" s="4" t="s">
        <v>6796</v>
      </c>
    </row>
    <row r="833" spans="1:13">
      <c r="A833" s="2">
        <v>319</v>
      </c>
      <c r="B833" s="2" t="s">
        <v>6797</v>
      </c>
      <c r="C833" s="2">
        <v>16</v>
      </c>
      <c r="D833" s="2">
        <v>556</v>
      </c>
      <c r="E833" s="2">
        <v>247</v>
      </c>
      <c r="F833" s="2">
        <v>32441</v>
      </c>
      <c r="G833" s="2">
        <v>3.779570675</v>
      </c>
      <c r="H833" s="3">
        <v>1.1800000000000001E-5</v>
      </c>
      <c r="I833" s="2" t="s">
        <v>6798</v>
      </c>
      <c r="J833" s="2" t="s">
        <v>6799</v>
      </c>
      <c r="K833" s="2">
        <v>2.7299399999999998E-4</v>
      </c>
      <c r="L833" s="2" t="s">
        <v>606</v>
      </c>
      <c r="M833" s="4" t="s">
        <v>6800</v>
      </c>
    </row>
    <row r="834" spans="1:13">
      <c r="A834" s="2">
        <v>8041</v>
      </c>
      <c r="B834" s="2" t="s">
        <v>6801</v>
      </c>
      <c r="C834" s="2">
        <v>42</v>
      </c>
      <c r="D834" s="2">
        <v>556</v>
      </c>
      <c r="E834" s="2">
        <v>1232</v>
      </c>
      <c r="F834" s="2">
        <v>32441</v>
      </c>
      <c r="G834" s="2">
        <v>1.989106442</v>
      </c>
      <c r="H834" s="3">
        <v>3.2199999999999997E-5</v>
      </c>
      <c r="I834" s="2" t="s">
        <v>6802</v>
      </c>
      <c r="J834" s="2" t="s">
        <v>6803</v>
      </c>
      <c r="K834" s="2">
        <v>7.2666500000000004E-4</v>
      </c>
      <c r="L834" s="2" t="s">
        <v>606</v>
      </c>
      <c r="M834" s="4" t="s">
        <v>6804</v>
      </c>
    </row>
    <row r="835" spans="1:13">
      <c r="A835" s="2">
        <v>2371</v>
      </c>
      <c r="B835" s="2" t="s">
        <v>6805</v>
      </c>
      <c r="C835" s="2">
        <v>15</v>
      </c>
      <c r="D835" s="2">
        <v>556</v>
      </c>
      <c r="E835" s="2">
        <v>252</v>
      </c>
      <c r="F835" s="2">
        <v>32441</v>
      </c>
      <c r="G835" s="2">
        <v>3.473042994</v>
      </c>
      <c r="H835" s="3">
        <v>5.4700000000000001E-5</v>
      </c>
      <c r="I835" s="2" t="s">
        <v>6806</v>
      </c>
      <c r="J835" s="2" t="s">
        <v>6807</v>
      </c>
      <c r="K835" s="2">
        <v>1.203583E-3</v>
      </c>
      <c r="L835" s="2" t="s">
        <v>606</v>
      </c>
      <c r="M835" s="4" t="s">
        <v>6808</v>
      </c>
    </row>
    <row r="836" spans="1:13">
      <c r="A836" s="2">
        <v>457</v>
      </c>
      <c r="B836" s="2" t="s">
        <v>6809</v>
      </c>
      <c r="C836" s="2">
        <v>15</v>
      </c>
      <c r="D836" s="2">
        <v>556</v>
      </c>
      <c r="E836" s="2">
        <v>264</v>
      </c>
      <c r="F836" s="2">
        <v>32441</v>
      </c>
      <c r="G836" s="2">
        <v>3.3151774039999999</v>
      </c>
      <c r="H836" s="3">
        <v>8.9599999999999996E-5</v>
      </c>
      <c r="I836" s="2" t="s">
        <v>6810</v>
      </c>
      <c r="J836" s="2" t="s">
        <v>6811</v>
      </c>
      <c r="K836" s="2">
        <v>1.9207989999999999E-3</v>
      </c>
      <c r="L836" s="2" t="s">
        <v>606</v>
      </c>
      <c r="M836" s="4" t="s">
        <v>6812</v>
      </c>
    </row>
    <row r="837" spans="1:13">
      <c r="A837" s="2">
        <v>2661</v>
      </c>
      <c r="B837" s="2" t="s">
        <v>6813</v>
      </c>
      <c r="C837" s="2">
        <v>14</v>
      </c>
      <c r="D837" s="2">
        <v>556</v>
      </c>
      <c r="E837" s="2">
        <v>252</v>
      </c>
      <c r="F837" s="2">
        <v>32441</v>
      </c>
      <c r="G837" s="2">
        <v>3.2415067949999998</v>
      </c>
      <c r="H837" s="2">
        <v>1.89948E-4</v>
      </c>
      <c r="I837" s="2" t="s">
        <v>6814</v>
      </c>
      <c r="J837" s="2" t="s">
        <v>6815</v>
      </c>
      <c r="K837" s="2">
        <v>3.9699069999999999E-3</v>
      </c>
      <c r="L837" s="2" t="s">
        <v>606</v>
      </c>
      <c r="M837" s="4" t="s">
        <v>6816</v>
      </c>
    </row>
    <row r="838" spans="1:13">
      <c r="A838" s="2">
        <v>140</v>
      </c>
      <c r="B838" s="2" t="s">
        <v>6817</v>
      </c>
      <c r="C838" s="2">
        <v>14</v>
      </c>
      <c r="D838" s="2">
        <v>556</v>
      </c>
      <c r="E838" s="2">
        <v>254</v>
      </c>
      <c r="F838" s="2">
        <v>32441</v>
      </c>
      <c r="G838" s="2">
        <v>3.2159831190000001</v>
      </c>
      <c r="H838" s="2">
        <v>2.0516800000000001E-4</v>
      </c>
      <c r="I838" s="2" t="s">
        <v>6818</v>
      </c>
      <c r="J838" s="2" t="s">
        <v>6819</v>
      </c>
      <c r="K838" s="2">
        <v>4.1401179999999999E-3</v>
      </c>
      <c r="L838" s="2" t="s">
        <v>606</v>
      </c>
      <c r="M838" s="4" t="s">
        <v>6820</v>
      </c>
    </row>
    <row r="839" spans="1:13">
      <c r="A839" s="2">
        <v>786</v>
      </c>
      <c r="B839" s="2" t="s">
        <v>6821</v>
      </c>
      <c r="C839" s="2">
        <v>67</v>
      </c>
      <c r="D839" s="2">
        <v>556</v>
      </c>
      <c r="E839" s="2">
        <v>2485</v>
      </c>
      <c r="F839" s="2">
        <v>32441</v>
      </c>
      <c r="G839" s="2">
        <v>1.573141728</v>
      </c>
      <c r="H839" s="2">
        <v>2.0799600000000001E-4</v>
      </c>
      <c r="I839" s="2" t="s">
        <v>6822</v>
      </c>
      <c r="J839" s="2" t="s">
        <v>6823</v>
      </c>
      <c r="K839" s="2">
        <v>4.1401179999999999E-3</v>
      </c>
      <c r="L839" s="2" t="s">
        <v>606</v>
      </c>
      <c r="M839" s="4" t="s">
        <v>6824</v>
      </c>
    </row>
    <row r="840" spans="1:13">
      <c r="A840" s="2">
        <v>807</v>
      </c>
      <c r="B840" s="2" t="s">
        <v>6825</v>
      </c>
      <c r="C840" s="2">
        <v>62</v>
      </c>
      <c r="D840" s="2">
        <v>556</v>
      </c>
      <c r="E840" s="2">
        <v>2274</v>
      </c>
      <c r="F840" s="2">
        <v>32441</v>
      </c>
      <c r="G840" s="2">
        <v>1.590818638</v>
      </c>
      <c r="H840" s="2">
        <v>2.7341099999999999E-4</v>
      </c>
      <c r="I840" s="2" t="s">
        <v>6826</v>
      </c>
      <c r="J840" s="2" t="s">
        <v>6827</v>
      </c>
      <c r="K840" s="2">
        <v>5.3156169999999999E-3</v>
      </c>
      <c r="L840" s="2" t="s">
        <v>606</v>
      </c>
      <c r="M840" s="4" t="s">
        <v>6828</v>
      </c>
    </row>
    <row r="841" spans="1:13">
      <c r="A841" s="2">
        <v>306</v>
      </c>
      <c r="B841" s="2" t="s">
        <v>6829</v>
      </c>
      <c r="C841" s="2">
        <v>14</v>
      </c>
      <c r="D841" s="2">
        <v>556</v>
      </c>
      <c r="E841" s="2">
        <v>266</v>
      </c>
      <c r="F841" s="2">
        <v>32441</v>
      </c>
      <c r="G841" s="2">
        <v>3.0709011739999998</v>
      </c>
      <c r="H841" s="2">
        <v>3.2041799999999999E-4</v>
      </c>
      <c r="I841" s="2" t="s">
        <v>6830</v>
      </c>
      <c r="J841" s="2" t="s">
        <v>6831</v>
      </c>
      <c r="K841" s="2">
        <v>6.0879439999999996E-3</v>
      </c>
      <c r="L841" s="2" t="s">
        <v>606</v>
      </c>
      <c r="M841" s="4" t="s">
        <v>6832</v>
      </c>
    </row>
    <row r="842" spans="1:13">
      <c r="A842" s="2">
        <v>37</v>
      </c>
      <c r="B842" s="2" t="s">
        <v>6833</v>
      </c>
      <c r="C842" s="2">
        <v>9</v>
      </c>
      <c r="D842" s="2">
        <v>556</v>
      </c>
      <c r="E842" s="2">
        <v>125</v>
      </c>
      <c r="F842" s="2">
        <v>32441</v>
      </c>
      <c r="G842" s="2">
        <v>4.2009928060000004</v>
      </c>
      <c r="H842" s="2">
        <v>4.6508900000000002E-4</v>
      </c>
      <c r="I842" s="2" t="s">
        <v>6834</v>
      </c>
      <c r="J842" s="2" t="s">
        <v>6835</v>
      </c>
      <c r="K842" s="2">
        <v>8.6403269999999997E-3</v>
      </c>
      <c r="L842" s="2" t="s">
        <v>606</v>
      </c>
      <c r="M842" s="4" t="s">
        <v>6836</v>
      </c>
    </row>
    <row r="843" spans="1:13">
      <c r="A843" s="2">
        <v>307</v>
      </c>
      <c r="B843" s="2" t="s">
        <v>6837</v>
      </c>
      <c r="C843" s="2">
        <v>12</v>
      </c>
      <c r="D843" s="2">
        <v>556</v>
      </c>
      <c r="E843" s="2">
        <v>213</v>
      </c>
      <c r="F843" s="2">
        <v>32441</v>
      </c>
      <c r="G843" s="2">
        <v>3.2871618200000001</v>
      </c>
      <c r="H843" s="2">
        <v>4.7562499999999997E-4</v>
      </c>
      <c r="I843" s="2" t="s">
        <v>6838</v>
      </c>
      <c r="J843" s="2" t="s">
        <v>6839</v>
      </c>
      <c r="K843" s="2">
        <v>8.6439759999999994E-3</v>
      </c>
      <c r="L843" s="2" t="s">
        <v>606</v>
      </c>
      <c r="M843" s="4" t="s">
        <v>6840</v>
      </c>
    </row>
    <row r="844" spans="1:13">
      <c r="A844" s="2">
        <v>2692</v>
      </c>
      <c r="B844" s="2" t="s">
        <v>6841</v>
      </c>
      <c r="C844" s="2">
        <v>13</v>
      </c>
      <c r="D844" s="2">
        <v>556</v>
      </c>
      <c r="E844" s="2">
        <v>247</v>
      </c>
      <c r="F844" s="2">
        <v>32441</v>
      </c>
      <c r="G844" s="2">
        <v>3.0709011739999998</v>
      </c>
      <c r="H844" s="2">
        <v>5.1811999999999995E-4</v>
      </c>
      <c r="I844" s="2" t="s">
        <v>6842</v>
      </c>
      <c r="J844" s="2" t="s">
        <v>6843</v>
      </c>
      <c r="K844" s="2">
        <v>9.2159289999999994E-3</v>
      </c>
      <c r="L844" s="2" t="s">
        <v>606</v>
      </c>
      <c r="M844" s="4" t="s">
        <v>6844</v>
      </c>
    </row>
    <row r="845" spans="1:13">
      <c r="A845" s="2">
        <v>410</v>
      </c>
      <c r="B845" s="2" t="s">
        <v>6845</v>
      </c>
      <c r="C845" s="2">
        <v>13</v>
      </c>
      <c r="D845" s="2">
        <v>556</v>
      </c>
      <c r="E845" s="2">
        <v>251</v>
      </c>
      <c r="F845" s="2">
        <v>32441</v>
      </c>
      <c r="G845" s="2">
        <v>3.0219625099999998</v>
      </c>
      <c r="H845" s="2">
        <v>5.9759600000000004E-4</v>
      </c>
      <c r="I845" s="2" t="s">
        <v>6846</v>
      </c>
      <c r="J845" s="2" t="s">
        <v>6847</v>
      </c>
      <c r="K845" s="2">
        <v>1.0408132E-2</v>
      </c>
      <c r="L845" s="2" t="s">
        <v>606</v>
      </c>
      <c r="M845" s="4" t="s">
        <v>6848</v>
      </c>
    </row>
    <row r="846" spans="1:13">
      <c r="A846" s="2">
        <v>794</v>
      </c>
      <c r="B846" s="2" t="s">
        <v>6849</v>
      </c>
      <c r="C846" s="2">
        <v>30</v>
      </c>
      <c r="D846" s="2">
        <v>556</v>
      </c>
      <c r="E846" s="2">
        <v>919</v>
      </c>
      <c r="F846" s="2">
        <v>32441</v>
      </c>
      <c r="G846" s="2">
        <v>1.904693873</v>
      </c>
      <c r="H846" s="2">
        <v>8.3967999999999998E-4</v>
      </c>
      <c r="I846" s="2" t="s">
        <v>6850</v>
      </c>
      <c r="J846" s="2" t="s">
        <v>6851</v>
      </c>
      <c r="K846" s="2">
        <v>1.4325964E-2</v>
      </c>
      <c r="L846" s="2" t="s">
        <v>606</v>
      </c>
      <c r="M846" s="4" t="s">
        <v>6852</v>
      </c>
    </row>
    <row r="847" spans="1:13">
      <c r="A847" s="2">
        <v>746</v>
      </c>
      <c r="B847" s="2" t="s">
        <v>6853</v>
      </c>
      <c r="C847" s="2">
        <v>7</v>
      </c>
      <c r="D847" s="2">
        <v>556</v>
      </c>
      <c r="E847" s="2">
        <v>86</v>
      </c>
      <c r="F847" s="2">
        <v>32441</v>
      </c>
      <c r="G847" s="2">
        <v>4.7491843730000003</v>
      </c>
      <c r="H847" s="2">
        <v>1.0092110000000001E-3</v>
      </c>
      <c r="I847" s="2" t="s">
        <v>6854</v>
      </c>
      <c r="J847" s="2" t="s">
        <v>6855</v>
      </c>
      <c r="K847" s="2">
        <v>1.6874014999999999E-2</v>
      </c>
      <c r="L847" s="2" t="s">
        <v>606</v>
      </c>
      <c r="M847" s="4" t="s">
        <v>6856</v>
      </c>
    </row>
    <row r="848" spans="1:13">
      <c r="A848" s="2">
        <v>1571</v>
      </c>
      <c r="B848" s="2" t="s">
        <v>6857</v>
      </c>
      <c r="C848" s="2">
        <v>7</v>
      </c>
      <c r="D848" s="2">
        <v>556</v>
      </c>
      <c r="E848" s="2">
        <v>88</v>
      </c>
      <c r="F848" s="2">
        <v>32441</v>
      </c>
      <c r="G848" s="2">
        <v>4.641248365</v>
      </c>
      <c r="H848" s="2">
        <v>1.143809E-3</v>
      </c>
      <c r="I848" s="2" t="s">
        <v>6858</v>
      </c>
      <c r="J848" s="2" t="s">
        <v>6859</v>
      </c>
      <c r="K848" s="2">
        <v>1.8749499999999999E-2</v>
      </c>
      <c r="L848" s="2" t="s">
        <v>606</v>
      </c>
      <c r="M848" s="4" t="s">
        <v>6860</v>
      </c>
    </row>
    <row r="849" spans="1:13">
      <c r="A849" s="2">
        <v>808</v>
      </c>
      <c r="B849" s="2" t="s">
        <v>6861</v>
      </c>
      <c r="C849" s="2">
        <v>24</v>
      </c>
      <c r="D849" s="2">
        <v>556</v>
      </c>
      <c r="E849" s="2">
        <v>697</v>
      </c>
      <c r="F849" s="2">
        <v>32441</v>
      </c>
      <c r="G849" s="2">
        <v>2.0090831210000002</v>
      </c>
      <c r="H849" s="2">
        <v>1.373572E-3</v>
      </c>
      <c r="I849" s="2" t="s">
        <v>6862</v>
      </c>
      <c r="J849" s="2" t="s">
        <v>6863</v>
      </c>
      <c r="K849" s="2">
        <v>2.2082807999999999E-2</v>
      </c>
      <c r="L849" s="2" t="s">
        <v>606</v>
      </c>
      <c r="M849" s="4" t="s">
        <v>6864</v>
      </c>
    </row>
    <row r="850" spans="1:13">
      <c r="A850" s="2">
        <v>744</v>
      </c>
      <c r="B850" s="2" t="s">
        <v>6865</v>
      </c>
      <c r="C850" s="2">
        <v>20</v>
      </c>
      <c r="D850" s="2">
        <v>556</v>
      </c>
      <c r="E850" s="2">
        <v>538</v>
      </c>
      <c r="F850" s="2">
        <v>32441</v>
      </c>
      <c r="G850" s="2">
        <v>2.1690380039999999</v>
      </c>
      <c r="H850" s="2">
        <v>1.428028E-3</v>
      </c>
      <c r="I850" s="2" t="s">
        <v>6866</v>
      </c>
      <c r="J850" s="2" t="s">
        <v>6867</v>
      </c>
      <c r="K850" s="2">
        <v>2.2525126999999999E-2</v>
      </c>
      <c r="L850" s="2" t="s">
        <v>606</v>
      </c>
      <c r="M850" s="4" t="s">
        <v>6868</v>
      </c>
    </row>
    <row r="851" spans="1:13">
      <c r="A851" s="2">
        <v>332</v>
      </c>
      <c r="B851" s="2" t="s">
        <v>6869</v>
      </c>
      <c r="C851" s="2">
        <v>12</v>
      </c>
      <c r="D851" s="2">
        <v>556</v>
      </c>
      <c r="E851" s="2">
        <v>246</v>
      </c>
      <c r="F851" s="2">
        <v>32441</v>
      </c>
      <c r="G851" s="2">
        <v>2.8462010879999999</v>
      </c>
      <c r="H851" s="2">
        <v>1.5561279999999999E-3</v>
      </c>
      <c r="I851" s="2" t="s">
        <v>6870</v>
      </c>
      <c r="J851" s="2" t="s">
        <v>6871</v>
      </c>
      <c r="K851" s="2">
        <v>2.4091169999999999E-2</v>
      </c>
      <c r="L851" s="2" t="s">
        <v>606</v>
      </c>
      <c r="M851" s="4" t="s">
        <v>6872</v>
      </c>
    </row>
    <row r="852" spans="1:13">
      <c r="A852" s="2">
        <v>4</v>
      </c>
      <c r="B852" s="2" t="s">
        <v>6873</v>
      </c>
      <c r="C852" s="2">
        <v>12</v>
      </c>
      <c r="D852" s="2">
        <v>556</v>
      </c>
      <c r="E852" s="2">
        <v>253</v>
      </c>
      <c r="F852" s="2">
        <v>32441</v>
      </c>
      <c r="G852" s="2">
        <v>2.7674524410000001</v>
      </c>
      <c r="H852" s="2">
        <v>1.9454940000000001E-3</v>
      </c>
      <c r="I852" s="2" t="s">
        <v>6874</v>
      </c>
      <c r="J852" s="2" t="s">
        <v>6875</v>
      </c>
      <c r="K852" s="2">
        <v>2.9571507E-2</v>
      </c>
      <c r="L852" s="2" t="s">
        <v>606</v>
      </c>
      <c r="M852" s="4" t="s">
        <v>6876</v>
      </c>
    </row>
    <row r="853" spans="1:13">
      <c r="A853" s="2">
        <v>328</v>
      </c>
      <c r="B853" s="2" t="s">
        <v>6877</v>
      </c>
      <c r="C853" s="2">
        <v>12</v>
      </c>
      <c r="D853" s="2">
        <v>556</v>
      </c>
      <c r="E853" s="2">
        <v>257</v>
      </c>
      <c r="F853" s="2">
        <v>32441</v>
      </c>
      <c r="G853" s="2">
        <v>2.7243792509999998</v>
      </c>
      <c r="H853" s="2">
        <v>2.2016660000000001E-3</v>
      </c>
      <c r="I853" s="2" t="s">
        <v>6878</v>
      </c>
      <c r="J853" s="2" t="s">
        <v>6879</v>
      </c>
      <c r="K853" s="2">
        <v>3.2867730999999997E-2</v>
      </c>
      <c r="L853" s="2" t="s">
        <v>606</v>
      </c>
      <c r="M853" s="4" t="s">
        <v>6880</v>
      </c>
    </row>
    <row r="854" spans="1:13">
      <c r="A854" s="2">
        <v>384</v>
      </c>
      <c r="B854" s="2" t="s">
        <v>6881</v>
      </c>
      <c r="C854" s="2">
        <v>12</v>
      </c>
      <c r="D854" s="2">
        <v>556</v>
      </c>
      <c r="E854" s="2">
        <v>264</v>
      </c>
      <c r="F854" s="2">
        <v>32441</v>
      </c>
      <c r="G854" s="2">
        <v>2.6521419229999998</v>
      </c>
      <c r="H854" s="2">
        <v>2.7159889999999998E-3</v>
      </c>
      <c r="I854" s="2" t="s">
        <v>6882</v>
      </c>
      <c r="J854" s="2" t="s">
        <v>6883</v>
      </c>
      <c r="K854" s="2">
        <v>3.9834507999999998E-2</v>
      </c>
      <c r="L854" s="2" t="s">
        <v>606</v>
      </c>
      <c r="M854" s="4" t="s">
        <v>6884</v>
      </c>
    </row>
    <row r="855" spans="1:13">
      <c r="A855" s="2">
        <v>1201</v>
      </c>
      <c r="B855" s="2" t="s">
        <v>6885</v>
      </c>
      <c r="C855" s="2">
        <v>12</v>
      </c>
      <c r="D855" s="2">
        <v>556</v>
      </c>
      <c r="E855" s="2">
        <v>265</v>
      </c>
      <c r="F855" s="2">
        <v>32441</v>
      </c>
      <c r="G855" s="2">
        <v>2.6421338400000001</v>
      </c>
      <c r="H855" s="2">
        <v>2.7968390000000002E-3</v>
      </c>
      <c r="I855" s="2" t="s">
        <v>6886</v>
      </c>
      <c r="J855" s="2" t="s">
        <v>6887</v>
      </c>
      <c r="K855" s="2">
        <v>4.0313058999999998E-2</v>
      </c>
      <c r="L855" s="2" t="s">
        <v>606</v>
      </c>
      <c r="M855" s="4" t="s">
        <v>6888</v>
      </c>
    </row>
    <row r="856" spans="1:13">
      <c r="A856" s="2">
        <v>636</v>
      </c>
      <c r="B856" s="2" t="s">
        <v>6889</v>
      </c>
      <c r="C856" s="2">
        <v>8</v>
      </c>
      <c r="D856" s="2">
        <v>556</v>
      </c>
      <c r="E856" s="2">
        <v>134</v>
      </c>
      <c r="F856" s="2">
        <v>32441</v>
      </c>
      <c r="G856" s="2">
        <v>3.4834102869999999</v>
      </c>
      <c r="H856" s="2">
        <v>2.8953160000000002E-3</v>
      </c>
      <c r="I856" s="2" t="s">
        <v>6890</v>
      </c>
      <c r="J856" s="2" t="s">
        <v>6891</v>
      </c>
      <c r="K856" s="2">
        <v>4.1025150000000003E-2</v>
      </c>
      <c r="L856" s="2" t="s">
        <v>606</v>
      </c>
      <c r="M856" s="4" t="s">
        <v>6892</v>
      </c>
    </row>
    <row r="857" spans="1:13">
      <c r="A857" s="2">
        <v>316</v>
      </c>
      <c r="B857" s="2" t="s">
        <v>6893</v>
      </c>
      <c r="C857" s="2">
        <v>12</v>
      </c>
      <c r="D857" s="2">
        <v>556</v>
      </c>
      <c r="E857" s="2">
        <v>267</v>
      </c>
      <c r="F857" s="2">
        <v>32441</v>
      </c>
      <c r="G857" s="2">
        <v>2.6223425749999998</v>
      </c>
      <c r="H857" s="2">
        <v>2.9644039999999999E-3</v>
      </c>
      <c r="I857" s="2" t="s">
        <v>6894</v>
      </c>
      <c r="J857" s="2" t="s">
        <v>6895</v>
      </c>
      <c r="K857" s="2">
        <v>4.1304025000000001E-2</v>
      </c>
      <c r="L857" s="2" t="s">
        <v>606</v>
      </c>
      <c r="M857" s="4" t="s">
        <v>6896</v>
      </c>
    </row>
    <row r="858" spans="1:13">
      <c r="A858" s="2">
        <v>245</v>
      </c>
      <c r="B858" s="2" t="s">
        <v>6897</v>
      </c>
      <c r="C858" s="2">
        <v>11</v>
      </c>
      <c r="D858" s="2">
        <v>556</v>
      </c>
      <c r="E858" s="2">
        <v>237</v>
      </c>
      <c r="F858" s="2">
        <v>32441</v>
      </c>
      <c r="G858" s="2">
        <v>2.708094284</v>
      </c>
      <c r="H858" s="2">
        <v>3.4530289999999998E-3</v>
      </c>
      <c r="I858" s="2" t="s">
        <v>6898</v>
      </c>
      <c r="J858" s="2" t="s">
        <v>6899</v>
      </c>
      <c r="K858" s="2">
        <v>4.7323483999999999E-2</v>
      </c>
      <c r="L858" s="2" t="s">
        <v>606</v>
      </c>
      <c r="M858" s="4" t="s">
        <v>6900</v>
      </c>
    </row>
    <row r="859" spans="1:13">
      <c r="A859" s="2">
        <v>506</v>
      </c>
      <c r="B859" s="2" t="s">
        <v>6901</v>
      </c>
      <c r="C859" s="2">
        <v>149</v>
      </c>
      <c r="D859" s="2">
        <v>556</v>
      </c>
      <c r="E859" s="2">
        <v>549</v>
      </c>
      <c r="F859" s="2">
        <v>32441</v>
      </c>
      <c r="G859" s="2">
        <v>15.83555778</v>
      </c>
      <c r="H859" s="3">
        <v>1.5E-121</v>
      </c>
      <c r="I859" s="3" t="s">
        <v>6902</v>
      </c>
      <c r="J859" s="3" t="s">
        <v>6903</v>
      </c>
      <c r="K859" s="3">
        <v>1.2900000000000001E-118</v>
      </c>
      <c r="L859" s="2" t="s">
        <v>637</v>
      </c>
      <c r="M859" s="4" t="s">
        <v>6904</v>
      </c>
    </row>
    <row r="860" spans="1:13">
      <c r="A860" s="2">
        <v>4681</v>
      </c>
      <c r="B860" s="2" t="s">
        <v>6905</v>
      </c>
      <c r="C860" s="2">
        <v>136</v>
      </c>
      <c r="D860" s="2">
        <v>556</v>
      </c>
      <c r="E860" s="2">
        <v>583</v>
      </c>
      <c r="F860" s="2">
        <v>32441</v>
      </c>
      <c r="G860" s="2">
        <v>13.610992510000001</v>
      </c>
      <c r="H860" s="3">
        <v>7.2799999999999997E-103</v>
      </c>
      <c r="I860" s="3" t="s">
        <v>6906</v>
      </c>
      <c r="J860" s="3" t="s">
        <v>6907</v>
      </c>
      <c r="K860" s="3">
        <v>3.1200000000000001E-100</v>
      </c>
      <c r="L860" s="2" t="s">
        <v>637</v>
      </c>
      <c r="M860" s="4" t="s">
        <v>6908</v>
      </c>
    </row>
    <row r="861" spans="1:13">
      <c r="A861" s="2">
        <v>469</v>
      </c>
      <c r="B861" s="2" t="s">
        <v>6909</v>
      </c>
      <c r="C861" s="2">
        <v>99</v>
      </c>
      <c r="D861" s="2">
        <v>556</v>
      </c>
      <c r="E861" s="2">
        <v>395</v>
      </c>
      <c r="F861" s="2">
        <v>32441</v>
      </c>
      <c r="G861" s="2">
        <v>14.62370913</v>
      </c>
      <c r="H861" s="3">
        <v>1.5900000000000001E-76</v>
      </c>
      <c r="I861" s="3" t="s">
        <v>6910</v>
      </c>
      <c r="J861" s="3" t="s">
        <v>6911</v>
      </c>
      <c r="K861" s="3">
        <v>4.5500000000000002E-74</v>
      </c>
      <c r="L861" s="2" t="s">
        <v>637</v>
      </c>
      <c r="M861" s="4" t="s">
        <v>6912</v>
      </c>
    </row>
    <row r="862" spans="1:13">
      <c r="A862" s="2">
        <v>497</v>
      </c>
      <c r="B862" s="2" t="s">
        <v>6913</v>
      </c>
      <c r="C862" s="2">
        <v>99</v>
      </c>
      <c r="D862" s="2">
        <v>556</v>
      </c>
      <c r="E862" s="2">
        <v>399</v>
      </c>
      <c r="F862" s="2">
        <v>32441</v>
      </c>
      <c r="G862" s="2">
        <v>14.477105529999999</v>
      </c>
      <c r="H862" s="3">
        <v>3.6599999999999998E-76</v>
      </c>
      <c r="I862" s="3" t="s">
        <v>6914</v>
      </c>
      <c r="J862" s="3" t="s">
        <v>6915</v>
      </c>
      <c r="K862" s="3">
        <v>7.8499999999999997E-74</v>
      </c>
      <c r="L862" s="2" t="s">
        <v>637</v>
      </c>
      <c r="M862" s="4" t="s">
        <v>6916</v>
      </c>
    </row>
    <row r="863" spans="1:13">
      <c r="A863" s="2">
        <v>487</v>
      </c>
      <c r="B863" s="2" t="s">
        <v>6917</v>
      </c>
      <c r="C863" s="2">
        <v>99</v>
      </c>
      <c r="D863" s="2">
        <v>556</v>
      </c>
      <c r="E863" s="2">
        <v>518</v>
      </c>
      <c r="F863" s="2">
        <v>32441</v>
      </c>
      <c r="G863" s="2">
        <v>11.15128399</v>
      </c>
      <c r="H863" s="3">
        <v>9.5399999999999994E-67</v>
      </c>
      <c r="I863" s="3" t="s">
        <v>6918</v>
      </c>
      <c r="J863" s="3" t="s">
        <v>6919</v>
      </c>
      <c r="K863" s="3">
        <v>1.6399999999999999E-64</v>
      </c>
      <c r="L863" s="2" t="s">
        <v>637</v>
      </c>
      <c r="M863" s="4" t="s">
        <v>6920</v>
      </c>
    </row>
    <row r="864" spans="1:13">
      <c r="A864" s="2">
        <v>467</v>
      </c>
      <c r="B864" s="2" t="s">
        <v>6921</v>
      </c>
      <c r="C864" s="2">
        <v>75</v>
      </c>
      <c r="D864" s="2">
        <v>556</v>
      </c>
      <c r="E864" s="2">
        <v>327</v>
      </c>
      <c r="F864" s="2">
        <v>32441</v>
      </c>
      <c r="G864" s="2">
        <v>13.382367500000001</v>
      </c>
      <c r="H864" s="3">
        <v>2.5599999999999999E-55</v>
      </c>
      <c r="I864" s="3" t="s">
        <v>6922</v>
      </c>
      <c r="J864" s="3" t="s">
        <v>6923</v>
      </c>
      <c r="K864" s="3">
        <v>3.6599999999999998E-53</v>
      </c>
      <c r="L864" s="2" t="s">
        <v>637</v>
      </c>
      <c r="M864" s="4" t="s">
        <v>6924</v>
      </c>
    </row>
    <row r="865" spans="1:13">
      <c r="A865" s="2">
        <v>453</v>
      </c>
      <c r="B865" s="2" t="s">
        <v>6925</v>
      </c>
      <c r="C865" s="2">
        <v>73</v>
      </c>
      <c r="D865" s="2">
        <v>556</v>
      </c>
      <c r="E865" s="2">
        <v>356</v>
      </c>
      <c r="F865" s="2">
        <v>32441</v>
      </c>
      <c r="G865" s="2">
        <v>11.964437999999999</v>
      </c>
      <c r="H865" s="3">
        <v>7.2100000000000006E-51</v>
      </c>
      <c r="I865" s="3" t="s">
        <v>6926</v>
      </c>
      <c r="J865" s="3" t="s">
        <v>6927</v>
      </c>
      <c r="K865" s="3">
        <v>8.8400000000000007E-49</v>
      </c>
      <c r="L865" s="2" t="s">
        <v>637</v>
      </c>
      <c r="M865" s="4" t="s">
        <v>6928</v>
      </c>
    </row>
    <row r="866" spans="1:13">
      <c r="A866" s="2">
        <v>324</v>
      </c>
      <c r="B866" s="2" t="s">
        <v>6929</v>
      </c>
      <c r="C866" s="2">
        <v>48</v>
      </c>
      <c r="D866" s="2">
        <v>556</v>
      </c>
      <c r="E866" s="2">
        <v>111</v>
      </c>
      <c r="F866" s="2">
        <v>32441</v>
      </c>
      <c r="G866" s="2">
        <v>25.231188020000001</v>
      </c>
      <c r="H866" s="3">
        <v>2.3900000000000001E-46</v>
      </c>
      <c r="I866" s="2" t="s">
        <v>6930</v>
      </c>
      <c r="J866" s="2" t="s">
        <v>6931</v>
      </c>
      <c r="K866" s="3">
        <v>2.5699999999999999E-44</v>
      </c>
      <c r="L866" s="2" t="s">
        <v>637</v>
      </c>
      <c r="M866" s="4" t="s">
        <v>6932</v>
      </c>
    </row>
    <row r="867" spans="1:13">
      <c r="A867" s="2">
        <v>356</v>
      </c>
      <c r="B867" s="2" t="s">
        <v>6933</v>
      </c>
      <c r="C867" s="2">
        <v>42</v>
      </c>
      <c r="D867" s="2">
        <v>556</v>
      </c>
      <c r="E867" s="2">
        <v>94</v>
      </c>
      <c r="F867" s="2">
        <v>32441</v>
      </c>
      <c r="G867" s="2">
        <v>26.069990820000001</v>
      </c>
      <c r="H867" s="3">
        <v>3.8999999999999999E-41</v>
      </c>
      <c r="I867" s="2" t="s">
        <v>6934</v>
      </c>
      <c r="J867" s="2" t="s">
        <v>6935</v>
      </c>
      <c r="K867" s="3">
        <v>3.7100000000000002E-39</v>
      </c>
      <c r="L867" s="2" t="s">
        <v>637</v>
      </c>
      <c r="M867" s="4" t="s">
        <v>6936</v>
      </c>
    </row>
    <row r="868" spans="1:13">
      <c r="A868" s="2">
        <v>5391</v>
      </c>
      <c r="B868" s="2" t="s">
        <v>6937</v>
      </c>
      <c r="C868" s="2">
        <v>84</v>
      </c>
      <c r="D868" s="2">
        <v>556</v>
      </c>
      <c r="E868" s="2">
        <v>731</v>
      </c>
      <c r="F868" s="2">
        <v>32441</v>
      </c>
      <c r="G868" s="2">
        <v>6.7047308799999996</v>
      </c>
      <c r="H868" s="3">
        <v>5.2899999999999997E-41</v>
      </c>
      <c r="I868" s="3" t="s">
        <v>6938</v>
      </c>
      <c r="J868" s="3" t="s">
        <v>6939</v>
      </c>
      <c r="K868" s="3">
        <v>4.5399999999999997E-39</v>
      </c>
      <c r="L868" s="2" t="s">
        <v>637</v>
      </c>
      <c r="M868" s="4" t="s">
        <v>6940</v>
      </c>
    </row>
    <row r="869" spans="1:13">
      <c r="A869" s="2">
        <v>4321</v>
      </c>
      <c r="B869" s="2" t="s">
        <v>6941</v>
      </c>
      <c r="C869" s="2">
        <v>67</v>
      </c>
      <c r="D869" s="2">
        <v>556</v>
      </c>
      <c r="E869" s="2">
        <v>434</v>
      </c>
      <c r="F869" s="2">
        <v>32441</v>
      </c>
      <c r="G869" s="2">
        <v>9.0075050559999994</v>
      </c>
      <c r="H869" s="3">
        <v>8.6400000000000002E-40</v>
      </c>
      <c r="I869" s="3" t="s">
        <v>6942</v>
      </c>
      <c r="J869" s="3" t="s">
        <v>6943</v>
      </c>
      <c r="K869" s="3">
        <v>6.7400000000000002E-38</v>
      </c>
      <c r="L869" s="2" t="s">
        <v>637</v>
      </c>
      <c r="M869" s="4" t="s">
        <v>6944</v>
      </c>
    </row>
    <row r="870" spans="1:13">
      <c r="A870" s="2">
        <v>2871</v>
      </c>
      <c r="B870" s="2" t="s">
        <v>6945</v>
      </c>
      <c r="C870" s="2">
        <v>34</v>
      </c>
      <c r="D870" s="2">
        <v>556</v>
      </c>
      <c r="E870" s="2">
        <v>70</v>
      </c>
      <c r="F870" s="2">
        <v>32441</v>
      </c>
      <c r="G870" s="2">
        <v>28.34003083</v>
      </c>
      <c r="H870" s="3">
        <v>1.8100000000000001E-34</v>
      </c>
      <c r="I870" s="2" t="s">
        <v>6946</v>
      </c>
      <c r="J870" s="2" t="s">
        <v>6947</v>
      </c>
      <c r="K870" s="3">
        <v>1.29E-32</v>
      </c>
      <c r="L870" s="2" t="s">
        <v>637</v>
      </c>
      <c r="M870" s="4" t="s">
        <v>6948</v>
      </c>
    </row>
    <row r="871" spans="1:13">
      <c r="A871" s="2">
        <v>419</v>
      </c>
      <c r="B871" s="2" t="s">
        <v>6949</v>
      </c>
      <c r="C871" s="2">
        <v>30</v>
      </c>
      <c r="D871" s="2">
        <v>556</v>
      </c>
      <c r="E871" s="2">
        <v>65</v>
      </c>
      <c r="F871" s="2">
        <v>32441</v>
      </c>
      <c r="G871" s="2">
        <v>26.929441059999998</v>
      </c>
      <c r="H871" s="3">
        <v>4.9299999999999999E-30</v>
      </c>
      <c r="I871" s="2" t="s">
        <v>6950</v>
      </c>
      <c r="J871" s="2" t="s">
        <v>6951</v>
      </c>
      <c r="K871" s="3">
        <v>3.2500000000000002E-28</v>
      </c>
      <c r="L871" s="2" t="s">
        <v>637</v>
      </c>
      <c r="M871" s="4" t="s">
        <v>6952</v>
      </c>
    </row>
    <row r="872" spans="1:13">
      <c r="A872" s="2">
        <v>7871</v>
      </c>
      <c r="B872" s="2" t="s">
        <v>6953</v>
      </c>
      <c r="C872" s="2">
        <v>37</v>
      </c>
      <c r="D872" s="2">
        <v>556</v>
      </c>
      <c r="E872" s="2">
        <v>140</v>
      </c>
      <c r="F872" s="2">
        <v>32441</v>
      </c>
      <c r="G872" s="2">
        <v>15.42031089</v>
      </c>
      <c r="H872" s="3">
        <v>1.5700000000000001E-29</v>
      </c>
      <c r="I872" s="2" t="s">
        <v>6954</v>
      </c>
      <c r="J872" s="2" t="s">
        <v>6955</v>
      </c>
      <c r="K872" s="3">
        <v>9.6399999999999997E-28</v>
      </c>
      <c r="L872" s="2" t="s">
        <v>637</v>
      </c>
      <c r="M872" s="4" t="s">
        <v>6956</v>
      </c>
    </row>
    <row r="873" spans="1:13">
      <c r="A873" s="2">
        <v>6841</v>
      </c>
      <c r="B873" s="2" t="s">
        <v>6957</v>
      </c>
      <c r="C873" s="2">
        <v>36</v>
      </c>
      <c r="D873" s="2">
        <v>556</v>
      </c>
      <c r="E873" s="2">
        <v>138</v>
      </c>
      <c r="F873" s="2">
        <v>32441</v>
      </c>
      <c r="G873" s="2">
        <v>15.22098843</v>
      </c>
      <c r="H873" s="3">
        <v>1.3599999999999999E-28</v>
      </c>
      <c r="I873" s="2" t="s">
        <v>6958</v>
      </c>
      <c r="J873" s="2" t="s">
        <v>6959</v>
      </c>
      <c r="K873" s="3">
        <v>7.7499999999999996E-27</v>
      </c>
      <c r="L873" s="2" t="s">
        <v>637</v>
      </c>
      <c r="M873" s="4" t="s">
        <v>6960</v>
      </c>
    </row>
    <row r="874" spans="1:13">
      <c r="A874" s="2">
        <v>330</v>
      </c>
      <c r="B874" s="2" t="s">
        <v>6961</v>
      </c>
      <c r="C874" s="2">
        <v>25</v>
      </c>
      <c r="D874" s="2">
        <v>556</v>
      </c>
      <c r="E874" s="2">
        <v>52</v>
      </c>
      <c r="F874" s="2">
        <v>32441</v>
      </c>
      <c r="G874" s="2">
        <v>28.05150111</v>
      </c>
      <c r="H874" s="3">
        <v>1.39E-25</v>
      </c>
      <c r="I874" s="2" t="s">
        <v>6962</v>
      </c>
      <c r="J874" s="2" t="s">
        <v>6963</v>
      </c>
      <c r="K874" s="3">
        <v>7.4600000000000002E-24</v>
      </c>
      <c r="L874" s="2" t="s">
        <v>637</v>
      </c>
      <c r="M874" s="4" t="s">
        <v>6964</v>
      </c>
    </row>
    <row r="875" spans="1:13">
      <c r="A875" s="2">
        <v>583</v>
      </c>
      <c r="B875" s="2" t="s">
        <v>6965</v>
      </c>
      <c r="C875" s="2">
        <v>28</v>
      </c>
      <c r="D875" s="2">
        <v>556</v>
      </c>
      <c r="E875" s="2">
        <v>82</v>
      </c>
      <c r="F875" s="2">
        <v>32441</v>
      </c>
      <c r="G875" s="2">
        <v>19.923407619999999</v>
      </c>
      <c r="H875" s="3">
        <v>3.42E-25</v>
      </c>
      <c r="I875" s="2" t="s">
        <v>6966</v>
      </c>
      <c r="J875" s="2" t="s">
        <v>6967</v>
      </c>
      <c r="K875" s="3">
        <v>1.7299999999999999E-23</v>
      </c>
      <c r="L875" s="2" t="s">
        <v>637</v>
      </c>
      <c r="M875" s="4" t="s">
        <v>6968</v>
      </c>
    </row>
    <row r="876" spans="1:13">
      <c r="A876" s="2">
        <v>4042</v>
      </c>
      <c r="B876" s="2" t="s">
        <v>6969</v>
      </c>
      <c r="C876" s="2">
        <v>24</v>
      </c>
      <c r="D876" s="2">
        <v>556</v>
      </c>
      <c r="E876" s="2">
        <v>47</v>
      </c>
      <c r="F876" s="2">
        <v>32441</v>
      </c>
      <c r="G876" s="2">
        <v>29.794275219999999</v>
      </c>
      <c r="H876" s="3">
        <v>4.2599999999999999E-25</v>
      </c>
      <c r="I876" s="2" t="s">
        <v>6970</v>
      </c>
      <c r="J876" s="2" t="s">
        <v>6971</v>
      </c>
      <c r="K876" s="3">
        <v>1.9199999999999999E-23</v>
      </c>
      <c r="L876" s="2" t="s">
        <v>637</v>
      </c>
      <c r="M876" s="4" t="s">
        <v>6972</v>
      </c>
    </row>
    <row r="877" spans="1:13">
      <c r="A877" s="2">
        <v>588</v>
      </c>
      <c r="B877" s="2" t="s">
        <v>6973</v>
      </c>
      <c r="C877" s="2">
        <v>33</v>
      </c>
      <c r="D877" s="2">
        <v>556</v>
      </c>
      <c r="E877" s="2">
        <v>140</v>
      </c>
      <c r="F877" s="2">
        <v>32441</v>
      </c>
      <c r="G877" s="2">
        <v>13.75325026</v>
      </c>
      <c r="H877" s="3">
        <v>4.1600000000000002E-25</v>
      </c>
      <c r="I877" s="2" t="s">
        <v>6974</v>
      </c>
      <c r="J877" s="2" t="s">
        <v>6975</v>
      </c>
      <c r="K877" s="3">
        <v>1.9199999999999999E-23</v>
      </c>
      <c r="L877" s="2" t="s">
        <v>637</v>
      </c>
      <c r="M877" s="4" t="s">
        <v>6976</v>
      </c>
    </row>
    <row r="878" spans="1:13">
      <c r="A878" s="2">
        <v>727</v>
      </c>
      <c r="B878" s="2" t="s">
        <v>6977</v>
      </c>
      <c r="C878" s="2">
        <v>32</v>
      </c>
      <c r="D878" s="2">
        <v>556</v>
      </c>
      <c r="E878" s="2">
        <v>128</v>
      </c>
      <c r="F878" s="2">
        <v>32441</v>
      </c>
      <c r="G878" s="2">
        <v>14.586780579999999</v>
      </c>
      <c r="H878" s="3">
        <v>4.6299999999999997E-25</v>
      </c>
      <c r="I878" s="2" t="s">
        <v>6978</v>
      </c>
      <c r="J878" s="2" t="s">
        <v>6979</v>
      </c>
      <c r="K878" s="3">
        <v>1.9899999999999999E-23</v>
      </c>
      <c r="L878" s="2" t="s">
        <v>637</v>
      </c>
      <c r="M878" s="4" t="s">
        <v>6980</v>
      </c>
    </row>
    <row r="879" spans="1:13">
      <c r="A879" s="2">
        <v>3661</v>
      </c>
      <c r="B879" s="2" t="s">
        <v>6981</v>
      </c>
      <c r="C879" s="2">
        <v>25</v>
      </c>
      <c r="D879" s="2">
        <v>556</v>
      </c>
      <c r="E879" s="2">
        <v>57</v>
      </c>
      <c r="F879" s="2">
        <v>32441</v>
      </c>
      <c r="G879" s="2">
        <v>25.590843110000002</v>
      </c>
      <c r="H879" s="3">
        <v>8.3800000000000002E-25</v>
      </c>
      <c r="I879" s="2" t="s">
        <v>6982</v>
      </c>
      <c r="J879" s="2" t="s">
        <v>6983</v>
      </c>
      <c r="K879" s="3">
        <v>3.4200000000000002E-23</v>
      </c>
      <c r="L879" s="2" t="s">
        <v>637</v>
      </c>
      <c r="M879" s="4" t="s">
        <v>6984</v>
      </c>
    </row>
    <row r="880" spans="1:13">
      <c r="A880" s="2">
        <v>622</v>
      </c>
      <c r="B880" s="2" t="s">
        <v>6985</v>
      </c>
      <c r="C880" s="2">
        <v>31</v>
      </c>
      <c r="D880" s="2">
        <v>556</v>
      </c>
      <c r="E880" s="2">
        <v>126</v>
      </c>
      <c r="F880" s="2">
        <v>32441</v>
      </c>
      <c r="G880" s="2">
        <v>14.35524438</v>
      </c>
      <c r="H880" s="3">
        <v>3.88E-24</v>
      </c>
      <c r="I880" s="2" t="s">
        <v>6986</v>
      </c>
      <c r="J880" s="2" t="s">
        <v>6987</v>
      </c>
      <c r="K880" s="3">
        <v>1.5099999999999999E-22</v>
      </c>
      <c r="L880" s="2" t="s">
        <v>637</v>
      </c>
      <c r="M880" s="4" t="s">
        <v>6988</v>
      </c>
    </row>
    <row r="881" spans="1:13">
      <c r="A881" s="2">
        <v>329</v>
      </c>
      <c r="B881" s="2" t="s">
        <v>6989</v>
      </c>
      <c r="C881" s="2">
        <v>23</v>
      </c>
      <c r="D881" s="2">
        <v>556</v>
      </c>
      <c r="E881" s="2">
        <v>45</v>
      </c>
      <c r="F881" s="2">
        <v>32441</v>
      </c>
      <c r="G881" s="2">
        <v>29.821862509999999</v>
      </c>
      <c r="H881" s="3">
        <v>4.1099999999999998E-24</v>
      </c>
      <c r="I881" s="2" t="s">
        <v>6990</v>
      </c>
      <c r="J881" s="2" t="s">
        <v>6991</v>
      </c>
      <c r="K881" s="3">
        <v>1.53E-22</v>
      </c>
      <c r="L881" s="2" t="s">
        <v>637</v>
      </c>
      <c r="M881" s="4" t="s">
        <v>6992</v>
      </c>
    </row>
    <row r="882" spans="1:13">
      <c r="A882" s="2">
        <v>392</v>
      </c>
      <c r="B882" s="2" t="s">
        <v>6993</v>
      </c>
      <c r="C882" s="2">
        <v>24</v>
      </c>
      <c r="D882" s="2">
        <v>556</v>
      </c>
      <c r="E882" s="2">
        <v>56</v>
      </c>
      <c r="F882" s="2">
        <v>32441</v>
      </c>
      <c r="G882" s="2">
        <v>25.005909559999999</v>
      </c>
      <c r="H882" s="3">
        <v>1.13E-23</v>
      </c>
      <c r="I882" s="2" t="s">
        <v>6994</v>
      </c>
      <c r="J882" s="2" t="s">
        <v>6995</v>
      </c>
      <c r="K882" s="3">
        <v>4.0500000000000001E-22</v>
      </c>
      <c r="L882" s="2" t="s">
        <v>637</v>
      </c>
      <c r="M882" s="4" t="s">
        <v>6996</v>
      </c>
    </row>
    <row r="883" spans="1:13">
      <c r="A883" s="2">
        <v>550</v>
      </c>
      <c r="B883" s="2" t="s">
        <v>6997</v>
      </c>
      <c r="C883" s="2">
        <v>27</v>
      </c>
      <c r="D883" s="2">
        <v>556</v>
      </c>
      <c r="E883" s="2">
        <v>98</v>
      </c>
      <c r="F883" s="2">
        <v>32441</v>
      </c>
      <c r="G883" s="2">
        <v>16.075227569999999</v>
      </c>
      <c r="H883" s="3">
        <v>2.7800000000000001E-22</v>
      </c>
      <c r="I883" s="2" t="s">
        <v>6998</v>
      </c>
      <c r="J883" s="2" t="s">
        <v>6999</v>
      </c>
      <c r="K883" s="3">
        <v>9.5299999999999998E-21</v>
      </c>
      <c r="L883" s="2" t="s">
        <v>637</v>
      </c>
      <c r="M883" s="4" t="s">
        <v>7000</v>
      </c>
    </row>
    <row r="884" spans="1:13">
      <c r="A884" s="2">
        <v>501</v>
      </c>
      <c r="B884" s="2" t="s">
        <v>7001</v>
      </c>
      <c r="C884" s="2">
        <v>27</v>
      </c>
      <c r="D884" s="2">
        <v>556</v>
      </c>
      <c r="E884" s="2">
        <v>100</v>
      </c>
      <c r="F884" s="2">
        <v>32441</v>
      </c>
      <c r="G884" s="2">
        <v>15.753723020000001</v>
      </c>
      <c r="H884" s="3">
        <v>4.3499999999999998E-22</v>
      </c>
      <c r="I884" s="2" t="s">
        <v>6998</v>
      </c>
      <c r="J884" s="2" t="s">
        <v>6999</v>
      </c>
      <c r="K884" s="3">
        <v>1.44E-20</v>
      </c>
      <c r="L884" s="2" t="s">
        <v>637</v>
      </c>
      <c r="M884" s="4" t="s">
        <v>7002</v>
      </c>
    </row>
    <row r="885" spans="1:13">
      <c r="A885" s="2">
        <v>587</v>
      </c>
      <c r="B885" s="2" t="s">
        <v>7003</v>
      </c>
      <c r="C885" s="2">
        <v>27</v>
      </c>
      <c r="D885" s="2">
        <v>556</v>
      </c>
      <c r="E885" s="2">
        <v>101</v>
      </c>
      <c r="F885" s="2">
        <v>32441</v>
      </c>
      <c r="G885" s="2">
        <v>15.597745570000001</v>
      </c>
      <c r="H885" s="3">
        <v>5.4300000000000004E-22</v>
      </c>
      <c r="I885" s="2" t="s">
        <v>6998</v>
      </c>
      <c r="J885" s="2" t="s">
        <v>6999</v>
      </c>
      <c r="K885" s="3">
        <v>1.73E-20</v>
      </c>
      <c r="L885" s="2" t="s">
        <v>637</v>
      </c>
      <c r="M885" s="4" t="s">
        <v>7004</v>
      </c>
    </row>
    <row r="886" spans="1:13">
      <c r="A886" s="2">
        <v>420</v>
      </c>
      <c r="B886" s="2" t="s">
        <v>7005</v>
      </c>
      <c r="C886" s="2">
        <v>19</v>
      </c>
      <c r="D886" s="2">
        <v>556</v>
      </c>
      <c r="E886" s="2">
        <v>30</v>
      </c>
      <c r="F886" s="2">
        <v>32441</v>
      </c>
      <c r="G886" s="2">
        <v>36.953177459999999</v>
      </c>
      <c r="H886" s="3">
        <v>1.76E-21</v>
      </c>
      <c r="I886" s="2" t="s">
        <v>7006</v>
      </c>
      <c r="J886" s="2" t="s">
        <v>7007</v>
      </c>
      <c r="K886" s="3">
        <v>5.3799999999999999E-20</v>
      </c>
      <c r="L886" s="2" t="s">
        <v>637</v>
      </c>
      <c r="M886" s="4" t="s">
        <v>7008</v>
      </c>
    </row>
    <row r="887" spans="1:13">
      <c r="A887" s="2">
        <v>635</v>
      </c>
      <c r="B887" s="2" t="s">
        <v>7009</v>
      </c>
      <c r="C887" s="2">
        <v>29</v>
      </c>
      <c r="D887" s="2">
        <v>556</v>
      </c>
      <c r="E887" s="2">
        <v>142</v>
      </c>
      <c r="F887" s="2">
        <v>32441</v>
      </c>
      <c r="G887" s="2">
        <v>11.915961599999999</v>
      </c>
      <c r="H887" s="3">
        <v>1.02E-20</v>
      </c>
      <c r="I887" s="2" t="s">
        <v>7010</v>
      </c>
      <c r="J887" s="2" t="s">
        <v>7011</v>
      </c>
      <c r="K887" s="3">
        <v>3.0200000000000001E-19</v>
      </c>
      <c r="L887" s="2" t="s">
        <v>637</v>
      </c>
      <c r="M887" s="4" t="s">
        <v>7012</v>
      </c>
    </row>
    <row r="888" spans="1:13">
      <c r="A888" s="2">
        <v>4411</v>
      </c>
      <c r="B888" s="2" t="s">
        <v>7013</v>
      </c>
      <c r="C888" s="2">
        <v>41</v>
      </c>
      <c r="D888" s="2">
        <v>556</v>
      </c>
      <c r="E888" s="2">
        <v>358</v>
      </c>
      <c r="F888" s="2">
        <v>32441</v>
      </c>
      <c r="G888" s="2">
        <v>6.6822123309999997</v>
      </c>
      <c r="H888" s="3">
        <v>2.7400000000000001E-20</v>
      </c>
      <c r="I888" s="2" t="s">
        <v>7014</v>
      </c>
      <c r="J888" s="2" t="s">
        <v>7015</v>
      </c>
      <c r="K888" s="3">
        <v>7.8299999999999999E-19</v>
      </c>
      <c r="L888" s="2" t="s">
        <v>637</v>
      </c>
      <c r="M888" s="4" t="s">
        <v>7016</v>
      </c>
    </row>
    <row r="889" spans="1:13">
      <c r="A889" s="2">
        <v>6031</v>
      </c>
      <c r="B889" s="2" t="s">
        <v>7017</v>
      </c>
      <c r="C889" s="2">
        <v>28</v>
      </c>
      <c r="D889" s="2">
        <v>556</v>
      </c>
      <c r="E889" s="2">
        <v>141</v>
      </c>
      <c r="F889" s="2">
        <v>32441</v>
      </c>
      <c r="G889" s="2">
        <v>11.58666258</v>
      </c>
      <c r="H889" s="3">
        <v>9.1699999999999999E-20</v>
      </c>
      <c r="I889" s="2" t="s">
        <v>7018</v>
      </c>
      <c r="J889" s="2" t="s">
        <v>7019</v>
      </c>
      <c r="K889" s="3">
        <v>2.54E-18</v>
      </c>
      <c r="L889" s="2" t="s">
        <v>637</v>
      </c>
      <c r="M889" s="4" t="s">
        <v>7020</v>
      </c>
    </row>
    <row r="890" spans="1:13">
      <c r="A890" s="2">
        <v>4861</v>
      </c>
      <c r="B890" s="2" t="s">
        <v>7021</v>
      </c>
      <c r="C890" s="2">
        <v>32</v>
      </c>
      <c r="D890" s="2">
        <v>556</v>
      </c>
      <c r="E890" s="2">
        <v>212</v>
      </c>
      <c r="F890" s="2">
        <v>32441</v>
      </c>
      <c r="G890" s="2">
        <v>8.8071128000000005</v>
      </c>
      <c r="H890" s="3">
        <v>3.0399999999999998E-19</v>
      </c>
      <c r="I890" s="2" t="s">
        <v>7022</v>
      </c>
      <c r="J890" s="2" t="s">
        <v>7023</v>
      </c>
      <c r="K890" s="3">
        <v>8.1599999999999997E-18</v>
      </c>
      <c r="L890" s="2" t="s">
        <v>637</v>
      </c>
      <c r="M890" s="4" t="s">
        <v>7024</v>
      </c>
    </row>
    <row r="891" spans="1:13">
      <c r="A891" s="2">
        <v>738</v>
      </c>
      <c r="B891" s="2" t="s">
        <v>7025</v>
      </c>
      <c r="C891" s="2">
        <v>28</v>
      </c>
      <c r="D891" s="2">
        <v>556</v>
      </c>
      <c r="E891" s="2">
        <v>151</v>
      </c>
      <c r="F891" s="2">
        <v>32441</v>
      </c>
      <c r="G891" s="2">
        <v>10.81933394</v>
      </c>
      <c r="H891" s="3">
        <v>4.5100000000000005E-19</v>
      </c>
      <c r="I891" s="2" t="s">
        <v>7026</v>
      </c>
      <c r="J891" s="2" t="s">
        <v>7027</v>
      </c>
      <c r="K891" s="3">
        <v>1.1699999999999999E-17</v>
      </c>
      <c r="L891" s="2" t="s">
        <v>637</v>
      </c>
      <c r="M891" s="4" t="s">
        <v>7028</v>
      </c>
    </row>
    <row r="892" spans="1:13">
      <c r="A892" s="2">
        <v>3761</v>
      </c>
      <c r="B892" s="2" t="s">
        <v>7029</v>
      </c>
      <c r="C892" s="2">
        <v>20</v>
      </c>
      <c r="D892" s="2">
        <v>556</v>
      </c>
      <c r="E892" s="2">
        <v>57</v>
      </c>
      <c r="F892" s="2">
        <v>32441</v>
      </c>
      <c r="G892" s="2">
        <v>20.472674489999999</v>
      </c>
      <c r="H892" s="3">
        <v>1.4700000000000001E-18</v>
      </c>
      <c r="I892" s="2" t="s">
        <v>7030</v>
      </c>
      <c r="J892" s="2" t="s">
        <v>7031</v>
      </c>
      <c r="K892" s="3">
        <v>3.6999999999999997E-17</v>
      </c>
      <c r="L892" s="2" t="s">
        <v>637</v>
      </c>
      <c r="M892" s="4" t="s">
        <v>7032</v>
      </c>
    </row>
    <row r="893" spans="1:13">
      <c r="A893" s="2">
        <v>3961</v>
      </c>
      <c r="B893" s="2" t="s">
        <v>7033</v>
      </c>
      <c r="C893" s="2">
        <v>21</v>
      </c>
      <c r="D893" s="2">
        <v>556</v>
      </c>
      <c r="E893" s="2">
        <v>68</v>
      </c>
      <c r="F893" s="2">
        <v>32441</v>
      </c>
      <c r="G893" s="2">
        <v>18.018964239999999</v>
      </c>
      <c r="H893" s="3">
        <v>1.7800000000000002E-18</v>
      </c>
      <c r="I893" s="2" t="s">
        <v>7034</v>
      </c>
      <c r="J893" s="2" t="s">
        <v>7035</v>
      </c>
      <c r="K893" s="3">
        <v>4.3499999999999998E-17</v>
      </c>
      <c r="L893" s="2" t="s">
        <v>637</v>
      </c>
      <c r="M893" s="4" t="s">
        <v>7036</v>
      </c>
    </row>
    <row r="894" spans="1:13">
      <c r="A894" s="2">
        <v>333</v>
      </c>
      <c r="B894" s="2" t="s">
        <v>7037</v>
      </c>
      <c r="C894" s="2">
        <v>18</v>
      </c>
      <c r="D894" s="2">
        <v>556</v>
      </c>
      <c r="E894" s="2">
        <v>40</v>
      </c>
      <c r="F894" s="2">
        <v>32441</v>
      </c>
      <c r="G894" s="2">
        <v>26.256205040000001</v>
      </c>
      <c r="H894" s="3">
        <v>2.1999999999999998E-18</v>
      </c>
      <c r="I894" s="2" t="s">
        <v>7038</v>
      </c>
      <c r="J894" s="2" t="s">
        <v>7039</v>
      </c>
      <c r="K894" s="3">
        <v>5.2500000000000003E-17</v>
      </c>
      <c r="L894" s="2" t="s">
        <v>637</v>
      </c>
      <c r="M894" s="4" t="s">
        <v>7040</v>
      </c>
    </row>
    <row r="895" spans="1:13">
      <c r="A895" s="2">
        <v>476</v>
      </c>
      <c r="B895" s="2" t="s">
        <v>7041</v>
      </c>
      <c r="C895" s="2">
        <v>40</v>
      </c>
      <c r="D895" s="2">
        <v>556</v>
      </c>
      <c r="E895" s="2">
        <v>405</v>
      </c>
      <c r="F895" s="2">
        <v>32441</v>
      </c>
      <c r="G895" s="2">
        <v>5.7626787459999997</v>
      </c>
      <c r="H895" s="3">
        <v>9.3300000000000004E-18</v>
      </c>
      <c r="I895" s="2" t="s">
        <v>7042</v>
      </c>
      <c r="J895" s="2" t="s">
        <v>7043</v>
      </c>
      <c r="K895" s="3">
        <v>2.1600000000000001E-16</v>
      </c>
      <c r="L895" s="2" t="s">
        <v>637</v>
      </c>
      <c r="M895" s="4" t="s">
        <v>7044</v>
      </c>
    </row>
    <row r="896" spans="1:13">
      <c r="A896" s="2">
        <v>692</v>
      </c>
      <c r="B896" s="2" t="s">
        <v>7045</v>
      </c>
      <c r="C896" s="2">
        <v>27</v>
      </c>
      <c r="D896" s="2">
        <v>556</v>
      </c>
      <c r="E896" s="2">
        <v>160</v>
      </c>
      <c r="F896" s="2">
        <v>32441</v>
      </c>
      <c r="G896" s="2">
        <v>9.8460768880000007</v>
      </c>
      <c r="H896" s="3">
        <v>1.6099999999999999E-17</v>
      </c>
      <c r="I896" s="2" t="s">
        <v>7046</v>
      </c>
      <c r="J896" s="2" t="s">
        <v>7047</v>
      </c>
      <c r="K896" s="3">
        <v>3.6299999999999998E-16</v>
      </c>
      <c r="L896" s="2" t="s">
        <v>637</v>
      </c>
      <c r="M896" s="4" t="s">
        <v>7048</v>
      </c>
    </row>
    <row r="897" spans="1:13">
      <c r="A897" s="2">
        <v>541</v>
      </c>
      <c r="B897" s="2" t="s">
        <v>7049</v>
      </c>
      <c r="C897" s="2">
        <v>26</v>
      </c>
      <c r="D897" s="2">
        <v>556</v>
      </c>
      <c r="E897" s="2">
        <v>145</v>
      </c>
      <c r="F897" s="2">
        <v>32441</v>
      </c>
      <c r="G897" s="2">
        <v>10.46224262</v>
      </c>
      <c r="H897" s="3">
        <v>1.7299999999999999E-17</v>
      </c>
      <c r="I897" s="2" t="s">
        <v>7050</v>
      </c>
      <c r="J897" s="2" t="s">
        <v>7051</v>
      </c>
      <c r="K897" s="3">
        <v>3.8000000000000001E-16</v>
      </c>
      <c r="L897" s="2" t="s">
        <v>637</v>
      </c>
      <c r="M897" s="4" t="s">
        <v>7052</v>
      </c>
    </row>
    <row r="898" spans="1:13">
      <c r="A898" s="2">
        <v>334</v>
      </c>
      <c r="B898" s="2" t="s">
        <v>7053</v>
      </c>
      <c r="C898" s="2">
        <v>17</v>
      </c>
      <c r="D898" s="2">
        <v>556</v>
      </c>
      <c r="E898" s="2">
        <v>38</v>
      </c>
      <c r="F898" s="2">
        <v>32441</v>
      </c>
      <c r="G898" s="2">
        <v>26.102659979999999</v>
      </c>
      <c r="H898" s="3">
        <v>2.11E-17</v>
      </c>
      <c r="I898" s="2" t="s">
        <v>7054</v>
      </c>
      <c r="J898" s="2" t="s">
        <v>7055</v>
      </c>
      <c r="K898" s="3">
        <v>4.5200000000000005E-16</v>
      </c>
      <c r="L898" s="2" t="s">
        <v>637</v>
      </c>
      <c r="M898" s="4" t="s">
        <v>7056</v>
      </c>
    </row>
    <row r="899" spans="1:13">
      <c r="A899" s="2">
        <v>442</v>
      </c>
      <c r="B899" s="2" t="s">
        <v>7057</v>
      </c>
      <c r="C899" s="2">
        <v>44</v>
      </c>
      <c r="D899" s="2">
        <v>556</v>
      </c>
      <c r="E899" s="2">
        <v>511</v>
      </c>
      <c r="F899" s="2">
        <v>32441</v>
      </c>
      <c r="G899" s="2">
        <v>5.0240183590000003</v>
      </c>
      <c r="H899" s="3">
        <v>2.35E-17</v>
      </c>
      <c r="I899" s="2" t="s">
        <v>7058</v>
      </c>
      <c r="J899" s="2" t="s">
        <v>7059</v>
      </c>
      <c r="K899" s="3">
        <v>4.9300000000000002E-16</v>
      </c>
      <c r="L899" s="2" t="s">
        <v>637</v>
      </c>
      <c r="M899" s="4" t="s">
        <v>7060</v>
      </c>
    </row>
    <row r="900" spans="1:13">
      <c r="A900" s="2">
        <v>360</v>
      </c>
      <c r="B900" s="2" t="s">
        <v>7061</v>
      </c>
      <c r="C900" s="2">
        <v>17</v>
      </c>
      <c r="D900" s="2">
        <v>556</v>
      </c>
      <c r="E900" s="2">
        <v>39</v>
      </c>
      <c r="F900" s="2">
        <v>32441</v>
      </c>
      <c r="G900" s="2">
        <v>25.433361000000001</v>
      </c>
      <c r="H900" s="3">
        <v>2.9799999999999999E-17</v>
      </c>
      <c r="I900" s="2" t="s">
        <v>7062</v>
      </c>
      <c r="J900" s="2" t="s">
        <v>7063</v>
      </c>
      <c r="K900" s="3">
        <v>6.0900000000000004E-16</v>
      </c>
      <c r="L900" s="2" t="s">
        <v>637</v>
      </c>
      <c r="M900" s="4" t="s">
        <v>7064</v>
      </c>
    </row>
    <row r="901" spans="1:13">
      <c r="A901" s="2">
        <v>498</v>
      </c>
      <c r="B901" s="2" t="s">
        <v>7065</v>
      </c>
      <c r="C901" s="2">
        <v>21</v>
      </c>
      <c r="D901" s="2">
        <v>556</v>
      </c>
      <c r="E901" s="2">
        <v>81</v>
      </c>
      <c r="F901" s="2">
        <v>32441</v>
      </c>
      <c r="G901" s="2">
        <v>15.127031710000001</v>
      </c>
      <c r="H901" s="3">
        <v>3.6099999999999997E-17</v>
      </c>
      <c r="I901" s="2" t="s">
        <v>7066</v>
      </c>
      <c r="J901" s="2" t="s">
        <v>7067</v>
      </c>
      <c r="K901" s="3">
        <v>7.1399999999999997E-16</v>
      </c>
      <c r="L901" s="2" t="s">
        <v>637</v>
      </c>
      <c r="M901" s="4" t="s">
        <v>7068</v>
      </c>
    </row>
    <row r="902" spans="1:13">
      <c r="A902" s="2">
        <v>644</v>
      </c>
      <c r="B902" s="2" t="s">
        <v>7069</v>
      </c>
      <c r="C902" s="2">
        <v>27</v>
      </c>
      <c r="D902" s="2">
        <v>556</v>
      </c>
      <c r="E902" s="2">
        <v>166</v>
      </c>
      <c r="F902" s="2">
        <v>32441</v>
      </c>
      <c r="G902" s="2">
        <v>9.4901945909999998</v>
      </c>
      <c r="H902" s="3">
        <v>3.6599999999999999E-17</v>
      </c>
      <c r="I902" s="2" t="s">
        <v>7046</v>
      </c>
      <c r="J902" s="2" t="s">
        <v>7047</v>
      </c>
      <c r="K902" s="3">
        <v>7.1399999999999997E-16</v>
      </c>
      <c r="L902" s="2" t="s">
        <v>637</v>
      </c>
      <c r="M902" s="4" t="s">
        <v>7070</v>
      </c>
    </row>
    <row r="903" spans="1:13">
      <c r="A903" s="2">
        <v>353</v>
      </c>
      <c r="B903" s="2" t="s">
        <v>7071</v>
      </c>
      <c r="C903" s="2">
        <v>17</v>
      </c>
      <c r="D903" s="2">
        <v>556</v>
      </c>
      <c r="E903" s="2">
        <v>41</v>
      </c>
      <c r="F903" s="2">
        <v>32441</v>
      </c>
      <c r="G903" s="2">
        <v>24.19270925</v>
      </c>
      <c r="H903" s="3">
        <v>5.8300000000000006E-17</v>
      </c>
      <c r="I903" s="2" t="s">
        <v>7072</v>
      </c>
      <c r="J903" s="2" t="s">
        <v>7073</v>
      </c>
      <c r="K903" s="3">
        <v>1.1100000000000001E-15</v>
      </c>
      <c r="L903" s="2" t="s">
        <v>637</v>
      </c>
      <c r="M903" s="4" t="s">
        <v>7074</v>
      </c>
    </row>
    <row r="904" spans="1:13">
      <c r="A904" s="2">
        <v>394</v>
      </c>
      <c r="B904" s="2" t="s">
        <v>7075</v>
      </c>
      <c r="C904" s="2">
        <v>18</v>
      </c>
      <c r="D904" s="2">
        <v>556</v>
      </c>
      <c r="E904" s="2">
        <v>51</v>
      </c>
      <c r="F904" s="2">
        <v>32441</v>
      </c>
      <c r="G904" s="2">
        <v>20.593101990000001</v>
      </c>
      <c r="H904" s="3">
        <v>7.0999999999999995E-17</v>
      </c>
      <c r="I904" s="2" t="s">
        <v>7076</v>
      </c>
      <c r="J904" s="2" t="s">
        <v>7077</v>
      </c>
      <c r="K904" s="3">
        <v>1.3299999999999999E-15</v>
      </c>
      <c r="L904" s="2" t="s">
        <v>637</v>
      </c>
      <c r="M904" s="4" t="s">
        <v>7078</v>
      </c>
    </row>
    <row r="905" spans="1:13">
      <c r="A905" s="2">
        <v>3281</v>
      </c>
      <c r="B905" s="2" t="s">
        <v>7079</v>
      </c>
      <c r="C905" s="2">
        <v>16</v>
      </c>
      <c r="D905" s="2">
        <v>556</v>
      </c>
      <c r="E905" s="2">
        <v>35</v>
      </c>
      <c r="F905" s="2">
        <v>32441</v>
      </c>
      <c r="G905" s="2">
        <v>26.672970200000002</v>
      </c>
      <c r="H905" s="3">
        <v>1.4199999999999999E-16</v>
      </c>
      <c r="I905" s="2" t="s">
        <v>7080</v>
      </c>
      <c r="J905" s="2" t="s">
        <v>7081</v>
      </c>
      <c r="K905" s="3">
        <v>2.5899999999999999E-15</v>
      </c>
      <c r="L905" s="2" t="s">
        <v>637</v>
      </c>
      <c r="M905" s="4" t="s">
        <v>7082</v>
      </c>
    </row>
    <row r="906" spans="1:13">
      <c r="A906" s="2">
        <v>3521</v>
      </c>
      <c r="B906" s="2" t="s">
        <v>7083</v>
      </c>
      <c r="C906" s="2">
        <v>15</v>
      </c>
      <c r="D906" s="2">
        <v>556</v>
      </c>
      <c r="E906" s="2">
        <v>32</v>
      </c>
      <c r="F906" s="2">
        <v>32441</v>
      </c>
      <c r="G906" s="2">
        <v>27.350213579999998</v>
      </c>
      <c r="H906" s="3">
        <v>9.5100000000000007E-16</v>
      </c>
      <c r="I906" s="2" t="s">
        <v>7084</v>
      </c>
      <c r="J906" s="2" t="s">
        <v>7085</v>
      </c>
      <c r="K906" s="3">
        <v>1.7E-14</v>
      </c>
      <c r="L906" s="2" t="s">
        <v>637</v>
      </c>
      <c r="M906" s="4" t="s">
        <v>7086</v>
      </c>
    </row>
    <row r="907" spans="1:13">
      <c r="A907" s="2">
        <v>483</v>
      </c>
      <c r="B907" s="2" t="s">
        <v>7087</v>
      </c>
      <c r="C907" s="2">
        <v>38</v>
      </c>
      <c r="D907" s="2">
        <v>556</v>
      </c>
      <c r="E907" s="2">
        <v>425</v>
      </c>
      <c r="F907" s="2">
        <v>32441</v>
      </c>
      <c r="G907" s="2">
        <v>5.2169191709999998</v>
      </c>
      <c r="H907" s="3">
        <v>1.24E-15</v>
      </c>
      <c r="I907" s="2" t="s">
        <v>7088</v>
      </c>
      <c r="J907" s="2" t="s">
        <v>7089</v>
      </c>
      <c r="K907" s="3">
        <v>2.1799999999999999E-14</v>
      </c>
      <c r="L907" s="2" t="s">
        <v>637</v>
      </c>
      <c r="M907" s="4" t="s">
        <v>7090</v>
      </c>
    </row>
    <row r="908" spans="1:13">
      <c r="A908" s="2">
        <v>4091</v>
      </c>
      <c r="B908" s="2" t="s">
        <v>7091</v>
      </c>
      <c r="C908" s="2">
        <v>15</v>
      </c>
      <c r="D908" s="2">
        <v>556</v>
      </c>
      <c r="E908" s="2">
        <v>34</v>
      </c>
      <c r="F908" s="2">
        <v>32441</v>
      </c>
      <c r="G908" s="2">
        <v>25.741377490000001</v>
      </c>
      <c r="H908" s="3">
        <v>1.9299999999999998E-15</v>
      </c>
      <c r="I908" s="2" t="s">
        <v>7092</v>
      </c>
      <c r="J908" s="2" t="s">
        <v>7093</v>
      </c>
      <c r="K908" s="3">
        <v>3.32E-14</v>
      </c>
      <c r="L908" s="2" t="s">
        <v>637</v>
      </c>
      <c r="M908" s="4" t="s">
        <v>7094</v>
      </c>
    </row>
    <row r="909" spans="1:13">
      <c r="A909" s="2">
        <v>365</v>
      </c>
      <c r="B909" s="2" t="s">
        <v>7095</v>
      </c>
      <c r="C909" s="2">
        <v>17</v>
      </c>
      <c r="D909" s="2">
        <v>556</v>
      </c>
      <c r="E909" s="2">
        <v>55</v>
      </c>
      <c r="F909" s="2">
        <v>32441</v>
      </c>
      <c r="G909" s="2">
        <v>18.03456508</v>
      </c>
      <c r="H909" s="3">
        <v>3.2199999999999999E-15</v>
      </c>
      <c r="I909" s="2" t="s">
        <v>7096</v>
      </c>
      <c r="J909" s="2" t="s">
        <v>7097</v>
      </c>
      <c r="K909" s="3">
        <v>5.4099999999999998E-14</v>
      </c>
      <c r="L909" s="2" t="s">
        <v>637</v>
      </c>
      <c r="M909" s="4" t="s">
        <v>7098</v>
      </c>
    </row>
    <row r="910" spans="1:13">
      <c r="A910" s="2">
        <v>363</v>
      </c>
      <c r="B910" s="2" t="s">
        <v>7099</v>
      </c>
      <c r="C910" s="2">
        <v>16</v>
      </c>
      <c r="D910" s="2">
        <v>556</v>
      </c>
      <c r="E910" s="2">
        <v>47</v>
      </c>
      <c r="F910" s="2">
        <v>32441</v>
      </c>
      <c r="G910" s="2">
        <v>19.86285015</v>
      </c>
      <c r="H910" s="3">
        <v>6.02E-15</v>
      </c>
      <c r="I910" s="2" t="s">
        <v>7100</v>
      </c>
      <c r="J910" s="2" t="s">
        <v>7101</v>
      </c>
      <c r="K910" s="3">
        <v>9.9399999999999998E-14</v>
      </c>
      <c r="L910" s="2" t="s">
        <v>637</v>
      </c>
      <c r="M910" s="4" t="s">
        <v>7102</v>
      </c>
    </row>
    <row r="911" spans="1:13">
      <c r="A911" s="2">
        <v>3321</v>
      </c>
      <c r="B911" s="2" t="s">
        <v>7103</v>
      </c>
      <c r="C911" s="2">
        <v>17</v>
      </c>
      <c r="D911" s="2">
        <v>556</v>
      </c>
      <c r="E911" s="2">
        <v>58</v>
      </c>
      <c r="F911" s="2">
        <v>32441</v>
      </c>
      <c r="G911" s="2">
        <v>17.101742739999999</v>
      </c>
      <c r="H911" s="3">
        <v>6.7200000000000003E-15</v>
      </c>
      <c r="I911" s="2" t="s">
        <v>7104</v>
      </c>
      <c r="J911" s="2" t="s">
        <v>7105</v>
      </c>
      <c r="K911" s="3">
        <v>1.09E-13</v>
      </c>
      <c r="L911" s="2" t="s">
        <v>637</v>
      </c>
      <c r="M911" s="4" t="s">
        <v>7106</v>
      </c>
    </row>
    <row r="912" spans="1:13">
      <c r="A912" s="2">
        <v>3842</v>
      </c>
      <c r="B912" s="2" t="s">
        <v>7107</v>
      </c>
      <c r="C912" s="2">
        <v>16</v>
      </c>
      <c r="D912" s="2">
        <v>556</v>
      </c>
      <c r="E912" s="2">
        <v>60</v>
      </c>
      <c r="F912" s="2">
        <v>32441</v>
      </c>
      <c r="G912" s="2">
        <v>15.55923261</v>
      </c>
      <c r="H912" s="3">
        <v>1.4499999999999999E-13</v>
      </c>
      <c r="I912" s="2" t="s">
        <v>7108</v>
      </c>
      <c r="J912" s="2" t="s">
        <v>7109</v>
      </c>
      <c r="K912" s="3">
        <v>2.3100000000000001E-12</v>
      </c>
      <c r="L912" s="2" t="s">
        <v>637</v>
      </c>
      <c r="M912" s="4" t="s">
        <v>7110</v>
      </c>
    </row>
    <row r="913" spans="1:13">
      <c r="A913" s="2">
        <v>530</v>
      </c>
      <c r="B913" s="2" t="s">
        <v>7111</v>
      </c>
      <c r="C913" s="2">
        <v>15</v>
      </c>
      <c r="D913" s="2">
        <v>556</v>
      </c>
      <c r="E913" s="2">
        <v>56</v>
      </c>
      <c r="F913" s="2">
        <v>32441</v>
      </c>
      <c r="G913" s="2">
        <v>15.62869347</v>
      </c>
      <c r="H913" s="3">
        <v>7.9900000000000003E-13</v>
      </c>
      <c r="I913" s="2" t="s">
        <v>7112</v>
      </c>
      <c r="J913" s="2" t="s">
        <v>7113</v>
      </c>
      <c r="K913" s="3">
        <v>1.25E-11</v>
      </c>
      <c r="L913" s="2" t="s">
        <v>637</v>
      </c>
      <c r="M913" s="4" t="s">
        <v>7114</v>
      </c>
    </row>
    <row r="914" spans="1:13">
      <c r="A914" s="2">
        <v>326</v>
      </c>
      <c r="B914" s="2" t="s">
        <v>7115</v>
      </c>
      <c r="C914" s="2">
        <v>12</v>
      </c>
      <c r="D914" s="2">
        <v>556</v>
      </c>
      <c r="E914" s="2">
        <v>27</v>
      </c>
      <c r="F914" s="2">
        <v>32441</v>
      </c>
      <c r="G914" s="2">
        <v>25.932054359999999</v>
      </c>
      <c r="H914" s="3">
        <v>1.1999999999999999E-12</v>
      </c>
      <c r="I914" s="2" t="s">
        <v>7116</v>
      </c>
      <c r="J914" s="2" t="s">
        <v>7117</v>
      </c>
      <c r="K914" s="3">
        <v>1.8399999999999999E-11</v>
      </c>
      <c r="L914" s="2" t="s">
        <v>637</v>
      </c>
      <c r="M914" s="4" t="s">
        <v>7118</v>
      </c>
    </row>
    <row r="915" spans="1:13">
      <c r="A915" s="2">
        <v>540</v>
      </c>
      <c r="B915" s="2" t="s">
        <v>7119</v>
      </c>
      <c r="C915" s="2">
        <v>33</v>
      </c>
      <c r="D915" s="2">
        <v>556</v>
      </c>
      <c r="E915" s="2">
        <v>410</v>
      </c>
      <c r="F915" s="2">
        <v>32441</v>
      </c>
      <c r="G915" s="2">
        <v>4.6962317950000001</v>
      </c>
      <c r="H915" s="3">
        <v>1.43E-12</v>
      </c>
      <c r="I915" s="2" t="s">
        <v>7120</v>
      </c>
      <c r="J915" s="2" t="s">
        <v>7121</v>
      </c>
      <c r="K915" s="3">
        <v>2.15E-11</v>
      </c>
      <c r="L915" s="2" t="s">
        <v>637</v>
      </c>
      <c r="M915" s="4" t="s">
        <v>7122</v>
      </c>
    </row>
    <row r="916" spans="1:13">
      <c r="A916" s="2">
        <v>761</v>
      </c>
      <c r="B916" s="2" t="s">
        <v>7123</v>
      </c>
      <c r="C916" s="2">
        <v>14</v>
      </c>
      <c r="D916" s="2">
        <v>556</v>
      </c>
      <c r="E916" s="2">
        <v>52</v>
      </c>
      <c r="F916" s="2">
        <v>32441</v>
      </c>
      <c r="G916" s="2">
        <v>15.70884062</v>
      </c>
      <c r="H916" s="3">
        <v>4.3899999999999997E-12</v>
      </c>
      <c r="I916" s="2" t="s">
        <v>7124</v>
      </c>
      <c r="J916" s="2" t="s">
        <v>7125</v>
      </c>
      <c r="K916" s="3">
        <v>6.4900000000000003E-11</v>
      </c>
      <c r="L916" s="2" t="s">
        <v>637</v>
      </c>
      <c r="M916" s="4" t="s">
        <v>7126</v>
      </c>
    </row>
    <row r="917" spans="1:13">
      <c r="A917" s="2">
        <v>3641</v>
      </c>
      <c r="B917" s="2" t="s">
        <v>7127</v>
      </c>
      <c r="C917" s="2">
        <v>13</v>
      </c>
      <c r="D917" s="2">
        <v>556</v>
      </c>
      <c r="E917" s="2">
        <v>43</v>
      </c>
      <c r="F917" s="2">
        <v>32441</v>
      </c>
      <c r="G917" s="2">
        <v>17.639827669999999</v>
      </c>
      <c r="H917" s="3">
        <v>7.4899999999999998E-12</v>
      </c>
      <c r="I917" s="2" t="s">
        <v>7128</v>
      </c>
      <c r="J917" s="2" t="s">
        <v>7129</v>
      </c>
      <c r="K917" s="3">
        <v>1.09E-10</v>
      </c>
      <c r="L917" s="2" t="s">
        <v>637</v>
      </c>
      <c r="M917" s="4" t="s">
        <v>7130</v>
      </c>
    </row>
    <row r="918" spans="1:13">
      <c r="A918" s="2">
        <v>5641</v>
      </c>
      <c r="B918" s="2" t="s">
        <v>7131</v>
      </c>
      <c r="C918" s="2">
        <v>18</v>
      </c>
      <c r="D918" s="2">
        <v>556</v>
      </c>
      <c r="E918" s="2">
        <v>112</v>
      </c>
      <c r="F918" s="2">
        <v>32441</v>
      </c>
      <c r="G918" s="2">
        <v>9.3772160840000005</v>
      </c>
      <c r="H918" s="3">
        <v>8.1699999999999993E-12</v>
      </c>
      <c r="I918" s="2" t="s">
        <v>7132</v>
      </c>
      <c r="J918" s="2" t="s">
        <v>7133</v>
      </c>
      <c r="K918" s="3">
        <v>1.1700000000000001E-10</v>
      </c>
      <c r="L918" s="2" t="s">
        <v>637</v>
      </c>
      <c r="M918" s="4" t="s">
        <v>7134</v>
      </c>
    </row>
    <row r="919" spans="1:13">
      <c r="A919" s="2">
        <v>586</v>
      </c>
      <c r="B919" s="2" t="s">
        <v>7135</v>
      </c>
      <c r="C919" s="2">
        <v>17</v>
      </c>
      <c r="D919" s="2">
        <v>556</v>
      </c>
      <c r="E919" s="2">
        <v>97</v>
      </c>
      <c r="F919" s="2">
        <v>32441</v>
      </c>
      <c r="G919" s="2">
        <v>10.225784320000001</v>
      </c>
      <c r="H919" s="3">
        <v>9.1899999999999994E-12</v>
      </c>
      <c r="I919" s="2" t="s">
        <v>7136</v>
      </c>
      <c r="J919" s="2" t="s">
        <v>7137</v>
      </c>
      <c r="K919" s="3">
        <v>1.2899999999999999E-10</v>
      </c>
      <c r="L919" s="2" t="s">
        <v>637</v>
      </c>
      <c r="M919" s="4" t="s">
        <v>7138</v>
      </c>
    </row>
    <row r="920" spans="1:13">
      <c r="A920" s="2">
        <v>399</v>
      </c>
      <c r="B920" s="2" t="s">
        <v>7139</v>
      </c>
      <c r="C920" s="2">
        <v>12</v>
      </c>
      <c r="D920" s="2">
        <v>556</v>
      </c>
      <c r="E920" s="2">
        <v>34</v>
      </c>
      <c r="F920" s="2">
        <v>32441</v>
      </c>
      <c r="G920" s="2">
        <v>20.593101990000001</v>
      </c>
      <c r="H920" s="3">
        <v>1.0799999999999999E-11</v>
      </c>
      <c r="I920" s="2" t="s">
        <v>7140</v>
      </c>
      <c r="J920" s="2" t="s">
        <v>7141</v>
      </c>
      <c r="K920" s="3">
        <v>1.49E-10</v>
      </c>
      <c r="L920" s="2" t="s">
        <v>637</v>
      </c>
      <c r="M920" s="4" t="s">
        <v>7142</v>
      </c>
    </row>
    <row r="921" spans="1:13">
      <c r="A921" s="2">
        <v>426</v>
      </c>
      <c r="B921" s="2" t="s">
        <v>7143</v>
      </c>
      <c r="C921" s="2">
        <v>12</v>
      </c>
      <c r="D921" s="2">
        <v>556</v>
      </c>
      <c r="E921" s="2">
        <v>36</v>
      </c>
      <c r="F921" s="2">
        <v>32441</v>
      </c>
      <c r="G921" s="2">
        <v>19.44904077</v>
      </c>
      <c r="H921" s="3">
        <v>1.8700000000000001E-11</v>
      </c>
      <c r="I921" s="2" t="s">
        <v>7144</v>
      </c>
      <c r="J921" s="2" t="s">
        <v>7145</v>
      </c>
      <c r="K921" s="3">
        <v>2.55E-10</v>
      </c>
      <c r="L921" s="2" t="s">
        <v>637</v>
      </c>
      <c r="M921" s="4" t="s">
        <v>7146</v>
      </c>
    </row>
    <row r="922" spans="1:13">
      <c r="A922" s="2">
        <v>395</v>
      </c>
      <c r="B922" s="2" t="s">
        <v>7147</v>
      </c>
      <c r="C922" s="2">
        <v>13</v>
      </c>
      <c r="D922" s="2">
        <v>556</v>
      </c>
      <c r="E922" s="2">
        <v>47</v>
      </c>
      <c r="F922" s="2">
        <v>32441</v>
      </c>
      <c r="G922" s="2">
        <v>16.138565740000001</v>
      </c>
      <c r="H922" s="3">
        <v>1.9300000000000001E-11</v>
      </c>
      <c r="I922" s="2" t="s">
        <v>7148</v>
      </c>
      <c r="J922" s="2" t="s">
        <v>7149</v>
      </c>
      <c r="K922" s="3">
        <v>2.5799999999999999E-10</v>
      </c>
      <c r="L922" s="2" t="s">
        <v>637</v>
      </c>
      <c r="M922" s="4" t="s">
        <v>7150</v>
      </c>
    </row>
    <row r="923" spans="1:13">
      <c r="A923" s="2">
        <v>408</v>
      </c>
      <c r="B923" s="2" t="s">
        <v>7151</v>
      </c>
      <c r="C923" s="2">
        <v>11</v>
      </c>
      <c r="D923" s="2">
        <v>556</v>
      </c>
      <c r="E923" s="2">
        <v>28</v>
      </c>
      <c r="F923" s="2">
        <v>32441</v>
      </c>
      <c r="G923" s="2">
        <v>22.92208376</v>
      </c>
      <c r="H923" s="3">
        <v>3.08E-11</v>
      </c>
      <c r="I923" s="2" t="s">
        <v>7152</v>
      </c>
      <c r="J923" s="2" t="s">
        <v>7153</v>
      </c>
      <c r="K923" s="3">
        <v>4.0699999999999999E-10</v>
      </c>
      <c r="L923" s="2" t="s">
        <v>637</v>
      </c>
      <c r="M923" s="4" t="s">
        <v>7154</v>
      </c>
    </row>
    <row r="924" spans="1:13">
      <c r="A924" s="2">
        <v>6641</v>
      </c>
      <c r="B924" s="2" t="s">
        <v>7155</v>
      </c>
      <c r="C924" s="2">
        <v>12</v>
      </c>
      <c r="D924" s="2">
        <v>556</v>
      </c>
      <c r="E924" s="2">
        <v>45</v>
      </c>
      <c r="F924" s="2">
        <v>32441</v>
      </c>
      <c r="G924" s="2">
        <v>15.55923261</v>
      </c>
      <c r="H924" s="3">
        <v>1.65E-10</v>
      </c>
      <c r="I924" s="2" t="s">
        <v>7156</v>
      </c>
      <c r="J924" s="2" t="s">
        <v>7157</v>
      </c>
      <c r="K924" s="3">
        <v>2.1499999999999998E-9</v>
      </c>
      <c r="L924" s="2" t="s">
        <v>637</v>
      </c>
      <c r="M924" s="4" t="s">
        <v>7158</v>
      </c>
    </row>
    <row r="925" spans="1:13">
      <c r="A925" s="2">
        <v>3741</v>
      </c>
      <c r="B925" s="2" t="s">
        <v>7159</v>
      </c>
      <c r="C925" s="2">
        <v>10</v>
      </c>
      <c r="D925" s="2">
        <v>556</v>
      </c>
      <c r="E925" s="2">
        <v>25</v>
      </c>
      <c r="F925" s="2">
        <v>32441</v>
      </c>
      <c r="G925" s="2">
        <v>23.33884892</v>
      </c>
      <c r="H925" s="3">
        <v>2.1400000000000001E-10</v>
      </c>
      <c r="I925" s="2" t="s">
        <v>7160</v>
      </c>
      <c r="J925" s="2" t="s">
        <v>7161</v>
      </c>
      <c r="K925" s="3">
        <v>2.7400000000000001E-9</v>
      </c>
      <c r="L925" s="2" t="s">
        <v>637</v>
      </c>
      <c r="M925" s="4" t="s">
        <v>7162</v>
      </c>
    </row>
    <row r="926" spans="1:13">
      <c r="A926" s="2">
        <v>357</v>
      </c>
      <c r="B926" s="2" t="s">
        <v>7163</v>
      </c>
      <c r="C926" s="2">
        <v>12</v>
      </c>
      <c r="D926" s="2">
        <v>556</v>
      </c>
      <c r="E926" s="2">
        <v>47</v>
      </c>
      <c r="F926" s="2">
        <v>32441</v>
      </c>
      <c r="G926" s="2">
        <v>14.89713761</v>
      </c>
      <c r="H926" s="3">
        <v>2.54E-10</v>
      </c>
      <c r="I926" s="2" t="s">
        <v>7164</v>
      </c>
      <c r="J926" s="2" t="s">
        <v>7165</v>
      </c>
      <c r="K926" s="3">
        <v>3.2000000000000001E-9</v>
      </c>
      <c r="L926" s="2" t="s">
        <v>637</v>
      </c>
      <c r="M926" s="4" t="s">
        <v>7166</v>
      </c>
    </row>
    <row r="927" spans="1:13">
      <c r="A927" s="2">
        <v>747</v>
      </c>
      <c r="B927" s="2" t="s">
        <v>7167</v>
      </c>
      <c r="C927" s="2">
        <v>15</v>
      </c>
      <c r="D927" s="2">
        <v>556</v>
      </c>
      <c r="E927" s="2">
        <v>90</v>
      </c>
      <c r="F927" s="2">
        <v>32441</v>
      </c>
      <c r="G927" s="2">
        <v>9.7245203839999999</v>
      </c>
      <c r="H927" s="3">
        <v>2.8699999999999999E-10</v>
      </c>
      <c r="I927" s="2" t="s">
        <v>7168</v>
      </c>
      <c r="J927" s="2" t="s">
        <v>7169</v>
      </c>
      <c r="K927" s="3">
        <v>3.5699999999999999E-9</v>
      </c>
      <c r="L927" s="2" t="s">
        <v>637</v>
      </c>
      <c r="M927" s="4" t="s">
        <v>7170</v>
      </c>
    </row>
    <row r="928" spans="1:13">
      <c r="A928" s="2">
        <v>427</v>
      </c>
      <c r="B928" s="2" t="s">
        <v>7171</v>
      </c>
      <c r="C928" s="2">
        <v>10</v>
      </c>
      <c r="D928" s="2">
        <v>556</v>
      </c>
      <c r="E928" s="2">
        <v>27</v>
      </c>
      <c r="F928" s="2">
        <v>32441</v>
      </c>
      <c r="G928" s="2">
        <v>21.610045299999999</v>
      </c>
      <c r="H928" s="3">
        <v>3.9399999999999998E-10</v>
      </c>
      <c r="I928" s="2" t="s">
        <v>7172</v>
      </c>
      <c r="J928" s="2" t="s">
        <v>7173</v>
      </c>
      <c r="K928" s="3">
        <v>4.8300000000000001E-9</v>
      </c>
      <c r="L928" s="2" t="s">
        <v>637</v>
      </c>
      <c r="M928" s="4" t="s">
        <v>7174</v>
      </c>
    </row>
    <row r="929" spans="1:13">
      <c r="A929" s="2">
        <v>4151</v>
      </c>
      <c r="B929" s="2" t="s">
        <v>7175</v>
      </c>
      <c r="C929" s="2">
        <v>14</v>
      </c>
      <c r="D929" s="2">
        <v>556</v>
      </c>
      <c r="E929" s="2">
        <v>79</v>
      </c>
      <c r="F929" s="2">
        <v>32441</v>
      </c>
      <c r="G929" s="2">
        <v>10.339996360000001</v>
      </c>
      <c r="H929" s="3">
        <v>5.5400000000000005E-10</v>
      </c>
      <c r="I929" s="2" t="s">
        <v>7176</v>
      </c>
      <c r="J929" s="2" t="s">
        <v>7177</v>
      </c>
      <c r="K929" s="3">
        <v>6.6999999999999996E-9</v>
      </c>
      <c r="L929" s="2" t="s">
        <v>637</v>
      </c>
      <c r="M929" s="4" t="s">
        <v>7178</v>
      </c>
    </row>
    <row r="930" spans="1:13">
      <c r="A930" s="2">
        <v>556</v>
      </c>
      <c r="B930" s="2" t="s">
        <v>7179</v>
      </c>
      <c r="C930" s="2">
        <v>10</v>
      </c>
      <c r="D930" s="2">
        <v>556</v>
      </c>
      <c r="E930" s="2">
        <v>30</v>
      </c>
      <c r="F930" s="2">
        <v>32441</v>
      </c>
      <c r="G930" s="2">
        <v>19.44904077</v>
      </c>
      <c r="H930" s="3">
        <v>9.1700000000000004E-10</v>
      </c>
      <c r="I930" s="2" t="s">
        <v>7180</v>
      </c>
      <c r="J930" s="2" t="s">
        <v>7181</v>
      </c>
      <c r="K930" s="3">
        <v>1.09E-8</v>
      </c>
      <c r="L930" s="2" t="s">
        <v>637</v>
      </c>
      <c r="M930" s="4" t="s">
        <v>7182</v>
      </c>
    </row>
    <row r="931" spans="1:13">
      <c r="A931" s="2">
        <v>594</v>
      </c>
      <c r="B931" s="2" t="s">
        <v>7183</v>
      </c>
      <c r="C931" s="2">
        <v>15</v>
      </c>
      <c r="D931" s="2">
        <v>556</v>
      </c>
      <c r="E931" s="2">
        <v>101</v>
      </c>
      <c r="F931" s="2">
        <v>32441</v>
      </c>
      <c r="G931" s="2">
        <v>8.6654142029999992</v>
      </c>
      <c r="H931" s="3">
        <v>1.2E-9</v>
      </c>
      <c r="I931" s="2" t="s">
        <v>7184</v>
      </c>
      <c r="J931" s="2" t="s">
        <v>7185</v>
      </c>
      <c r="K931" s="3">
        <v>1.4100000000000001E-8</v>
      </c>
      <c r="L931" s="2" t="s">
        <v>637</v>
      </c>
      <c r="M931" s="4" t="s">
        <v>7186</v>
      </c>
    </row>
    <row r="932" spans="1:13">
      <c r="A932" s="2">
        <v>5651</v>
      </c>
      <c r="B932" s="2" t="s">
        <v>7187</v>
      </c>
      <c r="C932" s="2">
        <v>15</v>
      </c>
      <c r="D932" s="2">
        <v>556</v>
      </c>
      <c r="E932" s="2">
        <v>102</v>
      </c>
      <c r="F932" s="2">
        <v>32441</v>
      </c>
      <c r="G932" s="2">
        <v>8.5804591620000004</v>
      </c>
      <c r="H932" s="3">
        <v>1.3500000000000001E-9</v>
      </c>
      <c r="I932" s="2" t="s">
        <v>7188</v>
      </c>
      <c r="J932" s="2" t="s">
        <v>7189</v>
      </c>
      <c r="K932" s="3">
        <v>1.5700000000000002E-8</v>
      </c>
      <c r="L932" s="2" t="s">
        <v>637</v>
      </c>
      <c r="M932" s="4" t="s">
        <v>7190</v>
      </c>
    </row>
    <row r="933" spans="1:13">
      <c r="A933" s="2">
        <v>691</v>
      </c>
      <c r="B933" s="2" t="s">
        <v>7191</v>
      </c>
      <c r="C933" s="2">
        <v>10</v>
      </c>
      <c r="D933" s="2">
        <v>556</v>
      </c>
      <c r="E933" s="2">
        <v>33</v>
      </c>
      <c r="F933" s="2">
        <v>32441</v>
      </c>
      <c r="G933" s="2">
        <v>17.68094615</v>
      </c>
      <c r="H933" s="3">
        <v>1.9800000000000002E-9</v>
      </c>
      <c r="I933" s="2" t="s">
        <v>7192</v>
      </c>
      <c r="J933" s="2" t="s">
        <v>7193</v>
      </c>
      <c r="K933" s="3">
        <v>2.2700000000000001E-8</v>
      </c>
      <c r="L933" s="2" t="s">
        <v>637</v>
      </c>
      <c r="M933" s="4" t="s">
        <v>7194</v>
      </c>
    </row>
    <row r="934" spans="1:13">
      <c r="A934" s="2">
        <v>682</v>
      </c>
      <c r="B934" s="2" t="s">
        <v>7195</v>
      </c>
      <c r="C934" s="2">
        <v>16</v>
      </c>
      <c r="D934" s="2">
        <v>556</v>
      </c>
      <c r="E934" s="2">
        <v>124</v>
      </c>
      <c r="F934" s="2">
        <v>32441</v>
      </c>
      <c r="G934" s="2">
        <v>7.5286609420000001</v>
      </c>
      <c r="H934" s="3">
        <v>2.1299999999999999E-9</v>
      </c>
      <c r="I934" s="2" t="s">
        <v>7196</v>
      </c>
      <c r="J934" s="2" t="s">
        <v>7197</v>
      </c>
      <c r="K934" s="3">
        <v>2.4E-8</v>
      </c>
      <c r="L934" s="2" t="s">
        <v>637</v>
      </c>
      <c r="M934" s="4" t="s">
        <v>7198</v>
      </c>
    </row>
    <row r="935" spans="1:13">
      <c r="A935" s="2">
        <v>4571</v>
      </c>
      <c r="B935" s="2" t="s">
        <v>7199</v>
      </c>
      <c r="C935" s="2">
        <v>27</v>
      </c>
      <c r="D935" s="2">
        <v>556</v>
      </c>
      <c r="E935" s="2">
        <v>384</v>
      </c>
      <c r="F935" s="2">
        <v>32441</v>
      </c>
      <c r="G935" s="2">
        <v>4.1025320369999996</v>
      </c>
      <c r="H935" s="3">
        <v>2.5000000000000001E-9</v>
      </c>
      <c r="I935" s="2" t="s">
        <v>7200</v>
      </c>
      <c r="J935" s="2" t="s">
        <v>7201</v>
      </c>
      <c r="K935" s="3">
        <v>2.7899999999999998E-8</v>
      </c>
      <c r="L935" s="2" t="s">
        <v>637</v>
      </c>
      <c r="M935" s="4" t="s">
        <v>7202</v>
      </c>
    </row>
    <row r="936" spans="1:13">
      <c r="A936" s="2">
        <v>405</v>
      </c>
      <c r="B936" s="2" t="s">
        <v>7203</v>
      </c>
      <c r="C936" s="2">
        <v>11</v>
      </c>
      <c r="D936" s="2">
        <v>556</v>
      </c>
      <c r="E936" s="2">
        <v>47</v>
      </c>
      <c r="F936" s="2">
        <v>32441</v>
      </c>
      <c r="G936" s="2">
        <v>13.65570947</v>
      </c>
      <c r="H936" s="3">
        <v>3.1399999999999999E-9</v>
      </c>
      <c r="I936" s="2" t="s">
        <v>7204</v>
      </c>
      <c r="J936" s="2" t="s">
        <v>7205</v>
      </c>
      <c r="K936" s="3">
        <v>3.4499999999999998E-8</v>
      </c>
      <c r="L936" s="2" t="s">
        <v>637</v>
      </c>
      <c r="M936" s="4" t="s">
        <v>7206</v>
      </c>
    </row>
    <row r="937" spans="1:13">
      <c r="A937" s="2">
        <v>681</v>
      </c>
      <c r="B937" s="2" t="s">
        <v>7207</v>
      </c>
      <c r="C937" s="2">
        <v>10</v>
      </c>
      <c r="D937" s="2">
        <v>556</v>
      </c>
      <c r="E937" s="2">
        <v>37</v>
      </c>
      <c r="F937" s="2">
        <v>32441</v>
      </c>
      <c r="G937" s="2">
        <v>15.769492509999999</v>
      </c>
      <c r="H937" s="3">
        <v>5.04E-9</v>
      </c>
      <c r="I937" s="2" t="s">
        <v>7208</v>
      </c>
      <c r="J937" s="2" t="s">
        <v>7209</v>
      </c>
      <c r="K937" s="3">
        <v>5.47E-8</v>
      </c>
      <c r="L937" s="2" t="s">
        <v>637</v>
      </c>
      <c r="M937" s="4" t="s">
        <v>7210</v>
      </c>
    </row>
    <row r="938" spans="1:13">
      <c r="A938" s="2">
        <v>510</v>
      </c>
      <c r="B938" s="2" t="s">
        <v>7211</v>
      </c>
      <c r="C938" s="2">
        <v>41</v>
      </c>
      <c r="D938" s="2">
        <v>556</v>
      </c>
      <c r="E938" s="2">
        <v>838</v>
      </c>
      <c r="F938" s="2">
        <v>32441</v>
      </c>
      <c r="G938" s="2">
        <v>2.8546921410000001</v>
      </c>
      <c r="H938" s="3">
        <v>5.9399999999999998E-9</v>
      </c>
      <c r="I938" s="2" t="s">
        <v>7212</v>
      </c>
      <c r="J938" s="2" t="s">
        <v>7213</v>
      </c>
      <c r="K938" s="3">
        <v>6.3699999999999995E-8</v>
      </c>
      <c r="L938" s="2" t="s">
        <v>637</v>
      </c>
      <c r="M938" s="4" t="s">
        <v>7214</v>
      </c>
    </row>
    <row r="939" spans="1:13">
      <c r="A939" s="2">
        <v>371</v>
      </c>
      <c r="B939" s="2" t="s">
        <v>7215</v>
      </c>
      <c r="C939" s="2">
        <v>9</v>
      </c>
      <c r="D939" s="2">
        <v>556</v>
      </c>
      <c r="E939" s="2">
        <v>27</v>
      </c>
      <c r="F939" s="2">
        <v>32441</v>
      </c>
      <c r="G939" s="2">
        <v>19.44904077</v>
      </c>
      <c r="H939" s="3">
        <v>6.4499999999999999E-9</v>
      </c>
      <c r="I939" s="2" t="s">
        <v>7216</v>
      </c>
      <c r="J939" s="2" t="s">
        <v>7217</v>
      </c>
      <c r="K939" s="3">
        <v>6.8299999999999996E-8</v>
      </c>
      <c r="L939" s="2" t="s">
        <v>637</v>
      </c>
      <c r="M939" s="4" t="s">
        <v>7218</v>
      </c>
    </row>
    <row r="940" spans="1:13">
      <c r="A940" s="2">
        <v>543</v>
      </c>
      <c r="B940" s="2" t="s">
        <v>7219</v>
      </c>
      <c r="C940" s="2">
        <v>14</v>
      </c>
      <c r="D940" s="2">
        <v>556</v>
      </c>
      <c r="E940" s="2">
        <v>99</v>
      </c>
      <c r="F940" s="2">
        <v>32441</v>
      </c>
      <c r="G940" s="2">
        <v>8.2511082039999994</v>
      </c>
      <c r="H940" s="3">
        <v>7.5300000000000003E-9</v>
      </c>
      <c r="I940" s="2" t="s">
        <v>7220</v>
      </c>
      <c r="J940" s="2" t="s">
        <v>7221</v>
      </c>
      <c r="K940" s="3">
        <v>7.8800000000000004E-8</v>
      </c>
      <c r="L940" s="2" t="s">
        <v>637</v>
      </c>
      <c r="M940" s="4" t="s">
        <v>7222</v>
      </c>
    </row>
    <row r="941" spans="1:13">
      <c r="A941" s="2">
        <v>331</v>
      </c>
      <c r="B941" s="2" t="s">
        <v>7223</v>
      </c>
      <c r="C941" s="2">
        <v>9</v>
      </c>
      <c r="D941" s="2">
        <v>556</v>
      </c>
      <c r="E941" s="2">
        <v>32</v>
      </c>
      <c r="F941" s="2">
        <v>32441</v>
      </c>
      <c r="G941" s="2">
        <v>16.410128149999998</v>
      </c>
      <c r="H941" s="3">
        <v>2.2300000000000001E-8</v>
      </c>
      <c r="I941" s="2" t="s">
        <v>7224</v>
      </c>
      <c r="J941" s="2" t="s">
        <v>7225</v>
      </c>
      <c r="K941" s="3">
        <v>2.2700000000000001E-7</v>
      </c>
      <c r="L941" s="2" t="s">
        <v>637</v>
      </c>
      <c r="M941" s="4" t="s">
        <v>7226</v>
      </c>
    </row>
    <row r="942" spans="1:13">
      <c r="A942" s="2">
        <v>367</v>
      </c>
      <c r="B942" s="2" t="s">
        <v>7227</v>
      </c>
      <c r="C942" s="2">
        <v>9</v>
      </c>
      <c r="D942" s="2">
        <v>556</v>
      </c>
      <c r="E942" s="2">
        <v>32</v>
      </c>
      <c r="F942" s="2">
        <v>32441</v>
      </c>
      <c r="G942" s="2">
        <v>16.410128149999998</v>
      </c>
      <c r="H942" s="3">
        <v>2.2300000000000001E-8</v>
      </c>
      <c r="I942" s="2" t="s">
        <v>7228</v>
      </c>
      <c r="J942" s="2" t="s">
        <v>7229</v>
      </c>
      <c r="K942" s="3">
        <v>2.2700000000000001E-7</v>
      </c>
      <c r="L942" s="2" t="s">
        <v>637</v>
      </c>
      <c r="M942" s="4" t="s">
        <v>7230</v>
      </c>
    </row>
    <row r="943" spans="1:13">
      <c r="A943" s="2">
        <v>461</v>
      </c>
      <c r="B943" s="2" t="s">
        <v>7231</v>
      </c>
      <c r="C943" s="2">
        <v>28</v>
      </c>
      <c r="D943" s="2">
        <v>556</v>
      </c>
      <c r="E943" s="2">
        <v>465</v>
      </c>
      <c r="F943" s="2">
        <v>32441</v>
      </c>
      <c r="G943" s="2">
        <v>3.5133751059999998</v>
      </c>
      <c r="H943" s="3">
        <v>2.9799999999999999E-8</v>
      </c>
      <c r="I943" s="2" t="s">
        <v>7232</v>
      </c>
      <c r="J943" s="2" t="s">
        <v>7233</v>
      </c>
      <c r="K943" s="3">
        <v>2.9999999999999999E-7</v>
      </c>
      <c r="L943" s="2" t="s">
        <v>637</v>
      </c>
      <c r="M943" s="4" t="s">
        <v>7234</v>
      </c>
    </row>
    <row r="944" spans="1:13">
      <c r="A944" s="2">
        <v>496</v>
      </c>
      <c r="B944" s="2" t="s">
        <v>7235</v>
      </c>
      <c r="C944" s="2">
        <v>8</v>
      </c>
      <c r="D944" s="2">
        <v>556</v>
      </c>
      <c r="E944" s="2">
        <v>23</v>
      </c>
      <c r="F944" s="2">
        <v>32441</v>
      </c>
      <c r="G944" s="2">
        <v>20.29465124</v>
      </c>
      <c r="H944" s="3">
        <v>3.47E-8</v>
      </c>
      <c r="I944" s="2" t="s">
        <v>7236</v>
      </c>
      <c r="J944" s="2" t="s">
        <v>7237</v>
      </c>
      <c r="K944" s="3">
        <v>3.46E-7</v>
      </c>
      <c r="L944" s="2" t="s">
        <v>637</v>
      </c>
      <c r="M944" s="4" t="s">
        <v>7238</v>
      </c>
    </row>
    <row r="945" spans="1:13">
      <c r="A945" s="2">
        <v>5911</v>
      </c>
      <c r="B945" s="2" t="s">
        <v>7239</v>
      </c>
      <c r="C945" s="2">
        <v>13</v>
      </c>
      <c r="D945" s="2">
        <v>556</v>
      </c>
      <c r="E945" s="2">
        <v>95</v>
      </c>
      <c r="F945" s="2">
        <v>32441</v>
      </c>
      <c r="G945" s="2">
        <v>7.9843430519999998</v>
      </c>
      <c r="H945" s="3">
        <v>3.6799999999999999E-8</v>
      </c>
      <c r="I945" s="2" t="s">
        <v>7240</v>
      </c>
      <c r="J945" s="2" t="s">
        <v>7241</v>
      </c>
      <c r="K945" s="3">
        <v>3.6199999999999999E-7</v>
      </c>
      <c r="L945" s="2" t="s">
        <v>637</v>
      </c>
      <c r="M945" s="4" t="s">
        <v>7242</v>
      </c>
    </row>
    <row r="946" spans="1:13">
      <c r="A946" s="2">
        <v>647</v>
      </c>
      <c r="B946" s="2" t="s">
        <v>7243</v>
      </c>
      <c r="C946" s="2">
        <v>11</v>
      </c>
      <c r="D946" s="2">
        <v>556</v>
      </c>
      <c r="E946" s="2">
        <v>73</v>
      </c>
      <c r="F946" s="2">
        <v>32441</v>
      </c>
      <c r="G946" s="2">
        <v>8.7920321280000007</v>
      </c>
      <c r="H946" s="3">
        <v>1.72E-7</v>
      </c>
      <c r="I946" s="2" t="s">
        <v>7244</v>
      </c>
      <c r="J946" s="2" t="s">
        <v>7245</v>
      </c>
      <c r="K946" s="3">
        <v>1.68E-6</v>
      </c>
      <c r="L946" s="2" t="s">
        <v>637</v>
      </c>
      <c r="M946" s="4" t="s">
        <v>7246</v>
      </c>
    </row>
    <row r="947" spans="1:13">
      <c r="A947" s="2">
        <v>5331</v>
      </c>
      <c r="B947" s="2" t="s">
        <v>7247</v>
      </c>
      <c r="C947" s="2">
        <v>15</v>
      </c>
      <c r="D947" s="2">
        <v>556</v>
      </c>
      <c r="E947" s="2">
        <v>153</v>
      </c>
      <c r="F947" s="2">
        <v>32441</v>
      </c>
      <c r="G947" s="2">
        <v>5.7203061079999999</v>
      </c>
      <c r="H947" s="3">
        <v>1.8799999999999999E-7</v>
      </c>
      <c r="I947" s="2" t="s">
        <v>7248</v>
      </c>
      <c r="J947" s="2" t="s">
        <v>7249</v>
      </c>
      <c r="K947" s="3">
        <v>1.81E-6</v>
      </c>
      <c r="L947" s="2" t="s">
        <v>637</v>
      </c>
      <c r="M947" s="4" t="s">
        <v>7250</v>
      </c>
    </row>
    <row r="948" spans="1:13">
      <c r="A948" s="2">
        <v>627</v>
      </c>
      <c r="B948" s="2" t="s">
        <v>7251</v>
      </c>
      <c r="C948" s="2">
        <v>11</v>
      </c>
      <c r="D948" s="2">
        <v>556</v>
      </c>
      <c r="E948" s="2">
        <v>80</v>
      </c>
      <c r="F948" s="2">
        <v>32441</v>
      </c>
      <c r="G948" s="2">
        <v>8.0227293169999996</v>
      </c>
      <c r="H948" s="3">
        <v>3.9499999999999998E-7</v>
      </c>
      <c r="I948" s="2" t="s">
        <v>7252</v>
      </c>
      <c r="J948" s="2" t="s">
        <v>7253</v>
      </c>
      <c r="K948" s="3">
        <v>3.7699999999999999E-6</v>
      </c>
      <c r="L948" s="2" t="s">
        <v>637</v>
      </c>
      <c r="M948" s="4" t="s">
        <v>7254</v>
      </c>
    </row>
    <row r="949" spans="1:13">
      <c r="A949" s="2">
        <v>449</v>
      </c>
      <c r="B949" s="2" t="s">
        <v>7255</v>
      </c>
      <c r="C949" s="2">
        <v>29</v>
      </c>
      <c r="D949" s="2">
        <v>556</v>
      </c>
      <c r="E949" s="2">
        <v>565</v>
      </c>
      <c r="F949" s="2">
        <v>32441</v>
      </c>
      <c r="G949" s="2">
        <v>2.9948080469999998</v>
      </c>
      <c r="H949" s="3">
        <v>4.1300000000000001E-7</v>
      </c>
      <c r="I949" s="2" t="s">
        <v>7256</v>
      </c>
      <c r="J949" s="2" t="s">
        <v>7257</v>
      </c>
      <c r="K949" s="3">
        <v>3.8999999999999999E-6</v>
      </c>
      <c r="L949" s="2" t="s">
        <v>637</v>
      </c>
      <c r="M949" s="4" t="s">
        <v>7258</v>
      </c>
    </row>
    <row r="950" spans="1:13">
      <c r="A950" s="2">
        <v>683</v>
      </c>
      <c r="B950" s="2" t="s">
        <v>7259</v>
      </c>
      <c r="C950" s="2">
        <v>10</v>
      </c>
      <c r="D950" s="2">
        <v>556</v>
      </c>
      <c r="E950" s="2">
        <v>65</v>
      </c>
      <c r="F950" s="2">
        <v>32441</v>
      </c>
      <c r="G950" s="2">
        <v>8.9764803539999996</v>
      </c>
      <c r="H950" s="3">
        <v>5.2900000000000004E-7</v>
      </c>
      <c r="I950" s="2" t="s">
        <v>7260</v>
      </c>
      <c r="J950" s="2" t="s">
        <v>7261</v>
      </c>
      <c r="K950" s="3">
        <v>4.9300000000000002E-6</v>
      </c>
      <c r="L950" s="2" t="s">
        <v>637</v>
      </c>
      <c r="M950" s="4" t="s">
        <v>7262</v>
      </c>
    </row>
    <row r="951" spans="1:13">
      <c r="A951" s="2">
        <v>769</v>
      </c>
      <c r="B951" s="2" t="s">
        <v>7263</v>
      </c>
      <c r="C951" s="2">
        <v>8</v>
      </c>
      <c r="D951" s="2">
        <v>556</v>
      </c>
      <c r="E951" s="2">
        <v>36</v>
      </c>
      <c r="F951" s="2">
        <v>32441</v>
      </c>
      <c r="G951" s="2">
        <v>12.966027179999999</v>
      </c>
      <c r="H951" s="3">
        <v>6.4199999999999995E-7</v>
      </c>
      <c r="I951" s="2" t="s">
        <v>7264</v>
      </c>
      <c r="J951" s="2" t="s">
        <v>7265</v>
      </c>
      <c r="K951" s="3">
        <v>5.93E-6</v>
      </c>
      <c r="L951" s="2" t="s">
        <v>637</v>
      </c>
      <c r="M951" s="4" t="s">
        <v>7266</v>
      </c>
    </row>
    <row r="952" spans="1:13">
      <c r="A952" s="2">
        <v>5181</v>
      </c>
      <c r="B952" s="2" t="s">
        <v>7267</v>
      </c>
      <c r="C952" s="2">
        <v>8</v>
      </c>
      <c r="D952" s="2">
        <v>556</v>
      </c>
      <c r="E952" s="2">
        <v>37</v>
      </c>
      <c r="F952" s="2">
        <v>32441</v>
      </c>
      <c r="G952" s="2">
        <v>12.615594010000001</v>
      </c>
      <c r="H952" s="3">
        <v>7.7000000000000004E-7</v>
      </c>
      <c r="I952" s="2" t="s">
        <v>7264</v>
      </c>
      <c r="J952" s="2" t="s">
        <v>7265</v>
      </c>
      <c r="K952" s="3">
        <v>7.0299999999999996E-6</v>
      </c>
      <c r="L952" s="2" t="s">
        <v>637</v>
      </c>
      <c r="M952" s="4" t="s">
        <v>7268</v>
      </c>
    </row>
    <row r="953" spans="1:13">
      <c r="A953" s="2">
        <v>632</v>
      </c>
      <c r="B953" s="2" t="s">
        <v>7269</v>
      </c>
      <c r="C953" s="2">
        <v>21</v>
      </c>
      <c r="D953" s="2">
        <v>556</v>
      </c>
      <c r="E953" s="2">
        <v>333</v>
      </c>
      <c r="F953" s="2">
        <v>32441</v>
      </c>
      <c r="G953" s="2">
        <v>3.6795482530000001</v>
      </c>
      <c r="H953" s="3">
        <v>7.9400000000000004E-7</v>
      </c>
      <c r="I953" s="2" t="s">
        <v>7270</v>
      </c>
      <c r="J953" s="2" t="s">
        <v>7271</v>
      </c>
      <c r="K953" s="3">
        <v>7.17E-6</v>
      </c>
      <c r="L953" s="2" t="s">
        <v>637</v>
      </c>
      <c r="M953" s="4" t="s">
        <v>7272</v>
      </c>
    </row>
    <row r="954" spans="1:13">
      <c r="A954" s="2">
        <v>653</v>
      </c>
      <c r="B954" s="2" t="s">
        <v>7273</v>
      </c>
      <c r="C954" s="2">
        <v>13</v>
      </c>
      <c r="D954" s="2">
        <v>556</v>
      </c>
      <c r="E954" s="2">
        <v>129</v>
      </c>
      <c r="F954" s="2">
        <v>32441</v>
      </c>
      <c r="G954" s="2">
        <v>5.8799425579999998</v>
      </c>
      <c r="H954" s="3">
        <v>9.2299999999999999E-7</v>
      </c>
      <c r="I954" s="2" t="s">
        <v>7274</v>
      </c>
      <c r="J954" s="2" t="s">
        <v>7275</v>
      </c>
      <c r="K954" s="3">
        <v>8.2500000000000006E-6</v>
      </c>
      <c r="L954" s="2" t="s">
        <v>637</v>
      </c>
      <c r="M954" s="4" t="s">
        <v>7276</v>
      </c>
    </row>
    <row r="955" spans="1:13">
      <c r="A955" s="2">
        <v>799</v>
      </c>
      <c r="B955" s="2" t="s">
        <v>7277</v>
      </c>
      <c r="C955" s="2">
        <v>12</v>
      </c>
      <c r="D955" s="2">
        <v>556</v>
      </c>
      <c r="E955" s="2">
        <v>113</v>
      </c>
      <c r="F955" s="2">
        <v>32441</v>
      </c>
      <c r="G955" s="2">
        <v>6.1961545810000001</v>
      </c>
      <c r="H955" s="3">
        <v>1.46E-6</v>
      </c>
      <c r="I955" s="2" t="s">
        <v>7278</v>
      </c>
      <c r="J955" s="2" t="s">
        <v>7279</v>
      </c>
      <c r="K955" s="3">
        <v>1.29E-5</v>
      </c>
      <c r="L955" s="2" t="s">
        <v>637</v>
      </c>
      <c r="M955" s="4" t="s">
        <v>7280</v>
      </c>
    </row>
    <row r="956" spans="1:13">
      <c r="A956" s="2">
        <v>749</v>
      </c>
      <c r="B956" s="2" t="s">
        <v>7281</v>
      </c>
      <c r="C956" s="2">
        <v>24</v>
      </c>
      <c r="D956" s="2">
        <v>556</v>
      </c>
      <c r="E956" s="2">
        <v>441</v>
      </c>
      <c r="F956" s="2">
        <v>32441</v>
      </c>
      <c r="G956" s="2">
        <v>3.1753535949999998</v>
      </c>
      <c r="H956" s="3">
        <v>1.5799999999999999E-6</v>
      </c>
      <c r="I956" s="2" t="s">
        <v>7282</v>
      </c>
      <c r="J956" s="2" t="s">
        <v>7283</v>
      </c>
      <c r="K956" s="3">
        <v>1.38E-5</v>
      </c>
      <c r="L956" s="2" t="s">
        <v>637</v>
      </c>
      <c r="M956" s="4" t="s">
        <v>7284</v>
      </c>
    </row>
    <row r="957" spans="1:13">
      <c r="A957" s="2">
        <v>8441</v>
      </c>
      <c r="B957" s="2" t="s">
        <v>7285</v>
      </c>
      <c r="C957" s="2">
        <v>6</v>
      </c>
      <c r="D957" s="2">
        <v>556</v>
      </c>
      <c r="E957" s="2">
        <v>17</v>
      </c>
      <c r="F957" s="2">
        <v>32441</v>
      </c>
      <c r="G957" s="2">
        <v>20.593101990000001</v>
      </c>
      <c r="H957" s="3">
        <v>1.7600000000000001E-6</v>
      </c>
      <c r="I957" s="2" t="s">
        <v>7286</v>
      </c>
      <c r="J957" s="2" t="s">
        <v>7287</v>
      </c>
      <c r="K957" s="3">
        <v>1.5299999999999999E-5</v>
      </c>
      <c r="L957" s="2" t="s">
        <v>637</v>
      </c>
      <c r="M957" s="4" t="s">
        <v>7288</v>
      </c>
    </row>
    <row r="958" spans="1:13">
      <c r="A958" s="2">
        <v>704</v>
      </c>
      <c r="B958" s="2" t="s">
        <v>7289</v>
      </c>
      <c r="C958" s="2">
        <v>24</v>
      </c>
      <c r="D958" s="2">
        <v>556</v>
      </c>
      <c r="E958" s="2">
        <v>446</v>
      </c>
      <c r="F958" s="2">
        <v>32441</v>
      </c>
      <c r="G958" s="2">
        <v>3.1397554599999999</v>
      </c>
      <c r="H958" s="3">
        <v>1.9E-6</v>
      </c>
      <c r="I958" s="2" t="s">
        <v>7282</v>
      </c>
      <c r="J958" s="2" t="s">
        <v>7283</v>
      </c>
      <c r="K958" s="3">
        <v>1.63E-5</v>
      </c>
      <c r="L958" s="2" t="s">
        <v>637</v>
      </c>
      <c r="M958" s="4" t="s">
        <v>7290</v>
      </c>
    </row>
    <row r="959" spans="1:13">
      <c r="A959" s="2">
        <v>666</v>
      </c>
      <c r="B959" s="2" t="s">
        <v>7291</v>
      </c>
      <c r="C959" s="2">
        <v>7</v>
      </c>
      <c r="D959" s="2">
        <v>556</v>
      </c>
      <c r="E959" s="2">
        <v>29</v>
      </c>
      <c r="F959" s="2">
        <v>32441</v>
      </c>
      <c r="G959" s="2">
        <v>14.083788139999999</v>
      </c>
      <c r="H959" s="3">
        <v>2.03E-6</v>
      </c>
      <c r="I959" s="2" t="s">
        <v>7292</v>
      </c>
      <c r="J959" s="2" t="s">
        <v>7293</v>
      </c>
      <c r="K959" s="3">
        <v>1.7200000000000001E-5</v>
      </c>
      <c r="L959" s="2" t="s">
        <v>637</v>
      </c>
      <c r="M959" s="4" t="s">
        <v>7294</v>
      </c>
    </row>
    <row r="960" spans="1:13">
      <c r="A960" s="2">
        <v>544</v>
      </c>
      <c r="B960" s="2" t="s">
        <v>7295</v>
      </c>
      <c r="C960" s="2">
        <v>13</v>
      </c>
      <c r="D960" s="2">
        <v>556</v>
      </c>
      <c r="E960" s="2">
        <v>141</v>
      </c>
      <c r="F960" s="2">
        <v>32441</v>
      </c>
      <c r="G960" s="2">
        <v>5.3795219139999997</v>
      </c>
      <c r="H960" s="3">
        <v>2.3099999999999999E-6</v>
      </c>
      <c r="I960" s="2" t="s">
        <v>7296</v>
      </c>
      <c r="J960" s="2" t="s">
        <v>7297</v>
      </c>
      <c r="K960" s="3">
        <v>1.9300000000000002E-5</v>
      </c>
      <c r="L960" s="2" t="s">
        <v>637</v>
      </c>
      <c r="M960" s="4" t="s">
        <v>7298</v>
      </c>
    </row>
    <row r="961" spans="1:13">
      <c r="A961" s="2">
        <v>7791</v>
      </c>
      <c r="B961" s="2" t="s">
        <v>7299</v>
      </c>
      <c r="C961" s="2">
        <v>6</v>
      </c>
      <c r="D961" s="2">
        <v>556</v>
      </c>
      <c r="E961" s="2">
        <v>18</v>
      </c>
      <c r="F961" s="2">
        <v>32441</v>
      </c>
      <c r="G961" s="2">
        <v>19.44904077</v>
      </c>
      <c r="H961" s="3">
        <v>2.3199999999999998E-6</v>
      </c>
      <c r="I961" s="2" t="s">
        <v>7300</v>
      </c>
      <c r="J961" s="2" t="s">
        <v>7301</v>
      </c>
      <c r="K961" s="3">
        <v>1.9300000000000002E-5</v>
      </c>
      <c r="L961" s="2" t="s">
        <v>637</v>
      </c>
      <c r="M961" s="4" t="s">
        <v>7302</v>
      </c>
    </row>
    <row r="962" spans="1:13">
      <c r="A962" s="2">
        <v>478</v>
      </c>
      <c r="B962" s="2" t="s">
        <v>7303</v>
      </c>
      <c r="C962" s="2">
        <v>35</v>
      </c>
      <c r="D962" s="2">
        <v>556</v>
      </c>
      <c r="E962" s="2">
        <v>834</v>
      </c>
      <c r="F962" s="2">
        <v>32441</v>
      </c>
      <c r="G962" s="2">
        <v>2.4486202399999999</v>
      </c>
      <c r="H962" s="3">
        <v>2.3599999999999999E-6</v>
      </c>
      <c r="I962" s="2" t="s">
        <v>7304</v>
      </c>
      <c r="J962" s="2" t="s">
        <v>7305</v>
      </c>
      <c r="K962" s="3">
        <v>1.95E-5</v>
      </c>
      <c r="L962" s="2" t="s">
        <v>637</v>
      </c>
      <c r="M962" s="4" t="s">
        <v>7306</v>
      </c>
    </row>
    <row r="963" spans="1:13">
      <c r="A963" s="2">
        <v>658</v>
      </c>
      <c r="B963" s="2" t="s">
        <v>7307</v>
      </c>
      <c r="C963" s="2">
        <v>24</v>
      </c>
      <c r="D963" s="2">
        <v>556</v>
      </c>
      <c r="E963" s="2">
        <v>456</v>
      </c>
      <c r="F963" s="2">
        <v>32441</v>
      </c>
      <c r="G963" s="2">
        <v>3.0709011739999998</v>
      </c>
      <c r="H963" s="3">
        <v>2.7300000000000001E-6</v>
      </c>
      <c r="I963" s="2" t="s">
        <v>7282</v>
      </c>
      <c r="J963" s="2" t="s">
        <v>7283</v>
      </c>
      <c r="K963" s="3">
        <v>2.23E-5</v>
      </c>
      <c r="L963" s="2" t="s">
        <v>637</v>
      </c>
      <c r="M963" s="4" t="s">
        <v>7308</v>
      </c>
    </row>
    <row r="964" spans="1:13">
      <c r="A964" s="2">
        <v>464</v>
      </c>
      <c r="B964" s="2" t="s">
        <v>7309</v>
      </c>
      <c r="C964" s="2">
        <v>27</v>
      </c>
      <c r="D964" s="2">
        <v>556</v>
      </c>
      <c r="E964" s="2">
        <v>566</v>
      </c>
      <c r="F964" s="2">
        <v>32441</v>
      </c>
      <c r="G964" s="2">
        <v>2.7833432899999999</v>
      </c>
      <c r="H964" s="3">
        <v>3.8199999999999998E-6</v>
      </c>
      <c r="I964" s="2" t="s">
        <v>7310</v>
      </c>
      <c r="J964" s="2" t="s">
        <v>7311</v>
      </c>
      <c r="K964" s="3">
        <v>3.0899999999999999E-5</v>
      </c>
      <c r="L964" s="2" t="s">
        <v>637</v>
      </c>
      <c r="M964" s="4" t="s">
        <v>7312</v>
      </c>
    </row>
    <row r="965" spans="1:13">
      <c r="A965" s="2">
        <v>802</v>
      </c>
      <c r="B965" s="2" t="s">
        <v>7313</v>
      </c>
      <c r="C965" s="2">
        <v>23</v>
      </c>
      <c r="D965" s="2">
        <v>556</v>
      </c>
      <c r="E965" s="2">
        <v>437</v>
      </c>
      <c r="F965" s="2">
        <v>32441</v>
      </c>
      <c r="G965" s="2">
        <v>3.0709011739999998</v>
      </c>
      <c r="H965" s="3">
        <v>4.3900000000000003E-6</v>
      </c>
      <c r="I965" s="2" t="s">
        <v>7314</v>
      </c>
      <c r="J965" s="2" t="s">
        <v>7315</v>
      </c>
      <c r="K965" s="3">
        <v>3.5200000000000002E-5</v>
      </c>
      <c r="L965" s="2" t="s">
        <v>637</v>
      </c>
      <c r="M965" s="4" t="s">
        <v>7316</v>
      </c>
    </row>
    <row r="966" spans="1:13">
      <c r="A966" s="2">
        <v>516</v>
      </c>
      <c r="B966" s="2" t="s">
        <v>7317</v>
      </c>
      <c r="C966" s="2">
        <v>21</v>
      </c>
      <c r="D966" s="2">
        <v>556</v>
      </c>
      <c r="E966" s="2">
        <v>374</v>
      </c>
      <c r="F966" s="2">
        <v>32441</v>
      </c>
      <c r="G966" s="2">
        <v>3.2761753159999998</v>
      </c>
      <c r="H966" s="3">
        <v>4.4700000000000004E-6</v>
      </c>
      <c r="I966" s="2" t="s">
        <v>7318</v>
      </c>
      <c r="J966" s="2" t="s">
        <v>7319</v>
      </c>
      <c r="K966" s="3">
        <v>3.5500000000000002E-5</v>
      </c>
      <c r="L966" s="2" t="s">
        <v>637</v>
      </c>
      <c r="M966" s="4" t="s">
        <v>7320</v>
      </c>
    </row>
    <row r="967" spans="1:13">
      <c r="A967" s="2">
        <v>596</v>
      </c>
      <c r="B967" s="2" t="s">
        <v>7321</v>
      </c>
      <c r="C967" s="2">
        <v>24</v>
      </c>
      <c r="D967" s="2">
        <v>556</v>
      </c>
      <c r="E967" s="2">
        <v>474</v>
      </c>
      <c r="F967" s="2">
        <v>32441</v>
      </c>
      <c r="G967" s="2">
        <v>2.9542846740000002</v>
      </c>
      <c r="H967" s="3">
        <v>5.1000000000000003E-6</v>
      </c>
      <c r="I967" s="2" t="s">
        <v>7282</v>
      </c>
      <c r="J967" s="2" t="s">
        <v>7283</v>
      </c>
      <c r="K967" s="3">
        <v>4.0200000000000001E-5</v>
      </c>
      <c r="L967" s="2" t="s">
        <v>637</v>
      </c>
      <c r="M967" s="4" t="s">
        <v>7322</v>
      </c>
    </row>
    <row r="968" spans="1:13">
      <c r="A968" s="2">
        <v>835</v>
      </c>
      <c r="B968" s="2" t="s">
        <v>7323</v>
      </c>
      <c r="C968" s="2">
        <v>9</v>
      </c>
      <c r="D968" s="2">
        <v>556</v>
      </c>
      <c r="E968" s="2">
        <v>67</v>
      </c>
      <c r="F968" s="2">
        <v>32441</v>
      </c>
      <c r="G968" s="2">
        <v>7.8376731450000001</v>
      </c>
      <c r="H968" s="3">
        <v>5.3700000000000003E-6</v>
      </c>
      <c r="I968" s="2" t="s">
        <v>7324</v>
      </c>
      <c r="J968" s="2" t="s">
        <v>7325</v>
      </c>
      <c r="K968" s="3">
        <v>4.1900000000000002E-5</v>
      </c>
      <c r="L968" s="2" t="s">
        <v>637</v>
      </c>
      <c r="M968" s="4" t="s">
        <v>7326</v>
      </c>
    </row>
    <row r="969" spans="1:13">
      <c r="A969" s="2">
        <v>857</v>
      </c>
      <c r="B969" s="2" t="s">
        <v>7327</v>
      </c>
      <c r="C969" s="2">
        <v>5</v>
      </c>
      <c r="D969" s="2">
        <v>556</v>
      </c>
      <c r="E969" s="2">
        <v>12</v>
      </c>
      <c r="F969" s="2">
        <v>32441</v>
      </c>
      <c r="G969" s="2">
        <v>24.311300960000001</v>
      </c>
      <c r="H969" s="3">
        <v>6.9800000000000001E-6</v>
      </c>
      <c r="I969" s="2" t="s">
        <v>7328</v>
      </c>
      <c r="J969" s="2" t="s">
        <v>7329</v>
      </c>
      <c r="K969" s="3">
        <v>5.3999999999999998E-5</v>
      </c>
      <c r="L969" s="2" t="s">
        <v>637</v>
      </c>
      <c r="M969" s="4" t="s">
        <v>7330</v>
      </c>
    </row>
    <row r="970" spans="1:13">
      <c r="A970" s="2">
        <v>325</v>
      </c>
      <c r="B970" s="2" t="s">
        <v>7331</v>
      </c>
      <c r="C970" s="2">
        <v>6</v>
      </c>
      <c r="D970" s="2">
        <v>556</v>
      </c>
      <c r="E970" s="2">
        <v>24</v>
      </c>
      <c r="F970" s="2">
        <v>32441</v>
      </c>
      <c r="G970" s="2">
        <v>14.586780579999999</v>
      </c>
      <c r="H970" s="3">
        <v>9.38E-6</v>
      </c>
      <c r="I970" s="2" t="s">
        <v>7332</v>
      </c>
      <c r="J970" s="2" t="s">
        <v>7333</v>
      </c>
      <c r="K970" s="3">
        <v>7.1799999999999997E-5</v>
      </c>
      <c r="L970" s="2" t="s">
        <v>637</v>
      </c>
      <c r="M970" s="4" t="s">
        <v>7334</v>
      </c>
    </row>
    <row r="971" spans="1:13">
      <c r="A971" s="2">
        <v>563</v>
      </c>
      <c r="B971" s="2" t="s">
        <v>7335</v>
      </c>
      <c r="C971" s="2">
        <v>5</v>
      </c>
      <c r="D971" s="2">
        <v>556</v>
      </c>
      <c r="E971" s="2">
        <v>14</v>
      </c>
      <c r="F971" s="2">
        <v>32441</v>
      </c>
      <c r="G971" s="2">
        <v>20.838257970000001</v>
      </c>
      <c r="H971" s="3">
        <v>1.2799999999999999E-5</v>
      </c>
      <c r="I971" s="2" t="s">
        <v>7336</v>
      </c>
      <c r="J971" s="2" t="s">
        <v>7337</v>
      </c>
      <c r="K971" s="3">
        <v>9.6000000000000002E-5</v>
      </c>
      <c r="L971" s="2" t="s">
        <v>637</v>
      </c>
      <c r="M971" s="4" t="s">
        <v>7338</v>
      </c>
    </row>
    <row r="972" spans="1:13">
      <c r="A972" s="2">
        <v>589</v>
      </c>
      <c r="B972" s="2" t="s">
        <v>7339</v>
      </c>
      <c r="C972" s="2">
        <v>10</v>
      </c>
      <c r="D972" s="2">
        <v>556</v>
      </c>
      <c r="E972" s="2">
        <v>96</v>
      </c>
      <c r="F972" s="2">
        <v>32441</v>
      </c>
      <c r="G972" s="2">
        <v>6.0778252400000001</v>
      </c>
      <c r="H972" s="3">
        <v>1.2799999999999999E-5</v>
      </c>
      <c r="I972" s="2" t="s">
        <v>7340</v>
      </c>
      <c r="J972" s="2" t="s">
        <v>7341</v>
      </c>
      <c r="K972" s="3">
        <v>9.6000000000000002E-5</v>
      </c>
      <c r="L972" s="2" t="s">
        <v>637</v>
      </c>
      <c r="M972" s="4" t="s">
        <v>7342</v>
      </c>
    </row>
    <row r="973" spans="1:13">
      <c r="A973" s="2">
        <v>838</v>
      </c>
      <c r="B973" s="2" t="s">
        <v>7343</v>
      </c>
      <c r="C973" s="2">
        <v>21</v>
      </c>
      <c r="D973" s="2">
        <v>556</v>
      </c>
      <c r="E973" s="2">
        <v>413</v>
      </c>
      <c r="F973" s="2">
        <v>32441</v>
      </c>
      <c r="G973" s="2">
        <v>2.9668028290000001</v>
      </c>
      <c r="H973" s="3">
        <v>1.8499999999999999E-5</v>
      </c>
      <c r="I973" s="2" t="s">
        <v>7344</v>
      </c>
      <c r="J973" s="2" t="s">
        <v>7345</v>
      </c>
      <c r="K973" s="2">
        <v>1.3819E-4</v>
      </c>
      <c r="L973" s="2" t="s">
        <v>637</v>
      </c>
      <c r="M973" s="4" t="s">
        <v>7346</v>
      </c>
    </row>
    <row r="974" spans="1:13">
      <c r="A974" s="2">
        <v>390</v>
      </c>
      <c r="B974" s="2" t="s">
        <v>7347</v>
      </c>
      <c r="C974" s="2">
        <v>6</v>
      </c>
      <c r="D974" s="2">
        <v>556</v>
      </c>
      <c r="E974" s="2">
        <v>28</v>
      </c>
      <c r="F974" s="2">
        <v>32441</v>
      </c>
      <c r="G974" s="2">
        <v>12.50295478</v>
      </c>
      <c r="H974" s="3">
        <v>2.0100000000000001E-5</v>
      </c>
      <c r="I974" s="2" t="s">
        <v>7348</v>
      </c>
      <c r="J974" s="2" t="s">
        <v>7349</v>
      </c>
      <c r="K974" s="2">
        <v>1.48395E-4</v>
      </c>
      <c r="L974" s="2" t="s">
        <v>637</v>
      </c>
      <c r="M974" s="4" t="s">
        <v>7350</v>
      </c>
    </row>
    <row r="975" spans="1:13">
      <c r="A975" s="2">
        <v>736</v>
      </c>
      <c r="B975" s="2" t="s">
        <v>7351</v>
      </c>
      <c r="C975" s="2">
        <v>9</v>
      </c>
      <c r="D975" s="2">
        <v>556</v>
      </c>
      <c r="E975" s="2">
        <v>81</v>
      </c>
      <c r="F975" s="2">
        <v>32441</v>
      </c>
      <c r="G975" s="2">
        <v>6.4830135889999996</v>
      </c>
      <c r="H975" s="3">
        <v>2.16E-5</v>
      </c>
      <c r="I975" s="2" t="s">
        <v>7324</v>
      </c>
      <c r="J975" s="2" t="s">
        <v>7325</v>
      </c>
      <c r="K975" s="2">
        <v>1.5842699999999999E-4</v>
      </c>
      <c r="L975" s="2" t="s">
        <v>637</v>
      </c>
      <c r="M975" s="4" t="s">
        <v>7352</v>
      </c>
    </row>
    <row r="976" spans="1:13">
      <c r="A976" s="2">
        <v>450</v>
      </c>
      <c r="B976" s="2" t="s">
        <v>7353</v>
      </c>
      <c r="C976" s="2">
        <v>22</v>
      </c>
      <c r="D976" s="2">
        <v>556</v>
      </c>
      <c r="E976" s="2">
        <v>453</v>
      </c>
      <c r="F976" s="2">
        <v>32441</v>
      </c>
      <c r="G976" s="2">
        <v>2.833635079</v>
      </c>
      <c r="H976" s="3">
        <v>2.3E-5</v>
      </c>
      <c r="I976" s="2" t="s">
        <v>7354</v>
      </c>
      <c r="J976" s="2" t="s">
        <v>7355</v>
      </c>
      <c r="K976" s="2">
        <v>1.6728899999999999E-4</v>
      </c>
      <c r="L976" s="2" t="s">
        <v>637</v>
      </c>
      <c r="M976" s="4" t="s">
        <v>7356</v>
      </c>
    </row>
    <row r="977" spans="1:13">
      <c r="A977" s="2">
        <v>815</v>
      </c>
      <c r="B977" s="2" t="s">
        <v>7357</v>
      </c>
      <c r="C977" s="2">
        <v>6</v>
      </c>
      <c r="D977" s="2">
        <v>556</v>
      </c>
      <c r="E977" s="2">
        <v>29</v>
      </c>
      <c r="F977" s="2">
        <v>32441</v>
      </c>
      <c r="G977" s="2">
        <v>12.071818410000001</v>
      </c>
      <c r="H977" s="3">
        <v>2.3900000000000002E-5</v>
      </c>
      <c r="I977" s="2" t="s">
        <v>7358</v>
      </c>
      <c r="J977" s="2" t="s">
        <v>7359</v>
      </c>
      <c r="K977" s="2">
        <v>1.72108E-4</v>
      </c>
      <c r="L977" s="2" t="s">
        <v>637</v>
      </c>
      <c r="M977" s="4" t="s">
        <v>7360</v>
      </c>
    </row>
    <row r="978" spans="1:13">
      <c r="A978" s="2">
        <v>282</v>
      </c>
      <c r="B978" s="2" t="s">
        <v>3014</v>
      </c>
      <c r="C978" s="2">
        <v>6</v>
      </c>
      <c r="D978" s="2">
        <v>556</v>
      </c>
      <c r="E978" s="2">
        <v>30</v>
      </c>
      <c r="F978" s="2">
        <v>32441</v>
      </c>
      <c r="G978" s="2">
        <v>11.66942446</v>
      </c>
      <c r="H978" s="3">
        <v>2.8200000000000001E-5</v>
      </c>
      <c r="I978" s="2" t="s">
        <v>7361</v>
      </c>
      <c r="J978" s="2" t="s">
        <v>7362</v>
      </c>
      <c r="K978" s="2">
        <v>2.0190599999999999E-4</v>
      </c>
      <c r="L978" s="2" t="s">
        <v>637</v>
      </c>
      <c r="M978" s="4" t="s">
        <v>3017</v>
      </c>
    </row>
    <row r="979" spans="1:13">
      <c r="A979" s="2">
        <v>710</v>
      </c>
      <c r="B979" s="2" t="s">
        <v>7363</v>
      </c>
      <c r="C979" s="2">
        <v>11</v>
      </c>
      <c r="D979" s="2">
        <v>556</v>
      </c>
      <c r="E979" s="2">
        <v>133</v>
      </c>
      <c r="F979" s="2">
        <v>32441</v>
      </c>
      <c r="G979" s="2">
        <v>4.8257018450000002</v>
      </c>
      <c r="H979" s="3">
        <v>3.4999999999999997E-5</v>
      </c>
      <c r="I979" s="2" t="s">
        <v>7364</v>
      </c>
      <c r="J979" s="2" t="s">
        <v>7365</v>
      </c>
      <c r="K979" s="2">
        <v>2.4852499999999998E-4</v>
      </c>
      <c r="L979" s="2" t="s">
        <v>637</v>
      </c>
      <c r="M979" s="4" t="s">
        <v>7366</v>
      </c>
    </row>
    <row r="980" spans="1:13">
      <c r="A980" s="2">
        <v>623</v>
      </c>
      <c r="B980" s="2" t="s">
        <v>7367</v>
      </c>
      <c r="C980" s="2">
        <v>9</v>
      </c>
      <c r="D980" s="2">
        <v>556</v>
      </c>
      <c r="E980" s="2">
        <v>89</v>
      </c>
      <c r="F980" s="2">
        <v>32441</v>
      </c>
      <c r="G980" s="2">
        <v>5.900270795</v>
      </c>
      <c r="H980" s="3">
        <v>4.2700000000000001E-5</v>
      </c>
      <c r="I980" s="2" t="s">
        <v>7368</v>
      </c>
      <c r="J980" s="2" t="s">
        <v>7369</v>
      </c>
      <c r="K980" s="2">
        <v>3.0060599999999997E-4</v>
      </c>
      <c r="L980" s="2" t="s">
        <v>637</v>
      </c>
      <c r="M980" s="4" t="s">
        <v>7370</v>
      </c>
    </row>
    <row r="981" spans="1:13">
      <c r="A981" s="2">
        <v>809</v>
      </c>
      <c r="B981" s="2" t="s">
        <v>7371</v>
      </c>
      <c r="C981" s="2">
        <v>5</v>
      </c>
      <c r="D981" s="2">
        <v>556</v>
      </c>
      <c r="E981" s="2">
        <v>19</v>
      </c>
      <c r="F981" s="2">
        <v>32441</v>
      </c>
      <c r="G981" s="2">
        <v>15.354505870000001</v>
      </c>
      <c r="H981" s="3">
        <v>4.35E-5</v>
      </c>
      <c r="I981" s="2" t="s">
        <v>7372</v>
      </c>
      <c r="J981" s="2" t="s">
        <v>7373</v>
      </c>
      <c r="K981" s="2">
        <v>3.0343600000000003E-4</v>
      </c>
      <c r="L981" s="2" t="s">
        <v>637</v>
      </c>
      <c r="M981" s="4" t="s">
        <v>7374</v>
      </c>
    </row>
    <row r="982" spans="1:13">
      <c r="A982" s="2">
        <v>5451</v>
      </c>
      <c r="B982" s="2" t="s">
        <v>7375</v>
      </c>
      <c r="C982" s="2">
        <v>15</v>
      </c>
      <c r="D982" s="2">
        <v>556</v>
      </c>
      <c r="E982" s="2">
        <v>248</v>
      </c>
      <c r="F982" s="2">
        <v>32441</v>
      </c>
      <c r="G982" s="2">
        <v>3.5290598169999998</v>
      </c>
      <c r="H982" s="3">
        <v>4.6100000000000002E-5</v>
      </c>
      <c r="I982" s="2" t="s">
        <v>7376</v>
      </c>
      <c r="J982" s="2" t="s">
        <v>7377</v>
      </c>
      <c r="K982" s="2">
        <v>3.1891800000000001E-4</v>
      </c>
      <c r="L982" s="2" t="s">
        <v>637</v>
      </c>
      <c r="M982" s="4" t="s">
        <v>7378</v>
      </c>
    </row>
    <row r="983" spans="1:13">
      <c r="A983" s="2">
        <v>4011</v>
      </c>
      <c r="B983" s="2" t="s">
        <v>7379</v>
      </c>
      <c r="C983" s="2">
        <v>6</v>
      </c>
      <c r="D983" s="2">
        <v>556</v>
      </c>
      <c r="E983" s="2">
        <v>36</v>
      </c>
      <c r="F983" s="2">
        <v>32441</v>
      </c>
      <c r="G983" s="2">
        <v>9.7245203839999999</v>
      </c>
      <c r="H983" s="3">
        <v>6.9800000000000003E-5</v>
      </c>
      <c r="I983" s="2" t="s">
        <v>7380</v>
      </c>
      <c r="J983" s="2" t="s">
        <v>7381</v>
      </c>
      <c r="K983" s="2">
        <v>4.7922500000000001E-4</v>
      </c>
      <c r="L983" s="2" t="s">
        <v>637</v>
      </c>
      <c r="M983" s="4" t="s">
        <v>7382</v>
      </c>
    </row>
    <row r="984" spans="1:13">
      <c r="A984" s="2">
        <v>592</v>
      </c>
      <c r="B984" s="2" t="s">
        <v>7383</v>
      </c>
      <c r="C984" s="2">
        <v>7</v>
      </c>
      <c r="D984" s="2">
        <v>556</v>
      </c>
      <c r="E984" s="2">
        <v>54</v>
      </c>
      <c r="F984" s="2">
        <v>32441</v>
      </c>
      <c r="G984" s="2">
        <v>7.5635158540000003</v>
      </c>
      <c r="H984" s="3">
        <v>7.3800000000000005E-5</v>
      </c>
      <c r="I984" s="2" t="s">
        <v>7384</v>
      </c>
      <c r="J984" s="2" t="s">
        <v>7385</v>
      </c>
      <c r="K984" s="2">
        <v>5.0222099999999996E-4</v>
      </c>
      <c r="L984" s="2" t="s">
        <v>637</v>
      </c>
      <c r="M984" s="4" t="s">
        <v>7386</v>
      </c>
    </row>
    <row r="985" spans="1:13">
      <c r="A985" s="2">
        <v>514</v>
      </c>
      <c r="B985" s="2" t="s">
        <v>7387</v>
      </c>
      <c r="C985" s="2">
        <v>11</v>
      </c>
      <c r="D985" s="2">
        <v>556</v>
      </c>
      <c r="E985" s="2">
        <v>149</v>
      </c>
      <c r="F985" s="2">
        <v>32441</v>
      </c>
      <c r="G985" s="2">
        <v>4.3075056729999996</v>
      </c>
      <c r="H985" s="3">
        <v>9.1399999999999999E-5</v>
      </c>
      <c r="I985" s="2" t="s">
        <v>7388</v>
      </c>
      <c r="J985" s="2" t="s">
        <v>7389</v>
      </c>
      <c r="K985" s="2">
        <v>6.1730599999999997E-4</v>
      </c>
      <c r="L985" s="2" t="s">
        <v>637</v>
      </c>
      <c r="M985" s="4" t="s">
        <v>7390</v>
      </c>
    </row>
    <row r="986" spans="1:13">
      <c r="A986" s="2">
        <v>662</v>
      </c>
      <c r="B986" s="2" t="s">
        <v>7391</v>
      </c>
      <c r="C986" s="2">
        <v>9</v>
      </c>
      <c r="D986" s="2">
        <v>556</v>
      </c>
      <c r="E986" s="2">
        <v>101</v>
      </c>
      <c r="F986" s="2">
        <v>32441</v>
      </c>
      <c r="G986" s="2">
        <v>5.1992485220000004</v>
      </c>
      <c r="H986" s="2">
        <v>1.0556E-4</v>
      </c>
      <c r="I986" s="2" t="s">
        <v>7324</v>
      </c>
      <c r="J986" s="2" t="s">
        <v>7325</v>
      </c>
      <c r="K986" s="2">
        <v>7.0758500000000005E-4</v>
      </c>
      <c r="L986" s="2" t="s">
        <v>637</v>
      </c>
      <c r="M986" s="4" t="s">
        <v>7392</v>
      </c>
    </row>
    <row r="987" spans="1:13">
      <c r="A987" s="2">
        <v>434</v>
      </c>
      <c r="B987" s="2" t="s">
        <v>7393</v>
      </c>
      <c r="C987" s="2">
        <v>14</v>
      </c>
      <c r="D987" s="2">
        <v>556</v>
      </c>
      <c r="E987" s="2">
        <v>239</v>
      </c>
      <c r="F987" s="2">
        <v>32441</v>
      </c>
      <c r="G987" s="2">
        <v>3.4178230639999998</v>
      </c>
      <c r="H987" s="2">
        <v>1.12729E-4</v>
      </c>
      <c r="I987" s="2" t="s">
        <v>7394</v>
      </c>
      <c r="J987" s="2" t="s">
        <v>7395</v>
      </c>
      <c r="K987" s="2">
        <v>7.4400900000000001E-4</v>
      </c>
      <c r="L987" s="2" t="s">
        <v>637</v>
      </c>
      <c r="M987" s="4" t="s">
        <v>7396</v>
      </c>
    </row>
    <row r="988" spans="1:13">
      <c r="A988" s="2">
        <v>529</v>
      </c>
      <c r="B988" s="2" t="s">
        <v>7397</v>
      </c>
      <c r="C988" s="2">
        <v>8</v>
      </c>
      <c r="D988" s="2">
        <v>556</v>
      </c>
      <c r="E988" s="2">
        <v>79</v>
      </c>
      <c r="F988" s="2">
        <v>32441</v>
      </c>
      <c r="G988" s="2">
        <v>5.9085693470000002</v>
      </c>
      <c r="H988" s="2">
        <v>1.12447E-4</v>
      </c>
      <c r="I988" s="2" t="s">
        <v>7398</v>
      </c>
      <c r="J988" s="2" t="s">
        <v>7399</v>
      </c>
      <c r="K988" s="2">
        <v>7.4400900000000001E-4</v>
      </c>
      <c r="L988" s="2" t="s">
        <v>637</v>
      </c>
      <c r="M988" s="4" t="s">
        <v>7400</v>
      </c>
    </row>
    <row r="989" spans="1:13">
      <c r="A989" s="2">
        <v>685</v>
      </c>
      <c r="B989" s="2" t="s">
        <v>7401</v>
      </c>
      <c r="C989" s="2">
        <v>4</v>
      </c>
      <c r="D989" s="2">
        <v>556</v>
      </c>
      <c r="E989" s="2">
        <v>12</v>
      </c>
      <c r="F989" s="2">
        <v>32441</v>
      </c>
      <c r="G989" s="2">
        <v>19.44904077</v>
      </c>
      <c r="H989" s="2">
        <v>1.2354999999999999E-4</v>
      </c>
      <c r="I989" s="2" t="s">
        <v>7402</v>
      </c>
      <c r="J989" s="2" t="s">
        <v>7403</v>
      </c>
      <c r="K989" s="2">
        <v>8.09204E-4</v>
      </c>
      <c r="L989" s="2" t="s">
        <v>637</v>
      </c>
      <c r="M989" s="4" t="s">
        <v>7404</v>
      </c>
    </row>
    <row r="990" spans="1:13">
      <c r="A990" s="2">
        <v>771</v>
      </c>
      <c r="B990" s="2" t="s">
        <v>7405</v>
      </c>
      <c r="C990" s="2">
        <v>4</v>
      </c>
      <c r="D990" s="2">
        <v>556</v>
      </c>
      <c r="E990" s="2">
        <v>13</v>
      </c>
      <c r="F990" s="2">
        <v>32441</v>
      </c>
      <c r="G990" s="2">
        <v>17.952960709999999</v>
      </c>
      <c r="H990" s="2">
        <v>1.59417E-4</v>
      </c>
      <c r="I990" s="2" t="s">
        <v>7406</v>
      </c>
      <c r="J990" s="2" t="s">
        <v>7407</v>
      </c>
      <c r="K990" s="2">
        <v>1.036209E-3</v>
      </c>
      <c r="L990" s="2" t="s">
        <v>637</v>
      </c>
      <c r="M990" s="4" t="s">
        <v>7408</v>
      </c>
    </row>
    <row r="991" spans="1:13">
      <c r="A991" s="2">
        <v>576</v>
      </c>
      <c r="B991" s="2" t="s">
        <v>7409</v>
      </c>
      <c r="C991" s="2">
        <v>9</v>
      </c>
      <c r="D991" s="2">
        <v>556</v>
      </c>
      <c r="E991" s="2">
        <v>108</v>
      </c>
      <c r="F991" s="2">
        <v>32441</v>
      </c>
      <c r="G991" s="2">
        <v>4.8622601919999999</v>
      </c>
      <c r="H991" s="2">
        <v>1.69271E-4</v>
      </c>
      <c r="I991" s="2" t="s">
        <v>7410</v>
      </c>
      <c r="J991" s="2" t="s">
        <v>7411</v>
      </c>
      <c r="K991" s="2">
        <v>1.0919899999999999E-3</v>
      </c>
      <c r="L991" s="2" t="s">
        <v>637</v>
      </c>
      <c r="M991" s="4" t="s">
        <v>7412</v>
      </c>
    </row>
    <row r="992" spans="1:13">
      <c r="A992" s="2">
        <v>618</v>
      </c>
      <c r="B992" s="2" t="s">
        <v>7413</v>
      </c>
      <c r="C992" s="2">
        <v>8</v>
      </c>
      <c r="D992" s="2">
        <v>556</v>
      </c>
      <c r="E992" s="2">
        <v>86</v>
      </c>
      <c r="F992" s="2">
        <v>32441</v>
      </c>
      <c r="G992" s="2">
        <v>5.4276392839999996</v>
      </c>
      <c r="H992" s="2">
        <v>1.9332600000000001E-4</v>
      </c>
      <c r="I992" s="2" t="s">
        <v>7414</v>
      </c>
      <c r="J992" s="2" t="s">
        <v>7415</v>
      </c>
      <c r="K992" s="2">
        <v>1.2378630000000001E-3</v>
      </c>
      <c r="L992" s="2" t="s">
        <v>637</v>
      </c>
      <c r="M992" s="4" t="s">
        <v>7416</v>
      </c>
    </row>
    <row r="993" spans="1:13">
      <c r="A993" s="2">
        <v>534</v>
      </c>
      <c r="B993" s="2" t="s">
        <v>7417</v>
      </c>
      <c r="C993" s="2">
        <v>14</v>
      </c>
      <c r="D993" s="2">
        <v>556</v>
      </c>
      <c r="E993" s="2">
        <v>260</v>
      </c>
      <c r="F993" s="2">
        <v>32441</v>
      </c>
      <c r="G993" s="2">
        <v>3.1417681239999999</v>
      </c>
      <c r="H993" s="2">
        <v>2.5729600000000001E-4</v>
      </c>
      <c r="I993" s="2" t="s">
        <v>7418</v>
      </c>
      <c r="J993" s="2" t="s">
        <v>7419</v>
      </c>
      <c r="K993" s="2">
        <v>1.6352599999999999E-3</v>
      </c>
      <c r="L993" s="2" t="s">
        <v>637</v>
      </c>
      <c r="M993" s="4" t="s">
        <v>7420</v>
      </c>
    </row>
    <row r="994" spans="1:13">
      <c r="A994" s="2">
        <v>327</v>
      </c>
      <c r="B994" s="2" t="s">
        <v>7421</v>
      </c>
      <c r="C994" s="2">
        <v>5</v>
      </c>
      <c r="D994" s="2">
        <v>556</v>
      </c>
      <c r="E994" s="2">
        <v>30</v>
      </c>
      <c r="F994" s="2">
        <v>32441</v>
      </c>
      <c r="G994" s="2">
        <v>9.7245203839999999</v>
      </c>
      <c r="H994" s="2">
        <v>2.8518400000000001E-4</v>
      </c>
      <c r="I994" s="2" t="s">
        <v>7422</v>
      </c>
      <c r="J994" s="2" t="s">
        <v>7423</v>
      </c>
      <c r="K994" s="2">
        <v>1.7991789999999999E-3</v>
      </c>
      <c r="L994" s="2" t="s">
        <v>637</v>
      </c>
      <c r="M994" s="4" t="s">
        <v>7424</v>
      </c>
    </row>
    <row r="995" spans="1:13">
      <c r="A995" s="2">
        <v>671</v>
      </c>
      <c r="B995" s="2" t="s">
        <v>7425</v>
      </c>
      <c r="C995" s="2">
        <v>4</v>
      </c>
      <c r="D995" s="2">
        <v>556</v>
      </c>
      <c r="E995" s="2">
        <v>16</v>
      </c>
      <c r="F995" s="2">
        <v>32441</v>
      </c>
      <c r="G995" s="2">
        <v>14.586780579999999</v>
      </c>
      <c r="H995" s="2">
        <v>3.1176799999999997E-4</v>
      </c>
      <c r="I995" s="2" t="s">
        <v>7426</v>
      </c>
      <c r="J995" s="2" t="s">
        <v>7427</v>
      </c>
      <c r="K995" s="2">
        <v>1.9525300000000001E-3</v>
      </c>
      <c r="L995" s="2" t="s">
        <v>637</v>
      </c>
      <c r="M995" s="4" t="s">
        <v>7428</v>
      </c>
    </row>
    <row r="996" spans="1:13">
      <c r="A996" s="2">
        <v>424</v>
      </c>
      <c r="B996" s="2" t="s">
        <v>7429</v>
      </c>
      <c r="C996" s="2">
        <v>5</v>
      </c>
      <c r="D996" s="2">
        <v>556</v>
      </c>
      <c r="E996" s="2">
        <v>33</v>
      </c>
      <c r="F996" s="2">
        <v>32441</v>
      </c>
      <c r="G996" s="2">
        <v>8.8404730760000003</v>
      </c>
      <c r="H996" s="2">
        <v>4.2301300000000002E-4</v>
      </c>
      <c r="I996" s="2" t="s">
        <v>7430</v>
      </c>
      <c r="J996" s="2" t="s">
        <v>7431</v>
      </c>
      <c r="K996" s="2">
        <v>2.6300350000000002E-3</v>
      </c>
      <c r="L996" s="2" t="s">
        <v>637</v>
      </c>
      <c r="M996" s="4" t="s">
        <v>7432</v>
      </c>
    </row>
    <row r="997" spans="1:13">
      <c r="A997" s="2">
        <v>833</v>
      </c>
      <c r="B997" s="2" t="s">
        <v>7433</v>
      </c>
      <c r="C997" s="2">
        <v>5</v>
      </c>
      <c r="D997" s="2">
        <v>556</v>
      </c>
      <c r="E997" s="2">
        <v>34</v>
      </c>
      <c r="F997" s="2">
        <v>32441</v>
      </c>
      <c r="G997" s="2">
        <v>8.5804591620000004</v>
      </c>
      <c r="H997" s="2">
        <v>4.7855599999999999E-4</v>
      </c>
      <c r="I997" s="2" t="s">
        <v>7434</v>
      </c>
      <c r="J997" s="2" t="s">
        <v>7435</v>
      </c>
      <c r="K997" s="2">
        <v>2.953963E-3</v>
      </c>
      <c r="L997" s="2" t="s">
        <v>637</v>
      </c>
      <c r="M997" s="4" t="s">
        <v>7436</v>
      </c>
    </row>
    <row r="998" spans="1:13">
      <c r="A998" s="2">
        <v>551</v>
      </c>
      <c r="B998" s="2" t="s">
        <v>7437</v>
      </c>
      <c r="C998" s="2">
        <v>12</v>
      </c>
      <c r="D998" s="2">
        <v>556</v>
      </c>
      <c r="E998" s="2">
        <v>219</v>
      </c>
      <c r="F998" s="2">
        <v>32441</v>
      </c>
      <c r="G998" s="2">
        <v>3.1971025919999998</v>
      </c>
      <c r="H998" s="2">
        <v>6.0066500000000001E-4</v>
      </c>
      <c r="I998" s="2" t="s">
        <v>7438</v>
      </c>
      <c r="J998" s="2" t="s">
        <v>7439</v>
      </c>
      <c r="K998" s="2">
        <v>3.6812199999999998E-3</v>
      </c>
      <c r="L998" s="2" t="s">
        <v>637</v>
      </c>
      <c r="M998" s="4" t="s">
        <v>7440</v>
      </c>
    </row>
    <row r="999" spans="1:13">
      <c r="A999" s="2">
        <v>4741</v>
      </c>
      <c r="B999" s="2" t="s">
        <v>7441</v>
      </c>
      <c r="C999" s="2">
        <v>5</v>
      </c>
      <c r="D999" s="2">
        <v>556</v>
      </c>
      <c r="E999" s="2">
        <v>36</v>
      </c>
      <c r="F999" s="2">
        <v>32441</v>
      </c>
      <c r="G999" s="2">
        <v>8.1037669860000001</v>
      </c>
      <c r="H999" s="2">
        <v>6.0589900000000002E-4</v>
      </c>
      <c r="I999" s="2" t="s">
        <v>7442</v>
      </c>
      <c r="J999" s="2" t="s">
        <v>7443</v>
      </c>
      <c r="K999" s="2">
        <v>3.6869630000000001E-3</v>
      </c>
      <c r="L999" s="2" t="s">
        <v>637</v>
      </c>
      <c r="M999" s="4" t="s">
        <v>7444</v>
      </c>
    </row>
    <row r="1000" spans="1:13">
      <c r="A1000" s="2">
        <v>438</v>
      </c>
      <c r="B1000" s="2" t="s">
        <v>7445</v>
      </c>
      <c r="C1000" s="2">
        <v>16</v>
      </c>
      <c r="D1000" s="2">
        <v>556</v>
      </c>
      <c r="E1000" s="2">
        <v>360</v>
      </c>
      <c r="F1000" s="2">
        <v>32441</v>
      </c>
      <c r="G1000" s="2">
        <v>2.5932054359999999</v>
      </c>
      <c r="H1000" s="2">
        <v>7.3039199999999996E-4</v>
      </c>
      <c r="I1000" s="2" t="s">
        <v>7446</v>
      </c>
      <c r="J1000" s="2" t="s">
        <v>7447</v>
      </c>
      <c r="K1000" s="2">
        <v>4.3823530000000003E-3</v>
      </c>
      <c r="L1000" s="2" t="s">
        <v>637</v>
      </c>
      <c r="M1000" s="4" t="s">
        <v>7448</v>
      </c>
    </row>
    <row r="1001" spans="1:13">
      <c r="A1001" s="2">
        <v>643</v>
      </c>
      <c r="B1001" s="2" t="s">
        <v>7449</v>
      </c>
      <c r="C1001" s="2">
        <v>6</v>
      </c>
      <c r="D1001" s="2">
        <v>556</v>
      </c>
      <c r="E1001" s="2">
        <v>58</v>
      </c>
      <c r="F1001" s="2">
        <v>32441</v>
      </c>
      <c r="G1001" s="2">
        <v>6.0359092040000002</v>
      </c>
      <c r="H1001" s="2">
        <v>7.3022600000000005E-4</v>
      </c>
      <c r="I1001" s="2" t="s">
        <v>7450</v>
      </c>
      <c r="J1001" s="2" t="s">
        <v>7451</v>
      </c>
      <c r="K1001" s="2">
        <v>4.3823530000000003E-3</v>
      </c>
      <c r="L1001" s="2" t="s">
        <v>637</v>
      </c>
      <c r="M1001" s="4" t="s">
        <v>7452</v>
      </c>
    </row>
    <row r="1002" spans="1:13">
      <c r="A1002" s="2">
        <v>789</v>
      </c>
      <c r="B1002" s="2" t="s">
        <v>7453</v>
      </c>
      <c r="C1002" s="2">
        <v>4</v>
      </c>
      <c r="D1002" s="2">
        <v>556</v>
      </c>
      <c r="E1002" s="2">
        <v>21</v>
      </c>
      <c r="F1002" s="2">
        <v>32441</v>
      </c>
      <c r="G1002" s="2">
        <v>11.11373758</v>
      </c>
      <c r="H1002" s="2">
        <v>7.61485E-4</v>
      </c>
      <c r="I1002" s="2" t="s">
        <v>7454</v>
      </c>
      <c r="J1002" s="2" t="s">
        <v>7455</v>
      </c>
      <c r="K1002" s="2">
        <v>4.53718E-3</v>
      </c>
      <c r="L1002" s="2" t="s">
        <v>637</v>
      </c>
      <c r="M1002" s="4" t="s">
        <v>7456</v>
      </c>
    </row>
    <row r="1003" spans="1:13">
      <c r="A1003" s="2">
        <v>531</v>
      </c>
      <c r="B1003" s="2" t="s">
        <v>7457</v>
      </c>
      <c r="C1003" s="2">
        <v>5</v>
      </c>
      <c r="D1003" s="2">
        <v>556</v>
      </c>
      <c r="E1003" s="2">
        <v>39</v>
      </c>
      <c r="F1003" s="2">
        <v>32441</v>
      </c>
      <c r="G1003" s="2">
        <v>7.4804002949999999</v>
      </c>
      <c r="H1003" s="2">
        <v>8.4242699999999998E-4</v>
      </c>
      <c r="I1003" s="2" t="s">
        <v>7458</v>
      </c>
      <c r="J1003" s="2" t="s">
        <v>7459</v>
      </c>
      <c r="K1003" s="2">
        <v>4.9848460000000002E-3</v>
      </c>
      <c r="L1003" s="2" t="s">
        <v>637</v>
      </c>
      <c r="M1003" s="4" t="s">
        <v>7460</v>
      </c>
    </row>
    <row r="1004" spans="1:13">
      <c r="A1004" s="2">
        <v>657</v>
      </c>
      <c r="B1004" s="2" t="s">
        <v>7461</v>
      </c>
      <c r="C1004" s="2">
        <v>6</v>
      </c>
      <c r="D1004" s="2">
        <v>556</v>
      </c>
      <c r="E1004" s="2">
        <v>60</v>
      </c>
      <c r="F1004" s="2">
        <v>32441</v>
      </c>
      <c r="G1004" s="2">
        <v>5.8347122300000001</v>
      </c>
      <c r="H1004" s="2">
        <v>8.6026400000000002E-4</v>
      </c>
      <c r="I1004" s="2" t="s">
        <v>7462</v>
      </c>
      <c r="J1004" s="2" t="s">
        <v>7463</v>
      </c>
      <c r="K1004" s="2">
        <v>5.0555219999999998E-3</v>
      </c>
      <c r="L1004" s="2" t="s">
        <v>637</v>
      </c>
      <c r="M1004" s="4" t="s">
        <v>7464</v>
      </c>
    </row>
    <row r="1005" spans="1:13">
      <c r="A1005" s="2">
        <v>593</v>
      </c>
      <c r="B1005" s="2" t="s">
        <v>7465</v>
      </c>
      <c r="C1005" s="2">
        <v>12</v>
      </c>
      <c r="D1005" s="2">
        <v>556</v>
      </c>
      <c r="E1005" s="2">
        <v>230</v>
      </c>
      <c r="F1005" s="2">
        <v>32441</v>
      </c>
      <c r="G1005" s="2">
        <v>3.0441976849999999</v>
      </c>
      <c r="H1005" s="2">
        <v>9.0176099999999995E-4</v>
      </c>
      <c r="I1005" s="2" t="s">
        <v>7466</v>
      </c>
      <c r="J1005" s="2" t="s">
        <v>7467</v>
      </c>
      <c r="K1005" s="2">
        <v>5.2633380000000002E-3</v>
      </c>
      <c r="L1005" s="2" t="s">
        <v>637</v>
      </c>
      <c r="M1005" s="4" t="s">
        <v>7468</v>
      </c>
    </row>
    <row r="1006" spans="1:13">
      <c r="A1006" s="2">
        <v>383</v>
      </c>
      <c r="B1006" s="2" t="s">
        <v>7469</v>
      </c>
      <c r="C1006" s="2">
        <v>4</v>
      </c>
      <c r="D1006" s="2">
        <v>556</v>
      </c>
      <c r="E1006" s="2">
        <v>24</v>
      </c>
      <c r="F1006" s="2">
        <v>32441</v>
      </c>
      <c r="G1006" s="2">
        <v>9.7245203839999999</v>
      </c>
      <c r="H1006" s="2">
        <v>1.184282E-3</v>
      </c>
      <c r="I1006" s="2" t="s">
        <v>7470</v>
      </c>
      <c r="J1006" s="2" t="s">
        <v>7471</v>
      </c>
      <c r="K1006" s="2">
        <v>6.8656359999999996E-3</v>
      </c>
      <c r="L1006" s="2" t="s">
        <v>637</v>
      </c>
      <c r="M1006" s="4" t="s">
        <v>7472</v>
      </c>
    </row>
    <row r="1007" spans="1:13">
      <c r="A1007" s="2">
        <v>661</v>
      </c>
      <c r="B1007" s="2" t="s">
        <v>7473</v>
      </c>
      <c r="C1007" s="2">
        <v>5</v>
      </c>
      <c r="D1007" s="2">
        <v>556</v>
      </c>
      <c r="E1007" s="2">
        <v>46</v>
      </c>
      <c r="F1007" s="2">
        <v>32441</v>
      </c>
      <c r="G1007" s="2">
        <v>6.3420785110000004</v>
      </c>
      <c r="H1007" s="2">
        <v>1.6546709999999999E-3</v>
      </c>
      <c r="I1007" s="2" t="s">
        <v>7474</v>
      </c>
      <c r="J1007" s="2" t="s">
        <v>7475</v>
      </c>
      <c r="K1007" s="2">
        <v>9.5282400000000003E-3</v>
      </c>
      <c r="L1007" s="2" t="s">
        <v>637</v>
      </c>
      <c r="M1007" s="4" t="s">
        <v>7476</v>
      </c>
    </row>
    <row r="1008" spans="1:13">
      <c r="A1008" s="2">
        <v>234</v>
      </c>
      <c r="B1008" s="2" t="s">
        <v>7477</v>
      </c>
      <c r="C1008" s="2">
        <v>8</v>
      </c>
      <c r="D1008" s="2">
        <v>556</v>
      </c>
      <c r="E1008" s="2">
        <v>122</v>
      </c>
      <c r="F1008" s="2">
        <v>32441</v>
      </c>
      <c r="G1008" s="2">
        <v>3.826040807</v>
      </c>
      <c r="H1008" s="2">
        <v>1.668496E-3</v>
      </c>
      <c r="I1008" s="2" t="s">
        <v>7478</v>
      </c>
      <c r="J1008" s="2" t="s">
        <v>7479</v>
      </c>
      <c r="K1008" s="2">
        <v>9.5437979999999992E-3</v>
      </c>
      <c r="L1008" s="2" t="s">
        <v>637</v>
      </c>
      <c r="M1008" s="4" t="s">
        <v>7480</v>
      </c>
    </row>
    <row r="1009" spans="1:13">
      <c r="A1009" s="2">
        <v>6971</v>
      </c>
      <c r="B1009" s="2" t="s">
        <v>7481</v>
      </c>
      <c r="C1009" s="2">
        <v>6</v>
      </c>
      <c r="D1009" s="2">
        <v>556</v>
      </c>
      <c r="E1009" s="2">
        <v>71</v>
      </c>
      <c r="F1009" s="2">
        <v>32441</v>
      </c>
      <c r="G1009" s="2">
        <v>4.9307427300000004</v>
      </c>
      <c r="H1009" s="2">
        <v>1.9221959999999999E-3</v>
      </c>
      <c r="I1009" s="2" t="s">
        <v>7482</v>
      </c>
      <c r="J1009" s="2" t="s">
        <v>7483</v>
      </c>
      <c r="K1009" s="2">
        <v>1.0922147E-2</v>
      </c>
      <c r="L1009" s="2" t="s">
        <v>637</v>
      </c>
      <c r="M1009" s="4" t="s">
        <v>7484</v>
      </c>
    </row>
    <row r="1010" spans="1:13">
      <c r="A1010" s="2">
        <v>4391</v>
      </c>
      <c r="B1010" s="2" t="s">
        <v>7485</v>
      </c>
      <c r="C1010" s="2">
        <v>19</v>
      </c>
      <c r="D1010" s="2">
        <v>556</v>
      </c>
      <c r="E1010" s="2">
        <v>519</v>
      </c>
      <c r="F1010" s="2">
        <v>32441</v>
      </c>
      <c r="G1010" s="2">
        <v>2.1360218180000001</v>
      </c>
      <c r="H1010" s="2">
        <v>2.1904229999999999E-3</v>
      </c>
      <c r="I1010" s="2" t="s">
        <v>7486</v>
      </c>
      <c r="J1010" s="2" t="s">
        <v>7487</v>
      </c>
      <c r="K1010" s="2">
        <v>1.236436E-2</v>
      </c>
      <c r="L1010" s="2" t="s">
        <v>637</v>
      </c>
      <c r="M1010" s="4" t="s">
        <v>7488</v>
      </c>
    </row>
    <row r="1011" spans="1:13">
      <c r="A1011" s="2">
        <v>7421</v>
      </c>
      <c r="B1011" s="2" t="s">
        <v>7489</v>
      </c>
      <c r="C1011" s="2">
        <v>4</v>
      </c>
      <c r="D1011" s="2">
        <v>556</v>
      </c>
      <c r="E1011" s="2">
        <v>29</v>
      </c>
      <c r="F1011" s="2">
        <v>32441</v>
      </c>
      <c r="G1011" s="2">
        <v>8.0478789380000002</v>
      </c>
      <c r="H1011" s="2">
        <v>2.2148100000000002E-3</v>
      </c>
      <c r="I1011" s="2" t="s">
        <v>7490</v>
      </c>
      <c r="J1011" s="2" t="s">
        <v>7491</v>
      </c>
      <c r="K1011" s="2">
        <v>1.2420308999999999E-2</v>
      </c>
      <c r="L1011" s="2" t="s">
        <v>637</v>
      </c>
      <c r="M1011" s="4" t="s">
        <v>7492</v>
      </c>
    </row>
    <row r="1012" spans="1:13">
      <c r="A1012" s="2">
        <v>507</v>
      </c>
      <c r="B1012" s="2" t="s">
        <v>7493</v>
      </c>
      <c r="C1012" s="2">
        <v>5</v>
      </c>
      <c r="D1012" s="2">
        <v>556</v>
      </c>
      <c r="E1012" s="2">
        <v>51</v>
      </c>
      <c r="F1012" s="2">
        <v>32441</v>
      </c>
      <c r="G1012" s="2">
        <v>5.7203061079999999</v>
      </c>
      <c r="H1012" s="2">
        <v>2.5120250000000002E-3</v>
      </c>
      <c r="I1012" s="2" t="s">
        <v>7474</v>
      </c>
      <c r="J1012" s="2" t="s">
        <v>7475</v>
      </c>
      <c r="K1012" s="2">
        <v>1.3995565999999999E-2</v>
      </c>
      <c r="L1012" s="2" t="s">
        <v>637</v>
      </c>
      <c r="M1012" s="4" t="s">
        <v>7494</v>
      </c>
    </row>
    <row r="1013" spans="1:13">
      <c r="A1013" s="2">
        <v>737</v>
      </c>
      <c r="B1013" s="2" t="s">
        <v>7495</v>
      </c>
      <c r="C1013" s="2">
        <v>3</v>
      </c>
      <c r="D1013" s="2">
        <v>556</v>
      </c>
      <c r="E1013" s="2">
        <v>14</v>
      </c>
      <c r="F1013" s="2">
        <v>32441</v>
      </c>
      <c r="G1013" s="2">
        <v>12.50295478</v>
      </c>
      <c r="H1013" s="2">
        <v>2.7133629999999999E-3</v>
      </c>
      <c r="I1013" s="2" t="s">
        <v>7496</v>
      </c>
      <c r="J1013" s="2" t="s">
        <v>7497</v>
      </c>
      <c r="K1013" s="2">
        <v>1.501978E-2</v>
      </c>
      <c r="L1013" s="2" t="s">
        <v>637</v>
      </c>
      <c r="M1013" s="4" t="s">
        <v>7498</v>
      </c>
    </row>
    <row r="1014" spans="1:13">
      <c r="A1014" s="2">
        <v>492</v>
      </c>
      <c r="B1014" s="2" t="s">
        <v>7499</v>
      </c>
      <c r="C1014" s="2">
        <v>19</v>
      </c>
      <c r="D1014" s="2">
        <v>556</v>
      </c>
      <c r="E1014" s="2">
        <v>532</v>
      </c>
      <c r="F1014" s="2">
        <v>32441</v>
      </c>
      <c r="G1014" s="2">
        <v>2.0838257969999998</v>
      </c>
      <c r="H1014" s="2">
        <v>2.8470489999999999E-3</v>
      </c>
      <c r="I1014" s="2" t="s">
        <v>7500</v>
      </c>
      <c r="J1014" s="2" t="s">
        <v>7501</v>
      </c>
      <c r="K1014" s="2">
        <v>1.5658769999999999E-2</v>
      </c>
      <c r="L1014" s="2" t="s">
        <v>637</v>
      </c>
      <c r="M1014" s="4" t="s">
        <v>7502</v>
      </c>
    </row>
    <row r="1015" spans="1:13">
      <c r="A1015" s="2">
        <v>2831</v>
      </c>
      <c r="B1015" s="2" t="s">
        <v>7503</v>
      </c>
      <c r="C1015" s="2">
        <v>4</v>
      </c>
      <c r="D1015" s="2">
        <v>556</v>
      </c>
      <c r="E1015" s="2">
        <v>34</v>
      </c>
      <c r="F1015" s="2">
        <v>32441</v>
      </c>
      <c r="G1015" s="2">
        <v>6.8643673300000003</v>
      </c>
      <c r="H1015" s="2">
        <v>3.739399E-3</v>
      </c>
      <c r="I1015" s="2" t="s">
        <v>7504</v>
      </c>
      <c r="J1015" s="2" t="s">
        <v>7505</v>
      </c>
      <c r="K1015" s="2">
        <v>2.0435699000000002E-2</v>
      </c>
      <c r="L1015" s="2" t="s">
        <v>637</v>
      </c>
      <c r="M1015" s="4" t="s">
        <v>7506</v>
      </c>
    </row>
    <row r="1016" spans="1:13">
      <c r="A1016" s="2">
        <v>763</v>
      </c>
      <c r="B1016" s="2" t="s">
        <v>7507</v>
      </c>
      <c r="C1016" s="2">
        <v>3</v>
      </c>
      <c r="D1016" s="2">
        <v>556</v>
      </c>
      <c r="E1016" s="2">
        <v>16</v>
      </c>
      <c r="F1016" s="2">
        <v>32441</v>
      </c>
      <c r="G1016" s="2">
        <v>10.94008543</v>
      </c>
      <c r="H1016" s="2">
        <v>3.771117E-3</v>
      </c>
      <c r="I1016" s="2" t="s">
        <v>7508</v>
      </c>
      <c r="J1016" s="2" t="s">
        <v>7509</v>
      </c>
      <c r="K1016" s="2">
        <v>2.0478594999999999E-2</v>
      </c>
      <c r="L1016" s="2" t="s">
        <v>637</v>
      </c>
      <c r="M1016" s="4" t="s">
        <v>7510</v>
      </c>
    </row>
    <row r="1017" spans="1:13">
      <c r="A1017" s="2">
        <v>6131</v>
      </c>
      <c r="B1017" s="2" t="s">
        <v>7511</v>
      </c>
      <c r="C1017" s="2">
        <v>5</v>
      </c>
      <c r="D1017" s="2">
        <v>556</v>
      </c>
      <c r="E1017" s="2">
        <v>57</v>
      </c>
      <c r="F1017" s="2">
        <v>32441</v>
      </c>
      <c r="G1017" s="2">
        <v>5.1181686229999999</v>
      </c>
      <c r="H1017" s="2">
        <v>3.919573E-3</v>
      </c>
      <c r="I1017" s="2" t="s">
        <v>7474</v>
      </c>
      <c r="J1017" s="2" t="s">
        <v>7475</v>
      </c>
      <c r="K1017" s="2">
        <v>2.1150906000000001E-2</v>
      </c>
      <c r="L1017" s="2" t="s">
        <v>637</v>
      </c>
      <c r="M1017" s="4" t="s">
        <v>7512</v>
      </c>
    </row>
    <row r="1018" spans="1:13">
      <c r="A1018" s="2">
        <v>445</v>
      </c>
      <c r="B1018" s="2" t="s">
        <v>7513</v>
      </c>
      <c r="C1018" s="2">
        <v>13</v>
      </c>
      <c r="D1018" s="2">
        <v>556</v>
      </c>
      <c r="E1018" s="2">
        <v>314</v>
      </c>
      <c r="F1018" s="2">
        <v>32441</v>
      </c>
      <c r="G1018" s="2">
        <v>2.4156451909999999</v>
      </c>
      <c r="H1018" s="2">
        <v>3.9636769999999997E-3</v>
      </c>
      <c r="I1018" s="2" t="s">
        <v>7514</v>
      </c>
      <c r="J1018" s="2" t="s">
        <v>7515</v>
      </c>
      <c r="K1018" s="2">
        <v>2.1255217E-2</v>
      </c>
      <c r="L1018" s="2" t="s">
        <v>637</v>
      </c>
      <c r="M1018" s="4" t="s">
        <v>7516</v>
      </c>
    </row>
    <row r="1019" spans="1:13">
      <c r="A1019" s="2">
        <v>841</v>
      </c>
      <c r="B1019" s="2" t="s">
        <v>7517</v>
      </c>
      <c r="C1019" s="2">
        <v>3</v>
      </c>
      <c r="D1019" s="2">
        <v>556</v>
      </c>
      <c r="E1019" s="2">
        <v>17</v>
      </c>
      <c r="F1019" s="2">
        <v>32441</v>
      </c>
      <c r="G1019" s="2">
        <v>10.29655099</v>
      </c>
      <c r="H1019" s="2">
        <v>4.3815900000000003E-3</v>
      </c>
      <c r="I1019" s="2" t="s">
        <v>7518</v>
      </c>
      <c r="J1019" s="2" t="s">
        <v>7519</v>
      </c>
      <c r="K1019" s="2">
        <v>2.3350335999999999E-2</v>
      </c>
      <c r="L1019" s="2" t="s">
        <v>637</v>
      </c>
      <c r="M1019" s="4" t="s">
        <v>7520</v>
      </c>
    </row>
    <row r="1020" spans="1:13">
      <c r="A1020" s="2">
        <v>8321</v>
      </c>
      <c r="B1020" s="2" t="s">
        <v>7521</v>
      </c>
      <c r="C1020" s="2">
        <v>4</v>
      </c>
      <c r="D1020" s="2">
        <v>556</v>
      </c>
      <c r="E1020" s="2">
        <v>36</v>
      </c>
      <c r="F1020" s="2">
        <v>32441</v>
      </c>
      <c r="G1020" s="2">
        <v>6.4830135889999996</v>
      </c>
      <c r="H1020" s="2">
        <v>4.5090290000000003E-3</v>
      </c>
      <c r="I1020" s="2" t="s">
        <v>7522</v>
      </c>
      <c r="J1020" s="2" t="s">
        <v>7523</v>
      </c>
      <c r="K1020" s="2">
        <v>2.3881154000000002E-2</v>
      </c>
      <c r="L1020" s="2" t="s">
        <v>637</v>
      </c>
      <c r="M1020" s="4" t="s">
        <v>7524</v>
      </c>
    </row>
    <row r="1021" spans="1:13">
      <c r="A1021" s="2">
        <v>460</v>
      </c>
      <c r="B1021" s="2" t="s">
        <v>7525</v>
      </c>
      <c r="C1021" s="2">
        <v>17</v>
      </c>
      <c r="D1021" s="2">
        <v>556</v>
      </c>
      <c r="E1021" s="2">
        <v>477</v>
      </c>
      <c r="F1021" s="2">
        <v>32441</v>
      </c>
      <c r="G1021" s="2">
        <v>2.0794571890000002</v>
      </c>
      <c r="H1021" s="2">
        <v>4.7149449999999999E-3</v>
      </c>
      <c r="I1021" s="2" t="s">
        <v>7526</v>
      </c>
      <c r="J1021" s="2" t="s">
        <v>7527</v>
      </c>
      <c r="K1021" s="2">
        <v>2.4818542999999998E-2</v>
      </c>
      <c r="L1021" s="2" t="s">
        <v>637</v>
      </c>
      <c r="M1021" s="4" t="s">
        <v>7528</v>
      </c>
    </row>
    <row r="1022" spans="1:13">
      <c r="A1022" s="2">
        <v>652</v>
      </c>
      <c r="B1022" s="2" t="s">
        <v>7529</v>
      </c>
      <c r="C1022" s="2">
        <v>4</v>
      </c>
      <c r="D1022" s="2">
        <v>556</v>
      </c>
      <c r="E1022" s="2">
        <v>37</v>
      </c>
      <c r="F1022" s="2">
        <v>32441</v>
      </c>
      <c r="G1022" s="2">
        <v>6.3077970060000004</v>
      </c>
      <c r="H1022" s="2">
        <v>4.9309890000000002E-3</v>
      </c>
      <c r="I1022" s="2" t="s">
        <v>7530</v>
      </c>
      <c r="J1022" s="2" t="s">
        <v>7531</v>
      </c>
      <c r="K1022" s="2">
        <v>2.5797490999999999E-2</v>
      </c>
      <c r="L1022" s="2" t="s">
        <v>637</v>
      </c>
      <c r="M1022" s="4" t="s">
        <v>7532</v>
      </c>
    </row>
    <row r="1023" spans="1:13">
      <c r="A1023" s="2">
        <v>7801</v>
      </c>
      <c r="B1023" s="2" t="s">
        <v>7533</v>
      </c>
      <c r="C1023" s="2">
        <v>6</v>
      </c>
      <c r="D1023" s="2">
        <v>556</v>
      </c>
      <c r="E1023" s="2">
        <v>88</v>
      </c>
      <c r="F1023" s="2">
        <v>32441</v>
      </c>
      <c r="G1023" s="2">
        <v>3.9782128839999999</v>
      </c>
      <c r="H1023" s="2">
        <v>5.1998060000000004E-3</v>
      </c>
      <c r="I1023" s="2" t="s">
        <v>7534</v>
      </c>
      <c r="J1023" s="2" t="s">
        <v>7535</v>
      </c>
      <c r="K1023" s="2">
        <v>2.7038988999999999E-2</v>
      </c>
      <c r="L1023" s="2" t="s">
        <v>637</v>
      </c>
      <c r="M1023" s="4" t="s">
        <v>7536</v>
      </c>
    </row>
    <row r="1024" spans="1:13">
      <c r="A1024" s="2">
        <v>558</v>
      </c>
      <c r="B1024" s="2" t="s">
        <v>7537</v>
      </c>
      <c r="C1024" s="2">
        <v>17</v>
      </c>
      <c r="D1024" s="2">
        <v>556</v>
      </c>
      <c r="E1024" s="2">
        <v>497</v>
      </c>
      <c r="F1024" s="2">
        <v>32441</v>
      </c>
      <c r="G1024" s="2">
        <v>1.995776819</v>
      </c>
      <c r="H1024" s="2">
        <v>6.9068569999999998E-3</v>
      </c>
      <c r="I1024" s="2" t="s">
        <v>7538</v>
      </c>
      <c r="J1024" s="2" t="s">
        <v>7539</v>
      </c>
      <c r="K1024" s="2">
        <v>3.5699294999999999E-2</v>
      </c>
      <c r="L1024" s="2" t="s">
        <v>637</v>
      </c>
      <c r="M1024" s="4" t="s">
        <v>7540</v>
      </c>
    </row>
    <row r="1025" spans="1:13">
      <c r="A1025" s="2">
        <v>7391</v>
      </c>
      <c r="B1025" s="2" t="s">
        <v>7541</v>
      </c>
      <c r="C1025" s="2">
        <v>3</v>
      </c>
      <c r="D1025" s="2">
        <v>556</v>
      </c>
      <c r="E1025" s="2">
        <v>21</v>
      </c>
      <c r="F1025" s="2">
        <v>32441</v>
      </c>
      <c r="G1025" s="2">
        <v>8.3353031860000009</v>
      </c>
      <c r="H1025" s="2">
        <v>7.4013009999999999E-3</v>
      </c>
      <c r="I1025" s="2" t="s">
        <v>7542</v>
      </c>
      <c r="J1025" s="2" t="s">
        <v>7543</v>
      </c>
      <c r="K1025" s="2">
        <v>3.8025848000000001E-2</v>
      </c>
      <c r="L1025" s="2" t="s">
        <v>637</v>
      </c>
      <c r="M1025" s="4" t="s">
        <v>7544</v>
      </c>
    </row>
    <row r="1026" spans="1:13">
      <c r="A1026" s="2">
        <v>519</v>
      </c>
      <c r="B1026" s="2" t="s">
        <v>7545</v>
      </c>
      <c r="C1026" s="2">
        <v>6</v>
      </c>
      <c r="D1026" s="2">
        <v>556</v>
      </c>
      <c r="E1026" s="2">
        <v>99</v>
      </c>
      <c r="F1026" s="2">
        <v>32441</v>
      </c>
      <c r="G1026" s="2">
        <v>3.5361892300000002</v>
      </c>
      <c r="H1026" s="2">
        <v>8.8142670000000006E-3</v>
      </c>
      <c r="I1026" s="2" t="s">
        <v>7546</v>
      </c>
      <c r="J1026" s="2" t="s">
        <v>7547</v>
      </c>
      <c r="K1026" s="2">
        <v>4.5015721000000002E-2</v>
      </c>
      <c r="L1026" s="2" t="s">
        <v>637</v>
      </c>
      <c r="M1026" s="4" t="s">
        <v>7548</v>
      </c>
    </row>
    <row r="1027" spans="1:13">
      <c r="A1027" s="2">
        <v>7941</v>
      </c>
      <c r="B1027" s="2" t="s">
        <v>7549</v>
      </c>
      <c r="C1027" s="2">
        <v>4</v>
      </c>
      <c r="D1027" s="2">
        <v>556</v>
      </c>
      <c r="E1027" s="2">
        <v>45</v>
      </c>
      <c r="F1027" s="2">
        <v>32441</v>
      </c>
      <c r="G1027" s="2">
        <v>5.1864108709999996</v>
      </c>
      <c r="H1027" s="2">
        <v>9.2857029999999993E-3</v>
      </c>
      <c r="I1027" s="2" t="s">
        <v>7550</v>
      </c>
      <c r="J1027" s="2" t="s">
        <v>7551</v>
      </c>
      <c r="K1027" s="2">
        <v>4.7142799999999999E-2</v>
      </c>
      <c r="L1027" s="2" t="s">
        <v>637</v>
      </c>
      <c r="M1027" s="4" t="s">
        <v>7552</v>
      </c>
    </row>
    <row r="1028" spans="1:13">
      <c r="A1028" s="2">
        <v>599</v>
      </c>
      <c r="B1028" s="2" t="s">
        <v>7553</v>
      </c>
      <c r="C1028" s="2">
        <v>6</v>
      </c>
      <c r="D1028" s="2">
        <v>556</v>
      </c>
      <c r="E1028" s="2">
        <v>101</v>
      </c>
      <c r="F1028" s="2">
        <v>32441</v>
      </c>
      <c r="G1028" s="2">
        <v>3.4661656810000001</v>
      </c>
      <c r="H1028" s="2">
        <v>9.6262120000000003E-3</v>
      </c>
      <c r="I1028" s="2" t="s">
        <v>7546</v>
      </c>
      <c r="J1028" s="2" t="s">
        <v>7547</v>
      </c>
      <c r="K1028" s="2">
        <v>4.8584058999999999E-2</v>
      </c>
      <c r="L1028" s="2" t="s">
        <v>637</v>
      </c>
      <c r="M1028" s="4" t="s">
        <v>7554</v>
      </c>
    </row>
    <row r="1029" spans="1:13">
      <c r="A1029" s="2">
        <v>3241</v>
      </c>
      <c r="B1029" s="2" t="s">
        <v>7555</v>
      </c>
      <c r="C1029" s="2">
        <v>274</v>
      </c>
      <c r="D1029" s="2">
        <v>556</v>
      </c>
      <c r="E1029" s="2">
        <v>1984</v>
      </c>
      <c r="F1029" s="2">
        <v>32441</v>
      </c>
      <c r="G1029" s="2">
        <v>8.0580199149999991</v>
      </c>
      <c r="H1029" s="3">
        <v>1.1499999999999999E-168</v>
      </c>
      <c r="I1029" s="3" t="s">
        <v>7556</v>
      </c>
      <c r="J1029" s="3" t="s">
        <v>7557</v>
      </c>
      <c r="K1029" s="3">
        <v>6.82E-165</v>
      </c>
      <c r="L1029" s="2" t="s">
        <v>848</v>
      </c>
      <c r="M1029" s="4" t="s">
        <v>7558</v>
      </c>
    </row>
    <row r="1030" spans="1:13">
      <c r="A1030" s="2">
        <v>27811</v>
      </c>
      <c r="B1030" s="2" t="s">
        <v>7559</v>
      </c>
      <c r="C1030" s="2">
        <v>200</v>
      </c>
      <c r="D1030" s="2">
        <v>556</v>
      </c>
      <c r="E1030" s="2">
        <v>1100</v>
      </c>
      <c r="F1030" s="2">
        <v>32441</v>
      </c>
      <c r="G1030" s="2">
        <v>10.608567689999999</v>
      </c>
      <c r="H1030" s="3">
        <v>2.24E-137</v>
      </c>
      <c r="I1030" s="3" t="s">
        <v>7560</v>
      </c>
      <c r="J1030" s="3" t="s">
        <v>7561</v>
      </c>
      <c r="K1030" s="3">
        <v>6.6199999999999995E-134</v>
      </c>
      <c r="L1030" s="2" t="s">
        <v>848</v>
      </c>
      <c r="M1030" s="4" t="s">
        <v>7562</v>
      </c>
    </row>
    <row r="1031" spans="1:13">
      <c r="A1031" s="2">
        <v>2221</v>
      </c>
      <c r="B1031" s="2" t="s">
        <v>7563</v>
      </c>
      <c r="C1031" s="2">
        <v>206</v>
      </c>
      <c r="D1031" s="2">
        <v>556</v>
      </c>
      <c r="E1031" s="2">
        <v>1403</v>
      </c>
      <c r="F1031" s="2">
        <v>32441</v>
      </c>
      <c r="G1031" s="2">
        <v>8.5670044149999995</v>
      </c>
      <c r="H1031" s="3">
        <v>1.38E-125</v>
      </c>
      <c r="I1031" s="3" t="s">
        <v>7564</v>
      </c>
      <c r="J1031" s="3" t="s">
        <v>7565</v>
      </c>
      <c r="K1031" s="3">
        <v>2.7299999999999998E-122</v>
      </c>
      <c r="L1031" s="2" t="s">
        <v>848</v>
      </c>
      <c r="M1031" s="4" t="s">
        <v>7566</v>
      </c>
    </row>
    <row r="1032" spans="1:13">
      <c r="A1032" s="2">
        <v>1000</v>
      </c>
      <c r="B1032" s="2" t="s">
        <v>7567</v>
      </c>
      <c r="C1032" s="2">
        <v>151</v>
      </c>
      <c r="D1032" s="2">
        <v>556</v>
      </c>
      <c r="E1032" s="2">
        <v>858</v>
      </c>
      <c r="F1032" s="2">
        <v>32441</v>
      </c>
      <c r="G1032" s="2">
        <v>10.268549500000001</v>
      </c>
      <c r="H1032" s="3">
        <v>2.8500000000000002E-99</v>
      </c>
      <c r="I1032" s="3" t="s">
        <v>7568</v>
      </c>
      <c r="J1032" s="3" t="s">
        <v>7569</v>
      </c>
      <c r="K1032" s="3">
        <v>4.22E-96</v>
      </c>
      <c r="L1032" s="2" t="s">
        <v>848</v>
      </c>
      <c r="M1032" s="4" t="s">
        <v>7570</v>
      </c>
    </row>
    <row r="1033" spans="1:13">
      <c r="A1033" s="2">
        <v>1221</v>
      </c>
      <c r="B1033" s="2" t="s">
        <v>7571</v>
      </c>
      <c r="C1033" s="2">
        <v>167</v>
      </c>
      <c r="D1033" s="2">
        <v>556</v>
      </c>
      <c r="E1033" s="2">
        <v>1231</v>
      </c>
      <c r="F1033" s="2">
        <v>32441</v>
      </c>
      <c r="G1033" s="2">
        <v>7.9154910029999996</v>
      </c>
      <c r="H1033" s="3">
        <v>1.2600000000000001E-94</v>
      </c>
      <c r="I1033" s="3" t="s">
        <v>7572</v>
      </c>
      <c r="J1033" s="3" t="s">
        <v>7573</v>
      </c>
      <c r="K1033" s="3">
        <v>1.4899999999999999E-91</v>
      </c>
      <c r="L1033" s="2" t="s">
        <v>848</v>
      </c>
      <c r="M1033" s="4" t="s">
        <v>7574</v>
      </c>
    </row>
    <row r="1034" spans="1:13">
      <c r="A1034" s="2">
        <v>1833</v>
      </c>
      <c r="B1034" s="2" t="s">
        <v>7575</v>
      </c>
      <c r="C1034" s="2">
        <v>141</v>
      </c>
      <c r="D1034" s="2">
        <v>556</v>
      </c>
      <c r="E1034" s="2">
        <v>867</v>
      </c>
      <c r="F1034" s="2">
        <v>32441</v>
      </c>
      <c r="G1034" s="2">
        <v>9.4889783669999996</v>
      </c>
      <c r="H1034" s="3">
        <v>3.5900000000000002E-88</v>
      </c>
      <c r="I1034" s="3" t="s">
        <v>7576</v>
      </c>
      <c r="J1034" s="3" t="s">
        <v>7577</v>
      </c>
      <c r="K1034" s="3">
        <v>3.5400000000000001E-85</v>
      </c>
      <c r="L1034" s="2" t="s">
        <v>848</v>
      </c>
      <c r="M1034" s="4" t="s">
        <v>7578</v>
      </c>
    </row>
    <row r="1035" spans="1:13">
      <c r="A1035" s="2">
        <v>55</v>
      </c>
      <c r="B1035" s="2" t="s">
        <v>7579</v>
      </c>
      <c r="C1035" s="2">
        <v>100</v>
      </c>
      <c r="D1035" s="2">
        <v>556</v>
      </c>
      <c r="E1035" s="2">
        <v>414</v>
      </c>
      <c r="F1035" s="2">
        <v>32441</v>
      </c>
      <c r="G1035" s="2">
        <v>14.093507799999999</v>
      </c>
      <c r="H1035" s="3">
        <v>5.6200000000000003E-76</v>
      </c>
      <c r="I1035" s="3" t="s">
        <v>7580</v>
      </c>
      <c r="J1035" s="3" t="s">
        <v>7581</v>
      </c>
      <c r="K1035" s="3">
        <v>4.1600000000000001E-73</v>
      </c>
      <c r="L1035" s="2" t="s">
        <v>848</v>
      </c>
      <c r="M1035" s="4" t="s">
        <v>7582</v>
      </c>
    </row>
    <row r="1036" spans="1:13">
      <c r="A1036" s="2">
        <v>869</v>
      </c>
      <c r="B1036" s="2" t="s">
        <v>7583</v>
      </c>
      <c r="C1036" s="2">
        <v>111</v>
      </c>
      <c r="D1036" s="2">
        <v>556</v>
      </c>
      <c r="E1036" s="2">
        <v>568</v>
      </c>
      <c r="F1036" s="2">
        <v>32441</v>
      </c>
      <c r="G1036" s="2">
        <v>11.402342559999999</v>
      </c>
      <c r="H1036" s="3">
        <v>5.1300000000000001E-76</v>
      </c>
      <c r="I1036" s="3" t="s">
        <v>7584</v>
      </c>
      <c r="J1036" s="3" t="s">
        <v>7585</v>
      </c>
      <c r="K1036" s="3">
        <v>4.1600000000000001E-73</v>
      </c>
      <c r="L1036" s="2" t="s">
        <v>848</v>
      </c>
      <c r="M1036" s="4" t="s">
        <v>7586</v>
      </c>
    </row>
    <row r="1037" spans="1:13">
      <c r="A1037" s="2">
        <v>1565</v>
      </c>
      <c r="B1037" s="2" t="s">
        <v>7587</v>
      </c>
      <c r="C1037" s="2">
        <v>88</v>
      </c>
      <c r="D1037" s="2">
        <v>556</v>
      </c>
      <c r="E1037" s="2">
        <v>342</v>
      </c>
      <c r="F1037" s="2">
        <v>32441</v>
      </c>
      <c r="G1037" s="2">
        <v>15.013294630000001</v>
      </c>
      <c r="H1037" s="3">
        <v>1.0799999999999999E-68</v>
      </c>
      <c r="I1037" s="3" t="s">
        <v>7588</v>
      </c>
      <c r="J1037" s="3" t="s">
        <v>7589</v>
      </c>
      <c r="K1037" s="3">
        <v>7.1299999999999998E-66</v>
      </c>
      <c r="L1037" s="2" t="s">
        <v>848</v>
      </c>
      <c r="M1037" s="4" t="s">
        <v>7590</v>
      </c>
    </row>
    <row r="1038" spans="1:13">
      <c r="A1038" s="2">
        <v>42</v>
      </c>
      <c r="B1038" s="2" t="s">
        <v>7591</v>
      </c>
      <c r="C1038" s="2">
        <v>96</v>
      </c>
      <c r="D1038" s="2">
        <v>556</v>
      </c>
      <c r="E1038" s="2">
        <v>484</v>
      </c>
      <c r="F1038" s="2">
        <v>32441</v>
      </c>
      <c r="G1038" s="2">
        <v>11.572982939999999</v>
      </c>
      <c r="H1038" s="3">
        <v>5.6600000000000004E-66</v>
      </c>
      <c r="I1038" s="3" t="s">
        <v>7592</v>
      </c>
      <c r="J1038" s="3" t="s">
        <v>7593</v>
      </c>
      <c r="K1038" s="3">
        <v>3.35E-63</v>
      </c>
      <c r="L1038" s="2" t="s">
        <v>848</v>
      </c>
      <c r="M1038" s="4" t="s">
        <v>7594</v>
      </c>
    </row>
    <row r="1039" spans="1:13">
      <c r="A1039" s="2">
        <v>3819</v>
      </c>
      <c r="B1039" s="2" t="s">
        <v>7595</v>
      </c>
      <c r="C1039" s="2">
        <v>97</v>
      </c>
      <c r="D1039" s="2">
        <v>556</v>
      </c>
      <c r="E1039" s="2">
        <v>563</v>
      </c>
      <c r="F1039" s="2">
        <v>32441</v>
      </c>
      <c r="G1039" s="2">
        <v>10.05270136</v>
      </c>
      <c r="H1039" s="3">
        <v>1.0800000000000001E-61</v>
      </c>
      <c r="I1039" s="3" t="s">
        <v>7596</v>
      </c>
      <c r="J1039" s="3" t="s">
        <v>7597</v>
      </c>
      <c r="K1039" s="3">
        <v>5.8099999999999997E-59</v>
      </c>
      <c r="L1039" s="2" t="s">
        <v>848</v>
      </c>
      <c r="M1039" s="4" t="s">
        <v>7598</v>
      </c>
    </row>
    <row r="1040" spans="1:13">
      <c r="A1040" s="2">
        <v>406</v>
      </c>
      <c r="B1040" s="2" t="s">
        <v>7599</v>
      </c>
      <c r="C1040" s="2">
        <v>152</v>
      </c>
      <c r="D1040" s="2">
        <v>556</v>
      </c>
      <c r="E1040" s="2">
        <v>1929</v>
      </c>
      <c r="F1040" s="2">
        <v>32441</v>
      </c>
      <c r="G1040" s="2">
        <v>4.5975959509999997</v>
      </c>
      <c r="H1040" s="3">
        <v>7.5800000000000002E-56</v>
      </c>
      <c r="I1040" s="3" t="s">
        <v>7600</v>
      </c>
      <c r="J1040" s="3" t="s">
        <v>7601</v>
      </c>
      <c r="K1040" s="3">
        <v>3.7399999999999998E-53</v>
      </c>
      <c r="L1040" s="2" t="s">
        <v>848</v>
      </c>
      <c r="M1040" s="4" t="s">
        <v>7602</v>
      </c>
    </row>
    <row r="1041" spans="1:13">
      <c r="A1041" s="2">
        <v>41591</v>
      </c>
      <c r="B1041" s="2" t="s">
        <v>7603</v>
      </c>
      <c r="C1041" s="2">
        <v>115</v>
      </c>
      <c r="D1041" s="2">
        <v>556</v>
      </c>
      <c r="E1041" s="2">
        <v>1032</v>
      </c>
      <c r="F1041" s="2">
        <v>32441</v>
      </c>
      <c r="G1041" s="2">
        <v>6.5018595589999997</v>
      </c>
      <c r="H1041" s="3">
        <v>2.27E-55</v>
      </c>
      <c r="I1041" s="3" t="s">
        <v>7604</v>
      </c>
      <c r="J1041" s="3" t="s">
        <v>7605</v>
      </c>
      <c r="K1041" s="3">
        <v>1.03E-52</v>
      </c>
      <c r="L1041" s="2" t="s">
        <v>848</v>
      </c>
      <c r="M1041" s="4" t="s">
        <v>7606</v>
      </c>
    </row>
    <row r="1042" spans="1:13">
      <c r="A1042" s="2">
        <v>2460</v>
      </c>
      <c r="B1042" s="2" t="s">
        <v>7607</v>
      </c>
      <c r="C1042" s="2">
        <v>71</v>
      </c>
      <c r="D1042" s="2">
        <v>556</v>
      </c>
      <c r="E1042" s="2">
        <v>288</v>
      </c>
      <c r="F1042" s="2">
        <v>32441</v>
      </c>
      <c r="G1042" s="2">
        <v>14.384186400000001</v>
      </c>
      <c r="H1042" s="3">
        <v>3.25E-54</v>
      </c>
      <c r="I1042" s="3" t="s">
        <v>7608</v>
      </c>
      <c r="J1042" s="3" t="s">
        <v>7609</v>
      </c>
      <c r="K1042" s="3">
        <v>1.3799999999999999E-51</v>
      </c>
      <c r="L1042" s="2" t="s">
        <v>848</v>
      </c>
      <c r="M1042" s="4" t="s">
        <v>7610</v>
      </c>
    </row>
    <row r="1043" spans="1:13">
      <c r="A1043" s="2">
        <v>4569</v>
      </c>
      <c r="B1043" s="2" t="s">
        <v>7611</v>
      </c>
      <c r="C1043" s="2">
        <v>139</v>
      </c>
      <c r="D1043" s="2">
        <v>556</v>
      </c>
      <c r="E1043" s="2">
        <v>1649</v>
      </c>
      <c r="F1043" s="2">
        <v>32441</v>
      </c>
      <c r="G1043" s="2">
        <v>4.918283808</v>
      </c>
      <c r="H1043" s="3">
        <v>6.4900000000000001E-54</v>
      </c>
      <c r="I1043" s="3" t="s">
        <v>7612</v>
      </c>
      <c r="J1043" s="3" t="s">
        <v>7613</v>
      </c>
      <c r="K1043" s="3">
        <v>2.5600000000000001E-51</v>
      </c>
      <c r="L1043" s="2" t="s">
        <v>848</v>
      </c>
      <c r="M1043" s="4" t="s">
        <v>7614</v>
      </c>
    </row>
    <row r="1044" spans="1:13">
      <c r="A1044" s="2">
        <v>29751</v>
      </c>
      <c r="B1044" s="2" t="s">
        <v>7615</v>
      </c>
      <c r="C1044" s="2">
        <v>68</v>
      </c>
      <c r="D1044" s="2">
        <v>556</v>
      </c>
      <c r="E1044" s="2">
        <v>255</v>
      </c>
      <c r="F1044" s="2">
        <v>32441</v>
      </c>
      <c r="G1044" s="2">
        <v>15.55923261</v>
      </c>
      <c r="H1044" s="3">
        <v>7.5399999999999996E-54</v>
      </c>
      <c r="I1044" s="3" t="s">
        <v>7616</v>
      </c>
      <c r="J1044" s="3" t="s">
        <v>7617</v>
      </c>
      <c r="K1044" s="3">
        <v>2.7900000000000001E-51</v>
      </c>
      <c r="L1044" s="2" t="s">
        <v>848</v>
      </c>
      <c r="M1044" s="4" t="s">
        <v>7618</v>
      </c>
    </row>
    <row r="1045" spans="1:13">
      <c r="A1045" s="2">
        <v>2145</v>
      </c>
      <c r="B1045" s="2" t="s">
        <v>7619</v>
      </c>
      <c r="C1045" s="2">
        <v>72</v>
      </c>
      <c r="D1045" s="2">
        <v>556</v>
      </c>
      <c r="E1045" s="2">
        <v>311</v>
      </c>
      <c r="F1045" s="2">
        <v>32441</v>
      </c>
      <c r="G1045" s="2">
        <v>13.50801545</v>
      </c>
      <c r="H1045" s="3">
        <v>2.4299999999999998E-53</v>
      </c>
      <c r="I1045" s="3" t="s">
        <v>7620</v>
      </c>
      <c r="J1045" s="3" t="s">
        <v>7621</v>
      </c>
      <c r="K1045" s="3">
        <v>8.4599999999999995E-51</v>
      </c>
      <c r="L1045" s="2" t="s">
        <v>848</v>
      </c>
      <c r="M1045" s="4" t="s">
        <v>7622</v>
      </c>
    </row>
    <row r="1046" spans="1:13">
      <c r="A1046" s="2">
        <v>5738</v>
      </c>
      <c r="B1046" s="2" t="s">
        <v>7623</v>
      </c>
      <c r="C1046" s="2">
        <v>138</v>
      </c>
      <c r="D1046" s="2">
        <v>556</v>
      </c>
      <c r="E1046" s="2">
        <v>1649</v>
      </c>
      <c r="F1046" s="2">
        <v>32441</v>
      </c>
      <c r="G1046" s="2">
        <v>4.8829004720000002</v>
      </c>
      <c r="H1046" s="3">
        <v>3.77E-53</v>
      </c>
      <c r="I1046" s="3" t="s">
        <v>7624</v>
      </c>
      <c r="J1046" s="3" t="s">
        <v>7625</v>
      </c>
      <c r="K1046" s="3">
        <v>1.2399999999999999E-50</v>
      </c>
      <c r="L1046" s="2" t="s">
        <v>848</v>
      </c>
      <c r="M1046" s="4" t="s">
        <v>7626</v>
      </c>
    </row>
    <row r="1047" spans="1:13">
      <c r="A1047" s="2">
        <v>3041</v>
      </c>
      <c r="B1047" s="2" t="s">
        <v>7627</v>
      </c>
      <c r="C1047" s="2">
        <v>71</v>
      </c>
      <c r="D1047" s="2">
        <v>556</v>
      </c>
      <c r="E1047" s="2">
        <v>307</v>
      </c>
      <c r="F1047" s="2">
        <v>32441</v>
      </c>
      <c r="G1047" s="2">
        <v>13.49395988</v>
      </c>
      <c r="H1047" s="3">
        <v>1.43E-52</v>
      </c>
      <c r="I1047" s="3" t="s">
        <v>7628</v>
      </c>
      <c r="J1047" s="3" t="s">
        <v>7629</v>
      </c>
      <c r="K1047" s="3">
        <v>4.4500000000000002E-50</v>
      </c>
      <c r="L1047" s="2" t="s">
        <v>848</v>
      </c>
      <c r="M1047" s="4" t="s">
        <v>7630</v>
      </c>
    </row>
    <row r="1048" spans="1:13">
      <c r="A1048" s="2">
        <v>2030</v>
      </c>
      <c r="B1048" s="2" t="s">
        <v>7631</v>
      </c>
      <c r="C1048" s="2">
        <v>91</v>
      </c>
      <c r="D1048" s="2">
        <v>556</v>
      </c>
      <c r="E1048" s="2">
        <v>619</v>
      </c>
      <c r="F1048" s="2">
        <v>32441</v>
      </c>
      <c r="G1048" s="2">
        <v>8.5776868000000004</v>
      </c>
      <c r="H1048" s="3">
        <v>1.53E-52</v>
      </c>
      <c r="I1048" s="3" t="s">
        <v>7632</v>
      </c>
      <c r="J1048" s="3" t="s">
        <v>7633</v>
      </c>
      <c r="K1048" s="3">
        <v>4.5200000000000002E-50</v>
      </c>
      <c r="L1048" s="2" t="s">
        <v>848</v>
      </c>
      <c r="M1048" s="4" t="s">
        <v>7634</v>
      </c>
    </row>
    <row r="1049" spans="1:13">
      <c r="A1049" s="2">
        <v>27781</v>
      </c>
      <c r="B1049" s="2" t="s">
        <v>7635</v>
      </c>
      <c r="C1049" s="2">
        <v>76</v>
      </c>
      <c r="D1049" s="2">
        <v>556</v>
      </c>
      <c r="E1049" s="2">
        <v>380</v>
      </c>
      <c r="F1049" s="2">
        <v>32441</v>
      </c>
      <c r="G1049" s="2">
        <v>11.66942446</v>
      </c>
      <c r="H1049" s="3">
        <v>2.8100000000000001E-52</v>
      </c>
      <c r="I1049" s="3" t="s">
        <v>7636</v>
      </c>
      <c r="J1049" s="3" t="s">
        <v>7637</v>
      </c>
      <c r="K1049" s="3">
        <v>7.9000000000000002E-50</v>
      </c>
      <c r="L1049" s="2" t="s">
        <v>848</v>
      </c>
      <c r="M1049" s="4" t="s">
        <v>7638</v>
      </c>
    </row>
    <row r="1050" spans="1:13">
      <c r="A1050" s="2">
        <v>3299</v>
      </c>
      <c r="B1050" s="2" t="s">
        <v>7639</v>
      </c>
      <c r="C1050" s="2">
        <v>91</v>
      </c>
      <c r="D1050" s="2">
        <v>556</v>
      </c>
      <c r="E1050" s="2">
        <v>629</v>
      </c>
      <c r="F1050" s="2">
        <v>32441</v>
      </c>
      <c r="G1050" s="2">
        <v>8.4413165810000006</v>
      </c>
      <c r="H1050" s="3">
        <v>5.16E-52</v>
      </c>
      <c r="I1050" s="3" t="s">
        <v>7640</v>
      </c>
      <c r="J1050" s="3" t="s">
        <v>7641</v>
      </c>
      <c r="K1050" s="3">
        <v>1.3899999999999999E-49</v>
      </c>
      <c r="L1050" s="2" t="s">
        <v>848</v>
      </c>
      <c r="M1050" s="4" t="s">
        <v>7642</v>
      </c>
    </row>
    <row r="1051" spans="1:13">
      <c r="A1051" s="2">
        <v>2671</v>
      </c>
      <c r="B1051" s="2" t="s">
        <v>7643</v>
      </c>
      <c r="C1051" s="2">
        <v>82</v>
      </c>
      <c r="D1051" s="2">
        <v>556</v>
      </c>
      <c r="E1051" s="2">
        <v>563</v>
      </c>
      <c r="F1051" s="2">
        <v>32441</v>
      </c>
      <c r="G1051" s="2">
        <v>8.498159909</v>
      </c>
      <c r="H1051" s="3">
        <v>5.3999999999999996E-47</v>
      </c>
      <c r="I1051" s="3" t="s">
        <v>7644</v>
      </c>
      <c r="J1051" s="3" t="s">
        <v>7645</v>
      </c>
      <c r="K1051" s="3">
        <v>1.3899999999999999E-44</v>
      </c>
      <c r="L1051" s="2" t="s">
        <v>848</v>
      </c>
      <c r="M1051" s="4" t="s">
        <v>7646</v>
      </c>
    </row>
    <row r="1052" spans="1:13">
      <c r="A1052" s="2">
        <v>2327</v>
      </c>
      <c r="B1052" s="2" t="s">
        <v>7647</v>
      </c>
      <c r="C1052" s="2">
        <v>75</v>
      </c>
      <c r="D1052" s="2">
        <v>556</v>
      </c>
      <c r="E1052" s="2">
        <v>454</v>
      </c>
      <c r="F1052" s="2">
        <v>32441</v>
      </c>
      <c r="G1052" s="2">
        <v>9.6388417900000007</v>
      </c>
      <c r="H1052" s="3">
        <v>2.2399999999999999E-46</v>
      </c>
      <c r="I1052" s="3" t="s">
        <v>7648</v>
      </c>
      <c r="J1052" s="3" t="s">
        <v>7649</v>
      </c>
      <c r="K1052" s="3">
        <v>5.5199999999999996E-44</v>
      </c>
      <c r="L1052" s="2" t="s">
        <v>848</v>
      </c>
      <c r="M1052" s="4" t="s">
        <v>7650</v>
      </c>
    </row>
    <row r="1053" spans="1:13">
      <c r="A1053" s="2">
        <v>601</v>
      </c>
      <c r="B1053" s="2" t="s">
        <v>7651</v>
      </c>
      <c r="C1053" s="2">
        <v>75</v>
      </c>
      <c r="D1053" s="2">
        <v>556</v>
      </c>
      <c r="E1053" s="2">
        <v>459</v>
      </c>
      <c r="F1053" s="2">
        <v>32441</v>
      </c>
      <c r="G1053" s="2">
        <v>9.5338435130000008</v>
      </c>
      <c r="H1053" s="3">
        <v>4.4499999999999997E-46</v>
      </c>
      <c r="I1053" s="3" t="s">
        <v>7652</v>
      </c>
      <c r="J1053" s="3" t="s">
        <v>7653</v>
      </c>
      <c r="K1053" s="3">
        <v>1.05E-43</v>
      </c>
      <c r="L1053" s="2" t="s">
        <v>848</v>
      </c>
      <c r="M1053" s="4" t="s">
        <v>7654</v>
      </c>
    </row>
    <row r="1054" spans="1:13">
      <c r="A1054" s="2">
        <v>3021</v>
      </c>
      <c r="B1054" s="2" t="s">
        <v>7655</v>
      </c>
      <c r="C1054" s="2">
        <v>60</v>
      </c>
      <c r="D1054" s="2">
        <v>556</v>
      </c>
      <c r="E1054" s="2">
        <v>243</v>
      </c>
      <c r="F1054" s="2">
        <v>32441</v>
      </c>
      <c r="G1054" s="2">
        <v>14.40669686</v>
      </c>
      <c r="H1054" s="3">
        <v>7.0699999999999992E-46</v>
      </c>
      <c r="I1054" s="3" t="s">
        <v>7656</v>
      </c>
      <c r="J1054" s="3" t="s">
        <v>7657</v>
      </c>
      <c r="K1054" s="3">
        <v>1.61E-43</v>
      </c>
      <c r="L1054" s="2" t="s">
        <v>848</v>
      </c>
      <c r="M1054" s="4" t="s">
        <v>7658</v>
      </c>
    </row>
    <row r="1055" spans="1:13">
      <c r="A1055" s="2">
        <v>4392</v>
      </c>
      <c r="B1055" s="2" t="s">
        <v>7659</v>
      </c>
      <c r="C1055" s="2">
        <v>76</v>
      </c>
      <c r="D1055" s="2">
        <v>556</v>
      </c>
      <c r="E1055" s="2">
        <v>486</v>
      </c>
      <c r="F1055" s="2">
        <v>32441</v>
      </c>
      <c r="G1055" s="2">
        <v>9.124241348</v>
      </c>
      <c r="H1055" s="3">
        <v>1.74E-45</v>
      </c>
      <c r="I1055" s="3" t="s">
        <v>7660</v>
      </c>
      <c r="J1055" s="3" t="s">
        <v>7661</v>
      </c>
      <c r="K1055" s="3">
        <v>3.8199999999999999E-43</v>
      </c>
      <c r="L1055" s="2" t="s">
        <v>848</v>
      </c>
      <c r="M1055" s="4" t="s">
        <v>7662</v>
      </c>
    </row>
    <row r="1056" spans="1:13">
      <c r="A1056" s="2">
        <v>4792</v>
      </c>
      <c r="B1056" s="2" t="s">
        <v>7663</v>
      </c>
      <c r="C1056" s="2">
        <v>72</v>
      </c>
      <c r="D1056" s="2">
        <v>556</v>
      </c>
      <c r="E1056" s="2">
        <v>428</v>
      </c>
      <c r="F1056" s="2">
        <v>32441</v>
      </c>
      <c r="G1056" s="2">
        <v>9.8154037519999999</v>
      </c>
      <c r="H1056" s="3">
        <v>5.4299999999999999E-45</v>
      </c>
      <c r="I1056" s="3" t="s">
        <v>7664</v>
      </c>
      <c r="J1056" s="3" t="s">
        <v>7665</v>
      </c>
      <c r="K1056" s="3">
        <v>1.15E-42</v>
      </c>
      <c r="L1056" s="2" t="s">
        <v>848</v>
      </c>
      <c r="M1056" s="4" t="s">
        <v>7666</v>
      </c>
    </row>
    <row r="1057" spans="1:13">
      <c r="A1057" s="2">
        <v>5030</v>
      </c>
      <c r="B1057" s="2" t="s">
        <v>7667</v>
      </c>
      <c r="C1057" s="2">
        <v>129</v>
      </c>
      <c r="D1057" s="2">
        <v>556</v>
      </c>
      <c r="E1057" s="2">
        <v>1731</v>
      </c>
      <c r="F1057" s="2">
        <v>32441</v>
      </c>
      <c r="G1057" s="2">
        <v>4.3482257520000003</v>
      </c>
      <c r="H1057" s="3">
        <v>2.59E-44</v>
      </c>
      <c r="I1057" s="3" t="s">
        <v>7668</v>
      </c>
      <c r="J1057" s="3" t="s">
        <v>7669</v>
      </c>
      <c r="K1057" s="3">
        <v>5.2800000000000002E-42</v>
      </c>
      <c r="L1057" s="2" t="s">
        <v>848</v>
      </c>
      <c r="M1057" s="4" t="s">
        <v>7670</v>
      </c>
    </row>
    <row r="1058" spans="1:13">
      <c r="A1058" s="2">
        <v>1810</v>
      </c>
      <c r="B1058" s="2" t="s">
        <v>7671</v>
      </c>
      <c r="C1058" s="2">
        <v>68</v>
      </c>
      <c r="D1058" s="2">
        <v>556</v>
      </c>
      <c r="E1058" s="2">
        <v>376</v>
      </c>
      <c r="F1058" s="2">
        <v>32441</v>
      </c>
      <c r="G1058" s="2">
        <v>10.55213914</v>
      </c>
      <c r="H1058" s="3">
        <v>2.7900000000000002E-44</v>
      </c>
      <c r="I1058" s="3" t="s">
        <v>7672</v>
      </c>
      <c r="J1058" s="3" t="s">
        <v>7673</v>
      </c>
      <c r="K1058" s="3">
        <v>5.5E-42</v>
      </c>
      <c r="L1058" s="2" t="s">
        <v>848</v>
      </c>
      <c r="M1058" s="4" t="s">
        <v>7674</v>
      </c>
    </row>
    <row r="1059" spans="1:13">
      <c r="A1059" s="2">
        <v>3681</v>
      </c>
      <c r="B1059" s="2" t="s">
        <v>7675</v>
      </c>
      <c r="C1059" s="2">
        <v>86</v>
      </c>
      <c r="D1059" s="2">
        <v>556</v>
      </c>
      <c r="E1059" s="2">
        <v>714</v>
      </c>
      <c r="F1059" s="2">
        <v>32441</v>
      </c>
      <c r="G1059" s="2">
        <v>7.027804647</v>
      </c>
      <c r="H1059" s="3">
        <v>1.9600000000000001E-43</v>
      </c>
      <c r="I1059" s="3" t="s">
        <v>7676</v>
      </c>
      <c r="J1059" s="3" t="s">
        <v>7677</v>
      </c>
      <c r="K1059" s="3">
        <v>3.7300000000000001E-41</v>
      </c>
      <c r="L1059" s="2" t="s">
        <v>848</v>
      </c>
      <c r="M1059" s="4" t="s">
        <v>7678</v>
      </c>
    </row>
    <row r="1060" spans="1:13">
      <c r="A1060" s="2">
        <v>4777</v>
      </c>
      <c r="B1060" s="2" t="s">
        <v>7679</v>
      </c>
      <c r="C1060" s="2">
        <v>88</v>
      </c>
      <c r="D1060" s="2">
        <v>556</v>
      </c>
      <c r="E1060" s="2">
        <v>757</v>
      </c>
      <c r="F1060" s="2">
        <v>32441</v>
      </c>
      <c r="G1060" s="2">
        <v>6.782756622</v>
      </c>
      <c r="H1060" s="3">
        <v>2.4000000000000002E-43</v>
      </c>
      <c r="I1060" s="3" t="s">
        <v>7680</v>
      </c>
      <c r="J1060" s="3" t="s">
        <v>7681</v>
      </c>
      <c r="K1060" s="3">
        <v>4.4400000000000002E-41</v>
      </c>
      <c r="L1060" s="2" t="s">
        <v>848</v>
      </c>
      <c r="M1060" s="4" t="s">
        <v>7682</v>
      </c>
    </row>
    <row r="1061" spans="1:13">
      <c r="A1061" s="2">
        <v>776</v>
      </c>
      <c r="B1061" s="2" t="s">
        <v>7683</v>
      </c>
      <c r="C1061" s="2">
        <v>79</v>
      </c>
      <c r="D1061" s="2">
        <v>556</v>
      </c>
      <c r="E1061" s="2">
        <v>582</v>
      </c>
      <c r="F1061" s="2">
        <v>32441</v>
      </c>
      <c r="G1061" s="2">
        <v>7.9199702089999997</v>
      </c>
      <c r="H1061" s="3">
        <v>2.9899999999999999E-43</v>
      </c>
      <c r="I1061" s="3" t="s">
        <v>7684</v>
      </c>
      <c r="J1061" s="3" t="s">
        <v>7685</v>
      </c>
      <c r="K1061" s="3">
        <v>5.3599999999999999E-41</v>
      </c>
      <c r="L1061" s="2" t="s">
        <v>848</v>
      </c>
      <c r="M1061" s="4" t="s">
        <v>7686</v>
      </c>
    </row>
    <row r="1062" spans="1:13">
      <c r="A1062" s="2">
        <v>2587</v>
      </c>
      <c r="B1062" s="2" t="s">
        <v>7687</v>
      </c>
      <c r="C1062" s="2">
        <v>70</v>
      </c>
      <c r="D1062" s="2">
        <v>556</v>
      </c>
      <c r="E1062" s="2">
        <v>427</v>
      </c>
      <c r="F1062" s="2">
        <v>32441</v>
      </c>
      <c r="G1062" s="2">
        <v>9.5651020169999992</v>
      </c>
      <c r="H1062" s="3">
        <v>4.3600000000000003E-43</v>
      </c>
      <c r="I1062" s="3" t="s">
        <v>7688</v>
      </c>
      <c r="J1062" s="3" t="s">
        <v>7689</v>
      </c>
      <c r="K1062" s="3">
        <v>7.5900000000000003E-41</v>
      </c>
      <c r="L1062" s="2" t="s">
        <v>848</v>
      </c>
      <c r="M1062" s="4" t="s">
        <v>7690</v>
      </c>
    </row>
    <row r="1063" spans="1:13">
      <c r="A1063" s="2">
        <v>1012</v>
      </c>
      <c r="B1063" s="2" t="s">
        <v>7691</v>
      </c>
      <c r="C1063" s="2">
        <v>61</v>
      </c>
      <c r="D1063" s="2">
        <v>556</v>
      </c>
      <c r="E1063" s="2">
        <v>292</v>
      </c>
      <c r="F1063" s="2">
        <v>32441</v>
      </c>
      <c r="G1063" s="2">
        <v>12.18895363</v>
      </c>
      <c r="H1063" s="3">
        <v>6.0599999999999999E-43</v>
      </c>
      <c r="I1063" s="3" t="s">
        <v>7692</v>
      </c>
      <c r="J1063" s="3" t="s">
        <v>7693</v>
      </c>
      <c r="K1063" s="3">
        <v>1.02E-40</v>
      </c>
      <c r="L1063" s="2" t="s">
        <v>848</v>
      </c>
      <c r="M1063" s="4" t="s">
        <v>7694</v>
      </c>
    </row>
    <row r="1064" spans="1:13">
      <c r="A1064" s="2">
        <v>1295</v>
      </c>
      <c r="B1064" s="2" t="s">
        <v>7695</v>
      </c>
      <c r="C1064" s="2">
        <v>80</v>
      </c>
      <c r="D1064" s="2">
        <v>556</v>
      </c>
      <c r="E1064" s="2">
        <v>608</v>
      </c>
      <c r="F1064" s="2">
        <v>32441</v>
      </c>
      <c r="G1064" s="2">
        <v>7.6772529340000002</v>
      </c>
      <c r="H1064" s="3">
        <v>6.6000000000000003E-43</v>
      </c>
      <c r="I1064" s="3" t="s">
        <v>7696</v>
      </c>
      <c r="J1064" s="3" t="s">
        <v>7697</v>
      </c>
      <c r="K1064" s="3">
        <v>1.0899999999999999E-40</v>
      </c>
      <c r="L1064" s="2" t="s">
        <v>848</v>
      </c>
      <c r="M1064" s="4" t="s">
        <v>7698</v>
      </c>
    </row>
    <row r="1065" spans="1:13">
      <c r="A1065" s="2">
        <v>108</v>
      </c>
      <c r="B1065" s="2" t="s">
        <v>7699</v>
      </c>
      <c r="C1065" s="2">
        <v>53</v>
      </c>
      <c r="D1065" s="2">
        <v>556</v>
      </c>
      <c r="E1065" s="2">
        <v>206</v>
      </c>
      <c r="F1065" s="2">
        <v>32441</v>
      </c>
      <c r="G1065" s="2">
        <v>15.01163826</v>
      </c>
      <c r="H1065" s="3">
        <v>2.24E-41</v>
      </c>
      <c r="I1065" s="3" t="s">
        <v>7700</v>
      </c>
      <c r="J1065" s="3" t="s">
        <v>7701</v>
      </c>
      <c r="K1065" s="3">
        <v>3.59E-39</v>
      </c>
      <c r="L1065" s="2" t="s">
        <v>848</v>
      </c>
      <c r="M1065" s="4" t="s">
        <v>7702</v>
      </c>
    </row>
    <row r="1066" spans="1:13">
      <c r="A1066" s="2">
        <v>2655</v>
      </c>
      <c r="B1066" s="2" t="s">
        <v>7703</v>
      </c>
      <c r="C1066" s="2">
        <v>77</v>
      </c>
      <c r="D1066" s="2">
        <v>556</v>
      </c>
      <c r="E1066" s="2">
        <v>606</v>
      </c>
      <c r="F1066" s="2">
        <v>32441</v>
      </c>
      <c r="G1066" s="2">
        <v>7.4137432629999998</v>
      </c>
      <c r="H1066" s="3">
        <v>2.53E-40</v>
      </c>
      <c r="I1066" s="3" t="s">
        <v>7704</v>
      </c>
      <c r="J1066" s="3" t="s">
        <v>7705</v>
      </c>
      <c r="K1066" s="3">
        <v>3.9400000000000002E-38</v>
      </c>
      <c r="L1066" s="2" t="s">
        <v>848</v>
      </c>
      <c r="M1066" s="4" t="s">
        <v>7706</v>
      </c>
    </row>
    <row r="1067" spans="1:13">
      <c r="A1067" s="2">
        <v>4908</v>
      </c>
      <c r="B1067" s="2" t="s">
        <v>7707</v>
      </c>
      <c r="C1067" s="2">
        <v>54</v>
      </c>
      <c r="D1067" s="2">
        <v>556</v>
      </c>
      <c r="E1067" s="2">
        <v>238</v>
      </c>
      <c r="F1067" s="2">
        <v>32441</v>
      </c>
      <c r="G1067" s="2">
        <v>13.23842271</v>
      </c>
      <c r="H1067" s="3">
        <v>1.08E-39</v>
      </c>
      <c r="I1067" s="3" t="s">
        <v>7708</v>
      </c>
      <c r="J1067" s="3" t="s">
        <v>7709</v>
      </c>
      <c r="K1067" s="3">
        <v>1.6399999999999999E-37</v>
      </c>
      <c r="L1067" s="2" t="s">
        <v>848</v>
      </c>
      <c r="M1067" s="4" t="s">
        <v>7710</v>
      </c>
    </row>
    <row r="1068" spans="1:13">
      <c r="A1068" s="2">
        <v>5347</v>
      </c>
      <c r="B1068" s="2" t="s">
        <v>7711</v>
      </c>
      <c r="C1068" s="2">
        <v>110</v>
      </c>
      <c r="D1068" s="2">
        <v>556</v>
      </c>
      <c r="E1068" s="2">
        <v>1393</v>
      </c>
      <c r="F1068" s="2">
        <v>32441</v>
      </c>
      <c r="G1068" s="2">
        <v>4.6074540219999998</v>
      </c>
      <c r="H1068" s="3">
        <v>1.3E-39</v>
      </c>
      <c r="I1068" s="3" t="s">
        <v>7712</v>
      </c>
      <c r="J1068" s="3" t="s">
        <v>7713</v>
      </c>
      <c r="K1068" s="3">
        <v>1.9200000000000002E-37</v>
      </c>
      <c r="L1068" s="2" t="s">
        <v>848</v>
      </c>
      <c r="M1068" s="4" t="s">
        <v>7714</v>
      </c>
    </row>
    <row r="1069" spans="1:13">
      <c r="A1069" s="2">
        <v>2995</v>
      </c>
      <c r="B1069" s="2" t="s">
        <v>7715</v>
      </c>
      <c r="C1069" s="2">
        <v>62</v>
      </c>
      <c r="D1069" s="2">
        <v>556</v>
      </c>
      <c r="E1069" s="2">
        <v>370</v>
      </c>
      <c r="F1069" s="2">
        <v>32441</v>
      </c>
      <c r="G1069" s="2">
        <v>9.7770853590000009</v>
      </c>
      <c r="H1069" s="3">
        <v>1.1E-38</v>
      </c>
      <c r="I1069" s="3" t="s">
        <v>7716</v>
      </c>
      <c r="J1069" s="3" t="s">
        <v>7717</v>
      </c>
      <c r="K1069" s="3">
        <v>1.5900000000000001E-36</v>
      </c>
      <c r="L1069" s="2" t="s">
        <v>848</v>
      </c>
      <c r="M1069" s="4" t="s">
        <v>7718</v>
      </c>
    </row>
    <row r="1070" spans="1:13">
      <c r="A1070" s="2">
        <v>1442</v>
      </c>
      <c r="B1070" s="2" t="s">
        <v>7719</v>
      </c>
      <c r="C1070" s="2">
        <v>123</v>
      </c>
      <c r="D1070" s="2">
        <v>556</v>
      </c>
      <c r="E1070" s="2">
        <v>1821</v>
      </c>
      <c r="F1070" s="2">
        <v>32441</v>
      </c>
      <c r="G1070" s="2">
        <v>3.9410741589999998</v>
      </c>
      <c r="H1070" s="3">
        <v>4.4599999999999998E-38</v>
      </c>
      <c r="I1070" s="3" t="s">
        <v>7720</v>
      </c>
      <c r="J1070" s="3" t="s">
        <v>7721</v>
      </c>
      <c r="K1070" s="3">
        <v>6.28E-36</v>
      </c>
      <c r="L1070" s="2" t="s">
        <v>848</v>
      </c>
      <c r="M1070" s="4" t="s">
        <v>7722</v>
      </c>
    </row>
    <row r="1071" spans="1:13">
      <c r="A1071" s="2">
        <v>42041</v>
      </c>
      <c r="B1071" s="2" t="s">
        <v>7723</v>
      </c>
      <c r="C1071" s="2">
        <v>50</v>
      </c>
      <c r="D1071" s="2">
        <v>556</v>
      </c>
      <c r="E1071" s="2">
        <v>209</v>
      </c>
      <c r="F1071" s="2">
        <v>32441</v>
      </c>
      <c r="G1071" s="2">
        <v>13.958641699999999</v>
      </c>
      <c r="H1071" s="3">
        <v>9.1600000000000003E-38</v>
      </c>
      <c r="I1071" s="3" t="s">
        <v>7724</v>
      </c>
      <c r="J1071" s="3" t="s">
        <v>7725</v>
      </c>
      <c r="K1071" s="3">
        <v>1.2599999999999999E-35</v>
      </c>
      <c r="L1071" s="2" t="s">
        <v>848</v>
      </c>
      <c r="M1071" s="4" t="s">
        <v>7726</v>
      </c>
    </row>
    <row r="1072" spans="1:13">
      <c r="A1072" s="2">
        <v>2339</v>
      </c>
      <c r="B1072" s="2" t="s">
        <v>7727</v>
      </c>
      <c r="C1072" s="2">
        <v>96</v>
      </c>
      <c r="D1072" s="2">
        <v>556</v>
      </c>
      <c r="E1072" s="2">
        <v>1114</v>
      </c>
      <c r="F1072" s="2">
        <v>32441</v>
      </c>
      <c r="G1072" s="2">
        <v>5.0281182590000002</v>
      </c>
      <c r="H1072" s="3">
        <v>2.8000000000000001E-37</v>
      </c>
      <c r="I1072" s="3" t="s">
        <v>7728</v>
      </c>
      <c r="J1072" s="3" t="s">
        <v>7729</v>
      </c>
      <c r="K1072" s="3">
        <v>3.7699999999999999E-35</v>
      </c>
      <c r="L1072" s="2" t="s">
        <v>848</v>
      </c>
      <c r="M1072" s="4" t="s">
        <v>7730</v>
      </c>
    </row>
    <row r="1073" spans="1:13">
      <c r="A1073" s="2">
        <v>673</v>
      </c>
      <c r="B1073" s="2" t="s">
        <v>7731</v>
      </c>
      <c r="C1073" s="2">
        <v>65</v>
      </c>
      <c r="D1073" s="2">
        <v>556</v>
      </c>
      <c r="E1073" s="2">
        <v>452</v>
      </c>
      <c r="F1073" s="2">
        <v>32441</v>
      </c>
      <c r="G1073" s="2">
        <v>8.3906259950000006</v>
      </c>
      <c r="H1073" s="3">
        <v>6.0200000000000004E-37</v>
      </c>
      <c r="I1073" s="3" t="s">
        <v>7732</v>
      </c>
      <c r="J1073" s="3" t="s">
        <v>7733</v>
      </c>
      <c r="K1073" s="3">
        <v>7.9100000000000001E-35</v>
      </c>
      <c r="L1073" s="2" t="s">
        <v>848</v>
      </c>
      <c r="M1073" s="4" t="s">
        <v>7734</v>
      </c>
    </row>
    <row r="1074" spans="1:13">
      <c r="A1074" s="2">
        <v>14191</v>
      </c>
      <c r="B1074" s="2" t="s">
        <v>7735</v>
      </c>
      <c r="C1074" s="2">
        <v>52</v>
      </c>
      <c r="D1074" s="2">
        <v>556</v>
      </c>
      <c r="E1074" s="2">
        <v>259</v>
      </c>
      <c r="F1074" s="2">
        <v>32441</v>
      </c>
      <c r="G1074" s="2">
        <v>11.71448015</v>
      </c>
      <c r="H1074" s="3">
        <v>6.01E-36</v>
      </c>
      <c r="I1074" s="3" t="s">
        <v>7736</v>
      </c>
      <c r="J1074" s="3" t="s">
        <v>7737</v>
      </c>
      <c r="K1074" s="3">
        <v>7.7199999999999996E-34</v>
      </c>
      <c r="L1074" s="2" t="s">
        <v>848</v>
      </c>
      <c r="M1074" s="4" t="s">
        <v>7738</v>
      </c>
    </row>
    <row r="1075" spans="1:13">
      <c r="A1075" s="2">
        <v>725</v>
      </c>
      <c r="B1075" s="2" t="s">
        <v>7739</v>
      </c>
      <c r="C1075" s="2">
        <v>79</v>
      </c>
      <c r="D1075" s="2">
        <v>556</v>
      </c>
      <c r="E1075" s="2">
        <v>759</v>
      </c>
      <c r="F1075" s="2">
        <v>32441</v>
      </c>
      <c r="G1075" s="2">
        <v>6.0730206349999998</v>
      </c>
      <c r="H1075" s="3">
        <v>8.8600000000000006E-36</v>
      </c>
      <c r="I1075" s="3" t="s">
        <v>7740</v>
      </c>
      <c r="J1075" s="3" t="s">
        <v>7741</v>
      </c>
      <c r="K1075" s="3">
        <v>1.12E-33</v>
      </c>
      <c r="L1075" s="2" t="s">
        <v>848</v>
      </c>
      <c r="M1075" s="4" t="s">
        <v>7742</v>
      </c>
    </row>
    <row r="1076" spans="1:13">
      <c r="A1076" s="2">
        <v>3669</v>
      </c>
      <c r="B1076" s="2" t="s">
        <v>7743</v>
      </c>
      <c r="C1076" s="2">
        <v>56</v>
      </c>
      <c r="D1076" s="2">
        <v>556</v>
      </c>
      <c r="E1076" s="2">
        <v>323</v>
      </c>
      <c r="F1076" s="2">
        <v>32441</v>
      </c>
      <c r="G1076" s="2">
        <v>10.11590975</v>
      </c>
      <c r="H1076" s="3">
        <v>1.1E-35</v>
      </c>
      <c r="I1076" s="3" t="s">
        <v>7744</v>
      </c>
      <c r="J1076" s="3" t="s">
        <v>7745</v>
      </c>
      <c r="K1076" s="3">
        <v>1.36E-33</v>
      </c>
      <c r="L1076" s="2" t="s">
        <v>848</v>
      </c>
      <c r="M1076" s="4" t="s">
        <v>7746</v>
      </c>
    </row>
    <row r="1077" spans="1:13">
      <c r="A1077" s="2">
        <v>3610</v>
      </c>
      <c r="B1077" s="2" t="s">
        <v>7747</v>
      </c>
      <c r="C1077" s="2">
        <v>61</v>
      </c>
      <c r="D1077" s="2">
        <v>556</v>
      </c>
      <c r="E1077" s="2">
        <v>424</v>
      </c>
      <c r="F1077" s="2">
        <v>32441</v>
      </c>
      <c r="G1077" s="2">
        <v>8.3942793879999993</v>
      </c>
      <c r="H1077" s="3">
        <v>1.04E-34</v>
      </c>
      <c r="I1077" s="3" t="s">
        <v>7748</v>
      </c>
      <c r="J1077" s="3" t="s">
        <v>7749</v>
      </c>
      <c r="K1077" s="3">
        <v>1.2599999999999999E-32</v>
      </c>
      <c r="L1077" s="2" t="s">
        <v>848</v>
      </c>
      <c r="M1077" s="4" t="s">
        <v>7750</v>
      </c>
    </row>
    <row r="1078" spans="1:13">
      <c r="A1078" s="2">
        <v>12181</v>
      </c>
      <c r="B1078" s="2" t="s">
        <v>7751</v>
      </c>
      <c r="C1078" s="2">
        <v>41</v>
      </c>
      <c r="D1078" s="2">
        <v>556</v>
      </c>
      <c r="E1078" s="2">
        <v>136</v>
      </c>
      <c r="F1078" s="2">
        <v>32441</v>
      </c>
      <c r="G1078" s="2">
        <v>17.589941280000001</v>
      </c>
      <c r="H1078" s="3">
        <v>1.5599999999999999E-34</v>
      </c>
      <c r="I1078" s="2" t="s">
        <v>7752</v>
      </c>
      <c r="J1078" s="2" t="s">
        <v>7753</v>
      </c>
      <c r="K1078" s="3">
        <v>1.8399999999999999E-32</v>
      </c>
      <c r="L1078" s="2" t="s">
        <v>848</v>
      </c>
      <c r="M1078" s="4" t="s">
        <v>7754</v>
      </c>
    </row>
    <row r="1079" spans="1:13">
      <c r="A1079" s="2">
        <v>22401</v>
      </c>
      <c r="B1079" s="2" t="s">
        <v>7755</v>
      </c>
      <c r="C1079" s="2">
        <v>41</v>
      </c>
      <c r="D1079" s="2">
        <v>556</v>
      </c>
      <c r="E1079" s="2">
        <v>147</v>
      </c>
      <c r="F1079" s="2">
        <v>32441</v>
      </c>
      <c r="G1079" s="2">
        <v>16.273687169999999</v>
      </c>
      <c r="H1079" s="3">
        <v>2.1399999999999998E-33</v>
      </c>
      <c r="I1079" s="2" t="s">
        <v>7756</v>
      </c>
      <c r="J1079" s="2" t="s">
        <v>7757</v>
      </c>
      <c r="K1079" s="3">
        <v>2.4800000000000001E-31</v>
      </c>
      <c r="L1079" s="2" t="s">
        <v>848</v>
      </c>
      <c r="M1079" s="4" t="s">
        <v>7758</v>
      </c>
    </row>
    <row r="1080" spans="1:13">
      <c r="A1080" s="2">
        <v>3445</v>
      </c>
      <c r="B1080" s="2" t="s">
        <v>7759</v>
      </c>
      <c r="C1080" s="2">
        <v>81</v>
      </c>
      <c r="D1080" s="2">
        <v>556</v>
      </c>
      <c r="E1080" s="2">
        <v>886</v>
      </c>
      <c r="F1080" s="2">
        <v>32441</v>
      </c>
      <c r="G1080" s="2">
        <v>5.3342177270000004</v>
      </c>
      <c r="H1080" s="3">
        <v>5.0200000000000002E-33</v>
      </c>
      <c r="I1080" s="3" t="s">
        <v>7760</v>
      </c>
      <c r="J1080" s="3" t="s">
        <v>7761</v>
      </c>
      <c r="K1080" s="3">
        <v>5.7100000000000002E-31</v>
      </c>
      <c r="L1080" s="2" t="s">
        <v>848</v>
      </c>
      <c r="M1080" s="4" t="s">
        <v>7762</v>
      </c>
    </row>
    <row r="1081" spans="1:13">
      <c r="A1081" s="2">
        <v>861</v>
      </c>
      <c r="B1081" s="2" t="s">
        <v>7763</v>
      </c>
      <c r="C1081" s="2">
        <v>35</v>
      </c>
      <c r="D1081" s="2">
        <v>556</v>
      </c>
      <c r="E1081" s="2">
        <v>95</v>
      </c>
      <c r="F1081" s="2">
        <v>32441</v>
      </c>
      <c r="G1081" s="2">
        <v>21.49630822</v>
      </c>
      <c r="H1081" s="3">
        <v>4.05E-32</v>
      </c>
      <c r="I1081" s="2" t="s">
        <v>7764</v>
      </c>
      <c r="J1081" s="2" t="s">
        <v>7765</v>
      </c>
      <c r="K1081" s="3">
        <v>4.5200000000000002E-30</v>
      </c>
      <c r="L1081" s="2" t="s">
        <v>848</v>
      </c>
      <c r="M1081" s="4" t="s">
        <v>7766</v>
      </c>
    </row>
    <row r="1082" spans="1:13">
      <c r="A1082" s="2">
        <v>1998</v>
      </c>
      <c r="B1082" s="2" t="s">
        <v>7767</v>
      </c>
      <c r="C1082" s="2">
        <v>99</v>
      </c>
      <c r="D1082" s="2">
        <v>556</v>
      </c>
      <c r="E1082" s="2">
        <v>1395</v>
      </c>
      <c r="F1082" s="2">
        <v>32441</v>
      </c>
      <c r="G1082" s="2">
        <v>4.140763518</v>
      </c>
      <c r="H1082" s="3">
        <v>5.6099999999999996E-32</v>
      </c>
      <c r="I1082" s="3" t="s">
        <v>7768</v>
      </c>
      <c r="J1082" s="3" t="s">
        <v>7769</v>
      </c>
      <c r="K1082" s="3">
        <v>6.1499999999999998E-30</v>
      </c>
      <c r="L1082" s="2" t="s">
        <v>848</v>
      </c>
      <c r="M1082" s="4" t="s">
        <v>7770</v>
      </c>
    </row>
    <row r="1083" spans="1:13">
      <c r="A1083" s="2">
        <v>3527</v>
      </c>
      <c r="B1083" s="2" t="s">
        <v>7771</v>
      </c>
      <c r="C1083" s="2">
        <v>55</v>
      </c>
      <c r="D1083" s="2">
        <v>556</v>
      </c>
      <c r="E1083" s="2">
        <v>372</v>
      </c>
      <c r="F1083" s="2">
        <v>32441</v>
      </c>
      <c r="G1083" s="2">
        <v>8.626590663</v>
      </c>
      <c r="H1083" s="3">
        <v>6.77E-32</v>
      </c>
      <c r="I1083" s="3" t="s">
        <v>7772</v>
      </c>
      <c r="J1083" s="3" t="s">
        <v>7773</v>
      </c>
      <c r="K1083" s="3">
        <v>7.2900000000000003E-30</v>
      </c>
      <c r="L1083" s="2" t="s">
        <v>848</v>
      </c>
      <c r="M1083" s="4" t="s">
        <v>7774</v>
      </c>
    </row>
    <row r="1084" spans="1:13">
      <c r="A1084" s="2">
        <v>18081</v>
      </c>
      <c r="B1084" s="2" t="s">
        <v>7775</v>
      </c>
      <c r="C1084" s="2">
        <v>114</v>
      </c>
      <c r="D1084" s="2">
        <v>556</v>
      </c>
      <c r="E1084" s="2">
        <v>1848</v>
      </c>
      <c r="F1084" s="2">
        <v>32441</v>
      </c>
      <c r="G1084" s="2">
        <v>3.599335467</v>
      </c>
      <c r="H1084" s="3">
        <v>8.8299999999999995E-32</v>
      </c>
      <c r="I1084" s="3" t="s">
        <v>7776</v>
      </c>
      <c r="J1084" s="3" t="s">
        <v>7777</v>
      </c>
      <c r="K1084" s="3">
        <v>9.3300000000000002E-30</v>
      </c>
      <c r="L1084" s="2" t="s">
        <v>848</v>
      </c>
      <c r="M1084" s="4" t="s">
        <v>7778</v>
      </c>
    </row>
    <row r="1085" spans="1:13">
      <c r="A1085" s="2">
        <v>41051</v>
      </c>
      <c r="B1085" s="2" t="s">
        <v>7779</v>
      </c>
      <c r="C1085" s="2">
        <v>102</v>
      </c>
      <c r="D1085" s="2">
        <v>556</v>
      </c>
      <c r="E1085" s="2">
        <v>1496</v>
      </c>
      <c r="F1085" s="2">
        <v>32441</v>
      </c>
      <c r="G1085" s="2">
        <v>3.9782128839999999</v>
      </c>
      <c r="H1085" s="3">
        <v>1.2599999999999999E-31</v>
      </c>
      <c r="I1085" s="3" t="s">
        <v>7780</v>
      </c>
      <c r="J1085" s="3" t="s">
        <v>7781</v>
      </c>
      <c r="K1085" s="3">
        <v>1.3100000000000001E-29</v>
      </c>
      <c r="L1085" s="2" t="s">
        <v>848</v>
      </c>
      <c r="M1085" s="4" t="s">
        <v>7782</v>
      </c>
    </row>
    <row r="1086" spans="1:13">
      <c r="A1086" s="2">
        <v>2916</v>
      </c>
      <c r="B1086" s="2" t="s">
        <v>7783</v>
      </c>
      <c r="C1086" s="2">
        <v>39</v>
      </c>
      <c r="D1086" s="2">
        <v>556</v>
      </c>
      <c r="E1086" s="2">
        <v>156</v>
      </c>
      <c r="F1086" s="2">
        <v>32441</v>
      </c>
      <c r="G1086" s="2">
        <v>14.586780579999999</v>
      </c>
      <c r="H1086" s="3">
        <v>2.7499999999999999E-30</v>
      </c>
      <c r="I1086" s="2" t="s">
        <v>7784</v>
      </c>
      <c r="J1086" s="2" t="s">
        <v>7785</v>
      </c>
      <c r="K1086" s="3">
        <v>2.81E-28</v>
      </c>
      <c r="L1086" s="2" t="s">
        <v>848</v>
      </c>
      <c r="M1086" s="4" t="s">
        <v>7786</v>
      </c>
    </row>
    <row r="1087" spans="1:13">
      <c r="A1087" s="2">
        <v>3987</v>
      </c>
      <c r="B1087" s="2" t="s">
        <v>7787</v>
      </c>
      <c r="C1087" s="2">
        <v>35</v>
      </c>
      <c r="D1087" s="2">
        <v>556</v>
      </c>
      <c r="E1087" s="2">
        <v>123</v>
      </c>
      <c r="F1087" s="2">
        <v>32441</v>
      </c>
      <c r="G1087" s="2">
        <v>16.602839679999999</v>
      </c>
      <c r="H1087" s="3">
        <v>6.3899999999999997E-29</v>
      </c>
      <c r="I1087" s="2" t="s">
        <v>7788</v>
      </c>
      <c r="J1087" s="2" t="s">
        <v>7789</v>
      </c>
      <c r="K1087" s="3">
        <v>6.4100000000000001E-27</v>
      </c>
      <c r="L1087" s="2" t="s">
        <v>848</v>
      </c>
      <c r="M1087" s="4" t="s">
        <v>7790</v>
      </c>
    </row>
    <row r="1088" spans="1:13">
      <c r="A1088" s="2">
        <v>13521</v>
      </c>
      <c r="B1088" s="2" t="s">
        <v>7791</v>
      </c>
      <c r="C1088" s="2">
        <v>41</v>
      </c>
      <c r="D1088" s="2">
        <v>556</v>
      </c>
      <c r="E1088" s="2">
        <v>232</v>
      </c>
      <c r="F1088" s="2">
        <v>32441</v>
      </c>
      <c r="G1088" s="2">
        <v>10.311344890000001</v>
      </c>
      <c r="H1088" s="3">
        <v>1.1899999999999999E-26</v>
      </c>
      <c r="I1088" s="2" t="s">
        <v>7792</v>
      </c>
      <c r="J1088" s="2" t="s">
        <v>7793</v>
      </c>
      <c r="K1088" s="3">
        <v>1.18E-24</v>
      </c>
      <c r="L1088" s="2" t="s">
        <v>848</v>
      </c>
      <c r="M1088" s="4" t="s">
        <v>7794</v>
      </c>
    </row>
    <row r="1089" spans="1:13">
      <c r="A1089" s="2">
        <v>2111</v>
      </c>
      <c r="B1089" s="2" t="s">
        <v>7795</v>
      </c>
      <c r="C1089" s="2">
        <v>93</v>
      </c>
      <c r="D1089" s="2">
        <v>556</v>
      </c>
      <c r="E1089" s="2">
        <v>1468</v>
      </c>
      <c r="F1089" s="2">
        <v>32441</v>
      </c>
      <c r="G1089" s="2">
        <v>3.696377639</v>
      </c>
      <c r="H1089" s="3">
        <v>1.4700000000000001E-26</v>
      </c>
      <c r="I1089" s="3" t="s">
        <v>7796</v>
      </c>
      <c r="J1089" s="3" t="s">
        <v>7797</v>
      </c>
      <c r="K1089" s="3">
        <v>1.42E-24</v>
      </c>
      <c r="L1089" s="2" t="s">
        <v>848</v>
      </c>
      <c r="M1089" s="4" t="s">
        <v>7798</v>
      </c>
    </row>
    <row r="1090" spans="1:13">
      <c r="A1090" s="2">
        <v>1241</v>
      </c>
      <c r="B1090" s="2" t="s">
        <v>7799</v>
      </c>
      <c r="C1090" s="2">
        <v>70</v>
      </c>
      <c r="D1090" s="2">
        <v>556</v>
      </c>
      <c r="E1090" s="2">
        <v>835</v>
      </c>
      <c r="F1090" s="2">
        <v>32441</v>
      </c>
      <c r="G1090" s="2">
        <v>4.8913755219999997</v>
      </c>
      <c r="H1090" s="3">
        <v>1.7599999999999999E-26</v>
      </c>
      <c r="I1090" s="3" t="s">
        <v>7800</v>
      </c>
      <c r="J1090" s="3" t="s">
        <v>7801</v>
      </c>
      <c r="K1090" s="3">
        <v>1.68E-24</v>
      </c>
      <c r="L1090" s="2" t="s">
        <v>848</v>
      </c>
      <c r="M1090" s="4" t="s">
        <v>7802</v>
      </c>
    </row>
    <row r="1091" spans="1:13">
      <c r="A1091" s="2">
        <v>14721</v>
      </c>
      <c r="B1091" s="2" t="s">
        <v>7803</v>
      </c>
      <c r="C1091" s="2">
        <v>45</v>
      </c>
      <c r="D1091" s="2">
        <v>556</v>
      </c>
      <c r="E1091" s="2">
        <v>314</v>
      </c>
      <c r="F1091" s="2">
        <v>32441</v>
      </c>
      <c r="G1091" s="2">
        <v>8.3618487380000008</v>
      </c>
      <c r="H1091" s="3">
        <v>9.4299999999999997E-26</v>
      </c>
      <c r="I1091" s="2" t="s">
        <v>7804</v>
      </c>
      <c r="J1091" s="2" t="s">
        <v>7805</v>
      </c>
      <c r="K1091" s="3">
        <v>8.8600000000000006E-24</v>
      </c>
      <c r="L1091" s="2" t="s">
        <v>848</v>
      </c>
      <c r="M1091" s="4" t="s">
        <v>7806</v>
      </c>
    </row>
    <row r="1092" spans="1:13">
      <c r="A1092" s="2">
        <v>6351</v>
      </c>
      <c r="B1092" s="2" t="s">
        <v>7807</v>
      </c>
      <c r="C1092" s="2">
        <v>28</v>
      </c>
      <c r="D1092" s="2">
        <v>556</v>
      </c>
      <c r="E1092" s="2">
        <v>78</v>
      </c>
      <c r="F1092" s="2">
        <v>32441</v>
      </c>
      <c r="G1092" s="2">
        <v>20.94512083</v>
      </c>
      <c r="H1092" s="3">
        <v>1.1000000000000001E-25</v>
      </c>
      <c r="I1092" s="2" t="s">
        <v>7808</v>
      </c>
      <c r="J1092" s="2" t="s">
        <v>7809</v>
      </c>
      <c r="K1092" s="3">
        <v>1.0200000000000001E-23</v>
      </c>
      <c r="L1092" s="2" t="s">
        <v>848</v>
      </c>
      <c r="M1092" s="4" t="s">
        <v>7810</v>
      </c>
    </row>
    <row r="1093" spans="1:13">
      <c r="A1093" s="2">
        <v>6331</v>
      </c>
      <c r="B1093" s="2" t="s">
        <v>7811</v>
      </c>
      <c r="C1093" s="2">
        <v>37</v>
      </c>
      <c r="D1093" s="2">
        <v>556</v>
      </c>
      <c r="E1093" s="2">
        <v>195</v>
      </c>
      <c r="F1093" s="2">
        <v>32441</v>
      </c>
      <c r="G1093" s="2">
        <v>11.070992439999999</v>
      </c>
      <c r="H1093" s="3">
        <v>4.1400000000000002E-25</v>
      </c>
      <c r="I1093" s="2" t="s">
        <v>7812</v>
      </c>
      <c r="J1093" s="2" t="s">
        <v>7813</v>
      </c>
      <c r="K1093" s="3">
        <v>3.77E-23</v>
      </c>
      <c r="L1093" s="2" t="s">
        <v>848</v>
      </c>
      <c r="M1093" s="4" t="s">
        <v>7814</v>
      </c>
    </row>
    <row r="1094" spans="1:13">
      <c r="A1094" s="2">
        <v>1662</v>
      </c>
      <c r="B1094" s="2" t="s">
        <v>7815</v>
      </c>
      <c r="C1094" s="2">
        <v>55</v>
      </c>
      <c r="D1094" s="2">
        <v>556</v>
      </c>
      <c r="E1094" s="2">
        <v>528</v>
      </c>
      <c r="F1094" s="2">
        <v>32441</v>
      </c>
      <c r="G1094" s="2">
        <v>6.0778252400000001</v>
      </c>
      <c r="H1094" s="3">
        <v>4.7300000000000004E-25</v>
      </c>
      <c r="I1094" s="3" t="s">
        <v>7816</v>
      </c>
      <c r="J1094" s="3" t="s">
        <v>7817</v>
      </c>
      <c r="K1094" s="3">
        <v>4.2399999999999997E-23</v>
      </c>
      <c r="L1094" s="2" t="s">
        <v>848</v>
      </c>
      <c r="M1094" s="4" t="s">
        <v>7818</v>
      </c>
    </row>
    <row r="1095" spans="1:13">
      <c r="A1095" s="2">
        <v>1400</v>
      </c>
      <c r="B1095" s="2" t="s">
        <v>7819</v>
      </c>
      <c r="C1095" s="2">
        <v>71</v>
      </c>
      <c r="D1095" s="2">
        <v>556</v>
      </c>
      <c r="E1095" s="2">
        <v>926</v>
      </c>
      <c r="F1095" s="2">
        <v>32441</v>
      </c>
      <c r="G1095" s="2">
        <v>4.473699442</v>
      </c>
      <c r="H1095" s="3">
        <v>1.0100000000000001E-24</v>
      </c>
      <c r="I1095" s="3" t="s">
        <v>7820</v>
      </c>
      <c r="J1095" s="3" t="s">
        <v>7821</v>
      </c>
      <c r="K1095" s="3">
        <v>8.8899999999999996E-23</v>
      </c>
      <c r="L1095" s="2" t="s">
        <v>848</v>
      </c>
      <c r="M1095" s="4" t="s">
        <v>7822</v>
      </c>
    </row>
    <row r="1096" spans="1:13">
      <c r="A1096" s="2">
        <v>3942</v>
      </c>
      <c r="B1096" s="2" t="s">
        <v>7823</v>
      </c>
      <c r="C1096" s="2">
        <v>29</v>
      </c>
      <c r="D1096" s="2">
        <v>556</v>
      </c>
      <c r="E1096" s="2">
        <v>97</v>
      </c>
      <c r="F1096" s="2">
        <v>32441</v>
      </c>
      <c r="G1096" s="2">
        <v>17.44398502</v>
      </c>
      <c r="H1096" s="3">
        <v>1.1E-24</v>
      </c>
      <c r="I1096" s="2" t="s">
        <v>7824</v>
      </c>
      <c r="J1096" s="2" t="s">
        <v>7825</v>
      </c>
      <c r="K1096" s="3">
        <v>9.6100000000000005E-23</v>
      </c>
      <c r="L1096" s="2" t="s">
        <v>848</v>
      </c>
      <c r="M1096" s="4" t="s">
        <v>7826</v>
      </c>
    </row>
    <row r="1097" spans="1:13">
      <c r="A1097" s="2">
        <v>4421</v>
      </c>
      <c r="B1097" s="2" t="s">
        <v>7827</v>
      </c>
      <c r="C1097" s="2">
        <v>31</v>
      </c>
      <c r="D1097" s="2">
        <v>556</v>
      </c>
      <c r="E1097" s="2">
        <v>123</v>
      </c>
      <c r="F1097" s="2">
        <v>32441</v>
      </c>
      <c r="G1097" s="2">
        <v>14.70537229</v>
      </c>
      <c r="H1097" s="3">
        <v>2.09E-24</v>
      </c>
      <c r="I1097" s="2" t="s">
        <v>7828</v>
      </c>
      <c r="J1097" s="2" t="s">
        <v>7829</v>
      </c>
      <c r="K1097" s="3">
        <v>1.79E-22</v>
      </c>
      <c r="L1097" s="2" t="s">
        <v>848</v>
      </c>
      <c r="M1097" s="4" t="s">
        <v>7830</v>
      </c>
    </row>
    <row r="1098" spans="1:13">
      <c r="A1098" s="2">
        <v>1169</v>
      </c>
      <c r="B1098" s="2" t="s">
        <v>7831</v>
      </c>
      <c r="C1098" s="2">
        <v>66</v>
      </c>
      <c r="D1098" s="2">
        <v>556</v>
      </c>
      <c r="E1098" s="2">
        <v>814</v>
      </c>
      <c r="F1098" s="2">
        <v>32441</v>
      </c>
      <c r="G1098" s="2">
        <v>4.730847754</v>
      </c>
      <c r="H1098" s="3">
        <v>2.99E-24</v>
      </c>
      <c r="I1098" s="3" t="s">
        <v>7832</v>
      </c>
      <c r="J1098" s="3" t="s">
        <v>7833</v>
      </c>
      <c r="K1098" s="3">
        <v>2.5299999999999998E-22</v>
      </c>
      <c r="L1098" s="2" t="s">
        <v>848</v>
      </c>
      <c r="M1098" s="4" t="s">
        <v>7834</v>
      </c>
    </row>
    <row r="1099" spans="1:13">
      <c r="A1099" s="2">
        <v>5844</v>
      </c>
      <c r="B1099" s="2" t="s">
        <v>7835</v>
      </c>
      <c r="C1099" s="2">
        <v>89</v>
      </c>
      <c r="D1099" s="2">
        <v>556</v>
      </c>
      <c r="E1099" s="2">
        <v>1476</v>
      </c>
      <c r="F1099" s="2">
        <v>32441</v>
      </c>
      <c r="G1099" s="2">
        <v>3.5182207889999999</v>
      </c>
      <c r="H1099" s="3">
        <v>5.2199999999999999E-24</v>
      </c>
      <c r="I1099" s="3" t="s">
        <v>7836</v>
      </c>
      <c r="J1099" s="3" t="s">
        <v>7837</v>
      </c>
      <c r="K1099" s="3">
        <v>4.3499999999999998E-22</v>
      </c>
      <c r="L1099" s="2" t="s">
        <v>848</v>
      </c>
      <c r="M1099" s="4" t="s">
        <v>7838</v>
      </c>
    </row>
    <row r="1100" spans="1:13">
      <c r="A1100" s="2">
        <v>25751</v>
      </c>
      <c r="B1100" s="2" t="s">
        <v>7839</v>
      </c>
      <c r="C1100" s="2">
        <v>82</v>
      </c>
      <c r="D1100" s="2">
        <v>556</v>
      </c>
      <c r="E1100" s="2">
        <v>1275</v>
      </c>
      <c r="F1100" s="2">
        <v>32441</v>
      </c>
      <c r="G1100" s="2">
        <v>3.7525208069999998</v>
      </c>
      <c r="H1100" s="3">
        <v>8.4299999999999993E-24</v>
      </c>
      <c r="I1100" s="3" t="s">
        <v>7840</v>
      </c>
      <c r="J1100" s="3" t="s">
        <v>7841</v>
      </c>
      <c r="K1100" s="3">
        <v>6.9300000000000004E-22</v>
      </c>
      <c r="L1100" s="2" t="s">
        <v>848</v>
      </c>
      <c r="M1100" s="4" t="s">
        <v>7842</v>
      </c>
    </row>
    <row r="1101" spans="1:13">
      <c r="A1101" s="2">
        <v>3354</v>
      </c>
      <c r="B1101" s="2" t="s">
        <v>7843</v>
      </c>
      <c r="C1101" s="2">
        <v>32</v>
      </c>
      <c r="D1101" s="2">
        <v>556</v>
      </c>
      <c r="E1101" s="2">
        <v>144</v>
      </c>
      <c r="F1101" s="2">
        <v>32441</v>
      </c>
      <c r="G1101" s="2">
        <v>12.966027179999999</v>
      </c>
      <c r="H1101" s="3">
        <v>1.05E-23</v>
      </c>
      <c r="I1101" s="2" t="s">
        <v>7844</v>
      </c>
      <c r="J1101" s="2" t="s">
        <v>7845</v>
      </c>
      <c r="K1101" s="3">
        <v>8.5300000000000001E-22</v>
      </c>
      <c r="L1101" s="2" t="s">
        <v>848</v>
      </c>
      <c r="M1101" s="4" t="s">
        <v>7846</v>
      </c>
    </row>
    <row r="1102" spans="1:13">
      <c r="A1102" s="2">
        <v>4284</v>
      </c>
      <c r="B1102" s="2" t="s">
        <v>7847</v>
      </c>
      <c r="C1102" s="2">
        <v>43</v>
      </c>
      <c r="D1102" s="2">
        <v>556</v>
      </c>
      <c r="E1102" s="2">
        <v>321</v>
      </c>
      <c r="F1102" s="2">
        <v>32441</v>
      </c>
      <c r="G1102" s="2">
        <v>7.8159696539999999</v>
      </c>
      <c r="H1102" s="3">
        <v>1.2899999999999999E-23</v>
      </c>
      <c r="I1102" s="2" t="s">
        <v>7848</v>
      </c>
      <c r="J1102" s="2" t="s">
        <v>7849</v>
      </c>
      <c r="K1102" s="3">
        <v>1.0299999999999999E-21</v>
      </c>
      <c r="L1102" s="2" t="s">
        <v>848</v>
      </c>
      <c r="M1102" s="4" t="s">
        <v>7850</v>
      </c>
    </row>
    <row r="1103" spans="1:13">
      <c r="A1103" s="2">
        <v>4019</v>
      </c>
      <c r="B1103" s="2" t="s">
        <v>7851</v>
      </c>
      <c r="C1103" s="2">
        <v>45</v>
      </c>
      <c r="D1103" s="2">
        <v>556</v>
      </c>
      <c r="E1103" s="2">
        <v>364</v>
      </c>
      <c r="F1103" s="2">
        <v>32441</v>
      </c>
      <c r="G1103" s="2">
        <v>7.2132431419999996</v>
      </c>
      <c r="H1103" s="3">
        <v>2.22E-23</v>
      </c>
      <c r="I1103" s="2" t="s">
        <v>7852</v>
      </c>
      <c r="J1103" s="2" t="s">
        <v>7853</v>
      </c>
      <c r="K1103" s="3">
        <v>1.7500000000000002E-21</v>
      </c>
      <c r="L1103" s="2" t="s">
        <v>848</v>
      </c>
      <c r="M1103" s="4" t="s">
        <v>7854</v>
      </c>
    </row>
    <row r="1104" spans="1:13">
      <c r="A1104" s="2">
        <v>1285</v>
      </c>
      <c r="B1104" s="2" t="s">
        <v>7855</v>
      </c>
      <c r="C1104" s="2">
        <v>31</v>
      </c>
      <c r="D1104" s="2">
        <v>556</v>
      </c>
      <c r="E1104" s="2">
        <v>139</v>
      </c>
      <c r="F1104" s="2">
        <v>32441</v>
      </c>
      <c r="G1104" s="2">
        <v>13.012667560000001</v>
      </c>
      <c r="H1104" s="3">
        <v>4.8300000000000001E-23</v>
      </c>
      <c r="I1104" s="2" t="s">
        <v>7856</v>
      </c>
      <c r="J1104" s="2" t="s">
        <v>7857</v>
      </c>
      <c r="K1104" s="3">
        <v>3.7600000000000002E-21</v>
      </c>
      <c r="L1104" s="2" t="s">
        <v>848</v>
      </c>
      <c r="M1104" s="4" t="s">
        <v>7858</v>
      </c>
    </row>
    <row r="1105" spans="1:13">
      <c r="A1105" s="2">
        <v>859</v>
      </c>
      <c r="B1105" s="2" t="s">
        <v>7859</v>
      </c>
      <c r="C1105" s="2">
        <v>93</v>
      </c>
      <c r="D1105" s="2">
        <v>556</v>
      </c>
      <c r="E1105" s="2">
        <v>1656</v>
      </c>
      <c r="F1105" s="2">
        <v>32441</v>
      </c>
      <c r="G1105" s="2">
        <v>3.2767405639999998</v>
      </c>
      <c r="H1105" s="3">
        <v>4.95E-23</v>
      </c>
      <c r="I1105" s="3" t="s">
        <v>7860</v>
      </c>
      <c r="J1105" s="3" t="s">
        <v>7861</v>
      </c>
      <c r="K1105" s="3">
        <v>3.8099999999999996E-21</v>
      </c>
      <c r="L1105" s="2" t="s">
        <v>848</v>
      </c>
      <c r="M1105" s="4" t="s">
        <v>7862</v>
      </c>
    </row>
    <row r="1106" spans="1:13">
      <c r="A1106" s="2">
        <v>2314</v>
      </c>
      <c r="B1106" s="2" t="s">
        <v>7863</v>
      </c>
      <c r="C1106" s="2">
        <v>29</v>
      </c>
      <c r="D1106" s="2">
        <v>556</v>
      </c>
      <c r="E1106" s="2">
        <v>114</v>
      </c>
      <c r="F1106" s="2">
        <v>32441</v>
      </c>
      <c r="G1106" s="2">
        <v>14.842689010000001</v>
      </c>
      <c r="H1106" s="3">
        <v>5.21E-23</v>
      </c>
      <c r="I1106" s="2" t="s">
        <v>7864</v>
      </c>
      <c r="J1106" s="2" t="s">
        <v>7865</v>
      </c>
      <c r="K1106" s="3">
        <v>3.9500000000000002E-21</v>
      </c>
      <c r="L1106" s="2" t="s">
        <v>848</v>
      </c>
      <c r="M1106" s="4" t="s">
        <v>7866</v>
      </c>
    </row>
    <row r="1107" spans="1:13">
      <c r="A1107" s="2">
        <v>1028</v>
      </c>
      <c r="B1107" s="2" t="s">
        <v>7867</v>
      </c>
      <c r="C1107" s="2">
        <v>44</v>
      </c>
      <c r="D1107" s="2">
        <v>556</v>
      </c>
      <c r="E1107" s="2">
        <v>357</v>
      </c>
      <c r="F1107" s="2">
        <v>32441</v>
      </c>
      <c r="G1107" s="2">
        <v>7.1912419639999996</v>
      </c>
      <c r="H1107" s="3">
        <v>7.7900000000000005E-23</v>
      </c>
      <c r="I1107" s="2" t="s">
        <v>7868</v>
      </c>
      <c r="J1107" s="2" t="s">
        <v>7869</v>
      </c>
      <c r="K1107" s="3">
        <v>5.8300000000000003E-21</v>
      </c>
      <c r="L1107" s="2" t="s">
        <v>848</v>
      </c>
      <c r="M1107" s="4" t="s">
        <v>7870</v>
      </c>
    </row>
    <row r="1108" spans="1:13">
      <c r="A1108" s="2">
        <v>14811</v>
      </c>
      <c r="B1108" s="2" t="s">
        <v>7871</v>
      </c>
      <c r="C1108" s="2">
        <v>90</v>
      </c>
      <c r="D1108" s="2">
        <v>556</v>
      </c>
      <c r="E1108" s="2">
        <v>1572</v>
      </c>
      <c r="F1108" s="2">
        <v>32441</v>
      </c>
      <c r="G1108" s="2">
        <v>3.3404841009999999</v>
      </c>
      <c r="H1108" s="3">
        <v>8.06E-23</v>
      </c>
      <c r="I1108" s="3" t="s">
        <v>7872</v>
      </c>
      <c r="J1108" s="3" t="s">
        <v>7873</v>
      </c>
      <c r="K1108" s="3">
        <v>5.9600000000000003E-21</v>
      </c>
      <c r="L1108" s="2" t="s">
        <v>848</v>
      </c>
      <c r="M1108" s="4" t="s">
        <v>7874</v>
      </c>
    </row>
    <row r="1109" spans="1:13">
      <c r="A1109" s="2">
        <v>3112</v>
      </c>
      <c r="B1109" s="2" t="s">
        <v>7875</v>
      </c>
      <c r="C1109" s="2">
        <v>32</v>
      </c>
      <c r="D1109" s="2">
        <v>556</v>
      </c>
      <c r="E1109" s="2">
        <v>156</v>
      </c>
      <c r="F1109" s="2">
        <v>32441</v>
      </c>
      <c r="G1109" s="2">
        <v>11.96864047</v>
      </c>
      <c r="H1109" s="3">
        <v>8.8399999999999999E-23</v>
      </c>
      <c r="I1109" s="2" t="s">
        <v>7876</v>
      </c>
      <c r="J1109" s="2" t="s">
        <v>7877</v>
      </c>
      <c r="K1109" s="3">
        <v>6.4600000000000003E-21</v>
      </c>
      <c r="L1109" s="2" t="s">
        <v>848</v>
      </c>
      <c r="M1109" s="4" t="s">
        <v>7878</v>
      </c>
    </row>
    <row r="1110" spans="1:13">
      <c r="A1110" s="2">
        <v>1562</v>
      </c>
      <c r="B1110" s="2" t="s">
        <v>7879</v>
      </c>
      <c r="C1110" s="2">
        <v>95</v>
      </c>
      <c r="D1110" s="2">
        <v>556</v>
      </c>
      <c r="E1110" s="2">
        <v>1791</v>
      </c>
      <c r="F1110" s="2">
        <v>32441</v>
      </c>
      <c r="G1110" s="2">
        <v>3.094905985</v>
      </c>
      <c r="H1110" s="3">
        <v>7.1299999999999999E-22</v>
      </c>
      <c r="I1110" s="3" t="s">
        <v>7880</v>
      </c>
      <c r="J1110" s="3" t="s">
        <v>7881</v>
      </c>
      <c r="K1110" s="3">
        <v>5.15E-20</v>
      </c>
      <c r="L1110" s="2" t="s">
        <v>848</v>
      </c>
      <c r="M1110" s="4" t="s">
        <v>7882</v>
      </c>
    </row>
    <row r="1111" spans="1:13">
      <c r="A1111" s="2">
        <v>14291</v>
      </c>
      <c r="B1111" s="2" t="s">
        <v>7883</v>
      </c>
      <c r="C1111" s="2">
        <v>86</v>
      </c>
      <c r="D1111" s="2">
        <v>556</v>
      </c>
      <c r="E1111" s="2">
        <v>1518</v>
      </c>
      <c r="F1111" s="2">
        <v>32441</v>
      </c>
      <c r="G1111" s="2">
        <v>3.3055681940000001</v>
      </c>
      <c r="H1111" s="3">
        <v>1.59E-21</v>
      </c>
      <c r="I1111" s="3" t="s">
        <v>7884</v>
      </c>
      <c r="J1111" s="3" t="s">
        <v>7885</v>
      </c>
      <c r="K1111" s="3">
        <v>1.13E-19</v>
      </c>
      <c r="L1111" s="2" t="s">
        <v>848</v>
      </c>
      <c r="M1111" s="4" t="s">
        <v>7886</v>
      </c>
    </row>
    <row r="1112" spans="1:13">
      <c r="A1112" s="2">
        <v>2237</v>
      </c>
      <c r="B1112" s="2" t="s">
        <v>7887</v>
      </c>
      <c r="C1112" s="2">
        <v>29</v>
      </c>
      <c r="D1112" s="2">
        <v>556</v>
      </c>
      <c r="E1112" s="2">
        <v>132</v>
      </c>
      <c r="F1112" s="2">
        <v>32441</v>
      </c>
      <c r="G1112" s="2">
        <v>12.81868596</v>
      </c>
      <c r="H1112" s="3">
        <v>1.76E-21</v>
      </c>
      <c r="I1112" s="2" t="s">
        <v>7888</v>
      </c>
      <c r="J1112" s="2" t="s">
        <v>7889</v>
      </c>
      <c r="K1112" s="3">
        <v>1.24E-19</v>
      </c>
      <c r="L1112" s="2" t="s">
        <v>848</v>
      </c>
      <c r="M1112" s="4" t="s">
        <v>7890</v>
      </c>
    </row>
    <row r="1113" spans="1:13">
      <c r="A1113" s="2">
        <v>15901</v>
      </c>
      <c r="B1113" s="2" t="s">
        <v>7891</v>
      </c>
      <c r="C1113" s="2">
        <v>28</v>
      </c>
      <c r="D1113" s="2">
        <v>556</v>
      </c>
      <c r="E1113" s="2">
        <v>122</v>
      </c>
      <c r="F1113" s="2">
        <v>32441</v>
      </c>
      <c r="G1113" s="2">
        <v>13.391142820000001</v>
      </c>
      <c r="H1113" s="3">
        <v>3.1700000000000001E-21</v>
      </c>
      <c r="I1113" s="2" t="s">
        <v>7892</v>
      </c>
      <c r="J1113" s="2" t="s">
        <v>7893</v>
      </c>
      <c r="K1113" s="3">
        <v>2.2100000000000002E-19</v>
      </c>
      <c r="L1113" s="2" t="s">
        <v>848</v>
      </c>
      <c r="M1113" s="4" t="s">
        <v>7894</v>
      </c>
    </row>
    <row r="1114" spans="1:13">
      <c r="A1114" s="2">
        <v>1371</v>
      </c>
      <c r="B1114" s="2" t="s">
        <v>7895</v>
      </c>
      <c r="C1114" s="2">
        <v>47</v>
      </c>
      <c r="D1114" s="2">
        <v>556</v>
      </c>
      <c r="E1114" s="2">
        <v>464</v>
      </c>
      <c r="F1114" s="2">
        <v>32441</v>
      </c>
      <c r="G1114" s="2">
        <v>5.9101610950000003</v>
      </c>
      <c r="H1114" s="3">
        <v>4.4000000000000001E-21</v>
      </c>
      <c r="I1114" s="2" t="s">
        <v>7896</v>
      </c>
      <c r="J1114" s="2" t="s">
        <v>7897</v>
      </c>
      <c r="K1114" s="3">
        <v>3.03E-19</v>
      </c>
      <c r="L1114" s="2" t="s">
        <v>848</v>
      </c>
      <c r="M1114" s="4" t="s">
        <v>7898</v>
      </c>
    </row>
    <row r="1115" spans="1:13">
      <c r="A1115" s="2">
        <v>3114</v>
      </c>
      <c r="B1115" s="2" t="s">
        <v>7899</v>
      </c>
      <c r="C1115" s="2">
        <v>30</v>
      </c>
      <c r="D1115" s="2">
        <v>556</v>
      </c>
      <c r="E1115" s="2">
        <v>158</v>
      </c>
      <c r="F1115" s="2">
        <v>32441</v>
      </c>
      <c r="G1115" s="2">
        <v>11.078567530000001</v>
      </c>
      <c r="H1115" s="3">
        <v>1.3399999999999999E-20</v>
      </c>
      <c r="I1115" s="2" t="s">
        <v>7900</v>
      </c>
      <c r="J1115" s="2" t="s">
        <v>7901</v>
      </c>
      <c r="K1115" s="3">
        <v>9.1300000000000007E-19</v>
      </c>
      <c r="L1115" s="2" t="s">
        <v>848</v>
      </c>
      <c r="M1115" s="4" t="s">
        <v>7902</v>
      </c>
    </row>
    <row r="1116" spans="1:13">
      <c r="A1116" s="2">
        <v>2699</v>
      </c>
      <c r="B1116" s="2" t="s">
        <v>7903</v>
      </c>
      <c r="C1116" s="2">
        <v>25</v>
      </c>
      <c r="D1116" s="2">
        <v>556</v>
      </c>
      <c r="E1116" s="2">
        <v>94</v>
      </c>
      <c r="F1116" s="2">
        <v>32441</v>
      </c>
      <c r="G1116" s="2">
        <v>15.51785168</v>
      </c>
      <c r="H1116" s="3">
        <v>2.0600000000000001E-20</v>
      </c>
      <c r="I1116" s="2" t="s">
        <v>7904</v>
      </c>
      <c r="J1116" s="2" t="s">
        <v>7905</v>
      </c>
      <c r="K1116" s="3">
        <v>1.38E-18</v>
      </c>
      <c r="L1116" s="2" t="s">
        <v>848</v>
      </c>
      <c r="M1116" s="4" t="s">
        <v>7906</v>
      </c>
    </row>
    <row r="1117" spans="1:13">
      <c r="A1117" s="2">
        <v>2415</v>
      </c>
      <c r="B1117" s="2" t="s">
        <v>7907</v>
      </c>
      <c r="C1117" s="2">
        <v>29</v>
      </c>
      <c r="D1117" s="2">
        <v>556</v>
      </c>
      <c r="E1117" s="2">
        <v>149</v>
      </c>
      <c r="F1117" s="2">
        <v>32441</v>
      </c>
      <c r="G1117" s="2">
        <v>11.35615132</v>
      </c>
      <c r="H1117" s="3">
        <v>3.2599999999999999E-20</v>
      </c>
      <c r="I1117" s="2" t="s">
        <v>7908</v>
      </c>
      <c r="J1117" s="2" t="s">
        <v>7909</v>
      </c>
      <c r="K1117" s="3">
        <v>2.17E-18</v>
      </c>
      <c r="L1117" s="2" t="s">
        <v>848</v>
      </c>
      <c r="M1117" s="4" t="s">
        <v>7910</v>
      </c>
    </row>
    <row r="1118" spans="1:13">
      <c r="A1118" s="2">
        <v>444</v>
      </c>
      <c r="B1118" s="2" t="s">
        <v>7911</v>
      </c>
      <c r="C1118" s="2">
        <v>84</v>
      </c>
      <c r="D1118" s="2">
        <v>556</v>
      </c>
      <c r="E1118" s="2">
        <v>1532</v>
      </c>
      <c r="F1118" s="2">
        <v>32441</v>
      </c>
      <c r="G1118" s="2">
        <v>3.1991894730000001</v>
      </c>
      <c r="H1118" s="3">
        <v>3.48E-20</v>
      </c>
      <c r="I1118" s="3" t="s">
        <v>7912</v>
      </c>
      <c r="J1118" s="3" t="s">
        <v>7913</v>
      </c>
      <c r="K1118" s="3">
        <v>2.2799999999999998E-18</v>
      </c>
      <c r="L1118" s="2" t="s">
        <v>848</v>
      </c>
      <c r="M1118" s="4" t="s">
        <v>7914</v>
      </c>
    </row>
    <row r="1119" spans="1:13">
      <c r="A1119" s="2">
        <v>1947</v>
      </c>
      <c r="B1119" s="2" t="s">
        <v>7915</v>
      </c>
      <c r="C1119" s="2">
        <v>88</v>
      </c>
      <c r="D1119" s="2">
        <v>556</v>
      </c>
      <c r="E1119" s="2">
        <v>1672</v>
      </c>
      <c r="F1119" s="2">
        <v>32441</v>
      </c>
      <c r="G1119" s="2">
        <v>3.0709011739999998</v>
      </c>
      <c r="H1119" s="3">
        <v>4.7400000000000003E-20</v>
      </c>
      <c r="I1119" s="3" t="s">
        <v>7916</v>
      </c>
      <c r="J1119" s="3" t="s">
        <v>7917</v>
      </c>
      <c r="K1119" s="3">
        <v>3.0800000000000002E-18</v>
      </c>
      <c r="L1119" s="2" t="s">
        <v>848</v>
      </c>
      <c r="M1119" s="4" t="s">
        <v>7918</v>
      </c>
    </row>
    <row r="1120" spans="1:13">
      <c r="A1120" s="2">
        <v>1740</v>
      </c>
      <c r="B1120" s="2" t="s">
        <v>7919</v>
      </c>
      <c r="C1120" s="2">
        <v>25</v>
      </c>
      <c r="D1120" s="2">
        <v>556</v>
      </c>
      <c r="E1120" s="2">
        <v>98</v>
      </c>
      <c r="F1120" s="2">
        <v>32441</v>
      </c>
      <c r="G1120" s="2">
        <v>14.88446998</v>
      </c>
      <c r="H1120" s="3">
        <v>4.8499999999999997E-20</v>
      </c>
      <c r="I1120" s="2" t="s">
        <v>7920</v>
      </c>
      <c r="J1120" s="2" t="s">
        <v>7921</v>
      </c>
      <c r="K1120" s="3">
        <v>3.12E-18</v>
      </c>
      <c r="L1120" s="2" t="s">
        <v>848</v>
      </c>
      <c r="M1120" s="4" t="s">
        <v>7922</v>
      </c>
    </row>
    <row r="1121" spans="1:13">
      <c r="A1121" s="2">
        <v>2713</v>
      </c>
      <c r="B1121" s="2" t="s">
        <v>7923</v>
      </c>
      <c r="C1121" s="2">
        <v>62</v>
      </c>
      <c r="D1121" s="2">
        <v>556</v>
      </c>
      <c r="E1121" s="2">
        <v>876</v>
      </c>
      <c r="F1121" s="2">
        <v>32441</v>
      </c>
      <c r="G1121" s="2">
        <v>4.1295908480000003</v>
      </c>
      <c r="H1121" s="3">
        <v>5.0199999999999999E-20</v>
      </c>
      <c r="I1121" s="3" t="s">
        <v>7924</v>
      </c>
      <c r="J1121" s="3" t="s">
        <v>7925</v>
      </c>
      <c r="K1121" s="3">
        <v>3.19E-18</v>
      </c>
      <c r="L1121" s="2" t="s">
        <v>848</v>
      </c>
      <c r="M1121" s="4" t="s">
        <v>7926</v>
      </c>
    </row>
    <row r="1122" spans="1:13">
      <c r="A1122" s="2">
        <v>38451</v>
      </c>
      <c r="B1122" s="2" t="s">
        <v>7927</v>
      </c>
      <c r="C1122" s="2">
        <v>22</v>
      </c>
      <c r="D1122" s="2">
        <v>556</v>
      </c>
      <c r="E1122" s="2">
        <v>65</v>
      </c>
      <c r="F1122" s="2">
        <v>32441</v>
      </c>
      <c r="G1122" s="2">
        <v>19.748256779999998</v>
      </c>
      <c r="H1122" s="3">
        <v>5.2699999999999998E-20</v>
      </c>
      <c r="I1122" s="2" t="s">
        <v>7928</v>
      </c>
      <c r="J1122" s="2" t="s">
        <v>7929</v>
      </c>
      <c r="K1122" s="3">
        <v>3.3100000000000001E-18</v>
      </c>
      <c r="L1122" s="2" t="s">
        <v>848</v>
      </c>
      <c r="M1122" s="4" t="s">
        <v>7930</v>
      </c>
    </row>
    <row r="1123" spans="1:13">
      <c r="A1123" s="2">
        <v>825</v>
      </c>
      <c r="B1123" s="2" t="s">
        <v>7931</v>
      </c>
      <c r="C1123" s="2">
        <v>29</v>
      </c>
      <c r="D1123" s="2">
        <v>556</v>
      </c>
      <c r="E1123" s="2">
        <v>154</v>
      </c>
      <c r="F1123" s="2">
        <v>32441</v>
      </c>
      <c r="G1123" s="2">
        <v>10.987445109999999</v>
      </c>
      <c r="H1123" s="3">
        <v>7.2200000000000001E-20</v>
      </c>
      <c r="I1123" s="2" t="s">
        <v>7932</v>
      </c>
      <c r="J1123" s="2" t="s">
        <v>7933</v>
      </c>
      <c r="K1123" s="3">
        <v>4.4999999999999999E-18</v>
      </c>
      <c r="L1123" s="2" t="s">
        <v>848</v>
      </c>
      <c r="M1123" s="4" t="s">
        <v>7934</v>
      </c>
    </row>
    <row r="1124" spans="1:13">
      <c r="A1124" s="2">
        <v>5795</v>
      </c>
      <c r="B1124" s="2" t="s">
        <v>7935</v>
      </c>
      <c r="C1124" s="2">
        <v>24</v>
      </c>
      <c r="D1124" s="2">
        <v>556</v>
      </c>
      <c r="E1124" s="2">
        <v>89</v>
      </c>
      <c r="F1124" s="2">
        <v>32441</v>
      </c>
      <c r="G1124" s="2">
        <v>15.73405545</v>
      </c>
      <c r="H1124" s="3">
        <v>9.0800000000000005E-20</v>
      </c>
      <c r="I1124" s="2" t="s">
        <v>7936</v>
      </c>
      <c r="J1124" s="2" t="s">
        <v>7937</v>
      </c>
      <c r="K1124" s="3">
        <v>5.6000000000000002E-18</v>
      </c>
      <c r="L1124" s="2" t="s">
        <v>848</v>
      </c>
      <c r="M1124" s="4" t="s">
        <v>7938</v>
      </c>
    </row>
    <row r="1125" spans="1:13">
      <c r="A1125" s="2">
        <v>1320</v>
      </c>
      <c r="B1125" s="2" t="s">
        <v>7939</v>
      </c>
      <c r="C1125" s="2">
        <v>37</v>
      </c>
      <c r="D1125" s="2">
        <v>556</v>
      </c>
      <c r="E1125" s="2">
        <v>296</v>
      </c>
      <c r="F1125" s="2">
        <v>32441</v>
      </c>
      <c r="G1125" s="2">
        <v>7.2933902880000003</v>
      </c>
      <c r="H1125" s="3">
        <v>1.4399999999999999E-19</v>
      </c>
      <c r="I1125" s="2" t="s">
        <v>7940</v>
      </c>
      <c r="J1125" s="2" t="s">
        <v>7941</v>
      </c>
      <c r="K1125" s="3">
        <v>8.7999999999999994E-18</v>
      </c>
      <c r="L1125" s="2" t="s">
        <v>848</v>
      </c>
      <c r="M1125" s="4" t="s">
        <v>7942</v>
      </c>
    </row>
    <row r="1126" spans="1:13">
      <c r="A1126" s="2">
        <v>3889</v>
      </c>
      <c r="B1126" s="2" t="s">
        <v>7943</v>
      </c>
      <c r="C1126" s="2">
        <v>65</v>
      </c>
      <c r="D1126" s="2">
        <v>556</v>
      </c>
      <c r="E1126" s="2">
        <v>983</v>
      </c>
      <c r="F1126" s="2">
        <v>32441</v>
      </c>
      <c r="G1126" s="2">
        <v>3.8581515259999999</v>
      </c>
      <c r="H1126" s="3">
        <v>1.5700000000000001E-19</v>
      </c>
      <c r="I1126" s="3" t="s">
        <v>7944</v>
      </c>
      <c r="J1126" s="3" t="s">
        <v>7945</v>
      </c>
      <c r="K1126" s="3">
        <v>9.4600000000000005E-18</v>
      </c>
      <c r="L1126" s="2" t="s">
        <v>848</v>
      </c>
      <c r="M1126" s="4" t="s">
        <v>7946</v>
      </c>
    </row>
    <row r="1127" spans="1:13">
      <c r="A1127" s="2">
        <v>1180</v>
      </c>
      <c r="B1127" s="2" t="s">
        <v>7947</v>
      </c>
      <c r="C1127" s="2">
        <v>26</v>
      </c>
      <c r="D1127" s="2">
        <v>556</v>
      </c>
      <c r="E1127" s="2">
        <v>117</v>
      </c>
      <c r="F1127" s="2">
        <v>32441</v>
      </c>
      <c r="G1127" s="2">
        <v>12.966027179999999</v>
      </c>
      <c r="H1127" s="3">
        <v>1.69E-19</v>
      </c>
      <c r="I1127" s="2" t="s">
        <v>7948</v>
      </c>
      <c r="J1127" s="2" t="s">
        <v>7949</v>
      </c>
      <c r="K1127" s="3">
        <v>1.01E-17</v>
      </c>
      <c r="L1127" s="2" t="s">
        <v>848</v>
      </c>
      <c r="M1127" s="4" t="s">
        <v>7950</v>
      </c>
    </row>
    <row r="1128" spans="1:13">
      <c r="A1128" s="2">
        <v>2459</v>
      </c>
      <c r="B1128" s="2" t="s">
        <v>7951</v>
      </c>
      <c r="C1128" s="2">
        <v>25</v>
      </c>
      <c r="D1128" s="2">
        <v>556</v>
      </c>
      <c r="E1128" s="2">
        <v>107</v>
      </c>
      <c r="F1128" s="2">
        <v>32441</v>
      </c>
      <c r="G1128" s="2">
        <v>13.63250521</v>
      </c>
      <c r="H1128" s="3">
        <v>2.9800000000000002E-19</v>
      </c>
      <c r="I1128" s="2" t="s">
        <v>7952</v>
      </c>
      <c r="J1128" s="2" t="s">
        <v>7953</v>
      </c>
      <c r="K1128" s="3">
        <v>1.77E-17</v>
      </c>
      <c r="L1128" s="2" t="s">
        <v>848</v>
      </c>
      <c r="M1128" s="4" t="s">
        <v>7954</v>
      </c>
    </row>
    <row r="1129" spans="1:13">
      <c r="A1129" s="2">
        <v>1044</v>
      </c>
      <c r="B1129" s="2" t="s">
        <v>7955</v>
      </c>
      <c r="C1129" s="2">
        <v>28</v>
      </c>
      <c r="D1129" s="2">
        <v>556</v>
      </c>
      <c r="E1129" s="2">
        <v>149</v>
      </c>
      <c r="F1129" s="2">
        <v>32441</v>
      </c>
      <c r="G1129" s="2">
        <v>10.964559899999999</v>
      </c>
      <c r="H1129" s="3">
        <v>3.3100000000000001E-19</v>
      </c>
      <c r="I1129" s="2" t="s">
        <v>7956</v>
      </c>
      <c r="J1129" s="2" t="s">
        <v>7957</v>
      </c>
      <c r="K1129" s="3">
        <v>1.9399999999999998E-17</v>
      </c>
      <c r="L1129" s="2" t="s">
        <v>848</v>
      </c>
      <c r="M1129" s="4" t="s">
        <v>7958</v>
      </c>
    </row>
    <row r="1130" spans="1:13">
      <c r="A1130" s="2">
        <v>1576</v>
      </c>
      <c r="B1130" s="2" t="s">
        <v>7959</v>
      </c>
      <c r="C1130" s="2">
        <v>46</v>
      </c>
      <c r="D1130" s="2">
        <v>556</v>
      </c>
      <c r="E1130" s="2">
        <v>505</v>
      </c>
      <c r="F1130" s="2">
        <v>32441</v>
      </c>
      <c r="G1130" s="2">
        <v>5.3147873780000001</v>
      </c>
      <c r="H1130" s="3">
        <v>5.6600000000000001E-19</v>
      </c>
      <c r="I1130" s="2" t="s">
        <v>7960</v>
      </c>
      <c r="J1130" s="2" t="s">
        <v>7961</v>
      </c>
      <c r="K1130" s="3">
        <v>3.2799999999999998E-17</v>
      </c>
      <c r="L1130" s="2" t="s">
        <v>848</v>
      </c>
      <c r="M1130" s="4" t="s">
        <v>7962</v>
      </c>
    </row>
    <row r="1131" spans="1:13">
      <c r="A1131" s="2">
        <v>45371</v>
      </c>
      <c r="B1131" s="2" t="s">
        <v>7963</v>
      </c>
      <c r="C1131" s="2">
        <v>70</v>
      </c>
      <c r="D1131" s="2">
        <v>556</v>
      </c>
      <c r="E1131" s="2">
        <v>1180</v>
      </c>
      <c r="F1131" s="2">
        <v>32441</v>
      </c>
      <c r="G1131" s="2">
        <v>3.4612699669999998</v>
      </c>
      <c r="H1131" s="3">
        <v>1.3899999999999999E-18</v>
      </c>
      <c r="I1131" s="3" t="s">
        <v>7964</v>
      </c>
      <c r="J1131" s="3" t="s">
        <v>7965</v>
      </c>
      <c r="K1131" s="3">
        <v>7.9600000000000002E-17</v>
      </c>
      <c r="L1131" s="2" t="s">
        <v>848</v>
      </c>
      <c r="M1131" s="4" t="s">
        <v>7966</v>
      </c>
    </row>
    <row r="1132" spans="1:13">
      <c r="A1132" s="2">
        <v>3093</v>
      </c>
      <c r="B1132" s="2" t="s">
        <v>7967</v>
      </c>
      <c r="C1132" s="2">
        <v>20</v>
      </c>
      <c r="D1132" s="2">
        <v>556</v>
      </c>
      <c r="E1132" s="2">
        <v>58</v>
      </c>
      <c r="F1132" s="2">
        <v>32441</v>
      </c>
      <c r="G1132" s="2">
        <v>20.119697349999999</v>
      </c>
      <c r="H1132" s="3">
        <v>1.9400000000000001E-18</v>
      </c>
      <c r="I1132" s="2" t="s">
        <v>7968</v>
      </c>
      <c r="J1132" s="2" t="s">
        <v>7969</v>
      </c>
      <c r="K1132" s="3">
        <v>1.1E-16</v>
      </c>
      <c r="L1132" s="2" t="s">
        <v>848</v>
      </c>
      <c r="M1132" s="4" t="s">
        <v>7970</v>
      </c>
    </row>
    <row r="1133" spans="1:13">
      <c r="A1133" s="2">
        <v>22641</v>
      </c>
      <c r="B1133" s="2" t="s">
        <v>7971</v>
      </c>
      <c r="C1133" s="2">
        <v>76</v>
      </c>
      <c r="D1133" s="2">
        <v>556</v>
      </c>
      <c r="E1133" s="2">
        <v>1381</v>
      </c>
      <c r="F1133" s="2">
        <v>32441</v>
      </c>
      <c r="G1133" s="2">
        <v>3.2109929720000001</v>
      </c>
      <c r="H1133" s="3">
        <v>2.2200000000000001E-18</v>
      </c>
      <c r="I1133" s="3" t="s">
        <v>7972</v>
      </c>
      <c r="J1133" s="3" t="s">
        <v>7973</v>
      </c>
      <c r="K1133" s="3">
        <v>1.2399999999999999E-16</v>
      </c>
      <c r="L1133" s="2" t="s">
        <v>848</v>
      </c>
      <c r="M1133" s="4" t="s">
        <v>7974</v>
      </c>
    </row>
    <row r="1134" spans="1:13">
      <c r="A1134" s="2">
        <v>38531</v>
      </c>
      <c r="B1134" s="2" t="s">
        <v>7975</v>
      </c>
      <c r="C1134" s="2">
        <v>31</v>
      </c>
      <c r="D1134" s="2">
        <v>556</v>
      </c>
      <c r="E1134" s="2">
        <v>211</v>
      </c>
      <c r="F1134" s="2">
        <v>32441</v>
      </c>
      <c r="G1134" s="2">
        <v>8.5723260250000006</v>
      </c>
      <c r="H1134" s="3">
        <v>2.2100000000000002E-18</v>
      </c>
      <c r="I1134" s="2" t="s">
        <v>7976</v>
      </c>
      <c r="J1134" s="2" t="s">
        <v>7977</v>
      </c>
      <c r="K1134" s="3">
        <v>1.2399999999999999E-16</v>
      </c>
      <c r="L1134" s="2" t="s">
        <v>848</v>
      </c>
      <c r="M1134" s="4" t="s">
        <v>7978</v>
      </c>
    </row>
    <row r="1135" spans="1:13">
      <c r="A1135" s="2">
        <v>3071</v>
      </c>
      <c r="B1135" s="2" t="s">
        <v>7979</v>
      </c>
      <c r="C1135" s="2">
        <v>28</v>
      </c>
      <c r="D1135" s="2">
        <v>556</v>
      </c>
      <c r="E1135" s="2">
        <v>162</v>
      </c>
      <c r="F1135" s="2">
        <v>32441</v>
      </c>
      <c r="G1135" s="2">
        <v>10.08468781</v>
      </c>
      <c r="H1135" s="3">
        <v>2.31E-18</v>
      </c>
      <c r="I1135" s="2" t="s">
        <v>7980</v>
      </c>
      <c r="J1135" s="2" t="s">
        <v>7981</v>
      </c>
      <c r="K1135" s="3">
        <v>1.2800000000000001E-16</v>
      </c>
      <c r="L1135" s="2" t="s">
        <v>848</v>
      </c>
      <c r="M1135" s="4" t="s">
        <v>7982</v>
      </c>
    </row>
    <row r="1136" spans="1:13">
      <c r="A1136" s="2">
        <v>4881</v>
      </c>
      <c r="B1136" s="2" t="s">
        <v>7983</v>
      </c>
      <c r="C1136" s="2">
        <v>46</v>
      </c>
      <c r="D1136" s="2">
        <v>556</v>
      </c>
      <c r="E1136" s="2">
        <v>526</v>
      </c>
      <c r="F1136" s="2">
        <v>32441</v>
      </c>
      <c r="G1136" s="2">
        <v>5.1026000490000003</v>
      </c>
      <c r="H1136" s="3">
        <v>2.46E-18</v>
      </c>
      <c r="I1136" s="2" t="s">
        <v>7984</v>
      </c>
      <c r="J1136" s="2" t="s">
        <v>7985</v>
      </c>
      <c r="K1136" s="3">
        <v>1.35E-16</v>
      </c>
      <c r="L1136" s="2" t="s">
        <v>848</v>
      </c>
      <c r="M1136" s="4" t="s">
        <v>7986</v>
      </c>
    </row>
    <row r="1137" spans="1:13">
      <c r="A1137" s="2">
        <v>4158</v>
      </c>
      <c r="B1137" s="2" t="s">
        <v>7987</v>
      </c>
      <c r="C1137" s="2">
        <v>20</v>
      </c>
      <c r="D1137" s="2">
        <v>556</v>
      </c>
      <c r="E1137" s="2">
        <v>60</v>
      </c>
      <c r="F1137" s="2">
        <v>32441</v>
      </c>
      <c r="G1137" s="2">
        <v>19.44904077</v>
      </c>
      <c r="H1137" s="3">
        <v>3.3599999999999998E-18</v>
      </c>
      <c r="I1137" s="2" t="s">
        <v>7988</v>
      </c>
      <c r="J1137" s="2" t="s">
        <v>7989</v>
      </c>
      <c r="K1137" s="3">
        <v>1.82E-16</v>
      </c>
      <c r="L1137" s="2" t="s">
        <v>848</v>
      </c>
      <c r="M1137" s="4" t="s">
        <v>7990</v>
      </c>
    </row>
    <row r="1138" spans="1:13">
      <c r="A1138" s="2">
        <v>2710</v>
      </c>
      <c r="B1138" s="2" t="s">
        <v>7991</v>
      </c>
      <c r="C1138" s="2">
        <v>25</v>
      </c>
      <c r="D1138" s="2">
        <v>556</v>
      </c>
      <c r="E1138" s="2">
        <v>121</v>
      </c>
      <c r="F1138" s="2">
        <v>32441</v>
      </c>
      <c r="G1138" s="2">
        <v>12.05519056</v>
      </c>
      <c r="H1138" s="3">
        <v>3.8199999999999997E-18</v>
      </c>
      <c r="I1138" s="2" t="s">
        <v>7992</v>
      </c>
      <c r="J1138" s="2" t="s">
        <v>7993</v>
      </c>
      <c r="K1138" s="3">
        <v>2.05E-16</v>
      </c>
      <c r="L1138" s="2" t="s">
        <v>848</v>
      </c>
      <c r="M1138" s="4" t="s">
        <v>7994</v>
      </c>
    </row>
    <row r="1139" spans="1:13">
      <c r="A1139" s="2">
        <v>3858</v>
      </c>
      <c r="B1139" s="2" t="s">
        <v>7995</v>
      </c>
      <c r="C1139" s="2">
        <v>45</v>
      </c>
      <c r="D1139" s="2">
        <v>556</v>
      </c>
      <c r="E1139" s="2">
        <v>509</v>
      </c>
      <c r="F1139" s="2">
        <v>32441</v>
      </c>
      <c r="G1139" s="2">
        <v>5.1583899869999996</v>
      </c>
      <c r="H1139" s="3">
        <v>3.9799999999999996E-18</v>
      </c>
      <c r="I1139" s="2" t="s">
        <v>7996</v>
      </c>
      <c r="J1139" s="2" t="s">
        <v>7997</v>
      </c>
      <c r="K1139" s="3">
        <v>2.1199999999999999E-16</v>
      </c>
      <c r="L1139" s="2" t="s">
        <v>848</v>
      </c>
      <c r="M1139" s="4" t="s">
        <v>7998</v>
      </c>
    </row>
    <row r="1140" spans="1:13">
      <c r="A1140" s="2">
        <v>39081</v>
      </c>
      <c r="B1140" s="2" t="s">
        <v>7999</v>
      </c>
      <c r="C1140" s="2">
        <v>23</v>
      </c>
      <c r="D1140" s="2">
        <v>556</v>
      </c>
      <c r="E1140" s="2">
        <v>98</v>
      </c>
      <c r="F1140" s="2">
        <v>32441</v>
      </c>
      <c r="G1140" s="2">
        <v>13.693712379999999</v>
      </c>
      <c r="H1140" s="3">
        <v>7.4400000000000005E-18</v>
      </c>
      <c r="I1140" s="2" t="s">
        <v>8000</v>
      </c>
      <c r="J1140" s="2" t="s">
        <v>8001</v>
      </c>
      <c r="K1140" s="3">
        <v>3.9299999999999998E-16</v>
      </c>
      <c r="L1140" s="2" t="s">
        <v>848</v>
      </c>
      <c r="M1140" s="4" t="s">
        <v>8002</v>
      </c>
    </row>
    <row r="1141" spans="1:13">
      <c r="A1141" s="2">
        <v>1578</v>
      </c>
      <c r="B1141" s="2" t="s">
        <v>8003</v>
      </c>
      <c r="C1141" s="2">
        <v>22</v>
      </c>
      <c r="D1141" s="2">
        <v>556</v>
      </c>
      <c r="E1141" s="2">
        <v>88</v>
      </c>
      <c r="F1141" s="2">
        <v>32441</v>
      </c>
      <c r="G1141" s="2">
        <v>14.586780579999999</v>
      </c>
      <c r="H1141" s="3">
        <v>1.2299999999999999E-17</v>
      </c>
      <c r="I1141" s="2" t="s">
        <v>8004</v>
      </c>
      <c r="J1141" s="2" t="s">
        <v>8005</v>
      </c>
      <c r="K1141" s="3">
        <v>6.4500000000000003E-16</v>
      </c>
      <c r="L1141" s="2" t="s">
        <v>848</v>
      </c>
      <c r="M1141" s="4" t="s">
        <v>8006</v>
      </c>
    </row>
    <row r="1142" spans="1:13">
      <c r="A1142" s="2">
        <v>2911</v>
      </c>
      <c r="B1142" s="2" t="s">
        <v>8007</v>
      </c>
      <c r="C1142" s="2">
        <v>23</v>
      </c>
      <c r="D1142" s="2">
        <v>556</v>
      </c>
      <c r="E1142" s="2">
        <v>101</v>
      </c>
      <c r="F1142" s="2">
        <v>32441</v>
      </c>
      <c r="G1142" s="2">
        <v>13.28696845</v>
      </c>
      <c r="H1142" s="3">
        <v>1.3200000000000001E-17</v>
      </c>
      <c r="I1142" s="2" t="s">
        <v>8008</v>
      </c>
      <c r="J1142" s="2" t="s">
        <v>8009</v>
      </c>
      <c r="K1142" s="3">
        <v>6.86E-16</v>
      </c>
      <c r="L1142" s="2" t="s">
        <v>848</v>
      </c>
      <c r="M1142" s="4" t="s">
        <v>8010</v>
      </c>
    </row>
    <row r="1143" spans="1:13">
      <c r="A1143" s="2">
        <v>2607</v>
      </c>
      <c r="B1143" s="2" t="s">
        <v>8011</v>
      </c>
      <c r="C1143" s="2">
        <v>32</v>
      </c>
      <c r="D1143" s="2">
        <v>556</v>
      </c>
      <c r="E1143" s="2">
        <v>246</v>
      </c>
      <c r="F1143" s="2">
        <v>32441</v>
      </c>
      <c r="G1143" s="2">
        <v>7.5898695680000001</v>
      </c>
      <c r="H1143" s="3">
        <v>1.53E-17</v>
      </c>
      <c r="I1143" s="2" t="s">
        <v>8012</v>
      </c>
      <c r="J1143" s="2" t="s">
        <v>8013</v>
      </c>
      <c r="K1143" s="3">
        <v>7.8500000000000004E-16</v>
      </c>
      <c r="L1143" s="2" t="s">
        <v>848</v>
      </c>
      <c r="M1143" s="4" t="s">
        <v>8014</v>
      </c>
    </row>
    <row r="1144" spans="1:13">
      <c r="A1144" s="2">
        <v>1225</v>
      </c>
      <c r="B1144" s="2" t="s">
        <v>8015</v>
      </c>
      <c r="C1144" s="2">
        <v>59</v>
      </c>
      <c r="D1144" s="2">
        <v>556</v>
      </c>
      <c r="E1144" s="2">
        <v>905</v>
      </c>
      <c r="F1144" s="2">
        <v>32441</v>
      </c>
      <c r="G1144" s="2">
        <v>3.8038455419999999</v>
      </c>
      <c r="H1144" s="3">
        <v>1.5700000000000001E-17</v>
      </c>
      <c r="I1144" s="3" t="s">
        <v>8016</v>
      </c>
      <c r="J1144" s="3" t="s">
        <v>8017</v>
      </c>
      <c r="K1144" s="3">
        <v>7.9899999999999997E-16</v>
      </c>
      <c r="L1144" s="2" t="s">
        <v>848</v>
      </c>
      <c r="M1144" s="4" t="s">
        <v>8018</v>
      </c>
    </row>
    <row r="1145" spans="1:13">
      <c r="A1145" s="2">
        <v>1445</v>
      </c>
      <c r="B1145" s="2" t="s">
        <v>8019</v>
      </c>
      <c r="C1145" s="2">
        <v>25</v>
      </c>
      <c r="D1145" s="2">
        <v>556</v>
      </c>
      <c r="E1145" s="2">
        <v>131</v>
      </c>
      <c r="F1145" s="2">
        <v>32441</v>
      </c>
      <c r="G1145" s="2">
        <v>11.134947</v>
      </c>
      <c r="H1145" s="3">
        <v>1.9799999999999999E-17</v>
      </c>
      <c r="I1145" s="2" t="s">
        <v>8020</v>
      </c>
      <c r="J1145" s="2" t="s">
        <v>8021</v>
      </c>
      <c r="K1145" s="3">
        <v>1.0000000000000001E-15</v>
      </c>
      <c r="L1145" s="2" t="s">
        <v>848</v>
      </c>
      <c r="M1145" s="4" t="s">
        <v>8022</v>
      </c>
    </row>
    <row r="1146" spans="1:13">
      <c r="A1146" s="2">
        <v>2514</v>
      </c>
      <c r="B1146" s="2" t="s">
        <v>8023</v>
      </c>
      <c r="C1146" s="2">
        <v>26</v>
      </c>
      <c r="D1146" s="2">
        <v>556</v>
      </c>
      <c r="E1146" s="2">
        <v>146</v>
      </c>
      <c r="F1146" s="2">
        <v>32441</v>
      </c>
      <c r="G1146" s="2">
        <v>10.39058342</v>
      </c>
      <c r="H1146" s="3">
        <v>2.0000000000000001E-17</v>
      </c>
      <c r="I1146" s="2" t="s">
        <v>8024</v>
      </c>
      <c r="J1146" s="2" t="s">
        <v>8025</v>
      </c>
      <c r="K1146" s="3">
        <v>1.01E-15</v>
      </c>
      <c r="L1146" s="2" t="s">
        <v>848</v>
      </c>
      <c r="M1146" s="4" t="s">
        <v>8026</v>
      </c>
    </row>
    <row r="1147" spans="1:13">
      <c r="A1147" s="2">
        <v>17601</v>
      </c>
      <c r="B1147" s="2" t="s">
        <v>8027</v>
      </c>
      <c r="C1147" s="2">
        <v>30</v>
      </c>
      <c r="D1147" s="2">
        <v>556</v>
      </c>
      <c r="E1147" s="2">
        <v>213</v>
      </c>
      <c r="F1147" s="2">
        <v>32441</v>
      </c>
      <c r="G1147" s="2">
        <v>8.2179045500000001</v>
      </c>
      <c r="H1147" s="3">
        <v>2.2400000000000001E-17</v>
      </c>
      <c r="I1147" s="2" t="s">
        <v>8028</v>
      </c>
      <c r="J1147" s="2" t="s">
        <v>8029</v>
      </c>
      <c r="K1147" s="3">
        <v>1.1100000000000001E-15</v>
      </c>
      <c r="L1147" s="2" t="s">
        <v>848</v>
      </c>
      <c r="M1147" s="4" t="s">
        <v>8030</v>
      </c>
    </row>
    <row r="1148" spans="1:13">
      <c r="A1148" s="2">
        <v>481</v>
      </c>
      <c r="B1148" s="2" t="s">
        <v>8031</v>
      </c>
      <c r="C1148" s="2">
        <v>27</v>
      </c>
      <c r="D1148" s="2">
        <v>556</v>
      </c>
      <c r="E1148" s="2">
        <v>163</v>
      </c>
      <c r="F1148" s="2">
        <v>32441</v>
      </c>
      <c r="G1148" s="2">
        <v>9.6648607490000007</v>
      </c>
      <c r="H1148" s="3">
        <v>2.44E-17</v>
      </c>
      <c r="I1148" s="2" t="s">
        <v>8032</v>
      </c>
      <c r="J1148" s="2" t="s">
        <v>8033</v>
      </c>
      <c r="K1148" s="3">
        <v>1.2E-15</v>
      </c>
      <c r="L1148" s="2" t="s">
        <v>848</v>
      </c>
      <c r="M1148" s="4" t="s">
        <v>8034</v>
      </c>
    </row>
    <row r="1149" spans="1:13">
      <c r="A1149" s="2">
        <v>252</v>
      </c>
      <c r="B1149" s="2" t="s">
        <v>8035</v>
      </c>
      <c r="C1149" s="2">
        <v>20</v>
      </c>
      <c r="D1149" s="2">
        <v>556</v>
      </c>
      <c r="E1149" s="2">
        <v>68</v>
      </c>
      <c r="F1149" s="2">
        <v>32441</v>
      </c>
      <c r="G1149" s="2">
        <v>17.16091832</v>
      </c>
      <c r="H1149" s="3">
        <v>2.5800000000000001E-17</v>
      </c>
      <c r="I1149" s="2" t="s">
        <v>8036</v>
      </c>
      <c r="J1149" s="2" t="s">
        <v>8037</v>
      </c>
      <c r="K1149" s="3">
        <v>1.26E-15</v>
      </c>
      <c r="L1149" s="2" t="s">
        <v>848</v>
      </c>
      <c r="M1149" s="4" t="s">
        <v>8038</v>
      </c>
    </row>
    <row r="1150" spans="1:13">
      <c r="A1150" s="2">
        <v>5751</v>
      </c>
      <c r="B1150" s="2" t="s">
        <v>8039</v>
      </c>
      <c r="C1150" s="2">
        <v>40</v>
      </c>
      <c r="D1150" s="2">
        <v>556</v>
      </c>
      <c r="E1150" s="2">
        <v>420</v>
      </c>
      <c r="F1150" s="2">
        <v>32441</v>
      </c>
      <c r="G1150" s="2">
        <v>5.5568687910000003</v>
      </c>
      <c r="H1150" s="3">
        <v>2.9600000000000003E-17</v>
      </c>
      <c r="I1150" s="2" t="s">
        <v>8040</v>
      </c>
      <c r="J1150" s="2" t="s">
        <v>8041</v>
      </c>
      <c r="K1150" s="3">
        <v>1.4399999999999999E-15</v>
      </c>
      <c r="L1150" s="2" t="s">
        <v>848</v>
      </c>
      <c r="M1150" s="4" t="s">
        <v>8042</v>
      </c>
    </row>
    <row r="1151" spans="1:13">
      <c r="A1151" s="2">
        <v>1236</v>
      </c>
      <c r="B1151" s="2" t="s">
        <v>8043</v>
      </c>
      <c r="C1151" s="2">
        <v>24</v>
      </c>
      <c r="D1151" s="2">
        <v>556</v>
      </c>
      <c r="E1151" s="2">
        <v>120</v>
      </c>
      <c r="F1151" s="2">
        <v>32441</v>
      </c>
      <c r="G1151" s="2">
        <v>11.66942446</v>
      </c>
      <c r="H1151" s="3">
        <v>3.4299999999999998E-17</v>
      </c>
      <c r="I1151" s="2" t="s">
        <v>8044</v>
      </c>
      <c r="J1151" s="2" t="s">
        <v>8045</v>
      </c>
      <c r="K1151" s="3">
        <v>1.65E-15</v>
      </c>
      <c r="L1151" s="2" t="s">
        <v>848</v>
      </c>
      <c r="M1151" s="4" t="s">
        <v>8046</v>
      </c>
    </row>
    <row r="1152" spans="1:13">
      <c r="A1152" s="2">
        <v>3352</v>
      </c>
      <c r="B1152" s="2" t="s">
        <v>8047</v>
      </c>
      <c r="C1152" s="2">
        <v>34</v>
      </c>
      <c r="D1152" s="2">
        <v>556</v>
      </c>
      <c r="E1152" s="2">
        <v>294</v>
      </c>
      <c r="F1152" s="2">
        <v>32441</v>
      </c>
      <c r="G1152" s="2">
        <v>6.7476263889999997</v>
      </c>
      <c r="H1152" s="3">
        <v>3.8099999999999999E-17</v>
      </c>
      <c r="I1152" s="2" t="s">
        <v>8048</v>
      </c>
      <c r="J1152" s="2" t="s">
        <v>8049</v>
      </c>
      <c r="K1152" s="3">
        <v>1.82E-15</v>
      </c>
      <c r="L1152" s="2" t="s">
        <v>848</v>
      </c>
      <c r="M1152" s="4" t="s">
        <v>8050</v>
      </c>
    </row>
    <row r="1153" spans="1:13">
      <c r="A1153" s="2">
        <v>2560</v>
      </c>
      <c r="B1153" s="2" t="s">
        <v>8051</v>
      </c>
      <c r="C1153" s="2">
        <v>20</v>
      </c>
      <c r="D1153" s="2">
        <v>556</v>
      </c>
      <c r="E1153" s="2">
        <v>70</v>
      </c>
      <c r="F1153" s="2">
        <v>32441</v>
      </c>
      <c r="G1153" s="2">
        <v>16.670606370000002</v>
      </c>
      <c r="H1153" s="3">
        <v>4.1500000000000003E-17</v>
      </c>
      <c r="I1153" s="2" t="s">
        <v>8052</v>
      </c>
      <c r="J1153" s="2" t="s">
        <v>8053</v>
      </c>
      <c r="K1153" s="3">
        <v>1.9599999999999999E-15</v>
      </c>
      <c r="L1153" s="2" t="s">
        <v>848</v>
      </c>
      <c r="M1153" s="4" t="s">
        <v>8054</v>
      </c>
    </row>
    <row r="1154" spans="1:13">
      <c r="A1154" s="2">
        <v>3586</v>
      </c>
      <c r="B1154" s="2" t="s">
        <v>8055</v>
      </c>
      <c r="C1154" s="2">
        <v>86</v>
      </c>
      <c r="D1154" s="2">
        <v>556</v>
      </c>
      <c r="E1154" s="2">
        <v>1804</v>
      </c>
      <c r="F1154" s="2">
        <v>32441</v>
      </c>
      <c r="G1154" s="2">
        <v>2.7815146999999998</v>
      </c>
      <c r="H1154" s="3">
        <v>4.3000000000000002E-17</v>
      </c>
      <c r="I1154" s="3" t="s">
        <v>8056</v>
      </c>
      <c r="J1154" s="3" t="s">
        <v>8057</v>
      </c>
      <c r="K1154" s="3">
        <v>2.0200000000000001E-15</v>
      </c>
      <c r="L1154" s="2" t="s">
        <v>848</v>
      </c>
      <c r="M1154" s="4" t="s">
        <v>8058</v>
      </c>
    </row>
    <row r="1155" spans="1:13">
      <c r="A1155" s="2">
        <v>4416</v>
      </c>
      <c r="B1155" s="2" t="s">
        <v>8059</v>
      </c>
      <c r="C1155" s="2">
        <v>21</v>
      </c>
      <c r="D1155" s="2">
        <v>556</v>
      </c>
      <c r="E1155" s="2">
        <v>85</v>
      </c>
      <c r="F1155" s="2">
        <v>32441</v>
      </c>
      <c r="G1155" s="2">
        <v>14.415171389999999</v>
      </c>
      <c r="H1155" s="3">
        <v>8.3300000000000005E-17</v>
      </c>
      <c r="I1155" s="2" t="s">
        <v>8060</v>
      </c>
      <c r="J1155" s="2" t="s">
        <v>8061</v>
      </c>
      <c r="K1155" s="3">
        <v>3.8799999999999999E-15</v>
      </c>
      <c r="L1155" s="2" t="s">
        <v>848</v>
      </c>
      <c r="M1155" s="4" t="s">
        <v>8062</v>
      </c>
    </row>
    <row r="1156" spans="1:13">
      <c r="A1156" s="2">
        <v>18581</v>
      </c>
      <c r="B1156" s="2" t="s">
        <v>8063</v>
      </c>
      <c r="C1156" s="2">
        <v>62</v>
      </c>
      <c r="D1156" s="2">
        <v>556</v>
      </c>
      <c r="E1156" s="2">
        <v>1036</v>
      </c>
      <c r="F1156" s="2">
        <v>32441</v>
      </c>
      <c r="G1156" s="2">
        <v>3.4918162000000001</v>
      </c>
      <c r="H1156" s="3">
        <v>1.04E-16</v>
      </c>
      <c r="I1156" s="3" t="s">
        <v>8064</v>
      </c>
      <c r="J1156" s="3" t="s">
        <v>8065</v>
      </c>
      <c r="K1156" s="3">
        <v>4.7900000000000001E-15</v>
      </c>
      <c r="L1156" s="2" t="s">
        <v>848</v>
      </c>
      <c r="M1156" s="4" t="s">
        <v>8066</v>
      </c>
    </row>
    <row r="1157" spans="1:13">
      <c r="A1157" s="2">
        <v>4280</v>
      </c>
      <c r="B1157" s="2" t="s">
        <v>8067</v>
      </c>
      <c r="C1157" s="2">
        <v>16</v>
      </c>
      <c r="D1157" s="2">
        <v>556</v>
      </c>
      <c r="E1157" s="2">
        <v>36</v>
      </c>
      <c r="F1157" s="2">
        <v>32441</v>
      </c>
      <c r="G1157" s="2">
        <v>25.932054359999999</v>
      </c>
      <c r="H1157" s="3">
        <v>2.02E-16</v>
      </c>
      <c r="I1157" s="2" t="s">
        <v>8068</v>
      </c>
      <c r="J1157" s="2" t="s">
        <v>8069</v>
      </c>
      <c r="K1157" s="3">
        <v>9.2699999999999996E-15</v>
      </c>
      <c r="L1157" s="2" t="s">
        <v>848</v>
      </c>
      <c r="M1157" s="4" t="s">
        <v>8070</v>
      </c>
    </row>
    <row r="1158" spans="1:13">
      <c r="A1158" s="2">
        <v>254</v>
      </c>
      <c r="B1158" s="2" t="s">
        <v>8071</v>
      </c>
      <c r="C1158" s="2">
        <v>26</v>
      </c>
      <c r="D1158" s="2">
        <v>556</v>
      </c>
      <c r="E1158" s="2">
        <v>163</v>
      </c>
      <c r="F1158" s="2">
        <v>32441</v>
      </c>
      <c r="G1158" s="2">
        <v>9.3069029440000008</v>
      </c>
      <c r="H1158" s="3">
        <v>2.1499999999999999E-16</v>
      </c>
      <c r="I1158" s="2" t="s">
        <v>8072</v>
      </c>
      <c r="J1158" s="2" t="s">
        <v>8073</v>
      </c>
      <c r="K1158" s="3">
        <v>9.7900000000000001E-15</v>
      </c>
      <c r="L1158" s="2" t="s">
        <v>848</v>
      </c>
      <c r="M1158" s="4" t="s">
        <v>8074</v>
      </c>
    </row>
    <row r="1159" spans="1:13">
      <c r="A1159" s="2">
        <v>1718</v>
      </c>
      <c r="B1159" s="2" t="s">
        <v>8075</v>
      </c>
      <c r="C1159" s="2">
        <v>24</v>
      </c>
      <c r="D1159" s="2">
        <v>556</v>
      </c>
      <c r="E1159" s="2">
        <v>132</v>
      </c>
      <c r="F1159" s="2">
        <v>32441</v>
      </c>
      <c r="G1159" s="2">
        <v>10.608567689999999</v>
      </c>
      <c r="H1159" s="3">
        <v>2.2900000000000002E-16</v>
      </c>
      <c r="I1159" s="2" t="s">
        <v>8076</v>
      </c>
      <c r="J1159" s="2" t="s">
        <v>8077</v>
      </c>
      <c r="K1159" s="3">
        <v>1.04E-14</v>
      </c>
      <c r="L1159" s="2" t="s">
        <v>848</v>
      </c>
      <c r="M1159" s="4" t="s">
        <v>8078</v>
      </c>
    </row>
    <row r="1160" spans="1:13">
      <c r="A1160" s="2">
        <v>35181</v>
      </c>
      <c r="B1160" s="2" t="s">
        <v>8079</v>
      </c>
      <c r="C1160" s="2">
        <v>52</v>
      </c>
      <c r="D1160" s="2">
        <v>556</v>
      </c>
      <c r="E1160" s="2">
        <v>771</v>
      </c>
      <c r="F1160" s="2">
        <v>32441</v>
      </c>
      <c r="G1160" s="2">
        <v>3.9352144739999999</v>
      </c>
      <c r="H1160" s="3">
        <v>3.9899999999999998E-16</v>
      </c>
      <c r="I1160" s="3" t="s">
        <v>8080</v>
      </c>
      <c r="J1160" s="3" t="s">
        <v>8081</v>
      </c>
      <c r="K1160" s="3">
        <v>1.7900000000000001E-14</v>
      </c>
      <c r="L1160" s="2" t="s">
        <v>848</v>
      </c>
      <c r="M1160" s="4" t="s">
        <v>8082</v>
      </c>
    </row>
    <row r="1161" spans="1:13">
      <c r="A1161" s="2">
        <v>2172</v>
      </c>
      <c r="B1161" s="2" t="s">
        <v>8083</v>
      </c>
      <c r="C1161" s="2">
        <v>75</v>
      </c>
      <c r="D1161" s="2">
        <v>556</v>
      </c>
      <c r="E1161" s="2">
        <v>1492</v>
      </c>
      <c r="F1161" s="2">
        <v>32441</v>
      </c>
      <c r="G1161" s="2">
        <v>2.9329987750000002</v>
      </c>
      <c r="H1161" s="3">
        <v>4.0700000000000001E-16</v>
      </c>
      <c r="I1161" s="3" t="s">
        <v>8084</v>
      </c>
      <c r="J1161" s="3" t="s">
        <v>8085</v>
      </c>
      <c r="K1161" s="3">
        <v>1.81E-14</v>
      </c>
      <c r="L1161" s="2" t="s">
        <v>848</v>
      </c>
      <c r="M1161" s="4" t="s">
        <v>8086</v>
      </c>
    </row>
    <row r="1162" spans="1:13">
      <c r="A1162" s="2">
        <v>4993</v>
      </c>
      <c r="B1162" s="2" t="s">
        <v>8087</v>
      </c>
      <c r="C1162" s="2">
        <v>42</v>
      </c>
      <c r="D1162" s="2">
        <v>556</v>
      </c>
      <c r="E1162" s="2">
        <v>510</v>
      </c>
      <c r="F1162" s="2">
        <v>32441</v>
      </c>
      <c r="G1162" s="2">
        <v>4.8050571309999999</v>
      </c>
      <c r="H1162" s="3">
        <v>5.4900000000000005E-16</v>
      </c>
      <c r="I1162" s="2" t="s">
        <v>8088</v>
      </c>
      <c r="J1162" s="2" t="s">
        <v>8089</v>
      </c>
      <c r="K1162" s="3">
        <v>2.42E-14</v>
      </c>
      <c r="L1162" s="2" t="s">
        <v>848</v>
      </c>
      <c r="M1162" s="4" t="s">
        <v>8090</v>
      </c>
    </row>
    <row r="1163" spans="1:13">
      <c r="A1163" s="2">
        <v>16661</v>
      </c>
      <c r="B1163" s="2" t="s">
        <v>8091</v>
      </c>
      <c r="C1163" s="2">
        <v>22</v>
      </c>
      <c r="D1163" s="2">
        <v>556</v>
      </c>
      <c r="E1163" s="2">
        <v>109</v>
      </c>
      <c r="F1163" s="2">
        <v>32441</v>
      </c>
      <c r="G1163" s="2">
        <v>11.7764834</v>
      </c>
      <c r="H1163" s="3">
        <v>6.0800000000000002E-16</v>
      </c>
      <c r="I1163" s="2" t="s">
        <v>8092</v>
      </c>
      <c r="J1163" s="2" t="s">
        <v>8093</v>
      </c>
      <c r="K1163" s="3">
        <v>2.6699999999999999E-14</v>
      </c>
      <c r="L1163" s="2" t="s">
        <v>848</v>
      </c>
      <c r="M1163" s="4" t="s">
        <v>8094</v>
      </c>
    </row>
    <row r="1164" spans="1:13">
      <c r="A1164" s="2">
        <v>1035</v>
      </c>
      <c r="B1164" s="2" t="s">
        <v>8095</v>
      </c>
      <c r="C1164" s="2">
        <v>27</v>
      </c>
      <c r="D1164" s="2">
        <v>556</v>
      </c>
      <c r="E1164" s="2">
        <v>189</v>
      </c>
      <c r="F1164" s="2">
        <v>32441</v>
      </c>
      <c r="G1164" s="2">
        <v>8.3353031860000009</v>
      </c>
      <c r="H1164" s="3">
        <v>6.6099999999999999E-16</v>
      </c>
      <c r="I1164" s="2" t="s">
        <v>8096</v>
      </c>
      <c r="J1164" s="2" t="s">
        <v>8097</v>
      </c>
      <c r="K1164" s="3">
        <v>2.8800000000000001E-14</v>
      </c>
      <c r="L1164" s="2" t="s">
        <v>848</v>
      </c>
      <c r="M1164" s="4" t="s">
        <v>8098</v>
      </c>
    </row>
    <row r="1165" spans="1:13">
      <c r="A1165" s="2">
        <v>888</v>
      </c>
      <c r="B1165" s="2" t="s">
        <v>8099</v>
      </c>
      <c r="C1165" s="2">
        <v>26</v>
      </c>
      <c r="D1165" s="2">
        <v>556</v>
      </c>
      <c r="E1165" s="2">
        <v>177</v>
      </c>
      <c r="F1165" s="2">
        <v>32441</v>
      </c>
      <c r="G1165" s="2">
        <v>8.5707637279999993</v>
      </c>
      <c r="H1165" s="3">
        <v>1.26E-15</v>
      </c>
      <c r="I1165" s="2" t="s">
        <v>8100</v>
      </c>
      <c r="J1165" s="2" t="s">
        <v>8101</v>
      </c>
      <c r="K1165" s="3">
        <v>5.4500000000000001E-14</v>
      </c>
      <c r="L1165" s="2" t="s">
        <v>848</v>
      </c>
      <c r="M1165" s="4" t="s">
        <v>8102</v>
      </c>
    </row>
    <row r="1166" spans="1:13">
      <c r="A1166" s="2">
        <v>2589</v>
      </c>
      <c r="B1166" s="2" t="s">
        <v>8103</v>
      </c>
      <c r="C1166" s="2">
        <v>74</v>
      </c>
      <c r="D1166" s="2">
        <v>556</v>
      </c>
      <c r="E1166" s="2">
        <v>1492</v>
      </c>
      <c r="F1166" s="2">
        <v>32441</v>
      </c>
      <c r="G1166" s="2">
        <v>2.8938921249999998</v>
      </c>
      <c r="H1166" s="3">
        <v>1.2800000000000001E-15</v>
      </c>
      <c r="I1166" s="3" t="s">
        <v>8104</v>
      </c>
      <c r="J1166" s="3" t="s">
        <v>8105</v>
      </c>
      <c r="K1166" s="3">
        <v>5.4799999999999997E-14</v>
      </c>
      <c r="L1166" s="2" t="s">
        <v>848</v>
      </c>
      <c r="M1166" s="4" t="s">
        <v>8106</v>
      </c>
    </row>
    <row r="1167" spans="1:13">
      <c r="A1167" s="2">
        <v>3138</v>
      </c>
      <c r="B1167" s="2" t="s">
        <v>8107</v>
      </c>
      <c r="C1167" s="2">
        <v>73</v>
      </c>
      <c r="D1167" s="2">
        <v>556</v>
      </c>
      <c r="E1167" s="2">
        <v>1472</v>
      </c>
      <c r="F1167" s="2">
        <v>32441</v>
      </c>
      <c r="G1167" s="2">
        <v>2.8935733209999999</v>
      </c>
      <c r="H1167" s="3">
        <v>2.0500000000000002E-15</v>
      </c>
      <c r="I1167" s="3" t="s">
        <v>8108</v>
      </c>
      <c r="J1167" s="3" t="s">
        <v>8109</v>
      </c>
      <c r="K1167" s="3">
        <v>8.7300000000000004E-14</v>
      </c>
      <c r="L1167" s="2" t="s">
        <v>848</v>
      </c>
      <c r="M1167" s="4" t="s">
        <v>8110</v>
      </c>
    </row>
    <row r="1168" spans="1:13">
      <c r="A1168" s="2">
        <v>27611</v>
      </c>
      <c r="B1168" s="2" t="s">
        <v>8111</v>
      </c>
      <c r="C1168" s="2">
        <v>17</v>
      </c>
      <c r="D1168" s="2">
        <v>556</v>
      </c>
      <c r="E1168" s="2">
        <v>54</v>
      </c>
      <c r="F1168" s="2">
        <v>32441</v>
      </c>
      <c r="G1168" s="2">
        <v>18.3685385</v>
      </c>
      <c r="H1168" s="3">
        <v>2.5E-15</v>
      </c>
      <c r="I1168" s="2" t="s">
        <v>8112</v>
      </c>
      <c r="J1168" s="2" t="s">
        <v>8113</v>
      </c>
      <c r="K1168" s="3">
        <v>1.06E-13</v>
      </c>
      <c r="L1168" s="2" t="s">
        <v>848</v>
      </c>
      <c r="M1168" s="4" t="s">
        <v>8114</v>
      </c>
    </row>
    <row r="1169" spans="1:13">
      <c r="A1169" s="2">
        <v>4061</v>
      </c>
      <c r="B1169" s="2" t="s">
        <v>8115</v>
      </c>
      <c r="C1169" s="2">
        <v>77</v>
      </c>
      <c r="D1169" s="2">
        <v>556</v>
      </c>
      <c r="E1169" s="2">
        <v>1618</v>
      </c>
      <c r="F1169" s="2">
        <v>32441</v>
      </c>
      <c r="G1169" s="2">
        <v>2.776717192</v>
      </c>
      <c r="H1169" s="3">
        <v>2.6099999999999998E-15</v>
      </c>
      <c r="I1169" s="3" t="s">
        <v>8116</v>
      </c>
      <c r="J1169" s="3" t="s">
        <v>8117</v>
      </c>
      <c r="K1169" s="3">
        <v>1.09E-13</v>
      </c>
      <c r="L1169" s="2" t="s">
        <v>848</v>
      </c>
      <c r="M1169" s="4" t="s">
        <v>8118</v>
      </c>
    </row>
    <row r="1170" spans="1:13">
      <c r="A1170" s="2">
        <v>2011</v>
      </c>
      <c r="B1170" s="2" t="s">
        <v>8119</v>
      </c>
      <c r="C1170" s="2">
        <v>37</v>
      </c>
      <c r="D1170" s="2">
        <v>556</v>
      </c>
      <c r="E1170" s="2">
        <v>413</v>
      </c>
      <c r="F1170" s="2">
        <v>32441</v>
      </c>
      <c r="G1170" s="2">
        <v>5.2272240319999996</v>
      </c>
      <c r="H1170" s="3">
        <v>2.8099999999999999E-15</v>
      </c>
      <c r="I1170" s="2" t="s">
        <v>8120</v>
      </c>
      <c r="J1170" s="2" t="s">
        <v>8121</v>
      </c>
      <c r="K1170" s="3">
        <v>1.1700000000000001E-13</v>
      </c>
      <c r="L1170" s="2" t="s">
        <v>848</v>
      </c>
      <c r="M1170" s="4" t="s">
        <v>8122</v>
      </c>
    </row>
    <row r="1171" spans="1:13">
      <c r="A1171" s="2">
        <v>4414</v>
      </c>
      <c r="B1171" s="2" t="s">
        <v>8123</v>
      </c>
      <c r="C1171" s="2">
        <v>46</v>
      </c>
      <c r="D1171" s="2">
        <v>556</v>
      </c>
      <c r="E1171" s="2">
        <v>643</v>
      </c>
      <c r="F1171" s="2">
        <v>32441</v>
      </c>
      <c r="G1171" s="2">
        <v>4.1741331659999998</v>
      </c>
      <c r="H1171" s="3">
        <v>2.91E-15</v>
      </c>
      <c r="I1171" s="2" t="s">
        <v>8124</v>
      </c>
      <c r="J1171" s="2" t="s">
        <v>8125</v>
      </c>
      <c r="K1171" s="3">
        <v>1.1999999999999999E-13</v>
      </c>
      <c r="L1171" s="2" t="s">
        <v>848</v>
      </c>
      <c r="M1171" s="4" t="s">
        <v>8126</v>
      </c>
    </row>
    <row r="1172" spans="1:13">
      <c r="A1172" s="2">
        <v>5631</v>
      </c>
      <c r="B1172" s="2" t="s">
        <v>8127</v>
      </c>
      <c r="C1172" s="2">
        <v>16</v>
      </c>
      <c r="D1172" s="2">
        <v>556</v>
      </c>
      <c r="E1172" s="2">
        <v>45</v>
      </c>
      <c r="F1172" s="2">
        <v>32441</v>
      </c>
      <c r="G1172" s="2">
        <v>20.745643489999999</v>
      </c>
      <c r="H1172" s="3">
        <v>3.4399999999999999E-15</v>
      </c>
      <c r="I1172" s="2" t="s">
        <v>8128</v>
      </c>
      <c r="J1172" s="2" t="s">
        <v>8129</v>
      </c>
      <c r="K1172" s="3">
        <v>1.4100000000000001E-13</v>
      </c>
      <c r="L1172" s="2" t="s">
        <v>848</v>
      </c>
      <c r="M1172" s="4" t="s">
        <v>8130</v>
      </c>
    </row>
    <row r="1173" spans="1:13">
      <c r="A1173" s="2">
        <v>34971</v>
      </c>
      <c r="B1173" s="2" t="s">
        <v>8131</v>
      </c>
      <c r="C1173" s="2">
        <v>28</v>
      </c>
      <c r="D1173" s="2">
        <v>556</v>
      </c>
      <c r="E1173" s="2">
        <v>223</v>
      </c>
      <c r="F1173" s="2">
        <v>32441</v>
      </c>
      <c r="G1173" s="2">
        <v>7.3260960739999996</v>
      </c>
      <c r="H1173" s="3">
        <v>3.6799999999999998E-15</v>
      </c>
      <c r="I1173" s="2" t="s">
        <v>8132</v>
      </c>
      <c r="J1173" s="2" t="s">
        <v>8133</v>
      </c>
      <c r="K1173" s="3">
        <v>1.4999999999999999E-13</v>
      </c>
      <c r="L1173" s="2" t="s">
        <v>848</v>
      </c>
      <c r="M1173" s="4" t="s">
        <v>8134</v>
      </c>
    </row>
    <row r="1174" spans="1:13">
      <c r="A1174" s="2">
        <v>650</v>
      </c>
      <c r="B1174" s="2" t="s">
        <v>8135</v>
      </c>
      <c r="C1174" s="2">
        <v>58</v>
      </c>
      <c r="D1174" s="2">
        <v>556</v>
      </c>
      <c r="E1174" s="2">
        <v>1001</v>
      </c>
      <c r="F1174" s="2">
        <v>32441</v>
      </c>
      <c r="G1174" s="2">
        <v>3.380752341</v>
      </c>
      <c r="H1174" s="3">
        <v>4.1400000000000002E-15</v>
      </c>
      <c r="I1174" s="3" t="s">
        <v>8136</v>
      </c>
      <c r="J1174" s="3" t="s">
        <v>8137</v>
      </c>
      <c r="K1174" s="3">
        <v>1.6799999999999999E-13</v>
      </c>
      <c r="L1174" s="2" t="s">
        <v>848</v>
      </c>
      <c r="M1174" s="4" t="s">
        <v>8138</v>
      </c>
    </row>
    <row r="1175" spans="1:13">
      <c r="A1175" s="2">
        <v>2618</v>
      </c>
      <c r="B1175" s="2" t="s">
        <v>8139</v>
      </c>
      <c r="C1175" s="2">
        <v>19</v>
      </c>
      <c r="D1175" s="2">
        <v>556</v>
      </c>
      <c r="E1175" s="2">
        <v>80</v>
      </c>
      <c r="F1175" s="2">
        <v>32441</v>
      </c>
      <c r="G1175" s="2">
        <v>13.857441550000001</v>
      </c>
      <c r="H1175" s="3">
        <v>4.59E-15</v>
      </c>
      <c r="I1175" s="2" t="s">
        <v>8140</v>
      </c>
      <c r="J1175" s="2" t="s">
        <v>8141</v>
      </c>
      <c r="K1175" s="3">
        <v>1.8499999999999999E-13</v>
      </c>
      <c r="L1175" s="2" t="s">
        <v>848</v>
      </c>
      <c r="M1175" s="4" t="s">
        <v>8142</v>
      </c>
    </row>
    <row r="1176" spans="1:13">
      <c r="A1176" s="2">
        <v>3909</v>
      </c>
      <c r="B1176" s="2" t="s">
        <v>8143</v>
      </c>
      <c r="C1176" s="2">
        <v>19</v>
      </c>
      <c r="D1176" s="2">
        <v>556</v>
      </c>
      <c r="E1176" s="2">
        <v>81</v>
      </c>
      <c r="F1176" s="2">
        <v>32441</v>
      </c>
      <c r="G1176" s="2">
        <v>13.686362020000001</v>
      </c>
      <c r="H1176" s="3">
        <v>5.5700000000000002E-15</v>
      </c>
      <c r="I1176" s="2" t="s">
        <v>8144</v>
      </c>
      <c r="J1176" s="2" t="s">
        <v>8145</v>
      </c>
      <c r="K1176" s="3">
        <v>2.2300000000000001E-13</v>
      </c>
      <c r="L1176" s="2" t="s">
        <v>848</v>
      </c>
      <c r="M1176" s="4" t="s">
        <v>8146</v>
      </c>
    </row>
    <row r="1177" spans="1:13">
      <c r="A1177" s="2">
        <v>1839</v>
      </c>
      <c r="B1177" s="2" t="s">
        <v>8147</v>
      </c>
      <c r="C1177" s="2">
        <v>18</v>
      </c>
      <c r="D1177" s="2">
        <v>556</v>
      </c>
      <c r="E1177" s="2">
        <v>69</v>
      </c>
      <c r="F1177" s="2">
        <v>32441</v>
      </c>
      <c r="G1177" s="2">
        <v>15.22098843</v>
      </c>
      <c r="H1177" s="3">
        <v>5.9899999999999999E-15</v>
      </c>
      <c r="I1177" s="2" t="s">
        <v>8148</v>
      </c>
      <c r="J1177" s="2" t="s">
        <v>8149</v>
      </c>
      <c r="K1177" s="3">
        <v>2.38E-13</v>
      </c>
      <c r="L1177" s="2" t="s">
        <v>848</v>
      </c>
      <c r="M1177" s="4" t="s">
        <v>8150</v>
      </c>
    </row>
    <row r="1178" spans="1:13">
      <c r="A1178" s="2">
        <v>2561</v>
      </c>
      <c r="B1178" s="2" t="s">
        <v>8151</v>
      </c>
      <c r="C1178" s="2">
        <v>20</v>
      </c>
      <c r="D1178" s="2">
        <v>556</v>
      </c>
      <c r="E1178" s="2">
        <v>96</v>
      </c>
      <c r="F1178" s="2">
        <v>32441</v>
      </c>
      <c r="G1178" s="2">
        <v>12.15565048</v>
      </c>
      <c r="H1178" s="3">
        <v>7.6299999999999997E-15</v>
      </c>
      <c r="I1178" s="2" t="s">
        <v>8152</v>
      </c>
      <c r="J1178" s="2" t="s">
        <v>8153</v>
      </c>
      <c r="K1178" s="3">
        <v>2.9899999999999999E-13</v>
      </c>
      <c r="L1178" s="2" t="s">
        <v>848</v>
      </c>
      <c r="M1178" s="4" t="s">
        <v>8154</v>
      </c>
    </row>
    <row r="1179" spans="1:13">
      <c r="A1179" s="2">
        <v>29521</v>
      </c>
      <c r="B1179" s="2" t="s">
        <v>8155</v>
      </c>
      <c r="C1179" s="2">
        <v>20</v>
      </c>
      <c r="D1179" s="2">
        <v>556</v>
      </c>
      <c r="E1179" s="2">
        <v>96</v>
      </c>
      <c r="F1179" s="2">
        <v>32441</v>
      </c>
      <c r="G1179" s="2">
        <v>12.15565048</v>
      </c>
      <c r="H1179" s="3">
        <v>7.6299999999999997E-15</v>
      </c>
      <c r="I1179" s="2" t="s">
        <v>8156</v>
      </c>
      <c r="J1179" s="2" t="s">
        <v>8157</v>
      </c>
      <c r="K1179" s="3">
        <v>2.9899999999999999E-13</v>
      </c>
      <c r="L1179" s="2" t="s">
        <v>848</v>
      </c>
      <c r="M1179" s="4" t="s">
        <v>8158</v>
      </c>
    </row>
    <row r="1180" spans="1:13">
      <c r="A1180" s="2">
        <v>4900</v>
      </c>
      <c r="B1180" s="2" t="s">
        <v>8159</v>
      </c>
      <c r="C1180" s="2">
        <v>12</v>
      </c>
      <c r="D1180" s="2">
        <v>556</v>
      </c>
      <c r="E1180" s="2">
        <v>16</v>
      </c>
      <c r="F1180" s="2">
        <v>32441</v>
      </c>
      <c r="G1180" s="2">
        <v>43.76034173</v>
      </c>
      <c r="H1180" s="3">
        <v>1.11E-14</v>
      </c>
      <c r="I1180" s="2" t="s">
        <v>8160</v>
      </c>
      <c r="J1180" s="2" t="s">
        <v>8161</v>
      </c>
      <c r="K1180" s="3">
        <v>4.3199999999999998E-13</v>
      </c>
      <c r="L1180" s="2" t="s">
        <v>848</v>
      </c>
      <c r="M1180" s="4" t="s">
        <v>8162</v>
      </c>
    </row>
    <row r="1181" spans="1:13">
      <c r="A1181" s="2">
        <v>1703</v>
      </c>
      <c r="B1181" s="2" t="s">
        <v>8163</v>
      </c>
      <c r="C1181" s="2">
        <v>18</v>
      </c>
      <c r="D1181" s="2">
        <v>556</v>
      </c>
      <c r="E1181" s="2">
        <v>72</v>
      </c>
      <c r="F1181" s="2">
        <v>32441</v>
      </c>
      <c r="G1181" s="2">
        <v>14.586780579999999</v>
      </c>
      <c r="H1181" s="3">
        <v>1.13E-14</v>
      </c>
      <c r="I1181" s="2" t="s">
        <v>8164</v>
      </c>
      <c r="J1181" s="2" t="s">
        <v>8165</v>
      </c>
      <c r="K1181" s="3">
        <v>4.3600000000000001E-13</v>
      </c>
      <c r="L1181" s="2" t="s">
        <v>848</v>
      </c>
      <c r="M1181" s="4" t="s">
        <v>8166</v>
      </c>
    </row>
    <row r="1182" spans="1:13">
      <c r="A1182" s="2">
        <v>203</v>
      </c>
      <c r="B1182" s="2" t="s">
        <v>8167</v>
      </c>
      <c r="C1182" s="2">
        <v>18</v>
      </c>
      <c r="D1182" s="2">
        <v>556</v>
      </c>
      <c r="E1182" s="2">
        <v>73</v>
      </c>
      <c r="F1182" s="2">
        <v>32441</v>
      </c>
      <c r="G1182" s="2">
        <v>14.386961660000001</v>
      </c>
      <c r="H1182" s="3">
        <v>1.38E-14</v>
      </c>
      <c r="I1182" s="2" t="s">
        <v>8168</v>
      </c>
      <c r="J1182" s="2" t="s">
        <v>8169</v>
      </c>
      <c r="K1182" s="3">
        <v>5.2799999999999997E-13</v>
      </c>
      <c r="L1182" s="2" t="s">
        <v>848</v>
      </c>
      <c r="M1182" s="4" t="s">
        <v>8170</v>
      </c>
    </row>
    <row r="1183" spans="1:13">
      <c r="A1183" s="2">
        <v>5747</v>
      </c>
      <c r="B1183" s="2" t="s">
        <v>8171</v>
      </c>
      <c r="C1183" s="2">
        <v>21</v>
      </c>
      <c r="D1183" s="2">
        <v>556</v>
      </c>
      <c r="E1183" s="2">
        <v>114</v>
      </c>
      <c r="F1183" s="2">
        <v>32441</v>
      </c>
      <c r="G1183" s="2">
        <v>10.74815411</v>
      </c>
      <c r="H1183" s="3">
        <v>1.38E-14</v>
      </c>
      <c r="I1183" s="2" t="s">
        <v>8172</v>
      </c>
      <c r="J1183" s="2" t="s">
        <v>8173</v>
      </c>
      <c r="K1183" s="3">
        <v>5.2799999999999997E-13</v>
      </c>
      <c r="L1183" s="2" t="s">
        <v>848</v>
      </c>
      <c r="M1183" s="4" t="s">
        <v>8174</v>
      </c>
    </row>
    <row r="1184" spans="1:13">
      <c r="A1184" s="2">
        <v>3185</v>
      </c>
      <c r="B1184" s="2" t="s">
        <v>8175</v>
      </c>
      <c r="C1184" s="2">
        <v>25</v>
      </c>
      <c r="D1184" s="2">
        <v>556</v>
      </c>
      <c r="E1184" s="2">
        <v>180</v>
      </c>
      <c r="F1184" s="2">
        <v>32441</v>
      </c>
      <c r="G1184" s="2">
        <v>8.1037669860000001</v>
      </c>
      <c r="H1184" s="3">
        <v>1.42E-14</v>
      </c>
      <c r="I1184" s="2" t="s">
        <v>8176</v>
      </c>
      <c r="J1184" s="2" t="s">
        <v>8177</v>
      </c>
      <c r="K1184" s="3">
        <v>5.3700000000000003E-13</v>
      </c>
      <c r="L1184" s="2" t="s">
        <v>848</v>
      </c>
      <c r="M1184" s="4" t="s">
        <v>8178</v>
      </c>
    </row>
    <row r="1185" spans="1:13">
      <c r="A1185" s="2">
        <v>16751</v>
      </c>
      <c r="B1185" s="2" t="s">
        <v>8179</v>
      </c>
      <c r="C1185" s="2">
        <v>23</v>
      </c>
      <c r="D1185" s="2">
        <v>556</v>
      </c>
      <c r="E1185" s="2">
        <v>147</v>
      </c>
      <c r="F1185" s="2">
        <v>32441</v>
      </c>
      <c r="G1185" s="2">
        <v>9.1291415849999993</v>
      </c>
      <c r="H1185" s="3">
        <v>1.6899999999999999E-14</v>
      </c>
      <c r="I1185" s="2" t="s">
        <v>8180</v>
      </c>
      <c r="J1185" s="2" t="s">
        <v>8181</v>
      </c>
      <c r="K1185" s="3">
        <v>6.39E-13</v>
      </c>
      <c r="L1185" s="2" t="s">
        <v>848</v>
      </c>
      <c r="M1185" s="4" t="s">
        <v>8182</v>
      </c>
    </row>
    <row r="1186" spans="1:13">
      <c r="A1186" s="2">
        <v>4352</v>
      </c>
      <c r="B1186" s="2" t="s">
        <v>8183</v>
      </c>
      <c r="C1186" s="2">
        <v>16</v>
      </c>
      <c r="D1186" s="2">
        <v>556</v>
      </c>
      <c r="E1186" s="2">
        <v>51</v>
      </c>
      <c r="F1186" s="2">
        <v>32441</v>
      </c>
      <c r="G1186" s="2">
        <v>18.304979549999999</v>
      </c>
      <c r="H1186" s="3">
        <v>1.74E-14</v>
      </c>
      <c r="I1186" s="2" t="s">
        <v>8184</v>
      </c>
      <c r="J1186" s="2" t="s">
        <v>8185</v>
      </c>
      <c r="K1186" s="3">
        <v>6.4599999999999997E-13</v>
      </c>
      <c r="L1186" s="2" t="s">
        <v>848</v>
      </c>
      <c r="M1186" s="4" t="s">
        <v>8186</v>
      </c>
    </row>
    <row r="1187" spans="1:13">
      <c r="A1187" s="2">
        <v>43531</v>
      </c>
      <c r="B1187" s="2" t="s">
        <v>8187</v>
      </c>
      <c r="C1187" s="2">
        <v>16</v>
      </c>
      <c r="D1187" s="2">
        <v>556</v>
      </c>
      <c r="E1187" s="2">
        <v>51</v>
      </c>
      <c r="F1187" s="2">
        <v>32441</v>
      </c>
      <c r="G1187" s="2">
        <v>18.304979549999999</v>
      </c>
      <c r="H1187" s="3">
        <v>1.74E-14</v>
      </c>
      <c r="I1187" s="2" t="s">
        <v>8188</v>
      </c>
      <c r="J1187" s="2" t="s">
        <v>8189</v>
      </c>
      <c r="K1187" s="3">
        <v>6.4599999999999997E-13</v>
      </c>
      <c r="L1187" s="2" t="s">
        <v>848</v>
      </c>
      <c r="M1187" s="4" t="s">
        <v>8190</v>
      </c>
    </row>
    <row r="1188" spans="1:13">
      <c r="A1188" s="2">
        <v>748</v>
      </c>
      <c r="B1188" s="2" t="s">
        <v>8191</v>
      </c>
      <c r="C1188" s="2">
        <v>67</v>
      </c>
      <c r="D1188" s="2">
        <v>556</v>
      </c>
      <c r="E1188" s="2">
        <v>1337</v>
      </c>
      <c r="F1188" s="2">
        <v>32441</v>
      </c>
      <c r="G1188" s="2">
        <v>2.9239021649999999</v>
      </c>
      <c r="H1188" s="3">
        <v>2.08E-14</v>
      </c>
      <c r="I1188" s="3" t="s">
        <v>8192</v>
      </c>
      <c r="J1188" s="3" t="s">
        <v>8193</v>
      </c>
      <c r="K1188" s="3">
        <v>7.6799999999999996E-13</v>
      </c>
      <c r="L1188" s="2" t="s">
        <v>848</v>
      </c>
      <c r="M1188" s="4" t="s">
        <v>8194</v>
      </c>
    </row>
    <row r="1189" spans="1:13">
      <c r="A1189" s="2">
        <v>4050</v>
      </c>
      <c r="B1189" s="2" t="s">
        <v>8195</v>
      </c>
      <c r="C1189" s="2">
        <v>17</v>
      </c>
      <c r="D1189" s="2">
        <v>556</v>
      </c>
      <c r="E1189" s="2">
        <v>63</v>
      </c>
      <c r="F1189" s="2">
        <v>32441</v>
      </c>
      <c r="G1189" s="2">
        <v>15.74446157</v>
      </c>
      <c r="H1189" s="3">
        <v>2.1300000000000001E-14</v>
      </c>
      <c r="I1189" s="2" t="s">
        <v>8196</v>
      </c>
      <c r="J1189" s="2" t="s">
        <v>8197</v>
      </c>
      <c r="K1189" s="3">
        <v>7.82E-13</v>
      </c>
      <c r="L1189" s="2" t="s">
        <v>848</v>
      </c>
      <c r="M1189" s="4" t="s">
        <v>8198</v>
      </c>
    </row>
    <row r="1190" spans="1:13">
      <c r="A1190" s="2">
        <v>2581</v>
      </c>
      <c r="B1190" s="2" t="s">
        <v>8199</v>
      </c>
      <c r="C1190" s="2">
        <v>53</v>
      </c>
      <c r="D1190" s="2">
        <v>556</v>
      </c>
      <c r="E1190" s="2">
        <v>888</v>
      </c>
      <c r="F1190" s="2">
        <v>32441</v>
      </c>
      <c r="G1190" s="2">
        <v>3.4824295969999999</v>
      </c>
      <c r="H1190" s="3">
        <v>2.2499999999999999E-14</v>
      </c>
      <c r="I1190" s="3" t="s">
        <v>8200</v>
      </c>
      <c r="J1190" s="3" t="s">
        <v>8201</v>
      </c>
      <c r="K1190" s="3">
        <v>8.2200000000000003E-13</v>
      </c>
      <c r="L1190" s="2" t="s">
        <v>848</v>
      </c>
      <c r="M1190" s="4" t="s">
        <v>8202</v>
      </c>
    </row>
    <row r="1191" spans="1:13">
      <c r="A1191" s="2">
        <v>4796</v>
      </c>
      <c r="B1191" s="2" t="s">
        <v>1110</v>
      </c>
      <c r="C1191" s="2">
        <v>57</v>
      </c>
      <c r="D1191" s="2">
        <v>556</v>
      </c>
      <c r="E1191" s="2">
        <v>1020</v>
      </c>
      <c r="F1191" s="2">
        <v>32441</v>
      </c>
      <c r="G1191" s="2">
        <v>3.260574482</v>
      </c>
      <c r="H1191" s="3">
        <v>3.1E-14</v>
      </c>
      <c r="I1191" s="3" t="s">
        <v>8203</v>
      </c>
      <c r="J1191" s="3" t="s">
        <v>8204</v>
      </c>
      <c r="K1191" s="3">
        <v>1.1200000000000001E-12</v>
      </c>
      <c r="L1191" s="2" t="s">
        <v>848</v>
      </c>
      <c r="M1191" s="4" t="s">
        <v>8205</v>
      </c>
    </row>
    <row r="1192" spans="1:13">
      <c r="A1192" s="2">
        <v>3820</v>
      </c>
      <c r="B1192" s="2" t="s">
        <v>8206</v>
      </c>
      <c r="C1192" s="2">
        <v>21</v>
      </c>
      <c r="D1192" s="2">
        <v>556</v>
      </c>
      <c r="E1192" s="2">
        <v>120</v>
      </c>
      <c r="F1192" s="2">
        <v>32441</v>
      </c>
      <c r="G1192" s="2">
        <v>10.2107464</v>
      </c>
      <c r="H1192" s="3">
        <v>3.3599999999999997E-14</v>
      </c>
      <c r="I1192" s="2" t="s">
        <v>8207</v>
      </c>
      <c r="J1192" s="2" t="s">
        <v>8208</v>
      </c>
      <c r="K1192" s="3">
        <v>1.2100000000000001E-12</v>
      </c>
      <c r="L1192" s="2" t="s">
        <v>848</v>
      </c>
      <c r="M1192" s="4" t="s">
        <v>8209</v>
      </c>
    </row>
    <row r="1193" spans="1:13">
      <c r="A1193" s="2">
        <v>4683</v>
      </c>
      <c r="B1193" s="2" t="s">
        <v>8210</v>
      </c>
      <c r="C1193" s="2">
        <v>66</v>
      </c>
      <c r="D1193" s="2">
        <v>556</v>
      </c>
      <c r="E1193" s="2">
        <v>1327</v>
      </c>
      <c r="F1193" s="2">
        <v>32441</v>
      </c>
      <c r="G1193" s="2">
        <v>2.9019668969999999</v>
      </c>
      <c r="H1193" s="3">
        <v>4.6200000000000001E-14</v>
      </c>
      <c r="I1193" s="3" t="s">
        <v>8211</v>
      </c>
      <c r="J1193" s="3" t="s">
        <v>8212</v>
      </c>
      <c r="K1193" s="3">
        <v>1.66E-12</v>
      </c>
      <c r="L1193" s="2" t="s">
        <v>848</v>
      </c>
      <c r="M1193" s="4" t="s">
        <v>8213</v>
      </c>
    </row>
    <row r="1194" spans="1:13">
      <c r="A1194" s="2">
        <v>4153</v>
      </c>
      <c r="B1194" s="2" t="s">
        <v>8214</v>
      </c>
      <c r="C1194" s="2">
        <v>45</v>
      </c>
      <c r="D1194" s="2">
        <v>556</v>
      </c>
      <c r="E1194" s="2">
        <v>673</v>
      </c>
      <c r="F1194" s="2">
        <v>32441</v>
      </c>
      <c r="G1194" s="2">
        <v>3.901367762</v>
      </c>
      <c r="H1194" s="3">
        <v>5.6399999999999998E-14</v>
      </c>
      <c r="I1194" s="2" t="s">
        <v>8215</v>
      </c>
      <c r="J1194" s="2" t="s">
        <v>8216</v>
      </c>
      <c r="K1194" s="3">
        <v>2.0100000000000001E-12</v>
      </c>
      <c r="L1194" s="2" t="s">
        <v>848</v>
      </c>
      <c r="M1194" s="4" t="s">
        <v>8217</v>
      </c>
    </row>
    <row r="1195" spans="1:13">
      <c r="A1195" s="2">
        <v>2298</v>
      </c>
      <c r="B1195" s="2" t="s">
        <v>8218</v>
      </c>
      <c r="C1195" s="2">
        <v>24</v>
      </c>
      <c r="D1195" s="2">
        <v>556</v>
      </c>
      <c r="E1195" s="2">
        <v>175</v>
      </c>
      <c r="F1195" s="2">
        <v>32441</v>
      </c>
      <c r="G1195" s="2">
        <v>8.0018910590000001</v>
      </c>
      <c r="H1195" s="3">
        <v>6.1500000000000003E-14</v>
      </c>
      <c r="I1195" s="2" t="s">
        <v>8219</v>
      </c>
      <c r="J1195" s="2" t="s">
        <v>8220</v>
      </c>
      <c r="K1195" s="3">
        <v>2.18E-12</v>
      </c>
      <c r="L1195" s="2" t="s">
        <v>848</v>
      </c>
      <c r="M1195" s="4" t="s">
        <v>8221</v>
      </c>
    </row>
    <row r="1196" spans="1:13">
      <c r="A1196" s="2">
        <v>348</v>
      </c>
      <c r="B1196" s="2" t="s">
        <v>8222</v>
      </c>
      <c r="C1196" s="2">
        <v>15</v>
      </c>
      <c r="D1196" s="2">
        <v>556</v>
      </c>
      <c r="E1196" s="2">
        <v>46</v>
      </c>
      <c r="F1196" s="2">
        <v>32441</v>
      </c>
      <c r="G1196" s="2">
        <v>19.026235530000001</v>
      </c>
      <c r="H1196" s="3">
        <v>7.1900000000000002E-14</v>
      </c>
      <c r="I1196" s="2" t="s">
        <v>8223</v>
      </c>
      <c r="J1196" s="2" t="s">
        <v>8224</v>
      </c>
      <c r="K1196" s="3">
        <v>2.5299999999999999E-12</v>
      </c>
      <c r="L1196" s="2" t="s">
        <v>848</v>
      </c>
      <c r="M1196" s="4" t="s">
        <v>8225</v>
      </c>
    </row>
    <row r="1197" spans="1:13">
      <c r="A1197" s="2">
        <v>1931</v>
      </c>
      <c r="B1197" s="2" t="s">
        <v>8226</v>
      </c>
      <c r="C1197" s="2">
        <v>64</v>
      </c>
      <c r="D1197" s="2">
        <v>556</v>
      </c>
      <c r="E1197" s="2">
        <v>1277</v>
      </c>
      <c r="F1197" s="2">
        <v>32441</v>
      </c>
      <c r="G1197" s="2">
        <v>2.924209732</v>
      </c>
      <c r="H1197" s="3">
        <v>8.3900000000000001E-14</v>
      </c>
      <c r="I1197" s="3" t="s">
        <v>8227</v>
      </c>
      <c r="J1197" s="3" t="s">
        <v>8228</v>
      </c>
      <c r="K1197" s="3">
        <v>2.94E-12</v>
      </c>
      <c r="L1197" s="2" t="s">
        <v>848</v>
      </c>
      <c r="M1197" s="4" t="s">
        <v>8229</v>
      </c>
    </row>
    <row r="1198" spans="1:13">
      <c r="A1198" s="2">
        <v>990</v>
      </c>
      <c r="B1198" s="2" t="s">
        <v>8230</v>
      </c>
      <c r="C1198" s="2">
        <v>49</v>
      </c>
      <c r="D1198" s="2">
        <v>556</v>
      </c>
      <c r="E1198" s="2">
        <v>799</v>
      </c>
      <c r="F1198" s="2">
        <v>32441</v>
      </c>
      <c r="G1198" s="2">
        <v>3.5782340339999998</v>
      </c>
      <c r="H1198" s="3">
        <v>8.8099999999999998E-14</v>
      </c>
      <c r="I1198" s="2" t="s">
        <v>8231</v>
      </c>
      <c r="J1198" s="2" t="s">
        <v>8232</v>
      </c>
      <c r="K1198" s="3">
        <v>3.07E-12</v>
      </c>
      <c r="L1198" s="2" t="s">
        <v>848</v>
      </c>
      <c r="M1198" s="4" t="s">
        <v>8233</v>
      </c>
    </row>
    <row r="1199" spans="1:13">
      <c r="A1199" s="2">
        <v>4824</v>
      </c>
      <c r="B1199" s="2" t="s">
        <v>8234</v>
      </c>
      <c r="C1199" s="2">
        <v>31</v>
      </c>
      <c r="D1199" s="2">
        <v>556</v>
      </c>
      <c r="E1199" s="2">
        <v>327</v>
      </c>
      <c r="F1199" s="2">
        <v>32441</v>
      </c>
      <c r="G1199" s="2">
        <v>5.531378567</v>
      </c>
      <c r="H1199" s="3">
        <v>1.3299999999999999E-13</v>
      </c>
      <c r="I1199" s="2" t="s">
        <v>8235</v>
      </c>
      <c r="J1199" s="2" t="s">
        <v>8236</v>
      </c>
      <c r="K1199" s="3">
        <v>4.5899999999999996E-12</v>
      </c>
      <c r="L1199" s="2" t="s">
        <v>848</v>
      </c>
      <c r="M1199" s="4" t="s">
        <v>8237</v>
      </c>
    </row>
    <row r="1200" spans="1:13">
      <c r="A1200" s="2">
        <v>35121</v>
      </c>
      <c r="B1200" s="2" t="s">
        <v>8238</v>
      </c>
      <c r="C1200" s="2">
        <v>53</v>
      </c>
      <c r="D1200" s="2">
        <v>556</v>
      </c>
      <c r="E1200" s="2">
        <v>936</v>
      </c>
      <c r="F1200" s="2">
        <v>32441</v>
      </c>
      <c r="G1200" s="2">
        <v>3.3038434639999998</v>
      </c>
      <c r="H1200" s="3">
        <v>1.61E-13</v>
      </c>
      <c r="I1200" s="3" t="s">
        <v>8239</v>
      </c>
      <c r="J1200" s="3" t="s">
        <v>8240</v>
      </c>
      <c r="K1200" s="3">
        <v>5.5599999999999997E-12</v>
      </c>
      <c r="L1200" s="2" t="s">
        <v>848</v>
      </c>
      <c r="M1200" s="4" t="s">
        <v>8241</v>
      </c>
    </row>
    <row r="1201" spans="1:13">
      <c r="A1201" s="2">
        <v>5753</v>
      </c>
      <c r="B1201" s="2" t="s">
        <v>8242</v>
      </c>
      <c r="C1201" s="2">
        <v>13</v>
      </c>
      <c r="D1201" s="2">
        <v>556</v>
      </c>
      <c r="E1201" s="2">
        <v>30</v>
      </c>
      <c r="F1201" s="2">
        <v>32441</v>
      </c>
      <c r="G1201" s="2">
        <v>25.283753000000001</v>
      </c>
      <c r="H1201" s="3">
        <v>1.77E-13</v>
      </c>
      <c r="I1201" s="2" t="s">
        <v>8243</v>
      </c>
      <c r="J1201" s="2" t="s">
        <v>8244</v>
      </c>
      <c r="K1201" s="3">
        <v>6.0599999999999996E-12</v>
      </c>
      <c r="L1201" s="2" t="s">
        <v>848</v>
      </c>
      <c r="M1201" s="4" t="s">
        <v>8245</v>
      </c>
    </row>
    <row r="1202" spans="1:13">
      <c r="A1202" s="2">
        <v>5775</v>
      </c>
      <c r="B1202" s="2" t="s">
        <v>8246</v>
      </c>
      <c r="C1202" s="2">
        <v>21</v>
      </c>
      <c r="D1202" s="2">
        <v>556</v>
      </c>
      <c r="E1202" s="2">
        <v>133</v>
      </c>
      <c r="F1202" s="2">
        <v>32441</v>
      </c>
      <c r="G1202" s="2">
        <v>9.2127035209999999</v>
      </c>
      <c r="H1202" s="3">
        <v>2.01E-13</v>
      </c>
      <c r="I1202" s="2" t="s">
        <v>8247</v>
      </c>
      <c r="J1202" s="2" t="s">
        <v>8248</v>
      </c>
      <c r="K1202" s="3">
        <v>6.8399999999999999E-12</v>
      </c>
      <c r="L1202" s="2" t="s">
        <v>848</v>
      </c>
      <c r="M1202" s="4" t="s">
        <v>8249</v>
      </c>
    </row>
    <row r="1203" spans="1:13">
      <c r="A1203" s="2">
        <v>4258</v>
      </c>
      <c r="B1203" s="2" t="s">
        <v>8250</v>
      </c>
      <c r="C1203" s="2">
        <v>19</v>
      </c>
      <c r="D1203" s="2">
        <v>556</v>
      </c>
      <c r="E1203" s="2">
        <v>102</v>
      </c>
      <c r="F1203" s="2">
        <v>32441</v>
      </c>
      <c r="G1203" s="2">
        <v>10.86858161</v>
      </c>
      <c r="H1203" s="3">
        <v>2.0999999999999999E-13</v>
      </c>
      <c r="I1203" s="2" t="s">
        <v>8251</v>
      </c>
      <c r="J1203" s="2" t="s">
        <v>8252</v>
      </c>
      <c r="K1203" s="3">
        <v>7.1100000000000002E-12</v>
      </c>
      <c r="L1203" s="2" t="s">
        <v>848</v>
      </c>
      <c r="M1203" s="4" t="s">
        <v>8253</v>
      </c>
    </row>
    <row r="1204" spans="1:13">
      <c r="A1204" s="2">
        <v>3593</v>
      </c>
      <c r="B1204" s="2" t="s">
        <v>8254</v>
      </c>
      <c r="C1204" s="2">
        <v>20</v>
      </c>
      <c r="D1204" s="2">
        <v>556</v>
      </c>
      <c r="E1204" s="2">
        <v>121</v>
      </c>
      <c r="F1204" s="2">
        <v>32441</v>
      </c>
      <c r="G1204" s="2">
        <v>9.6441524469999997</v>
      </c>
      <c r="H1204" s="3">
        <v>3.5400000000000001E-13</v>
      </c>
      <c r="I1204" s="2" t="s">
        <v>8255</v>
      </c>
      <c r="J1204" s="2" t="s">
        <v>8256</v>
      </c>
      <c r="K1204" s="3">
        <v>1.1900000000000001E-11</v>
      </c>
      <c r="L1204" s="2" t="s">
        <v>848</v>
      </c>
      <c r="M1204" s="4" t="s">
        <v>8257</v>
      </c>
    </row>
    <row r="1205" spans="1:13">
      <c r="A1205" s="2">
        <v>4466</v>
      </c>
      <c r="B1205" s="2" t="s">
        <v>8258</v>
      </c>
      <c r="C1205" s="2">
        <v>13</v>
      </c>
      <c r="D1205" s="2">
        <v>556</v>
      </c>
      <c r="E1205" s="2">
        <v>33</v>
      </c>
      <c r="F1205" s="2">
        <v>32441</v>
      </c>
      <c r="G1205" s="2">
        <v>22.985230000000001</v>
      </c>
      <c r="H1205" s="3">
        <v>4.7000000000000002E-13</v>
      </c>
      <c r="I1205" s="2" t="s">
        <v>8259</v>
      </c>
      <c r="J1205" s="2" t="s">
        <v>8260</v>
      </c>
      <c r="K1205" s="3">
        <v>1.5700000000000001E-11</v>
      </c>
      <c r="L1205" s="2" t="s">
        <v>848</v>
      </c>
      <c r="M1205" s="4" t="s">
        <v>8261</v>
      </c>
    </row>
    <row r="1206" spans="1:13">
      <c r="A1206" s="2">
        <v>4543</v>
      </c>
      <c r="B1206" s="2" t="s">
        <v>8262</v>
      </c>
      <c r="C1206" s="2">
        <v>27</v>
      </c>
      <c r="D1206" s="2">
        <v>556</v>
      </c>
      <c r="E1206" s="2">
        <v>256</v>
      </c>
      <c r="F1206" s="2">
        <v>32441</v>
      </c>
      <c r="G1206" s="2">
        <v>6.1537980550000002</v>
      </c>
      <c r="H1206" s="3">
        <v>5.1800000000000001E-13</v>
      </c>
      <c r="I1206" s="2" t="s">
        <v>8263</v>
      </c>
      <c r="J1206" s="2" t="s">
        <v>8264</v>
      </c>
      <c r="K1206" s="3">
        <v>1.7199999999999999E-11</v>
      </c>
      <c r="L1206" s="2" t="s">
        <v>848</v>
      </c>
      <c r="M1206" s="4" t="s">
        <v>8265</v>
      </c>
    </row>
    <row r="1207" spans="1:13">
      <c r="A1207" s="2">
        <v>3198</v>
      </c>
      <c r="B1207" s="2" t="s">
        <v>8266</v>
      </c>
      <c r="C1207" s="2">
        <v>36</v>
      </c>
      <c r="D1207" s="2">
        <v>556</v>
      </c>
      <c r="E1207" s="2">
        <v>470</v>
      </c>
      <c r="F1207" s="2">
        <v>32441</v>
      </c>
      <c r="G1207" s="2">
        <v>4.4691412829999999</v>
      </c>
      <c r="H1207" s="3">
        <v>5.2299999999999999E-13</v>
      </c>
      <c r="I1207" s="2" t="s">
        <v>8267</v>
      </c>
      <c r="J1207" s="2" t="s">
        <v>8268</v>
      </c>
      <c r="K1207" s="3">
        <v>1.7300000000000001E-11</v>
      </c>
      <c r="L1207" s="2" t="s">
        <v>848</v>
      </c>
      <c r="M1207" s="4" t="s">
        <v>8269</v>
      </c>
    </row>
    <row r="1208" spans="1:13">
      <c r="A1208" s="2">
        <v>5786</v>
      </c>
      <c r="B1208" s="2" t="s">
        <v>8270</v>
      </c>
      <c r="C1208" s="2">
        <v>12</v>
      </c>
      <c r="D1208" s="2">
        <v>556</v>
      </c>
      <c r="E1208" s="2">
        <v>25</v>
      </c>
      <c r="F1208" s="2">
        <v>32441</v>
      </c>
      <c r="G1208" s="2">
        <v>28.006618710000001</v>
      </c>
      <c r="H1208" s="3">
        <v>5.8800000000000002E-13</v>
      </c>
      <c r="I1208" s="2" t="s">
        <v>8271</v>
      </c>
      <c r="J1208" s="2" t="s">
        <v>8272</v>
      </c>
      <c r="K1208" s="3">
        <v>1.9300000000000001E-11</v>
      </c>
      <c r="L1208" s="2" t="s">
        <v>848</v>
      </c>
      <c r="M1208" s="4" t="s">
        <v>8273</v>
      </c>
    </row>
    <row r="1209" spans="1:13">
      <c r="A1209" s="2">
        <v>2966</v>
      </c>
      <c r="B1209" s="2" t="s">
        <v>8274</v>
      </c>
      <c r="C1209" s="2">
        <v>15</v>
      </c>
      <c r="D1209" s="2">
        <v>556</v>
      </c>
      <c r="E1209" s="2">
        <v>55</v>
      </c>
      <c r="F1209" s="2">
        <v>32441</v>
      </c>
      <c r="G1209" s="2">
        <v>15.91285154</v>
      </c>
      <c r="H1209" s="3">
        <v>6.4E-13</v>
      </c>
      <c r="I1209" s="2" t="s">
        <v>8275</v>
      </c>
      <c r="J1209" s="2" t="s">
        <v>8276</v>
      </c>
      <c r="K1209" s="3">
        <v>2.09E-11</v>
      </c>
      <c r="L1209" s="2" t="s">
        <v>848</v>
      </c>
      <c r="M1209" s="4" t="s">
        <v>8277</v>
      </c>
    </row>
    <row r="1210" spans="1:13">
      <c r="A1210" s="2">
        <v>1029</v>
      </c>
      <c r="B1210" s="2" t="s">
        <v>8278</v>
      </c>
      <c r="C1210" s="2">
        <v>61</v>
      </c>
      <c r="D1210" s="2">
        <v>556</v>
      </c>
      <c r="E1210" s="2">
        <v>1239</v>
      </c>
      <c r="F1210" s="2">
        <v>32441</v>
      </c>
      <c r="G1210" s="2">
        <v>2.8726186120000001</v>
      </c>
      <c r="H1210" s="3">
        <v>6.9799999999999995E-13</v>
      </c>
      <c r="I1210" s="3" t="s">
        <v>8279</v>
      </c>
      <c r="J1210" s="3" t="s">
        <v>8280</v>
      </c>
      <c r="K1210" s="3">
        <v>2.27E-11</v>
      </c>
      <c r="L1210" s="2" t="s">
        <v>848</v>
      </c>
      <c r="M1210" s="4" t="s">
        <v>8281</v>
      </c>
    </row>
    <row r="1211" spans="1:13">
      <c r="A1211" s="2">
        <v>1670</v>
      </c>
      <c r="B1211" s="2" t="s">
        <v>8282</v>
      </c>
      <c r="C1211" s="2">
        <v>44</v>
      </c>
      <c r="D1211" s="2">
        <v>556</v>
      </c>
      <c r="E1211" s="2">
        <v>699</v>
      </c>
      <c r="F1211" s="2">
        <v>32441</v>
      </c>
      <c r="G1211" s="2">
        <v>3.672780231</v>
      </c>
      <c r="H1211" s="3">
        <v>7.5400000000000002E-13</v>
      </c>
      <c r="I1211" s="2" t="s">
        <v>8283</v>
      </c>
      <c r="J1211" s="2" t="s">
        <v>8284</v>
      </c>
      <c r="K1211" s="3">
        <v>2.4400000000000001E-11</v>
      </c>
      <c r="L1211" s="2" t="s">
        <v>848</v>
      </c>
      <c r="M1211" s="4" t="s">
        <v>8285</v>
      </c>
    </row>
    <row r="1212" spans="1:13">
      <c r="A1212" s="2">
        <v>3444</v>
      </c>
      <c r="B1212" s="2" t="s">
        <v>8286</v>
      </c>
      <c r="C1212" s="2">
        <v>58</v>
      </c>
      <c r="D1212" s="2">
        <v>556</v>
      </c>
      <c r="E1212" s="2">
        <v>1142</v>
      </c>
      <c r="F1212" s="2">
        <v>32441</v>
      </c>
      <c r="G1212" s="2">
        <v>2.9633389609999998</v>
      </c>
      <c r="H1212" s="3">
        <v>8.0799999999999999E-13</v>
      </c>
      <c r="I1212" s="3" t="s">
        <v>8287</v>
      </c>
      <c r="J1212" s="3" t="s">
        <v>8288</v>
      </c>
      <c r="K1212" s="3">
        <v>2.6000000000000001E-11</v>
      </c>
      <c r="L1212" s="2" t="s">
        <v>848</v>
      </c>
      <c r="M1212" s="4" t="s">
        <v>8289</v>
      </c>
    </row>
    <row r="1213" spans="1:13">
      <c r="A1213" s="2">
        <v>4152</v>
      </c>
      <c r="B1213" s="2" t="s">
        <v>8290</v>
      </c>
      <c r="C1213" s="2">
        <v>16</v>
      </c>
      <c r="D1213" s="2">
        <v>556</v>
      </c>
      <c r="E1213" s="2">
        <v>69</v>
      </c>
      <c r="F1213" s="2">
        <v>32441</v>
      </c>
      <c r="G1213" s="2">
        <v>13.529767489999999</v>
      </c>
      <c r="H1213" s="3">
        <v>9.1900000000000002E-13</v>
      </c>
      <c r="I1213" s="2" t="s">
        <v>8291</v>
      </c>
      <c r="J1213" s="2" t="s">
        <v>8292</v>
      </c>
      <c r="K1213" s="3">
        <v>2.9400000000000003E-11</v>
      </c>
      <c r="L1213" s="2" t="s">
        <v>848</v>
      </c>
      <c r="M1213" s="4" t="s">
        <v>8293</v>
      </c>
    </row>
    <row r="1214" spans="1:13">
      <c r="A1214" s="2">
        <v>1171</v>
      </c>
      <c r="B1214" s="2" t="s">
        <v>8294</v>
      </c>
      <c r="C1214" s="2">
        <v>15</v>
      </c>
      <c r="D1214" s="2">
        <v>556</v>
      </c>
      <c r="E1214" s="2">
        <v>57</v>
      </c>
      <c r="F1214" s="2">
        <v>32441</v>
      </c>
      <c r="G1214" s="2">
        <v>15.354505870000001</v>
      </c>
      <c r="H1214" s="3">
        <v>9.9299999999999991E-13</v>
      </c>
      <c r="I1214" s="2" t="s">
        <v>8295</v>
      </c>
      <c r="J1214" s="2" t="s">
        <v>8296</v>
      </c>
      <c r="K1214" s="3">
        <v>3.1599999999999999E-11</v>
      </c>
      <c r="L1214" s="2" t="s">
        <v>848</v>
      </c>
      <c r="M1214" s="4" t="s">
        <v>8297</v>
      </c>
    </row>
    <row r="1215" spans="1:13">
      <c r="A1215" s="2">
        <v>5162</v>
      </c>
      <c r="B1215" s="2" t="s">
        <v>8298</v>
      </c>
      <c r="C1215" s="2">
        <v>39</v>
      </c>
      <c r="D1215" s="2">
        <v>556</v>
      </c>
      <c r="E1215" s="2">
        <v>563</v>
      </c>
      <c r="F1215" s="2">
        <v>32441</v>
      </c>
      <c r="G1215" s="2">
        <v>4.0418077620000004</v>
      </c>
      <c r="H1215" s="3">
        <v>1.0300000000000001E-12</v>
      </c>
      <c r="I1215" s="2" t="s">
        <v>8299</v>
      </c>
      <c r="J1215" s="2" t="s">
        <v>8300</v>
      </c>
      <c r="K1215" s="3">
        <v>3.2700000000000001E-11</v>
      </c>
      <c r="L1215" s="2" t="s">
        <v>848</v>
      </c>
      <c r="M1215" s="4" t="s">
        <v>8301</v>
      </c>
    </row>
    <row r="1216" spans="1:13">
      <c r="A1216" s="2">
        <v>4535</v>
      </c>
      <c r="B1216" s="2" t="s">
        <v>8302</v>
      </c>
      <c r="C1216" s="2">
        <v>11</v>
      </c>
      <c r="D1216" s="2">
        <v>556</v>
      </c>
      <c r="E1216" s="2">
        <v>19</v>
      </c>
      <c r="F1216" s="2">
        <v>32441</v>
      </c>
      <c r="G1216" s="2">
        <v>33.77991291</v>
      </c>
      <c r="H1216" s="3">
        <v>1.1499999999999999E-12</v>
      </c>
      <c r="I1216" s="2" t="s">
        <v>8303</v>
      </c>
      <c r="J1216" s="2" t="s">
        <v>8304</v>
      </c>
      <c r="K1216" s="3">
        <v>3.63E-11</v>
      </c>
      <c r="L1216" s="2" t="s">
        <v>848</v>
      </c>
      <c r="M1216" s="4" t="s">
        <v>8305</v>
      </c>
    </row>
    <row r="1217" spans="1:13">
      <c r="A1217" s="2">
        <v>4518</v>
      </c>
      <c r="B1217" s="2" t="s">
        <v>8306</v>
      </c>
      <c r="C1217" s="2">
        <v>12</v>
      </c>
      <c r="D1217" s="2">
        <v>556</v>
      </c>
      <c r="E1217" s="2">
        <v>27</v>
      </c>
      <c r="F1217" s="2">
        <v>32441</v>
      </c>
      <c r="G1217" s="2">
        <v>25.932054359999999</v>
      </c>
      <c r="H1217" s="3">
        <v>1.1999999999999999E-12</v>
      </c>
      <c r="I1217" s="2" t="s">
        <v>8160</v>
      </c>
      <c r="J1217" s="2" t="s">
        <v>8161</v>
      </c>
      <c r="K1217" s="3">
        <v>3.7700000000000003E-11</v>
      </c>
      <c r="L1217" s="2" t="s">
        <v>848</v>
      </c>
      <c r="M1217" s="4" t="s">
        <v>8307</v>
      </c>
    </row>
    <row r="1218" spans="1:13">
      <c r="A1218" s="2">
        <v>3636</v>
      </c>
      <c r="B1218" s="2" t="s">
        <v>8308</v>
      </c>
      <c r="C1218" s="2">
        <v>14</v>
      </c>
      <c r="D1218" s="2">
        <v>556</v>
      </c>
      <c r="E1218" s="2">
        <v>48</v>
      </c>
      <c r="F1218" s="2">
        <v>32441</v>
      </c>
      <c r="G1218" s="2">
        <v>17.017910669999999</v>
      </c>
      <c r="H1218" s="3">
        <v>1.75E-12</v>
      </c>
      <c r="I1218" s="2" t="s">
        <v>8309</v>
      </c>
      <c r="J1218" s="2" t="s">
        <v>8310</v>
      </c>
      <c r="K1218" s="3">
        <v>5.4599999999999998E-11</v>
      </c>
      <c r="L1218" s="2" t="s">
        <v>848</v>
      </c>
      <c r="M1218" s="4" t="s">
        <v>8311</v>
      </c>
    </row>
    <row r="1219" spans="1:13">
      <c r="A1219" s="2">
        <v>5377</v>
      </c>
      <c r="B1219" s="2" t="s">
        <v>8312</v>
      </c>
      <c r="C1219" s="2">
        <v>51</v>
      </c>
      <c r="D1219" s="2">
        <v>556</v>
      </c>
      <c r="E1219" s="2">
        <v>935</v>
      </c>
      <c r="F1219" s="2">
        <v>32441</v>
      </c>
      <c r="G1219" s="2">
        <v>3.1825703070000002</v>
      </c>
      <c r="H1219" s="3">
        <v>1.79E-12</v>
      </c>
      <c r="I1219" s="3" t="s">
        <v>8313</v>
      </c>
      <c r="J1219" s="3" t="s">
        <v>8314</v>
      </c>
      <c r="K1219" s="3">
        <v>5.5600000000000001E-11</v>
      </c>
      <c r="L1219" s="2" t="s">
        <v>848</v>
      </c>
      <c r="M1219" s="4" t="s">
        <v>8315</v>
      </c>
    </row>
    <row r="1220" spans="1:13">
      <c r="A1220" s="2">
        <v>1706</v>
      </c>
      <c r="B1220" s="2" t="s">
        <v>8316</v>
      </c>
      <c r="C1220" s="2">
        <v>32</v>
      </c>
      <c r="D1220" s="2">
        <v>556</v>
      </c>
      <c r="E1220" s="2">
        <v>389</v>
      </c>
      <c r="F1220" s="2">
        <v>32441</v>
      </c>
      <c r="G1220" s="2">
        <v>4.799763274</v>
      </c>
      <c r="H1220" s="3">
        <v>1.8399999999999998E-12</v>
      </c>
      <c r="I1220" s="2" t="s">
        <v>8317</v>
      </c>
      <c r="J1220" s="2" t="s">
        <v>8318</v>
      </c>
      <c r="K1220" s="3">
        <v>5.6599999999999997E-11</v>
      </c>
      <c r="L1220" s="2" t="s">
        <v>848</v>
      </c>
      <c r="M1220" s="4" t="s">
        <v>8319</v>
      </c>
    </row>
    <row r="1221" spans="1:13">
      <c r="A1221" s="2">
        <v>40201</v>
      </c>
      <c r="B1221" s="2" t="s">
        <v>8320</v>
      </c>
      <c r="C1221" s="2">
        <v>23</v>
      </c>
      <c r="D1221" s="2">
        <v>556</v>
      </c>
      <c r="E1221" s="2">
        <v>190</v>
      </c>
      <c r="F1221" s="2">
        <v>32441</v>
      </c>
      <c r="G1221" s="2">
        <v>7.0630727000000002</v>
      </c>
      <c r="H1221" s="3">
        <v>2.1499999999999999E-12</v>
      </c>
      <c r="I1221" s="2" t="s">
        <v>8321</v>
      </c>
      <c r="J1221" s="2" t="s">
        <v>8322</v>
      </c>
      <c r="K1221" s="3">
        <v>6.5799999999999995E-11</v>
      </c>
      <c r="L1221" s="2" t="s">
        <v>848</v>
      </c>
      <c r="M1221" s="4" t="s">
        <v>8323</v>
      </c>
    </row>
    <row r="1222" spans="1:13">
      <c r="A1222" s="2">
        <v>2644</v>
      </c>
      <c r="B1222" s="2" t="s">
        <v>8324</v>
      </c>
      <c r="C1222" s="2">
        <v>30</v>
      </c>
      <c r="D1222" s="2">
        <v>556</v>
      </c>
      <c r="E1222" s="2">
        <v>343</v>
      </c>
      <c r="F1222" s="2">
        <v>32441</v>
      </c>
      <c r="G1222" s="2">
        <v>5.1032468489999996</v>
      </c>
      <c r="H1222" s="3">
        <v>2.1999999999999999E-12</v>
      </c>
      <c r="I1222" s="2" t="s">
        <v>8325</v>
      </c>
      <c r="J1222" s="2" t="s">
        <v>8326</v>
      </c>
      <c r="K1222" s="3">
        <v>6.7100000000000006E-11</v>
      </c>
      <c r="L1222" s="2" t="s">
        <v>848</v>
      </c>
      <c r="M1222" s="4" t="s">
        <v>8327</v>
      </c>
    </row>
    <row r="1223" spans="1:13">
      <c r="A1223" s="2">
        <v>2012</v>
      </c>
      <c r="B1223" s="2" t="s">
        <v>8328</v>
      </c>
      <c r="C1223" s="2">
        <v>11</v>
      </c>
      <c r="D1223" s="2">
        <v>556</v>
      </c>
      <c r="E1223" s="2">
        <v>21</v>
      </c>
      <c r="F1223" s="2">
        <v>32441</v>
      </c>
      <c r="G1223" s="2">
        <v>30.562778349999999</v>
      </c>
      <c r="H1223" s="3">
        <v>2.6400000000000001E-12</v>
      </c>
      <c r="I1223" s="2" t="s">
        <v>8329</v>
      </c>
      <c r="J1223" s="2" t="s">
        <v>8330</v>
      </c>
      <c r="K1223" s="3">
        <v>8.01E-11</v>
      </c>
      <c r="L1223" s="2" t="s">
        <v>848</v>
      </c>
      <c r="M1223" s="4" t="s">
        <v>8331</v>
      </c>
    </row>
    <row r="1224" spans="1:13">
      <c r="A1224" s="2">
        <v>760</v>
      </c>
      <c r="B1224" s="2" t="s">
        <v>8332</v>
      </c>
      <c r="C1224" s="2">
        <v>20</v>
      </c>
      <c r="D1224" s="2">
        <v>556</v>
      </c>
      <c r="E1224" s="2">
        <v>138</v>
      </c>
      <c r="F1224" s="2">
        <v>32441</v>
      </c>
      <c r="G1224" s="2">
        <v>8.4561046809999993</v>
      </c>
      <c r="H1224" s="3">
        <v>3.1000000000000001E-12</v>
      </c>
      <c r="I1224" s="2" t="s">
        <v>8333</v>
      </c>
      <c r="J1224" s="2" t="s">
        <v>8334</v>
      </c>
      <c r="K1224" s="3">
        <v>9.3699999999999997E-11</v>
      </c>
      <c r="L1224" s="2" t="s">
        <v>848</v>
      </c>
      <c r="M1224" s="4" t="s">
        <v>8335</v>
      </c>
    </row>
    <row r="1225" spans="1:13">
      <c r="A1225" s="2">
        <v>3918</v>
      </c>
      <c r="B1225" s="2" t="s">
        <v>8336</v>
      </c>
      <c r="C1225" s="2">
        <v>42</v>
      </c>
      <c r="D1225" s="2">
        <v>556</v>
      </c>
      <c r="E1225" s="2">
        <v>676</v>
      </c>
      <c r="F1225" s="2">
        <v>32441</v>
      </c>
      <c r="G1225" s="2">
        <v>3.6251170660000001</v>
      </c>
      <c r="H1225" s="3">
        <v>3.8E-12</v>
      </c>
      <c r="I1225" s="2" t="s">
        <v>8337</v>
      </c>
      <c r="J1225" s="2" t="s">
        <v>8338</v>
      </c>
      <c r="K1225" s="3">
        <v>1.1399999999999999E-10</v>
      </c>
      <c r="L1225" s="2" t="s">
        <v>848</v>
      </c>
      <c r="M1225" s="4" t="s">
        <v>8339</v>
      </c>
    </row>
    <row r="1226" spans="1:13">
      <c r="A1226" s="2">
        <v>2032</v>
      </c>
      <c r="B1226" s="2" t="s">
        <v>8340</v>
      </c>
      <c r="C1226" s="2">
        <v>58</v>
      </c>
      <c r="D1226" s="2">
        <v>556</v>
      </c>
      <c r="E1226" s="2">
        <v>1193</v>
      </c>
      <c r="F1226" s="2">
        <v>32441</v>
      </c>
      <c r="G1226" s="2">
        <v>2.8366580830000001</v>
      </c>
      <c r="H1226" s="3">
        <v>4.36E-12</v>
      </c>
      <c r="I1226" s="3" t="s">
        <v>8341</v>
      </c>
      <c r="J1226" s="3" t="s">
        <v>8342</v>
      </c>
      <c r="K1226" s="3">
        <v>1.2999999999999999E-10</v>
      </c>
      <c r="L1226" s="2" t="s">
        <v>848</v>
      </c>
      <c r="M1226" s="4" t="s">
        <v>8343</v>
      </c>
    </row>
    <row r="1227" spans="1:13">
      <c r="A1227" s="2">
        <v>5041</v>
      </c>
      <c r="B1227" s="2" t="s">
        <v>8344</v>
      </c>
      <c r="C1227" s="2">
        <v>17</v>
      </c>
      <c r="D1227" s="2">
        <v>556</v>
      </c>
      <c r="E1227" s="2">
        <v>92</v>
      </c>
      <c r="F1227" s="2">
        <v>32441</v>
      </c>
      <c r="G1227" s="2">
        <v>10.781533469999999</v>
      </c>
      <c r="H1227" s="3">
        <v>4.36E-12</v>
      </c>
      <c r="I1227" s="2" t="s">
        <v>8345</v>
      </c>
      <c r="J1227" s="2" t="s">
        <v>8346</v>
      </c>
      <c r="K1227" s="3">
        <v>1.2999999999999999E-10</v>
      </c>
      <c r="L1227" s="2" t="s">
        <v>848</v>
      </c>
      <c r="M1227" s="4" t="s">
        <v>8347</v>
      </c>
    </row>
    <row r="1228" spans="1:13">
      <c r="A1228" s="2">
        <v>13321</v>
      </c>
      <c r="B1228" s="2" t="s">
        <v>8348</v>
      </c>
      <c r="C1228" s="2">
        <v>14</v>
      </c>
      <c r="D1228" s="2">
        <v>556</v>
      </c>
      <c r="E1228" s="2">
        <v>53</v>
      </c>
      <c r="F1228" s="2">
        <v>32441</v>
      </c>
      <c r="G1228" s="2">
        <v>15.4124474</v>
      </c>
      <c r="H1228" s="3">
        <v>5.4599999999999998E-12</v>
      </c>
      <c r="I1228" s="2" t="s">
        <v>8349</v>
      </c>
      <c r="J1228" s="2" t="s">
        <v>8350</v>
      </c>
      <c r="K1228" s="3">
        <v>1.6200000000000001E-10</v>
      </c>
      <c r="L1228" s="2" t="s">
        <v>848</v>
      </c>
      <c r="M1228" s="4" t="s">
        <v>8351</v>
      </c>
    </row>
    <row r="1229" spans="1:13">
      <c r="A1229" s="2">
        <v>3742</v>
      </c>
      <c r="B1229" s="2" t="s">
        <v>8352</v>
      </c>
      <c r="C1229" s="2">
        <v>16</v>
      </c>
      <c r="D1229" s="2">
        <v>556</v>
      </c>
      <c r="E1229" s="2">
        <v>79</v>
      </c>
      <c r="F1229" s="2">
        <v>32441</v>
      </c>
      <c r="G1229" s="2">
        <v>11.81713869</v>
      </c>
      <c r="H1229" s="3">
        <v>5.5199999999999999E-12</v>
      </c>
      <c r="I1229" s="2" t="s">
        <v>8353</v>
      </c>
      <c r="J1229" s="2" t="s">
        <v>8354</v>
      </c>
      <c r="K1229" s="3">
        <v>1.6300000000000001E-10</v>
      </c>
      <c r="L1229" s="2" t="s">
        <v>848</v>
      </c>
      <c r="M1229" s="4" t="s">
        <v>8355</v>
      </c>
    </row>
    <row r="1230" spans="1:13">
      <c r="A1230" s="2">
        <v>1663</v>
      </c>
      <c r="B1230" s="2" t="s">
        <v>8356</v>
      </c>
      <c r="C1230" s="2">
        <v>11</v>
      </c>
      <c r="D1230" s="2">
        <v>556</v>
      </c>
      <c r="E1230" s="2">
        <v>23</v>
      </c>
      <c r="F1230" s="2">
        <v>32441</v>
      </c>
      <c r="G1230" s="2">
        <v>27.905145449999999</v>
      </c>
      <c r="H1230" s="3">
        <v>5.68E-12</v>
      </c>
      <c r="I1230" s="2" t="s">
        <v>8357</v>
      </c>
      <c r="J1230" s="2" t="s">
        <v>8358</v>
      </c>
      <c r="K1230" s="3">
        <v>1.66E-10</v>
      </c>
      <c r="L1230" s="2" t="s">
        <v>848</v>
      </c>
      <c r="M1230" s="4" t="s">
        <v>8359</v>
      </c>
    </row>
    <row r="1231" spans="1:13">
      <c r="A1231" s="2">
        <v>3464</v>
      </c>
      <c r="B1231" s="2" t="s">
        <v>8360</v>
      </c>
      <c r="C1231" s="2">
        <v>38</v>
      </c>
      <c r="D1231" s="2">
        <v>556</v>
      </c>
      <c r="E1231" s="2">
        <v>570</v>
      </c>
      <c r="F1231" s="2">
        <v>32441</v>
      </c>
      <c r="G1231" s="2">
        <v>3.8898081530000002</v>
      </c>
      <c r="H1231" s="3">
        <v>5.9699999999999998E-12</v>
      </c>
      <c r="I1231" s="2" t="s">
        <v>8361</v>
      </c>
      <c r="J1231" s="2" t="s">
        <v>8362</v>
      </c>
      <c r="K1231" s="3">
        <v>1.7399999999999999E-10</v>
      </c>
      <c r="L1231" s="2" t="s">
        <v>848</v>
      </c>
      <c r="M1231" s="4" t="s">
        <v>8363</v>
      </c>
    </row>
    <row r="1232" spans="1:13">
      <c r="A1232" s="2">
        <v>27171</v>
      </c>
      <c r="B1232" s="2" t="s">
        <v>8364</v>
      </c>
      <c r="C1232" s="2">
        <v>23</v>
      </c>
      <c r="D1232" s="2">
        <v>556</v>
      </c>
      <c r="E1232" s="2">
        <v>203</v>
      </c>
      <c r="F1232" s="2">
        <v>32441</v>
      </c>
      <c r="G1232" s="2">
        <v>6.6107576989999997</v>
      </c>
      <c r="H1232" s="3">
        <v>7.3699999999999995E-12</v>
      </c>
      <c r="I1232" s="2" t="s">
        <v>8365</v>
      </c>
      <c r="J1232" s="2" t="s">
        <v>8366</v>
      </c>
      <c r="K1232" s="3">
        <v>2.1400000000000001E-10</v>
      </c>
      <c r="L1232" s="2" t="s">
        <v>848</v>
      </c>
      <c r="M1232" s="4" t="s">
        <v>8367</v>
      </c>
    </row>
    <row r="1233" spans="1:13">
      <c r="A1233" s="2">
        <v>4774</v>
      </c>
      <c r="B1233" s="2" t="s">
        <v>8368</v>
      </c>
      <c r="C1233" s="2">
        <v>42</v>
      </c>
      <c r="D1233" s="2">
        <v>556</v>
      </c>
      <c r="E1233" s="2">
        <v>694</v>
      </c>
      <c r="F1233" s="2">
        <v>32441</v>
      </c>
      <c r="G1233" s="2">
        <v>3.5310938570000001</v>
      </c>
      <c r="H1233" s="3">
        <v>8.3799999999999994E-12</v>
      </c>
      <c r="I1233" s="2" t="s">
        <v>8369</v>
      </c>
      <c r="J1233" s="2" t="s">
        <v>8370</v>
      </c>
      <c r="K1233" s="3">
        <v>2.4199999999999999E-10</v>
      </c>
      <c r="L1233" s="2" t="s">
        <v>848</v>
      </c>
      <c r="M1233" s="4" t="s">
        <v>8371</v>
      </c>
    </row>
    <row r="1234" spans="1:13">
      <c r="A1234" s="2">
        <v>3744</v>
      </c>
      <c r="B1234" s="2" t="s">
        <v>8372</v>
      </c>
      <c r="C1234" s="2">
        <v>18</v>
      </c>
      <c r="D1234" s="2">
        <v>556</v>
      </c>
      <c r="E1234" s="2">
        <v>113</v>
      </c>
      <c r="F1234" s="2">
        <v>32441</v>
      </c>
      <c r="G1234" s="2">
        <v>9.2942318709999991</v>
      </c>
      <c r="H1234" s="3">
        <v>9.3199999999999999E-12</v>
      </c>
      <c r="I1234" s="2" t="s">
        <v>8373</v>
      </c>
      <c r="J1234" s="2" t="s">
        <v>8374</v>
      </c>
      <c r="K1234" s="3">
        <v>2.6800000000000001E-10</v>
      </c>
      <c r="L1234" s="2" t="s">
        <v>848</v>
      </c>
      <c r="M1234" s="4" t="s">
        <v>8375</v>
      </c>
    </row>
    <row r="1235" spans="1:13">
      <c r="A1235" s="2">
        <v>3186</v>
      </c>
      <c r="B1235" s="2" t="s">
        <v>8376</v>
      </c>
      <c r="C1235" s="2">
        <v>62</v>
      </c>
      <c r="D1235" s="2">
        <v>556</v>
      </c>
      <c r="E1235" s="2">
        <v>1360</v>
      </c>
      <c r="F1235" s="2">
        <v>32441</v>
      </c>
      <c r="G1235" s="2">
        <v>2.6599423400000002</v>
      </c>
      <c r="H1235" s="3">
        <v>9.9600000000000004E-12</v>
      </c>
      <c r="I1235" s="3" t="s">
        <v>8377</v>
      </c>
      <c r="J1235" s="3" t="s">
        <v>8378</v>
      </c>
      <c r="K1235" s="3">
        <v>2.85E-10</v>
      </c>
      <c r="L1235" s="2" t="s">
        <v>848</v>
      </c>
      <c r="M1235" s="4" t="s">
        <v>8379</v>
      </c>
    </row>
    <row r="1236" spans="1:13">
      <c r="A1236" s="2">
        <v>3517</v>
      </c>
      <c r="B1236" s="2" t="s">
        <v>8380</v>
      </c>
      <c r="C1236" s="2">
        <v>22</v>
      </c>
      <c r="D1236" s="2">
        <v>556</v>
      </c>
      <c r="E1236" s="2">
        <v>189</v>
      </c>
      <c r="F1236" s="2">
        <v>32441</v>
      </c>
      <c r="G1236" s="2">
        <v>6.7917285219999997</v>
      </c>
      <c r="H1236" s="3">
        <v>1.3E-11</v>
      </c>
      <c r="I1236" s="2" t="s">
        <v>8381</v>
      </c>
      <c r="J1236" s="2" t="s">
        <v>8382</v>
      </c>
      <c r="K1236" s="3">
        <v>3.7100000000000001E-10</v>
      </c>
      <c r="L1236" s="2" t="s">
        <v>848</v>
      </c>
      <c r="M1236" s="4" t="s">
        <v>8383</v>
      </c>
    </row>
    <row r="1237" spans="1:13">
      <c r="A1237" s="2">
        <v>1775</v>
      </c>
      <c r="B1237" s="2" t="s">
        <v>8384</v>
      </c>
      <c r="C1237" s="2">
        <v>23</v>
      </c>
      <c r="D1237" s="2">
        <v>556</v>
      </c>
      <c r="E1237" s="2">
        <v>211</v>
      </c>
      <c r="F1237" s="2">
        <v>32441</v>
      </c>
      <c r="G1237" s="2">
        <v>6.3601128579999999</v>
      </c>
      <c r="H1237" s="3">
        <v>1.5100000000000001E-11</v>
      </c>
      <c r="I1237" s="2" t="s">
        <v>8385</v>
      </c>
      <c r="J1237" s="2" t="s">
        <v>8386</v>
      </c>
      <c r="K1237" s="3">
        <v>4.2700000000000002E-10</v>
      </c>
      <c r="L1237" s="2" t="s">
        <v>848</v>
      </c>
      <c r="M1237" s="4" t="s">
        <v>8387</v>
      </c>
    </row>
    <row r="1238" spans="1:13">
      <c r="A1238" s="2">
        <v>2092</v>
      </c>
      <c r="B1238" s="2" t="s">
        <v>8388</v>
      </c>
      <c r="C1238" s="2">
        <v>14</v>
      </c>
      <c r="D1238" s="2">
        <v>556</v>
      </c>
      <c r="E1238" s="2">
        <v>58</v>
      </c>
      <c r="F1238" s="2">
        <v>32441</v>
      </c>
      <c r="G1238" s="2">
        <v>14.083788139999999</v>
      </c>
      <c r="H1238" s="3">
        <v>1.54E-11</v>
      </c>
      <c r="I1238" s="2" t="s">
        <v>8389</v>
      </c>
      <c r="J1238" s="2" t="s">
        <v>8390</v>
      </c>
      <c r="K1238" s="3">
        <v>4.35E-10</v>
      </c>
      <c r="L1238" s="2" t="s">
        <v>848</v>
      </c>
      <c r="M1238" s="4" t="s">
        <v>8391</v>
      </c>
    </row>
    <row r="1239" spans="1:13">
      <c r="A1239" s="2">
        <v>1609</v>
      </c>
      <c r="B1239" s="2" t="s">
        <v>8392</v>
      </c>
      <c r="C1239" s="2">
        <v>10</v>
      </c>
      <c r="D1239" s="2">
        <v>556</v>
      </c>
      <c r="E1239" s="2">
        <v>18</v>
      </c>
      <c r="F1239" s="2">
        <v>32441</v>
      </c>
      <c r="G1239" s="2">
        <v>32.415067950000001</v>
      </c>
      <c r="H1239" s="3">
        <v>1.6999999999999999E-11</v>
      </c>
      <c r="I1239" s="2" t="s">
        <v>8393</v>
      </c>
      <c r="J1239" s="2" t="s">
        <v>8394</v>
      </c>
      <c r="K1239" s="3">
        <v>4.7700000000000001E-10</v>
      </c>
      <c r="L1239" s="2" t="s">
        <v>848</v>
      </c>
      <c r="M1239" s="4" t="s">
        <v>8395</v>
      </c>
    </row>
    <row r="1240" spans="1:13">
      <c r="A1240" s="2">
        <v>5191</v>
      </c>
      <c r="B1240" s="2" t="s">
        <v>8396</v>
      </c>
      <c r="C1240" s="2">
        <v>13</v>
      </c>
      <c r="D1240" s="2">
        <v>556</v>
      </c>
      <c r="E1240" s="2">
        <v>47</v>
      </c>
      <c r="F1240" s="2">
        <v>32441</v>
      </c>
      <c r="G1240" s="2">
        <v>16.138565740000001</v>
      </c>
      <c r="H1240" s="3">
        <v>1.9300000000000001E-11</v>
      </c>
      <c r="I1240" s="2" t="s">
        <v>8397</v>
      </c>
      <c r="J1240" s="2" t="s">
        <v>8398</v>
      </c>
      <c r="K1240" s="3">
        <v>5.38E-10</v>
      </c>
      <c r="L1240" s="2" t="s">
        <v>848</v>
      </c>
      <c r="M1240" s="4" t="s">
        <v>8399</v>
      </c>
    </row>
    <row r="1241" spans="1:13">
      <c r="A1241" s="2">
        <v>414</v>
      </c>
      <c r="B1241" s="2" t="s">
        <v>8400</v>
      </c>
      <c r="C1241" s="2">
        <v>14</v>
      </c>
      <c r="D1241" s="2">
        <v>556</v>
      </c>
      <c r="E1241" s="2">
        <v>60</v>
      </c>
      <c r="F1241" s="2">
        <v>32441</v>
      </c>
      <c r="G1241" s="2">
        <v>13.614328540000001</v>
      </c>
      <c r="H1241" s="3">
        <v>2.2800000000000001E-11</v>
      </c>
      <c r="I1241" s="2" t="s">
        <v>8401</v>
      </c>
      <c r="J1241" s="2" t="s">
        <v>8402</v>
      </c>
      <c r="K1241" s="3">
        <v>6.3E-10</v>
      </c>
      <c r="L1241" s="2" t="s">
        <v>848</v>
      </c>
      <c r="M1241" s="4" t="s">
        <v>8403</v>
      </c>
    </row>
    <row r="1242" spans="1:13">
      <c r="A1242" s="2">
        <v>4506</v>
      </c>
      <c r="B1242" s="2" t="s">
        <v>8404</v>
      </c>
      <c r="C1242" s="2">
        <v>21</v>
      </c>
      <c r="D1242" s="2">
        <v>556</v>
      </c>
      <c r="E1242" s="2">
        <v>175</v>
      </c>
      <c r="F1242" s="2">
        <v>32441</v>
      </c>
      <c r="G1242" s="2">
        <v>7.0016546760000002</v>
      </c>
      <c r="H1242" s="3">
        <v>2.27E-11</v>
      </c>
      <c r="I1242" s="2" t="s">
        <v>8405</v>
      </c>
      <c r="J1242" s="2" t="s">
        <v>8406</v>
      </c>
      <c r="K1242" s="3">
        <v>6.3E-10</v>
      </c>
      <c r="L1242" s="2" t="s">
        <v>848</v>
      </c>
      <c r="M1242" s="4" t="s">
        <v>8407</v>
      </c>
    </row>
    <row r="1243" spans="1:13">
      <c r="A1243" s="2">
        <v>5425</v>
      </c>
      <c r="B1243" s="2" t="s">
        <v>8408</v>
      </c>
      <c r="C1243" s="2">
        <v>61</v>
      </c>
      <c r="D1243" s="2">
        <v>556</v>
      </c>
      <c r="E1243" s="2">
        <v>1353</v>
      </c>
      <c r="F1243" s="2">
        <v>32441</v>
      </c>
      <c r="G1243" s="2">
        <v>2.6305797929999999</v>
      </c>
      <c r="H1243" s="3">
        <v>2.29E-11</v>
      </c>
      <c r="I1243" s="3" t="s">
        <v>8409</v>
      </c>
      <c r="J1243" s="3" t="s">
        <v>8410</v>
      </c>
      <c r="K1243" s="3">
        <v>6.3E-10</v>
      </c>
      <c r="L1243" s="2" t="s">
        <v>848</v>
      </c>
      <c r="M1243" s="4" t="s">
        <v>8411</v>
      </c>
    </row>
    <row r="1244" spans="1:13">
      <c r="A1244" s="2">
        <v>3695</v>
      </c>
      <c r="B1244" s="2" t="s">
        <v>8412</v>
      </c>
      <c r="C1244" s="2">
        <v>17</v>
      </c>
      <c r="D1244" s="2">
        <v>556</v>
      </c>
      <c r="E1244" s="2">
        <v>104</v>
      </c>
      <c r="F1244" s="2">
        <v>32441</v>
      </c>
      <c r="G1244" s="2">
        <v>9.5375103760000002</v>
      </c>
      <c r="H1244" s="3">
        <v>2.4499999999999999E-11</v>
      </c>
      <c r="I1244" s="2" t="s">
        <v>8413</v>
      </c>
      <c r="J1244" s="2" t="s">
        <v>8414</v>
      </c>
      <c r="K1244" s="3">
        <v>6.7099999999999996E-10</v>
      </c>
      <c r="L1244" s="2" t="s">
        <v>848</v>
      </c>
      <c r="M1244" s="4" t="s">
        <v>8415</v>
      </c>
    </row>
    <row r="1245" spans="1:13">
      <c r="A1245" s="2">
        <v>41261</v>
      </c>
      <c r="B1245" s="2" t="s">
        <v>8416</v>
      </c>
      <c r="C1245" s="2">
        <v>24</v>
      </c>
      <c r="D1245" s="2">
        <v>556</v>
      </c>
      <c r="E1245" s="2">
        <v>247</v>
      </c>
      <c r="F1245" s="2">
        <v>32441</v>
      </c>
      <c r="G1245" s="2">
        <v>5.6693560129999998</v>
      </c>
      <c r="H1245" s="3">
        <v>4.9099999999999997E-11</v>
      </c>
      <c r="I1245" s="2" t="s">
        <v>8417</v>
      </c>
      <c r="J1245" s="2" t="s">
        <v>8418</v>
      </c>
      <c r="K1245" s="3">
        <v>1.3399999999999999E-9</v>
      </c>
      <c r="L1245" s="2" t="s">
        <v>848</v>
      </c>
      <c r="M1245" s="4" t="s">
        <v>8419</v>
      </c>
    </row>
    <row r="1246" spans="1:13">
      <c r="A1246" s="2">
        <v>3408</v>
      </c>
      <c r="B1246" s="2" t="s">
        <v>8420</v>
      </c>
      <c r="C1246" s="2">
        <v>22</v>
      </c>
      <c r="D1246" s="2">
        <v>556</v>
      </c>
      <c r="E1246" s="2">
        <v>204</v>
      </c>
      <c r="F1246" s="2">
        <v>32441</v>
      </c>
      <c r="G1246" s="2">
        <v>6.2923367189999997</v>
      </c>
      <c r="H1246" s="3">
        <v>5.0599999999999998E-11</v>
      </c>
      <c r="I1246" s="2" t="s">
        <v>8421</v>
      </c>
      <c r="J1246" s="2" t="s">
        <v>8422</v>
      </c>
      <c r="K1246" s="3">
        <v>1.37E-9</v>
      </c>
      <c r="L1246" s="2" t="s">
        <v>848</v>
      </c>
      <c r="M1246" s="4" t="s">
        <v>8423</v>
      </c>
    </row>
    <row r="1247" spans="1:13">
      <c r="A1247" s="2">
        <v>5885</v>
      </c>
      <c r="B1247" s="2" t="s">
        <v>8424</v>
      </c>
      <c r="C1247" s="2">
        <v>25</v>
      </c>
      <c r="D1247" s="2">
        <v>556</v>
      </c>
      <c r="E1247" s="2">
        <v>271</v>
      </c>
      <c r="F1247" s="2">
        <v>32441</v>
      </c>
      <c r="G1247" s="2">
        <v>5.382575858</v>
      </c>
      <c r="H1247" s="3">
        <v>5.4000000000000001E-11</v>
      </c>
      <c r="I1247" s="2" t="s">
        <v>8425</v>
      </c>
      <c r="J1247" s="2" t="s">
        <v>8426</v>
      </c>
      <c r="K1247" s="3">
        <v>1.4599999999999999E-9</v>
      </c>
      <c r="L1247" s="2" t="s">
        <v>848</v>
      </c>
      <c r="M1247" s="4" t="s">
        <v>8427</v>
      </c>
    </row>
    <row r="1248" spans="1:13">
      <c r="A1248" s="2">
        <v>1372</v>
      </c>
      <c r="B1248" s="2" t="s">
        <v>8428</v>
      </c>
      <c r="C1248" s="2">
        <v>16</v>
      </c>
      <c r="D1248" s="2">
        <v>556</v>
      </c>
      <c r="E1248" s="2">
        <v>94</v>
      </c>
      <c r="F1248" s="2">
        <v>32441</v>
      </c>
      <c r="G1248" s="2">
        <v>9.9314250729999998</v>
      </c>
      <c r="H1248" s="3">
        <v>5.5399999999999997E-11</v>
      </c>
      <c r="I1248" s="2" t="s">
        <v>8429</v>
      </c>
      <c r="J1248" s="2" t="s">
        <v>8430</v>
      </c>
      <c r="K1248" s="3">
        <v>1.49E-9</v>
      </c>
      <c r="L1248" s="2" t="s">
        <v>848</v>
      </c>
      <c r="M1248" s="4" t="s">
        <v>8431</v>
      </c>
    </row>
    <row r="1249" spans="1:13">
      <c r="A1249" s="2">
        <v>61</v>
      </c>
      <c r="B1249" s="2" t="s">
        <v>8432</v>
      </c>
      <c r="C1249" s="2">
        <v>12</v>
      </c>
      <c r="D1249" s="2">
        <v>556</v>
      </c>
      <c r="E1249" s="2">
        <v>41</v>
      </c>
      <c r="F1249" s="2">
        <v>32441</v>
      </c>
      <c r="G1249" s="2">
        <v>17.077206530000002</v>
      </c>
      <c r="H1249" s="3">
        <v>6.6300000000000006E-11</v>
      </c>
      <c r="I1249" s="2" t="s">
        <v>8433</v>
      </c>
      <c r="J1249" s="2" t="s">
        <v>8434</v>
      </c>
      <c r="K1249" s="3">
        <v>1.7800000000000001E-9</v>
      </c>
      <c r="L1249" s="2" t="s">
        <v>848</v>
      </c>
      <c r="M1249" s="4" t="s">
        <v>8435</v>
      </c>
    </row>
    <row r="1250" spans="1:13">
      <c r="A1250" s="2">
        <v>1733</v>
      </c>
      <c r="B1250" s="2" t="s">
        <v>8436</v>
      </c>
      <c r="C1250" s="2">
        <v>21</v>
      </c>
      <c r="D1250" s="2">
        <v>556</v>
      </c>
      <c r="E1250" s="2">
        <v>187</v>
      </c>
      <c r="F1250" s="2">
        <v>32441</v>
      </c>
      <c r="G1250" s="2">
        <v>6.5523506329999996</v>
      </c>
      <c r="H1250" s="3">
        <v>7.0099999999999996E-11</v>
      </c>
      <c r="I1250" s="2" t="s">
        <v>8437</v>
      </c>
      <c r="J1250" s="2" t="s">
        <v>8438</v>
      </c>
      <c r="K1250" s="3">
        <v>1.87E-9</v>
      </c>
      <c r="L1250" s="2" t="s">
        <v>848</v>
      </c>
      <c r="M1250" s="4" t="s">
        <v>8439</v>
      </c>
    </row>
    <row r="1251" spans="1:13">
      <c r="A1251" s="2">
        <v>1502</v>
      </c>
      <c r="B1251" s="2" t="s">
        <v>8440</v>
      </c>
      <c r="C1251" s="2">
        <v>11</v>
      </c>
      <c r="D1251" s="2">
        <v>556</v>
      </c>
      <c r="E1251" s="2">
        <v>31</v>
      </c>
      <c r="F1251" s="2">
        <v>32441</v>
      </c>
      <c r="G1251" s="2">
        <v>20.70381759</v>
      </c>
      <c r="H1251" s="3">
        <v>7.5199999999999996E-11</v>
      </c>
      <c r="I1251" s="2" t="s">
        <v>8441</v>
      </c>
      <c r="J1251" s="2" t="s">
        <v>8442</v>
      </c>
      <c r="K1251" s="3">
        <v>2.0000000000000001E-9</v>
      </c>
      <c r="L1251" s="2" t="s">
        <v>848</v>
      </c>
      <c r="M1251" s="4" t="s">
        <v>8443</v>
      </c>
    </row>
    <row r="1252" spans="1:13">
      <c r="A1252" s="2">
        <v>5096</v>
      </c>
      <c r="B1252" s="2" t="s">
        <v>8444</v>
      </c>
      <c r="C1252" s="2">
        <v>25</v>
      </c>
      <c r="D1252" s="2">
        <v>556</v>
      </c>
      <c r="E1252" s="2">
        <v>277</v>
      </c>
      <c r="F1252" s="2">
        <v>32441</v>
      </c>
      <c r="G1252" s="2">
        <v>5.2659857670000001</v>
      </c>
      <c r="H1252" s="3">
        <v>8.2999999999999998E-11</v>
      </c>
      <c r="I1252" s="2" t="s">
        <v>8445</v>
      </c>
      <c r="J1252" s="2" t="s">
        <v>8446</v>
      </c>
      <c r="K1252" s="3">
        <v>2.1900000000000001E-9</v>
      </c>
      <c r="L1252" s="2" t="s">
        <v>848</v>
      </c>
      <c r="M1252" s="4" t="s">
        <v>8447</v>
      </c>
    </row>
    <row r="1253" spans="1:13">
      <c r="A1253" s="2">
        <v>4068</v>
      </c>
      <c r="B1253" s="2" t="s">
        <v>8448</v>
      </c>
      <c r="C1253" s="2">
        <v>13</v>
      </c>
      <c r="D1253" s="2">
        <v>556</v>
      </c>
      <c r="E1253" s="2">
        <v>54</v>
      </c>
      <c r="F1253" s="2">
        <v>32441</v>
      </c>
      <c r="G1253" s="2">
        <v>14.04652944</v>
      </c>
      <c r="H1253" s="3">
        <v>8.4899999999999999E-11</v>
      </c>
      <c r="I1253" s="2" t="s">
        <v>8449</v>
      </c>
      <c r="J1253" s="2" t="s">
        <v>8450</v>
      </c>
      <c r="K1253" s="3">
        <v>2.23E-9</v>
      </c>
      <c r="L1253" s="2" t="s">
        <v>848</v>
      </c>
      <c r="M1253" s="4" t="s">
        <v>8451</v>
      </c>
    </row>
    <row r="1254" spans="1:13">
      <c r="A1254" s="2">
        <v>3746</v>
      </c>
      <c r="B1254" s="2" t="s">
        <v>8452</v>
      </c>
      <c r="C1254" s="2">
        <v>15</v>
      </c>
      <c r="D1254" s="2">
        <v>556</v>
      </c>
      <c r="E1254" s="2">
        <v>82</v>
      </c>
      <c r="F1254" s="2">
        <v>32441</v>
      </c>
      <c r="G1254" s="2">
        <v>10.67325408</v>
      </c>
      <c r="H1254" s="3">
        <v>9.0400000000000006E-11</v>
      </c>
      <c r="I1254" s="2" t="s">
        <v>8453</v>
      </c>
      <c r="J1254" s="2" t="s">
        <v>8454</v>
      </c>
      <c r="K1254" s="3">
        <v>2.3699999999999999E-9</v>
      </c>
      <c r="L1254" s="2" t="s">
        <v>848</v>
      </c>
      <c r="M1254" s="4" t="s">
        <v>8455</v>
      </c>
    </row>
    <row r="1255" spans="1:13">
      <c r="A1255" s="2">
        <v>4639</v>
      </c>
      <c r="B1255" s="2" t="s">
        <v>8456</v>
      </c>
      <c r="C1255" s="2">
        <v>19</v>
      </c>
      <c r="D1255" s="2">
        <v>556</v>
      </c>
      <c r="E1255" s="2">
        <v>152</v>
      </c>
      <c r="F1255" s="2">
        <v>32441</v>
      </c>
      <c r="G1255" s="2">
        <v>7.2933902880000003</v>
      </c>
      <c r="H1255" s="3">
        <v>1.09E-10</v>
      </c>
      <c r="I1255" s="2" t="s">
        <v>8457</v>
      </c>
      <c r="J1255" s="2" t="s">
        <v>8458</v>
      </c>
      <c r="K1255" s="3">
        <v>2.8299999999999999E-9</v>
      </c>
      <c r="L1255" s="2" t="s">
        <v>848</v>
      </c>
      <c r="M1255" s="4" t="s">
        <v>8459</v>
      </c>
    </row>
    <row r="1256" spans="1:13">
      <c r="A1256" s="2">
        <v>2851</v>
      </c>
      <c r="B1256" s="2" t="s">
        <v>8460</v>
      </c>
      <c r="C1256" s="2">
        <v>16</v>
      </c>
      <c r="D1256" s="2">
        <v>556</v>
      </c>
      <c r="E1256" s="2">
        <v>99</v>
      </c>
      <c r="F1256" s="2">
        <v>32441</v>
      </c>
      <c r="G1256" s="2">
        <v>9.4298379479999994</v>
      </c>
      <c r="H1256" s="3">
        <v>1.0999999999999999E-10</v>
      </c>
      <c r="I1256" s="2" t="s">
        <v>8461</v>
      </c>
      <c r="J1256" s="2" t="s">
        <v>8462</v>
      </c>
      <c r="K1256" s="3">
        <v>2.8499999999999999E-9</v>
      </c>
      <c r="L1256" s="2" t="s">
        <v>848</v>
      </c>
      <c r="M1256" s="4" t="s">
        <v>8463</v>
      </c>
    </row>
    <row r="1257" spans="1:13">
      <c r="A1257" s="2">
        <v>3070</v>
      </c>
      <c r="B1257" s="2" t="s">
        <v>8464</v>
      </c>
      <c r="C1257" s="2">
        <v>50</v>
      </c>
      <c r="D1257" s="2">
        <v>556</v>
      </c>
      <c r="E1257" s="2">
        <v>1021</v>
      </c>
      <c r="F1257" s="2">
        <v>32441</v>
      </c>
      <c r="G1257" s="2">
        <v>2.8573517289999999</v>
      </c>
      <c r="H1257" s="3">
        <v>1.1399999999999999E-10</v>
      </c>
      <c r="I1257" s="3" t="s">
        <v>8465</v>
      </c>
      <c r="J1257" s="3" t="s">
        <v>8466</v>
      </c>
      <c r="K1257" s="3">
        <v>2.9400000000000002E-9</v>
      </c>
      <c r="L1257" s="2" t="s">
        <v>848</v>
      </c>
      <c r="M1257" s="4" t="s">
        <v>8467</v>
      </c>
    </row>
    <row r="1258" spans="1:13">
      <c r="A1258" s="2">
        <v>3255</v>
      </c>
      <c r="B1258" s="2" t="s">
        <v>8468</v>
      </c>
      <c r="C1258" s="2">
        <v>36</v>
      </c>
      <c r="D1258" s="2">
        <v>556</v>
      </c>
      <c r="E1258" s="2">
        <v>576</v>
      </c>
      <c r="F1258" s="2">
        <v>32441</v>
      </c>
      <c r="G1258" s="2">
        <v>3.6466951440000002</v>
      </c>
      <c r="H1258" s="3">
        <v>1.1800000000000001E-10</v>
      </c>
      <c r="I1258" s="2" t="s">
        <v>8469</v>
      </c>
      <c r="J1258" s="2" t="s">
        <v>8470</v>
      </c>
      <c r="K1258" s="3">
        <v>3.0399999999999998E-9</v>
      </c>
      <c r="L1258" s="2" t="s">
        <v>848</v>
      </c>
      <c r="M1258" s="4" t="s">
        <v>8471</v>
      </c>
    </row>
    <row r="1259" spans="1:13">
      <c r="A1259" s="2">
        <v>4978</v>
      </c>
      <c r="B1259" s="2" t="s">
        <v>8472</v>
      </c>
      <c r="C1259" s="2">
        <v>43</v>
      </c>
      <c r="D1259" s="2">
        <v>556</v>
      </c>
      <c r="E1259" s="2">
        <v>793</v>
      </c>
      <c r="F1259" s="2">
        <v>32441</v>
      </c>
      <c r="G1259" s="2">
        <v>3.1638414359999998</v>
      </c>
      <c r="H1259" s="3">
        <v>1.28E-10</v>
      </c>
      <c r="I1259" s="2" t="s">
        <v>8473</v>
      </c>
      <c r="J1259" s="2" t="s">
        <v>8474</v>
      </c>
      <c r="K1259" s="3">
        <v>3.2700000000000001E-9</v>
      </c>
      <c r="L1259" s="2" t="s">
        <v>848</v>
      </c>
      <c r="M1259" s="4" t="s">
        <v>8475</v>
      </c>
    </row>
    <row r="1260" spans="1:13">
      <c r="A1260" s="2">
        <v>4419</v>
      </c>
      <c r="B1260" s="2" t="s">
        <v>8476</v>
      </c>
      <c r="C1260" s="2">
        <v>16</v>
      </c>
      <c r="D1260" s="2">
        <v>556</v>
      </c>
      <c r="E1260" s="2">
        <v>101</v>
      </c>
      <c r="F1260" s="2">
        <v>32441</v>
      </c>
      <c r="G1260" s="2">
        <v>9.2431084840000004</v>
      </c>
      <c r="H1260" s="3">
        <v>1.43E-10</v>
      </c>
      <c r="I1260" s="2" t="s">
        <v>8477</v>
      </c>
      <c r="J1260" s="2" t="s">
        <v>8478</v>
      </c>
      <c r="K1260" s="3">
        <v>3.65E-9</v>
      </c>
      <c r="L1260" s="2" t="s">
        <v>848</v>
      </c>
      <c r="M1260" s="4" t="s">
        <v>8479</v>
      </c>
    </row>
    <row r="1261" spans="1:13">
      <c r="A1261" s="2">
        <v>3011</v>
      </c>
      <c r="B1261" s="2" t="s">
        <v>8480</v>
      </c>
      <c r="C1261" s="2">
        <v>53</v>
      </c>
      <c r="D1261" s="2">
        <v>556</v>
      </c>
      <c r="E1261" s="2">
        <v>1135</v>
      </c>
      <c r="F1261" s="2">
        <v>32441</v>
      </c>
      <c r="G1261" s="2">
        <v>2.7245792789999999</v>
      </c>
      <c r="H1261" s="3">
        <v>1.57E-10</v>
      </c>
      <c r="I1261" s="3" t="s">
        <v>8481</v>
      </c>
      <c r="J1261" s="3" t="s">
        <v>8482</v>
      </c>
      <c r="K1261" s="3">
        <v>4.0000000000000002E-9</v>
      </c>
      <c r="L1261" s="2" t="s">
        <v>848</v>
      </c>
      <c r="M1261" s="4" t="s">
        <v>8483</v>
      </c>
    </row>
    <row r="1262" spans="1:13">
      <c r="A1262" s="2">
        <v>3870</v>
      </c>
      <c r="B1262" s="2" t="s">
        <v>8484</v>
      </c>
      <c r="C1262" s="2">
        <v>15</v>
      </c>
      <c r="D1262" s="2">
        <v>556</v>
      </c>
      <c r="E1262" s="2">
        <v>86</v>
      </c>
      <c r="F1262" s="2">
        <v>32441</v>
      </c>
      <c r="G1262" s="2">
        <v>10.17682366</v>
      </c>
      <c r="H1262" s="3">
        <v>1.6300000000000001E-10</v>
      </c>
      <c r="I1262" s="2" t="s">
        <v>8485</v>
      </c>
      <c r="J1262" s="2" t="s">
        <v>8486</v>
      </c>
      <c r="K1262" s="3">
        <v>4.1299999999999996E-9</v>
      </c>
      <c r="L1262" s="2" t="s">
        <v>848</v>
      </c>
      <c r="M1262" s="4" t="s">
        <v>8487</v>
      </c>
    </row>
    <row r="1263" spans="1:13">
      <c r="A1263" s="2">
        <v>5016</v>
      </c>
      <c r="B1263" s="2" t="s">
        <v>8488</v>
      </c>
      <c r="C1263" s="2">
        <v>36</v>
      </c>
      <c r="D1263" s="2">
        <v>556</v>
      </c>
      <c r="E1263" s="2">
        <v>587</v>
      </c>
      <c r="F1263" s="2">
        <v>32441</v>
      </c>
      <c r="G1263" s="2">
        <v>3.578358438</v>
      </c>
      <c r="H1263" s="3">
        <v>1.9200000000000001E-10</v>
      </c>
      <c r="I1263" s="2" t="s">
        <v>8489</v>
      </c>
      <c r="J1263" s="2" t="s">
        <v>8490</v>
      </c>
      <c r="K1263" s="3">
        <v>4.8399999999999998E-9</v>
      </c>
      <c r="L1263" s="2" t="s">
        <v>848</v>
      </c>
      <c r="M1263" s="4" t="s">
        <v>8491</v>
      </c>
    </row>
    <row r="1264" spans="1:13">
      <c r="A1264" s="2">
        <v>21291</v>
      </c>
      <c r="B1264" s="2" t="s">
        <v>8492</v>
      </c>
      <c r="C1264" s="2">
        <v>12</v>
      </c>
      <c r="D1264" s="2">
        <v>556</v>
      </c>
      <c r="E1264" s="2">
        <v>46</v>
      </c>
      <c r="F1264" s="2">
        <v>32441</v>
      </c>
      <c r="G1264" s="2">
        <v>15.22098843</v>
      </c>
      <c r="H1264" s="3">
        <v>2.0499999999999999E-10</v>
      </c>
      <c r="I1264" s="2" t="s">
        <v>8493</v>
      </c>
      <c r="J1264" s="2" t="s">
        <v>8494</v>
      </c>
      <c r="K1264" s="3">
        <v>5.1499999999999998E-9</v>
      </c>
      <c r="L1264" s="2" t="s">
        <v>848</v>
      </c>
      <c r="M1264" s="4" t="s">
        <v>8495</v>
      </c>
    </row>
    <row r="1265" spans="1:13">
      <c r="A1265" s="2">
        <v>34571</v>
      </c>
      <c r="B1265" s="2" t="s">
        <v>8496</v>
      </c>
      <c r="C1265" s="2">
        <v>68</v>
      </c>
      <c r="D1265" s="2">
        <v>556</v>
      </c>
      <c r="E1265" s="2">
        <v>1710</v>
      </c>
      <c r="F1265" s="2">
        <v>32441</v>
      </c>
      <c r="G1265" s="2">
        <v>2.3202364420000001</v>
      </c>
      <c r="H1265" s="3">
        <v>2.7900000000000002E-10</v>
      </c>
      <c r="I1265" s="3" t="s">
        <v>8497</v>
      </c>
      <c r="J1265" s="3" t="s">
        <v>8498</v>
      </c>
      <c r="K1265" s="3">
        <v>6.9699999999999997E-9</v>
      </c>
      <c r="L1265" s="2" t="s">
        <v>848</v>
      </c>
      <c r="M1265" s="4" t="s">
        <v>8499</v>
      </c>
    </row>
    <row r="1266" spans="1:13">
      <c r="A1266" s="2">
        <v>2642</v>
      </c>
      <c r="B1266" s="2" t="s">
        <v>8500</v>
      </c>
      <c r="C1266" s="2">
        <v>19</v>
      </c>
      <c r="D1266" s="2">
        <v>556</v>
      </c>
      <c r="E1266" s="2">
        <v>162</v>
      </c>
      <c r="F1266" s="2">
        <v>32441</v>
      </c>
      <c r="G1266" s="2">
        <v>6.8431810110000004</v>
      </c>
      <c r="H1266" s="3">
        <v>2.8999999999999998E-10</v>
      </c>
      <c r="I1266" s="2" t="s">
        <v>8501</v>
      </c>
      <c r="J1266" s="2" t="s">
        <v>8502</v>
      </c>
      <c r="K1266" s="3">
        <v>7.2099999999999997E-9</v>
      </c>
      <c r="L1266" s="2" t="s">
        <v>848</v>
      </c>
      <c r="M1266" s="4" t="s">
        <v>8503</v>
      </c>
    </row>
    <row r="1267" spans="1:13">
      <c r="A1267" s="2">
        <v>41821</v>
      </c>
      <c r="B1267" s="2" t="s">
        <v>8504</v>
      </c>
      <c r="C1267" s="2">
        <v>33</v>
      </c>
      <c r="D1267" s="2">
        <v>556</v>
      </c>
      <c r="E1267" s="2">
        <v>514</v>
      </c>
      <c r="F1267" s="2">
        <v>32441</v>
      </c>
      <c r="G1267" s="2">
        <v>3.7460214710000002</v>
      </c>
      <c r="H1267" s="3">
        <v>3.7599999999999999E-10</v>
      </c>
      <c r="I1267" s="2" t="s">
        <v>8505</v>
      </c>
      <c r="J1267" s="2" t="s">
        <v>8506</v>
      </c>
      <c r="K1267" s="3">
        <v>9.3000000000000006E-9</v>
      </c>
      <c r="L1267" s="2" t="s">
        <v>848</v>
      </c>
      <c r="M1267" s="4" t="s">
        <v>8507</v>
      </c>
    </row>
    <row r="1268" spans="1:13">
      <c r="A1268" s="2">
        <v>36861</v>
      </c>
      <c r="B1268" s="2" t="s">
        <v>8508</v>
      </c>
      <c r="C1268" s="2">
        <v>43</v>
      </c>
      <c r="D1268" s="2">
        <v>556</v>
      </c>
      <c r="E1268" s="2">
        <v>823</v>
      </c>
      <c r="F1268" s="2">
        <v>32441</v>
      </c>
      <c r="G1268" s="2">
        <v>3.0485130730000001</v>
      </c>
      <c r="H1268" s="3">
        <v>3.7899999999999998E-10</v>
      </c>
      <c r="I1268" s="2" t="s">
        <v>8509</v>
      </c>
      <c r="J1268" s="2" t="s">
        <v>8510</v>
      </c>
      <c r="K1268" s="3">
        <v>9.3499999999999994E-9</v>
      </c>
      <c r="L1268" s="2" t="s">
        <v>848</v>
      </c>
      <c r="M1268" s="4" t="s">
        <v>8511</v>
      </c>
    </row>
    <row r="1269" spans="1:13">
      <c r="A1269" s="2">
        <v>4870</v>
      </c>
      <c r="B1269" s="2" t="s">
        <v>8512</v>
      </c>
      <c r="C1269" s="2">
        <v>30</v>
      </c>
      <c r="D1269" s="2">
        <v>556</v>
      </c>
      <c r="E1269" s="2">
        <v>430</v>
      </c>
      <c r="F1269" s="2">
        <v>32441</v>
      </c>
      <c r="G1269" s="2">
        <v>4.0707294630000002</v>
      </c>
      <c r="H1269" s="3">
        <v>3.8400000000000002E-10</v>
      </c>
      <c r="I1269" s="2" t="s">
        <v>8513</v>
      </c>
      <c r="J1269" s="2" t="s">
        <v>8514</v>
      </c>
      <c r="K1269" s="3">
        <v>9.4300000000000007E-9</v>
      </c>
      <c r="L1269" s="2" t="s">
        <v>848</v>
      </c>
      <c r="M1269" s="4" t="s">
        <v>8515</v>
      </c>
    </row>
    <row r="1270" spans="1:13">
      <c r="A1270" s="2">
        <v>2384</v>
      </c>
      <c r="B1270" s="2" t="s">
        <v>8516</v>
      </c>
      <c r="C1270" s="2">
        <v>11</v>
      </c>
      <c r="D1270" s="2">
        <v>556</v>
      </c>
      <c r="E1270" s="2">
        <v>38</v>
      </c>
      <c r="F1270" s="2">
        <v>32441</v>
      </c>
      <c r="G1270" s="2">
        <v>16.889956460000001</v>
      </c>
      <c r="H1270" s="3">
        <v>4.6000000000000001E-10</v>
      </c>
      <c r="I1270" s="2" t="s">
        <v>8517</v>
      </c>
      <c r="J1270" s="2" t="s">
        <v>8518</v>
      </c>
      <c r="K1270" s="3">
        <v>1.13E-8</v>
      </c>
      <c r="L1270" s="2" t="s">
        <v>848</v>
      </c>
      <c r="M1270" s="4" t="s">
        <v>8519</v>
      </c>
    </row>
    <row r="1271" spans="1:13">
      <c r="A1271" s="2">
        <v>5501</v>
      </c>
      <c r="B1271" s="2" t="s">
        <v>8520</v>
      </c>
      <c r="C1271" s="2">
        <v>54</v>
      </c>
      <c r="D1271" s="2">
        <v>556</v>
      </c>
      <c r="E1271" s="2">
        <v>1209</v>
      </c>
      <c r="F1271" s="2">
        <v>32441</v>
      </c>
      <c r="G1271" s="2">
        <v>2.6060749419999998</v>
      </c>
      <c r="H1271" s="3">
        <v>4.8399999999999998E-10</v>
      </c>
      <c r="I1271" s="3" t="s">
        <v>8521</v>
      </c>
      <c r="J1271" s="3" t="s">
        <v>8522</v>
      </c>
      <c r="K1271" s="3">
        <v>1.18E-8</v>
      </c>
      <c r="L1271" s="2" t="s">
        <v>848</v>
      </c>
      <c r="M1271" s="4" t="s">
        <v>8523</v>
      </c>
    </row>
    <row r="1272" spans="1:13">
      <c r="A1272" s="2">
        <v>1902</v>
      </c>
      <c r="B1272" s="2" t="s">
        <v>8524</v>
      </c>
      <c r="C1272" s="2">
        <v>38</v>
      </c>
      <c r="D1272" s="2">
        <v>556</v>
      </c>
      <c r="E1272" s="2">
        <v>672</v>
      </c>
      <c r="F1272" s="2">
        <v>32441</v>
      </c>
      <c r="G1272" s="2">
        <v>3.2993908439999999</v>
      </c>
      <c r="H1272" s="3">
        <v>5.2500000000000005E-10</v>
      </c>
      <c r="I1272" s="2" t="s">
        <v>8525</v>
      </c>
      <c r="J1272" s="2" t="s">
        <v>8526</v>
      </c>
      <c r="K1272" s="3">
        <v>1.27E-8</v>
      </c>
      <c r="L1272" s="2" t="s">
        <v>848</v>
      </c>
      <c r="M1272" s="4" t="s">
        <v>8527</v>
      </c>
    </row>
    <row r="1273" spans="1:13">
      <c r="A1273" s="2">
        <v>2258</v>
      </c>
      <c r="B1273" s="2" t="s">
        <v>8528</v>
      </c>
      <c r="C1273" s="2">
        <v>11</v>
      </c>
      <c r="D1273" s="2">
        <v>556</v>
      </c>
      <c r="E1273" s="2">
        <v>39</v>
      </c>
      <c r="F1273" s="2">
        <v>32441</v>
      </c>
      <c r="G1273" s="2">
        <v>16.456880649999999</v>
      </c>
      <c r="H1273" s="3">
        <v>5.8099999999999996E-10</v>
      </c>
      <c r="I1273" s="2" t="s">
        <v>8529</v>
      </c>
      <c r="J1273" s="2" t="s">
        <v>8530</v>
      </c>
      <c r="K1273" s="3">
        <v>1.4E-8</v>
      </c>
      <c r="L1273" s="2" t="s">
        <v>848</v>
      </c>
      <c r="M1273" s="4" t="s">
        <v>8531</v>
      </c>
    </row>
    <row r="1274" spans="1:13">
      <c r="A1274" s="2">
        <v>3487</v>
      </c>
      <c r="B1274" s="2" t="s">
        <v>8532</v>
      </c>
      <c r="C1274" s="2">
        <v>11</v>
      </c>
      <c r="D1274" s="2">
        <v>556</v>
      </c>
      <c r="E1274" s="2">
        <v>39</v>
      </c>
      <c r="F1274" s="2">
        <v>32441</v>
      </c>
      <c r="G1274" s="2">
        <v>16.456880649999999</v>
      </c>
      <c r="H1274" s="3">
        <v>5.8099999999999996E-10</v>
      </c>
      <c r="I1274" s="2" t="s">
        <v>8533</v>
      </c>
      <c r="J1274" s="2" t="s">
        <v>8534</v>
      </c>
      <c r="K1274" s="3">
        <v>1.4E-8</v>
      </c>
      <c r="L1274" s="2" t="s">
        <v>848</v>
      </c>
      <c r="M1274" s="4" t="s">
        <v>8535</v>
      </c>
    </row>
    <row r="1275" spans="1:13">
      <c r="A1275" s="2">
        <v>5875</v>
      </c>
      <c r="B1275" s="2" t="s">
        <v>8536</v>
      </c>
      <c r="C1275" s="2">
        <v>59</v>
      </c>
      <c r="D1275" s="2">
        <v>556</v>
      </c>
      <c r="E1275" s="2">
        <v>1399</v>
      </c>
      <c r="F1275" s="2">
        <v>32441</v>
      </c>
      <c r="G1275" s="2">
        <v>2.4606720630000001</v>
      </c>
      <c r="H1275" s="3">
        <v>5.8600000000000004E-10</v>
      </c>
      <c r="I1275" s="3" t="s">
        <v>8537</v>
      </c>
      <c r="J1275" s="3" t="s">
        <v>8538</v>
      </c>
      <c r="K1275" s="3">
        <v>1.4E-8</v>
      </c>
      <c r="L1275" s="2" t="s">
        <v>848</v>
      </c>
      <c r="M1275" s="4" t="s">
        <v>8539</v>
      </c>
    </row>
    <row r="1276" spans="1:13">
      <c r="A1276" s="2">
        <v>2782</v>
      </c>
      <c r="B1276" s="2" t="s">
        <v>8540</v>
      </c>
      <c r="C1276" s="2">
        <v>12</v>
      </c>
      <c r="D1276" s="2">
        <v>556</v>
      </c>
      <c r="E1276" s="2">
        <v>52</v>
      </c>
      <c r="F1276" s="2">
        <v>32441</v>
      </c>
      <c r="G1276" s="2">
        <v>13.464720529999999</v>
      </c>
      <c r="H1276" s="3">
        <v>6.9E-10</v>
      </c>
      <c r="I1276" s="2" t="s">
        <v>8541</v>
      </c>
      <c r="J1276" s="2" t="s">
        <v>8542</v>
      </c>
      <c r="K1276" s="3">
        <v>1.6499999999999999E-8</v>
      </c>
      <c r="L1276" s="2" t="s">
        <v>848</v>
      </c>
      <c r="M1276" s="4" t="s">
        <v>8543</v>
      </c>
    </row>
    <row r="1277" spans="1:13">
      <c r="A1277" s="2">
        <v>3050</v>
      </c>
      <c r="B1277" s="2" t="s">
        <v>8544</v>
      </c>
      <c r="C1277" s="2">
        <v>22</v>
      </c>
      <c r="D1277" s="2">
        <v>556</v>
      </c>
      <c r="E1277" s="2">
        <v>237</v>
      </c>
      <c r="F1277" s="2">
        <v>32441</v>
      </c>
      <c r="G1277" s="2">
        <v>5.4161885679999999</v>
      </c>
      <c r="H1277" s="3">
        <v>6.9599999999999997E-10</v>
      </c>
      <c r="I1277" s="2" t="s">
        <v>8545</v>
      </c>
      <c r="J1277" s="2" t="s">
        <v>8546</v>
      </c>
      <c r="K1277" s="3">
        <v>1.6499999999999999E-8</v>
      </c>
      <c r="L1277" s="2" t="s">
        <v>848</v>
      </c>
      <c r="M1277" s="4" t="s">
        <v>8547</v>
      </c>
    </row>
    <row r="1278" spans="1:13">
      <c r="A1278" s="2">
        <v>4218</v>
      </c>
      <c r="B1278" s="2" t="s">
        <v>8548</v>
      </c>
      <c r="C1278" s="2">
        <v>22</v>
      </c>
      <c r="D1278" s="2">
        <v>556</v>
      </c>
      <c r="E1278" s="2">
        <v>237</v>
      </c>
      <c r="F1278" s="2">
        <v>32441</v>
      </c>
      <c r="G1278" s="2">
        <v>5.4161885679999999</v>
      </c>
      <c r="H1278" s="3">
        <v>6.9599999999999997E-10</v>
      </c>
      <c r="I1278" s="2" t="s">
        <v>8549</v>
      </c>
      <c r="J1278" s="2" t="s">
        <v>8550</v>
      </c>
      <c r="K1278" s="3">
        <v>1.6499999999999999E-8</v>
      </c>
      <c r="L1278" s="2" t="s">
        <v>848</v>
      </c>
      <c r="M1278" s="4" t="s">
        <v>8551</v>
      </c>
    </row>
    <row r="1279" spans="1:13">
      <c r="A1279" s="2">
        <v>275</v>
      </c>
      <c r="B1279" s="2" t="s">
        <v>8552</v>
      </c>
      <c r="C1279" s="2">
        <v>44</v>
      </c>
      <c r="D1279" s="2">
        <v>556</v>
      </c>
      <c r="E1279" s="2">
        <v>874</v>
      </c>
      <c r="F1279" s="2">
        <v>32441</v>
      </c>
      <c r="G1279" s="2">
        <v>2.9373837310000002</v>
      </c>
      <c r="H1279" s="3">
        <v>7.0299999999999995E-10</v>
      </c>
      <c r="I1279" s="2" t="s">
        <v>8553</v>
      </c>
      <c r="J1279" s="2" t="s">
        <v>8554</v>
      </c>
      <c r="K1279" s="3">
        <v>1.6499999999999999E-8</v>
      </c>
      <c r="L1279" s="2" t="s">
        <v>848</v>
      </c>
      <c r="M1279" s="4" t="s">
        <v>8555</v>
      </c>
    </row>
    <row r="1280" spans="1:13">
      <c r="A1280" s="2">
        <v>1205</v>
      </c>
      <c r="B1280" s="2" t="s">
        <v>8556</v>
      </c>
      <c r="C1280" s="2">
        <v>31</v>
      </c>
      <c r="D1280" s="2">
        <v>556</v>
      </c>
      <c r="E1280" s="2">
        <v>470</v>
      </c>
      <c r="F1280" s="2">
        <v>32441</v>
      </c>
      <c r="G1280" s="2">
        <v>3.8484272160000002</v>
      </c>
      <c r="H1280" s="3">
        <v>7.0299999999999995E-10</v>
      </c>
      <c r="I1280" s="2" t="s">
        <v>8557</v>
      </c>
      <c r="J1280" s="2" t="s">
        <v>8558</v>
      </c>
      <c r="K1280" s="3">
        <v>1.6499999999999999E-8</v>
      </c>
      <c r="L1280" s="2" t="s">
        <v>848</v>
      </c>
      <c r="M1280" s="4" t="s">
        <v>8559</v>
      </c>
    </row>
    <row r="1281" spans="1:13">
      <c r="A1281" s="2">
        <v>4698</v>
      </c>
      <c r="B1281" s="2" t="s">
        <v>8560</v>
      </c>
      <c r="C1281" s="2">
        <v>55</v>
      </c>
      <c r="D1281" s="2">
        <v>556</v>
      </c>
      <c r="E1281" s="2">
        <v>1259</v>
      </c>
      <c r="F1281" s="2">
        <v>32441</v>
      </c>
      <c r="G1281" s="2">
        <v>2.5489211489999999</v>
      </c>
      <c r="H1281" s="3">
        <v>7.1000000000000003E-10</v>
      </c>
      <c r="I1281" s="3" t="s">
        <v>8561</v>
      </c>
      <c r="J1281" s="3" t="s">
        <v>8562</v>
      </c>
      <c r="K1281" s="3">
        <v>1.66E-8</v>
      </c>
      <c r="L1281" s="2" t="s">
        <v>848</v>
      </c>
      <c r="M1281" s="4" t="s">
        <v>8563</v>
      </c>
    </row>
    <row r="1282" spans="1:13">
      <c r="A1282" s="2">
        <v>1916</v>
      </c>
      <c r="B1282" s="2" t="s">
        <v>8564</v>
      </c>
      <c r="C1282" s="2">
        <v>9</v>
      </c>
      <c r="D1282" s="2">
        <v>556</v>
      </c>
      <c r="E1282" s="2">
        <v>20</v>
      </c>
      <c r="F1282" s="2">
        <v>32441</v>
      </c>
      <c r="G1282" s="2">
        <v>26.256205040000001</v>
      </c>
      <c r="H1282" s="3">
        <v>7.6199999999999995E-10</v>
      </c>
      <c r="I1282" s="2" t="s">
        <v>8565</v>
      </c>
      <c r="J1282" s="2" t="s">
        <v>8566</v>
      </c>
      <c r="K1282" s="3">
        <v>1.77E-8</v>
      </c>
      <c r="L1282" s="2" t="s">
        <v>848</v>
      </c>
      <c r="M1282" s="4" t="s">
        <v>8567</v>
      </c>
    </row>
    <row r="1283" spans="1:13">
      <c r="A1283" s="2">
        <v>2170</v>
      </c>
      <c r="B1283" s="2" t="s">
        <v>8568</v>
      </c>
      <c r="C1283" s="2">
        <v>46</v>
      </c>
      <c r="D1283" s="2">
        <v>556</v>
      </c>
      <c r="E1283" s="2">
        <v>944</v>
      </c>
      <c r="F1283" s="2">
        <v>32441</v>
      </c>
      <c r="G1283" s="2">
        <v>2.8431860439999999</v>
      </c>
      <c r="H1283" s="3">
        <v>7.6299999999999995E-10</v>
      </c>
      <c r="I1283" s="2" t="s">
        <v>8569</v>
      </c>
      <c r="J1283" s="2" t="s">
        <v>8570</v>
      </c>
      <c r="K1283" s="3">
        <v>1.77E-8</v>
      </c>
      <c r="L1283" s="2" t="s">
        <v>848</v>
      </c>
      <c r="M1283" s="4" t="s">
        <v>8571</v>
      </c>
    </row>
    <row r="1284" spans="1:13">
      <c r="A1284" s="2">
        <v>41981</v>
      </c>
      <c r="B1284" s="2" t="s">
        <v>8572</v>
      </c>
      <c r="C1284" s="2">
        <v>25</v>
      </c>
      <c r="D1284" s="2">
        <v>556</v>
      </c>
      <c r="E1284" s="2">
        <v>311</v>
      </c>
      <c r="F1284" s="2">
        <v>32441</v>
      </c>
      <c r="G1284" s="2">
        <v>4.6902831430000003</v>
      </c>
      <c r="H1284" s="3">
        <v>7.8099999999999999E-10</v>
      </c>
      <c r="I1284" s="2" t="s">
        <v>8573</v>
      </c>
      <c r="J1284" s="2" t="s">
        <v>8574</v>
      </c>
      <c r="K1284" s="3">
        <v>1.81E-8</v>
      </c>
      <c r="L1284" s="2" t="s">
        <v>848</v>
      </c>
      <c r="M1284" s="4" t="s">
        <v>8575</v>
      </c>
    </row>
    <row r="1285" spans="1:13">
      <c r="A1285" s="2">
        <v>3848</v>
      </c>
      <c r="B1285" s="2" t="s">
        <v>1130</v>
      </c>
      <c r="C1285" s="2">
        <v>54</v>
      </c>
      <c r="D1285" s="2">
        <v>556</v>
      </c>
      <c r="E1285" s="2">
        <v>1228</v>
      </c>
      <c r="F1285" s="2">
        <v>32441</v>
      </c>
      <c r="G1285" s="2">
        <v>2.5657529349999999</v>
      </c>
      <c r="H1285" s="3">
        <v>8.2099999999999996E-10</v>
      </c>
      <c r="I1285" s="3" t="s">
        <v>8576</v>
      </c>
      <c r="J1285" s="3" t="s">
        <v>8577</v>
      </c>
      <c r="K1285" s="3">
        <v>1.89E-8</v>
      </c>
      <c r="L1285" s="2" t="s">
        <v>848</v>
      </c>
      <c r="M1285" s="4" t="s">
        <v>8578</v>
      </c>
    </row>
    <row r="1286" spans="1:13">
      <c r="A1286" s="2">
        <v>4766</v>
      </c>
      <c r="B1286" s="2" t="s">
        <v>8579</v>
      </c>
      <c r="C1286" s="2">
        <v>58</v>
      </c>
      <c r="D1286" s="2">
        <v>556</v>
      </c>
      <c r="E1286" s="2">
        <v>1376</v>
      </c>
      <c r="F1286" s="2">
        <v>32441</v>
      </c>
      <c r="G1286" s="2">
        <v>2.4593990510000001</v>
      </c>
      <c r="H1286" s="3">
        <v>8.4599999999999997E-10</v>
      </c>
      <c r="I1286" s="3" t="s">
        <v>8580</v>
      </c>
      <c r="J1286" s="3" t="s">
        <v>8581</v>
      </c>
      <c r="K1286" s="3">
        <v>1.9399999999999998E-8</v>
      </c>
      <c r="L1286" s="2" t="s">
        <v>848</v>
      </c>
      <c r="M1286" s="4" t="s">
        <v>8582</v>
      </c>
    </row>
    <row r="1287" spans="1:13">
      <c r="A1287" s="2">
        <v>1491</v>
      </c>
      <c r="B1287" s="2" t="s">
        <v>8583</v>
      </c>
      <c r="C1287" s="2">
        <v>30</v>
      </c>
      <c r="D1287" s="2">
        <v>556</v>
      </c>
      <c r="E1287" s="2">
        <v>447</v>
      </c>
      <c r="F1287" s="2">
        <v>32441</v>
      </c>
      <c r="G1287" s="2">
        <v>3.915914248</v>
      </c>
      <c r="H1287" s="3">
        <v>9.0699999999999997E-10</v>
      </c>
      <c r="I1287" s="2" t="s">
        <v>8584</v>
      </c>
      <c r="J1287" s="2" t="s">
        <v>8585</v>
      </c>
      <c r="K1287" s="3">
        <v>2.07E-8</v>
      </c>
      <c r="L1287" s="2" t="s">
        <v>848</v>
      </c>
      <c r="M1287" s="4" t="s">
        <v>8586</v>
      </c>
    </row>
    <row r="1288" spans="1:13">
      <c r="A1288" s="2">
        <v>5867</v>
      </c>
      <c r="B1288" s="2" t="s">
        <v>8587</v>
      </c>
      <c r="C1288" s="2">
        <v>21</v>
      </c>
      <c r="D1288" s="2">
        <v>556</v>
      </c>
      <c r="E1288" s="2">
        <v>219</v>
      </c>
      <c r="F1288" s="2">
        <v>32441</v>
      </c>
      <c r="G1288" s="2">
        <v>5.5949295360000004</v>
      </c>
      <c r="H1288" s="3">
        <v>9.9299999999999998E-10</v>
      </c>
      <c r="I1288" s="2" t="s">
        <v>8588</v>
      </c>
      <c r="J1288" s="2" t="s">
        <v>8589</v>
      </c>
      <c r="K1288" s="3">
        <v>2.2600000000000001E-8</v>
      </c>
      <c r="L1288" s="2" t="s">
        <v>848</v>
      </c>
      <c r="M1288" s="4" t="s">
        <v>8590</v>
      </c>
    </row>
    <row r="1289" spans="1:13">
      <c r="A1289" s="2">
        <v>866</v>
      </c>
      <c r="B1289" s="2" t="s">
        <v>8591</v>
      </c>
      <c r="C1289" s="2">
        <v>69</v>
      </c>
      <c r="D1289" s="2">
        <v>556</v>
      </c>
      <c r="E1289" s="2">
        <v>1805</v>
      </c>
      <c r="F1289" s="2">
        <v>32441</v>
      </c>
      <c r="G1289" s="2">
        <v>2.2304440099999998</v>
      </c>
      <c r="H1289" s="3">
        <v>1.0000000000000001E-9</v>
      </c>
      <c r="I1289" s="3" t="s">
        <v>8592</v>
      </c>
      <c r="J1289" s="3" t="s">
        <v>8593</v>
      </c>
      <c r="K1289" s="3">
        <v>2.2799999999999999E-8</v>
      </c>
      <c r="L1289" s="2" t="s">
        <v>848</v>
      </c>
      <c r="M1289" s="4" t="s">
        <v>8594</v>
      </c>
    </row>
    <row r="1290" spans="1:13">
      <c r="A1290" s="2">
        <v>2697</v>
      </c>
      <c r="B1290" s="2" t="s">
        <v>8595</v>
      </c>
      <c r="C1290" s="2">
        <v>8</v>
      </c>
      <c r="D1290" s="2">
        <v>556</v>
      </c>
      <c r="E1290" s="2">
        <v>13</v>
      </c>
      <c r="F1290" s="2">
        <v>32441</v>
      </c>
      <c r="G1290" s="2">
        <v>35.905921419999999</v>
      </c>
      <c r="H1290" s="3">
        <v>1.0399999999999999E-9</v>
      </c>
      <c r="I1290" s="2" t="s">
        <v>8596</v>
      </c>
      <c r="J1290" s="2" t="s">
        <v>8597</v>
      </c>
      <c r="K1290" s="3">
        <v>2.3400000000000001E-8</v>
      </c>
      <c r="L1290" s="2" t="s">
        <v>848</v>
      </c>
      <c r="M1290" s="4" t="s">
        <v>8598</v>
      </c>
    </row>
    <row r="1291" spans="1:13">
      <c r="A1291" s="2">
        <v>5194</v>
      </c>
      <c r="B1291" s="2" t="s">
        <v>8599</v>
      </c>
      <c r="C1291" s="2">
        <v>39</v>
      </c>
      <c r="D1291" s="2">
        <v>556</v>
      </c>
      <c r="E1291" s="2">
        <v>722</v>
      </c>
      <c r="F1291" s="2">
        <v>32441</v>
      </c>
      <c r="G1291" s="2">
        <v>3.151714363</v>
      </c>
      <c r="H1291" s="3">
        <v>1.0600000000000001E-9</v>
      </c>
      <c r="I1291" s="2" t="s">
        <v>8600</v>
      </c>
      <c r="J1291" s="2" t="s">
        <v>8601</v>
      </c>
      <c r="K1291" s="3">
        <v>2.3800000000000001E-8</v>
      </c>
      <c r="L1291" s="2" t="s">
        <v>848</v>
      </c>
      <c r="M1291" s="4" t="s">
        <v>8602</v>
      </c>
    </row>
    <row r="1292" spans="1:13">
      <c r="A1292" s="2">
        <v>2451</v>
      </c>
      <c r="B1292" s="2" t="s">
        <v>8603</v>
      </c>
      <c r="C1292" s="2">
        <v>9</v>
      </c>
      <c r="D1292" s="2">
        <v>556</v>
      </c>
      <c r="E1292" s="2">
        <v>21</v>
      </c>
      <c r="F1292" s="2">
        <v>32441</v>
      </c>
      <c r="G1292" s="2">
        <v>25.005909559999999</v>
      </c>
      <c r="H1292" s="3">
        <v>1.07E-9</v>
      </c>
      <c r="I1292" s="2" t="s">
        <v>8604</v>
      </c>
      <c r="J1292" s="2" t="s">
        <v>8605</v>
      </c>
      <c r="K1292" s="3">
        <v>2.4E-8</v>
      </c>
      <c r="L1292" s="2" t="s">
        <v>848</v>
      </c>
      <c r="M1292" s="4" t="s">
        <v>8606</v>
      </c>
    </row>
    <row r="1293" spans="1:13">
      <c r="A1293" s="2">
        <v>38661</v>
      </c>
      <c r="B1293" s="2" t="s">
        <v>8607</v>
      </c>
      <c r="C1293" s="2">
        <v>27</v>
      </c>
      <c r="D1293" s="2">
        <v>556</v>
      </c>
      <c r="E1293" s="2">
        <v>370</v>
      </c>
      <c r="F1293" s="2">
        <v>32441</v>
      </c>
      <c r="G1293" s="2">
        <v>4.2577629789999998</v>
      </c>
      <c r="H1293" s="3">
        <v>1.1800000000000001E-9</v>
      </c>
      <c r="I1293" s="2" t="s">
        <v>8608</v>
      </c>
      <c r="J1293" s="2" t="s">
        <v>8609</v>
      </c>
      <c r="K1293" s="3">
        <v>2.6400000000000001E-8</v>
      </c>
      <c r="L1293" s="2" t="s">
        <v>848</v>
      </c>
      <c r="M1293" s="4" t="s">
        <v>8610</v>
      </c>
    </row>
    <row r="1294" spans="1:13">
      <c r="A1294" s="2">
        <v>3878</v>
      </c>
      <c r="B1294" s="2" t="s">
        <v>8611</v>
      </c>
      <c r="C1294" s="2">
        <v>15</v>
      </c>
      <c r="D1294" s="2">
        <v>556</v>
      </c>
      <c r="E1294" s="2">
        <v>102</v>
      </c>
      <c r="F1294" s="2">
        <v>32441</v>
      </c>
      <c r="G1294" s="2">
        <v>8.5804591620000004</v>
      </c>
      <c r="H1294" s="3">
        <v>1.3500000000000001E-9</v>
      </c>
      <c r="I1294" s="2" t="s">
        <v>8612</v>
      </c>
      <c r="J1294" s="2" t="s">
        <v>8613</v>
      </c>
      <c r="K1294" s="3">
        <v>3.0099999999999998E-8</v>
      </c>
      <c r="L1294" s="2" t="s">
        <v>848</v>
      </c>
      <c r="M1294" s="4" t="s">
        <v>8614</v>
      </c>
    </row>
    <row r="1295" spans="1:13">
      <c r="A1295" s="2">
        <v>3763</v>
      </c>
      <c r="B1295" s="2" t="s">
        <v>8615</v>
      </c>
      <c r="C1295" s="2">
        <v>30</v>
      </c>
      <c r="D1295" s="2">
        <v>556</v>
      </c>
      <c r="E1295" s="2">
        <v>457</v>
      </c>
      <c r="F1295" s="2">
        <v>32441</v>
      </c>
      <c r="G1295" s="2">
        <v>3.830226847</v>
      </c>
      <c r="H1295" s="3">
        <v>1.4700000000000001E-9</v>
      </c>
      <c r="I1295" s="2" t="s">
        <v>8616</v>
      </c>
      <c r="J1295" s="2" t="s">
        <v>8617</v>
      </c>
      <c r="K1295" s="3">
        <v>3.2700000000000002E-8</v>
      </c>
      <c r="L1295" s="2" t="s">
        <v>848</v>
      </c>
      <c r="M1295" s="4" t="s">
        <v>8618</v>
      </c>
    </row>
    <row r="1296" spans="1:13">
      <c r="A1296" s="2">
        <v>2757</v>
      </c>
      <c r="B1296" s="2" t="s">
        <v>8619</v>
      </c>
      <c r="C1296" s="2">
        <v>9</v>
      </c>
      <c r="D1296" s="2">
        <v>556</v>
      </c>
      <c r="E1296" s="2">
        <v>22</v>
      </c>
      <c r="F1296" s="2">
        <v>32441</v>
      </c>
      <c r="G1296" s="2">
        <v>23.869277310000001</v>
      </c>
      <c r="H1296" s="3">
        <v>1.49E-9</v>
      </c>
      <c r="I1296" s="2" t="s">
        <v>8620</v>
      </c>
      <c r="J1296" s="2" t="s">
        <v>8621</v>
      </c>
      <c r="K1296" s="3">
        <v>3.2899999999999997E-8</v>
      </c>
      <c r="L1296" s="2" t="s">
        <v>848</v>
      </c>
      <c r="M1296" s="4" t="s">
        <v>8622</v>
      </c>
    </row>
    <row r="1297" spans="1:13">
      <c r="A1297" s="2">
        <v>4948</v>
      </c>
      <c r="B1297" s="2" t="s">
        <v>8623</v>
      </c>
      <c r="C1297" s="2">
        <v>26</v>
      </c>
      <c r="D1297" s="2">
        <v>556</v>
      </c>
      <c r="E1297" s="2">
        <v>350</v>
      </c>
      <c r="F1297" s="2">
        <v>32441</v>
      </c>
      <c r="G1297" s="2">
        <v>4.334357657</v>
      </c>
      <c r="H1297" s="3">
        <v>1.6999999999999999E-9</v>
      </c>
      <c r="I1297" s="2" t="s">
        <v>8624</v>
      </c>
      <c r="J1297" s="2" t="s">
        <v>8625</v>
      </c>
      <c r="K1297" s="3">
        <v>3.7399999999999997E-8</v>
      </c>
      <c r="L1297" s="2" t="s">
        <v>848</v>
      </c>
      <c r="M1297" s="4" t="s">
        <v>8626</v>
      </c>
    </row>
    <row r="1298" spans="1:13">
      <c r="A1298" s="2">
        <v>4909</v>
      </c>
      <c r="B1298" s="2" t="s">
        <v>8627</v>
      </c>
      <c r="C1298" s="2">
        <v>23</v>
      </c>
      <c r="D1298" s="2">
        <v>556</v>
      </c>
      <c r="E1298" s="2">
        <v>275</v>
      </c>
      <c r="F1298" s="2">
        <v>32441</v>
      </c>
      <c r="G1298" s="2">
        <v>4.8799411380000004</v>
      </c>
      <c r="H1298" s="3">
        <v>1.85E-9</v>
      </c>
      <c r="I1298" s="2" t="s">
        <v>8628</v>
      </c>
      <c r="J1298" s="2" t="s">
        <v>8629</v>
      </c>
      <c r="K1298" s="3">
        <v>4.0499999999999999E-8</v>
      </c>
      <c r="L1298" s="2" t="s">
        <v>848</v>
      </c>
      <c r="M1298" s="4" t="s">
        <v>8630</v>
      </c>
    </row>
    <row r="1299" spans="1:13">
      <c r="A1299" s="2">
        <v>1399</v>
      </c>
      <c r="B1299" s="2" t="s">
        <v>8631</v>
      </c>
      <c r="C1299" s="2">
        <v>19</v>
      </c>
      <c r="D1299" s="2">
        <v>556</v>
      </c>
      <c r="E1299" s="2">
        <v>183</v>
      </c>
      <c r="F1299" s="2">
        <v>32441</v>
      </c>
      <c r="G1299" s="2">
        <v>6.0578979439999996</v>
      </c>
      <c r="H1299" s="3">
        <v>1.87E-9</v>
      </c>
      <c r="I1299" s="2" t="s">
        <v>8632</v>
      </c>
      <c r="J1299" s="2" t="s">
        <v>8633</v>
      </c>
      <c r="K1299" s="3">
        <v>4.0900000000000002E-8</v>
      </c>
      <c r="L1299" s="2" t="s">
        <v>848</v>
      </c>
      <c r="M1299" s="4" t="s">
        <v>8634</v>
      </c>
    </row>
    <row r="1300" spans="1:13">
      <c r="A1300" s="2">
        <v>1932</v>
      </c>
      <c r="B1300" s="2" t="s">
        <v>8635</v>
      </c>
      <c r="C1300" s="2">
        <v>10</v>
      </c>
      <c r="D1300" s="2">
        <v>556</v>
      </c>
      <c r="E1300" s="2">
        <v>33</v>
      </c>
      <c r="F1300" s="2">
        <v>32441</v>
      </c>
      <c r="G1300" s="2">
        <v>17.68094615</v>
      </c>
      <c r="H1300" s="3">
        <v>1.9800000000000002E-9</v>
      </c>
      <c r="I1300" s="2" t="s">
        <v>8636</v>
      </c>
      <c r="J1300" s="2" t="s">
        <v>8637</v>
      </c>
      <c r="K1300" s="3">
        <v>4.3100000000000002E-8</v>
      </c>
      <c r="L1300" s="2" t="s">
        <v>848</v>
      </c>
      <c r="M1300" s="4" t="s">
        <v>8638</v>
      </c>
    </row>
    <row r="1301" spans="1:13">
      <c r="A1301" s="2">
        <v>4040</v>
      </c>
      <c r="B1301" s="2" t="s">
        <v>8639</v>
      </c>
      <c r="C1301" s="2">
        <v>9</v>
      </c>
      <c r="D1301" s="2">
        <v>556</v>
      </c>
      <c r="E1301" s="2">
        <v>23</v>
      </c>
      <c r="F1301" s="2">
        <v>32441</v>
      </c>
      <c r="G1301" s="2">
        <v>22.831482640000001</v>
      </c>
      <c r="H1301" s="3">
        <v>2.04E-9</v>
      </c>
      <c r="I1301" s="2" t="s">
        <v>8640</v>
      </c>
      <c r="J1301" s="2" t="s">
        <v>8641</v>
      </c>
      <c r="K1301" s="3">
        <v>4.4199999999999999E-8</v>
      </c>
      <c r="L1301" s="2" t="s">
        <v>848</v>
      </c>
      <c r="M1301" s="4" t="s">
        <v>8642</v>
      </c>
    </row>
    <row r="1302" spans="1:13">
      <c r="A1302" s="2">
        <v>1518</v>
      </c>
      <c r="B1302" s="2" t="s">
        <v>8643</v>
      </c>
      <c r="C1302" s="2">
        <v>11</v>
      </c>
      <c r="D1302" s="2">
        <v>556</v>
      </c>
      <c r="E1302" s="2">
        <v>45</v>
      </c>
      <c r="F1302" s="2">
        <v>32441</v>
      </c>
      <c r="G1302" s="2">
        <v>14.2626299</v>
      </c>
      <c r="H1302" s="3">
        <v>2.11E-9</v>
      </c>
      <c r="I1302" s="2" t="s">
        <v>8644</v>
      </c>
      <c r="J1302" s="2" t="s">
        <v>8645</v>
      </c>
      <c r="K1302" s="3">
        <v>4.5699999999999999E-8</v>
      </c>
      <c r="L1302" s="2" t="s">
        <v>848</v>
      </c>
      <c r="M1302" s="4" t="s">
        <v>8646</v>
      </c>
    </row>
    <row r="1303" spans="1:13">
      <c r="A1303" s="2">
        <v>2192</v>
      </c>
      <c r="B1303" s="2" t="s">
        <v>8647</v>
      </c>
      <c r="C1303" s="2">
        <v>17</v>
      </c>
      <c r="D1303" s="2">
        <v>556</v>
      </c>
      <c r="E1303" s="2">
        <v>144</v>
      </c>
      <c r="F1303" s="2">
        <v>32441</v>
      </c>
      <c r="G1303" s="2">
        <v>6.8882019379999999</v>
      </c>
      <c r="H1303" s="3">
        <v>2.2900000000000002E-9</v>
      </c>
      <c r="I1303" s="2" t="s">
        <v>8648</v>
      </c>
      <c r="J1303" s="2" t="s">
        <v>8649</v>
      </c>
      <c r="K1303" s="3">
        <v>4.9299999999999998E-8</v>
      </c>
      <c r="L1303" s="2" t="s">
        <v>848</v>
      </c>
      <c r="M1303" s="4" t="s">
        <v>8650</v>
      </c>
    </row>
    <row r="1304" spans="1:13">
      <c r="A1304" s="2">
        <v>27071</v>
      </c>
      <c r="B1304" s="2" t="s">
        <v>8651</v>
      </c>
      <c r="C1304" s="2">
        <v>8</v>
      </c>
      <c r="D1304" s="2">
        <v>556</v>
      </c>
      <c r="E1304" s="2">
        <v>15</v>
      </c>
      <c r="F1304" s="2">
        <v>32441</v>
      </c>
      <c r="G1304" s="2">
        <v>31.118465230000002</v>
      </c>
      <c r="H1304" s="3">
        <v>2.4300000000000001E-9</v>
      </c>
      <c r="I1304" s="2" t="s">
        <v>8652</v>
      </c>
      <c r="J1304" s="2" t="s">
        <v>8653</v>
      </c>
      <c r="K1304" s="3">
        <v>5.2000000000000002E-8</v>
      </c>
      <c r="L1304" s="2" t="s">
        <v>848</v>
      </c>
      <c r="M1304" s="4" t="s">
        <v>8654</v>
      </c>
    </row>
    <row r="1305" spans="1:13">
      <c r="A1305" s="2">
        <v>1899</v>
      </c>
      <c r="B1305" s="2" t="s">
        <v>8655</v>
      </c>
      <c r="C1305" s="2">
        <v>20</v>
      </c>
      <c r="D1305" s="2">
        <v>556</v>
      </c>
      <c r="E1305" s="2">
        <v>209</v>
      </c>
      <c r="F1305" s="2">
        <v>32441</v>
      </c>
      <c r="G1305" s="2">
        <v>5.5834566800000003</v>
      </c>
      <c r="H1305" s="3">
        <v>2.57E-9</v>
      </c>
      <c r="I1305" s="2" t="s">
        <v>8656</v>
      </c>
      <c r="J1305" s="2" t="s">
        <v>8657</v>
      </c>
      <c r="K1305" s="3">
        <v>5.4800000000000001E-8</v>
      </c>
      <c r="L1305" s="2" t="s">
        <v>848</v>
      </c>
      <c r="M1305" s="4" t="s">
        <v>8658</v>
      </c>
    </row>
    <row r="1306" spans="1:13">
      <c r="A1306" s="2">
        <v>2626</v>
      </c>
      <c r="B1306" s="2" t="s">
        <v>8659</v>
      </c>
      <c r="C1306" s="2">
        <v>45</v>
      </c>
      <c r="D1306" s="2">
        <v>556</v>
      </c>
      <c r="E1306" s="2">
        <v>950</v>
      </c>
      <c r="F1306" s="2">
        <v>32441</v>
      </c>
      <c r="G1306" s="2">
        <v>2.7638110560000002</v>
      </c>
      <c r="H1306" s="3">
        <v>2.7000000000000002E-9</v>
      </c>
      <c r="I1306" s="2" t="s">
        <v>8660</v>
      </c>
      <c r="J1306" s="2" t="s">
        <v>8661</v>
      </c>
      <c r="K1306" s="3">
        <v>5.7499999999999999E-8</v>
      </c>
      <c r="L1306" s="2" t="s">
        <v>848</v>
      </c>
      <c r="M1306" s="4" t="s">
        <v>8662</v>
      </c>
    </row>
    <row r="1307" spans="1:13">
      <c r="A1307" s="2">
        <v>1993</v>
      </c>
      <c r="B1307" s="2" t="s">
        <v>8663</v>
      </c>
      <c r="C1307" s="2">
        <v>21</v>
      </c>
      <c r="D1307" s="2">
        <v>556</v>
      </c>
      <c r="E1307" s="2">
        <v>233</v>
      </c>
      <c r="F1307" s="2">
        <v>32441</v>
      </c>
      <c r="G1307" s="2">
        <v>5.2587535120000002</v>
      </c>
      <c r="H1307" s="3">
        <v>2.76E-9</v>
      </c>
      <c r="I1307" s="2" t="s">
        <v>8664</v>
      </c>
      <c r="J1307" s="2" t="s">
        <v>8665</v>
      </c>
      <c r="K1307" s="3">
        <v>5.8600000000000002E-8</v>
      </c>
      <c r="L1307" s="2" t="s">
        <v>848</v>
      </c>
      <c r="M1307" s="4" t="s">
        <v>8666</v>
      </c>
    </row>
    <row r="1308" spans="1:13">
      <c r="A1308" s="2">
        <v>4325</v>
      </c>
      <c r="B1308" s="2" t="s">
        <v>8667</v>
      </c>
      <c r="C1308" s="2">
        <v>12</v>
      </c>
      <c r="D1308" s="2">
        <v>556</v>
      </c>
      <c r="E1308" s="2">
        <v>60</v>
      </c>
      <c r="F1308" s="2">
        <v>32441</v>
      </c>
      <c r="G1308" s="2">
        <v>11.66942446</v>
      </c>
      <c r="H1308" s="3">
        <v>2.86E-9</v>
      </c>
      <c r="I1308" s="2" t="s">
        <v>8668</v>
      </c>
      <c r="J1308" s="2" t="s">
        <v>8669</v>
      </c>
      <c r="K1308" s="3">
        <v>6.0300000000000004E-8</v>
      </c>
      <c r="L1308" s="2" t="s">
        <v>848</v>
      </c>
      <c r="M1308" s="4" t="s">
        <v>8670</v>
      </c>
    </row>
    <row r="1309" spans="1:13">
      <c r="A1309" s="2">
        <v>3764</v>
      </c>
      <c r="B1309" s="2" t="s">
        <v>8671</v>
      </c>
      <c r="C1309" s="2">
        <v>10</v>
      </c>
      <c r="D1309" s="2">
        <v>556</v>
      </c>
      <c r="E1309" s="2">
        <v>35</v>
      </c>
      <c r="F1309" s="2">
        <v>32441</v>
      </c>
      <c r="G1309" s="2">
        <v>16.670606370000002</v>
      </c>
      <c r="H1309" s="3">
        <v>3.2000000000000001E-9</v>
      </c>
      <c r="I1309" s="2" t="s">
        <v>8672</v>
      </c>
      <c r="J1309" s="2" t="s">
        <v>8673</v>
      </c>
      <c r="K1309" s="3">
        <v>6.7399999999999995E-8</v>
      </c>
      <c r="L1309" s="2" t="s">
        <v>848</v>
      </c>
      <c r="M1309" s="4" t="s">
        <v>8674</v>
      </c>
    </row>
    <row r="1310" spans="1:13">
      <c r="A1310" s="2">
        <v>3238</v>
      </c>
      <c r="B1310" s="2" t="s">
        <v>8675</v>
      </c>
      <c r="C1310" s="2">
        <v>17</v>
      </c>
      <c r="D1310" s="2">
        <v>556</v>
      </c>
      <c r="E1310" s="2">
        <v>148</v>
      </c>
      <c r="F1310" s="2">
        <v>32441</v>
      </c>
      <c r="G1310" s="2">
        <v>6.7020343179999999</v>
      </c>
      <c r="H1310" s="3">
        <v>3.34E-9</v>
      </c>
      <c r="I1310" s="2" t="s">
        <v>8676</v>
      </c>
      <c r="J1310" s="2" t="s">
        <v>8677</v>
      </c>
      <c r="K1310" s="3">
        <v>7.0200000000000007E-8</v>
      </c>
      <c r="L1310" s="2" t="s">
        <v>848</v>
      </c>
      <c r="M1310" s="4" t="s">
        <v>8678</v>
      </c>
    </row>
    <row r="1311" spans="1:13">
      <c r="A1311" s="2">
        <v>418</v>
      </c>
      <c r="B1311" s="2" t="s">
        <v>8679</v>
      </c>
      <c r="C1311" s="2">
        <v>8</v>
      </c>
      <c r="D1311" s="2">
        <v>556</v>
      </c>
      <c r="E1311" s="2">
        <v>16</v>
      </c>
      <c r="F1311" s="2">
        <v>32441</v>
      </c>
      <c r="G1311" s="2">
        <v>29.173561150000001</v>
      </c>
      <c r="H1311" s="3">
        <v>3.5899999999999998E-9</v>
      </c>
      <c r="I1311" s="2" t="s">
        <v>8680</v>
      </c>
      <c r="J1311" s="2" t="s">
        <v>8681</v>
      </c>
      <c r="K1311" s="3">
        <v>7.4999999999999997E-8</v>
      </c>
      <c r="L1311" s="2" t="s">
        <v>848</v>
      </c>
      <c r="M1311" s="4" t="s">
        <v>8682</v>
      </c>
    </row>
    <row r="1312" spans="1:13">
      <c r="A1312" s="2">
        <v>722</v>
      </c>
      <c r="B1312" s="2" t="s">
        <v>8683</v>
      </c>
      <c r="C1312" s="2">
        <v>31</v>
      </c>
      <c r="D1312" s="2">
        <v>556</v>
      </c>
      <c r="E1312" s="2">
        <v>506</v>
      </c>
      <c r="F1312" s="2">
        <v>32441</v>
      </c>
      <c r="G1312" s="2">
        <v>3.5746260699999999</v>
      </c>
      <c r="H1312" s="3">
        <v>3.6699999999999999E-9</v>
      </c>
      <c r="I1312" s="2" t="s">
        <v>8684</v>
      </c>
      <c r="J1312" s="2" t="s">
        <v>8685</v>
      </c>
      <c r="K1312" s="3">
        <v>7.6500000000000003E-8</v>
      </c>
      <c r="L1312" s="2" t="s">
        <v>848</v>
      </c>
      <c r="M1312" s="4" t="s">
        <v>8686</v>
      </c>
    </row>
    <row r="1313" spans="1:13">
      <c r="A1313" s="2">
        <v>4949</v>
      </c>
      <c r="B1313" s="2" t="s">
        <v>8687</v>
      </c>
      <c r="C1313" s="2">
        <v>11</v>
      </c>
      <c r="D1313" s="2">
        <v>556</v>
      </c>
      <c r="E1313" s="2">
        <v>48</v>
      </c>
      <c r="F1313" s="2">
        <v>32441</v>
      </c>
      <c r="G1313" s="2">
        <v>13.371215530000001</v>
      </c>
      <c r="H1313" s="3">
        <v>3.8000000000000001E-9</v>
      </c>
      <c r="I1313" s="2" t="s">
        <v>8688</v>
      </c>
      <c r="J1313" s="2" t="s">
        <v>8689</v>
      </c>
      <c r="K1313" s="3">
        <v>7.8800000000000004E-8</v>
      </c>
      <c r="L1313" s="2" t="s">
        <v>848</v>
      </c>
      <c r="M1313" s="4" t="s">
        <v>8690</v>
      </c>
    </row>
    <row r="1314" spans="1:13">
      <c r="A1314" s="2">
        <v>3439</v>
      </c>
      <c r="B1314" s="2" t="s">
        <v>8691</v>
      </c>
      <c r="C1314" s="2">
        <v>11</v>
      </c>
      <c r="D1314" s="2">
        <v>556</v>
      </c>
      <c r="E1314" s="2">
        <v>49</v>
      </c>
      <c r="F1314" s="2">
        <v>32441</v>
      </c>
      <c r="G1314" s="2">
        <v>13.09833358</v>
      </c>
      <c r="H1314" s="3">
        <v>4.5800000000000003E-9</v>
      </c>
      <c r="I1314" s="2" t="s">
        <v>8692</v>
      </c>
      <c r="J1314" s="2" t="s">
        <v>8693</v>
      </c>
      <c r="K1314" s="3">
        <v>9.4800000000000002E-8</v>
      </c>
      <c r="L1314" s="2" t="s">
        <v>848</v>
      </c>
      <c r="M1314" s="4" t="s">
        <v>8694</v>
      </c>
    </row>
    <row r="1315" spans="1:13">
      <c r="A1315" s="2">
        <v>204</v>
      </c>
      <c r="B1315" s="2" t="s">
        <v>8695</v>
      </c>
      <c r="C1315" s="2">
        <v>12</v>
      </c>
      <c r="D1315" s="2">
        <v>556</v>
      </c>
      <c r="E1315" s="2">
        <v>63</v>
      </c>
      <c r="F1315" s="2">
        <v>32441</v>
      </c>
      <c r="G1315" s="2">
        <v>11.11373758</v>
      </c>
      <c r="H1315" s="3">
        <v>4.6399999999999997E-9</v>
      </c>
      <c r="I1315" s="2" t="s">
        <v>8696</v>
      </c>
      <c r="J1315" s="2" t="s">
        <v>8697</v>
      </c>
      <c r="K1315" s="3">
        <v>9.5599999999999996E-8</v>
      </c>
      <c r="L1315" s="2" t="s">
        <v>848</v>
      </c>
      <c r="M1315" s="4" t="s">
        <v>8698</v>
      </c>
    </row>
    <row r="1316" spans="1:13">
      <c r="A1316" s="2">
        <v>4005</v>
      </c>
      <c r="B1316" s="2" t="s">
        <v>8699</v>
      </c>
      <c r="C1316" s="2">
        <v>9</v>
      </c>
      <c r="D1316" s="2">
        <v>556</v>
      </c>
      <c r="E1316" s="2">
        <v>26</v>
      </c>
      <c r="F1316" s="2">
        <v>32441</v>
      </c>
      <c r="G1316" s="2">
        <v>20.197080799999998</v>
      </c>
      <c r="H1316" s="3">
        <v>4.9099999999999998E-9</v>
      </c>
      <c r="I1316" s="2" t="s">
        <v>8700</v>
      </c>
      <c r="J1316" s="2" t="s">
        <v>8701</v>
      </c>
      <c r="K1316" s="3">
        <v>1.01E-7</v>
      </c>
      <c r="L1316" s="2" t="s">
        <v>848</v>
      </c>
      <c r="M1316" s="4" t="s">
        <v>8702</v>
      </c>
    </row>
    <row r="1317" spans="1:13">
      <c r="A1317" s="2">
        <v>3532</v>
      </c>
      <c r="B1317" s="2" t="s">
        <v>8703</v>
      </c>
      <c r="C1317" s="2">
        <v>10</v>
      </c>
      <c r="D1317" s="2">
        <v>556</v>
      </c>
      <c r="E1317" s="2">
        <v>37</v>
      </c>
      <c r="F1317" s="2">
        <v>32441</v>
      </c>
      <c r="G1317" s="2">
        <v>15.769492509999999</v>
      </c>
      <c r="H1317" s="3">
        <v>5.04E-9</v>
      </c>
      <c r="I1317" s="2" t="s">
        <v>8704</v>
      </c>
      <c r="J1317" s="2" t="s">
        <v>8705</v>
      </c>
      <c r="K1317" s="3">
        <v>1.03E-7</v>
      </c>
      <c r="L1317" s="2" t="s">
        <v>848</v>
      </c>
      <c r="M1317" s="4" t="s">
        <v>8706</v>
      </c>
    </row>
    <row r="1318" spans="1:13">
      <c r="A1318" s="2">
        <v>7371</v>
      </c>
      <c r="B1318" s="2" t="s">
        <v>8707</v>
      </c>
      <c r="C1318" s="2">
        <v>10</v>
      </c>
      <c r="D1318" s="2">
        <v>556</v>
      </c>
      <c r="E1318" s="2">
        <v>38</v>
      </c>
      <c r="F1318" s="2">
        <v>32441</v>
      </c>
      <c r="G1318" s="2">
        <v>15.354505870000001</v>
      </c>
      <c r="H1318" s="3">
        <v>6.2700000000000001E-9</v>
      </c>
      <c r="I1318" s="2" t="s">
        <v>8708</v>
      </c>
      <c r="J1318" s="2" t="s">
        <v>8709</v>
      </c>
      <c r="K1318" s="3">
        <v>1.2700000000000001E-7</v>
      </c>
      <c r="L1318" s="2" t="s">
        <v>848</v>
      </c>
      <c r="M1318" s="4" t="s">
        <v>8710</v>
      </c>
    </row>
    <row r="1319" spans="1:13">
      <c r="A1319" s="2">
        <v>5579</v>
      </c>
      <c r="B1319" s="2" t="s">
        <v>8711</v>
      </c>
      <c r="C1319" s="2">
        <v>10</v>
      </c>
      <c r="D1319" s="2">
        <v>556</v>
      </c>
      <c r="E1319" s="2">
        <v>38</v>
      </c>
      <c r="F1319" s="2">
        <v>32441</v>
      </c>
      <c r="G1319" s="2">
        <v>15.354505870000001</v>
      </c>
      <c r="H1319" s="3">
        <v>6.2700000000000001E-9</v>
      </c>
      <c r="I1319" s="2" t="s">
        <v>8712</v>
      </c>
      <c r="J1319" s="2" t="s">
        <v>8713</v>
      </c>
      <c r="K1319" s="3">
        <v>1.2700000000000001E-7</v>
      </c>
      <c r="L1319" s="2" t="s">
        <v>848</v>
      </c>
      <c r="M1319" s="4" t="s">
        <v>8714</v>
      </c>
    </row>
    <row r="1320" spans="1:13">
      <c r="A1320" s="2">
        <v>46731</v>
      </c>
      <c r="B1320" s="2" t="s">
        <v>8715</v>
      </c>
      <c r="C1320" s="2">
        <v>12</v>
      </c>
      <c r="D1320" s="2">
        <v>556</v>
      </c>
      <c r="E1320" s="2">
        <v>65</v>
      </c>
      <c r="F1320" s="2">
        <v>32441</v>
      </c>
      <c r="G1320" s="2">
        <v>10.771776429999999</v>
      </c>
      <c r="H1320" s="3">
        <v>6.3300000000000003E-9</v>
      </c>
      <c r="I1320" s="2" t="s">
        <v>8716</v>
      </c>
      <c r="J1320" s="2" t="s">
        <v>8717</v>
      </c>
      <c r="K1320" s="3">
        <v>1.2800000000000001E-7</v>
      </c>
      <c r="L1320" s="2" t="s">
        <v>848</v>
      </c>
      <c r="M1320" s="4" t="s">
        <v>8718</v>
      </c>
    </row>
    <row r="1321" spans="1:13">
      <c r="A1321" s="2">
        <v>2096</v>
      </c>
      <c r="B1321" s="2" t="s">
        <v>8719</v>
      </c>
      <c r="C1321" s="2">
        <v>9</v>
      </c>
      <c r="D1321" s="2">
        <v>556</v>
      </c>
      <c r="E1321" s="2">
        <v>27</v>
      </c>
      <c r="F1321" s="2">
        <v>32441</v>
      </c>
      <c r="G1321" s="2">
        <v>19.44904077</v>
      </c>
      <c r="H1321" s="3">
        <v>6.4499999999999999E-9</v>
      </c>
      <c r="I1321" s="2" t="s">
        <v>8720</v>
      </c>
      <c r="J1321" s="2" t="s">
        <v>8721</v>
      </c>
      <c r="K1321" s="3">
        <v>1.3E-7</v>
      </c>
      <c r="L1321" s="2" t="s">
        <v>848</v>
      </c>
      <c r="M1321" s="4" t="s">
        <v>8722</v>
      </c>
    </row>
    <row r="1322" spans="1:13">
      <c r="A1322" s="2">
        <v>2122</v>
      </c>
      <c r="B1322" s="2" t="s">
        <v>8723</v>
      </c>
      <c r="C1322" s="2">
        <v>71</v>
      </c>
      <c r="D1322" s="2">
        <v>556</v>
      </c>
      <c r="E1322" s="2">
        <v>1977</v>
      </c>
      <c r="F1322" s="2">
        <v>32441</v>
      </c>
      <c r="G1322" s="2">
        <v>2.095420174</v>
      </c>
      <c r="H1322" s="3">
        <v>6.8699999999999996E-9</v>
      </c>
      <c r="I1322" s="3" t="s">
        <v>8724</v>
      </c>
      <c r="J1322" s="3" t="s">
        <v>8725</v>
      </c>
      <c r="K1322" s="3">
        <v>1.3799999999999999E-7</v>
      </c>
      <c r="L1322" s="2" t="s">
        <v>848</v>
      </c>
      <c r="M1322" s="4" t="s">
        <v>8726</v>
      </c>
    </row>
    <row r="1323" spans="1:13">
      <c r="A1323" s="2">
        <v>1258</v>
      </c>
      <c r="B1323" s="2" t="s">
        <v>8727</v>
      </c>
      <c r="C1323" s="2">
        <v>14</v>
      </c>
      <c r="D1323" s="2">
        <v>556</v>
      </c>
      <c r="E1323" s="2">
        <v>99</v>
      </c>
      <c r="F1323" s="2">
        <v>32441</v>
      </c>
      <c r="G1323" s="2">
        <v>8.2511082039999994</v>
      </c>
      <c r="H1323" s="3">
        <v>7.5300000000000003E-9</v>
      </c>
      <c r="I1323" s="2" t="s">
        <v>8728</v>
      </c>
      <c r="J1323" s="2" t="s">
        <v>8729</v>
      </c>
      <c r="K1323" s="3">
        <v>1.5099999999999999E-7</v>
      </c>
      <c r="L1323" s="2" t="s">
        <v>848</v>
      </c>
      <c r="M1323" s="4" t="s">
        <v>8730</v>
      </c>
    </row>
    <row r="1324" spans="1:13">
      <c r="A1324" s="2">
        <v>2540</v>
      </c>
      <c r="B1324" s="2" t="s">
        <v>8731</v>
      </c>
      <c r="C1324" s="2">
        <v>11</v>
      </c>
      <c r="D1324" s="2">
        <v>556</v>
      </c>
      <c r="E1324" s="2">
        <v>52</v>
      </c>
      <c r="F1324" s="2">
        <v>32441</v>
      </c>
      <c r="G1324" s="2">
        <v>12.34266049</v>
      </c>
      <c r="H1324" s="3">
        <v>7.8600000000000006E-9</v>
      </c>
      <c r="I1324" s="2" t="s">
        <v>8732</v>
      </c>
      <c r="J1324" s="2" t="s">
        <v>8733</v>
      </c>
      <c r="K1324" s="3">
        <v>1.5699999999999999E-7</v>
      </c>
      <c r="L1324" s="2" t="s">
        <v>848</v>
      </c>
      <c r="M1324" s="4" t="s">
        <v>8734</v>
      </c>
    </row>
    <row r="1325" spans="1:13">
      <c r="A1325" s="2">
        <v>4957</v>
      </c>
      <c r="B1325" s="2" t="s">
        <v>8735</v>
      </c>
      <c r="C1325" s="2">
        <v>49</v>
      </c>
      <c r="D1325" s="2">
        <v>556</v>
      </c>
      <c r="E1325" s="2">
        <v>1134</v>
      </c>
      <c r="F1325" s="2">
        <v>32441</v>
      </c>
      <c r="G1325" s="2">
        <v>2.5211719509999999</v>
      </c>
      <c r="H1325" s="3">
        <v>8.91E-9</v>
      </c>
      <c r="I1325" s="2" t="s">
        <v>8736</v>
      </c>
      <c r="J1325" s="2" t="s">
        <v>8737</v>
      </c>
      <c r="K1325" s="3">
        <v>1.7700000000000001E-7</v>
      </c>
      <c r="L1325" s="2" t="s">
        <v>848</v>
      </c>
      <c r="M1325" s="4" t="s">
        <v>8738</v>
      </c>
    </row>
    <row r="1326" spans="1:13">
      <c r="A1326" s="2">
        <v>38961</v>
      </c>
      <c r="B1326" s="2" t="s">
        <v>8739</v>
      </c>
      <c r="C1326" s="2">
        <v>7</v>
      </c>
      <c r="D1326" s="2">
        <v>556</v>
      </c>
      <c r="E1326" s="2">
        <v>11</v>
      </c>
      <c r="F1326" s="2">
        <v>32441</v>
      </c>
      <c r="G1326" s="2">
        <v>37.12998692</v>
      </c>
      <c r="H1326" s="3">
        <v>1.0099999999999999E-8</v>
      </c>
      <c r="I1326" s="2" t="s">
        <v>8740</v>
      </c>
      <c r="J1326" s="2" t="s">
        <v>8741</v>
      </c>
      <c r="K1326" s="3">
        <v>1.9999999999999999E-7</v>
      </c>
      <c r="L1326" s="2" t="s">
        <v>848</v>
      </c>
      <c r="M1326" s="4" t="s">
        <v>8742</v>
      </c>
    </row>
    <row r="1327" spans="1:13">
      <c r="A1327" s="2">
        <v>709</v>
      </c>
      <c r="B1327" s="2" t="s">
        <v>8743</v>
      </c>
      <c r="C1327" s="2">
        <v>29</v>
      </c>
      <c r="D1327" s="2">
        <v>556</v>
      </c>
      <c r="E1327" s="2">
        <v>470</v>
      </c>
      <c r="F1327" s="2">
        <v>32441</v>
      </c>
      <c r="G1327" s="2">
        <v>3.6001415890000001</v>
      </c>
      <c r="H1327" s="3">
        <v>1.02E-8</v>
      </c>
      <c r="I1327" s="2" t="s">
        <v>8744</v>
      </c>
      <c r="J1327" s="2" t="s">
        <v>8745</v>
      </c>
      <c r="K1327" s="3">
        <v>2.0100000000000001E-7</v>
      </c>
      <c r="L1327" s="2" t="s">
        <v>848</v>
      </c>
      <c r="M1327" s="4" t="s">
        <v>8746</v>
      </c>
    </row>
    <row r="1328" spans="1:13">
      <c r="A1328" s="2">
        <v>5402</v>
      </c>
      <c r="B1328" s="2" t="s">
        <v>8747</v>
      </c>
      <c r="C1328" s="2">
        <v>23</v>
      </c>
      <c r="D1328" s="2">
        <v>556</v>
      </c>
      <c r="E1328" s="2">
        <v>303</v>
      </c>
      <c r="F1328" s="2">
        <v>32441</v>
      </c>
      <c r="G1328" s="2">
        <v>4.4289894820000004</v>
      </c>
      <c r="H1328" s="3">
        <v>1.02E-8</v>
      </c>
      <c r="I1328" s="2" t="s">
        <v>8748</v>
      </c>
      <c r="J1328" s="2" t="s">
        <v>8749</v>
      </c>
      <c r="K1328" s="3">
        <v>2.0100000000000001E-7</v>
      </c>
      <c r="L1328" s="2" t="s">
        <v>848</v>
      </c>
      <c r="M1328" s="4" t="s">
        <v>8750</v>
      </c>
    </row>
    <row r="1329" spans="1:13">
      <c r="A1329" s="2">
        <v>4801</v>
      </c>
      <c r="B1329" s="2" t="s">
        <v>8751</v>
      </c>
      <c r="C1329" s="2">
        <v>8</v>
      </c>
      <c r="D1329" s="2">
        <v>556</v>
      </c>
      <c r="E1329" s="2">
        <v>19</v>
      </c>
      <c r="F1329" s="2">
        <v>32441</v>
      </c>
      <c r="G1329" s="2">
        <v>24.567209389999999</v>
      </c>
      <c r="H1329" s="3">
        <v>1.04E-8</v>
      </c>
      <c r="I1329" s="2" t="s">
        <v>8752</v>
      </c>
      <c r="J1329" s="2" t="s">
        <v>8753</v>
      </c>
      <c r="K1329" s="3">
        <v>2.0200000000000001E-7</v>
      </c>
      <c r="L1329" s="2" t="s">
        <v>848</v>
      </c>
      <c r="M1329" s="4" t="s">
        <v>8754</v>
      </c>
    </row>
    <row r="1330" spans="1:13">
      <c r="A1330" s="2">
        <v>2204</v>
      </c>
      <c r="B1330" s="2" t="s">
        <v>8755</v>
      </c>
      <c r="C1330" s="2">
        <v>8</v>
      </c>
      <c r="D1330" s="2">
        <v>556</v>
      </c>
      <c r="E1330" s="2">
        <v>19</v>
      </c>
      <c r="F1330" s="2">
        <v>32441</v>
      </c>
      <c r="G1330" s="2">
        <v>24.567209389999999</v>
      </c>
      <c r="H1330" s="3">
        <v>1.04E-8</v>
      </c>
      <c r="I1330" s="2" t="s">
        <v>8756</v>
      </c>
      <c r="J1330" s="2" t="s">
        <v>8757</v>
      </c>
      <c r="K1330" s="3">
        <v>2.0200000000000001E-7</v>
      </c>
      <c r="L1330" s="2" t="s">
        <v>848</v>
      </c>
      <c r="M1330" s="4" t="s">
        <v>8758</v>
      </c>
    </row>
    <row r="1331" spans="1:13">
      <c r="A1331" s="2">
        <v>5031</v>
      </c>
      <c r="B1331" s="2" t="s">
        <v>8759</v>
      </c>
      <c r="C1331" s="2">
        <v>8</v>
      </c>
      <c r="D1331" s="2">
        <v>556</v>
      </c>
      <c r="E1331" s="2">
        <v>19</v>
      </c>
      <c r="F1331" s="2">
        <v>32441</v>
      </c>
      <c r="G1331" s="2">
        <v>24.567209389999999</v>
      </c>
      <c r="H1331" s="3">
        <v>1.04E-8</v>
      </c>
      <c r="I1331" s="2" t="s">
        <v>8760</v>
      </c>
      <c r="J1331" s="2" t="s">
        <v>8761</v>
      </c>
      <c r="K1331" s="3">
        <v>2.0200000000000001E-7</v>
      </c>
      <c r="L1331" s="2" t="s">
        <v>848</v>
      </c>
      <c r="M1331" s="4" t="s">
        <v>8762</v>
      </c>
    </row>
    <row r="1332" spans="1:13">
      <c r="A1332" s="2">
        <v>1638</v>
      </c>
      <c r="B1332" s="2" t="s">
        <v>8763</v>
      </c>
      <c r="C1332" s="2">
        <v>9</v>
      </c>
      <c r="D1332" s="2">
        <v>556</v>
      </c>
      <c r="E1332" s="2">
        <v>29</v>
      </c>
      <c r="F1332" s="2">
        <v>32441</v>
      </c>
      <c r="G1332" s="2">
        <v>18.107727610000001</v>
      </c>
      <c r="H1332" s="3">
        <v>1.0800000000000001E-8</v>
      </c>
      <c r="I1332" s="2" t="s">
        <v>8764</v>
      </c>
      <c r="J1332" s="2" t="s">
        <v>8765</v>
      </c>
      <c r="K1332" s="3">
        <v>2.0900000000000001E-7</v>
      </c>
      <c r="L1332" s="2" t="s">
        <v>848</v>
      </c>
      <c r="M1332" s="4" t="s">
        <v>8766</v>
      </c>
    </row>
    <row r="1333" spans="1:13">
      <c r="A1333" s="2">
        <v>3874</v>
      </c>
      <c r="B1333" s="2" t="s">
        <v>8767</v>
      </c>
      <c r="C1333" s="2">
        <v>9</v>
      </c>
      <c r="D1333" s="2">
        <v>556</v>
      </c>
      <c r="E1333" s="2">
        <v>29</v>
      </c>
      <c r="F1333" s="2">
        <v>32441</v>
      </c>
      <c r="G1333" s="2">
        <v>18.107727610000001</v>
      </c>
      <c r="H1333" s="3">
        <v>1.0800000000000001E-8</v>
      </c>
      <c r="I1333" s="2" t="s">
        <v>8768</v>
      </c>
      <c r="J1333" s="2" t="s">
        <v>8769</v>
      </c>
      <c r="K1333" s="3">
        <v>2.0900000000000001E-7</v>
      </c>
      <c r="L1333" s="2" t="s">
        <v>848</v>
      </c>
      <c r="M1333" s="4" t="s">
        <v>8770</v>
      </c>
    </row>
    <row r="1334" spans="1:13">
      <c r="A1334" s="2">
        <v>5757</v>
      </c>
      <c r="B1334" s="2" t="s">
        <v>8771</v>
      </c>
      <c r="C1334" s="2">
        <v>35</v>
      </c>
      <c r="D1334" s="2">
        <v>556</v>
      </c>
      <c r="E1334" s="2">
        <v>657</v>
      </c>
      <c r="F1334" s="2">
        <v>32441</v>
      </c>
      <c r="G1334" s="2">
        <v>3.1082941869999998</v>
      </c>
      <c r="H1334" s="3">
        <v>1.0800000000000001E-8</v>
      </c>
      <c r="I1334" s="2" t="s">
        <v>8772</v>
      </c>
      <c r="J1334" s="2" t="s">
        <v>8773</v>
      </c>
      <c r="K1334" s="3">
        <v>2.0900000000000001E-7</v>
      </c>
      <c r="L1334" s="2" t="s">
        <v>848</v>
      </c>
      <c r="M1334" s="4" t="s">
        <v>8774</v>
      </c>
    </row>
    <row r="1335" spans="1:13">
      <c r="A1335" s="2">
        <v>7441</v>
      </c>
      <c r="B1335" s="2" t="s">
        <v>8775</v>
      </c>
      <c r="C1335" s="2">
        <v>11</v>
      </c>
      <c r="D1335" s="2">
        <v>556</v>
      </c>
      <c r="E1335" s="2">
        <v>54</v>
      </c>
      <c r="F1335" s="2">
        <v>32441</v>
      </c>
      <c r="G1335" s="2">
        <v>11.885524910000001</v>
      </c>
      <c r="H1335" s="3">
        <v>1.11E-8</v>
      </c>
      <c r="I1335" s="2" t="s">
        <v>8776</v>
      </c>
      <c r="J1335" s="2" t="s">
        <v>8777</v>
      </c>
      <c r="K1335" s="3">
        <v>2.1400000000000001E-7</v>
      </c>
      <c r="L1335" s="2" t="s">
        <v>848</v>
      </c>
      <c r="M1335" s="4" t="s">
        <v>8778</v>
      </c>
    </row>
    <row r="1336" spans="1:13">
      <c r="A1336" s="2">
        <v>2060</v>
      </c>
      <c r="B1336" s="2" t="s">
        <v>8779</v>
      </c>
      <c r="C1336" s="2">
        <v>10</v>
      </c>
      <c r="D1336" s="2">
        <v>556</v>
      </c>
      <c r="E1336" s="2">
        <v>41</v>
      </c>
      <c r="F1336" s="2">
        <v>32441</v>
      </c>
      <c r="G1336" s="2">
        <v>14.231005440000001</v>
      </c>
      <c r="H1336" s="3">
        <v>1.1700000000000001E-8</v>
      </c>
      <c r="I1336" s="2" t="s">
        <v>8780</v>
      </c>
      <c r="J1336" s="2" t="s">
        <v>8781</v>
      </c>
      <c r="K1336" s="3">
        <v>2.2499999999999999E-7</v>
      </c>
      <c r="L1336" s="2" t="s">
        <v>848</v>
      </c>
      <c r="M1336" s="4" t="s">
        <v>8782</v>
      </c>
    </row>
    <row r="1337" spans="1:13">
      <c r="A1337" s="2">
        <v>509</v>
      </c>
      <c r="B1337" s="2" t="s">
        <v>8783</v>
      </c>
      <c r="C1337" s="2">
        <v>16</v>
      </c>
      <c r="D1337" s="2">
        <v>556</v>
      </c>
      <c r="E1337" s="2">
        <v>142</v>
      </c>
      <c r="F1337" s="2">
        <v>32441</v>
      </c>
      <c r="G1337" s="2">
        <v>6.5743236400000002</v>
      </c>
      <c r="H1337" s="3">
        <v>1.24E-8</v>
      </c>
      <c r="I1337" s="2" t="s">
        <v>8784</v>
      </c>
      <c r="J1337" s="2" t="s">
        <v>8785</v>
      </c>
      <c r="K1337" s="3">
        <v>2.3799999999999999E-7</v>
      </c>
      <c r="L1337" s="2" t="s">
        <v>848</v>
      </c>
      <c r="M1337" s="4" t="s">
        <v>8786</v>
      </c>
    </row>
    <row r="1338" spans="1:13">
      <c r="A1338" s="2">
        <v>25951</v>
      </c>
      <c r="B1338" s="2" t="s">
        <v>8787</v>
      </c>
      <c r="C1338" s="2">
        <v>11</v>
      </c>
      <c r="D1338" s="2">
        <v>556</v>
      </c>
      <c r="E1338" s="2">
        <v>55</v>
      </c>
      <c r="F1338" s="2">
        <v>32441</v>
      </c>
      <c r="G1338" s="2">
        <v>11.66942446</v>
      </c>
      <c r="H1338" s="3">
        <v>1.31E-8</v>
      </c>
      <c r="I1338" s="2" t="s">
        <v>8788</v>
      </c>
      <c r="J1338" s="2" t="s">
        <v>8789</v>
      </c>
      <c r="K1338" s="3">
        <v>2.4999999999999999E-7</v>
      </c>
      <c r="L1338" s="2" t="s">
        <v>848</v>
      </c>
      <c r="M1338" s="4" t="s">
        <v>8790</v>
      </c>
    </row>
    <row r="1339" spans="1:13">
      <c r="A1339" s="2">
        <v>5149</v>
      </c>
      <c r="B1339" s="2" t="s">
        <v>8791</v>
      </c>
      <c r="C1339" s="2">
        <v>49</v>
      </c>
      <c r="D1339" s="2">
        <v>556</v>
      </c>
      <c r="E1339" s="2">
        <v>1149</v>
      </c>
      <c r="F1339" s="2">
        <v>32441</v>
      </c>
      <c r="G1339" s="2">
        <v>2.4882584790000002</v>
      </c>
      <c r="H1339" s="3">
        <v>1.3200000000000001E-8</v>
      </c>
      <c r="I1339" s="2" t="s">
        <v>8792</v>
      </c>
      <c r="J1339" s="2" t="s">
        <v>8793</v>
      </c>
      <c r="K1339" s="3">
        <v>2.5199999999999998E-7</v>
      </c>
      <c r="L1339" s="2" t="s">
        <v>848</v>
      </c>
      <c r="M1339" s="4" t="s">
        <v>8794</v>
      </c>
    </row>
    <row r="1340" spans="1:13">
      <c r="A1340" s="2">
        <v>754</v>
      </c>
      <c r="B1340" s="2" t="s">
        <v>8795</v>
      </c>
      <c r="C1340" s="2">
        <v>17</v>
      </c>
      <c r="D1340" s="2">
        <v>556</v>
      </c>
      <c r="E1340" s="2">
        <v>164</v>
      </c>
      <c r="F1340" s="2">
        <v>32441</v>
      </c>
      <c r="G1340" s="2">
        <v>6.048177312</v>
      </c>
      <c r="H1340" s="3">
        <v>1.3599999999999999E-8</v>
      </c>
      <c r="I1340" s="2" t="s">
        <v>8796</v>
      </c>
      <c r="J1340" s="2" t="s">
        <v>8797</v>
      </c>
      <c r="K1340" s="3">
        <v>2.5800000000000001E-7</v>
      </c>
      <c r="L1340" s="2" t="s">
        <v>848</v>
      </c>
      <c r="M1340" s="4" t="s">
        <v>8798</v>
      </c>
    </row>
    <row r="1341" spans="1:13">
      <c r="A1341" s="2">
        <v>701</v>
      </c>
      <c r="B1341" s="2" t="s">
        <v>8799</v>
      </c>
      <c r="C1341" s="2">
        <v>9</v>
      </c>
      <c r="D1341" s="2">
        <v>556</v>
      </c>
      <c r="E1341" s="2">
        <v>30</v>
      </c>
      <c r="F1341" s="2">
        <v>32441</v>
      </c>
      <c r="G1341" s="2">
        <v>17.504136689999999</v>
      </c>
      <c r="H1341" s="3">
        <v>1.39E-8</v>
      </c>
      <c r="I1341" s="2" t="s">
        <v>8800</v>
      </c>
      <c r="J1341" s="2" t="s">
        <v>8801</v>
      </c>
      <c r="K1341" s="3">
        <v>2.6100000000000002E-7</v>
      </c>
      <c r="L1341" s="2" t="s">
        <v>848</v>
      </c>
      <c r="M1341" s="4" t="s">
        <v>8802</v>
      </c>
    </row>
    <row r="1342" spans="1:13">
      <c r="A1342" s="2">
        <v>5765</v>
      </c>
      <c r="B1342" s="2" t="s">
        <v>8803</v>
      </c>
      <c r="C1342" s="2">
        <v>9</v>
      </c>
      <c r="D1342" s="2">
        <v>556</v>
      </c>
      <c r="E1342" s="2">
        <v>30</v>
      </c>
      <c r="F1342" s="2">
        <v>32441</v>
      </c>
      <c r="G1342" s="2">
        <v>17.504136689999999</v>
      </c>
      <c r="H1342" s="3">
        <v>1.39E-8</v>
      </c>
      <c r="I1342" s="2" t="s">
        <v>8804</v>
      </c>
      <c r="J1342" s="2" t="s">
        <v>8805</v>
      </c>
      <c r="K1342" s="3">
        <v>2.6100000000000002E-7</v>
      </c>
      <c r="L1342" s="2" t="s">
        <v>848</v>
      </c>
      <c r="M1342" s="4" t="s">
        <v>8806</v>
      </c>
    </row>
    <row r="1343" spans="1:13">
      <c r="A1343" s="2">
        <v>44231</v>
      </c>
      <c r="B1343" s="2" t="s">
        <v>8807</v>
      </c>
      <c r="C1343" s="2">
        <v>20</v>
      </c>
      <c r="D1343" s="2">
        <v>556</v>
      </c>
      <c r="E1343" s="2">
        <v>233</v>
      </c>
      <c r="F1343" s="2">
        <v>32441</v>
      </c>
      <c r="G1343" s="2">
        <v>5.008336678</v>
      </c>
      <c r="H1343" s="3">
        <v>1.4100000000000001E-8</v>
      </c>
      <c r="I1343" s="2" t="s">
        <v>8808</v>
      </c>
      <c r="J1343" s="2" t="s">
        <v>8809</v>
      </c>
      <c r="K1343" s="3">
        <v>2.65E-7</v>
      </c>
      <c r="L1343" s="2" t="s">
        <v>848</v>
      </c>
      <c r="M1343" s="4" t="s">
        <v>8810</v>
      </c>
    </row>
    <row r="1344" spans="1:13">
      <c r="A1344" s="2">
        <v>4074</v>
      </c>
      <c r="B1344" s="2" t="s">
        <v>8811</v>
      </c>
      <c r="C1344" s="2">
        <v>7</v>
      </c>
      <c r="D1344" s="2">
        <v>556</v>
      </c>
      <c r="E1344" s="2">
        <v>12</v>
      </c>
      <c r="F1344" s="2">
        <v>32441</v>
      </c>
      <c r="G1344" s="2">
        <v>34.035821339999998</v>
      </c>
      <c r="H1344" s="3">
        <v>1.5700000000000002E-8</v>
      </c>
      <c r="I1344" s="2" t="s">
        <v>8812</v>
      </c>
      <c r="J1344" s="2" t="s">
        <v>8813</v>
      </c>
      <c r="K1344" s="3">
        <v>2.91E-7</v>
      </c>
      <c r="L1344" s="2" t="s">
        <v>848</v>
      </c>
      <c r="M1344" s="4" t="s">
        <v>8814</v>
      </c>
    </row>
    <row r="1345" spans="1:13">
      <c r="A1345" s="2">
        <v>5226</v>
      </c>
      <c r="B1345" s="2" t="s">
        <v>8815</v>
      </c>
      <c r="C1345" s="2">
        <v>7</v>
      </c>
      <c r="D1345" s="2">
        <v>556</v>
      </c>
      <c r="E1345" s="2">
        <v>12</v>
      </c>
      <c r="F1345" s="2">
        <v>32441</v>
      </c>
      <c r="G1345" s="2">
        <v>34.035821339999998</v>
      </c>
      <c r="H1345" s="3">
        <v>1.5700000000000002E-8</v>
      </c>
      <c r="I1345" s="2" t="s">
        <v>8816</v>
      </c>
      <c r="J1345" s="2" t="s">
        <v>8817</v>
      </c>
      <c r="K1345" s="3">
        <v>2.91E-7</v>
      </c>
      <c r="L1345" s="2" t="s">
        <v>848</v>
      </c>
      <c r="M1345" s="4" t="s">
        <v>8818</v>
      </c>
    </row>
    <row r="1346" spans="1:13">
      <c r="A1346" s="2">
        <v>5760</v>
      </c>
      <c r="B1346" s="2" t="s">
        <v>8819</v>
      </c>
      <c r="C1346" s="2">
        <v>7</v>
      </c>
      <c r="D1346" s="2">
        <v>556</v>
      </c>
      <c r="E1346" s="2">
        <v>12</v>
      </c>
      <c r="F1346" s="2">
        <v>32441</v>
      </c>
      <c r="G1346" s="2">
        <v>34.035821339999998</v>
      </c>
      <c r="H1346" s="3">
        <v>1.5700000000000002E-8</v>
      </c>
      <c r="I1346" s="2" t="s">
        <v>8820</v>
      </c>
      <c r="J1346" s="2" t="s">
        <v>8821</v>
      </c>
      <c r="K1346" s="3">
        <v>2.91E-7</v>
      </c>
      <c r="L1346" s="2" t="s">
        <v>848</v>
      </c>
      <c r="M1346" s="4" t="s">
        <v>8822</v>
      </c>
    </row>
    <row r="1347" spans="1:13">
      <c r="A1347" s="2">
        <v>5822</v>
      </c>
      <c r="B1347" s="2" t="s">
        <v>8823</v>
      </c>
      <c r="C1347" s="2">
        <v>7</v>
      </c>
      <c r="D1347" s="2">
        <v>556</v>
      </c>
      <c r="E1347" s="2">
        <v>12</v>
      </c>
      <c r="F1347" s="2">
        <v>32441</v>
      </c>
      <c r="G1347" s="2">
        <v>34.035821339999998</v>
      </c>
      <c r="H1347" s="3">
        <v>1.5700000000000002E-8</v>
      </c>
      <c r="I1347" s="2" t="s">
        <v>8824</v>
      </c>
      <c r="J1347" s="2" t="s">
        <v>8825</v>
      </c>
      <c r="K1347" s="3">
        <v>2.91E-7</v>
      </c>
      <c r="L1347" s="2" t="s">
        <v>848</v>
      </c>
      <c r="M1347" s="4" t="s">
        <v>8826</v>
      </c>
    </row>
    <row r="1348" spans="1:13">
      <c r="A1348" s="2">
        <v>700</v>
      </c>
      <c r="B1348" s="2" t="s">
        <v>8827</v>
      </c>
      <c r="C1348" s="2">
        <v>38</v>
      </c>
      <c r="D1348" s="2">
        <v>556</v>
      </c>
      <c r="E1348" s="2">
        <v>767</v>
      </c>
      <c r="F1348" s="2">
        <v>32441</v>
      </c>
      <c r="G1348" s="2">
        <v>2.8907309620000001</v>
      </c>
      <c r="H1348" s="3">
        <v>1.59E-8</v>
      </c>
      <c r="I1348" s="2" t="s">
        <v>8828</v>
      </c>
      <c r="J1348" s="2" t="s">
        <v>8829</v>
      </c>
      <c r="K1348" s="3">
        <v>2.9400000000000001E-7</v>
      </c>
      <c r="L1348" s="2" t="s">
        <v>848</v>
      </c>
      <c r="M1348" s="4" t="s">
        <v>8830</v>
      </c>
    </row>
    <row r="1349" spans="1:13">
      <c r="A1349" s="2">
        <v>3405</v>
      </c>
      <c r="B1349" s="2" t="s">
        <v>8831</v>
      </c>
      <c r="C1349" s="2">
        <v>9</v>
      </c>
      <c r="D1349" s="2">
        <v>556</v>
      </c>
      <c r="E1349" s="2">
        <v>31</v>
      </c>
      <c r="F1349" s="2">
        <v>32441</v>
      </c>
      <c r="G1349" s="2">
        <v>16.939487119999999</v>
      </c>
      <c r="H1349" s="3">
        <v>1.7599999999999999E-8</v>
      </c>
      <c r="I1349" s="2" t="s">
        <v>8832</v>
      </c>
      <c r="J1349" s="2" t="s">
        <v>8833</v>
      </c>
      <c r="K1349" s="3">
        <v>3.2500000000000001E-7</v>
      </c>
      <c r="L1349" s="2" t="s">
        <v>848</v>
      </c>
      <c r="M1349" s="4" t="s">
        <v>8834</v>
      </c>
    </row>
    <row r="1350" spans="1:13">
      <c r="A1350" s="2">
        <v>1217</v>
      </c>
      <c r="B1350" s="2" t="s">
        <v>8835</v>
      </c>
      <c r="C1350" s="2">
        <v>11</v>
      </c>
      <c r="D1350" s="2">
        <v>556</v>
      </c>
      <c r="E1350" s="2">
        <v>57</v>
      </c>
      <c r="F1350" s="2">
        <v>32441</v>
      </c>
      <c r="G1350" s="2">
        <v>11.259970969999999</v>
      </c>
      <c r="H1350" s="3">
        <v>1.81E-8</v>
      </c>
      <c r="I1350" s="2" t="s">
        <v>8836</v>
      </c>
      <c r="J1350" s="2" t="s">
        <v>8837</v>
      </c>
      <c r="K1350" s="3">
        <v>3.3299999999999998E-7</v>
      </c>
      <c r="L1350" s="2" t="s">
        <v>848</v>
      </c>
      <c r="M1350" s="4" t="s">
        <v>8838</v>
      </c>
    </row>
    <row r="1351" spans="1:13">
      <c r="A1351" s="2">
        <v>3307</v>
      </c>
      <c r="B1351" s="2" t="s">
        <v>8839</v>
      </c>
      <c r="C1351" s="2">
        <v>14</v>
      </c>
      <c r="D1351" s="2">
        <v>556</v>
      </c>
      <c r="E1351" s="2">
        <v>108</v>
      </c>
      <c r="F1351" s="2">
        <v>32441</v>
      </c>
      <c r="G1351" s="2">
        <v>7.5635158540000003</v>
      </c>
      <c r="H1351" s="3">
        <v>2.0500000000000002E-8</v>
      </c>
      <c r="I1351" s="2" t="s">
        <v>8840</v>
      </c>
      <c r="J1351" s="2" t="s">
        <v>8841</v>
      </c>
      <c r="K1351" s="3">
        <v>3.7500000000000001E-7</v>
      </c>
      <c r="L1351" s="2" t="s">
        <v>848</v>
      </c>
      <c r="M1351" s="4" t="s">
        <v>8842</v>
      </c>
    </row>
    <row r="1352" spans="1:13">
      <c r="A1352" s="2">
        <v>4149</v>
      </c>
      <c r="B1352" s="2" t="s">
        <v>8843</v>
      </c>
      <c r="C1352" s="2">
        <v>10</v>
      </c>
      <c r="D1352" s="2">
        <v>556</v>
      </c>
      <c r="E1352" s="2">
        <v>44</v>
      </c>
      <c r="F1352" s="2">
        <v>32441</v>
      </c>
      <c r="G1352" s="2">
        <v>13.260709609999999</v>
      </c>
      <c r="H1352" s="3">
        <v>2.0899999999999999E-8</v>
      </c>
      <c r="I1352" s="2" t="s">
        <v>8844</v>
      </c>
      <c r="J1352" s="2" t="s">
        <v>8845</v>
      </c>
      <c r="K1352" s="3">
        <v>3.8299999999999998E-7</v>
      </c>
      <c r="L1352" s="2" t="s">
        <v>848</v>
      </c>
      <c r="M1352" s="4" t="s">
        <v>8846</v>
      </c>
    </row>
    <row r="1353" spans="1:13">
      <c r="A1353" s="2">
        <v>4016</v>
      </c>
      <c r="B1353" s="2" t="s">
        <v>8847</v>
      </c>
      <c r="C1353" s="2">
        <v>9</v>
      </c>
      <c r="D1353" s="2">
        <v>556</v>
      </c>
      <c r="E1353" s="2">
        <v>32</v>
      </c>
      <c r="F1353" s="2">
        <v>32441</v>
      </c>
      <c r="G1353" s="2">
        <v>16.410128149999998</v>
      </c>
      <c r="H1353" s="3">
        <v>2.2300000000000001E-8</v>
      </c>
      <c r="I1353" s="2" t="s">
        <v>8848</v>
      </c>
      <c r="J1353" s="2" t="s">
        <v>8849</v>
      </c>
      <c r="K1353" s="3">
        <v>4.0499999999999999E-7</v>
      </c>
      <c r="L1353" s="2" t="s">
        <v>848</v>
      </c>
      <c r="M1353" s="4" t="s">
        <v>8850</v>
      </c>
    </row>
    <row r="1354" spans="1:13">
      <c r="A1354" s="2">
        <v>13461</v>
      </c>
      <c r="B1354" s="2" t="s">
        <v>8851</v>
      </c>
      <c r="C1354" s="2">
        <v>14</v>
      </c>
      <c r="D1354" s="2">
        <v>556</v>
      </c>
      <c r="E1354" s="2">
        <v>109</v>
      </c>
      <c r="F1354" s="2">
        <v>32441</v>
      </c>
      <c r="G1354" s="2">
        <v>7.4941257999999999</v>
      </c>
      <c r="H1354" s="3">
        <v>2.2700000000000001E-8</v>
      </c>
      <c r="I1354" s="2" t="s">
        <v>8852</v>
      </c>
      <c r="J1354" s="2" t="s">
        <v>8853</v>
      </c>
      <c r="K1354" s="3">
        <v>4.1300000000000001E-7</v>
      </c>
      <c r="L1354" s="2" t="s">
        <v>848</v>
      </c>
      <c r="M1354" s="4" t="s">
        <v>8854</v>
      </c>
    </row>
    <row r="1355" spans="1:13">
      <c r="A1355" s="2">
        <v>2907</v>
      </c>
      <c r="B1355" s="2" t="s">
        <v>8855</v>
      </c>
      <c r="C1355" s="2">
        <v>8</v>
      </c>
      <c r="D1355" s="2">
        <v>556</v>
      </c>
      <c r="E1355" s="2">
        <v>22</v>
      </c>
      <c r="F1355" s="2">
        <v>32441</v>
      </c>
      <c r="G1355" s="2">
        <v>21.217135379999998</v>
      </c>
      <c r="H1355" s="3">
        <v>2.6099999999999999E-8</v>
      </c>
      <c r="I1355" s="2" t="s">
        <v>8856</v>
      </c>
      <c r="J1355" s="2" t="s">
        <v>8857</v>
      </c>
      <c r="K1355" s="3">
        <v>4.7199999999999999E-7</v>
      </c>
      <c r="L1355" s="2" t="s">
        <v>848</v>
      </c>
      <c r="M1355" s="4" t="s">
        <v>8858</v>
      </c>
    </row>
    <row r="1356" spans="1:13">
      <c r="A1356" s="2">
        <v>21311</v>
      </c>
      <c r="B1356" s="2" t="s">
        <v>8859</v>
      </c>
      <c r="C1356" s="2">
        <v>12</v>
      </c>
      <c r="D1356" s="2">
        <v>556</v>
      </c>
      <c r="E1356" s="2">
        <v>75</v>
      </c>
      <c r="F1356" s="2">
        <v>32441</v>
      </c>
      <c r="G1356" s="2">
        <v>9.3355395679999997</v>
      </c>
      <c r="H1356" s="3">
        <v>2.62E-8</v>
      </c>
      <c r="I1356" s="2" t="s">
        <v>8860</v>
      </c>
      <c r="J1356" s="2" t="s">
        <v>8861</v>
      </c>
      <c r="K1356" s="3">
        <v>4.7300000000000001E-7</v>
      </c>
      <c r="L1356" s="2" t="s">
        <v>848</v>
      </c>
      <c r="M1356" s="4" t="s">
        <v>8862</v>
      </c>
    </row>
    <row r="1357" spans="1:13">
      <c r="A1357" s="2">
        <v>251</v>
      </c>
      <c r="B1357" s="2" t="s">
        <v>8863</v>
      </c>
      <c r="C1357" s="2">
        <v>12</v>
      </c>
      <c r="D1357" s="2">
        <v>556</v>
      </c>
      <c r="E1357" s="2">
        <v>76</v>
      </c>
      <c r="F1357" s="2">
        <v>32441</v>
      </c>
      <c r="G1357" s="2">
        <v>9.2127035209999999</v>
      </c>
      <c r="H1357" s="3">
        <v>2.9900000000000003E-8</v>
      </c>
      <c r="I1357" s="2" t="s">
        <v>8864</v>
      </c>
      <c r="J1357" s="2" t="s">
        <v>8865</v>
      </c>
      <c r="K1357" s="3">
        <v>5.3799999999999997E-7</v>
      </c>
      <c r="L1357" s="2" t="s">
        <v>848</v>
      </c>
      <c r="M1357" s="4" t="s">
        <v>8866</v>
      </c>
    </row>
    <row r="1358" spans="1:13">
      <c r="A1358" s="2">
        <v>3481</v>
      </c>
      <c r="B1358" s="2" t="s">
        <v>8867</v>
      </c>
      <c r="C1358" s="2">
        <v>29</v>
      </c>
      <c r="D1358" s="2">
        <v>556</v>
      </c>
      <c r="E1358" s="2">
        <v>498</v>
      </c>
      <c r="F1358" s="2">
        <v>32441</v>
      </c>
      <c r="G1358" s="2">
        <v>3.3977239890000002</v>
      </c>
      <c r="H1358" s="3">
        <v>3.3400000000000001E-8</v>
      </c>
      <c r="I1358" s="2" t="s">
        <v>8868</v>
      </c>
      <c r="J1358" s="2" t="s">
        <v>8869</v>
      </c>
      <c r="K1358" s="3">
        <v>5.99E-7</v>
      </c>
      <c r="L1358" s="2" t="s">
        <v>848</v>
      </c>
      <c r="M1358" s="4" t="s">
        <v>8870</v>
      </c>
    </row>
    <row r="1359" spans="1:13">
      <c r="A1359" s="2">
        <v>3719</v>
      </c>
      <c r="B1359" s="2" t="s">
        <v>8871</v>
      </c>
      <c r="C1359" s="2">
        <v>32</v>
      </c>
      <c r="D1359" s="2">
        <v>556</v>
      </c>
      <c r="E1359" s="2">
        <v>592</v>
      </c>
      <c r="F1359" s="2">
        <v>32441</v>
      </c>
      <c r="G1359" s="2">
        <v>3.1538985030000002</v>
      </c>
      <c r="H1359" s="3">
        <v>3.3899999999999999E-8</v>
      </c>
      <c r="I1359" s="2" t="s">
        <v>8872</v>
      </c>
      <c r="J1359" s="2" t="s">
        <v>8873</v>
      </c>
      <c r="K1359" s="3">
        <v>6.0500000000000003E-7</v>
      </c>
      <c r="L1359" s="2" t="s">
        <v>848</v>
      </c>
      <c r="M1359" s="4" t="s">
        <v>8874</v>
      </c>
    </row>
    <row r="1360" spans="1:13">
      <c r="A1360" s="2">
        <v>5028</v>
      </c>
      <c r="B1360" s="2" t="s">
        <v>8875</v>
      </c>
      <c r="C1360" s="2">
        <v>8</v>
      </c>
      <c r="D1360" s="2">
        <v>556</v>
      </c>
      <c r="E1360" s="2">
        <v>23</v>
      </c>
      <c r="F1360" s="2">
        <v>32441</v>
      </c>
      <c r="G1360" s="2">
        <v>20.29465124</v>
      </c>
      <c r="H1360" s="3">
        <v>3.47E-8</v>
      </c>
      <c r="I1360" s="2" t="s">
        <v>8876</v>
      </c>
      <c r="J1360" s="2" t="s">
        <v>8877</v>
      </c>
      <c r="K1360" s="3">
        <v>6.1799999999999995E-7</v>
      </c>
      <c r="L1360" s="2" t="s">
        <v>848</v>
      </c>
      <c r="M1360" s="4" t="s">
        <v>8878</v>
      </c>
    </row>
    <row r="1361" spans="1:13">
      <c r="A1361" s="2">
        <v>1861</v>
      </c>
      <c r="B1361" s="2" t="s">
        <v>8879</v>
      </c>
      <c r="C1361" s="2">
        <v>7</v>
      </c>
      <c r="D1361" s="2">
        <v>556</v>
      </c>
      <c r="E1361" s="2">
        <v>14</v>
      </c>
      <c r="F1361" s="2">
        <v>32441</v>
      </c>
      <c r="G1361" s="2">
        <v>29.173561150000001</v>
      </c>
      <c r="H1361" s="3">
        <v>3.5199999999999998E-8</v>
      </c>
      <c r="I1361" s="2" t="s">
        <v>8880</v>
      </c>
      <c r="J1361" s="2" t="s">
        <v>8881</v>
      </c>
      <c r="K1361" s="3">
        <v>6.2300000000000001E-7</v>
      </c>
      <c r="L1361" s="2" t="s">
        <v>848</v>
      </c>
      <c r="M1361" s="4" t="s">
        <v>8882</v>
      </c>
    </row>
    <row r="1362" spans="1:13">
      <c r="A1362" s="2">
        <v>26881</v>
      </c>
      <c r="B1362" s="2" t="s">
        <v>8883</v>
      </c>
      <c r="C1362" s="2">
        <v>7</v>
      </c>
      <c r="D1362" s="2">
        <v>556</v>
      </c>
      <c r="E1362" s="2">
        <v>14</v>
      </c>
      <c r="F1362" s="2">
        <v>32441</v>
      </c>
      <c r="G1362" s="2">
        <v>29.173561150000001</v>
      </c>
      <c r="H1362" s="3">
        <v>3.5199999999999998E-8</v>
      </c>
      <c r="I1362" s="2" t="s">
        <v>8884</v>
      </c>
      <c r="J1362" s="2" t="s">
        <v>8885</v>
      </c>
      <c r="K1362" s="3">
        <v>6.2300000000000001E-7</v>
      </c>
      <c r="L1362" s="2" t="s">
        <v>848</v>
      </c>
      <c r="M1362" s="4" t="s">
        <v>8886</v>
      </c>
    </row>
    <row r="1363" spans="1:13">
      <c r="A1363" s="2">
        <v>2274</v>
      </c>
      <c r="B1363" s="2" t="s">
        <v>8887</v>
      </c>
      <c r="C1363" s="2">
        <v>15</v>
      </c>
      <c r="D1363" s="2">
        <v>556</v>
      </c>
      <c r="E1363" s="2">
        <v>134</v>
      </c>
      <c r="F1363" s="2">
        <v>32441</v>
      </c>
      <c r="G1363" s="2">
        <v>6.5313942880000004</v>
      </c>
      <c r="H1363" s="3">
        <v>3.8299999999999999E-8</v>
      </c>
      <c r="I1363" s="2" t="s">
        <v>8888</v>
      </c>
      <c r="J1363" s="2" t="s">
        <v>8889</v>
      </c>
      <c r="K1363" s="3">
        <v>6.7599999999999997E-7</v>
      </c>
      <c r="L1363" s="2" t="s">
        <v>848</v>
      </c>
      <c r="M1363" s="4" t="s">
        <v>8890</v>
      </c>
    </row>
    <row r="1364" spans="1:13">
      <c r="A1364" s="2">
        <v>597</v>
      </c>
      <c r="B1364" s="2" t="s">
        <v>8891</v>
      </c>
      <c r="C1364" s="2">
        <v>13</v>
      </c>
      <c r="D1364" s="2">
        <v>556</v>
      </c>
      <c r="E1364" s="2">
        <v>96</v>
      </c>
      <c r="F1364" s="2">
        <v>32441</v>
      </c>
      <c r="G1364" s="2">
        <v>7.9011728120000004</v>
      </c>
      <c r="H1364" s="3">
        <v>4.1099999999999997E-8</v>
      </c>
      <c r="I1364" s="2" t="s">
        <v>8892</v>
      </c>
      <c r="J1364" s="2" t="s">
        <v>8893</v>
      </c>
      <c r="K1364" s="3">
        <v>7.2399999999999997E-7</v>
      </c>
      <c r="L1364" s="2" t="s">
        <v>848</v>
      </c>
      <c r="M1364" s="4" t="s">
        <v>8894</v>
      </c>
    </row>
    <row r="1365" spans="1:13">
      <c r="A1365" s="2">
        <v>1553</v>
      </c>
      <c r="B1365" s="2" t="s">
        <v>8895</v>
      </c>
      <c r="C1365" s="2">
        <v>10</v>
      </c>
      <c r="D1365" s="2">
        <v>556</v>
      </c>
      <c r="E1365" s="2">
        <v>48</v>
      </c>
      <c r="F1365" s="2">
        <v>32441</v>
      </c>
      <c r="G1365" s="2">
        <v>12.15565048</v>
      </c>
      <c r="H1365" s="3">
        <v>4.3000000000000001E-8</v>
      </c>
      <c r="I1365" s="2" t="s">
        <v>8896</v>
      </c>
      <c r="J1365" s="2" t="s">
        <v>8897</v>
      </c>
      <c r="K1365" s="3">
        <v>7.54E-7</v>
      </c>
      <c r="L1365" s="2" t="s">
        <v>848</v>
      </c>
      <c r="M1365" s="4" t="s">
        <v>8898</v>
      </c>
    </row>
    <row r="1366" spans="1:13">
      <c r="A1366" s="2">
        <v>1721</v>
      </c>
      <c r="B1366" s="2" t="s">
        <v>8899</v>
      </c>
      <c r="C1366" s="2">
        <v>9</v>
      </c>
      <c r="D1366" s="2">
        <v>556</v>
      </c>
      <c r="E1366" s="2">
        <v>35</v>
      </c>
      <c r="F1366" s="2">
        <v>32441</v>
      </c>
      <c r="G1366" s="2">
        <v>15.003545730000001</v>
      </c>
      <c r="H1366" s="3">
        <v>4.3100000000000002E-8</v>
      </c>
      <c r="I1366" s="2" t="s">
        <v>8900</v>
      </c>
      <c r="J1366" s="2" t="s">
        <v>8901</v>
      </c>
      <c r="K1366" s="3">
        <v>7.54E-7</v>
      </c>
      <c r="L1366" s="2" t="s">
        <v>848</v>
      </c>
      <c r="M1366" s="4" t="s">
        <v>8902</v>
      </c>
    </row>
    <row r="1367" spans="1:13">
      <c r="A1367" s="2">
        <v>2132</v>
      </c>
      <c r="B1367" s="2" t="s">
        <v>8903</v>
      </c>
      <c r="C1367" s="2">
        <v>7</v>
      </c>
      <c r="D1367" s="2">
        <v>556</v>
      </c>
      <c r="E1367" s="2">
        <v>15</v>
      </c>
      <c r="F1367" s="2">
        <v>32441</v>
      </c>
      <c r="G1367" s="2">
        <v>27.228657070000001</v>
      </c>
      <c r="H1367" s="3">
        <v>5.0899999999999999E-8</v>
      </c>
      <c r="I1367" s="2" t="s">
        <v>8904</v>
      </c>
      <c r="J1367" s="2" t="s">
        <v>8905</v>
      </c>
      <c r="K1367" s="3">
        <v>8.85E-7</v>
      </c>
      <c r="L1367" s="2" t="s">
        <v>848</v>
      </c>
      <c r="M1367" s="4" t="s">
        <v>8906</v>
      </c>
    </row>
    <row r="1368" spans="1:13">
      <c r="A1368" s="2">
        <v>23761</v>
      </c>
      <c r="B1368" s="2" t="s">
        <v>8907</v>
      </c>
      <c r="C1368" s="2">
        <v>7</v>
      </c>
      <c r="D1368" s="2">
        <v>556</v>
      </c>
      <c r="E1368" s="2">
        <v>15</v>
      </c>
      <c r="F1368" s="2">
        <v>32441</v>
      </c>
      <c r="G1368" s="2">
        <v>27.228657070000001</v>
      </c>
      <c r="H1368" s="3">
        <v>5.0899999999999999E-8</v>
      </c>
      <c r="I1368" s="2" t="s">
        <v>8908</v>
      </c>
      <c r="J1368" s="2" t="s">
        <v>8909</v>
      </c>
      <c r="K1368" s="3">
        <v>8.85E-7</v>
      </c>
      <c r="L1368" s="2" t="s">
        <v>848</v>
      </c>
      <c r="M1368" s="4" t="s">
        <v>8910</v>
      </c>
    </row>
    <row r="1369" spans="1:13">
      <c r="A1369" s="2">
        <v>2113</v>
      </c>
      <c r="B1369" s="2" t="s">
        <v>8911</v>
      </c>
      <c r="C1369" s="2">
        <v>9</v>
      </c>
      <c r="D1369" s="2">
        <v>556</v>
      </c>
      <c r="E1369" s="2">
        <v>36</v>
      </c>
      <c r="F1369" s="2">
        <v>32441</v>
      </c>
      <c r="G1369" s="2">
        <v>14.586780579999999</v>
      </c>
      <c r="H1369" s="3">
        <v>5.2999999999999998E-8</v>
      </c>
      <c r="I1369" s="2" t="s">
        <v>8912</v>
      </c>
      <c r="J1369" s="2" t="s">
        <v>8913</v>
      </c>
      <c r="K1369" s="3">
        <v>9.1999999999999998E-7</v>
      </c>
      <c r="L1369" s="2" t="s">
        <v>848</v>
      </c>
      <c r="M1369" s="4" t="s">
        <v>8914</v>
      </c>
    </row>
    <row r="1370" spans="1:13">
      <c r="A1370" s="2">
        <v>2449</v>
      </c>
      <c r="B1370" s="2" t="s">
        <v>8915</v>
      </c>
      <c r="C1370" s="2">
        <v>32</v>
      </c>
      <c r="D1370" s="2">
        <v>556</v>
      </c>
      <c r="E1370" s="2">
        <v>605</v>
      </c>
      <c r="F1370" s="2">
        <v>32441</v>
      </c>
      <c r="G1370" s="2">
        <v>3.0861287829999999</v>
      </c>
      <c r="H1370" s="3">
        <v>5.4399999999999997E-8</v>
      </c>
      <c r="I1370" s="2" t="s">
        <v>8916</v>
      </c>
      <c r="J1370" s="2" t="s">
        <v>8917</v>
      </c>
      <c r="K1370" s="3">
        <v>9.4E-7</v>
      </c>
      <c r="L1370" s="2" t="s">
        <v>848</v>
      </c>
      <c r="M1370" s="4" t="s">
        <v>8918</v>
      </c>
    </row>
    <row r="1371" spans="1:13">
      <c r="A1371" s="2">
        <v>4795</v>
      </c>
      <c r="B1371" s="2" t="s">
        <v>8919</v>
      </c>
      <c r="C1371" s="2">
        <v>12</v>
      </c>
      <c r="D1371" s="2">
        <v>556</v>
      </c>
      <c r="E1371" s="2">
        <v>81</v>
      </c>
      <c r="F1371" s="2">
        <v>32441</v>
      </c>
      <c r="G1371" s="2">
        <v>8.6440181190000001</v>
      </c>
      <c r="H1371" s="3">
        <v>5.62E-8</v>
      </c>
      <c r="I1371" s="2" t="s">
        <v>8920</v>
      </c>
      <c r="J1371" s="2" t="s">
        <v>8921</v>
      </c>
      <c r="K1371" s="3">
        <v>9.6899999999999996E-7</v>
      </c>
      <c r="L1371" s="2" t="s">
        <v>848</v>
      </c>
      <c r="M1371" s="4" t="s">
        <v>8922</v>
      </c>
    </row>
    <row r="1372" spans="1:13">
      <c r="A1372" s="2">
        <v>2057</v>
      </c>
      <c r="B1372" s="2" t="s">
        <v>8923</v>
      </c>
      <c r="C1372" s="2">
        <v>18</v>
      </c>
      <c r="D1372" s="2">
        <v>556</v>
      </c>
      <c r="E1372" s="2">
        <v>206</v>
      </c>
      <c r="F1372" s="2">
        <v>32441</v>
      </c>
      <c r="G1372" s="2">
        <v>5.0982922400000001</v>
      </c>
      <c r="H1372" s="3">
        <v>5.7900000000000002E-8</v>
      </c>
      <c r="I1372" s="2" t="s">
        <v>8924</v>
      </c>
      <c r="J1372" s="2" t="s">
        <v>8925</v>
      </c>
      <c r="K1372" s="3">
        <v>9.9600000000000008E-7</v>
      </c>
      <c r="L1372" s="2" t="s">
        <v>848</v>
      </c>
      <c r="M1372" s="4" t="s">
        <v>8926</v>
      </c>
    </row>
    <row r="1373" spans="1:13">
      <c r="A1373" s="2">
        <v>6061</v>
      </c>
      <c r="B1373" s="2" t="s">
        <v>8927</v>
      </c>
      <c r="C1373" s="2">
        <v>10</v>
      </c>
      <c r="D1373" s="2">
        <v>556</v>
      </c>
      <c r="E1373" s="2">
        <v>50</v>
      </c>
      <c r="F1373" s="2">
        <v>32441</v>
      </c>
      <c r="G1373" s="2">
        <v>11.66942446</v>
      </c>
      <c r="H1373" s="3">
        <v>6.0300000000000004E-8</v>
      </c>
      <c r="I1373" s="2" t="s">
        <v>8928</v>
      </c>
      <c r="J1373" s="2" t="s">
        <v>8929</v>
      </c>
      <c r="K1373" s="3">
        <v>1.0300000000000001E-6</v>
      </c>
      <c r="L1373" s="2" t="s">
        <v>848</v>
      </c>
      <c r="M1373" s="4" t="s">
        <v>8930</v>
      </c>
    </row>
    <row r="1374" spans="1:13">
      <c r="A1374" s="2">
        <v>11</v>
      </c>
      <c r="B1374" s="2" t="s">
        <v>8931</v>
      </c>
      <c r="C1374" s="2">
        <v>28</v>
      </c>
      <c r="D1374" s="2">
        <v>556</v>
      </c>
      <c r="E1374" s="2">
        <v>482</v>
      </c>
      <c r="F1374" s="2">
        <v>32441</v>
      </c>
      <c r="G1374" s="2">
        <v>3.389459387</v>
      </c>
      <c r="H1374" s="3">
        <v>6.0500000000000006E-8</v>
      </c>
      <c r="I1374" s="2" t="s">
        <v>8932</v>
      </c>
      <c r="J1374" s="2" t="s">
        <v>8933</v>
      </c>
      <c r="K1374" s="3">
        <v>1.04E-6</v>
      </c>
      <c r="L1374" s="2" t="s">
        <v>848</v>
      </c>
      <c r="M1374" s="4" t="s">
        <v>8934</v>
      </c>
    </row>
    <row r="1375" spans="1:13">
      <c r="A1375" s="2">
        <v>2430</v>
      </c>
      <c r="B1375" s="2" t="s">
        <v>8935</v>
      </c>
      <c r="C1375" s="2">
        <v>13</v>
      </c>
      <c r="D1375" s="2">
        <v>556</v>
      </c>
      <c r="E1375" s="2">
        <v>100</v>
      </c>
      <c r="F1375" s="2">
        <v>32441</v>
      </c>
      <c r="G1375" s="2">
        <v>7.5851258990000003</v>
      </c>
      <c r="H1375" s="3">
        <v>6.3500000000000006E-8</v>
      </c>
      <c r="I1375" s="2" t="s">
        <v>8936</v>
      </c>
      <c r="J1375" s="2" t="s">
        <v>8937</v>
      </c>
      <c r="K1375" s="3">
        <v>1.08E-6</v>
      </c>
      <c r="L1375" s="2" t="s">
        <v>848</v>
      </c>
      <c r="M1375" s="4" t="s">
        <v>8938</v>
      </c>
    </row>
    <row r="1376" spans="1:13">
      <c r="A1376" s="2">
        <v>232</v>
      </c>
      <c r="B1376" s="2" t="s">
        <v>8939</v>
      </c>
      <c r="C1376" s="2">
        <v>9</v>
      </c>
      <c r="D1376" s="2">
        <v>556</v>
      </c>
      <c r="E1376" s="2">
        <v>37</v>
      </c>
      <c r="F1376" s="2">
        <v>32441</v>
      </c>
      <c r="G1376" s="2">
        <v>14.192543260000001</v>
      </c>
      <c r="H1376" s="3">
        <v>6.5E-8</v>
      </c>
      <c r="I1376" s="2" t="s">
        <v>8940</v>
      </c>
      <c r="J1376" s="2" t="s">
        <v>8941</v>
      </c>
      <c r="K1376" s="3">
        <v>1.1000000000000001E-6</v>
      </c>
      <c r="L1376" s="2" t="s">
        <v>848</v>
      </c>
      <c r="M1376" s="4" t="s">
        <v>8942</v>
      </c>
    </row>
    <row r="1377" spans="1:13">
      <c r="A1377" s="2">
        <v>956</v>
      </c>
      <c r="B1377" s="2" t="s">
        <v>8943</v>
      </c>
      <c r="C1377" s="2">
        <v>9</v>
      </c>
      <c r="D1377" s="2">
        <v>556</v>
      </c>
      <c r="E1377" s="2">
        <v>37</v>
      </c>
      <c r="F1377" s="2">
        <v>32441</v>
      </c>
      <c r="G1377" s="2">
        <v>14.192543260000001</v>
      </c>
      <c r="H1377" s="3">
        <v>6.5E-8</v>
      </c>
      <c r="I1377" s="2" t="s">
        <v>8944</v>
      </c>
      <c r="J1377" s="2" t="s">
        <v>8945</v>
      </c>
      <c r="K1377" s="3">
        <v>1.1000000000000001E-6</v>
      </c>
      <c r="L1377" s="2" t="s">
        <v>848</v>
      </c>
      <c r="M1377" s="4" t="s">
        <v>8946</v>
      </c>
    </row>
    <row r="1378" spans="1:13">
      <c r="A1378" s="2">
        <v>2093</v>
      </c>
      <c r="B1378" s="2" t="s">
        <v>8947</v>
      </c>
      <c r="C1378" s="2">
        <v>7</v>
      </c>
      <c r="D1378" s="2">
        <v>556</v>
      </c>
      <c r="E1378" s="2">
        <v>16</v>
      </c>
      <c r="F1378" s="2">
        <v>32441</v>
      </c>
      <c r="G1378" s="2">
        <v>25.526866009999999</v>
      </c>
      <c r="H1378" s="3">
        <v>7.2100000000000004E-8</v>
      </c>
      <c r="I1378" s="2" t="s">
        <v>8948</v>
      </c>
      <c r="J1378" s="2" t="s">
        <v>8949</v>
      </c>
      <c r="K1378" s="3">
        <v>1.2100000000000001E-6</v>
      </c>
      <c r="L1378" s="2" t="s">
        <v>848</v>
      </c>
      <c r="M1378" s="4" t="s">
        <v>8950</v>
      </c>
    </row>
    <row r="1379" spans="1:13">
      <c r="A1379" s="2">
        <v>5449</v>
      </c>
      <c r="B1379" s="2" t="s">
        <v>8951</v>
      </c>
      <c r="C1379" s="2">
        <v>7</v>
      </c>
      <c r="D1379" s="2">
        <v>556</v>
      </c>
      <c r="E1379" s="2">
        <v>16</v>
      </c>
      <c r="F1379" s="2">
        <v>32441</v>
      </c>
      <c r="G1379" s="2">
        <v>25.526866009999999</v>
      </c>
      <c r="H1379" s="3">
        <v>7.2100000000000004E-8</v>
      </c>
      <c r="I1379" s="2" t="s">
        <v>8952</v>
      </c>
      <c r="J1379" s="2" t="s">
        <v>8953</v>
      </c>
      <c r="K1379" s="3">
        <v>1.2100000000000001E-6</v>
      </c>
      <c r="L1379" s="2" t="s">
        <v>848</v>
      </c>
      <c r="M1379" s="4" t="s">
        <v>8954</v>
      </c>
    </row>
    <row r="1380" spans="1:13">
      <c r="A1380" s="2">
        <v>785</v>
      </c>
      <c r="B1380" s="2" t="s">
        <v>8955</v>
      </c>
      <c r="C1380" s="2">
        <v>8</v>
      </c>
      <c r="D1380" s="2">
        <v>556</v>
      </c>
      <c r="E1380" s="2">
        <v>26</v>
      </c>
      <c r="F1380" s="2">
        <v>32441</v>
      </c>
      <c r="G1380" s="2">
        <v>17.952960709999999</v>
      </c>
      <c r="H1380" s="3">
        <v>7.6300000000000002E-8</v>
      </c>
      <c r="I1380" s="2" t="s">
        <v>8956</v>
      </c>
      <c r="J1380" s="2" t="s">
        <v>8957</v>
      </c>
      <c r="K1380" s="3">
        <v>1.28E-6</v>
      </c>
      <c r="L1380" s="2" t="s">
        <v>848</v>
      </c>
      <c r="M1380" s="4" t="s">
        <v>8958</v>
      </c>
    </row>
    <row r="1381" spans="1:13">
      <c r="A1381" s="2">
        <v>4790</v>
      </c>
      <c r="B1381" s="2" t="s">
        <v>8959</v>
      </c>
      <c r="C1381" s="2">
        <v>21</v>
      </c>
      <c r="D1381" s="2">
        <v>556</v>
      </c>
      <c r="E1381" s="2">
        <v>288</v>
      </c>
      <c r="F1381" s="2">
        <v>32441</v>
      </c>
      <c r="G1381" s="2">
        <v>4.2544776679999998</v>
      </c>
      <c r="H1381" s="3">
        <v>8.3999999999999998E-8</v>
      </c>
      <c r="I1381" s="2" t="s">
        <v>8960</v>
      </c>
      <c r="J1381" s="2" t="s">
        <v>8961</v>
      </c>
      <c r="K1381" s="3">
        <v>1.4100000000000001E-6</v>
      </c>
      <c r="L1381" s="2" t="s">
        <v>848</v>
      </c>
      <c r="M1381" s="4" t="s">
        <v>8962</v>
      </c>
    </row>
    <row r="1382" spans="1:13">
      <c r="A1382" s="2">
        <v>16731</v>
      </c>
      <c r="B1382" s="2" t="s">
        <v>8963</v>
      </c>
      <c r="C1382" s="2">
        <v>21</v>
      </c>
      <c r="D1382" s="2">
        <v>556</v>
      </c>
      <c r="E1382" s="2">
        <v>289</v>
      </c>
      <c r="F1382" s="2">
        <v>32441</v>
      </c>
      <c r="G1382" s="2">
        <v>4.239756292</v>
      </c>
      <c r="H1382" s="3">
        <v>8.8699999999999994E-8</v>
      </c>
      <c r="I1382" s="2" t="s">
        <v>8964</v>
      </c>
      <c r="J1382" s="2" t="s">
        <v>8965</v>
      </c>
      <c r="K1382" s="3">
        <v>1.48E-6</v>
      </c>
      <c r="L1382" s="2" t="s">
        <v>848</v>
      </c>
      <c r="M1382" s="4" t="s">
        <v>8966</v>
      </c>
    </row>
    <row r="1383" spans="1:13">
      <c r="A1383" s="2">
        <v>1237</v>
      </c>
      <c r="B1383" s="2" t="s">
        <v>8967</v>
      </c>
      <c r="C1383" s="2">
        <v>12</v>
      </c>
      <c r="D1383" s="2">
        <v>556</v>
      </c>
      <c r="E1383" s="2">
        <v>85</v>
      </c>
      <c r="F1383" s="2">
        <v>32441</v>
      </c>
      <c r="G1383" s="2">
        <v>8.237240796</v>
      </c>
      <c r="H1383" s="3">
        <v>9.0499999999999996E-8</v>
      </c>
      <c r="I1383" s="2" t="s">
        <v>8968</v>
      </c>
      <c r="J1383" s="2" t="s">
        <v>8969</v>
      </c>
      <c r="K1383" s="3">
        <v>1.5099999999999999E-6</v>
      </c>
      <c r="L1383" s="2" t="s">
        <v>848</v>
      </c>
      <c r="M1383" s="4" t="s">
        <v>8970</v>
      </c>
    </row>
    <row r="1384" spans="1:13">
      <c r="A1384" s="2">
        <v>1707</v>
      </c>
      <c r="B1384" s="2" t="s">
        <v>8971</v>
      </c>
      <c r="C1384" s="2">
        <v>18</v>
      </c>
      <c r="D1384" s="2">
        <v>556</v>
      </c>
      <c r="E1384" s="2">
        <v>213</v>
      </c>
      <c r="F1384" s="2">
        <v>32441</v>
      </c>
      <c r="G1384" s="2">
        <v>4.9307427300000004</v>
      </c>
      <c r="H1384" s="3">
        <v>9.2399999999999994E-8</v>
      </c>
      <c r="I1384" s="2" t="s">
        <v>8972</v>
      </c>
      <c r="J1384" s="2" t="s">
        <v>8973</v>
      </c>
      <c r="K1384" s="3">
        <v>1.5400000000000001E-6</v>
      </c>
      <c r="L1384" s="2" t="s">
        <v>848</v>
      </c>
      <c r="M1384" s="4" t="s">
        <v>8974</v>
      </c>
    </row>
    <row r="1385" spans="1:13">
      <c r="A1385" s="2">
        <v>1447</v>
      </c>
      <c r="B1385" s="2" t="s">
        <v>8975</v>
      </c>
      <c r="C1385" s="2">
        <v>8</v>
      </c>
      <c r="D1385" s="2">
        <v>556</v>
      </c>
      <c r="E1385" s="2">
        <v>27</v>
      </c>
      <c r="F1385" s="2">
        <v>32441</v>
      </c>
      <c r="G1385" s="2">
        <v>17.28803624</v>
      </c>
      <c r="H1385" s="3">
        <v>9.7500000000000006E-8</v>
      </c>
      <c r="I1385" s="2" t="s">
        <v>8976</v>
      </c>
      <c r="J1385" s="2" t="s">
        <v>8977</v>
      </c>
      <c r="K1385" s="3">
        <v>1.61E-6</v>
      </c>
      <c r="L1385" s="2" t="s">
        <v>848</v>
      </c>
      <c r="M1385" s="4" t="s">
        <v>8978</v>
      </c>
    </row>
    <row r="1386" spans="1:13">
      <c r="A1386" s="2">
        <v>4381</v>
      </c>
      <c r="B1386" s="2" t="s">
        <v>8979</v>
      </c>
      <c r="C1386" s="2">
        <v>8</v>
      </c>
      <c r="D1386" s="2">
        <v>556</v>
      </c>
      <c r="E1386" s="2">
        <v>27</v>
      </c>
      <c r="F1386" s="2">
        <v>32441</v>
      </c>
      <c r="G1386" s="2">
        <v>17.28803624</v>
      </c>
      <c r="H1386" s="3">
        <v>9.7500000000000006E-8</v>
      </c>
      <c r="I1386" s="2" t="s">
        <v>8980</v>
      </c>
      <c r="J1386" s="2" t="s">
        <v>8981</v>
      </c>
      <c r="K1386" s="3">
        <v>1.61E-6</v>
      </c>
      <c r="L1386" s="2" t="s">
        <v>848</v>
      </c>
      <c r="M1386" s="4" t="s">
        <v>8982</v>
      </c>
    </row>
    <row r="1387" spans="1:13">
      <c r="A1387" s="2">
        <v>17</v>
      </c>
      <c r="B1387" s="2" t="s">
        <v>8983</v>
      </c>
      <c r="C1387" s="2">
        <v>12</v>
      </c>
      <c r="D1387" s="2">
        <v>556</v>
      </c>
      <c r="E1387" s="2">
        <v>87</v>
      </c>
      <c r="F1387" s="2">
        <v>32441</v>
      </c>
      <c r="G1387" s="2">
        <v>8.0478789380000002</v>
      </c>
      <c r="H1387" s="3">
        <v>1.14E-7</v>
      </c>
      <c r="I1387" s="2" t="s">
        <v>8984</v>
      </c>
      <c r="J1387" s="2" t="s">
        <v>8985</v>
      </c>
      <c r="K1387" s="3">
        <v>1.88E-6</v>
      </c>
      <c r="L1387" s="2" t="s">
        <v>848</v>
      </c>
      <c r="M1387" s="4" t="s">
        <v>8986</v>
      </c>
    </row>
    <row r="1388" spans="1:13">
      <c r="A1388" s="2">
        <v>2822</v>
      </c>
      <c r="B1388" s="2" t="s">
        <v>8987</v>
      </c>
      <c r="C1388" s="2">
        <v>33</v>
      </c>
      <c r="D1388" s="2">
        <v>556</v>
      </c>
      <c r="E1388" s="2">
        <v>660</v>
      </c>
      <c r="F1388" s="2">
        <v>32441</v>
      </c>
      <c r="G1388" s="2">
        <v>2.917356115</v>
      </c>
      <c r="H1388" s="3">
        <v>1.17E-7</v>
      </c>
      <c r="I1388" s="2" t="s">
        <v>8988</v>
      </c>
      <c r="J1388" s="2" t="s">
        <v>8989</v>
      </c>
      <c r="K1388" s="3">
        <v>1.9199999999999998E-6</v>
      </c>
      <c r="L1388" s="2" t="s">
        <v>848</v>
      </c>
      <c r="M1388" s="4" t="s">
        <v>8990</v>
      </c>
    </row>
    <row r="1389" spans="1:13">
      <c r="A1389" s="2">
        <v>5155</v>
      </c>
      <c r="B1389" s="2" t="s">
        <v>8991</v>
      </c>
      <c r="C1389" s="2">
        <v>11</v>
      </c>
      <c r="D1389" s="2">
        <v>556</v>
      </c>
      <c r="E1389" s="2">
        <v>70</v>
      </c>
      <c r="F1389" s="2">
        <v>32441</v>
      </c>
      <c r="G1389" s="2">
        <v>9.1688335050000003</v>
      </c>
      <c r="H1389" s="3">
        <v>1.18E-7</v>
      </c>
      <c r="I1389" s="2" t="s">
        <v>8992</v>
      </c>
      <c r="J1389" s="2" t="s">
        <v>8993</v>
      </c>
      <c r="K1389" s="3">
        <v>1.9300000000000002E-6</v>
      </c>
      <c r="L1389" s="2" t="s">
        <v>848</v>
      </c>
      <c r="M1389" s="4" t="s">
        <v>8994</v>
      </c>
    </row>
    <row r="1390" spans="1:13">
      <c r="A1390" s="2">
        <v>4097</v>
      </c>
      <c r="B1390" s="2" t="s">
        <v>8995</v>
      </c>
      <c r="C1390" s="2">
        <v>8</v>
      </c>
      <c r="D1390" s="2">
        <v>556</v>
      </c>
      <c r="E1390" s="2">
        <v>28</v>
      </c>
      <c r="F1390" s="2">
        <v>32441</v>
      </c>
      <c r="G1390" s="2">
        <v>16.670606370000002</v>
      </c>
      <c r="H1390" s="3">
        <v>1.23E-7</v>
      </c>
      <c r="I1390" s="2" t="s">
        <v>8856</v>
      </c>
      <c r="J1390" s="2" t="s">
        <v>8857</v>
      </c>
      <c r="K1390" s="3">
        <v>2.0200000000000001E-6</v>
      </c>
      <c r="L1390" s="2" t="s">
        <v>848</v>
      </c>
      <c r="M1390" s="4" t="s">
        <v>8996</v>
      </c>
    </row>
    <row r="1391" spans="1:13">
      <c r="A1391" s="2">
        <v>924</v>
      </c>
      <c r="B1391" s="2" t="s">
        <v>8997</v>
      </c>
      <c r="C1391" s="2">
        <v>13</v>
      </c>
      <c r="D1391" s="2">
        <v>556</v>
      </c>
      <c r="E1391" s="2">
        <v>107</v>
      </c>
      <c r="F1391" s="2">
        <v>32441</v>
      </c>
      <c r="G1391" s="2">
        <v>7.0889027100000002</v>
      </c>
      <c r="H1391" s="3">
        <v>1.3E-7</v>
      </c>
      <c r="I1391" s="2" t="s">
        <v>8998</v>
      </c>
      <c r="J1391" s="2" t="s">
        <v>8999</v>
      </c>
      <c r="K1391" s="3">
        <v>2.12E-6</v>
      </c>
      <c r="L1391" s="2" t="s">
        <v>848</v>
      </c>
      <c r="M1391" s="4" t="s">
        <v>9000</v>
      </c>
    </row>
    <row r="1392" spans="1:13">
      <c r="A1392" s="2">
        <v>963</v>
      </c>
      <c r="B1392" s="2" t="s">
        <v>9001</v>
      </c>
      <c r="C1392" s="2">
        <v>7</v>
      </c>
      <c r="D1392" s="2">
        <v>556</v>
      </c>
      <c r="E1392" s="2">
        <v>18</v>
      </c>
      <c r="F1392" s="2">
        <v>32441</v>
      </c>
      <c r="G1392" s="2">
        <v>22.690547559999999</v>
      </c>
      <c r="H1392" s="3">
        <v>1.37E-7</v>
      </c>
      <c r="I1392" s="2" t="s">
        <v>9002</v>
      </c>
      <c r="J1392" s="2" t="s">
        <v>9003</v>
      </c>
      <c r="K1392" s="3">
        <v>2.2299999999999998E-6</v>
      </c>
      <c r="L1392" s="2" t="s">
        <v>848</v>
      </c>
      <c r="M1392" s="4" t="s">
        <v>9004</v>
      </c>
    </row>
    <row r="1393" spans="1:13">
      <c r="A1393" s="2">
        <v>1426</v>
      </c>
      <c r="B1393" s="2" t="s">
        <v>9005</v>
      </c>
      <c r="C1393" s="2">
        <v>27</v>
      </c>
      <c r="D1393" s="2">
        <v>556</v>
      </c>
      <c r="E1393" s="2">
        <v>472</v>
      </c>
      <c r="F1393" s="2">
        <v>32441</v>
      </c>
      <c r="G1393" s="2">
        <v>3.337653183</v>
      </c>
      <c r="H1393" s="3">
        <v>1.4000000000000001E-7</v>
      </c>
      <c r="I1393" s="2" t="s">
        <v>9006</v>
      </c>
      <c r="J1393" s="2" t="s">
        <v>9007</v>
      </c>
      <c r="K1393" s="3">
        <v>2.2500000000000001E-6</v>
      </c>
      <c r="L1393" s="2" t="s">
        <v>848</v>
      </c>
      <c r="M1393" s="4" t="s">
        <v>9008</v>
      </c>
    </row>
    <row r="1394" spans="1:13">
      <c r="A1394" s="2">
        <v>1880</v>
      </c>
      <c r="B1394" s="2" t="s">
        <v>9009</v>
      </c>
      <c r="C1394" s="2">
        <v>22</v>
      </c>
      <c r="D1394" s="2">
        <v>556</v>
      </c>
      <c r="E1394" s="2">
        <v>325</v>
      </c>
      <c r="F1394" s="2">
        <v>32441</v>
      </c>
      <c r="G1394" s="2">
        <v>3.9496513559999999</v>
      </c>
      <c r="H1394" s="3">
        <v>1.4000000000000001E-7</v>
      </c>
      <c r="I1394" s="2" t="s">
        <v>9010</v>
      </c>
      <c r="J1394" s="2" t="s">
        <v>9011</v>
      </c>
      <c r="K1394" s="3">
        <v>2.2500000000000001E-6</v>
      </c>
      <c r="L1394" s="2" t="s">
        <v>848</v>
      </c>
      <c r="M1394" s="4" t="s">
        <v>9012</v>
      </c>
    </row>
    <row r="1395" spans="1:13">
      <c r="A1395" s="2">
        <v>3553</v>
      </c>
      <c r="B1395" s="2" t="s">
        <v>9013</v>
      </c>
      <c r="C1395" s="2">
        <v>9</v>
      </c>
      <c r="D1395" s="2">
        <v>556</v>
      </c>
      <c r="E1395" s="2">
        <v>41</v>
      </c>
      <c r="F1395" s="2">
        <v>32441</v>
      </c>
      <c r="G1395" s="2">
        <v>12.8079049</v>
      </c>
      <c r="H1395" s="3">
        <v>1.3899999999999999E-7</v>
      </c>
      <c r="I1395" s="2" t="s">
        <v>9014</v>
      </c>
      <c r="J1395" s="2" t="s">
        <v>9015</v>
      </c>
      <c r="K1395" s="3">
        <v>2.2500000000000001E-6</v>
      </c>
      <c r="L1395" s="2" t="s">
        <v>848</v>
      </c>
      <c r="M1395" s="4" t="s">
        <v>9016</v>
      </c>
    </row>
    <row r="1396" spans="1:13">
      <c r="A1396" s="2">
        <v>1271</v>
      </c>
      <c r="B1396" s="2" t="s">
        <v>9017</v>
      </c>
      <c r="C1396" s="2">
        <v>12</v>
      </c>
      <c r="D1396" s="2">
        <v>556</v>
      </c>
      <c r="E1396" s="2">
        <v>89</v>
      </c>
      <c r="F1396" s="2">
        <v>32441</v>
      </c>
      <c r="G1396" s="2">
        <v>7.8670277259999999</v>
      </c>
      <c r="H1396" s="3">
        <v>1.42E-7</v>
      </c>
      <c r="I1396" s="2" t="s">
        <v>9018</v>
      </c>
      <c r="J1396" s="2" t="s">
        <v>9019</v>
      </c>
      <c r="K1396" s="3">
        <v>2.2900000000000001E-6</v>
      </c>
      <c r="L1396" s="2" t="s">
        <v>848</v>
      </c>
      <c r="M1396" s="4" t="s">
        <v>9020</v>
      </c>
    </row>
    <row r="1397" spans="1:13">
      <c r="A1397" s="2">
        <v>16581</v>
      </c>
      <c r="B1397" s="2" t="s">
        <v>9021</v>
      </c>
      <c r="C1397" s="2">
        <v>8</v>
      </c>
      <c r="D1397" s="2">
        <v>556</v>
      </c>
      <c r="E1397" s="2">
        <v>29</v>
      </c>
      <c r="F1397" s="2">
        <v>32441</v>
      </c>
      <c r="G1397" s="2">
        <v>16.095757880000001</v>
      </c>
      <c r="H1397" s="3">
        <v>1.55E-7</v>
      </c>
      <c r="I1397" s="2" t="s">
        <v>4677</v>
      </c>
      <c r="J1397" s="2" t="s">
        <v>4678</v>
      </c>
      <c r="K1397" s="3">
        <v>2.4899999999999999E-6</v>
      </c>
      <c r="L1397" s="2" t="s">
        <v>848</v>
      </c>
      <c r="M1397" s="4" t="s">
        <v>9022</v>
      </c>
    </row>
    <row r="1398" spans="1:13">
      <c r="A1398" s="2">
        <v>5262</v>
      </c>
      <c r="B1398" s="2" t="s">
        <v>9023</v>
      </c>
      <c r="C1398" s="2">
        <v>39</v>
      </c>
      <c r="D1398" s="2">
        <v>556</v>
      </c>
      <c r="E1398" s="2">
        <v>879</v>
      </c>
      <c r="F1398" s="2">
        <v>32441</v>
      </c>
      <c r="G1398" s="2">
        <v>2.5887801700000002</v>
      </c>
      <c r="H1398" s="3">
        <v>1.6299999999999999E-7</v>
      </c>
      <c r="I1398" s="2" t="s">
        <v>9024</v>
      </c>
      <c r="J1398" s="2" t="s">
        <v>9025</v>
      </c>
      <c r="K1398" s="3">
        <v>2.61E-6</v>
      </c>
      <c r="L1398" s="2" t="s">
        <v>848</v>
      </c>
      <c r="M1398" s="4" t="s">
        <v>9026</v>
      </c>
    </row>
    <row r="1399" spans="1:13">
      <c r="A1399" s="2">
        <v>1235</v>
      </c>
      <c r="B1399" s="2" t="s">
        <v>9027</v>
      </c>
      <c r="C1399" s="2">
        <v>11</v>
      </c>
      <c r="D1399" s="2">
        <v>556</v>
      </c>
      <c r="E1399" s="2">
        <v>74</v>
      </c>
      <c r="F1399" s="2">
        <v>32441</v>
      </c>
      <c r="G1399" s="2">
        <v>8.6732208830000008</v>
      </c>
      <c r="H1399" s="3">
        <v>1.9500000000000001E-7</v>
      </c>
      <c r="I1399" s="2" t="s">
        <v>9028</v>
      </c>
      <c r="J1399" s="2" t="s">
        <v>9029</v>
      </c>
      <c r="K1399" s="3">
        <v>3.1099999999999999E-6</v>
      </c>
      <c r="L1399" s="2" t="s">
        <v>848</v>
      </c>
      <c r="M1399" s="4" t="s">
        <v>9030</v>
      </c>
    </row>
    <row r="1400" spans="1:13">
      <c r="A1400" s="2">
        <v>4935</v>
      </c>
      <c r="B1400" s="2" t="s">
        <v>9031</v>
      </c>
      <c r="C1400" s="2">
        <v>19</v>
      </c>
      <c r="D1400" s="2">
        <v>556</v>
      </c>
      <c r="E1400" s="2">
        <v>252</v>
      </c>
      <c r="F1400" s="2">
        <v>32441</v>
      </c>
      <c r="G1400" s="2">
        <v>4.3991877930000003</v>
      </c>
      <c r="H1400" s="3">
        <v>2.1400000000000001E-7</v>
      </c>
      <c r="I1400" s="2" t="s">
        <v>9032</v>
      </c>
      <c r="J1400" s="2" t="s">
        <v>9033</v>
      </c>
      <c r="K1400" s="3">
        <v>3.41E-6</v>
      </c>
      <c r="L1400" s="2" t="s">
        <v>848</v>
      </c>
      <c r="M1400" s="4" t="s">
        <v>9034</v>
      </c>
    </row>
    <row r="1401" spans="1:13">
      <c r="A1401" s="2">
        <v>625</v>
      </c>
      <c r="B1401" s="2" t="s">
        <v>9035</v>
      </c>
      <c r="C1401" s="2">
        <v>14</v>
      </c>
      <c r="D1401" s="2">
        <v>556</v>
      </c>
      <c r="E1401" s="2">
        <v>133</v>
      </c>
      <c r="F1401" s="2">
        <v>32441</v>
      </c>
      <c r="G1401" s="2">
        <v>6.1418023479999997</v>
      </c>
      <c r="H1401" s="3">
        <v>2.17E-7</v>
      </c>
      <c r="I1401" s="2" t="s">
        <v>9036</v>
      </c>
      <c r="J1401" s="2" t="s">
        <v>9037</v>
      </c>
      <c r="K1401" s="3">
        <v>3.4400000000000001E-6</v>
      </c>
      <c r="L1401" s="2" t="s">
        <v>848</v>
      </c>
      <c r="M1401" s="4" t="s">
        <v>9038</v>
      </c>
    </row>
    <row r="1402" spans="1:13">
      <c r="A1402" s="2">
        <v>2162</v>
      </c>
      <c r="B1402" s="2" t="s">
        <v>9039</v>
      </c>
      <c r="C1402" s="2">
        <v>8</v>
      </c>
      <c r="D1402" s="2">
        <v>556</v>
      </c>
      <c r="E1402" s="2">
        <v>31</v>
      </c>
      <c r="F1402" s="2">
        <v>32441</v>
      </c>
      <c r="G1402" s="2">
        <v>15.05732188</v>
      </c>
      <c r="H1402" s="3">
        <v>2.3999999999999998E-7</v>
      </c>
      <c r="I1402" s="2" t="s">
        <v>9040</v>
      </c>
      <c r="J1402" s="2" t="s">
        <v>9041</v>
      </c>
      <c r="K1402" s="3">
        <v>3.7900000000000001E-6</v>
      </c>
      <c r="L1402" s="2" t="s">
        <v>848</v>
      </c>
      <c r="M1402" s="4" t="s">
        <v>9042</v>
      </c>
    </row>
    <row r="1403" spans="1:13">
      <c r="A1403" s="2">
        <v>5508</v>
      </c>
      <c r="B1403" s="2" t="s">
        <v>9043</v>
      </c>
      <c r="C1403" s="2">
        <v>8</v>
      </c>
      <c r="D1403" s="2">
        <v>556</v>
      </c>
      <c r="E1403" s="2">
        <v>31</v>
      </c>
      <c r="F1403" s="2">
        <v>32441</v>
      </c>
      <c r="G1403" s="2">
        <v>15.05732188</v>
      </c>
      <c r="H1403" s="3">
        <v>2.3999999999999998E-7</v>
      </c>
      <c r="I1403" s="2" t="s">
        <v>9044</v>
      </c>
      <c r="J1403" s="2" t="s">
        <v>9045</v>
      </c>
      <c r="K1403" s="3">
        <v>3.7900000000000001E-6</v>
      </c>
      <c r="L1403" s="2" t="s">
        <v>848</v>
      </c>
      <c r="M1403" s="4" t="s">
        <v>9046</v>
      </c>
    </row>
    <row r="1404" spans="1:13">
      <c r="A1404" s="2">
        <v>993</v>
      </c>
      <c r="B1404" s="2" t="s">
        <v>9047</v>
      </c>
      <c r="C1404" s="2">
        <v>7</v>
      </c>
      <c r="D1404" s="2">
        <v>556</v>
      </c>
      <c r="E1404" s="2">
        <v>20</v>
      </c>
      <c r="F1404" s="2">
        <v>32441</v>
      </c>
      <c r="G1404" s="2">
        <v>20.42149281</v>
      </c>
      <c r="H1404" s="3">
        <v>2.4600000000000001E-7</v>
      </c>
      <c r="I1404" s="2" t="s">
        <v>8880</v>
      </c>
      <c r="J1404" s="2" t="s">
        <v>8881</v>
      </c>
      <c r="K1404" s="3">
        <v>3.8700000000000002E-6</v>
      </c>
      <c r="L1404" s="2" t="s">
        <v>848</v>
      </c>
      <c r="M1404" s="4" t="s">
        <v>9048</v>
      </c>
    </row>
    <row r="1405" spans="1:13">
      <c r="A1405" s="2">
        <v>781</v>
      </c>
      <c r="B1405" s="2" t="s">
        <v>9049</v>
      </c>
      <c r="C1405" s="2">
        <v>12</v>
      </c>
      <c r="D1405" s="2">
        <v>556</v>
      </c>
      <c r="E1405" s="2">
        <v>95</v>
      </c>
      <c r="F1405" s="2">
        <v>32441</v>
      </c>
      <c r="G1405" s="2">
        <v>7.3701628169999998</v>
      </c>
      <c r="H1405" s="3">
        <v>2.7000000000000001E-7</v>
      </c>
      <c r="I1405" s="2" t="s">
        <v>9050</v>
      </c>
      <c r="J1405" s="2" t="s">
        <v>9051</v>
      </c>
      <c r="K1405" s="3">
        <v>4.2400000000000001E-6</v>
      </c>
      <c r="L1405" s="2" t="s">
        <v>848</v>
      </c>
      <c r="M1405" s="4" t="s">
        <v>9052</v>
      </c>
    </row>
    <row r="1406" spans="1:13">
      <c r="A1406" s="2">
        <v>3724</v>
      </c>
      <c r="B1406" s="2" t="s">
        <v>9053</v>
      </c>
      <c r="C1406" s="2">
        <v>18</v>
      </c>
      <c r="D1406" s="2">
        <v>556</v>
      </c>
      <c r="E1406" s="2">
        <v>231</v>
      </c>
      <c r="F1406" s="2">
        <v>32441</v>
      </c>
      <c r="G1406" s="2">
        <v>4.5465290109999996</v>
      </c>
      <c r="H1406" s="3">
        <v>2.84E-7</v>
      </c>
      <c r="I1406" s="2" t="s">
        <v>9054</v>
      </c>
      <c r="J1406" s="2" t="s">
        <v>9055</v>
      </c>
      <c r="K1406" s="3">
        <v>4.4399999999999998E-6</v>
      </c>
      <c r="L1406" s="2" t="s">
        <v>848</v>
      </c>
      <c r="M1406" s="4" t="s">
        <v>9056</v>
      </c>
    </row>
    <row r="1407" spans="1:13">
      <c r="A1407" s="2">
        <v>39141</v>
      </c>
      <c r="B1407" s="2" t="s">
        <v>9057</v>
      </c>
      <c r="C1407" s="2">
        <v>31</v>
      </c>
      <c r="D1407" s="2">
        <v>556</v>
      </c>
      <c r="E1407" s="2">
        <v>621</v>
      </c>
      <c r="F1407" s="2">
        <v>32441</v>
      </c>
      <c r="G1407" s="2">
        <v>2.912658279</v>
      </c>
      <c r="H1407" s="3">
        <v>2.9200000000000002E-7</v>
      </c>
      <c r="I1407" s="2" t="s">
        <v>9058</v>
      </c>
      <c r="J1407" s="2" t="s">
        <v>9059</v>
      </c>
      <c r="K1407" s="3">
        <v>4.5700000000000003E-6</v>
      </c>
      <c r="L1407" s="2" t="s">
        <v>848</v>
      </c>
      <c r="M1407" s="4" t="s">
        <v>9060</v>
      </c>
    </row>
    <row r="1408" spans="1:13">
      <c r="A1408" s="2">
        <v>524</v>
      </c>
      <c r="B1408" s="2" t="s">
        <v>9061</v>
      </c>
      <c r="C1408" s="2">
        <v>13</v>
      </c>
      <c r="D1408" s="2">
        <v>556</v>
      </c>
      <c r="E1408" s="2">
        <v>116</v>
      </c>
      <c r="F1408" s="2">
        <v>32441</v>
      </c>
      <c r="G1408" s="2">
        <v>6.5389016370000004</v>
      </c>
      <c r="H1408" s="3">
        <v>3.0499999999999999E-7</v>
      </c>
      <c r="I1408" s="2" t="s">
        <v>9062</v>
      </c>
      <c r="J1408" s="2" t="s">
        <v>9063</v>
      </c>
      <c r="K1408" s="3">
        <v>4.7400000000000004E-6</v>
      </c>
      <c r="L1408" s="2" t="s">
        <v>848</v>
      </c>
      <c r="M1408" s="4" t="s">
        <v>9064</v>
      </c>
    </row>
    <row r="1409" spans="1:13">
      <c r="A1409" s="2">
        <v>1628</v>
      </c>
      <c r="B1409" s="2" t="s">
        <v>9065</v>
      </c>
      <c r="C1409" s="2">
        <v>7</v>
      </c>
      <c r="D1409" s="2">
        <v>556</v>
      </c>
      <c r="E1409" s="2">
        <v>21</v>
      </c>
      <c r="F1409" s="2">
        <v>32441</v>
      </c>
      <c r="G1409" s="2">
        <v>19.44904077</v>
      </c>
      <c r="H1409" s="3">
        <v>3.2399999999999999E-7</v>
      </c>
      <c r="I1409" s="2" t="s">
        <v>9066</v>
      </c>
      <c r="J1409" s="2" t="s">
        <v>9067</v>
      </c>
      <c r="K1409" s="3">
        <v>5.0000000000000004E-6</v>
      </c>
      <c r="L1409" s="2" t="s">
        <v>848</v>
      </c>
      <c r="M1409" s="4" t="s">
        <v>9068</v>
      </c>
    </row>
    <row r="1410" spans="1:13">
      <c r="A1410" s="2">
        <v>3925</v>
      </c>
      <c r="B1410" s="2" t="s">
        <v>9069</v>
      </c>
      <c r="C1410" s="2">
        <v>7</v>
      </c>
      <c r="D1410" s="2">
        <v>556</v>
      </c>
      <c r="E1410" s="2">
        <v>21</v>
      </c>
      <c r="F1410" s="2">
        <v>32441</v>
      </c>
      <c r="G1410" s="2">
        <v>19.44904077</v>
      </c>
      <c r="H1410" s="3">
        <v>3.2399999999999999E-7</v>
      </c>
      <c r="I1410" s="2" t="s">
        <v>9070</v>
      </c>
      <c r="J1410" s="2" t="s">
        <v>9071</v>
      </c>
      <c r="K1410" s="3">
        <v>5.0000000000000004E-6</v>
      </c>
      <c r="L1410" s="2" t="s">
        <v>848</v>
      </c>
      <c r="M1410" s="4" t="s">
        <v>9072</v>
      </c>
    </row>
    <row r="1411" spans="1:13">
      <c r="A1411" s="2">
        <v>5584</v>
      </c>
      <c r="B1411" s="2" t="s">
        <v>9073</v>
      </c>
      <c r="C1411" s="2">
        <v>7</v>
      </c>
      <c r="D1411" s="2">
        <v>556</v>
      </c>
      <c r="E1411" s="2">
        <v>21</v>
      </c>
      <c r="F1411" s="2">
        <v>32441</v>
      </c>
      <c r="G1411" s="2">
        <v>19.44904077</v>
      </c>
      <c r="H1411" s="3">
        <v>3.2399999999999999E-7</v>
      </c>
      <c r="I1411" s="2" t="s">
        <v>9074</v>
      </c>
      <c r="J1411" s="2" t="s">
        <v>9075</v>
      </c>
      <c r="K1411" s="3">
        <v>5.0000000000000004E-6</v>
      </c>
      <c r="L1411" s="2" t="s">
        <v>848</v>
      </c>
      <c r="M1411" s="4" t="s">
        <v>9076</v>
      </c>
    </row>
    <row r="1412" spans="1:13">
      <c r="A1412" s="2">
        <v>298</v>
      </c>
      <c r="B1412" s="2" t="s">
        <v>9077</v>
      </c>
      <c r="C1412" s="2">
        <v>14</v>
      </c>
      <c r="D1412" s="2">
        <v>556</v>
      </c>
      <c r="E1412" s="2">
        <v>138</v>
      </c>
      <c r="F1412" s="2">
        <v>32441</v>
      </c>
      <c r="G1412" s="2">
        <v>5.9192732770000003</v>
      </c>
      <c r="H1412" s="3">
        <v>3.2800000000000003E-7</v>
      </c>
      <c r="I1412" s="2" t="s">
        <v>9078</v>
      </c>
      <c r="J1412" s="2" t="s">
        <v>9079</v>
      </c>
      <c r="K1412" s="3">
        <v>5.0599999999999998E-6</v>
      </c>
      <c r="L1412" s="2" t="s">
        <v>848</v>
      </c>
      <c r="M1412" s="4" t="s">
        <v>9080</v>
      </c>
    </row>
    <row r="1413" spans="1:13">
      <c r="A1413" s="2">
        <v>274</v>
      </c>
      <c r="B1413" s="2" t="s">
        <v>9081</v>
      </c>
      <c r="C1413" s="2">
        <v>6</v>
      </c>
      <c r="D1413" s="2">
        <v>556</v>
      </c>
      <c r="E1413" s="2">
        <v>12</v>
      </c>
      <c r="F1413" s="2">
        <v>32441</v>
      </c>
      <c r="G1413" s="2">
        <v>29.173561150000001</v>
      </c>
      <c r="H1413" s="3">
        <v>3.4799999999999999E-7</v>
      </c>
      <c r="I1413" s="2" t="s">
        <v>9082</v>
      </c>
      <c r="J1413" s="2" t="s">
        <v>9083</v>
      </c>
      <c r="K1413" s="3">
        <v>5.3499999999999996E-6</v>
      </c>
      <c r="L1413" s="2" t="s">
        <v>848</v>
      </c>
      <c r="M1413" s="4" t="s">
        <v>9084</v>
      </c>
    </row>
    <row r="1414" spans="1:13">
      <c r="A1414" s="2">
        <v>3780</v>
      </c>
      <c r="B1414" s="2" t="s">
        <v>9085</v>
      </c>
      <c r="C1414" s="2">
        <v>14</v>
      </c>
      <c r="D1414" s="2">
        <v>556</v>
      </c>
      <c r="E1414" s="2">
        <v>139</v>
      </c>
      <c r="F1414" s="2">
        <v>32441</v>
      </c>
      <c r="G1414" s="2">
        <v>5.8766885770000004</v>
      </c>
      <c r="H1414" s="3">
        <v>3.5600000000000001E-7</v>
      </c>
      <c r="I1414" s="2" t="s">
        <v>9086</v>
      </c>
      <c r="J1414" s="2" t="s">
        <v>9087</v>
      </c>
      <c r="K1414" s="3">
        <v>5.4500000000000003E-6</v>
      </c>
      <c r="L1414" s="2" t="s">
        <v>848</v>
      </c>
      <c r="M1414" s="4" t="s">
        <v>9088</v>
      </c>
    </row>
    <row r="1415" spans="1:13">
      <c r="A1415" s="2">
        <v>1586</v>
      </c>
      <c r="B1415" s="2" t="s">
        <v>9089</v>
      </c>
      <c r="C1415" s="2">
        <v>8</v>
      </c>
      <c r="D1415" s="2">
        <v>556</v>
      </c>
      <c r="E1415" s="2">
        <v>33</v>
      </c>
      <c r="F1415" s="2">
        <v>32441</v>
      </c>
      <c r="G1415" s="2">
        <v>14.144756920000001</v>
      </c>
      <c r="H1415" s="3">
        <v>3.6199999999999999E-7</v>
      </c>
      <c r="I1415" s="2" t="s">
        <v>9090</v>
      </c>
      <c r="J1415" s="2" t="s">
        <v>9091</v>
      </c>
      <c r="K1415" s="3">
        <v>5.49E-6</v>
      </c>
      <c r="L1415" s="2" t="s">
        <v>848</v>
      </c>
      <c r="M1415" s="4" t="s">
        <v>9092</v>
      </c>
    </row>
    <row r="1416" spans="1:13">
      <c r="A1416" s="2">
        <v>2492</v>
      </c>
      <c r="B1416" s="2" t="s">
        <v>9093</v>
      </c>
      <c r="C1416" s="2">
        <v>38</v>
      </c>
      <c r="D1416" s="2">
        <v>556</v>
      </c>
      <c r="E1416" s="2">
        <v>872</v>
      </c>
      <c r="F1416" s="2">
        <v>32441</v>
      </c>
      <c r="G1416" s="2">
        <v>2.5426498249999998</v>
      </c>
      <c r="H1416" s="3">
        <v>3.6100000000000002E-7</v>
      </c>
      <c r="I1416" s="2" t="s">
        <v>9094</v>
      </c>
      <c r="J1416" s="2" t="s">
        <v>9095</v>
      </c>
      <c r="K1416" s="3">
        <v>5.49E-6</v>
      </c>
      <c r="L1416" s="2" t="s">
        <v>848</v>
      </c>
      <c r="M1416" s="4" t="s">
        <v>9096</v>
      </c>
    </row>
    <row r="1417" spans="1:13">
      <c r="A1417" s="2">
        <v>3585</v>
      </c>
      <c r="B1417" s="2" t="s">
        <v>9097</v>
      </c>
      <c r="C1417" s="2">
        <v>8</v>
      </c>
      <c r="D1417" s="2">
        <v>556</v>
      </c>
      <c r="E1417" s="2">
        <v>33</v>
      </c>
      <c r="F1417" s="2">
        <v>32441</v>
      </c>
      <c r="G1417" s="2">
        <v>14.144756920000001</v>
      </c>
      <c r="H1417" s="3">
        <v>3.6199999999999999E-7</v>
      </c>
      <c r="I1417" s="2" t="s">
        <v>9098</v>
      </c>
      <c r="J1417" s="2" t="s">
        <v>9099</v>
      </c>
      <c r="K1417" s="3">
        <v>5.49E-6</v>
      </c>
      <c r="L1417" s="2" t="s">
        <v>848</v>
      </c>
      <c r="M1417" s="4" t="s">
        <v>9100</v>
      </c>
    </row>
    <row r="1418" spans="1:13">
      <c r="A1418" s="2">
        <v>45711</v>
      </c>
      <c r="B1418" s="2" t="s">
        <v>9101</v>
      </c>
      <c r="C1418" s="2">
        <v>8</v>
      </c>
      <c r="D1418" s="2">
        <v>556</v>
      </c>
      <c r="E1418" s="2">
        <v>33</v>
      </c>
      <c r="F1418" s="2">
        <v>32441</v>
      </c>
      <c r="G1418" s="2">
        <v>14.144756920000001</v>
      </c>
      <c r="H1418" s="3">
        <v>3.6199999999999999E-7</v>
      </c>
      <c r="I1418" s="2" t="s">
        <v>9102</v>
      </c>
      <c r="J1418" s="2" t="s">
        <v>9103</v>
      </c>
      <c r="K1418" s="3">
        <v>5.49E-6</v>
      </c>
      <c r="L1418" s="2" t="s">
        <v>848</v>
      </c>
      <c r="M1418" s="4" t="s">
        <v>9104</v>
      </c>
    </row>
    <row r="1419" spans="1:13">
      <c r="A1419" s="2">
        <v>28301</v>
      </c>
      <c r="B1419" s="2" t="s">
        <v>911</v>
      </c>
      <c r="C1419" s="2">
        <v>32</v>
      </c>
      <c r="D1419" s="2">
        <v>556</v>
      </c>
      <c r="E1419" s="2">
        <v>662</v>
      </c>
      <c r="F1419" s="2">
        <v>32441</v>
      </c>
      <c r="G1419" s="2">
        <v>2.8204047029999999</v>
      </c>
      <c r="H1419" s="3">
        <v>3.7E-7</v>
      </c>
      <c r="I1419" s="2" t="s">
        <v>9105</v>
      </c>
      <c r="J1419" s="2" t="s">
        <v>9106</v>
      </c>
      <c r="K1419" s="3">
        <v>5.5899999999999998E-6</v>
      </c>
      <c r="L1419" s="2" t="s">
        <v>848</v>
      </c>
      <c r="M1419" s="4" t="s">
        <v>9107</v>
      </c>
    </row>
    <row r="1420" spans="1:13">
      <c r="A1420" s="2">
        <v>2933</v>
      </c>
      <c r="B1420" s="2" t="s">
        <v>9108</v>
      </c>
      <c r="C1420" s="2">
        <v>15</v>
      </c>
      <c r="D1420" s="2">
        <v>556</v>
      </c>
      <c r="E1420" s="2">
        <v>162</v>
      </c>
      <c r="F1420" s="2">
        <v>32441</v>
      </c>
      <c r="G1420" s="2">
        <v>5.4025113239999998</v>
      </c>
      <c r="H1420" s="3">
        <v>3.7099999999999997E-7</v>
      </c>
      <c r="I1420" s="2" t="s">
        <v>9109</v>
      </c>
      <c r="J1420" s="2" t="s">
        <v>9110</v>
      </c>
      <c r="K1420" s="3">
        <v>5.5899999999999998E-6</v>
      </c>
      <c r="L1420" s="2" t="s">
        <v>848</v>
      </c>
      <c r="M1420" s="4" t="s">
        <v>9111</v>
      </c>
    </row>
    <row r="1421" spans="1:13">
      <c r="A1421" s="2">
        <v>5888</v>
      </c>
      <c r="B1421" s="2" t="s">
        <v>9112</v>
      </c>
      <c r="C1421" s="2">
        <v>9</v>
      </c>
      <c r="D1421" s="2">
        <v>556</v>
      </c>
      <c r="E1421" s="2">
        <v>47</v>
      </c>
      <c r="F1421" s="2">
        <v>32441</v>
      </c>
      <c r="G1421" s="2">
        <v>11.17285321</v>
      </c>
      <c r="H1421" s="3">
        <v>3.8500000000000002E-7</v>
      </c>
      <c r="I1421" s="2" t="s">
        <v>8804</v>
      </c>
      <c r="J1421" s="2" t="s">
        <v>8805</v>
      </c>
      <c r="K1421" s="3">
        <v>5.7899999999999996E-6</v>
      </c>
      <c r="L1421" s="2" t="s">
        <v>848</v>
      </c>
      <c r="M1421" s="4" t="s">
        <v>9113</v>
      </c>
    </row>
    <row r="1422" spans="1:13">
      <c r="A1422" s="2">
        <v>2983</v>
      </c>
      <c r="B1422" s="2" t="s">
        <v>9114</v>
      </c>
      <c r="C1422" s="2">
        <v>7</v>
      </c>
      <c r="D1422" s="2">
        <v>556</v>
      </c>
      <c r="E1422" s="2">
        <v>22</v>
      </c>
      <c r="F1422" s="2">
        <v>32441</v>
      </c>
      <c r="G1422" s="2">
        <v>18.56499346</v>
      </c>
      <c r="H1422" s="3">
        <v>4.2E-7</v>
      </c>
      <c r="I1422" s="2" t="s">
        <v>9115</v>
      </c>
      <c r="J1422" s="2" t="s">
        <v>9116</v>
      </c>
      <c r="K1422" s="3">
        <v>6.2999999999999998E-6</v>
      </c>
      <c r="L1422" s="2" t="s">
        <v>848</v>
      </c>
      <c r="M1422" s="4" t="s">
        <v>9117</v>
      </c>
    </row>
    <row r="1423" spans="1:13">
      <c r="A1423" s="2">
        <v>3694</v>
      </c>
      <c r="B1423" s="2" t="s">
        <v>9118</v>
      </c>
      <c r="C1423" s="2">
        <v>7</v>
      </c>
      <c r="D1423" s="2">
        <v>556</v>
      </c>
      <c r="E1423" s="2">
        <v>22</v>
      </c>
      <c r="F1423" s="2">
        <v>32441</v>
      </c>
      <c r="G1423" s="2">
        <v>18.56499346</v>
      </c>
      <c r="H1423" s="3">
        <v>4.2E-7</v>
      </c>
      <c r="I1423" s="2" t="s">
        <v>9119</v>
      </c>
      <c r="J1423" s="2" t="s">
        <v>9120</v>
      </c>
      <c r="K1423" s="3">
        <v>6.2999999999999998E-6</v>
      </c>
      <c r="L1423" s="2" t="s">
        <v>848</v>
      </c>
      <c r="M1423" s="4" t="s">
        <v>9121</v>
      </c>
    </row>
    <row r="1424" spans="1:13">
      <c r="A1424" s="2">
        <v>5571</v>
      </c>
      <c r="B1424" s="2" t="s">
        <v>9122</v>
      </c>
      <c r="C1424" s="2">
        <v>8</v>
      </c>
      <c r="D1424" s="2">
        <v>556</v>
      </c>
      <c r="E1424" s="2">
        <v>34</v>
      </c>
      <c r="F1424" s="2">
        <v>32441</v>
      </c>
      <c r="G1424" s="2">
        <v>13.728734660000001</v>
      </c>
      <c r="H1424" s="3">
        <v>4.4099999999999999E-7</v>
      </c>
      <c r="I1424" s="2" t="s">
        <v>9123</v>
      </c>
      <c r="J1424" s="2" t="s">
        <v>9124</v>
      </c>
      <c r="K1424" s="3">
        <v>6.5699999999999998E-6</v>
      </c>
      <c r="L1424" s="2" t="s">
        <v>848</v>
      </c>
      <c r="M1424" s="4" t="s">
        <v>9125</v>
      </c>
    </row>
    <row r="1425" spans="1:13">
      <c r="A1425" s="2">
        <v>1559</v>
      </c>
      <c r="B1425" s="2" t="s">
        <v>9126</v>
      </c>
      <c r="C1425" s="2">
        <v>8</v>
      </c>
      <c r="D1425" s="2">
        <v>556</v>
      </c>
      <c r="E1425" s="2">
        <v>34</v>
      </c>
      <c r="F1425" s="2">
        <v>32441</v>
      </c>
      <c r="G1425" s="2">
        <v>13.728734660000001</v>
      </c>
      <c r="H1425" s="3">
        <v>4.4099999999999999E-7</v>
      </c>
      <c r="I1425" s="2" t="s">
        <v>9127</v>
      </c>
      <c r="J1425" s="2" t="s">
        <v>9128</v>
      </c>
      <c r="K1425" s="3">
        <v>6.5699999999999998E-6</v>
      </c>
      <c r="L1425" s="2" t="s">
        <v>848</v>
      </c>
      <c r="M1425" s="4" t="s">
        <v>9129</v>
      </c>
    </row>
    <row r="1426" spans="1:13">
      <c r="A1426" s="2">
        <v>4977</v>
      </c>
      <c r="B1426" s="2" t="s">
        <v>9130</v>
      </c>
      <c r="C1426" s="2">
        <v>11</v>
      </c>
      <c r="D1426" s="2">
        <v>556</v>
      </c>
      <c r="E1426" s="2">
        <v>81</v>
      </c>
      <c r="F1426" s="2">
        <v>32441</v>
      </c>
      <c r="G1426" s="2">
        <v>7.9236832760000002</v>
      </c>
      <c r="H1426" s="3">
        <v>4.4200000000000001E-7</v>
      </c>
      <c r="I1426" s="2" t="s">
        <v>9131</v>
      </c>
      <c r="J1426" s="2" t="s">
        <v>9132</v>
      </c>
      <c r="K1426" s="3">
        <v>6.5699999999999998E-6</v>
      </c>
      <c r="L1426" s="2" t="s">
        <v>848</v>
      </c>
      <c r="M1426" s="4" t="s">
        <v>9133</v>
      </c>
    </row>
    <row r="1427" spans="1:13">
      <c r="A1427" s="2">
        <v>5374</v>
      </c>
      <c r="B1427" s="2" t="s">
        <v>9134</v>
      </c>
      <c r="C1427" s="2">
        <v>26</v>
      </c>
      <c r="D1427" s="2">
        <v>556</v>
      </c>
      <c r="E1427" s="2">
        <v>471</v>
      </c>
      <c r="F1427" s="2">
        <v>32441</v>
      </c>
      <c r="G1427" s="2">
        <v>3.2208602540000002</v>
      </c>
      <c r="H1427" s="3">
        <v>4.5200000000000002E-7</v>
      </c>
      <c r="I1427" s="2" t="s">
        <v>9135</v>
      </c>
      <c r="J1427" s="2" t="s">
        <v>9136</v>
      </c>
      <c r="K1427" s="3">
        <v>6.7100000000000001E-6</v>
      </c>
      <c r="L1427" s="2" t="s">
        <v>848</v>
      </c>
      <c r="M1427" s="4" t="s">
        <v>9137</v>
      </c>
    </row>
    <row r="1428" spans="1:13">
      <c r="A1428" s="2">
        <v>3983</v>
      </c>
      <c r="B1428" s="2" t="s">
        <v>9138</v>
      </c>
      <c r="C1428" s="2">
        <v>11</v>
      </c>
      <c r="D1428" s="2">
        <v>556</v>
      </c>
      <c r="E1428" s="2">
        <v>82</v>
      </c>
      <c r="F1428" s="2">
        <v>32441</v>
      </c>
      <c r="G1428" s="2">
        <v>7.8270529919999996</v>
      </c>
      <c r="H1428" s="3">
        <v>4.9399999999999995E-7</v>
      </c>
      <c r="I1428" s="2" t="s">
        <v>9139</v>
      </c>
      <c r="J1428" s="2" t="s">
        <v>9140</v>
      </c>
      <c r="K1428" s="3">
        <v>7.3100000000000003E-6</v>
      </c>
      <c r="L1428" s="2" t="s">
        <v>848</v>
      </c>
      <c r="M1428" s="4" t="s">
        <v>9141</v>
      </c>
    </row>
    <row r="1429" spans="1:13">
      <c r="A1429" s="2">
        <v>24201</v>
      </c>
      <c r="B1429" s="2" t="s">
        <v>9142</v>
      </c>
      <c r="C1429" s="2">
        <v>6</v>
      </c>
      <c r="D1429" s="2">
        <v>556</v>
      </c>
      <c r="E1429" s="2">
        <v>13</v>
      </c>
      <c r="F1429" s="2">
        <v>32441</v>
      </c>
      <c r="G1429" s="2">
        <v>26.929441059999998</v>
      </c>
      <c r="H1429" s="3">
        <v>5.0200000000000002E-7</v>
      </c>
      <c r="I1429" s="2" t="s">
        <v>9143</v>
      </c>
      <c r="J1429" s="2" t="s">
        <v>9144</v>
      </c>
      <c r="K1429" s="3">
        <v>7.4000000000000003E-6</v>
      </c>
      <c r="L1429" s="2" t="s">
        <v>848</v>
      </c>
      <c r="M1429" s="4" t="s">
        <v>9145</v>
      </c>
    </row>
    <row r="1430" spans="1:13">
      <c r="A1430" s="2">
        <v>2065</v>
      </c>
      <c r="B1430" s="2" t="s">
        <v>9146</v>
      </c>
      <c r="C1430" s="2">
        <v>10</v>
      </c>
      <c r="D1430" s="2">
        <v>556</v>
      </c>
      <c r="E1430" s="2">
        <v>65</v>
      </c>
      <c r="F1430" s="2">
        <v>32441</v>
      </c>
      <c r="G1430" s="2">
        <v>8.9764803539999996</v>
      </c>
      <c r="H1430" s="3">
        <v>5.2900000000000004E-7</v>
      </c>
      <c r="I1430" s="2" t="s">
        <v>9147</v>
      </c>
      <c r="J1430" s="2" t="s">
        <v>9148</v>
      </c>
      <c r="K1430" s="3">
        <v>7.7600000000000002E-6</v>
      </c>
      <c r="L1430" s="2" t="s">
        <v>848</v>
      </c>
      <c r="M1430" s="4" t="s">
        <v>9149</v>
      </c>
    </row>
    <row r="1431" spans="1:13">
      <c r="A1431" s="2">
        <v>3791</v>
      </c>
      <c r="B1431" s="2" t="s">
        <v>9150</v>
      </c>
      <c r="C1431" s="2">
        <v>10</v>
      </c>
      <c r="D1431" s="2">
        <v>556</v>
      </c>
      <c r="E1431" s="2">
        <v>65</v>
      </c>
      <c r="F1431" s="2">
        <v>32441</v>
      </c>
      <c r="G1431" s="2">
        <v>8.9764803539999996</v>
      </c>
      <c r="H1431" s="3">
        <v>5.2900000000000004E-7</v>
      </c>
      <c r="I1431" s="2" t="s">
        <v>9151</v>
      </c>
      <c r="J1431" s="2" t="s">
        <v>9152</v>
      </c>
      <c r="K1431" s="3">
        <v>7.7600000000000002E-6</v>
      </c>
      <c r="L1431" s="2" t="s">
        <v>848</v>
      </c>
      <c r="M1431" s="4" t="s">
        <v>9153</v>
      </c>
    </row>
    <row r="1432" spans="1:13">
      <c r="A1432" s="2">
        <v>1230</v>
      </c>
      <c r="B1432" s="2" t="s">
        <v>9154</v>
      </c>
      <c r="C1432" s="2">
        <v>8</v>
      </c>
      <c r="D1432" s="2">
        <v>556</v>
      </c>
      <c r="E1432" s="2">
        <v>35</v>
      </c>
      <c r="F1432" s="2">
        <v>32441</v>
      </c>
      <c r="G1432" s="2">
        <v>13.336485100000001</v>
      </c>
      <c r="H1432" s="3">
        <v>5.3300000000000002E-7</v>
      </c>
      <c r="I1432" s="2" t="s">
        <v>9155</v>
      </c>
      <c r="J1432" s="2" t="s">
        <v>9156</v>
      </c>
      <c r="K1432" s="3">
        <v>7.8099999999999998E-6</v>
      </c>
      <c r="L1432" s="2" t="s">
        <v>848</v>
      </c>
      <c r="M1432" s="4" t="s">
        <v>9157</v>
      </c>
    </row>
    <row r="1433" spans="1:13">
      <c r="A1433" s="2">
        <v>5547</v>
      </c>
      <c r="B1433" s="2" t="s">
        <v>9158</v>
      </c>
      <c r="C1433" s="2">
        <v>10</v>
      </c>
      <c r="D1433" s="2">
        <v>556</v>
      </c>
      <c r="E1433" s="2">
        <v>66</v>
      </c>
      <c r="F1433" s="2">
        <v>32441</v>
      </c>
      <c r="G1433" s="2">
        <v>8.8404730760000003</v>
      </c>
      <c r="H1433" s="3">
        <v>5.9999999999999997E-7</v>
      </c>
      <c r="I1433" s="2" t="s">
        <v>9159</v>
      </c>
      <c r="J1433" s="2" t="s">
        <v>9160</v>
      </c>
      <c r="K1433" s="3">
        <v>8.7600000000000008E-6</v>
      </c>
      <c r="L1433" s="2" t="s">
        <v>848</v>
      </c>
      <c r="M1433" s="4" t="s">
        <v>9161</v>
      </c>
    </row>
    <row r="1434" spans="1:13">
      <c r="A1434" s="2">
        <v>6821</v>
      </c>
      <c r="B1434" s="2" t="s">
        <v>9162</v>
      </c>
      <c r="C1434" s="2">
        <v>8</v>
      </c>
      <c r="D1434" s="2">
        <v>556</v>
      </c>
      <c r="E1434" s="2">
        <v>36</v>
      </c>
      <c r="F1434" s="2">
        <v>32441</v>
      </c>
      <c r="G1434" s="2">
        <v>12.966027179999999</v>
      </c>
      <c r="H1434" s="3">
        <v>6.4199999999999995E-7</v>
      </c>
      <c r="I1434" s="2" t="s">
        <v>9163</v>
      </c>
      <c r="J1434" s="2" t="s">
        <v>9164</v>
      </c>
      <c r="K1434" s="3">
        <v>9.3400000000000004E-6</v>
      </c>
      <c r="L1434" s="2" t="s">
        <v>848</v>
      </c>
      <c r="M1434" s="4" t="s">
        <v>9165</v>
      </c>
    </row>
    <row r="1435" spans="1:13">
      <c r="A1435" s="2">
        <v>28361</v>
      </c>
      <c r="B1435" s="2" t="s">
        <v>9166</v>
      </c>
      <c r="C1435" s="2">
        <v>8</v>
      </c>
      <c r="D1435" s="2">
        <v>556</v>
      </c>
      <c r="E1435" s="2">
        <v>36</v>
      </c>
      <c r="F1435" s="2">
        <v>32441</v>
      </c>
      <c r="G1435" s="2">
        <v>12.966027179999999</v>
      </c>
      <c r="H1435" s="3">
        <v>6.4199999999999995E-7</v>
      </c>
      <c r="I1435" s="2" t="s">
        <v>9167</v>
      </c>
      <c r="J1435" s="2" t="s">
        <v>9168</v>
      </c>
      <c r="K1435" s="3">
        <v>9.3400000000000004E-6</v>
      </c>
      <c r="L1435" s="2" t="s">
        <v>848</v>
      </c>
      <c r="M1435" s="4" t="s">
        <v>9169</v>
      </c>
    </row>
    <row r="1436" spans="1:13">
      <c r="A1436" s="2">
        <v>54511</v>
      </c>
      <c r="B1436" s="2" t="s">
        <v>9170</v>
      </c>
      <c r="C1436" s="2">
        <v>21</v>
      </c>
      <c r="D1436" s="2">
        <v>556</v>
      </c>
      <c r="E1436" s="2">
        <v>329</v>
      </c>
      <c r="F1436" s="2">
        <v>32441</v>
      </c>
      <c r="G1436" s="2">
        <v>3.7242844019999999</v>
      </c>
      <c r="H1436" s="3">
        <v>6.61E-7</v>
      </c>
      <c r="I1436" s="2" t="s">
        <v>9171</v>
      </c>
      <c r="J1436" s="2" t="s">
        <v>9172</v>
      </c>
      <c r="K1436" s="3">
        <v>9.5799999999999998E-6</v>
      </c>
      <c r="L1436" s="2" t="s">
        <v>848</v>
      </c>
      <c r="M1436" s="4" t="s">
        <v>9173</v>
      </c>
    </row>
    <row r="1437" spans="1:13">
      <c r="A1437" s="2">
        <v>105</v>
      </c>
      <c r="B1437" s="2" t="s">
        <v>9174</v>
      </c>
      <c r="C1437" s="2">
        <v>37</v>
      </c>
      <c r="D1437" s="2">
        <v>556</v>
      </c>
      <c r="E1437" s="2">
        <v>859</v>
      </c>
      <c r="F1437" s="2">
        <v>32441</v>
      </c>
      <c r="G1437" s="2">
        <v>2.5132055009999998</v>
      </c>
      <c r="H1437" s="3">
        <v>6.7299999999999995E-7</v>
      </c>
      <c r="I1437" s="2" t="s">
        <v>9175</v>
      </c>
      <c r="J1437" s="2" t="s">
        <v>9176</v>
      </c>
      <c r="K1437" s="3">
        <v>9.73E-6</v>
      </c>
      <c r="L1437" s="2" t="s">
        <v>848</v>
      </c>
      <c r="M1437" s="4" t="s">
        <v>9177</v>
      </c>
    </row>
    <row r="1438" spans="1:13">
      <c r="A1438" s="2">
        <v>3280</v>
      </c>
      <c r="B1438" s="2" t="s">
        <v>9178</v>
      </c>
      <c r="C1438" s="2">
        <v>15</v>
      </c>
      <c r="D1438" s="2">
        <v>556</v>
      </c>
      <c r="E1438" s="2">
        <v>172</v>
      </c>
      <c r="F1438" s="2">
        <v>32441</v>
      </c>
      <c r="G1438" s="2">
        <v>5.088411829</v>
      </c>
      <c r="H1438" s="3">
        <v>7.4900000000000005E-7</v>
      </c>
      <c r="I1438" s="2" t="s">
        <v>9179</v>
      </c>
      <c r="J1438" s="2" t="s">
        <v>9180</v>
      </c>
      <c r="K1438" s="3">
        <v>1.08E-5</v>
      </c>
      <c r="L1438" s="2" t="s">
        <v>848</v>
      </c>
      <c r="M1438" s="4" t="s">
        <v>9181</v>
      </c>
    </row>
    <row r="1439" spans="1:13">
      <c r="A1439" s="2">
        <v>4805</v>
      </c>
      <c r="B1439" s="2" t="s">
        <v>9182</v>
      </c>
      <c r="C1439" s="2">
        <v>15</v>
      </c>
      <c r="D1439" s="2">
        <v>556</v>
      </c>
      <c r="E1439" s="2">
        <v>172</v>
      </c>
      <c r="F1439" s="2">
        <v>32441</v>
      </c>
      <c r="G1439" s="2">
        <v>5.088411829</v>
      </c>
      <c r="H1439" s="3">
        <v>7.4900000000000005E-7</v>
      </c>
      <c r="I1439" s="2" t="s">
        <v>9183</v>
      </c>
      <c r="J1439" s="2" t="s">
        <v>9184</v>
      </c>
      <c r="K1439" s="3">
        <v>1.08E-5</v>
      </c>
      <c r="L1439" s="2" t="s">
        <v>848</v>
      </c>
      <c r="M1439" s="4" t="s">
        <v>9185</v>
      </c>
    </row>
    <row r="1440" spans="1:13">
      <c r="A1440" s="2">
        <v>4446</v>
      </c>
      <c r="B1440" s="2" t="s">
        <v>9186</v>
      </c>
      <c r="C1440" s="2">
        <v>11</v>
      </c>
      <c r="D1440" s="2">
        <v>556</v>
      </c>
      <c r="E1440" s="2">
        <v>86</v>
      </c>
      <c r="F1440" s="2">
        <v>32441</v>
      </c>
      <c r="G1440" s="2">
        <v>7.4630040150000001</v>
      </c>
      <c r="H1440" s="3">
        <v>7.5799999999999998E-7</v>
      </c>
      <c r="I1440" s="2" t="s">
        <v>9187</v>
      </c>
      <c r="J1440" s="2" t="s">
        <v>9188</v>
      </c>
      <c r="K1440" s="3">
        <v>1.0900000000000001E-5</v>
      </c>
      <c r="L1440" s="2" t="s">
        <v>848</v>
      </c>
      <c r="M1440" s="4" t="s">
        <v>9189</v>
      </c>
    </row>
    <row r="1441" spans="1:13">
      <c r="A1441" s="2">
        <v>3953</v>
      </c>
      <c r="B1441" s="2" t="s">
        <v>9190</v>
      </c>
      <c r="C1441" s="2">
        <v>10</v>
      </c>
      <c r="D1441" s="2">
        <v>556</v>
      </c>
      <c r="E1441" s="2">
        <v>68</v>
      </c>
      <c r="F1441" s="2">
        <v>32441</v>
      </c>
      <c r="G1441" s="2">
        <v>8.5804591620000004</v>
      </c>
      <c r="H1441" s="3">
        <v>7.6700000000000003E-7</v>
      </c>
      <c r="I1441" s="2" t="s">
        <v>9191</v>
      </c>
      <c r="J1441" s="2" t="s">
        <v>9192</v>
      </c>
      <c r="K1441" s="3">
        <v>1.1E-5</v>
      </c>
      <c r="L1441" s="2" t="s">
        <v>848</v>
      </c>
      <c r="M1441" s="4" t="s">
        <v>9193</v>
      </c>
    </row>
    <row r="1442" spans="1:13">
      <c r="A1442" s="2">
        <v>1019</v>
      </c>
      <c r="B1442" s="2" t="s">
        <v>9194</v>
      </c>
      <c r="C1442" s="2">
        <v>8</v>
      </c>
      <c r="D1442" s="2">
        <v>556</v>
      </c>
      <c r="E1442" s="2">
        <v>37</v>
      </c>
      <c r="F1442" s="2">
        <v>32441</v>
      </c>
      <c r="G1442" s="2">
        <v>12.615594010000001</v>
      </c>
      <c r="H1442" s="3">
        <v>7.7000000000000004E-7</v>
      </c>
      <c r="I1442" s="2" t="s">
        <v>9195</v>
      </c>
      <c r="J1442" s="2" t="s">
        <v>9196</v>
      </c>
      <c r="K1442" s="3">
        <v>1.1E-5</v>
      </c>
      <c r="L1442" s="2" t="s">
        <v>848</v>
      </c>
      <c r="M1442" s="4" t="s">
        <v>9197</v>
      </c>
    </row>
    <row r="1443" spans="1:13">
      <c r="A1443" s="2">
        <v>3772</v>
      </c>
      <c r="B1443" s="2" t="s">
        <v>9198</v>
      </c>
      <c r="C1443" s="2">
        <v>26</v>
      </c>
      <c r="D1443" s="2">
        <v>556</v>
      </c>
      <c r="E1443" s="2">
        <v>486</v>
      </c>
      <c r="F1443" s="2">
        <v>32441</v>
      </c>
      <c r="G1443" s="2">
        <v>3.1214509869999998</v>
      </c>
      <c r="H1443" s="3">
        <v>7.9100000000000003E-7</v>
      </c>
      <c r="I1443" s="2" t="s">
        <v>9199</v>
      </c>
      <c r="J1443" s="2" t="s">
        <v>9200</v>
      </c>
      <c r="K1443" s="3">
        <v>1.13E-5</v>
      </c>
      <c r="L1443" s="2" t="s">
        <v>848</v>
      </c>
      <c r="M1443" s="4" t="s">
        <v>9201</v>
      </c>
    </row>
    <row r="1444" spans="1:13">
      <c r="A1444" s="2">
        <v>1607</v>
      </c>
      <c r="B1444" s="2" t="s">
        <v>9202</v>
      </c>
      <c r="C1444" s="2">
        <v>19</v>
      </c>
      <c r="D1444" s="2">
        <v>556</v>
      </c>
      <c r="E1444" s="2">
        <v>278</v>
      </c>
      <c r="F1444" s="2">
        <v>32441</v>
      </c>
      <c r="G1444" s="2">
        <v>3.9877529630000002</v>
      </c>
      <c r="H1444" s="3">
        <v>8.6400000000000001E-7</v>
      </c>
      <c r="I1444" s="2" t="s">
        <v>9203</v>
      </c>
      <c r="J1444" s="2" t="s">
        <v>9204</v>
      </c>
      <c r="K1444" s="3">
        <v>1.2300000000000001E-5</v>
      </c>
      <c r="L1444" s="2" t="s">
        <v>848</v>
      </c>
      <c r="M1444" s="4" t="s">
        <v>9205</v>
      </c>
    </row>
    <row r="1445" spans="1:13">
      <c r="A1445" s="2">
        <v>12811</v>
      </c>
      <c r="B1445" s="2" t="s">
        <v>9206</v>
      </c>
      <c r="C1445" s="2">
        <v>29</v>
      </c>
      <c r="D1445" s="2">
        <v>556</v>
      </c>
      <c r="E1445" s="2">
        <v>588</v>
      </c>
      <c r="F1445" s="2">
        <v>32441</v>
      </c>
      <c r="G1445" s="2">
        <v>2.8776641949999999</v>
      </c>
      <c r="H1445" s="3">
        <v>8.9100000000000002E-7</v>
      </c>
      <c r="I1445" s="2" t="s">
        <v>9207</v>
      </c>
      <c r="J1445" s="2" t="s">
        <v>9208</v>
      </c>
      <c r="K1445" s="3">
        <v>1.26E-5</v>
      </c>
      <c r="L1445" s="2" t="s">
        <v>848</v>
      </c>
      <c r="M1445" s="4" t="s">
        <v>9209</v>
      </c>
    </row>
    <row r="1446" spans="1:13">
      <c r="A1446" s="2">
        <v>2743</v>
      </c>
      <c r="B1446" s="2" t="s">
        <v>9210</v>
      </c>
      <c r="C1446" s="2">
        <v>8</v>
      </c>
      <c r="D1446" s="2">
        <v>556</v>
      </c>
      <c r="E1446" s="2">
        <v>38</v>
      </c>
      <c r="F1446" s="2">
        <v>32441</v>
      </c>
      <c r="G1446" s="2">
        <v>12.2836047</v>
      </c>
      <c r="H1446" s="3">
        <v>9.1800000000000004E-7</v>
      </c>
      <c r="I1446" s="2" t="s">
        <v>9211</v>
      </c>
      <c r="J1446" s="2" t="s">
        <v>9212</v>
      </c>
      <c r="K1446" s="3">
        <v>1.2999999999999999E-5</v>
      </c>
      <c r="L1446" s="2" t="s">
        <v>848</v>
      </c>
      <c r="M1446" s="4" t="s">
        <v>9213</v>
      </c>
    </row>
    <row r="1447" spans="1:13">
      <c r="A1447" s="2">
        <v>10301</v>
      </c>
      <c r="B1447" s="2" t="s">
        <v>9214</v>
      </c>
      <c r="C1447" s="2">
        <v>6</v>
      </c>
      <c r="D1447" s="2">
        <v>556</v>
      </c>
      <c r="E1447" s="2">
        <v>15</v>
      </c>
      <c r="F1447" s="2">
        <v>32441</v>
      </c>
      <c r="G1447" s="2">
        <v>23.33884892</v>
      </c>
      <c r="H1447" s="3">
        <v>9.7499999999999998E-7</v>
      </c>
      <c r="I1447" s="2" t="s">
        <v>9215</v>
      </c>
      <c r="J1447" s="2" t="s">
        <v>9216</v>
      </c>
      <c r="K1447" s="3">
        <v>1.3699999999999999E-5</v>
      </c>
      <c r="L1447" s="2" t="s">
        <v>848</v>
      </c>
      <c r="M1447" s="4" t="s">
        <v>9217</v>
      </c>
    </row>
    <row r="1448" spans="1:13">
      <c r="A1448" s="2">
        <v>3981</v>
      </c>
      <c r="B1448" s="2" t="s">
        <v>9218</v>
      </c>
      <c r="C1448" s="2">
        <v>6</v>
      </c>
      <c r="D1448" s="2">
        <v>556</v>
      </c>
      <c r="E1448" s="2">
        <v>15</v>
      </c>
      <c r="F1448" s="2">
        <v>32441</v>
      </c>
      <c r="G1448" s="2">
        <v>23.33884892</v>
      </c>
      <c r="H1448" s="3">
        <v>9.7499999999999998E-7</v>
      </c>
      <c r="I1448" s="2" t="s">
        <v>9219</v>
      </c>
      <c r="J1448" s="2" t="s">
        <v>9220</v>
      </c>
      <c r="K1448" s="3">
        <v>1.3699999999999999E-5</v>
      </c>
      <c r="L1448" s="2" t="s">
        <v>848</v>
      </c>
      <c r="M1448" s="4" t="s">
        <v>9221</v>
      </c>
    </row>
    <row r="1449" spans="1:13">
      <c r="A1449" s="2">
        <v>3040</v>
      </c>
      <c r="B1449" s="2" t="s">
        <v>9222</v>
      </c>
      <c r="C1449" s="2">
        <v>35</v>
      </c>
      <c r="D1449" s="2">
        <v>556</v>
      </c>
      <c r="E1449" s="2">
        <v>801</v>
      </c>
      <c r="F1449" s="2">
        <v>32441</v>
      </c>
      <c r="G1449" s="2">
        <v>2.5494997260000001</v>
      </c>
      <c r="H1449" s="3">
        <v>9.9199999999999999E-7</v>
      </c>
      <c r="I1449" s="2" t="s">
        <v>9223</v>
      </c>
      <c r="J1449" s="2" t="s">
        <v>9224</v>
      </c>
      <c r="K1449" s="3">
        <v>1.3900000000000001E-5</v>
      </c>
      <c r="L1449" s="2" t="s">
        <v>848</v>
      </c>
      <c r="M1449" s="4" t="s">
        <v>9225</v>
      </c>
    </row>
    <row r="1450" spans="1:13">
      <c r="A1450" s="2">
        <v>2234</v>
      </c>
      <c r="B1450" s="2" t="s">
        <v>9226</v>
      </c>
      <c r="C1450" s="2">
        <v>16</v>
      </c>
      <c r="D1450" s="2">
        <v>556</v>
      </c>
      <c r="E1450" s="2">
        <v>201</v>
      </c>
      <c r="F1450" s="2">
        <v>32441</v>
      </c>
      <c r="G1450" s="2">
        <v>4.6445470489999998</v>
      </c>
      <c r="H1450" s="3">
        <v>9.95E-7</v>
      </c>
      <c r="I1450" s="2" t="s">
        <v>9227</v>
      </c>
      <c r="J1450" s="2" t="s">
        <v>9228</v>
      </c>
      <c r="K1450" s="3">
        <v>1.4E-5</v>
      </c>
      <c r="L1450" s="2" t="s">
        <v>848</v>
      </c>
      <c r="M1450" s="4" t="s">
        <v>9229</v>
      </c>
    </row>
    <row r="1451" spans="1:13">
      <c r="A1451" s="2">
        <v>3117</v>
      </c>
      <c r="B1451" s="2" t="s">
        <v>9230</v>
      </c>
      <c r="C1451" s="2">
        <v>8</v>
      </c>
      <c r="D1451" s="2">
        <v>556</v>
      </c>
      <c r="E1451" s="2">
        <v>39</v>
      </c>
      <c r="F1451" s="2">
        <v>32441</v>
      </c>
      <c r="G1451" s="2">
        <v>11.96864047</v>
      </c>
      <c r="H1451" s="3">
        <v>1.0899999999999999E-6</v>
      </c>
      <c r="I1451" s="2" t="s">
        <v>9231</v>
      </c>
      <c r="J1451" s="2" t="s">
        <v>9232</v>
      </c>
      <c r="K1451" s="3">
        <v>1.5299999999999999E-5</v>
      </c>
      <c r="L1451" s="2" t="s">
        <v>848</v>
      </c>
      <c r="M1451" s="4" t="s">
        <v>9233</v>
      </c>
    </row>
    <row r="1452" spans="1:13">
      <c r="A1452" s="2">
        <v>3629</v>
      </c>
      <c r="B1452" s="2" t="s">
        <v>9234</v>
      </c>
      <c r="C1452" s="2">
        <v>15</v>
      </c>
      <c r="D1452" s="2">
        <v>556</v>
      </c>
      <c r="E1452" s="2">
        <v>179</v>
      </c>
      <c r="F1452" s="2">
        <v>32441</v>
      </c>
      <c r="G1452" s="2">
        <v>4.889423657</v>
      </c>
      <c r="H1452" s="3">
        <v>1.19E-6</v>
      </c>
      <c r="I1452" s="2" t="s">
        <v>9235</v>
      </c>
      <c r="J1452" s="2" t="s">
        <v>9236</v>
      </c>
      <c r="K1452" s="3">
        <v>1.66E-5</v>
      </c>
      <c r="L1452" s="2" t="s">
        <v>848</v>
      </c>
      <c r="M1452" s="4" t="s">
        <v>9237</v>
      </c>
    </row>
    <row r="1453" spans="1:13">
      <c r="A1453" s="2">
        <v>38871</v>
      </c>
      <c r="B1453" s="2" t="s">
        <v>9238</v>
      </c>
      <c r="C1453" s="2">
        <v>14</v>
      </c>
      <c r="D1453" s="2">
        <v>556</v>
      </c>
      <c r="E1453" s="2">
        <v>156</v>
      </c>
      <c r="F1453" s="2">
        <v>32441</v>
      </c>
      <c r="G1453" s="2">
        <v>5.2362802070000001</v>
      </c>
      <c r="H1453" s="3">
        <v>1.28E-6</v>
      </c>
      <c r="I1453" s="2" t="s">
        <v>9239</v>
      </c>
      <c r="J1453" s="2" t="s">
        <v>9240</v>
      </c>
      <c r="K1453" s="3">
        <v>1.7799999999999999E-5</v>
      </c>
      <c r="L1453" s="2" t="s">
        <v>848</v>
      </c>
      <c r="M1453" s="4" t="s">
        <v>9241</v>
      </c>
    </row>
    <row r="1454" spans="1:13">
      <c r="A1454" s="2">
        <v>977</v>
      </c>
      <c r="B1454" s="2" t="s">
        <v>9242</v>
      </c>
      <c r="C1454" s="2">
        <v>8</v>
      </c>
      <c r="D1454" s="2">
        <v>556</v>
      </c>
      <c r="E1454" s="2">
        <v>40</v>
      </c>
      <c r="F1454" s="2">
        <v>32441</v>
      </c>
      <c r="G1454" s="2">
        <v>11.66942446</v>
      </c>
      <c r="H1454" s="3">
        <v>1.2899999999999999E-6</v>
      </c>
      <c r="I1454" s="2" t="s">
        <v>9243</v>
      </c>
      <c r="J1454" s="2" t="s">
        <v>9244</v>
      </c>
      <c r="K1454" s="3">
        <v>1.7900000000000001E-5</v>
      </c>
      <c r="L1454" s="2" t="s">
        <v>848</v>
      </c>
      <c r="M1454" s="4" t="s">
        <v>9245</v>
      </c>
    </row>
    <row r="1455" spans="1:13">
      <c r="A1455" s="2">
        <v>5912</v>
      </c>
      <c r="B1455" s="2" t="s">
        <v>9246</v>
      </c>
      <c r="C1455" s="2">
        <v>34</v>
      </c>
      <c r="D1455" s="2">
        <v>556</v>
      </c>
      <c r="E1455" s="2">
        <v>776</v>
      </c>
      <c r="F1455" s="2">
        <v>32441</v>
      </c>
      <c r="G1455" s="2">
        <v>2.5564460800000002</v>
      </c>
      <c r="H1455" s="3">
        <v>1.3400000000000001E-6</v>
      </c>
      <c r="I1455" s="2" t="s">
        <v>9247</v>
      </c>
      <c r="J1455" s="2" t="s">
        <v>9248</v>
      </c>
      <c r="K1455" s="3">
        <v>1.8600000000000001E-5</v>
      </c>
      <c r="L1455" s="2" t="s">
        <v>848</v>
      </c>
      <c r="M1455" s="4" t="s">
        <v>9249</v>
      </c>
    </row>
    <row r="1456" spans="1:13">
      <c r="A1456" s="2">
        <v>2616</v>
      </c>
      <c r="B1456" s="2" t="s">
        <v>9250</v>
      </c>
      <c r="C1456" s="2">
        <v>7</v>
      </c>
      <c r="D1456" s="2">
        <v>556</v>
      </c>
      <c r="E1456" s="2">
        <v>27</v>
      </c>
      <c r="F1456" s="2">
        <v>32441</v>
      </c>
      <c r="G1456" s="2">
        <v>15.127031710000001</v>
      </c>
      <c r="H1456" s="3">
        <v>1.35E-6</v>
      </c>
      <c r="I1456" s="2" t="s">
        <v>9251</v>
      </c>
      <c r="J1456" s="2" t="s">
        <v>9252</v>
      </c>
      <c r="K1456" s="3">
        <v>1.8600000000000001E-5</v>
      </c>
      <c r="L1456" s="2" t="s">
        <v>848</v>
      </c>
      <c r="M1456" s="4" t="s">
        <v>9253</v>
      </c>
    </row>
    <row r="1457" spans="1:13">
      <c r="A1457" s="2">
        <v>941</v>
      </c>
      <c r="B1457" s="2" t="s">
        <v>9254</v>
      </c>
      <c r="C1457" s="2">
        <v>10</v>
      </c>
      <c r="D1457" s="2">
        <v>556</v>
      </c>
      <c r="E1457" s="2">
        <v>73</v>
      </c>
      <c r="F1457" s="2">
        <v>32441</v>
      </c>
      <c r="G1457" s="2">
        <v>7.9927564799999997</v>
      </c>
      <c r="H1457" s="3">
        <v>1.3799999999999999E-6</v>
      </c>
      <c r="I1457" s="2" t="s">
        <v>9255</v>
      </c>
      <c r="J1457" s="2" t="s">
        <v>9256</v>
      </c>
      <c r="K1457" s="3">
        <v>1.9000000000000001E-5</v>
      </c>
      <c r="L1457" s="2" t="s">
        <v>848</v>
      </c>
      <c r="M1457" s="4" t="s">
        <v>9257</v>
      </c>
    </row>
    <row r="1458" spans="1:13">
      <c r="A1458" s="2">
        <v>39101</v>
      </c>
      <c r="B1458" s="2" t="s">
        <v>9258</v>
      </c>
      <c r="C1458" s="2">
        <v>17</v>
      </c>
      <c r="D1458" s="2">
        <v>556</v>
      </c>
      <c r="E1458" s="2">
        <v>233</v>
      </c>
      <c r="F1458" s="2">
        <v>32441</v>
      </c>
      <c r="G1458" s="2">
        <v>4.2570861769999997</v>
      </c>
      <c r="H1458" s="3">
        <v>1.4100000000000001E-6</v>
      </c>
      <c r="I1458" s="2" t="s">
        <v>9259</v>
      </c>
      <c r="J1458" s="2" t="s">
        <v>9260</v>
      </c>
      <c r="K1458" s="3">
        <v>1.9400000000000001E-5</v>
      </c>
      <c r="L1458" s="2" t="s">
        <v>848</v>
      </c>
      <c r="M1458" s="4" t="s">
        <v>9261</v>
      </c>
    </row>
    <row r="1459" spans="1:13">
      <c r="A1459" s="2">
        <v>3236</v>
      </c>
      <c r="B1459" s="2" t="s">
        <v>9262</v>
      </c>
      <c r="C1459" s="2">
        <v>8</v>
      </c>
      <c r="D1459" s="2">
        <v>556</v>
      </c>
      <c r="E1459" s="2">
        <v>41</v>
      </c>
      <c r="F1459" s="2">
        <v>32441</v>
      </c>
      <c r="G1459" s="2">
        <v>11.38480435</v>
      </c>
      <c r="H1459" s="3">
        <v>1.5200000000000001E-6</v>
      </c>
      <c r="I1459" s="2" t="s">
        <v>9263</v>
      </c>
      <c r="J1459" s="2" t="s">
        <v>9264</v>
      </c>
      <c r="K1459" s="3">
        <v>2.0800000000000001E-5</v>
      </c>
      <c r="L1459" s="2" t="s">
        <v>848</v>
      </c>
      <c r="M1459" s="4" t="s">
        <v>9265</v>
      </c>
    </row>
    <row r="1460" spans="1:13">
      <c r="A1460" s="2">
        <v>4961</v>
      </c>
      <c r="B1460" s="2" t="s">
        <v>9266</v>
      </c>
      <c r="C1460" s="2">
        <v>13</v>
      </c>
      <c r="D1460" s="2">
        <v>556</v>
      </c>
      <c r="E1460" s="2">
        <v>136</v>
      </c>
      <c r="F1460" s="2">
        <v>32441</v>
      </c>
      <c r="G1460" s="2">
        <v>5.5772984550000002</v>
      </c>
      <c r="H1460" s="3">
        <v>1.59E-6</v>
      </c>
      <c r="I1460" s="2" t="s">
        <v>9267</v>
      </c>
      <c r="J1460" s="2" t="s">
        <v>9268</v>
      </c>
      <c r="K1460" s="3">
        <v>2.1800000000000001E-5</v>
      </c>
      <c r="L1460" s="2" t="s">
        <v>848</v>
      </c>
      <c r="M1460" s="4" t="s">
        <v>9269</v>
      </c>
    </row>
    <row r="1461" spans="1:13">
      <c r="A1461" s="2">
        <v>14</v>
      </c>
      <c r="B1461" s="2" t="s">
        <v>9270</v>
      </c>
      <c r="C1461" s="2">
        <v>7</v>
      </c>
      <c r="D1461" s="2">
        <v>556</v>
      </c>
      <c r="E1461" s="2">
        <v>28</v>
      </c>
      <c r="F1461" s="2">
        <v>32441</v>
      </c>
      <c r="G1461" s="2">
        <v>14.586780579999999</v>
      </c>
      <c r="H1461" s="3">
        <v>1.66E-6</v>
      </c>
      <c r="I1461" s="2" t="s">
        <v>9271</v>
      </c>
      <c r="J1461" s="2" t="s">
        <v>9272</v>
      </c>
      <c r="K1461" s="3">
        <v>2.27E-5</v>
      </c>
      <c r="L1461" s="2" t="s">
        <v>848</v>
      </c>
      <c r="M1461" s="4" t="s">
        <v>9273</v>
      </c>
    </row>
    <row r="1462" spans="1:13">
      <c r="A1462" s="2">
        <v>22131</v>
      </c>
      <c r="B1462" s="2" t="s">
        <v>9274</v>
      </c>
      <c r="C1462" s="2">
        <v>21</v>
      </c>
      <c r="D1462" s="2">
        <v>556</v>
      </c>
      <c r="E1462" s="2">
        <v>352</v>
      </c>
      <c r="F1462" s="2">
        <v>32441</v>
      </c>
      <c r="G1462" s="2">
        <v>3.4809362739999998</v>
      </c>
      <c r="H1462" s="3">
        <v>1.8300000000000001E-6</v>
      </c>
      <c r="I1462" s="2" t="s">
        <v>9275</v>
      </c>
      <c r="J1462" s="2" t="s">
        <v>9276</v>
      </c>
      <c r="K1462" s="3">
        <v>2.4899999999999999E-5</v>
      </c>
      <c r="L1462" s="2" t="s">
        <v>848</v>
      </c>
      <c r="M1462" s="4" t="s">
        <v>9277</v>
      </c>
    </row>
    <row r="1463" spans="1:13">
      <c r="A1463" s="2">
        <v>1889</v>
      </c>
      <c r="B1463" s="2" t="s">
        <v>9278</v>
      </c>
      <c r="C1463" s="2">
        <v>17</v>
      </c>
      <c r="D1463" s="2">
        <v>556</v>
      </c>
      <c r="E1463" s="2">
        <v>238</v>
      </c>
      <c r="F1463" s="2">
        <v>32441</v>
      </c>
      <c r="G1463" s="2">
        <v>4.1676515930000004</v>
      </c>
      <c r="H1463" s="3">
        <v>1.8500000000000001E-6</v>
      </c>
      <c r="I1463" s="2" t="s">
        <v>9279</v>
      </c>
      <c r="J1463" s="2" t="s">
        <v>9280</v>
      </c>
      <c r="K1463" s="3">
        <v>2.5199999999999999E-5</v>
      </c>
      <c r="L1463" s="2" t="s">
        <v>848</v>
      </c>
      <c r="M1463" s="4" t="s">
        <v>9281</v>
      </c>
    </row>
    <row r="1464" spans="1:13">
      <c r="A1464" s="2">
        <v>2974</v>
      </c>
      <c r="B1464" s="2" t="s">
        <v>9282</v>
      </c>
      <c r="C1464" s="2">
        <v>15</v>
      </c>
      <c r="D1464" s="2">
        <v>556</v>
      </c>
      <c r="E1464" s="2">
        <v>186</v>
      </c>
      <c r="F1464" s="2">
        <v>32441</v>
      </c>
      <c r="G1464" s="2">
        <v>4.7054130890000003</v>
      </c>
      <c r="H1464" s="3">
        <v>1.86E-6</v>
      </c>
      <c r="I1464" s="2" t="s">
        <v>9283</v>
      </c>
      <c r="J1464" s="2" t="s">
        <v>9284</v>
      </c>
      <c r="K1464" s="3">
        <v>2.5199999999999999E-5</v>
      </c>
      <c r="L1464" s="2" t="s">
        <v>848</v>
      </c>
      <c r="M1464" s="4" t="s">
        <v>9285</v>
      </c>
    </row>
    <row r="1465" spans="1:13">
      <c r="A1465" s="2">
        <v>1224</v>
      </c>
      <c r="B1465" s="2" t="s">
        <v>9286</v>
      </c>
      <c r="C1465" s="2">
        <v>8</v>
      </c>
      <c r="D1465" s="2">
        <v>556</v>
      </c>
      <c r="E1465" s="2">
        <v>43</v>
      </c>
      <c r="F1465" s="2">
        <v>32441</v>
      </c>
      <c r="G1465" s="2">
        <v>10.855278569999999</v>
      </c>
      <c r="H1465" s="3">
        <v>2.08E-6</v>
      </c>
      <c r="I1465" s="2" t="s">
        <v>9287</v>
      </c>
      <c r="J1465" s="2" t="s">
        <v>9288</v>
      </c>
      <c r="K1465" s="3">
        <v>2.8200000000000001E-5</v>
      </c>
      <c r="L1465" s="2" t="s">
        <v>848</v>
      </c>
      <c r="M1465" s="4" t="s">
        <v>9289</v>
      </c>
    </row>
    <row r="1466" spans="1:13">
      <c r="A1466" s="2">
        <v>3991</v>
      </c>
      <c r="B1466" s="2" t="s">
        <v>9290</v>
      </c>
      <c r="C1466" s="2">
        <v>42</v>
      </c>
      <c r="D1466" s="2">
        <v>556</v>
      </c>
      <c r="E1466" s="2">
        <v>1098</v>
      </c>
      <c r="F1466" s="2">
        <v>32441</v>
      </c>
      <c r="G1466" s="2">
        <v>2.231857137</v>
      </c>
      <c r="H1466" s="3">
        <v>2.26E-6</v>
      </c>
      <c r="I1466" s="2" t="s">
        <v>9291</v>
      </c>
      <c r="J1466" s="2" t="s">
        <v>9292</v>
      </c>
      <c r="K1466" s="3">
        <v>3.0599999999999998E-5</v>
      </c>
      <c r="L1466" s="2" t="s">
        <v>848</v>
      </c>
      <c r="M1466" s="4" t="s">
        <v>9293</v>
      </c>
    </row>
    <row r="1467" spans="1:13">
      <c r="A1467" s="2">
        <v>2569</v>
      </c>
      <c r="B1467" s="2" t="s">
        <v>9294</v>
      </c>
      <c r="C1467" s="2">
        <v>6</v>
      </c>
      <c r="D1467" s="2">
        <v>556</v>
      </c>
      <c r="E1467" s="2">
        <v>18</v>
      </c>
      <c r="F1467" s="2">
        <v>32441</v>
      </c>
      <c r="G1467" s="2">
        <v>19.44904077</v>
      </c>
      <c r="H1467" s="3">
        <v>2.3199999999999998E-6</v>
      </c>
      <c r="I1467" s="2" t="s">
        <v>9295</v>
      </c>
      <c r="J1467" s="2" t="s">
        <v>9296</v>
      </c>
      <c r="K1467" s="3">
        <v>3.1199999999999999E-5</v>
      </c>
      <c r="L1467" s="2" t="s">
        <v>848</v>
      </c>
      <c r="M1467" s="4" t="s">
        <v>9297</v>
      </c>
    </row>
    <row r="1468" spans="1:13">
      <c r="A1468" s="2">
        <v>35001</v>
      </c>
      <c r="B1468" s="2" t="s">
        <v>9298</v>
      </c>
      <c r="C1468" s="2">
        <v>9</v>
      </c>
      <c r="D1468" s="2">
        <v>556</v>
      </c>
      <c r="E1468" s="2">
        <v>60</v>
      </c>
      <c r="F1468" s="2">
        <v>32441</v>
      </c>
      <c r="G1468" s="2">
        <v>8.7520683449999996</v>
      </c>
      <c r="H1468" s="3">
        <v>2.3700000000000002E-6</v>
      </c>
      <c r="I1468" s="2" t="s">
        <v>9299</v>
      </c>
      <c r="J1468" s="2" t="s">
        <v>9300</v>
      </c>
      <c r="K1468" s="3">
        <v>3.1900000000000003E-5</v>
      </c>
      <c r="L1468" s="2" t="s">
        <v>848</v>
      </c>
      <c r="M1468" s="4" t="s">
        <v>9301</v>
      </c>
    </row>
    <row r="1469" spans="1:13">
      <c r="A1469" s="2">
        <v>3662</v>
      </c>
      <c r="B1469" s="2" t="s">
        <v>9302</v>
      </c>
      <c r="C1469" s="2">
        <v>15</v>
      </c>
      <c r="D1469" s="2">
        <v>556</v>
      </c>
      <c r="E1469" s="2">
        <v>190</v>
      </c>
      <c r="F1469" s="2">
        <v>32441</v>
      </c>
      <c r="G1469" s="2">
        <v>4.606351761</v>
      </c>
      <c r="H1469" s="3">
        <v>2.3800000000000001E-6</v>
      </c>
      <c r="I1469" s="2" t="s">
        <v>9303</v>
      </c>
      <c r="J1469" s="2" t="s">
        <v>9304</v>
      </c>
      <c r="K1469" s="3">
        <v>3.1900000000000003E-5</v>
      </c>
      <c r="L1469" s="2" t="s">
        <v>848</v>
      </c>
      <c r="M1469" s="4" t="s">
        <v>9305</v>
      </c>
    </row>
    <row r="1470" spans="1:13">
      <c r="A1470" s="2">
        <v>4829</v>
      </c>
      <c r="B1470" s="2" t="s">
        <v>9306</v>
      </c>
      <c r="C1470" s="2">
        <v>11</v>
      </c>
      <c r="D1470" s="2">
        <v>556</v>
      </c>
      <c r="E1470" s="2">
        <v>98</v>
      </c>
      <c r="F1470" s="2">
        <v>32441</v>
      </c>
      <c r="G1470" s="2">
        <v>6.549166789</v>
      </c>
      <c r="H1470" s="3">
        <v>2.4399999999999999E-6</v>
      </c>
      <c r="I1470" s="2" t="s">
        <v>9307</v>
      </c>
      <c r="J1470" s="2" t="s">
        <v>9308</v>
      </c>
      <c r="K1470" s="3">
        <v>3.2700000000000002E-5</v>
      </c>
      <c r="L1470" s="2" t="s">
        <v>848</v>
      </c>
      <c r="M1470" s="4" t="s">
        <v>9309</v>
      </c>
    </row>
    <row r="1471" spans="1:13">
      <c r="A1471" s="2">
        <v>375</v>
      </c>
      <c r="B1471" s="2" t="s">
        <v>9310</v>
      </c>
      <c r="C1471" s="2">
        <v>7</v>
      </c>
      <c r="D1471" s="2">
        <v>556</v>
      </c>
      <c r="E1471" s="2">
        <v>30</v>
      </c>
      <c r="F1471" s="2">
        <v>32441</v>
      </c>
      <c r="G1471" s="2">
        <v>13.614328540000001</v>
      </c>
      <c r="H1471" s="3">
        <v>2.4700000000000001E-6</v>
      </c>
      <c r="I1471" s="2" t="s">
        <v>9311</v>
      </c>
      <c r="J1471" s="2" t="s">
        <v>9312</v>
      </c>
      <c r="K1471" s="3">
        <v>3.29E-5</v>
      </c>
      <c r="L1471" s="2" t="s">
        <v>848</v>
      </c>
      <c r="M1471" s="4" t="s">
        <v>9313</v>
      </c>
    </row>
    <row r="1472" spans="1:13">
      <c r="A1472" s="2">
        <v>4588</v>
      </c>
      <c r="B1472" s="2" t="s">
        <v>9314</v>
      </c>
      <c r="C1472" s="2">
        <v>7</v>
      </c>
      <c r="D1472" s="2">
        <v>556</v>
      </c>
      <c r="E1472" s="2">
        <v>30</v>
      </c>
      <c r="F1472" s="2">
        <v>32441</v>
      </c>
      <c r="G1472" s="2">
        <v>13.614328540000001</v>
      </c>
      <c r="H1472" s="3">
        <v>2.4700000000000001E-6</v>
      </c>
      <c r="I1472" s="2" t="s">
        <v>9315</v>
      </c>
      <c r="J1472" s="2" t="s">
        <v>9316</v>
      </c>
      <c r="K1472" s="3">
        <v>3.29E-5</v>
      </c>
      <c r="L1472" s="2" t="s">
        <v>848</v>
      </c>
      <c r="M1472" s="4" t="s">
        <v>9317</v>
      </c>
    </row>
    <row r="1473" spans="1:13">
      <c r="A1473" s="2">
        <v>1815</v>
      </c>
      <c r="B1473" s="2" t="s">
        <v>9318</v>
      </c>
      <c r="C1473" s="2">
        <v>9</v>
      </c>
      <c r="D1473" s="2">
        <v>556</v>
      </c>
      <c r="E1473" s="2">
        <v>61</v>
      </c>
      <c r="F1473" s="2">
        <v>32441</v>
      </c>
      <c r="G1473" s="2">
        <v>8.6085918150000005</v>
      </c>
      <c r="H1473" s="3">
        <v>2.6800000000000002E-6</v>
      </c>
      <c r="I1473" s="2" t="s">
        <v>9319</v>
      </c>
      <c r="J1473" s="2" t="s">
        <v>9320</v>
      </c>
      <c r="K1473" s="3">
        <v>3.5599999999999998E-5</v>
      </c>
      <c r="L1473" s="2" t="s">
        <v>848</v>
      </c>
      <c r="M1473" s="4" t="s">
        <v>9321</v>
      </c>
    </row>
    <row r="1474" spans="1:13">
      <c r="A1474" s="2">
        <v>3642</v>
      </c>
      <c r="B1474" s="2" t="s">
        <v>9322</v>
      </c>
      <c r="C1474" s="2">
        <v>8</v>
      </c>
      <c r="D1474" s="2">
        <v>556</v>
      </c>
      <c r="E1474" s="2">
        <v>45</v>
      </c>
      <c r="F1474" s="2">
        <v>32441</v>
      </c>
      <c r="G1474" s="2">
        <v>10.372821739999999</v>
      </c>
      <c r="H1474" s="3">
        <v>2.8100000000000002E-6</v>
      </c>
      <c r="I1474" s="2" t="s">
        <v>9323</v>
      </c>
      <c r="J1474" s="2" t="s">
        <v>9324</v>
      </c>
      <c r="K1474" s="3">
        <v>3.7200000000000003E-5</v>
      </c>
      <c r="L1474" s="2" t="s">
        <v>848</v>
      </c>
      <c r="M1474" s="4" t="s">
        <v>9325</v>
      </c>
    </row>
    <row r="1475" spans="1:13">
      <c r="A1475" s="2">
        <v>2948</v>
      </c>
      <c r="B1475" s="2" t="s">
        <v>9326</v>
      </c>
      <c r="C1475" s="2">
        <v>8</v>
      </c>
      <c r="D1475" s="2">
        <v>556</v>
      </c>
      <c r="E1475" s="2">
        <v>45</v>
      </c>
      <c r="F1475" s="2">
        <v>32441</v>
      </c>
      <c r="G1475" s="2">
        <v>10.372821739999999</v>
      </c>
      <c r="H1475" s="3">
        <v>2.8100000000000002E-6</v>
      </c>
      <c r="I1475" s="2" t="s">
        <v>9327</v>
      </c>
      <c r="J1475" s="2" t="s">
        <v>9328</v>
      </c>
      <c r="K1475" s="3">
        <v>3.7200000000000003E-5</v>
      </c>
      <c r="L1475" s="2" t="s">
        <v>848</v>
      </c>
      <c r="M1475" s="4" t="s">
        <v>9329</v>
      </c>
    </row>
    <row r="1476" spans="1:13">
      <c r="A1476" s="2">
        <v>43791</v>
      </c>
      <c r="B1476" s="2" t="s">
        <v>9330</v>
      </c>
      <c r="C1476" s="2">
        <v>18</v>
      </c>
      <c r="D1476" s="2">
        <v>556</v>
      </c>
      <c r="E1476" s="2">
        <v>274</v>
      </c>
      <c r="F1476" s="2">
        <v>32441</v>
      </c>
      <c r="G1476" s="2">
        <v>3.8330226330000001</v>
      </c>
      <c r="H1476" s="3">
        <v>2.8200000000000001E-6</v>
      </c>
      <c r="I1476" s="2" t="s">
        <v>9331</v>
      </c>
      <c r="J1476" s="2" t="s">
        <v>9332</v>
      </c>
      <c r="K1476" s="3">
        <v>3.7299999999999999E-5</v>
      </c>
      <c r="L1476" s="2" t="s">
        <v>848</v>
      </c>
      <c r="M1476" s="4" t="s">
        <v>9333</v>
      </c>
    </row>
    <row r="1477" spans="1:13">
      <c r="A1477" s="2">
        <v>1517</v>
      </c>
      <c r="B1477" s="2" t="s">
        <v>9334</v>
      </c>
      <c r="C1477" s="2">
        <v>24</v>
      </c>
      <c r="D1477" s="2">
        <v>556</v>
      </c>
      <c r="E1477" s="2">
        <v>458</v>
      </c>
      <c r="F1477" s="2">
        <v>32441</v>
      </c>
      <c r="G1477" s="2">
        <v>3.0574911249999999</v>
      </c>
      <c r="H1477" s="3">
        <v>2.9299999999999999E-6</v>
      </c>
      <c r="I1477" s="2" t="s">
        <v>9335</v>
      </c>
      <c r="J1477" s="2" t="s">
        <v>9336</v>
      </c>
      <c r="K1477" s="3">
        <v>3.8600000000000003E-5</v>
      </c>
      <c r="L1477" s="2" t="s">
        <v>848</v>
      </c>
      <c r="M1477" s="4" t="s">
        <v>9337</v>
      </c>
    </row>
    <row r="1478" spans="1:13">
      <c r="A1478" s="2">
        <v>27771</v>
      </c>
      <c r="B1478" s="2" t="s">
        <v>9338</v>
      </c>
      <c r="C1478" s="2">
        <v>7</v>
      </c>
      <c r="D1478" s="2">
        <v>556</v>
      </c>
      <c r="E1478" s="2">
        <v>31</v>
      </c>
      <c r="F1478" s="2">
        <v>32441</v>
      </c>
      <c r="G1478" s="2">
        <v>13.17515665</v>
      </c>
      <c r="H1478" s="3">
        <v>2.9799999999999998E-6</v>
      </c>
      <c r="I1478" s="2" t="s">
        <v>9339</v>
      </c>
      <c r="J1478" s="2" t="s">
        <v>9340</v>
      </c>
      <c r="K1478" s="3">
        <v>3.9100000000000002E-5</v>
      </c>
      <c r="L1478" s="2" t="s">
        <v>848</v>
      </c>
      <c r="M1478" s="4" t="s">
        <v>9341</v>
      </c>
    </row>
    <row r="1479" spans="1:13">
      <c r="A1479" s="2">
        <v>3111</v>
      </c>
      <c r="B1479" s="2" t="s">
        <v>9342</v>
      </c>
      <c r="C1479" s="2">
        <v>7</v>
      </c>
      <c r="D1479" s="2">
        <v>556</v>
      </c>
      <c r="E1479" s="2">
        <v>31</v>
      </c>
      <c r="F1479" s="2">
        <v>32441</v>
      </c>
      <c r="G1479" s="2">
        <v>13.17515665</v>
      </c>
      <c r="H1479" s="3">
        <v>2.9799999999999998E-6</v>
      </c>
      <c r="I1479" s="2" t="s">
        <v>9343</v>
      </c>
      <c r="J1479" s="2" t="s">
        <v>9344</v>
      </c>
      <c r="K1479" s="3">
        <v>3.9100000000000002E-5</v>
      </c>
      <c r="L1479" s="2" t="s">
        <v>848</v>
      </c>
      <c r="M1479" s="4" t="s">
        <v>9345</v>
      </c>
    </row>
    <row r="1480" spans="1:13">
      <c r="A1480" s="2">
        <v>196</v>
      </c>
      <c r="B1480" s="2" t="s">
        <v>9346</v>
      </c>
      <c r="C1480" s="2">
        <v>6</v>
      </c>
      <c r="D1480" s="2">
        <v>556</v>
      </c>
      <c r="E1480" s="2">
        <v>19</v>
      </c>
      <c r="F1480" s="2">
        <v>32441</v>
      </c>
      <c r="G1480" s="2">
        <v>18.42540704</v>
      </c>
      <c r="H1480" s="3">
        <v>3.0000000000000001E-6</v>
      </c>
      <c r="I1480" s="2" t="s">
        <v>9347</v>
      </c>
      <c r="J1480" s="2" t="s">
        <v>9348</v>
      </c>
      <c r="K1480" s="3">
        <v>3.9199999999999997E-5</v>
      </c>
      <c r="L1480" s="2" t="s">
        <v>848</v>
      </c>
      <c r="M1480" s="4" t="s">
        <v>9349</v>
      </c>
    </row>
    <row r="1481" spans="1:13">
      <c r="A1481" s="2">
        <v>5542</v>
      </c>
      <c r="B1481" s="2" t="s">
        <v>9350</v>
      </c>
      <c r="C1481" s="2">
        <v>6</v>
      </c>
      <c r="D1481" s="2">
        <v>556</v>
      </c>
      <c r="E1481" s="2">
        <v>19</v>
      </c>
      <c r="F1481" s="2">
        <v>32441</v>
      </c>
      <c r="G1481" s="2">
        <v>18.42540704</v>
      </c>
      <c r="H1481" s="3">
        <v>3.0000000000000001E-6</v>
      </c>
      <c r="I1481" s="2" t="s">
        <v>9351</v>
      </c>
      <c r="J1481" s="2" t="s">
        <v>9352</v>
      </c>
      <c r="K1481" s="3">
        <v>3.9199999999999997E-5</v>
      </c>
      <c r="L1481" s="2" t="s">
        <v>848</v>
      </c>
      <c r="M1481" s="4" t="s">
        <v>9353</v>
      </c>
    </row>
    <row r="1482" spans="1:13">
      <c r="A1482" s="2">
        <v>39981</v>
      </c>
      <c r="B1482" s="2" t="s">
        <v>9354</v>
      </c>
      <c r="C1482" s="2">
        <v>9</v>
      </c>
      <c r="D1482" s="2">
        <v>556</v>
      </c>
      <c r="E1482" s="2">
        <v>62</v>
      </c>
      <c r="F1482" s="2">
        <v>32441</v>
      </c>
      <c r="G1482" s="2">
        <v>8.4697435599999995</v>
      </c>
      <c r="H1482" s="3">
        <v>3.0199999999999999E-6</v>
      </c>
      <c r="I1482" s="2" t="s">
        <v>9355</v>
      </c>
      <c r="J1482" s="2" t="s">
        <v>9356</v>
      </c>
      <c r="K1482" s="3">
        <v>3.9400000000000002E-5</v>
      </c>
      <c r="L1482" s="2" t="s">
        <v>848</v>
      </c>
      <c r="M1482" s="4" t="s">
        <v>9357</v>
      </c>
    </row>
    <row r="1483" spans="1:13">
      <c r="A1483" s="2">
        <v>33771</v>
      </c>
      <c r="B1483" s="2" t="s">
        <v>9358</v>
      </c>
      <c r="C1483" s="2">
        <v>21</v>
      </c>
      <c r="D1483" s="2">
        <v>556</v>
      </c>
      <c r="E1483" s="2">
        <v>365</v>
      </c>
      <c r="F1483" s="2">
        <v>32441</v>
      </c>
      <c r="G1483" s="2">
        <v>3.3569577210000001</v>
      </c>
      <c r="H1483" s="3">
        <v>3.1300000000000001E-6</v>
      </c>
      <c r="I1483" s="2" t="s">
        <v>9359</v>
      </c>
      <c r="J1483" s="2" t="s">
        <v>9360</v>
      </c>
      <c r="K1483" s="3">
        <v>4.07E-5</v>
      </c>
      <c r="L1483" s="2" t="s">
        <v>848</v>
      </c>
      <c r="M1483" s="4" t="s">
        <v>9361</v>
      </c>
    </row>
    <row r="1484" spans="1:13">
      <c r="A1484" s="2">
        <v>5663</v>
      </c>
      <c r="B1484" s="2" t="s">
        <v>9362</v>
      </c>
      <c r="C1484" s="2">
        <v>38</v>
      </c>
      <c r="D1484" s="2">
        <v>556</v>
      </c>
      <c r="E1484" s="2">
        <v>959</v>
      </c>
      <c r="F1484" s="2">
        <v>32441</v>
      </c>
      <c r="G1484" s="2">
        <v>2.3119819060000002</v>
      </c>
      <c r="H1484" s="3">
        <v>3.19E-6</v>
      </c>
      <c r="I1484" s="2" t="s">
        <v>9363</v>
      </c>
      <c r="J1484" s="2" t="s">
        <v>9364</v>
      </c>
      <c r="K1484" s="3">
        <v>4.1399999999999997E-5</v>
      </c>
      <c r="L1484" s="2" t="s">
        <v>848</v>
      </c>
      <c r="M1484" s="4" t="s">
        <v>9365</v>
      </c>
    </row>
    <row r="1485" spans="1:13">
      <c r="A1485" s="2">
        <v>2591</v>
      </c>
      <c r="B1485" s="2" t="s">
        <v>9366</v>
      </c>
      <c r="C1485" s="2">
        <v>8</v>
      </c>
      <c r="D1485" s="2">
        <v>556</v>
      </c>
      <c r="E1485" s="2">
        <v>46</v>
      </c>
      <c r="F1485" s="2">
        <v>32441</v>
      </c>
      <c r="G1485" s="2">
        <v>10.14732562</v>
      </c>
      <c r="H1485" s="3">
        <v>3.2499999999999998E-6</v>
      </c>
      <c r="I1485" s="2" t="s">
        <v>9367</v>
      </c>
      <c r="J1485" s="2" t="s">
        <v>9368</v>
      </c>
      <c r="K1485" s="3">
        <v>4.1900000000000002E-5</v>
      </c>
      <c r="L1485" s="2" t="s">
        <v>848</v>
      </c>
      <c r="M1485" s="4" t="s">
        <v>9369</v>
      </c>
    </row>
    <row r="1486" spans="1:13">
      <c r="A1486" s="2">
        <v>4511</v>
      </c>
      <c r="B1486" s="2" t="s">
        <v>9370</v>
      </c>
      <c r="C1486" s="2">
        <v>14</v>
      </c>
      <c r="D1486" s="2">
        <v>556</v>
      </c>
      <c r="E1486" s="2">
        <v>170</v>
      </c>
      <c r="F1486" s="2">
        <v>32441</v>
      </c>
      <c r="G1486" s="2">
        <v>4.8050571309999999</v>
      </c>
      <c r="H1486" s="3">
        <v>3.2499999999999998E-6</v>
      </c>
      <c r="I1486" s="2" t="s">
        <v>9371</v>
      </c>
      <c r="J1486" s="2" t="s">
        <v>9372</v>
      </c>
      <c r="K1486" s="3">
        <v>4.1900000000000002E-5</v>
      </c>
      <c r="L1486" s="2" t="s">
        <v>848</v>
      </c>
      <c r="M1486" s="4" t="s">
        <v>9373</v>
      </c>
    </row>
    <row r="1487" spans="1:13">
      <c r="A1487" s="2">
        <v>5332</v>
      </c>
      <c r="B1487" s="2" t="s">
        <v>9374</v>
      </c>
      <c r="C1487" s="2">
        <v>8</v>
      </c>
      <c r="D1487" s="2">
        <v>556</v>
      </c>
      <c r="E1487" s="2">
        <v>46</v>
      </c>
      <c r="F1487" s="2">
        <v>32441</v>
      </c>
      <c r="G1487" s="2">
        <v>10.14732562</v>
      </c>
      <c r="H1487" s="3">
        <v>3.2499999999999998E-6</v>
      </c>
      <c r="I1487" s="2" t="s">
        <v>9231</v>
      </c>
      <c r="J1487" s="2" t="s">
        <v>9232</v>
      </c>
      <c r="K1487" s="3">
        <v>4.1900000000000002E-5</v>
      </c>
      <c r="L1487" s="2" t="s">
        <v>848</v>
      </c>
      <c r="M1487" s="4" t="s">
        <v>9375</v>
      </c>
    </row>
    <row r="1488" spans="1:13">
      <c r="A1488" s="2">
        <v>679</v>
      </c>
      <c r="B1488" s="2" t="s">
        <v>9376</v>
      </c>
      <c r="C1488" s="2">
        <v>20</v>
      </c>
      <c r="D1488" s="2">
        <v>556</v>
      </c>
      <c r="E1488" s="2">
        <v>337</v>
      </c>
      <c r="F1488" s="2">
        <v>32441</v>
      </c>
      <c r="G1488" s="2">
        <v>3.462737229</v>
      </c>
      <c r="H1488" s="3">
        <v>3.45E-6</v>
      </c>
      <c r="I1488" s="2" t="s">
        <v>9377</v>
      </c>
      <c r="J1488" s="2" t="s">
        <v>9378</v>
      </c>
      <c r="K1488" s="3">
        <v>4.4400000000000002E-5</v>
      </c>
      <c r="L1488" s="2" t="s">
        <v>848</v>
      </c>
      <c r="M1488" s="4" t="s">
        <v>9379</v>
      </c>
    </row>
    <row r="1489" spans="1:13">
      <c r="A1489" s="2">
        <v>2550</v>
      </c>
      <c r="B1489" s="2" t="s">
        <v>9380</v>
      </c>
      <c r="C1489" s="2">
        <v>16</v>
      </c>
      <c r="D1489" s="2">
        <v>556</v>
      </c>
      <c r="E1489" s="2">
        <v>223</v>
      </c>
      <c r="F1489" s="2">
        <v>32441</v>
      </c>
      <c r="G1489" s="2">
        <v>4.1863406139999997</v>
      </c>
      <c r="H1489" s="3">
        <v>3.5099999999999999E-6</v>
      </c>
      <c r="I1489" s="2" t="s">
        <v>9381</v>
      </c>
      <c r="J1489" s="2" t="s">
        <v>9382</v>
      </c>
      <c r="K1489" s="3">
        <v>4.5000000000000003E-5</v>
      </c>
      <c r="L1489" s="2" t="s">
        <v>848</v>
      </c>
      <c r="M1489" s="4" t="s">
        <v>9383</v>
      </c>
    </row>
    <row r="1490" spans="1:13">
      <c r="A1490" s="2">
        <v>3620</v>
      </c>
      <c r="B1490" s="2" t="s">
        <v>9384</v>
      </c>
      <c r="C1490" s="2">
        <v>7</v>
      </c>
      <c r="D1490" s="2">
        <v>556</v>
      </c>
      <c r="E1490" s="2">
        <v>32</v>
      </c>
      <c r="F1490" s="2">
        <v>32441</v>
      </c>
      <c r="G1490" s="2">
        <v>12.763432999999999</v>
      </c>
      <c r="H1490" s="3">
        <v>3.58E-6</v>
      </c>
      <c r="I1490" s="2" t="s">
        <v>9385</v>
      </c>
      <c r="J1490" s="2" t="s">
        <v>9386</v>
      </c>
      <c r="K1490" s="3">
        <v>4.5800000000000002E-5</v>
      </c>
      <c r="L1490" s="2" t="s">
        <v>848</v>
      </c>
      <c r="M1490" s="4" t="s">
        <v>9387</v>
      </c>
    </row>
    <row r="1491" spans="1:13">
      <c r="A1491" s="2">
        <v>1238</v>
      </c>
      <c r="B1491" s="2" t="s">
        <v>9388</v>
      </c>
      <c r="C1491" s="2">
        <v>21</v>
      </c>
      <c r="D1491" s="2">
        <v>556</v>
      </c>
      <c r="E1491" s="2">
        <v>370</v>
      </c>
      <c r="F1491" s="2">
        <v>32441</v>
      </c>
      <c r="G1491" s="2">
        <v>3.3115934280000001</v>
      </c>
      <c r="H1491" s="3">
        <v>3.8199999999999998E-6</v>
      </c>
      <c r="I1491" s="2" t="s">
        <v>9389</v>
      </c>
      <c r="J1491" s="2" t="s">
        <v>9390</v>
      </c>
      <c r="K1491" s="3">
        <v>4.88E-5</v>
      </c>
      <c r="L1491" s="2" t="s">
        <v>848</v>
      </c>
      <c r="M1491" s="4" t="s">
        <v>9391</v>
      </c>
    </row>
    <row r="1492" spans="1:13">
      <c r="A1492" s="2">
        <v>3032</v>
      </c>
      <c r="B1492" s="2" t="s">
        <v>9392</v>
      </c>
      <c r="C1492" s="2">
        <v>9</v>
      </c>
      <c r="D1492" s="2">
        <v>556</v>
      </c>
      <c r="E1492" s="2">
        <v>64</v>
      </c>
      <c r="F1492" s="2">
        <v>32441</v>
      </c>
      <c r="G1492" s="2">
        <v>8.2050640739999992</v>
      </c>
      <c r="H1492" s="3">
        <v>3.8199999999999998E-6</v>
      </c>
      <c r="I1492" s="2" t="s">
        <v>9393</v>
      </c>
      <c r="J1492" s="2" t="s">
        <v>9394</v>
      </c>
      <c r="K1492" s="3">
        <v>4.88E-5</v>
      </c>
      <c r="L1492" s="2" t="s">
        <v>848</v>
      </c>
      <c r="M1492" s="4" t="s">
        <v>9395</v>
      </c>
    </row>
    <row r="1493" spans="1:13">
      <c r="A1493" s="2">
        <v>4222</v>
      </c>
      <c r="B1493" s="2" t="s">
        <v>9396</v>
      </c>
      <c r="C1493" s="2">
        <v>6</v>
      </c>
      <c r="D1493" s="2">
        <v>556</v>
      </c>
      <c r="E1493" s="2">
        <v>20</v>
      </c>
      <c r="F1493" s="2">
        <v>32441</v>
      </c>
      <c r="G1493" s="2">
        <v>17.504136689999999</v>
      </c>
      <c r="H1493" s="3">
        <v>3.8500000000000004E-6</v>
      </c>
      <c r="I1493" s="2" t="s">
        <v>9397</v>
      </c>
      <c r="J1493" s="2" t="s">
        <v>9398</v>
      </c>
      <c r="K1493" s="3">
        <v>4.8900000000000003E-5</v>
      </c>
      <c r="L1493" s="2" t="s">
        <v>848</v>
      </c>
      <c r="M1493" s="4" t="s">
        <v>9399</v>
      </c>
    </row>
    <row r="1494" spans="1:13">
      <c r="A1494" s="2">
        <v>4278</v>
      </c>
      <c r="B1494" s="2" t="s">
        <v>9400</v>
      </c>
      <c r="C1494" s="2">
        <v>6</v>
      </c>
      <c r="D1494" s="2">
        <v>556</v>
      </c>
      <c r="E1494" s="2">
        <v>20</v>
      </c>
      <c r="F1494" s="2">
        <v>32441</v>
      </c>
      <c r="G1494" s="2">
        <v>17.504136689999999</v>
      </c>
      <c r="H1494" s="3">
        <v>3.8500000000000004E-6</v>
      </c>
      <c r="I1494" s="2" t="s">
        <v>9219</v>
      </c>
      <c r="J1494" s="2" t="s">
        <v>9220</v>
      </c>
      <c r="K1494" s="3">
        <v>4.8900000000000003E-5</v>
      </c>
      <c r="L1494" s="2" t="s">
        <v>848</v>
      </c>
      <c r="M1494" s="4" t="s">
        <v>9401</v>
      </c>
    </row>
    <row r="1495" spans="1:13">
      <c r="A1495" s="2">
        <v>2381</v>
      </c>
      <c r="B1495" s="2" t="s">
        <v>9402</v>
      </c>
      <c r="C1495" s="2">
        <v>15</v>
      </c>
      <c r="D1495" s="2">
        <v>556</v>
      </c>
      <c r="E1495" s="2">
        <v>200</v>
      </c>
      <c r="F1495" s="2">
        <v>32441</v>
      </c>
      <c r="G1495" s="2">
        <v>4.3760341729999999</v>
      </c>
      <c r="H1495" s="3">
        <v>4.2699999999999998E-6</v>
      </c>
      <c r="I1495" s="2" t="s">
        <v>9403</v>
      </c>
      <c r="J1495" s="2" t="s">
        <v>9404</v>
      </c>
      <c r="K1495" s="3">
        <v>5.41E-5</v>
      </c>
      <c r="L1495" s="2" t="s">
        <v>848</v>
      </c>
      <c r="M1495" s="4" t="s">
        <v>9405</v>
      </c>
    </row>
    <row r="1496" spans="1:13">
      <c r="A1496" s="2">
        <v>5370</v>
      </c>
      <c r="B1496" s="2" t="s">
        <v>9406</v>
      </c>
      <c r="C1496" s="2">
        <v>16</v>
      </c>
      <c r="D1496" s="2">
        <v>556</v>
      </c>
      <c r="E1496" s="2">
        <v>228</v>
      </c>
      <c r="F1496" s="2">
        <v>32441</v>
      </c>
      <c r="G1496" s="2">
        <v>4.094534898</v>
      </c>
      <c r="H1496" s="3">
        <v>4.5700000000000003E-6</v>
      </c>
      <c r="I1496" s="2" t="s">
        <v>9407</v>
      </c>
      <c r="J1496" s="2" t="s">
        <v>9408</v>
      </c>
      <c r="K1496" s="3">
        <v>5.7800000000000002E-5</v>
      </c>
      <c r="L1496" s="2" t="s">
        <v>848</v>
      </c>
      <c r="M1496" s="4" t="s">
        <v>9409</v>
      </c>
    </row>
    <row r="1497" spans="1:13">
      <c r="A1497" s="2">
        <v>1867</v>
      </c>
      <c r="B1497" s="2" t="s">
        <v>9410</v>
      </c>
      <c r="C1497" s="2">
        <v>12</v>
      </c>
      <c r="D1497" s="2">
        <v>556</v>
      </c>
      <c r="E1497" s="2">
        <v>128</v>
      </c>
      <c r="F1497" s="2">
        <v>32441</v>
      </c>
      <c r="G1497" s="2">
        <v>5.470042716</v>
      </c>
      <c r="H1497" s="3">
        <v>4.8099999999999997E-6</v>
      </c>
      <c r="I1497" s="2" t="s">
        <v>9411</v>
      </c>
      <c r="J1497" s="2" t="s">
        <v>9412</v>
      </c>
      <c r="K1497" s="3">
        <v>6.0699999999999998E-5</v>
      </c>
      <c r="L1497" s="2" t="s">
        <v>848</v>
      </c>
      <c r="M1497" s="4" t="s">
        <v>9413</v>
      </c>
    </row>
    <row r="1498" spans="1:13">
      <c r="A1498" s="2">
        <v>29</v>
      </c>
      <c r="B1498" s="2" t="s">
        <v>9414</v>
      </c>
      <c r="C1498" s="2">
        <v>11</v>
      </c>
      <c r="D1498" s="2">
        <v>556</v>
      </c>
      <c r="E1498" s="2">
        <v>106</v>
      </c>
      <c r="F1498" s="2">
        <v>32441</v>
      </c>
      <c r="G1498" s="2">
        <v>6.05489005</v>
      </c>
      <c r="H1498" s="3">
        <v>4.8899999999999998E-6</v>
      </c>
      <c r="I1498" s="2" t="s">
        <v>9415</v>
      </c>
      <c r="J1498" s="2" t="s">
        <v>9416</v>
      </c>
      <c r="K1498" s="3">
        <v>6.1400000000000002E-5</v>
      </c>
      <c r="L1498" s="2" t="s">
        <v>848</v>
      </c>
      <c r="M1498" s="4" t="s">
        <v>9417</v>
      </c>
    </row>
    <row r="1499" spans="1:13">
      <c r="A1499" s="2">
        <v>5477</v>
      </c>
      <c r="B1499" s="2" t="s">
        <v>9418</v>
      </c>
      <c r="C1499" s="2">
        <v>6</v>
      </c>
      <c r="D1499" s="2">
        <v>556</v>
      </c>
      <c r="E1499" s="2">
        <v>21</v>
      </c>
      <c r="F1499" s="2">
        <v>32441</v>
      </c>
      <c r="G1499" s="2">
        <v>16.670606370000002</v>
      </c>
      <c r="H1499" s="3">
        <v>4.8799999999999999E-6</v>
      </c>
      <c r="I1499" s="2" t="s">
        <v>9419</v>
      </c>
      <c r="J1499" s="2" t="s">
        <v>9420</v>
      </c>
      <c r="K1499" s="3">
        <v>6.1400000000000002E-5</v>
      </c>
      <c r="L1499" s="2" t="s">
        <v>848</v>
      </c>
      <c r="M1499" s="4" t="s">
        <v>9421</v>
      </c>
    </row>
    <row r="1500" spans="1:13">
      <c r="A1500" s="2">
        <v>2389</v>
      </c>
      <c r="B1500" s="2" t="s">
        <v>9422</v>
      </c>
      <c r="C1500" s="2">
        <v>8</v>
      </c>
      <c r="D1500" s="2">
        <v>556</v>
      </c>
      <c r="E1500" s="2">
        <v>49</v>
      </c>
      <c r="F1500" s="2">
        <v>32441</v>
      </c>
      <c r="G1500" s="2">
        <v>9.5260607840000002</v>
      </c>
      <c r="H1500" s="3">
        <v>4.9400000000000001E-6</v>
      </c>
      <c r="I1500" s="2" t="s">
        <v>9423</v>
      </c>
      <c r="J1500" s="2" t="s">
        <v>9424</v>
      </c>
      <c r="K1500" s="3">
        <v>6.2000000000000003E-5</v>
      </c>
      <c r="L1500" s="2" t="s">
        <v>848</v>
      </c>
      <c r="M1500" s="4" t="s">
        <v>9425</v>
      </c>
    </row>
    <row r="1501" spans="1:13">
      <c r="A1501" s="2">
        <v>2351</v>
      </c>
      <c r="B1501" s="2" t="s">
        <v>9426</v>
      </c>
      <c r="C1501" s="2">
        <v>5</v>
      </c>
      <c r="D1501" s="2">
        <v>556</v>
      </c>
      <c r="E1501" s="2">
        <v>11</v>
      </c>
      <c r="F1501" s="2">
        <v>32441</v>
      </c>
      <c r="G1501" s="2">
        <v>26.521419229999999</v>
      </c>
      <c r="H1501" s="3">
        <v>5.0000000000000004E-6</v>
      </c>
      <c r="I1501" s="2" t="s">
        <v>9427</v>
      </c>
      <c r="J1501" s="2" t="s">
        <v>9428</v>
      </c>
      <c r="K1501" s="3">
        <v>6.2399999999999999E-5</v>
      </c>
      <c r="L1501" s="2" t="s">
        <v>848</v>
      </c>
      <c r="M1501" s="4" t="s">
        <v>9429</v>
      </c>
    </row>
    <row r="1502" spans="1:13">
      <c r="A1502" s="2">
        <v>26851</v>
      </c>
      <c r="B1502" s="2" t="s">
        <v>9430</v>
      </c>
      <c r="C1502" s="2">
        <v>5</v>
      </c>
      <c r="D1502" s="2">
        <v>556</v>
      </c>
      <c r="E1502" s="2">
        <v>11</v>
      </c>
      <c r="F1502" s="2">
        <v>32441</v>
      </c>
      <c r="G1502" s="2">
        <v>26.521419229999999</v>
      </c>
      <c r="H1502" s="3">
        <v>5.0000000000000004E-6</v>
      </c>
      <c r="I1502" s="2" t="s">
        <v>9431</v>
      </c>
      <c r="J1502" s="2" t="s">
        <v>9432</v>
      </c>
      <c r="K1502" s="3">
        <v>6.2399999999999999E-5</v>
      </c>
      <c r="L1502" s="2" t="s">
        <v>848</v>
      </c>
      <c r="M1502" s="4" t="s">
        <v>9433</v>
      </c>
    </row>
    <row r="1503" spans="1:13">
      <c r="A1503" s="2">
        <v>18271</v>
      </c>
      <c r="B1503" s="2" t="s">
        <v>9434</v>
      </c>
      <c r="C1503" s="2">
        <v>15</v>
      </c>
      <c r="D1503" s="2">
        <v>556</v>
      </c>
      <c r="E1503" s="2">
        <v>205</v>
      </c>
      <c r="F1503" s="2">
        <v>32441</v>
      </c>
      <c r="G1503" s="2">
        <v>4.2693016320000003</v>
      </c>
      <c r="H1503" s="3">
        <v>5.6400000000000002E-6</v>
      </c>
      <c r="I1503" s="2" t="s">
        <v>9435</v>
      </c>
      <c r="J1503" s="2" t="s">
        <v>9436</v>
      </c>
      <c r="K1503" s="3">
        <v>7.0300000000000001E-5</v>
      </c>
      <c r="L1503" s="2" t="s">
        <v>848</v>
      </c>
      <c r="M1503" s="4" t="s">
        <v>9437</v>
      </c>
    </row>
    <row r="1504" spans="1:13">
      <c r="A1504" s="2">
        <v>462</v>
      </c>
      <c r="B1504" s="2" t="s">
        <v>9438</v>
      </c>
      <c r="C1504" s="2">
        <v>45</v>
      </c>
      <c r="D1504" s="2">
        <v>556</v>
      </c>
      <c r="E1504" s="2">
        <v>1262</v>
      </c>
      <c r="F1504" s="2">
        <v>32441</v>
      </c>
      <c r="G1504" s="2">
        <v>2.0805233780000001</v>
      </c>
      <c r="H1504" s="3">
        <v>5.6799999999999998E-6</v>
      </c>
      <c r="I1504" s="2" t="s">
        <v>9439</v>
      </c>
      <c r="J1504" s="2" t="s">
        <v>9440</v>
      </c>
      <c r="K1504" s="3">
        <v>7.0699999999999997E-5</v>
      </c>
      <c r="L1504" s="2" t="s">
        <v>848</v>
      </c>
      <c r="M1504" s="4" t="s">
        <v>9441</v>
      </c>
    </row>
    <row r="1505" spans="1:13">
      <c r="A1505" s="2">
        <v>3173</v>
      </c>
      <c r="B1505" s="2" t="s">
        <v>9442</v>
      </c>
      <c r="C1505" s="2">
        <v>19</v>
      </c>
      <c r="D1505" s="2">
        <v>556</v>
      </c>
      <c r="E1505" s="2">
        <v>319</v>
      </c>
      <c r="F1505" s="2">
        <v>32441</v>
      </c>
      <c r="G1505" s="2">
        <v>3.4752204510000002</v>
      </c>
      <c r="H1505" s="3">
        <v>5.75E-6</v>
      </c>
      <c r="I1505" s="2" t="s">
        <v>9443</v>
      </c>
      <c r="J1505" s="2" t="s">
        <v>9444</v>
      </c>
      <c r="K1505" s="3">
        <v>7.1299999999999998E-5</v>
      </c>
      <c r="L1505" s="2" t="s">
        <v>848</v>
      </c>
      <c r="M1505" s="4" t="s">
        <v>9445</v>
      </c>
    </row>
    <row r="1506" spans="1:13">
      <c r="A1506" s="2">
        <v>229</v>
      </c>
      <c r="B1506" s="2" t="s">
        <v>9446</v>
      </c>
      <c r="C1506" s="2">
        <v>9</v>
      </c>
      <c r="D1506" s="2">
        <v>556</v>
      </c>
      <c r="E1506" s="2">
        <v>68</v>
      </c>
      <c r="F1506" s="2">
        <v>32441</v>
      </c>
      <c r="G1506" s="2">
        <v>7.7224132460000003</v>
      </c>
      <c r="H1506" s="3">
        <v>5.9900000000000002E-6</v>
      </c>
      <c r="I1506" s="2" t="s">
        <v>9447</v>
      </c>
      <c r="J1506" s="2" t="s">
        <v>9448</v>
      </c>
      <c r="K1506" s="3">
        <v>7.3999999999999996E-5</v>
      </c>
      <c r="L1506" s="2" t="s">
        <v>848</v>
      </c>
      <c r="M1506" s="4" t="s">
        <v>9449</v>
      </c>
    </row>
    <row r="1507" spans="1:13">
      <c r="A1507" s="2">
        <v>33211</v>
      </c>
      <c r="B1507" s="2" t="s">
        <v>9450</v>
      </c>
      <c r="C1507" s="2">
        <v>9</v>
      </c>
      <c r="D1507" s="2">
        <v>556</v>
      </c>
      <c r="E1507" s="2">
        <v>68</v>
      </c>
      <c r="F1507" s="2">
        <v>32441</v>
      </c>
      <c r="G1507" s="2">
        <v>7.7224132460000003</v>
      </c>
      <c r="H1507" s="3">
        <v>5.9900000000000002E-6</v>
      </c>
      <c r="I1507" s="2" t="s">
        <v>9451</v>
      </c>
      <c r="J1507" s="2" t="s">
        <v>9452</v>
      </c>
      <c r="K1507" s="3">
        <v>7.3999999999999996E-5</v>
      </c>
      <c r="L1507" s="2" t="s">
        <v>848</v>
      </c>
      <c r="M1507" s="4" t="s">
        <v>9453</v>
      </c>
    </row>
    <row r="1508" spans="1:13">
      <c r="A1508" s="2">
        <v>2220</v>
      </c>
      <c r="B1508" s="2" t="s">
        <v>9454</v>
      </c>
      <c r="C1508" s="2">
        <v>28</v>
      </c>
      <c r="D1508" s="2">
        <v>556</v>
      </c>
      <c r="E1508" s="2">
        <v>616</v>
      </c>
      <c r="F1508" s="2">
        <v>32441</v>
      </c>
      <c r="G1508" s="2">
        <v>2.6521419229999998</v>
      </c>
      <c r="H1508" s="3">
        <v>6.02E-6</v>
      </c>
      <c r="I1508" s="2" t="s">
        <v>8932</v>
      </c>
      <c r="J1508" s="2" t="s">
        <v>8933</v>
      </c>
      <c r="K1508" s="3">
        <v>7.4099999999999999E-5</v>
      </c>
      <c r="L1508" s="2" t="s">
        <v>848</v>
      </c>
      <c r="M1508" s="4" t="s">
        <v>9455</v>
      </c>
    </row>
    <row r="1509" spans="1:13">
      <c r="A1509" s="2">
        <v>44051</v>
      </c>
      <c r="B1509" s="2" t="s">
        <v>9456</v>
      </c>
      <c r="C1509" s="2">
        <v>7</v>
      </c>
      <c r="D1509" s="2">
        <v>556</v>
      </c>
      <c r="E1509" s="2">
        <v>35</v>
      </c>
      <c r="F1509" s="2">
        <v>32441</v>
      </c>
      <c r="G1509" s="2">
        <v>11.66942446</v>
      </c>
      <c r="H1509" s="3">
        <v>6.0100000000000001E-6</v>
      </c>
      <c r="I1509" s="2" t="s">
        <v>9457</v>
      </c>
      <c r="J1509" s="2" t="s">
        <v>9458</v>
      </c>
      <c r="K1509" s="3">
        <v>7.4099999999999999E-5</v>
      </c>
      <c r="L1509" s="2" t="s">
        <v>848</v>
      </c>
      <c r="M1509" s="4" t="s">
        <v>9459</v>
      </c>
    </row>
    <row r="1510" spans="1:13">
      <c r="A1510" s="2">
        <v>2022</v>
      </c>
      <c r="B1510" s="2" t="s">
        <v>9460</v>
      </c>
      <c r="C1510" s="2">
        <v>6</v>
      </c>
      <c r="D1510" s="2">
        <v>556</v>
      </c>
      <c r="E1510" s="2">
        <v>22</v>
      </c>
      <c r="F1510" s="2">
        <v>32441</v>
      </c>
      <c r="G1510" s="2">
        <v>15.91285154</v>
      </c>
      <c r="H1510" s="3">
        <v>6.1199999999999999E-6</v>
      </c>
      <c r="I1510" s="2" t="s">
        <v>9461</v>
      </c>
      <c r="J1510" s="2" t="s">
        <v>9462</v>
      </c>
      <c r="K1510" s="3">
        <v>7.5199999999999998E-5</v>
      </c>
      <c r="L1510" s="2" t="s">
        <v>848</v>
      </c>
      <c r="M1510" s="4" t="s">
        <v>9463</v>
      </c>
    </row>
    <row r="1511" spans="1:13">
      <c r="A1511" s="2">
        <v>3332</v>
      </c>
      <c r="B1511" s="2" t="s">
        <v>9464</v>
      </c>
      <c r="C1511" s="2">
        <v>15</v>
      </c>
      <c r="D1511" s="2">
        <v>556</v>
      </c>
      <c r="E1511" s="2">
        <v>207</v>
      </c>
      <c r="F1511" s="2">
        <v>32441</v>
      </c>
      <c r="G1511" s="2">
        <v>4.2280523409999997</v>
      </c>
      <c r="H1511" s="3">
        <v>6.2999999999999998E-6</v>
      </c>
      <c r="I1511" s="2" t="s">
        <v>9465</v>
      </c>
      <c r="J1511" s="2" t="s">
        <v>9466</v>
      </c>
      <c r="K1511" s="3">
        <v>7.7100000000000004E-5</v>
      </c>
      <c r="L1511" s="2" t="s">
        <v>848</v>
      </c>
      <c r="M1511" s="4" t="s">
        <v>9467</v>
      </c>
    </row>
    <row r="1512" spans="1:13">
      <c r="A1512" s="2">
        <v>4913</v>
      </c>
      <c r="B1512" s="2" t="s">
        <v>9468</v>
      </c>
      <c r="C1512" s="2">
        <v>13</v>
      </c>
      <c r="D1512" s="2">
        <v>556</v>
      </c>
      <c r="E1512" s="2">
        <v>156</v>
      </c>
      <c r="F1512" s="2">
        <v>32441</v>
      </c>
      <c r="G1512" s="2">
        <v>4.8622601919999999</v>
      </c>
      <c r="H1512" s="3">
        <v>6.4500000000000001E-6</v>
      </c>
      <c r="I1512" s="2" t="s">
        <v>9469</v>
      </c>
      <c r="J1512" s="2" t="s">
        <v>9470</v>
      </c>
      <c r="K1512" s="3">
        <v>7.8800000000000004E-5</v>
      </c>
      <c r="L1512" s="2" t="s">
        <v>848</v>
      </c>
      <c r="M1512" s="4" t="s">
        <v>9471</v>
      </c>
    </row>
    <row r="1513" spans="1:13">
      <c r="A1513" s="2">
        <v>45851</v>
      </c>
      <c r="B1513" s="2" t="s">
        <v>9472</v>
      </c>
      <c r="C1513" s="2">
        <v>13</v>
      </c>
      <c r="D1513" s="2">
        <v>556</v>
      </c>
      <c r="E1513" s="2">
        <v>157</v>
      </c>
      <c r="F1513" s="2">
        <v>32441</v>
      </c>
      <c r="G1513" s="2">
        <v>4.8312903819999997</v>
      </c>
      <c r="H1513" s="3">
        <v>6.8700000000000003E-6</v>
      </c>
      <c r="I1513" s="2" t="s">
        <v>9473</v>
      </c>
      <c r="J1513" s="2" t="s">
        <v>9474</v>
      </c>
      <c r="K1513" s="3">
        <v>8.3900000000000006E-5</v>
      </c>
      <c r="L1513" s="2" t="s">
        <v>848</v>
      </c>
      <c r="M1513" s="4" t="s">
        <v>9475</v>
      </c>
    </row>
    <row r="1514" spans="1:13">
      <c r="A1514" s="2">
        <v>991</v>
      </c>
      <c r="B1514" s="2" t="s">
        <v>9476</v>
      </c>
      <c r="C1514" s="2">
        <v>5</v>
      </c>
      <c r="D1514" s="2">
        <v>556</v>
      </c>
      <c r="E1514" s="2">
        <v>12</v>
      </c>
      <c r="F1514" s="2">
        <v>32441</v>
      </c>
      <c r="G1514" s="2">
        <v>24.311300960000001</v>
      </c>
      <c r="H1514" s="3">
        <v>6.9800000000000001E-6</v>
      </c>
      <c r="I1514" s="2" t="s">
        <v>9477</v>
      </c>
      <c r="J1514" s="2" t="s">
        <v>9478</v>
      </c>
      <c r="K1514" s="3">
        <v>8.4800000000000001E-5</v>
      </c>
      <c r="L1514" s="2" t="s">
        <v>848</v>
      </c>
      <c r="M1514" s="4" t="s">
        <v>9479</v>
      </c>
    </row>
    <row r="1515" spans="1:13">
      <c r="A1515" s="2">
        <v>15691</v>
      </c>
      <c r="B1515" s="2" t="s">
        <v>9480</v>
      </c>
      <c r="C1515" s="2">
        <v>5</v>
      </c>
      <c r="D1515" s="2">
        <v>556</v>
      </c>
      <c r="E1515" s="2">
        <v>12</v>
      </c>
      <c r="F1515" s="2">
        <v>32441</v>
      </c>
      <c r="G1515" s="2">
        <v>24.311300960000001</v>
      </c>
      <c r="H1515" s="3">
        <v>6.9800000000000001E-6</v>
      </c>
      <c r="I1515" s="2" t="s">
        <v>9481</v>
      </c>
      <c r="J1515" s="2" t="s">
        <v>9482</v>
      </c>
      <c r="K1515" s="3">
        <v>8.4800000000000001E-5</v>
      </c>
      <c r="L1515" s="2" t="s">
        <v>848</v>
      </c>
      <c r="M1515" s="4" t="s">
        <v>9483</v>
      </c>
    </row>
    <row r="1516" spans="1:13">
      <c r="A1516" s="2">
        <v>2086</v>
      </c>
      <c r="B1516" s="2" t="s">
        <v>9484</v>
      </c>
      <c r="C1516" s="2">
        <v>36</v>
      </c>
      <c r="D1516" s="2">
        <v>556</v>
      </c>
      <c r="E1516" s="2">
        <v>917</v>
      </c>
      <c r="F1516" s="2">
        <v>32441</v>
      </c>
      <c r="G1516" s="2">
        <v>2.290617669</v>
      </c>
      <c r="H1516" s="3">
        <v>7.0500000000000003E-6</v>
      </c>
      <c r="I1516" s="2" t="s">
        <v>9485</v>
      </c>
      <c r="J1516" s="2" t="s">
        <v>9486</v>
      </c>
      <c r="K1516" s="3">
        <v>8.5500000000000005E-5</v>
      </c>
      <c r="L1516" s="2" t="s">
        <v>848</v>
      </c>
      <c r="M1516" s="4" t="s">
        <v>9487</v>
      </c>
    </row>
    <row r="1517" spans="1:13">
      <c r="A1517" s="2">
        <v>4363</v>
      </c>
      <c r="B1517" s="2" t="s">
        <v>9488</v>
      </c>
      <c r="C1517" s="2">
        <v>26</v>
      </c>
      <c r="D1517" s="2">
        <v>556</v>
      </c>
      <c r="E1517" s="2">
        <v>552</v>
      </c>
      <c r="F1517" s="2">
        <v>32441</v>
      </c>
      <c r="G1517" s="2">
        <v>2.748234021</v>
      </c>
      <c r="H1517" s="3">
        <v>7.1300000000000003E-6</v>
      </c>
      <c r="I1517" s="2" t="s">
        <v>9489</v>
      </c>
      <c r="J1517" s="2" t="s">
        <v>9490</v>
      </c>
      <c r="K1517" s="3">
        <v>8.6199999999999995E-5</v>
      </c>
      <c r="L1517" s="2" t="s">
        <v>848</v>
      </c>
      <c r="M1517" s="4" t="s">
        <v>9491</v>
      </c>
    </row>
    <row r="1518" spans="1:13">
      <c r="A1518" s="2">
        <v>37141</v>
      </c>
      <c r="B1518" s="2" t="s">
        <v>9492</v>
      </c>
      <c r="C1518" s="2">
        <v>6</v>
      </c>
      <c r="D1518" s="2">
        <v>556</v>
      </c>
      <c r="E1518" s="2">
        <v>23</v>
      </c>
      <c r="F1518" s="2">
        <v>32441</v>
      </c>
      <c r="G1518" s="2">
        <v>15.22098843</v>
      </c>
      <c r="H1518" s="3">
        <v>7.61E-6</v>
      </c>
      <c r="I1518" s="2" t="s">
        <v>9493</v>
      </c>
      <c r="J1518" s="2" t="s">
        <v>9494</v>
      </c>
      <c r="K1518" s="3">
        <v>9.1899999999999998E-5</v>
      </c>
      <c r="L1518" s="2" t="s">
        <v>848</v>
      </c>
      <c r="M1518" s="4" t="s">
        <v>9495</v>
      </c>
    </row>
    <row r="1519" spans="1:13">
      <c r="A1519" s="2">
        <v>4404</v>
      </c>
      <c r="B1519" s="2" t="s">
        <v>9496</v>
      </c>
      <c r="C1519" s="2">
        <v>17</v>
      </c>
      <c r="D1519" s="2">
        <v>556</v>
      </c>
      <c r="E1519" s="2">
        <v>268</v>
      </c>
      <c r="F1519" s="2">
        <v>32441</v>
      </c>
      <c r="G1519" s="2">
        <v>3.70112343</v>
      </c>
      <c r="H1519" s="3">
        <v>8.1799999999999996E-6</v>
      </c>
      <c r="I1519" s="2" t="s">
        <v>9497</v>
      </c>
      <c r="J1519" s="2" t="s">
        <v>9498</v>
      </c>
      <c r="K1519" s="3">
        <v>9.8599999999999998E-5</v>
      </c>
      <c r="L1519" s="2" t="s">
        <v>848</v>
      </c>
      <c r="M1519" s="4" t="s">
        <v>9499</v>
      </c>
    </row>
    <row r="1520" spans="1:13">
      <c r="A1520" s="2">
        <v>4456</v>
      </c>
      <c r="B1520" s="2" t="s">
        <v>9500</v>
      </c>
      <c r="C1520" s="2">
        <v>9</v>
      </c>
      <c r="D1520" s="2">
        <v>556</v>
      </c>
      <c r="E1520" s="2">
        <v>71</v>
      </c>
      <c r="F1520" s="2">
        <v>32441</v>
      </c>
      <c r="G1520" s="2">
        <v>7.3961140949999997</v>
      </c>
      <c r="H1520" s="3">
        <v>8.2300000000000008E-6</v>
      </c>
      <c r="I1520" s="2" t="s">
        <v>9501</v>
      </c>
      <c r="J1520" s="2" t="s">
        <v>9502</v>
      </c>
      <c r="K1520" s="3">
        <v>9.8999999999999994E-5</v>
      </c>
      <c r="L1520" s="2" t="s">
        <v>848</v>
      </c>
      <c r="M1520" s="4" t="s">
        <v>9503</v>
      </c>
    </row>
    <row r="1521" spans="1:13">
      <c r="A1521" s="2">
        <v>10221</v>
      </c>
      <c r="B1521" s="2" t="s">
        <v>9504</v>
      </c>
      <c r="C1521" s="2">
        <v>8</v>
      </c>
      <c r="D1521" s="2">
        <v>556</v>
      </c>
      <c r="E1521" s="2">
        <v>53</v>
      </c>
      <c r="F1521" s="2">
        <v>32441</v>
      </c>
      <c r="G1521" s="2">
        <v>8.8071128000000005</v>
      </c>
      <c r="H1521" s="3">
        <v>8.3100000000000001E-6</v>
      </c>
      <c r="I1521" s="2" t="s">
        <v>9505</v>
      </c>
      <c r="J1521" s="2" t="s">
        <v>9506</v>
      </c>
      <c r="K1521" s="3">
        <v>9.9500000000000006E-5</v>
      </c>
      <c r="L1521" s="2" t="s">
        <v>848</v>
      </c>
      <c r="M1521" s="4" t="s">
        <v>9507</v>
      </c>
    </row>
    <row r="1522" spans="1:13">
      <c r="A1522" s="2">
        <v>1957</v>
      </c>
      <c r="B1522" s="2" t="s">
        <v>9508</v>
      </c>
      <c r="C1522" s="2">
        <v>10</v>
      </c>
      <c r="D1522" s="2">
        <v>556</v>
      </c>
      <c r="E1522" s="2">
        <v>91</v>
      </c>
      <c r="F1522" s="2">
        <v>32441</v>
      </c>
      <c r="G1522" s="2">
        <v>6.4117716820000004</v>
      </c>
      <c r="H1522" s="3">
        <v>8.2900000000000002E-6</v>
      </c>
      <c r="I1522" s="2" t="s">
        <v>9509</v>
      </c>
      <c r="J1522" s="2" t="s">
        <v>9510</v>
      </c>
      <c r="K1522" s="3">
        <v>9.9500000000000006E-5</v>
      </c>
      <c r="L1522" s="2" t="s">
        <v>848</v>
      </c>
      <c r="M1522" s="4" t="s">
        <v>9511</v>
      </c>
    </row>
    <row r="1523" spans="1:13">
      <c r="A1523" s="2">
        <v>5843</v>
      </c>
      <c r="B1523" s="2" t="s">
        <v>9512</v>
      </c>
      <c r="C1523" s="2">
        <v>14</v>
      </c>
      <c r="D1523" s="2">
        <v>556</v>
      </c>
      <c r="E1523" s="2">
        <v>186</v>
      </c>
      <c r="F1523" s="2">
        <v>32441</v>
      </c>
      <c r="G1523" s="2">
        <v>4.3917188830000002</v>
      </c>
      <c r="H1523" s="3">
        <v>8.5299999999999996E-6</v>
      </c>
      <c r="I1523" s="2" t="s">
        <v>9513</v>
      </c>
      <c r="J1523" s="2" t="s">
        <v>9514</v>
      </c>
      <c r="K1523" s="2">
        <v>1.01983E-4</v>
      </c>
      <c r="L1523" s="2" t="s">
        <v>848</v>
      </c>
      <c r="M1523" s="4" t="s">
        <v>9515</v>
      </c>
    </row>
    <row r="1524" spans="1:13">
      <c r="A1524" s="2">
        <v>5783</v>
      </c>
      <c r="B1524" s="2" t="s">
        <v>9516</v>
      </c>
      <c r="C1524" s="2">
        <v>20</v>
      </c>
      <c r="D1524" s="2">
        <v>556</v>
      </c>
      <c r="E1524" s="2">
        <v>360</v>
      </c>
      <c r="F1524" s="2">
        <v>32441</v>
      </c>
      <c r="G1524" s="2">
        <v>3.2415067949999998</v>
      </c>
      <c r="H1524" s="3">
        <v>8.7099999999999996E-6</v>
      </c>
      <c r="I1524" s="2" t="s">
        <v>9517</v>
      </c>
      <c r="J1524" s="2" t="s">
        <v>9518</v>
      </c>
      <c r="K1524" s="2">
        <v>1.03903E-4</v>
      </c>
      <c r="L1524" s="2" t="s">
        <v>848</v>
      </c>
      <c r="M1524" s="4" t="s">
        <v>9519</v>
      </c>
    </row>
    <row r="1525" spans="1:13">
      <c r="A1525" s="2">
        <v>2253</v>
      </c>
      <c r="B1525" s="2" t="s">
        <v>9520</v>
      </c>
      <c r="C1525" s="2">
        <v>10</v>
      </c>
      <c r="D1525" s="2">
        <v>556</v>
      </c>
      <c r="E1525" s="2">
        <v>92</v>
      </c>
      <c r="F1525" s="2">
        <v>32441</v>
      </c>
      <c r="G1525" s="2">
        <v>6.3420785110000004</v>
      </c>
      <c r="H1525" s="3">
        <v>9.0499999999999997E-6</v>
      </c>
      <c r="I1525" s="2" t="s">
        <v>9521</v>
      </c>
      <c r="J1525" s="2" t="s">
        <v>9522</v>
      </c>
      <c r="K1525" s="2">
        <v>1.0780099999999999E-4</v>
      </c>
      <c r="L1525" s="2" t="s">
        <v>848</v>
      </c>
      <c r="M1525" s="4" t="s">
        <v>9523</v>
      </c>
    </row>
    <row r="1526" spans="1:13">
      <c r="A1526" s="2">
        <v>27581</v>
      </c>
      <c r="B1526" s="2" t="s">
        <v>9524</v>
      </c>
      <c r="C1526" s="2">
        <v>9</v>
      </c>
      <c r="D1526" s="2">
        <v>556</v>
      </c>
      <c r="E1526" s="2">
        <v>72</v>
      </c>
      <c r="F1526" s="2">
        <v>32441</v>
      </c>
      <c r="G1526" s="2">
        <v>7.2933902880000003</v>
      </c>
      <c r="H1526" s="3">
        <v>9.1200000000000008E-6</v>
      </c>
      <c r="I1526" s="2" t="s">
        <v>9525</v>
      </c>
      <c r="J1526" s="2" t="s">
        <v>9526</v>
      </c>
      <c r="K1526" s="2">
        <v>1.0840099999999999E-4</v>
      </c>
      <c r="L1526" s="2" t="s">
        <v>848</v>
      </c>
      <c r="M1526" s="4" t="s">
        <v>9527</v>
      </c>
    </row>
    <row r="1527" spans="1:13">
      <c r="A1527" s="2">
        <v>5161</v>
      </c>
      <c r="B1527" s="2" t="s">
        <v>9528</v>
      </c>
      <c r="C1527" s="2">
        <v>21</v>
      </c>
      <c r="D1527" s="2">
        <v>556</v>
      </c>
      <c r="E1527" s="2">
        <v>393</v>
      </c>
      <c r="F1527" s="2">
        <v>32441</v>
      </c>
      <c r="G1527" s="2">
        <v>3.117785161</v>
      </c>
      <c r="H1527" s="3">
        <v>9.1500000000000005E-6</v>
      </c>
      <c r="I1527" s="2" t="s">
        <v>9529</v>
      </c>
      <c r="J1527" s="2" t="s">
        <v>9530</v>
      </c>
      <c r="K1527" s="2">
        <v>1.08554E-4</v>
      </c>
      <c r="L1527" s="2" t="s">
        <v>848</v>
      </c>
      <c r="M1527" s="4" t="s">
        <v>9531</v>
      </c>
    </row>
    <row r="1528" spans="1:13">
      <c r="A1528" s="2">
        <v>1216</v>
      </c>
      <c r="B1528" s="2" t="s">
        <v>9532</v>
      </c>
      <c r="C1528" s="2">
        <v>6</v>
      </c>
      <c r="D1528" s="2">
        <v>556</v>
      </c>
      <c r="E1528" s="2">
        <v>24</v>
      </c>
      <c r="F1528" s="2">
        <v>32441</v>
      </c>
      <c r="G1528" s="2">
        <v>14.586780579999999</v>
      </c>
      <c r="H1528" s="3">
        <v>9.38E-6</v>
      </c>
      <c r="I1528" s="2" t="s">
        <v>9533</v>
      </c>
      <c r="J1528" s="2" t="s">
        <v>9534</v>
      </c>
      <c r="K1528" s="2">
        <v>1.10987E-4</v>
      </c>
      <c r="L1528" s="2" t="s">
        <v>848</v>
      </c>
      <c r="M1528" s="4" t="s">
        <v>9535</v>
      </c>
    </row>
    <row r="1529" spans="1:13">
      <c r="A1529" s="2">
        <v>4191</v>
      </c>
      <c r="B1529" s="2" t="s">
        <v>9536</v>
      </c>
      <c r="C1529" s="2">
        <v>5</v>
      </c>
      <c r="D1529" s="2">
        <v>556</v>
      </c>
      <c r="E1529" s="2">
        <v>13</v>
      </c>
      <c r="F1529" s="2">
        <v>32441</v>
      </c>
      <c r="G1529" s="2">
        <v>22.441200890000001</v>
      </c>
      <c r="H1529" s="3">
        <v>9.5300000000000002E-6</v>
      </c>
      <c r="I1529" s="2" t="s">
        <v>9537</v>
      </c>
      <c r="J1529" s="2" t="s">
        <v>9538</v>
      </c>
      <c r="K1529" s="2">
        <v>1.12366E-4</v>
      </c>
      <c r="L1529" s="2" t="s">
        <v>848</v>
      </c>
      <c r="M1529" s="4" t="s">
        <v>9539</v>
      </c>
    </row>
    <row r="1530" spans="1:13">
      <c r="A1530" s="2">
        <v>3861</v>
      </c>
      <c r="B1530" s="2" t="s">
        <v>9540</v>
      </c>
      <c r="C1530" s="2">
        <v>5</v>
      </c>
      <c r="D1530" s="2">
        <v>556</v>
      </c>
      <c r="E1530" s="2">
        <v>13</v>
      </c>
      <c r="F1530" s="2">
        <v>32441</v>
      </c>
      <c r="G1530" s="2">
        <v>22.441200890000001</v>
      </c>
      <c r="H1530" s="3">
        <v>9.5300000000000002E-6</v>
      </c>
      <c r="I1530" s="2" t="s">
        <v>9541</v>
      </c>
      <c r="J1530" s="2" t="s">
        <v>9542</v>
      </c>
      <c r="K1530" s="2">
        <v>1.12366E-4</v>
      </c>
      <c r="L1530" s="2" t="s">
        <v>848</v>
      </c>
      <c r="M1530" s="4" t="s">
        <v>9543</v>
      </c>
    </row>
    <row r="1531" spans="1:13">
      <c r="A1531" s="2">
        <v>1477</v>
      </c>
      <c r="B1531" s="2" t="s">
        <v>9544</v>
      </c>
      <c r="C1531" s="2">
        <v>7</v>
      </c>
      <c r="D1531" s="2">
        <v>556</v>
      </c>
      <c r="E1531" s="2">
        <v>38</v>
      </c>
      <c r="F1531" s="2">
        <v>32441</v>
      </c>
      <c r="G1531" s="2">
        <v>10.74815411</v>
      </c>
      <c r="H1531" s="3">
        <v>9.6800000000000005E-6</v>
      </c>
      <c r="I1531" s="2" t="s">
        <v>9545</v>
      </c>
      <c r="J1531" s="2" t="s">
        <v>9546</v>
      </c>
      <c r="K1531" s="2">
        <v>1.13391E-4</v>
      </c>
      <c r="L1531" s="2" t="s">
        <v>848</v>
      </c>
      <c r="M1531" s="4" t="s">
        <v>9547</v>
      </c>
    </row>
    <row r="1532" spans="1:13">
      <c r="A1532" s="2">
        <v>27451</v>
      </c>
      <c r="B1532" s="2" t="s">
        <v>9548</v>
      </c>
      <c r="C1532" s="2">
        <v>7</v>
      </c>
      <c r="D1532" s="2">
        <v>556</v>
      </c>
      <c r="E1532" s="2">
        <v>38</v>
      </c>
      <c r="F1532" s="2">
        <v>32441</v>
      </c>
      <c r="G1532" s="2">
        <v>10.74815411</v>
      </c>
      <c r="H1532" s="3">
        <v>9.6800000000000005E-6</v>
      </c>
      <c r="I1532" s="2" t="s">
        <v>9549</v>
      </c>
      <c r="J1532" s="2" t="s">
        <v>9550</v>
      </c>
      <c r="K1532" s="2">
        <v>1.13391E-4</v>
      </c>
      <c r="L1532" s="2" t="s">
        <v>848</v>
      </c>
      <c r="M1532" s="4" t="s">
        <v>9551</v>
      </c>
    </row>
    <row r="1533" spans="1:13">
      <c r="A1533" s="2">
        <v>4194</v>
      </c>
      <c r="B1533" s="2" t="s">
        <v>9552</v>
      </c>
      <c r="C1533" s="2">
        <v>7</v>
      </c>
      <c r="D1533" s="2">
        <v>556</v>
      </c>
      <c r="E1533" s="2">
        <v>38</v>
      </c>
      <c r="F1533" s="2">
        <v>32441</v>
      </c>
      <c r="G1533" s="2">
        <v>10.74815411</v>
      </c>
      <c r="H1533" s="3">
        <v>9.6800000000000005E-6</v>
      </c>
      <c r="I1533" s="2" t="s">
        <v>9553</v>
      </c>
      <c r="J1533" s="2" t="s">
        <v>9554</v>
      </c>
      <c r="K1533" s="2">
        <v>1.13391E-4</v>
      </c>
      <c r="L1533" s="2" t="s">
        <v>848</v>
      </c>
      <c r="M1533" s="4" t="s">
        <v>9555</v>
      </c>
    </row>
    <row r="1534" spans="1:13">
      <c r="A1534" s="2">
        <v>978</v>
      </c>
      <c r="B1534" s="2" t="s">
        <v>9556</v>
      </c>
      <c r="C1534" s="2">
        <v>15</v>
      </c>
      <c r="D1534" s="2">
        <v>556</v>
      </c>
      <c r="E1534" s="2">
        <v>216</v>
      </c>
      <c r="F1534" s="2">
        <v>32441</v>
      </c>
      <c r="G1534" s="2">
        <v>4.0518834930000001</v>
      </c>
      <c r="H1534" s="3">
        <v>1.01E-5</v>
      </c>
      <c r="I1534" s="2" t="s">
        <v>9557</v>
      </c>
      <c r="J1534" s="2" t="s">
        <v>9558</v>
      </c>
      <c r="K1534" s="2">
        <v>1.18681E-4</v>
      </c>
      <c r="L1534" s="2" t="s">
        <v>848</v>
      </c>
      <c r="M1534" s="4" t="s">
        <v>9559</v>
      </c>
    </row>
    <row r="1535" spans="1:13">
      <c r="A1535" s="2">
        <v>1164</v>
      </c>
      <c r="B1535" s="2" t="s">
        <v>9560</v>
      </c>
      <c r="C1535" s="2">
        <v>23</v>
      </c>
      <c r="D1535" s="2">
        <v>556</v>
      </c>
      <c r="E1535" s="2">
        <v>462</v>
      </c>
      <c r="F1535" s="2">
        <v>32441</v>
      </c>
      <c r="G1535" s="2">
        <v>2.904726868</v>
      </c>
      <c r="H1535" s="3">
        <v>1.04E-5</v>
      </c>
      <c r="I1535" s="2" t="s">
        <v>9561</v>
      </c>
      <c r="J1535" s="2" t="s">
        <v>9562</v>
      </c>
      <c r="K1535" s="2">
        <v>1.20902E-4</v>
      </c>
      <c r="L1535" s="2" t="s">
        <v>848</v>
      </c>
      <c r="M1535" s="4" t="s">
        <v>9563</v>
      </c>
    </row>
    <row r="1536" spans="1:13">
      <c r="A1536" s="2">
        <v>4739</v>
      </c>
      <c r="B1536" s="2" t="s">
        <v>9564</v>
      </c>
      <c r="C1536" s="2">
        <v>12</v>
      </c>
      <c r="D1536" s="2">
        <v>556</v>
      </c>
      <c r="E1536" s="2">
        <v>139</v>
      </c>
      <c r="F1536" s="2">
        <v>32441</v>
      </c>
      <c r="G1536" s="2">
        <v>5.0371616379999997</v>
      </c>
      <c r="H1536" s="3">
        <v>1.0499999999999999E-5</v>
      </c>
      <c r="I1536" s="2" t="s">
        <v>8920</v>
      </c>
      <c r="J1536" s="2" t="s">
        <v>8921</v>
      </c>
      <c r="K1536" s="2">
        <v>1.21783E-4</v>
      </c>
      <c r="L1536" s="2" t="s">
        <v>848</v>
      </c>
      <c r="M1536" s="4" t="s">
        <v>9565</v>
      </c>
    </row>
    <row r="1537" spans="1:13">
      <c r="A1537" s="2">
        <v>4748</v>
      </c>
      <c r="B1537" s="2" t="s">
        <v>9566</v>
      </c>
      <c r="C1537" s="2">
        <v>8</v>
      </c>
      <c r="D1537" s="2">
        <v>556</v>
      </c>
      <c r="E1537" s="2">
        <v>55</v>
      </c>
      <c r="F1537" s="2">
        <v>32441</v>
      </c>
      <c r="G1537" s="2">
        <v>8.4868541529999995</v>
      </c>
      <c r="H1537" s="3">
        <v>1.06E-5</v>
      </c>
      <c r="I1537" s="2" t="s">
        <v>9102</v>
      </c>
      <c r="J1537" s="2" t="s">
        <v>9103</v>
      </c>
      <c r="K1537" s="2">
        <v>1.2328799999999999E-4</v>
      </c>
      <c r="L1537" s="2" t="s">
        <v>848</v>
      </c>
      <c r="M1537" s="4" t="s">
        <v>9567</v>
      </c>
    </row>
    <row r="1538" spans="1:13">
      <c r="A1538" s="2">
        <v>4868</v>
      </c>
      <c r="B1538" s="2" t="s">
        <v>9568</v>
      </c>
      <c r="C1538" s="2">
        <v>27</v>
      </c>
      <c r="D1538" s="2">
        <v>556</v>
      </c>
      <c r="E1538" s="2">
        <v>601</v>
      </c>
      <c r="F1538" s="2">
        <v>32441</v>
      </c>
      <c r="G1538" s="2">
        <v>2.621251751</v>
      </c>
      <c r="H1538" s="3">
        <v>1.08E-5</v>
      </c>
      <c r="I1538" s="2" t="s">
        <v>9569</v>
      </c>
      <c r="J1538" s="2" t="s">
        <v>9570</v>
      </c>
      <c r="K1538" s="2">
        <v>1.2482199999999999E-4</v>
      </c>
      <c r="L1538" s="2" t="s">
        <v>848</v>
      </c>
      <c r="M1538" s="4" t="s">
        <v>9571</v>
      </c>
    </row>
    <row r="1539" spans="1:13">
      <c r="A1539" s="2">
        <v>1977</v>
      </c>
      <c r="B1539" s="2" t="s">
        <v>9572</v>
      </c>
      <c r="C1539" s="2">
        <v>7</v>
      </c>
      <c r="D1539" s="2">
        <v>556</v>
      </c>
      <c r="E1539" s="2">
        <v>39</v>
      </c>
      <c r="F1539" s="2">
        <v>32441</v>
      </c>
      <c r="G1539" s="2">
        <v>10.47256041</v>
      </c>
      <c r="H1539" s="3">
        <v>1.1199999999999999E-5</v>
      </c>
      <c r="I1539" s="2" t="s">
        <v>9573</v>
      </c>
      <c r="J1539" s="2" t="s">
        <v>9574</v>
      </c>
      <c r="K1539" s="2">
        <v>1.3026499999999999E-4</v>
      </c>
      <c r="L1539" s="2" t="s">
        <v>848</v>
      </c>
      <c r="M1539" s="4" t="s">
        <v>9575</v>
      </c>
    </row>
    <row r="1540" spans="1:13">
      <c r="A1540" s="2">
        <v>1384</v>
      </c>
      <c r="B1540" s="2" t="s">
        <v>9576</v>
      </c>
      <c r="C1540" s="2">
        <v>6</v>
      </c>
      <c r="D1540" s="2">
        <v>556</v>
      </c>
      <c r="E1540" s="2">
        <v>25</v>
      </c>
      <c r="F1540" s="2">
        <v>32441</v>
      </c>
      <c r="G1540" s="2">
        <v>14.00330935</v>
      </c>
      <c r="H1540" s="3">
        <v>1.15E-5</v>
      </c>
      <c r="I1540" s="2" t="s">
        <v>9577</v>
      </c>
      <c r="J1540" s="2" t="s">
        <v>9578</v>
      </c>
      <c r="K1540" s="2">
        <v>1.3249099999999999E-4</v>
      </c>
      <c r="L1540" s="2" t="s">
        <v>848</v>
      </c>
      <c r="M1540" s="4" t="s">
        <v>9579</v>
      </c>
    </row>
    <row r="1541" spans="1:13">
      <c r="A1541" s="2">
        <v>5731</v>
      </c>
      <c r="B1541" s="2" t="s">
        <v>9580</v>
      </c>
      <c r="C1541" s="2">
        <v>11</v>
      </c>
      <c r="D1541" s="2">
        <v>556</v>
      </c>
      <c r="E1541" s="2">
        <v>117</v>
      </c>
      <c r="F1541" s="2">
        <v>32441</v>
      </c>
      <c r="G1541" s="2">
        <v>5.4856268830000001</v>
      </c>
      <c r="H1541" s="3">
        <v>1.1600000000000001E-5</v>
      </c>
      <c r="I1541" s="2" t="s">
        <v>9581</v>
      </c>
      <c r="J1541" s="2" t="s">
        <v>9582</v>
      </c>
      <c r="K1541" s="2">
        <v>1.3392999999999999E-4</v>
      </c>
      <c r="L1541" s="2" t="s">
        <v>848</v>
      </c>
      <c r="M1541" s="4" t="s">
        <v>9583</v>
      </c>
    </row>
    <row r="1542" spans="1:13">
      <c r="A1542" s="2">
        <v>3824</v>
      </c>
      <c r="B1542" s="2" t="s">
        <v>9584</v>
      </c>
      <c r="C1542" s="2">
        <v>14</v>
      </c>
      <c r="D1542" s="2">
        <v>556</v>
      </c>
      <c r="E1542" s="2">
        <v>192</v>
      </c>
      <c r="F1542" s="2">
        <v>32441</v>
      </c>
      <c r="G1542" s="2">
        <v>4.2544776679999998</v>
      </c>
      <c r="H1542" s="3">
        <v>1.19E-5</v>
      </c>
      <c r="I1542" s="2" t="s">
        <v>9585</v>
      </c>
      <c r="J1542" s="2" t="s">
        <v>9586</v>
      </c>
      <c r="K1542" s="2">
        <v>1.37424E-4</v>
      </c>
      <c r="L1542" s="2" t="s">
        <v>848</v>
      </c>
      <c r="M1542" s="4" t="s">
        <v>9587</v>
      </c>
    </row>
    <row r="1543" spans="1:13">
      <c r="A1543" s="2">
        <v>4589</v>
      </c>
      <c r="B1543" s="2" t="s">
        <v>9588</v>
      </c>
      <c r="C1543" s="2">
        <v>14</v>
      </c>
      <c r="D1543" s="2">
        <v>556</v>
      </c>
      <c r="E1543" s="2">
        <v>193</v>
      </c>
      <c r="F1543" s="2">
        <v>32441</v>
      </c>
      <c r="G1543" s="2">
        <v>4.2324337420000004</v>
      </c>
      <c r="H1543" s="3">
        <v>1.26E-5</v>
      </c>
      <c r="I1543" s="2" t="s">
        <v>9589</v>
      </c>
      <c r="J1543" s="2" t="s">
        <v>9590</v>
      </c>
      <c r="K1543" s="2">
        <v>1.4487500000000001E-4</v>
      </c>
      <c r="L1543" s="2" t="s">
        <v>848</v>
      </c>
      <c r="M1543" s="4" t="s">
        <v>9591</v>
      </c>
    </row>
    <row r="1544" spans="1:13">
      <c r="A1544" s="2">
        <v>5624</v>
      </c>
      <c r="B1544" s="2" t="s">
        <v>9592</v>
      </c>
      <c r="C1544" s="2">
        <v>58</v>
      </c>
      <c r="D1544" s="2">
        <v>556</v>
      </c>
      <c r="E1544" s="2">
        <v>1860</v>
      </c>
      <c r="F1544" s="2">
        <v>32441</v>
      </c>
      <c r="G1544" s="2">
        <v>1.8194263939999999</v>
      </c>
      <c r="H1544" s="3">
        <v>1.31E-5</v>
      </c>
      <c r="I1544" s="3" t="s">
        <v>9593</v>
      </c>
      <c r="J1544" s="3" t="s">
        <v>9594</v>
      </c>
      <c r="K1544" s="2">
        <v>1.50135E-4</v>
      </c>
      <c r="L1544" s="2" t="s">
        <v>848</v>
      </c>
      <c r="M1544" s="4" t="s">
        <v>9595</v>
      </c>
    </row>
    <row r="1545" spans="1:13">
      <c r="A1545" s="2">
        <v>5616</v>
      </c>
      <c r="B1545" s="2" t="s">
        <v>9596</v>
      </c>
      <c r="C1545" s="2">
        <v>8</v>
      </c>
      <c r="D1545" s="2">
        <v>556</v>
      </c>
      <c r="E1545" s="2">
        <v>57</v>
      </c>
      <c r="F1545" s="2">
        <v>32441</v>
      </c>
      <c r="G1545" s="2">
        <v>8.1890697970000002</v>
      </c>
      <c r="H1545" s="3">
        <v>1.34E-5</v>
      </c>
      <c r="I1545" s="2" t="s">
        <v>9597</v>
      </c>
      <c r="J1545" s="2" t="s">
        <v>9598</v>
      </c>
      <c r="K1545" s="2">
        <v>1.53597E-4</v>
      </c>
      <c r="L1545" s="2" t="s">
        <v>848</v>
      </c>
      <c r="M1545" s="4" t="s">
        <v>9599</v>
      </c>
    </row>
    <row r="1546" spans="1:13">
      <c r="A1546" s="2">
        <v>3973</v>
      </c>
      <c r="B1546" s="2" t="s">
        <v>9600</v>
      </c>
      <c r="C1546" s="2">
        <v>27</v>
      </c>
      <c r="D1546" s="2">
        <v>556</v>
      </c>
      <c r="E1546" s="2">
        <v>609</v>
      </c>
      <c r="F1546" s="2">
        <v>32441</v>
      </c>
      <c r="G1546" s="2">
        <v>2.58681823</v>
      </c>
      <c r="H1546" s="3">
        <v>1.3499999999999999E-5</v>
      </c>
      <c r="I1546" s="2" t="s">
        <v>9601</v>
      </c>
      <c r="J1546" s="2" t="s">
        <v>9602</v>
      </c>
      <c r="K1546" s="2">
        <v>1.53795E-4</v>
      </c>
      <c r="L1546" s="2" t="s">
        <v>848</v>
      </c>
      <c r="M1546" s="4" t="s">
        <v>9603</v>
      </c>
    </row>
    <row r="1547" spans="1:13">
      <c r="A1547" s="2">
        <v>1113</v>
      </c>
      <c r="B1547" s="2" t="s">
        <v>9604</v>
      </c>
      <c r="C1547" s="2">
        <v>55</v>
      </c>
      <c r="D1547" s="2">
        <v>556</v>
      </c>
      <c r="E1547" s="2">
        <v>1733</v>
      </c>
      <c r="F1547" s="2">
        <v>32441</v>
      </c>
      <c r="G1547" s="2">
        <v>1.8517551800000001</v>
      </c>
      <c r="H1547" s="3">
        <v>1.38E-5</v>
      </c>
      <c r="I1547" s="3" t="s">
        <v>9605</v>
      </c>
      <c r="J1547" s="3" t="s">
        <v>9606</v>
      </c>
      <c r="K1547" s="2">
        <v>1.57682E-4</v>
      </c>
      <c r="L1547" s="2" t="s">
        <v>848</v>
      </c>
      <c r="M1547" s="4" t="s">
        <v>9607</v>
      </c>
    </row>
    <row r="1548" spans="1:13">
      <c r="A1548" s="2">
        <v>5941</v>
      </c>
      <c r="B1548" s="2" t="s">
        <v>9608</v>
      </c>
      <c r="C1548" s="2">
        <v>6</v>
      </c>
      <c r="D1548" s="2">
        <v>556</v>
      </c>
      <c r="E1548" s="2">
        <v>26</v>
      </c>
      <c r="F1548" s="2">
        <v>32441</v>
      </c>
      <c r="G1548" s="2">
        <v>13.464720529999999</v>
      </c>
      <c r="H1548" s="3">
        <v>1.3900000000000001E-5</v>
      </c>
      <c r="I1548" s="2" t="s">
        <v>9609</v>
      </c>
      <c r="J1548" s="2" t="s">
        <v>9610</v>
      </c>
      <c r="K1548" s="2">
        <v>1.57975E-4</v>
      </c>
      <c r="L1548" s="2" t="s">
        <v>848</v>
      </c>
      <c r="M1548" s="4" t="s">
        <v>9611</v>
      </c>
    </row>
    <row r="1549" spans="1:13">
      <c r="A1549" s="2">
        <v>972</v>
      </c>
      <c r="B1549" s="2" t="s">
        <v>9612</v>
      </c>
      <c r="C1549" s="2">
        <v>6</v>
      </c>
      <c r="D1549" s="2">
        <v>556</v>
      </c>
      <c r="E1549" s="2">
        <v>26</v>
      </c>
      <c r="F1549" s="2">
        <v>32441</v>
      </c>
      <c r="G1549" s="2">
        <v>13.464720529999999</v>
      </c>
      <c r="H1549" s="3">
        <v>1.3900000000000001E-5</v>
      </c>
      <c r="I1549" s="2" t="s">
        <v>9613</v>
      </c>
      <c r="J1549" s="2" t="s">
        <v>9614</v>
      </c>
      <c r="K1549" s="2">
        <v>1.57975E-4</v>
      </c>
      <c r="L1549" s="2" t="s">
        <v>848</v>
      </c>
      <c r="M1549" s="4" t="s">
        <v>9615</v>
      </c>
    </row>
    <row r="1550" spans="1:13">
      <c r="A1550" s="2">
        <v>3718</v>
      </c>
      <c r="B1550" s="2" t="s">
        <v>9616</v>
      </c>
      <c r="C1550" s="2">
        <v>12</v>
      </c>
      <c r="D1550" s="2">
        <v>556</v>
      </c>
      <c r="E1550" s="2">
        <v>144</v>
      </c>
      <c r="F1550" s="2">
        <v>32441</v>
      </c>
      <c r="G1550" s="2">
        <v>4.8622601919999999</v>
      </c>
      <c r="H1550" s="3">
        <v>1.45E-5</v>
      </c>
      <c r="I1550" s="2" t="s">
        <v>9617</v>
      </c>
      <c r="J1550" s="2" t="s">
        <v>9618</v>
      </c>
      <c r="K1550" s="2">
        <v>1.64823E-4</v>
      </c>
      <c r="L1550" s="2" t="s">
        <v>848</v>
      </c>
      <c r="M1550" s="4" t="s">
        <v>9619</v>
      </c>
    </row>
    <row r="1551" spans="1:13">
      <c r="A1551" s="2">
        <v>28861</v>
      </c>
      <c r="B1551" s="2" t="s">
        <v>9620</v>
      </c>
      <c r="C1551" s="2">
        <v>7</v>
      </c>
      <c r="D1551" s="2">
        <v>556</v>
      </c>
      <c r="E1551" s="2">
        <v>41</v>
      </c>
      <c r="F1551" s="2">
        <v>32441</v>
      </c>
      <c r="G1551" s="2">
        <v>9.9617038079999993</v>
      </c>
      <c r="H1551" s="3">
        <v>1.5E-5</v>
      </c>
      <c r="I1551" s="2" t="s">
        <v>9621</v>
      </c>
      <c r="J1551" s="2" t="s">
        <v>9622</v>
      </c>
      <c r="K1551" s="2">
        <v>1.7006399999999999E-4</v>
      </c>
      <c r="L1551" s="2" t="s">
        <v>848</v>
      </c>
      <c r="M1551" s="4" t="s">
        <v>9623</v>
      </c>
    </row>
    <row r="1552" spans="1:13">
      <c r="A1552" s="2">
        <v>4663</v>
      </c>
      <c r="B1552" s="2" t="s">
        <v>991</v>
      </c>
      <c r="C1552" s="2">
        <v>41</v>
      </c>
      <c r="D1552" s="2">
        <v>556</v>
      </c>
      <c r="E1552" s="2">
        <v>1151</v>
      </c>
      <c r="F1552" s="2">
        <v>32441</v>
      </c>
      <c r="G1552" s="2">
        <v>2.0783944519999999</v>
      </c>
      <c r="H1552" s="3">
        <v>1.5299999999999999E-5</v>
      </c>
      <c r="I1552" s="2" t="s">
        <v>9624</v>
      </c>
      <c r="J1552" s="2" t="s">
        <v>9625</v>
      </c>
      <c r="K1552" s="2">
        <v>1.7254400000000001E-4</v>
      </c>
      <c r="L1552" s="2" t="s">
        <v>848</v>
      </c>
      <c r="M1552" s="4" t="s">
        <v>9626</v>
      </c>
    </row>
    <row r="1553" spans="1:13">
      <c r="A1553" s="2">
        <v>4197</v>
      </c>
      <c r="B1553" s="2" t="s">
        <v>9627</v>
      </c>
      <c r="C1553" s="2">
        <v>42</v>
      </c>
      <c r="D1553" s="2">
        <v>556</v>
      </c>
      <c r="E1553" s="2">
        <v>1192</v>
      </c>
      <c r="F1553" s="2">
        <v>32441</v>
      </c>
      <c r="G1553" s="2">
        <v>2.0558549799999999</v>
      </c>
      <c r="H1553" s="3">
        <v>1.5400000000000002E-5</v>
      </c>
      <c r="I1553" s="2" t="s">
        <v>9628</v>
      </c>
      <c r="J1553" s="2" t="s">
        <v>9629</v>
      </c>
      <c r="K1553" s="2">
        <v>1.7347900000000001E-4</v>
      </c>
      <c r="L1553" s="2" t="s">
        <v>848</v>
      </c>
      <c r="M1553" s="4" t="s">
        <v>9630</v>
      </c>
    </row>
    <row r="1554" spans="1:13">
      <c r="A1554" s="2">
        <v>811</v>
      </c>
      <c r="B1554" s="2" t="s">
        <v>9631</v>
      </c>
      <c r="C1554" s="2">
        <v>10</v>
      </c>
      <c r="D1554" s="2">
        <v>556</v>
      </c>
      <c r="E1554" s="2">
        <v>99</v>
      </c>
      <c r="F1554" s="2">
        <v>32441</v>
      </c>
      <c r="G1554" s="2">
        <v>5.8936487169999996</v>
      </c>
      <c r="H1554" s="3">
        <v>1.63E-5</v>
      </c>
      <c r="I1554" s="2" t="s">
        <v>9632</v>
      </c>
      <c r="J1554" s="2" t="s">
        <v>9633</v>
      </c>
      <c r="K1554" s="2">
        <v>1.8355499999999999E-4</v>
      </c>
      <c r="L1554" s="2" t="s">
        <v>848</v>
      </c>
      <c r="M1554" s="4" t="s">
        <v>9634</v>
      </c>
    </row>
    <row r="1555" spans="1:13">
      <c r="A1555" s="2">
        <v>1655</v>
      </c>
      <c r="B1555" s="2" t="s">
        <v>9635</v>
      </c>
      <c r="C1555" s="2">
        <v>29</v>
      </c>
      <c r="D1555" s="2">
        <v>556</v>
      </c>
      <c r="E1555" s="2">
        <v>689</v>
      </c>
      <c r="F1555" s="2">
        <v>32441</v>
      </c>
      <c r="G1555" s="2">
        <v>2.455829531</v>
      </c>
      <c r="H1555" s="3">
        <v>1.6399999999999999E-5</v>
      </c>
      <c r="I1555" s="2" t="s">
        <v>8868</v>
      </c>
      <c r="J1555" s="2" t="s">
        <v>8869</v>
      </c>
      <c r="K1555" s="2">
        <v>1.8465199999999999E-4</v>
      </c>
      <c r="L1555" s="2" t="s">
        <v>848</v>
      </c>
      <c r="M1555" s="4" t="s">
        <v>9636</v>
      </c>
    </row>
    <row r="1556" spans="1:13">
      <c r="A1556" s="2">
        <v>32</v>
      </c>
      <c r="B1556" s="2" t="s">
        <v>9637</v>
      </c>
      <c r="C1556" s="2">
        <v>5</v>
      </c>
      <c r="D1556" s="2">
        <v>556</v>
      </c>
      <c r="E1556" s="2">
        <v>15</v>
      </c>
      <c r="F1556" s="2">
        <v>32441</v>
      </c>
      <c r="G1556" s="2">
        <v>19.44904077</v>
      </c>
      <c r="H1556" s="3">
        <v>1.6799999999999998E-5</v>
      </c>
      <c r="I1556" s="2" t="s">
        <v>9638</v>
      </c>
      <c r="J1556" s="2" t="s">
        <v>9639</v>
      </c>
      <c r="K1556" s="2">
        <v>1.86236E-4</v>
      </c>
      <c r="L1556" s="2" t="s">
        <v>848</v>
      </c>
      <c r="M1556" s="4" t="s">
        <v>9640</v>
      </c>
    </row>
    <row r="1557" spans="1:13">
      <c r="A1557" s="2">
        <v>1881</v>
      </c>
      <c r="B1557" s="2" t="s">
        <v>9641</v>
      </c>
      <c r="C1557" s="2">
        <v>5</v>
      </c>
      <c r="D1557" s="2">
        <v>556</v>
      </c>
      <c r="E1557" s="2">
        <v>15</v>
      </c>
      <c r="F1557" s="2">
        <v>32441</v>
      </c>
      <c r="G1557" s="2">
        <v>19.44904077</v>
      </c>
      <c r="H1557" s="3">
        <v>1.6799999999999998E-5</v>
      </c>
      <c r="I1557" s="2" t="s">
        <v>9642</v>
      </c>
      <c r="J1557" s="2" t="s">
        <v>9643</v>
      </c>
      <c r="K1557" s="2">
        <v>1.86236E-4</v>
      </c>
      <c r="L1557" s="2" t="s">
        <v>848</v>
      </c>
      <c r="M1557" s="4" t="s">
        <v>9644</v>
      </c>
    </row>
    <row r="1558" spans="1:13">
      <c r="A1558" s="2">
        <v>2433</v>
      </c>
      <c r="B1558" s="2" t="s">
        <v>9645</v>
      </c>
      <c r="C1558" s="2">
        <v>6</v>
      </c>
      <c r="D1558" s="2">
        <v>556</v>
      </c>
      <c r="E1558" s="2">
        <v>27</v>
      </c>
      <c r="F1558" s="2">
        <v>32441</v>
      </c>
      <c r="G1558" s="2">
        <v>12.966027179999999</v>
      </c>
      <c r="H1558" s="3">
        <v>1.6799999999999998E-5</v>
      </c>
      <c r="I1558" s="2" t="s">
        <v>9646</v>
      </c>
      <c r="J1558" s="2" t="s">
        <v>9647</v>
      </c>
      <c r="K1558" s="2">
        <v>1.86236E-4</v>
      </c>
      <c r="L1558" s="2" t="s">
        <v>848</v>
      </c>
      <c r="M1558" s="4" t="s">
        <v>9648</v>
      </c>
    </row>
    <row r="1559" spans="1:13">
      <c r="A1559" s="2">
        <v>2849</v>
      </c>
      <c r="B1559" s="2" t="s">
        <v>9649</v>
      </c>
      <c r="C1559" s="2">
        <v>5</v>
      </c>
      <c r="D1559" s="2">
        <v>556</v>
      </c>
      <c r="E1559" s="2">
        <v>15</v>
      </c>
      <c r="F1559" s="2">
        <v>32441</v>
      </c>
      <c r="G1559" s="2">
        <v>19.44904077</v>
      </c>
      <c r="H1559" s="3">
        <v>1.6799999999999998E-5</v>
      </c>
      <c r="I1559" s="2" t="s">
        <v>9650</v>
      </c>
      <c r="J1559" s="2" t="s">
        <v>9651</v>
      </c>
      <c r="K1559" s="2">
        <v>1.86236E-4</v>
      </c>
      <c r="L1559" s="2" t="s">
        <v>848</v>
      </c>
      <c r="M1559" s="4" t="s">
        <v>9652</v>
      </c>
    </row>
    <row r="1560" spans="1:13">
      <c r="A1560" s="2">
        <v>31611</v>
      </c>
      <c r="B1560" s="2" t="s">
        <v>9653</v>
      </c>
      <c r="C1560" s="2">
        <v>5</v>
      </c>
      <c r="D1560" s="2">
        <v>556</v>
      </c>
      <c r="E1560" s="2">
        <v>15</v>
      </c>
      <c r="F1560" s="2">
        <v>32441</v>
      </c>
      <c r="G1560" s="2">
        <v>19.44904077</v>
      </c>
      <c r="H1560" s="3">
        <v>1.6799999999999998E-5</v>
      </c>
      <c r="I1560" s="2" t="s">
        <v>9431</v>
      </c>
      <c r="J1560" s="2" t="s">
        <v>9432</v>
      </c>
      <c r="K1560" s="2">
        <v>1.86236E-4</v>
      </c>
      <c r="L1560" s="2" t="s">
        <v>848</v>
      </c>
      <c r="M1560" s="4" t="s">
        <v>9654</v>
      </c>
    </row>
    <row r="1561" spans="1:13">
      <c r="A1561" s="2">
        <v>4257</v>
      </c>
      <c r="B1561" s="2" t="s">
        <v>9655</v>
      </c>
      <c r="C1561" s="2">
        <v>6</v>
      </c>
      <c r="D1561" s="2">
        <v>556</v>
      </c>
      <c r="E1561" s="2">
        <v>27</v>
      </c>
      <c r="F1561" s="2">
        <v>32441</v>
      </c>
      <c r="G1561" s="2">
        <v>12.966027179999999</v>
      </c>
      <c r="H1561" s="3">
        <v>1.6799999999999998E-5</v>
      </c>
      <c r="I1561" s="2" t="s">
        <v>9656</v>
      </c>
      <c r="J1561" s="2" t="s">
        <v>9657</v>
      </c>
      <c r="K1561" s="2">
        <v>1.86236E-4</v>
      </c>
      <c r="L1561" s="2" t="s">
        <v>848</v>
      </c>
      <c r="M1561" s="4" t="s">
        <v>9658</v>
      </c>
    </row>
    <row r="1562" spans="1:13">
      <c r="A1562" s="2">
        <v>4485</v>
      </c>
      <c r="B1562" s="2" t="s">
        <v>9659</v>
      </c>
      <c r="C1562" s="2">
        <v>24</v>
      </c>
      <c r="D1562" s="2">
        <v>556</v>
      </c>
      <c r="E1562" s="2">
        <v>512</v>
      </c>
      <c r="F1562" s="2">
        <v>32441</v>
      </c>
      <c r="G1562" s="2">
        <v>2.735021358</v>
      </c>
      <c r="H1562" s="3">
        <v>1.7200000000000001E-5</v>
      </c>
      <c r="I1562" s="2" t="s">
        <v>9660</v>
      </c>
      <c r="J1562" s="2" t="s">
        <v>9661</v>
      </c>
      <c r="K1562" s="2">
        <v>1.9034999999999999E-4</v>
      </c>
      <c r="L1562" s="2" t="s">
        <v>848</v>
      </c>
      <c r="M1562" s="4" t="s">
        <v>9662</v>
      </c>
    </row>
    <row r="1563" spans="1:13">
      <c r="A1563" s="2">
        <v>26841</v>
      </c>
      <c r="B1563" s="2" t="s">
        <v>9663</v>
      </c>
      <c r="C1563" s="2">
        <v>23</v>
      </c>
      <c r="D1563" s="2">
        <v>556</v>
      </c>
      <c r="E1563" s="2">
        <v>481</v>
      </c>
      <c r="F1563" s="2">
        <v>32441</v>
      </c>
      <c r="G1563" s="2">
        <v>2.7899871369999998</v>
      </c>
      <c r="H1563" s="3">
        <v>1.9000000000000001E-5</v>
      </c>
      <c r="I1563" s="2" t="s">
        <v>9664</v>
      </c>
      <c r="J1563" s="2" t="s">
        <v>9665</v>
      </c>
      <c r="K1563" s="2">
        <v>2.1061300000000001E-4</v>
      </c>
      <c r="L1563" s="2" t="s">
        <v>848</v>
      </c>
      <c r="M1563" s="4" t="s">
        <v>9666</v>
      </c>
    </row>
    <row r="1564" spans="1:13">
      <c r="A1564" s="2">
        <v>2058</v>
      </c>
      <c r="B1564" s="2" t="s">
        <v>9667</v>
      </c>
      <c r="C1564" s="2">
        <v>11</v>
      </c>
      <c r="D1564" s="2">
        <v>556</v>
      </c>
      <c r="E1564" s="2">
        <v>124</v>
      </c>
      <c r="F1564" s="2">
        <v>32441</v>
      </c>
      <c r="G1564" s="2">
        <v>5.175954398</v>
      </c>
      <c r="H1564" s="3">
        <v>1.9199999999999999E-5</v>
      </c>
      <c r="I1564" s="2" t="s">
        <v>9668</v>
      </c>
      <c r="J1564" s="2" t="s">
        <v>9669</v>
      </c>
      <c r="K1564" s="2">
        <v>2.1210599999999999E-4</v>
      </c>
      <c r="L1564" s="2" t="s">
        <v>848</v>
      </c>
      <c r="M1564" s="4" t="s">
        <v>9670</v>
      </c>
    </row>
    <row r="1565" spans="1:13">
      <c r="A1565" s="2">
        <v>1047</v>
      </c>
      <c r="B1565" s="2" t="s">
        <v>9671</v>
      </c>
      <c r="C1565" s="2">
        <v>6</v>
      </c>
      <c r="D1565" s="2">
        <v>556</v>
      </c>
      <c r="E1565" s="2">
        <v>28</v>
      </c>
      <c r="F1565" s="2">
        <v>32441</v>
      </c>
      <c r="G1565" s="2">
        <v>12.50295478</v>
      </c>
      <c r="H1565" s="3">
        <v>2.0100000000000001E-5</v>
      </c>
      <c r="I1565" s="2" t="s">
        <v>9672</v>
      </c>
      <c r="J1565" s="2" t="s">
        <v>9673</v>
      </c>
      <c r="K1565" s="2">
        <v>2.2106400000000001E-4</v>
      </c>
      <c r="L1565" s="2" t="s">
        <v>848</v>
      </c>
      <c r="M1565" s="4" t="s">
        <v>9674</v>
      </c>
    </row>
    <row r="1566" spans="1:13">
      <c r="A1566" s="2">
        <v>437</v>
      </c>
      <c r="B1566" s="2" t="s">
        <v>9675</v>
      </c>
      <c r="C1566" s="2">
        <v>22</v>
      </c>
      <c r="D1566" s="2">
        <v>556</v>
      </c>
      <c r="E1566" s="2">
        <v>450</v>
      </c>
      <c r="F1566" s="2">
        <v>32441</v>
      </c>
      <c r="G1566" s="2">
        <v>2.8525259790000002</v>
      </c>
      <c r="H1566" s="3">
        <v>2.09E-5</v>
      </c>
      <c r="I1566" s="2" t="s">
        <v>9676</v>
      </c>
      <c r="J1566" s="2" t="s">
        <v>9677</v>
      </c>
      <c r="K1566" s="2">
        <v>2.29872E-4</v>
      </c>
      <c r="L1566" s="2" t="s">
        <v>848</v>
      </c>
      <c r="M1566" s="4" t="s">
        <v>9678</v>
      </c>
    </row>
    <row r="1567" spans="1:13">
      <c r="A1567" s="2">
        <v>12441</v>
      </c>
      <c r="B1567" s="2" t="s">
        <v>9679</v>
      </c>
      <c r="C1567" s="2">
        <v>5</v>
      </c>
      <c r="D1567" s="2">
        <v>556</v>
      </c>
      <c r="E1567" s="2">
        <v>16</v>
      </c>
      <c r="F1567" s="2">
        <v>32441</v>
      </c>
      <c r="G1567" s="2">
        <v>18.233475720000001</v>
      </c>
      <c r="H1567" s="3">
        <v>2.1699999999999999E-5</v>
      </c>
      <c r="I1567" s="2" t="s">
        <v>9427</v>
      </c>
      <c r="J1567" s="2" t="s">
        <v>9428</v>
      </c>
      <c r="K1567" s="2">
        <v>2.3574499999999999E-4</v>
      </c>
      <c r="L1567" s="2" t="s">
        <v>848</v>
      </c>
      <c r="M1567" s="4" t="s">
        <v>9680</v>
      </c>
    </row>
    <row r="1568" spans="1:13">
      <c r="A1568" s="2">
        <v>1412</v>
      </c>
      <c r="B1568" s="2" t="s">
        <v>9681</v>
      </c>
      <c r="C1568" s="2">
        <v>5</v>
      </c>
      <c r="D1568" s="2">
        <v>556</v>
      </c>
      <c r="E1568" s="2">
        <v>16</v>
      </c>
      <c r="F1568" s="2">
        <v>32441</v>
      </c>
      <c r="G1568" s="2">
        <v>18.233475720000001</v>
      </c>
      <c r="H1568" s="3">
        <v>2.1699999999999999E-5</v>
      </c>
      <c r="I1568" s="2" t="s">
        <v>9682</v>
      </c>
      <c r="J1568" s="2" t="s">
        <v>9683</v>
      </c>
      <c r="K1568" s="2">
        <v>2.3574499999999999E-4</v>
      </c>
      <c r="L1568" s="2" t="s">
        <v>848</v>
      </c>
      <c r="M1568" s="4" t="s">
        <v>9684</v>
      </c>
    </row>
    <row r="1569" spans="1:13">
      <c r="A1569" s="2">
        <v>1544</v>
      </c>
      <c r="B1569" s="2" t="s">
        <v>9685</v>
      </c>
      <c r="C1569" s="2">
        <v>5</v>
      </c>
      <c r="D1569" s="2">
        <v>556</v>
      </c>
      <c r="E1569" s="2">
        <v>16</v>
      </c>
      <c r="F1569" s="2">
        <v>32441</v>
      </c>
      <c r="G1569" s="2">
        <v>18.233475720000001</v>
      </c>
      <c r="H1569" s="3">
        <v>2.1699999999999999E-5</v>
      </c>
      <c r="I1569" s="2" t="s">
        <v>9427</v>
      </c>
      <c r="J1569" s="2" t="s">
        <v>9428</v>
      </c>
      <c r="K1569" s="2">
        <v>2.3574499999999999E-4</v>
      </c>
      <c r="L1569" s="2" t="s">
        <v>848</v>
      </c>
      <c r="M1569" s="4" t="s">
        <v>9686</v>
      </c>
    </row>
    <row r="1570" spans="1:13">
      <c r="A1570" s="2">
        <v>17341</v>
      </c>
      <c r="B1570" s="2" t="s">
        <v>9687</v>
      </c>
      <c r="C1570" s="2">
        <v>5</v>
      </c>
      <c r="D1570" s="2">
        <v>556</v>
      </c>
      <c r="E1570" s="2">
        <v>16</v>
      </c>
      <c r="F1570" s="2">
        <v>32441</v>
      </c>
      <c r="G1570" s="2">
        <v>18.233475720000001</v>
      </c>
      <c r="H1570" s="3">
        <v>2.1699999999999999E-5</v>
      </c>
      <c r="I1570" s="2" t="s">
        <v>9688</v>
      </c>
      <c r="J1570" s="2" t="s">
        <v>9689</v>
      </c>
      <c r="K1570" s="2">
        <v>2.3574499999999999E-4</v>
      </c>
      <c r="L1570" s="2" t="s">
        <v>848</v>
      </c>
      <c r="M1570" s="4" t="s">
        <v>9690</v>
      </c>
    </row>
    <row r="1571" spans="1:13">
      <c r="A1571" s="2">
        <v>24801</v>
      </c>
      <c r="B1571" s="2" t="s">
        <v>9691</v>
      </c>
      <c r="C1571" s="2">
        <v>9</v>
      </c>
      <c r="D1571" s="2">
        <v>556</v>
      </c>
      <c r="E1571" s="2">
        <v>81</v>
      </c>
      <c r="F1571" s="2">
        <v>32441</v>
      </c>
      <c r="G1571" s="2">
        <v>6.4830135889999996</v>
      </c>
      <c r="H1571" s="3">
        <v>2.16E-5</v>
      </c>
      <c r="I1571" s="2" t="s">
        <v>9692</v>
      </c>
      <c r="J1571" s="2" t="s">
        <v>9693</v>
      </c>
      <c r="K1571" s="2">
        <v>2.3574499999999999E-4</v>
      </c>
      <c r="L1571" s="2" t="s">
        <v>848</v>
      </c>
      <c r="M1571" s="4" t="s">
        <v>9694</v>
      </c>
    </row>
    <row r="1572" spans="1:13">
      <c r="A1572" s="2">
        <v>3016</v>
      </c>
      <c r="B1572" s="2" t="s">
        <v>9695</v>
      </c>
      <c r="C1572" s="2">
        <v>5</v>
      </c>
      <c r="D1572" s="2">
        <v>556</v>
      </c>
      <c r="E1572" s="2">
        <v>16</v>
      </c>
      <c r="F1572" s="2">
        <v>32441</v>
      </c>
      <c r="G1572" s="2">
        <v>18.233475720000001</v>
      </c>
      <c r="H1572" s="3">
        <v>2.1699999999999999E-5</v>
      </c>
      <c r="I1572" s="2" t="s">
        <v>9696</v>
      </c>
      <c r="J1572" s="2" t="s">
        <v>9697</v>
      </c>
      <c r="K1572" s="2">
        <v>2.3574499999999999E-4</v>
      </c>
      <c r="L1572" s="2" t="s">
        <v>848</v>
      </c>
      <c r="M1572" s="4" t="s">
        <v>9698</v>
      </c>
    </row>
    <row r="1573" spans="1:13">
      <c r="A1573" s="2">
        <v>34821</v>
      </c>
      <c r="B1573" s="2" t="s">
        <v>9699</v>
      </c>
      <c r="C1573" s="2">
        <v>5</v>
      </c>
      <c r="D1573" s="2">
        <v>556</v>
      </c>
      <c r="E1573" s="2">
        <v>16</v>
      </c>
      <c r="F1573" s="2">
        <v>32441</v>
      </c>
      <c r="G1573" s="2">
        <v>18.233475720000001</v>
      </c>
      <c r="H1573" s="3">
        <v>2.1699999999999999E-5</v>
      </c>
      <c r="I1573" s="2" t="s">
        <v>9700</v>
      </c>
      <c r="J1573" s="2" t="s">
        <v>9701</v>
      </c>
      <c r="K1573" s="2">
        <v>2.3574499999999999E-4</v>
      </c>
      <c r="L1573" s="2" t="s">
        <v>848</v>
      </c>
      <c r="M1573" s="4" t="s">
        <v>9702</v>
      </c>
    </row>
    <row r="1574" spans="1:13">
      <c r="A1574" s="2">
        <v>3396</v>
      </c>
      <c r="B1574" s="2" t="s">
        <v>9703</v>
      </c>
      <c r="C1574" s="2">
        <v>12</v>
      </c>
      <c r="D1574" s="2">
        <v>556</v>
      </c>
      <c r="E1574" s="2">
        <v>151</v>
      </c>
      <c r="F1574" s="2">
        <v>32441</v>
      </c>
      <c r="G1574" s="2">
        <v>4.6368574010000003</v>
      </c>
      <c r="H1574" s="3">
        <v>2.26E-5</v>
      </c>
      <c r="I1574" s="2" t="s">
        <v>9704</v>
      </c>
      <c r="J1574" s="2" t="s">
        <v>9705</v>
      </c>
      <c r="K1574" s="2">
        <v>2.4459999999999998E-4</v>
      </c>
      <c r="L1574" s="2" t="s">
        <v>848</v>
      </c>
      <c r="M1574" s="4" t="s">
        <v>9706</v>
      </c>
    </row>
    <row r="1575" spans="1:13">
      <c r="A1575" s="2">
        <v>5293</v>
      </c>
      <c r="B1575" s="2" t="s">
        <v>9707</v>
      </c>
      <c r="C1575" s="2">
        <v>14</v>
      </c>
      <c r="D1575" s="2">
        <v>556</v>
      </c>
      <c r="E1575" s="2">
        <v>205</v>
      </c>
      <c r="F1575" s="2">
        <v>32441</v>
      </c>
      <c r="G1575" s="2">
        <v>3.9846815229999999</v>
      </c>
      <c r="H1575" s="3">
        <v>2.37E-5</v>
      </c>
      <c r="I1575" s="2" t="s">
        <v>9708</v>
      </c>
      <c r="J1575" s="2" t="s">
        <v>9709</v>
      </c>
      <c r="K1575" s="2">
        <v>2.5628499999999998E-4</v>
      </c>
      <c r="L1575" s="2" t="s">
        <v>848</v>
      </c>
      <c r="M1575" s="4" t="s">
        <v>9710</v>
      </c>
    </row>
    <row r="1576" spans="1:13">
      <c r="A1576" s="2">
        <v>3759</v>
      </c>
      <c r="B1576" s="2" t="s">
        <v>9711</v>
      </c>
      <c r="C1576" s="2">
        <v>7</v>
      </c>
      <c r="D1576" s="2">
        <v>556</v>
      </c>
      <c r="E1576" s="2">
        <v>45</v>
      </c>
      <c r="F1576" s="2">
        <v>32441</v>
      </c>
      <c r="G1576" s="2">
        <v>9.0762190250000003</v>
      </c>
      <c r="H1576" s="3">
        <v>2.58E-5</v>
      </c>
      <c r="I1576" s="2" t="s">
        <v>9712</v>
      </c>
      <c r="J1576" s="2" t="s">
        <v>9713</v>
      </c>
      <c r="K1576" s="2">
        <v>2.7826000000000001E-4</v>
      </c>
      <c r="L1576" s="2" t="s">
        <v>848</v>
      </c>
      <c r="M1576" s="4" t="s">
        <v>9714</v>
      </c>
    </row>
    <row r="1577" spans="1:13">
      <c r="A1577" s="2">
        <v>5603</v>
      </c>
      <c r="B1577" s="2" t="s">
        <v>9715</v>
      </c>
      <c r="C1577" s="2">
        <v>20</v>
      </c>
      <c r="D1577" s="2">
        <v>556</v>
      </c>
      <c r="E1577" s="2">
        <v>390</v>
      </c>
      <c r="F1577" s="2">
        <v>32441</v>
      </c>
      <c r="G1577" s="2">
        <v>2.9921601180000001</v>
      </c>
      <c r="H1577" s="3">
        <v>2.5999999999999998E-5</v>
      </c>
      <c r="I1577" s="2" t="s">
        <v>9716</v>
      </c>
      <c r="J1577" s="2" t="s">
        <v>9717</v>
      </c>
      <c r="K1577" s="2">
        <v>2.8001300000000002E-4</v>
      </c>
      <c r="L1577" s="2" t="s">
        <v>848</v>
      </c>
      <c r="M1577" s="4" t="s">
        <v>9718</v>
      </c>
    </row>
    <row r="1578" spans="1:13">
      <c r="A1578" s="2">
        <v>1728</v>
      </c>
      <c r="B1578" s="2" t="s">
        <v>9719</v>
      </c>
      <c r="C1578" s="2">
        <v>15</v>
      </c>
      <c r="D1578" s="2">
        <v>556</v>
      </c>
      <c r="E1578" s="2">
        <v>236</v>
      </c>
      <c r="F1578" s="2">
        <v>32441</v>
      </c>
      <c r="G1578" s="2">
        <v>3.7085035359999998</v>
      </c>
      <c r="H1578" s="3">
        <v>2.6999999999999999E-5</v>
      </c>
      <c r="I1578" s="2" t="s">
        <v>9720</v>
      </c>
      <c r="J1578" s="2" t="s">
        <v>9721</v>
      </c>
      <c r="K1578" s="2">
        <v>2.89948E-4</v>
      </c>
      <c r="L1578" s="2" t="s">
        <v>848</v>
      </c>
      <c r="M1578" s="4" t="s">
        <v>9722</v>
      </c>
    </row>
    <row r="1579" spans="1:13">
      <c r="A1579" s="2">
        <v>5808</v>
      </c>
      <c r="B1579" s="2" t="s">
        <v>9723</v>
      </c>
      <c r="C1579" s="2">
        <v>5</v>
      </c>
      <c r="D1579" s="2">
        <v>556</v>
      </c>
      <c r="E1579" s="2">
        <v>17</v>
      </c>
      <c r="F1579" s="2">
        <v>32441</v>
      </c>
      <c r="G1579" s="2">
        <v>17.16091832</v>
      </c>
      <c r="H1579" s="3">
        <v>2.7699999999999999E-5</v>
      </c>
      <c r="I1579" s="2" t="s">
        <v>9724</v>
      </c>
      <c r="J1579" s="2" t="s">
        <v>9725</v>
      </c>
      <c r="K1579" s="2">
        <v>2.9758600000000002E-4</v>
      </c>
      <c r="L1579" s="2" t="s">
        <v>848</v>
      </c>
      <c r="M1579" s="4" t="s">
        <v>9726</v>
      </c>
    </row>
    <row r="1580" spans="1:13">
      <c r="A1580" s="2">
        <v>1531</v>
      </c>
      <c r="B1580" s="2" t="s">
        <v>9727</v>
      </c>
      <c r="C1580" s="2">
        <v>12</v>
      </c>
      <c r="D1580" s="2">
        <v>556</v>
      </c>
      <c r="E1580" s="2">
        <v>156</v>
      </c>
      <c r="F1580" s="2">
        <v>32441</v>
      </c>
      <c r="G1580" s="2">
        <v>4.4882401769999998</v>
      </c>
      <c r="H1580" s="3">
        <v>3.0499999999999999E-5</v>
      </c>
      <c r="I1580" s="2" t="s">
        <v>9728</v>
      </c>
      <c r="J1580" s="2" t="s">
        <v>9729</v>
      </c>
      <c r="K1580" s="2">
        <v>3.2581599999999999E-4</v>
      </c>
      <c r="L1580" s="2" t="s">
        <v>848</v>
      </c>
      <c r="M1580" s="4" t="s">
        <v>9730</v>
      </c>
    </row>
    <row r="1581" spans="1:13">
      <c r="A1581" s="2">
        <v>4065</v>
      </c>
      <c r="B1581" s="2" t="s">
        <v>9731</v>
      </c>
      <c r="C1581" s="2">
        <v>14</v>
      </c>
      <c r="D1581" s="2">
        <v>556</v>
      </c>
      <c r="E1581" s="2">
        <v>210</v>
      </c>
      <c r="F1581" s="2">
        <v>32441</v>
      </c>
      <c r="G1581" s="2">
        <v>3.8898081530000002</v>
      </c>
      <c r="H1581" s="3">
        <v>3.04E-5</v>
      </c>
      <c r="I1581" s="2" t="s">
        <v>9732</v>
      </c>
      <c r="J1581" s="2" t="s">
        <v>9733</v>
      </c>
      <c r="K1581" s="2">
        <v>3.2581599999999999E-4</v>
      </c>
      <c r="L1581" s="2" t="s">
        <v>848</v>
      </c>
      <c r="M1581" s="4" t="s">
        <v>9734</v>
      </c>
    </row>
    <row r="1582" spans="1:13">
      <c r="A1582" s="2">
        <v>1667</v>
      </c>
      <c r="B1582" s="2" t="s">
        <v>9735</v>
      </c>
      <c r="C1582" s="2">
        <v>8</v>
      </c>
      <c r="D1582" s="2">
        <v>556</v>
      </c>
      <c r="E1582" s="2">
        <v>65</v>
      </c>
      <c r="F1582" s="2">
        <v>32441</v>
      </c>
      <c r="G1582" s="2">
        <v>7.1811842830000003</v>
      </c>
      <c r="H1582" s="3">
        <v>3.18E-5</v>
      </c>
      <c r="I1582" s="2" t="s">
        <v>9736</v>
      </c>
      <c r="J1582" s="2" t="s">
        <v>9737</v>
      </c>
      <c r="K1582" s="2">
        <v>3.3872699999999998E-4</v>
      </c>
      <c r="L1582" s="2" t="s">
        <v>848</v>
      </c>
      <c r="M1582" s="4" t="s">
        <v>9738</v>
      </c>
    </row>
    <row r="1583" spans="1:13">
      <c r="A1583" s="2">
        <v>3428</v>
      </c>
      <c r="B1583" s="2" t="s">
        <v>9739</v>
      </c>
      <c r="C1583" s="2">
        <v>8</v>
      </c>
      <c r="D1583" s="2">
        <v>556</v>
      </c>
      <c r="E1583" s="2">
        <v>65</v>
      </c>
      <c r="F1583" s="2">
        <v>32441</v>
      </c>
      <c r="G1583" s="2">
        <v>7.1811842830000003</v>
      </c>
      <c r="H1583" s="3">
        <v>3.18E-5</v>
      </c>
      <c r="I1583" s="2" t="s">
        <v>9505</v>
      </c>
      <c r="J1583" s="2" t="s">
        <v>9506</v>
      </c>
      <c r="K1583" s="2">
        <v>3.3872699999999998E-4</v>
      </c>
      <c r="L1583" s="2" t="s">
        <v>848</v>
      </c>
      <c r="M1583" s="4" t="s">
        <v>9740</v>
      </c>
    </row>
    <row r="1584" spans="1:13">
      <c r="A1584" s="2">
        <v>3601</v>
      </c>
      <c r="B1584" s="2" t="s">
        <v>9741</v>
      </c>
      <c r="C1584" s="2">
        <v>6</v>
      </c>
      <c r="D1584" s="2">
        <v>556</v>
      </c>
      <c r="E1584" s="2">
        <v>31</v>
      </c>
      <c r="F1584" s="2">
        <v>32441</v>
      </c>
      <c r="G1584" s="2">
        <v>11.292991410000001</v>
      </c>
      <c r="H1584" s="3">
        <v>3.3200000000000001E-5</v>
      </c>
      <c r="I1584" s="2" t="s">
        <v>9742</v>
      </c>
      <c r="J1584" s="2" t="s">
        <v>9743</v>
      </c>
      <c r="K1584" s="2">
        <v>3.5233399999999999E-4</v>
      </c>
      <c r="L1584" s="2" t="s">
        <v>848</v>
      </c>
      <c r="M1584" s="4" t="s">
        <v>9744</v>
      </c>
    </row>
    <row r="1585" spans="1:13">
      <c r="A1585" s="2">
        <v>546</v>
      </c>
      <c r="B1585" s="2" t="s">
        <v>9745</v>
      </c>
      <c r="C1585" s="2">
        <v>6</v>
      </c>
      <c r="D1585" s="2">
        <v>556</v>
      </c>
      <c r="E1585" s="2">
        <v>31</v>
      </c>
      <c r="F1585" s="2">
        <v>32441</v>
      </c>
      <c r="G1585" s="2">
        <v>11.292991410000001</v>
      </c>
      <c r="H1585" s="3">
        <v>3.3200000000000001E-5</v>
      </c>
      <c r="I1585" s="2" t="s">
        <v>9746</v>
      </c>
      <c r="J1585" s="2" t="s">
        <v>9747</v>
      </c>
      <c r="K1585" s="2">
        <v>3.5233399999999999E-4</v>
      </c>
      <c r="L1585" s="2" t="s">
        <v>848</v>
      </c>
      <c r="M1585" s="4" t="s">
        <v>9748</v>
      </c>
    </row>
    <row r="1586" spans="1:13">
      <c r="A1586" s="2">
        <v>1388</v>
      </c>
      <c r="B1586" s="2" t="s">
        <v>9749</v>
      </c>
      <c r="C1586" s="2">
        <v>7</v>
      </c>
      <c r="D1586" s="2">
        <v>556</v>
      </c>
      <c r="E1586" s="2">
        <v>47</v>
      </c>
      <c r="F1586" s="2">
        <v>32441</v>
      </c>
      <c r="G1586" s="2">
        <v>8.6899969390000003</v>
      </c>
      <c r="H1586" s="3">
        <v>3.3099999999999998E-5</v>
      </c>
      <c r="I1586" s="2" t="s">
        <v>9750</v>
      </c>
      <c r="J1586" s="2" t="s">
        <v>9751</v>
      </c>
      <c r="K1586" s="2">
        <v>3.5233399999999999E-4</v>
      </c>
      <c r="L1586" s="2" t="s">
        <v>848</v>
      </c>
      <c r="M1586" s="4" t="s">
        <v>9752</v>
      </c>
    </row>
    <row r="1587" spans="1:13">
      <c r="A1587" s="2">
        <v>4981</v>
      </c>
      <c r="B1587" s="2" t="s">
        <v>9753</v>
      </c>
      <c r="C1587" s="2">
        <v>22</v>
      </c>
      <c r="D1587" s="2">
        <v>556</v>
      </c>
      <c r="E1587" s="2">
        <v>465</v>
      </c>
      <c r="F1587" s="2">
        <v>32441</v>
      </c>
      <c r="G1587" s="2">
        <v>2.760509012</v>
      </c>
      <c r="H1587" s="3">
        <v>3.3500000000000001E-5</v>
      </c>
      <c r="I1587" s="2" t="s">
        <v>9754</v>
      </c>
      <c r="J1587" s="2" t="s">
        <v>9755</v>
      </c>
      <c r="K1587" s="2">
        <v>3.54342E-4</v>
      </c>
      <c r="L1587" s="2" t="s">
        <v>848</v>
      </c>
      <c r="M1587" s="4" t="s">
        <v>9756</v>
      </c>
    </row>
    <row r="1588" spans="1:13">
      <c r="A1588" s="2">
        <v>1111</v>
      </c>
      <c r="B1588" s="2" t="s">
        <v>9757</v>
      </c>
      <c r="C1588" s="2">
        <v>40</v>
      </c>
      <c r="D1588" s="2">
        <v>556</v>
      </c>
      <c r="E1588" s="2">
        <v>1152</v>
      </c>
      <c r="F1588" s="2">
        <v>32441</v>
      </c>
      <c r="G1588" s="2">
        <v>2.0259417470000001</v>
      </c>
      <c r="H1588" s="3">
        <v>3.3699999999999999E-5</v>
      </c>
      <c r="I1588" s="2" t="s">
        <v>9758</v>
      </c>
      <c r="J1588" s="2" t="s">
        <v>9759</v>
      </c>
      <c r="K1588" s="2">
        <v>3.5577500000000001E-4</v>
      </c>
      <c r="L1588" s="2" t="s">
        <v>848</v>
      </c>
      <c r="M1588" s="4" t="s">
        <v>9760</v>
      </c>
    </row>
    <row r="1589" spans="1:13">
      <c r="A1589" s="2">
        <v>2479</v>
      </c>
      <c r="B1589" s="2" t="s">
        <v>9761</v>
      </c>
      <c r="C1589" s="2">
        <v>5</v>
      </c>
      <c r="D1589" s="2">
        <v>556</v>
      </c>
      <c r="E1589" s="2">
        <v>18</v>
      </c>
      <c r="F1589" s="2">
        <v>32441</v>
      </c>
      <c r="G1589" s="2">
        <v>16.20753397</v>
      </c>
      <c r="H1589" s="3">
        <v>3.4900000000000001E-5</v>
      </c>
      <c r="I1589" s="2" t="s">
        <v>9762</v>
      </c>
      <c r="J1589" s="2" t="s">
        <v>9763</v>
      </c>
      <c r="K1589" s="2">
        <v>3.67652E-4</v>
      </c>
      <c r="L1589" s="2" t="s">
        <v>848</v>
      </c>
      <c r="M1589" s="4" t="s">
        <v>9764</v>
      </c>
    </row>
    <row r="1590" spans="1:13">
      <c r="A1590" s="2">
        <v>2500</v>
      </c>
      <c r="B1590" s="2" t="s">
        <v>9765</v>
      </c>
      <c r="C1590" s="2">
        <v>5</v>
      </c>
      <c r="D1590" s="2">
        <v>556</v>
      </c>
      <c r="E1590" s="2">
        <v>18</v>
      </c>
      <c r="F1590" s="2">
        <v>32441</v>
      </c>
      <c r="G1590" s="2">
        <v>16.20753397</v>
      </c>
      <c r="H1590" s="3">
        <v>3.4900000000000001E-5</v>
      </c>
      <c r="I1590" s="2" t="s">
        <v>9766</v>
      </c>
      <c r="J1590" s="2" t="s">
        <v>9767</v>
      </c>
      <c r="K1590" s="2">
        <v>3.67652E-4</v>
      </c>
      <c r="L1590" s="2" t="s">
        <v>848</v>
      </c>
      <c r="M1590" s="4" t="s">
        <v>9768</v>
      </c>
    </row>
    <row r="1591" spans="1:13">
      <c r="A1591" s="2">
        <v>2551</v>
      </c>
      <c r="B1591" s="2" t="s">
        <v>9769</v>
      </c>
      <c r="C1591" s="2">
        <v>8</v>
      </c>
      <c r="D1591" s="2">
        <v>556</v>
      </c>
      <c r="E1591" s="2">
        <v>66</v>
      </c>
      <c r="F1591" s="2">
        <v>32441</v>
      </c>
      <c r="G1591" s="2">
        <v>7.0723784609999996</v>
      </c>
      <c r="H1591" s="3">
        <v>3.5099999999999999E-5</v>
      </c>
      <c r="I1591" s="2" t="s">
        <v>9770</v>
      </c>
      <c r="J1591" s="2" t="s">
        <v>9771</v>
      </c>
      <c r="K1591" s="2">
        <v>3.68923E-4</v>
      </c>
      <c r="L1591" s="2" t="s">
        <v>848</v>
      </c>
      <c r="M1591" s="4" t="s">
        <v>9772</v>
      </c>
    </row>
    <row r="1592" spans="1:13">
      <c r="A1592" s="2">
        <v>3614</v>
      </c>
      <c r="B1592" s="2" t="s">
        <v>9773</v>
      </c>
      <c r="C1592" s="2">
        <v>12</v>
      </c>
      <c r="D1592" s="2">
        <v>556</v>
      </c>
      <c r="E1592" s="2">
        <v>159</v>
      </c>
      <c r="F1592" s="2">
        <v>32441</v>
      </c>
      <c r="G1592" s="2">
        <v>4.4035564000000003</v>
      </c>
      <c r="H1592" s="3">
        <v>3.6199999999999999E-5</v>
      </c>
      <c r="I1592" s="2" t="s">
        <v>9774</v>
      </c>
      <c r="J1592" s="2" t="s">
        <v>9775</v>
      </c>
      <c r="K1592" s="2">
        <v>3.8024499999999998E-4</v>
      </c>
      <c r="L1592" s="2" t="s">
        <v>848</v>
      </c>
      <c r="M1592" s="4" t="s">
        <v>9776</v>
      </c>
    </row>
    <row r="1593" spans="1:13">
      <c r="A1593" s="2">
        <v>1344</v>
      </c>
      <c r="B1593" s="2" t="s">
        <v>9777</v>
      </c>
      <c r="C1593" s="2">
        <v>47</v>
      </c>
      <c r="D1593" s="2">
        <v>556</v>
      </c>
      <c r="E1593" s="2">
        <v>1450</v>
      </c>
      <c r="F1593" s="2">
        <v>32441</v>
      </c>
      <c r="G1593" s="2">
        <v>1.89125155</v>
      </c>
      <c r="H1593" s="3">
        <v>3.65E-5</v>
      </c>
      <c r="I1593" s="2" t="s">
        <v>9778</v>
      </c>
      <c r="J1593" s="2" t="s">
        <v>9779</v>
      </c>
      <c r="K1593" s="2">
        <v>3.82708E-4</v>
      </c>
      <c r="L1593" s="2" t="s">
        <v>848</v>
      </c>
      <c r="M1593" s="4" t="s">
        <v>9780</v>
      </c>
    </row>
    <row r="1594" spans="1:13">
      <c r="A1594" s="2">
        <v>1850</v>
      </c>
      <c r="B1594" s="2" t="s">
        <v>9781</v>
      </c>
      <c r="C1594" s="2">
        <v>7</v>
      </c>
      <c r="D1594" s="2">
        <v>556</v>
      </c>
      <c r="E1594" s="2">
        <v>48</v>
      </c>
      <c r="F1594" s="2">
        <v>32441</v>
      </c>
      <c r="G1594" s="2">
        <v>8.5089553359999996</v>
      </c>
      <c r="H1594" s="3">
        <v>3.7400000000000001E-5</v>
      </c>
      <c r="I1594" s="2" t="s">
        <v>9782</v>
      </c>
      <c r="J1594" s="2" t="s">
        <v>9783</v>
      </c>
      <c r="K1594" s="2">
        <v>3.9054299999999998E-4</v>
      </c>
      <c r="L1594" s="2" t="s">
        <v>848</v>
      </c>
      <c r="M1594" s="4" t="s">
        <v>9784</v>
      </c>
    </row>
    <row r="1595" spans="1:13">
      <c r="A1595" s="2">
        <v>2475</v>
      </c>
      <c r="B1595" s="2" t="s">
        <v>9785</v>
      </c>
      <c r="C1595" s="2">
        <v>7</v>
      </c>
      <c r="D1595" s="2">
        <v>556</v>
      </c>
      <c r="E1595" s="2">
        <v>48</v>
      </c>
      <c r="F1595" s="2">
        <v>32441</v>
      </c>
      <c r="G1595" s="2">
        <v>8.5089553359999996</v>
      </c>
      <c r="H1595" s="3">
        <v>3.7400000000000001E-5</v>
      </c>
      <c r="I1595" s="2" t="s">
        <v>9786</v>
      </c>
      <c r="J1595" s="2" t="s">
        <v>9787</v>
      </c>
      <c r="K1595" s="2">
        <v>3.9054299999999998E-4</v>
      </c>
      <c r="L1595" s="2" t="s">
        <v>848</v>
      </c>
      <c r="M1595" s="4" t="s">
        <v>9788</v>
      </c>
    </row>
    <row r="1596" spans="1:13">
      <c r="A1596" s="2">
        <v>1062</v>
      </c>
      <c r="B1596" s="2" t="s">
        <v>9789</v>
      </c>
      <c r="C1596" s="2">
        <v>11</v>
      </c>
      <c r="D1596" s="2">
        <v>556</v>
      </c>
      <c r="E1596" s="2">
        <v>135</v>
      </c>
      <c r="F1596" s="2">
        <v>32441</v>
      </c>
      <c r="G1596" s="2">
        <v>4.7542099650000003</v>
      </c>
      <c r="H1596" s="3">
        <v>3.9799999999999998E-5</v>
      </c>
      <c r="I1596" s="2" t="s">
        <v>9790</v>
      </c>
      <c r="J1596" s="2" t="s">
        <v>9791</v>
      </c>
      <c r="K1596" s="2">
        <v>4.1459100000000002E-4</v>
      </c>
      <c r="L1596" s="2" t="s">
        <v>848</v>
      </c>
      <c r="M1596" s="4" t="s">
        <v>9792</v>
      </c>
    </row>
    <row r="1597" spans="1:13">
      <c r="A1597" s="2">
        <v>4110</v>
      </c>
      <c r="B1597" s="2" t="s">
        <v>9793</v>
      </c>
      <c r="C1597" s="2">
        <v>10</v>
      </c>
      <c r="D1597" s="2">
        <v>556</v>
      </c>
      <c r="E1597" s="2">
        <v>111</v>
      </c>
      <c r="F1597" s="2">
        <v>32441</v>
      </c>
      <c r="G1597" s="2">
        <v>5.2564975049999996</v>
      </c>
      <c r="H1597" s="3">
        <v>4.0500000000000002E-5</v>
      </c>
      <c r="I1597" s="2" t="s">
        <v>9794</v>
      </c>
      <c r="J1597" s="2" t="s">
        <v>9795</v>
      </c>
      <c r="K1597" s="2">
        <v>4.2073099999999998E-4</v>
      </c>
      <c r="L1597" s="2" t="s">
        <v>848</v>
      </c>
      <c r="M1597" s="4" t="s">
        <v>9796</v>
      </c>
    </row>
    <row r="1598" spans="1:13">
      <c r="A1598" s="2">
        <v>3723</v>
      </c>
      <c r="B1598" s="2" t="s">
        <v>9797</v>
      </c>
      <c r="C1598" s="2">
        <v>20</v>
      </c>
      <c r="D1598" s="2">
        <v>556</v>
      </c>
      <c r="E1598" s="2">
        <v>404</v>
      </c>
      <c r="F1598" s="2">
        <v>32441</v>
      </c>
      <c r="G1598" s="2">
        <v>2.8884714009999999</v>
      </c>
      <c r="H1598" s="3">
        <v>4.1600000000000002E-5</v>
      </c>
      <c r="I1598" s="2" t="s">
        <v>9798</v>
      </c>
      <c r="J1598" s="2" t="s">
        <v>9799</v>
      </c>
      <c r="K1598" s="2">
        <v>4.3179699999999999E-4</v>
      </c>
      <c r="L1598" s="2" t="s">
        <v>848</v>
      </c>
      <c r="M1598" s="4" t="s">
        <v>9800</v>
      </c>
    </row>
    <row r="1599" spans="1:13">
      <c r="A1599" s="2">
        <v>1190</v>
      </c>
      <c r="B1599" s="2" t="s">
        <v>9801</v>
      </c>
      <c r="C1599" s="2">
        <v>7</v>
      </c>
      <c r="D1599" s="2">
        <v>556</v>
      </c>
      <c r="E1599" s="2">
        <v>49</v>
      </c>
      <c r="F1599" s="2">
        <v>32441</v>
      </c>
      <c r="G1599" s="2">
        <v>8.3353031860000009</v>
      </c>
      <c r="H1599" s="3">
        <v>4.2200000000000003E-5</v>
      </c>
      <c r="I1599" s="2" t="s">
        <v>9802</v>
      </c>
      <c r="J1599" s="2" t="s">
        <v>9803</v>
      </c>
      <c r="K1599" s="2">
        <v>4.3682399999999999E-4</v>
      </c>
      <c r="L1599" s="2" t="s">
        <v>848</v>
      </c>
      <c r="M1599" s="4" t="s">
        <v>9804</v>
      </c>
    </row>
    <row r="1600" spans="1:13">
      <c r="A1600" s="2">
        <v>1723</v>
      </c>
      <c r="B1600" s="2" t="s">
        <v>9805</v>
      </c>
      <c r="C1600" s="2">
        <v>8</v>
      </c>
      <c r="D1600" s="2">
        <v>556</v>
      </c>
      <c r="E1600" s="2">
        <v>68</v>
      </c>
      <c r="F1600" s="2">
        <v>32441</v>
      </c>
      <c r="G1600" s="2">
        <v>6.8643673300000003</v>
      </c>
      <c r="H1600" s="3">
        <v>4.2599999999999999E-5</v>
      </c>
      <c r="I1600" s="2" t="s">
        <v>9806</v>
      </c>
      <c r="J1600" s="2" t="s">
        <v>9807</v>
      </c>
      <c r="K1600" s="2">
        <v>4.41135E-4</v>
      </c>
      <c r="L1600" s="2" t="s">
        <v>848</v>
      </c>
      <c r="M1600" s="4" t="s">
        <v>9808</v>
      </c>
    </row>
    <row r="1601" spans="1:13">
      <c r="A1601" s="2">
        <v>312</v>
      </c>
      <c r="B1601" s="2" t="s">
        <v>9809</v>
      </c>
      <c r="C1601" s="2">
        <v>5</v>
      </c>
      <c r="D1601" s="2">
        <v>556</v>
      </c>
      <c r="E1601" s="2">
        <v>19</v>
      </c>
      <c r="F1601" s="2">
        <v>32441</v>
      </c>
      <c r="G1601" s="2">
        <v>15.354505870000001</v>
      </c>
      <c r="H1601" s="3">
        <v>4.35E-5</v>
      </c>
      <c r="I1601" s="2" t="s">
        <v>9810</v>
      </c>
      <c r="J1601" s="2" t="s">
        <v>9811</v>
      </c>
      <c r="K1601" s="2">
        <v>4.4841E-4</v>
      </c>
      <c r="L1601" s="2" t="s">
        <v>848</v>
      </c>
      <c r="M1601" s="4" t="s">
        <v>9812</v>
      </c>
    </row>
    <row r="1602" spans="1:13">
      <c r="A1602" s="2">
        <v>3936</v>
      </c>
      <c r="B1602" s="2" t="s">
        <v>9813</v>
      </c>
      <c r="C1602" s="2">
        <v>5</v>
      </c>
      <c r="D1602" s="2">
        <v>556</v>
      </c>
      <c r="E1602" s="2">
        <v>19</v>
      </c>
      <c r="F1602" s="2">
        <v>32441</v>
      </c>
      <c r="G1602" s="2">
        <v>15.354505870000001</v>
      </c>
      <c r="H1602" s="3">
        <v>4.35E-5</v>
      </c>
      <c r="I1602" s="2" t="s">
        <v>9814</v>
      </c>
      <c r="J1602" s="2" t="s">
        <v>9815</v>
      </c>
      <c r="K1602" s="2">
        <v>4.4841E-4</v>
      </c>
      <c r="L1602" s="2" t="s">
        <v>848</v>
      </c>
      <c r="M1602" s="4" t="s">
        <v>9816</v>
      </c>
    </row>
    <row r="1603" spans="1:13">
      <c r="A1603" s="2">
        <v>1587</v>
      </c>
      <c r="B1603" s="2" t="s">
        <v>9817</v>
      </c>
      <c r="C1603" s="2">
        <v>6</v>
      </c>
      <c r="D1603" s="2">
        <v>556</v>
      </c>
      <c r="E1603" s="2">
        <v>33</v>
      </c>
      <c r="F1603" s="2">
        <v>32441</v>
      </c>
      <c r="G1603" s="2">
        <v>10.608567689999999</v>
      </c>
      <c r="H1603" s="3">
        <v>4.5300000000000003E-5</v>
      </c>
      <c r="I1603" s="2" t="s">
        <v>9818</v>
      </c>
      <c r="J1603" s="2" t="s">
        <v>9819</v>
      </c>
      <c r="K1603" s="2">
        <v>4.6635699999999998E-4</v>
      </c>
      <c r="L1603" s="2" t="s">
        <v>848</v>
      </c>
      <c r="M1603" s="4" t="s">
        <v>9820</v>
      </c>
    </row>
    <row r="1604" spans="1:13">
      <c r="A1604" s="2">
        <v>1204</v>
      </c>
      <c r="B1604" s="2" t="s">
        <v>9821</v>
      </c>
      <c r="C1604" s="2">
        <v>17</v>
      </c>
      <c r="D1604" s="2">
        <v>556</v>
      </c>
      <c r="E1604" s="2">
        <v>312</v>
      </c>
      <c r="F1604" s="2">
        <v>32441</v>
      </c>
      <c r="G1604" s="2">
        <v>3.1791701250000002</v>
      </c>
      <c r="H1604" s="3">
        <v>5.1E-5</v>
      </c>
      <c r="I1604" s="2" t="s">
        <v>9822</v>
      </c>
      <c r="J1604" s="2" t="s">
        <v>9823</v>
      </c>
      <c r="K1604" s="2">
        <v>5.2355499999999998E-4</v>
      </c>
      <c r="L1604" s="2" t="s">
        <v>848</v>
      </c>
      <c r="M1604" s="4" t="s">
        <v>9824</v>
      </c>
    </row>
    <row r="1605" spans="1:13">
      <c r="A1605" s="2">
        <v>5587</v>
      </c>
      <c r="B1605" s="2" t="s">
        <v>9825</v>
      </c>
      <c r="C1605" s="2">
        <v>8</v>
      </c>
      <c r="D1605" s="2">
        <v>556</v>
      </c>
      <c r="E1605" s="2">
        <v>70</v>
      </c>
      <c r="F1605" s="2">
        <v>32441</v>
      </c>
      <c r="G1605" s="2">
        <v>6.6682425490000004</v>
      </c>
      <c r="H1605" s="3">
        <v>5.1499999999999998E-5</v>
      </c>
      <c r="I1605" s="2" t="s">
        <v>9826</v>
      </c>
      <c r="J1605" s="2" t="s">
        <v>9827</v>
      </c>
      <c r="K1605" s="2">
        <v>5.2804000000000002E-4</v>
      </c>
      <c r="L1605" s="2" t="s">
        <v>848</v>
      </c>
      <c r="M1605" s="4" t="s">
        <v>9828</v>
      </c>
    </row>
    <row r="1606" spans="1:13">
      <c r="A1606" s="2">
        <v>219</v>
      </c>
      <c r="B1606" s="2" t="s">
        <v>9829</v>
      </c>
      <c r="C1606" s="2">
        <v>13</v>
      </c>
      <c r="D1606" s="2">
        <v>556</v>
      </c>
      <c r="E1606" s="2">
        <v>193</v>
      </c>
      <c r="F1606" s="2">
        <v>32441</v>
      </c>
      <c r="G1606" s="2">
        <v>3.9301170459999999</v>
      </c>
      <c r="H1606" s="3">
        <v>5.2500000000000002E-5</v>
      </c>
      <c r="I1606" s="2" t="s">
        <v>9830</v>
      </c>
      <c r="J1606" s="2" t="s">
        <v>9831</v>
      </c>
      <c r="K1606" s="2">
        <v>5.3743400000000005E-4</v>
      </c>
      <c r="L1606" s="2" t="s">
        <v>848</v>
      </c>
      <c r="M1606" s="4" t="s">
        <v>9832</v>
      </c>
    </row>
    <row r="1607" spans="1:13">
      <c r="A1607" s="2">
        <v>750</v>
      </c>
      <c r="B1607" s="2" t="s">
        <v>9833</v>
      </c>
      <c r="C1607" s="2">
        <v>16</v>
      </c>
      <c r="D1607" s="2">
        <v>556</v>
      </c>
      <c r="E1607" s="2">
        <v>282</v>
      </c>
      <c r="F1607" s="2">
        <v>32441</v>
      </c>
      <c r="G1607" s="2">
        <v>3.310475024</v>
      </c>
      <c r="H1607" s="3">
        <v>5.3600000000000002E-5</v>
      </c>
      <c r="I1607" s="2" t="s">
        <v>9834</v>
      </c>
      <c r="J1607" s="2" t="s">
        <v>9835</v>
      </c>
      <c r="K1607" s="2">
        <v>5.4704999999999999E-4</v>
      </c>
      <c r="L1607" s="2" t="s">
        <v>848</v>
      </c>
      <c r="M1607" s="4" t="s">
        <v>9836</v>
      </c>
    </row>
    <row r="1608" spans="1:13">
      <c r="A1608" s="2">
        <v>3194</v>
      </c>
      <c r="B1608" s="2" t="s">
        <v>9837</v>
      </c>
      <c r="C1608" s="2">
        <v>5</v>
      </c>
      <c r="D1608" s="2">
        <v>556</v>
      </c>
      <c r="E1608" s="2">
        <v>20</v>
      </c>
      <c r="F1608" s="2">
        <v>32441</v>
      </c>
      <c r="G1608" s="2">
        <v>14.586780579999999</v>
      </c>
      <c r="H1608" s="3">
        <v>5.3600000000000002E-5</v>
      </c>
      <c r="I1608" s="2" t="s">
        <v>9838</v>
      </c>
      <c r="J1608" s="2" t="s">
        <v>9839</v>
      </c>
      <c r="K1608" s="2">
        <v>5.4704999999999999E-4</v>
      </c>
      <c r="L1608" s="2" t="s">
        <v>848</v>
      </c>
      <c r="M1608" s="4" t="s">
        <v>9840</v>
      </c>
    </row>
    <row r="1609" spans="1:13">
      <c r="A1609" s="2">
        <v>5871</v>
      </c>
      <c r="B1609" s="2" t="s">
        <v>9841</v>
      </c>
      <c r="C1609" s="2">
        <v>9</v>
      </c>
      <c r="D1609" s="2">
        <v>556</v>
      </c>
      <c r="E1609" s="2">
        <v>94</v>
      </c>
      <c r="F1609" s="2">
        <v>32441</v>
      </c>
      <c r="G1609" s="2">
        <v>5.5864266029999996</v>
      </c>
      <c r="H1609" s="3">
        <v>6.3299999999999994E-5</v>
      </c>
      <c r="I1609" s="2" t="s">
        <v>9842</v>
      </c>
      <c r="J1609" s="2" t="s">
        <v>9843</v>
      </c>
      <c r="K1609" s="2">
        <v>6.4459200000000004E-4</v>
      </c>
      <c r="L1609" s="2" t="s">
        <v>848</v>
      </c>
      <c r="M1609" s="4" t="s">
        <v>9844</v>
      </c>
    </row>
    <row r="1610" spans="1:13">
      <c r="A1610" s="2">
        <v>1727</v>
      </c>
      <c r="B1610" s="2" t="s">
        <v>9845</v>
      </c>
      <c r="C1610" s="2">
        <v>15</v>
      </c>
      <c r="D1610" s="2">
        <v>556</v>
      </c>
      <c r="E1610" s="2">
        <v>256</v>
      </c>
      <c r="F1610" s="2">
        <v>32441</v>
      </c>
      <c r="G1610" s="2">
        <v>3.4187766970000002</v>
      </c>
      <c r="H1610" s="3">
        <v>6.4700000000000001E-5</v>
      </c>
      <c r="I1610" s="2" t="s">
        <v>9846</v>
      </c>
      <c r="J1610" s="2" t="s">
        <v>9847</v>
      </c>
      <c r="K1610" s="2">
        <v>6.5786299999999996E-4</v>
      </c>
      <c r="L1610" s="2" t="s">
        <v>848</v>
      </c>
      <c r="M1610" s="4" t="s">
        <v>9848</v>
      </c>
    </row>
    <row r="1611" spans="1:13">
      <c r="A1611" s="2">
        <v>235</v>
      </c>
      <c r="B1611" s="2" t="s">
        <v>9849</v>
      </c>
      <c r="C1611" s="2">
        <v>5</v>
      </c>
      <c r="D1611" s="2">
        <v>556</v>
      </c>
      <c r="E1611" s="2">
        <v>21</v>
      </c>
      <c r="F1611" s="2">
        <v>32441</v>
      </c>
      <c r="G1611" s="2">
        <v>13.892171980000001</v>
      </c>
      <c r="H1611" s="3">
        <v>6.5500000000000006E-5</v>
      </c>
      <c r="I1611" s="2" t="s">
        <v>9850</v>
      </c>
      <c r="J1611" s="2" t="s">
        <v>9851</v>
      </c>
      <c r="K1611" s="2">
        <v>6.5998200000000004E-4</v>
      </c>
      <c r="L1611" s="2" t="s">
        <v>848</v>
      </c>
      <c r="M1611" s="4" t="s">
        <v>9852</v>
      </c>
    </row>
    <row r="1612" spans="1:13">
      <c r="A1612" s="2">
        <v>14411</v>
      </c>
      <c r="B1612" s="2" t="s">
        <v>9853</v>
      </c>
      <c r="C1612" s="2">
        <v>5</v>
      </c>
      <c r="D1612" s="2">
        <v>556</v>
      </c>
      <c r="E1612" s="2">
        <v>21</v>
      </c>
      <c r="F1612" s="2">
        <v>32441</v>
      </c>
      <c r="G1612" s="2">
        <v>13.892171980000001</v>
      </c>
      <c r="H1612" s="3">
        <v>6.5500000000000006E-5</v>
      </c>
      <c r="I1612" s="2" t="s">
        <v>9854</v>
      </c>
      <c r="J1612" s="2" t="s">
        <v>9855</v>
      </c>
      <c r="K1612" s="2">
        <v>6.5998200000000004E-4</v>
      </c>
      <c r="L1612" s="2" t="s">
        <v>848</v>
      </c>
      <c r="M1612" s="4" t="s">
        <v>9856</v>
      </c>
    </row>
    <row r="1613" spans="1:13">
      <c r="A1613" s="2">
        <v>2139</v>
      </c>
      <c r="B1613" s="2" t="s">
        <v>9857</v>
      </c>
      <c r="C1613" s="2">
        <v>5</v>
      </c>
      <c r="D1613" s="2">
        <v>556</v>
      </c>
      <c r="E1613" s="2">
        <v>21</v>
      </c>
      <c r="F1613" s="2">
        <v>32441</v>
      </c>
      <c r="G1613" s="2">
        <v>13.892171980000001</v>
      </c>
      <c r="H1613" s="3">
        <v>6.5500000000000006E-5</v>
      </c>
      <c r="I1613" s="2" t="s">
        <v>9858</v>
      </c>
      <c r="J1613" s="2" t="s">
        <v>9859</v>
      </c>
      <c r="K1613" s="2">
        <v>6.5998200000000004E-4</v>
      </c>
      <c r="L1613" s="2" t="s">
        <v>848</v>
      </c>
      <c r="M1613" s="4" t="s">
        <v>9860</v>
      </c>
    </row>
    <row r="1614" spans="1:13">
      <c r="A1614" s="2">
        <v>2307</v>
      </c>
      <c r="B1614" s="2" t="s">
        <v>9861</v>
      </c>
      <c r="C1614" s="2">
        <v>5</v>
      </c>
      <c r="D1614" s="2">
        <v>556</v>
      </c>
      <c r="E1614" s="2">
        <v>21</v>
      </c>
      <c r="F1614" s="2">
        <v>32441</v>
      </c>
      <c r="G1614" s="2">
        <v>13.892171980000001</v>
      </c>
      <c r="H1614" s="3">
        <v>6.5500000000000006E-5</v>
      </c>
      <c r="I1614" s="2" t="s">
        <v>9862</v>
      </c>
      <c r="J1614" s="2" t="s">
        <v>9863</v>
      </c>
      <c r="K1614" s="2">
        <v>6.5998200000000004E-4</v>
      </c>
      <c r="L1614" s="2" t="s">
        <v>848</v>
      </c>
      <c r="M1614" s="4" t="s">
        <v>9864</v>
      </c>
    </row>
    <row r="1615" spans="1:13">
      <c r="A1615" s="2">
        <v>2453</v>
      </c>
      <c r="B1615" s="2" t="s">
        <v>9865</v>
      </c>
      <c r="C1615" s="2">
        <v>10</v>
      </c>
      <c r="D1615" s="2">
        <v>556</v>
      </c>
      <c r="E1615" s="2">
        <v>118</v>
      </c>
      <c r="F1615" s="2">
        <v>32441</v>
      </c>
      <c r="G1615" s="2">
        <v>4.9446713820000001</v>
      </c>
      <c r="H1615" s="3">
        <v>6.5300000000000002E-5</v>
      </c>
      <c r="I1615" s="2" t="s">
        <v>9866</v>
      </c>
      <c r="J1615" s="2" t="s">
        <v>9867</v>
      </c>
      <c r="K1615" s="2">
        <v>6.5998200000000004E-4</v>
      </c>
      <c r="L1615" s="2" t="s">
        <v>848</v>
      </c>
      <c r="M1615" s="4" t="s">
        <v>9868</v>
      </c>
    </row>
    <row r="1616" spans="1:13">
      <c r="A1616" s="2">
        <v>1749</v>
      </c>
      <c r="B1616" s="2" t="s">
        <v>9869</v>
      </c>
      <c r="C1616" s="2">
        <v>7</v>
      </c>
      <c r="D1616" s="2">
        <v>556</v>
      </c>
      <c r="E1616" s="2">
        <v>53</v>
      </c>
      <c r="F1616" s="2">
        <v>32441</v>
      </c>
      <c r="G1616" s="2">
        <v>7.7062236999999998</v>
      </c>
      <c r="H1616" s="3">
        <v>6.6199999999999996E-5</v>
      </c>
      <c r="I1616" s="2" t="s">
        <v>9870</v>
      </c>
      <c r="J1616" s="2" t="s">
        <v>9871</v>
      </c>
      <c r="K1616" s="2">
        <v>6.6659200000000003E-4</v>
      </c>
      <c r="L1616" s="2" t="s">
        <v>848</v>
      </c>
      <c r="M1616" s="4" t="s">
        <v>9872</v>
      </c>
    </row>
    <row r="1617" spans="1:13">
      <c r="A1617" s="2">
        <v>1600</v>
      </c>
      <c r="B1617" s="2" t="s">
        <v>9873</v>
      </c>
      <c r="C1617" s="2">
        <v>9</v>
      </c>
      <c r="D1617" s="2">
        <v>556</v>
      </c>
      <c r="E1617" s="2">
        <v>95</v>
      </c>
      <c r="F1617" s="2">
        <v>32441</v>
      </c>
      <c r="G1617" s="2">
        <v>5.5276221129999996</v>
      </c>
      <c r="H1617" s="3">
        <v>6.8300000000000007E-5</v>
      </c>
      <c r="I1617" s="2" t="s">
        <v>9874</v>
      </c>
      <c r="J1617" s="2" t="s">
        <v>9875</v>
      </c>
      <c r="K1617" s="2">
        <v>6.8582699999999996E-4</v>
      </c>
      <c r="L1617" s="2" t="s">
        <v>848</v>
      </c>
      <c r="M1617" s="4" t="s">
        <v>9876</v>
      </c>
    </row>
    <row r="1618" spans="1:13">
      <c r="A1618" s="2">
        <v>36551</v>
      </c>
      <c r="B1618" s="2" t="s">
        <v>9877</v>
      </c>
      <c r="C1618" s="2">
        <v>11</v>
      </c>
      <c r="D1618" s="2">
        <v>556</v>
      </c>
      <c r="E1618" s="2">
        <v>144</v>
      </c>
      <c r="F1618" s="2">
        <v>32441</v>
      </c>
      <c r="G1618" s="2">
        <v>4.4570718429999996</v>
      </c>
      <c r="H1618" s="3">
        <v>6.8700000000000003E-5</v>
      </c>
      <c r="I1618" s="2" t="s">
        <v>9878</v>
      </c>
      <c r="J1618" s="2" t="s">
        <v>9879</v>
      </c>
      <c r="K1618" s="2">
        <v>6.8867400000000001E-4</v>
      </c>
      <c r="L1618" s="2" t="s">
        <v>848</v>
      </c>
      <c r="M1618" s="4" t="s">
        <v>9880</v>
      </c>
    </row>
    <row r="1619" spans="1:13">
      <c r="A1619" s="2">
        <v>8171</v>
      </c>
      <c r="B1619" s="2" t="s">
        <v>9881</v>
      </c>
      <c r="C1619" s="2">
        <v>34</v>
      </c>
      <c r="D1619" s="2">
        <v>556</v>
      </c>
      <c r="E1619" s="2">
        <v>946</v>
      </c>
      <c r="F1619" s="2">
        <v>32441</v>
      </c>
      <c r="G1619" s="2">
        <v>2.0970424510000001</v>
      </c>
      <c r="H1619" s="3">
        <v>6.9200000000000002E-5</v>
      </c>
      <c r="I1619" s="2" t="s">
        <v>9247</v>
      </c>
      <c r="J1619" s="2" t="s">
        <v>9248</v>
      </c>
      <c r="K1619" s="2">
        <v>6.9271600000000001E-4</v>
      </c>
      <c r="L1619" s="2" t="s">
        <v>848</v>
      </c>
      <c r="M1619" s="4" t="s">
        <v>9882</v>
      </c>
    </row>
    <row r="1620" spans="1:13">
      <c r="A1620" s="2">
        <v>2215</v>
      </c>
      <c r="B1620" s="2" t="s">
        <v>9883</v>
      </c>
      <c r="C1620" s="2">
        <v>16</v>
      </c>
      <c r="D1620" s="2">
        <v>556</v>
      </c>
      <c r="E1620" s="2">
        <v>289</v>
      </c>
      <c r="F1620" s="2">
        <v>32441</v>
      </c>
      <c r="G1620" s="2">
        <v>3.2302905079999999</v>
      </c>
      <c r="H1620" s="3">
        <v>7.0500000000000006E-5</v>
      </c>
      <c r="I1620" s="2" t="s">
        <v>9884</v>
      </c>
      <c r="J1620" s="2" t="s">
        <v>9885</v>
      </c>
      <c r="K1620" s="2">
        <v>7.0301599999999999E-4</v>
      </c>
      <c r="L1620" s="2" t="s">
        <v>848</v>
      </c>
      <c r="M1620" s="4" t="s">
        <v>9886</v>
      </c>
    </row>
    <row r="1621" spans="1:13">
      <c r="A1621" s="2">
        <v>26911</v>
      </c>
      <c r="B1621" s="2" t="s">
        <v>9887</v>
      </c>
      <c r="C1621" s="2">
        <v>13</v>
      </c>
      <c r="D1621" s="2">
        <v>556</v>
      </c>
      <c r="E1621" s="2">
        <v>199</v>
      </c>
      <c r="F1621" s="2">
        <v>32441</v>
      </c>
      <c r="G1621" s="2">
        <v>3.8116210549999998</v>
      </c>
      <c r="H1621" s="3">
        <v>7.0400000000000004E-5</v>
      </c>
      <c r="I1621" s="2" t="s">
        <v>9888</v>
      </c>
      <c r="J1621" s="2" t="s">
        <v>9889</v>
      </c>
      <c r="K1621" s="2">
        <v>7.0301599999999999E-4</v>
      </c>
      <c r="L1621" s="2" t="s">
        <v>848</v>
      </c>
      <c r="M1621" s="4" t="s">
        <v>9890</v>
      </c>
    </row>
    <row r="1622" spans="1:13">
      <c r="A1622" s="2">
        <v>2411</v>
      </c>
      <c r="B1622" s="2" t="s">
        <v>877</v>
      </c>
      <c r="C1622" s="2">
        <v>16</v>
      </c>
      <c r="D1622" s="2">
        <v>556</v>
      </c>
      <c r="E1622" s="2">
        <v>290</v>
      </c>
      <c r="F1622" s="2">
        <v>32441</v>
      </c>
      <c r="G1622" s="2">
        <v>3.2191515750000002</v>
      </c>
      <c r="H1622" s="3">
        <v>7.3200000000000004E-5</v>
      </c>
      <c r="I1622" s="2" t="s">
        <v>9891</v>
      </c>
      <c r="J1622" s="2" t="s">
        <v>9892</v>
      </c>
      <c r="K1622" s="2">
        <v>7.2928100000000003E-4</v>
      </c>
      <c r="L1622" s="2" t="s">
        <v>848</v>
      </c>
      <c r="M1622" s="4" t="s">
        <v>9893</v>
      </c>
    </row>
    <row r="1623" spans="1:13">
      <c r="A1623" s="2">
        <v>5722</v>
      </c>
      <c r="B1623" s="2" t="s">
        <v>9894</v>
      </c>
      <c r="C1623" s="2">
        <v>8</v>
      </c>
      <c r="D1623" s="2">
        <v>556</v>
      </c>
      <c r="E1623" s="2">
        <v>74</v>
      </c>
      <c r="F1623" s="2">
        <v>32441</v>
      </c>
      <c r="G1623" s="2">
        <v>6.3077970060000004</v>
      </c>
      <c r="H1623" s="3">
        <v>7.3800000000000005E-5</v>
      </c>
      <c r="I1623" s="2" t="s">
        <v>9895</v>
      </c>
      <c r="J1623" s="2" t="s">
        <v>9896</v>
      </c>
      <c r="K1623" s="2">
        <v>7.3398099999999998E-4</v>
      </c>
      <c r="L1623" s="2" t="s">
        <v>848</v>
      </c>
      <c r="M1623" s="4" t="s">
        <v>9897</v>
      </c>
    </row>
    <row r="1624" spans="1:13">
      <c r="A1624" s="2">
        <v>6571</v>
      </c>
      <c r="B1624" s="2" t="s">
        <v>9898</v>
      </c>
      <c r="C1624" s="2">
        <v>5</v>
      </c>
      <c r="D1624" s="2">
        <v>556</v>
      </c>
      <c r="E1624" s="2">
        <v>22</v>
      </c>
      <c r="F1624" s="2">
        <v>32441</v>
      </c>
      <c r="G1624" s="2">
        <v>13.260709609999999</v>
      </c>
      <c r="H1624" s="3">
        <v>7.9200000000000001E-5</v>
      </c>
      <c r="I1624" s="2" t="s">
        <v>9899</v>
      </c>
      <c r="J1624" s="2" t="s">
        <v>9900</v>
      </c>
      <c r="K1624" s="2">
        <v>7.86735E-4</v>
      </c>
      <c r="L1624" s="2" t="s">
        <v>848</v>
      </c>
      <c r="M1624" s="4" t="s">
        <v>9901</v>
      </c>
    </row>
    <row r="1625" spans="1:13">
      <c r="A1625" s="2">
        <v>1152</v>
      </c>
      <c r="B1625" s="2" t="s">
        <v>9902</v>
      </c>
      <c r="C1625" s="2">
        <v>30</v>
      </c>
      <c r="D1625" s="2">
        <v>556</v>
      </c>
      <c r="E1625" s="2">
        <v>796</v>
      </c>
      <c r="F1625" s="2">
        <v>32441</v>
      </c>
      <c r="G1625" s="2">
        <v>2.1990121469999999</v>
      </c>
      <c r="H1625" s="3">
        <v>8.2700000000000004E-5</v>
      </c>
      <c r="I1625" s="2" t="s">
        <v>9903</v>
      </c>
      <c r="J1625" s="2" t="s">
        <v>9904</v>
      </c>
      <c r="K1625" s="2">
        <v>8.1963299999999995E-4</v>
      </c>
      <c r="L1625" s="2" t="s">
        <v>848</v>
      </c>
      <c r="M1625" s="4" t="s">
        <v>9905</v>
      </c>
    </row>
    <row r="1626" spans="1:13">
      <c r="A1626" s="2">
        <v>5583</v>
      </c>
      <c r="B1626" s="2" t="s">
        <v>9906</v>
      </c>
      <c r="C1626" s="2">
        <v>35</v>
      </c>
      <c r="D1626" s="2">
        <v>556</v>
      </c>
      <c r="E1626" s="2">
        <v>997</v>
      </c>
      <c r="F1626" s="2">
        <v>32441</v>
      </c>
      <c r="G1626" s="2">
        <v>2.048294163</v>
      </c>
      <c r="H1626" s="3">
        <v>8.4800000000000001E-5</v>
      </c>
      <c r="I1626" s="2" t="s">
        <v>9907</v>
      </c>
      <c r="J1626" s="2" t="s">
        <v>9908</v>
      </c>
      <c r="K1626" s="2">
        <v>8.3857400000000003E-4</v>
      </c>
      <c r="L1626" s="2" t="s">
        <v>848</v>
      </c>
      <c r="M1626" s="4" t="s">
        <v>9909</v>
      </c>
    </row>
    <row r="1627" spans="1:13">
      <c r="A1627" s="2">
        <v>5107</v>
      </c>
      <c r="B1627" s="2" t="s">
        <v>9910</v>
      </c>
      <c r="C1627" s="2">
        <v>12</v>
      </c>
      <c r="D1627" s="2">
        <v>556</v>
      </c>
      <c r="E1627" s="2">
        <v>176</v>
      </c>
      <c r="F1627" s="2">
        <v>32441</v>
      </c>
      <c r="G1627" s="2">
        <v>3.9782128839999999</v>
      </c>
      <c r="H1627" s="3">
        <v>9.0600000000000007E-5</v>
      </c>
      <c r="I1627" s="2" t="s">
        <v>9911</v>
      </c>
      <c r="J1627" s="2" t="s">
        <v>9912</v>
      </c>
      <c r="K1627" s="2">
        <v>8.9535099999999996E-4</v>
      </c>
      <c r="L1627" s="2" t="s">
        <v>848</v>
      </c>
      <c r="M1627" s="4" t="s">
        <v>9913</v>
      </c>
    </row>
    <row r="1628" spans="1:13">
      <c r="A1628" s="2">
        <v>962</v>
      </c>
      <c r="B1628" s="2" t="s">
        <v>9914</v>
      </c>
      <c r="C1628" s="2">
        <v>6</v>
      </c>
      <c r="D1628" s="2">
        <v>556</v>
      </c>
      <c r="E1628" s="2">
        <v>38</v>
      </c>
      <c r="F1628" s="2">
        <v>32441</v>
      </c>
      <c r="G1628" s="2">
        <v>9.2127035209999999</v>
      </c>
      <c r="H1628" s="3">
        <v>9.1299999999999997E-5</v>
      </c>
      <c r="I1628" s="2" t="s">
        <v>9915</v>
      </c>
      <c r="J1628" s="2" t="s">
        <v>9916</v>
      </c>
      <c r="K1628" s="2">
        <v>8.98996E-4</v>
      </c>
      <c r="L1628" s="2" t="s">
        <v>848</v>
      </c>
      <c r="M1628" s="4" t="s">
        <v>9917</v>
      </c>
    </row>
    <row r="1629" spans="1:13">
      <c r="A1629" s="2">
        <v>4897</v>
      </c>
      <c r="B1629" s="2" t="s">
        <v>9918</v>
      </c>
      <c r="C1629" s="2">
        <v>14</v>
      </c>
      <c r="D1629" s="2">
        <v>556</v>
      </c>
      <c r="E1629" s="2">
        <v>234</v>
      </c>
      <c r="F1629" s="2">
        <v>32441</v>
      </c>
      <c r="G1629" s="2">
        <v>3.4908534709999999</v>
      </c>
      <c r="H1629" s="3">
        <v>9.1299999999999997E-5</v>
      </c>
      <c r="I1629" s="2" t="s">
        <v>9919</v>
      </c>
      <c r="J1629" s="2" t="s">
        <v>9920</v>
      </c>
      <c r="K1629" s="2">
        <v>8.98996E-4</v>
      </c>
      <c r="L1629" s="2" t="s">
        <v>848</v>
      </c>
      <c r="M1629" s="4" t="s">
        <v>9921</v>
      </c>
    </row>
    <row r="1630" spans="1:13">
      <c r="A1630" s="2">
        <v>2458</v>
      </c>
      <c r="B1630" s="2" t="s">
        <v>9922</v>
      </c>
      <c r="C1630" s="2">
        <v>4</v>
      </c>
      <c r="D1630" s="2">
        <v>556</v>
      </c>
      <c r="E1630" s="2">
        <v>11</v>
      </c>
      <c r="F1630" s="2">
        <v>32441</v>
      </c>
      <c r="G1630" s="2">
        <v>21.217135379999998</v>
      </c>
      <c r="H1630" s="3">
        <v>9.3900000000000006E-5</v>
      </c>
      <c r="I1630" s="2" t="s">
        <v>9923</v>
      </c>
      <c r="J1630" s="2" t="s">
        <v>9924</v>
      </c>
      <c r="K1630" s="2">
        <v>9.1999200000000001E-4</v>
      </c>
      <c r="L1630" s="2" t="s">
        <v>848</v>
      </c>
      <c r="M1630" s="4" t="s">
        <v>9925</v>
      </c>
    </row>
    <row r="1631" spans="1:13">
      <c r="A1631" s="2">
        <v>2976</v>
      </c>
      <c r="B1631" s="2" t="s">
        <v>9926</v>
      </c>
      <c r="C1631" s="2">
        <v>4</v>
      </c>
      <c r="D1631" s="2">
        <v>556</v>
      </c>
      <c r="E1631" s="2">
        <v>11</v>
      </c>
      <c r="F1631" s="2">
        <v>32441</v>
      </c>
      <c r="G1631" s="2">
        <v>21.217135379999998</v>
      </c>
      <c r="H1631" s="3">
        <v>9.3900000000000006E-5</v>
      </c>
      <c r="I1631" s="2" t="s">
        <v>9927</v>
      </c>
      <c r="J1631" s="2" t="s">
        <v>9928</v>
      </c>
      <c r="K1631" s="2">
        <v>9.1999200000000001E-4</v>
      </c>
      <c r="L1631" s="2" t="s">
        <v>848</v>
      </c>
      <c r="M1631" s="4" t="s">
        <v>9929</v>
      </c>
    </row>
    <row r="1632" spans="1:13">
      <c r="A1632" s="2">
        <v>3937</v>
      </c>
      <c r="B1632" s="2" t="s">
        <v>9930</v>
      </c>
      <c r="C1632" s="2">
        <v>4</v>
      </c>
      <c r="D1632" s="2">
        <v>556</v>
      </c>
      <c r="E1632" s="2">
        <v>11</v>
      </c>
      <c r="F1632" s="2">
        <v>32441</v>
      </c>
      <c r="G1632" s="2">
        <v>21.217135379999998</v>
      </c>
      <c r="H1632" s="3">
        <v>9.3900000000000006E-5</v>
      </c>
      <c r="I1632" s="2" t="s">
        <v>9931</v>
      </c>
      <c r="J1632" s="2" t="s">
        <v>9932</v>
      </c>
      <c r="K1632" s="2">
        <v>9.1999200000000001E-4</v>
      </c>
      <c r="L1632" s="2" t="s">
        <v>848</v>
      </c>
      <c r="M1632" s="4" t="s">
        <v>9933</v>
      </c>
    </row>
    <row r="1633" spans="1:13">
      <c r="A1633" s="2">
        <v>18901</v>
      </c>
      <c r="B1633" s="2" t="s">
        <v>9934</v>
      </c>
      <c r="C1633" s="2">
        <v>5</v>
      </c>
      <c r="D1633" s="2">
        <v>556</v>
      </c>
      <c r="E1633" s="2">
        <v>23</v>
      </c>
      <c r="F1633" s="2">
        <v>32441</v>
      </c>
      <c r="G1633" s="2">
        <v>12.684157020000001</v>
      </c>
      <c r="H1633" s="3">
        <v>9.5099999999999994E-5</v>
      </c>
      <c r="I1633" s="2" t="s">
        <v>9935</v>
      </c>
      <c r="J1633" s="2" t="s">
        <v>9936</v>
      </c>
      <c r="K1633" s="2">
        <v>9.2743199999999995E-4</v>
      </c>
      <c r="L1633" s="2" t="s">
        <v>848</v>
      </c>
      <c r="M1633" s="4" t="s">
        <v>9937</v>
      </c>
    </row>
    <row r="1634" spans="1:13">
      <c r="A1634" s="2">
        <v>2753</v>
      </c>
      <c r="B1634" s="2" t="s">
        <v>9938</v>
      </c>
      <c r="C1634" s="2">
        <v>5</v>
      </c>
      <c r="D1634" s="2">
        <v>556</v>
      </c>
      <c r="E1634" s="2">
        <v>23</v>
      </c>
      <c r="F1634" s="2">
        <v>32441</v>
      </c>
      <c r="G1634" s="2">
        <v>12.684157020000001</v>
      </c>
      <c r="H1634" s="3">
        <v>9.5099999999999994E-5</v>
      </c>
      <c r="I1634" s="2" t="s">
        <v>9939</v>
      </c>
      <c r="J1634" s="2" t="s">
        <v>9940</v>
      </c>
      <c r="K1634" s="2">
        <v>9.2743199999999995E-4</v>
      </c>
      <c r="L1634" s="2" t="s">
        <v>848</v>
      </c>
      <c r="M1634" s="4" t="s">
        <v>9941</v>
      </c>
    </row>
    <row r="1635" spans="1:13">
      <c r="A1635" s="2">
        <v>5274</v>
      </c>
      <c r="B1635" s="2" t="s">
        <v>9942</v>
      </c>
      <c r="C1635" s="2">
        <v>31</v>
      </c>
      <c r="D1635" s="2">
        <v>556</v>
      </c>
      <c r="E1635" s="2">
        <v>842</v>
      </c>
      <c r="F1635" s="2">
        <v>32441</v>
      </c>
      <c r="G1635" s="2">
        <v>2.1481719610000001</v>
      </c>
      <c r="H1635" s="3">
        <v>9.5000000000000005E-5</v>
      </c>
      <c r="I1635" s="2" t="s">
        <v>9943</v>
      </c>
      <c r="J1635" s="2" t="s">
        <v>9944</v>
      </c>
      <c r="K1635" s="2">
        <v>9.2743199999999995E-4</v>
      </c>
      <c r="L1635" s="2" t="s">
        <v>848</v>
      </c>
      <c r="M1635" s="4" t="s">
        <v>9945</v>
      </c>
    </row>
    <row r="1636" spans="1:13">
      <c r="A1636" s="2">
        <v>9831</v>
      </c>
      <c r="B1636" s="2" t="s">
        <v>9946</v>
      </c>
      <c r="C1636" s="2">
        <v>29</v>
      </c>
      <c r="D1636" s="2">
        <v>556</v>
      </c>
      <c r="E1636" s="2">
        <v>767</v>
      </c>
      <c r="F1636" s="2">
        <v>32441</v>
      </c>
      <c r="G1636" s="2">
        <v>2.2060841550000001</v>
      </c>
      <c r="H1636" s="2">
        <v>1.02651E-4</v>
      </c>
      <c r="I1636" s="2" t="s">
        <v>9947</v>
      </c>
      <c r="J1636" s="2" t="s">
        <v>9948</v>
      </c>
      <c r="K1636" s="2">
        <v>9.989930000000001E-4</v>
      </c>
      <c r="L1636" s="2" t="s">
        <v>848</v>
      </c>
      <c r="M1636" s="4" t="s">
        <v>9949</v>
      </c>
    </row>
    <row r="1637" spans="1:13">
      <c r="A1637" s="2">
        <v>2042</v>
      </c>
      <c r="B1637" s="2" t="s">
        <v>9950</v>
      </c>
      <c r="C1637" s="2">
        <v>6</v>
      </c>
      <c r="D1637" s="2">
        <v>556</v>
      </c>
      <c r="E1637" s="2">
        <v>39</v>
      </c>
      <c r="F1637" s="2">
        <v>32441</v>
      </c>
      <c r="G1637" s="2">
        <v>8.9764803539999996</v>
      </c>
      <c r="H1637" s="2">
        <v>1.03872E-4</v>
      </c>
      <c r="I1637" s="2" t="s">
        <v>9951</v>
      </c>
      <c r="J1637" s="2" t="s">
        <v>9952</v>
      </c>
      <c r="K1637" s="2">
        <v>1.0092110000000001E-3</v>
      </c>
      <c r="L1637" s="2" t="s">
        <v>848</v>
      </c>
      <c r="M1637" s="4" t="s">
        <v>9953</v>
      </c>
    </row>
    <row r="1638" spans="1:13">
      <c r="A1638" s="2">
        <v>2190</v>
      </c>
      <c r="B1638" s="2" t="s">
        <v>9954</v>
      </c>
      <c r="C1638" s="2">
        <v>11</v>
      </c>
      <c r="D1638" s="2">
        <v>556</v>
      </c>
      <c r="E1638" s="2">
        <v>152</v>
      </c>
      <c r="F1638" s="2">
        <v>32441</v>
      </c>
      <c r="G1638" s="2">
        <v>4.222489114</v>
      </c>
      <c r="H1638" s="2">
        <v>1.0785699999999999E-4</v>
      </c>
      <c r="I1638" s="2" t="s">
        <v>9955</v>
      </c>
      <c r="J1638" s="2" t="s">
        <v>9956</v>
      </c>
      <c r="K1638" s="2">
        <v>1.046213E-3</v>
      </c>
      <c r="L1638" s="2" t="s">
        <v>848</v>
      </c>
      <c r="M1638" s="4" t="s">
        <v>9957</v>
      </c>
    </row>
    <row r="1639" spans="1:13">
      <c r="A1639" s="2">
        <v>1904</v>
      </c>
      <c r="B1639" s="2" t="s">
        <v>9958</v>
      </c>
      <c r="C1639" s="2">
        <v>5</v>
      </c>
      <c r="D1639" s="2">
        <v>556</v>
      </c>
      <c r="E1639" s="2">
        <v>24</v>
      </c>
      <c r="F1639" s="2">
        <v>32441</v>
      </c>
      <c r="G1639" s="2">
        <v>12.15565048</v>
      </c>
      <c r="H1639" s="2">
        <v>1.13377E-4</v>
      </c>
      <c r="I1639" s="2" t="s">
        <v>9959</v>
      </c>
      <c r="J1639" s="2" t="s">
        <v>9960</v>
      </c>
      <c r="K1639" s="2">
        <v>1.0925900000000001E-3</v>
      </c>
      <c r="L1639" s="2" t="s">
        <v>848</v>
      </c>
      <c r="M1639" s="4" t="s">
        <v>9961</v>
      </c>
    </row>
    <row r="1640" spans="1:13">
      <c r="A1640" s="2">
        <v>2696</v>
      </c>
      <c r="B1640" s="2" t="s">
        <v>9962</v>
      </c>
      <c r="C1640" s="2">
        <v>5</v>
      </c>
      <c r="D1640" s="2">
        <v>556</v>
      </c>
      <c r="E1640" s="2">
        <v>24</v>
      </c>
      <c r="F1640" s="2">
        <v>32441</v>
      </c>
      <c r="G1640" s="2">
        <v>12.15565048</v>
      </c>
      <c r="H1640" s="2">
        <v>1.13377E-4</v>
      </c>
      <c r="I1640" s="2" t="s">
        <v>9963</v>
      </c>
      <c r="J1640" s="2" t="s">
        <v>9964</v>
      </c>
      <c r="K1640" s="2">
        <v>1.0925900000000001E-3</v>
      </c>
      <c r="L1640" s="2" t="s">
        <v>848</v>
      </c>
      <c r="M1640" s="4" t="s">
        <v>9965</v>
      </c>
    </row>
    <row r="1641" spans="1:13">
      <c r="A1641" s="2">
        <v>27301</v>
      </c>
      <c r="B1641" s="2" t="s">
        <v>9966</v>
      </c>
      <c r="C1641" s="2">
        <v>5</v>
      </c>
      <c r="D1641" s="2">
        <v>556</v>
      </c>
      <c r="E1641" s="2">
        <v>24</v>
      </c>
      <c r="F1641" s="2">
        <v>32441</v>
      </c>
      <c r="G1641" s="2">
        <v>12.15565048</v>
      </c>
      <c r="H1641" s="2">
        <v>1.13377E-4</v>
      </c>
      <c r="I1641" s="2" t="s">
        <v>9967</v>
      </c>
      <c r="J1641" s="2" t="s">
        <v>9968</v>
      </c>
      <c r="K1641" s="2">
        <v>1.0925900000000001E-3</v>
      </c>
      <c r="L1641" s="2" t="s">
        <v>848</v>
      </c>
      <c r="M1641" s="4" t="s">
        <v>9969</v>
      </c>
    </row>
    <row r="1642" spans="1:13">
      <c r="A1642" s="2">
        <v>4415</v>
      </c>
      <c r="B1642" s="2" t="s">
        <v>9970</v>
      </c>
      <c r="C1642" s="2">
        <v>5</v>
      </c>
      <c r="D1642" s="2">
        <v>556</v>
      </c>
      <c r="E1642" s="2">
        <v>24</v>
      </c>
      <c r="F1642" s="2">
        <v>32441</v>
      </c>
      <c r="G1642" s="2">
        <v>12.15565048</v>
      </c>
      <c r="H1642" s="2">
        <v>1.13377E-4</v>
      </c>
      <c r="I1642" s="2" t="s">
        <v>9971</v>
      </c>
      <c r="J1642" s="2" t="s">
        <v>9972</v>
      </c>
      <c r="K1642" s="2">
        <v>1.0925900000000001E-3</v>
      </c>
      <c r="L1642" s="2" t="s">
        <v>848</v>
      </c>
      <c r="M1642" s="4" t="s">
        <v>9973</v>
      </c>
    </row>
    <row r="1643" spans="1:13">
      <c r="A1643" s="2">
        <v>257</v>
      </c>
      <c r="B1643" s="2" t="s">
        <v>9974</v>
      </c>
      <c r="C1643" s="2">
        <v>6</v>
      </c>
      <c r="D1643" s="2">
        <v>556</v>
      </c>
      <c r="E1643" s="2">
        <v>40</v>
      </c>
      <c r="F1643" s="2">
        <v>32441</v>
      </c>
      <c r="G1643" s="2">
        <v>8.7520683449999996</v>
      </c>
      <c r="H1643" s="2">
        <v>1.1776499999999999E-4</v>
      </c>
      <c r="I1643" s="2" t="s">
        <v>9975</v>
      </c>
      <c r="J1643" s="2" t="s">
        <v>9976</v>
      </c>
      <c r="K1643" s="2">
        <v>1.1311959999999999E-3</v>
      </c>
      <c r="L1643" s="2" t="s">
        <v>848</v>
      </c>
      <c r="M1643" s="4" t="s">
        <v>9977</v>
      </c>
    </row>
    <row r="1644" spans="1:13">
      <c r="A1644" s="2">
        <v>4956</v>
      </c>
      <c r="B1644" s="2" t="s">
        <v>9978</v>
      </c>
      <c r="C1644" s="2">
        <v>6</v>
      </c>
      <c r="D1644" s="2">
        <v>556</v>
      </c>
      <c r="E1644" s="2">
        <v>40</v>
      </c>
      <c r="F1644" s="2">
        <v>32441</v>
      </c>
      <c r="G1644" s="2">
        <v>8.7520683449999996</v>
      </c>
      <c r="H1644" s="2">
        <v>1.1776499999999999E-4</v>
      </c>
      <c r="I1644" s="2" t="s">
        <v>9979</v>
      </c>
      <c r="J1644" s="2" t="s">
        <v>9980</v>
      </c>
      <c r="K1644" s="2">
        <v>1.1311959999999999E-3</v>
      </c>
      <c r="L1644" s="2" t="s">
        <v>848</v>
      </c>
      <c r="M1644" s="4" t="s">
        <v>9981</v>
      </c>
    </row>
    <row r="1645" spans="1:13">
      <c r="A1645" s="2">
        <v>4017</v>
      </c>
      <c r="B1645" s="2" t="s">
        <v>9982</v>
      </c>
      <c r="C1645" s="2">
        <v>8</v>
      </c>
      <c r="D1645" s="2">
        <v>556</v>
      </c>
      <c r="E1645" s="2">
        <v>80</v>
      </c>
      <c r="F1645" s="2">
        <v>32441</v>
      </c>
      <c r="G1645" s="2">
        <v>5.8347122300000001</v>
      </c>
      <c r="H1645" s="2">
        <v>1.21891E-4</v>
      </c>
      <c r="I1645" s="2" t="s">
        <v>9983</v>
      </c>
      <c r="J1645" s="2" t="s">
        <v>9984</v>
      </c>
      <c r="K1645" s="2">
        <v>1.168929E-3</v>
      </c>
      <c r="L1645" s="2" t="s">
        <v>848</v>
      </c>
      <c r="M1645" s="4" t="s">
        <v>9985</v>
      </c>
    </row>
    <row r="1646" spans="1:13">
      <c r="A1646" s="2">
        <v>5961</v>
      </c>
      <c r="B1646" s="2" t="s">
        <v>9986</v>
      </c>
      <c r="C1646" s="2">
        <v>4</v>
      </c>
      <c r="D1646" s="2">
        <v>556</v>
      </c>
      <c r="E1646" s="2">
        <v>12</v>
      </c>
      <c r="F1646" s="2">
        <v>32441</v>
      </c>
      <c r="G1646" s="2">
        <v>19.44904077</v>
      </c>
      <c r="H1646" s="2">
        <v>1.2354999999999999E-4</v>
      </c>
      <c r="I1646" s="2" t="s">
        <v>9987</v>
      </c>
      <c r="J1646" s="2" t="s">
        <v>9988</v>
      </c>
      <c r="K1646" s="2">
        <v>1.175312E-3</v>
      </c>
      <c r="L1646" s="2" t="s">
        <v>848</v>
      </c>
      <c r="M1646" s="4" t="s">
        <v>9989</v>
      </c>
    </row>
    <row r="1647" spans="1:13">
      <c r="A1647" s="2">
        <v>944</v>
      </c>
      <c r="B1647" s="2" t="s">
        <v>9990</v>
      </c>
      <c r="C1647" s="2">
        <v>4</v>
      </c>
      <c r="D1647" s="2">
        <v>556</v>
      </c>
      <c r="E1647" s="2">
        <v>12</v>
      </c>
      <c r="F1647" s="2">
        <v>32441</v>
      </c>
      <c r="G1647" s="2">
        <v>19.44904077</v>
      </c>
      <c r="H1647" s="2">
        <v>1.2354999999999999E-4</v>
      </c>
      <c r="I1647" s="2" t="s">
        <v>9991</v>
      </c>
      <c r="J1647" s="2" t="s">
        <v>9992</v>
      </c>
      <c r="K1647" s="2">
        <v>1.175312E-3</v>
      </c>
      <c r="L1647" s="2" t="s">
        <v>848</v>
      </c>
      <c r="M1647" s="4" t="s">
        <v>9993</v>
      </c>
    </row>
    <row r="1648" spans="1:13">
      <c r="A1648" s="2">
        <v>28311</v>
      </c>
      <c r="B1648" s="2" t="s">
        <v>9994</v>
      </c>
      <c r="C1648" s="2">
        <v>4</v>
      </c>
      <c r="D1648" s="2">
        <v>556</v>
      </c>
      <c r="E1648" s="2">
        <v>12</v>
      </c>
      <c r="F1648" s="2">
        <v>32441</v>
      </c>
      <c r="G1648" s="2">
        <v>19.44904077</v>
      </c>
      <c r="H1648" s="2">
        <v>1.2354999999999999E-4</v>
      </c>
      <c r="I1648" s="2" t="s">
        <v>9995</v>
      </c>
      <c r="J1648" s="2" t="s">
        <v>9996</v>
      </c>
      <c r="K1648" s="2">
        <v>1.175312E-3</v>
      </c>
      <c r="L1648" s="2" t="s">
        <v>848</v>
      </c>
      <c r="M1648" s="4" t="s">
        <v>9997</v>
      </c>
    </row>
    <row r="1649" spans="1:13">
      <c r="A1649" s="2">
        <v>4154</v>
      </c>
      <c r="B1649" s="2" t="s">
        <v>9998</v>
      </c>
      <c r="C1649" s="2">
        <v>4</v>
      </c>
      <c r="D1649" s="2">
        <v>556</v>
      </c>
      <c r="E1649" s="2">
        <v>12</v>
      </c>
      <c r="F1649" s="2">
        <v>32441</v>
      </c>
      <c r="G1649" s="2">
        <v>19.44904077</v>
      </c>
      <c r="H1649" s="2">
        <v>1.2354999999999999E-4</v>
      </c>
      <c r="I1649" s="2" t="s">
        <v>9999</v>
      </c>
      <c r="J1649" s="2" t="s">
        <v>10000</v>
      </c>
      <c r="K1649" s="2">
        <v>1.175312E-3</v>
      </c>
      <c r="L1649" s="2" t="s">
        <v>848</v>
      </c>
      <c r="M1649" s="4" t="s">
        <v>10001</v>
      </c>
    </row>
    <row r="1650" spans="1:13">
      <c r="A1650" s="2">
        <v>4727</v>
      </c>
      <c r="B1650" s="2" t="s">
        <v>10002</v>
      </c>
      <c r="C1650" s="2">
        <v>4</v>
      </c>
      <c r="D1650" s="2">
        <v>556</v>
      </c>
      <c r="E1650" s="2">
        <v>12</v>
      </c>
      <c r="F1650" s="2">
        <v>32441</v>
      </c>
      <c r="G1650" s="2">
        <v>19.44904077</v>
      </c>
      <c r="H1650" s="2">
        <v>1.2354999999999999E-4</v>
      </c>
      <c r="I1650" s="2" t="s">
        <v>10003</v>
      </c>
      <c r="J1650" s="2" t="s">
        <v>10004</v>
      </c>
      <c r="K1650" s="2">
        <v>1.175312E-3</v>
      </c>
      <c r="L1650" s="2" t="s">
        <v>848</v>
      </c>
      <c r="M1650" s="4" t="s">
        <v>10005</v>
      </c>
    </row>
    <row r="1651" spans="1:13">
      <c r="A1651" s="2">
        <v>4337</v>
      </c>
      <c r="B1651" s="2" t="s">
        <v>10006</v>
      </c>
      <c r="C1651" s="2">
        <v>5</v>
      </c>
      <c r="D1651" s="2">
        <v>556</v>
      </c>
      <c r="E1651" s="2">
        <v>25</v>
      </c>
      <c r="F1651" s="2">
        <v>32441</v>
      </c>
      <c r="G1651" s="2">
        <v>11.66942446</v>
      </c>
      <c r="H1651" s="2">
        <v>1.3417600000000001E-4</v>
      </c>
      <c r="I1651" s="2" t="s">
        <v>10007</v>
      </c>
      <c r="J1651" s="2" t="s">
        <v>10008</v>
      </c>
      <c r="K1651" s="2">
        <v>1.274353E-3</v>
      </c>
      <c r="L1651" s="2" t="s">
        <v>848</v>
      </c>
      <c r="M1651" s="4" t="s">
        <v>10009</v>
      </c>
    </row>
    <row r="1652" spans="1:13">
      <c r="A1652" s="2">
        <v>4738</v>
      </c>
      <c r="B1652" s="2" t="s">
        <v>10010</v>
      </c>
      <c r="C1652" s="2">
        <v>27</v>
      </c>
      <c r="D1652" s="2">
        <v>556</v>
      </c>
      <c r="E1652" s="2">
        <v>703</v>
      </c>
      <c r="F1652" s="2">
        <v>32441</v>
      </c>
      <c r="G1652" s="2">
        <v>2.240927884</v>
      </c>
      <c r="H1652" s="2">
        <v>1.3846900000000001E-4</v>
      </c>
      <c r="I1652" s="2" t="s">
        <v>10011</v>
      </c>
      <c r="J1652" s="2" t="s">
        <v>10012</v>
      </c>
      <c r="K1652" s="2">
        <v>1.313013E-3</v>
      </c>
      <c r="L1652" s="2" t="s">
        <v>848</v>
      </c>
      <c r="M1652" s="4" t="s">
        <v>10013</v>
      </c>
    </row>
    <row r="1653" spans="1:13">
      <c r="A1653" s="2">
        <v>3815</v>
      </c>
      <c r="B1653" s="2" t="s">
        <v>10014</v>
      </c>
      <c r="C1653" s="2">
        <v>11</v>
      </c>
      <c r="D1653" s="2">
        <v>556</v>
      </c>
      <c r="E1653" s="2">
        <v>157</v>
      </c>
      <c r="F1653" s="2">
        <v>32441</v>
      </c>
      <c r="G1653" s="2">
        <v>4.0880149379999997</v>
      </c>
      <c r="H1653" s="2">
        <v>1.4096599999999999E-4</v>
      </c>
      <c r="I1653" s="2" t="s">
        <v>10015</v>
      </c>
      <c r="J1653" s="2" t="s">
        <v>10016</v>
      </c>
      <c r="K1653" s="2">
        <v>1.334556E-3</v>
      </c>
      <c r="L1653" s="2" t="s">
        <v>848</v>
      </c>
      <c r="M1653" s="4" t="s">
        <v>10017</v>
      </c>
    </row>
    <row r="1654" spans="1:13">
      <c r="A1654" s="2">
        <v>1475</v>
      </c>
      <c r="B1654" s="2" t="s">
        <v>10018</v>
      </c>
      <c r="C1654" s="2">
        <v>30</v>
      </c>
      <c r="D1654" s="2">
        <v>556</v>
      </c>
      <c r="E1654" s="2">
        <v>822</v>
      </c>
      <c r="F1654" s="2">
        <v>32441</v>
      </c>
      <c r="G1654" s="2">
        <v>2.1294570180000001</v>
      </c>
      <c r="H1654" s="2">
        <v>1.42022E-4</v>
      </c>
      <c r="I1654" s="2" t="s">
        <v>10019</v>
      </c>
      <c r="J1654" s="2" t="s">
        <v>10020</v>
      </c>
      <c r="K1654" s="2">
        <v>1.342403E-3</v>
      </c>
      <c r="L1654" s="2" t="s">
        <v>848</v>
      </c>
      <c r="M1654" s="4" t="s">
        <v>10021</v>
      </c>
    </row>
    <row r="1655" spans="1:13">
      <c r="A1655" s="2">
        <v>2345</v>
      </c>
      <c r="B1655" s="2" t="s">
        <v>10022</v>
      </c>
      <c r="C1655" s="2">
        <v>18</v>
      </c>
      <c r="D1655" s="2">
        <v>556</v>
      </c>
      <c r="E1655" s="2">
        <v>375</v>
      </c>
      <c r="F1655" s="2">
        <v>32441</v>
      </c>
      <c r="G1655" s="2">
        <v>2.800661871</v>
      </c>
      <c r="H1655" s="2">
        <v>1.43373E-4</v>
      </c>
      <c r="I1655" s="2" t="s">
        <v>10023</v>
      </c>
      <c r="J1655" s="2" t="s">
        <v>10024</v>
      </c>
      <c r="K1655" s="2">
        <v>1.3530149999999999E-3</v>
      </c>
      <c r="L1655" s="2" t="s">
        <v>848</v>
      </c>
      <c r="M1655" s="4" t="s">
        <v>10025</v>
      </c>
    </row>
    <row r="1656" spans="1:13">
      <c r="A1656" s="2">
        <v>1085</v>
      </c>
      <c r="B1656" s="2" t="s">
        <v>10026</v>
      </c>
      <c r="C1656" s="2">
        <v>7</v>
      </c>
      <c r="D1656" s="2">
        <v>556</v>
      </c>
      <c r="E1656" s="2">
        <v>61</v>
      </c>
      <c r="F1656" s="2">
        <v>32441</v>
      </c>
      <c r="G1656" s="2">
        <v>6.6955714119999996</v>
      </c>
      <c r="H1656" s="2">
        <v>1.48092E-4</v>
      </c>
      <c r="I1656" s="2" t="s">
        <v>10027</v>
      </c>
      <c r="J1656" s="2" t="s">
        <v>10028</v>
      </c>
      <c r="K1656" s="2">
        <v>1.395318E-3</v>
      </c>
      <c r="L1656" s="2" t="s">
        <v>848</v>
      </c>
      <c r="M1656" s="4" t="s">
        <v>10029</v>
      </c>
    </row>
    <row r="1657" spans="1:13">
      <c r="A1657" s="2">
        <v>4209</v>
      </c>
      <c r="B1657" s="2" t="s">
        <v>10030</v>
      </c>
      <c r="C1657" s="2">
        <v>6</v>
      </c>
      <c r="D1657" s="2">
        <v>556</v>
      </c>
      <c r="E1657" s="2">
        <v>42</v>
      </c>
      <c r="F1657" s="2">
        <v>32441</v>
      </c>
      <c r="G1657" s="2">
        <v>8.3353031860000009</v>
      </c>
      <c r="H1657" s="2">
        <v>1.49958E-4</v>
      </c>
      <c r="I1657" s="2" t="s">
        <v>10031</v>
      </c>
      <c r="J1657" s="2" t="s">
        <v>10032</v>
      </c>
      <c r="K1657" s="2">
        <v>1.410658E-3</v>
      </c>
      <c r="L1657" s="2" t="s">
        <v>848</v>
      </c>
      <c r="M1657" s="4" t="s">
        <v>10033</v>
      </c>
    </row>
    <row r="1658" spans="1:13">
      <c r="A1658" s="2">
        <v>1226</v>
      </c>
      <c r="B1658" s="2" t="s">
        <v>10034</v>
      </c>
      <c r="C1658" s="2">
        <v>5</v>
      </c>
      <c r="D1658" s="2">
        <v>556</v>
      </c>
      <c r="E1658" s="2">
        <v>26</v>
      </c>
      <c r="F1658" s="2">
        <v>32441</v>
      </c>
      <c r="G1658" s="2">
        <v>11.22060044</v>
      </c>
      <c r="H1658" s="2">
        <v>1.57775E-4</v>
      </c>
      <c r="I1658" s="2" t="s">
        <v>10035</v>
      </c>
      <c r="J1658" s="2" t="s">
        <v>10036</v>
      </c>
      <c r="K1658" s="2">
        <v>1.4771420000000001E-3</v>
      </c>
      <c r="L1658" s="2" t="s">
        <v>848</v>
      </c>
      <c r="M1658" s="4" t="s">
        <v>10037</v>
      </c>
    </row>
    <row r="1659" spans="1:13">
      <c r="A1659" s="2">
        <v>1498</v>
      </c>
      <c r="B1659" s="2" t="s">
        <v>10038</v>
      </c>
      <c r="C1659" s="2">
        <v>5</v>
      </c>
      <c r="D1659" s="2">
        <v>556</v>
      </c>
      <c r="E1659" s="2">
        <v>26</v>
      </c>
      <c r="F1659" s="2">
        <v>32441</v>
      </c>
      <c r="G1659" s="2">
        <v>11.22060044</v>
      </c>
      <c r="H1659" s="2">
        <v>1.57775E-4</v>
      </c>
      <c r="I1659" s="2" t="s">
        <v>10039</v>
      </c>
      <c r="J1659" s="2" t="s">
        <v>10040</v>
      </c>
      <c r="K1659" s="2">
        <v>1.4771420000000001E-3</v>
      </c>
      <c r="L1659" s="2" t="s">
        <v>848</v>
      </c>
      <c r="M1659" s="4" t="s">
        <v>10041</v>
      </c>
    </row>
    <row r="1660" spans="1:13">
      <c r="A1660" s="2">
        <v>5007</v>
      </c>
      <c r="B1660" s="2" t="s">
        <v>10042</v>
      </c>
      <c r="C1660" s="2">
        <v>16</v>
      </c>
      <c r="D1660" s="2">
        <v>556</v>
      </c>
      <c r="E1660" s="2">
        <v>311</v>
      </c>
      <c r="F1660" s="2">
        <v>32441</v>
      </c>
      <c r="G1660" s="2">
        <v>3.001781212</v>
      </c>
      <c r="H1660" s="2">
        <v>1.5751099999999999E-4</v>
      </c>
      <c r="I1660" s="2" t="s">
        <v>10043</v>
      </c>
      <c r="J1660" s="2" t="s">
        <v>10044</v>
      </c>
      <c r="K1660" s="2">
        <v>1.4771420000000001E-3</v>
      </c>
      <c r="L1660" s="2" t="s">
        <v>848</v>
      </c>
      <c r="M1660" s="4" t="s">
        <v>10045</v>
      </c>
    </row>
    <row r="1661" spans="1:13">
      <c r="A1661" s="2">
        <v>3941</v>
      </c>
      <c r="B1661" s="2" t="s">
        <v>10046</v>
      </c>
      <c r="C1661" s="2">
        <v>4</v>
      </c>
      <c r="D1661" s="2">
        <v>556</v>
      </c>
      <c r="E1661" s="2">
        <v>13</v>
      </c>
      <c r="F1661" s="2">
        <v>32441</v>
      </c>
      <c r="G1661" s="2">
        <v>17.952960709999999</v>
      </c>
      <c r="H1661" s="2">
        <v>1.59417E-4</v>
      </c>
      <c r="I1661" s="2" t="s">
        <v>10047</v>
      </c>
      <c r="J1661" s="2" t="s">
        <v>10048</v>
      </c>
      <c r="K1661" s="2">
        <v>1.490157E-3</v>
      </c>
      <c r="L1661" s="2" t="s">
        <v>848</v>
      </c>
      <c r="M1661" s="4" t="s">
        <v>10049</v>
      </c>
    </row>
    <row r="1662" spans="1:13">
      <c r="A1662" s="2">
        <v>1964</v>
      </c>
      <c r="B1662" s="2" t="s">
        <v>10050</v>
      </c>
      <c r="C1662" s="2">
        <v>9</v>
      </c>
      <c r="D1662" s="2">
        <v>556</v>
      </c>
      <c r="E1662" s="2">
        <v>108</v>
      </c>
      <c r="F1662" s="2">
        <v>32441</v>
      </c>
      <c r="G1662" s="2">
        <v>4.8622601919999999</v>
      </c>
      <c r="H1662" s="2">
        <v>1.69271E-4</v>
      </c>
      <c r="I1662" s="2" t="s">
        <v>10051</v>
      </c>
      <c r="J1662" s="2" t="s">
        <v>10052</v>
      </c>
      <c r="K1662" s="2">
        <v>1.5797750000000001E-3</v>
      </c>
      <c r="L1662" s="2" t="s">
        <v>848</v>
      </c>
      <c r="M1662" s="4" t="s">
        <v>10053</v>
      </c>
    </row>
    <row r="1663" spans="1:13">
      <c r="A1663" s="2">
        <v>4815</v>
      </c>
      <c r="B1663" s="2" t="s">
        <v>10054</v>
      </c>
      <c r="C1663" s="2">
        <v>18</v>
      </c>
      <c r="D1663" s="2">
        <v>556</v>
      </c>
      <c r="E1663" s="2">
        <v>383</v>
      </c>
      <c r="F1663" s="2">
        <v>32441</v>
      </c>
      <c r="G1663" s="2">
        <v>2.7421624059999998</v>
      </c>
      <c r="H1663" s="2">
        <v>1.8365999999999999E-4</v>
      </c>
      <c r="I1663" s="2" t="s">
        <v>10055</v>
      </c>
      <c r="J1663" s="2" t="s">
        <v>10056</v>
      </c>
      <c r="K1663" s="2">
        <v>1.7113619999999999E-3</v>
      </c>
      <c r="L1663" s="2" t="s">
        <v>848</v>
      </c>
      <c r="M1663" s="4" t="s">
        <v>10057</v>
      </c>
    </row>
    <row r="1664" spans="1:13">
      <c r="A1664" s="2">
        <v>4228</v>
      </c>
      <c r="B1664" s="2" t="s">
        <v>10058</v>
      </c>
      <c r="C1664" s="2">
        <v>5</v>
      </c>
      <c r="D1664" s="2">
        <v>556</v>
      </c>
      <c r="E1664" s="2">
        <v>27</v>
      </c>
      <c r="F1664" s="2">
        <v>32441</v>
      </c>
      <c r="G1664" s="2">
        <v>10.80502265</v>
      </c>
      <c r="H1664" s="2">
        <v>1.8441700000000001E-4</v>
      </c>
      <c r="I1664" s="2" t="s">
        <v>10059</v>
      </c>
      <c r="J1664" s="2" t="s">
        <v>10060</v>
      </c>
      <c r="K1664" s="2">
        <v>1.7157120000000001E-3</v>
      </c>
      <c r="L1664" s="2" t="s">
        <v>848</v>
      </c>
      <c r="M1664" s="4" t="s">
        <v>10061</v>
      </c>
    </row>
    <row r="1665" spans="1:13">
      <c r="A1665" s="2">
        <v>37861</v>
      </c>
      <c r="B1665" s="2" t="s">
        <v>10062</v>
      </c>
      <c r="C1665" s="2">
        <v>12</v>
      </c>
      <c r="D1665" s="2">
        <v>556</v>
      </c>
      <c r="E1665" s="2">
        <v>191</v>
      </c>
      <c r="F1665" s="2">
        <v>32441</v>
      </c>
      <c r="G1665" s="2">
        <v>3.6657877889999999</v>
      </c>
      <c r="H1665" s="2">
        <v>1.86515E-4</v>
      </c>
      <c r="I1665" s="2" t="s">
        <v>10063</v>
      </c>
      <c r="J1665" s="2" t="s">
        <v>10064</v>
      </c>
      <c r="K1665" s="2">
        <v>1.732508E-3</v>
      </c>
      <c r="L1665" s="2" t="s">
        <v>848</v>
      </c>
      <c r="M1665" s="4" t="s">
        <v>10065</v>
      </c>
    </row>
    <row r="1666" spans="1:13">
      <c r="A1666" s="2">
        <v>2103</v>
      </c>
      <c r="B1666" s="2" t="s">
        <v>10066</v>
      </c>
      <c r="C1666" s="2">
        <v>6</v>
      </c>
      <c r="D1666" s="2">
        <v>556</v>
      </c>
      <c r="E1666" s="2">
        <v>44</v>
      </c>
      <c r="F1666" s="2">
        <v>32441</v>
      </c>
      <c r="G1666" s="2">
        <v>7.9564257679999999</v>
      </c>
      <c r="H1666" s="2">
        <v>1.8874300000000001E-4</v>
      </c>
      <c r="I1666" s="2" t="s">
        <v>10067</v>
      </c>
      <c r="J1666" s="2" t="s">
        <v>10068</v>
      </c>
      <c r="K1666" s="2">
        <v>1.7504619999999999E-3</v>
      </c>
      <c r="L1666" s="2" t="s">
        <v>848</v>
      </c>
      <c r="M1666" s="4" t="s">
        <v>10069</v>
      </c>
    </row>
    <row r="1667" spans="1:13">
      <c r="A1667" s="2">
        <v>4556</v>
      </c>
      <c r="B1667" s="2" t="s">
        <v>10070</v>
      </c>
      <c r="C1667" s="2">
        <v>10</v>
      </c>
      <c r="D1667" s="2">
        <v>556</v>
      </c>
      <c r="E1667" s="2">
        <v>136</v>
      </c>
      <c r="F1667" s="2">
        <v>32441</v>
      </c>
      <c r="G1667" s="2">
        <v>4.2902295810000002</v>
      </c>
      <c r="H1667" s="2">
        <v>1.9478799999999999E-4</v>
      </c>
      <c r="I1667" s="2" t="s">
        <v>10071</v>
      </c>
      <c r="J1667" s="2" t="s">
        <v>10072</v>
      </c>
      <c r="K1667" s="2">
        <v>1.8036949999999999E-3</v>
      </c>
      <c r="L1667" s="2" t="s">
        <v>848</v>
      </c>
      <c r="M1667" s="4" t="s">
        <v>10073</v>
      </c>
    </row>
    <row r="1668" spans="1:13">
      <c r="A1668" s="2">
        <v>4107</v>
      </c>
      <c r="B1668" s="2" t="s">
        <v>10074</v>
      </c>
      <c r="C1668" s="2">
        <v>4</v>
      </c>
      <c r="D1668" s="2">
        <v>556</v>
      </c>
      <c r="E1668" s="2">
        <v>14</v>
      </c>
      <c r="F1668" s="2">
        <v>32441</v>
      </c>
      <c r="G1668" s="2">
        <v>16.670606370000002</v>
      </c>
      <c r="H1668" s="2">
        <v>2.02241E-4</v>
      </c>
      <c r="I1668" s="2" t="s">
        <v>10075</v>
      </c>
      <c r="J1668" s="2" t="s">
        <v>10076</v>
      </c>
      <c r="K1668" s="2">
        <v>1.8610549999999999E-3</v>
      </c>
      <c r="L1668" s="2" t="s">
        <v>848</v>
      </c>
      <c r="M1668" s="4" t="s">
        <v>10077</v>
      </c>
    </row>
    <row r="1669" spans="1:13">
      <c r="A1669" s="2">
        <v>11961</v>
      </c>
      <c r="B1669" s="2" t="s">
        <v>10078</v>
      </c>
      <c r="C1669" s="2">
        <v>11</v>
      </c>
      <c r="D1669" s="2">
        <v>556</v>
      </c>
      <c r="E1669" s="2">
        <v>164</v>
      </c>
      <c r="F1669" s="2">
        <v>32441</v>
      </c>
      <c r="G1669" s="2">
        <v>3.9135264959999998</v>
      </c>
      <c r="H1669" s="2">
        <v>2.0156699999999999E-4</v>
      </c>
      <c r="I1669" s="2" t="s">
        <v>10079</v>
      </c>
      <c r="J1669" s="2" t="s">
        <v>10080</v>
      </c>
      <c r="K1669" s="2">
        <v>1.8610549999999999E-3</v>
      </c>
      <c r="L1669" s="2" t="s">
        <v>848</v>
      </c>
      <c r="M1669" s="4" t="s">
        <v>10081</v>
      </c>
    </row>
    <row r="1670" spans="1:13">
      <c r="A1670" s="2">
        <v>3211</v>
      </c>
      <c r="B1670" s="2" t="s">
        <v>10082</v>
      </c>
      <c r="C1670" s="2">
        <v>4</v>
      </c>
      <c r="D1670" s="2">
        <v>556</v>
      </c>
      <c r="E1670" s="2">
        <v>14</v>
      </c>
      <c r="F1670" s="2">
        <v>32441</v>
      </c>
      <c r="G1670" s="2">
        <v>16.670606370000002</v>
      </c>
      <c r="H1670" s="2">
        <v>2.02241E-4</v>
      </c>
      <c r="I1670" s="2" t="s">
        <v>10083</v>
      </c>
      <c r="J1670" s="2" t="s">
        <v>10084</v>
      </c>
      <c r="K1670" s="2">
        <v>1.8610549999999999E-3</v>
      </c>
      <c r="L1670" s="2" t="s">
        <v>848</v>
      </c>
      <c r="M1670" s="4" t="s">
        <v>10085</v>
      </c>
    </row>
    <row r="1671" spans="1:13">
      <c r="A1671" s="2">
        <v>4444</v>
      </c>
      <c r="B1671" s="2" t="s">
        <v>10086</v>
      </c>
      <c r="C1671" s="2">
        <v>4</v>
      </c>
      <c r="D1671" s="2">
        <v>556</v>
      </c>
      <c r="E1671" s="2">
        <v>14</v>
      </c>
      <c r="F1671" s="2">
        <v>32441</v>
      </c>
      <c r="G1671" s="2">
        <v>16.670606370000002</v>
      </c>
      <c r="H1671" s="2">
        <v>2.02241E-4</v>
      </c>
      <c r="I1671" s="2" t="s">
        <v>10087</v>
      </c>
      <c r="J1671" s="2" t="s">
        <v>10088</v>
      </c>
      <c r="K1671" s="2">
        <v>1.8610549999999999E-3</v>
      </c>
      <c r="L1671" s="2" t="s">
        <v>848</v>
      </c>
      <c r="M1671" s="4" t="s">
        <v>10089</v>
      </c>
    </row>
    <row r="1672" spans="1:13">
      <c r="A1672" s="2">
        <v>2942</v>
      </c>
      <c r="B1672" s="2" t="s">
        <v>10090</v>
      </c>
      <c r="C1672" s="2">
        <v>6</v>
      </c>
      <c r="D1672" s="2">
        <v>556</v>
      </c>
      <c r="E1672" s="2">
        <v>45</v>
      </c>
      <c r="F1672" s="2">
        <v>32441</v>
      </c>
      <c r="G1672" s="2">
        <v>7.7796163070000004</v>
      </c>
      <c r="H1672" s="2">
        <v>2.1089200000000001E-4</v>
      </c>
      <c r="I1672" s="2" t="s">
        <v>10091</v>
      </c>
      <c r="J1672" s="2" t="s">
        <v>10092</v>
      </c>
      <c r="K1672" s="2">
        <v>1.9346490000000001E-3</v>
      </c>
      <c r="L1672" s="2" t="s">
        <v>848</v>
      </c>
      <c r="M1672" s="4" t="s">
        <v>10093</v>
      </c>
    </row>
    <row r="1673" spans="1:13">
      <c r="A1673" s="2">
        <v>5284</v>
      </c>
      <c r="B1673" s="2" t="s">
        <v>10094</v>
      </c>
      <c r="C1673" s="2">
        <v>6</v>
      </c>
      <c r="D1673" s="2">
        <v>556</v>
      </c>
      <c r="E1673" s="2">
        <v>45</v>
      </c>
      <c r="F1673" s="2">
        <v>32441</v>
      </c>
      <c r="G1673" s="2">
        <v>7.7796163070000004</v>
      </c>
      <c r="H1673" s="2">
        <v>2.1089200000000001E-4</v>
      </c>
      <c r="I1673" s="2" t="s">
        <v>10095</v>
      </c>
      <c r="J1673" s="2" t="s">
        <v>10096</v>
      </c>
      <c r="K1673" s="2">
        <v>1.9346490000000001E-3</v>
      </c>
      <c r="L1673" s="2" t="s">
        <v>848</v>
      </c>
      <c r="M1673" s="4" t="s">
        <v>10097</v>
      </c>
    </row>
    <row r="1674" spans="1:13">
      <c r="A1674" s="2">
        <v>3291</v>
      </c>
      <c r="B1674" s="2" t="s">
        <v>10098</v>
      </c>
      <c r="C1674" s="2">
        <v>5</v>
      </c>
      <c r="D1674" s="2">
        <v>556</v>
      </c>
      <c r="E1674" s="2">
        <v>28</v>
      </c>
      <c r="F1674" s="2">
        <v>32441</v>
      </c>
      <c r="G1674" s="2">
        <v>10.41912898</v>
      </c>
      <c r="H1674" s="2">
        <v>2.14355E-4</v>
      </c>
      <c r="I1674" s="2" t="s">
        <v>10099</v>
      </c>
      <c r="J1674" s="2" t="s">
        <v>10100</v>
      </c>
      <c r="K1674" s="2">
        <v>1.9542990000000001E-3</v>
      </c>
      <c r="L1674" s="2" t="s">
        <v>848</v>
      </c>
      <c r="M1674" s="4" t="s">
        <v>10101</v>
      </c>
    </row>
    <row r="1675" spans="1:13">
      <c r="A1675" s="2">
        <v>2918</v>
      </c>
      <c r="B1675" s="2" t="s">
        <v>10102</v>
      </c>
      <c r="C1675" s="2">
        <v>5</v>
      </c>
      <c r="D1675" s="2">
        <v>556</v>
      </c>
      <c r="E1675" s="2">
        <v>28</v>
      </c>
      <c r="F1675" s="2">
        <v>32441</v>
      </c>
      <c r="G1675" s="2">
        <v>10.41912898</v>
      </c>
      <c r="H1675" s="2">
        <v>2.14355E-4</v>
      </c>
      <c r="I1675" s="2" t="s">
        <v>10103</v>
      </c>
      <c r="J1675" s="2" t="s">
        <v>10104</v>
      </c>
      <c r="K1675" s="2">
        <v>1.9542990000000001E-3</v>
      </c>
      <c r="L1675" s="2" t="s">
        <v>848</v>
      </c>
      <c r="M1675" s="4" t="s">
        <v>10105</v>
      </c>
    </row>
    <row r="1676" spans="1:13">
      <c r="A1676" s="2">
        <v>3600</v>
      </c>
      <c r="B1676" s="2" t="s">
        <v>10106</v>
      </c>
      <c r="C1676" s="2">
        <v>5</v>
      </c>
      <c r="D1676" s="2">
        <v>556</v>
      </c>
      <c r="E1676" s="2">
        <v>28</v>
      </c>
      <c r="F1676" s="2">
        <v>32441</v>
      </c>
      <c r="G1676" s="2">
        <v>10.41912898</v>
      </c>
      <c r="H1676" s="2">
        <v>2.14355E-4</v>
      </c>
      <c r="I1676" s="2" t="s">
        <v>10107</v>
      </c>
      <c r="J1676" s="2" t="s">
        <v>10108</v>
      </c>
      <c r="K1676" s="2">
        <v>1.9542990000000001E-3</v>
      </c>
      <c r="L1676" s="2" t="s">
        <v>848</v>
      </c>
      <c r="M1676" s="4" t="s">
        <v>10109</v>
      </c>
    </row>
    <row r="1677" spans="1:13">
      <c r="A1677" s="2">
        <v>4203</v>
      </c>
      <c r="B1677" s="2" t="s">
        <v>10110</v>
      </c>
      <c r="C1677" s="2">
        <v>5</v>
      </c>
      <c r="D1677" s="2">
        <v>556</v>
      </c>
      <c r="E1677" s="2">
        <v>28</v>
      </c>
      <c r="F1677" s="2">
        <v>32441</v>
      </c>
      <c r="G1677" s="2">
        <v>10.41912898</v>
      </c>
      <c r="H1677" s="2">
        <v>2.14355E-4</v>
      </c>
      <c r="I1677" s="2" t="s">
        <v>10111</v>
      </c>
      <c r="J1677" s="2" t="s">
        <v>10112</v>
      </c>
      <c r="K1677" s="2">
        <v>1.9542990000000001E-3</v>
      </c>
      <c r="L1677" s="2" t="s">
        <v>848</v>
      </c>
      <c r="M1677" s="4" t="s">
        <v>10113</v>
      </c>
    </row>
    <row r="1678" spans="1:13">
      <c r="A1678" s="2">
        <v>260</v>
      </c>
      <c r="B1678" s="2" t="s">
        <v>1121</v>
      </c>
      <c r="C1678" s="2">
        <v>8</v>
      </c>
      <c r="D1678" s="2">
        <v>556</v>
      </c>
      <c r="E1678" s="2">
        <v>88</v>
      </c>
      <c r="F1678" s="2">
        <v>32441</v>
      </c>
      <c r="G1678" s="2">
        <v>5.3042838459999997</v>
      </c>
      <c r="H1678" s="2">
        <v>2.23649E-4</v>
      </c>
      <c r="I1678" s="2" t="s">
        <v>10114</v>
      </c>
      <c r="J1678" s="2" t="s">
        <v>10115</v>
      </c>
      <c r="K1678" s="2">
        <v>2.035893E-3</v>
      </c>
      <c r="L1678" s="2" t="s">
        <v>848</v>
      </c>
      <c r="M1678" s="4" t="s">
        <v>10116</v>
      </c>
    </row>
    <row r="1679" spans="1:13">
      <c r="A1679" s="2">
        <v>223</v>
      </c>
      <c r="B1679" s="2" t="s">
        <v>10117</v>
      </c>
      <c r="C1679" s="2">
        <v>10</v>
      </c>
      <c r="D1679" s="2">
        <v>556</v>
      </c>
      <c r="E1679" s="2">
        <v>139</v>
      </c>
      <c r="F1679" s="2">
        <v>32441</v>
      </c>
      <c r="G1679" s="2">
        <v>4.1976346979999999</v>
      </c>
      <c r="H1679" s="2">
        <v>2.29769E-4</v>
      </c>
      <c r="I1679" s="2" t="s">
        <v>10118</v>
      </c>
      <c r="J1679" s="2" t="s">
        <v>10119</v>
      </c>
      <c r="K1679" s="2">
        <v>2.0883899999999999E-3</v>
      </c>
      <c r="L1679" s="2" t="s">
        <v>848</v>
      </c>
      <c r="M1679" s="4" t="s">
        <v>10120</v>
      </c>
    </row>
    <row r="1680" spans="1:13">
      <c r="A1680" s="2">
        <v>1279</v>
      </c>
      <c r="B1680" s="2" t="s">
        <v>10121</v>
      </c>
      <c r="C1680" s="2">
        <v>17</v>
      </c>
      <c r="D1680" s="2">
        <v>556</v>
      </c>
      <c r="E1680" s="2">
        <v>356</v>
      </c>
      <c r="F1680" s="2">
        <v>32441</v>
      </c>
      <c r="G1680" s="2">
        <v>2.7862389859999999</v>
      </c>
      <c r="H1680" s="2">
        <v>2.3028600000000001E-4</v>
      </c>
      <c r="I1680" s="2" t="s">
        <v>10122</v>
      </c>
      <c r="J1680" s="2" t="s">
        <v>10123</v>
      </c>
      <c r="K1680" s="2">
        <v>2.0898840000000002E-3</v>
      </c>
      <c r="L1680" s="2" t="s">
        <v>848</v>
      </c>
      <c r="M1680" s="4" t="s">
        <v>10124</v>
      </c>
    </row>
    <row r="1681" spans="1:13">
      <c r="A1681" s="2">
        <v>4320</v>
      </c>
      <c r="B1681" s="2" t="s">
        <v>10125</v>
      </c>
      <c r="C1681" s="2">
        <v>19</v>
      </c>
      <c r="D1681" s="2">
        <v>556</v>
      </c>
      <c r="E1681" s="2">
        <v>426</v>
      </c>
      <c r="F1681" s="2">
        <v>32441</v>
      </c>
      <c r="G1681" s="2">
        <v>2.6023364409999998</v>
      </c>
      <c r="H1681" s="2">
        <v>2.32062E-4</v>
      </c>
      <c r="I1681" s="2" t="s">
        <v>10126</v>
      </c>
      <c r="J1681" s="2" t="s">
        <v>10127</v>
      </c>
      <c r="K1681" s="2">
        <v>2.1027730000000001E-3</v>
      </c>
      <c r="L1681" s="2" t="s">
        <v>848</v>
      </c>
      <c r="M1681" s="4" t="s">
        <v>10128</v>
      </c>
    </row>
    <row r="1682" spans="1:13">
      <c r="A1682" s="2">
        <v>4875</v>
      </c>
      <c r="B1682" s="2" t="s">
        <v>10129</v>
      </c>
      <c r="C1682" s="2">
        <v>32</v>
      </c>
      <c r="D1682" s="2">
        <v>556</v>
      </c>
      <c r="E1682" s="2">
        <v>929</v>
      </c>
      <c r="F1682" s="2">
        <v>32441</v>
      </c>
      <c r="G1682" s="2">
        <v>2.0098039970000001</v>
      </c>
      <c r="H1682" s="2">
        <v>2.3419099999999999E-4</v>
      </c>
      <c r="I1682" s="2" t="s">
        <v>10130</v>
      </c>
      <c r="J1682" s="2" t="s">
        <v>10131</v>
      </c>
      <c r="K1682" s="2">
        <v>2.1188240000000001E-3</v>
      </c>
      <c r="L1682" s="2" t="s">
        <v>848</v>
      </c>
      <c r="M1682" s="4" t="s">
        <v>10132</v>
      </c>
    </row>
    <row r="1683" spans="1:13">
      <c r="A1683" s="2">
        <v>2374</v>
      </c>
      <c r="B1683" s="2" t="s">
        <v>10133</v>
      </c>
      <c r="C1683" s="2">
        <v>6</v>
      </c>
      <c r="D1683" s="2">
        <v>556</v>
      </c>
      <c r="E1683" s="2">
        <v>46</v>
      </c>
      <c r="F1683" s="2">
        <v>32441</v>
      </c>
      <c r="G1683" s="2">
        <v>7.610494213</v>
      </c>
      <c r="H1683" s="2">
        <v>2.3503799999999999E-4</v>
      </c>
      <c r="I1683" s="2" t="s">
        <v>10134</v>
      </c>
      <c r="J1683" s="2" t="s">
        <v>10135</v>
      </c>
      <c r="K1683" s="2">
        <v>2.1232389999999999E-3</v>
      </c>
      <c r="L1683" s="2" t="s">
        <v>848</v>
      </c>
      <c r="M1683" s="4" t="s">
        <v>10136</v>
      </c>
    </row>
    <row r="1684" spans="1:13">
      <c r="A1684" s="2">
        <v>239</v>
      </c>
      <c r="B1684" s="2" t="s">
        <v>10137</v>
      </c>
      <c r="C1684" s="2">
        <v>9</v>
      </c>
      <c r="D1684" s="2">
        <v>556</v>
      </c>
      <c r="E1684" s="2">
        <v>114</v>
      </c>
      <c r="F1684" s="2">
        <v>32441</v>
      </c>
      <c r="G1684" s="2">
        <v>4.606351761</v>
      </c>
      <c r="H1684" s="2">
        <v>2.4680999999999998E-4</v>
      </c>
      <c r="I1684" s="2" t="s">
        <v>10138</v>
      </c>
      <c r="J1684" s="2" t="s">
        <v>10139</v>
      </c>
      <c r="K1684" s="2">
        <v>2.2254200000000001E-3</v>
      </c>
      <c r="L1684" s="2" t="s">
        <v>848</v>
      </c>
      <c r="M1684" s="4" t="s">
        <v>10140</v>
      </c>
    </row>
    <row r="1685" spans="1:13">
      <c r="A1685" s="2">
        <v>505</v>
      </c>
      <c r="B1685" s="2" t="s">
        <v>10141</v>
      </c>
      <c r="C1685" s="2">
        <v>5</v>
      </c>
      <c r="D1685" s="2">
        <v>556</v>
      </c>
      <c r="E1685" s="2">
        <v>29</v>
      </c>
      <c r="F1685" s="2">
        <v>32441</v>
      </c>
      <c r="G1685" s="2">
        <v>10.059848669999999</v>
      </c>
      <c r="H1685" s="2">
        <v>2.4785399999999999E-4</v>
      </c>
      <c r="I1685" s="2" t="s">
        <v>9899</v>
      </c>
      <c r="J1685" s="2" t="s">
        <v>9900</v>
      </c>
      <c r="K1685" s="2">
        <v>2.2254200000000001E-3</v>
      </c>
      <c r="L1685" s="2" t="s">
        <v>848</v>
      </c>
      <c r="M1685" s="4" t="s">
        <v>10142</v>
      </c>
    </row>
    <row r="1686" spans="1:13">
      <c r="A1686" s="2">
        <v>717</v>
      </c>
      <c r="B1686" s="2" t="s">
        <v>10143</v>
      </c>
      <c r="C1686" s="2">
        <v>5</v>
      </c>
      <c r="D1686" s="2">
        <v>556</v>
      </c>
      <c r="E1686" s="2">
        <v>29</v>
      </c>
      <c r="F1686" s="2">
        <v>32441</v>
      </c>
      <c r="G1686" s="2">
        <v>10.059848669999999</v>
      </c>
      <c r="H1686" s="2">
        <v>2.4785399999999999E-4</v>
      </c>
      <c r="I1686" s="2" t="s">
        <v>10144</v>
      </c>
      <c r="J1686" s="2" t="s">
        <v>10145</v>
      </c>
      <c r="K1686" s="2">
        <v>2.2254200000000001E-3</v>
      </c>
      <c r="L1686" s="2" t="s">
        <v>848</v>
      </c>
      <c r="M1686" s="4" t="s">
        <v>10146</v>
      </c>
    </row>
    <row r="1687" spans="1:13">
      <c r="A1687" s="2">
        <v>4919</v>
      </c>
      <c r="B1687" s="2" t="s">
        <v>10147</v>
      </c>
      <c r="C1687" s="2">
        <v>44</v>
      </c>
      <c r="D1687" s="2">
        <v>556</v>
      </c>
      <c r="E1687" s="2">
        <v>1445</v>
      </c>
      <c r="F1687" s="2">
        <v>32441</v>
      </c>
      <c r="G1687" s="2">
        <v>1.7766597790000001</v>
      </c>
      <c r="H1687" s="2">
        <v>2.4773500000000001E-4</v>
      </c>
      <c r="I1687" s="2" t="s">
        <v>10148</v>
      </c>
      <c r="J1687" s="2" t="s">
        <v>10149</v>
      </c>
      <c r="K1687" s="2">
        <v>2.2254200000000001E-3</v>
      </c>
      <c r="L1687" s="2" t="s">
        <v>848</v>
      </c>
      <c r="M1687" s="4" t="s">
        <v>10150</v>
      </c>
    </row>
    <row r="1688" spans="1:13">
      <c r="A1688" s="2">
        <v>3203</v>
      </c>
      <c r="B1688" s="2" t="s">
        <v>962</v>
      </c>
      <c r="C1688" s="2">
        <v>52</v>
      </c>
      <c r="D1688" s="2">
        <v>556</v>
      </c>
      <c r="E1688" s="2">
        <v>1805</v>
      </c>
      <c r="F1688" s="2">
        <v>32441</v>
      </c>
      <c r="G1688" s="2">
        <v>1.680914327</v>
      </c>
      <c r="H1688" s="2">
        <v>2.5280099999999998E-4</v>
      </c>
      <c r="I1688" s="2" t="s">
        <v>10151</v>
      </c>
      <c r="J1688" s="2" t="s">
        <v>10152</v>
      </c>
      <c r="K1688" s="2">
        <v>2.262975E-3</v>
      </c>
      <c r="L1688" s="2" t="s">
        <v>848</v>
      </c>
      <c r="M1688" s="4" t="s">
        <v>10153</v>
      </c>
    </row>
    <row r="1689" spans="1:13">
      <c r="A1689" s="2">
        <v>3576</v>
      </c>
      <c r="B1689" s="2" t="s">
        <v>10154</v>
      </c>
      <c r="C1689" s="2">
        <v>4</v>
      </c>
      <c r="D1689" s="2">
        <v>556</v>
      </c>
      <c r="E1689" s="2">
        <v>15</v>
      </c>
      <c r="F1689" s="2">
        <v>32441</v>
      </c>
      <c r="G1689" s="2">
        <v>15.55923261</v>
      </c>
      <c r="H1689" s="2">
        <v>2.5276900000000002E-4</v>
      </c>
      <c r="I1689" s="2" t="s">
        <v>10155</v>
      </c>
      <c r="J1689" s="2" t="s">
        <v>10156</v>
      </c>
      <c r="K1689" s="2">
        <v>2.262975E-3</v>
      </c>
      <c r="L1689" s="2" t="s">
        <v>848</v>
      </c>
      <c r="M1689" s="4" t="s">
        <v>10157</v>
      </c>
    </row>
    <row r="1690" spans="1:13">
      <c r="A1690" s="2">
        <v>3504</v>
      </c>
      <c r="B1690" s="2" t="s">
        <v>10158</v>
      </c>
      <c r="C1690" s="2">
        <v>6</v>
      </c>
      <c r="D1690" s="2">
        <v>556</v>
      </c>
      <c r="E1690" s="2">
        <v>47</v>
      </c>
      <c r="F1690" s="2">
        <v>32441</v>
      </c>
      <c r="G1690" s="2">
        <v>7.4485688049999998</v>
      </c>
      <c r="H1690" s="2">
        <v>2.6130700000000001E-4</v>
      </c>
      <c r="I1690" s="2" t="s">
        <v>10159</v>
      </c>
      <c r="J1690" s="2" t="s">
        <v>10160</v>
      </c>
      <c r="K1690" s="2">
        <v>2.332059E-3</v>
      </c>
      <c r="L1690" s="2" t="s">
        <v>848</v>
      </c>
      <c r="M1690" s="4" t="s">
        <v>10161</v>
      </c>
    </row>
    <row r="1691" spans="1:13">
      <c r="A1691" s="2">
        <v>3921</v>
      </c>
      <c r="B1691" s="2" t="s">
        <v>10162</v>
      </c>
      <c r="C1691" s="2">
        <v>6</v>
      </c>
      <c r="D1691" s="2">
        <v>556</v>
      </c>
      <c r="E1691" s="2">
        <v>47</v>
      </c>
      <c r="F1691" s="2">
        <v>32441</v>
      </c>
      <c r="G1691" s="2">
        <v>7.4485688049999998</v>
      </c>
      <c r="H1691" s="2">
        <v>2.6130700000000001E-4</v>
      </c>
      <c r="I1691" s="2" t="s">
        <v>10163</v>
      </c>
      <c r="J1691" s="2" t="s">
        <v>10164</v>
      </c>
      <c r="K1691" s="2">
        <v>2.332059E-3</v>
      </c>
      <c r="L1691" s="2" t="s">
        <v>848</v>
      </c>
      <c r="M1691" s="4" t="s">
        <v>10165</v>
      </c>
    </row>
    <row r="1692" spans="1:13">
      <c r="A1692" s="2">
        <v>5865</v>
      </c>
      <c r="B1692" s="2" t="s">
        <v>10166</v>
      </c>
      <c r="C1692" s="2">
        <v>40</v>
      </c>
      <c r="D1692" s="2">
        <v>556</v>
      </c>
      <c r="E1692" s="2">
        <v>1276</v>
      </c>
      <c r="F1692" s="2">
        <v>32441</v>
      </c>
      <c r="G1692" s="2">
        <v>1.8290633949999999</v>
      </c>
      <c r="H1692" s="2">
        <v>2.7031100000000002E-4</v>
      </c>
      <c r="I1692" s="2" t="s">
        <v>10167</v>
      </c>
      <c r="J1692" s="2" t="s">
        <v>10168</v>
      </c>
      <c r="K1692" s="2">
        <v>2.4087790000000002E-3</v>
      </c>
      <c r="L1692" s="2" t="s">
        <v>848</v>
      </c>
      <c r="M1692" s="4" t="s">
        <v>10169</v>
      </c>
    </row>
    <row r="1693" spans="1:13">
      <c r="A1693" s="2">
        <v>24821</v>
      </c>
      <c r="B1693" s="2" t="s">
        <v>10170</v>
      </c>
      <c r="C1693" s="2">
        <v>21</v>
      </c>
      <c r="D1693" s="2">
        <v>556</v>
      </c>
      <c r="E1693" s="2">
        <v>505</v>
      </c>
      <c r="F1693" s="2">
        <v>32441</v>
      </c>
      <c r="G1693" s="2">
        <v>2.4263159769999998</v>
      </c>
      <c r="H1693" s="2">
        <v>2.7568699999999999E-4</v>
      </c>
      <c r="I1693" s="2" t="s">
        <v>10171</v>
      </c>
      <c r="J1693" s="2" t="s">
        <v>10172</v>
      </c>
      <c r="K1693" s="2">
        <v>2.4529949999999999E-3</v>
      </c>
      <c r="L1693" s="2" t="s">
        <v>848</v>
      </c>
      <c r="M1693" s="4" t="s">
        <v>10173</v>
      </c>
    </row>
    <row r="1694" spans="1:13">
      <c r="A1694" s="2">
        <v>5311</v>
      </c>
      <c r="B1694" s="2" t="s">
        <v>10174</v>
      </c>
      <c r="C1694" s="2">
        <v>9</v>
      </c>
      <c r="D1694" s="2">
        <v>556</v>
      </c>
      <c r="E1694" s="2">
        <v>116</v>
      </c>
      <c r="F1694" s="2">
        <v>32441</v>
      </c>
      <c r="G1694" s="2">
        <v>4.5269319030000004</v>
      </c>
      <c r="H1694" s="2">
        <v>2.78421E-4</v>
      </c>
      <c r="I1694" s="2" t="s">
        <v>10175</v>
      </c>
      <c r="J1694" s="2" t="s">
        <v>10176</v>
      </c>
      <c r="K1694" s="2">
        <v>2.473603E-3</v>
      </c>
      <c r="L1694" s="2" t="s">
        <v>848</v>
      </c>
      <c r="M1694" s="4" t="s">
        <v>10177</v>
      </c>
    </row>
    <row r="1695" spans="1:13">
      <c r="A1695" s="2">
        <v>499</v>
      </c>
      <c r="B1695" s="2" t="s">
        <v>10178</v>
      </c>
      <c r="C1695" s="2">
        <v>5</v>
      </c>
      <c r="D1695" s="2">
        <v>556</v>
      </c>
      <c r="E1695" s="2">
        <v>30</v>
      </c>
      <c r="F1695" s="2">
        <v>32441</v>
      </c>
      <c r="G1695" s="2">
        <v>9.7245203839999999</v>
      </c>
      <c r="H1695" s="2">
        <v>2.8518400000000001E-4</v>
      </c>
      <c r="I1695" s="2" t="s">
        <v>10179</v>
      </c>
      <c r="J1695" s="2" t="s">
        <v>10180</v>
      </c>
      <c r="K1695" s="2">
        <v>2.522327E-3</v>
      </c>
      <c r="L1695" s="2" t="s">
        <v>848</v>
      </c>
      <c r="M1695" s="4" t="s">
        <v>10181</v>
      </c>
    </row>
    <row r="1696" spans="1:13">
      <c r="A1696" s="2">
        <v>2403</v>
      </c>
      <c r="B1696" s="2" t="s">
        <v>10182</v>
      </c>
      <c r="C1696" s="2">
        <v>5</v>
      </c>
      <c r="D1696" s="2">
        <v>556</v>
      </c>
      <c r="E1696" s="2">
        <v>30</v>
      </c>
      <c r="F1696" s="2">
        <v>32441</v>
      </c>
      <c r="G1696" s="2">
        <v>9.7245203839999999</v>
      </c>
      <c r="H1696" s="2">
        <v>2.8518400000000001E-4</v>
      </c>
      <c r="I1696" s="2" t="s">
        <v>10183</v>
      </c>
      <c r="J1696" s="2" t="s">
        <v>10184</v>
      </c>
      <c r="K1696" s="2">
        <v>2.522327E-3</v>
      </c>
      <c r="L1696" s="2" t="s">
        <v>848</v>
      </c>
      <c r="M1696" s="4" t="s">
        <v>10185</v>
      </c>
    </row>
    <row r="1697" spans="1:13">
      <c r="A1697" s="2">
        <v>5604</v>
      </c>
      <c r="B1697" s="2" t="s">
        <v>10186</v>
      </c>
      <c r="C1697" s="2">
        <v>5</v>
      </c>
      <c r="D1697" s="2">
        <v>556</v>
      </c>
      <c r="E1697" s="2">
        <v>30</v>
      </c>
      <c r="F1697" s="2">
        <v>32441</v>
      </c>
      <c r="G1697" s="2">
        <v>9.7245203839999999</v>
      </c>
      <c r="H1697" s="2">
        <v>2.8518400000000001E-4</v>
      </c>
      <c r="I1697" s="2" t="s">
        <v>10187</v>
      </c>
      <c r="J1697" s="2" t="s">
        <v>10188</v>
      </c>
      <c r="K1697" s="2">
        <v>2.522327E-3</v>
      </c>
      <c r="L1697" s="2" t="s">
        <v>848</v>
      </c>
      <c r="M1697" s="4" t="s">
        <v>10189</v>
      </c>
    </row>
    <row r="1698" spans="1:13">
      <c r="A1698" s="2">
        <v>489</v>
      </c>
      <c r="B1698" s="2" t="s">
        <v>10190</v>
      </c>
      <c r="C1698" s="2">
        <v>6</v>
      </c>
      <c r="D1698" s="2">
        <v>556</v>
      </c>
      <c r="E1698" s="2">
        <v>48</v>
      </c>
      <c r="F1698" s="2">
        <v>32441</v>
      </c>
      <c r="G1698" s="2">
        <v>7.2933902880000003</v>
      </c>
      <c r="H1698" s="2">
        <v>2.89828E-4</v>
      </c>
      <c r="I1698" s="2" t="s">
        <v>10191</v>
      </c>
      <c r="J1698" s="2" t="s">
        <v>10192</v>
      </c>
      <c r="K1698" s="2">
        <v>2.5368560000000001E-3</v>
      </c>
      <c r="L1698" s="2" t="s">
        <v>848</v>
      </c>
      <c r="M1698" s="4" t="s">
        <v>10193</v>
      </c>
    </row>
    <row r="1699" spans="1:13">
      <c r="A1699" s="2">
        <v>5411</v>
      </c>
      <c r="B1699" s="2" t="s">
        <v>10194</v>
      </c>
      <c r="C1699" s="2">
        <v>23</v>
      </c>
      <c r="D1699" s="2">
        <v>556</v>
      </c>
      <c r="E1699" s="2">
        <v>582</v>
      </c>
      <c r="F1699" s="2">
        <v>32441</v>
      </c>
      <c r="G1699" s="2">
        <v>2.3058141120000002</v>
      </c>
      <c r="H1699" s="2">
        <v>2.8906599999999999E-4</v>
      </c>
      <c r="I1699" s="2" t="s">
        <v>10195</v>
      </c>
      <c r="J1699" s="2" t="s">
        <v>10196</v>
      </c>
      <c r="K1699" s="2">
        <v>2.5368560000000001E-3</v>
      </c>
      <c r="L1699" s="2" t="s">
        <v>848</v>
      </c>
      <c r="M1699" s="4" t="s">
        <v>10197</v>
      </c>
    </row>
    <row r="1700" spans="1:13">
      <c r="A1700" s="2">
        <v>1903</v>
      </c>
      <c r="B1700" s="2" t="s">
        <v>10198</v>
      </c>
      <c r="C1700" s="2">
        <v>6</v>
      </c>
      <c r="D1700" s="2">
        <v>556</v>
      </c>
      <c r="E1700" s="2">
        <v>48</v>
      </c>
      <c r="F1700" s="2">
        <v>32441</v>
      </c>
      <c r="G1700" s="2">
        <v>7.2933902880000003</v>
      </c>
      <c r="H1700" s="2">
        <v>2.89828E-4</v>
      </c>
      <c r="I1700" s="2" t="s">
        <v>9975</v>
      </c>
      <c r="J1700" s="2" t="s">
        <v>9976</v>
      </c>
      <c r="K1700" s="2">
        <v>2.5368560000000001E-3</v>
      </c>
      <c r="L1700" s="2" t="s">
        <v>848</v>
      </c>
      <c r="M1700" s="4" t="s">
        <v>10199</v>
      </c>
    </row>
    <row r="1701" spans="1:13">
      <c r="A1701" s="2">
        <v>26571</v>
      </c>
      <c r="B1701" s="2" t="s">
        <v>10200</v>
      </c>
      <c r="C1701" s="2">
        <v>34</v>
      </c>
      <c r="D1701" s="2">
        <v>556</v>
      </c>
      <c r="E1701" s="2">
        <v>1024</v>
      </c>
      <c r="F1701" s="2">
        <v>32441</v>
      </c>
      <c r="G1701" s="2">
        <v>1.937306795</v>
      </c>
      <c r="H1701" s="2">
        <v>2.8884800000000002E-4</v>
      </c>
      <c r="I1701" s="2" t="s">
        <v>10201</v>
      </c>
      <c r="J1701" s="2" t="s">
        <v>10202</v>
      </c>
      <c r="K1701" s="2">
        <v>2.5368560000000001E-3</v>
      </c>
      <c r="L1701" s="2" t="s">
        <v>848</v>
      </c>
      <c r="M1701" s="4" t="s">
        <v>10203</v>
      </c>
    </row>
    <row r="1702" spans="1:13">
      <c r="A1702" s="2">
        <v>3448</v>
      </c>
      <c r="B1702" s="2" t="s">
        <v>10204</v>
      </c>
      <c r="C1702" s="2">
        <v>6</v>
      </c>
      <c r="D1702" s="2">
        <v>556</v>
      </c>
      <c r="E1702" s="2">
        <v>48</v>
      </c>
      <c r="F1702" s="2">
        <v>32441</v>
      </c>
      <c r="G1702" s="2">
        <v>7.2933902880000003</v>
      </c>
      <c r="H1702" s="2">
        <v>2.89828E-4</v>
      </c>
      <c r="I1702" s="2" t="s">
        <v>9915</v>
      </c>
      <c r="J1702" s="2" t="s">
        <v>9916</v>
      </c>
      <c r="K1702" s="2">
        <v>2.5368560000000001E-3</v>
      </c>
      <c r="L1702" s="2" t="s">
        <v>848</v>
      </c>
      <c r="M1702" s="4" t="s">
        <v>10205</v>
      </c>
    </row>
    <row r="1703" spans="1:13">
      <c r="A1703" s="2">
        <v>3584</v>
      </c>
      <c r="B1703" s="2" t="s">
        <v>10206</v>
      </c>
      <c r="C1703" s="2">
        <v>20</v>
      </c>
      <c r="D1703" s="2">
        <v>556</v>
      </c>
      <c r="E1703" s="2">
        <v>470</v>
      </c>
      <c r="F1703" s="2">
        <v>32441</v>
      </c>
      <c r="G1703" s="2">
        <v>2.4828562679999999</v>
      </c>
      <c r="H1703" s="2">
        <v>2.88254E-4</v>
      </c>
      <c r="I1703" s="2" t="s">
        <v>10207</v>
      </c>
      <c r="J1703" s="2" t="s">
        <v>10208</v>
      </c>
      <c r="K1703" s="2">
        <v>2.5368560000000001E-3</v>
      </c>
      <c r="L1703" s="2" t="s">
        <v>848</v>
      </c>
      <c r="M1703" s="4" t="s">
        <v>10209</v>
      </c>
    </row>
    <row r="1704" spans="1:13">
      <c r="A1704" s="2">
        <v>5565</v>
      </c>
      <c r="B1704" s="2" t="s">
        <v>10210</v>
      </c>
      <c r="C1704" s="2">
        <v>6</v>
      </c>
      <c r="D1704" s="2">
        <v>556</v>
      </c>
      <c r="E1704" s="2">
        <v>48</v>
      </c>
      <c r="F1704" s="2">
        <v>32441</v>
      </c>
      <c r="G1704" s="2">
        <v>7.2933902880000003</v>
      </c>
      <c r="H1704" s="2">
        <v>2.89828E-4</v>
      </c>
      <c r="I1704" s="2" t="s">
        <v>10211</v>
      </c>
      <c r="J1704" s="2" t="s">
        <v>10212</v>
      </c>
      <c r="K1704" s="2">
        <v>2.5368560000000001E-3</v>
      </c>
      <c r="L1704" s="2" t="s">
        <v>848</v>
      </c>
      <c r="M1704" s="4" t="s">
        <v>10213</v>
      </c>
    </row>
    <row r="1705" spans="1:13">
      <c r="A1705" s="2">
        <v>428</v>
      </c>
      <c r="B1705" s="2" t="s">
        <v>10214</v>
      </c>
      <c r="C1705" s="2">
        <v>14</v>
      </c>
      <c r="D1705" s="2">
        <v>556</v>
      </c>
      <c r="E1705" s="2">
        <v>264</v>
      </c>
      <c r="F1705" s="2">
        <v>32441</v>
      </c>
      <c r="G1705" s="2">
        <v>3.0941655770000001</v>
      </c>
      <c r="H1705" s="2">
        <v>2.9804700000000001E-4</v>
      </c>
      <c r="I1705" s="2" t="s">
        <v>10215</v>
      </c>
      <c r="J1705" s="2" t="s">
        <v>10216</v>
      </c>
      <c r="K1705" s="2">
        <v>2.6049419999999998E-3</v>
      </c>
      <c r="L1705" s="2" t="s">
        <v>848</v>
      </c>
      <c r="M1705" s="4" t="s">
        <v>10217</v>
      </c>
    </row>
    <row r="1706" spans="1:13">
      <c r="A1706" s="2">
        <v>81</v>
      </c>
      <c r="B1706" s="2" t="s">
        <v>10218</v>
      </c>
      <c r="C1706" s="2">
        <v>4</v>
      </c>
      <c r="D1706" s="2">
        <v>556</v>
      </c>
      <c r="E1706" s="2">
        <v>16</v>
      </c>
      <c r="F1706" s="2">
        <v>32441</v>
      </c>
      <c r="G1706" s="2">
        <v>14.586780579999999</v>
      </c>
      <c r="H1706" s="2">
        <v>3.1176799999999997E-4</v>
      </c>
      <c r="I1706" s="2" t="s">
        <v>10219</v>
      </c>
      <c r="J1706" s="2" t="s">
        <v>10220</v>
      </c>
      <c r="K1706" s="2">
        <v>2.7048810000000001E-3</v>
      </c>
      <c r="L1706" s="2" t="s">
        <v>848</v>
      </c>
      <c r="M1706" s="4" t="s">
        <v>10221</v>
      </c>
    </row>
    <row r="1707" spans="1:13">
      <c r="A1707" s="2">
        <v>2291</v>
      </c>
      <c r="B1707" s="2" t="s">
        <v>10222</v>
      </c>
      <c r="C1707" s="2">
        <v>4</v>
      </c>
      <c r="D1707" s="2">
        <v>556</v>
      </c>
      <c r="E1707" s="2">
        <v>16</v>
      </c>
      <c r="F1707" s="2">
        <v>32441</v>
      </c>
      <c r="G1707" s="2">
        <v>14.586780579999999</v>
      </c>
      <c r="H1707" s="2">
        <v>3.1176799999999997E-4</v>
      </c>
      <c r="I1707" s="2" t="s">
        <v>10223</v>
      </c>
      <c r="J1707" s="2" t="s">
        <v>10224</v>
      </c>
      <c r="K1707" s="2">
        <v>2.7048810000000001E-3</v>
      </c>
      <c r="L1707" s="2" t="s">
        <v>848</v>
      </c>
      <c r="M1707" s="4" t="s">
        <v>10225</v>
      </c>
    </row>
    <row r="1708" spans="1:13">
      <c r="A1708" s="2">
        <v>44281</v>
      </c>
      <c r="B1708" s="2" t="s">
        <v>10226</v>
      </c>
      <c r="C1708" s="2">
        <v>4</v>
      </c>
      <c r="D1708" s="2">
        <v>556</v>
      </c>
      <c r="E1708" s="2">
        <v>16</v>
      </c>
      <c r="F1708" s="2">
        <v>32441</v>
      </c>
      <c r="G1708" s="2">
        <v>14.586780579999999</v>
      </c>
      <c r="H1708" s="2">
        <v>3.1176799999999997E-4</v>
      </c>
      <c r="I1708" s="2" t="s">
        <v>10227</v>
      </c>
      <c r="J1708" s="2" t="s">
        <v>10228</v>
      </c>
      <c r="K1708" s="2">
        <v>2.7048810000000001E-3</v>
      </c>
      <c r="L1708" s="2" t="s">
        <v>848</v>
      </c>
      <c r="M1708" s="4" t="s">
        <v>10229</v>
      </c>
    </row>
    <row r="1709" spans="1:13">
      <c r="A1709" s="2">
        <v>53911</v>
      </c>
      <c r="B1709" s="2" t="s">
        <v>10230</v>
      </c>
      <c r="C1709" s="2">
        <v>11</v>
      </c>
      <c r="D1709" s="2">
        <v>556</v>
      </c>
      <c r="E1709" s="2">
        <v>173</v>
      </c>
      <c r="F1709" s="2">
        <v>32441</v>
      </c>
      <c r="G1709" s="2">
        <v>3.7099326320000001</v>
      </c>
      <c r="H1709" s="2">
        <v>3.1068699999999997E-4</v>
      </c>
      <c r="I1709" s="2" t="s">
        <v>10231</v>
      </c>
      <c r="J1709" s="2" t="s">
        <v>10232</v>
      </c>
      <c r="K1709" s="2">
        <v>2.7048810000000001E-3</v>
      </c>
      <c r="L1709" s="2" t="s">
        <v>848</v>
      </c>
      <c r="M1709" s="4" t="s">
        <v>10233</v>
      </c>
    </row>
    <row r="1710" spans="1:13">
      <c r="A1710" s="2">
        <v>5568</v>
      </c>
      <c r="B1710" s="2" t="s">
        <v>10234</v>
      </c>
      <c r="C1710" s="2">
        <v>4</v>
      </c>
      <c r="D1710" s="2">
        <v>556</v>
      </c>
      <c r="E1710" s="2">
        <v>16</v>
      </c>
      <c r="F1710" s="2">
        <v>32441</v>
      </c>
      <c r="G1710" s="2">
        <v>14.586780579999999</v>
      </c>
      <c r="H1710" s="2">
        <v>3.1176799999999997E-4</v>
      </c>
      <c r="I1710" s="2" t="s">
        <v>10235</v>
      </c>
      <c r="J1710" s="2" t="s">
        <v>10236</v>
      </c>
      <c r="K1710" s="2">
        <v>2.7048810000000001E-3</v>
      </c>
      <c r="L1710" s="2" t="s">
        <v>848</v>
      </c>
      <c r="M1710" s="4" t="s">
        <v>10237</v>
      </c>
    </row>
    <row r="1711" spans="1:13">
      <c r="A1711" s="2">
        <v>1198</v>
      </c>
      <c r="B1711" s="2" t="s">
        <v>10238</v>
      </c>
      <c r="C1711" s="2">
        <v>19</v>
      </c>
      <c r="D1711" s="2">
        <v>556</v>
      </c>
      <c r="E1711" s="2">
        <v>437</v>
      </c>
      <c r="F1711" s="2">
        <v>32441</v>
      </c>
      <c r="G1711" s="2">
        <v>2.536831404</v>
      </c>
      <c r="H1711" s="2">
        <v>3.1452100000000001E-4</v>
      </c>
      <c r="I1711" s="2" t="s">
        <v>10239</v>
      </c>
      <c r="J1711" s="2" t="s">
        <v>10240</v>
      </c>
      <c r="K1711" s="2">
        <v>2.7247759999999999E-3</v>
      </c>
      <c r="L1711" s="2" t="s">
        <v>848</v>
      </c>
      <c r="M1711" s="4" t="s">
        <v>10241</v>
      </c>
    </row>
    <row r="1712" spans="1:13">
      <c r="A1712" s="2">
        <v>5891</v>
      </c>
      <c r="B1712" s="2" t="s">
        <v>10242</v>
      </c>
      <c r="C1712" s="2">
        <v>7</v>
      </c>
      <c r="D1712" s="2">
        <v>556</v>
      </c>
      <c r="E1712" s="2">
        <v>70</v>
      </c>
      <c r="F1712" s="2">
        <v>32441</v>
      </c>
      <c r="G1712" s="2">
        <v>5.8347122300000001</v>
      </c>
      <c r="H1712" s="2">
        <v>3.2256299999999999E-4</v>
      </c>
      <c r="I1712" s="2" t="s">
        <v>10243</v>
      </c>
      <c r="J1712" s="2" t="s">
        <v>10244</v>
      </c>
      <c r="K1712" s="2">
        <v>2.786288E-3</v>
      </c>
      <c r="L1712" s="2" t="s">
        <v>848</v>
      </c>
      <c r="M1712" s="4" t="s">
        <v>10245</v>
      </c>
    </row>
    <row r="1713" spans="1:13">
      <c r="A1713" s="2">
        <v>4939</v>
      </c>
      <c r="B1713" s="2" t="s">
        <v>10246</v>
      </c>
      <c r="C1713" s="2">
        <v>7</v>
      </c>
      <c r="D1713" s="2">
        <v>556</v>
      </c>
      <c r="E1713" s="2">
        <v>70</v>
      </c>
      <c r="F1713" s="2">
        <v>32441</v>
      </c>
      <c r="G1713" s="2">
        <v>5.8347122300000001</v>
      </c>
      <c r="H1713" s="2">
        <v>3.2256299999999999E-4</v>
      </c>
      <c r="I1713" s="2" t="s">
        <v>10247</v>
      </c>
      <c r="J1713" s="2" t="s">
        <v>10248</v>
      </c>
      <c r="K1713" s="2">
        <v>2.786288E-3</v>
      </c>
      <c r="L1713" s="2" t="s">
        <v>848</v>
      </c>
      <c r="M1713" s="4" t="s">
        <v>10249</v>
      </c>
    </row>
    <row r="1714" spans="1:13">
      <c r="A1714" s="2">
        <v>3540</v>
      </c>
      <c r="B1714" s="2" t="s">
        <v>10250</v>
      </c>
      <c r="C1714" s="2">
        <v>11</v>
      </c>
      <c r="D1714" s="2">
        <v>556</v>
      </c>
      <c r="E1714" s="2">
        <v>174</v>
      </c>
      <c r="F1714" s="2">
        <v>32441</v>
      </c>
      <c r="G1714" s="2">
        <v>3.6886111800000001</v>
      </c>
      <c r="H1714" s="2">
        <v>3.25414E-4</v>
      </c>
      <c r="I1714" s="2" t="s">
        <v>10251</v>
      </c>
      <c r="J1714" s="2" t="s">
        <v>10252</v>
      </c>
      <c r="K1714" s="2">
        <v>2.806818E-3</v>
      </c>
      <c r="L1714" s="2" t="s">
        <v>848</v>
      </c>
      <c r="M1714" s="4" t="s">
        <v>10253</v>
      </c>
    </row>
    <row r="1715" spans="1:13">
      <c r="A1715" s="2">
        <v>31881</v>
      </c>
      <c r="B1715" s="2" t="s">
        <v>10254</v>
      </c>
      <c r="C1715" s="2">
        <v>5</v>
      </c>
      <c r="D1715" s="2">
        <v>556</v>
      </c>
      <c r="E1715" s="2">
        <v>31</v>
      </c>
      <c r="F1715" s="2">
        <v>32441</v>
      </c>
      <c r="G1715" s="2">
        <v>9.4108261780000007</v>
      </c>
      <c r="H1715" s="2">
        <v>3.2662700000000002E-4</v>
      </c>
      <c r="I1715" s="2" t="s">
        <v>10255</v>
      </c>
      <c r="J1715" s="2" t="s">
        <v>10256</v>
      </c>
      <c r="K1715" s="2">
        <v>2.8090900000000002E-3</v>
      </c>
      <c r="L1715" s="2" t="s">
        <v>848</v>
      </c>
      <c r="M1715" s="4" t="s">
        <v>10257</v>
      </c>
    </row>
    <row r="1716" spans="1:13">
      <c r="A1716" s="2">
        <v>5729</v>
      </c>
      <c r="B1716" s="2" t="s">
        <v>10258</v>
      </c>
      <c r="C1716" s="2">
        <v>5</v>
      </c>
      <c r="D1716" s="2">
        <v>556</v>
      </c>
      <c r="E1716" s="2">
        <v>31</v>
      </c>
      <c r="F1716" s="2">
        <v>32441</v>
      </c>
      <c r="G1716" s="2">
        <v>9.4108261780000007</v>
      </c>
      <c r="H1716" s="2">
        <v>3.2662700000000002E-4</v>
      </c>
      <c r="I1716" s="2" t="s">
        <v>10259</v>
      </c>
      <c r="J1716" s="2" t="s">
        <v>10260</v>
      </c>
      <c r="K1716" s="2">
        <v>2.8090900000000002E-3</v>
      </c>
      <c r="L1716" s="2" t="s">
        <v>848</v>
      </c>
      <c r="M1716" s="4" t="s">
        <v>10261</v>
      </c>
    </row>
    <row r="1717" spans="1:13">
      <c r="A1717" s="2">
        <v>813</v>
      </c>
      <c r="B1717" s="2" t="s">
        <v>10262</v>
      </c>
      <c r="C1717" s="2">
        <v>9</v>
      </c>
      <c r="D1717" s="2">
        <v>556</v>
      </c>
      <c r="E1717" s="2">
        <v>119</v>
      </c>
      <c r="F1717" s="2">
        <v>32441</v>
      </c>
      <c r="G1717" s="2">
        <v>4.4128075689999999</v>
      </c>
      <c r="H1717" s="2">
        <v>3.3206700000000002E-4</v>
      </c>
      <c r="I1717" s="2" t="s">
        <v>10263</v>
      </c>
      <c r="J1717" s="2" t="s">
        <v>10264</v>
      </c>
      <c r="K1717" s="2">
        <v>2.8517289999999999E-3</v>
      </c>
      <c r="L1717" s="2" t="s">
        <v>848</v>
      </c>
      <c r="M1717" s="4" t="s">
        <v>10265</v>
      </c>
    </row>
    <row r="1718" spans="1:13">
      <c r="A1718" s="2">
        <v>5697</v>
      </c>
      <c r="B1718" s="2" t="s">
        <v>10266</v>
      </c>
      <c r="C1718" s="2">
        <v>50</v>
      </c>
      <c r="D1718" s="2">
        <v>556</v>
      </c>
      <c r="E1718" s="2">
        <v>1737</v>
      </c>
      <c r="F1718" s="2">
        <v>32441</v>
      </c>
      <c r="G1718" s="2">
        <v>1.6795371990000001</v>
      </c>
      <c r="H1718" s="2">
        <v>3.3875399999999998E-4</v>
      </c>
      <c r="I1718" s="2" t="s">
        <v>10267</v>
      </c>
      <c r="J1718" s="2" t="s">
        <v>10268</v>
      </c>
      <c r="K1718" s="2">
        <v>2.904939E-3</v>
      </c>
      <c r="L1718" s="2" t="s">
        <v>848</v>
      </c>
      <c r="M1718" s="4" t="s">
        <v>10269</v>
      </c>
    </row>
    <row r="1719" spans="1:13">
      <c r="A1719" s="2">
        <v>569</v>
      </c>
      <c r="B1719" s="2" t="s">
        <v>952</v>
      </c>
      <c r="C1719" s="2">
        <v>43</v>
      </c>
      <c r="D1719" s="2">
        <v>556</v>
      </c>
      <c r="E1719" s="2">
        <v>1423</v>
      </c>
      <c r="F1719" s="2">
        <v>32441</v>
      </c>
      <c r="G1719" s="2">
        <v>1.763124567</v>
      </c>
      <c r="H1719" s="2">
        <v>3.3962E-4</v>
      </c>
      <c r="I1719" s="2" t="s">
        <v>10270</v>
      </c>
      <c r="J1719" s="2" t="s">
        <v>10271</v>
      </c>
      <c r="K1719" s="2">
        <v>2.90815E-3</v>
      </c>
      <c r="L1719" s="2" t="s">
        <v>848</v>
      </c>
      <c r="M1719" s="4" t="s">
        <v>10272</v>
      </c>
    </row>
    <row r="1720" spans="1:13">
      <c r="A1720" s="2">
        <v>2263</v>
      </c>
      <c r="B1720" s="2" t="s">
        <v>10273</v>
      </c>
      <c r="C1720" s="2">
        <v>6</v>
      </c>
      <c r="D1720" s="2">
        <v>556</v>
      </c>
      <c r="E1720" s="2">
        <v>50</v>
      </c>
      <c r="F1720" s="2">
        <v>32441</v>
      </c>
      <c r="G1720" s="2">
        <v>7.0016546760000002</v>
      </c>
      <c r="H1720" s="2">
        <v>3.5416499999999998E-4</v>
      </c>
      <c r="I1720" s="2" t="s">
        <v>10274</v>
      </c>
      <c r="J1720" s="2" t="s">
        <v>10275</v>
      </c>
      <c r="K1720" s="2">
        <v>3.0195869999999998E-3</v>
      </c>
      <c r="L1720" s="2" t="s">
        <v>848</v>
      </c>
      <c r="M1720" s="4" t="s">
        <v>10276</v>
      </c>
    </row>
    <row r="1721" spans="1:13">
      <c r="A1721" s="2">
        <v>4267</v>
      </c>
      <c r="B1721" s="2" t="s">
        <v>10277</v>
      </c>
      <c r="C1721" s="2">
        <v>6</v>
      </c>
      <c r="D1721" s="2">
        <v>556</v>
      </c>
      <c r="E1721" s="2">
        <v>50</v>
      </c>
      <c r="F1721" s="2">
        <v>32441</v>
      </c>
      <c r="G1721" s="2">
        <v>7.0016546760000002</v>
      </c>
      <c r="H1721" s="2">
        <v>3.5416499999999998E-4</v>
      </c>
      <c r="I1721" s="2" t="s">
        <v>10278</v>
      </c>
      <c r="J1721" s="2" t="s">
        <v>10279</v>
      </c>
      <c r="K1721" s="2">
        <v>3.0195869999999998E-3</v>
      </c>
      <c r="L1721" s="2" t="s">
        <v>848</v>
      </c>
      <c r="M1721" s="4" t="s">
        <v>10280</v>
      </c>
    </row>
    <row r="1722" spans="1:13">
      <c r="A1722" s="2">
        <v>4894</v>
      </c>
      <c r="B1722" s="2" t="s">
        <v>10281</v>
      </c>
      <c r="C1722" s="2">
        <v>51</v>
      </c>
      <c r="D1722" s="2">
        <v>556</v>
      </c>
      <c r="E1722" s="2">
        <v>1786</v>
      </c>
      <c r="F1722" s="2">
        <v>32441</v>
      </c>
      <c r="G1722" s="2">
        <v>1.6661272330000001</v>
      </c>
      <c r="H1722" s="2">
        <v>3.5367500000000002E-4</v>
      </c>
      <c r="I1722" s="2" t="s">
        <v>10282</v>
      </c>
      <c r="J1722" s="2" t="s">
        <v>10283</v>
      </c>
      <c r="K1722" s="2">
        <v>3.0195869999999998E-3</v>
      </c>
      <c r="L1722" s="2" t="s">
        <v>848</v>
      </c>
      <c r="M1722" s="4" t="s">
        <v>10284</v>
      </c>
    </row>
    <row r="1723" spans="1:13">
      <c r="A1723" s="2">
        <v>1160</v>
      </c>
      <c r="B1723" s="2" t="s">
        <v>10285</v>
      </c>
      <c r="C1723" s="2">
        <v>20</v>
      </c>
      <c r="D1723" s="2">
        <v>556</v>
      </c>
      <c r="E1723" s="2">
        <v>479</v>
      </c>
      <c r="F1723" s="2">
        <v>32441</v>
      </c>
      <c r="G1723" s="2">
        <v>2.436205524</v>
      </c>
      <c r="H1723" s="2">
        <v>3.6365799999999999E-4</v>
      </c>
      <c r="I1723" s="2" t="s">
        <v>10286</v>
      </c>
      <c r="J1723" s="2" t="s">
        <v>10287</v>
      </c>
      <c r="K1723" s="2">
        <v>3.0960670000000001E-3</v>
      </c>
      <c r="L1723" s="2" t="s">
        <v>848</v>
      </c>
      <c r="M1723" s="4" t="s">
        <v>10288</v>
      </c>
    </row>
    <row r="1724" spans="1:13">
      <c r="A1724" s="2">
        <v>9291</v>
      </c>
      <c r="B1724" s="2" t="s">
        <v>10289</v>
      </c>
      <c r="C1724" s="2">
        <v>5</v>
      </c>
      <c r="D1724" s="2">
        <v>556</v>
      </c>
      <c r="E1724" s="2">
        <v>32</v>
      </c>
      <c r="F1724" s="2">
        <v>32441</v>
      </c>
      <c r="G1724" s="2">
        <v>9.1167378600000006</v>
      </c>
      <c r="H1724" s="2">
        <v>3.7247099999999998E-4</v>
      </c>
      <c r="I1724" s="2" t="s">
        <v>10290</v>
      </c>
      <c r="J1724" s="2" t="s">
        <v>10291</v>
      </c>
      <c r="K1724" s="2">
        <v>3.1619980000000001E-3</v>
      </c>
      <c r="L1724" s="2" t="s">
        <v>848</v>
      </c>
      <c r="M1724" s="4" t="s">
        <v>10292</v>
      </c>
    </row>
    <row r="1725" spans="1:13">
      <c r="A1725" s="2">
        <v>3213</v>
      </c>
      <c r="B1725" s="2" t="s">
        <v>10293</v>
      </c>
      <c r="C1725" s="2">
        <v>5</v>
      </c>
      <c r="D1725" s="2">
        <v>556</v>
      </c>
      <c r="E1725" s="2">
        <v>32</v>
      </c>
      <c r="F1725" s="2">
        <v>32441</v>
      </c>
      <c r="G1725" s="2">
        <v>9.1167378600000006</v>
      </c>
      <c r="H1725" s="2">
        <v>3.7247099999999998E-4</v>
      </c>
      <c r="I1725" s="2" t="s">
        <v>10294</v>
      </c>
      <c r="J1725" s="2" t="s">
        <v>10295</v>
      </c>
      <c r="K1725" s="2">
        <v>3.1619980000000001E-3</v>
      </c>
      <c r="L1725" s="2" t="s">
        <v>848</v>
      </c>
      <c r="M1725" s="4" t="s">
        <v>10296</v>
      </c>
    </row>
    <row r="1726" spans="1:13">
      <c r="A1726" s="2">
        <v>3315</v>
      </c>
      <c r="B1726" s="2" t="s">
        <v>10297</v>
      </c>
      <c r="C1726" s="2">
        <v>4</v>
      </c>
      <c r="D1726" s="2">
        <v>556</v>
      </c>
      <c r="E1726" s="2">
        <v>17</v>
      </c>
      <c r="F1726" s="2">
        <v>32441</v>
      </c>
      <c r="G1726" s="2">
        <v>13.728734660000001</v>
      </c>
      <c r="H1726" s="2">
        <v>3.8001499999999999E-4</v>
      </c>
      <c r="I1726" s="2" t="s">
        <v>10298</v>
      </c>
      <c r="J1726" s="2" t="s">
        <v>10299</v>
      </c>
      <c r="K1726" s="2">
        <v>3.2214209999999999E-3</v>
      </c>
      <c r="L1726" s="2" t="s">
        <v>848</v>
      </c>
      <c r="M1726" s="4" t="s">
        <v>10300</v>
      </c>
    </row>
    <row r="1727" spans="1:13">
      <c r="A1727" s="2">
        <v>562</v>
      </c>
      <c r="B1727" s="2" t="s">
        <v>10301</v>
      </c>
      <c r="C1727" s="2">
        <v>6</v>
      </c>
      <c r="D1727" s="2">
        <v>556</v>
      </c>
      <c r="E1727" s="2">
        <v>51</v>
      </c>
      <c r="F1727" s="2">
        <v>32441</v>
      </c>
      <c r="G1727" s="2">
        <v>6.8643673300000003</v>
      </c>
      <c r="H1727" s="2">
        <v>3.9025900000000001E-4</v>
      </c>
      <c r="I1727" s="2" t="s">
        <v>10302</v>
      </c>
      <c r="J1727" s="2" t="s">
        <v>10303</v>
      </c>
      <c r="K1727" s="2">
        <v>3.2988039999999998E-3</v>
      </c>
      <c r="L1727" s="2" t="s">
        <v>848</v>
      </c>
      <c r="M1727" s="4" t="s">
        <v>10304</v>
      </c>
    </row>
    <row r="1728" spans="1:13">
      <c r="A1728" s="2">
        <v>27001</v>
      </c>
      <c r="B1728" s="2" t="s">
        <v>10305</v>
      </c>
      <c r="C1728" s="2">
        <v>6</v>
      </c>
      <c r="D1728" s="2">
        <v>556</v>
      </c>
      <c r="E1728" s="2">
        <v>51</v>
      </c>
      <c r="F1728" s="2">
        <v>32441</v>
      </c>
      <c r="G1728" s="2">
        <v>6.8643673300000003</v>
      </c>
      <c r="H1728" s="2">
        <v>3.9025900000000001E-4</v>
      </c>
      <c r="I1728" s="2" t="s">
        <v>10306</v>
      </c>
      <c r="J1728" s="2" t="s">
        <v>10307</v>
      </c>
      <c r="K1728" s="2">
        <v>3.2988039999999998E-3</v>
      </c>
      <c r="L1728" s="2" t="s">
        <v>848</v>
      </c>
      <c r="M1728" s="4" t="s">
        <v>10308</v>
      </c>
    </row>
    <row r="1729" spans="1:13">
      <c r="A1729" s="2">
        <v>1530</v>
      </c>
      <c r="B1729" s="2" t="s">
        <v>10309</v>
      </c>
      <c r="C1729" s="2">
        <v>22</v>
      </c>
      <c r="D1729" s="2">
        <v>556</v>
      </c>
      <c r="E1729" s="2">
        <v>558</v>
      </c>
      <c r="F1729" s="2">
        <v>32441</v>
      </c>
      <c r="G1729" s="2">
        <v>2.300424177</v>
      </c>
      <c r="H1729" s="2">
        <v>4.0066899999999998E-4</v>
      </c>
      <c r="I1729" s="2" t="s">
        <v>10310</v>
      </c>
      <c r="J1729" s="2" t="s">
        <v>10311</v>
      </c>
      <c r="K1729" s="2">
        <v>3.3819660000000001E-3</v>
      </c>
      <c r="L1729" s="2" t="s">
        <v>848</v>
      </c>
      <c r="M1729" s="4" t="s">
        <v>10312</v>
      </c>
    </row>
    <row r="1730" spans="1:13">
      <c r="A1730" s="2">
        <v>3932</v>
      </c>
      <c r="B1730" s="2" t="s">
        <v>10313</v>
      </c>
      <c r="C1730" s="2">
        <v>8</v>
      </c>
      <c r="D1730" s="2">
        <v>556</v>
      </c>
      <c r="E1730" s="2">
        <v>97</v>
      </c>
      <c r="F1730" s="2">
        <v>32441</v>
      </c>
      <c r="G1730" s="2">
        <v>4.8121337979999996</v>
      </c>
      <c r="H1730" s="2">
        <v>4.1227400000000002E-4</v>
      </c>
      <c r="I1730" s="2" t="s">
        <v>10314</v>
      </c>
      <c r="J1730" s="2" t="s">
        <v>10315</v>
      </c>
      <c r="K1730" s="2">
        <v>3.4749640000000001E-3</v>
      </c>
      <c r="L1730" s="2" t="s">
        <v>848</v>
      </c>
      <c r="M1730" s="4" t="s">
        <v>10316</v>
      </c>
    </row>
    <row r="1731" spans="1:13">
      <c r="A1731" s="2">
        <v>766</v>
      </c>
      <c r="B1731" s="2" t="s">
        <v>10317</v>
      </c>
      <c r="C1731" s="2">
        <v>5</v>
      </c>
      <c r="D1731" s="2">
        <v>556</v>
      </c>
      <c r="E1731" s="2">
        <v>33</v>
      </c>
      <c r="F1731" s="2">
        <v>32441</v>
      </c>
      <c r="G1731" s="2">
        <v>8.8404730760000003</v>
      </c>
      <c r="H1731" s="2">
        <v>4.2301300000000002E-4</v>
      </c>
      <c r="I1731" s="2" t="s">
        <v>10318</v>
      </c>
      <c r="J1731" s="2" t="s">
        <v>10319</v>
      </c>
      <c r="K1731" s="2">
        <v>3.5553490000000002E-3</v>
      </c>
      <c r="L1731" s="2" t="s">
        <v>848</v>
      </c>
      <c r="M1731" s="4" t="s">
        <v>10320</v>
      </c>
    </row>
    <row r="1732" spans="1:13">
      <c r="A1732" s="2">
        <v>2796</v>
      </c>
      <c r="B1732" s="2" t="s">
        <v>10321</v>
      </c>
      <c r="C1732" s="2">
        <v>5</v>
      </c>
      <c r="D1732" s="2">
        <v>556</v>
      </c>
      <c r="E1732" s="2">
        <v>33</v>
      </c>
      <c r="F1732" s="2">
        <v>32441</v>
      </c>
      <c r="G1732" s="2">
        <v>8.8404730760000003</v>
      </c>
      <c r="H1732" s="2">
        <v>4.2301300000000002E-4</v>
      </c>
      <c r="I1732" s="2" t="s">
        <v>10322</v>
      </c>
      <c r="J1732" s="2" t="s">
        <v>10323</v>
      </c>
      <c r="K1732" s="2">
        <v>3.5553490000000002E-3</v>
      </c>
      <c r="L1732" s="2" t="s">
        <v>848</v>
      </c>
      <c r="M1732" s="4" t="s">
        <v>10324</v>
      </c>
    </row>
    <row r="1733" spans="1:13">
      <c r="A1733" s="2">
        <v>4979</v>
      </c>
      <c r="B1733" s="2" t="s">
        <v>10325</v>
      </c>
      <c r="C1733" s="2">
        <v>10</v>
      </c>
      <c r="D1733" s="2">
        <v>556</v>
      </c>
      <c r="E1733" s="2">
        <v>151</v>
      </c>
      <c r="F1733" s="2">
        <v>32441</v>
      </c>
      <c r="G1733" s="2">
        <v>3.864047835</v>
      </c>
      <c r="H1733" s="2">
        <v>4.26857E-4</v>
      </c>
      <c r="I1733" s="2" t="s">
        <v>10326</v>
      </c>
      <c r="J1733" s="2" t="s">
        <v>10327</v>
      </c>
      <c r="K1733" s="2">
        <v>3.582572E-3</v>
      </c>
      <c r="L1733" s="2" t="s">
        <v>848</v>
      </c>
      <c r="M1733" s="4" t="s">
        <v>10328</v>
      </c>
    </row>
    <row r="1734" spans="1:13">
      <c r="A1734" s="2">
        <v>2599</v>
      </c>
      <c r="B1734" s="2" t="s">
        <v>10329</v>
      </c>
      <c r="C1734" s="2">
        <v>6</v>
      </c>
      <c r="D1734" s="2">
        <v>556</v>
      </c>
      <c r="E1734" s="2">
        <v>52</v>
      </c>
      <c r="F1734" s="2">
        <v>32441</v>
      </c>
      <c r="G1734" s="2">
        <v>6.7323602659999997</v>
      </c>
      <c r="H1734" s="2">
        <v>4.2916299999999998E-4</v>
      </c>
      <c r="I1734" s="2" t="s">
        <v>10330</v>
      </c>
      <c r="J1734" s="2" t="s">
        <v>10331</v>
      </c>
      <c r="K1734" s="2">
        <v>3.5866660000000001E-3</v>
      </c>
      <c r="L1734" s="2" t="s">
        <v>848</v>
      </c>
      <c r="M1734" s="4" t="s">
        <v>10332</v>
      </c>
    </row>
    <row r="1735" spans="1:13">
      <c r="A1735" s="2">
        <v>3172</v>
      </c>
      <c r="B1735" s="2" t="s">
        <v>10333</v>
      </c>
      <c r="C1735" s="2">
        <v>6</v>
      </c>
      <c r="D1735" s="2">
        <v>556</v>
      </c>
      <c r="E1735" s="2">
        <v>52</v>
      </c>
      <c r="F1735" s="2">
        <v>32441</v>
      </c>
      <c r="G1735" s="2">
        <v>6.7323602659999997</v>
      </c>
      <c r="H1735" s="2">
        <v>4.2916299999999998E-4</v>
      </c>
      <c r="I1735" s="2" t="s">
        <v>10334</v>
      </c>
      <c r="J1735" s="2" t="s">
        <v>10335</v>
      </c>
      <c r="K1735" s="2">
        <v>3.5866660000000001E-3</v>
      </c>
      <c r="L1735" s="2" t="s">
        <v>848</v>
      </c>
      <c r="M1735" s="4" t="s">
        <v>10336</v>
      </c>
    </row>
    <row r="1736" spans="1:13">
      <c r="A1736" s="2">
        <v>3557</v>
      </c>
      <c r="B1736" s="2" t="s">
        <v>10337</v>
      </c>
      <c r="C1736" s="2">
        <v>6</v>
      </c>
      <c r="D1736" s="2">
        <v>556</v>
      </c>
      <c r="E1736" s="2">
        <v>52</v>
      </c>
      <c r="F1736" s="2">
        <v>32441</v>
      </c>
      <c r="G1736" s="2">
        <v>6.7323602659999997</v>
      </c>
      <c r="H1736" s="2">
        <v>4.2916299999999998E-4</v>
      </c>
      <c r="I1736" s="2" t="s">
        <v>10338</v>
      </c>
      <c r="J1736" s="2" t="s">
        <v>10339</v>
      </c>
      <c r="K1736" s="2">
        <v>3.5866660000000001E-3</v>
      </c>
      <c r="L1736" s="2" t="s">
        <v>848</v>
      </c>
      <c r="M1736" s="4" t="s">
        <v>10340</v>
      </c>
    </row>
    <row r="1737" spans="1:13">
      <c r="A1737" s="2">
        <v>5183</v>
      </c>
      <c r="B1737" s="2" t="s">
        <v>10341</v>
      </c>
      <c r="C1737" s="2">
        <v>13</v>
      </c>
      <c r="D1737" s="2">
        <v>556</v>
      </c>
      <c r="E1737" s="2">
        <v>242</v>
      </c>
      <c r="F1737" s="2">
        <v>32441</v>
      </c>
      <c r="G1737" s="2">
        <v>3.1343495450000001</v>
      </c>
      <c r="H1737" s="2">
        <v>4.3151799999999998E-4</v>
      </c>
      <c r="I1737" s="2" t="s">
        <v>10342</v>
      </c>
      <c r="J1737" s="2" t="s">
        <v>10343</v>
      </c>
      <c r="K1737" s="2">
        <v>3.6012610000000001E-3</v>
      </c>
      <c r="L1737" s="2" t="s">
        <v>848</v>
      </c>
      <c r="M1737" s="4" t="s">
        <v>10344</v>
      </c>
    </row>
    <row r="1738" spans="1:13">
      <c r="A1738" s="2">
        <v>4374</v>
      </c>
      <c r="B1738" s="2" t="s">
        <v>10345</v>
      </c>
      <c r="C1738" s="2">
        <v>9</v>
      </c>
      <c r="D1738" s="2">
        <v>556</v>
      </c>
      <c r="E1738" s="2">
        <v>124</v>
      </c>
      <c r="F1738" s="2">
        <v>32441</v>
      </c>
      <c r="G1738" s="2">
        <v>4.2348717799999998</v>
      </c>
      <c r="H1738" s="2">
        <v>4.4030000000000002E-4</v>
      </c>
      <c r="I1738" s="2" t="s">
        <v>10346</v>
      </c>
      <c r="J1738" s="2" t="s">
        <v>10347</v>
      </c>
      <c r="K1738" s="2">
        <v>3.6693749999999999E-3</v>
      </c>
      <c r="L1738" s="2" t="s">
        <v>848</v>
      </c>
      <c r="M1738" s="4" t="s">
        <v>10348</v>
      </c>
    </row>
    <row r="1739" spans="1:13">
      <c r="A1739" s="2">
        <v>447</v>
      </c>
      <c r="B1739" s="2" t="s">
        <v>10349</v>
      </c>
      <c r="C1739" s="2">
        <v>4</v>
      </c>
      <c r="D1739" s="2">
        <v>556</v>
      </c>
      <c r="E1739" s="2">
        <v>18</v>
      </c>
      <c r="F1739" s="2">
        <v>32441</v>
      </c>
      <c r="G1739" s="2">
        <v>12.966027179999999</v>
      </c>
      <c r="H1739" s="2">
        <v>4.58305E-4</v>
      </c>
      <c r="I1739" s="2" t="s">
        <v>10350</v>
      </c>
      <c r="J1739" s="2" t="s">
        <v>10351</v>
      </c>
      <c r="K1739" s="2">
        <v>3.803355E-3</v>
      </c>
      <c r="L1739" s="2" t="s">
        <v>848</v>
      </c>
      <c r="M1739" s="4" t="s">
        <v>10352</v>
      </c>
    </row>
    <row r="1740" spans="1:13">
      <c r="A1740" s="2">
        <v>39801</v>
      </c>
      <c r="B1740" s="2" t="s">
        <v>10353</v>
      </c>
      <c r="C1740" s="2">
        <v>4</v>
      </c>
      <c r="D1740" s="2">
        <v>556</v>
      </c>
      <c r="E1740" s="2">
        <v>18</v>
      </c>
      <c r="F1740" s="2">
        <v>32441</v>
      </c>
      <c r="G1740" s="2">
        <v>12.966027179999999</v>
      </c>
      <c r="H1740" s="2">
        <v>4.58305E-4</v>
      </c>
      <c r="I1740" s="2" t="s">
        <v>10354</v>
      </c>
      <c r="J1740" s="2" t="s">
        <v>10355</v>
      </c>
      <c r="K1740" s="2">
        <v>3.803355E-3</v>
      </c>
      <c r="L1740" s="2" t="s">
        <v>848</v>
      </c>
      <c r="M1740" s="4" t="s">
        <v>10356</v>
      </c>
    </row>
    <row r="1741" spans="1:13">
      <c r="A1741" s="2">
        <v>4025</v>
      </c>
      <c r="B1741" s="2" t="s">
        <v>10357</v>
      </c>
      <c r="C1741" s="2">
        <v>4</v>
      </c>
      <c r="D1741" s="2">
        <v>556</v>
      </c>
      <c r="E1741" s="2">
        <v>18</v>
      </c>
      <c r="F1741" s="2">
        <v>32441</v>
      </c>
      <c r="G1741" s="2">
        <v>12.966027179999999</v>
      </c>
      <c r="H1741" s="2">
        <v>4.58305E-4</v>
      </c>
      <c r="I1741" s="2" t="s">
        <v>10350</v>
      </c>
      <c r="J1741" s="2" t="s">
        <v>10351</v>
      </c>
      <c r="K1741" s="2">
        <v>3.803355E-3</v>
      </c>
      <c r="L1741" s="2" t="s">
        <v>848</v>
      </c>
      <c r="M1741" s="4" t="s">
        <v>10358</v>
      </c>
    </row>
    <row r="1742" spans="1:13">
      <c r="A1742" s="2">
        <v>4826</v>
      </c>
      <c r="B1742" s="2" t="s">
        <v>975</v>
      </c>
      <c r="C1742" s="2">
        <v>20</v>
      </c>
      <c r="D1742" s="2">
        <v>556</v>
      </c>
      <c r="E1742" s="2">
        <v>489</v>
      </c>
      <c r="F1742" s="2">
        <v>32441</v>
      </c>
      <c r="G1742" s="2">
        <v>2.3863853700000002</v>
      </c>
      <c r="H1742" s="2">
        <v>4.6710499999999999E-4</v>
      </c>
      <c r="I1742" s="2" t="s">
        <v>10359</v>
      </c>
      <c r="J1742" s="2" t="s">
        <v>10360</v>
      </c>
      <c r="K1742" s="2">
        <v>3.8709539999999998E-3</v>
      </c>
      <c r="L1742" s="2" t="s">
        <v>848</v>
      </c>
      <c r="M1742" s="4" t="s">
        <v>10361</v>
      </c>
    </row>
    <row r="1743" spans="1:13">
      <c r="A1743" s="2">
        <v>2888</v>
      </c>
      <c r="B1743" s="2" t="s">
        <v>10362</v>
      </c>
      <c r="C1743" s="2">
        <v>8</v>
      </c>
      <c r="D1743" s="2">
        <v>556</v>
      </c>
      <c r="E1743" s="2">
        <v>99</v>
      </c>
      <c r="F1743" s="2">
        <v>32441</v>
      </c>
      <c r="G1743" s="2">
        <v>4.7149189739999997</v>
      </c>
      <c r="H1743" s="2">
        <v>4.6808800000000002E-4</v>
      </c>
      <c r="I1743" s="2" t="s">
        <v>9826</v>
      </c>
      <c r="J1743" s="2" t="s">
        <v>9827</v>
      </c>
      <c r="K1743" s="2">
        <v>3.8736769999999998E-3</v>
      </c>
      <c r="L1743" s="2" t="s">
        <v>848</v>
      </c>
      <c r="M1743" s="4" t="s">
        <v>10363</v>
      </c>
    </row>
    <row r="1744" spans="1:13">
      <c r="A1744" s="2">
        <v>169</v>
      </c>
      <c r="B1744" s="2" t="s">
        <v>10364</v>
      </c>
      <c r="C1744" s="2">
        <v>6</v>
      </c>
      <c r="D1744" s="2">
        <v>556</v>
      </c>
      <c r="E1744" s="2">
        <v>53</v>
      </c>
      <c r="F1744" s="2">
        <v>32441</v>
      </c>
      <c r="G1744" s="2">
        <v>6.6053345999999999</v>
      </c>
      <c r="H1744" s="2">
        <v>4.71027E-4</v>
      </c>
      <c r="I1744" s="2" t="s">
        <v>10365</v>
      </c>
      <c r="J1744" s="2" t="s">
        <v>10366</v>
      </c>
      <c r="K1744" s="2">
        <v>3.8925499999999998E-3</v>
      </c>
      <c r="L1744" s="2" t="s">
        <v>848</v>
      </c>
      <c r="M1744" s="4" t="s">
        <v>10367</v>
      </c>
    </row>
    <row r="1745" spans="1:13">
      <c r="A1745" s="2">
        <v>3543</v>
      </c>
      <c r="B1745" s="2" t="s">
        <v>10368</v>
      </c>
      <c r="C1745" s="2">
        <v>7</v>
      </c>
      <c r="D1745" s="2">
        <v>556</v>
      </c>
      <c r="E1745" s="2">
        <v>75</v>
      </c>
      <c r="F1745" s="2">
        <v>32441</v>
      </c>
      <c r="G1745" s="2">
        <v>5.445731415</v>
      </c>
      <c r="H1745" s="2">
        <v>4.7446199999999998E-4</v>
      </c>
      <c r="I1745" s="2" t="s">
        <v>10369</v>
      </c>
      <c r="J1745" s="2" t="s">
        <v>10370</v>
      </c>
      <c r="K1745" s="2">
        <v>3.9154710000000002E-3</v>
      </c>
      <c r="L1745" s="2" t="s">
        <v>848</v>
      </c>
      <c r="M1745" s="4" t="s">
        <v>10371</v>
      </c>
    </row>
    <row r="1746" spans="1:13">
      <c r="A1746" s="2">
        <v>26501</v>
      </c>
      <c r="B1746" s="2" t="s">
        <v>10372</v>
      </c>
      <c r="C1746" s="2">
        <v>11</v>
      </c>
      <c r="D1746" s="2">
        <v>556</v>
      </c>
      <c r="E1746" s="2">
        <v>183</v>
      </c>
      <c r="F1746" s="2">
        <v>32441</v>
      </c>
      <c r="G1746" s="2">
        <v>3.507204073</v>
      </c>
      <c r="H1746" s="2">
        <v>4.86455E-4</v>
      </c>
      <c r="I1746" s="2" t="s">
        <v>10373</v>
      </c>
      <c r="J1746" s="2" t="s">
        <v>10374</v>
      </c>
      <c r="K1746" s="2">
        <v>4.0088529999999997E-3</v>
      </c>
      <c r="L1746" s="2" t="s">
        <v>848</v>
      </c>
      <c r="M1746" s="4" t="s">
        <v>10375</v>
      </c>
    </row>
    <row r="1747" spans="1:13">
      <c r="A1747" s="2">
        <v>36661</v>
      </c>
      <c r="B1747" s="2" t="s">
        <v>10376</v>
      </c>
      <c r="C1747" s="2">
        <v>14</v>
      </c>
      <c r="D1747" s="2">
        <v>556</v>
      </c>
      <c r="E1747" s="2">
        <v>279</v>
      </c>
      <c r="F1747" s="2">
        <v>32441</v>
      </c>
      <c r="G1747" s="2">
        <v>2.9278125890000002</v>
      </c>
      <c r="H1747" s="2">
        <v>5.0391499999999996E-4</v>
      </c>
      <c r="I1747" s="2" t="s">
        <v>10377</v>
      </c>
      <c r="J1747" s="2" t="s">
        <v>10378</v>
      </c>
      <c r="K1747" s="2">
        <v>4.1469619999999997E-3</v>
      </c>
      <c r="L1747" s="2" t="s">
        <v>848</v>
      </c>
      <c r="M1747" s="4" t="s">
        <v>10379</v>
      </c>
    </row>
    <row r="1748" spans="1:13">
      <c r="A1748" s="2">
        <v>1299</v>
      </c>
      <c r="B1748" s="2" t="s">
        <v>10380</v>
      </c>
      <c r="C1748" s="2">
        <v>10</v>
      </c>
      <c r="D1748" s="2">
        <v>556</v>
      </c>
      <c r="E1748" s="2">
        <v>155</v>
      </c>
      <c r="F1748" s="2">
        <v>32441</v>
      </c>
      <c r="G1748" s="2">
        <v>3.7643304710000001</v>
      </c>
      <c r="H1748" s="2">
        <v>5.1771499999999997E-4</v>
      </c>
      <c r="I1748" s="2" t="s">
        <v>10381</v>
      </c>
      <c r="J1748" s="2" t="s">
        <v>10382</v>
      </c>
      <c r="K1748" s="2">
        <v>4.2546110000000002E-3</v>
      </c>
      <c r="L1748" s="2" t="s">
        <v>848</v>
      </c>
      <c r="M1748" s="4" t="s">
        <v>10383</v>
      </c>
    </row>
    <row r="1749" spans="1:13">
      <c r="A1749" s="2">
        <v>1909</v>
      </c>
      <c r="B1749" s="2" t="s">
        <v>10384</v>
      </c>
      <c r="C1749" s="2">
        <v>30</v>
      </c>
      <c r="D1749" s="2">
        <v>556</v>
      </c>
      <c r="E1749" s="2">
        <v>893</v>
      </c>
      <c r="F1749" s="2">
        <v>32441</v>
      </c>
      <c r="G1749" s="2">
        <v>1.960149685</v>
      </c>
      <c r="H1749" s="2">
        <v>5.3979099999999997E-4</v>
      </c>
      <c r="I1749" s="2" t="s">
        <v>10385</v>
      </c>
      <c r="J1749" s="2" t="s">
        <v>10386</v>
      </c>
      <c r="K1749" s="2">
        <v>4.4237460000000001E-3</v>
      </c>
      <c r="L1749" s="2" t="s">
        <v>848</v>
      </c>
      <c r="M1749" s="4" t="s">
        <v>10387</v>
      </c>
    </row>
    <row r="1750" spans="1:13">
      <c r="A1750" s="2">
        <v>5597</v>
      </c>
      <c r="B1750" s="2" t="s">
        <v>10388</v>
      </c>
      <c r="C1750" s="2">
        <v>5</v>
      </c>
      <c r="D1750" s="2">
        <v>556</v>
      </c>
      <c r="E1750" s="2">
        <v>35</v>
      </c>
      <c r="F1750" s="2">
        <v>32441</v>
      </c>
      <c r="G1750" s="2">
        <v>8.3353031860000009</v>
      </c>
      <c r="H1750" s="2">
        <v>5.3941199999999996E-4</v>
      </c>
      <c r="I1750" s="2" t="s">
        <v>10389</v>
      </c>
      <c r="J1750" s="2" t="s">
        <v>10390</v>
      </c>
      <c r="K1750" s="2">
        <v>4.4237460000000001E-3</v>
      </c>
      <c r="L1750" s="2" t="s">
        <v>848</v>
      </c>
      <c r="M1750" s="4" t="s">
        <v>10391</v>
      </c>
    </row>
    <row r="1751" spans="1:13">
      <c r="A1751" s="2">
        <v>902</v>
      </c>
      <c r="B1751" s="2" t="s">
        <v>10392</v>
      </c>
      <c r="C1751" s="2">
        <v>4</v>
      </c>
      <c r="D1751" s="2">
        <v>556</v>
      </c>
      <c r="E1751" s="2">
        <v>19</v>
      </c>
      <c r="F1751" s="2">
        <v>32441</v>
      </c>
      <c r="G1751" s="2">
        <v>12.2836047</v>
      </c>
      <c r="H1751" s="2">
        <v>5.4743900000000004E-4</v>
      </c>
      <c r="I1751" s="2" t="s">
        <v>10393</v>
      </c>
      <c r="J1751" s="2" t="s">
        <v>10394</v>
      </c>
      <c r="K1751" s="2">
        <v>4.461703E-3</v>
      </c>
      <c r="L1751" s="2" t="s">
        <v>848</v>
      </c>
      <c r="M1751" s="4" t="s">
        <v>10395</v>
      </c>
    </row>
    <row r="1752" spans="1:13">
      <c r="A1752" s="2">
        <v>3101</v>
      </c>
      <c r="B1752" s="2" t="s">
        <v>10396</v>
      </c>
      <c r="C1752" s="2">
        <v>4</v>
      </c>
      <c r="D1752" s="2">
        <v>556</v>
      </c>
      <c r="E1752" s="2">
        <v>19</v>
      </c>
      <c r="F1752" s="2">
        <v>32441</v>
      </c>
      <c r="G1752" s="2">
        <v>12.2836047</v>
      </c>
      <c r="H1752" s="2">
        <v>5.4743900000000004E-4</v>
      </c>
      <c r="I1752" s="2" t="s">
        <v>10397</v>
      </c>
      <c r="J1752" s="2" t="s">
        <v>10398</v>
      </c>
      <c r="K1752" s="2">
        <v>4.461703E-3</v>
      </c>
      <c r="L1752" s="2" t="s">
        <v>848</v>
      </c>
      <c r="M1752" s="4" t="s">
        <v>10399</v>
      </c>
    </row>
    <row r="1753" spans="1:13">
      <c r="A1753" s="2">
        <v>3248</v>
      </c>
      <c r="B1753" s="2" t="s">
        <v>10400</v>
      </c>
      <c r="C1753" s="2">
        <v>9</v>
      </c>
      <c r="D1753" s="2">
        <v>556</v>
      </c>
      <c r="E1753" s="2">
        <v>128</v>
      </c>
      <c r="F1753" s="2">
        <v>32441</v>
      </c>
      <c r="G1753" s="2">
        <v>4.1025320369999996</v>
      </c>
      <c r="H1753" s="2">
        <v>5.4642500000000001E-4</v>
      </c>
      <c r="I1753" s="2" t="s">
        <v>10401</v>
      </c>
      <c r="J1753" s="2" t="s">
        <v>10402</v>
      </c>
      <c r="K1753" s="2">
        <v>4.461703E-3</v>
      </c>
      <c r="L1753" s="2" t="s">
        <v>848</v>
      </c>
      <c r="M1753" s="4" t="s">
        <v>10403</v>
      </c>
    </row>
    <row r="1754" spans="1:13">
      <c r="A1754" s="2">
        <v>5281</v>
      </c>
      <c r="B1754" s="2" t="s">
        <v>10404</v>
      </c>
      <c r="C1754" s="2">
        <v>4</v>
      </c>
      <c r="D1754" s="2">
        <v>556</v>
      </c>
      <c r="E1754" s="2">
        <v>19</v>
      </c>
      <c r="F1754" s="2">
        <v>32441</v>
      </c>
      <c r="G1754" s="2">
        <v>12.2836047</v>
      </c>
      <c r="H1754" s="2">
        <v>5.4743900000000004E-4</v>
      </c>
      <c r="I1754" s="2" t="s">
        <v>10405</v>
      </c>
      <c r="J1754" s="2" t="s">
        <v>10406</v>
      </c>
      <c r="K1754" s="2">
        <v>4.461703E-3</v>
      </c>
      <c r="L1754" s="2" t="s">
        <v>848</v>
      </c>
      <c r="M1754" s="4" t="s">
        <v>10407</v>
      </c>
    </row>
    <row r="1755" spans="1:13">
      <c r="A1755" s="2">
        <v>1439</v>
      </c>
      <c r="B1755" s="2" t="s">
        <v>10408</v>
      </c>
      <c r="C1755" s="2">
        <v>14</v>
      </c>
      <c r="D1755" s="2">
        <v>556</v>
      </c>
      <c r="E1755" s="2">
        <v>282</v>
      </c>
      <c r="F1755" s="2">
        <v>32441</v>
      </c>
      <c r="G1755" s="2">
        <v>2.8966656460000002</v>
      </c>
      <c r="H1755" s="2">
        <v>5.5709399999999995E-4</v>
      </c>
      <c r="I1755" s="2" t="s">
        <v>10409</v>
      </c>
      <c r="J1755" s="2" t="s">
        <v>10410</v>
      </c>
      <c r="K1755" s="2">
        <v>4.5341499999999998E-3</v>
      </c>
      <c r="L1755" s="2" t="s">
        <v>848</v>
      </c>
      <c r="M1755" s="4" t="s">
        <v>10411</v>
      </c>
    </row>
    <row r="1756" spans="1:13">
      <c r="A1756" s="2">
        <v>4043</v>
      </c>
      <c r="B1756" s="2" t="s">
        <v>10412</v>
      </c>
      <c r="C1756" s="2">
        <v>9</v>
      </c>
      <c r="D1756" s="2">
        <v>556</v>
      </c>
      <c r="E1756" s="2">
        <v>129</v>
      </c>
      <c r="F1756" s="2">
        <v>32441</v>
      </c>
      <c r="G1756" s="2">
        <v>4.0707294630000002</v>
      </c>
      <c r="H1756" s="2">
        <v>5.7599400000000003E-4</v>
      </c>
      <c r="I1756" s="2" t="s">
        <v>10413</v>
      </c>
      <c r="J1756" s="2" t="s">
        <v>10414</v>
      </c>
      <c r="K1756" s="2">
        <v>4.6815310000000001E-3</v>
      </c>
      <c r="L1756" s="2" t="s">
        <v>848</v>
      </c>
      <c r="M1756" s="4" t="s">
        <v>10415</v>
      </c>
    </row>
    <row r="1757" spans="1:13">
      <c r="A1757" s="2">
        <v>4162</v>
      </c>
      <c r="B1757" s="2" t="s">
        <v>10416</v>
      </c>
      <c r="C1757" s="2">
        <v>10</v>
      </c>
      <c r="D1757" s="2">
        <v>556</v>
      </c>
      <c r="E1757" s="2">
        <v>158</v>
      </c>
      <c r="F1757" s="2">
        <v>32441</v>
      </c>
      <c r="G1757" s="2">
        <v>3.6928558420000002</v>
      </c>
      <c r="H1757" s="2">
        <v>5.95906E-4</v>
      </c>
      <c r="I1757" s="2" t="s">
        <v>10118</v>
      </c>
      <c r="J1757" s="2" t="s">
        <v>10119</v>
      </c>
      <c r="K1757" s="2">
        <v>4.8367330000000002E-3</v>
      </c>
      <c r="L1757" s="2" t="s">
        <v>848</v>
      </c>
      <c r="M1757" s="4" t="s">
        <v>10417</v>
      </c>
    </row>
    <row r="1758" spans="1:13">
      <c r="A1758" s="2">
        <v>1876</v>
      </c>
      <c r="B1758" s="2" t="s">
        <v>10418</v>
      </c>
      <c r="C1758" s="2">
        <v>8</v>
      </c>
      <c r="D1758" s="2">
        <v>556</v>
      </c>
      <c r="E1758" s="2">
        <v>103</v>
      </c>
      <c r="F1758" s="2">
        <v>32441</v>
      </c>
      <c r="G1758" s="2">
        <v>4.5318153240000001</v>
      </c>
      <c r="H1758" s="2">
        <v>5.9810699999999996E-4</v>
      </c>
      <c r="I1758" s="2" t="s">
        <v>10419</v>
      </c>
      <c r="J1758" s="2" t="s">
        <v>10420</v>
      </c>
      <c r="K1758" s="2">
        <v>4.8479459999999997E-3</v>
      </c>
      <c r="L1758" s="2" t="s">
        <v>848</v>
      </c>
      <c r="M1758" s="4" t="s">
        <v>10421</v>
      </c>
    </row>
    <row r="1759" spans="1:13">
      <c r="A1759" s="2">
        <v>32811</v>
      </c>
      <c r="B1759" s="2" t="s">
        <v>924</v>
      </c>
      <c r="C1759" s="2">
        <v>30</v>
      </c>
      <c r="D1759" s="2">
        <v>556</v>
      </c>
      <c r="E1759" s="2">
        <v>899</v>
      </c>
      <c r="F1759" s="2">
        <v>32441</v>
      </c>
      <c r="G1759" s="2">
        <v>1.947067485</v>
      </c>
      <c r="H1759" s="2">
        <v>5.9899699999999998E-4</v>
      </c>
      <c r="I1759" s="2" t="s">
        <v>10422</v>
      </c>
      <c r="J1759" s="2" t="s">
        <v>10423</v>
      </c>
      <c r="K1759" s="2">
        <v>4.8485200000000003E-3</v>
      </c>
      <c r="L1759" s="2" t="s">
        <v>848</v>
      </c>
      <c r="M1759" s="4" t="s">
        <v>10424</v>
      </c>
    </row>
    <row r="1760" spans="1:13">
      <c r="A1760" s="2">
        <v>2495</v>
      </c>
      <c r="B1760" s="2" t="s">
        <v>10425</v>
      </c>
      <c r="C1760" s="2">
        <v>5</v>
      </c>
      <c r="D1760" s="2">
        <v>556</v>
      </c>
      <c r="E1760" s="2">
        <v>36</v>
      </c>
      <c r="F1760" s="2">
        <v>32441</v>
      </c>
      <c r="G1760" s="2">
        <v>8.1037669860000001</v>
      </c>
      <c r="H1760" s="2">
        <v>6.0589900000000002E-4</v>
      </c>
      <c r="I1760" s="2" t="s">
        <v>10426</v>
      </c>
      <c r="J1760" s="2" t="s">
        <v>10427</v>
      </c>
      <c r="K1760" s="2">
        <v>4.8976870000000004E-3</v>
      </c>
      <c r="L1760" s="2" t="s">
        <v>848</v>
      </c>
      <c r="M1760" s="4" t="s">
        <v>10428</v>
      </c>
    </row>
    <row r="1761" spans="1:13">
      <c r="A1761" s="2">
        <v>2347</v>
      </c>
      <c r="B1761" s="2" t="s">
        <v>10429</v>
      </c>
      <c r="C1761" s="2">
        <v>9</v>
      </c>
      <c r="D1761" s="2">
        <v>556</v>
      </c>
      <c r="E1761" s="2">
        <v>130</v>
      </c>
      <c r="F1761" s="2">
        <v>32441</v>
      </c>
      <c r="G1761" s="2">
        <v>4.039416159</v>
      </c>
      <c r="H1761" s="2">
        <v>6.0685899999999996E-4</v>
      </c>
      <c r="I1761" s="2" t="s">
        <v>9014</v>
      </c>
      <c r="J1761" s="2" t="s">
        <v>9015</v>
      </c>
      <c r="K1761" s="2">
        <v>4.8987520000000001E-3</v>
      </c>
      <c r="L1761" s="2" t="s">
        <v>848</v>
      </c>
      <c r="M1761" s="4" t="s">
        <v>10430</v>
      </c>
    </row>
    <row r="1762" spans="1:13">
      <c r="A1762" s="2">
        <v>3673</v>
      </c>
      <c r="B1762" s="2" t="s">
        <v>10431</v>
      </c>
      <c r="C1762" s="2">
        <v>6</v>
      </c>
      <c r="D1762" s="2">
        <v>556</v>
      </c>
      <c r="E1762" s="2">
        <v>56</v>
      </c>
      <c r="F1762" s="2">
        <v>32441</v>
      </c>
      <c r="G1762" s="2">
        <v>6.2514773899999998</v>
      </c>
      <c r="H1762" s="2">
        <v>6.1592400000000001E-4</v>
      </c>
      <c r="I1762" s="2" t="s">
        <v>10432</v>
      </c>
      <c r="J1762" s="2" t="s">
        <v>10433</v>
      </c>
      <c r="K1762" s="2">
        <v>4.9651519999999996E-3</v>
      </c>
      <c r="L1762" s="2" t="s">
        <v>848</v>
      </c>
      <c r="M1762" s="4" t="s">
        <v>10434</v>
      </c>
    </row>
    <row r="1763" spans="1:13">
      <c r="A1763" s="2">
        <v>2765</v>
      </c>
      <c r="B1763" s="2" t="s">
        <v>10435</v>
      </c>
      <c r="C1763" s="2">
        <v>10</v>
      </c>
      <c r="D1763" s="2">
        <v>556</v>
      </c>
      <c r="E1763" s="2">
        <v>159</v>
      </c>
      <c r="F1763" s="2">
        <v>32441</v>
      </c>
      <c r="G1763" s="2">
        <v>3.6696303330000002</v>
      </c>
      <c r="H1763" s="2">
        <v>6.2404300000000002E-4</v>
      </c>
      <c r="I1763" s="2" t="s">
        <v>10436</v>
      </c>
      <c r="J1763" s="2" t="s">
        <v>10437</v>
      </c>
      <c r="K1763" s="2">
        <v>5.023759E-3</v>
      </c>
      <c r="L1763" s="2" t="s">
        <v>848</v>
      </c>
      <c r="M1763" s="4" t="s">
        <v>10438</v>
      </c>
    </row>
    <row r="1764" spans="1:13">
      <c r="A1764" s="2">
        <v>3142</v>
      </c>
      <c r="B1764" s="2" t="s">
        <v>10439</v>
      </c>
      <c r="C1764" s="2">
        <v>8</v>
      </c>
      <c r="D1764" s="2">
        <v>556</v>
      </c>
      <c r="E1764" s="2">
        <v>104</v>
      </c>
      <c r="F1764" s="2">
        <v>32441</v>
      </c>
      <c r="G1764" s="2">
        <v>4.4882401769999998</v>
      </c>
      <c r="H1764" s="2">
        <v>6.3478700000000005E-4</v>
      </c>
      <c r="I1764" s="2" t="s">
        <v>10440</v>
      </c>
      <c r="J1764" s="2" t="s">
        <v>10441</v>
      </c>
      <c r="K1764" s="2">
        <v>5.1033110000000001E-3</v>
      </c>
      <c r="L1764" s="2" t="s">
        <v>848</v>
      </c>
      <c r="M1764" s="4" t="s">
        <v>10442</v>
      </c>
    </row>
    <row r="1765" spans="1:13">
      <c r="A1765" s="2">
        <v>118</v>
      </c>
      <c r="B1765" s="2" t="s">
        <v>10443</v>
      </c>
      <c r="C1765" s="2">
        <v>4</v>
      </c>
      <c r="D1765" s="2">
        <v>556</v>
      </c>
      <c r="E1765" s="2">
        <v>20</v>
      </c>
      <c r="F1765" s="2">
        <v>32441</v>
      </c>
      <c r="G1765" s="2">
        <v>11.66942446</v>
      </c>
      <c r="H1765" s="2">
        <v>6.4822700000000003E-4</v>
      </c>
      <c r="I1765" s="2" t="s">
        <v>10444</v>
      </c>
      <c r="J1765" s="2" t="s">
        <v>10445</v>
      </c>
      <c r="K1765" s="2">
        <v>5.1902010000000002E-3</v>
      </c>
      <c r="L1765" s="2" t="s">
        <v>848</v>
      </c>
      <c r="M1765" s="4" t="s">
        <v>10446</v>
      </c>
    </row>
    <row r="1766" spans="1:13">
      <c r="A1766" s="2">
        <v>2098</v>
      </c>
      <c r="B1766" s="2" t="s">
        <v>10447</v>
      </c>
      <c r="C1766" s="2">
        <v>4</v>
      </c>
      <c r="D1766" s="2">
        <v>556</v>
      </c>
      <c r="E1766" s="2">
        <v>20</v>
      </c>
      <c r="F1766" s="2">
        <v>32441</v>
      </c>
      <c r="G1766" s="2">
        <v>11.66942446</v>
      </c>
      <c r="H1766" s="2">
        <v>6.4822700000000003E-4</v>
      </c>
      <c r="I1766" s="2" t="s">
        <v>10448</v>
      </c>
      <c r="J1766" s="2" t="s">
        <v>10449</v>
      </c>
      <c r="K1766" s="2">
        <v>5.1902010000000002E-3</v>
      </c>
      <c r="L1766" s="2" t="s">
        <v>848</v>
      </c>
      <c r="M1766" s="4" t="s">
        <v>10450</v>
      </c>
    </row>
    <row r="1767" spans="1:13">
      <c r="A1767" s="2">
        <v>2759</v>
      </c>
      <c r="B1767" s="2" t="s">
        <v>10451</v>
      </c>
      <c r="C1767" s="2">
        <v>4</v>
      </c>
      <c r="D1767" s="2">
        <v>556</v>
      </c>
      <c r="E1767" s="2">
        <v>20</v>
      </c>
      <c r="F1767" s="2">
        <v>32441</v>
      </c>
      <c r="G1767" s="2">
        <v>11.66942446</v>
      </c>
      <c r="H1767" s="2">
        <v>6.4822700000000003E-4</v>
      </c>
      <c r="I1767" s="2" t="s">
        <v>10452</v>
      </c>
      <c r="J1767" s="2" t="s">
        <v>10453</v>
      </c>
      <c r="K1767" s="2">
        <v>5.1902010000000002E-3</v>
      </c>
      <c r="L1767" s="2" t="s">
        <v>848</v>
      </c>
      <c r="M1767" s="4" t="s">
        <v>10454</v>
      </c>
    </row>
    <row r="1768" spans="1:13">
      <c r="A1768" s="2">
        <v>5470</v>
      </c>
      <c r="B1768" s="2" t="s">
        <v>10455</v>
      </c>
      <c r="C1768" s="2">
        <v>16</v>
      </c>
      <c r="D1768" s="2">
        <v>556</v>
      </c>
      <c r="E1768" s="2">
        <v>356</v>
      </c>
      <c r="F1768" s="2">
        <v>32441</v>
      </c>
      <c r="G1768" s="2">
        <v>2.6223425749999998</v>
      </c>
      <c r="H1768" s="2">
        <v>6.5196500000000001E-4</v>
      </c>
      <c r="I1768" s="2" t="s">
        <v>10456</v>
      </c>
      <c r="J1768" s="2" t="s">
        <v>10457</v>
      </c>
      <c r="K1768" s="2">
        <v>5.2130730000000004E-3</v>
      </c>
      <c r="L1768" s="2" t="s">
        <v>848</v>
      </c>
      <c r="M1768" s="4" t="s">
        <v>10458</v>
      </c>
    </row>
    <row r="1769" spans="1:13">
      <c r="A1769" s="2">
        <v>21231</v>
      </c>
      <c r="B1769" s="2" t="s">
        <v>10459</v>
      </c>
      <c r="C1769" s="2">
        <v>9</v>
      </c>
      <c r="D1769" s="2">
        <v>556</v>
      </c>
      <c r="E1769" s="2">
        <v>132</v>
      </c>
      <c r="F1769" s="2">
        <v>32441</v>
      </c>
      <c r="G1769" s="2">
        <v>3.9782128839999999</v>
      </c>
      <c r="H1769" s="2">
        <v>6.7265200000000004E-4</v>
      </c>
      <c r="I1769" s="2" t="s">
        <v>10460</v>
      </c>
      <c r="J1769" s="2" t="s">
        <v>10461</v>
      </c>
      <c r="K1769" s="2">
        <v>5.3712339999999999E-3</v>
      </c>
      <c r="L1769" s="2" t="s">
        <v>848</v>
      </c>
      <c r="M1769" s="4" t="s">
        <v>10462</v>
      </c>
    </row>
    <row r="1770" spans="1:13">
      <c r="A1770" s="2">
        <v>22781</v>
      </c>
      <c r="B1770" s="2" t="s">
        <v>10463</v>
      </c>
      <c r="C1770" s="2">
        <v>7</v>
      </c>
      <c r="D1770" s="2">
        <v>556</v>
      </c>
      <c r="E1770" s="2">
        <v>80</v>
      </c>
      <c r="F1770" s="2">
        <v>32441</v>
      </c>
      <c r="G1770" s="2">
        <v>5.1053732009999999</v>
      </c>
      <c r="H1770" s="2">
        <v>6.7858399999999998E-4</v>
      </c>
      <c r="I1770" s="2" t="s">
        <v>10464</v>
      </c>
      <c r="J1770" s="2" t="s">
        <v>10465</v>
      </c>
      <c r="K1770" s="2">
        <v>5.396751E-3</v>
      </c>
      <c r="L1770" s="2" t="s">
        <v>848</v>
      </c>
      <c r="M1770" s="4" t="s">
        <v>10466</v>
      </c>
    </row>
    <row r="1771" spans="1:13">
      <c r="A1771" s="2">
        <v>2634</v>
      </c>
      <c r="B1771" s="2" t="s">
        <v>10467</v>
      </c>
      <c r="C1771" s="2">
        <v>5</v>
      </c>
      <c r="D1771" s="2">
        <v>556</v>
      </c>
      <c r="E1771" s="2">
        <v>37</v>
      </c>
      <c r="F1771" s="2">
        <v>32441</v>
      </c>
      <c r="G1771" s="2">
        <v>7.8847462569999998</v>
      </c>
      <c r="H1771" s="2">
        <v>6.7834299999999998E-4</v>
      </c>
      <c r="I1771" s="2" t="s">
        <v>10468</v>
      </c>
      <c r="J1771" s="2" t="s">
        <v>10469</v>
      </c>
      <c r="K1771" s="2">
        <v>5.396751E-3</v>
      </c>
      <c r="L1771" s="2" t="s">
        <v>848</v>
      </c>
      <c r="M1771" s="4" t="s">
        <v>10470</v>
      </c>
    </row>
    <row r="1772" spans="1:13">
      <c r="A1772" s="2">
        <v>4725</v>
      </c>
      <c r="B1772" s="2" t="s">
        <v>10471</v>
      </c>
      <c r="C1772" s="2">
        <v>7</v>
      </c>
      <c r="D1772" s="2">
        <v>556</v>
      </c>
      <c r="E1772" s="2">
        <v>80</v>
      </c>
      <c r="F1772" s="2">
        <v>32441</v>
      </c>
      <c r="G1772" s="2">
        <v>5.1053732009999999</v>
      </c>
      <c r="H1772" s="2">
        <v>6.7858399999999998E-4</v>
      </c>
      <c r="I1772" s="2" t="s">
        <v>10472</v>
      </c>
      <c r="J1772" s="2" t="s">
        <v>10473</v>
      </c>
      <c r="K1772" s="2">
        <v>5.396751E-3</v>
      </c>
      <c r="L1772" s="2" t="s">
        <v>848</v>
      </c>
      <c r="M1772" s="4" t="s">
        <v>10474</v>
      </c>
    </row>
    <row r="1773" spans="1:13">
      <c r="A1773" s="2">
        <v>4422</v>
      </c>
      <c r="B1773" s="2" t="s">
        <v>10475</v>
      </c>
      <c r="C1773" s="2">
        <v>11</v>
      </c>
      <c r="D1773" s="2">
        <v>556</v>
      </c>
      <c r="E1773" s="2">
        <v>191</v>
      </c>
      <c r="F1773" s="2">
        <v>32441</v>
      </c>
      <c r="G1773" s="2">
        <v>3.3603054729999999</v>
      </c>
      <c r="H1773" s="2">
        <v>6.8102899999999999E-4</v>
      </c>
      <c r="I1773" s="2" t="s">
        <v>10476</v>
      </c>
      <c r="J1773" s="2" t="s">
        <v>10477</v>
      </c>
      <c r="K1773" s="2">
        <v>5.4089209999999997E-3</v>
      </c>
      <c r="L1773" s="2" t="s">
        <v>848</v>
      </c>
      <c r="M1773" s="4" t="s">
        <v>10478</v>
      </c>
    </row>
    <row r="1774" spans="1:13">
      <c r="A1774" s="2">
        <v>2893</v>
      </c>
      <c r="B1774" s="2" t="s">
        <v>10479</v>
      </c>
      <c r="C1774" s="2">
        <v>18</v>
      </c>
      <c r="D1774" s="2">
        <v>556</v>
      </c>
      <c r="E1774" s="2">
        <v>431</v>
      </c>
      <c r="F1774" s="2">
        <v>32441</v>
      </c>
      <c r="G1774" s="2">
        <v>2.4367707689999998</v>
      </c>
      <c r="H1774" s="2">
        <v>7.0113700000000001E-4</v>
      </c>
      <c r="I1774" s="2" t="s">
        <v>10480</v>
      </c>
      <c r="J1774" s="2" t="s">
        <v>10481</v>
      </c>
      <c r="K1774" s="2">
        <v>5.5611660000000002E-3</v>
      </c>
      <c r="L1774" s="2" t="s">
        <v>848</v>
      </c>
      <c r="M1774" s="4" t="s">
        <v>10482</v>
      </c>
    </row>
    <row r="1775" spans="1:13">
      <c r="A1775" s="2">
        <v>2557</v>
      </c>
      <c r="B1775" s="2" t="s">
        <v>10483</v>
      </c>
      <c r="C1775" s="2">
        <v>9</v>
      </c>
      <c r="D1775" s="2">
        <v>556</v>
      </c>
      <c r="E1775" s="2">
        <v>133</v>
      </c>
      <c r="F1775" s="2">
        <v>32441</v>
      </c>
      <c r="G1775" s="2">
        <v>3.9483015090000002</v>
      </c>
      <c r="H1775" s="2">
        <v>7.0766799999999995E-4</v>
      </c>
      <c r="I1775" s="2" t="s">
        <v>10484</v>
      </c>
      <c r="J1775" s="2" t="s">
        <v>10485</v>
      </c>
      <c r="K1775" s="2">
        <v>5.6054529999999998E-3</v>
      </c>
      <c r="L1775" s="2" t="s">
        <v>848</v>
      </c>
      <c r="M1775" s="4" t="s">
        <v>10486</v>
      </c>
    </row>
    <row r="1776" spans="1:13">
      <c r="A1776" s="2">
        <v>1489</v>
      </c>
      <c r="B1776" s="2" t="s">
        <v>10487</v>
      </c>
      <c r="C1776" s="2">
        <v>8</v>
      </c>
      <c r="D1776" s="2">
        <v>556</v>
      </c>
      <c r="E1776" s="2">
        <v>106</v>
      </c>
      <c r="F1776" s="2">
        <v>32441</v>
      </c>
      <c r="G1776" s="2">
        <v>4.4035564000000003</v>
      </c>
      <c r="H1776" s="2">
        <v>7.1359199999999998E-4</v>
      </c>
      <c r="I1776" s="2" t="s">
        <v>10488</v>
      </c>
      <c r="J1776" s="2" t="s">
        <v>10489</v>
      </c>
      <c r="K1776" s="2">
        <v>5.6448139999999997E-3</v>
      </c>
      <c r="L1776" s="2" t="s">
        <v>848</v>
      </c>
      <c r="M1776" s="4" t="s">
        <v>10490</v>
      </c>
    </row>
    <row r="1777" spans="1:13">
      <c r="A1777" s="2">
        <v>107</v>
      </c>
      <c r="B1777" s="2" t="s">
        <v>10491</v>
      </c>
      <c r="C1777" s="2">
        <v>6</v>
      </c>
      <c r="D1777" s="2">
        <v>556</v>
      </c>
      <c r="E1777" s="2">
        <v>58</v>
      </c>
      <c r="F1777" s="2">
        <v>32441</v>
      </c>
      <c r="G1777" s="2">
        <v>6.0359092040000002</v>
      </c>
      <c r="H1777" s="2">
        <v>7.3022600000000005E-4</v>
      </c>
      <c r="I1777" s="2" t="s">
        <v>10492</v>
      </c>
      <c r="J1777" s="2" t="s">
        <v>10493</v>
      </c>
      <c r="K1777" s="2">
        <v>5.7686839999999996E-3</v>
      </c>
      <c r="L1777" s="2" t="s">
        <v>848</v>
      </c>
      <c r="M1777" s="4" t="s">
        <v>10494</v>
      </c>
    </row>
    <row r="1778" spans="1:13">
      <c r="A1778" s="2">
        <v>4675</v>
      </c>
      <c r="B1778" s="2" t="s">
        <v>10495</v>
      </c>
      <c r="C1778" s="2">
        <v>9</v>
      </c>
      <c r="D1778" s="2">
        <v>556</v>
      </c>
      <c r="E1778" s="2">
        <v>134</v>
      </c>
      <c r="F1778" s="2">
        <v>32441</v>
      </c>
      <c r="G1778" s="2">
        <v>3.9188365730000001</v>
      </c>
      <c r="H1778" s="2">
        <v>7.4415699999999996E-4</v>
      </c>
      <c r="I1778" s="2" t="s">
        <v>10496</v>
      </c>
      <c r="J1778" s="2" t="s">
        <v>10497</v>
      </c>
      <c r="K1778" s="2">
        <v>5.8709010000000004E-3</v>
      </c>
      <c r="L1778" s="2" t="s">
        <v>848</v>
      </c>
      <c r="M1778" s="4" t="s">
        <v>10498</v>
      </c>
    </row>
    <row r="1779" spans="1:13">
      <c r="A1779" s="2">
        <v>688</v>
      </c>
      <c r="B1779" s="2" t="s">
        <v>10499</v>
      </c>
      <c r="C1779" s="2">
        <v>5</v>
      </c>
      <c r="D1779" s="2">
        <v>556</v>
      </c>
      <c r="E1779" s="2">
        <v>38</v>
      </c>
      <c r="F1779" s="2">
        <v>32441</v>
      </c>
      <c r="G1779" s="2">
        <v>7.6772529340000002</v>
      </c>
      <c r="H1779" s="2">
        <v>7.5707300000000003E-4</v>
      </c>
      <c r="I1779" s="2" t="s">
        <v>10500</v>
      </c>
      <c r="J1779" s="2" t="s">
        <v>10501</v>
      </c>
      <c r="K1779" s="2">
        <v>5.9648519999999997E-3</v>
      </c>
      <c r="L1779" s="2" t="s">
        <v>848</v>
      </c>
      <c r="M1779" s="4" t="s">
        <v>10502</v>
      </c>
    </row>
    <row r="1780" spans="1:13">
      <c r="A1780" s="2">
        <v>1630</v>
      </c>
      <c r="B1780" s="2" t="s">
        <v>10503</v>
      </c>
      <c r="C1780" s="2">
        <v>4</v>
      </c>
      <c r="D1780" s="2">
        <v>556</v>
      </c>
      <c r="E1780" s="2">
        <v>21</v>
      </c>
      <c r="F1780" s="2">
        <v>32441</v>
      </c>
      <c r="G1780" s="2">
        <v>11.11373758</v>
      </c>
      <c r="H1780" s="2">
        <v>7.61485E-4</v>
      </c>
      <c r="I1780" s="2" t="s">
        <v>10504</v>
      </c>
      <c r="J1780" s="2" t="s">
        <v>10505</v>
      </c>
      <c r="K1780" s="2">
        <v>5.9836719999999998E-3</v>
      </c>
      <c r="L1780" s="2" t="s">
        <v>848</v>
      </c>
      <c r="M1780" s="4" t="s">
        <v>10506</v>
      </c>
    </row>
    <row r="1781" spans="1:13">
      <c r="A1781" s="2">
        <v>3954</v>
      </c>
      <c r="B1781" s="2" t="s">
        <v>10507</v>
      </c>
      <c r="C1781" s="2">
        <v>4</v>
      </c>
      <c r="D1781" s="2">
        <v>556</v>
      </c>
      <c r="E1781" s="2">
        <v>21</v>
      </c>
      <c r="F1781" s="2">
        <v>32441</v>
      </c>
      <c r="G1781" s="2">
        <v>11.11373758</v>
      </c>
      <c r="H1781" s="2">
        <v>7.61485E-4</v>
      </c>
      <c r="I1781" s="2" t="s">
        <v>10508</v>
      </c>
      <c r="J1781" s="2" t="s">
        <v>10509</v>
      </c>
      <c r="K1781" s="2">
        <v>5.9836719999999998E-3</v>
      </c>
      <c r="L1781" s="2" t="s">
        <v>848</v>
      </c>
      <c r="M1781" s="4" t="s">
        <v>10510</v>
      </c>
    </row>
    <row r="1782" spans="1:13">
      <c r="A1782" s="2">
        <v>1151</v>
      </c>
      <c r="B1782" s="2" t="s">
        <v>10511</v>
      </c>
      <c r="C1782" s="2">
        <v>9</v>
      </c>
      <c r="D1782" s="2">
        <v>556</v>
      </c>
      <c r="E1782" s="2">
        <v>135</v>
      </c>
      <c r="F1782" s="2">
        <v>32441</v>
      </c>
      <c r="G1782" s="2">
        <v>3.8898081530000002</v>
      </c>
      <c r="H1782" s="2">
        <v>7.8216400000000001E-4</v>
      </c>
      <c r="I1782" s="2" t="s">
        <v>10512</v>
      </c>
      <c r="J1782" s="2" t="s">
        <v>10513</v>
      </c>
      <c r="K1782" s="2">
        <v>6.138017E-3</v>
      </c>
      <c r="L1782" s="2" t="s">
        <v>848</v>
      </c>
      <c r="M1782" s="4" t="s">
        <v>10514</v>
      </c>
    </row>
    <row r="1783" spans="1:13">
      <c r="A1783" s="2">
        <v>1499</v>
      </c>
      <c r="B1783" s="2" t="s">
        <v>10515</v>
      </c>
      <c r="C1783" s="2">
        <v>35</v>
      </c>
      <c r="D1783" s="2">
        <v>556</v>
      </c>
      <c r="E1783" s="2">
        <v>1132</v>
      </c>
      <c r="F1783" s="2">
        <v>32441</v>
      </c>
      <c r="G1783" s="2">
        <v>1.8040187990000001</v>
      </c>
      <c r="H1783" s="2">
        <v>8.1469599999999995E-4</v>
      </c>
      <c r="I1783" s="2" t="s">
        <v>10516</v>
      </c>
      <c r="J1783" s="2" t="s">
        <v>10517</v>
      </c>
      <c r="K1783" s="2">
        <v>6.3848400000000001E-3</v>
      </c>
      <c r="L1783" s="2" t="s">
        <v>848</v>
      </c>
      <c r="M1783" s="4" t="s">
        <v>10518</v>
      </c>
    </row>
    <row r="1784" spans="1:13">
      <c r="A1784" s="2">
        <v>1093</v>
      </c>
      <c r="B1784" s="2" t="s">
        <v>10519</v>
      </c>
      <c r="C1784" s="2">
        <v>9</v>
      </c>
      <c r="D1784" s="2">
        <v>556</v>
      </c>
      <c r="E1784" s="2">
        <v>136</v>
      </c>
      <c r="F1784" s="2">
        <v>32441</v>
      </c>
      <c r="G1784" s="2">
        <v>3.8612066230000002</v>
      </c>
      <c r="H1784" s="2">
        <v>8.2173700000000001E-4</v>
      </c>
      <c r="I1784" s="2" t="s">
        <v>10520</v>
      </c>
      <c r="J1784" s="2" t="s">
        <v>10521</v>
      </c>
      <c r="K1784" s="2">
        <v>6.431506E-3</v>
      </c>
      <c r="L1784" s="2" t="s">
        <v>848</v>
      </c>
      <c r="M1784" s="4" t="s">
        <v>10522</v>
      </c>
    </row>
    <row r="1785" spans="1:13">
      <c r="A1785" s="2">
        <v>2028</v>
      </c>
      <c r="B1785" s="2" t="s">
        <v>10523</v>
      </c>
      <c r="C1785" s="2">
        <v>7</v>
      </c>
      <c r="D1785" s="2">
        <v>556</v>
      </c>
      <c r="E1785" s="2">
        <v>83</v>
      </c>
      <c r="F1785" s="2">
        <v>32441</v>
      </c>
      <c r="G1785" s="2">
        <v>4.9208416399999999</v>
      </c>
      <c r="H1785" s="2">
        <v>8.3099200000000002E-4</v>
      </c>
      <c r="I1785" s="2" t="s">
        <v>10524</v>
      </c>
      <c r="J1785" s="2" t="s">
        <v>10525</v>
      </c>
      <c r="K1785" s="2">
        <v>6.4953470000000003E-3</v>
      </c>
      <c r="L1785" s="2" t="s">
        <v>848</v>
      </c>
      <c r="M1785" s="4" t="s">
        <v>10526</v>
      </c>
    </row>
    <row r="1786" spans="1:13">
      <c r="A1786" s="2">
        <v>3869</v>
      </c>
      <c r="B1786" s="2" t="s">
        <v>10527</v>
      </c>
      <c r="C1786" s="2">
        <v>21</v>
      </c>
      <c r="D1786" s="2">
        <v>556</v>
      </c>
      <c r="E1786" s="2">
        <v>552</v>
      </c>
      <c r="F1786" s="2">
        <v>32441</v>
      </c>
      <c r="G1786" s="2">
        <v>2.2197274789999999</v>
      </c>
      <c r="H1786" s="2">
        <v>8.3262899999999999E-4</v>
      </c>
      <c r="I1786" s="2" t="s">
        <v>10528</v>
      </c>
      <c r="J1786" s="2" t="s">
        <v>10529</v>
      </c>
      <c r="K1786" s="2">
        <v>6.4995570000000004E-3</v>
      </c>
      <c r="L1786" s="2" t="s">
        <v>848</v>
      </c>
      <c r="M1786" s="4" t="s">
        <v>10530</v>
      </c>
    </row>
    <row r="1787" spans="1:13">
      <c r="A1787" s="2">
        <v>3304</v>
      </c>
      <c r="B1787" s="2" t="s">
        <v>10531</v>
      </c>
      <c r="C1787" s="2">
        <v>32</v>
      </c>
      <c r="D1787" s="2">
        <v>556</v>
      </c>
      <c r="E1787" s="2">
        <v>1004</v>
      </c>
      <c r="F1787" s="2">
        <v>32441</v>
      </c>
      <c r="G1787" s="2">
        <v>1.8596692370000001</v>
      </c>
      <c r="H1787" s="2">
        <v>8.3695899999999997E-4</v>
      </c>
      <c r="I1787" s="2" t="s">
        <v>10532</v>
      </c>
      <c r="J1787" s="2" t="s">
        <v>10533</v>
      </c>
      <c r="K1787" s="2">
        <v>6.5247509999999996E-3</v>
      </c>
      <c r="L1787" s="2" t="s">
        <v>848</v>
      </c>
      <c r="M1787" s="4" t="s">
        <v>10534</v>
      </c>
    </row>
    <row r="1788" spans="1:13">
      <c r="A1788" s="2">
        <v>25011</v>
      </c>
      <c r="B1788" s="2" t="s">
        <v>10535</v>
      </c>
      <c r="C1788" s="2">
        <v>12</v>
      </c>
      <c r="D1788" s="2">
        <v>556</v>
      </c>
      <c r="E1788" s="2">
        <v>228</v>
      </c>
      <c r="F1788" s="2">
        <v>32441</v>
      </c>
      <c r="G1788" s="2">
        <v>3.0709011739999998</v>
      </c>
      <c r="H1788" s="2">
        <v>8.3921199999999999E-4</v>
      </c>
      <c r="I1788" s="2" t="s">
        <v>10536</v>
      </c>
      <c r="J1788" s="2" t="s">
        <v>10537</v>
      </c>
      <c r="K1788" s="2">
        <v>6.5337069999999997E-3</v>
      </c>
      <c r="L1788" s="2" t="s">
        <v>848</v>
      </c>
      <c r="M1788" s="4" t="s">
        <v>10538</v>
      </c>
    </row>
    <row r="1789" spans="1:13">
      <c r="A1789" s="2">
        <v>38471</v>
      </c>
      <c r="B1789" s="2" t="s">
        <v>10539</v>
      </c>
      <c r="C1789" s="2">
        <v>36</v>
      </c>
      <c r="D1789" s="2">
        <v>556</v>
      </c>
      <c r="E1789" s="2">
        <v>1178</v>
      </c>
      <c r="F1789" s="2">
        <v>32441</v>
      </c>
      <c r="G1789" s="2">
        <v>1.7831039070000001</v>
      </c>
      <c r="H1789" s="2">
        <v>8.4193699999999996E-4</v>
      </c>
      <c r="I1789" s="2" t="s">
        <v>10540</v>
      </c>
      <c r="J1789" s="2" t="s">
        <v>10541</v>
      </c>
      <c r="K1789" s="2">
        <v>6.5415259999999998E-3</v>
      </c>
      <c r="L1789" s="2" t="s">
        <v>848</v>
      </c>
      <c r="M1789" s="4" t="s">
        <v>10542</v>
      </c>
    </row>
    <row r="1790" spans="1:13">
      <c r="A1790" s="2">
        <v>4179</v>
      </c>
      <c r="B1790" s="2" t="s">
        <v>10543</v>
      </c>
      <c r="C1790" s="2">
        <v>5</v>
      </c>
      <c r="D1790" s="2">
        <v>556</v>
      </c>
      <c r="E1790" s="2">
        <v>39</v>
      </c>
      <c r="F1790" s="2">
        <v>32441</v>
      </c>
      <c r="G1790" s="2">
        <v>7.4804002949999999</v>
      </c>
      <c r="H1790" s="2">
        <v>8.4242699999999998E-4</v>
      </c>
      <c r="I1790" s="2" t="s">
        <v>10544</v>
      </c>
      <c r="J1790" s="2" t="s">
        <v>10545</v>
      </c>
      <c r="K1790" s="2">
        <v>6.5415259999999998E-3</v>
      </c>
      <c r="L1790" s="2" t="s">
        <v>848</v>
      </c>
      <c r="M1790" s="4" t="s">
        <v>10546</v>
      </c>
    </row>
    <row r="1791" spans="1:13">
      <c r="A1791" s="2">
        <v>3811</v>
      </c>
      <c r="B1791" s="2" t="s">
        <v>10547</v>
      </c>
      <c r="C1791" s="2">
        <v>8</v>
      </c>
      <c r="D1791" s="2">
        <v>556</v>
      </c>
      <c r="E1791" s="2">
        <v>109</v>
      </c>
      <c r="F1791" s="2">
        <v>32441</v>
      </c>
      <c r="G1791" s="2">
        <v>4.2823576000000001</v>
      </c>
      <c r="H1791" s="2">
        <v>8.4638499999999995E-4</v>
      </c>
      <c r="I1791" s="2" t="s">
        <v>10548</v>
      </c>
      <c r="J1791" s="2" t="s">
        <v>10549</v>
      </c>
      <c r="K1791" s="2">
        <v>6.5550510000000001E-3</v>
      </c>
      <c r="L1791" s="2" t="s">
        <v>848</v>
      </c>
      <c r="M1791" s="4" t="s">
        <v>10550</v>
      </c>
    </row>
    <row r="1792" spans="1:13">
      <c r="A1792" s="2">
        <v>5828</v>
      </c>
      <c r="B1792" s="2" t="s">
        <v>10551</v>
      </c>
      <c r="C1792" s="2">
        <v>14</v>
      </c>
      <c r="D1792" s="2">
        <v>556</v>
      </c>
      <c r="E1792" s="2">
        <v>295</v>
      </c>
      <c r="F1792" s="2">
        <v>32441</v>
      </c>
      <c r="G1792" s="2">
        <v>2.7690159740000002</v>
      </c>
      <c r="H1792" s="2">
        <v>8.4610100000000004E-4</v>
      </c>
      <c r="I1792" s="2" t="s">
        <v>10552</v>
      </c>
      <c r="J1792" s="2" t="s">
        <v>10553</v>
      </c>
      <c r="K1792" s="2">
        <v>6.5550510000000001E-3</v>
      </c>
      <c r="L1792" s="2" t="s">
        <v>848</v>
      </c>
      <c r="M1792" s="4" t="s">
        <v>10554</v>
      </c>
    </row>
    <row r="1793" spans="1:13">
      <c r="A1793" s="2">
        <v>1546</v>
      </c>
      <c r="B1793" s="2" t="s">
        <v>10555</v>
      </c>
      <c r="C1793" s="2">
        <v>6</v>
      </c>
      <c r="D1793" s="2">
        <v>556</v>
      </c>
      <c r="E1793" s="2">
        <v>60</v>
      </c>
      <c r="F1793" s="2">
        <v>32441</v>
      </c>
      <c r="G1793" s="2">
        <v>5.8347122300000001</v>
      </c>
      <c r="H1793" s="2">
        <v>8.6026400000000002E-4</v>
      </c>
      <c r="I1793" s="2" t="s">
        <v>10556</v>
      </c>
      <c r="J1793" s="2" t="s">
        <v>10557</v>
      </c>
      <c r="K1793" s="2">
        <v>6.6538309999999998E-3</v>
      </c>
      <c r="L1793" s="2" t="s">
        <v>848</v>
      </c>
      <c r="M1793" s="4" t="s">
        <v>10558</v>
      </c>
    </row>
    <row r="1794" spans="1:13">
      <c r="A1794" s="2">
        <v>302</v>
      </c>
      <c r="B1794" s="2" t="s">
        <v>10559</v>
      </c>
      <c r="C1794" s="2">
        <v>16</v>
      </c>
      <c r="D1794" s="2">
        <v>556</v>
      </c>
      <c r="E1794" s="2">
        <v>366</v>
      </c>
      <c r="F1794" s="2">
        <v>32441</v>
      </c>
      <c r="G1794" s="2">
        <v>2.550693871</v>
      </c>
      <c r="H1794" s="2">
        <v>8.6305699999999997E-4</v>
      </c>
      <c r="I1794" s="2" t="s">
        <v>10560</v>
      </c>
      <c r="J1794" s="2" t="s">
        <v>10561</v>
      </c>
      <c r="K1794" s="2">
        <v>6.6580270000000004E-3</v>
      </c>
      <c r="L1794" s="2" t="s">
        <v>848</v>
      </c>
      <c r="M1794" s="4" t="s">
        <v>10562</v>
      </c>
    </row>
    <row r="1795" spans="1:13">
      <c r="A1795" s="2">
        <v>3923</v>
      </c>
      <c r="B1795" s="2" t="s">
        <v>10563</v>
      </c>
      <c r="C1795" s="2">
        <v>9</v>
      </c>
      <c r="D1795" s="2">
        <v>556</v>
      </c>
      <c r="E1795" s="2">
        <v>137</v>
      </c>
      <c r="F1795" s="2">
        <v>32441</v>
      </c>
      <c r="G1795" s="2">
        <v>3.8330226330000001</v>
      </c>
      <c r="H1795" s="2">
        <v>8.6292400000000005E-4</v>
      </c>
      <c r="I1795" s="2" t="s">
        <v>10564</v>
      </c>
      <c r="J1795" s="2" t="s">
        <v>10565</v>
      </c>
      <c r="K1795" s="2">
        <v>6.6580270000000004E-3</v>
      </c>
      <c r="L1795" s="2" t="s">
        <v>848</v>
      </c>
      <c r="M1795" s="4" t="s">
        <v>10566</v>
      </c>
    </row>
    <row r="1796" spans="1:13">
      <c r="A1796" s="2">
        <v>336</v>
      </c>
      <c r="B1796" s="2" t="s">
        <v>10567</v>
      </c>
      <c r="C1796" s="2">
        <v>11</v>
      </c>
      <c r="D1796" s="2">
        <v>556</v>
      </c>
      <c r="E1796" s="2">
        <v>197</v>
      </c>
      <c r="F1796" s="2">
        <v>32441</v>
      </c>
      <c r="G1796" s="2">
        <v>3.2579611439999998</v>
      </c>
      <c r="H1796" s="2">
        <v>8.6612899999999999E-4</v>
      </c>
      <c r="I1796" s="2" t="s">
        <v>9790</v>
      </c>
      <c r="J1796" s="2" t="s">
        <v>9791</v>
      </c>
      <c r="K1796" s="2">
        <v>6.6730260000000003E-3</v>
      </c>
      <c r="L1796" s="2" t="s">
        <v>848</v>
      </c>
      <c r="M1796" s="4" t="s">
        <v>10568</v>
      </c>
    </row>
    <row r="1797" spans="1:13">
      <c r="A1797" s="2">
        <v>949</v>
      </c>
      <c r="B1797" s="2" t="s">
        <v>10569</v>
      </c>
      <c r="C1797" s="2">
        <v>4</v>
      </c>
      <c r="D1797" s="2">
        <v>556</v>
      </c>
      <c r="E1797" s="2">
        <v>22</v>
      </c>
      <c r="F1797" s="2">
        <v>32441</v>
      </c>
      <c r="G1797" s="2">
        <v>10.608567689999999</v>
      </c>
      <c r="H1797" s="2">
        <v>8.8803199999999997E-4</v>
      </c>
      <c r="I1797" s="2" t="s">
        <v>9927</v>
      </c>
      <c r="J1797" s="2" t="s">
        <v>9928</v>
      </c>
      <c r="K1797" s="2">
        <v>6.7975240000000001E-3</v>
      </c>
      <c r="L1797" s="2" t="s">
        <v>848</v>
      </c>
      <c r="M1797" s="4" t="s">
        <v>10570</v>
      </c>
    </row>
    <row r="1798" spans="1:13">
      <c r="A1798" s="2">
        <v>2137</v>
      </c>
      <c r="B1798" s="2" t="s">
        <v>10571</v>
      </c>
      <c r="C1798" s="2">
        <v>4</v>
      </c>
      <c r="D1798" s="2">
        <v>556</v>
      </c>
      <c r="E1798" s="2">
        <v>22</v>
      </c>
      <c r="F1798" s="2">
        <v>32441</v>
      </c>
      <c r="G1798" s="2">
        <v>10.608567689999999</v>
      </c>
      <c r="H1798" s="2">
        <v>8.8803199999999997E-4</v>
      </c>
      <c r="I1798" s="2" t="s">
        <v>9987</v>
      </c>
      <c r="J1798" s="2" t="s">
        <v>9988</v>
      </c>
      <c r="K1798" s="2">
        <v>6.7975240000000001E-3</v>
      </c>
      <c r="L1798" s="2" t="s">
        <v>848</v>
      </c>
      <c r="M1798" s="4" t="s">
        <v>10572</v>
      </c>
    </row>
    <row r="1799" spans="1:13">
      <c r="A1799" s="2">
        <v>2541</v>
      </c>
      <c r="B1799" s="2" t="s">
        <v>10573</v>
      </c>
      <c r="C1799" s="2">
        <v>4</v>
      </c>
      <c r="D1799" s="2">
        <v>556</v>
      </c>
      <c r="E1799" s="2">
        <v>22</v>
      </c>
      <c r="F1799" s="2">
        <v>32441</v>
      </c>
      <c r="G1799" s="2">
        <v>10.608567689999999</v>
      </c>
      <c r="H1799" s="2">
        <v>8.8803199999999997E-4</v>
      </c>
      <c r="I1799" s="2" t="s">
        <v>10574</v>
      </c>
      <c r="J1799" s="2" t="s">
        <v>10575</v>
      </c>
      <c r="K1799" s="2">
        <v>6.7975240000000001E-3</v>
      </c>
      <c r="L1799" s="2" t="s">
        <v>848</v>
      </c>
      <c r="M1799" s="4" t="s">
        <v>10576</v>
      </c>
    </row>
    <row r="1800" spans="1:13">
      <c r="A1800" s="2">
        <v>3522</v>
      </c>
      <c r="B1800" s="2" t="s">
        <v>10577</v>
      </c>
      <c r="C1800" s="2">
        <v>4</v>
      </c>
      <c r="D1800" s="2">
        <v>556</v>
      </c>
      <c r="E1800" s="2">
        <v>22</v>
      </c>
      <c r="F1800" s="2">
        <v>32441</v>
      </c>
      <c r="G1800" s="2">
        <v>10.608567689999999</v>
      </c>
      <c r="H1800" s="2">
        <v>8.8803199999999997E-4</v>
      </c>
      <c r="I1800" s="2" t="s">
        <v>10578</v>
      </c>
      <c r="J1800" s="2" t="s">
        <v>10579</v>
      </c>
      <c r="K1800" s="2">
        <v>6.7975240000000001E-3</v>
      </c>
      <c r="L1800" s="2" t="s">
        <v>848</v>
      </c>
      <c r="M1800" s="4" t="s">
        <v>10580</v>
      </c>
    </row>
    <row r="1801" spans="1:13">
      <c r="A1801" s="2">
        <v>3638</v>
      </c>
      <c r="B1801" s="2" t="s">
        <v>10581</v>
      </c>
      <c r="C1801" s="2">
        <v>7</v>
      </c>
      <c r="D1801" s="2">
        <v>556</v>
      </c>
      <c r="E1801" s="2">
        <v>84</v>
      </c>
      <c r="F1801" s="2">
        <v>32441</v>
      </c>
      <c r="G1801" s="2">
        <v>4.8622601919999999</v>
      </c>
      <c r="H1801" s="2">
        <v>8.8738800000000002E-4</v>
      </c>
      <c r="I1801" s="2" t="s">
        <v>10582</v>
      </c>
      <c r="J1801" s="2" t="s">
        <v>10583</v>
      </c>
      <c r="K1801" s="2">
        <v>6.7975240000000001E-3</v>
      </c>
      <c r="L1801" s="2" t="s">
        <v>848</v>
      </c>
      <c r="M1801" s="4" t="s">
        <v>10584</v>
      </c>
    </row>
    <row r="1802" spans="1:13">
      <c r="A1802" s="2">
        <v>675</v>
      </c>
      <c r="B1802" s="2" t="s">
        <v>10585</v>
      </c>
      <c r="C1802" s="2">
        <v>13</v>
      </c>
      <c r="D1802" s="2">
        <v>556</v>
      </c>
      <c r="E1802" s="2">
        <v>263</v>
      </c>
      <c r="F1802" s="2">
        <v>32441</v>
      </c>
      <c r="G1802" s="2">
        <v>2.8840782890000001</v>
      </c>
      <c r="H1802" s="2">
        <v>9.0036999999999995E-4</v>
      </c>
      <c r="I1802" s="2" t="s">
        <v>10586</v>
      </c>
      <c r="J1802" s="2" t="s">
        <v>10587</v>
      </c>
      <c r="K1802" s="2">
        <v>6.8697810000000002E-3</v>
      </c>
      <c r="L1802" s="2" t="s">
        <v>848</v>
      </c>
      <c r="M1802" s="4" t="s">
        <v>10588</v>
      </c>
    </row>
    <row r="1803" spans="1:13">
      <c r="A1803" s="2">
        <v>2344</v>
      </c>
      <c r="B1803" s="2" t="s">
        <v>10589</v>
      </c>
      <c r="C1803" s="2">
        <v>18</v>
      </c>
      <c r="D1803" s="2">
        <v>556</v>
      </c>
      <c r="E1803" s="2">
        <v>441</v>
      </c>
      <c r="F1803" s="2">
        <v>32441</v>
      </c>
      <c r="G1803" s="2">
        <v>2.3815151960000001</v>
      </c>
      <c r="H1803" s="2">
        <v>9.0095500000000005E-4</v>
      </c>
      <c r="I1803" s="2" t="s">
        <v>10590</v>
      </c>
      <c r="J1803" s="2" t="s">
        <v>10591</v>
      </c>
      <c r="K1803" s="2">
        <v>6.8697810000000002E-3</v>
      </c>
      <c r="L1803" s="2" t="s">
        <v>848</v>
      </c>
      <c r="M1803" s="4" t="s">
        <v>10592</v>
      </c>
    </row>
    <row r="1804" spans="1:13">
      <c r="A1804" s="2">
        <v>2508</v>
      </c>
      <c r="B1804" s="2" t="s">
        <v>10593</v>
      </c>
      <c r="C1804" s="2">
        <v>14</v>
      </c>
      <c r="D1804" s="2">
        <v>556</v>
      </c>
      <c r="E1804" s="2">
        <v>297</v>
      </c>
      <c r="F1804" s="2">
        <v>32441</v>
      </c>
      <c r="G1804" s="2">
        <v>2.7503694009999999</v>
      </c>
      <c r="H1804" s="2">
        <v>9.0018400000000005E-4</v>
      </c>
      <c r="I1804" s="2" t="s">
        <v>10594</v>
      </c>
      <c r="J1804" s="2" t="s">
        <v>10595</v>
      </c>
      <c r="K1804" s="2">
        <v>6.8697810000000002E-3</v>
      </c>
      <c r="L1804" s="2" t="s">
        <v>848</v>
      </c>
      <c r="M1804" s="4" t="s">
        <v>10596</v>
      </c>
    </row>
    <row r="1805" spans="1:13">
      <c r="A1805" s="2">
        <v>4399</v>
      </c>
      <c r="B1805" s="2" t="s">
        <v>10597</v>
      </c>
      <c r="C1805" s="2">
        <v>5</v>
      </c>
      <c r="D1805" s="2">
        <v>556</v>
      </c>
      <c r="E1805" s="2">
        <v>40</v>
      </c>
      <c r="F1805" s="2">
        <v>32441</v>
      </c>
      <c r="G1805" s="2">
        <v>7.2933902880000003</v>
      </c>
      <c r="H1805" s="2">
        <v>9.3474699999999999E-4</v>
      </c>
      <c r="I1805" s="2" t="s">
        <v>10294</v>
      </c>
      <c r="J1805" s="2" t="s">
        <v>10295</v>
      </c>
      <c r="K1805" s="2">
        <v>7.1182720000000001E-3</v>
      </c>
      <c r="L1805" s="2" t="s">
        <v>848</v>
      </c>
      <c r="M1805" s="4" t="s">
        <v>10598</v>
      </c>
    </row>
    <row r="1806" spans="1:13">
      <c r="A1806" s="2">
        <v>2282</v>
      </c>
      <c r="B1806" s="2" t="s">
        <v>10599</v>
      </c>
      <c r="C1806" s="2">
        <v>7</v>
      </c>
      <c r="D1806" s="2">
        <v>556</v>
      </c>
      <c r="E1806" s="2">
        <v>86</v>
      </c>
      <c r="F1806" s="2">
        <v>32441</v>
      </c>
      <c r="G1806" s="2">
        <v>4.7491843730000003</v>
      </c>
      <c r="H1806" s="2">
        <v>1.0092110000000001E-3</v>
      </c>
      <c r="I1806" s="2" t="s">
        <v>10600</v>
      </c>
      <c r="J1806" s="2" t="s">
        <v>10601</v>
      </c>
      <c r="K1806" s="2">
        <v>7.6656019999999997E-3</v>
      </c>
      <c r="L1806" s="2" t="s">
        <v>848</v>
      </c>
      <c r="M1806" s="4" t="s">
        <v>10602</v>
      </c>
    </row>
    <row r="1807" spans="1:13">
      <c r="A1807" s="2">
        <v>4987</v>
      </c>
      <c r="B1807" s="2" t="s">
        <v>10603</v>
      </c>
      <c r="C1807" s="2">
        <v>7</v>
      </c>
      <c r="D1807" s="2">
        <v>556</v>
      </c>
      <c r="E1807" s="2">
        <v>86</v>
      </c>
      <c r="F1807" s="2">
        <v>32441</v>
      </c>
      <c r="G1807" s="2">
        <v>4.7491843730000003</v>
      </c>
      <c r="H1807" s="2">
        <v>1.0092110000000001E-3</v>
      </c>
      <c r="I1807" s="2" t="s">
        <v>10604</v>
      </c>
      <c r="J1807" s="2" t="s">
        <v>10605</v>
      </c>
      <c r="K1807" s="2">
        <v>7.6656019999999997E-3</v>
      </c>
      <c r="L1807" s="2" t="s">
        <v>848</v>
      </c>
      <c r="M1807" s="4" t="s">
        <v>10606</v>
      </c>
    </row>
    <row r="1808" spans="1:13">
      <c r="A1808" s="2">
        <v>951</v>
      </c>
      <c r="B1808" s="2" t="s">
        <v>10607</v>
      </c>
      <c r="C1808" s="2">
        <v>4</v>
      </c>
      <c r="D1808" s="2">
        <v>556</v>
      </c>
      <c r="E1808" s="2">
        <v>23</v>
      </c>
      <c r="F1808" s="2">
        <v>32441</v>
      </c>
      <c r="G1808" s="2">
        <v>10.14732562</v>
      </c>
      <c r="H1808" s="2">
        <v>1.028691E-3</v>
      </c>
      <c r="I1808" s="2" t="s">
        <v>10608</v>
      </c>
      <c r="J1808" s="2" t="s">
        <v>10609</v>
      </c>
      <c r="K1808" s="2">
        <v>7.7835839999999996E-3</v>
      </c>
      <c r="L1808" s="2" t="s">
        <v>848</v>
      </c>
      <c r="M1808" s="4" t="s">
        <v>10610</v>
      </c>
    </row>
    <row r="1809" spans="1:13">
      <c r="A1809" s="2">
        <v>2200</v>
      </c>
      <c r="B1809" s="2" t="s">
        <v>10611</v>
      </c>
      <c r="C1809" s="2">
        <v>4</v>
      </c>
      <c r="D1809" s="2">
        <v>556</v>
      </c>
      <c r="E1809" s="2">
        <v>23</v>
      </c>
      <c r="F1809" s="2">
        <v>32441</v>
      </c>
      <c r="G1809" s="2">
        <v>10.14732562</v>
      </c>
      <c r="H1809" s="2">
        <v>1.028691E-3</v>
      </c>
      <c r="I1809" s="2" t="s">
        <v>9999</v>
      </c>
      <c r="J1809" s="2" t="s">
        <v>10000</v>
      </c>
      <c r="K1809" s="2">
        <v>7.7835839999999996E-3</v>
      </c>
      <c r="L1809" s="2" t="s">
        <v>848</v>
      </c>
      <c r="M1809" s="4" t="s">
        <v>10612</v>
      </c>
    </row>
    <row r="1810" spans="1:13">
      <c r="A1810" s="2">
        <v>41931</v>
      </c>
      <c r="B1810" s="2" t="s">
        <v>10613</v>
      </c>
      <c r="C1810" s="2">
        <v>4</v>
      </c>
      <c r="D1810" s="2">
        <v>556</v>
      </c>
      <c r="E1810" s="2">
        <v>23</v>
      </c>
      <c r="F1810" s="2">
        <v>32441</v>
      </c>
      <c r="G1810" s="2">
        <v>10.14732562</v>
      </c>
      <c r="H1810" s="2">
        <v>1.028691E-3</v>
      </c>
      <c r="I1810" s="2" t="s">
        <v>10614</v>
      </c>
      <c r="J1810" s="2" t="s">
        <v>10615</v>
      </c>
      <c r="K1810" s="2">
        <v>7.7835839999999996E-3</v>
      </c>
      <c r="L1810" s="2" t="s">
        <v>848</v>
      </c>
      <c r="M1810" s="4" t="s">
        <v>10616</v>
      </c>
    </row>
    <row r="1811" spans="1:13">
      <c r="A1811" s="2">
        <v>3513</v>
      </c>
      <c r="B1811" s="2" t="s">
        <v>10617</v>
      </c>
      <c r="C1811" s="2">
        <v>5</v>
      </c>
      <c r="D1811" s="2">
        <v>556</v>
      </c>
      <c r="E1811" s="2">
        <v>41</v>
      </c>
      <c r="F1811" s="2">
        <v>32441</v>
      </c>
      <c r="G1811" s="2">
        <v>7.1155027200000003</v>
      </c>
      <c r="H1811" s="2">
        <v>1.034379E-3</v>
      </c>
      <c r="I1811" s="2" t="s">
        <v>10618</v>
      </c>
      <c r="J1811" s="2" t="s">
        <v>10619</v>
      </c>
      <c r="K1811" s="2">
        <v>7.8066569999999998E-3</v>
      </c>
      <c r="L1811" s="2" t="s">
        <v>848</v>
      </c>
      <c r="M1811" s="4" t="s">
        <v>10620</v>
      </c>
    </row>
    <row r="1812" spans="1:13">
      <c r="A1812" s="2">
        <v>4384</v>
      </c>
      <c r="B1812" s="2" t="s">
        <v>10621</v>
      </c>
      <c r="C1812" s="2">
        <v>5</v>
      </c>
      <c r="D1812" s="2">
        <v>556</v>
      </c>
      <c r="E1812" s="2">
        <v>41</v>
      </c>
      <c r="F1812" s="2">
        <v>32441</v>
      </c>
      <c r="G1812" s="2">
        <v>7.1155027200000003</v>
      </c>
      <c r="H1812" s="2">
        <v>1.034379E-3</v>
      </c>
      <c r="I1812" s="2" t="s">
        <v>10622</v>
      </c>
      <c r="J1812" s="2" t="s">
        <v>10623</v>
      </c>
      <c r="K1812" s="2">
        <v>7.8066569999999998E-3</v>
      </c>
      <c r="L1812" s="2" t="s">
        <v>848</v>
      </c>
      <c r="M1812" s="4" t="s">
        <v>10624</v>
      </c>
    </row>
    <row r="1813" spans="1:13">
      <c r="A1813" s="2">
        <v>3993</v>
      </c>
      <c r="B1813" s="2" t="s">
        <v>10625</v>
      </c>
      <c r="C1813" s="2">
        <v>10</v>
      </c>
      <c r="D1813" s="2">
        <v>556</v>
      </c>
      <c r="E1813" s="2">
        <v>171</v>
      </c>
      <c r="F1813" s="2">
        <v>32441</v>
      </c>
      <c r="G1813" s="2">
        <v>3.4121124150000002</v>
      </c>
      <c r="H1813" s="2">
        <v>1.056172E-3</v>
      </c>
      <c r="I1813" s="2" t="s">
        <v>10626</v>
      </c>
      <c r="J1813" s="2" t="s">
        <v>10627</v>
      </c>
      <c r="K1813" s="2">
        <v>7.9609799999999994E-3</v>
      </c>
      <c r="L1813" s="2" t="s">
        <v>848</v>
      </c>
      <c r="M1813" s="4" t="s">
        <v>10628</v>
      </c>
    </row>
    <row r="1814" spans="1:13">
      <c r="A1814" s="2">
        <v>3531</v>
      </c>
      <c r="B1814" s="2" t="s">
        <v>10629</v>
      </c>
      <c r="C1814" s="2">
        <v>6</v>
      </c>
      <c r="D1814" s="2">
        <v>556</v>
      </c>
      <c r="E1814" s="2">
        <v>63</v>
      </c>
      <c r="F1814" s="2">
        <v>32441</v>
      </c>
      <c r="G1814" s="2">
        <v>5.5568687910000003</v>
      </c>
      <c r="H1814" s="2">
        <v>1.0879240000000001E-3</v>
      </c>
      <c r="I1814" s="2" t="s">
        <v>10630</v>
      </c>
      <c r="J1814" s="2" t="s">
        <v>10631</v>
      </c>
      <c r="K1814" s="2">
        <v>8.1898839999999997E-3</v>
      </c>
      <c r="L1814" s="2" t="s">
        <v>848</v>
      </c>
      <c r="M1814" s="4" t="s">
        <v>10632</v>
      </c>
    </row>
    <row r="1815" spans="1:13">
      <c r="A1815" s="2">
        <v>4619</v>
      </c>
      <c r="B1815" s="2" t="s">
        <v>10633</v>
      </c>
      <c r="C1815" s="2">
        <v>29</v>
      </c>
      <c r="D1815" s="2">
        <v>556</v>
      </c>
      <c r="E1815" s="2">
        <v>893</v>
      </c>
      <c r="F1815" s="2">
        <v>32441</v>
      </c>
      <c r="G1815" s="2">
        <v>1.8948113630000001</v>
      </c>
      <c r="H1815" s="2">
        <v>1.0994570000000001E-3</v>
      </c>
      <c r="I1815" s="2" t="s">
        <v>10634</v>
      </c>
      <c r="J1815" s="2" t="s">
        <v>10635</v>
      </c>
      <c r="K1815" s="2">
        <v>8.266186E-3</v>
      </c>
      <c r="L1815" s="2" t="s">
        <v>848</v>
      </c>
      <c r="M1815" s="4" t="s">
        <v>10636</v>
      </c>
    </row>
    <row r="1816" spans="1:13">
      <c r="A1816" s="2">
        <v>41631</v>
      </c>
      <c r="B1816" s="2" t="s">
        <v>10637</v>
      </c>
      <c r="C1816" s="2">
        <v>10</v>
      </c>
      <c r="D1816" s="2">
        <v>556</v>
      </c>
      <c r="E1816" s="2">
        <v>172</v>
      </c>
      <c r="F1816" s="2">
        <v>32441</v>
      </c>
      <c r="G1816" s="2">
        <v>3.3922745519999999</v>
      </c>
      <c r="H1816" s="2">
        <v>1.101129E-3</v>
      </c>
      <c r="I1816" s="2" t="s">
        <v>10638</v>
      </c>
      <c r="J1816" s="2" t="s">
        <v>10639</v>
      </c>
      <c r="K1816" s="2">
        <v>8.2682480000000006E-3</v>
      </c>
      <c r="L1816" s="2" t="s">
        <v>848</v>
      </c>
      <c r="M1816" s="4" t="s">
        <v>10640</v>
      </c>
    </row>
    <row r="1817" spans="1:13">
      <c r="A1817" s="2">
        <v>5170</v>
      </c>
      <c r="B1817" s="2" t="s">
        <v>10641</v>
      </c>
      <c r="C1817" s="2">
        <v>22</v>
      </c>
      <c r="D1817" s="2">
        <v>556</v>
      </c>
      <c r="E1817" s="2">
        <v>606</v>
      </c>
      <c r="F1817" s="2">
        <v>32441</v>
      </c>
      <c r="G1817" s="2">
        <v>2.1182123609999999</v>
      </c>
      <c r="H1817" s="2">
        <v>1.132327E-3</v>
      </c>
      <c r="I1817" s="2" t="s">
        <v>10642</v>
      </c>
      <c r="J1817" s="2" t="s">
        <v>10643</v>
      </c>
      <c r="K1817" s="2">
        <v>8.4917369999999992E-3</v>
      </c>
      <c r="L1817" s="2" t="s">
        <v>848</v>
      </c>
      <c r="M1817" s="4" t="s">
        <v>10644</v>
      </c>
    </row>
    <row r="1818" spans="1:13">
      <c r="A1818" s="2">
        <v>930</v>
      </c>
      <c r="B1818" s="2" t="s">
        <v>10645</v>
      </c>
      <c r="C1818" s="2">
        <v>10</v>
      </c>
      <c r="D1818" s="2">
        <v>556</v>
      </c>
      <c r="E1818" s="2">
        <v>173</v>
      </c>
      <c r="F1818" s="2">
        <v>32441</v>
      </c>
      <c r="G1818" s="2">
        <v>3.3726660289999999</v>
      </c>
      <c r="H1818" s="2">
        <v>1.1476380000000001E-3</v>
      </c>
      <c r="I1818" s="2" t="s">
        <v>10646</v>
      </c>
      <c r="J1818" s="2" t="s">
        <v>10647</v>
      </c>
      <c r="K1818" s="2">
        <v>8.5847949999999992E-3</v>
      </c>
      <c r="L1818" s="2" t="s">
        <v>848</v>
      </c>
      <c r="M1818" s="4" t="s">
        <v>10648</v>
      </c>
    </row>
    <row r="1819" spans="1:13">
      <c r="A1819" s="2">
        <v>2742</v>
      </c>
      <c r="B1819" s="2" t="s">
        <v>10649</v>
      </c>
      <c r="C1819" s="2">
        <v>10</v>
      </c>
      <c r="D1819" s="2">
        <v>556</v>
      </c>
      <c r="E1819" s="2">
        <v>173</v>
      </c>
      <c r="F1819" s="2">
        <v>32441</v>
      </c>
      <c r="G1819" s="2">
        <v>3.3726660289999999</v>
      </c>
      <c r="H1819" s="2">
        <v>1.1476380000000001E-3</v>
      </c>
      <c r="I1819" s="2" t="s">
        <v>10650</v>
      </c>
      <c r="J1819" s="2" t="s">
        <v>10651</v>
      </c>
      <c r="K1819" s="2">
        <v>8.5847949999999992E-3</v>
      </c>
      <c r="L1819" s="2" t="s">
        <v>848</v>
      </c>
      <c r="M1819" s="4" t="s">
        <v>10652</v>
      </c>
    </row>
    <row r="1820" spans="1:13">
      <c r="A1820" s="2">
        <v>1928</v>
      </c>
      <c r="B1820" s="2" t="s">
        <v>10653</v>
      </c>
      <c r="C1820" s="2">
        <v>6</v>
      </c>
      <c r="D1820" s="2">
        <v>556</v>
      </c>
      <c r="E1820" s="2">
        <v>64</v>
      </c>
      <c r="F1820" s="2">
        <v>32441</v>
      </c>
      <c r="G1820" s="2">
        <v>5.470042716</v>
      </c>
      <c r="H1820" s="2">
        <v>1.173239E-3</v>
      </c>
      <c r="I1820" s="2" t="s">
        <v>10365</v>
      </c>
      <c r="J1820" s="2" t="s">
        <v>10366</v>
      </c>
      <c r="K1820" s="2">
        <v>8.7652210000000001E-3</v>
      </c>
      <c r="L1820" s="2" t="s">
        <v>848</v>
      </c>
      <c r="M1820" s="4" t="s">
        <v>10654</v>
      </c>
    </row>
    <row r="1821" spans="1:13">
      <c r="A1821" s="2">
        <v>5801</v>
      </c>
      <c r="B1821" s="2" t="s">
        <v>10655</v>
      </c>
      <c r="C1821" s="2">
        <v>4</v>
      </c>
      <c r="D1821" s="2">
        <v>556</v>
      </c>
      <c r="E1821" s="2">
        <v>24</v>
      </c>
      <c r="F1821" s="2">
        <v>32441</v>
      </c>
      <c r="G1821" s="2">
        <v>9.7245203839999999</v>
      </c>
      <c r="H1821" s="2">
        <v>1.184282E-3</v>
      </c>
      <c r="I1821" s="2" t="s">
        <v>10656</v>
      </c>
      <c r="J1821" s="2" t="s">
        <v>10657</v>
      </c>
      <c r="K1821" s="2">
        <v>8.8254389999999992E-3</v>
      </c>
      <c r="L1821" s="2" t="s">
        <v>848</v>
      </c>
      <c r="M1821" s="4" t="s">
        <v>10658</v>
      </c>
    </row>
    <row r="1822" spans="1:13">
      <c r="A1822" s="2">
        <v>1871</v>
      </c>
      <c r="B1822" s="2" t="s">
        <v>10659</v>
      </c>
      <c r="C1822" s="2">
        <v>4</v>
      </c>
      <c r="D1822" s="2">
        <v>556</v>
      </c>
      <c r="E1822" s="2">
        <v>24</v>
      </c>
      <c r="F1822" s="2">
        <v>32441</v>
      </c>
      <c r="G1822" s="2">
        <v>9.7245203839999999</v>
      </c>
      <c r="H1822" s="2">
        <v>1.184282E-3</v>
      </c>
      <c r="I1822" s="2" t="s">
        <v>10660</v>
      </c>
      <c r="J1822" s="2" t="s">
        <v>10661</v>
      </c>
      <c r="K1822" s="2">
        <v>8.8254389999999992E-3</v>
      </c>
      <c r="L1822" s="2" t="s">
        <v>848</v>
      </c>
      <c r="M1822" s="4" t="s">
        <v>10662</v>
      </c>
    </row>
    <row r="1823" spans="1:13">
      <c r="A1823" s="2">
        <v>4265</v>
      </c>
      <c r="B1823" s="2" t="s">
        <v>10663</v>
      </c>
      <c r="C1823" s="2">
        <v>3</v>
      </c>
      <c r="D1823" s="2">
        <v>556</v>
      </c>
      <c r="E1823" s="2">
        <v>10</v>
      </c>
      <c r="F1823" s="2">
        <v>32441</v>
      </c>
      <c r="G1823" s="2">
        <v>17.504136689999999</v>
      </c>
      <c r="H1823" s="2">
        <v>1.1998519999999999E-3</v>
      </c>
      <c r="I1823" s="2" t="s">
        <v>10664</v>
      </c>
      <c r="J1823" s="2" t="s">
        <v>10665</v>
      </c>
      <c r="K1823" s="2">
        <v>8.9302180000000002E-3</v>
      </c>
      <c r="L1823" s="2" t="s">
        <v>848</v>
      </c>
      <c r="M1823" s="4" t="s">
        <v>10666</v>
      </c>
    </row>
    <row r="1824" spans="1:13">
      <c r="A1824" s="2">
        <v>5476</v>
      </c>
      <c r="B1824" s="2" t="s">
        <v>10667</v>
      </c>
      <c r="C1824" s="2">
        <v>13</v>
      </c>
      <c r="D1824" s="2">
        <v>556</v>
      </c>
      <c r="E1824" s="2">
        <v>272</v>
      </c>
      <c r="F1824" s="2">
        <v>32441</v>
      </c>
      <c r="G1824" s="2">
        <v>2.7886492280000001</v>
      </c>
      <c r="H1824" s="2">
        <v>1.20397E-3</v>
      </c>
      <c r="I1824" s="2" t="s">
        <v>10668</v>
      </c>
      <c r="J1824" s="2" t="s">
        <v>10669</v>
      </c>
      <c r="K1824" s="2">
        <v>8.9496139999999998E-3</v>
      </c>
      <c r="L1824" s="2" t="s">
        <v>848</v>
      </c>
      <c r="M1824" s="4" t="s">
        <v>10670</v>
      </c>
    </row>
    <row r="1825" spans="1:13">
      <c r="A1825" s="2">
        <v>2783</v>
      </c>
      <c r="B1825" s="2" t="s">
        <v>10671</v>
      </c>
      <c r="C1825" s="2">
        <v>7</v>
      </c>
      <c r="D1825" s="2">
        <v>556</v>
      </c>
      <c r="E1825" s="2">
        <v>89</v>
      </c>
      <c r="F1825" s="2">
        <v>32441</v>
      </c>
      <c r="G1825" s="2">
        <v>4.5890995070000002</v>
      </c>
      <c r="H1825" s="2">
        <v>1.216181E-3</v>
      </c>
      <c r="I1825" s="2" t="s">
        <v>10672</v>
      </c>
      <c r="J1825" s="2" t="s">
        <v>10673</v>
      </c>
      <c r="K1825" s="2">
        <v>9.0290400000000003E-3</v>
      </c>
      <c r="L1825" s="2" t="s">
        <v>848</v>
      </c>
      <c r="M1825" s="4" t="s">
        <v>10674</v>
      </c>
    </row>
    <row r="1826" spans="1:13">
      <c r="A1826" s="2">
        <v>1660</v>
      </c>
      <c r="B1826" s="2" t="s">
        <v>10675</v>
      </c>
      <c r="C1826" s="2">
        <v>8</v>
      </c>
      <c r="D1826" s="2">
        <v>556</v>
      </c>
      <c r="E1826" s="2">
        <v>116</v>
      </c>
      <c r="F1826" s="2">
        <v>32441</v>
      </c>
      <c r="G1826" s="2">
        <v>4.0239394690000001</v>
      </c>
      <c r="H1826" s="2">
        <v>1.23401E-3</v>
      </c>
      <c r="I1826" s="2" t="s">
        <v>10676</v>
      </c>
      <c r="J1826" s="2" t="s">
        <v>10677</v>
      </c>
      <c r="K1826" s="2">
        <v>9.1384659999999996E-3</v>
      </c>
      <c r="L1826" s="2" t="s">
        <v>848</v>
      </c>
      <c r="M1826" s="4" t="s">
        <v>10678</v>
      </c>
    </row>
    <row r="1827" spans="1:13">
      <c r="A1827" s="2">
        <v>5209</v>
      </c>
      <c r="B1827" s="2" t="s">
        <v>10679</v>
      </c>
      <c r="C1827" s="2">
        <v>8</v>
      </c>
      <c r="D1827" s="2">
        <v>556</v>
      </c>
      <c r="E1827" s="2">
        <v>116</v>
      </c>
      <c r="F1827" s="2">
        <v>32441</v>
      </c>
      <c r="G1827" s="2">
        <v>4.0239394690000001</v>
      </c>
      <c r="H1827" s="2">
        <v>1.23401E-3</v>
      </c>
      <c r="I1827" s="2" t="s">
        <v>10680</v>
      </c>
      <c r="J1827" s="2" t="s">
        <v>10681</v>
      </c>
      <c r="K1827" s="2">
        <v>9.1384659999999996E-3</v>
      </c>
      <c r="L1827" s="2" t="s">
        <v>848</v>
      </c>
      <c r="M1827" s="4" t="s">
        <v>10682</v>
      </c>
    </row>
    <row r="1828" spans="1:13">
      <c r="A1828" s="2">
        <v>1776</v>
      </c>
      <c r="B1828" s="2" t="s">
        <v>10683</v>
      </c>
      <c r="C1828" s="2">
        <v>10</v>
      </c>
      <c r="D1828" s="2">
        <v>556</v>
      </c>
      <c r="E1828" s="2">
        <v>175</v>
      </c>
      <c r="F1828" s="2">
        <v>32441</v>
      </c>
      <c r="G1828" s="2">
        <v>3.3341212740000001</v>
      </c>
      <c r="H1828" s="2">
        <v>1.2454709999999999E-3</v>
      </c>
      <c r="I1828" s="2" t="s">
        <v>10684</v>
      </c>
      <c r="J1828" s="2" t="s">
        <v>10685</v>
      </c>
      <c r="K1828" s="2">
        <v>9.2118159999999994E-3</v>
      </c>
      <c r="L1828" s="2" t="s">
        <v>848</v>
      </c>
      <c r="M1828" s="4" t="s">
        <v>10686</v>
      </c>
    </row>
    <row r="1829" spans="1:13">
      <c r="A1829" s="2">
        <v>3621</v>
      </c>
      <c r="B1829" s="2" t="s">
        <v>10687</v>
      </c>
      <c r="C1829" s="2">
        <v>14</v>
      </c>
      <c r="D1829" s="2">
        <v>556</v>
      </c>
      <c r="E1829" s="2">
        <v>310</v>
      </c>
      <c r="F1829" s="2">
        <v>32441</v>
      </c>
      <c r="G1829" s="2">
        <v>2.6350313299999999</v>
      </c>
      <c r="H1829" s="2">
        <v>1.327574E-3</v>
      </c>
      <c r="I1829" s="2" t="s">
        <v>10688</v>
      </c>
      <c r="J1829" s="2" t="s">
        <v>10689</v>
      </c>
      <c r="K1829" s="2">
        <v>9.8068089999999997E-3</v>
      </c>
      <c r="L1829" s="2" t="s">
        <v>848</v>
      </c>
      <c r="M1829" s="4" t="s">
        <v>10690</v>
      </c>
    </row>
    <row r="1830" spans="1:13">
      <c r="A1830" s="2">
        <v>2231</v>
      </c>
      <c r="B1830" s="2" t="s">
        <v>10691</v>
      </c>
      <c r="C1830" s="2">
        <v>33</v>
      </c>
      <c r="D1830" s="2">
        <v>556</v>
      </c>
      <c r="E1830" s="2">
        <v>1079</v>
      </c>
      <c r="F1830" s="2">
        <v>32441</v>
      </c>
      <c r="G1830" s="2">
        <v>1.7844810339999999</v>
      </c>
      <c r="H1830" s="2">
        <v>1.3512299999999999E-3</v>
      </c>
      <c r="I1830" s="2" t="s">
        <v>10692</v>
      </c>
      <c r="J1830" s="2" t="s">
        <v>10693</v>
      </c>
      <c r="K1830" s="2">
        <v>9.9691120000000005E-3</v>
      </c>
      <c r="L1830" s="2" t="s">
        <v>848</v>
      </c>
      <c r="M1830" s="4" t="s">
        <v>10694</v>
      </c>
    </row>
    <row r="1831" spans="1:13">
      <c r="A1831" s="2">
        <v>354</v>
      </c>
      <c r="B1831" s="2" t="s">
        <v>10695</v>
      </c>
      <c r="C1831" s="2">
        <v>4</v>
      </c>
      <c r="D1831" s="2">
        <v>556</v>
      </c>
      <c r="E1831" s="2">
        <v>25</v>
      </c>
      <c r="F1831" s="2">
        <v>32441</v>
      </c>
      <c r="G1831" s="2">
        <v>9.3355395679999997</v>
      </c>
      <c r="H1831" s="2">
        <v>1.3556270000000001E-3</v>
      </c>
      <c r="I1831" s="2" t="s">
        <v>10696</v>
      </c>
      <c r="J1831" s="2" t="s">
        <v>10697</v>
      </c>
      <c r="K1831" s="2">
        <v>9.9766739999999996E-3</v>
      </c>
      <c r="L1831" s="2" t="s">
        <v>848</v>
      </c>
      <c r="M1831" s="4" t="s">
        <v>10698</v>
      </c>
    </row>
    <row r="1832" spans="1:13">
      <c r="A1832" s="2">
        <v>5900</v>
      </c>
      <c r="B1832" s="2" t="s">
        <v>10699</v>
      </c>
      <c r="C1832" s="2">
        <v>31</v>
      </c>
      <c r="D1832" s="2">
        <v>556</v>
      </c>
      <c r="E1832" s="2">
        <v>992</v>
      </c>
      <c r="F1832" s="2">
        <v>32441</v>
      </c>
      <c r="G1832" s="2">
        <v>1.8233475720000001</v>
      </c>
      <c r="H1832" s="2">
        <v>1.354821E-3</v>
      </c>
      <c r="I1832" s="2" t="s">
        <v>9943</v>
      </c>
      <c r="J1832" s="2" t="s">
        <v>9944</v>
      </c>
      <c r="K1832" s="2">
        <v>9.9766739999999996E-3</v>
      </c>
      <c r="L1832" s="2" t="s">
        <v>848</v>
      </c>
      <c r="M1832" s="4" t="s">
        <v>10700</v>
      </c>
    </row>
    <row r="1833" spans="1:13">
      <c r="A1833" s="2">
        <v>3279</v>
      </c>
      <c r="B1833" s="2" t="s">
        <v>10701</v>
      </c>
      <c r="C1833" s="2">
        <v>6</v>
      </c>
      <c r="D1833" s="2">
        <v>556</v>
      </c>
      <c r="E1833" s="2">
        <v>66</v>
      </c>
      <c r="F1833" s="2">
        <v>32441</v>
      </c>
      <c r="G1833" s="2">
        <v>5.3042838459999997</v>
      </c>
      <c r="H1833" s="2">
        <v>1.3591440000000001E-3</v>
      </c>
      <c r="I1833" s="2" t="s">
        <v>10365</v>
      </c>
      <c r="J1833" s="2" t="s">
        <v>10366</v>
      </c>
      <c r="K1833" s="2">
        <v>9.9901339999999995E-3</v>
      </c>
      <c r="L1833" s="2" t="s">
        <v>848</v>
      </c>
      <c r="M1833" s="4" t="s">
        <v>10702</v>
      </c>
    </row>
    <row r="1834" spans="1:13">
      <c r="A1834" s="2">
        <v>3437</v>
      </c>
      <c r="B1834" s="2" t="s">
        <v>10703</v>
      </c>
      <c r="C1834" s="2">
        <v>5</v>
      </c>
      <c r="D1834" s="2">
        <v>556</v>
      </c>
      <c r="E1834" s="2">
        <v>44</v>
      </c>
      <c r="F1834" s="2">
        <v>32441</v>
      </c>
      <c r="G1834" s="2">
        <v>6.6303548069999998</v>
      </c>
      <c r="H1834" s="2">
        <v>1.3806859999999999E-3</v>
      </c>
      <c r="I1834" s="2" t="s">
        <v>10468</v>
      </c>
      <c r="J1834" s="2" t="s">
        <v>10469</v>
      </c>
      <c r="K1834" s="2">
        <v>1.0135879E-2</v>
      </c>
      <c r="L1834" s="2" t="s">
        <v>848</v>
      </c>
      <c r="M1834" s="4" t="s">
        <v>10704</v>
      </c>
    </row>
    <row r="1835" spans="1:13">
      <c r="A1835" s="2">
        <v>5291</v>
      </c>
      <c r="B1835" s="2" t="s">
        <v>10705</v>
      </c>
      <c r="C1835" s="2">
        <v>25</v>
      </c>
      <c r="D1835" s="2">
        <v>556</v>
      </c>
      <c r="E1835" s="2">
        <v>739</v>
      </c>
      <c r="F1835" s="2">
        <v>32441</v>
      </c>
      <c r="G1835" s="2">
        <v>1.9738539340000001</v>
      </c>
      <c r="H1835" s="2">
        <v>1.391928E-3</v>
      </c>
      <c r="I1835" s="2" t="s">
        <v>10706</v>
      </c>
      <c r="J1835" s="2" t="s">
        <v>10707</v>
      </c>
      <c r="K1835" s="2">
        <v>1.0205746E-2</v>
      </c>
      <c r="L1835" s="2" t="s">
        <v>848</v>
      </c>
      <c r="M1835" s="4" t="s">
        <v>10708</v>
      </c>
    </row>
    <row r="1836" spans="1:13">
      <c r="A1836" s="2">
        <v>4402</v>
      </c>
      <c r="B1836" s="2" t="s">
        <v>10709</v>
      </c>
      <c r="C1836" s="2">
        <v>10</v>
      </c>
      <c r="D1836" s="2">
        <v>556</v>
      </c>
      <c r="E1836" s="2">
        <v>178</v>
      </c>
      <c r="F1836" s="2">
        <v>32441</v>
      </c>
      <c r="G1836" s="2">
        <v>3.2779282190000001</v>
      </c>
      <c r="H1836" s="2">
        <v>1.404876E-3</v>
      </c>
      <c r="I1836" s="2" t="s">
        <v>10710</v>
      </c>
      <c r="J1836" s="2" t="s">
        <v>10711</v>
      </c>
      <c r="K1836" s="2">
        <v>1.0287938E-2</v>
      </c>
      <c r="L1836" s="2" t="s">
        <v>848</v>
      </c>
      <c r="M1836" s="4" t="s">
        <v>10712</v>
      </c>
    </row>
    <row r="1837" spans="1:13">
      <c r="A1837" s="2">
        <v>47</v>
      </c>
      <c r="B1837" s="2" t="s">
        <v>10713</v>
      </c>
      <c r="C1837" s="2">
        <v>11</v>
      </c>
      <c r="D1837" s="2">
        <v>556</v>
      </c>
      <c r="E1837" s="2">
        <v>210</v>
      </c>
      <c r="F1837" s="2">
        <v>32441</v>
      </c>
      <c r="G1837" s="2">
        <v>3.0562778349999999</v>
      </c>
      <c r="H1837" s="2">
        <v>1.4122609999999999E-3</v>
      </c>
      <c r="I1837" s="2" t="s">
        <v>10714</v>
      </c>
      <c r="J1837" s="2" t="s">
        <v>10715</v>
      </c>
      <c r="K1837" s="2">
        <v>1.0329235000000001E-2</v>
      </c>
      <c r="L1837" s="2" t="s">
        <v>848</v>
      </c>
      <c r="M1837" s="4" t="s">
        <v>10716</v>
      </c>
    </row>
    <row r="1838" spans="1:13">
      <c r="A1838" s="2">
        <v>3613</v>
      </c>
      <c r="B1838" s="2" t="s">
        <v>10717</v>
      </c>
      <c r="C1838" s="2">
        <v>11</v>
      </c>
      <c r="D1838" s="2">
        <v>556</v>
      </c>
      <c r="E1838" s="2">
        <v>211</v>
      </c>
      <c r="F1838" s="2">
        <v>32441</v>
      </c>
      <c r="G1838" s="2">
        <v>3.0417931060000001</v>
      </c>
      <c r="H1838" s="2">
        <v>1.463895E-3</v>
      </c>
      <c r="I1838" s="2" t="s">
        <v>10718</v>
      </c>
      <c r="J1838" s="2" t="s">
        <v>10719</v>
      </c>
      <c r="K1838" s="2">
        <v>1.0693663000000001E-2</v>
      </c>
      <c r="L1838" s="2" t="s">
        <v>848</v>
      </c>
      <c r="M1838" s="4" t="s">
        <v>10720</v>
      </c>
    </row>
    <row r="1839" spans="1:13">
      <c r="A1839" s="2">
        <v>91</v>
      </c>
      <c r="B1839" s="2" t="s">
        <v>10721</v>
      </c>
      <c r="C1839" s="2">
        <v>3</v>
      </c>
      <c r="D1839" s="2">
        <v>556</v>
      </c>
      <c r="E1839" s="2">
        <v>11</v>
      </c>
      <c r="F1839" s="2">
        <v>32441</v>
      </c>
      <c r="G1839" s="2">
        <v>15.91285154</v>
      </c>
      <c r="H1839" s="2">
        <v>1.5080479999999999E-3</v>
      </c>
      <c r="I1839" s="2" t="s">
        <v>10722</v>
      </c>
      <c r="J1839" s="2" t="s">
        <v>10723</v>
      </c>
      <c r="K1839" s="2">
        <v>1.084219E-2</v>
      </c>
      <c r="L1839" s="2" t="s">
        <v>848</v>
      </c>
      <c r="M1839" s="4" t="s">
        <v>10724</v>
      </c>
    </row>
    <row r="1840" spans="1:13">
      <c r="A1840" s="2">
        <v>265</v>
      </c>
      <c r="B1840" s="2" t="s">
        <v>10725</v>
      </c>
      <c r="C1840" s="2">
        <v>3</v>
      </c>
      <c r="D1840" s="2">
        <v>556</v>
      </c>
      <c r="E1840" s="2">
        <v>11</v>
      </c>
      <c r="F1840" s="2">
        <v>32441</v>
      </c>
      <c r="G1840" s="2">
        <v>15.91285154</v>
      </c>
      <c r="H1840" s="2">
        <v>1.5080479999999999E-3</v>
      </c>
      <c r="I1840" s="2" t="s">
        <v>10726</v>
      </c>
      <c r="J1840" s="2" t="s">
        <v>10727</v>
      </c>
      <c r="K1840" s="2">
        <v>1.084219E-2</v>
      </c>
      <c r="L1840" s="2" t="s">
        <v>848</v>
      </c>
      <c r="M1840" s="4" t="s">
        <v>10728</v>
      </c>
    </row>
    <row r="1841" spans="1:13">
      <c r="A1841" s="2">
        <v>463</v>
      </c>
      <c r="B1841" s="2" t="s">
        <v>10729</v>
      </c>
      <c r="C1841" s="2">
        <v>3</v>
      </c>
      <c r="D1841" s="2">
        <v>556</v>
      </c>
      <c r="E1841" s="2">
        <v>11</v>
      </c>
      <c r="F1841" s="2">
        <v>32441</v>
      </c>
      <c r="G1841" s="2">
        <v>15.91285154</v>
      </c>
      <c r="H1841" s="2">
        <v>1.5080479999999999E-3</v>
      </c>
      <c r="I1841" s="2" t="s">
        <v>10730</v>
      </c>
      <c r="J1841" s="2" t="s">
        <v>10731</v>
      </c>
      <c r="K1841" s="2">
        <v>1.084219E-2</v>
      </c>
      <c r="L1841" s="2" t="s">
        <v>848</v>
      </c>
      <c r="M1841" s="4" t="s">
        <v>10732</v>
      </c>
    </row>
    <row r="1842" spans="1:13">
      <c r="A1842" s="2">
        <v>549</v>
      </c>
      <c r="B1842" s="2" t="s">
        <v>10733</v>
      </c>
      <c r="C1842" s="2">
        <v>3</v>
      </c>
      <c r="D1842" s="2">
        <v>556</v>
      </c>
      <c r="E1842" s="2">
        <v>11</v>
      </c>
      <c r="F1842" s="2">
        <v>32441</v>
      </c>
      <c r="G1842" s="2">
        <v>15.91285154</v>
      </c>
      <c r="H1842" s="2">
        <v>1.5080479999999999E-3</v>
      </c>
      <c r="I1842" s="2" t="s">
        <v>10734</v>
      </c>
      <c r="J1842" s="2" t="s">
        <v>10735</v>
      </c>
      <c r="K1842" s="2">
        <v>1.084219E-2</v>
      </c>
      <c r="L1842" s="2" t="s">
        <v>848</v>
      </c>
      <c r="M1842" s="4" t="s">
        <v>10736</v>
      </c>
    </row>
    <row r="1843" spans="1:13">
      <c r="A1843" s="2">
        <v>2160</v>
      </c>
      <c r="B1843" s="2" t="s">
        <v>10737</v>
      </c>
      <c r="C1843" s="2">
        <v>3</v>
      </c>
      <c r="D1843" s="2">
        <v>556</v>
      </c>
      <c r="E1843" s="2">
        <v>11</v>
      </c>
      <c r="F1843" s="2">
        <v>32441</v>
      </c>
      <c r="G1843" s="2">
        <v>15.91285154</v>
      </c>
      <c r="H1843" s="2">
        <v>1.5080479999999999E-3</v>
      </c>
      <c r="I1843" s="2" t="s">
        <v>10738</v>
      </c>
      <c r="J1843" s="2" t="s">
        <v>10739</v>
      </c>
      <c r="K1843" s="2">
        <v>1.084219E-2</v>
      </c>
      <c r="L1843" s="2" t="s">
        <v>848</v>
      </c>
      <c r="M1843" s="4" t="s">
        <v>10740</v>
      </c>
    </row>
    <row r="1844" spans="1:13">
      <c r="A1844" s="2">
        <v>2473</v>
      </c>
      <c r="B1844" s="2" t="s">
        <v>10741</v>
      </c>
      <c r="C1844" s="2">
        <v>3</v>
      </c>
      <c r="D1844" s="2">
        <v>556</v>
      </c>
      <c r="E1844" s="2">
        <v>11</v>
      </c>
      <c r="F1844" s="2">
        <v>32441</v>
      </c>
      <c r="G1844" s="2">
        <v>15.91285154</v>
      </c>
      <c r="H1844" s="2">
        <v>1.5080479999999999E-3</v>
      </c>
      <c r="I1844" s="2" t="s">
        <v>10742</v>
      </c>
      <c r="J1844" s="2" t="s">
        <v>10743</v>
      </c>
      <c r="K1844" s="2">
        <v>1.084219E-2</v>
      </c>
      <c r="L1844" s="2" t="s">
        <v>848</v>
      </c>
      <c r="M1844" s="4" t="s">
        <v>10744</v>
      </c>
    </row>
    <row r="1845" spans="1:13">
      <c r="A1845" s="2">
        <v>2562</v>
      </c>
      <c r="B1845" s="2" t="s">
        <v>10745</v>
      </c>
      <c r="C1845" s="2">
        <v>3</v>
      </c>
      <c r="D1845" s="2">
        <v>556</v>
      </c>
      <c r="E1845" s="2">
        <v>11</v>
      </c>
      <c r="F1845" s="2">
        <v>32441</v>
      </c>
      <c r="G1845" s="2">
        <v>15.91285154</v>
      </c>
      <c r="H1845" s="2">
        <v>1.5080479999999999E-3</v>
      </c>
      <c r="I1845" s="2" t="s">
        <v>10746</v>
      </c>
      <c r="J1845" s="2" t="s">
        <v>10747</v>
      </c>
      <c r="K1845" s="2">
        <v>1.084219E-2</v>
      </c>
      <c r="L1845" s="2" t="s">
        <v>848</v>
      </c>
      <c r="M1845" s="4" t="s">
        <v>10748</v>
      </c>
    </row>
    <row r="1846" spans="1:13">
      <c r="A1846" s="2">
        <v>3342</v>
      </c>
      <c r="B1846" s="2" t="s">
        <v>10749</v>
      </c>
      <c r="C1846" s="2">
        <v>3</v>
      </c>
      <c r="D1846" s="2">
        <v>556</v>
      </c>
      <c r="E1846" s="2">
        <v>11</v>
      </c>
      <c r="F1846" s="2">
        <v>32441</v>
      </c>
      <c r="G1846" s="2">
        <v>15.91285154</v>
      </c>
      <c r="H1846" s="2">
        <v>1.5080479999999999E-3</v>
      </c>
      <c r="I1846" s="2" t="s">
        <v>10750</v>
      </c>
      <c r="J1846" s="2" t="s">
        <v>10751</v>
      </c>
      <c r="K1846" s="2">
        <v>1.084219E-2</v>
      </c>
      <c r="L1846" s="2" t="s">
        <v>848</v>
      </c>
      <c r="M1846" s="4" t="s">
        <v>10752</v>
      </c>
    </row>
    <row r="1847" spans="1:13">
      <c r="A1847" s="2">
        <v>35211</v>
      </c>
      <c r="B1847" s="2" t="s">
        <v>10753</v>
      </c>
      <c r="C1847" s="2">
        <v>3</v>
      </c>
      <c r="D1847" s="2">
        <v>556</v>
      </c>
      <c r="E1847" s="2">
        <v>11</v>
      </c>
      <c r="F1847" s="2">
        <v>32441</v>
      </c>
      <c r="G1847" s="2">
        <v>15.91285154</v>
      </c>
      <c r="H1847" s="2">
        <v>1.5080479999999999E-3</v>
      </c>
      <c r="I1847" s="2" t="s">
        <v>10754</v>
      </c>
      <c r="J1847" s="2" t="s">
        <v>10755</v>
      </c>
      <c r="K1847" s="2">
        <v>1.084219E-2</v>
      </c>
      <c r="L1847" s="2" t="s">
        <v>848</v>
      </c>
      <c r="M1847" s="4" t="s">
        <v>10756</v>
      </c>
    </row>
    <row r="1848" spans="1:13">
      <c r="A1848" s="2">
        <v>3640</v>
      </c>
      <c r="B1848" s="2" t="s">
        <v>10757</v>
      </c>
      <c r="C1848" s="2">
        <v>3</v>
      </c>
      <c r="D1848" s="2">
        <v>556</v>
      </c>
      <c r="E1848" s="2">
        <v>11</v>
      </c>
      <c r="F1848" s="2">
        <v>32441</v>
      </c>
      <c r="G1848" s="2">
        <v>15.91285154</v>
      </c>
      <c r="H1848" s="2">
        <v>1.5080479999999999E-3</v>
      </c>
      <c r="I1848" s="2" t="s">
        <v>10758</v>
      </c>
      <c r="J1848" s="2" t="s">
        <v>10759</v>
      </c>
      <c r="K1848" s="2">
        <v>1.084219E-2</v>
      </c>
      <c r="L1848" s="2" t="s">
        <v>848</v>
      </c>
      <c r="M1848" s="4" t="s">
        <v>10760</v>
      </c>
    </row>
    <row r="1849" spans="1:13">
      <c r="A1849" s="2">
        <v>3765</v>
      </c>
      <c r="B1849" s="2" t="s">
        <v>10761</v>
      </c>
      <c r="C1849" s="2">
        <v>3</v>
      </c>
      <c r="D1849" s="2">
        <v>556</v>
      </c>
      <c r="E1849" s="2">
        <v>11</v>
      </c>
      <c r="F1849" s="2">
        <v>32441</v>
      </c>
      <c r="G1849" s="2">
        <v>15.91285154</v>
      </c>
      <c r="H1849" s="2">
        <v>1.5080479999999999E-3</v>
      </c>
      <c r="I1849" s="2" t="s">
        <v>10762</v>
      </c>
      <c r="J1849" s="2" t="s">
        <v>10763</v>
      </c>
      <c r="K1849" s="2">
        <v>1.084219E-2</v>
      </c>
      <c r="L1849" s="2" t="s">
        <v>848</v>
      </c>
      <c r="M1849" s="4" t="s">
        <v>10764</v>
      </c>
    </row>
    <row r="1850" spans="1:13">
      <c r="A1850" s="2">
        <v>5355</v>
      </c>
      <c r="B1850" s="2" t="s">
        <v>10765</v>
      </c>
      <c r="C1850" s="2">
        <v>3</v>
      </c>
      <c r="D1850" s="2">
        <v>556</v>
      </c>
      <c r="E1850" s="2">
        <v>11</v>
      </c>
      <c r="F1850" s="2">
        <v>32441</v>
      </c>
      <c r="G1850" s="2">
        <v>15.91285154</v>
      </c>
      <c r="H1850" s="2">
        <v>1.5080479999999999E-3</v>
      </c>
      <c r="I1850" s="2" t="s">
        <v>10766</v>
      </c>
      <c r="J1850" s="2" t="s">
        <v>10767</v>
      </c>
      <c r="K1850" s="2">
        <v>1.084219E-2</v>
      </c>
      <c r="L1850" s="2" t="s">
        <v>848</v>
      </c>
      <c r="M1850" s="4" t="s">
        <v>10768</v>
      </c>
    </row>
    <row r="1851" spans="1:13">
      <c r="A1851" s="2">
        <v>5531</v>
      </c>
      <c r="B1851" s="2" t="s">
        <v>10769</v>
      </c>
      <c r="C1851" s="2">
        <v>3</v>
      </c>
      <c r="D1851" s="2">
        <v>556</v>
      </c>
      <c r="E1851" s="2">
        <v>11</v>
      </c>
      <c r="F1851" s="2">
        <v>32441</v>
      </c>
      <c r="G1851" s="2">
        <v>15.91285154</v>
      </c>
      <c r="H1851" s="2">
        <v>1.5080479999999999E-3</v>
      </c>
      <c r="I1851" s="2" t="s">
        <v>10770</v>
      </c>
      <c r="J1851" s="2" t="s">
        <v>10771</v>
      </c>
      <c r="K1851" s="2">
        <v>1.084219E-2</v>
      </c>
      <c r="L1851" s="2" t="s">
        <v>848</v>
      </c>
      <c r="M1851" s="4" t="s">
        <v>10772</v>
      </c>
    </row>
    <row r="1852" spans="1:13">
      <c r="A1852" s="2">
        <v>2823</v>
      </c>
      <c r="B1852" s="2" t="s">
        <v>10773</v>
      </c>
      <c r="C1852" s="2">
        <v>29</v>
      </c>
      <c r="D1852" s="2">
        <v>556</v>
      </c>
      <c r="E1852" s="2">
        <v>913</v>
      </c>
      <c r="F1852" s="2">
        <v>32441</v>
      </c>
      <c r="G1852" s="2">
        <v>1.853303994</v>
      </c>
      <c r="H1852" s="2">
        <v>1.515675E-3</v>
      </c>
      <c r="I1852" s="2" t="s">
        <v>10774</v>
      </c>
      <c r="J1852" s="2" t="s">
        <v>10775</v>
      </c>
      <c r="K1852" s="2">
        <v>1.0883795999999999E-2</v>
      </c>
      <c r="L1852" s="2" t="s">
        <v>848</v>
      </c>
      <c r="M1852" s="4" t="s">
        <v>10776</v>
      </c>
    </row>
    <row r="1853" spans="1:13">
      <c r="A1853" s="2">
        <v>2070</v>
      </c>
      <c r="B1853" s="2" t="s">
        <v>10777</v>
      </c>
      <c r="C1853" s="2">
        <v>20</v>
      </c>
      <c r="D1853" s="2">
        <v>556</v>
      </c>
      <c r="E1853" s="2">
        <v>541</v>
      </c>
      <c r="F1853" s="2">
        <v>32441</v>
      </c>
      <c r="G1853" s="2">
        <v>2.1570100669999999</v>
      </c>
      <c r="H1853" s="2">
        <v>1.520867E-3</v>
      </c>
      <c r="I1853" s="2" t="s">
        <v>10778</v>
      </c>
      <c r="J1853" s="2" t="s">
        <v>10779</v>
      </c>
      <c r="K1853" s="2">
        <v>1.090784E-2</v>
      </c>
      <c r="L1853" s="2" t="s">
        <v>848</v>
      </c>
      <c r="M1853" s="4" t="s">
        <v>10780</v>
      </c>
    </row>
    <row r="1854" spans="1:13">
      <c r="A1854" s="2">
        <v>28611</v>
      </c>
      <c r="B1854" s="2" t="s">
        <v>10781</v>
      </c>
      <c r="C1854" s="2">
        <v>19</v>
      </c>
      <c r="D1854" s="2">
        <v>556</v>
      </c>
      <c r="E1854" s="2">
        <v>502</v>
      </c>
      <c r="F1854" s="2">
        <v>32441</v>
      </c>
      <c r="G1854" s="2">
        <v>2.2083572189999998</v>
      </c>
      <c r="H1854" s="2">
        <v>1.5281769999999999E-3</v>
      </c>
      <c r="I1854" s="2" t="s">
        <v>10782</v>
      </c>
      <c r="J1854" s="2" t="s">
        <v>10783</v>
      </c>
      <c r="K1854" s="2">
        <v>1.0947001E-2</v>
      </c>
      <c r="L1854" s="2" t="s">
        <v>848</v>
      </c>
      <c r="M1854" s="4" t="s">
        <v>10784</v>
      </c>
    </row>
    <row r="1855" spans="1:13">
      <c r="A1855" s="2">
        <v>642</v>
      </c>
      <c r="B1855" s="2" t="s">
        <v>10785</v>
      </c>
      <c r="C1855" s="2">
        <v>4</v>
      </c>
      <c r="D1855" s="2">
        <v>556</v>
      </c>
      <c r="E1855" s="2">
        <v>26</v>
      </c>
      <c r="F1855" s="2">
        <v>32441</v>
      </c>
      <c r="G1855" s="2">
        <v>8.9764803539999996</v>
      </c>
      <c r="H1855" s="2">
        <v>1.5435430000000001E-3</v>
      </c>
      <c r="I1855" s="2" t="s">
        <v>10786</v>
      </c>
      <c r="J1855" s="2" t="s">
        <v>10787</v>
      </c>
      <c r="K1855" s="2">
        <v>1.1030365E-2</v>
      </c>
      <c r="L1855" s="2" t="s">
        <v>848</v>
      </c>
      <c r="M1855" s="4" t="s">
        <v>10788</v>
      </c>
    </row>
    <row r="1856" spans="1:13">
      <c r="A1856" s="2">
        <v>2522</v>
      </c>
      <c r="B1856" s="2" t="s">
        <v>10789</v>
      </c>
      <c r="C1856" s="2">
        <v>4</v>
      </c>
      <c r="D1856" s="2">
        <v>556</v>
      </c>
      <c r="E1856" s="2">
        <v>26</v>
      </c>
      <c r="F1856" s="2">
        <v>32441</v>
      </c>
      <c r="G1856" s="2">
        <v>8.9764803539999996</v>
      </c>
      <c r="H1856" s="2">
        <v>1.5435430000000001E-3</v>
      </c>
      <c r="I1856" s="2" t="s">
        <v>10790</v>
      </c>
      <c r="J1856" s="2" t="s">
        <v>10791</v>
      </c>
      <c r="K1856" s="2">
        <v>1.1030365E-2</v>
      </c>
      <c r="L1856" s="2" t="s">
        <v>848</v>
      </c>
      <c r="M1856" s="4" t="s">
        <v>10792</v>
      </c>
    </row>
    <row r="1857" spans="1:13">
      <c r="A1857" s="2">
        <v>5223</v>
      </c>
      <c r="B1857" s="2" t="s">
        <v>10793</v>
      </c>
      <c r="C1857" s="2">
        <v>18</v>
      </c>
      <c r="D1857" s="2">
        <v>556</v>
      </c>
      <c r="E1857" s="2">
        <v>464</v>
      </c>
      <c r="F1857" s="2">
        <v>32441</v>
      </c>
      <c r="G1857" s="2">
        <v>2.2634659510000001</v>
      </c>
      <c r="H1857" s="2">
        <v>1.552325E-3</v>
      </c>
      <c r="I1857" s="2" t="s">
        <v>10794</v>
      </c>
      <c r="J1857" s="2" t="s">
        <v>10795</v>
      </c>
      <c r="K1857" s="2">
        <v>1.1079746E-2</v>
      </c>
      <c r="L1857" s="2" t="s">
        <v>848</v>
      </c>
      <c r="M1857" s="4" t="s">
        <v>10796</v>
      </c>
    </row>
    <row r="1858" spans="1:13">
      <c r="A1858" s="2">
        <v>4744</v>
      </c>
      <c r="B1858" s="2" t="s">
        <v>10797</v>
      </c>
      <c r="C1858" s="2">
        <v>11</v>
      </c>
      <c r="D1858" s="2">
        <v>556</v>
      </c>
      <c r="E1858" s="2">
        <v>213</v>
      </c>
      <c r="F1858" s="2">
        <v>32441</v>
      </c>
      <c r="G1858" s="2">
        <v>3.013231668</v>
      </c>
      <c r="H1858" s="2">
        <v>1.571806E-3</v>
      </c>
      <c r="I1858" s="2" t="s">
        <v>10798</v>
      </c>
      <c r="J1858" s="2" t="s">
        <v>10799</v>
      </c>
      <c r="K1858" s="2">
        <v>1.120527E-2</v>
      </c>
      <c r="L1858" s="2" t="s">
        <v>848</v>
      </c>
      <c r="M1858" s="4" t="s">
        <v>10800</v>
      </c>
    </row>
    <row r="1859" spans="1:13">
      <c r="A1859" s="2">
        <v>2520</v>
      </c>
      <c r="B1859" s="2" t="s">
        <v>10801</v>
      </c>
      <c r="C1859" s="2">
        <v>8</v>
      </c>
      <c r="D1859" s="2">
        <v>556</v>
      </c>
      <c r="E1859" s="2">
        <v>121</v>
      </c>
      <c r="F1859" s="2">
        <v>32441</v>
      </c>
      <c r="G1859" s="2">
        <v>3.8576609789999998</v>
      </c>
      <c r="H1859" s="2">
        <v>1.5887340000000001E-3</v>
      </c>
      <c r="I1859" s="2" t="s">
        <v>10440</v>
      </c>
      <c r="J1859" s="2" t="s">
        <v>10441</v>
      </c>
      <c r="K1859" s="2">
        <v>1.1298726E-2</v>
      </c>
      <c r="L1859" s="2" t="s">
        <v>848</v>
      </c>
      <c r="M1859" s="4" t="s">
        <v>10802</v>
      </c>
    </row>
    <row r="1860" spans="1:13">
      <c r="A1860" s="2">
        <v>4502</v>
      </c>
      <c r="B1860" s="2" t="s">
        <v>10803</v>
      </c>
      <c r="C1860" s="2">
        <v>13</v>
      </c>
      <c r="D1860" s="2">
        <v>556</v>
      </c>
      <c r="E1860" s="2">
        <v>281</v>
      </c>
      <c r="F1860" s="2">
        <v>32441</v>
      </c>
      <c r="G1860" s="2">
        <v>2.6993330599999998</v>
      </c>
      <c r="H1860" s="2">
        <v>1.5885090000000001E-3</v>
      </c>
      <c r="I1860" s="2" t="s">
        <v>10804</v>
      </c>
      <c r="J1860" s="2" t="s">
        <v>10805</v>
      </c>
      <c r="K1860" s="2">
        <v>1.1298726E-2</v>
      </c>
      <c r="L1860" s="2" t="s">
        <v>848</v>
      </c>
      <c r="M1860" s="4" t="s">
        <v>10806</v>
      </c>
    </row>
    <row r="1861" spans="1:13">
      <c r="A1861" s="2">
        <v>4036</v>
      </c>
      <c r="B1861" s="2" t="s">
        <v>10807</v>
      </c>
      <c r="C1861" s="2">
        <v>21</v>
      </c>
      <c r="D1861" s="2">
        <v>556</v>
      </c>
      <c r="E1861" s="2">
        <v>583</v>
      </c>
      <c r="F1861" s="2">
        <v>32441</v>
      </c>
      <c r="G1861" s="2">
        <v>2.1016973729999999</v>
      </c>
      <c r="H1861" s="2">
        <v>1.591844E-3</v>
      </c>
      <c r="I1861" s="2" t="s">
        <v>10808</v>
      </c>
      <c r="J1861" s="2" t="s">
        <v>10809</v>
      </c>
      <c r="K1861" s="2">
        <v>1.1307253999999999E-2</v>
      </c>
      <c r="L1861" s="2" t="s">
        <v>848</v>
      </c>
      <c r="M1861" s="4" t="s">
        <v>10810</v>
      </c>
    </row>
    <row r="1862" spans="1:13">
      <c r="A1862" s="2">
        <v>3571</v>
      </c>
      <c r="B1862" s="2" t="s">
        <v>10811</v>
      </c>
      <c r="C1862" s="2">
        <v>8</v>
      </c>
      <c r="D1862" s="2">
        <v>556</v>
      </c>
      <c r="E1862" s="2">
        <v>122</v>
      </c>
      <c r="F1862" s="2">
        <v>32441</v>
      </c>
      <c r="G1862" s="2">
        <v>3.826040807</v>
      </c>
      <c r="H1862" s="2">
        <v>1.668496E-3</v>
      </c>
      <c r="I1862" s="2" t="s">
        <v>10812</v>
      </c>
      <c r="J1862" s="2" t="s">
        <v>10813</v>
      </c>
      <c r="K1862" s="2">
        <v>1.1837520000000001E-2</v>
      </c>
      <c r="L1862" s="2" t="s">
        <v>848</v>
      </c>
      <c r="M1862" s="4" t="s">
        <v>10814</v>
      </c>
    </row>
    <row r="1863" spans="1:13">
      <c r="A1863" s="2">
        <v>3036</v>
      </c>
      <c r="B1863" s="2" t="s">
        <v>10815</v>
      </c>
      <c r="C1863" s="2">
        <v>6</v>
      </c>
      <c r="D1863" s="2">
        <v>556</v>
      </c>
      <c r="E1863" s="2">
        <v>69</v>
      </c>
      <c r="F1863" s="2">
        <v>32441</v>
      </c>
      <c r="G1863" s="2">
        <v>5.073662809</v>
      </c>
      <c r="H1863" s="2">
        <v>1.6791250000000001E-3</v>
      </c>
      <c r="I1863" s="2" t="s">
        <v>10816</v>
      </c>
      <c r="J1863" s="2" t="s">
        <v>10817</v>
      </c>
      <c r="K1863" s="2">
        <v>1.1898659000000001E-2</v>
      </c>
      <c r="L1863" s="2" t="s">
        <v>848</v>
      </c>
      <c r="M1863" s="4" t="s">
        <v>10818</v>
      </c>
    </row>
    <row r="1864" spans="1:13">
      <c r="A1864" s="2">
        <v>3967</v>
      </c>
      <c r="B1864" s="2" t="s">
        <v>10819</v>
      </c>
      <c r="C1864" s="2">
        <v>27</v>
      </c>
      <c r="D1864" s="2">
        <v>556</v>
      </c>
      <c r="E1864" s="2">
        <v>836</v>
      </c>
      <c r="F1864" s="2">
        <v>32441</v>
      </c>
      <c r="G1864" s="2">
        <v>1.884416629</v>
      </c>
      <c r="H1864" s="2">
        <v>1.7353620000000001E-3</v>
      </c>
      <c r="I1864" s="2" t="s">
        <v>10820</v>
      </c>
      <c r="J1864" s="2" t="s">
        <v>10821</v>
      </c>
      <c r="K1864" s="2">
        <v>1.2282458E-2</v>
      </c>
      <c r="L1864" s="2" t="s">
        <v>848</v>
      </c>
      <c r="M1864" s="4" t="s">
        <v>10822</v>
      </c>
    </row>
    <row r="1865" spans="1:13">
      <c r="A1865" s="2">
        <v>3901</v>
      </c>
      <c r="B1865" s="2" t="s">
        <v>10823</v>
      </c>
      <c r="C1865" s="2">
        <v>4</v>
      </c>
      <c r="D1865" s="2">
        <v>556</v>
      </c>
      <c r="E1865" s="2">
        <v>27</v>
      </c>
      <c r="F1865" s="2">
        <v>32441</v>
      </c>
      <c r="G1865" s="2">
        <v>8.6440181190000001</v>
      </c>
      <c r="H1865" s="2">
        <v>1.748842E-3</v>
      </c>
      <c r="I1865" s="2" t="s">
        <v>10824</v>
      </c>
      <c r="J1865" s="2" t="s">
        <v>10825</v>
      </c>
      <c r="K1865" s="2">
        <v>1.2348324000000001E-2</v>
      </c>
      <c r="L1865" s="2" t="s">
        <v>848</v>
      </c>
      <c r="M1865" s="4" t="s">
        <v>10826</v>
      </c>
    </row>
    <row r="1866" spans="1:13">
      <c r="A1866" s="2">
        <v>2529</v>
      </c>
      <c r="B1866" s="2" t="s">
        <v>10827</v>
      </c>
      <c r="C1866" s="2">
        <v>4</v>
      </c>
      <c r="D1866" s="2">
        <v>556</v>
      </c>
      <c r="E1866" s="2">
        <v>27</v>
      </c>
      <c r="F1866" s="2">
        <v>32441</v>
      </c>
      <c r="G1866" s="2">
        <v>8.6440181190000001</v>
      </c>
      <c r="H1866" s="2">
        <v>1.748842E-3</v>
      </c>
      <c r="I1866" s="2" t="s">
        <v>10828</v>
      </c>
      <c r="J1866" s="2" t="s">
        <v>10829</v>
      </c>
      <c r="K1866" s="2">
        <v>1.2348324000000001E-2</v>
      </c>
      <c r="L1866" s="2" t="s">
        <v>848</v>
      </c>
      <c r="M1866" s="4" t="s">
        <v>10830</v>
      </c>
    </row>
    <row r="1867" spans="1:13">
      <c r="A1867" s="2">
        <v>3852</v>
      </c>
      <c r="B1867" s="2" t="s">
        <v>10831</v>
      </c>
      <c r="C1867" s="2">
        <v>10</v>
      </c>
      <c r="D1867" s="2">
        <v>556</v>
      </c>
      <c r="E1867" s="2">
        <v>184</v>
      </c>
      <c r="F1867" s="2">
        <v>32441</v>
      </c>
      <c r="G1867" s="2">
        <v>3.1710392559999998</v>
      </c>
      <c r="H1867" s="2">
        <v>1.7734879999999999E-3</v>
      </c>
      <c r="I1867" s="2" t="s">
        <v>10832</v>
      </c>
      <c r="J1867" s="2" t="s">
        <v>10833</v>
      </c>
      <c r="K1867" s="2">
        <v>1.2507420999999999E-2</v>
      </c>
      <c r="L1867" s="2" t="s">
        <v>848</v>
      </c>
      <c r="M1867" s="4" t="s">
        <v>10834</v>
      </c>
    </row>
    <row r="1868" spans="1:13">
      <c r="A1868" s="2">
        <v>335</v>
      </c>
      <c r="B1868" s="2" t="s">
        <v>10835</v>
      </c>
      <c r="C1868" s="2">
        <v>6</v>
      </c>
      <c r="D1868" s="2">
        <v>556</v>
      </c>
      <c r="E1868" s="2">
        <v>70</v>
      </c>
      <c r="F1868" s="2">
        <v>32441</v>
      </c>
      <c r="G1868" s="2">
        <v>5.0011819119999998</v>
      </c>
      <c r="H1868" s="2">
        <v>1.7975490000000001E-3</v>
      </c>
      <c r="I1868" s="2" t="s">
        <v>10836</v>
      </c>
      <c r="J1868" s="2" t="s">
        <v>10837</v>
      </c>
      <c r="K1868" s="2">
        <v>1.2662023E-2</v>
      </c>
      <c r="L1868" s="2" t="s">
        <v>848</v>
      </c>
      <c r="M1868" s="4" t="s">
        <v>10838</v>
      </c>
    </row>
    <row r="1869" spans="1:13">
      <c r="A1869" s="2">
        <v>3812</v>
      </c>
      <c r="B1869" s="2" t="s">
        <v>10839</v>
      </c>
      <c r="C1869" s="2">
        <v>7</v>
      </c>
      <c r="D1869" s="2">
        <v>556</v>
      </c>
      <c r="E1869" s="2">
        <v>96</v>
      </c>
      <c r="F1869" s="2">
        <v>32441</v>
      </c>
      <c r="G1869" s="2">
        <v>4.2544776679999998</v>
      </c>
      <c r="H1869" s="2">
        <v>1.828547E-3</v>
      </c>
      <c r="I1869" s="2" t="s">
        <v>10840</v>
      </c>
      <c r="J1869" s="2" t="s">
        <v>10841</v>
      </c>
      <c r="K1869" s="2">
        <v>1.2865059E-2</v>
      </c>
      <c r="L1869" s="2" t="s">
        <v>848</v>
      </c>
      <c r="M1869" s="4" t="s">
        <v>10842</v>
      </c>
    </row>
    <row r="1870" spans="1:13">
      <c r="A1870" s="2">
        <v>194</v>
      </c>
      <c r="B1870" s="2" t="s">
        <v>10843</v>
      </c>
      <c r="C1870" s="2">
        <v>3</v>
      </c>
      <c r="D1870" s="2">
        <v>556</v>
      </c>
      <c r="E1870" s="2">
        <v>12</v>
      </c>
      <c r="F1870" s="2">
        <v>32441</v>
      </c>
      <c r="G1870" s="2">
        <v>14.586780579999999</v>
      </c>
      <c r="H1870" s="2">
        <v>1.861583E-3</v>
      </c>
      <c r="I1870" s="2" t="s">
        <v>10844</v>
      </c>
      <c r="J1870" s="2" t="s">
        <v>10845</v>
      </c>
      <c r="K1870" s="2">
        <v>1.2989367999999999E-2</v>
      </c>
      <c r="L1870" s="2" t="s">
        <v>848</v>
      </c>
      <c r="M1870" s="4" t="s">
        <v>10846</v>
      </c>
    </row>
    <row r="1871" spans="1:13">
      <c r="A1871" s="2">
        <v>1103</v>
      </c>
      <c r="B1871" s="2" t="s">
        <v>10847</v>
      </c>
      <c r="C1871" s="2">
        <v>3</v>
      </c>
      <c r="D1871" s="2">
        <v>556</v>
      </c>
      <c r="E1871" s="2">
        <v>12</v>
      </c>
      <c r="F1871" s="2">
        <v>32441</v>
      </c>
      <c r="G1871" s="2">
        <v>14.586780579999999</v>
      </c>
      <c r="H1871" s="2">
        <v>1.861583E-3</v>
      </c>
      <c r="I1871" s="2" t="s">
        <v>10848</v>
      </c>
      <c r="J1871" s="2" t="s">
        <v>10849</v>
      </c>
      <c r="K1871" s="2">
        <v>1.2989367999999999E-2</v>
      </c>
      <c r="L1871" s="2" t="s">
        <v>848</v>
      </c>
      <c r="M1871" s="4" t="s">
        <v>10850</v>
      </c>
    </row>
    <row r="1872" spans="1:13">
      <c r="A1872" s="2">
        <v>1937</v>
      </c>
      <c r="B1872" s="2" t="s">
        <v>10851</v>
      </c>
      <c r="C1872" s="2">
        <v>3</v>
      </c>
      <c r="D1872" s="2">
        <v>556</v>
      </c>
      <c r="E1872" s="2">
        <v>12</v>
      </c>
      <c r="F1872" s="2">
        <v>32441</v>
      </c>
      <c r="G1872" s="2">
        <v>14.586780579999999</v>
      </c>
      <c r="H1872" s="2">
        <v>1.861583E-3</v>
      </c>
      <c r="I1872" s="2" t="s">
        <v>10852</v>
      </c>
      <c r="J1872" s="2" t="s">
        <v>10853</v>
      </c>
      <c r="K1872" s="2">
        <v>1.2989367999999999E-2</v>
      </c>
      <c r="L1872" s="2" t="s">
        <v>848</v>
      </c>
      <c r="M1872" s="4" t="s">
        <v>10854</v>
      </c>
    </row>
    <row r="1873" spans="1:13">
      <c r="A1873" s="2">
        <v>2401</v>
      </c>
      <c r="B1873" s="2" t="s">
        <v>10855</v>
      </c>
      <c r="C1873" s="2">
        <v>3</v>
      </c>
      <c r="D1873" s="2">
        <v>556</v>
      </c>
      <c r="E1873" s="2">
        <v>12</v>
      </c>
      <c r="F1873" s="2">
        <v>32441</v>
      </c>
      <c r="G1873" s="2">
        <v>14.586780579999999</v>
      </c>
      <c r="H1873" s="2">
        <v>1.861583E-3</v>
      </c>
      <c r="I1873" s="2" t="s">
        <v>10856</v>
      </c>
      <c r="J1873" s="2" t="s">
        <v>10857</v>
      </c>
      <c r="K1873" s="2">
        <v>1.2989367999999999E-2</v>
      </c>
      <c r="L1873" s="2" t="s">
        <v>848</v>
      </c>
      <c r="M1873" s="4" t="s">
        <v>10858</v>
      </c>
    </row>
    <row r="1874" spans="1:13">
      <c r="A1874" s="2">
        <v>2542</v>
      </c>
      <c r="B1874" s="2" t="s">
        <v>10859</v>
      </c>
      <c r="C1874" s="2">
        <v>3</v>
      </c>
      <c r="D1874" s="2">
        <v>556</v>
      </c>
      <c r="E1874" s="2">
        <v>12</v>
      </c>
      <c r="F1874" s="2">
        <v>32441</v>
      </c>
      <c r="G1874" s="2">
        <v>14.586780579999999</v>
      </c>
      <c r="H1874" s="2">
        <v>1.861583E-3</v>
      </c>
      <c r="I1874" s="2" t="s">
        <v>10860</v>
      </c>
      <c r="J1874" s="2" t="s">
        <v>10861</v>
      </c>
      <c r="K1874" s="2">
        <v>1.2989367999999999E-2</v>
      </c>
      <c r="L1874" s="2" t="s">
        <v>848</v>
      </c>
      <c r="M1874" s="4" t="s">
        <v>10862</v>
      </c>
    </row>
    <row r="1875" spans="1:13">
      <c r="A1875" s="2">
        <v>3541</v>
      </c>
      <c r="B1875" s="2" t="s">
        <v>10863</v>
      </c>
      <c r="C1875" s="2">
        <v>3</v>
      </c>
      <c r="D1875" s="2">
        <v>556</v>
      </c>
      <c r="E1875" s="2">
        <v>12</v>
      </c>
      <c r="F1875" s="2">
        <v>32441</v>
      </c>
      <c r="G1875" s="2">
        <v>14.586780579999999</v>
      </c>
      <c r="H1875" s="2">
        <v>1.861583E-3</v>
      </c>
      <c r="I1875" s="2" t="s">
        <v>10864</v>
      </c>
      <c r="J1875" s="2" t="s">
        <v>10865</v>
      </c>
      <c r="K1875" s="2">
        <v>1.2989367999999999E-2</v>
      </c>
      <c r="L1875" s="2" t="s">
        <v>848</v>
      </c>
      <c r="M1875" s="4" t="s">
        <v>10866</v>
      </c>
    </row>
    <row r="1876" spans="1:13">
      <c r="A1876" s="2">
        <v>4465</v>
      </c>
      <c r="B1876" s="2" t="s">
        <v>10867</v>
      </c>
      <c r="C1876" s="2">
        <v>3</v>
      </c>
      <c r="D1876" s="2">
        <v>556</v>
      </c>
      <c r="E1876" s="2">
        <v>12</v>
      </c>
      <c r="F1876" s="2">
        <v>32441</v>
      </c>
      <c r="G1876" s="2">
        <v>14.586780579999999</v>
      </c>
      <c r="H1876" s="2">
        <v>1.861583E-3</v>
      </c>
      <c r="I1876" s="2" t="s">
        <v>10868</v>
      </c>
      <c r="J1876" s="2" t="s">
        <v>10869</v>
      </c>
      <c r="K1876" s="2">
        <v>1.2989367999999999E-2</v>
      </c>
      <c r="L1876" s="2" t="s">
        <v>848</v>
      </c>
      <c r="M1876" s="4" t="s">
        <v>10870</v>
      </c>
    </row>
    <row r="1877" spans="1:13">
      <c r="A1877" s="2">
        <v>3372</v>
      </c>
      <c r="B1877" s="2" t="s">
        <v>10871</v>
      </c>
      <c r="C1877" s="2">
        <v>11</v>
      </c>
      <c r="D1877" s="2">
        <v>556</v>
      </c>
      <c r="E1877" s="2">
        <v>218</v>
      </c>
      <c r="F1877" s="2">
        <v>32441</v>
      </c>
      <c r="G1877" s="2">
        <v>2.94412085</v>
      </c>
      <c r="H1877" s="2">
        <v>1.870292E-3</v>
      </c>
      <c r="I1877" s="2" t="s">
        <v>10373</v>
      </c>
      <c r="J1877" s="2" t="s">
        <v>10374</v>
      </c>
      <c r="K1877" s="2">
        <v>1.3034766999999999E-2</v>
      </c>
      <c r="L1877" s="2" t="s">
        <v>848</v>
      </c>
      <c r="M1877" s="4" t="s">
        <v>10872</v>
      </c>
    </row>
    <row r="1878" spans="1:13">
      <c r="A1878" s="2">
        <v>716</v>
      </c>
      <c r="B1878" s="2" t="s">
        <v>10873</v>
      </c>
      <c r="C1878" s="2">
        <v>10</v>
      </c>
      <c r="D1878" s="2">
        <v>556</v>
      </c>
      <c r="E1878" s="2">
        <v>186</v>
      </c>
      <c r="F1878" s="2">
        <v>32441</v>
      </c>
      <c r="G1878" s="2">
        <v>3.1369420589999999</v>
      </c>
      <c r="H1878" s="2">
        <v>1.912427E-3</v>
      </c>
      <c r="I1878" s="2" t="s">
        <v>10874</v>
      </c>
      <c r="J1878" s="2" t="s">
        <v>10875</v>
      </c>
      <c r="K1878" s="2">
        <v>1.331274E-2</v>
      </c>
      <c r="L1878" s="2" t="s">
        <v>848</v>
      </c>
      <c r="M1878" s="4" t="s">
        <v>10876</v>
      </c>
    </row>
    <row r="1879" spans="1:13">
      <c r="A1879" s="2">
        <v>659</v>
      </c>
      <c r="B1879" s="2" t="s">
        <v>10877</v>
      </c>
      <c r="C1879" s="2">
        <v>15</v>
      </c>
      <c r="D1879" s="2">
        <v>556</v>
      </c>
      <c r="E1879" s="2">
        <v>360</v>
      </c>
      <c r="F1879" s="2">
        <v>32441</v>
      </c>
      <c r="G1879" s="2">
        <v>2.431130096</v>
      </c>
      <c r="H1879" s="2">
        <v>1.9356180000000001E-3</v>
      </c>
      <c r="I1879" s="2" t="s">
        <v>10878</v>
      </c>
      <c r="J1879" s="2" t="s">
        <v>10879</v>
      </c>
      <c r="K1879" s="2">
        <v>1.3458346E-2</v>
      </c>
      <c r="L1879" s="2" t="s">
        <v>848</v>
      </c>
      <c r="M1879" s="4" t="s">
        <v>10880</v>
      </c>
    </row>
    <row r="1880" spans="1:13">
      <c r="A1880" s="2">
        <v>878</v>
      </c>
      <c r="B1880" s="2" t="s">
        <v>10881</v>
      </c>
      <c r="C1880" s="2">
        <v>5</v>
      </c>
      <c r="D1880" s="2">
        <v>556</v>
      </c>
      <c r="E1880" s="2">
        <v>48</v>
      </c>
      <c r="F1880" s="2">
        <v>32441</v>
      </c>
      <c r="G1880" s="2">
        <v>6.0778252400000001</v>
      </c>
      <c r="H1880" s="2">
        <v>1.96657E-3</v>
      </c>
      <c r="I1880" s="2" t="s">
        <v>10882</v>
      </c>
      <c r="J1880" s="2" t="s">
        <v>10883</v>
      </c>
      <c r="K1880" s="2">
        <v>1.3657502E-2</v>
      </c>
      <c r="L1880" s="2" t="s">
        <v>848</v>
      </c>
      <c r="M1880" s="4" t="s">
        <v>10884</v>
      </c>
    </row>
    <row r="1881" spans="1:13">
      <c r="A1881" s="2">
        <v>884</v>
      </c>
      <c r="B1881" s="2" t="s">
        <v>10885</v>
      </c>
      <c r="C1881" s="2">
        <v>4</v>
      </c>
      <c r="D1881" s="2">
        <v>556</v>
      </c>
      <c r="E1881" s="2">
        <v>28</v>
      </c>
      <c r="F1881" s="2">
        <v>32441</v>
      </c>
      <c r="G1881" s="2">
        <v>8.3353031860000009</v>
      </c>
      <c r="H1881" s="2">
        <v>1.9723309999999999E-3</v>
      </c>
      <c r="I1881" s="2" t="s">
        <v>9927</v>
      </c>
      <c r="J1881" s="2" t="s">
        <v>9928</v>
      </c>
      <c r="K1881" s="2">
        <v>1.3665435E-2</v>
      </c>
      <c r="L1881" s="2" t="s">
        <v>848</v>
      </c>
      <c r="M1881" s="4" t="s">
        <v>10886</v>
      </c>
    </row>
    <row r="1882" spans="1:13">
      <c r="A1882" s="2">
        <v>1716</v>
      </c>
      <c r="B1882" s="2" t="s">
        <v>10887</v>
      </c>
      <c r="C1882" s="2">
        <v>4</v>
      </c>
      <c r="D1882" s="2">
        <v>556</v>
      </c>
      <c r="E1882" s="2">
        <v>28</v>
      </c>
      <c r="F1882" s="2">
        <v>32441</v>
      </c>
      <c r="G1882" s="2">
        <v>8.3353031860000009</v>
      </c>
      <c r="H1882" s="2">
        <v>1.9723309999999999E-3</v>
      </c>
      <c r="I1882" s="2" t="s">
        <v>10888</v>
      </c>
      <c r="J1882" s="2" t="s">
        <v>10889</v>
      </c>
      <c r="K1882" s="2">
        <v>1.3665435E-2</v>
      </c>
      <c r="L1882" s="2" t="s">
        <v>848</v>
      </c>
      <c r="M1882" s="4" t="s">
        <v>10890</v>
      </c>
    </row>
    <row r="1883" spans="1:13">
      <c r="A1883" s="2">
        <v>1720</v>
      </c>
      <c r="B1883" s="2" t="s">
        <v>10891</v>
      </c>
      <c r="C1883" s="2">
        <v>20</v>
      </c>
      <c r="D1883" s="2">
        <v>556</v>
      </c>
      <c r="E1883" s="2">
        <v>554</v>
      </c>
      <c r="F1883" s="2">
        <v>32441</v>
      </c>
      <c r="G1883" s="2">
        <v>2.106394307</v>
      </c>
      <c r="H1883" s="2">
        <v>1.9848639999999998E-3</v>
      </c>
      <c r="I1883" s="2" t="s">
        <v>10892</v>
      </c>
      <c r="J1883" s="2" t="s">
        <v>10893</v>
      </c>
      <c r="K1883" s="2">
        <v>1.3736190000000001E-2</v>
      </c>
      <c r="L1883" s="2" t="s">
        <v>848</v>
      </c>
      <c r="M1883" s="4" t="s">
        <v>10894</v>
      </c>
    </row>
    <row r="1884" spans="1:13">
      <c r="A1884" s="2">
        <v>1696</v>
      </c>
      <c r="B1884" s="2" t="s">
        <v>10895</v>
      </c>
      <c r="C1884" s="2">
        <v>11</v>
      </c>
      <c r="D1884" s="2">
        <v>556</v>
      </c>
      <c r="E1884" s="2">
        <v>220</v>
      </c>
      <c r="F1884" s="2">
        <v>32441</v>
      </c>
      <c r="G1884" s="2">
        <v>2.917356115</v>
      </c>
      <c r="H1884" s="2">
        <v>2.0019230000000001E-3</v>
      </c>
      <c r="I1884" s="2" t="s">
        <v>10373</v>
      </c>
      <c r="J1884" s="2" t="s">
        <v>10374</v>
      </c>
      <c r="K1884" s="2">
        <v>1.3838061E-2</v>
      </c>
      <c r="L1884" s="2" t="s">
        <v>848</v>
      </c>
      <c r="M1884" s="4" t="s">
        <v>10896</v>
      </c>
    </row>
    <row r="1885" spans="1:13">
      <c r="A1885" s="2">
        <v>867</v>
      </c>
      <c r="B1885" s="2" t="s">
        <v>10897</v>
      </c>
      <c r="C1885" s="2">
        <v>42</v>
      </c>
      <c r="D1885" s="2">
        <v>556</v>
      </c>
      <c r="E1885" s="2">
        <v>1517</v>
      </c>
      <c r="F1885" s="2">
        <v>32441</v>
      </c>
      <c r="G1885" s="2">
        <v>1.615411428</v>
      </c>
      <c r="H1885" s="2">
        <v>2.0386940000000002E-3</v>
      </c>
      <c r="I1885" s="2" t="s">
        <v>10898</v>
      </c>
      <c r="J1885" s="2" t="s">
        <v>10899</v>
      </c>
      <c r="K1885" s="2">
        <v>1.4059385000000001E-2</v>
      </c>
      <c r="L1885" s="2" t="s">
        <v>848</v>
      </c>
      <c r="M1885" s="4" t="s">
        <v>10900</v>
      </c>
    </row>
    <row r="1886" spans="1:13">
      <c r="A1886" s="2">
        <v>3917</v>
      </c>
      <c r="B1886" s="2" t="s">
        <v>10901</v>
      </c>
      <c r="C1886" s="2">
        <v>15</v>
      </c>
      <c r="D1886" s="2">
        <v>556</v>
      </c>
      <c r="E1886" s="2">
        <v>362</v>
      </c>
      <c r="F1886" s="2">
        <v>32441</v>
      </c>
      <c r="G1886" s="2">
        <v>2.4176984379999999</v>
      </c>
      <c r="H1886" s="2">
        <v>2.0368489999999999E-3</v>
      </c>
      <c r="I1886" s="2" t="s">
        <v>10902</v>
      </c>
      <c r="J1886" s="2" t="s">
        <v>10903</v>
      </c>
      <c r="K1886" s="2">
        <v>1.4059385000000001E-2</v>
      </c>
      <c r="L1886" s="2" t="s">
        <v>848</v>
      </c>
      <c r="M1886" s="4" t="s">
        <v>10904</v>
      </c>
    </row>
    <row r="1887" spans="1:13">
      <c r="A1887" s="2">
        <v>85</v>
      </c>
      <c r="B1887" s="2" t="s">
        <v>10905</v>
      </c>
      <c r="C1887" s="2">
        <v>7</v>
      </c>
      <c r="D1887" s="2">
        <v>556</v>
      </c>
      <c r="E1887" s="2">
        <v>98</v>
      </c>
      <c r="F1887" s="2">
        <v>32441</v>
      </c>
      <c r="G1887" s="2">
        <v>4.1676515930000004</v>
      </c>
      <c r="H1887" s="2">
        <v>2.0412109999999998E-3</v>
      </c>
      <c r="I1887" s="2" t="s">
        <v>10906</v>
      </c>
      <c r="J1887" s="2" t="s">
        <v>10907</v>
      </c>
      <c r="K1887" s="2">
        <v>1.4060352999999999E-2</v>
      </c>
      <c r="L1887" s="2" t="s">
        <v>848</v>
      </c>
      <c r="M1887" s="4" t="s">
        <v>10908</v>
      </c>
    </row>
    <row r="1888" spans="1:13">
      <c r="A1888" s="2">
        <v>4279</v>
      </c>
      <c r="B1888" s="2" t="s">
        <v>10909</v>
      </c>
      <c r="C1888" s="2">
        <v>6</v>
      </c>
      <c r="D1888" s="2">
        <v>556</v>
      </c>
      <c r="E1888" s="2">
        <v>72</v>
      </c>
      <c r="F1888" s="2">
        <v>32441</v>
      </c>
      <c r="G1888" s="2">
        <v>4.8622601919999999</v>
      </c>
      <c r="H1888" s="2">
        <v>2.0532720000000001E-3</v>
      </c>
      <c r="I1888" s="2" t="s">
        <v>10910</v>
      </c>
      <c r="J1888" s="2" t="s">
        <v>10911</v>
      </c>
      <c r="K1888" s="2">
        <v>1.4126987000000001E-2</v>
      </c>
      <c r="L1888" s="2" t="s">
        <v>848</v>
      </c>
      <c r="M1888" s="4" t="s">
        <v>10912</v>
      </c>
    </row>
    <row r="1889" spans="1:13">
      <c r="A1889" s="2">
        <v>168</v>
      </c>
      <c r="B1889" s="2" t="s">
        <v>10913</v>
      </c>
      <c r="C1889" s="2">
        <v>7</v>
      </c>
      <c r="D1889" s="2">
        <v>556</v>
      </c>
      <c r="E1889" s="2">
        <v>99</v>
      </c>
      <c r="F1889" s="2">
        <v>32441</v>
      </c>
      <c r="G1889" s="2">
        <v>4.1255541019999997</v>
      </c>
      <c r="H1889" s="2">
        <v>2.1544659999999998E-3</v>
      </c>
      <c r="I1889" s="2" t="s">
        <v>10914</v>
      </c>
      <c r="J1889" s="2" t="s">
        <v>10915</v>
      </c>
      <c r="K1889" s="2">
        <v>1.4806008000000001E-2</v>
      </c>
      <c r="L1889" s="2" t="s">
        <v>848</v>
      </c>
      <c r="M1889" s="4" t="s">
        <v>10916</v>
      </c>
    </row>
    <row r="1890" spans="1:13">
      <c r="A1890" s="2">
        <v>5179</v>
      </c>
      <c r="B1890" s="2" t="s">
        <v>10917</v>
      </c>
      <c r="C1890" s="2">
        <v>22</v>
      </c>
      <c r="D1890" s="2">
        <v>556</v>
      </c>
      <c r="E1890" s="2">
        <v>640</v>
      </c>
      <c r="F1890" s="2">
        <v>32441</v>
      </c>
      <c r="G1890" s="2">
        <v>2.0056823289999999</v>
      </c>
      <c r="H1890" s="2">
        <v>2.1798820000000002E-3</v>
      </c>
      <c r="I1890" s="2" t="s">
        <v>10918</v>
      </c>
      <c r="J1890" s="2" t="s">
        <v>10919</v>
      </c>
      <c r="K1890" s="2">
        <v>1.4963295999999999E-2</v>
      </c>
      <c r="L1890" s="2" t="s">
        <v>848</v>
      </c>
      <c r="M1890" s="4" t="s">
        <v>10920</v>
      </c>
    </row>
    <row r="1891" spans="1:13">
      <c r="A1891" s="2">
        <v>582</v>
      </c>
      <c r="B1891" s="2" t="s">
        <v>1114</v>
      </c>
      <c r="C1891" s="2">
        <v>6</v>
      </c>
      <c r="D1891" s="2">
        <v>556</v>
      </c>
      <c r="E1891" s="2">
        <v>73</v>
      </c>
      <c r="F1891" s="2">
        <v>32441</v>
      </c>
      <c r="G1891" s="2">
        <v>4.7956538880000004</v>
      </c>
      <c r="H1891" s="2">
        <v>2.1909849999999999E-3</v>
      </c>
      <c r="I1891" s="2" t="s">
        <v>10921</v>
      </c>
      <c r="J1891" s="2" t="s">
        <v>10922</v>
      </c>
      <c r="K1891" s="2">
        <v>1.5004698E-2</v>
      </c>
      <c r="L1891" s="2" t="s">
        <v>848</v>
      </c>
      <c r="M1891" s="4" t="s">
        <v>10923</v>
      </c>
    </row>
    <row r="1892" spans="1:13">
      <c r="A1892" s="2">
        <v>2625</v>
      </c>
      <c r="B1892" s="2" t="s">
        <v>10924</v>
      </c>
      <c r="C1892" s="2">
        <v>34</v>
      </c>
      <c r="D1892" s="2">
        <v>556</v>
      </c>
      <c r="E1892" s="2">
        <v>1158</v>
      </c>
      <c r="F1892" s="2">
        <v>32441</v>
      </c>
      <c r="G1892" s="2">
        <v>1.7131279429999999</v>
      </c>
      <c r="H1892" s="2">
        <v>2.1898410000000001E-3</v>
      </c>
      <c r="I1892" s="2" t="s">
        <v>10925</v>
      </c>
      <c r="J1892" s="2" t="s">
        <v>10926</v>
      </c>
      <c r="K1892" s="2">
        <v>1.5004698E-2</v>
      </c>
      <c r="L1892" s="2" t="s">
        <v>848</v>
      </c>
      <c r="M1892" s="4" t="s">
        <v>10927</v>
      </c>
    </row>
    <row r="1893" spans="1:13">
      <c r="A1893" s="2">
        <v>5375</v>
      </c>
      <c r="B1893" s="2" t="s">
        <v>10928</v>
      </c>
      <c r="C1893" s="2">
        <v>4</v>
      </c>
      <c r="D1893" s="2">
        <v>556</v>
      </c>
      <c r="E1893" s="2">
        <v>29</v>
      </c>
      <c r="F1893" s="2">
        <v>32441</v>
      </c>
      <c r="G1893" s="2">
        <v>8.0478789380000002</v>
      </c>
      <c r="H1893" s="2">
        <v>2.2148100000000002E-3</v>
      </c>
      <c r="I1893" s="2" t="s">
        <v>10929</v>
      </c>
      <c r="J1893" s="2" t="s">
        <v>10930</v>
      </c>
      <c r="K1893" s="2">
        <v>1.5150327E-2</v>
      </c>
      <c r="L1893" s="2" t="s">
        <v>848</v>
      </c>
      <c r="M1893" s="4" t="s">
        <v>10931</v>
      </c>
    </row>
    <row r="1894" spans="1:13">
      <c r="A1894" s="2">
        <v>8</v>
      </c>
      <c r="B1894" s="2" t="s">
        <v>10932</v>
      </c>
      <c r="C1894" s="2">
        <v>3</v>
      </c>
      <c r="D1894" s="2">
        <v>556</v>
      </c>
      <c r="E1894" s="2">
        <v>13</v>
      </c>
      <c r="F1894" s="2">
        <v>32441</v>
      </c>
      <c r="G1894" s="2">
        <v>13.464720529999999</v>
      </c>
      <c r="H1894" s="2">
        <v>2.2626669999999999E-3</v>
      </c>
      <c r="I1894" s="2" t="s">
        <v>10933</v>
      </c>
      <c r="J1894" s="2" t="s">
        <v>10934</v>
      </c>
      <c r="K1894" s="2">
        <v>1.5371068E-2</v>
      </c>
      <c r="L1894" s="2" t="s">
        <v>848</v>
      </c>
      <c r="M1894" s="4" t="s">
        <v>10935</v>
      </c>
    </row>
    <row r="1895" spans="1:13">
      <c r="A1895" s="2">
        <v>1079</v>
      </c>
      <c r="B1895" s="2" t="s">
        <v>10936</v>
      </c>
      <c r="C1895" s="2">
        <v>3</v>
      </c>
      <c r="D1895" s="2">
        <v>556</v>
      </c>
      <c r="E1895" s="2">
        <v>13</v>
      </c>
      <c r="F1895" s="2">
        <v>32441</v>
      </c>
      <c r="G1895" s="2">
        <v>13.464720529999999</v>
      </c>
      <c r="H1895" s="2">
        <v>2.2626669999999999E-3</v>
      </c>
      <c r="I1895" s="2" t="s">
        <v>10937</v>
      </c>
      <c r="J1895" s="2" t="s">
        <v>10938</v>
      </c>
      <c r="K1895" s="2">
        <v>1.5371068E-2</v>
      </c>
      <c r="L1895" s="2" t="s">
        <v>848</v>
      </c>
      <c r="M1895" s="4" t="s">
        <v>10939</v>
      </c>
    </row>
    <row r="1896" spans="1:13">
      <c r="A1896" s="2">
        <v>1857</v>
      </c>
      <c r="B1896" s="2" t="s">
        <v>10940</v>
      </c>
      <c r="C1896" s="2">
        <v>3</v>
      </c>
      <c r="D1896" s="2">
        <v>556</v>
      </c>
      <c r="E1896" s="2">
        <v>13</v>
      </c>
      <c r="F1896" s="2">
        <v>32441</v>
      </c>
      <c r="G1896" s="2">
        <v>13.464720529999999</v>
      </c>
      <c r="H1896" s="2">
        <v>2.2626669999999999E-3</v>
      </c>
      <c r="I1896" s="2" t="s">
        <v>10941</v>
      </c>
      <c r="J1896" s="2" t="s">
        <v>10942</v>
      </c>
      <c r="K1896" s="2">
        <v>1.5371068E-2</v>
      </c>
      <c r="L1896" s="2" t="s">
        <v>848</v>
      </c>
      <c r="M1896" s="4" t="s">
        <v>10943</v>
      </c>
    </row>
    <row r="1897" spans="1:13">
      <c r="A1897" s="2">
        <v>2985</v>
      </c>
      <c r="B1897" s="2" t="s">
        <v>10944</v>
      </c>
      <c r="C1897" s="2">
        <v>3</v>
      </c>
      <c r="D1897" s="2">
        <v>556</v>
      </c>
      <c r="E1897" s="2">
        <v>13</v>
      </c>
      <c r="F1897" s="2">
        <v>32441</v>
      </c>
      <c r="G1897" s="2">
        <v>13.464720529999999</v>
      </c>
      <c r="H1897" s="2">
        <v>2.2626669999999999E-3</v>
      </c>
      <c r="I1897" s="2" t="s">
        <v>10770</v>
      </c>
      <c r="J1897" s="2" t="s">
        <v>10771</v>
      </c>
      <c r="K1897" s="2">
        <v>1.5371068E-2</v>
      </c>
      <c r="L1897" s="2" t="s">
        <v>848</v>
      </c>
      <c r="M1897" s="4" t="s">
        <v>10945</v>
      </c>
    </row>
    <row r="1898" spans="1:13">
      <c r="A1898" s="2">
        <v>2987</v>
      </c>
      <c r="B1898" s="2" t="s">
        <v>10946</v>
      </c>
      <c r="C1898" s="2">
        <v>3</v>
      </c>
      <c r="D1898" s="2">
        <v>556</v>
      </c>
      <c r="E1898" s="2">
        <v>13</v>
      </c>
      <c r="F1898" s="2">
        <v>32441</v>
      </c>
      <c r="G1898" s="2">
        <v>13.464720529999999</v>
      </c>
      <c r="H1898" s="2">
        <v>2.2626669999999999E-3</v>
      </c>
      <c r="I1898" s="2" t="s">
        <v>10947</v>
      </c>
      <c r="J1898" s="2" t="s">
        <v>10948</v>
      </c>
      <c r="K1898" s="2">
        <v>1.5371068E-2</v>
      </c>
      <c r="L1898" s="2" t="s">
        <v>848</v>
      </c>
      <c r="M1898" s="4" t="s">
        <v>10949</v>
      </c>
    </row>
    <row r="1899" spans="1:13">
      <c r="A1899" s="2">
        <v>5009</v>
      </c>
      <c r="B1899" s="2" t="s">
        <v>10950</v>
      </c>
      <c r="C1899" s="2">
        <v>3</v>
      </c>
      <c r="D1899" s="2">
        <v>556</v>
      </c>
      <c r="E1899" s="2">
        <v>13</v>
      </c>
      <c r="F1899" s="2">
        <v>32441</v>
      </c>
      <c r="G1899" s="2">
        <v>13.464720529999999</v>
      </c>
      <c r="H1899" s="2">
        <v>2.2626669999999999E-3</v>
      </c>
      <c r="I1899" s="2" t="s">
        <v>10951</v>
      </c>
      <c r="J1899" s="2" t="s">
        <v>10952</v>
      </c>
      <c r="K1899" s="2">
        <v>1.5371068E-2</v>
      </c>
      <c r="L1899" s="2" t="s">
        <v>848</v>
      </c>
      <c r="M1899" s="4" t="s">
        <v>10953</v>
      </c>
    </row>
    <row r="1900" spans="1:13">
      <c r="A1900" s="2">
        <v>829</v>
      </c>
      <c r="B1900" s="2" t="s">
        <v>10954</v>
      </c>
      <c r="C1900" s="2">
        <v>7</v>
      </c>
      <c r="D1900" s="2">
        <v>556</v>
      </c>
      <c r="E1900" s="2">
        <v>100</v>
      </c>
      <c r="F1900" s="2">
        <v>32441</v>
      </c>
      <c r="G1900" s="2">
        <v>4.0842985609999998</v>
      </c>
      <c r="H1900" s="2">
        <v>2.272512E-3</v>
      </c>
      <c r="I1900" s="2" t="s">
        <v>10955</v>
      </c>
      <c r="J1900" s="2" t="s">
        <v>10956</v>
      </c>
      <c r="K1900" s="2">
        <v>1.5402581E-2</v>
      </c>
      <c r="L1900" s="2" t="s">
        <v>848</v>
      </c>
      <c r="M1900" s="4" t="s">
        <v>10957</v>
      </c>
    </row>
    <row r="1901" spans="1:13">
      <c r="A1901" s="2">
        <v>2780</v>
      </c>
      <c r="B1901" s="2" t="s">
        <v>10958</v>
      </c>
      <c r="C1901" s="2">
        <v>7</v>
      </c>
      <c r="D1901" s="2">
        <v>556</v>
      </c>
      <c r="E1901" s="2">
        <v>100</v>
      </c>
      <c r="F1901" s="2">
        <v>32441</v>
      </c>
      <c r="G1901" s="2">
        <v>4.0842985609999998</v>
      </c>
      <c r="H1901" s="2">
        <v>2.272512E-3</v>
      </c>
      <c r="I1901" s="2" t="s">
        <v>10959</v>
      </c>
      <c r="J1901" s="2" t="s">
        <v>10960</v>
      </c>
      <c r="K1901" s="2">
        <v>1.5402581E-2</v>
      </c>
      <c r="L1901" s="2" t="s">
        <v>848</v>
      </c>
      <c r="M1901" s="4" t="s">
        <v>10961</v>
      </c>
    </row>
    <row r="1902" spans="1:13">
      <c r="A1902" s="2">
        <v>3994</v>
      </c>
      <c r="B1902" s="2" t="s">
        <v>10962</v>
      </c>
      <c r="C1902" s="2">
        <v>23</v>
      </c>
      <c r="D1902" s="2">
        <v>556</v>
      </c>
      <c r="E1902" s="2">
        <v>684</v>
      </c>
      <c r="F1902" s="2">
        <v>32441</v>
      </c>
      <c r="G1902" s="2">
        <v>1.9619646390000001</v>
      </c>
      <c r="H1902" s="2">
        <v>2.2865310000000001E-3</v>
      </c>
      <c r="I1902" s="2" t="s">
        <v>10963</v>
      </c>
      <c r="J1902" s="2" t="s">
        <v>10964</v>
      </c>
      <c r="K1902" s="2">
        <v>1.547987E-2</v>
      </c>
      <c r="L1902" s="2" t="s">
        <v>848</v>
      </c>
      <c r="M1902" s="4" t="s">
        <v>10965</v>
      </c>
    </row>
    <row r="1903" spans="1:13">
      <c r="A1903" s="2">
        <v>1410</v>
      </c>
      <c r="B1903" s="2" t="s">
        <v>10966</v>
      </c>
      <c r="C1903" s="2">
        <v>8</v>
      </c>
      <c r="D1903" s="2">
        <v>556</v>
      </c>
      <c r="E1903" s="2">
        <v>129</v>
      </c>
      <c r="F1903" s="2">
        <v>32441</v>
      </c>
      <c r="G1903" s="2">
        <v>3.618426189</v>
      </c>
      <c r="H1903" s="2">
        <v>2.3194460000000002E-3</v>
      </c>
      <c r="I1903" s="2" t="s">
        <v>10440</v>
      </c>
      <c r="J1903" s="2" t="s">
        <v>10441</v>
      </c>
      <c r="K1903" s="2">
        <v>1.5684756000000001E-2</v>
      </c>
      <c r="L1903" s="2" t="s">
        <v>848</v>
      </c>
      <c r="M1903" s="4" t="s">
        <v>10967</v>
      </c>
    </row>
    <row r="1904" spans="1:13">
      <c r="A1904" s="2">
        <v>6191</v>
      </c>
      <c r="B1904" s="2" t="s">
        <v>10968</v>
      </c>
      <c r="C1904" s="2">
        <v>6</v>
      </c>
      <c r="D1904" s="2">
        <v>556</v>
      </c>
      <c r="E1904" s="2">
        <v>74</v>
      </c>
      <c r="F1904" s="2">
        <v>32441</v>
      </c>
      <c r="G1904" s="2">
        <v>4.730847754</v>
      </c>
      <c r="H1904" s="2">
        <v>2.3355469999999999E-3</v>
      </c>
      <c r="I1904" s="2" t="s">
        <v>10969</v>
      </c>
      <c r="J1904" s="2" t="s">
        <v>10970</v>
      </c>
      <c r="K1904" s="2">
        <v>1.5775608E-2</v>
      </c>
      <c r="L1904" s="2" t="s">
        <v>848</v>
      </c>
      <c r="M1904" s="4" t="s">
        <v>10971</v>
      </c>
    </row>
    <row r="1905" spans="1:13">
      <c r="A1905" s="2">
        <v>5346</v>
      </c>
      <c r="B1905" s="2" t="s">
        <v>10972</v>
      </c>
      <c r="C1905" s="2">
        <v>15</v>
      </c>
      <c r="D1905" s="2">
        <v>556</v>
      </c>
      <c r="E1905" s="2">
        <v>368</v>
      </c>
      <c r="F1905" s="2">
        <v>32441</v>
      </c>
      <c r="G1905" s="2">
        <v>2.3782794420000002</v>
      </c>
      <c r="H1905" s="2">
        <v>2.3673230000000002E-3</v>
      </c>
      <c r="I1905" s="2" t="s">
        <v>10973</v>
      </c>
      <c r="J1905" s="2" t="s">
        <v>10974</v>
      </c>
      <c r="K1905" s="2">
        <v>1.5972006E-2</v>
      </c>
      <c r="L1905" s="2" t="s">
        <v>848</v>
      </c>
      <c r="M1905" s="4" t="s">
        <v>10975</v>
      </c>
    </row>
    <row r="1906" spans="1:13">
      <c r="A1906" s="2">
        <v>1983</v>
      </c>
      <c r="B1906" s="2" t="s">
        <v>10976</v>
      </c>
      <c r="C1906" s="2">
        <v>10</v>
      </c>
      <c r="D1906" s="2">
        <v>556</v>
      </c>
      <c r="E1906" s="2">
        <v>192</v>
      </c>
      <c r="F1906" s="2">
        <v>32441</v>
      </c>
      <c r="G1906" s="2">
        <v>3.0389126200000001</v>
      </c>
      <c r="H1906" s="2">
        <v>2.3827359999999999E-3</v>
      </c>
      <c r="I1906" s="2" t="s">
        <v>10977</v>
      </c>
      <c r="J1906" s="2" t="s">
        <v>10978</v>
      </c>
      <c r="K1906" s="2">
        <v>1.6057688000000001E-2</v>
      </c>
      <c r="L1906" s="2" t="s">
        <v>848</v>
      </c>
      <c r="M1906" s="4" t="s">
        <v>10979</v>
      </c>
    </row>
    <row r="1907" spans="1:13">
      <c r="A1907" s="2">
        <v>5667</v>
      </c>
      <c r="B1907" s="2" t="s">
        <v>10980</v>
      </c>
      <c r="C1907" s="2">
        <v>7</v>
      </c>
      <c r="D1907" s="2">
        <v>556</v>
      </c>
      <c r="E1907" s="2">
        <v>101</v>
      </c>
      <c r="F1907" s="2">
        <v>32441</v>
      </c>
      <c r="G1907" s="2">
        <v>4.043859962</v>
      </c>
      <c r="H1907" s="2">
        <v>2.3954839999999998E-3</v>
      </c>
      <c r="I1907" s="2" t="s">
        <v>10981</v>
      </c>
      <c r="J1907" s="2" t="s">
        <v>10982</v>
      </c>
      <c r="K1907" s="2">
        <v>1.6125229000000001E-2</v>
      </c>
      <c r="L1907" s="2" t="s">
        <v>848</v>
      </c>
      <c r="M1907" s="4" t="s">
        <v>10983</v>
      </c>
    </row>
    <row r="1908" spans="1:13">
      <c r="A1908" s="2">
        <v>259</v>
      </c>
      <c r="B1908" s="2" t="s">
        <v>10984</v>
      </c>
      <c r="C1908" s="2">
        <v>4</v>
      </c>
      <c r="D1908" s="2">
        <v>556</v>
      </c>
      <c r="E1908" s="2">
        <v>30</v>
      </c>
      <c r="F1908" s="2">
        <v>32441</v>
      </c>
      <c r="G1908" s="2">
        <v>7.7796163070000004</v>
      </c>
      <c r="H1908" s="2">
        <v>2.477071E-3</v>
      </c>
      <c r="I1908" s="2" t="s">
        <v>10985</v>
      </c>
      <c r="J1908" s="2" t="s">
        <v>10986</v>
      </c>
      <c r="K1908" s="2">
        <v>1.6617720999999998E-2</v>
      </c>
      <c r="L1908" s="2" t="s">
        <v>848</v>
      </c>
      <c r="M1908" s="4" t="s">
        <v>10987</v>
      </c>
    </row>
    <row r="1909" spans="1:13">
      <c r="A1909" s="2">
        <v>1704</v>
      </c>
      <c r="B1909" s="2" t="s">
        <v>10988</v>
      </c>
      <c r="C1909" s="2">
        <v>4</v>
      </c>
      <c r="D1909" s="2">
        <v>556</v>
      </c>
      <c r="E1909" s="2">
        <v>30</v>
      </c>
      <c r="F1909" s="2">
        <v>32441</v>
      </c>
      <c r="G1909" s="2">
        <v>7.7796163070000004</v>
      </c>
      <c r="H1909" s="2">
        <v>2.477071E-3</v>
      </c>
      <c r="I1909" s="2" t="s">
        <v>10989</v>
      </c>
      <c r="J1909" s="2" t="s">
        <v>10990</v>
      </c>
      <c r="K1909" s="2">
        <v>1.6617720999999998E-2</v>
      </c>
      <c r="L1909" s="2" t="s">
        <v>848</v>
      </c>
      <c r="M1909" s="4" t="s">
        <v>10991</v>
      </c>
    </row>
    <row r="1910" spans="1:13">
      <c r="A1910" s="2">
        <v>2670</v>
      </c>
      <c r="B1910" s="2" t="s">
        <v>10992</v>
      </c>
      <c r="C1910" s="2">
        <v>4</v>
      </c>
      <c r="D1910" s="2">
        <v>556</v>
      </c>
      <c r="E1910" s="2">
        <v>30</v>
      </c>
      <c r="F1910" s="2">
        <v>32441</v>
      </c>
      <c r="G1910" s="2">
        <v>7.7796163070000004</v>
      </c>
      <c r="H1910" s="2">
        <v>2.477071E-3</v>
      </c>
      <c r="I1910" s="2" t="s">
        <v>10993</v>
      </c>
      <c r="J1910" s="2" t="s">
        <v>10994</v>
      </c>
      <c r="K1910" s="2">
        <v>1.6617720999999998E-2</v>
      </c>
      <c r="L1910" s="2" t="s">
        <v>848</v>
      </c>
      <c r="M1910" s="4" t="s">
        <v>10995</v>
      </c>
    </row>
    <row r="1911" spans="1:13">
      <c r="A1911" s="2">
        <v>1510</v>
      </c>
      <c r="B1911" s="2" t="s">
        <v>10996</v>
      </c>
      <c r="C1911" s="2">
        <v>6</v>
      </c>
      <c r="D1911" s="2">
        <v>556</v>
      </c>
      <c r="E1911" s="2">
        <v>75</v>
      </c>
      <c r="F1911" s="2">
        <v>32441</v>
      </c>
      <c r="G1911" s="2">
        <v>4.6677697839999999</v>
      </c>
      <c r="H1911" s="2">
        <v>2.4871699999999999E-3</v>
      </c>
      <c r="I1911" s="2" t="s">
        <v>10997</v>
      </c>
      <c r="J1911" s="2" t="s">
        <v>10998</v>
      </c>
      <c r="K1911" s="2">
        <v>1.6666574999999999E-2</v>
      </c>
      <c r="L1911" s="2" t="s">
        <v>848</v>
      </c>
      <c r="M1911" s="4" t="s">
        <v>10999</v>
      </c>
    </row>
    <row r="1912" spans="1:13">
      <c r="A1912" s="2">
        <v>3105</v>
      </c>
      <c r="B1912" s="2" t="s">
        <v>11000</v>
      </c>
      <c r="C1912" s="2">
        <v>5</v>
      </c>
      <c r="D1912" s="2">
        <v>556</v>
      </c>
      <c r="E1912" s="2">
        <v>51</v>
      </c>
      <c r="F1912" s="2">
        <v>32441</v>
      </c>
      <c r="G1912" s="2">
        <v>5.7203061079999999</v>
      </c>
      <c r="H1912" s="2">
        <v>2.5120250000000002E-3</v>
      </c>
      <c r="I1912" s="2" t="s">
        <v>10544</v>
      </c>
      <c r="J1912" s="2" t="s">
        <v>10545</v>
      </c>
      <c r="K1912" s="2">
        <v>1.6814083000000001E-2</v>
      </c>
      <c r="L1912" s="2" t="s">
        <v>848</v>
      </c>
      <c r="M1912" s="4" t="s">
        <v>11001</v>
      </c>
    </row>
    <row r="1913" spans="1:13">
      <c r="A1913" s="2">
        <v>1960</v>
      </c>
      <c r="B1913" s="2" t="s">
        <v>1027</v>
      </c>
      <c r="C1913" s="2">
        <v>39</v>
      </c>
      <c r="D1913" s="2">
        <v>556</v>
      </c>
      <c r="E1913" s="2">
        <v>1398</v>
      </c>
      <c r="F1913" s="2">
        <v>32441</v>
      </c>
      <c r="G1913" s="2">
        <v>1.62770942</v>
      </c>
      <c r="H1913" s="2">
        <v>2.5678010000000002E-3</v>
      </c>
      <c r="I1913" s="2" t="s">
        <v>11002</v>
      </c>
      <c r="J1913" s="2" t="s">
        <v>11003</v>
      </c>
      <c r="K1913" s="2">
        <v>1.7167997000000001E-2</v>
      </c>
      <c r="L1913" s="2" t="s">
        <v>848</v>
      </c>
      <c r="M1913" s="4" t="s">
        <v>11004</v>
      </c>
    </row>
    <row r="1914" spans="1:13">
      <c r="A1914" s="2">
        <v>4554</v>
      </c>
      <c r="B1914" s="2" t="s">
        <v>11005</v>
      </c>
      <c r="C1914" s="2">
        <v>13</v>
      </c>
      <c r="D1914" s="2">
        <v>556</v>
      </c>
      <c r="E1914" s="2">
        <v>298</v>
      </c>
      <c r="F1914" s="2">
        <v>32441</v>
      </c>
      <c r="G1914" s="2">
        <v>2.545344262</v>
      </c>
      <c r="H1914" s="2">
        <v>2.5926310000000002E-3</v>
      </c>
      <c r="I1914" s="2" t="s">
        <v>11006</v>
      </c>
      <c r="J1914" s="2" t="s">
        <v>11007</v>
      </c>
      <c r="K1914" s="2">
        <v>1.7314445000000001E-2</v>
      </c>
      <c r="L1914" s="2" t="s">
        <v>848</v>
      </c>
      <c r="M1914" s="4" t="s">
        <v>11008</v>
      </c>
    </row>
    <row r="1915" spans="1:13">
      <c r="A1915" s="2">
        <v>5061</v>
      </c>
      <c r="B1915" s="2" t="s">
        <v>11009</v>
      </c>
      <c r="C1915" s="2">
        <v>26</v>
      </c>
      <c r="D1915" s="2">
        <v>556</v>
      </c>
      <c r="E1915" s="2">
        <v>819</v>
      </c>
      <c r="F1915" s="2">
        <v>32441</v>
      </c>
      <c r="G1915" s="2">
        <v>1.852289597</v>
      </c>
      <c r="H1915" s="2">
        <v>2.619606E-3</v>
      </c>
      <c r="I1915" s="2" t="s">
        <v>11010</v>
      </c>
      <c r="J1915" s="2" t="s">
        <v>11011</v>
      </c>
      <c r="K1915" s="2">
        <v>1.7474869000000001E-2</v>
      </c>
      <c r="L1915" s="2" t="s">
        <v>848</v>
      </c>
      <c r="M1915" s="4" t="s">
        <v>11012</v>
      </c>
    </row>
    <row r="1916" spans="1:13">
      <c r="A1916" s="2">
        <v>4270</v>
      </c>
      <c r="B1916" s="2" t="s">
        <v>11013</v>
      </c>
      <c r="C1916" s="2">
        <v>12</v>
      </c>
      <c r="D1916" s="2">
        <v>556</v>
      </c>
      <c r="E1916" s="2">
        <v>263</v>
      </c>
      <c r="F1916" s="2">
        <v>32441</v>
      </c>
      <c r="G1916" s="2">
        <v>2.662226113</v>
      </c>
      <c r="H1916" s="2">
        <v>2.6370489999999998E-3</v>
      </c>
      <c r="I1916" s="2" t="s">
        <v>11014</v>
      </c>
      <c r="J1916" s="2" t="s">
        <v>11015</v>
      </c>
      <c r="K1916" s="2">
        <v>1.7571419000000001E-2</v>
      </c>
      <c r="L1916" s="2" t="s">
        <v>848</v>
      </c>
      <c r="M1916" s="4" t="s">
        <v>11016</v>
      </c>
    </row>
    <row r="1917" spans="1:13">
      <c r="A1917" s="2">
        <v>1505</v>
      </c>
      <c r="B1917" s="2" t="s">
        <v>11017</v>
      </c>
      <c r="C1917" s="2">
        <v>6</v>
      </c>
      <c r="D1917" s="2">
        <v>556</v>
      </c>
      <c r="E1917" s="2">
        <v>76</v>
      </c>
      <c r="F1917" s="2">
        <v>32441</v>
      </c>
      <c r="G1917" s="2">
        <v>4.606351761</v>
      </c>
      <c r="H1917" s="2">
        <v>2.6460680000000001E-3</v>
      </c>
      <c r="I1917" s="2" t="s">
        <v>11018</v>
      </c>
      <c r="J1917" s="2" t="s">
        <v>11019</v>
      </c>
      <c r="K1917" s="2">
        <v>1.7611681000000001E-2</v>
      </c>
      <c r="L1917" s="2" t="s">
        <v>848</v>
      </c>
      <c r="M1917" s="4" t="s">
        <v>11020</v>
      </c>
    </row>
    <row r="1918" spans="1:13">
      <c r="A1918" s="2">
        <v>1629</v>
      </c>
      <c r="B1918" s="2" t="s">
        <v>11021</v>
      </c>
      <c r="C1918" s="2">
        <v>3</v>
      </c>
      <c r="D1918" s="2">
        <v>556</v>
      </c>
      <c r="E1918" s="2">
        <v>14</v>
      </c>
      <c r="F1918" s="2">
        <v>32441</v>
      </c>
      <c r="G1918" s="2">
        <v>12.50295478</v>
      </c>
      <c r="H1918" s="2">
        <v>2.7133629999999999E-3</v>
      </c>
      <c r="I1918" s="2" t="s">
        <v>11022</v>
      </c>
      <c r="J1918" s="2" t="s">
        <v>11023</v>
      </c>
      <c r="K1918" s="2">
        <v>1.7936173999999999E-2</v>
      </c>
      <c r="L1918" s="2" t="s">
        <v>848</v>
      </c>
      <c r="M1918" s="4" t="s">
        <v>11024</v>
      </c>
    </row>
    <row r="1919" spans="1:13">
      <c r="A1919" s="2">
        <v>2341</v>
      </c>
      <c r="B1919" s="2" t="s">
        <v>11025</v>
      </c>
      <c r="C1919" s="2">
        <v>3</v>
      </c>
      <c r="D1919" s="2">
        <v>556</v>
      </c>
      <c r="E1919" s="2">
        <v>14</v>
      </c>
      <c r="F1919" s="2">
        <v>32441</v>
      </c>
      <c r="G1919" s="2">
        <v>12.50295478</v>
      </c>
      <c r="H1919" s="2">
        <v>2.7133629999999999E-3</v>
      </c>
      <c r="I1919" s="2" t="s">
        <v>11026</v>
      </c>
      <c r="J1919" s="2" t="s">
        <v>11027</v>
      </c>
      <c r="K1919" s="2">
        <v>1.7936173999999999E-2</v>
      </c>
      <c r="L1919" s="2" t="s">
        <v>848</v>
      </c>
      <c r="M1919" s="4" t="s">
        <v>11028</v>
      </c>
    </row>
    <row r="1920" spans="1:13">
      <c r="A1920" s="2">
        <v>2506</v>
      </c>
      <c r="B1920" s="2" t="s">
        <v>11029</v>
      </c>
      <c r="C1920" s="2">
        <v>3</v>
      </c>
      <c r="D1920" s="2">
        <v>556</v>
      </c>
      <c r="E1920" s="2">
        <v>14</v>
      </c>
      <c r="F1920" s="2">
        <v>32441</v>
      </c>
      <c r="G1920" s="2">
        <v>12.50295478</v>
      </c>
      <c r="H1920" s="2">
        <v>2.7133629999999999E-3</v>
      </c>
      <c r="I1920" s="2" t="s">
        <v>11030</v>
      </c>
      <c r="J1920" s="2" t="s">
        <v>11031</v>
      </c>
      <c r="K1920" s="2">
        <v>1.7936173999999999E-2</v>
      </c>
      <c r="L1920" s="2" t="s">
        <v>848</v>
      </c>
      <c r="M1920" s="4" t="s">
        <v>11032</v>
      </c>
    </row>
    <row r="1921" spans="1:13">
      <c r="A1921" s="2">
        <v>3265</v>
      </c>
      <c r="B1921" s="2" t="s">
        <v>11033</v>
      </c>
      <c r="C1921" s="2">
        <v>3</v>
      </c>
      <c r="D1921" s="2">
        <v>556</v>
      </c>
      <c r="E1921" s="2">
        <v>14</v>
      </c>
      <c r="F1921" s="2">
        <v>32441</v>
      </c>
      <c r="G1921" s="2">
        <v>12.50295478</v>
      </c>
      <c r="H1921" s="2">
        <v>2.7133629999999999E-3</v>
      </c>
      <c r="I1921" s="2" t="s">
        <v>11034</v>
      </c>
      <c r="J1921" s="2" t="s">
        <v>11035</v>
      </c>
      <c r="K1921" s="2">
        <v>1.7936173999999999E-2</v>
      </c>
      <c r="L1921" s="2" t="s">
        <v>848</v>
      </c>
      <c r="M1921" s="4" t="s">
        <v>11036</v>
      </c>
    </row>
    <row r="1922" spans="1:13">
      <c r="A1922" s="2">
        <v>3660</v>
      </c>
      <c r="B1922" s="2" t="s">
        <v>11037</v>
      </c>
      <c r="C1922" s="2">
        <v>12</v>
      </c>
      <c r="D1922" s="2">
        <v>556</v>
      </c>
      <c r="E1922" s="2">
        <v>264</v>
      </c>
      <c r="F1922" s="2">
        <v>32441</v>
      </c>
      <c r="G1922" s="2">
        <v>2.6521419229999998</v>
      </c>
      <c r="H1922" s="2">
        <v>2.7159889999999998E-3</v>
      </c>
      <c r="I1922" s="2" t="s">
        <v>11038</v>
      </c>
      <c r="J1922" s="2" t="s">
        <v>11039</v>
      </c>
      <c r="K1922" s="2">
        <v>1.7936173999999999E-2</v>
      </c>
      <c r="L1922" s="2" t="s">
        <v>848</v>
      </c>
      <c r="M1922" s="4" t="s">
        <v>11040</v>
      </c>
    </row>
    <row r="1923" spans="1:13">
      <c r="A1923" s="2">
        <v>40591</v>
      </c>
      <c r="B1923" s="2" t="s">
        <v>11041</v>
      </c>
      <c r="C1923" s="2">
        <v>3</v>
      </c>
      <c r="D1923" s="2">
        <v>556</v>
      </c>
      <c r="E1923" s="2">
        <v>14</v>
      </c>
      <c r="F1923" s="2">
        <v>32441</v>
      </c>
      <c r="G1923" s="2">
        <v>12.50295478</v>
      </c>
      <c r="H1923" s="2">
        <v>2.7133629999999999E-3</v>
      </c>
      <c r="I1923" s="2" t="s">
        <v>11042</v>
      </c>
      <c r="J1923" s="2" t="s">
        <v>11043</v>
      </c>
      <c r="K1923" s="2">
        <v>1.7936173999999999E-2</v>
      </c>
      <c r="L1923" s="2" t="s">
        <v>848</v>
      </c>
      <c r="M1923" s="4" t="s">
        <v>11044</v>
      </c>
    </row>
    <row r="1924" spans="1:13">
      <c r="A1924" s="2">
        <v>5725</v>
      </c>
      <c r="B1924" s="2" t="s">
        <v>11045</v>
      </c>
      <c r="C1924" s="2">
        <v>5</v>
      </c>
      <c r="D1924" s="2">
        <v>556</v>
      </c>
      <c r="E1924" s="2">
        <v>52</v>
      </c>
      <c r="F1924" s="2">
        <v>32441</v>
      </c>
      <c r="G1924" s="2">
        <v>5.6103002210000001</v>
      </c>
      <c r="H1924" s="2">
        <v>2.7160410000000002E-3</v>
      </c>
      <c r="I1924" s="2" t="s">
        <v>11046</v>
      </c>
      <c r="J1924" s="2" t="s">
        <v>11047</v>
      </c>
      <c r="K1924" s="2">
        <v>1.7936173999999999E-2</v>
      </c>
      <c r="L1924" s="2" t="s">
        <v>848</v>
      </c>
      <c r="M1924" s="4" t="s">
        <v>11048</v>
      </c>
    </row>
    <row r="1925" spans="1:13">
      <c r="A1925" s="2">
        <v>2417</v>
      </c>
      <c r="B1925" s="2" t="s">
        <v>11049</v>
      </c>
      <c r="C1925" s="2">
        <v>4</v>
      </c>
      <c r="D1925" s="2">
        <v>556</v>
      </c>
      <c r="E1925" s="2">
        <v>31</v>
      </c>
      <c r="F1925" s="2">
        <v>32441</v>
      </c>
      <c r="G1925" s="2">
        <v>7.5286609420000001</v>
      </c>
      <c r="H1925" s="2">
        <v>2.7598950000000001E-3</v>
      </c>
      <c r="I1925" s="2" t="s">
        <v>11050</v>
      </c>
      <c r="J1925" s="2" t="s">
        <v>11051</v>
      </c>
      <c r="K1925" s="2">
        <v>1.8185189000000001E-2</v>
      </c>
      <c r="L1925" s="2" t="s">
        <v>848</v>
      </c>
      <c r="M1925" s="4" t="s">
        <v>11052</v>
      </c>
    </row>
    <row r="1926" spans="1:13">
      <c r="A1926" s="2">
        <v>2734</v>
      </c>
      <c r="B1926" s="2" t="s">
        <v>11053</v>
      </c>
      <c r="C1926" s="2">
        <v>4</v>
      </c>
      <c r="D1926" s="2">
        <v>556</v>
      </c>
      <c r="E1926" s="2">
        <v>31</v>
      </c>
      <c r="F1926" s="2">
        <v>32441</v>
      </c>
      <c r="G1926" s="2">
        <v>7.5286609420000001</v>
      </c>
      <c r="H1926" s="2">
        <v>2.7598950000000001E-3</v>
      </c>
      <c r="I1926" s="2" t="s">
        <v>11054</v>
      </c>
      <c r="J1926" s="2" t="s">
        <v>11055</v>
      </c>
      <c r="K1926" s="2">
        <v>1.8185189000000001E-2</v>
      </c>
      <c r="L1926" s="2" t="s">
        <v>848</v>
      </c>
      <c r="M1926" s="4" t="s">
        <v>11056</v>
      </c>
    </row>
    <row r="1927" spans="1:13">
      <c r="A1927" s="2">
        <v>4971</v>
      </c>
      <c r="B1927" s="2" t="s">
        <v>11057</v>
      </c>
      <c r="C1927" s="2">
        <v>13</v>
      </c>
      <c r="D1927" s="2">
        <v>556</v>
      </c>
      <c r="E1927" s="2">
        <v>301</v>
      </c>
      <c r="F1927" s="2">
        <v>32441</v>
      </c>
      <c r="G1927" s="2">
        <v>2.5199753820000002</v>
      </c>
      <c r="H1927" s="2">
        <v>2.8146780000000001E-3</v>
      </c>
      <c r="I1927" s="2" t="s">
        <v>11058</v>
      </c>
      <c r="J1927" s="2" t="s">
        <v>11059</v>
      </c>
      <c r="K1927" s="2">
        <v>1.8504944999999998E-2</v>
      </c>
      <c r="L1927" s="2" t="s">
        <v>848</v>
      </c>
      <c r="M1927" s="4" t="s">
        <v>11060</v>
      </c>
    </row>
    <row r="1928" spans="1:13">
      <c r="A1928" s="2">
        <v>5533</v>
      </c>
      <c r="B1928" s="2" t="s">
        <v>11061</v>
      </c>
      <c r="C1928" s="2">
        <v>6</v>
      </c>
      <c r="D1928" s="2">
        <v>556</v>
      </c>
      <c r="E1928" s="2">
        <v>77</v>
      </c>
      <c r="F1928" s="2">
        <v>32441</v>
      </c>
      <c r="G1928" s="2">
        <v>4.5465290109999996</v>
      </c>
      <c r="H1928" s="2">
        <v>2.812457E-3</v>
      </c>
      <c r="I1928" s="2" t="s">
        <v>11062</v>
      </c>
      <c r="J1928" s="2" t="s">
        <v>11063</v>
      </c>
      <c r="K1928" s="2">
        <v>1.8504944999999998E-2</v>
      </c>
      <c r="L1928" s="2" t="s">
        <v>848</v>
      </c>
      <c r="M1928" s="4" t="s">
        <v>11064</v>
      </c>
    </row>
    <row r="1929" spans="1:13">
      <c r="A1929" s="2">
        <v>4495</v>
      </c>
      <c r="B1929" s="2" t="s">
        <v>11065</v>
      </c>
      <c r="C1929" s="2">
        <v>7</v>
      </c>
      <c r="D1929" s="2">
        <v>556</v>
      </c>
      <c r="E1929" s="2">
        <v>105</v>
      </c>
      <c r="F1929" s="2">
        <v>32441</v>
      </c>
      <c r="G1929" s="2">
        <v>3.8898081530000002</v>
      </c>
      <c r="H1929" s="2">
        <v>2.9393399999999999E-3</v>
      </c>
      <c r="I1929" s="2" t="s">
        <v>11066</v>
      </c>
      <c r="J1929" s="2" t="s">
        <v>11067</v>
      </c>
      <c r="K1929" s="2">
        <v>1.930308E-2</v>
      </c>
      <c r="L1929" s="2" t="s">
        <v>848</v>
      </c>
      <c r="M1929" s="4" t="s">
        <v>11068</v>
      </c>
    </row>
    <row r="1930" spans="1:13">
      <c r="A1930" s="2">
        <v>4451</v>
      </c>
      <c r="B1930" s="2" t="s">
        <v>11069</v>
      </c>
      <c r="C1930" s="2">
        <v>4</v>
      </c>
      <c r="D1930" s="2">
        <v>556</v>
      </c>
      <c r="E1930" s="2">
        <v>32</v>
      </c>
      <c r="F1930" s="2">
        <v>32441</v>
      </c>
      <c r="G1930" s="2">
        <v>7.2933902880000003</v>
      </c>
      <c r="H1930" s="2">
        <v>3.0640540000000001E-3</v>
      </c>
      <c r="I1930" s="2" t="s">
        <v>11070</v>
      </c>
      <c r="J1930" s="2" t="s">
        <v>11071</v>
      </c>
      <c r="K1930" s="2">
        <v>2.0077525999999998E-2</v>
      </c>
      <c r="L1930" s="2" t="s">
        <v>848</v>
      </c>
      <c r="M1930" s="4" t="s">
        <v>11072</v>
      </c>
    </row>
    <row r="1931" spans="1:13">
      <c r="A1931" s="2">
        <v>3452</v>
      </c>
      <c r="B1931" s="2" t="s">
        <v>11073</v>
      </c>
      <c r="C1931" s="2">
        <v>4</v>
      </c>
      <c r="D1931" s="2">
        <v>556</v>
      </c>
      <c r="E1931" s="2">
        <v>32</v>
      </c>
      <c r="F1931" s="2">
        <v>32441</v>
      </c>
      <c r="G1931" s="2">
        <v>7.2933902880000003</v>
      </c>
      <c r="H1931" s="2">
        <v>3.0640540000000001E-3</v>
      </c>
      <c r="I1931" s="2" t="s">
        <v>11074</v>
      </c>
      <c r="J1931" s="2" t="s">
        <v>11075</v>
      </c>
      <c r="K1931" s="2">
        <v>2.0077525999999998E-2</v>
      </c>
      <c r="L1931" s="2" t="s">
        <v>848</v>
      </c>
      <c r="M1931" s="4" t="s">
        <v>11076</v>
      </c>
    </row>
    <row r="1932" spans="1:13">
      <c r="A1932" s="2">
        <v>4798</v>
      </c>
      <c r="B1932" s="2" t="s">
        <v>11077</v>
      </c>
      <c r="C1932" s="2">
        <v>30</v>
      </c>
      <c r="D1932" s="2">
        <v>556</v>
      </c>
      <c r="E1932" s="2">
        <v>1005</v>
      </c>
      <c r="F1932" s="2">
        <v>32441</v>
      </c>
      <c r="G1932" s="2">
        <v>1.7417051429999999</v>
      </c>
      <c r="H1932" s="2">
        <v>3.0942790000000001E-3</v>
      </c>
      <c r="I1932" s="2" t="s">
        <v>11078</v>
      </c>
      <c r="J1932" s="2" t="s">
        <v>11079</v>
      </c>
      <c r="K1932" s="2">
        <v>2.0253151E-2</v>
      </c>
      <c r="L1932" s="2" t="s">
        <v>848</v>
      </c>
      <c r="M1932" s="4" t="s">
        <v>11080</v>
      </c>
    </row>
    <row r="1933" spans="1:13">
      <c r="A1933" s="2">
        <v>5309</v>
      </c>
      <c r="B1933" s="2" t="s">
        <v>11081</v>
      </c>
      <c r="C1933" s="2">
        <v>10</v>
      </c>
      <c r="D1933" s="2">
        <v>556</v>
      </c>
      <c r="E1933" s="2">
        <v>200</v>
      </c>
      <c r="F1933" s="2">
        <v>32441</v>
      </c>
      <c r="G1933" s="2">
        <v>2.917356115</v>
      </c>
      <c r="H1933" s="2">
        <v>3.1496330000000002E-3</v>
      </c>
      <c r="I1933" s="2" t="s">
        <v>11082</v>
      </c>
      <c r="J1933" s="2" t="s">
        <v>11083</v>
      </c>
      <c r="K1933" s="2">
        <v>2.0592684999999999E-2</v>
      </c>
      <c r="L1933" s="2" t="s">
        <v>848</v>
      </c>
      <c r="M1933" s="4" t="s">
        <v>11084</v>
      </c>
    </row>
    <row r="1934" spans="1:13">
      <c r="A1934" s="2">
        <v>28721</v>
      </c>
      <c r="B1934" s="2" t="s">
        <v>11085</v>
      </c>
      <c r="C1934" s="2">
        <v>5</v>
      </c>
      <c r="D1934" s="2">
        <v>556</v>
      </c>
      <c r="E1934" s="2">
        <v>54</v>
      </c>
      <c r="F1934" s="2">
        <v>32441</v>
      </c>
      <c r="G1934" s="2">
        <v>5.4025113239999998</v>
      </c>
      <c r="H1934" s="2">
        <v>3.1596319999999999E-3</v>
      </c>
      <c r="I1934" s="2" t="s">
        <v>11086</v>
      </c>
      <c r="J1934" s="2" t="s">
        <v>11087</v>
      </c>
      <c r="K1934" s="2">
        <v>2.0635253999999999E-2</v>
      </c>
      <c r="L1934" s="2" t="s">
        <v>848</v>
      </c>
      <c r="M1934" s="4" t="s">
        <v>11088</v>
      </c>
    </row>
    <row r="1935" spans="1:13">
      <c r="A1935" s="2">
        <v>8071</v>
      </c>
      <c r="B1935" s="2" t="s">
        <v>11089</v>
      </c>
      <c r="C1935" s="2">
        <v>3</v>
      </c>
      <c r="D1935" s="2">
        <v>556</v>
      </c>
      <c r="E1935" s="2">
        <v>15</v>
      </c>
      <c r="F1935" s="2">
        <v>32441</v>
      </c>
      <c r="G1935" s="2">
        <v>11.66942446</v>
      </c>
      <c r="H1935" s="2">
        <v>3.2155880000000001E-3</v>
      </c>
      <c r="I1935" s="2" t="s">
        <v>10738</v>
      </c>
      <c r="J1935" s="2" t="s">
        <v>10739</v>
      </c>
      <c r="K1935" s="2">
        <v>2.0816886999999999E-2</v>
      </c>
      <c r="L1935" s="2" t="s">
        <v>848</v>
      </c>
      <c r="M1935" s="4" t="s">
        <v>11090</v>
      </c>
    </row>
    <row r="1936" spans="1:13">
      <c r="A1936" s="2">
        <v>1971</v>
      </c>
      <c r="B1936" s="2" t="s">
        <v>11091</v>
      </c>
      <c r="C1936" s="2">
        <v>3</v>
      </c>
      <c r="D1936" s="2">
        <v>556</v>
      </c>
      <c r="E1936" s="2">
        <v>15</v>
      </c>
      <c r="F1936" s="2">
        <v>32441</v>
      </c>
      <c r="G1936" s="2">
        <v>11.66942446</v>
      </c>
      <c r="H1936" s="2">
        <v>3.2155880000000001E-3</v>
      </c>
      <c r="I1936" s="2" t="s">
        <v>11092</v>
      </c>
      <c r="J1936" s="2" t="s">
        <v>11093</v>
      </c>
      <c r="K1936" s="2">
        <v>2.0816886999999999E-2</v>
      </c>
      <c r="L1936" s="2" t="s">
        <v>848</v>
      </c>
      <c r="M1936" s="4" t="s">
        <v>11094</v>
      </c>
    </row>
    <row r="1937" spans="1:13">
      <c r="A1937" s="2">
        <v>2524</v>
      </c>
      <c r="B1937" s="2" t="s">
        <v>11095</v>
      </c>
      <c r="C1937" s="2">
        <v>3</v>
      </c>
      <c r="D1937" s="2">
        <v>556</v>
      </c>
      <c r="E1937" s="2">
        <v>15</v>
      </c>
      <c r="F1937" s="2">
        <v>32441</v>
      </c>
      <c r="G1937" s="2">
        <v>11.66942446</v>
      </c>
      <c r="H1937" s="2">
        <v>3.2155880000000001E-3</v>
      </c>
      <c r="I1937" s="2" t="s">
        <v>11096</v>
      </c>
      <c r="J1937" s="2" t="s">
        <v>11097</v>
      </c>
      <c r="K1937" s="2">
        <v>2.0816886999999999E-2</v>
      </c>
      <c r="L1937" s="2" t="s">
        <v>848</v>
      </c>
      <c r="M1937" s="4" t="s">
        <v>11098</v>
      </c>
    </row>
    <row r="1938" spans="1:13">
      <c r="A1938" s="2">
        <v>2531</v>
      </c>
      <c r="B1938" s="2" t="s">
        <v>11099</v>
      </c>
      <c r="C1938" s="2">
        <v>3</v>
      </c>
      <c r="D1938" s="2">
        <v>556</v>
      </c>
      <c r="E1938" s="2">
        <v>15</v>
      </c>
      <c r="F1938" s="2">
        <v>32441</v>
      </c>
      <c r="G1938" s="2">
        <v>11.66942446</v>
      </c>
      <c r="H1938" s="2">
        <v>3.2155880000000001E-3</v>
      </c>
      <c r="I1938" s="2" t="s">
        <v>11100</v>
      </c>
      <c r="J1938" s="2" t="s">
        <v>11101</v>
      </c>
      <c r="K1938" s="2">
        <v>2.0816886999999999E-2</v>
      </c>
      <c r="L1938" s="2" t="s">
        <v>848</v>
      </c>
      <c r="M1938" s="4" t="s">
        <v>11102</v>
      </c>
    </row>
    <row r="1939" spans="1:13">
      <c r="A1939" s="2">
        <v>3174</v>
      </c>
      <c r="B1939" s="2" t="s">
        <v>11103</v>
      </c>
      <c r="C1939" s="2">
        <v>3</v>
      </c>
      <c r="D1939" s="2">
        <v>556</v>
      </c>
      <c r="E1939" s="2">
        <v>15</v>
      </c>
      <c r="F1939" s="2">
        <v>32441</v>
      </c>
      <c r="G1939" s="2">
        <v>11.66942446</v>
      </c>
      <c r="H1939" s="2">
        <v>3.2155880000000001E-3</v>
      </c>
      <c r="I1939" s="2" t="s">
        <v>11104</v>
      </c>
      <c r="J1939" s="2" t="s">
        <v>11105</v>
      </c>
      <c r="K1939" s="2">
        <v>2.0816886999999999E-2</v>
      </c>
      <c r="L1939" s="2" t="s">
        <v>848</v>
      </c>
      <c r="M1939" s="4" t="s">
        <v>11106</v>
      </c>
    </row>
    <row r="1940" spans="1:13">
      <c r="A1940" s="2">
        <v>3363</v>
      </c>
      <c r="B1940" s="2" t="s">
        <v>11107</v>
      </c>
      <c r="C1940" s="2">
        <v>3</v>
      </c>
      <c r="D1940" s="2">
        <v>556</v>
      </c>
      <c r="E1940" s="2">
        <v>15</v>
      </c>
      <c r="F1940" s="2">
        <v>32441</v>
      </c>
      <c r="G1940" s="2">
        <v>11.66942446</v>
      </c>
      <c r="H1940" s="2">
        <v>3.2155880000000001E-3</v>
      </c>
      <c r="I1940" s="2" t="s">
        <v>11108</v>
      </c>
      <c r="J1940" s="2" t="s">
        <v>11109</v>
      </c>
      <c r="K1940" s="2">
        <v>2.0816886999999999E-2</v>
      </c>
      <c r="L1940" s="2" t="s">
        <v>848</v>
      </c>
      <c r="M1940" s="4" t="s">
        <v>11110</v>
      </c>
    </row>
    <row r="1941" spans="1:13">
      <c r="A1941" s="2">
        <v>4245</v>
      </c>
      <c r="B1941" s="2" t="s">
        <v>11111</v>
      </c>
      <c r="C1941" s="2">
        <v>3</v>
      </c>
      <c r="D1941" s="2">
        <v>556</v>
      </c>
      <c r="E1941" s="2">
        <v>15</v>
      </c>
      <c r="F1941" s="2">
        <v>32441</v>
      </c>
      <c r="G1941" s="2">
        <v>11.66942446</v>
      </c>
      <c r="H1941" s="2">
        <v>3.2155880000000001E-3</v>
      </c>
      <c r="I1941" s="2" t="s">
        <v>11112</v>
      </c>
      <c r="J1941" s="2" t="s">
        <v>11113</v>
      </c>
      <c r="K1941" s="2">
        <v>2.0816886999999999E-2</v>
      </c>
      <c r="L1941" s="2" t="s">
        <v>848</v>
      </c>
      <c r="M1941" s="4" t="s">
        <v>11114</v>
      </c>
    </row>
    <row r="1942" spans="1:13">
      <c r="A1942" s="2">
        <v>5450</v>
      </c>
      <c r="B1942" s="2" t="s">
        <v>11115</v>
      </c>
      <c r="C1942" s="2">
        <v>3</v>
      </c>
      <c r="D1942" s="2">
        <v>556</v>
      </c>
      <c r="E1942" s="2">
        <v>15</v>
      </c>
      <c r="F1942" s="2">
        <v>32441</v>
      </c>
      <c r="G1942" s="2">
        <v>11.66942446</v>
      </c>
      <c r="H1942" s="2">
        <v>3.2155880000000001E-3</v>
      </c>
      <c r="I1942" s="2" t="s">
        <v>11116</v>
      </c>
      <c r="J1942" s="2" t="s">
        <v>11117</v>
      </c>
      <c r="K1942" s="2">
        <v>2.0816886999999999E-2</v>
      </c>
      <c r="L1942" s="2" t="s">
        <v>848</v>
      </c>
      <c r="M1942" s="4" t="s">
        <v>11118</v>
      </c>
    </row>
    <row r="1943" spans="1:13">
      <c r="A1943" s="2">
        <v>25661</v>
      </c>
      <c r="B1943" s="2" t="s">
        <v>11119</v>
      </c>
      <c r="C1943" s="2">
        <v>9</v>
      </c>
      <c r="D1943" s="2">
        <v>556</v>
      </c>
      <c r="E1943" s="2">
        <v>168</v>
      </c>
      <c r="F1943" s="2">
        <v>32441</v>
      </c>
      <c r="G1943" s="2">
        <v>3.1257386949999999</v>
      </c>
      <c r="H1943" s="2">
        <v>3.239259E-3</v>
      </c>
      <c r="I1943" s="2" t="s">
        <v>11120</v>
      </c>
      <c r="J1943" s="2" t="s">
        <v>11121</v>
      </c>
      <c r="K1943" s="2">
        <v>2.0947206999999999E-2</v>
      </c>
      <c r="L1943" s="2" t="s">
        <v>848</v>
      </c>
      <c r="M1943" s="4" t="s">
        <v>11122</v>
      </c>
    </row>
    <row r="1944" spans="1:13">
      <c r="A1944" s="2">
        <v>4287</v>
      </c>
      <c r="B1944" s="2" t="s">
        <v>11123</v>
      </c>
      <c r="C1944" s="2">
        <v>13</v>
      </c>
      <c r="D1944" s="2">
        <v>556</v>
      </c>
      <c r="E1944" s="2">
        <v>307</v>
      </c>
      <c r="F1944" s="2">
        <v>32441</v>
      </c>
      <c r="G1944" s="2">
        <v>2.4707250489999999</v>
      </c>
      <c r="H1944" s="2">
        <v>3.305438E-3</v>
      </c>
      <c r="I1944" s="2" t="s">
        <v>11124</v>
      </c>
      <c r="J1944" s="2" t="s">
        <v>11125</v>
      </c>
      <c r="K1944" s="2">
        <v>2.1351832000000001E-2</v>
      </c>
      <c r="L1944" s="2" t="s">
        <v>848</v>
      </c>
      <c r="M1944" s="4" t="s">
        <v>11126</v>
      </c>
    </row>
    <row r="1945" spans="1:13">
      <c r="A1945" s="2">
        <v>3191</v>
      </c>
      <c r="B1945" s="2" t="s">
        <v>11127</v>
      </c>
      <c r="C1945" s="2">
        <v>4</v>
      </c>
      <c r="D1945" s="2">
        <v>556</v>
      </c>
      <c r="E1945" s="2">
        <v>33</v>
      </c>
      <c r="F1945" s="2">
        <v>32441</v>
      </c>
      <c r="G1945" s="2">
        <v>7.0723784609999996</v>
      </c>
      <c r="H1945" s="2">
        <v>3.390306E-3</v>
      </c>
      <c r="I1945" s="2" t="s">
        <v>11128</v>
      </c>
      <c r="J1945" s="2" t="s">
        <v>11129</v>
      </c>
      <c r="K1945" s="2">
        <v>2.1876163000000001E-2</v>
      </c>
      <c r="L1945" s="2" t="s">
        <v>848</v>
      </c>
      <c r="M1945" s="4" t="s">
        <v>11130</v>
      </c>
    </row>
    <row r="1946" spans="1:13">
      <c r="A1946" s="2">
        <v>2989</v>
      </c>
      <c r="B1946" s="2" t="s">
        <v>11131</v>
      </c>
      <c r="C1946" s="2">
        <v>12</v>
      </c>
      <c r="D1946" s="2">
        <v>556</v>
      </c>
      <c r="E1946" s="2">
        <v>272</v>
      </c>
      <c r="F1946" s="2">
        <v>32441</v>
      </c>
      <c r="G1946" s="2">
        <v>2.5741377490000001</v>
      </c>
      <c r="H1946" s="2">
        <v>3.4191389999999999E-3</v>
      </c>
      <c r="I1946" s="2" t="s">
        <v>11132</v>
      </c>
      <c r="J1946" s="2" t="s">
        <v>11133</v>
      </c>
      <c r="K1946" s="2">
        <v>2.2038176E-2</v>
      </c>
      <c r="L1946" s="2" t="s">
        <v>848</v>
      </c>
      <c r="M1946" s="4" t="s">
        <v>11134</v>
      </c>
    </row>
    <row r="1947" spans="1:13">
      <c r="A1947" s="2">
        <v>28701</v>
      </c>
      <c r="B1947" s="2" t="s">
        <v>11135</v>
      </c>
      <c r="C1947" s="2">
        <v>6</v>
      </c>
      <c r="D1947" s="2">
        <v>556</v>
      </c>
      <c r="E1947" s="2">
        <v>81</v>
      </c>
      <c r="F1947" s="2">
        <v>32441</v>
      </c>
      <c r="G1947" s="2">
        <v>4.322009059</v>
      </c>
      <c r="H1947" s="2">
        <v>3.5572690000000001E-3</v>
      </c>
      <c r="I1947" s="2" t="s">
        <v>11136</v>
      </c>
      <c r="J1947" s="2" t="s">
        <v>11137</v>
      </c>
      <c r="K1947" s="2">
        <v>2.2878652999999999E-2</v>
      </c>
      <c r="L1947" s="2" t="s">
        <v>848</v>
      </c>
      <c r="M1947" s="4" t="s">
        <v>11138</v>
      </c>
    </row>
    <row r="1948" spans="1:13">
      <c r="A1948" s="2">
        <v>4057</v>
      </c>
      <c r="B1948" s="2" t="s">
        <v>11139</v>
      </c>
      <c r="C1948" s="2">
        <v>6</v>
      </c>
      <c r="D1948" s="2">
        <v>556</v>
      </c>
      <c r="E1948" s="2">
        <v>81</v>
      </c>
      <c r="F1948" s="2">
        <v>32441</v>
      </c>
      <c r="G1948" s="2">
        <v>4.322009059</v>
      </c>
      <c r="H1948" s="2">
        <v>3.5572690000000001E-3</v>
      </c>
      <c r="I1948" s="2" t="s">
        <v>10630</v>
      </c>
      <c r="J1948" s="2" t="s">
        <v>10631</v>
      </c>
      <c r="K1948" s="2">
        <v>2.2878652999999999E-2</v>
      </c>
      <c r="L1948" s="2" t="s">
        <v>848</v>
      </c>
      <c r="M1948" s="4" t="s">
        <v>11140</v>
      </c>
    </row>
    <row r="1949" spans="1:13">
      <c r="A1949" s="2">
        <v>821</v>
      </c>
      <c r="B1949" s="2" t="s">
        <v>11141</v>
      </c>
      <c r="C1949" s="2">
        <v>9</v>
      </c>
      <c r="D1949" s="2">
        <v>556</v>
      </c>
      <c r="E1949" s="2">
        <v>171</v>
      </c>
      <c r="F1949" s="2">
        <v>32441</v>
      </c>
      <c r="G1949" s="2">
        <v>3.0709011739999998</v>
      </c>
      <c r="H1949" s="2">
        <v>3.6191539999999999E-3</v>
      </c>
      <c r="I1949" s="2" t="s">
        <v>11142</v>
      </c>
      <c r="J1949" s="2" t="s">
        <v>11143</v>
      </c>
      <c r="K1949" s="2">
        <v>2.3251391999999999E-2</v>
      </c>
      <c r="L1949" s="2" t="s">
        <v>848</v>
      </c>
      <c r="M1949" s="4" t="s">
        <v>11144</v>
      </c>
    </row>
    <row r="1950" spans="1:13">
      <c r="A1950" s="2">
        <v>2262</v>
      </c>
      <c r="B1950" s="2" t="s">
        <v>11145</v>
      </c>
      <c r="C1950" s="2">
        <v>15</v>
      </c>
      <c r="D1950" s="2">
        <v>556</v>
      </c>
      <c r="E1950" s="2">
        <v>387</v>
      </c>
      <c r="F1950" s="2">
        <v>32441</v>
      </c>
      <c r="G1950" s="2">
        <v>2.2615163680000001</v>
      </c>
      <c r="H1950" s="2">
        <v>3.7194950000000002E-3</v>
      </c>
      <c r="I1950" s="2" t="s">
        <v>11146</v>
      </c>
      <c r="J1950" s="2" t="s">
        <v>11147</v>
      </c>
      <c r="K1950" s="2">
        <v>2.3870121000000001E-2</v>
      </c>
      <c r="L1950" s="2" t="s">
        <v>848</v>
      </c>
      <c r="M1950" s="4" t="s">
        <v>11148</v>
      </c>
    </row>
    <row r="1951" spans="1:13">
      <c r="A1951" s="2">
        <v>4382</v>
      </c>
      <c r="B1951" s="2" t="s">
        <v>11149</v>
      </c>
      <c r="C1951" s="2">
        <v>4</v>
      </c>
      <c r="D1951" s="2">
        <v>556</v>
      </c>
      <c r="E1951" s="2">
        <v>34</v>
      </c>
      <c r="F1951" s="2">
        <v>32441</v>
      </c>
      <c r="G1951" s="2">
        <v>6.8643673300000003</v>
      </c>
      <c r="H1951" s="2">
        <v>3.739399E-3</v>
      </c>
      <c r="I1951" s="2" t="s">
        <v>11150</v>
      </c>
      <c r="J1951" s="2" t="s">
        <v>11151</v>
      </c>
      <c r="K1951" s="2">
        <v>2.3916073999999999E-2</v>
      </c>
      <c r="L1951" s="2" t="s">
        <v>848</v>
      </c>
      <c r="M1951" s="4" t="s">
        <v>11152</v>
      </c>
    </row>
    <row r="1952" spans="1:13">
      <c r="A1952" s="2">
        <v>1331</v>
      </c>
      <c r="B1952" s="2" t="s">
        <v>11153</v>
      </c>
      <c r="C1952" s="2">
        <v>3</v>
      </c>
      <c r="D1952" s="2">
        <v>556</v>
      </c>
      <c r="E1952" s="2">
        <v>16</v>
      </c>
      <c r="F1952" s="2">
        <v>32441</v>
      </c>
      <c r="G1952" s="2">
        <v>10.94008543</v>
      </c>
      <c r="H1952" s="2">
        <v>3.771117E-3</v>
      </c>
      <c r="I1952" s="2" t="s">
        <v>11154</v>
      </c>
      <c r="J1952" s="2" t="s">
        <v>11155</v>
      </c>
      <c r="K1952" s="2">
        <v>2.3916073999999999E-2</v>
      </c>
      <c r="L1952" s="2" t="s">
        <v>848</v>
      </c>
      <c r="M1952" s="4" t="s">
        <v>11156</v>
      </c>
    </row>
    <row r="1953" spans="1:13">
      <c r="A1953" s="2">
        <v>1525</v>
      </c>
      <c r="B1953" s="2" t="s">
        <v>11157</v>
      </c>
      <c r="C1953" s="2">
        <v>3</v>
      </c>
      <c r="D1953" s="2">
        <v>556</v>
      </c>
      <c r="E1953" s="2">
        <v>16</v>
      </c>
      <c r="F1953" s="2">
        <v>32441</v>
      </c>
      <c r="G1953" s="2">
        <v>10.94008543</v>
      </c>
      <c r="H1953" s="2">
        <v>3.771117E-3</v>
      </c>
      <c r="I1953" s="2" t="s">
        <v>11158</v>
      </c>
      <c r="J1953" s="2" t="s">
        <v>11159</v>
      </c>
      <c r="K1953" s="2">
        <v>2.3916073999999999E-2</v>
      </c>
      <c r="L1953" s="2" t="s">
        <v>848</v>
      </c>
      <c r="M1953" s="4" t="s">
        <v>11160</v>
      </c>
    </row>
    <row r="1954" spans="1:13">
      <c r="A1954" s="2">
        <v>1635</v>
      </c>
      <c r="B1954" s="2" t="s">
        <v>11161</v>
      </c>
      <c r="C1954" s="2">
        <v>4</v>
      </c>
      <c r="D1954" s="2">
        <v>556</v>
      </c>
      <c r="E1954" s="2">
        <v>34</v>
      </c>
      <c r="F1954" s="2">
        <v>32441</v>
      </c>
      <c r="G1954" s="2">
        <v>6.8643673300000003</v>
      </c>
      <c r="H1954" s="2">
        <v>3.739399E-3</v>
      </c>
      <c r="I1954" s="2" t="s">
        <v>10696</v>
      </c>
      <c r="J1954" s="2" t="s">
        <v>10697</v>
      </c>
      <c r="K1954" s="2">
        <v>2.3916073999999999E-2</v>
      </c>
      <c r="L1954" s="2" t="s">
        <v>848</v>
      </c>
      <c r="M1954" s="4" t="s">
        <v>11162</v>
      </c>
    </row>
    <row r="1955" spans="1:13">
      <c r="A1955" s="2">
        <v>2069</v>
      </c>
      <c r="B1955" s="2" t="s">
        <v>11163</v>
      </c>
      <c r="C1955" s="2">
        <v>3</v>
      </c>
      <c r="D1955" s="2">
        <v>556</v>
      </c>
      <c r="E1955" s="2">
        <v>16</v>
      </c>
      <c r="F1955" s="2">
        <v>32441</v>
      </c>
      <c r="G1955" s="2">
        <v>10.94008543</v>
      </c>
      <c r="H1955" s="2">
        <v>3.771117E-3</v>
      </c>
      <c r="I1955" s="2" t="s">
        <v>11164</v>
      </c>
      <c r="J1955" s="2" t="s">
        <v>11165</v>
      </c>
      <c r="K1955" s="2">
        <v>2.3916073999999999E-2</v>
      </c>
      <c r="L1955" s="2" t="s">
        <v>848</v>
      </c>
      <c r="M1955" s="4" t="s">
        <v>11166</v>
      </c>
    </row>
    <row r="1956" spans="1:13">
      <c r="A1956" s="2">
        <v>2245</v>
      </c>
      <c r="B1956" s="2" t="s">
        <v>11167</v>
      </c>
      <c r="C1956" s="2">
        <v>9</v>
      </c>
      <c r="D1956" s="2">
        <v>556</v>
      </c>
      <c r="E1956" s="2">
        <v>172</v>
      </c>
      <c r="F1956" s="2">
        <v>32441</v>
      </c>
      <c r="G1956" s="2">
        <v>3.0530470969999999</v>
      </c>
      <c r="H1956" s="2">
        <v>3.7532630000000002E-3</v>
      </c>
      <c r="I1956" s="2" t="s">
        <v>11168</v>
      </c>
      <c r="J1956" s="2" t="s">
        <v>11169</v>
      </c>
      <c r="K1956" s="2">
        <v>2.3916073999999999E-2</v>
      </c>
      <c r="L1956" s="2" t="s">
        <v>848</v>
      </c>
      <c r="M1956" s="4" t="s">
        <v>11170</v>
      </c>
    </row>
    <row r="1957" spans="1:13">
      <c r="A1957" s="2">
        <v>3301</v>
      </c>
      <c r="B1957" s="2" t="s">
        <v>11171</v>
      </c>
      <c r="C1957" s="2">
        <v>3</v>
      </c>
      <c r="D1957" s="2">
        <v>556</v>
      </c>
      <c r="E1957" s="2">
        <v>16</v>
      </c>
      <c r="F1957" s="2">
        <v>32441</v>
      </c>
      <c r="G1957" s="2">
        <v>10.94008543</v>
      </c>
      <c r="H1957" s="2">
        <v>3.771117E-3</v>
      </c>
      <c r="I1957" s="2" t="s">
        <v>10864</v>
      </c>
      <c r="J1957" s="2" t="s">
        <v>10865</v>
      </c>
      <c r="K1957" s="2">
        <v>2.3916073999999999E-2</v>
      </c>
      <c r="L1957" s="2" t="s">
        <v>848</v>
      </c>
      <c r="M1957" s="4" t="s">
        <v>11172</v>
      </c>
    </row>
    <row r="1958" spans="1:13">
      <c r="A1958" s="2">
        <v>33791</v>
      </c>
      <c r="B1958" s="2" t="s">
        <v>11173</v>
      </c>
      <c r="C1958" s="2">
        <v>3</v>
      </c>
      <c r="D1958" s="2">
        <v>556</v>
      </c>
      <c r="E1958" s="2">
        <v>16</v>
      </c>
      <c r="F1958" s="2">
        <v>32441</v>
      </c>
      <c r="G1958" s="2">
        <v>10.94008543</v>
      </c>
      <c r="H1958" s="2">
        <v>3.771117E-3</v>
      </c>
      <c r="I1958" s="2" t="s">
        <v>11174</v>
      </c>
      <c r="J1958" s="2" t="s">
        <v>11175</v>
      </c>
      <c r="K1958" s="2">
        <v>2.3916073999999999E-2</v>
      </c>
      <c r="L1958" s="2" t="s">
        <v>848</v>
      </c>
      <c r="M1958" s="4" t="s">
        <v>11176</v>
      </c>
    </row>
    <row r="1959" spans="1:13">
      <c r="A1959" s="2">
        <v>4447</v>
      </c>
      <c r="B1959" s="2" t="s">
        <v>11177</v>
      </c>
      <c r="C1959" s="2">
        <v>3</v>
      </c>
      <c r="D1959" s="2">
        <v>556</v>
      </c>
      <c r="E1959" s="2">
        <v>16</v>
      </c>
      <c r="F1959" s="2">
        <v>32441</v>
      </c>
      <c r="G1959" s="2">
        <v>10.94008543</v>
      </c>
      <c r="H1959" s="2">
        <v>3.771117E-3</v>
      </c>
      <c r="I1959" s="2" t="s">
        <v>6174</v>
      </c>
      <c r="J1959" s="2" t="s">
        <v>6175</v>
      </c>
      <c r="K1959" s="2">
        <v>2.3916073999999999E-2</v>
      </c>
      <c r="L1959" s="2" t="s">
        <v>848</v>
      </c>
      <c r="M1959" s="4" t="s">
        <v>11178</v>
      </c>
    </row>
    <row r="1960" spans="1:13">
      <c r="A1960" s="2">
        <v>5594</v>
      </c>
      <c r="B1960" s="2" t="s">
        <v>11179</v>
      </c>
      <c r="C1960" s="2">
        <v>3</v>
      </c>
      <c r="D1960" s="2">
        <v>556</v>
      </c>
      <c r="E1960" s="2">
        <v>16</v>
      </c>
      <c r="F1960" s="2">
        <v>32441</v>
      </c>
      <c r="G1960" s="2">
        <v>10.94008543</v>
      </c>
      <c r="H1960" s="2">
        <v>3.771117E-3</v>
      </c>
      <c r="I1960" s="2" t="s">
        <v>11180</v>
      </c>
      <c r="J1960" s="2" t="s">
        <v>11181</v>
      </c>
      <c r="K1960" s="2">
        <v>2.3916073999999999E-2</v>
      </c>
      <c r="L1960" s="2" t="s">
        <v>848</v>
      </c>
      <c r="M1960" s="4" t="s">
        <v>11182</v>
      </c>
    </row>
    <row r="1961" spans="1:13">
      <c r="A1961" s="2">
        <v>5719</v>
      </c>
      <c r="B1961" s="2" t="s">
        <v>11183</v>
      </c>
      <c r="C1961" s="2">
        <v>3</v>
      </c>
      <c r="D1961" s="2">
        <v>556</v>
      </c>
      <c r="E1961" s="2">
        <v>16</v>
      </c>
      <c r="F1961" s="2">
        <v>32441</v>
      </c>
      <c r="G1961" s="2">
        <v>10.94008543</v>
      </c>
      <c r="H1961" s="2">
        <v>3.771117E-3</v>
      </c>
      <c r="I1961" s="2" t="s">
        <v>11184</v>
      </c>
      <c r="J1961" s="2" t="s">
        <v>11185</v>
      </c>
      <c r="K1961" s="2">
        <v>2.3916073999999999E-2</v>
      </c>
      <c r="L1961" s="2" t="s">
        <v>848</v>
      </c>
      <c r="M1961" s="4" t="s">
        <v>11186</v>
      </c>
    </row>
    <row r="1962" spans="1:13">
      <c r="A1962" s="2">
        <v>36681</v>
      </c>
      <c r="B1962" s="2" t="s">
        <v>11187</v>
      </c>
      <c r="C1962" s="2">
        <v>8</v>
      </c>
      <c r="D1962" s="2">
        <v>556</v>
      </c>
      <c r="E1962" s="2">
        <v>141</v>
      </c>
      <c r="F1962" s="2">
        <v>32441</v>
      </c>
      <c r="G1962" s="2">
        <v>3.310475024</v>
      </c>
      <c r="H1962" s="2">
        <v>3.8819420000000002E-3</v>
      </c>
      <c r="I1962" s="2" t="s">
        <v>11188</v>
      </c>
      <c r="J1962" s="2" t="s">
        <v>11189</v>
      </c>
      <c r="K1962" s="2">
        <v>2.4592559E-2</v>
      </c>
      <c r="L1962" s="2" t="s">
        <v>848</v>
      </c>
      <c r="M1962" s="4" t="s">
        <v>11190</v>
      </c>
    </row>
    <row r="1963" spans="1:13">
      <c r="A1963" s="2">
        <v>2672</v>
      </c>
      <c r="B1963" s="2" t="s">
        <v>11191</v>
      </c>
      <c r="C1963" s="2">
        <v>6</v>
      </c>
      <c r="D1963" s="2">
        <v>556</v>
      </c>
      <c r="E1963" s="2">
        <v>83</v>
      </c>
      <c r="F1963" s="2">
        <v>32441</v>
      </c>
      <c r="G1963" s="2">
        <v>4.2178642630000001</v>
      </c>
      <c r="H1963" s="2">
        <v>3.9803060000000003E-3</v>
      </c>
      <c r="I1963" s="2" t="s">
        <v>11192</v>
      </c>
      <c r="J1963" s="2" t="s">
        <v>11193</v>
      </c>
      <c r="K1963" s="2">
        <v>2.5188741000000001E-2</v>
      </c>
      <c r="L1963" s="2" t="s">
        <v>848</v>
      </c>
      <c r="M1963" s="4" t="s">
        <v>11194</v>
      </c>
    </row>
    <row r="1964" spans="1:13">
      <c r="A1964" s="2">
        <v>4056</v>
      </c>
      <c r="B1964" s="2" t="s">
        <v>11195</v>
      </c>
      <c r="C1964" s="2">
        <v>14</v>
      </c>
      <c r="D1964" s="2">
        <v>556</v>
      </c>
      <c r="E1964" s="2">
        <v>352</v>
      </c>
      <c r="F1964" s="2">
        <v>32441</v>
      </c>
      <c r="G1964" s="2">
        <v>2.320624182</v>
      </c>
      <c r="H1964" s="2">
        <v>4.0094459999999998E-3</v>
      </c>
      <c r="I1964" s="2" t="s">
        <v>11196</v>
      </c>
      <c r="J1964" s="2" t="s">
        <v>11197</v>
      </c>
      <c r="K1964" s="2">
        <v>2.5346036999999998E-2</v>
      </c>
      <c r="L1964" s="2" t="s">
        <v>848</v>
      </c>
      <c r="M1964" s="4" t="s">
        <v>11198</v>
      </c>
    </row>
    <row r="1965" spans="1:13">
      <c r="A1965" s="2">
        <v>2588</v>
      </c>
      <c r="B1965" s="2" t="s">
        <v>11199</v>
      </c>
      <c r="C1965" s="2">
        <v>17</v>
      </c>
      <c r="D1965" s="2">
        <v>556</v>
      </c>
      <c r="E1965" s="2">
        <v>469</v>
      </c>
      <c r="F1965" s="2">
        <v>32441</v>
      </c>
      <c r="G1965" s="2">
        <v>2.114927674</v>
      </c>
      <c r="H1965" s="2">
        <v>4.0158160000000002E-3</v>
      </c>
      <c r="I1965" s="2" t="s">
        <v>11200</v>
      </c>
      <c r="J1965" s="2" t="s">
        <v>11201</v>
      </c>
      <c r="K1965" s="2">
        <v>2.5359215000000001E-2</v>
      </c>
      <c r="L1965" s="2" t="s">
        <v>848</v>
      </c>
      <c r="M1965" s="4" t="s">
        <v>11202</v>
      </c>
    </row>
    <row r="1966" spans="1:13">
      <c r="A1966" s="2">
        <v>4225</v>
      </c>
      <c r="B1966" s="2" t="s">
        <v>11203</v>
      </c>
      <c r="C1966" s="2">
        <v>10</v>
      </c>
      <c r="D1966" s="2">
        <v>556</v>
      </c>
      <c r="E1966" s="2">
        <v>208</v>
      </c>
      <c r="F1966" s="2">
        <v>32441</v>
      </c>
      <c r="G1966" s="2">
        <v>2.8051501110000001</v>
      </c>
      <c r="H1966" s="2">
        <v>4.1013550000000001E-3</v>
      </c>
      <c r="I1966" s="2" t="s">
        <v>11204</v>
      </c>
      <c r="J1966" s="2" t="s">
        <v>11205</v>
      </c>
      <c r="K1966" s="2">
        <v>2.5871768999999999E-2</v>
      </c>
      <c r="L1966" s="2" t="s">
        <v>848</v>
      </c>
      <c r="M1966" s="4" t="s">
        <v>11206</v>
      </c>
    </row>
    <row r="1967" spans="1:13">
      <c r="A1967" s="2">
        <v>7621</v>
      </c>
      <c r="B1967" s="2" t="s">
        <v>11207</v>
      </c>
      <c r="C1967" s="2">
        <v>4</v>
      </c>
      <c r="D1967" s="2">
        <v>556</v>
      </c>
      <c r="E1967" s="2">
        <v>35</v>
      </c>
      <c r="F1967" s="2">
        <v>32441</v>
      </c>
      <c r="G1967" s="2">
        <v>6.6682425490000004</v>
      </c>
      <c r="H1967" s="2">
        <v>4.1120669999999996E-3</v>
      </c>
      <c r="I1967" s="2" t="s">
        <v>11208</v>
      </c>
      <c r="J1967" s="2" t="s">
        <v>11209</v>
      </c>
      <c r="K1967" s="2">
        <v>2.5884152000000001E-2</v>
      </c>
      <c r="L1967" s="2" t="s">
        <v>848</v>
      </c>
      <c r="M1967" s="4" t="s">
        <v>11210</v>
      </c>
    </row>
    <row r="1968" spans="1:13">
      <c r="A1968" s="2">
        <v>1493</v>
      </c>
      <c r="B1968" s="2" t="s">
        <v>11211</v>
      </c>
      <c r="C1968" s="2">
        <v>4</v>
      </c>
      <c r="D1968" s="2">
        <v>556</v>
      </c>
      <c r="E1968" s="2">
        <v>35</v>
      </c>
      <c r="F1968" s="2">
        <v>32441</v>
      </c>
      <c r="G1968" s="2">
        <v>6.6682425490000004</v>
      </c>
      <c r="H1968" s="2">
        <v>4.1120669999999996E-3</v>
      </c>
      <c r="I1968" s="2" t="s">
        <v>11212</v>
      </c>
      <c r="J1968" s="2" t="s">
        <v>11213</v>
      </c>
      <c r="K1968" s="2">
        <v>2.5884152000000001E-2</v>
      </c>
      <c r="L1968" s="2" t="s">
        <v>848</v>
      </c>
      <c r="M1968" s="4" t="s">
        <v>11214</v>
      </c>
    </row>
    <row r="1969" spans="1:13">
      <c r="A1969" s="2">
        <v>30591</v>
      </c>
      <c r="B1969" s="2" t="s">
        <v>11215</v>
      </c>
      <c r="C1969" s="2">
        <v>5</v>
      </c>
      <c r="D1969" s="2">
        <v>556</v>
      </c>
      <c r="E1969" s="2">
        <v>58</v>
      </c>
      <c r="F1969" s="2">
        <v>32441</v>
      </c>
      <c r="G1969" s="2">
        <v>5.0299243359999997</v>
      </c>
      <c r="H1969" s="2">
        <v>4.1996059999999998E-3</v>
      </c>
      <c r="I1969" s="2" t="s">
        <v>11216</v>
      </c>
      <c r="J1969" s="2" t="s">
        <v>11217</v>
      </c>
      <c r="K1969" s="2">
        <v>2.6379054999999998E-2</v>
      </c>
      <c r="L1969" s="2" t="s">
        <v>848</v>
      </c>
      <c r="M1969" s="4" t="s">
        <v>11218</v>
      </c>
    </row>
    <row r="1970" spans="1:13">
      <c r="A1970" s="2">
        <v>4860</v>
      </c>
      <c r="B1970" s="2" t="s">
        <v>11219</v>
      </c>
      <c r="C1970" s="2">
        <v>5</v>
      </c>
      <c r="D1970" s="2">
        <v>556</v>
      </c>
      <c r="E1970" s="2">
        <v>58</v>
      </c>
      <c r="F1970" s="2">
        <v>32441</v>
      </c>
      <c r="G1970" s="2">
        <v>5.0299243359999997</v>
      </c>
      <c r="H1970" s="2">
        <v>4.1996059999999998E-3</v>
      </c>
      <c r="I1970" s="2" t="s">
        <v>11220</v>
      </c>
      <c r="J1970" s="2" t="s">
        <v>11221</v>
      </c>
      <c r="K1970" s="2">
        <v>2.6379054999999998E-2</v>
      </c>
      <c r="L1970" s="2" t="s">
        <v>848</v>
      </c>
      <c r="M1970" s="4" t="s">
        <v>11222</v>
      </c>
    </row>
    <row r="1971" spans="1:13">
      <c r="A1971" s="2">
        <v>1896</v>
      </c>
      <c r="B1971" s="2" t="s">
        <v>11223</v>
      </c>
      <c r="C1971" s="2">
        <v>8</v>
      </c>
      <c r="D1971" s="2">
        <v>556</v>
      </c>
      <c r="E1971" s="2">
        <v>143</v>
      </c>
      <c r="F1971" s="2">
        <v>32441</v>
      </c>
      <c r="G1971" s="2">
        <v>3.2641746739999999</v>
      </c>
      <c r="H1971" s="2">
        <v>4.2066480000000003E-3</v>
      </c>
      <c r="I1971" s="2" t="s">
        <v>11224</v>
      </c>
      <c r="J1971" s="2" t="s">
        <v>11225</v>
      </c>
      <c r="K1971" s="2">
        <v>2.6395268E-2</v>
      </c>
      <c r="L1971" s="2" t="s">
        <v>848</v>
      </c>
      <c r="M1971" s="4" t="s">
        <v>11226</v>
      </c>
    </row>
    <row r="1972" spans="1:13">
      <c r="A1972" s="2">
        <v>19541</v>
      </c>
      <c r="B1972" s="2" t="s">
        <v>11227</v>
      </c>
      <c r="C1972" s="2">
        <v>10</v>
      </c>
      <c r="D1972" s="2">
        <v>556</v>
      </c>
      <c r="E1972" s="2">
        <v>209</v>
      </c>
      <c r="F1972" s="2">
        <v>32441</v>
      </c>
      <c r="G1972" s="2">
        <v>2.7917283400000001</v>
      </c>
      <c r="H1972" s="2">
        <v>4.2347469999999996E-3</v>
      </c>
      <c r="I1972" s="2" t="s">
        <v>11228</v>
      </c>
      <c r="J1972" s="2" t="s">
        <v>11229</v>
      </c>
      <c r="K1972" s="2">
        <v>2.654343E-2</v>
      </c>
      <c r="L1972" s="2" t="s">
        <v>848</v>
      </c>
      <c r="M1972" s="4" t="s">
        <v>11230</v>
      </c>
    </row>
    <row r="1973" spans="1:13">
      <c r="A1973" s="2">
        <v>678</v>
      </c>
      <c r="B1973" s="2" t="s">
        <v>11231</v>
      </c>
      <c r="C1973" s="2">
        <v>3</v>
      </c>
      <c r="D1973" s="2">
        <v>556</v>
      </c>
      <c r="E1973" s="2">
        <v>17</v>
      </c>
      <c r="F1973" s="2">
        <v>32441</v>
      </c>
      <c r="G1973" s="2">
        <v>10.29655099</v>
      </c>
      <c r="H1973" s="2">
        <v>4.3815900000000003E-3</v>
      </c>
      <c r="I1973" s="2" t="s">
        <v>11232</v>
      </c>
      <c r="J1973" s="2" t="s">
        <v>11233</v>
      </c>
      <c r="K1973" s="2">
        <v>2.7290386999999999E-2</v>
      </c>
      <c r="L1973" s="2" t="s">
        <v>848</v>
      </c>
      <c r="M1973" s="4" t="s">
        <v>11234</v>
      </c>
    </row>
    <row r="1974" spans="1:13">
      <c r="A1974" s="2">
        <v>818</v>
      </c>
      <c r="B1974" s="2" t="s">
        <v>11235</v>
      </c>
      <c r="C1974" s="2">
        <v>3</v>
      </c>
      <c r="D1974" s="2">
        <v>556</v>
      </c>
      <c r="E1974" s="2">
        <v>17</v>
      </c>
      <c r="F1974" s="2">
        <v>32441</v>
      </c>
      <c r="G1974" s="2">
        <v>10.29655099</v>
      </c>
      <c r="H1974" s="2">
        <v>4.3815900000000003E-3</v>
      </c>
      <c r="I1974" s="2" t="s">
        <v>11236</v>
      </c>
      <c r="J1974" s="2" t="s">
        <v>11237</v>
      </c>
      <c r="K1974" s="2">
        <v>2.7290386999999999E-2</v>
      </c>
      <c r="L1974" s="2" t="s">
        <v>848</v>
      </c>
      <c r="M1974" s="4" t="s">
        <v>11238</v>
      </c>
    </row>
    <row r="1975" spans="1:13">
      <c r="A1975" s="2">
        <v>2155</v>
      </c>
      <c r="B1975" s="2" t="s">
        <v>11239</v>
      </c>
      <c r="C1975" s="2">
        <v>3</v>
      </c>
      <c r="D1975" s="2">
        <v>556</v>
      </c>
      <c r="E1975" s="2">
        <v>17</v>
      </c>
      <c r="F1975" s="2">
        <v>32441</v>
      </c>
      <c r="G1975" s="2">
        <v>10.29655099</v>
      </c>
      <c r="H1975" s="2">
        <v>4.3815900000000003E-3</v>
      </c>
      <c r="I1975" s="2" t="s">
        <v>11240</v>
      </c>
      <c r="J1975" s="2" t="s">
        <v>11241</v>
      </c>
      <c r="K1975" s="2">
        <v>2.7290386999999999E-2</v>
      </c>
      <c r="L1975" s="2" t="s">
        <v>848</v>
      </c>
      <c r="M1975" s="4" t="s">
        <v>11242</v>
      </c>
    </row>
    <row r="1976" spans="1:13">
      <c r="A1976" s="2">
        <v>2682</v>
      </c>
      <c r="B1976" s="2" t="s">
        <v>11243</v>
      </c>
      <c r="C1976" s="2">
        <v>8</v>
      </c>
      <c r="D1976" s="2">
        <v>556</v>
      </c>
      <c r="E1976" s="2">
        <v>144</v>
      </c>
      <c r="F1976" s="2">
        <v>32441</v>
      </c>
      <c r="G1976" s="2">
        <v>3.2415067949999998</v>
      </c>
      <c r="H1976" s="2">
        <v>4.3766450000000002E-3</v>
      </c>
      <c r="I1976" s="2" t="s">
        <v>11244</v>
      </c>
      <c r="J1976" s="2" t="s">
        <v>11245</v>
      </c>
      <c r="K1976" s="2">
        <v>2.7290386999999999E-2</v>
      </c>
      <c r="L1976" s="2" t="s">
        <v>848</v>
      </c>
      <c r="M1976" s="4" t="s">
        <v>11246</v>
      </c>
    </row>
    <row r="1977" spans="1:13">
      <c r="A1977" s="2">
        <v>2969</v>
      </c>
      <c r="B1977" s="2" t="s">
        <v>11247</v>
      </c>
      <c r="C1977" s="2">
        <v>3</v>
      </c>
      <c r="D1977" s="2">
        <v>556</v>
      </c>
      <c r="E1977" s="2">
        <v>17</v>
      </c>
      <c r="F1977" s="2">
        <v>32441</v>
      </c>
      <c r="G1977" s="2">
        <v>10.29655099</v>
      </c>
      <c r="H1977" s="2">
        <v>4.3815900000000003E-3</v>
      </c>
      <c r="I1977" s="2" t="s">
        <v>11248</v>
      </c>
      <c r="J1977" s="2" t="s">
        <v>11249</v>
      </c>
      <c r="K1977" s="2">
        <v>2.7290386999999999E-2</v>
      </c>
      <c r="L1977" s="2" t="s">
        <v>848</v>
      </c>
      <c r="M1977" s="4" t="s">
        <v>11250</v>
      </c>
    </row>
    <row r="1978" spans="1:13">
      <c r="A1978" s="2">
        <v>4032</v>
      </c>
      <c r="B1978" s="2" t="s">
        <v>11251</v>
      </c>
      <c r="C1978" s="2">
        <v>3</v>
      </c>
      <c r="D1978" s="2">
        <v>556</v>
      </c>
      <c r="E1978" s="2">
        <v>17</v>
      </c>
      <c r="F1978" s="2">
        <v>32441</v>
      </c>
      <c r="G1978" s="2">
        <v>10.29655099</v>
      </c>
      <c r="H1978" s="2">
        <v>4.3815900000000003E-3</v>
      </c>
      <c r="I1978" s="2" t="s">
        <v>11252</v>
      </c>
      <c r="J1978" s="2" t="s">
        <v>11253</v>
      </c>
      <c r="K1978" s="2">
        <v>2.7290386999999999E-2</v>
      </c>
      <c r="L1978" s="2" t="s">
        <v>848</v>
      </c>
      <c r="M1978" s="4" t="s">
        <v>11254</v>
      </c>
    </row>
    <row r="1979" spans="1:13">
      <c r="A1979" s="2">
        <v>242</v>
      </c>
      <c r="B1979" s="2" t="s">
        <v>11255</v>
      </c>
      <c r="C1979" s="2">
        <v>40</v>
      </c>
      <c r="D1979" s="2">
        <v>556</v>
      </c>
      <c r="E1979" s="2">
        <v>1493</v>
      </c>
      <c r="F1979" s="2">
        <v>32441</v>
      </c>
      <c r="G1979" s="2">
        <v>1.5632182800000001</v>
      </c>
      <c r="H1979" s="2">
        <v>4.4489109999999998E-3</v>
      </c>
      <c r="I1979" s="2" t="s">
        <v>11256</v>
      </c>
      <c r="J1979" s="2" t="s">
        <v>11257</v>
      </c>
      <c r="K1979" s="2">
        <v>2.7680553E-2</v>
      </c>
      <c r="L1979" s="2" t="s">
        <v>848</v>
      </c>
      <c r="M1979" s="4" t="s">
        <v>11258</v>
      </c>
    </row>
    <row r="1980" spans="1:13">
      <c r="A1980" s="2">
        <v>2068</v>
      </c>
      <c r="B1980" s="2" t="s">
        <v>11259</v>
      </c>
      <c r="C1980" s="2">
        <v>4</v>
      </c>
      <c r="D1980" s="2">
        <v>556</v>
      </c>
      <c r="E1980" s="2">
        <v>36</v>
      </c>
      <c r="F1980" s="2">
        <v>32441</v>
      </c>
      <c r="G1980" s="2">
        <v>6.4830135889999996</v>
      </c>
      <c r="H1980" s="2">
        <v>4.5090290000000003E-3</v>
      </c>
      <c r="I1980" s="2" t="s">
        <v>11260</v>
      </c>
      <c r="J1980" s="2" t="s">
        <v>11261</v>
      </c>
      <c r="K1980" s="2">
        <v>2.8025130999999998E-2</v>
      </c>
      <c r="L1980" s="2" t="s">
        <v>848</v>
      </c>
      <c r="M1980" s="4" t="s">
        <v>11262</v>
      </c>
    </row>
    <row r="1981" spans="1:13">
      <c r="A1981" s="2">
        <v>3818</v>
      </c>
      <c r="B1981" s="2" t="s">
        <v>11263</v>
      </c>
      <c r="C1981" s="2">
        <v>12</v>
      </c>
      <c r="D1981" s="2">
        <v>556</v>
      </c>
      <c r="E1981" s="2">
        <v>283</v>
      </c>
      <c r="F1981" s="2">
        <v>32441</v>
      </c>
      <c r="G1981" s="2">
        <v>2.4740829240000002</v>
      </c>
      <c r="H1981" s="2">
        <v>4.6186839999999996E-3</v>
      </c>
      <c r="I1981" s="2" t="s">
        <v>11264</v>
      </c>
      <c r="J1981" s="2" t="s">
        <v>11265</v>
      </c>
      <c r="K1981" s="2">
        <v>2.8676548999999999E-2</v>
      </c>
      <c r="L1981" s="2" t="s">
        <v>848</v>
      </c>
      <c r="M1981" s="4" t="s">
        <v>11266</v>
      </c>
    </row>
    <row r="1982" spans="1:13">
      <c r="A1982" s="2">
        <v>4406</v>
      </c>
      <c r="B1982" s="2" t="s">
        <v>11267</v>
      </c>
      <c r="C1982" s="2">
        <v>46</v>
      </c>
      <c r="D1982" s="2">
        <v>556</v>
      </c>
      <c r="E1982" s="2">
        <v>1784</v>
      </c>
      <c r="F1982" s="2">
        <v>32441</v>
      </c>
      <c r="G1982" s="2">
        <v>1.5044661580000001</v>
      </c>
      <c r="H1982" s="2">
        <v>4.7076849999999996E-3</v>
      </c>
      <c r="I1982" s="2" t="s">
        <v>11268</v>
      </c>
      <c r="J1982" s="2" t="s">
        <v>11269</v>
      </c>
      <c r="K1982" s="2">
        <v>2.919393E-2</v>
      </c>
      <c r="L1982" s="2" t="s">
        <v>848</v>
      </c>
      <c r="M1982" s="4" t="s">
        <v>11270</v>
      </c>
    </row>
    <row r="1983" spans="1:13">
      <c r="A1983" s="2">
        <v>4745</v>
      </c>
      <c r="B1983" s="2" t="s">
        <v>11271</v>
      </c>
      <c r="C1983" s="2">
        <v>7</v>
      </c>
      <c r="D1983" s="2">
        <v>556</v>
      </c>
      <c r="E1983" s="2">
        <v>115</v>
      </c>
      <c r="F1983" s="2">
        <v>32441</v>
      </c>
      <c r="G1983" s="2">
        <v>3.5515639659999998</v>
      </c>
      <c r="H1983" s="2">
        <v>4.7118819999999997E-3</v>
      </c>
      <c r="I1983" s="2" t="s">
        <v>11272</v>
      </c>
      <c r="J1983" s="2" t="s">
        <v>11273</v>
      </c>
      <c r="K1983" s="2">
        <v>2.919393E-2</v>
      </c>
      <c r="L1983" s="2" t="s">
        <v>848</v>
      </c>
      <c r="M1983" s="4" t="s">
        <v>11274</v>
      </c>
    </row>
    <row r="1984" spans="1:13">
      <c r="A1984" s="2">
        <v>4705</v>
      </c>
      <c r="B1984" s="2" t="s">
        <v>972</v>
      </c>
      <c r="C1984" s="2">
        <v>15</v>
      </c>
      <c r="D1984" s="2">
        <v>556</v>
      </c>
      <c r="E1984" s="2">
        <v>398</v>
      </c>
      <c r="F1984" s="2">
        <v>32441</v>
      </c>
      <c r="G1984" s="2">
        <v>2.1990121469999999</v>
      </c>
      <c r="H1984" s="2">
        <v>4.7556309999999997E-3</v>
      </c>
      <c r="I1984" s="2" t="s">
        <v>11275</v>
      </c>
      <c r="J1984" s="2" t="s">
        <v>11276</v>
      </c>
      <c r="K1984" s="2">
        <v>2.9434169999999999E-2</v>
      </c>
      <c r="L1984" s="2" t="s">
        <v>848</v>
      </c>
      <c r="M1984" s="4" t="s">
        <v>11277</v>
      </c>
    </row>
    <row r="1985" spans="1:13">
      <c r="A1985" s="2">
        <v>1308</v>
      </c>
      <c r="B1985" s="2" t="s">
        <v>11278</v>
      </c>
      <c r="C1985" s="2">
        <v>12</v>
      </c>
      <c r="D1985" s="2">
        <v>556</v>
      </c>
      <c r="E1985" s="2">
        <v>285</v>
      </c>
      <c r="F1985" s="2">
        <v>32441</v>
      </c>
      <c r="G1985" s="2">
        <v>2.4567209390000002</v>
      </c>
      <c r="H1985" s="2">
        <v>4.8691150000000002E-3</v>
      </c>
      <c r="I1985" s="2" t="s">
        <v>11279</v>
      </c>
      <c r="J1985" s="2" t="s">
        <v>11280</v>
      </c>
      <c r="K1985" s="2">
        <v>3.0105073E-2</v>
      </c>
      <c r="L1985" s="2" t="s">
        <v>848</v>
      </c>
      <c r="M1985" s="4" t="s">
        <v>11281</v>
      </c>
    </row>
    <row r="1986" spans="1:13">
      <c r="A1986" s="2">
        <v>162</v>
      </c>
      <c r="B1986" s="2" t="s">
        <v>11282</v>
      </c>
      <c r="C1986" s="2">
        <v>3</v>
      </c>
      <c r="D1986" s="2">
        <v>556</v>
      </c>
      <c r="E1986" s="2">
        <v>18</v>
      </c>
      <c r="F1986" s="2">
        <v>32441</v>
      </c>
      <c r="G1986" s="2">
        <v>9.7245203839999999</v>
      </c>
      <c r="H1986" s="2">
        <v>5.0485189999999996E-3</v>
      </c>
      <c r="I1986" s="2" t="s">
        <v>11283</v>
      </c>
      <c r="J1986" s="2" t="s">
        <v>11284</v>
      </c>
      <c r="K1986" s="2">
        <v>3.1084377E-2</v>
      </c>
      <c r="L1986" s="2" t="s">
        <v>848</v>
      </c>
      <c r="M1986" s="4" t="s">
        <v>11285</v>
      </c>
    </row>
    <row r="1987" spans="1:13">
      <c r="A1987" s="2">
        <v>2352</v>
      </c>
      <c r="B1987" s="2" t="s">
        <v>11286</v>
      </c>
      <c r="C1987" s="2">
        <v>3</v>
      </c>
      <c r="D1987" s="2">
        <v>556</v>
      </c>
      <c r="E1987" s="2">
        <v>18</v>
      </c>
      <c r="F1987" s="2">
        <v>32441</v>
      </c>
      <c r="G1987" s="2">
        <v>9.7245203839999999</v>
      </c>
      <c r="H1987" s="2">
        <v>5.0485189999999996E-3</v>
      </c>
      <c r="I1987" s="2" t="s">
        <v>11287</v>
      </c>
      <c r="J1987" s="2" t="s">
        <v>11288</v>
      </c>
      <c r="K1987" s="2">
        <v>3.1084377E-2</v>
      </c>
      <c r="L1987" s="2" t="s">
        <v>848</v>
      </c>
      <c r="M1987" s="4" t="s">
        <v>11289</v>
      </c>
    </row>
    <row r="1988" spans="1:13">
      <c r="A1988" s="2">
        <v>3273</v>
      </c>
      <c r="B1988" s="2" t="s">
        <v>11290</v>
      </c>
      <c r="C1988" s="2">
        <v>3</v>
      </c>
      <c r="D1988" s="2">
        <v>556</v>
      </c>
      <c r="E1988" s="2">
        <v>18</v>
      </c>
      <c r="F1988" s="2">
        <v>32441</v>
      </c>
      <c r="G1988" s="2">
        <v>9.7245203839999999</v>
      </c>
      <c r="H1988" s="2">
        <v>5.0485189999999996E-3</v>
      </c>
      <c r="I1988" s="2" t="s">
        <v>11291</v>
      </c>
      <c r="J1988" s="2" t="s">
        <v>11292</v>
      </c>
      <c r="K1988" s="2">
        <v>3.1084377E-2</v>
      </c>
      <c r="L1988" s="2" t="s">
        <v>848</v>
      </c>
      <c r="M1988" s="4" t="s">
        <v>11293</v>
      </c>
    </row>
    <row r="1989" spans="1:13">
      <c r="A1989" s="2">
        <v>46811</v>
      </c>
      <c r="B1989" s="2" t="s">
        <v>11294</v>
      </c>
      <c r="C1989" s="2">
        <v>3</v>
      </c>
      <c r="D1989" s="2">
        <v>556</v>
      </c>
      <c r="E1989" s="2">
        <v>18</v>
      </c>
      <c r="F1989" s="2">
        <v>32441</v>
      </c>
      <c r="G1989" s="2">
        <v>9.7245203839999999</v>
      </c>
      <c r="H1989" s="2">
        <v>5.0485189999999996E-3</v>
      </c>
      <c r="I1989" s="2" t="s">
        <v>11295</v>
      </c>
      <c r="J1989" s="2" t="s">
        <v>11296</v>
      </c>
      <c r="K1989" s="2">
        <v>3.1084377E-2</v>
      </c>
      <c r="L1989" s="2" t="s">
        <v>848</v>
      </c>
      <c r="M1989" s="4" t="s">
        <v>11297</v>
      </c>
    </row>
    <row r="1990" spans="1:13">
      <c r="A1990" s="2">
        <v>34511</v>
      </c>
      <c r="B1990" s="2" t="s">
        <v>11298</v>
      </c>
      <c r="C1990" s="2">
        <v>8</v>
      </c>
      <c r="D1990" s="2">
        <v>556</v>
      </c>
      <c r="E1990" s="2">
        <v>148</v>
      </c>
      <c r="F1990" s="2">
        <v>32441</v>
      </c>
      <c r="G1990" s="2">
        <v>3.1538985030000002</v>
      </c>
      <c r="H1990" s="2">
        <v>5.1100099999999999E-3</v>
      </c>
      <c r="I1990" s="2" t="s">
        <v>11299</v>
      </c>
      <c r="J1990" s="2" t="s">
        <v>11300</v>
      </c>
      <c r="K1990" s="2">
        <v>3.1430280999999997E-2</v>
      </c>
      <c r="L1990" s="2" t="s">
        <v>848</v>
      </c>
      <c r="M1990" s="4" t="s">
        <v>11301</v>
      </c>
    </row>
    <row r="1991" spans="1:13">
      <c r="A1991" s="2">
        <v>3835</v>
      </c>
      <c r="B1991" s="2" t="s">
        <v>11302</v>
      </c>
      <c r="C1991" s="2">
        <v>6</v>
      </c>
      <c r="D1991" s="2">
        <v>556</v>
      </c>
      <c r="E1991" s="2">
        <v>88</v>
      </c>
      <c r="F1991" s="2">
        <v>32441</v>
      </c>
      <c r="G1991" s="2">
        <v>3.9782128839999999</v>
      </c>
      <c r="H1991" s="2">
        <v>5.1998060000000004E-3</v>
      </c>
      <c r="I1991" s="2" t="s">
        <v>11303</v>
      </c>
      <c r="J1991" s="2" t="s">
        <v>11304</v>
      </c>
      <c r="K1991" s="2">
        <v>3.1916234000000002E-2</v>
      </c>
      <c r="L1991" s="2" t="s">
        <v>848</v>
      </c>
      <c r="M1991" s="4" t="s">
        <v>11305</v>
      </c>
    </row>
    <row r="1992" spans="1:13">
      <c r="A1992" s="2">
        <v>5013</v>
      </c>
      <c r="B1992" s="2" t="s">
        <v>11306</v>
      </c>
      <c r="C1992" s="2">
        <v>6</v>
      </c>
      <c r="D1992" s="2">
        <v>556</v>
      </c>
      <c r="E1992" s="2">
        <v>88</v>
      </c>
      <c r="F1992" s="2">
        <v>32441</v>
      </c>
      <c r="G1992" s="2">
        <v>3.9782128839999999</v>
      </c>
      <c r="H1992" s="2">
        <v>5.1998060000000004E-3</v>
      </c>
      <c r="I1992" s="2" t="s">
        <v>11307</v>
      </c>
      <c r="J1992" s="2" t="s">
        <v>11308</v>
      </c>
      <c r="K1992" s="2">
        <v>3.1916234000000002E-2</v>
      </c>
      <c r="L1992" s="2" t="s">
        <v>848</v>
      </c>
      <c r="M1992" s="4" t="s">
        <v>11309</v>
      </c>
    </row>
    <row r="1993" spans="1:13">
      <c r="A1993" s="2">
        <v>1482</v>
      </c>
      <c r="B1993" s="2" t="s">
        <v>11310</v>
      </c>
      <c r="C1993" s="2">
        <v>14</v>
      </c>
      <c r="D1993" s="2">
        <v>556</v>
      </c>
      <c r="E1993" s="2">
        <v>364</v>
      </c>
      <c r="F1993" s="2">
        <v>32441</v>
      </c>
      <c r="G1993" s="2">
        <v>2.2441200889999999</v>
      </c>
      <c r="H1993" s="2">
        <v>5.3000829999999997E-3</v>
      </c>
      <c r="I1993" s="2" t="s">
        <v>10594</v>
      </c>
      <c r="J1993" s="2" t="s">
        <v>10595</v>
      </c>
      <c r="K1993" s="2">
        <v>3.2464382E-2</v>
      </c>
      <c r="L1993" s="2" t="s">
        <v>848</v>
      </c>
      <c r="M1993" s="4" t="s">
        <v>11311</v>
      </c>
    </row>
    <row r="1994" spans="1:13">
      <c r="A1994" s="2">
        <v>2166</v>
      </c>
      <c r="B1994" s="2" t="s">
        <v>11312</v>
      </c>
      <c r="C1994" s="2">
        <v>14</v>
      </c>
      <c r="D1994" s="2">
        <v>556</v>
      </c>
      <c r="E1994" s="2">
        <v>364</v>
      </c>
      <c r="F1994" s="2">
        <v>32441</v>
      </c>
      <c r="G1994" s="2">
        <v>2.2441200889999999</v>
      </c>
      <c r="H1994" s="2">
        <v>5.3000829999999997E-3</v>
      </c>
      <c r="I1994" s="2" t="s">
        <v>11313</v>
      </c>
      <c r="J1994" s="2" t="s">
        <v>11314</v>
      </c>
      <c r="K1994" s="2">
        <v>3.2464382E-2</v>
      </c>
      <c r="L1994" s="2" t="s">
        <v>848</v>
      </c>
      <c r="M1994" s="4" t="s">
        <v>11315</v>
      </c>
    </row>
    <row r="1995" spans="1:13">
      <c r="A1995" s="2">
        <v>3134</v>
      </c>
      <c r="B1995" s="2" t="s">
        <v>11316</v>
      </c>
      <c r="C1995" s="2">
        <v>11</v>
      </c>
      <c r="D1995" s="2">
        <v>556</v>
      </c>
      <c r="E1995" s="2">
        <v>252</v>
      </c>
      <c r="F1995" s="2">
        <v>32441</v>
      </c>
      <c r="G1995" s="2">
        <v>2.5468981959999999</v>
      </c>
      <c r="H1995" s="2">
        <v>5.3428039999999996E-3</v>
      </c>
      <c r="I1995" s="2" t="s">
        <v>11317</v>
      </c>
      <c r="J1995" s="2" t="s">
        <v>11318</v>
      </c>
      <c r="K1995" s="2">
        <v>3.2692214999999997E-2</v>
      </c>
      <c r="L1995" s="2" t="s">
        <v>848</v>
      </c>
      <c r="M1995" s="4" t="s">
        <v>11319</v>
      </c>
    </row>
    <row r="1996" spans="1:13">
      <c r="A1996" s="2">
        <v>1735</v>
      </c>
      <c r="B1996" s="2" t="s">
        <v>11320</v>
      </c>
      <c r="C1996" s="2">
        <v>4</v>
      </c>
      <c r="D1996" s="2">
        <v>556</v>
      </c>
      <c r="E1996" s="2">
        <v>38</v>
      </c>
      <c r="F1996" s="2">
        <v>32441</v>
      </c>
      <c r="G1996" s="2">
        <v>6.1418023479999997</v>
      </c>
      <c r="H1996" s="2">
        <v>5.378636E-3</v>
      </c>
      <c r="I1996" s="2" t="s">
        <v>11321</v>
      </c>
      <c r="J1996" s="2" t="s">
        <v>11322</v>
      </c>
      <c r="K1996" s="2">
        <v>3.2877468E-2</v>
      </c>
      <c r="L1996" s="2" t="s">
        <v>848</v>
      </c>
      <c r="M1996" s="4" t="s">
        <v>11323</v>
      </c>
    </row>
    <row r="1997" spans="1:13">
      <c r="A1997" s="2">
        <v>3671</v>
      </c>
      <c r="B1997" s="2" t="s">
        <v>11324</v>
      </c>
      <c r="C1997" s="2">
        <v>15</v>
      </c>
      <c r="D1997" s="2">
        <v>556</v>
      </c>
      <c r="E1997" s="2">
        <v>404</v>
      </c>
      <c r="F1997" s="2">
        <v>32441</v>
      </c>
      <c r="G1997" s="2">
        <v>2.1663535509999998</v>
      </c>
      <c r="H1997" s="2">
        <v>5.4128140000000002E-3</v>
      </c>
      <c r="I1997" s="2" t="s">
        <v>11325</v>
      </c>
      <c r="J1997" s="2" t="s">
        <v>11326</v>
      </c>
      <c r="K1997" s="2">
        <v>3.3052237999999998E-2</v>
      </c>
      <c r="L1997" s="2" t="s">
        <v>848</v>
      </c>
      <c r="M1997" s="4" t="s">
        <v>11327</v>
      </c>
    </row>
    <row r="1998" spans="1:13">
      <c r="A1998" s="2">
        <v>3943</v>
      </c>
      <c r="B1998" s="2" t="s">
        <v>11328</v>
      </c>
      <c r="C1998" s="2">
        <v>5</v>
      </c>
      <c r="D1998" s="2">
        <v>556</v>
      </c>
      <c r="E1998" s="2">
        <v>62</v>
      </c>
      <c r="F1998" s="2">
        <v>32441</v>
      </c>
      <c r="G1998" s="2">
        <v>4.7054130890000003</v>
      </c>
      <c r="H1998" s="2">
        <v>5.4632650000000001E-3</v>
      </c>
      <c r="I1998" s="2" t="s">
        <v>11329</v>
      </c>
      <c r="J1998" s="2" t="s">
        <v>11330</v>
      </c>
      <c r="K1998" s="2">
        <v>3.3325919000000002E-2</v>
      </c>
      <c r="L1998" s="2" t="s">
        <v>848</v>
      </c>
      <c r="M1998" s="4" t="s">
        <v>11331</v>
      </c>
    </row>
    <row r="1999" spans="1:13">
      <c r="A1999" s="2">
        <v>5832</v>
      </c>
      <c r="B1999" s="2" t="s">
        <v>11332</v>
      </c>
      <c r="C1999" s="2">
        <v>6</v>
      </c>
      <c r="D1999" s="2">
        <v>556</v>
      </c>
      <c r="E1999" s="2">
        <v>89</v>
      </c>
      <c r="F1999" s="2">
        <v>32441</v>
      </c>
      <c r="G1999" s="2">
        <v>3.9335138629999999</v>
      </c>
      <c r="H1999" s="2">
        <v>5.4732440000000004E-3</v>
      </c>
      <c r="I1999" s="2" t="s">
        <v>11333</v>
      </c>
      <c r="J1999" s="2" t="s">
        <v>11334</v>
      </c>
      <c r="K1999" s="2">
        <v>3.3352402000000003E-2</v>
      </c>
      <c r="L1999" s="2" t="s">
        <v>848</v>
      </c>
      <c r="M1999" s="4" t="s">
        <v>11335</v>
      </c>
    </row>
    <row r="2000" spans="1:13">
      <c r="A2000" s="2">
        <v>5834</v>
      </c>
      <c r="B2000" s="2" t="s">
        <v>11336</v>
      </c>
      <c r="C2000" s="2">
        <v>40</v>
      </c>
      <c r="D2000" s="2">
        <v>556</v>
      </c>
      <c r="E2000" s="2">
        <v>1514</v>
      </c>
      <c r="F2000" s="2">
        <v>32441</v>
      </c>
      <c r="G2000" s="2">
        <v>1.5415355959999999</v>
      </c>
      <c r="H2000" s="2">
        <v>5.56362E-3</v>
      </c>
      <c r="I2000" s="2" t="s">
        <v>11337</v>
      </c>
      <c r="J2000" s="2" t="s">
        <v>11338</v>
      </c>
      <c r="K2000" s="2">
        <v>3.3868250000000003E-2</v>
      </c>
      <c r="L2000" s="2" t="s">
        <v>848</v>
      </c>
      <c r="M2000" s="4" t="s">
        <v>11339</v>
      </c>
    </row>
    <row r="2001" spans="1:13">
      <c r="A2001" s="2">
        <v>1767</v>
      </c>
      <c r="B2001" s="2" t="s">
        <v>11340</v>
      </c>
      <c r="C2001" s="2">
        <v>3</v>
      </c>
      <c r="D2001" s="2">
        <v>556</v>
      </c>
      <c r="E2001" s="2">
        <v>19</v>
      </c>
      <c r="F2001" s="2">
        <v>32441</v>
      </c>
      <c r="G2001" s="2">
        <v>9.2127035209999999</v>
      </c>
      <c r="H2001" s="2">
        <v>5.7732900000000004E-3</v>
      </c>
      <c r="I2001" s="2" t="s">
        <v>11341</v>
      </c>
      <c r="J2001" s="2" t="s">
        <v>11342</v>
      </c>
      <c r="K2001" s="2">
        <v>3.4928991999999999E-2</v>
      </c>
      <c r="L2001" s="2" t="s">
        <v>848</v>
      </c>
      <c r="M2001" s="4" t="s">
        <v>11343</v>
      </c>
    </row>
    <row r="2002" spans="1:13">
      <c r="A2002" s="2">
        <v>2397</v>
      </c>
      <c r="B2002" s="2" t="s">
        <v>11344</v>
      </c>
      <c r="C2002" s="2">
        <v>3</v>
      </c>
      <c r="D2002" s="2">
        <v>556</v>
      </c>
      <c r="E2002" s="2">
        <v>19</v>
      </c>
      <c r="F2002" s="2">
        <v>32441</v>
      </c>
      <c r="G2002" s="2">
        <v>9.2127035209999999</v>
      </c>
      <c r="H2002" s="2">
        <v>5.7732900000000004E-3</v>
      </c>
      <c r="I2002" s="2" t="s">
        <v>11345</v>
      </c>
      <c r="J2002" s="2" t="s">
        <v>11346</v>
      </c>
      <c r="K2002" s="2">
        <v>3.4928991999999999E-2</v>
      </c>
      <c r="L2002" s="2" t="s">
        <v>848</v>
      </c>
      <c r="M2002" s="4" t="s">
        <v>11347</v>
      </c>
    </row>
    <row r="2003" spans="1:13">
      <c r="A2003" s="2">
        <v>2934</v>
      </c>
      <c r="B2003" s="2" t="s">
        <v>11348</v>
      </c>
      <c r="C2003" s="2">
        <v>3</v>
      </c>
      <c r="D2003" s="2">
        <v>556</v>
      </c>
      <c r="E2003" s="2">
        <v>19</v>
      </c>
      <c r="F2003" s="2">
        <v>32441</v>
      </c>
      <c r="G2003" s="2">
        <v>9.2127035209999999</v>
      </c>
      <c r="H2003" s="2">
        <v>5.7732900000000004E-3</v>
      </c>
      <c r="I2003" s="2" t="s">
        <v>11349</v>
      </c>
      <c r="J2003" s="2" t="s">
        <v>11350</v>
      </c>
      <c r="K2003" s="2">
        <v>3.4928991999999999E-2</v>
      </c>
      <c r="L2003" s="2" t="s">
        <v>848</v>
      </c>
      <c r="M2003" s="4" t="s">
        <v>11351</v>
      </c>
    </row>
    <row r="2004" spans="1:13">
      <c r="A2004" s="2">
        <v>3054</v>
      </c>
      <c r="B2004" s="2" t="s">
        <v>11352</v>
      </c>
      <c r="C2004" s="2">
        <v>3</v>
      </c>
      <c r="D2004" s="2">
        <v>556</v>
      </c>
      <c r="E2004" s="2">
        <v>19</v>
      </c>
      <c r="F2004" s="2">
        <v>32441</v>
      </c>
      <c r="G2004" s="2">
        <v>9.2127035209999999</v>
      </c>
      <c r="H2004" s="2">
        <v>5.7732900000000004E-3</v>
      </c>
      <c r="I2004" s="2" t="s">
        <v>10937</v>
      </c>
      <c r="J2004" s="2" t="s">
        <v>10938</v>
      </c>
      <c r="K2004" s="2">
        <v>3.4928991999999999E-2</v>
      </c>
      <c r="L2004" s="2" t="s">
        <v>848</v>
      </c>
      <c r="M2004" s="4" t="s">
        <v>11353</v>
      </c>
    </row>
    <row r="2005" spans="1:13">
      <c r="A2005" s="2">
        <v>5099</v>
      </c>
      <c r="B2005" s="2" t="s">
        <v>11354</v>
      </c>
      <c r="C2005" s="2">
        <v>3</v>
      </c>
      <c r="D2005" s="2">
        <v>556</v>
      </c>
      <c r="E2005" s="2">
        <v>19</v>
      </c>
      <c r="F2005" s="2">
        <v>32441</v>
      </c>
      <c r="G2005" s="2">
        <v>9.2127035209999999</v>
      </c>
      <c r="H2005" s="2">
        <v>5.7732900000000004E-3</v>
      </c>
      <c r="I2005" s="2" t="s">
        <v>11355</v>
      </c>
      <c r="J2005" s="2" t="s">
        <v>11356</v>
      </c>
      <c r="K2005" s="2">
        <v>3.4928991999999999E-2</v>
      </c>
      <c r="L2005" s="2" t="s">
        <v>848</v>
      </c>
      <c r="M2005" s="4" t="s">
        <v>11357</v>
      </c>
    </row>
    <row r="2006" spans="1:13">
      <c r="A2006" s="2">
        <v>5272</v>
      </c>
      <c r="B2006" s="2" t="s">
        <v>11358</v>
      </c>
      <c r="C2006" s="2">
        <v>6</v>
      </c>
      <c r="D2006" s="2">
        <v>556</v>
      </c>
      <c r="E2006" s="2">
        <v>90</v>
      </c>
      <c r="F2006" s="2">
        <v>32441</v>
      </c>
      <c r="G2006" s="2">
        <v>3.8898081530000002</v>
      </c>
      <c r="H2006" s="2">
        <v>5.7570479999999999E-3</v>
      </c>
      <c r="I2006" s="2" t="s">
        <v>11359</v>
      </c>
      <c r="J2006" s="2" t="s">
        <v>11360</v>
      </c>
      <c r="K2006" s="2">
        <v>3.4928991999999999E-2</v>
      </c>
      <c r="L2006" s="2" t="s">
        <v>848</v>
      </c>
      <c r="M2006" s="4" t="s">
        <v>11361</v>
      </c>
    </row>
    <row r="2007" spans="1:13">
      <c r="A2007" s="2">
        <v>421</v>
      </c>
      <c r="B2007" s="2" t="s">
        <v>11362</v>
      </c>
      <c r="C2007" s="2">
        <v>4</v>
      </c>
      <c r="D2007" s="2">
        <v>556</v>
      </c>
      <c r="E2007" s="2">
        <v>39</v>
      </c>
      <c r="F2007" s="2">
        <v>32441</v>
      </c>
      <c r="G2007" s="2">
        <v>5.9843202360000003</v>
      </c>
      <c r="H2007" s="2">
        <v>5.8526419999999999E-3</v>
      </c>
      <c r="I2007" s="2" t="s">
        <v>11363</v>
      </c>
      <c r="J2007" s="2" t="s">
        <v>11364</v>
      </c>
      <c r="K2007" s="2">
        <v>3.53008E-2</v>
      </c>
      <c r="L2007" s="2" t="s">
        <v>848</v>
      </c>
      <c r="M2007" s="4" t="s">
        <v>11365</v>
      </c>
    </row>
    <row r="2008" spans="1:13">
      <c r="A2008" s="2">
        <v>7872</v>
      </c>
      <c r="B2008" s="2" t="s">
        <v>11366</v>
      </c>
      <c r="C2008" s="2">
        <v>4</v>
      </c>
      <c r="D2008" s="2">
        <v>556</v>
      </c>
      <c r="E2008" s="2">
        <v>39</v>
      </c>
      <c r="F2008" s="2">
        <v>32441</v>
      </c>
      <c r="G2008" s="2">
        <v>5.9843202360000003</v>
      </c>
      <c r="H2008" s="2">
        <v>5.8526419999999999E-3</v>
      </c>
      <c r="I2008" s="2" t="s">
        <v>11367</v>
      </c>
      <c r="J2008" s="2" t="s">
        <v>11368</v>
      </c>
      <c r="K2008" s="2">
        <v>3.53008E-2</v>
      </c>
      <c r="L2008" s="2" t="s">
        <v>848</v>
      </c>
      <c r="M2008" s="4" t="s">
        <v>11369</v>
      </c>
    </row>
    <row r="2009" spans="1:13">
      <c r="A2009" s="2">
        <v>1298</v>
      </c>
      <c r="B2009" s="2" t="s">
        <v>11370</v>
      </c>
      <c r="C2009" s="2">
        <v>4</v>
      </c>
      <c r="D2009" s="2">
        <v>556</v>
      </c>
      <c r="E2009" s="2">
        <v>39</v>
      </c>
      <c r="F2009" s="2">
        <v>32441</v>
      </c>
      <c r="G2009" s="2">
        <v>5.9843202360000003</v>
      </c>
      <c r="H2009" s="2">
        <v>5.8526419999999999E-3</v>
      </c>
      <c r="I2009" s="2" t="s">
        <v>9999</v>
      </c>
      <c r="J2009" s="2" t="s">
        <v>10000</v>
      </c>
      <c r="K2009" s="2">
        <v>3.53008E-2</v>
      </c>
      <c r="L2009" s="2" t="s">
        <v>848</v>
      </c>
      <c r="M2009" s="4" t="s">
        <v>11371</v>
      </c>
    </row>
    <row r="2010" spans="1:13">
      <c r="A2010" s="2">
        <v>5003</v>
      </c>
      <c r="B2010" s="2" t="s">
        <v>11372</v>
      </c>
      <c r="C2010" s="2">
        <v>8</v>
      </c>
      <c r="D2010" s="2">
        <v>556</v>
      </c>
      <c r="E2010" s="2">
        <v>152</v>
      </c>
      <c r="F2010" s="2">
        <v>32441</v>
      </c>
      <c r="G2010" s="2">
        <v>3.0709011739999998</v>
      </c>
      <c r="H2010" s="2">
        <v>5.9338280000000004E-3</v>
      </c>
      <c r="I2010" s="2" t="s">
        <v>11373</v>
      </c>
      <c r="J2010" s="2" t="s">
        <v>11374</v>
      </c>
      <c r="K2010" s="2">
        <v>3.5754032999999998E-2</v>
      </c>
      <c r="L2010" s="2" t="s">
        <v>848</v>
      </c>
      <c r="M2010" s="4" t="s">
        <v>11375</v>
      </c>
    </row>
    <row r="2011" spans="1:13">
      <c r="A2011" s="2">
        <v>37621</v>
      </c>
      <c r="B2011" s="2" t="s">
        <v>11376</v>
      </c>
      <c r="C2011" s="2">
        <v>12</v>
      </c>
      <c r="D2011" s="2">
        <v>556</v>
      </c>
      <c r="E2011" s="2">
        <v>293</v>
      </c>
      <c r="F2011" s="2">
        <v>32441</v>
      </c>
      <c r="G2011" s="2">
        <v>2.3896432339999998</v>
      </c>
      <c r="H2011" s="2">
        <v>5.9812779999999996E-3</v>
      </c>
      <c r="I2011" s="2" t="s">
        <v>11377</v>
      </c>
      <c r="J2011" s="2" t="s">
        <v>11378</v>
      </c>
      <c r="K2011" s="2">
        <v>3.6003278E-2</v>
      </c>
      <c r="L2011" s="2" t="s">
        <v>848</v>
      </c>
      <c r="M2011" s="4" t="s">
        <v>11379</v>
      </c>
    </row>
    <row r="2012" spans="1:13">
      <c r="A2012" s="2">
        <v>957</v>
      </c>
      <c r="B2012" s="2" t="s">
        <v>11380</v>
      </c>
      <c r="C2012" s="2">
        <v>19</v>
      </c>
      <c r="D2012" s="2">
        <v>556</v>
      </c>
      <c r="E2012" s="2">
        <v>573</v>
      </c>
      <c r="F2012" s="2">
        <v>32441</v>
      </c>
      <c r="G2012" s="2">
        <v>1.9347213329999999</v>
      </c>
      <c r="H2012" s="2">
        <v>6.0803760000000002E-3</v>
      </c>
      <c r="I2012" s="2" t="s">
        <v>11381</v>
      </c>
      <c r="J2012" s="2" t="s">
        <v>11382</v>
      </c>
      <c r="K2012" s="2">
        <v>3.6562584000000002E-2</v>
      </c>
      <c r="L2012" s="2" t="s">
        <v>848</v>
      </c>
      <c r="M2012" s="4" t="s">
        <v>11383</v>
      </c>
    </row>
    <row r="2013" spans="1:13">
      <c r="A2013" s="2">
        <v>2018</v>
      </c>
      <c r="B2013" s="2" t="s">
        <v>11384</v>
      </c>
      <c r="C2013" s="2">
        <v>8</v>
      </c>
      <c r="D2013" s="2">
        <v>556</v>
      </c>
      <c r="E2013" s="2">
        <v>153</v>
      </c>
      <c r="F2013" s="2">
        <v>32441</v>
      </c>
      <c r="G2013" s="2">
        <v>3.0508299239999999</v>
      </c>
      <c r="H2013" s="2">
        <v>6.1547119999999997E-3</v>
      </c>
      <c r="I2013" s="2" t="s">
        <v>11385</v>
      </c>
      <c r="J2013" s="2" t="s">
        <v>11386</v>
      </c>
      <c r="K2013" s="2">
        <v>3.6972013999999997E-2</v>
      </c>
      <c r="L2013" s="2" t="s">
        <v>848</v>
      </c>
      <c r="M2013" s="4" t="s">
        <v>11387</v>
      </c>
    </row>
    <row r="2014" spans="1:13">
      <c r="A2014" s="2">
        <v>1195</v>
      </c>
      <c r="B2014" s="2" t="s">
        <v>11388</v>
      </c>
      <c r="C2014" s="2">
        <v>13</v>
      </c>
      <c r="D2014" s="2">
        <v>556</v>
      </c>
      <c r="E2014" s="2">
        <v>333</v>
      </c>
      <c r="F2014" s="2">
        <v>32441</v>
      </c>
      <c r="G2014" s="2">
        <v>2.2778155849999999</v>
      </c>
      <c r="H2014" s="2">
        <v>6.2973780000000002E-3</v>
      </c>
      <c r="I2014" s="2" t="s">
        <v>11389</v>
      </c>
      <c r="J2014" s="2" t="s">
        <v>11390</v>
      </c>
      <c r="K2014" s="2">
        <v>3.7790652000000001E-2</v>
      </c>
      <c r="L2014" s="2" t="s">
        <v>848</v>
      </c>
      <c r="M2014" s="4" t="s">
        <v>11391</v>
      </c>
    </row>
    <row r="2015" spans="1:13">
      <c r="A2015" s="2">
        <v>840</v>
      </c>
      <c r="B2015" s="2" t="s">
        <v>11392</v>
      </c>
      <c r="C2015" s="2">
        <v>4</v>
      </c>
      <c r="D2015" s="2">
        <v>556</v>
      </c>
      <c r="E2015" s="2">
        <v>40</v>
      </c>
      <c r="F2015" s="2">
        <v>32441</v>
      </c>
      <c r="G2015" s="2">
        <v>5.8347122300000001</v>
      </c>
      <c r="H2015" s="2">
        <v>6.3536640000000002E-3</v>
      </c>
      <c r="I2015" s="2" t="s">
        <v>11393</v>
      </c>
      <c r="J2015" s="2" t="s">
        <v>11394</v>
      </c>
      <c r="K2015" s="2">
        <v>3.8051243999999998E-2</v>
      </c>
      <c r="L2015" s="2" t="s">
        <v>848</v>
      </c>
      <c r="M2015" s="4" t="s">
        <v>11395</v>
      </c>
    </row>
    <row r="2016" spans="1:13">
      <c r="A2016" s="2">
        <v>2768</v>
      </c>
      <c r="B2016" s="2" t="s">
        <v>11396</v>
      </c>
      <c r="C2016" s="2">
        <v>4</v>
      </c>
      <c r="D2016" s="2">
        <v>556</v>
      </c>
      <c r="E2016" s="2">
        <v>40</v>
      </c>
      <c r="F2016" s="2">
        <v>32441</v>
      </c>
      <c r="G2016" s="2">
        <v>5.8347122300000001</v>
      </c>
      <c r="H2016" s="2">
        <v>6.3536640000000002E-3</v>
      </c>
      <c r="I2016" s="2" t="s">
        <v>11397</v>
      </c>
      <c r="J2016" s="2" t="s">
        <v>11398</v>
      </c>
      <c r="K2016" s="2">
        <v>3.8051243999999998E-2</v>
      </c>
      <c r="L2016" s="2" t="s">
        <v>848</v>
      </c>
      <c r="M2016" s="4" t="s">
        <v>11399</v>
      </c>
    </row>
    <row r="2017" spans="1:13">
      <c r="A2017" s="2">
        <v>2269</v>
      </c>
      <c r="B2017" s="2" t="s">
        <v>11400</v>
      </c>
      <c r="C2017" s="2">
        <v>8</v>
      </c>
      <c r="D2017" s="2">
        <v>556</v>
      </c>
      <c r="E2017" s="2">
        <v>154</v>
      </c>
      <c r="F2017" s="2">
        <v>32441</v>
      </c>
      <c r="G2017" s="2">
        <v>3.0310193399999998</v>
      </c>
      <c r="H2017" s="2">
        <v>6.3817830000000002E-3</v>
      </c>
      <c r="I2017" s="2" t="s">
        <v>11401</v>
      </c>
      <c r="J2017" s="2" t="s">
        <v>11402</v>
      </c>
      <c r="K2017" s="2">
        <v>3.8181002999999998E-2</v>
      </c>
      <c r="L2017" s="2" t="s">
        <v>848</v>
      </c>
      <c r="M2017" s="4" t="s">
        <v>11403</v>
      </c>
    </row>
    <row r="2018" spans="1:13">
      <c r="A2018" s="2">
        <v>5831</v>
      </c>
      <c r="B2018" s="2" t="s">
        <v>11404</v>
      </c>
      <c r="C2018" s="2">
        <v>11</v>
      </c>
      <c r="D2018" s="2">
        <v>556</v>
      </c>
      <c r="E2018" s="2">
        <v>259</v>
      </c>
      <c r="F2018" s="2">
        <v>32441</v>
      </c>
      <c r="G2018" s="2">
        <v>2.4780631089999998</v>
      </c>
      <c r="H2018" s="2">
        <v>6.4664529999999996E-3</v>
      </c>
      <c r="I2018" s="2" t="s">
        <v>11405</v>
      </c>
      <c r="J2018" s="2" t="s">
        <v>11406</v>
      </c>
      <c r="K2018" s="2">
        <v>3.8648489000000001E-2</v>
      </c>
      <c r="L2018" s="2" t="s">
        <v>848</v>
      </c>
      <c r="M2018" s="4" t="s">
        <v>11407</v>
      </c>
    </row>
    <row r="2019" spans="1:13">
      <c r="A2019" s="2">
        <v>1608</v>
      </c>
      <c r="B2019" s="2" t="s">
        <v>11408</v>
      </c>
      <c r="C2019" s="2">
        <v>3</v>
      </c>
      <c r="D2019" s="2">
        <v>556</v>
      </c>
      <c r="E2019" s="2">
        <v>20</v>
      </c>
      <c r="F2019" s="2">
        <v>32441</v>
      </c>
      <c r="G2019" s="2">
        <v>8.7520683449999996</v>
      </c>
      <c r="H2019" s="2">
        <v>6.557167E-3</v>
      </c>
      <c r="I2019" s="2" t="s">
        <v>11100</v>
      </c>
      <c r="J2019" s="2" t="s">
        <v>11101</v>
      </c>
      <c r="K2019" s="2">
        <v>3.8876511000000002E-2</v>
      </c>
      <c r="L2019" s="2" t="s">
        <v>848</v>
      </c>
      <c r="M2019" s="4" t="s">
        <v>11409</v>
      </c>
    </row>
    <row r="2020" spans="1:13">
      <c r="A2020" s="2">
        <v>2294</v>
      </c>
      <c r="B2020" s="2" t="s">
        <v>11410</v>
      </c>
      <c r="C2020" s="2">
        <v>3</v>
      </c>
      <c r="D2020" s="2">
        <v>556</v>
      </c>
      <c r="E2020" s="2">
        <v>20</v>
      </c>
      <c r="F2020" s="2">
        <v>32441</v>
      </c>
      <c r="G2020" s="2">
        <v>8.7520683449999996</v>
      </c>
      <c r="H2020" s="2">
        <v>6.557167E-3</v>
      </c>
      <c r="I2020" s="2" t="s">
        <v>11411</v>
      </c>
      <c r="J2020" s="2" t="s">
        <v>11412</v>
      </c>
      <c r="K2020" s="2">
        <v>3.8876511000000002E-2</v>
      </c>
      <c r="L2020" s="2" t="s">
        <v>848</v>
      </c>
      <c r="M2020" s="4" t="s">
        <v>11413</v>
      </c>
    </row>
    <row r="2021" spans="1:13">
      <c r="A2021" s="2">
        <v>3371</v>
      </c>
      <c r="B2021" s="2" t="s">
        <v>11414</v>
      </c>
      <c r="C2021" s="2">
        <v>3</v>
      </c>
      <c r="D2021" s="2">
        <v>556</v>
      </c>
      <c r="E2021" s="2">
        <v>20</v>
      </c>
      <c r="F2021" s="2">
        <v>32441</v>
      </c>
      <c r="G2021" s="2">
        <v>8.7520683449999996</v>
      </c>
      <c r="H2021" s="2">
        <v>6.557167E-3</v>
      </c>
      <c r="I2021" s="2" t="s">
        <v>11415</v>
      </c>
      <c r="J2021" s="2" t="s">
        <v>11416</v>
      </c>
      <c r="K2021" s="2">
        <v>3.8876511000000002E-2</v>
      </c>
      <c r="L2021" s="2" t="s">
        <v>848</v>
      </c>
      <c r="M2021" s="4" t="s">
        <v>11417</v>
      </c>
    </row>
    <row r="2022" spans="1:13">
      <c r="A2022" s="2">
        <v>33911</v>
      </c>
      <c r="B2022" s="2" t="s">
        <v>11418</v>
      </c>
      <c r="C2022" s="2">
        <v>3</v>
      </c>
      <c r="D2022" s="2">
        <v>556</v>
      </c>
      <c r="E2022" s="2">
        <v>20</v>
      </c>
      <c r="F2022" s="2">
        <v>32441</v>
      </c>
      <c r="G2022" s="2">
        <v>8.7520683449999996</v>
      </c>
      <c r="H2022" s="2">
        <v>6.557167E-3</v>
      </c>
      <c r="I2022" s="2" t="s">
        <v>11419</v>
      </c>
      <c r="J2022" s="2" t="s">
        <v>11420</v>
      </c>
      <c r="K2022" s="2">
        <v>3.8876511000000002E-2</v>
      </c>
      <c r="L2022" s="2" t="s">
        <v>848</v>
      </c>
      <c r="M2022" s="4" t="s">
        <v>11421</v>
      </c>
    </row>
    <row r="2023" spans="1:13">
      <c r="A2023" s="2">
        <v>3773</v>
      </c>
      <c r="B2023" s="2" t="s">
        <v>11422</v>
      </c>
      <c r="C2023" s="2">
        <v>3</v>
      </c>
      <c r="D2023" s="2">
        <v>556</v>
      </c>
      <c r="E2023" s="2">
        <v>20</v>
      </c>
      <c r="F2023" s="2">
        <v>32441</v>
      </c>
      <c r="G2023" s="2">
        <v>8.7520683449999996</v>
      </c>
      <c r="H2023" s="2">
        <v>6.557167E-3</v>
      </c>
      <c r="I2023" s="2" t="s">
        <v>11423</v>
      </c>
      <c r="J2023" s="2" t="s">
        <v>11424</v>
      </c>
      <c r="K2023" s="2">
        <v>3.8876511000000002E-2</v>
      </c>
      <c r="L2023" s="2" t="s">
        <v>848</v>
      </c>
      <c r="M2023" s="4" t="s">
        <v>11425</v>
      </c>
    </row>
    <row r="2024" spans="1:13">
      <c r="A2024" s="2">
        <v>4817</v>
      </c>
      <c r="B2024" s="2" t="s">
        <v>11426</v>
      </c>
      <c r="C2024" s="2">
        <v>3</v>
      </c>
      <c r="D2024" s="2">
        <v>556</v>
      </c>
      <c r="E2024" s="2">
        <v>20</v>
      </c>
      <c r="F2024" s="2">
        <v>32441</v>
      </c>
      <c r="G2024" s="2">
        <v>8.7520683449999996</v>
      </c>
      <c r="H2024" s="2">
        <v>6.557167E-3</v>
      </c>
      <c r="I2024" s="2" t="s">
        <v>11427</v>
      </c>
      <c r="J2024" s="2" t="s">
        <v>11428</v>
      </c>
      <c r="K2024" s="2">
        <v>3.8876511000000002E-2</v>
      </c>
      <c r="L2024" s="2" t="s">
        <v>848</v>
      </c>
      <c r="M2024" s="4" t="s">
        <v>11429</v>
      </c>
    </row>
    <row r="2025" spans="1:13">
      <c r="A2025" s="2">
        <v>5011</v>
      </c>
      <c r="B2025" s="2" t="s">
        <v>11430</v>
      </c>
      <c r="C2025" s="2">
        <v>3</v>
      </c>
      <c r="D2025" s="2">
        <v>556</v>
      </c>
      <c r="E2025" s="2">
        <v>20</v>
      </c>
      <c r="F2025" s="2">
        <v>32441</v>
      </c>
      <c r="G2025" s="2">
        <v>8.7520683449999996</v>
      </c>
      <c r="H2025" s="2">
        <v>6.557167E-3</v>
      </c>
      <c r="I2025" s="2" t="s">
        <v>10951</v>
      </c>
      <c r="J2025" s="2" t="s">
        <v>10952</v>
      </c>
      <c r="K2025" s="2">
        <v>3.8876511000000002E-2</v>
      </c>
      <c r="L2025" s="2" t="s">
        <v>848</v>
      </c>
      <c r="M2025" s="4" t="s">
        <v>11431</v>
      </c>
    </row>
    <row r="2026" spans="1:13">
      <c r="A2026" s="2">
        <v>5733</v>
      </c>
      <c r="B2026" s="2" t="s">
        <v>11432</v>
      </c>
      <c r="C2026" s="2">
        <v>3</v>
      </c>
      <c r="D2026" s="2">
        <v>556</v>
      </c>
      <c r="E2026" s="2">
        <v>20</v>
      </c>
      <c r="F2026" s="2">
        <v>32441</v>
      </c>
      <c r="G2026" s="2">
        <v>8.7520683449999996</v>
      </c>
      <c r="H2026" s="2">
        <v>6.557167E-3</v>
      </c>
      <c r="I2026" s="2" t="s">
        <v>11433</v>
      </c>
      <c r="J2026" s="2" t="s">
        <v>11434</v>
      </c>
      <c r="K2026" s="2">
        <v>3.8876511000000002E-2</v>
      </c>
      <c r="L2026" s="2" t="s">
        <v>848</v>
      </c>
      <c r="M2026" s="4" t="s">
        <v>11435</v>
      </c>
    </row>
    <row r="2027" spans="1:13">
      <c r="A2027" s="2">
        <v>12011</v>
      </c>
      <c r="B2027" s="2" t="s">
        <v>11436</v>
      </c>
      <c r="C2027" s="2">
        <v>8</v>
      </c>
      <c r="D2027" s="2">
        <v>556</v>
      </c>
      <c r="E2027" s="2">
        <v>155</v>
      </c>
      <c r="F2027" s="2">
        <v>32441</v>
      </c>
      <c r="G2027" s="2">
        <v>3.0114643769999998</v>
      </c>
      <c r="H2027" s="2">
        <v>6.6151480000000004E-3</v>
      </c>
      <c r="I2027" s="2" t="s">
        <v>11437</v>
      </c>
      <c r="J2027" s="2" t="s">
        <v>11438</v>
      </c>
      <c r="K2027" s="2">
        <v>3.9141831000000002E-2</v>
      </c>
      <c r="L2027" s="2" t="s">
        <v>848</v>
      </c>
      <c r="M2027" s="4" t="s">
        <v>11439</v>
      </c>
    </row>
    <row r="2028" spans="1:13">
      <c r="A2028" s="2">
        <v>3409</v>
      </c>
      <c r="B2028" s="2" t="s">
        <v>11440</v>
      </c>
      <c r="C2028" s="2">
        <v>8</v>
      </c>
      <c r="D2028" s="2">
        <v>556</v>
      </c>
      <c r="E2028" s="2">
        <v>155</v>
      </c>
      <c r="F2028" s="2">
        <v>32441</v>
      </c>
      <c r="G2028" s="2">
        <v>3.0114643769999998</v>
      </c>
      <c r="H2028" s="2">
        <v>6.6151480000000004E-3</v>
      </c>
      <c r="I2028" s="2" t="s">
        <v>11441</v>
      </c>
      <c r="J2028" s="2" t="s">
        <v>11442</v>
      </c>
      <c r="K2028" s="2">
        <v>3.9141831000000002E-2</v>
      </c>
      <c r="L2028" s="2" t="s">
        <v>848</v>
      </c>
      <c r="M2028" s="4" t="s">
        <v>11443</v>
      </c>
    </row>
    <row r="2029" spans="1:13">
      <c r="A2029" s="2">
        <v>5101</v>
      </c>
      <c r="B2029" s="2" t="s">
        <v>11444</v>
      </c>
      <c r="C2029" s="2">
        <v>25</v>
      </c>
      <c r="D2029" s="2">
        <v>556</v>
      </c>
      <c r="E2029" s="2">
        <v>838</v>
      </c>
      <c r="F2029" s="2">
        <v>32441</v>
      </c>
      <c r="G2029" s="2">
        <v>1.74066594</v>
      </c>
      <c r="H2029" s="2">
        <v>6.6393490000000001E-3</v>
      </c>
      <c r="I2029" s="2" t="s">
        <v>11445</v>
      </c>
      <c r="J2029" s="2" t="s">
        <v>11446</v>
      </c>
      <c r="K2029" s="2">
        <v>3.9245782999999999E-2</v>
      </c>
      <c r="L2029" s="2" t="s">
        <v>848</v>
      </c>
      <c r="M2029" s="4" t="s">
        <v>11447</v>
      </c>
    </row>
    <row r="2030" spans="1:13">
      <c r="A2030" s="2">
        <v>8931</v>
      </c>
      <c r="B2030" s="2" t="s">
        <v>11448</v>
      </c>
      <c r="C2030" s="2">
        <v>23</v>
      </c>
      <c r="D2030" s="2">
        <v>556</v>
      </c>
      <c r="E2030" s="2">
        <v>750</v>
      </c>
      <c r="F2030" s="2">
        <v>32441</v>
      </c>
      <c r="G2030" s="2">
        <v>1.7893117510000001</v>
      </c>
      <c r="H2030" s="2">
        <v>6.6485449999999996E-3</v>
      </c>
      <c r="I2030" s="2" t="s">
        <v>11449</v>
      </c>
      <c r="J2030" s="2" t="s">
        <v>11450</v>
      </c>
      <c r="K2030" s="2">
        <v>3.9260917999999999E-2</v>
      </c>
      <c r="L2030" s="2" t="s">
        <v>848</v>
      </c>
      <c r="M2030" s="4" t="s">
        <v>11451</v>
      </c>
    </row>
    <row r="2031" spans="1:13">
      <c r="A2031" s="2">
        <v>40911</v>
      </c>
      <c r="B2031" s="2" t="s">
        <v>11452</v>
      </c>
      <c r="C2031" s="2">
        <v>10</v>
      </c>
      <c r="D2031" s="2">
        <v>556</v>
      </c>
      <c r="E2031" s="2">
        <v>224</v>
      </c>
      <c r="F2031" s="2">
        <v>32441</v>
      </c>
      <c r="G2031" s="2">
        <v>2.6047822460000001</v>
      </c>
      <c r="H2031" s="2">
        <v>6.6774139999999996E-3</v>
      </c>
      <c r="I2031" s="2" t="s">
        <v>11453</v>
      </c>
      <c r="J2031" s="2" t="s">
        <v>11454</v>
      </c>
      <c r="K2031" s="2">
        <v>3.9392082000000002E-2</v>
      </c>
      <c r="L2031" s="2" t="s">
        <v>848</v>
      </c>
      <c r="M2031" s="4" t="s">
        <v>11455</v>
      </c>
    </row>
    <row r="2032" spans="1:13">
      <c r="A2032" s="2">
        <v>5265</v>
      </c>
      <c r="B2032" s="2" t="s">
        <v>11456</v>
      </c>
      <c r="C2032" s="2">
        <v>20</v>
      </c>
      <c r="D2032" s="2">
        <v>556</v>
      </c>
      <c r="E2032" s="2">
        <v>622</v>
      </c>
      <c r="F2032" s="2">
        <v>32441</v>
      </c>
      <c r="G2032" s="2">
        <v>1.8761132570000001</v>
      </c>
      <c r="H2032" s="2">
        <v>6.8097679999999999E-3</v>
      </c>
      <c r="I2032" s="2" t="s">
        <v>11457</v>
      </c>
      <c r="J2032" s="2" t="s">
        <v>11458</v>
      </c>
      <c r="K2032" s="2">
        <v>4.0132867000000003E-2</v>
      </c>
      <c r="L2032" s="2" t="s">
        <v>848</v>
      </c>
      <c r="M2032" s="4" t="s">
        <v>11459</v>
      </c>
    </row>
    <row r="2033" spans="1:13">
      <c r="A2033" s="2">
        <v>1175</v>
      </c>
      <c r="B2033" s="2" t="s">
        <v>11460</v>
      </c>
      <c r="C2033" s="2">
        <v>11</v>
      </c>
      <c r="D2033" s="2">
        <v>556</v>
      </c>
      <c r="E2033" s="2">
        <v>261</v>
      </c>
      <c r="F2033" s="2">
        <v>32441</v>
      </c>
      <c r="G2033" s="2">
        <v>2.4590741199999999</v>
      </c>
      <c r="H2033" s="2">
        <v>6.8193079999999996E-3</v>
      </c>
      <c r="I2033" s="2" t="s">
        <v>11461</v>
      </c>
      <c r="J2033" s="2" t="s">
        <v>11462</v>
      </c>
      <c r="K2033" s="2">
        <v>4.0149101999999999E-2</v>
      </c>
      <c r="L2033" s="2" t="s">
        <v>848</v>
      </c>
      <c r="M2033" s="4" t="s">
        <v>11463</v>
      </c>
    </row>
    <row r="2034" spans="1:13">
      <c r="A2034" s="2">
        <v>4950</v>
      </c>
      <c r="B2034" s="2" t="s">
        <v>11464</v>
      </c>
      <c r="C2034" s="2">
        <v>42</v>
      </c>
      <c r="D2034" s="2">
        <v>556</v>
      </c>
      <c r="E2034" s="2">
        <v>1631</v>
      </c>
      <c r="F2034" s="2">
        <v>32441</v>
      </c>
      <c r="G2034" s="2">
        <v>1.5025010029999999</v>
      </c>
      <c r="H2034" s="2">
        <v>6.9199040000000002E-3</v>
      </c>
      <c r="I2034" s="2" t="s">
        <v>11465</v>
      </c>
      <c r="J2034" s="2" t="s">
        <v>11466</v>
      </c>
      <c r="K2034" s="2">
        <v>4.0700866000000002E-2</v>
      </c>
      <c r="L2034" s="2" t="s">
        <v>848</v>
      </c>
      <c r="M2034" s="4" t="s">
        <v>11467</v>
      </c>
    </row>
    <row r="2035" spans="1:13">
      <c r="A2035" s="2">
        <v>5748</v>
      </c>
      <c r="B2035" s="2" t="s">
        <v>11468</v>
      </c>
      <c r="C2035" s="2">
        <v>20</v>
      </c>
      <c r="D2035" s="2">
        <v>556</v>
      </c>
      <c r="E2035" s="2">
        <v>624</v>
      </c>
      <c r="F2035" s="2">
        <v>32441</v>
      </c>
      <c r="G2035" s="2">
        <v>1.870100074</v>
      </c>
      <c r="H2035" s="2">
        <v>7.0351850000000002E-3</v>
      </c>
      <c r="I2035" s="2" t="s">
        <v>11469</v>
      </c>
      <c r="J2035" s="2" t="s">
        <v>11470</v>
      </c>
      <c r="K2035" s="2">
        <v>4.1337825000000002E-2</v>
      </c>
      <c r="L2035" s="2" t="s">
        <v>848</v>
      </c>
      <c r="M2035" s="4" t="s">
        <v>11471</v>
      </c>
    </row>
    <row r="2036" spans="1:13">
      <c r="A2036" s="2">
        <v>4937</v>
      </c>
      <c r="B2036" s="2" t="s">
        <v>11472</v>
      </c>
      <c r="C2036" s="2">
        <v>13</v>
      </c>
      <c r="D2036" s="2">
        <v>556</v>
      </c>
      <c r="E2036" s="2">
        <v>338</v>
      </c>
      <c r="F2036" s="2">
        <v>32441</v>
      </c>
      <c r="G2036" s="2">
        <v>2.2441200889999999</v>
      </c>
      <c r="H2036" s="2">
        <v>7.064908E-3</v>
      </c>
      <c r="I2036" s="2" t="s">
        <v>11473</v>
      </c>
      <c r="J2036" s="2" t="s">
        <v>11474</v>
      </c>
      <c r="K2036" s="2">
        <v>4.1471292999999999E-2</v>
      </c>
      <c r="L2036" s="2" t="s">
        <v>848</v>
      </c>
      <c r="M2036" s="4" t="s">
        <v>11475</v>
      </c>
    </row>
    <row r="2037" spans="1:13">
      <c r="A2037" s="2">
        <v>5180</v>
      </c>
      <c r="B2037" s="2" t="s">
        <v>11476</v>
      </c>
      <c r="C2037" s="2">
        <v>8</v>
      </c>
      <c r="D2037" s="2">
        <v>556</v>
      </c>
      <c r="E2037" s="2">
        <v>157</v>
      </c>
      <c r="F2037" s="2">
        <v>32441</v>
      </c>
      <c r="G2037" s="2">
        <v>2.9731017729999998</v>
      </c>
      <c r="H2037" s="2">
        <v>7.1011909999999998E-3</v>
      </c>
      <c r="I2037" s="2" t="s">
        <v>11477</v>
      </c>
      <c r="J2037" s="2" t="s">
        <v>11478</v>
      </c>
      <c r="K2037" s="2">
        <v>4.1642961999999999E-2</v>
      </c>
      <c r="L2037" s="2" t="s">
        <v>848</v>
      </c>
      <c r="M2037" s="4" t="s">
        <v>11479</v>
      </c>
    </row>
    <row r="2038" spans="1:13">
      <c r="A2038" s="2">
        <v>416</v>
      </c>
      <c r="B2038" s="2" t="s">
        <v>11480</v>
      </c>
      <c r="C2038" s="2">
        <v>3</v>
      </c>
      <c r="D2038" s="2">
        <v>556</v>
      </c>
      <c r="E2038" s="2">
        <v>21</v>
      </c>
      <c r="F2038" s="2">
        <v>32441</v>
      </c>
      <c r="G2038" s="2">
        <v>8.3353031860000009</v>
      </c>
      <c r="H2038" s="2">
        <v>7.4013009999999999E-3</v>
      </c>
      <c r="I2038" s="2" t="s">
        <v>11481</v>
      </c>
      <c r="J2038" s="2" t="s">
        <v>11482</v>
      </c>
      <c r="K2038" s="2">
        <v>4.2976938999999999E-2</v>
      </c>
      <c r="L2038" s="2" t="s">
        <v>848</v>
      </c>
      <c r="M2038" s="4" t="s">
        <v>11483</v>
      </c>
    </row>
    <row r="2039" spans="1:13">
      <c r="A2039" s="2">
        <v>451</v>
      </c>
      <c r="B2039" s="2" t="s">
        <v>11484</v>
      </c>
      <c r="C2039" s="2">
        <v>11</v>
      </c>
      <c r="D2039" s="2">
        <v>556</v>
      </c>
      <c r="E2039" s="2">
        <v>264</v>
      </c>
      <c r="F2039" s="2">
        <v>32441</v>
      </c>
      <c r="G2039" s="2">
        <v>2.431130096</v>
      </c>
      <c r="H2039" s="2">
        <v>7.3766350000000003E-3</v>
      </c>
      <c r="I2039" s="2" t="s">
        <v>11485</v>
      </c>
      <c r="J2039" s="2" t="s">
        <v>11486</v>
      </c>
      <c r="K2039" s="2">
        <v>4.2976938999999999E-2</v>
      </c>
      <c r="L2039" s="2" t="s">
        <v>848</v>
      </c>
      <c r="M2039" s="4" t="s">
        <v>11487</v>
      </c>
    </row>
    <row r="2040" spans="1:13">
      <c r="A2040" s="2">
        <v>900</v>
      </c>
      <c r="B2040" s="2" t="s">
        <v>11488</v>
      </c>
      <c r="C2040" s="2">
        <v>3</v>
      </c>
      <c r="D2040" s="2">
        <v>556</v>
      </c>
      <c r="E2040" s="2">
        <v>21</v>
      </c>
      <c r="F2040" s="2">
        <v>32441</v>
      </c>
      <c r="G2040" s="2">
        <v>8.3353031860000009</v>
      </c>
      <c r="H2040" s="2">
        <v>7.4013009999999999E-3</v>
      </c>
      <c r="I2040" s="2" t="s">
        <v>11042</v>
      </c>
      <c r="J2040" s="2" t="s">
        <v>11043</v>
      </c>
      <c r="K2040" s="2">
        <v>4.2976938999999999E-2</v>
      </c>
      <c r="L2040" s="2" t="s">
        <v>848</v>
      </c>
      <c r="M2040" s="4" t="s">
        <v>11489</v>
      </c>
    </row>
    <row r="2041" spans="1:13">
      <c r="A2041" s="2">
        <v>1122</v>
      </c>
      <c r="B2041" s="2" t="s">
        <v>11490</v>
      </c>
      <c r="C2041" s="2">
        <v>6</v>
      </c>
      <c r="D2041" s="2">
        <v>556</v>
      </c>
      <c r="E2041" s="2">
        <v>95</v>
      </c>
      <c r="F2041" s="2">
        <v>32441</v>
      </c>
      <c r="G2041" s="2">
        <v>3.6850814089999999</v>
      </c>
      <c r="H2041" s="2">
        <v>7.3393290000000003E-3</v>
      </c>
      <c r="I2041" s="2" t="s">
        <v>11491</v>
      </c>
      <c r="J2041" s="2" t="s">
        <v>11492</v>
      </c>
      <c r="K2041" s="2">
        <v>4.2976938999999999E-2</v>
      </c>
      <c r="L2041" s="2" t="s">
        <v>848</v>
      </c>
      <c r="M2041" s="4" t="s">
        <v>11493</v>
      </c>
    </row>
    <row r="2042" spans="1:13">
      <c r="A2042" s="2">
        <v>16461</v>
      </c>
      <c r="B2042" s="2" t="s">
        <v>11494</v>
      </c>
      <c r="C2042" s="2">
        <v>5</v>
      </c>
      <c r="D2042" s="2">
        <v>556</v>
      </c>
      <c r="E2042" s="2">
        <v>67</v>
      </c>
      <c r="F2042" s="2">
        <v>32441</v>
      </c>
      <c r="G2042" s="2">
        <v>4.3542628580000002</v>
      </c>
      <c r="H2042" s="2">
        <v>7.393157E-3</v>
      </c>
      <c r="I2042" s="2" t="s">
        <v>9939</v>
      </c>
      <c r="J2042" s="2" t="s">
        <v>9940</v>
      </c>
      <c r="K2042" s="2">
        <v>4.2976938999999999E-2</v>
      </c>
      <c r="L2042" s="2" t="s">
        <v>848</v>
      </c>
      <c r="M2042" s="4" t="s">
        <v>11495</v>
      </c>
    </row>
    <row r="2043" spans="1:13">
      <c r="A2043" s="2">
        <v>1772</v>
      </c>
      <c r="B2043" s="2" t="s">
        <v>11496</v>
      </c>
      <c r="C2043" s="2">
        <v>5</v>
      </c>
      <c r="D2043" s="2">
        <v>556</v>
      </c>
      <c r="E2043" s="2">
        <v>67</v>
      </c>
      <c r="F2043" s="2">
        <v>32441</v>
      </c>
      <c r="G2043" s="2">
        <v>4.3542628580000002</v>
      </c>
      <c r="H2043" s="2">
        <v>7.393157E-3</v>
      </c>
      <c r="I2043" s="2" t="s">
        <v>11497</v>
      </c>
      <c r="J2043" s="2" t="s">
        <v>11498</v>
      </c>
      <c r="K2043" s="2">
        <v>4.2976938999999999E-2</v>
      </c>
      <c r="L2043" s="2" t="s">
        <v>848</v>
      </c>
      <c r="M2043" s="4" t="s">
        <v>11499</v>
      </c>
    </row>
    <row r="2044" spans="1:13">
      <c r="A2044" s="2">
        <v>2217</v>
      </c>
      <c r="B2044" s="2" t="s">
        <v>11500</v>
      </c>
      <c r="C2044" s="2">
        <v>3</v>
      </c>
      <c r="D2044" s="2">
        <v>556</v>
      </c>
      <c r="E2044" s="2">
        <v>21</v>
      </c>
      <c r="F2044" s="2">
        <v>32441</v>
      </c>
      <c r="G2044" s="2">
        <v>8.3353031860000009</v>
      </c>
      <c r="H2044" s="2">
        <v>7.4013009999999999E-3</v>
      </c>
      <c r="I2044" s="2" t="s">
        <v>11501</v>
      </c>
      <c r="J2044" s="2" t="s">
        <v>11502</v>
      </c>
      <c r="K2044" s="2">
        <v>4.2976938999999999E-2</v>
      </c>
      <c r="L2044" s="2" t="s">
        <v>848</v>
      </c>
      <c r="M2044" s="4" t="s">
        <v>11503</v>
      </c>
    </row>
    <row r="2045" spans="1:13">
      <c r="A2045" s="2">
        <v>28541</v>
      </c>
      <c r="B2045" s="2" t="s">
        <v>11504</v>
      </c>
      <c r="C2045" s="2">
        <v>8</v>
      </c>
      <c r="D2045" s="2">
        <v>556</v>
      </c>
      <c r="E2045" s="2">
        <v>158</v>
      </c>
      <c r="F2045" s="2">
        <v>32441</v>
      </c>
      <c r="G2045" s="2">
        <v>2.9542846740000002</v>
      </c>
      <c r="H2045" s="2">
        <v>7.3540860000000001E-3</v>
      </c>
      <c r="I2045" s="2" t="s">
        <v>11505</v>
      </c>
      <c r="J2045" s="2" t="s">
        <v>11506</v>
      </c>
      <c r="K2045" s="2">
        <v>4.2976938999999999E-2</v>
      </c>
      <c r="L2045" s="2" t="s">
        <v>848</v>
      </c>
      <c r="M2045" s="4" t="s">
        <v>11507</v>
      </c>
    </row>
    <row r="2046" spans="1:13">
      <c r="A2046" s="2">
        <v>3231</v>
      </c>
      <c r="B2046" s="2" t="s">
        <v>11508</v>
      </c>
      <c r="C2046" s="2">
        <v>3</v>
      </c>
      <c r="D2046" s="2">
        <v>556</v>
      </c>
      <c r="E2046" s="2">
        <v>21</v>
      </c>
      <c r="F2046" s="2">
        <v>32441</v>
      </c>
      <c r="G2046" s="2">
        <v>8.3353031860000009</v>
      </c>
      <c r="H2046" s="2">
        <v>7.4013009999999999E-3</v>
      </c>
      <c r="I2046" s="2" t="s">
        <v>11509</v>
      </c>
      <c r="J2046" s="2" t="s">
        <v>11510</v>
      </c>
      <c r="K2046" s="2">
        <v>4.2976938999999999E-2</v>
      </c>
      <c r="L2046" s="2" t="s">
        <v>848</v>
      </c>
      <c r="M2046" s="4" t="s">
        <v>11511</v>
      </c>
    </row>
    <row r="2047" spans="1:13">
      <c r="A2047" s="2">
        <v>4967</v>
      </c>
      <c r="B2047" s="2" t="s">
        <v>11512</v>
      </c>
      <c r="C2047" s="2">
        <v>3</v>
      </c>
      <c r="D2047" s="2">
        <v>556</v>
      </c>
      <c r="E2047" s="2">
        <v>21</v>
      </c>
      <c r="F2047" s="2">
        <v>32441</v>
      </c>
      <c r="G2047" s="2">
        <v>8.3353031860000009</v>
      </c>
      <c r="H2047" s="2">
        <v>7.4013009999999999E-3</v>
      </c>
      <c r="I2047" s="2" t="s">
        <v>11513</v>
      </c>
      <c r="J2047" s="2" t="s">
        <v>11514</v>
      </c>
      <c r="K2047" s="2">
        <v>4.2976938999999999E-2</v>
      </c>
      <c r="L2047" s="2" t="s">
        <v>848</v>
      </c>
      <c r="M2047" s="4" t="s">
        <v>11515</v>
      </c>
    </row>
    <row r="2048" spans="1:13">
      <c r="A2048" s="2">
        <v>5341</v>
      </c>
      <c r="B2048" s="2" t="s">
        <v>11516</v>
      </c>
      <c r="C2048" s="2">
        <v>4</v>
      </c>
      <c r="D2048" s="2">
        <v>556</v>
      </c>
      <c r="E2048" s="2">
        <v>42</v>
      </c>
      <c r="F2048" s="2">
        <v>32441</v>
      </c>
      <c r="G2048" s="2">
        <v>5.5568687910000003</v>
      </c>
      <c r="H2048" s="2">
        <v>7.4392870000000002E-3</v>
      </c>
      <c r="I2048" s="2" t="s">
        <v>11517</v>
      </c>
      <c r="J2048" s="2" t="s">
        <v>11518</v>
      </c>
      <c r="K2048" s="2">
        <v>4.3070707E-2</v>
      </c>
      <c r="L2048" s="2" t="s">
        <v>848</v>
      </c>
      <c r="M2048" s="4" t="s">
        <v>11519</v>
      </c>
    </row>
    <row r="2049" spans="1:13">
      <c r="A2049" s="2">
        <v>1821</v>
      </c>
      <c r="B2049" s="2" t="s">
        <v>11520</v>
      </c>
      <c r="C2049" s="2">
        <v>4</v>
      </c>
      <c r="D2049" s="2">
        <v>556</v>
      </c>
      <c r="E2049" s="2">
        <v>42</v>
      </c>
      <c r="F2049" s="2">
        <v>32441</v>
      </c>
      <c r="G2049" s="2">
        <v>5.5568687910000003</v>
      </c>
      <c r="H2049" s="2">
        <v>7.4392870000000002E-3</v>
      </c>
      <c r="I2049" s="2" t="s">
        <v>11070</v>
      </c>
      <c r="J2049" s="2" t="s">
        <v>11071</v>
      </c>
      <c r="K2049" s="2">
        <v>4.3070707E-2</v>
      </c>
      <c r="L2049" s="2" t="s">
        <v>848</v>
      </c>
      <c r="M2049" s="4" t="s">
        <v>11521</v>
      </c>
    </row>
    <row r="2050" spans="1:13">
      <c r="A2050" s="2">
        <v>2238</v>
      </c>
      <c r="B2050" s="2" t="s">
        <v>11522</v>
      </c>
      <c r="C2050" s="2">
        <v>4</v>
      </c>
      <c r="D2050" s="2">
        <v>556</v>
      </c>
      <c r="E2050" s="2">
        <v>42</v>
      </c>
      <c r="F2050" s="2">
        <v>32441</v>
      </c>
      <c r="G2050" s="2">
        <v>5.5568687910000003</v>
      </c>
      <c r="H2050" s="2">
        <v>7.4392870000000002E-3</v>
      </c>
      <c r="I2050" s="2" t="s">
        <v>11128</v>
      </c>
      <c r="J2050" s="2" t="s">
        <v>11129</v>
      </c>
      <c r="K2050" s="2">
        <v>4.3070707E-2</v>
      </c>
      <c r="L2050" s="2" t="s">
        <v>848</v>
      </c>
      <c r="M2050" s="4" t="s">
        <v>11523</v>
      </c>
    </row>
    <row r="2051" spans="1:13">
      <c r="A2051" s="2">
        <v>2811</v>
      </c>
      <c r="B2051" s="2" t="s">
        <v>11524</v>
      </c>
      <c r="C2051" s="2">
        <v>7</v>
      </c>
      <c r="D2051" s="2">
        <v>556</v>
      </c>
      <c r="E2051" s="2">
        <v>126</v>
      </c>
      <c r="F2051" s="2">
        <v>32441</v>
      </c>
      <c r="G2051" s="2">
        <v>3.2415067949999998</v>
      </c>
      <c r="H2051" s="2">
        <v>7.4829889999999998E-3</v>
      </c>
      <c r="I2051" s="2" t="s">
        <v>11525</v>
      </c>
      <c r="J2051" s="2" t="s">
        <v>11526</v>
      </c>
      <c r="K2051" s="2">
        <v>4.3281377000000003E-2</v>
      </c>
      <c r="L2051" s="2" t="s">
        <v>848</v>
      </c>
      <c r="M2051" s="4" t="s">
        <v>11527</v>
      </c>
    </row>
    <row r="2052" spans="1:13">
      <c r="A2052" s="2">
        <v>4541</v>
      </c>
      <c r="B2052" s="2" t="s">
        <v>11528</v>
      </c>
      <c r="C2052" s="2">
        <v>11</v>
      </c>
      <c r="D2052" s="2">
        <v>556</v>
      </c>
      <c r="E2052" s="2">
        <v>265</v>
      </c>
      <c r="F2052" s="2">
        <v>32441</v>
      </c>
      <c r="G2052" s="2">
        <v>2.4219560200000001</v>
      </c>
      <c r="H2052" s="2">
        <v>7.5700949999999998E-3</v>
      </c>
      <c r="I2052" s="2" t="s">
        <v>11529</v>
      </c>
      <c r="J2052" s="2" t="s">
        <v>11530</v>
      </c>
      <c r="K2052" s="2">
        <v>4.3742436000000003E-2</v>
      </c>
      <c r="L2052" s="2" t="s">
        <v>848</v>
      </c>
      <c r="M2052" s="4" t="s">
        <v>11531</v>
      </c>
    </row>
    <row r="2053" spans="1:13">
      <c r="A2053" s="2">
        <v>5308</v>
      </c>
      <c r="B2053" s="2" t="s">
        <v>11532</v>
      </c>
      <c r="C2053" s="2">
        <v>20</v>
      </c>
      <c r="D2053" s="2">
        <v>556</v>
      </c>
      <c r="E2053" s="2">
        <v>629</v>
      </c>
      <c r="F2053" s="2">
        <v>32441</v>
      </c>
      <c r="G2053" s="2">
        <v>1.855234413</v>
      </c>
      <c r="H2053" s="2">
        <v>7.6254490000000003E-3</v>
      </c>
      <c r="I2053" s="2" t="s">
        <v>11533</v>
      </c>
      <c r="J2053" s="2" t="s">
        <v>11534</v>
      </c>
      <c r="K2053" s="2">
        <v>4.4019298999999998E-2</v>
      </c>
      <c r="L2053" s="2" t="s">
        <v>848</v>
      </c>
      <c r="M2053" s="4" t="s">
        <v>11535</v>
      </c>
    </row>
    <row r="2054" spans="1:13">
      <c r="A2054" s="2">
        <v>2334</v>
      </c>
      <c r="B2054" s="2" t="s">
        <v>11536</v>
      </c>
      <c r="C2054" s="2">
        <v>14</v>
      </c>
      <c r="D2054" s="2">
        <v>556</v>
      </c>
      <c r="E2054" s="2">
        <v>381</v>
      </c>
      <c r="F2054" s="2">
        <v>32441</v>
      </c>
      <c r="G2054" s="2">
        <v>2.1439887459999998</v>
      </c>
      <c r="H2054" s="2">
        <v>7.6806319999999997E-3</v>
      </c>
      <c r="I2054" s="2" t="s">
        <v>11537</v>
      </c>
      <c r="J2054" s="2" t="s">
        <v>11538</v>
      </c>
      <c r="K2054" s="2">
        <v>4.4294637999999997E-2</v>
      </c>
      <c r="L2054" s="2" t="s">
        <v>848</v>
      </c>
      <c r="M2054" s="4" t="s">
        <v>11539</v>
      </c>
    </row>
    <row r="2055" spans="1:13">
      <c r="A2055" s="2">
        <v>1231</v>
      </c>
      <c r="B2055" s="2" t="s">
        <v>11540</v>
      </c>
      <c r="C2055" s="2">
        <v>6</v>
      </c>
      <c r="D2055" s="2">
        <v>556</v>
      </c>
      <c r="E2055" s="2">
        <v>96</v>
      </c>
      <c r="F2055" s="2">
        <v>32441</v>
      </c>
      <c r="G2055" s="2">
        <v>3.6466951440000002</v>
      </c>
      <c r="H2055" s="2">
        <v>7.6899830000000001E-3</v>
      </c>
      <c r="I2055" s="2" t="s">
        <v>11541</v>
      </c>
      <c r="J2055" s="2" t="s">
        <v>11542</v>
      </c>
      <c r="K2055" s="2">
        <v>4.4305381999999997E-2</v>
      </c>
      <c r="L2055" s="2" t="s">
        <v>848</v>
      </c>
      <c r="M2055" s="4" t="s">
        <v>11543</v>
      </c>
    </row>
    <row r="2056" spans="1:13">
      <c r="A2056" s="2">
        <v>668</v>
      </c>
      <c r="B2056" s="2" t="s">
        <v>11544</v>
      </c>
      <c r="C2056" s="2">
        <v>5</v>
      </c>
      <c r="D2056" s="2">
        <v>556</v>
      </c>
      <c r="E2056" s="2">
        <v>68</v>
      </c>
      <c r="F2056" s="2">
        <v>32441</v>
      </c>
      <c r="G2056" s="2">
        <v>4.2902295810000002</v>
      </c>
      <c r="H2056" s="2">
        <v>7.8294090000000007E-3</v>
      </c>
      <c r="I2056" s="2" t="s">
        <v>11545</v>
      </c>
      <c r="J2056" s="2" t="s">
        <v>11546</v>
      </c>
      <c r="K2056" s="2">
        <v>4.5021007000000002E-2</v>
      </c>
      <c r="L2056" s="2" t="s">
        <v>848</v>
      </c>
      <c r="M2056" s="4" t="s">
        <v>11547</v>
      </c>
    </row>
    <row r="2057" spans="1:13">
      <c r="A2057" s="2">
        <v>1146</v>
      </c>
      <c r="B2057" s="2" t="s">
        <v>11548</v>
      </c>
      <c r="C2057" s="2">
        <v>5</v>
      </c>
      <c r="D2057" s="2">
        <v>556</v>
      </c>
      <c r="E2057" s="2">
        <v>68</v>
      </c>
      <c r="F2057" s="2">
        <v>32441</v>
      </c>
      <c r="G2057" s="2">
        <v>4.2902295810000002</v>
      </c>
      <c r="H2057" s="2">
        <v>7.8294090000000007E-3</v>
      </c>
      <c r="I2057" s="2" t="s">
        <v>11549</v>
      </c>
      <c r="J2057" s="2" t="s">
        <v>11550</v>
      </c>
      <c r="K2057" s="2">
        <v>4.5021007000000002E-2</v>
      </c>
      <c r="L2057" s="2" t="s">
        <v>848</v>
      </c>
      <c r="M2057" s="4" t="s">
        <v>11551</v>
      </c>
    </row>
    <row r="2058" spans="1:13">
      <c r="A2058" s="2">
        <v>1480</v>
      </c>
      <c r="B2058" s="2" t="s">
        <v>11552</v>
      </c>
      <c r="C2058" s="2">
        <v>4</v>
      </c>
      <c r="D2058" s="2">
        <v>556</v>
      </c>
      <c r="E2058" s="2">
        <v>43</v>
      </c>
      <c r="F2058" s="2">
        <v>32441</v>
      </c>
      <c r="G2058" s="2">
        <v>5.4276392839999996</v>
      </c>
      <c r="H2058" s="2">
        <v>8.0251119999999992E-3</v>
      </c>
      <c r="I2058" s="2" t="s">
        <v>11553</v>
      </c>
      <c r="J2058" s="2" t="s">
        <v>11554</v>
      </c>
      <c r="K2058" s="2">
        <v>4.6056824000000003E-2</v>
      </c>
      <c r="L2058" s="2" t="s">
        <v>848</v>
      </c>
      <c r="M2058" s="4" t="s">
        <v>11555</v>
      </c>
    </row>
    <row r="2059" spans="1:13">
      <c r="A2059" s="2">
        <v>4965</v>
      </c>
      <c r="B2059" s="2" t="s">
        <v>11556</v>
      </c>
      <c r="C2059" s="2">
        <v>4</v>
      </c>
      <c r="D2059" s="2">
        <v>556</v>
      </c>
      <c r="E2059" s="2">
        <v>43</v>
      </c>
      <c r="F2059" s="2">
        <v>32441</v>
      </c>
      <c r="G2059" s="2">
        <v>5.4276392839999996</v>
      </c>
      <c r="H2059" s="2">
        <v>8.0251119999999992E-3</v>
      </c>
      <c r="I2059" s="2" t="s">
        <v>11557</v>
      </c>
      <c r="J2059" s="2" t="s">
        <v>11558</v>
      </c>
      <c r="K2059" s="2">
        <v>4.6056824000000003E-2</v>
      </c>
      <c r="L2059" s="2" t="s">
        <v>848</v>
      </c>
      <c r="M2059" s="4" t="s">
        <v>11559</v>
      </c>
    </row>
    <row r="2060" spans="1:13">
      <c r="A2060" s="2">
        <v>3421</v>
      </c>
      <c r="B2060" s="2" t="s">
        <v>11560</v>
      </c>
      <c r="C2060" s="2">
        <v>7</v>
      </c>
      <c r="D2060" s="2">
        <v>556</v>
      </c>
      <c r="E2060" s="2">
        <v>128</v>
      </c>
      <c r="F2060" s="2">
        <v>32441</v>
      </c>
      <c r="G2060" s="2">
        <v>3.1908582509999999</v>
      </c>
      <c r="H2060" s="2">
        <v>8.0940860000000003E-3</v>
      </c>
      <c r="I2060" s="2" t="s">
        <v>11561</v>
      </c>
      <c r="J2060" s="2" t="s">
        <v>11562</v>
      </c>
      <c r="K2060" s="2">
        <v>4.6407661000000003E-2</v>
      </c>
      <c r="L2060" s="2" t="s">
        <v>848</v>
      </c>
      <c r="M2060" s="4" t="s">
        <v>11563</v>
      </c>
    </row>
    <row r="2061" spans="1:13">
      <c r="A2061" s="2">
        <v>4871</v>
      </c>
      <c r="B2061" s="2" t="s">
        <v>11564</v>
      </c>
      <c r="C2061" s="2">
        <v>3</v>
      </c>
      <c r="D2061" s="2">
        <v>556</v>
      </c>
      <c r="E2061" s="2">
        <v>22</v>
      </c>
      <c r="F2061" s="2">
        <v>32441</v>
      </c>
      <c r="G2061" s="2">
        <v>7.9564257679999999</v>
      </c>
      <c r="H2061" s="2">
        <v>8.3067309999999995E-3</v>
      </c>
      <c r="I2061" s="2" t="s">
        <v>11565</v>
      </c>
      <c r="J2061" s="2" t="s">
        <v>11566</v>
      </c>
      <c r="K2061" s="2">
        <v>4.7442980000000003E-2</v>
      </c>
      <c r="L2061" s="2" t="s">
        <v>848</v>
      </c>
      <c r="M2061" s="4" t="s">
        <v>11567</v>
      </c>
    </row>
    <row r="2062" spans="1:13">
      <c r="A2062" s="2">
        <v>1118</v>
      </c>
      <c r="B2062" s="2" t="s">
        <v>11568</v>
      </c>
      <c r="C2062" s="2">
        <v>3</v>
      </c>
      <c r="D2062" s="2">
        <v>556</v>
      </c>
      <c r="E2062" s="2">
        <v>22</v>
      </c>
      <c r="F2062" s="2">
        <v>32441</v>
      </c>
      <c r="G2062" s="2">
        <v>7.9564257679999999</v>
      </c>
      <c r="H2062" s="2">
        <v>8.3067309999999995E-3</v>
      </c>
      <c r="I2062" s="2" t="s">
        <v>11112</v>
      </c>
      <c r="J2062" s="2" t="s">
        <v>11113</v>
      </c>
      <c r="K2062" s="2">
        <v>4.7442980000000003E-2</v>
      </c>
      <c r="L2062" s="2" t="s">
        <v>848</v>
      </c>
      <c r="M2062" s="4" t="s">
        <v>11569</v>
      </c>
    </row>
    <row r="2063" spans="1:13">
      <c r="A2063" s="2">
        <v>34901</v>
      </c>
      <c r="B2063" s="2" t="s">
        <v>11570</v>
      </c>
      <c r="C2063" s="2">
        <v>5</v>
      </c>
      <c r="D2063" s="2">
        <v>556</v>
      </c>
      <c r="E2063" s="2">
        <v>69</v>
      </c>
      <c r="F2063" s="2">
        <v>32441</v>
      </c>
      <c r="G2063" s="2">
        <v>4.2280523409999997</v>
      </c>
      <c r="H2063" s="2">
        <v>8.2832280000000001E-3</v>
      </c>
      <c r="I2063" s="2" t="s">
        <v>11571</v>
      </c>
      <c r="J2063" s="2" t="s">
        <v>11572</v>
      </c>
      <c r="K2063" s="2">
        <v>4.7442980000000003E-2</v>
      </c>
      <c r="L2063" s="2" t="s">
        <v>848</v>
      </c>
      <c r="M2063" s="4" t="s">
        <v>11573</v>
      </c>
    </row>
    <row r="2064" spans="1:13">
      <c r="A2064" s="2">
        <v>4474</v>
      </c>
      <c r="B2064" s="2" t="s">
        <v>11574</v>
      </c>
      <c r="C2064" s="2">
        <v>3</v>
      </c>
      <c r="D2064" s="2">
        <v>556</v>
      </c>
      <c r="E2064" s="2">
        <v>22</v>
      </c>
      <c r="F2064" s="2">
        <v>32441</v>
      </c>
      <c r="G2064" s="2">
        <v>7.9564257679999999</v>
      </c>
      <c r="H2064" s="2">
        <v>8.3067309999999995E-3</v>
      </c>
      <c r="I2064" s="2" t="s">
        <v>11575</v>
      </c>
      <c r="J2064" s="2" t="s">
        <v>11576</v>
      </c>
      <c r="K2064" s="2">
        <v>4.7442980000000003E-2</v>
      </c>
      <c r="L2064" s="2" t="s">
        <v>848</v>
      </c>
      <c r="M2064" s="4" t="s">
        <v>11577</v>
      </c>
    </row>
    <row r="2065" spans="1:13">
      <c r="A2065" s="2">
        <v>3086</v>
      </c>
      <c r="B2065" s="2" t="s">
        <v>11578</v>
      </c>
      <c r="C2065" s="2">
        <v>6</v>
      </c>
      <c r="D2065" s="2">
        <v>556</v>
      </c>
      <c r="E2065" s="2">
        <v>98</v>
      </c>
      <c r="F2065" s="2">
        <v>32441</v>
      </c>
      <c r="G2065" s="2">
        <v>3.5722727939999999</v>
      </c>
      <c r="H2065" s="2">
        <v>8.4272349999999999E-3</v>
      </c>
      <c r="I2065" s="2" t="s">
        <v>11579</v>
      </c>
      <c r="J2065" s="2" t="s">
        <v>11580</v>
      </c>
      <c r="K2065" s="2">
        <v>4.8038487999999997E-2</v>
      </c>
      <c r="L2065" s="2" t="s">
        <v>848</v>
      </c>
      <c r="M2065" s="4" t="s">
        <v>11581</v>
      </c>
    </row>
    <row r="2066" spans="1:13">
      <c r="A2066" s="2">
        <v>4090</v>
      </c>
      <c r="B2066" s="2" t="s">
        <v>11582</v>
      </c>
      <c r="C2066" s="2">
        <v>6</v>
      </c>
      <c r="D2066" s="2">
        <v>556</v>
      </c>
      <c r="E2066" s="2">
        <v>98</v>
      </c>
      <c r="F2066" s="2">
        <v>32441</v>
      </c>
      <c r="G2066" s="2">
        <v>3.5722727939999999</v>
      </c>
      <c r="H2066" s="2">
        <v>8.4272349999999999E-3</v>
      </c>
      <c r="I2066" s="2" t="s">
        <v>11583</v>
      </c>
      <c r="J2066" s="2" t="s">
        <v>11584</v>
      </c>
      <c r="K2066" s="2">
        <v>4.8038487999999997E-2</v>
      </c>
      <c r="L2066" s="2" t="s">
        <v>848</v>
      </c>
      <c r="M2066" s="4" t="s">
        <v>11585</v>
      </c>
    </row>
    <row r="2067" spans="1:13">
      <c r="A2067" s="2">
        <v>1220</v>
      </c>
      <c r="B2067" s="2" t="s">
        <v>1117</v>
      </c>
      <c r="C2067" s="2">
        <v>13</v>
      </c>
      <c r="D2067" s="2">
        <v>556</v>
      </c>
      <c r="E2067" s="2">
        <v>346</v>
      </c>
      <c r="F2067" s="2">
        <v>32441</v>
      </c>
      <c r="G2067" s="2">
        <v>2.1922329189999998</v>
      </c>
      <c r="H2067" s="2">
        <v>8.4452759999999998E-3</v>
      </c>
      <c r="I2067" s="2" t="s">
        <v>11586</v>
      </c>
      <c r="J2067" s="2" t="s">
        <v>11587</v>
      </c>
      <c r="K2067" s="2">
        <v>4.8094994000000002E-2</v>
      </c>
      <c r="L2067" s="2" t="s">
        <v>848</v>
      </c>
      <c r="M2067" s="4" t="s">
        <v>11588</v>
      </c>
    </row>
    <row r="2068" spans="1:13">
      <c r="A2068" s="2">
        <v>2804</v>
      </c>
      <c r="B2068" s="2" t="s">
        <v>11589</v>
      </c>
      <c r="C2068" s="2">
        <v>9</v>
      </c>
      <c r="D2068" s="2">
        <v>556</v>
      </c>
      <c r="E2068" s="2">
        <v>197</v>
      </c>
      <c r="F2068" s="2">
        <v>32441</v>
      </c>
      <c r="G2068" s="2">
        <v>2.6656045719999999</v>
      </c>
      <c r="H2068" s="2">
        <v>8.5635079999999992E-3</v>
      </c>
      <c r="I2068" s="2" t="s">
        <v>11590</v>
      </c>
      <c r="J2068" s="2" t="s">
        <v>11591</v>
      </c>
      <c r="K2068" s="2">
        <v>4.8721420000000001E-2</v>
      </c>
      <c r="L2068" s="2" t="s">
        <v>848</v>
      </c>
      <c r="M2068" s="4" t="s">
        <v>11592</v>
      </c>
    </row>
    <row r="2069" spans="1:13">
      <c r="A2069" s="2">
        <v>5693</v>
      </c>
      <c r="B2069" s="2" t="s">
        <v>11593</v>
      </c>
      <c r="C2069" s="2">
        <v>10</v>
      </c>
      <c r="D2069" s="2">
        <v>556</v>
      </c>
      <c r="E2069" s="2">
        <v>233</v>
      </c>
      <c r="F2069" s="2">
        <v>32441</v>
      </c>
      <c r="G2069" s="2">
        <v>2.504168339</v>
      </c>
      <c r="H2069" s="2">
        <v>8.5966570000000006E-3</v>
      </c>
      <c r="I2069" s="2" t="s">
        <v>11594</v>
      </c>
      <c r="J2069" s="2" t="s">
        <v>11595</v>
      </c>
      <c r="K2069" s="2">
        <v>4.8863033E-2</v>
      </c>
      <c r="L2069" s="2" t="s">
        <v>848</v>
      </c>
      <c r="M2069" s="4" t="s">
        <v>11596</v>
      </c>
    </row>
    <row r="2070" spans="1:13">
      <c r="A2070" s="2">
        <v>93</v>
      </c>
      <c r="B2070" s="2" t="s">
        <v>11597</v>
      </c>
      <c r="C2070" s="2">
        <v>4</v>
      </c>
      <c r="D2070" s="2">
        <v>556</v>
      </c>
      <c r="E2070" s="2">
        <v>44</v>
      </c>
      <c r="F2070" s="2">
        <v>32441</v>
      </c>
      <c r="G2070" s="2">
        <v>5.3042838459999997</v>
      </c>
      <c r="H2070" s="2">
        <v>8.6403950000000004E-3</v>
      </c>
      <c r="I2070" s="2" t="s">
        <v>10989</v>
      </c>
      <c r="J2070" s="2" t="s">
        <v>10990</v>
      </c>
      <c r="K2070" s="2">
        <v>4.9064509999999999E-2</v>
      </c>
      <c r="L2070" s="2" t="s">
        <v>848</v>
      </c>
      <c r="M2070" s="4" t="s">
        <v>11598</v>
      </c>
    </row>
    <row r="2071" spans="1:13">
      <c r="A2071" s="2">
        <v>4308</v>
      </c>
      <c r="B2071" s="2" t="s">
        <v>11599</v>
      </c>
      <c r="C2071" s="2">
        <v>8</v>
      </c>
      <c r="D2071" s="2">
        <v>556</v>
      </c>
      <c r="E2071" s="2">
        <v>163</v>
      </c>
      <c r="F2071" s="2">
        <v>32441</v>
      </c>
      <c r="G2071" s="2">
        <v>2.863662444</v>
      </c>
      <c r="H2071" s="2">
        <v>8.7216329999999995E-3</v>
      </c>
      <c r="I2071" s="2" t="s">
        <v>11600</v>
      </c>
      <c r="J2071" s="2" t="s">
        <v>11601</v>
      </c>
      <c r="K2071" s="2">
        <v>4.9478331E-2</v>
      </c>
      <c r="L2071" s="2" t="s">
        <v>848</v>
      </c>
      <c r="M2071" s="4" t="s">
        <v>11602</v>
      </c>
    </row>
    <row r="2072" spans="1:13">
      <c r="A2072" s="2">
        <v>5824</v>
      </c>
      <c r="B2072" s="2" t="s">
        <v>11603</v>
      </c>
      <c r="C2072" s="2">
        <v>5</v>
      </c>
      <c r="D2072" s="2">
        <v>556</v>
      </c>
      <c r="E2072" s="2">
        <v>70</v>
      </c>
      <c r="F2072" s="2">
        <v>32441</v>
      </c>
      <c r="G2072" s="2">
        <v>4.1676515930000004</v>
      </c>
      <c r="H2072" s="2">
        <v>8.7549489999999997E-3</v>
      </c>
      <c r="I2072" s="2" t="s">
        <v>11604</v>
      </c>
      <c r="J2072" s="2" t="s">
        <v>11605</v>
      </c>
      <c r="K2072" s="2">
        <v>4.9619766000000003E-2</v>
      </c>
      <c r="L2072" s="2" t="s">
        <v>848</v>
      </c>
      <c r="M2072" s="4" t="s">
        <v>11606</v>
      </c>
    </row>
    <row r="2073" spans="1:13">
      <c r="A2073" s="2">
        <v>39111</v>
      </c>
      <c r="B2073" s="2" t="s">
        <v>11607</v>
      </c>
      <c r="C2073" s="2">
        <v>6</v>
      </c>
      <c r="D2073" s="2">
        <v>556</v>
      </c>
      <c r="E2073" s="2">
        <v>99</v>
      </c>
      <c r="F2073" s="2">
        <v>32441</v>
      </c>
      <c r="G2073" s="2">
        <v>3.5361892300000002</v>
      </c>
      <c r="H2073" s="2">
        <v>8.8142670000000006E-3</v>
      </c>
      <c r="I2073" s="2" t="s">
        <v>11608</v>
      </c>
      <c r="J2073" s="2" t="s">
        <v>11609</v>
      </c>
      <c r="K2073" s="2">
        <v>4.9908150999999998E-2</v>
      </c>
      <c r="L2073" s="2" t="s">
        <v>848</v>
      </c>
      <c r="M2073" s="4" t="s">
        <v>11610</v>
      </c>
    </row>
    <row r="2074" spans="1:13">
      <c r="A2074" s="2">
        <v>5090</v>
      </c>
      <c r="B2074" s="2" t="s">
        <v>11611</v>
      </c>
      <c r="C2074" s="2">
        <v>10</v>
      </c>
      <c r="D2074" s="2">
        <v>556</v>
      </c>
      <c r="E2074" s="2">
        <v>234</v>
      </c>
      <c r="F2074" s="2">
        <v>32441</v>
      </c>
      <c r="G2074" s="2">
        <v>2.493466765</v>
      </c>
      <c r="H2074" s="2">
        <v>8.8335730000000008E-3</v>
      </c>
      <c r="I2074" s="2" t="s">
        <v>11612</v>
      </c>
      <c r="J2074" s="2" t="s">
        <v>11613</v>
      </c>
      <c r="K2074" s="2">
        <v>4.9969647999999998E-2</v>
      </c>
      <c r="L2074" s="2" t="s">
        <v>848</v>
      </c>
      <c r="M2074" s="4" t="s">
        <v>11614</v>
      </c>
    </row>
    <row r="2075" spans="1:13">
      <c r="A2075" s="2">
        <v>1321</v>
      </c>
      <c r="B2075" s="2" t="s">
        <v>11615</v>
      </c>
      <c r="C2075" s="2">
        <v>51</v>
      </c>
      <c r="D2075" s="2">
        <v>556</v>
      </c>
      <c r="E2075" s="2">
        <v>192</v>
      </c>
      <c r="F2075" s="2">
        <v>32441</v>
      </c>
      <c r="G2075" s="2">
        <v>15.49845436</v>
      </c>
      <c r="H2075" s="3">
        <v>1.9899999999999999E-40</v>
      </c>
      <c r="I2075" s="3" t="s">
        <v>11616</v>
      </c>
      <c r="J2075" s="3" t="s">
        <v>11617</v>
      </c>
      <c r="K2075" s="3">
        <v>3.7699999999999999E-38</v>
      </c>
      <c r="L2075" s="2" t="s">
        <v>3116</v>
      </c>
      <c r="M2075" s="4" t="s">
        <v>11618</v>
      </c>
    </row>
    <row r="2076" spans="1:13">
      <c r="A2076" s="2">
        <v>154</v>
      </c>
      <c r="B2076" s="2" t="s">
        <v>11619</v>
      </c>
      <c r="C2076" s="2">
        <v>35</v>
      </c>
      <c r="D2076" s="2">
        <v>556</v>
      </c>
      <c r="E2076" s="2">
        <v>294</v>
      </c>
      <c r="F2076" s="2">
        <v>32441</v>
      </c>
      <c r="G2076" s="2">
        <v>6.9460859880000001</v>
      </c>
      <c r="H2076" s="3">
        <v>5.6899999999999998E-18</v>
      </c>
      <c r="I2076" s="2" t="s">
        <v>11620</v>
      </c>
      <c r="J2076" s="2" t="s">
        <v>11621</v>
      </c>
      <c r="K2076" s="3">
        <v>3.5900000000000002E-16</v>
      </c>
      <c r="L2076" s="2" t="s">
        <v>3116</v>
      </c>
      <c r="M2076" s="4" t="s">
        <v>11622</v>
      </c>
    </row>
    <row r="2077" spans="1:13">
      <c r="A2077" s="2">
        <v>156</v>
      </c>
      <c r="B2077" s="2" t="s">
        <v>11623</v>
      </c>
      <c r="C2077" s="2">
        <v>35</v>
      </c>
      <c r="D2077" s="2">
        <v>556</v>
      </c>
      <c r="E2077" s="2">
        <v>290</v>
      </c>
      <c r="F2077" s="2">
        <v>32441</v>
      </c>
      <c r="G2077" s="2">
        <v>7.0418940709999998</v>
      </c>
      <c r="H2077" s="3">
        <v>3.8500000000000003E-18</v>
      </c>
      <c r="I2077" s="2" t="s">
        <v>11624</v>
      </c>
      <c r="J2077" s="2" t="s">
        <v>11625</v>
      </c>
      <c r="K2077" s="3">
        <v>3.5900000000000002E-16</v>
      </c>
      <c r="L2077" s="2" t="s">
        <v>3116</v>
      </c>
      <c r="M2077" s="4" t="s">
        <v>11626</v>
      </c>
    </row>
    <row r="2078" spans="1:13">
      <c r="A2078" s="2">
        <v>62</v>
      </c>
      <c r="B2078" s="2" t="s">
        <v>11627</v>
      </c>
      <c r="C2078" s="2">
        <v>28</v>
      </c>
      <c r="D2078" s="2">
        <v>556</v>
      </c>
      <c r="E2078" s="2">
        <v>177</v>
      </c>
      <c r="F2078" s="2">
        <v>32441</v>
      </c>
      <c r="G2078" s="2">
        <v>9.2300532460000007</v>
      </c>
      <c r="H2078" s="3">
        <v>1.8E-17</v>
      </c>
      <c r="I2078" s="2" t="s">
        <v>11628</v>
      </c>
      <c r="J2078" s="2" t="s">
        <v>11629</v>
      </c>
      <c r="K2078" s="3">
        <v>8.5299999999999996E-16</v>
      </c>
      <c r="L2078" s="2" t="s">
        <v>3116</v>
      </c>
      <c r="M2078" s="4" t="s">
        <v>11630</v>
      </c>
    </row>
    <row r="2079" spans="1:13">
      <c r="A2079" s="2">
        <v>1503</v>
      </c>
      <c r="B2079" s="2" t="s">
        <v>11631</v>
      </c>
      <c r="C2079" s="2">
        <v>25</v>
      </c>
      <c r="D2079" s="2">
        <v>556</v>
      </c>
      <c r="E2079" s="2">
        <v>194</v>
      </c>
      <c r="F2079" s="2">
        <v>32441</v>
      </c>
      <c r="G2079" s="2">
        <v>7.5189590600000002</v>
      </c>
      <c r="H2079" s="3">
        <v>6.57E-14</v>
      </c>
      <c r="I2079" s="2" t="s">
        <v>11632</v>
      </c>
      <c r="J2079" s="2" t="s">
        <v>11633</v>
      </c>
      <c r="K2079" s="3">
        <v>2.4799999999999999E-12</v>
      </c>
      <c r="L2079" s="2" t="s">
        <v>3116</v>
      </c>
      <c r="M2079" s="4" t="s">
        <v>11634</v>
      </c>
    </row>
    <row r="2080" spans="1:13">
      <c r="A2080" s="2">
        <v>1573</v>
      </c>
      <c r="B2080" s="2" t="s">
        <v>11635</v>
      </c>
      <c r="C2080" s="2">
        <v>29</v>
      </c>
      <c r="D2080" s="2">
        <v>556</v>
      </c>
      <c r="E2080" s="2">
        <v>293</v>
      </c>
      <c r="F2080" s="2">
        <v>32441</v>
      </c>
      <c r="G2080" s="2">
        <v>5.7749711489999997</v>
      </c>
      <c r="H2080" s="3">
        <v>3.0600000000000001E-13</v>
      </c>
      <c r="I2080" s="2" t="s">
        <v>11636</v>
      </c>
      <c r="J2080" s="2" t="s">
        <v>11637</v>
      </c>
      <c r="K2080" s="3">
        <v>9.6500000000000003E-12</v>
      </c>
      <c r="L2080" s="2" t="s">
        <v>3116</v>
      </c>
      <c r="M2080" s="4" t="s">
        <v>11638</v>
      </c>
    </row>
    <row r="2081" spans="1:13">
      <c r="A2081" s="2">
        <v>49</v>
      </c>
      <c r="B2081" s="2" t="s">
        <v>11639</v>
      </c>
      <c r="C2081" s="2">
        <v>16</v>
      </c>
      <c r="D2081" s="2">
        <v>556</v>
      </c>
      <c r="E2081" s="2">
        <v>141</v>
      </c>
      <c r="F2081" s="2">
        <v>32441</v>
      </c>
      <c r="G2081" s="2">
        <v>6.6209500480000001</v>
      </c>
      <c r="H2081" s="3">
        <v>1.13E-8</v>
      </c>
      <c r="I2081" s="2" t="s">
        <v>11640</v>
      </c>
      <c r="J2081" s="2" t="s">
        <v>11641</v>
      </c>
      <c r="K2081" s="3">
        <v>2.6800000000000002E-7</v>
      </c>
      <c r="L2081" s="2" t="s">
        <v>3116</v>
      </c>
      <c r="M2081" s="4" t="s">
        <v>11642</v>
      </c>
    </row>
    <row r="2082" spans="1:13">
      <c r="A2082" s="2">
        <v>183</v>
      </c>
      <c r="B2082" s="2" t="s">
        <v>11643</v>
      </c>
      <c r="C2082" s="2">
        <v>16</v>
      </c>
      <c r="D2082" s="2">
        <v>556</v>
      </c>
      <c r="E2082" s="2">
        <v>141</v>
      </c>
      <c r="F2082" s="2">
        <v>32441</v>
      </c>
      <c r="G2082" s="2">
        <v>6.6209500480000001</v>
      </c>
      <c r="H2082" s="3">
        <v>1.13E-8</v>
      </c>
      <c r="I2082" s="2" t="s">
        <v>11644</v>
      </c>
      <c r="J2082" s="2" t="s">
        <v>11645</v>
      </c>
      <c r="K2082" s="3">
        <v>2.6800000000000002E-7</v>
      </c>
      <c r="L2082" s="2" t="s">
        <v>3116</v>
      </c>
      <c r="M2082" s="4" t="s">
        <v>11646</v>
      </c>
    </row>
    <row r="2083" spans="1:13">
      <c r="A2083" s="2">
        <v>51</v>
      </c>
      <c r="B2083" s="2" t="s">
        <v>11647</v>
      </c>
      <c r="C2083" s="2">
        <v>18</v>
      </c>
      <c r="D2083" s="2">
        <v>556</v>
      </c>
      <c r="E2083" s="2">
        <v>192</v>
      </c>
      <c r="F2083" s="2">
        <v>32441</v>
      </c>
      <c r="G2083" s="2">
        <v>5.470042716</v>
      </c>
      <c r="H2083" s="3">
        <v>2.1500000000000001E-8</v>
      </c>
      <c r="I2083" s="2" t="s">
        <v>11648</v>
      </c>
      <c r="J2083" s="2" t="s">
        <v>11649</v>
      </c>
      <c r="K2083" s="3">
        <v>4.51E-7</v>
      </c>
      <c r="L2083" s="2" t="s">
        <v>3116</v>
      </c>
      <c r="M2083" s="4" t="s">
        <v>11650</v>
      </c>
    </row>
    <row r="2084" spans="1:13">
      <c r="A2084" s="2">
        <v>106</v>
      </c>
      <c r="B2084" s="2" t="s">
        <v>11651</v>
      </c>
      <c r="C2084" s="2">
        <v>15</v>
      </c>
      <c r="D2084" s="2">
        <v>556</v>
      </c>
      <c r="E2084" s="2">
        <v>147</v>
      </c>
      <c r="F2084" s="2">
        <v>32441</v>
      </c>
      <c r="G2084" s="2">
        <v>5.9537879900000004</v>
      </c>
      <c r="H2084" s="3">
        <v>1.17E-7</v>
      </c>
      <c r="I2084" s="2" t="s">
        <v>11652</v>
      </c>
      <c r="J2084" s="2" t="s">
        <v>11653</v>
      </c>
      <c r="K2084" s="3">
        <v>2.21E-6</v>
      </c>
      <c r="L2084" s="2" t="s">
        <v>3116</v>
      </c>
      <c r="M2084" s="4" t="s">
        <v>11654</v>
      </c>
    </row>
    <row r="2085" spans="1:13">
      <c r="A2085" s="2">
        <v>1081</v>
      </c>
      <c r="B2085" s="2" t="s">
        <v>11655</v>
      </c>
      <c r="C2085" s="2">
        <v>14</v>
      </c>
      <c r="D2085" s="2">
        <v>556</v>
      </c>
      <c r="E2085" s="2">
        <v>141</v>
      </c>
      <c r="F2085" s="2">
        <v>32441</v>
      </c>
      <c r="G2085" s="2">
        <v>5.7933312920000004</v>
      </c>
      <c r="H2085" s="3">
        <v>4.1699999999999999E-7</v>
      </c>
      <c r="I2085" s="2" t="s">
        <v>11656</v>
      </c>
      <c r="J2085" s="2" t="s">
        <v>11657</v>
      </c>
      <c r="K2085" s="3">
        <v>6.8199999999999999E-6</v>
      </c>
      <c r="L2085" s="2" t="s">
        <v>3116</v>
      </c>
      <c r="M2085" s="4" t="s">
        <v>11658</v>
      </c>
    </row>
    <row r="2086" spans="1:13">
      <c r="A2086" s="2">
        <v>153</v>
      </c>
      <c r="B2086" s="2" t="s">
        <v>11659</v>
      </c>
      <c r="C2086" s="2">
        <v>20</v>
      </c>
      <c r="D2086" s="2">
        <v>556</v>
      </c>
      <c r="E2086" s="2">
        <v>292</v>
      </c>
      <c r="F2086" s="2">
        <v>32441</v>
      </c>
      <c r="G2086" s="2">
        <v>3.9963782399999999</v>
      </c>
      <c r="H2086" s="3">
        <v>4.3300000000000003E-7</v>
      </c>
      <c r="I2086" s="2" t="s">
        <v>11660</v>
      </c>
      <c r="J2086" s="2" t="s">
        <v>11661</v>
      </c>
      <c r="K2086" s="3">
        <v>6.8199999999999999E-6</v>
      </c>
      <c r="L2086" s="2" t="s">
        <v>3116</v>
      </c>
      <c r="M2086" s="4" t="s">
        <v>11662</v>
      </c>
    </row>
    <row r="2087" spans="1:13">
      <c r="A2087" s="2">
        <v>104</v>
      </c>
      <c r="B2087" s="2" t="s">
        <v>11663</v>
      </c>
      <c r="C2087" s="2">
        <v>14</v>
      </c>
      <c r="D2087" s="2">
        <v>556</v>
      </c>
      <c r="E2087" s="2">
        <v>145</v>
      </c>
      <c r="F2087" s="2">
        <v>32441</v>
      </c>
      <c r="G2087" s="2">
        <v>5.633515257</v>
      </c>
      <c r="H2087" s="3">
        <v>5.6899999999999997E-7</v>
      </c>
      <c r="I2087" s="2" t="s">
        <v>11664</v>
      </c>
      <c r="J2087" s="2" t="s">
        <v>11665</v>
      </c>
      <c r="K2087" s="3">
        <v>8.2800000000000003E-6</v>
      </c>
      <c r="L2087" s="2" t="s">
        <v>3116</v>
      </c>
      <c r="M2087" s="4" t="s">
        <v>11666</v>
      </c>
    </row>
    <row r="2088" spans="1:13">
      <c r="A2088" s="2">
        <v>109</v>
      </c>
      <c r="B2088" s="2" t="s">
        <v>11667</v>
      </c>
      <c r="C2088" s="2">
        <v>15</v>
      </c>
      <c r="D2088" s="2">
        <v>556</v>
      </c>
      <c r="E2088" s="2">
        <v>187</v>
      </c>
      <c r="F2088" s="2">
        <v>32441</v>
      </c>
      <c r="G2088" s="2">
        <v>4.6802504520000001</v>
      </c>
      <c r="H2088" s="3">
        <v>1.9800000000000001E-6</v>
      </c>
      <c r="I2088" s="2" t="s">
        <v>11668</v>
      </c>
      <c r="J2088" s="2" t="s">
        <v>11669</v>
      </c>
      <c r="K2088" s="3">
        <v>2.6699999999999998E-5</v>
      </c>
      <c r="L2088" s="2" t="s">
        <v>3116</v>
      </c>
      <c r="M2088" s="4" t="s">
        <v>11670</v>
      </c>
    </row>
    <row r="2089" spans="1:13">
      <c r="A2089" s="2">
        <v>111</v>
      </c>
      <c r="B2089" s="2" t="s">
        <v>11671</v>
      </c>
      <c r="C2089" s="2">
        <v>15</v>
      </c>
      <c r="D2089" s="2">
        <v>556</v>
      </c>
      <c r="E2089" s="2">
        <v>189</v>
      </c>
      <c r="F2089" s="2">
        <v>32441</v>
      </c>
      <c r="G2089" s="2">
        <v>4.6307239920000001</v>
      </c>
      <c r="H2089" s="3">
        <v>2.2400000000000002E-6</v>
      </c>
      <c r="I2089" s="2" t="s">
        <v>11672</v>
      </c>
      <c r="J2089" s="2" t="s">
        <v>11673</v>
      </c>
      <c r="K2089" s="3">
        <v>2.8200000000000001E-5</v>
      </c>
      <c r="L2089" s="2" t="s">
        <v>3116</v>
      </c>
      <c r="M2089" s="4" t="s">
        <v>11674</v>
      </c>
    </row>
    <row r="2090" spans="1:13">
      <c r="A2090" s="2">
        <v>1801</v>
      </c>
      <c r="B2090" s="2" t="s">
        <v>11675</v>
      </c>
      <c r="C2090" s="2">
        <v>13</v>
      </c>
      <c r="D2090" s="2">
        <v>556</v>
      </c>
      <c r="E2090" s="2">
        <v>142</v>
      </c>
      <c r="F2090" s="2">
        <v>32441</v>
      </c>
      <c r="G2090" s="2">
        <v>5.3416379569999997</v>
      </c>
      <c r="H2090" s="3">
        <v>2.48E-6</v>
      </c>
      <c r="I2090" s="2" t="s">
        <v>11676</v>
      </c>
      <c r="J2090" s="2" t="s">
        <v>11677</v>
      </c>
      <c r="K2090" s="3">
        <v>2.9300000000000001E-5</v>
      </c>
      <c r="L2090" s="2" t="s">
        <v>3116</v>
      </c>
      <c r="M2090" s="4" t="s">
        <v>11678</v>
      </c>
    </row>
    <row r="2091" spans="1:13">
      <c r="A2091" s="2">
        <v>1891</v>
      </c>
      <c r="B2091" s="2" t="s">
        <v>11679</v>
      </c>
      <c r="C2091" s="2">
        <v>15</v>
      </c>
      <c r="D2091" s="2">
        <v>556</v>
      </c>
      <c r="E2091" s="2">
        <v>195</v>
      </c>
      <c r="F2091" s="2">
        <v>32441</v>
      </c>
      <c r="G2091" s="2">
        <v>4.4882401769999998</v>
      </c>
      <c r="H2091" s="3">
        <v>3.1999999999999999E-6</v>
      </c>
      <c r="I2091" s="2" t="s">
        <v>11680</v>
      </c>
      <c r="J2091" s="2" t="s">
        <v>11681</v>
      </c>
      <c r="K2091" s="3">
        <v>3.5599999999999998E-5</v>
      </c>
      <c r="L2091" s="2" t="s">
        <v>3116</v>
      </c>
      <c r="M2091" s="4" t="s">
        <v>11682</v>
      </c>
    </row>
    <row r="2092" spans="1:13">
      <c r="A2092" s="2">
        <v>485</v>
      </c>
      <c r="B2092" s="2" t="s">
        <v>11683</v>
      </c>
      <c r="C2092" s="2">
        <v>13</v>
      </c>
      <c r="D2092" s="2">
        <v>556</v>
      </c>
      <c r="E2092" s="2">
        <v>148</v>
      </c>
      <c r="F2092" s="2">
        <v>32441</v>
      </c>
      <c r="G2092" s="2">
        <v>5.1250850669999997</v>
      </c>
      <c r="H2092" s="3">
        <v>3.7799999999999998E-6</v>
      </c>
      <c r="I2092" s="2" t="s">
        <v>11684</v>
      </c>
      <c r="J2092" s="2" t="s">
        <v>11685</v>
      </c>
      <c r="K2092" s="3">
        <v>3.9700000000000003E-5</v>
      </c>
      <c r="L2092" s="2" t="s">
        <v>3116</v>
      </c>
      <c r="M2092" s="4" t="s">
        <v>11686</v>
      </c>
    </row>
    <row r="2093" spans="1:13">
      <c r="A2093" s="2">
        <v>45</v>
      </c>
      <c r="B2093" s="2" t="s">
        <v>11687</v>
      </c>
      <c r="C2093" s="2">
        <v>13</v>
      </c>
      <c r="D2093" s="2">
        <v>556</v>
      </c>
      <c r="E2093" s="2">
        <v>149</v>
      </c>
      <c r="F2093" s="2">
        <v>32441</v>
      </c>
      <c r="G2093" s="2">
        <v>5.0906885229999999</v>
      </c>
      <c r="H2093" s="3">
        <v>4.0500000000000002E-6</v>
      </c>
      <c r="I2093" s="2" t="s">
        <v>11688</v>
      </c>
      <c r="J2093" s="2" t="s">
        <v>11689</v>
      </c>
      <c r="K2093" s="3">
        <v>4.0299999999999997E-5</v>
      </c>
      <c r="L2093" s="2" t="s">
        <v>3116</v>
      </c>
      <c r="M2093" s="4" t="s">
        <v>11690</v>
      </c>
    </row>
    <row r="2094" spans="1:13">
      <c r="A2094" s="2">
        <v>175</v>
      </c>
      <c r="B2094" s="2" t="s">
        <v>11691</v>
      </c>
      <c r="C2094" s="2">
        <v>18</v>
      </c>
      <c r="D2094" s="2">
        <v>556</v>
      </c>
      <c r="E2094" s="2">
        <v>287</v>
      </c>
      <c r="F2094" s="2">
        <v>32441</v>
      </c>
      <c r="G2094" s="2">
        <v>3.6594013990000001</v>
      </c>
      <c r="H2094" s="3">
        <v>5.1699999999999996E-6</v>
      </c>
      <c r="I2094" s="2" t="s">
        <v>11692</v>
      </c>
      <c r="J2094" s="2" t="s">
        <v>11693</v>
      </c>
      <c r="K2094" s="3">
        <v>4.8900000000000003E-5</v>
      </c>
      <c r="L2094" s="2" t="s">
        <v>3116</v>
      </c>
      <c r="M2094" s="4" t="s">
        <v>11694</v>
      </c>
    </row>
    <row r="2095" spans="1:13">
      <c r="A2095" s="2">
        <v>1021</v>
      </c>
      <c r="B2095" s="2" t="s">
        <v>11695</v>
      </c>
      <c r="C2095" s="2">
        <v>12</v>
      </c>
      <c r="D2095" s="2">
        <v>556</v>
      </c>
      <c r="E2095" s="2">
        <v>145</v>
      </c>
      <c r="F2095" s="2">
        <v>32441</v>
      </c>
      <c r="G2095" s="2">
        <v>4.8287273629999996</v>
      </c>
      <c r="H2095" s="3">
        <v>1.5500000000000001E-5</v>
      </c>
      <c r="I2095" s="2" t="s">
        <v>11696</v>
      </c>
      <c r="J2095" s="2" t="s">
        <v>11697</v>
      </c>
      <c r="K2095" s="2">
        <v>1.39565E-4</v>
      </c>
      <c r="L2095" s="2" t="s">
        <v>3116</v>
      </c>
      <c r="M2095" s="4" t="s">
        <v>11698</v>
      </c>
    </row>
    <row r="2096" spans="1:13">
      <c r="A2096" s="2">
        <v>1771</v>
      </c>
      <c r="B2096" s="2" t="s">
        <v>11699</v>
      </c>
      <c r="C2096" s="2">
        <v>17</v>
      </c>
      <c r="D2096" s="2">
        <v>556</v>
      </c>
      <c r="E2096" s="2">
        <v>288</v>
      </c>
      <c r="F2096" s="2">
        <v>32441</v>
      </c>
      <c r="G2096" s="2">
        <v>3.444100969</v>
      </c>
      <c r="H2096" s="3">
        <v>1.9700000000000001E-5</v>
      </c>
      <c r="I2096" s="2" t="s">
        <v>11700</v>
      </c>
      <c r="J2096" s="2" t="s">
        <v>11701</v>
      </c>
      <c r="K2096" s="2">
        <v>1.6900699999999999E-4</v>
      </c>
      <c r="L2096" s="2" t="s">
        <v>3116</v>
      </c>
      <c r="M2096" s="4" t="s">
        <v>11702</v>
      </c>
    </row>
    <row r="2097" spans="1:13">
      <c r="A2097" s="2">
        <v>422</v>
      </c>
      <c r="B2097" s="2" t="s">
        <v>11703</v>
      </c>
      <c r="C2097" s="2">
        <v>13</v>
      </c>
      <c r="D2097" s="2">
        <v>556</v>
      </c>
      <c r="E2097" s="2">
        <v>192</v>
      </c>
      <c r="F2097" s="2">
        <v>32441</v>
      </c>
      <c r="G2097" s="2">
        <v>3.9505864060000002</v>
      </c>
      <c r="H2097" s="3">
        <v>4.99E-5</v>
      </c>
      <c r="I2097" s="2" t="s">
        <v>11704</v>
      </c>
      <c r="J2097" s="2" t="s">
        <v>11705</v>
      </c>
      <c r="K2097" s="2">
        <v>3.7754100000000001E-4</v>
      </c>
      <c r="L2097" s="2" t="s">
        <v>3116</v>
      </c>
      <c r="M2097" s="4" t="s">
        <v>11706</v>
      </c>
    </row>
    <row r="2098" spans="1:13">
      <c r="A2098" s="2">
        <v>1341</v>
      </c>
      <c r="B2098" s="2" t="s">
        <v>11707</v>
      </c>
      <c r="C2098" s="2">
        <v>13</v>
      </c>
      <c r="D2098" s="2">
        <v>556</v>
      </c>
      <c r="E2098" s="2">
        <v>192</v>
      </c>
      <c r="F2098" s="2">
        <v>32441</v>
      </c>
      <c r="G2098" s="2">
        <v>3.9505864060000002</v>
      </c>
      <c r="H2098" s="3">
        <v>4.99E-5</v>
      </c>
      <c r="I2098" s="2" t="s">
        <v>11708</v>
      </c>
      <c r="J2098" s="2" t="s">
        <v>11709</v>
      </c>
      <c r="K2098" s="2">
        <v>3.7754100000000001E-4</v>
      </c>
      <c r="L2098" s="2" t="s">
        <v>3116</v>
      </c>
      <c r="M2098" s="4" t="s">
        <v>11710</v>
      </c>
    </row>
    <row r="2099" spans="1:13">
      <c r="A2099" s="2">
        <v>136</v>
      </c>
      <c r="B2099" s="2" t="s">
        <v>11711</v>
      </c>
      <c r="C2099" s="2">
        <v>13</v>
      </c>
      <c r="D2099" s="2">
        <v>556</v>
      </c>
      <c r="E2099" s="2">
        <v>192</v>
      </c>
      <c r="F2099" s="2">
        <v>32441</v>
      </c>
      <c r="G2099" s="2">
        <v>3.9505864060000002</v>
      </c>
      <c r="H2099" s="3">
        <v>4.99E-5</v>
      </c>
      <c r="I2099" s="2" t="s">
        <v>11712</v>
      </c>
      <c r="J2099" s="2" t="s">
        <v>11713</v>
      </c>
      <c r="K2099" s="2">
        <v>3.7754100000000001E-4</v>
      </c>
      <c r="L2099" s="2" t="s">
        <v>3116</v>
      </c>
      <c r="M2099" s="4" t="s">
        <v>11714</v>
      </c>
    </row>
    <row r="2100" spans="1:13">
      <c r="A2100" s="2">
        <v>172</v>
      </c>
      <c r="B2100" s="2" t="s">
        <v>11715</v>
      </c>
      <c r="C2100" s="2">
        <v>13</v>
      </c>
      <c r="D2100" s="2">
        <v>556</v>
      </c>
      <c r="E2100" s="2">
        <v>194</v>
      </c>
      <c r="F2100" s="2">
        <v>32441</v>
      </c>
      <c r="G2100" s="2">
        <v>3.909858711</v>
      </c>
      <c r="H2100" s="3">
        <v>5.52E-5</v>
      </c>
      <c r="I2100" s="2" t="s">
        <v>11716</v>
      </c>
      <c r="J2100" s="2" t="s">
        <v>11717</v>
      </c>
      <c r="K2100" s="2">
        <v>4.0105799999999998E-4</v>
      </c>
      <c r="L2100" s="2" t="s">
        <v>3116</v>
      </c>
      <c r="M2100" s="4" t="s">
        <v>11718</v>
      </c>
    </row>
    <row r="2101" spans="1:13">
      <c r="A2101" s="2">
        <v>34</v>
      </c>
      <c r="B2101" s="2" t="s">
        <v>11719</v>
      </c>
      <c r="C2101" s="2">
        <v>13</v>
      </c>
      <c r="D2101" s="2">
        <v>556</v>
      </c>
      <c r="E2101" s="2">
        <v>196</v>
      </c>
      <c r="F2101" s="2">
        <v>32441</v>
      </c>
      <c r="G2101" s="2">
        <v>3.8699621940000002</v>
      </c>
      <c r="H2101" s="3">
        <v>6.0900000000000003E-5</v>
      </c>
      <c r="I2101" s="2" t="s">
        <v>11720</v>
      </c>
      <c r="J2101" s="2" t="s">
        <v>11721</v>
      </c>
      <c r="K2101" s="2">
        <v>4.26124E-4</v>
      </c>
      <c r="L2101" s="2" t="s">
        <v>3116</v>
      </c>
      <c r="M2101" s="4" t="s">
        <v>11722</v>
      </c>
    </row>
    <row r="2102" spans="1:13">
      <c r="A2102" s="2">
        <v>471</v>
      </c>
      <c r="B2102" s="2" t="s">
        <v>11723</v>
      </c>
      <c r="C2102" s="2">
        <v>11</v>
      </c>
      <c r="D2102" s="2">
        <v>556</v>
      </c>
      <c r="E2102" s="2">
        <v>145</v>
      </c>
      <c r="F2102" s="2">
        <v>32441</v>
      </c>
      <c r="G2102" s="2">
        <v>4.4263334160000003</v>
      </c>
      <c r="H2102" s="3">
        <v>7.2799999999999994E-5</v>
      </c>
      <c r="I2102" s="2" t="s">
        <v>11724</v>
      </c>
      <c r="J2102" s="2" t="s">
        <v>11725</v>
      </c>
      <c r="K2102" s="2">
        <v>4.4369800000000002E-4</v>
      </c>
      <c r="L2102" s="2" t="s">
        <v>3116</v>
      </c>
      <c r="M2102" s="4" t="s">
        <v>11726</v>
      </c>
    </row>
    <row r="2103" spans="1:13">
      <c r="A2103" s="2">
        <v>155</v>
      </c>
      <c r="B2103" s="2" t="s">
        <v>11727</v>
      </c>
      <c r="C2103" s="2">
        <v>16</v>
      </c>
      <c r="D2103" s="2">
        <v>556</v>
      </c>
      <c r="E2103" s="2">
        <v>288</v>
      </c>
      <c r="F2103" s="2">
        <v>32441</v>
      </c>
      <c r="G2103" s="2">
        <v>3.2415067949999998</v>
      </c>
      <c r="H2103" s="3">
        <v>6.7799999999999995E-5</v>
      </c>
      <c r="I2103" s="2" t="s">
        <v>11728</v>
      </c>
      <c r="J2103" s="2" t="s">
        <v>11729</v>
      </c>
      <c r="K2103" s="2">
        <v>4.4369800000000002E-4</v>
      </c>
      <c r="L2103" s="2" t="s">
        <v>3116</v>
      </c>
      <c r="M2103" s="4" t="s">
        <v>11730</v>
      </c>
    </row>
    <row r="2104" spans="1:13">
      <c r="A2104" s="2">
        <v>1742</v>
      </c>
      <c r="B2104" s="2" t="s">
        <v>11731</v>
      </c>
      <c r="C2104" s="2">
        <v>16</v>
      </c>
      <c r="D2104" s="2">
        <v>556</v>
      </c>
      <c r="E2104" s="2">
        <v>289</v>
      </c>
      <c r="F2104" s="2">
        <v>32441</v>
      </c>
      <c r="G2104" s="2">
        <v>3.2302905079999999</v>
      </c>
      <c r="H2104" s="3">
        <v>7.0500000000000006E-5</v>
      </c>
      <c r="I2104" s="2" t="s">
        <v>11732</v>
      </c>
      <c r="J2104" s="2" t="s">
        <v>11733</v>
      </c>
      <c r="K2104" s="2">
        <v>4.4369800000000002E-4</v>
      </c>
      <c r="L2104" s="2" t="s">
        <v>3116</v>
      </c>
      <c r="M2104" s="4" t="s">
        <v>11734</v>
      </c>
    </row>
    <row r="2105" spans="1:13">
      <c r="A2105" s="2">
        <v>1851</v>
      </c>
      <c r="B2105" s="2" t="s">
        <v>11735</v>
      </c>
      <c r="C2105" s="2">
        <v>11</v>
      </c>
      <c r="D2105" s="2">
        <v>556</v>
      </c>
      <c r="E2105" s="2">
        <v>145</v>
      </c>
      <c r="F2105" s="2">
        <v>32441</v>
      </c>
      <c r="G2105" s="2">
        <v>4.4263334160000003</v>
      </c>
      <c r="H2105" s="3">
        <v>7.2799999999999994E-5</v>
      </c>
      <c r="I2105" s="2" t="s">
        <v>11736</v>
      </c>
      <c r="J2105" s="2" t="s">
        <v>11737</v>
      </c>
      <c r="K2105" s="2">
        <v>4.4369800000000002E-4</v>
      </c>
      <c r="L2105" s="2" t="s">
        <v>3116</v>
      </c>
      <c r="M2105" s="4" t="s">
        <v>11738</v>
      </c>
    </row>
    <row r="2106" spans="1:13">
      <c r="A2106" s="2">
        <v>1791</v>
      </c>
      <c r="B2106" s="2" t="s">
        <v>11739</v>
      </c>
      <c r="C2106" s="2">
        <v>11</v>
      </c>
      <c r="D2106" s="2">
        <v>556</v>
      </c>
      <c r="E2106" s="2">
        <v>146</v>
      </c>
      <c r="F2106" s="2">
        <v>32441</v>
      </c>
      <c r="G2106" s="2">
        <v>4.3960160640000003</v>
      </c>
      <c r="H2106" s="3">
        <v>7.7100000000000004E-5</v>
      </c>
      <c r="I2106" s="2" t="s">
        <v>11740</v>
      </c>
      <c r="J2106" s="2" t="s">
        <v>11741</v>
      </c>
      <c r="K2106" s="2">
        <v>4.5531599999999999E-4</v>
      </c>
      <c r="L2106" s="2" t="s">
        <v>3116</v>
      </c>
      <c r="M2106" s="4" t="s">
        <v>11742</v>
      </c>
    </row>
    <row r="2107" spans="1:13">
      <c r="A2107" s="2">
        <v>135</v>
      </c>
      <c r="B2107" s="2" t="s">
        <v>11743</v>
      </c>
      <c r="C2107" s="2">
        <v>12</v>
      </c>
      <c r="D2107" s="2">
        <v>556</v>
      </c>
      <c r="E2107" s="2">
        <v>196</v>
      </c>
      <c r="F2107" s="2">
        <v>32441</v>
      </c>
      <c r="G2107" s="2">
        <v>3.5722727939999999</v>
      </c>
      <c r="H2107" s="2">
        <v>2.3349899999999999E-4</v>
      </c>
      <c r="I2107" s="2" t="s">
        <v>11744</v>
      </c>
      <c r="J2107" s="2" t="s">
        <v>11745</v>
      </c>
      <c r="K2107" s="2">
        <v>1.297982E-3</v>
      </c>
      <c r="L2107" s="2" t="s">
        <v>3116</v>
      </c>
      <c r="M2107" s="4" t="s">
        <v>11746</v>
      </c>
    </row>
    <row r="2108" spans="1:13">
      <c r="A2108" s="2">
        <v>152</v>
      </c>
      <c r="B2108" s="2" t="s">
        <v>11747</v>
      </c>
      <c r="C2108" s="2">
        <v>15</v>
      </c>
      <c r="D2108" s="2">
        <v>556</v>
      </c>
      <c r="E2108" s="2">
        <v>289</v>
      </c>
      <c r="F2108" s="2">
        <v>32441</v>
      </c>
      <c r="G2108" s="2">
        <v>3.0283973510000002</v>
      </c>
      <c r="H2108" s="2">
        <v>2.2878199999999999E-4</v>
      </c>
      <c r="I2108" s="2" t="s">
        <v>11748</v>
      </c>
      <c r="J2108" s="2" t="s">
        <v>11749</v>
      </c>
      <c r="K2108" s="2">
        <v>1.297982E-3</v>
      </c>
      <c r="L2108" s="2" t="s">
        <v>3116</v>
      </c>
      <c r="M2108" s="4" t="s">
        <v>11750</v>
      </c>
    </row>
    <row r="2109" spans="1:13">
      <c r="A2109" s="2">
        <v>95</v>
      </c>
      <c r="B2109" s="2" t="s">
        <v>11751</v>
      </c>
      <c r="C2109" s="2">
        <v>11</v>
      </c>
      <c r="D2109" s="2">
        <v>556</v>
      </c>
      <c r="E2109" s="2">
        <v>169</v>
      </c>
      <c r="F2109" s="2">
        <v>32441</v>
      </c>
      <c r="G2109" s="2">
        <v>3.7977416879999999</v>
      </c>
      <c r="H2109" s="2">
        <v>2.5725900000000002E-4</v>
      </c>
      <c r="I2109" s="2" t="s">
        <v>11752</v>
      </c>
      <c r="J2109" s="2" t="s">
        <v>11753</v>
      </c>
      <c r="K2109" s="2">
        <v>1.3422460000000001E-3</v>
      </c>
      <c r="L2109" s="2" t="s">
        <v>3116</v>
      </c>
      <c r="M2109" s="4" t="s">
        <v>11754</v>
      </c>
    </row>
    <row r="2110" spans="1:13">
      <c r="A2110" s="2">
        <v>431</v>
      </c>
      <c r="B2110" s="2" t="s">
        <v>11755</v>
      </c>
      <c r="C2110" s="2">
        <v>11</v>
      </c>
      <c r="D2110" s="2">
        <v>556</v>
      </c>
      <c r="E2110" s="2">
        <v>170</v>
      </c>
      <c r="F2110" s="2">
        <v>32441</v>
      </c>
      <c r="G2110" s="2">
        <v>3.775402031</v>
      </c>
      <c r="H2110" s="2">
        <v>2.6982800000000001E-4</v>
      </c>
      <c r="I2110" s="2" t="s">
        <v>11756</v>
      </c>
      <c r="J2110" s="2" t="s">
        <v>11757</v>
      </c>
      <c r="K2110" s="2">
        <v>1.3422460000000001E-3</v>
      </c>
      <c r="L2110" s="2" t="s">
        <v>3116</v>
      </c>
      <c r="M2110" s="4" t="s">
        <v>11758</v>
      </c>
    </row>
    <row r="2111" spans="1:13">
      <c r="A2111" s="2">
        <v>82</v>
      </c>
      <c r="B2111" s="2" t="s">
        <v>11759</v>
      </c>
      <c r="C2111" s="2">
        <v>10</v>
      </c>
      <c r="D2111" s="2">
        <v>556</v>
      </c>
      <c r="E2111" s="2">
        <v>141</v>
      </c>
      <c r="F2111" s="2">
        <v>32441</v>
      </c>
      <c r="G2111" s="2">
        <v>4.1380937800000002</v>
      </c>
      <c r="H2111" s="2">
        <v>2.5589900000000002E-4</v>
      </c>
      <c r="I2111" s="2" t="s">
        <v>11760</v>
      </c>
      <c r="J2111" s="2" t="s">
        <v>11761</v>
      </c>
      <c r="K2111" s="2">
        <v>1.3422460000000001E-3</v>
      </c>
      <c r="L2111" s="2" t="s">
        <v>3116</v>
      </c>
      <c r="M2111" s="4" t="s">
        <v>11762</v>
      </c>
    </row>
    <row r="2112" spans="1:13">
      <c r="A2112" s="2">
        <v>1411</v>
      </c>
      <c r="B2112" s="2" t="s">
        <v>11763</v>
      </c>
      <c r="C2112" s="2">
        <v>10</v>
      </c>
      <c r="D2112" s="2">
        <v>556</v>
      </c>
      <c r="E2112" s="2">
        <v>142</v>
      </c>
      <c r="F2112" s="2">
        <v>32441</v>
      </c>
      <c r="G2112" s="2">
        <v>4.108952275</v>
      </c>
      <c r="H2112" s="2">
        <v>2.6987000000000002E-4</v>
      </c>
      <c r="I2112" s="2" t="s">
        <v>11764</v>
      </c>
      <c r="J2112" s="2" t="s">
        <v>11765</v>
      </c>
      <c r="K2112" s="2">
        <v>1.3422460000000001E-3</v>
      </c>
      <c r="L2112" s="2" t="s">
        <v>3116</v>
      </c>
      <c r="M2112" s="4" t="s">
        <v>11766</v>
      </c>
    </row>
    <row r="2113" spans="1:13">
      <c r="A2113" s="2">
        <v>159</v>
      </c>
      <c r="B2113" s="2" t="s">
        <v>11767</v>
      </c>
      <c r="C2113" s="2">
        <v>10</v>
      </c>
      <c r="D2113" s="2">
        <v>556</v>
      </c>
      <c r="E2113" s="2">
        <v>144</v>
      </c>
      <c r="F2113" s="2">
        <v>32441</v>
      </c>
      <c r="G2113" s="2">
        <v>4.0518834930000001</v>
      </c>
      <c r="H2113" s="2">
        <v>2.9973000000000001E-4</v>
      </c>
      <c r="I2113" s="2" t="s">
        <v>11768</v>
      </c>
      <c r="J2113" s="2" t="s">
        <v>11769</v>
      </c>
      <c r="K2113" s="2">
        <v>1.452538E-3</v>
      </c>
      <c r="L2113" s="2" t="s">
        <v>3116</v>
      </c>
      <c r="M2113" s="4" t="s">
        <v>11770</v>
      </c>
    </row>
    <row r="2114" spans="1:13">
      <c r="A2114" s="2">
        <v>158</v>
      </c>
      <c r="B2114" s="2" t="s">
        <v>11771</v>
      </c>
      <c r="C2114" s="2">
        <v>10</v>
      </c>
      <c r="D2114" s="2">
        <v>556</v>
      </c>
      <c r="E2114" s="2">
        <v>146</v>
      </c>
      <c r="F2114" s="2">
        <v>32441</v>
      </c>
      <c r="G2114" s="2">
        <v>3.9963782399999999</v>
      </c>
      <c r="H2114" s="2">
        <v>3.3230199999999998E-4</v>
      </c>
      <c r="I2114" s="2" t="s">
        <v>11772</v>
      </c>
      <c r="J2114" s="2" t="s">
        <v>11773</v>
      </c>
      <c r="K2114" s="2">
        <v>1.5701249999999999E-3</v>
      </c>
      <c r="L2114" s="2" t="s">
        <v>3116</v>
      </c>
      <c r="M2114" s="4" t="s">
        <v>11774</v>
      </c>
    </row>
    <row r="2115" spans="1:13">
      <c r="A2115" s="2">
        <v>1333</v>
      </c>
      <c r="B2115" s="2" t="s">
        <v>11775</v>
      </c>
      <c r="C2115" s="2">
        <v>11</v>
      </c>
      <c r="D2115" s="2">
        <v>556</v>
      </c>
      <c r="E2115" s="2">
        <v>190</v>
      </c>
      <c r="F2115" s="2">
        <v>32441</v>
      </c>
      <c r="G2115" s="2">
        <v>3.3779912909999998</v>
      </c>
      <c r="H2115" s="2">
        <v>6.5364500000000001E-4</v>
      </c>
      <c r="I2115" s="2" t="s">
        <v>11776</v>
      </c>
      <c r="J2115" s="2" t="s">
        <v>11777</v>
      </c>
      <c r="K2115" s="2">
        <v>3.0131419999999999E-3</v>
      </c>
      <c r="L2115" s="2" t="s">
        <v>3116</v>
      </c>
      <c r="M2115" s="4" t="s">
        <v>11778</v>
      </c>
    </row>
    <row r="2116" spans="1:13">
      <c r="A2116" s="2">
        <v>74</v>
      </c>
      <c r="B2116" s="2" t="s">
        <v>11779</v>
      </c>
      <c r="C2116" s="2">
        <v>11</v>
      </c>
      <c r="D2116" s="2">
        <v>556</v>
      </c>
      <c r="E2116" s="2">
        <v>194</v>
      </c>
      <c r="F2116" s="2">
        <v>32441</v>
      </c>
      <c r="G2116" s="2">
        <v>3.3083419859999998</v>
      </c>
      <c r="H2116" s="2">
        <v>7.6896699999999996E-4</v>
      </c>
      <c r="I2116" s="2" t="s">
        <v>11780</v>
      </c>
      <c r="J2116" s="2" t="s">
        <v>11781</v>
      </c>
      <c r="K2116" s="2">
        <v>3.460351E-3</v>
      </c>
      <c r="L2116" s="2" t="s">
        <v>3116</v>
      </c>
      <c r="M2116" s="4" t="s">
        <v>11782</v>
      </c>
    </row>
    <row r="2117" spans="1:13">
      <c r="A2117" s="2">
        <v>851</v>
      </c>
      <c r="B2117" s="2" t="s">
        <v>11783</v>
      </c>
      <c r="C2117" s="2">
        <v>10</v>
      </c>
      <c r="D2117" s="2">
        <v>556</v>
      </c>
      <c r="E2117" s="2">
        <v>167</v>
      </c>
      <c r="F2117" s="2">
        <v>32441</v>
      </c>
      <c r="G2117" s="2">
        <v>3.4938396589999998</v>
      </c>
      <c r="H2117" s="2">
        <v>8.9108600000000003E-4</v>
      </c>
      <c r="I2117" s="2" t="s">
        <v>11784</v>
      </c>
      <c r="J2117" s="2" t="s">
        <v>11785</v>
      </c>
      <c r="K2117" s="2">
        <v>3.9166349999999999E-3</v>
      </c>
      <c r="L2117" s="2" t="s">
        <v>3116</v>
      </c>
      <c r="M2117" s="4" t="s">
        <v>11786</v>
      </c>
    </row>
    <row r="2118" spans="1:13">
      <c r="A2118" s="2">
        <v>83</v>
      </c>
      <c r="B2118" s="2" t="s">
        <v>11787</v>
      </c>
      <c r="C2118" s="2">
        <v>9</v>
      </c>
      <c r="D2118" s="2">
        <v>556</v>
      </c>
      <c r="E2118" s="2">
        <v>141</v>
      </c>
      <c r="F2118" s="2">
        <v>32441</v>
      </c>
      <c r="G2118" s="2">
        <v>3.7242844019999999</v>
      </c>
      <c r="H2118" s="2">
        <v>1.044789E-3</v>
      </c>
      <c r="I2118" s="2" t="s">
        <v>11788</v>
      </c>
      <c r="J2118" s="2" t="s">
        <v>11789</v>
      </c>
      <c r="K2118" s="2">
        <v>4.4878440000000004E-3</v>
      </c>
      <c r="L2118" s="2" t="s">
        <v>3116</v>
      </c>
      <c r="M2118" s="4" t="s">
        <v>11790</v>
      </c>
    </row>
    <row r="2119" spans="1:13">
      <c r="A2119" s="2">
        <v>187</v>
      </c>
      <c r="B2119" s="2" t="s">
        <v>11791</v>
      </c>
      <c r="C2119" s="2">
        <v>9</v>
      </c>
      <c r="D2119" s="2">
        <v>556</v>
      </c>
      <c r="E2119" s="2">
        <v>143</v>
      </c>
      <c r="F2119" s="2">
        <v>32441</v>
      </c>
      <c r="G2119" s="2">
        <v>3.6721965089999999</v>
      </c>
      <c r="H2119" s="2">
        <v>1.1467070000000001E-3</v>
      </c>
      <c r="I2119" s="2" t="s">
        <v>11792</v>
      </c>
      <c r="J2119" s="2" t="s">
        <v>11793</v>
      </c>
      <c r="K2119" s="2">
        <v>4.8161699999999998E-3</v>
      </c>
      <c r="L2119" s="2" t="s">
        <v>3116</v>
      </c>
      <c r="M2119" s="4" t="s">
        <v>11794</v>
      </c>
    </row>
    <row r="2120" spans="1:13">
      <c r="A2120" s="2">
        <v>1781</v>
      </c>
      <c r="B2120" s="2" t="s">
        <v>11795</v>
      </c>
      <c r="C2120" s="2">
        <v>9</v>
      </c>
      <c r="D2120" s="2">
        <v>556</v>
      </c>
      <c r="E2120" s="2">
        <v>145</v>
      </c>
      <c r="F2120" s="2">
        <v>32441</v>
      </c>
      <c r="G2120" s="2">
        <v>3.6215455219999999</v>
      </c>
      <c r="H2120" s="2">
        <v>1.2565129999999999E-3</v>
      </c>
      <c r="I2120" s="2" t="s">
        <v>11796</v>
      </c>
      <c r="J2120" s="2" t="s">
        <v>11797</v>
      </c>
      <c r="K2120" s="2">
        <v>5.1626279999999998E-3</v>
      </c>
      <c r="L2120" s="2" t="s">
        <v>3116</v>
      </c>
      <c r="M2120" s="4" t="s">
        <v>11798</v>
      </c>
    </row>
    <row r="2121" spans="1:13">
      <c r="A2121" s="2">
        <v>44</v>
      </c>
      <c r="B2121" s="2" t="s">
        <v>11799</v>
      </c>
      <c r="C2121" s="2">
        <v>10</v>
      </c>
      <c r="D2121" s="2">
        <v>556</v>
      </c>
      <c r="E2121" s="2">
        <v>180</v>
      </c>
      <c r="F2121" s="2">
        <v>32441</v>
      </c>
      <c r="G2121" s="2">
        <v>3.2415067949999998</v>
      </c>
      <c r="H2121" s="2">
        <v>1.520076E-3</v>
      </c>
      <c r="I2121" s="2" t="s">
        <v>11800</v>
      </c>
      <c r="J2121" s="2" t="s">
        <v>11801</v>
      </c>
      <c r="K2121" s="2">
        <v>6.1126469999999997E-3</v>
      </c>
      <c r="L2121" s="2" t="s">
        <v>3116</v>
      </c>
      <c r="M2121" s="4" t="s">
        <v>11802</v>
      </c>
    </row>
    <row r="2122" spans="1:13">
      <c r="A2122" s="2">
        <v>94</v>
      </c>
      <c r="B2122" s="2" t="s">
        <v>11803</v>
      </c>
      <c r="C2122" s="2">
        <v>10</v>
      </c>
      <c r="D2122" s="2">
        <v>556</v>
      </c>
      <c r="E2122" s="2">
        <v>183</v>
      </c>
      <c r="F2122" s="2">
        <v>32441</v>
      </c>
      <c r="G2122" s="2">
        <v>3.188367339</v>
      </c>
      <c r="H2122" s="2">
        <v>1.7071460000000001E-3</v>
      </c>
      <c r="I2122" s="2" t="s">
        <v>11804</v>
      </c>
      <c r="J2122" s="2" t="s">
        <v>11805</v>
      </c>
      <c r="K2122" s="2">
        <v>6.7218870000000002E-3</v>
      </c>
      <c r="L2122" s="2" t="s">
        <v>3116</v>
      </c>
      <c r="M2122" s="4" t="s">
        <v>11806</v>
      </c>
    </row>
    <row r="2123" spans="1:13">
      <c r="A2123" s="2">
        <v>191</v>
      </c>
      <c r="B2123" s="2" t="s">
        <v>11807</v>
      </c>
      <c r="C2123" s="2">
        <v>10</v>
      </c>
      <c r="D2123" s="2">
        <v>556</v>
      </c>
      <c r="E2123" s="2">
        <v>191</v>
      </c>
      <c r="F2123" s="2">
        <v>32441</v>
      </c>
      <c r="G2123" s="2">
        <v>3.054823157</v>
      </c>
      <c r="H2123" s="2">
        <v>2.298493E-3</v>
      </c>
      <c r="I2123" s="2" t="s">
        <v>11808</v>
      </c>
      <c r="J2123" s="2" t="s">
        <v>11809</v>
      </c>
      <c r="K2123" s="2">
        <v>7.8984580000000006E-3</v>
      </c>
      <c r="L2123" s="2" t="s">
        <v>3116</v>
      </c>
      <c r="M2123" s="4" t="s">
        <v>11810</v>
      </c>
    </row>
    <row r="2124" spans="1:13">
      <c r="A2124" s="2">
        <v>202</v>
      </c>
      <c r="B2124" s="2" t="s">
        <v>11811</v>
      </c>
      <c r="C2124" s="2">
        <v>10</v>
      </c>
      <c r="D2124" s="2">
        <v>556</v>
      </c>
      <c r="E2124" s="2">
        <v>188</v>
      </c>
      <c r="F2124" s="2">
        <v>32441</v>
      </c>
      <c r="G2124" s="2">
        <v>3.1035703350000001</v>
      </c>
      <c r="H2124" s="2">
        <v>2.0600219999999999E-3</v>
      </c>
      <c r="I2124" s="2" t="s">
        <v>11812</v>
      </c>
      <c r="J2124" s="2" t="s">
        <v>11813</v>
      </c>
      <c r="K2124" s="2">
        <v>7.8984580000000006E-3</v>
      </c>
      <c r="L2124" s="2" t="s">
        <v>3116</v>
      </c>
      <c r="M2124" s="4" t="s">
        <v>11814</v>
      </c>
    </row>
    <row r="2125" spans="1:13">
      <c r="A2125" s="2">
        <v>78</v>
      </c>
      <c r="B2125" s="2" t="s">
        <v>11815</v>
      </c>
      <c r="C2125" s="2">
        <v>10</v>
      </c>
      <c r="D2125" s="2">
        <v>556</v>
      </c>
      <c r="E2125" s="2">
        <v>191</v>
      </c>
      <c r="F2125" s="2">
        <v>32441</v>
      </c>
      <c r="G2125" s="2">
        <v>3.054823157</v>
      </c>
      <c r="H2125" s="2">
        <v>2.298493E-3</v>
      </c>
      <c r="I2125" s="2" t="s">
        <v>11816</v>
      </c>
      <c r="J2125" s="2" t="s">
        <v>11817</v>
      </c>
      <c r="K2125" s="2">
        <v>7.8984580000000006E-3</v>
      </c>
      <c r="L2125" s="2" t="s">
        <v>3116</v>
      </c>
      <c r="M2125" s="4" t="s">
        <v>11818</v>
      </c>
    </row>
    <row r="2126" spans="1:13">
      <c r="A2126" s="2">
        <v>79</v>
      </c>
      <c r="B2126" s="2" t="s">
        <v>11819</v>
      </c>
      <c r="C2126" s="2">
        <v>10</v>
      </c>
      <c r="D2126" s="2">
        <v>556</v>
      </c>
      <c r="E2126" s="2">
        <v>191</v>
      </c>
      <c r="F2126" s="2">
        <v>32441</v>
      </c>
      <c r="G2126" s="2">
        <v>3.054823157</v>
      </c>
      <c r="H2126" s="2">
        <v>2.298493E-3</v>
      </c>
      <c r="I2126" s="2" t="s">
        <v>11820</v>
      </c>
      <c r="J2126" s="2" t="s">
        <v>11821</v>
      </c>
      <c r="K2126" s="2">
        <v>7.8984580000000006E-3</v>
      </c>
      <c r="L2126" s="2" t="s">
        <v>3116</v>
      </c>
      <c r="M2126" s="4" t="s">
        <v>11822</v>
      </c>
    </row>
    <row r="2127" spans="1:13">
      <c r="A2127" s="2">
        <v>110</v>
      </c>
      <c r="B2127" s="2" t="s">
        <v>11823</v>
      </c>
      <c r="C2127" s="2">
        <v>10</v>
      </c>
      <c r="D2127" s="2">
        <v>556</v>
      </c>
      <c r="E2127" s="2">
        <v>191</v>
      </c>
      <c r="F2127" s="2">
        <v>32441</v>
      </c>
      <c r="G2127" s="2">
        <v>3.054823157</v>
      </c>
      <c r="H2127" s="2">
        <v>2.298493E-3</v>
      </c>
      <c r="I2127" s="2" t="s">
        <v>11824</v>
      </c>
      <c r="J2127" s="2" t="s">
        <v>11825</v>
      </c>
      <c r="K2127" s="2">
        <v>7.8984580000000006E-3</v>
      </c>
      <c r="L2127" s="2" t="s">
        <v>3116</v>
      </c>
      <c r="M2127" s="4" t="s">
        <v>11826</v>
      </c>
    </row>
    <row r="2128" spans="1:13">
      <c r="A2128" s="2">
        <v>1282</v>
      </c>
      <c r="B2128" s="2" t="s">
        <v>11827</v>
      </c>
      <c r="C2128" s="2">
        <v>7</v>
      </c>
      <c r="D2128" s="2">
        <v>556</v>
      </c>
      <c r="E2128" s="2">
        <v>100</v>
      </c>
      <c r="F2128" s="2">
        <v>32441</v>
      </c>
      <c r="G2128" s="2">
        <v>4.0842985609999998</v>
      </c>
      <c r="H2128" s="2">
        <v>2.272512E-3</v>
      </c>
      <c r="I2128" s="2" t="s">
        <v>11828</v>
      </c>
      <c r="J2128" s="2" t="s">
        <v>11829</v>
      </c>
      <c r="K2128" s="2">
        <v>7.8984580000000006E-3</v>
      </c>
      <c r="L2128" s="2" t="s">
        <v>3116</v>
      </c>
      <c r="M2128" s="4" t="s">
        <v>11830</v>
      </c>
    </row>
    <row r="2129" spans="1:13">
      <c r="A2129" s="2">
        <v>166</v>
      </c>
      <c r="B2129" s="2" t="s">
        <v>11831</v>
      </c>
      <c r="C2129" s="2">
        <v>18</v>
      </c>
      <c r="D2129" s="2">
        <v>556</v>
      </c>
      <c r="E2129" s="2">
        <v>481</v>
      </c>
      <c r="F2129" s="2">
        <v>32441</v>
      </c>
      <c r="G2129" s="2">
        <v>2.183468194</v>
      </c>
      <c r="H2129" s="2">
        <v>2.2584419999999998E-3</v>
      </c>
      <c r="I2129" s="2" t="s">
        <v>11832</v>
      </c>
      <c r="J2129" s="2" t="s">
        <v>11833</v>
      </c>
      <c r="K2129" s="2">
        <v>7.8984580000000006E-3</v>
      </c>
      <c r="L2129" s="2" t="s">
        <v>3116</v>
      </c>
      <c r="M2129" s="4" t="s">
        <v>11834</v>
      </c>
    </row>
    <row r="2130" spans="1:13">
      <c r="A2130" s="2">
        <v>77</v>
      </c>
      <c r="B2130" s="2" t="s">
        <v>11835</v>
      </c>
      <c r="C2130" s="2">
        <v>10</v>
      </c>
      <c r="D2130" s="2">
        <v>556</v>
      </c>
      <c r="E2130" s="2">
        <v>194</v>
      </c>
      <c r="F2130" s="2">
        <v>32441</v>
      </c>
      <c r="G2130" s="2">
        <v>3.007583624</v>
      </c>
      <c r="H2130" s="2">
        <v>2.558655E-3</v>
      </c>
      <c r="I2130" s="2" t="s">
        <v>11836</v>
      </c>
      <c r="J2130" s="2" t="s">
        <v>11837</v>
      </c>
      <c r="K2130" s="2">
        <v>8.4839609999999999E-3</v>
      </c>
      <c r="L2130" s="2" t="s">
        <v>3116</v>
      </c>
      <c r="M2130" s="4" t="s">
        <v>11838</v>
      </c>
    </row>
    <row r="2131" spans="1:13">
      <c r="A2131" s="2">
        <v>160</v>
      </c>
      <c r="B2131" s="2" t="s">
        <v>11839</v>
      </c>
      <c r="C2131" s="2">
        <v>10</v>
      </c>
      <c r="D2131" s="2">
        <v>556</v>
      </c>
      <c r="E2131" s="2">
        <v>194</v>
      </c>
      <c r="F2131" s="2">
        <v>32441</v>
      </c>
      <c r="G2131" s="2">
        <v>3.007583624</v>
      </c>
      <c r="H2131" s="2">
        <v>2.558655E-3</v>
      </c>
      <c r="I2131" s="2" t="s">
        <v>11840</v>
      </c>
      <c r="J2131" s="2" t="s">
        <v>11841</v>
      </c>
      <c r="K2131" s="2">
        <v>8.4839609999999999E-3</v>
      </c>
      <c r="L2131" s="2" t="s">
        <v>3116</v>
      </c>
      <c r="M2131" s="4" t="s">
        <v>11842</v>
      </c>
    </row>
    <row r="2132" spans="1:13">
      <c r="A2132" s="2">
        <v>116</v>
      </c>
      <c r="B2132" s="2" t="s">
        <v>11843</v>
      </c>
      <c r="C2132" s="2">
        <v>8</v>
      </c>
      <c r="D2132" s="2">
        <v>556</v>
      </c>
      <c r="E2132" s="2">
        <v>136</v>
      </c>
      <c r="F2132" s="2">
        <v>32441</v>
      </c>
      <c r="G2132" s="2">
        <v>3.4321836650000002</v>
      </c>
      <c r="H2132" s="2">
        <v>3.1545929999999998E-3</v>
      </c>
      <c r="I2132" s="2" t="s">
        <v>11844</v>
      </c>
      <c r="J2132" s="2" t="s">
        <v>11845</v>
      </c>
      <c r="K2132" s="2">
        <v>1.0279623E-2</v>
      </c>
      <c r="L2132" s="2" t="s">
        <v>3116</v>
      </c>
      <c r="M2132" s="4" t="s">
        <v>11846</v>
      </c>
    </row>
    <row r="2133" spans="1:13">
      <c r="A2133" s="2">
        <v>15</v>
      </c>
      <c r="B2133" s="2" t="s">
        <v>11847</v>
      </c>
      <c r="C2133" s="2">
        <v>3</v>
      </c>
      <c r="D2133" s="2">
        <v>556</v>
      </c>
      <c r="E2133" s="2">
        <v>17</v>
      </c>
      <c r="F2133" s="2">
        <v>32441</v>
      </c>
      <c r="G2133" s="2">
        <v>10.29655099</v>
      </c>
      <c r="H2133" s="2">
        <v>4.3815900000000003E-3</v>
      </c>
      <c r="I2133" s="2" t="s">
        <v>11848</v>
      </c>
      <c r="J2133" s="2" t="s">
        <v>11849</v>
      </c>
      <c r="K2133" s="2">
        <v>1.3802007999999999E-2</v>
      </c>
      <c r="L2133" s="2" t="s">
        <v>3116</v>
      </c>
      <c r="M2133" s="4" t="s">
        <v>11850</v>
      </c>
    </row>
    <row r="2134" spans="1:13">
      <c r="A2134" s="2">
        <v>1862</v>
      </c>
      <c r="B2134" s="2" t="s">
        <v>11851</v>
      </c>
      <c r="C2134" s="2">
        <v>8</v>
      </c>
      <c r="D2134" s="2">
        <v>556</v>
      </c>
      <c r="E2134" s="2">
        <v>144</v>
      </c>
      <c r="F2134" s="2">
        <v>32441</v>
      </c>
      <c r="G2134" s="2">
        <v>3.2415067949999998</v>
      </c>
      <c r="H2134" s="2">
        <v>4.3766450000000002E-3</v>
      </c>
      <c r="I2134" s="2" t="s">
        <v>11852</v>
      </c>
      <c r="J2134" s="2" t="s">
        <v>11853</v>
      </c>
      <c r="K2134" s="2">
        <v>1.3802007999999999E-2</v>
      </c>
      <c r="L2134" s="2" t="s">
        <v>3116</v>
      </c>
      <c r="M2134" s="4" t="s">
        <v>11854</v>
      </c>
    </row>
    <row r="2135" spans="1:13">
      <c r="A2135" s="2">
        <v>466</v>
      </c>
      <c r="B2135" s="2" t="s">
        <v>11855</v>
      </c>
      <c r="C2135" s="2">
        <v>8</v>
      </c>
      <c r="D2135" s="2">
        <v>556</v>
      </c>
      <c r="E2135" s="2">
        <v>146</v>
      </c>
      <c r="F2135" s="2">
        <v>32441</v>
      </c>
      <c r="G2135" s="2">
        <v>3.1971025919999998</v>
      </c>
      <c r="H2135" s="2">
        <v>4.7324430000000002E-3</v>
      </c>
      <c r="I2135" s="2" t="s">
        <v>11856</v>
      </c>
      <c r="J2135" s="2" t="s">
        <v>11857</v>
      </c>
      <c r="K2135" s="2">
        <v>1.4662814999999999E-2</v>
      </c>
      <c r="L2135" s="2" t="s">
        <v>3116</v>
      </c>
      <c r="M2135" s="4" t="s">
        <v>11858</v>
      </c>
    </row>
    <row r="2136" spans="1:13">
      <c r="A2136" s="2">
        <v>113</v>
      </c>
      <c r="B2136" s="2" t="s">
        <v>11859</v>
      </c>
      <c r="C2136" s="2">
        <v>9</v>
      </c>
      <c r="D2136" s="2">
        <v>556</v>
      </c>
      <c r="E2136" s="2">
        <v>180</v>
      </c>
      <c r="F2136" s="2">
        <v>32441</v>
      </c>
      <c r="G2136" s="2">
        <v>2.917356115</v>
      </c>
      <c r="H2136" s="2">
        <v>4.9715749999999998E-3</v>
      </c>
      <c r="I2136" s="2" t="s">
        <v>11860</v>
      </c>
      <c r="J2136" s="2" t="s">
        <v>11861</v>
      </c>
      <c r="K2136" s="2">
        <v>1.5155284999999999E-2</v>
      </c>
      <c r="L2136" s="2" t="s">
        <v>3116</v>
      </c>
      <c r="M2136" s="4" t="s">
        <v>11862</v>
      </c>
    </row>
    <row r="2137" spans="1:13">
      <c r="A2137" s="2">
        <v>101</v>
      </c>
      <c r="B2137" s="2" t="s">
        <v>11863</v>
      </c>
      <c r="C2137" s="2">
        <v>8</v>
      </c>
      <c r="D2137" s="2">
        <v>556</v>
      </c>
      <c r="E2137" s="2">
        <v>148</v>
      </c>
      <c r="F2137" s="2">
        <v>32441</v>
      </c>
      <c r="G2137" s="2">
        <v>3.1538985030000002</v>
      </c>
      <c r="H2137" s="2">
        <v>5.1100099999999999E-3</v>
      </c>
      <c r="I2137" s="2" t="s">
        <v>11864</v>
      </c>
      <c r="J2137" s="2" t="s">
        <v>11865</v>
      </c>
      <c r="K2137" s="2">
        <v>1.533003E-2</v>
      </c>
      <c r="L2137" s="2" t="s">
        <v>3116</v>
      </c>
      <c r="M2137" s="4" t="s">
        <v>11866</v>
      </c>
    </row>
    <row r="2138" spans="1:13">
      <c r="A2138" s="2">
        <v>176</v>
      </c>
      <c r="B2138" s="2" t="s">
        <v>11867</v>
      </c>
      <c r="C2138" s="2">
        <v>12</v>
      </c>
      <c r="D2138" s="2">
        <v>556</v>
      </c>
      <c r="E2138" s="2">
        <v>289</v>
      </c>
      <c r="F2138" s="2">
        <v>32441</v>
      </c>
      <c r="G2138" s="2">
        <v>2.4227178810000001</v>
      </c>
      <c r="H2138" s="2">
        <v>5.4024670000000002E-3</v>
      </c>
      <c r="I2138" s="2" t="s">
        <v>11868</v>
      </c>
      <c r="J2138" s="2" t="s">
        <v>11869</v>
      </c>
      <c r="K2138" s="2">
        <v>1.5954158999999999E-2</v>
      </c>
      <c r="L2138" s="2" t="s">
        <v>3116</v>
      </c>
      <c r="M2138" s="4" t="s">
        <v>11870</v>
      </c>
    </row>
    <row r="2139" spans="1:13">
      <c r="A2139" s="2">
        <v>1691</v>
      </c>
      <c r="B2139" s="2" t="s">
        <v>11871</v>
      </c>
      <c r="C2139" s="2">
        <v>9</v>
      </c>
      <c r="D2139" s="2">
        <v>556</v>
      </c>
      <c r="E2139" s="2">
        <v>188</v>
      </c>
      <c r="F2139" s="2">
        <v>32441</v>
      </c>
      <c r="G2139" s="2">
        <v>2.7932133019999998</v>
      </c>
      <c r="H2139" s="2">
        <v>6.4765939999999996E-3</v>
      </c>
      <c r="I2139" s="2" t="s">
        <v>11872</v>
      </c>
      <c r="J2139" s="2" t="s">
        <v>11873</v>
      </c>
      <c r="K2139" s="2">
        <v>1.8831942000000001E-2</v>
      </c>
      <c r="L2139" s="2" t="s">
        <v>3116</v>
      </c>
      <c r="M2139" s="4" t="s">
        <v>11874</v>
      </c>
    </row>
    <row r="2140" spans="1:13">
      <c r="A2140" s="2">
        <v>80</v>
      </c>
      <c r="B2140" s="2" t="s">
        <v>11875</v>
      </c>
      <c r="C2140" s="2">
        <v>9</v>
      </c>
      <c r="D2140" s="2">
        <v>556</v>
      </c>
      <c r="E2140" s="2">
        <v>192</v>
      </c>
      <c r="F2140" s="2">
        <v>32441</v>
      </c>
      <c r="G2140" s="2">
        <v>2.735021358</v>
      </c>
      <c r="H2140" s="2">
        <v>7.3493739999999997E-3</v>
      </c>
      <c r="I2140" s="2" t="s">
        <v>11876</v>
      </c>
      <c r="J2140" s="2" t="s">
        <v>11877</v>
      </c>
      <c r="K2140" s="2">
        <v>2.1045933999999999E-2</v>
      </c>
      <c r="L2140" s="2" t="s">
        <v>3116</v>
      </c>
      <c r="M2140" s="4" t="s">
        <v>11878</v>
      </c>
    </row>
    <row r="2141" spans="1:13">
      <c r="A2141" s="2">
        <v>911</v>
      </c>
      <c r="B2141" s="2" t="s">
        <v>11879</v>
      </c>
      <c r="C2141" s="2">
        <v>9</v>
      </c>
      <c r="D2141" s="2">
        <v>556</v>
      </c>
      <c r="E2141" s="2">
        <v>193</v>
      </c>
      <c r="F2141" s="2">
        <v>32441</v>
      </c>
      <c r="G2141" s="2">
        <v>2.720850263</v>
      </c>
      <c r="H2141" s="2">
        <v>7.5809789999999998E-3</v>
      </c>
      <c r="I2141" s="2" t="s">
        <v>11880</v>
      </c>
      <c r="J2141" s="2" t="s">
        <v>11881</v>
      </c>
      <c r="K2141" s="2">
        <v>2.1070661000000001E-2</v>
      </c>
      <c r="L2141" s="2" t="s">
        <v>3116</v>
      </c>
      <c r="M2141" s="4" t="s">
        <v>11882</v>
      </c>
    </row>
    <row r="2142" spans="1:13">
      <c r="A2142" s="2">
        <v>112</v>
      </c>
      <c r="B2142" s="2" t="s">
        <v>11883</v>
      </c>
      <c r="C2142" s="2">
        <v>9</v>
      </c>
      <c r="D2142" s="2">
        <v>556</v>
      </c>
      <c r="E2142" s="2">
        <v>193</v>
      </c>
      <c r="F2142" s="2">
        <v>32441</v>
      </c>
      <c r="G2142" s="2">
        <v>2.720850263</v>
      </c>
      <c r="H2142" s="2">
        <v>7.5809789999999998E-3</v>
      </c>
      <c r="I2142" s="2" t="s">
        <v>11884</v>
      </c>
      <c r="J2142" s="2" t="s">
        <v>11885</v>
      </c>
      <c r="K2142" s="2">
        <v>2.1070661000000001E-2</v>
      </c>
      <c r="L2142" s="2" t="s">
        <v>3116</v>
      </c>
      <c r="M2142" s="4" t="s">
        <v>11886</v>
      </c>
    </row>
    <row r="2143" spans="1:13">
      <c r="A2143" s="2">
        <v>311</v>
      </c>
      <c r="B2143" s="2" t="s">
        <v>11887</v>
      </c>
      <c r="C2143" s="2">
        <v>9</v>
      </c>
      <c r="D2143" s="2">
        <v>556</v>
      </c>
      <c r="E2143" s="2">
        <v>194</v>
      </c>
      <c r="F2143" s="2">
        <v>32441</v>
      </c>
      <c r="G2143" s="2">
        <v>2.7068252610000001</v>
      </c>
      <c r="H2143" s="2">
        <v>7.8181120000000003E-3</v>
      </c>
      <c r="I2143" s="2" t="s">
        <v>11888</v>
      </c>
      <c r="J2143" s="2" t="s">
        <v>11889</v>
      </c>
      <c r="K2143" s="2">
        <v>2.1414828E-2</v>
      </c>
      <c r="L2143" s="2" t="s">
        <v>3116</v>
      </c>
      <c r="M2143" s="4" t="s">
        <v>11890</v>
      </c>
    </row>
    <row r="2144" spans="1:13">
      <c r="A2144" s="2">
        <v>149</v>
      </c>
      <c r="B2144" s="2" t="s">
        <v>11891</v>
      </c>
      <c r="C2144" s="2">
        <v>9</v>
      </c>
      <c r="D2144" s="2">
        <v>556</v>
      </c>
      <c r="E2144" s="2">
        <v>195</v>
      </c>
      <c r="F2144" s="2">
        <v>32441</v>
      </c>
      <c r="G2144" s="2">
        <v>2.6929441060000001</v>
      </c>
      <c r="H2144" s="2">
        <v>8.0608559999999999E-3</v>
      </c>
      <c r="I2144" s="2" t="s">
        <v>11892</v>
      </c>
      <c r="J2144" s="2" t="s">
        <v>11893</v>
      </c>
      <c r="K2144" s="2">
        <v>2.1764312000000001E-2</v>
      </c>
      <c r="L2144" s="2" t="s">
        <v>3116</v>
      </c>
      <c r="M2144" s="4" t="s">
        <v>11894</v>
      </c>
    </row>
    <row r="2145" spans="1:13">
      <c r="A2145" s="2">
        <v>63</v>
      </c>
      <c r="B2145" s="2" t="s">
        <v>11895</v>
      </c>
      <c r="C2145" s="2">
        <v>9</v>
      </c>
      <c r="D2145" s="2">
        <v>556</v>
      </c>
      <c r="E2145" s="2">
        <v>200</v>
      </c>
      <c r="F2145" s="2">
        <v>32441</v>
      </c>
      <c r="G2145" s="2">
        <v>2.625620504</v>
      </c>
      <c r="H2145" s="2">
        <v>9.3616380000000003E-3</v>
      </c>
      <c r="I2145" s="2" t="s">
        <v>11896</v>
      </c>
      <c r="J2145" s="2" t="s">
        <v>11897</v>
      </c>
      <c r="K2145" s="2">
        <v>2.4920417E-2</v>
      </c>
      <c r="L2145" s="2" t="s">
        <v>3116</v>
      </c>
      <c r="M2145" s="4" t="s">
        <v>11898</v>
      </c>
    </row>
    <row r="2146" spans="1:13">
      <c r="A2146" s="2">
        <v>173</v>
      </c>
      <c r="B2146" s="2" t="s">
        <v>11899</v>
      </c>
      <c r="C2146" s="2">
        <v>4</v>
      </c>
      <c r="D2146" s="2">
        <v>556</v>
      </c>
      <c r="E2146" s="2">
        <v>48</v>
      </c>
      <c r="F2146" s="2">
        <v>32441</v>
      </c>
      <c r="G2146" s="2">
        <v>4.8622601919999999</v>
      </c>
      <c r="H2146" s="2">
        <v>1.1407122E-2</v>
      </c>
      <c r="I2146" s="2" t="s">
        <v>11900</v>
      </c>
      <c r="J2146" s="2" t="s">
        <v>11901</v>
      </c>
      <c r="K2146" s="2">
        <v>2.9943694E-2</v>
      </c>
      <c r="L2146" s="2" t="s">
        <v>3116</v>
      </c>
      <c r="M2146" s="4" t="s">
        <v>11902</v>
      </c>
    </row>
    <row r="2147" spans="1:13">
      <c r="A2147" s="2">
        <v>97</v>
      </c>
      <c r="B2147" s="2" t="s">
        <v>11903</v>
      </c>
      <c r="C2147" s="2">
        <v>8</v>
      </c>
      <c r="D2147" s="2">
        <v>556</v>
      </c>
      <c r="E2147" s="2">
        <v>172</v>
      </c>
      <c r="F2147" s="2">
        <v>32441</v>
      </c>
      <c r="G2147" s="2">
        <v>2.7138196419999998</v>
      </c>
      <c r="H2147" s="2">
        <v>1.1650307E-2</v>
      </c>
      <c r="I2147" s="2" t="s">
        <v>11904</v>
      </c>
      <c r="J2147" s="2" t="s">
        <v>11905</v>
      </c>
      <c r="K2147" s="2">
        <v>3.0163123E-2</v>
      </c>
      <c r="L2147" s="2" t="s">
        <v>3116</v>
      </c>
      <c r="M2147" s="4" t="s">
        <v>11906</v>
      </c>
    </row>
    <row r="2148" spans="1:13">
      <c r="A2148" s="2">
        <v>901</v>
      </c>
      <c r="B2148" s="2" t="s">
        <v>11907</v>
      </c>
      <c r="C2148" s="2">
        <v>7</v>
      </c>
      <c r="D2148" s="2">
        <v>556</v>
      </c>
      <c r="E2148" s="2">
        <v>143</v>
      </c>
      <c r="F2148" s="2">
        <v>32441</v>
      </c>
      <c r="G2148" s="2">
        <v>2.85615284</v>
      </c>
      <c r="H2148" s="2">
        <v>1.3905855999999999E-2</v>
      </c>
      <c r="I2148" s="2" t="s">
        <v>11908</v>
      </c>
      <c r="J2148" s="2" t="s">
        <v>11909</v>
      </c>
      <c r="K2148" s="2">
        <v>3.5042757000000001E-2</v>
      </c>
      <c r="L2148" s="2" t="s">
        <v>3116</v>
      </c>
      <c r="M2148" s="4" t="s">
        <v>11910</v>
      </c>
    </row>
    <row r="2149" spans="1:13">
      <c r="A2149" s="2">
        <v>170</v>
      </c>
      <c r="B2149" s="2" t="s">
        <v>11911</v>
      </c>
      <c r="C2149" s="2">
        <v>7</v>
      </c>
      <c r="D2149" s="2">
        <v>556</v>
      </c>
      <c r="E2149" s="2">
        <v>143</v>
      </c>
      <c r="F2149" s="2">
        <v>32441</v>
      </c>
      <c r="G2149" s="2">
        <v>2.85615284</v>
      </c>
      <c r="H2149" s="2">
        <v>1.3905855999999999E-2</v>
      </c>
      <c r="I2149" s="2" t="s">
        <v>11912</v>
      </c>
      <c r="J2149" s="2" t="s">
        <v>11913</v>
      </c>
      <c r="K2149" s="2">
        <v>3.5042757000000001E-2</v>
      </c>
      <c r="L2149" s="2" t="s">
        <v>3116</v>
      </c>
      <c r="M2149" s="4" t="s">
        <v>11914</v>
      </c>
    </row>
    <row r="2150" spans="1:13">
      <c r="A2150" s="2">
        <v>171</v>
      </c>
      <c r="B2150" s="2" t="s">
        <v>11915</v>
      </c>
      <c r="C2150" s="2">
        <v>7</v>
      </c>
      <c r="D2150" s="2">
        <v>556</v>
      </c>
      <c r="E2150" s="2">
        <v>146</v>
      </c>
      <c r="F2150" s="2">
        <v>32441</v>
      </c>
      <c r="G2150" s="2">
        <v>2.7974647680000002</v>
      </c>
      <c r="H2150" s="2">
        <v>1.5354369E-2</v>
      </c>
      <c r="I2150" s="2" t="s">
        <v>11916</v>
      </c>
      <c r="J2150" s="2" t="s">
        <v>11917</v>
      </c>
      <c r="K2150" s="2">
        <v>3.8183891999999997E-2</v>
      </c>
      <c r="L2150" s="2" t="s">
        <v>3116</v>
      </c>
      <c r="M2150" s="4" t="s">
        <v>11918</v>
      </c>
    </row>
    <row r="2151" spans="1:13">
      <c r="A2151" s="2">
        <v>24981</v>
      </c>
      <c r="B2151" s="2" t="s">
        <v>11919</v>
      </c>
      <c r="C2151" s="2">
        <v>60</v>
      </c>
      <c r="D2151" s="2">
        <v>556</v>
      </c>
      <c r="E2151" s="2">
        <v>166</v>
      </c>
      <c r="F2151" s="2">
        <v>32441</v>
      </c>
      <c r="G2151" s="2">
        <v>21.089321309999999</v>
      </c>
      <c r="H2151" s="3">
        <v>4.8500000000000002E-54</v>
      </c>
      <c r="I2151" s="3" t="s">
        <v>11920</v>
      </c>
      <c r="J2151" s="3" t="s">
        <v>11921</v>
      </c>
      <c r="K2151" s="3">
        <v>2.3700000000000002E-50</v>
      </c>
      <c r="L2151" s="2" t="s">
        <v>1178</v>
      </c>
      <c r="M2151" s="4" t="s">
        <v>11922</v>
      </c>
    </row>
    <row r="2152" spans="1:13">
      <c r="A2152" s="2">
        <v>2260</v>
      </c>
      <c r="B2152" s="2" t="s">
        <v>11923</v>
      </c>
      <c r="C2152" s="2">
        <v>62</v>
      </c>
      <c r="D2152" s="2">
        <v>556</v>
      </c>
      <c r="E2152" s="2">
        <v>200</v>
      </c>
      <c r="F2152" s="2">
        <v>32441</v>
      </c>
      <c r="G2152" s="2">
        <v>18.087607909999999</v>
      </c>
      <c r="H2152" s="3">
        <v>1.8499999999999999E-52</v>
      </c>
      <c r="I2152" s="3" t="s">
        <v>11924</v>
      </c>
      <c r="J2152" s="3" t="s">
        <v>11925</v>
      </c>
      <c r="K2152" s="3">
        <v>4.5099999999999997E-49</v>
      </c>
      <c r="L2152" s="2" t="s">
        <v>1178</v>
      </c>
      <c r="M2152" s="4" t="s">
        <v>11926</v>
      </c>
    </row>
    <row r="2153" spans="1:13">
      <c r="A2153" s="2">
        <v>4610</v>
      </c>
      <c r="B2153" s="2" t="s">
        <v>11927</v>
      </c>
      <c r="C2153" s="2">
        <v>61</v>
      </c>
      <c r="D2153" s="2">
        <v>556</v>
      </c>
      <c r="E2153" s="2">
        <v>200</v>
      </c>
      <c r="F2153" s="2">
        <v>32441</v>
      </c>
      <c r="G2153" s="2">
        <v>17.795872299999999</v>
      </c>
      <c r="H2153" s="3">
        <v>2.8999999999999997E-51</v>
      </c>
      <c r="I2153" s="3" t="s">
        <v>11928</v>
      </c>
      <c r="J2153" s="3" t="s">
        <v>11929</v>
      </c>
      <c r="K2153" s="3">
        <v>4.7099999999999997E-48</v>
      </c>
      <c r="L2153" s="2" t="s">
        <v>1178</v>
      </c>
      <c r="M2153" s="4" t="s">
        <v>11930</v>
      </c>
    </row>
    <row r="2154" spans="1:13">
      <c r="A2154" s="2">
        <v>73</v>
      </c>
      <c r="B2154" s="2" t="s">
        <v>11931</v>
      </c>
      <c r="C2154" s="2">
        <v>56</v>
      </c>
      <c r="D2154" s="2">
        <v>556</v>
      </c>
      <c r="E2154" s="2">
        <v>200</v>
      </c>
      <c r="F2154" s="2">
        <v>32441</v>
      </c>
      <c r="G2154" s="2">
        <v>16.337194239999999</v>
      </c>
      <c r="H2154" s="3">
        <v>2.1899999999999999E-45</v>
      </c>
      <c r="I2154" s="3" t="s">
        <v>11932</v>
      </c>
      <c r="J2154" s="3" t="s">
        <v>11933</v>
      </c>
      <c r="K2154" s="3">
        <v>2.6700000000000001E-42</v>
      </c>
      <c r="L2154" s="2" t="s">
        <v>1178</v>
      </c>
      <c r="M2154" s="4" t="s">
        <v>11934</v>
      </c>
    </row>
    <row r="2155" spans="1:13">
      <c r="A2155" s="2">
        <v>12751</v>
      </c>
      <c r="B2155" s="2" t="s">
        <v>11935</v>
      </c>
      <c r="C2155" s="2">
        <v>53</v>
      </c>
      <c r="D2155" s="2">
        <v>556</v>
      </c>
      <c r="E2155" s="2">
        <v>200</v>
      </c>
      <c r="F2155" s="2">
        <v>32441</v>
      </c>
      <c r="G2155" s="2">
        <v>15.461987410000001</v>
      </c>
      <c r="H2155" s="3">
        <v>6.1299999999999998E-42</v>
      </c>
      <c r="I2155" s="3" t="s">
        <v>11936</v>
      </c>
      <c r="J2155" s="3" t="s">
        <v>11937</v>
      </c>
      <c r="K2155" s="3">
        <v>5.9699999999999997E-39</v>
      </c>
      <c r="L2155" s="2" t="s">
        <v>1178</v>
      </c>
      <c r="M2155" s="4" t="s">
        <v>11938</v>
      </c>
    </row>
    <row r="2156" spans="1:13">
      <c r="A2156" s="2">
        <v>423</v>
      </c>
      <c r="B2156" s="2" t="s">
        <v>11939</v>
      </c>
      <c r="C2156" s="2">
        <v>52</v>
      </c>
      <c r="D2156" s="2">
        <v>556</v>
      </c>
      <c r="E2156" s="2">
        <v>200</v>
      </c>
      <c r="F2156" s="2">
        <v>32441</v>
      </c>
      <c r="G2156" s="2">
        <v>15.170251800000001</v>
      </c>
      <c r="H2156" s="3">
        <v>8.3499999999999999E-41</v>
      </c>
      <c r="I2156" s="3" t="s">
        <v>11940</v>
      </c>
      <c r="J2156" s="3" t="s">
        <v>11941</v>
      </c>
      <c r="K2156" s="3">
        <v>4.52E-38</v>
      </c>
      <c r="L2156" s="2" t="s">
        <v>1178</v>
      </c>
      <c r="M2156" s="4" t="s">
        <v>11942</v>
      </c>
    </row>
    <row r="2157" spans="1:13">
      <c r="A2157" s="2">
        <v>9901</v>
      </c>
      <c r="B2157" s="2" t="s">
        <v>11943</v>
      </c>
      <c r="C2157" s="2">
        <v>52</v>
      </c>
      <c r="D2157" s="2">
        <v>556</v>
      </c>
      <c r="E2157" s="2">
        <v>200</v>
      </c>
      <c r="F2157" s="2">
        <v>32441</v>
      </c>
      <c r="G2157" s="2">
        <v>15.170251800000001</v>
      </c>
      <c r="H2157" s="3">
        <v>8.3499999999999999E-41</v>
      </c>
      <c r="I2157" s="3" t="s">
        <v>11944</v>
      </c>
      <c r="J2157" s="3" t="s">
        <v>11945</v>
      </c>
      <c r="K2157" s="3">
        <v>4.52E-38</v>
      </c>
      <c r="L2157" s="2" t="s">
        <v>1178</v>
      </c>
      <c r="M2157" s="4" t="s">
        <v>11946</v>
      </c>
    </row>
    <row r="2158" spans="1:13">
      <c r="A2158" s="2">
        <v>1064</v>
      </c>
      <c r="B2158" s="2" t="s">
        <v>11947</v>
      </c>
      <c r="C2158" s="2">
        <v>52</v>
      </c>
      <c r="D2158" s="2">
        <v>556</v>
      </c>
      <c r="E2158" s="2">
        <v>200</v>
      </c>
      <c r="F2158" s="2">
        <v>32441</v>
      </c>
      <c r="G2158" s="2">
        <v>15.170251800000001</v>
      </c>
      <c r="H2158" s="3">
        <v>8.3499999999999999E-41</v>
      </c>
      <c r="I2158" s="3" t="s">
        <v>11948</v>
      </c>
      <c r="J2158" s="3" t="s">
        <v>11949</v>
      </c>
      <c r="K2158" s="3">
        <v>4.52E-38</v>
      </c>
      <c r="L2158" s="2" t="s">
        <v>1178</v>
      </c>
      <c r="M2158" s="4" t="s">
        <v>11950</v>
      </c>
    </row>
    <row r="2159" spans="1:13">
      <c r="A2159" s="2">
        <v>39411</v>
      </c>
      <c r="B2159" s="2" t="s">
        <v>11951</v>
      </c>
      <c r="C2159" s="2">
        <v>52</v>
      </c>
      <c r="D2159" s="2">
        <v>556</v>
      </c>
      <c r="E2159" s="2">
        <v>199</v>
      </c>
      <c r="F2159" s="2">
        <v>32441</v>
      </c>
      <c r="G2159" s="2">
        <v>15.246484219999999</v>
      </c>
      <c r="H2159" s="3">
        <v>6.7299999999999995E-41</v>
      </c>
      <c r="I2159" s="3" t="s">
        <v>11952</v>
      </c>
      <c r="J2159" s="3" t="s">
        <v>11953</v>
      </c>
      <c r="K2159" s="3">
        <v>4.52E-38</v>
      </c>
      <c r="L2159" s="2" t="s">
        <v>1178</v>
      </c>
      <c r="M2159" s="4" t="s">
        <v>11954</v>
      </c>
    </row>
    <row r="2160" spans="1:13">
      <c r="A2160" s="2">
        <v>40</v>
      </c>
      <c r="B2160" s="2" t="s">
        <v>11955</v>
      </c>
      <c r="C2160" s="2">
        <v>51</v>
      </c>
      <c r="D2160" s="2">
        <v>556</v>
      </c>
      <c r="E2160" s="2">
        <v>200</v>
      </c>
      <c r="F2160" s="2">
        <v>32441</v>
      </c>
      <c r="G2160" s="2">
        <v>14.878516189999999</v>
      </c>
      <c r="H2160" s="3">
        <v>1.12E-39</v>
      </c>
      <c r="I2160" s="3" t="s">
        <v>11956</v>
      </c>
      <c r="J2160" s="3" t="s">
        <v>11957</v>
      </c>
      <c r="K2160" s="3">
        <v>4.9599999999999997E-37</v>
      </c>
      <c r="L2160" s="2" t="s">
        <v>1178</v>
      </c>
      <c r="M2160" s="4" t="s">
        <v>11958</v>
      </c>
    </row>
    <row r="2161" spans="1:13">
      <c r="A2161" s="2">
        <v>10621</v>
      </c>
      <c r="B2161" s="2" t="s">
        <v>11959</v>
      </c>
      <c r="C2161" s="2">
        <v>51</v>
      </c>
      <c r="D2161" s="2">
        <v>556</v>
      </c>
      <c r="E2161" s="2">
        <v>200</v>
      </c>
      <c r="F2161" s="2">
        <v>32441</v>
      </c>
      <c r="G2161" s="2">
        <v>14.878516189999999</v>
      </c>
      <c r="H2161" s="3">
        <v>1.12E-39</v>
      </c>
      <c r="I2161" s="3" t="s">
        <v>11960</v>
      </c>
      <c r="J2161" s="3" t="s">
        <v>11961</v>
      </c>
      <c r="K2161" s="3">
        <v>4.9599999999999997E-37</v>
      </c>
      <c r="L2161" s="2" t="s">
        <v>1178</v>
      </c>
      <c r="M2161" s="4" t="s">
        <v>11962</v>
      </c>
    </row>
    <row r="2162" spans="1:13">
      <c r="A2162" s="2">
        <v>12921</v>
      </c>
      <c r="B2162" s="2" t="s">
        <v>11963</v>
      </c>
      <c r="C2162" s="2">
        <v>50</v>
      </c>
      <c r="D2162" s="2">
        <v>556</v>
      </c>
      <c r="E2162" s="2">
        <v>200</v>
      </c>
      <c r="F2162" s="2">
        <v>32441</v>
      </c>
      <c r="G2162" s="2">
        <v>14.586780579999999</v>
      </c>
      <c r="H2162" s="3">
        <v>1.4700000000000001E-38</v>
      </c>
      <c r="I2162" s="3" t="s">
        <v>11964</v>
      </c>
      <c r="J2162" s="3" t="s">
        <v>11965</v>
      </c>
      <c r="K2162" s="3">
        <v>5.9800000000000002E-36</v>
      </c>
      <c r="L2162" s="2" t="s">
        <v>1178</v>
      </c>
      <c r="M2162" s="4" t="s">
        <v>11966</v>
      </c>
    </row>
    <row r="2163" spans="1:13">
      <c r="A2163" s="2">
        <v>2502</v>
      </c>
      <c r="B2163" s="2" t="s">
        <v>11967</v>
      </c>
      <c r="C2163" s="2">
        <v>47</v>
      </c>
      <c r="D2163" s="2">
        <v>556</v>
      </c>
      <c r="E2163" s="2">
        <v>169</v>
      </c>
      <c r="F2163" s="2">
        <v>32441</v>
      </c>
      <c r="G2163" s="2">
        <v>16.226714489999999</v>
      </c>
      <c r="H2163" s="3">
        <v>4.29E-38</v>
      </c>
      <c r="I2163" s="2" t="s">
        <v>11968</v>
      </c>
      <c r="J2163" s="2" t="s">
        <v>11969</v>
      </c>
      <c r="K2163" s="3">
        <v>1.6099999999999999E-35</v>
      </c>
      <c r="L2163" s="2" t="s">
        <v>1178</v>
      </c>
      <c r="M2163" s="4" t="s">
        <v>11970</v>
      </c>
    </row>
    <row r="2164" spans="1:13">
      <c r="A2164" s="2">
        <v>488</v>
      </c>
      <c r="B2164" s="2" t="s">
        <v>11971</v>
      </c>
      <c r="C2164" s="2">
        <v>49</v>
      </c>
      <c r="D2164" s="2">
        <v>556</v>
      </c>
      <c r="E2164" s="2">
        <v>200</v>
      </c>
      <c r="F2164" s="2">
        <v>32441</v>
      </c>
      <c r="G2164" s="2">
        <v>14.29504496</v>
      </c>
      <c r="H2164" s="3">
        <v>1.91E-37</v>
      </c>
      <c r="I2164" s="3" t="s">
        <v>11972</v>
      </c>
      <c r="J2164" s="3" t="s">
        <v>11973</v>
      </c>
      <c r="K2164" s="3">
        <v>5.8000000000000004E-35</v>
      </c>
      <c r="L2164" s="2" t="s">
        <v>1178</v>
      </c>
      <c r="M2164" s="4" t="s">
        <v>11974</v>
      </c>
    </row>
    <row r="2165" spans="1:13">
      <c r="A2165" s="2">
        <v>1280</v>
      </c>
      <c r="B2165" s="2" t="s">
        <v>11975</v>
      </c>
      <c r="C2165" s="2">
        <v>49</v>
      </c>
      <c r="D2165" s="2">
        <v>556</v>
      </c>
      <c r="E2165" s="2">
        <v>200</v>
      </c>
      <c r="F2165" s="2">
        <v>32441</v>
      </c>
      <c r="G2165" s="2">
        <v>14.29504496</v>
      </c>
      <c r="H2165" s="3">
        <v>1.91E-37</v>
      </c>
      <c r="I2165" s="2" t="s">
        <v>11976</v>
      </c>
      <c r="J2165" s="2" t="s">
        <v>11977</v>
      </c>
      <c r="K2165" s="3">
        <v>5.8000000000000004E-35</v>
      </c>
      <c r="L2165" s="2" t="s">
        <v>1178</v>
      </c>
      <c r="M2165" s="4" t="s">
        <v>11978</v>
      </c>
    </row>
    <row r="2166" spans="1:13">
      <c r="A2166" s="2">
        <v>3038</v>
      </c>
      <c r="B2166" s="2" t="s">
        <v>11979</v>
      </c>
      <c r="C2166" s="2">
        <v>49</v>
      </c>
      <c r="D2166" s="2">
        <v>556</v>
      </c>
      <c r="E2166" s="2">
        <v>200</v>
      </c>
      <c r="F2166" s="2">
        <v>32441</v>
      </c>
      <c r="G2166" s="2">
        <v>14.29504496</v>
      </c>
      <c r="H2166" s="3">
        <v>1.91E-37</v>
      </c>
      <c r="I2166" s="3" t="s">
        <v>11980</v>
      </c>
      <c r="J2166" s="3" t="s">
        <v>11981</v>
      </c>
      <c r="K2166" s="3">
        <v>5.8000000000000004E-35</v>
      </c>
      <c r="L2166" s="2" t="s">
        <v>1178</v>
      </c>
      <c r="M2166" s="4" t="s">
        <v>11982</v>
      </c>
    </row>
    <row r="2167" spans="1:13">
      <c r="A2167" s="2">
        <v>3327</v>
      </c>
      <c r="B2167" s="2" t="s">
        <v>11983</v>
      </c>
      <c r="C2167" s="2">
        <v>48</v>
      </c>
      <c r="D2167" s="2">
        <v>556</v>
      </c>
      <c r="E2167" s="2">
        <v>200</v>
      </c>
      <c r="F2167" s="2">
        <v>32441</v>
      </c>
      <c r="G2167" s="2">
        <v>14.00330935</v>
      </c>
      <c r="H2167" s="3">
        <v>2.4200000000000001E-36</v>
      </c>
      <c r="I2167" s="2" t="s">
        <v>11984</v>
      </c>
      <c r="J2167" s="2" t="s">
        <v>11985</v>
      </c>
      <c r="K2167" s="3">
        <v>6.5499999999999998E-34</v>
      </c>
      <c r="L2167" s="2" t="s">
        <v>1178</v>
      </c>
      <c r="M2167" s="4" t="s">
        <v>11986</v>
      </c>
    </row>
    <row r="2168" spans="1:13">
      <c r="A2168" s="2">
        <v>3938</v>
      </c>
      <c r="B2168" s="2" t="s">
        <v>11987</v>
      </c>
      <c r="C2168" s="2">
        <v>48</v>
      </c>
      <c r="D2168" s="2">
        <v>556</v>
      </c>
      <c r="E2168" s="2">
        <v>200</v>
      </c>
      <c r="F2168" s="2">
        <v>32441</v>
      </c>
      <c r="G2168" s="2">
        <v>14.00330935</v>
      </c>
      <c r="H2168" s="3">
        <v>2.4200000000000001E-36</v>
      </c>
      <c r="I2168" s="2" t="s">
        <v>11988</v>
      </c>
      <c r="J2168" s="2" t="s">
        <v>11989</v>
      </c>
      <c r="K2168" s="3">
        <v>6.5499999999999998E-34</v>
      </c>
      <c r="L2168" s="2" t="s">
        <v>1178</v>
      </c>
      <c r="M2168" s="4" t="s">
        <v>11990</v>
      </c>
    </row>
    <row r="2169" spans="1:13">
      <c r="A2169" s="2">
        <v>9781</v>
      </c>
      <c r="B2169" s="2" t="s">
        <v>11991</v>
      </c>
      <c r="C2169" s="2">
        <v>47</v>
      </c>
      <c r="D2169" s="2">
        <v>556</v>
      </c>
      <c r="E2169" s="2">
        <v>200</v>
      </c>
      <c r="F2169" s="2">
        <v>32441</v>
      </c>
      <c r="G2169" s="2">
        <v>13.71157374</v>
      </c>
      <c r="H2169" s="3">
        <v>3.0199999999999998E-35</v>
      </c>
      <c r="I2169" s="3" t="s">
        <v>11992</v>
      </c>
      <c r="J2169" s="3" t="s">
        <v>11993</v>
      </c>
      <c r="K2169" s="3">
        <v>7.3600000000000004E-33</v>
      </c>
      <c r="L2169" s="2" t="s">
        <v>1178</v>
      </c>
      <c r="M2169" s="4" t="s">
        <v>11994</v>
      </c>
    </row>
    <row r="2170" spans="1:13">
      <c r="A2170" s="2">
        <v>1287</v>
      </c>
      <c r="B2170" s="2" t="s">
        <v>11995</v>
      </c>
      <c r="C2170" s="2">
        <v>47</v>
      </c>
      <c r="D2170" s="2">
        <v>556</v>
      </c>
      <c r="E2170" s="2">
        <v>200</v>
      </c>
      <c r="F2170" s="2">
        <v>32441</v>
      </c>
      <c r="G2170" s="2">
        <v>13.71157374</v>
      </c>
      <c r="H2170" s="3">
        <v>3.0199999999999998E-35</v>
      </c>
      <c r="I2170" s="2" t="s">
        <v>11996</v>
      </c>
      <c r="J2170" s="2" t="s">
        <v>11997</v>
      </c>
      <c r="K2170" s="3">
        <v>7.3600000000000004E-33</v>
      </c>
      <c r="L2170" s="2" t="s">
        <v>1178</v>
      </c>
      <c r="M2170" s="4" t="s">
        <v>11998</v>
      </c>
    </row>
    <row r="2171" spans="1:13">
      <c r="A2171" s="2">
        <v>31171</v>
      </c>
      <c r="B2171" s="2" t="s">
        <v>11999</v>
      </c>
      <c r="C2171" s="2">
        <v>45</v>
      </c>
      <c r="D2171" s="2">
        <v>556</v>
      </c>
      <c r="E2171" s="2">
        <v>199</v>
      </c>
      <c r="F2171" s="2">
        <v>32441</v>
      </c>
      <c r="G2171" s="2">
        <v>13.19407288</v>
      </c>
      <c r="H2171" s="3">
        <v>3.6800000000000002E-33</v>
      </c>
      <c r="I2171" s="2" t="s">
        <v>12000</v>
      </c>
      <c r="J2171" s="2" t="s">
        <v>12001</v>
      </c>
      <c r="K2171" s="3">
        <v>8.1499999999999996E-31</v>
      </c>
      <c r="L2171" s="2" t="s">
        <v>1178</v>
      </c>
      <c r="M2171" s="4" t="s">
        <v>12002</v>
      </c>
    </row>
    <row r="2172" spans="1:13">
      <c r="A2172" s="2">
        <v>3949</v>
      </c>
      <c r="B2172" s="2" t="s">
        <v>12003</v>
      </c>
      <c r="C2172" s="2">
        <v>45</v>
      </c>
      <c r="D2172" s="2">
        <v>556</v>
      </c>
      <c r="E2172" s="2">
        <v>199</v>
      </c>
      <c r="F2172" s="2">
        <v>32441</v>
      </c>
      <c r="G2172" s="2">
        <v>13.19407288</v>
      </c>
      <c r="H2172" s="3">
        <v>3.6800000000000002E-33</v>
      </c>
      <c r="I2172" s="2" t="s">
        <v>12004</v>
      </c>
      <c r="J2172" s="2" t="s">
        <v>12005</v>
      </c>
      <c r="K2172" s="3">
        <v>8.1499999999999996E-31</v>
      </c>
      <c r="L2172" s="2" t="s">
        <v>1178</v>
      </c>
      <c r="M2172" s="4" t="s">
        <v>12006</v>
      </c>
    </row>
    <row r="2173" spans="1:13">
      <c r="A2173" s="2">
        <v>996</v>
      </c>
      <c r="B2173" s="2" t="s">
        <v>12007</v>
      </c>
      <c r="C2173" s="2">
        <v>45</v>
      </c>
      <c r="D2173" s="2">
        <v>556</v>
      </c>
      <c r="E2173" s="2">
        <v>200</v>
      </c>
      <c r="F2173" s="2">
        <v>32441</v>
      </c>
      <c r="G2173" s="2">
        <v>13.128102520000001</v>
      </c>
      <c r="H2173" s="3">
        <v>4.44E-33</v>
      </c>
      <c r="I2173" s="2" t="s">
        <v>12008</v>
      </c>
      <c r="J2173" s="2" t="s">
        <v>12009</v>
      </c>
      <c r="K2173" s="3">
        <v>9.3999999999999997E-31</v>
      </c>
      <c r="L2173" s="2" t="s">
        <v>1178</v>
      </c>
      <c r="M2173" s="4" t="s">
        <v>12010</v>
      </c>
    </row>
    <row r="2174" spans="1:13">
      <c r="A2174" s="2">
        <v>24961</v>
      </c>
      <c r="B2174" s="2" t="s">
        <v>12011</v>
      </c>
      <c r="C2174" s="2">
        <v>42</v>
      </c>
      <c r="D2174" s="2">
        <v>556</v>
      </c>
      <c r="E2174" s="2">
        <v>170</v>
      </c>
      <c r="F2174" s="2">
        <v>32441</v>
      </c>
      <c r="G2174" s="2">
        <v>14.415171389999999</v>
      </c>
      <c r="H2174" s="3">
        <v>2.34E-32</v>
      </c>
      <c r="I2174" s="2" t="s">
        <v>12012</v>
      </c>
      <c r="J2174" s="2" t="s">
        <v>12013</v>
      </c>
      <c r="K2174" s="3">
        <v>4.76E-30</v>
      </c>
      <c r="L2174" s="2" t="s">
        <v>1178</v>
      </c>
      <c r="M2174" s="4" t="s">
        <v>12014</v>
      </c>
    </row>
    <row r="2175" spans="1:13">
      <c r="A2175" s="2">
        <v>989</v>
      </c>
      <c r="B2175" s="2" t="s">
        <v>12015</v>
      </c>
      <c r="C2175" s="2">
        <v>44</v>
      </c>
      <c r="D2175" s="2">
        <v>556</v>
      </c>
      <c r="E2175" s="2">
        <v>200</v>
      </c>
      <c r="F2175" s="2">
        <v>32441</v>
      </c>
      <c r="G2175" s="2">
        <v>12.836366910000001</v>
      </c>
      <c r="H2175" s="3">
        <v>5.2200000000000003E-32</v>
      </c>
      <c r="I2175" s="2" t="s">
        <v>12016</v>
      </c>
      <c r="J2175" s="2" t="s">
        <v>12017</v>
      </c>
      <c r="K2175" s="3">
        <v>9.7900000000000005E-30</v>
      </c>
      <c r="L2175" s="2" t="s">
        <v>1178</v>
      </c>
      <c r="M2175" s="4" t="s">
        <v>12018</v>
      </c>
    </row>
    <row r="2176" spans="1:13">
      <c r="A2176" s="2">
        <v>1277</v>
      </c>
      <c r="B2176" s="2" t="s">
        <v>12019</v>
      </c>
      <c r="C2176" s="2">
        <v>44</v>
      </c>
      <c r="D2176" s="2">
        <v>556</v>
      </c>
      <c r="E2176" s="2">
        <v>200</v>
      </c>
      <c r="F2176" s="2">
        <v>32441</v>
      </c>
      <c r="G2176" s="2">
        <v>12.836366910000001</v>
      </c>
      <c r="H2176" s="3">
        <v>5.2200000000000003E-32</v>
      </c>
      <c r="I2176" s="2" t="s">
        <v>12020</v>
      </c>
      <c r="J2176" s="2" t="s">
        <v>12021</v>
      </c>
      <c r="K2176" s="3">
        <v>9.7900000000000005E-30</v>
      </c>
      <c r="L2176" s="2" t="s">
        <v>1178</v>
      </c>
      <c r="M2176" s="4" t="s">
        <v>12022</v>
      </c>
    </row>
    <row r="2177" spans="1:13">
      <c r="A2177" s="2">
        <v>3946</v>
      </c>
      <c r="B2177" s="2" t="s">
        <v>12023</v>
      </c>
      <c r="C2177" s="2">
        <v>43</v>
      </c>
      <c r="D2177" s="2">
        <v>556</v>
      </c>
      <c r="E2177" s="2">
        <v>200</v>
      </c>
      <c r="F2177" s="2">
        <v>32441</v>
      </c>
      <c r="G2177" s="2">
        <v>12.54463129</v>
      </c>
      <c r="H2177" s="3">
        <v>6.0299999999999996E-31</v>
      </c>
      <c r="I2177" s="2" t="s">
        <v>12024</v>
      </c>
      <c r="J2177" s="2" t="s">
        <v>12025</v>
      </c>
      <c r="K2177" s="3">
        <v>1.09E-28</v>
      </c>
      <c r="L2177" s="2" t="s">
        <v>1178</v>
      </c>
      <c r="M2177" s="4" t="s">
        <v>12026</v>
      </c>
    </row>
    <row r="2178" spans="1:13">
      <c r="A2178" s="2">
        <v>2504</v>
      </c>
      <c r="B2178" s="2" t="s">
        <v>12027</v>
      </c>
      <c r="C2178" s="2">
        <v>40</v>
      </c>
      <c r="D2178" s="2">
        <v>556</v>
      </c>
      <c r="E2178" s="2">
        <v>171</v>
      </c>
      <c r="F2178" s="2">
        <v>32441</v>
      </c>
      <c r="G2178" s="2">
        <v>13.648449660000001</v>
      </c>
      <c r="H2178" s="3">
        <v>4.4499999999999997E-30</v>
      </c>
      <c r="I2178" s="2" t="s">
        <v>12028</v>
      </c>
      <c r="J2178" s="2" t="s">
        <v>12029</v>
      </c>
      <c r="K2178" s="3">
        <v>7.7399999999999999E-28</v>
      </c>
      <c r="L2178" s="2" t="s">
        <v>1178</v>
      </c>
      <c r="M2178" s="4" t="s">
        <v>12030</v>
      </c>
    </row>
    <row r="2179" spans="1:13">
      <c r="A2179" s="2">
        <v>10901</v>
      </c>
      <c r="B2179" s="2" t="s">
        <v>12031</v>
      </c>
      <c r="C2179" s="2">
        <v>42</v>
      </c>
      <c r="D2179" s="2">
        <v>556</v>
      </c>
      <c r="E2179" s="2">
        <v>200</v>
      </c>
      <c r="F2179" s="2">
        <v>32441</v>
      </c>
      <c r="G2179" s="2">
        <v>12.25289568</v>
      </c>
      <c r="H2179" s="3">
        <v>6.8099999999999994E-30</v>
      </c>
      <c r="I2179" s="2" t="s">
        <v>12032</v>
      </c>
      <c r="J2179" s="2" t="s">
        <v>12033</v>
      </c>
      <c r="K2179" s="3">
        <v>1.11E-27</v>
      </c>
      <c r="L2179" s="2" t="s">
        <v>1178</v>
      </c>
      <c r="M2179" s="4" t="s">
        <v>12034</v>
      </c>
    </row>
    <row r="2180" spans="1:13">
      <c r="A2180" s="2">
        <v>3800</v>
      </c>
      <c r="B2180" s="2" t="s">
        <v>12035</v>
      </c>
      <c r="C2180" s="2">
        <v>42</v>
      </c>
      <c r="D2180" s="2">
        <v>556</v>
      </c>
      <c r="E2180" s="2">
        <v>200</v>
      </c>
      <c r="F2180" s="2">
        <v>32441</v>
      </c>
      <c r="G2180" s="2">
        <v>12.25289568</v>
      </c>
      <c r="H2180" s="3">
        <v>6.8099999999999994E-30</v>
      </c>
      <c r="I2180" s="2" t="s">
        <v>12036</v>
      </c>
      <c r="J2180" s="2" t="s">
        <v>12037</v>
      </c>
      <c r="K2180" s="3">
        <v>1.11E-27</v>
      </c>
      <c r="L2180" s="2" t="s">
        <v>1178</v>
      </c>
      <c r="M2180" s="4" t="s">
        <v>12038</v>
      </c>
    </row>
    <row r="2181" spans="1:13">
      <c r="A2181" s="2">
        <v>68</v>
      </c>
      <c r="B2181" s="2" t="s">
        <v>12039</v>
      </c>
      <c r="C2181" s="2">
        <v>41</v>
      </c>
      <c r="D2181" s="2">
        <v>556</v>
      </c>
      <c r="E2181" s="2">
        <v>200</v>
      </c>
      <c r="F2181" s="2">
        <v>32441</v>
      </c>
      <c r="G2181" s="2">
        <v>11.96116007</v>
      </c>
      <c r="H2181" s="3">
        <v>7.5300000000000003E-29</v>
      </c>
      <c r="I2181" s="2" t="s">
        <v>12040</v>
      </c>
      <c r="J2181" s="2" t="s">
        <v>12041</v>
      </c>
      <c r="K2181" s="3">
        <v>1.18E-26</v>
      </c>
      <c r="L2181" s="2" t="s">
        <v>1178</v>
      </c>
      <c r="M2181" s="4" t="s">
        <v>12042</v>
      </c>
    </row>
    <row r="2182" spans="1:13">
      <c r="A2182" s="2">
        <v>21701</v>
      </c>
      <c r="B2182" s="2" t="s">
        <v>12043</v>
      </c>
      <c r="C2182" s="2">
        <v>39</v>
      </c>
      <c r="D2182" s="2">
        <v>556</v>
      </c>
      <c r="E2182" s="2">
        <v>177</v>
      </c>
      <c r="F2182" s="2">
        <v>32441</v>
      </c>
      <c r="G2182" s="2">
        <v>12.856145590000001</v>
      </c>
      <c r="H2182" s="3">
        <v>1.6399999999999999E-28</v>
      </c>
      <c r="I2182" s="2" t="s">
        <v>12044</v>
      </c>
      <c r="J2182" s="2" t="s">
        <v>12045</v>
      </c>
      <c r="K2182" s="3">
        <v>2.5000000000000001E-26</v>
      </c>
      <c r="L2182" s="2" t="s">
        <v>1178</v>
      </c>
      <c r="M2182" s="4" t="s">
        <v>12046</v>
      </c>
    </row>
    <row r="2183" spans="1:13">
      <c r="A2183" s="2">
        <v>4667</v>
      </c>
      <c r="B2183" s="2" t="s">
        <v>12047</v>
      </c>
      <c r="C2183" s="2">
        <v>40</v>
      </c>
      <c r="D2183" s="2">
        <v>556</v>
      </c>
      <c r="E2183" s="2">
        <v>200</v>
      </c>
      <c r="F2183" s="2">
        <v>32441</v>
      </c>
      <c r="G2183" s="2">
        <v>11.66942446</v>
      </c>
      <c r="H2183" s="3">
        <v>8.1499999999999992E-28</v>
      </c>
      <c r="I2183" s="2" t="s">
        <v>12048</v>
      </c>
      <c r="J2183" s="2" t="s">
        <v>12049</v>
      </c>
      <c r="K2183" s="3">
        <v>1.2E-25</v>
      </c>
      <c r="L2183" s="2" t="s">
        <v>1178</v>
      </c>
      <c r="M2183" s="4" t="s">
        <v>12050</v>
      </c>
    </row>
    <row r="2184" spans="1:13">
      <c r="A2184" s="2">
        <v>38771</v>
      </c>
      <c r="B2184" s="2" t="s">
        <v>12051</v>
      </c>
      <c r="C2184" s="2">
        <v>39</v>
      </c>
      <c r="D2184" s="2">
        <v>556</v>
      </c>
      <c r="E2184" s="2">
        <v>199</v>
      </c>
      <c r="F2184" s="2">
        <v>32441</v>
      </c>
      <c r="G2184" s="2">
        <v>11.434863160000001</v>
      </c>
      <c r="H2184" s="3">
        <v>7.3300000000000002E-27</v>
      </c>
      <c r="I2184" s="2" t="s">
        <v>12052</v>
      </c>
      <c r="J2184" s="2" t="s">
        <v>12053</v>
      </c>
      <c r="K2184" s="3">
        <v>1.05E-24</v>
      </c>
      <c r="L2184" s="2" t="s">
        <v>1178</v>
      </c>
      <c r="M2184" s="4" t="s">
        <v>12054</v>
      </c>
    </row>
    <row r="2185" spans="1:13">
      <c r="A2185" s="2">
        <v>1072</v>
      </c>
      <c r="B2185" s="2" t="s">
        <v>12055</v>
      </c>
      <c r="C2185" s="2">
        <v>39</v>
      </c>
      <c r="D2185" s="2">
        <v>556</v>
      </c>
      <c r="E2185" s="2">
        <v>200</v>
      </c>
      <c r="F2185" s="2">
        <v>32441</v>
      </c>
      <c r="G2185" s="2">
        <v>11.37768885</v>
      </c>
      <c r="H2185" s="3">
        <v>8.6299999999999994E-27</v>
      </c>
      <c r="I2185" s="2" t="s">
        <v>12056</v>
      </c>
      <c r="J2185" s="2" t="s">
        <v>12057</v>
      </c>
      <c r="K2185" s="3">
        <v>1.09E-24</v>
      </c>
      <c r="L2185" s="2" t="s">
        <v>1178</v>
      </c>
      <c r="M2185" s="4" t="s">
        <v>12058</v>
      </c>
    </row>
    <row r="2186" spans="1:13">
      <c r="A2186" s="2">
        <v>12701</v>
      </c>
      <c r="B2186" s="2" t="s">
        <v>12059</v>
      </c>
      <c r="C2186" s="2">
        <v>39</v>
      </c>
      <c r="D2186" s="2">
        <v>556</v>
      </c>
      <c r="E2186" s="2">
        <v>200</v>
      </c>
      <c r="F2186" s="2">
        <v>32441</v>
      </c>
      <c r="G2186" s="2">
        <v>11.37768885</v>
      </c>
      <c r="H2186" s="3">
        <v>8.6299999999999994E-27</v>
      </c>
      <c r="I2186" s="2" t="s">
        <v>12060</v>
      </c>
      <c r="J2186" s="2" t="s">
        <v>12061</v>
      </c>
      <c r="K2186" s="3">
        <v>1.09E-24</v>
      </c>
      <c r="L2186" s="2" t="s">
        <v>1178</v>
      </c>
      <c r="M2186" s="4" t="s">
        <v>12062</v>
      </c>
    </row>
    <row r="2187" spans="1:13">
      <c r="A2187" s="2">
        <v>3119</v>
      </c>
      <c r="B2187" s="2" t="s">
        <v>12063</v>
      </c>
      <c r="C2187" s="2">
        <v>39</v>
      </c>
      <c r="D2187" s="2">
        <v>556</v>
      </c>
      <c r="E2187" s="2">
        <v>200</v>
      </c>
      <c r="F2187" s="2">
        <v>32441</v>
      </c>
      <c r="G2187" s="2">
        <v>11.37768885</v>
      </c>
      <c r="H2187" s="3">
        <v>8.6299999999999994E-27</v>
      </c>
      <c r="I2187" s="2" t="s">
        <v>12064</v>
      </c>
      <c r="J2187" s="2" t="s">
        <v>12065</v>
      </c>
      <c r="K2187" s="3">
        <v>1.09E-24</v>
      </c>
      <c r="L2187" s="2" t="s">
        <v>1178</v>
      </c>
      <c r="M2187" s="4" t="s">
        <v>12066</v>
      </c>
    </row>
    <row r="2188" spans="1:13">
      <c r="A2188" s="2">
        <v>40681</v>
      </c>
      <c r="B2188" s="2" t="s">
        <v>12067</v>
      </c>
      <c r="C2188" s="2">
        <v>37</v>
      </c>
      <c r="D2188" s="2">
        <v>556</v>
      </c>
      <c r="E2188" s="2">
        <v>172</v>
      </c>
      <c r="F2188" s="2">
        <v>32441</v>
      </c>
      <c r="G2188" s="2">
        <v>12.551415840000001</v>
      </c>
      <c r="H2188" s="3">
        <v>8.6999999999999998E-27</v>
      </c>
      <c r="I2188" s="2" t="s">
        <v>12068</v>
      </c>
      <c r="J2188" s="2" t="s">
        <v>12069</v>
      </c>
      <c r="K2188" s="3">
        <v>1.09E-24</v>
      </c>
      <c r="L2188" s="2" t="s">
        <v>1178</v>
      </c>
      <c r="M2188" s="4" t="s">
        <v>12070</v>
      </c>
    </row>
    <row r="2189" spans="1:13">
      <c r="A2189" s="2">
        <v>4490</v>
      </c>
      <c r="B2189" s="2" t="s">
        <v>12071</v>
      </c>
      <c r="C2189" s="2">
        <v>39</v>
      </c>
      <c r="D2189" s="2">
        <v>556</v>
      </c>
      <c r="E2189" s="2">
        <v>200</v>
      </c>
      <c r="F2189" s="2">
        <v>32441</v>
      </c>
      <c r="G2189" s="2">
        <v>11.37768885</v>
      </c>
      <c r="H2189" s="3">
        <v>8.6299999999999994E-27</v>
      </c>
      <c r="I2189" s="2" t="s">
        <v>12072</v>
      </c>
      <c r="J2189" s="2" t="s">
        <v>12073</v>
      </c>
      <c r="K2189" s="3">
        <v>1.09E-24</v>
      </c>
      <c r="L2189" s="2" t="s">
        <v>1178</v>
      </c>
      <c r="M2189" s="4" t="s">
        <v>12074</v>
      </c>
    </row>
    <row r="2190" spans="1:13">
      <c r="A2190" s="2">
        <v>980</v>
      </c>
      <c r="B2190" s="2" t="s">
        <v>12075</v>
      </c>
      <c r="C2190" s="2">
        <v>38</v>
      </c>
      <c r="D2190" s="2">
        <v>556</v>
      </c>
      <c r="E2190" s="2">
        <v>200</v>
      </c>
      <c r="F2190" s="2">
        <v>32441</v>
      </c>
      <c r="G2190" s="2">
        <v>11.08595324</v>
      </c>
      <c r="H2190" s="3">
        <v>8.92E-26</v>
      </c>
      <c r="I2190" s="2" t="s">
        <v>12076</v>
      </c>
      <c r="J2190" s="2" t="s">
        <v>12077</v>
      </c>
      <c r="K2190" s="3">
        <v>9.6599999999999998E-24</v>
      </c>
      <c r="L2190" s="2" t="s">
        <v>1178</v>
      </c>
      <c r="M2190" s="4" t="s">
        <v>12078</v>
      </c>
    </row>
    <row r="2191" spans="1:13">
      <c r="A2191" s="2">
        <v>1068</v>
      </c>
      <c r="B2191" s="2" t="s">
        <v>12079</v>
      </c>
      <c r="C2191" s="2">
        <v>38</v>
      </c>
      <c r="D2191" s="2">
        <v>556</v>
      </c>
      <c r="E2191" s="2">
        <v>200</v>
      </c>
      <c r="F2191" s="2">
        <v>32441</v>
      </c>
      <c r="G2191" s="2">
        <v>11.08595324</v>
      </c>
      <c r="H2191" s="3">
        <v>8.92E-26</v>
      </c>
      <c r="I2191" s="2" t="s">
        <v>12080</v>
      </c>
      <c r="J2191" s="2" t="s">
        <v>12081</v>
      </c>
      <c r="K2191" s="3">
        <v>9.6599999999999998E-24</v>
      </c>
      <c r="L2191" s="2" t="s">
        <v>1178</v>
      </c>
      <c r="M2191" s="4" t="s">
        <v>12082</v>
      </c>
    </row>
    <row r="2192" spans="1:13">
      <c r="A2192" s="2">
        <v>1070</v>
      </c>
      <c r="B2192" s="2" t="s">
        <v>12083</v>
      </c>
      <c r="C2192" s="2">
        <v>38</v>
      </c>
      <c r="D2192" s="2">
        <v>556</v>
      </c>
      <c r="E2192" s="2">
        <v>200</v>
      </c>
      <c r="F2192" s="2">
        <v>32441</v>
      </c>
      <c r="G2192" s="2">
        <v>11.08595324</v>
      </c>
      <c r="H2192" s="3">
        <v>8.92E-26</v>
      </c>
      <c r="I2192" s="2" t="s">
        <v>12084</v>
      </c>
      <c r="J2192" s="2" t="s">
        <v>12085</v>
      </c>
      <c r="K2192" s="3">
        <v>9.6599999999999998E-24</v>
      </c>
      <c r="L2192" s="2" t="s">
        <v>1178</v>
      </c>
      <c r="M2192" s="4" t="s">
        <v>12086</v>
      </c>
    </row>
    <row r="2193" spans="1:13">
      <c r="A2193" s="2">
        <v>1289</v>
      </c>
      <c r="B2193" s="2" t="s">
        <v>12087</v>
      </c>
      <c r="C2193" s="2">
        <v>38</v>
      </c>
      <c r="D2193" s="2">
        <v>556</v>
      </c>
      <c r="E2193" s="2">
        <v>200</v>
      </c>
      <c r="F2193" s="2">
        <v>32441</v>
      </c>
      <c r="G2193" s="2">
        <v>11.08595324</v>
      </c>
      <c r="H2193" s="3">
        <v>8.92E-26</v>
      </c>
      <c r="I2193" s="2" t="s">
        <v>12088</v>
      </c>
      <c r="J2193" s="2" t="s">
        <v>12089</v>
      </c>
      <c r="K2193" s="3">
        <v>9.6599999999999998E-24</v>
      </c>
      <c r="L2193" s="2" t="s">
        <v>1178</v>
      </c>
      <c r="M2193" s="4" t="s">
        <v>12090</v>
      </c>
    </row>
    <row r="2194" spans="1:13">
      <c r="A2194" s="2">
        <v>3665</v>
      </c>
      <c r="B2194" s="2" t="s">
        <v>12091</v>
      </c>
      <c r="C2194" s="2">
        <v>38</v>
      </c>
      <c r="D2194" s="2">
        <v>556</v>
      </c>
      <c r="E2194" s="2">
        <v>200</v>
      </c>
      <c r="F2194" s="2">
        <v>32441</v>
      </c>
      <c r="G2194" s="2">
        <v>11.08595324</v>
      </c>
      <c r="H2194" s="3">
        <v>8.92E-26</v>
      </c>
      <c r="I2194" s="2" t="s">
        <v>12092</v>
      </c>
      <c r="J2194" s="2" t="s">
        <v>12093</v>
      </c>
      <c r="K2194" s="3">
        <v>9.6599999999999998E-24</v>
      </c>
      <c r="L2194" s="2" t="s">
        <v>1178</v>
      </c>
      <c r="M2194" s="4" t="s">
        <v>12094</v>
      </c>
    </row>
    <row r="2195" spans="1:13">
      <c r="A2195" s="2">
        <v>43532</v>
      </c>
      <c r="B2195" s="2" t="s">
        <v>12095</v>
      </c>
      <c r="C2195" s="2">
        <v>38</v>
      </c>
      <c r="D2195" s="2">
        <v>556</v>
      </c>
      <c r="E2195" s="2">
        <v>200</v>
      </c>
      <c r="F2195" s="2">
        <v>32441</v>
      </c>
      <c r="G2195" s="2">
        <v>11.08595324</v>
      </c>
      <c r="H2195" s="3">
        <v>8.92E-26</v>
      </c>
      <c r="I2195" s="2" t="s">
        <v>12096</v>
      </c>
      <c r="J2195" s="2" t="s">
        <v>12097</v>
      </c>
      <c r="K2195" s="3">
        <v>9.6599999999999998E-24</v>
      </c>
      <c r="L2195" s="2" t="s">
        <v>1178</v>
      </c>
      <c r="M2195" s="4" t="s">
        <v>12098</v>
      </c>
    </row>
    <row r="2196" spans="1:13">
      <c r="A2196" s="2">
        <v>2168</v>
      </c>
      <c r="B2196" s="2" t="s">
        <v>12099</v>
      </c>
      <c r="C2196" s="2">
        <v>36</v>
      </c>
      <c r="D2196" s="2">
        <v>556</v>
      </c>
      <c r="E2196" s="2">
        <v>173</v>
      </c>
      <c r="F2196" s="2">
        <v>32441</v>
      </c>
      <c r="G2196" s="2">
        <v>12.1415977</v>
      </c>
      <c r="H2196" s="3">
        <v>1.1599999999999999E-25</v>
      </c>
      <c r="I2196" s="2" t="s">
        <v>12100</v>
      </c>
      <c r="J2196" s="2" t="s">
        <v>12101</v>
      </c>
      <c r="K2196" s="3">
        <v>1.23E-23</v>
      </c>
      <c r="L2196" s="2" t="s">
        <v>1178</v>
      </c>
      <c r="M2196" s="4" t="s">
        <v>12102</v>
      </c>
    </row>
    <row r="2197" spans="1:13">
      <c r="A2197" s="2">
        <v>4310</v>
      </c>
      <c r="B2197" s="2" t="s">
        <v>12103</v>
      </c>
      <c r="C2197" s="2">
        <v>37</v>
      </c>
      <c r="D2197" s="2">
        <v>556</v>
      </c>
      <c r="E2197" s="2">
        <v>200</v>
      </c>
      <c r="F2197" s="2">
        <v>32441</v>
      </c>
      <c r="G2197" s="2">
        <v>10.79421763</v>
      </c>
      <c r="H2197" s="3">
        <v>9.0200000000000002E-25</v>
      </c>
      <c r="I2197" s="2" t="s">
        <v>12104</v>
      </c>
      <c r="J2197" s="2" t="s">
        <v>12105</v>
      </c>
      <c r="K2197" s="3">
        <v>8.2900000000000004E-23</v>
      </c>
      <c r="L2197" s="2" t="s">
        <v>1178</v>
      </c>
      <c r="M2197" s="4" t="s">
        <v>12106</v>
      </c>
    </row>
    <row r="2198" spans="1:13">
      <c r="A2198" s="2">
        <v>448</v>
      </c>
      <c r="B2198" s="2" t="s">
        <v>12107</v>
      </c>
      <c r="C2198" s="2">
        <v>37</v>
      </c>
      <c r="D2198" s="2">
        <v>556</v>
      </c>
      <c r="E2198" s="2">
        <v>200</v>
      </c>
      <c r="F2198" s="2">
        <v>32441</v>
      </c>
      <c r="G2198" s="2">
        <v>10.79421763</v>
      </c>
      <c r="H2198" s="3">
        <v>9.0200000000000002E-25</v>
      </c>
      <c r="I2198" s="2" t="s">
        <v>12108</v>
      </c>
      <c r="J2198" s="2" t="s">
        <v>12109</v>
      </c>
      <c r="K2198" s="3">
        <v>8.2900000000000004E-23</v>
      </c>
      <c r="L2198" s="2" t="s">
        <v>1178</v>
      </c>
      <c r="M2198" s="4" t="s">
        <v>12110</v>
      </c>
    </row>
    <row r="2199" spans="1:13">
      <c r="A2199" s="2">
        <v>1023</v>
      </c>
      <c r="B2199" s="2" t="s">
        <v>12111</v>
      </c>
      <c r="C2199" s="2">
        <v>37</v>
      </c>
      <c r="D2199" s="2">
        <v>556</v>
      </c>
      <c r="E2199" s="2">
        <v>200</v>
      </c>
      <c r="F2199" s="2">
        <v>32441</v>
      </c>
      <c r="G2199" s="2">
        <v>10.79421763</v>
      </c>
      <c r="H2199" s="3">
        <v>9.0200000000000002E-25</v>
      </c>
      <c r="I2199" s="2" t="s">
        <v>12112</v>
      </c>
      <c r="J2199" s="2" t="s">
        <v>12113</v>
      </c>
      <c r="K2199" s="3">
        <v>8.2900000000000004E-23</v>
      </c>
      <c r="L2199" s="2" t="s">
        <v>1178</v>
      </c>
      <c r="M2199" s="4" t="s">
        <v>12114</v>
      </c>
    </row>
    <row r="2200" spans="1:13">
      <c r="A2200" s="2">
        <v>1056</v>
      </c>
      <c r="B2200" s="2" t="s">
        <v>12115</v>
      </c>
      <c r="C2200" s="2">
        <v>37</v>
      </c>
      <c r="D2200" s="2">
        <v>556</v>
      </c>
      <c r="E2200" s="2">
        <v>200</v>
      </c>
      <c r="F2200" s="2">
        <v>32441</v>
      </c>
      <c r="G2200" s="2">
        <v>10.79421763</v>
      </c>
      <c r="H2200" s="3">
        <v>9.0200000000000002E-25</v>
      </c>
      <c r="I2200" s="2" t="s">
        <v>12116</v>
      </c>
      <c r="J2200" s="2" t="s">
        <v>12117</v>
      </c>
      <c r="K2200" s="3">
        <v>8.2900000000000004E-23</v>
      </c>
      <c r="L2200" s="2" t="s">
        <v>1178</v>
      </c>
      <c r="M2200" s="4" t="s">
        <v>12118</v>
      </c>
    </row>
    <row r="2201" spans="1:13">
      <c r="A2201" s="2">
        <v>2373</v>
      </c>
      <c r="B2201" s="2" t="s">
        <v>12119</v>
      </c>
      <c r="C2201" s="2">
        <v>37</v>
      </c>
      <c r="D2201" s="2">
        <v>556</v>
      </c>
      <c r="E2201" s="2">
        <v>200</v>
      </c>
      <c r="F2201" s="2">
        <v>32441</v>
      </c>
      <c r="G2201" s="2">
        <v>10.79421763</v>
      </c>
      <c r="H2201" s="3">
        <v>9.0200000000000002E-25</v>
      </c>
      <c r="I2201" s="2" t="s">
        <v>12120</v>
      </c>
      <c r="J2201" s="2" t="s">
        <v>12121</v>
      </c>
      <c r="K2201" s="3">
        <v>8.2900000000000004E-23</v>
      </c>
      <c r="L2201" s="2" t="s">
        <v>1178</v>
      </c>
      <c r="M2201" s="4" t="s">
        <v>12122</v>
      </c>
    </row>
    <row r="2202" spans="1:13">
      <c r="A2202" s="2">
        <v>30501</v>
      </c>
      <c r="B2202" s="2" t="s">
        <v>12123</v>
      </c>
      <c r="C2202" s="2">
        <v>37</v>
      </c>
      <c r="D2202" s="2">
        <v>556</v>
      </c>
      <c r="E2202" s="2">
        <v>200</v>
      </c>
      <c r="F2202" s="2">
        <v>32441</v>
      </c>
      <c r="G2202" s="2">
        <v>10.79421763</v>
      </c>
      <c r="H2202" s="3">
        <v>9.0200000000000002E-25</v>
      </c>
      <c r="I2202" s="2" t="s">
        <v>12124</v>
      </c>
      <c r="J2202" s="2" t="s">
        <v>12125</v>
      </c>
      <c r="K2202" s="3">
        <v>8.2900000000000004E-23</v>
      </c>
      <c r="L2202" s="2" t="s">
        <v>1178</v>
      </c>
      <c r="M2202" s="4" t="s">
        <v>12126</v>
      </c>
    </row>
    <row r="2203" spans="1:13">
      <c r="A2203" s="2">
        <v>3140</v>
      </c>
      <c r="B2203" s="2" t="s">
        <v>12127</v>
      </c>
      <c r="C2203" s="2">
        <v>37</v>
      </c>
      <c r="D2203" s="2">
        <v>556</v>
      </c>
      <c r="E2203" s="2">
        <v>200</v>
      </c>
      <c r="F2203" s="2">
        <v>32441</v>
      </c>
      <c r="G2203" s="2">
        <v>10.79421763</v>
      </c>
      <c r="H2203" s="3">
        <v>9.0200000000000002E-25</v>
      </c>
      <c r="I2203" s="2" t="s">
        <v>12128</v>
      </c>
      <c r="J2203" s="2" t="s">
        <v>12129</v>
      </c>
      <c r="K2203" s="3">
        <v>8.2900000000000004E-23</v>
      </c>
      <c r="L2203" s="2" t="s">
        <v>1178</v>
      </c>
      <c r="M2203" s="4" t="s">
        <v>12130</v>
      </c>
    </row>
    <row r="2204" spans="1:13">
      <c r="A2204" s="2">
        <v>21721</v>
      </c>
      <c r="B2204" s="2" t="s">
        <v>12131</v>
      </c>
      <c r="C2204" s="2">
        <v>35</v>
      </c>
      <c r="D2204" s="2">
        <v>556</v>
      </c>
      <c r="E2204" s="2">
        <v>173</v>
      </c>
      <c r="F2204" s="2">
        <v>32441</v>
      </c>
      <c r="G2204" s="2">
        <v>11.804331100000001</v>
      </c>
      <c r="H2204" s="3">
        <v>1.2599999999999999E-24</v>
      </c>
      <c r="I2204" s="2" t="s">
        <v>12132</v>
      </c>
      <c r="J2204" s="2" t="s">
        <v>12133</v>
      </c>
      <c r="K2204" s="3">
        <v>1.13E-22</v>
      </c>
      <c r="L2204" s="2" t="s">
        <v>1178</v>
      </c>
      <c r="M2204" s="4" t="s">
        <v>12134</v>
      </c>
    </row>
    <row r="2205" spans="1:13">
      <c r="A2205" s="2">
        <v>475</v>
      </c>
      <c r="B2205" s="2" t="s">
        <v>12135</v>
      </c>
      <c r="C2205" s="2">
        <v>36</v>
      </c>
      <c r="D2205" s="2">
        <v>556</v>
      </c>
      <c r="E2205" s="2">
        <v>200</v>
      </c>
      <c r="F2205" s="2">
        <v>32441</v>
      </c>
      <c r="G2205" s="2">
        <v>10.50248201</v>
      </c>
      <c r="H2205" s="3">
        <v>8.8900000000000002E-24</v>
      </c>
      <c r="I2205" s="2" t="s">
        <v>12136</v>
      </c>
      <c r="J2205" s="2" t="s">
        <v>12137</v>
      </c>
      <c r="K2205" s="3">
        <v>7.2199999999999999E-22</v>
      </c>
      <c r="L2205" s="2" t="s">
        <v>1178</v>
      </c>
      <c r="M2205" s="4" t="s">
        <v>12138</v>
      </c>
    </row>
    <row r="2206" spans="1:13">
      <c r="A2206" s="2">
        <v>961</v>
      </c>
      <c r="B2206" s="2" t="s">
        <v>1341</v>
      </c>
      <c r="C2206" s="2">
        <v>36</v>
      </c>
      <c r="D2206" s="2">
        <v>556</v>
      </c>
      <c r="E2206" s="2">
        <v>200</v>
      </c>
      <c r="F2206" s="2">
        <v>32441</v>
      </c>
      <c r="G2206" s="2">
        <v>10.50248201</v>
      </c>
      <c r="H2206" s="3">
        <v>8.8900000000000002E-24</v>
      </c>
      <c r="I2206" s="2" t="s">
        <v>12139</v>
      </c>
      <c r="J2206" s="2" t="s">
        <v>12140</v>
      </c>
      <c r="K2206" s="3">
        <v>7.2199999999999999E-22</v>
      </c>
      <c r="L2206" s="2" t="s">
        <v>1178</v>
      </c>
      <c r="M2206" s="4" t="s">
        <v>12141</v>
      </c>
    </row>
    <row r="2207" spans="1:13">
      <c r="A2207" s="2">
        <v>1892</v>
      </c>
      <c r="B2207" s="2" t="s">
        <v>12142</v>
      </c>
      <c r="C2207" s="2">
        <v>36</v>
      </c>
      <c r="D2207" s="2">
        <v>556</v>
      </c>
      <c r="E2207" s="2">
        <v>200</v>
      </c>
      <c r="F2207" s="2">
        <v>32441</v>
      </c>
      <c r="G2207" s="2">
        <v>10.50248201</v>
      </c>
      <c r="H2207" s="3">
        <v>8.8900000000000002E-24</v>
      </c>
      <c r="I2207" s="2" t="s">
        <v>12143</v>
      </c>
      <c r="J2207" s="2" t="s">
        <v>12144</v>
      </c>
      <c r="K2207" s="3">
        <v>7.2199999999999999E-22</v>
      </c>
      <c r="L2207" s="2" t="s">
        <v>1178</v>
      </c>
      <c r="M2207" s="4" t="s">
        <v>12145</v>
      </c>
    </row>
    <row r="2208" spans="1:13">
      <c r="A2208" s="2">
        <v>20701</v>
      </c>
      <c r="B2208" s="2" t="s">
        <v>12146</v>
      </c>
      <c r="C2208" s="2">
        <v>36</v>
      </c>
      <c r="D2208" s="2">
        <v>556</v>
      </c>
      <c r="E2208" s="2">
        <v>200</v>
      </c>
      <c r="F2208" s="2">
        <v>32441</v>
      </c>
      <c r="G2208" s="2">
        <v>10.50248201</v>
      </c>
      <c r="H2208" s="3">
        <v>8.8900000000000002E-24</v>
      </c>
      <c r="I2208" s="2" t="s">
        <v>12147</v>
      </c>
      <c r="J2208" s="2" t="s">
        <v>12148</v>
      </c>
      <c r="K2208" s="3">
        <v>7.2199999999999999E-22</v>
      </c>
      <c r="L2208" s="2" t="s">
        <v>1178</v>
      </c>
      <c r="M2208" s="4" t="s">
        <v>12149</v>
      </c>
    </row>
    <row r="2209" spans="1:13">
      <c r="A2209" s="2">
        <v>2963</v>
      </c>
      <c r="B2209" s="2" t="s">
        <v>12150</v>
      </c>
      <c r="C2209" s="2">
        <v>36</v>
      </c>
      <c r="D2209" s="2">
        <v>556</v>
      </c>
      <c r="E2209" s="2">
        <v>200</v>
      </c>
      <c r="F2209" s="2">
        <v>32441</v>
      </c>
      <c r="G2209" s="2">
        <v>10.50248201</v>
      </c>
      <c r="H2209" s="3">
        <v>8.8900000000000002E-24</v>
      </c>
      <c r="I2209" s="2" t="s">
        <v>12151</v>
      </c>
      <c r="J2209" s="2" t="s">
        <v>12152</v>
      </c>
      <c r="K2209" s="3">
        <v>7.2199999999999999E-22</v>
      </c>
      <c r="L2209" s="2" t="s">
        <v>1178</v>
      </c>
      <c r="M2209" s="4" t="s">
        <v>12153</v>
      </c>
    </row>
    <row r="2210" spans="1:13">
      <c r="A2210" s="2">
        <v>38351</v>
      </c>
      <c r="B2210" s="2" t="s">
        <v>12154</v>
      </c>
      <c r="C2210" s="2">
        <v>36</v>
      </c>
      <c r="D2210" s="2">
        <v>556</v>
      </c>
      <c r="E2210" s="2">
        <v>200</v>
      </c>
      <c r="F2210" s="2">
        <v>32441</v>
      </c>
      <c r="G2210" s="2">
        <v>10.50248201</v>
      </c>
      <c r="H2210" s="3">
        <v>8.8900000000000002E-24</v>
      </c>
      <c r="I2210" s="2" t="s">
        <v>12155</v>
      </c>
      <c r="J2210" s="2" t="s">
        <v>12156</v>
      </c>
      <c r="K2210" s="3">
        <v>7.2199999999999999E-22</v>
      </c>
      <c r="L2210" s="2" t="s">
        <v>1178</v>
      </c>
      <c r="M2210" s="4" t="s">
        <v>12157</v>
      </c>
    </row>
    <row r="2211" spans="1:13">
      <c r="A2211" s="2">
        <v>2462</v>
      </c>
      <c r="B2211" s="2" t="s">
        <v>12158</v>
      </c>
      <c r="C2211" s="2">
        <v>34</v>
      </c>
      <c r="D2211" s="2">
        <v>556</v>
      </c>
      <c r="E2211" s="2">
        <v>172</v>
      </c>
      <c r="F2211" s="2">
        <v>32441</v>
      </c>
      <c r="G2211" s="2">
        <v>11.53373348</v>
      </c>
      <c r="H2211" s="3">
        <v>1.13E-23</v>
      </c>
      <c r="I2211" s="2" t="s">
        <v>12159</v>
      </c>
      <c r="J2211" s="2" t="s">
        <v>12160</v>
      </c>
      <c r="K2211" s="3">
        <v>9.0400000000000004E-22</v>
      </c>
      <c r="L2211" s="2" t="s">
        <v>1178</v>
      </c>
      <c r="M2211" s="4" t="s">
        <v>12161</v>
      </c>
    </row>
    <row r="2212" spans="1:13">
      <c r="A2212" s="2">
        <v>2174</v>
      </c>
      <c r="B2212" s="2" t="s">
        <v>12162</v>
      </c>
      <c r="C2212" s="2">
        <v>33</v>
      </c>
      <c r="D2212" s="2">
        <v>556</v>
      </c>
      <c r="E2212" s="2">
        <v>163</v>
      </c>
      <c r="F2212" s="2">
        <v>32441</v>
      </c>
      <c r="G2212" s="2">
        <v>11.81260758</v>
      </c>
      <c r="H2212" s="3">
        <v>2.6899999999999998E-23</v>
      </c>
      <c r="I2212" s="2" t="s">
        <v>12163</v>
      </c>
      <c r="J2212" s="2" t="s">
        <v>12164</v>
      </c>
      <c r="K2212" s="3">
        <v>2.11E-21</v>
      </c>
      <c r="L2212" s="2" t="s">
        <v>1178</v>
      </c>
      <c r="M2212" s="4" t="s">
        <v>12165</v>
      </c>
    </row>
    <row r="2213" spans="1:13">
      <c r="A2213" s="2">
        <v>6</v>
      </c>
      <c r="B2213" s="2" t="s">
        <v>12166</v>
      </c>
      <c r="C2213" s="2">
        <v>35</v>
      </c>
      <c r="D2213" s="2">
        <v>556</v>
      </c>
      <c r="E2213" s="2">
        <v>200</v>
      </c>
      <c r="F2213" s="2">
        <v>32441</v>
      </c>
      <c r="G2213" s="2">
        <v>10.2107464</v>
      </c>
      <c r="H2213" s="3">
        <v>8.5500000000000004E-23</v>
      </c>
      <c r="I2213" s="2" t="s">
        <v>12167</v>
      </c>
      <c r="J2213" s="2" t="s">
        <v>12168</v>
      </c>
      <c r="K2213" s="3">
        <v>5.3400000000000002E-21</v>
      </c>
      <c r="L2213" s="2" t="s">
        <v>1178</v>
      </c>
      <c r="M2213" s="4" t="s">
        <v>12169</v>
      </c>
    </row>
    <row r="2214" spans="1:13">
      <c r="A2214" s="2">
        <v>373</v>
      </c>
      <c r="B2214" s="2" t="s">
        <v>12170</v>
      </c>
      <c r="C2214" s="2">
        <v>35</v>
      </c>
      <c r="D2214" s="2">
        <v>556</v>
      </c>
      <c r="E2214" s="2">
        <v>200</v>
      </c>
      <c r="F2214" s="2">
        <v>32441</v>
      </c>
      <c r="G2214" s="2">
        <v>10.2107464</v>
      </c>
      <c r="H2214" s="3">
        <v>8.5500000000000004E-23</v>
      </c>
      <c r="I2214" s="2" t="s">
        <v>12171</v>
      </c>
      <c r="J2214" s="2" t="s">
        <v>12172</v>
      </c>
      <c r="K2214" s="3">
        <v>5.3400000000000002E-21</v>
      </c>
      <c r="L2214" s="2" t="s">
        <v>1178</v>
      </c>
      <c r="M2214" s="4" t="s">
        <v>12173</v>
      </c>
    </row>
    <row r="2215" spans="1:13">
      <c r="A2215" s="2">
        <v>38</v>
      </c>
      <c r="B2215" s="2" t="s">
        <v>12174</v>
      </c>
      <c r="C2215" s="2">
        <v>35</v>
      </c>
      <c r="D2215" s="2">
        <v>556</v>
      </c>
      <c r="E2215" s="2">
        <v>200</v>
      </c>
      <c r="F2215" s="2">
        <v>32441</v>
      </c>
      <c r="G2215" s="2">
        <v>10.2107464</v>
      </c>
      <c r="H2215" s="3">
        <v>8.5500000000000004E-23</v>
      </c>
      <c r="I2215" s="2" t="s">
        <v>12175</v>
      </c>
      <c r="J2215" s="2" t="s">
        <v>12176</v>
      </c>
      <c r="K2215" s="3">
        <v>5.3400000000000002E-21</v>
      </c>
      <c r="L2215" s="2" t="s">
        <v>1178</v>
      </c>
      <c r="M2215" s="4" t="s">
        <v>12177</v>
      </c>
    </row>
    <row r="2216" spans="1:13">
      <c r="A2216" s="2">
        <v>70</v>
      </c>
      <c r="B2216" s="2" t="s">
        <v>12178</v>
      </c>
      <c r="C2216" s="2">
        <v>35</v>
      </c>
      <c r="D2216" s="2">
        <v>556</v>
      </c>
      <c r="E2216" s="2">
        <v>199</v>
      </c>
      <c r="F2216" s="2">
        <v>32441</v>
      </c>
      <c r="G2216" s="2">
        <v>10.26205669</v>
      </c>
      <c r="H2216" s="3">
        <v>7.3899999999999999E-23</v>
      </c>
      <c r="I2216" s="2" t="s">
        <v>12179</v>
      </c>
      <c r="J2216" s="2" t="s">
        <v>12180</v>
      </c>
      <c r="K2216" s="3">
        <v>5.3400000000000002E-21</v>
      </c>
      <c r="L2216" s="2" t="s">
        <v>1178</v>
      </c>
      <c r="M2216" s="4" t="s">
        <v>12181</v>
      </c>
    </row>
    <row r="2217" spans="1:13">
      <c r="A2217" s="2">
        <v>389</v>
      </c>
      <c r="B2217" s="2" t="s">
        <v>12182</v>
      </c>
      <c r="C2217" s="2">
        <v>35</v>
      </c>
      <c r="D2217" s="2">
        <v>556</v>
      </c>
      <c r="E2217" s="2">
        <v>200</v>
      </c>
      <c r="F2217" s="2">
        <v>32441</v>
      </c>
      <c r="G2217" s="2">
        <v>10.2107464</v>
      </c>
      <c r="H2217" s="3">
        <v>8.5500000000000004E-23</v>
      </c>
      <c r="I2217" s="2" t="s">
        <v>12183</v>
      </c>
      <c r="J2217" s="2" t="s">
        <v>12184</v>
      </c>
      <c r="K2217" s="3">
        <v>5.3400000000000002E-21</v>
      </c>
      <c r="L2217" s="2" t="s">
        <v>1178</v>
      </c>
      <c r="M2217" s="4" t="s">
        <v>12185</v>
      </c>
    </row>
    <row r="2218" spans="1:13">
      <c r="A2218" s="2">
        <v>1058</v>
      </c>
      <c r="B2218" s="2" t="s">
        <v>12186</v>
      </c>
      <c r="C2218" s="2">
        <v>35</v>
      </c>
      <c r="D2218" s="2">
        <v>556</v>
      </c>
      <c r="E2218" s="2">
        <v>200</v>
      </c>
      <c r="F2218" s="2">
        <v>32441</v>
      </c>
      <c r="G2218" s="2">
        <v>10.2107464</v>
      </c>
      <c r="H2218" s="3">
        <v>8.5500000000000004E-23</v>
      </c>
      <c r="I2218" s="2" t="s">
        <v>12187</v>
      </c>
      <c r="J2218" s="2" t="s">
        <v>12188</v>
      </c>
      <c r="K2218" s="3">
        <v>5.3400000000000002E-21</v>
      </c>
      <c r="L2218" s="2" t="s">
        <v>1178</v>
      </c>
      <c r="M2218" s="4" t="s">
        <v>12189</v>
      </c>
    </row>
    <row r="2219" spans="1:13">
      <c r="A2219" s="2">
        <v>1088</v>
      </c>
      <c r="B2219" s="2" t="s">
        <v>12190</v>
      </c>
      <c r="C2219" s="2">
        <v>35</v>
      </c>
      <c r="D2219" s="2">
        <v>556</v>
      </c>
      <c r="E2219" s="2">
        <v>200</v>
      </c>
      <c r="F2219" s="2">
        <v>32441</v>
      </c>
      <c r="G2219" s="2">
        <v>10.2107464</v>
      </c>
      <c r="H2219" s="3">
        <v>8.5500000000000004E-23</v>
      </c>
      <c r="I2219" s="2" t="s">
        <v>12191</v>
      </c>
      <c r="J2219" s="2" t="s">
        <v>12192</v>
      </c>
      <c r="K2219" s="3">
        <v>5.3400000000000002E-21</v>
      </c>
      <c r="L2219" s="2" t="s">
        <v>1178</v>
      </c>
      <c r="M2219" s="4" t="s">
        <v>12193</v>
      </c>
    </row>
    <row r="2220" spans="1:13">
      <c r="A2220" s="2">
        <v>12821</v>
      </c>
      <c r="B2220" s="2" t="s">
        <v>12194</v>
      </c>
      <c r="C2220" s="2">
        <v>35</v>
      </c>
      <c r="D2220" s="2">
        <v>556</v>
      </c>
      <c r="E2220" s="2">
        <v>200</v>
      </c>
      <c r="F2220" s="2">
        <v>32441</v>
      </c>
      <c r="G2220" s="2">
        <v>10.2107464</v>
      </c>
      <c r="H2220" s="3">
        <v>8.5500000000000004E-23</v>
      </c>
      <c r="I2220" s="2" t="s">
        <v>12195</v>
      </c>
      <c r="J2220" s="2" t="s">
        <v>12196</v>
      </c>
      <c r="K2220" s="3">
        <v>5.3400000000000002E-21</v>
      </c>
      <c r="L2220" s="2" t="s">
        <v>1178</v>
      </c>
      <c r="M2220" s="4" t="s">
        <v>12197</v>
      </c>
    </row>
    <row r="2221" spans="1:13">
      <c r="A2221" s="2">
        <v>2261</v>
      </c>
      <c r="B2221" s="2" t="s">
        <v>12198</v>
      </c>
      <c r="C2221" s="2">
        <v>35</v>
      </c>
      <c r="D2221" s="2">
        <v>556</v>
      </c>
      <c r="E2221" s="2">
        <v>200</v>
      </c>
      <c r="F2221" s="2">
        <v>32441</v>
      </c>
      <c r="G2221" s="2">
        <v>10.2107464</v>
      </c>
      <c r="H2221" s="3">
        <v>8.5500000000000004E-23</v>
      </c>
      <c r="I2221" s="2" t="s">
        <v>12199</v>
      </c>
      <c r="J2221" s="2" t="s">
        <v>12200</v>
      </c>
      <c r="K2221" s="3">
        <v>5.3400000000000002E-21</v>
      </c>
      <c r="L2221" s="2" t="s">
        <v>1178</v>
      </c>
      <c r="M2221" s="4" t="s">
        <v>12201</v>
      </c>
    </row>
    <row r="2222" spans="1:13">
      <c r="A2222" s="2">
        <v>23762</v>
      </c>
      <c r="B2222" s="2" t="s">
        <v>12202</v>
      </c>
      <c r="C2222" s="2">
        <v>35</v>
      </c>
      <c r="D2222" s="2">
        <v>556</v>
      </c>
      <c r="E2222" s="2">
        <v>200</v>
      </c>
      <c r="F2222" s="2">
        <v>32441</v>
      </c>
      <c r="G2222" s="2">
        <v>10.2107464</v>
      </c>
      <c r="H2222" s="3">
        <v>8.5500000000000004E-23</v>
      </c>
      <c r="I2222" s="2" t="s">
        <v>12203</v>
      </c>
      <c r="J2222" s="2" t="s">
        <v>12204</v>
      </c>
      <c r="K2222" s="3">
        <v>5.3400000000000002E-21</v>
      </c>
      <c r="L2222" s="2" t="s">
        <v>1178</v>
      </c>
      <c r="M2222" s="4" t="s">
        <v>12205</v>
      </c>
    </row>
    <row r="2223" spans="1:13">
      <c r="A2223" s="2">
        <v>3244</v>
      </c>
      <c r="B2223" s="2" t="s">
        <v>12206</v>
      </c>
      <c r="C2223" s="2">
        <v>35</v>
      </c>
      <c r="D2223" s="2">
        <v>556</v>
      </c>
      <c r="E2223" s="2">
        <v>200</v>
      </c>
      <c r="F2223" s="2">
        <v>32441</v>
      </c>
      <c r="G2223" s="2">
        <v>10.2107464</v>
      </c>
      <c r="H2223" s="3">
        <v>8.5500000000000004E-23</v>
      </c>
      <c r="I2223" s="2" t="s">
        <v>12207</v>
      </c>
      <c r="J2223" s="2" t="s">
        <v>12208</v>
      </c>
      <c r="K2223" s="3">
        <v>5.3400000000000002E-21</v>
      </c>
      <c r="L2223" s="2" t="s">
        <v>1178</v>
      </c>
      <c r="M2223" s="4" t="s">
        <v>12209</v>
      </c>
    </row>
    <row r="2224" spans="1:13">
      <c r="A2224" s="2">
        <v>38341</v>
      </c>
      <c r="B2224" s="2" t="s">
        <v>12210</v>
      </c>
      <c r="C2224" s="2">
        <v>35</v>
      </c>
      <c r="D2224" s="2">
        <v>556</v>
      </c>
      <c r="E2224" s="2">
        <v>200</v>
      </c>
      <c r="F2224" s="2">
        <v>32441</v>
      </c>
      <c r="G2224" s="2">
        <v>10.2107464</v>
      </c>
      <c r="H2224" s="3">
        <v>8.5500000000000004E-23</v>
      </c>
      <c r="I2224" s="2" t="s">
        <v>12211</v>
      </c>
      <c r="J2224" s="2" t="s">
        <v>12212</v>
      </c>
      <c r="K2224" s="3">
        <v>5.3400000000000002E-21</v>
      </c>
      <c r="L2224" s="2" t="s">
        <v>1178</v>
      </c>
      <c r="M2224" s="4" t="s">
        <v>12213</v>
      </c>
    </row>
    <row r="2225" spans="1:13">
      <c r="A2225" s="2">
        <v>39082</v>
      </c>
      <c r="B2225" s="2" t="s">
        <v>12214</v>
      </c>
      <c r="C2225" s="2">
        <v>35</v>
      </c>
      <c r="D2225" s="2">
        <v>556</v>
      </c>
      <c r="E2225" s="2">
        <v>200</v>
      </c>
      <c r="F2225" s="2">
        <v>32441</v>
      </c>
      <c r="G2225" s="2">
        <v>10.2107464</v>
      </c>
      <c r="H2225" s="3">
        <v>8.5500000000000004E-23</v>
      </c>
      <c r="I2225" s="2" t="s">
        <v>12215</v>
      </c>
      <c r="J2225" s="2" t="s">
        <v>12216</v>
      </c>
      <c r="K2225" s="3">
        <v>5.3400000000000002E-21</v>
      </c>
      <c r="L2225" s="2" t="s">
        <v>1178</v>
      </c>
      <c r="M2225" s="4" t="s">
        <v>12217</v>
      </c>
    </row>
    <row r="2226" spans="1:13">
      <c r="A2226" s="2">
        <v>3916</v>
      </c>
      <c r="B2226" s="2" t="s">
        <v>12218</v>
      </c>
      <c r="C2226" s="2">
        <v>35</v>
      </c>
      <c r="D2226" s="2">
        <v>556</v>
      </c>
      <c r="E2226" s="2">
        <v>200</v>
      </c>
      <c r="F2226" s="2">
        <v>32441</v>
      </c>
      <c r="G2226" s="2">
        <v>10.2107464</v>
      </c>
      <c r="H2226" s="3">
        <v>8.5500000000000004E-23</v>
      </c>
      <c r="I2226" s="2" t="s">
        <v>12219</v>
      </c>
      <c r="J2226" s="2" t="s">
        <v>12220</v>
      </c>
      <c r="K2226" s="3">
        <v>5.3400000000000002E-21</v>
      </c>
      <c r="L2226" s="2" t="s">
        <v>1178</v>
      </c>
      <c r="M2226" s="4" t="s">
        <v>12221</v>
      </c>
    </row>
    <row r="2227" spans="1:13">
      <c r="A2227" s="2">
        <v>4785</v>
      </c>
      <c r="B2227" s="2" t="s">
        <v>1401</v>
      </c>
      <c r="C2227" s="2">
        <v>35</v>
      </c>
      <c r="D2227" s="2">
        <v>556</v>
      </c>
      <c r="E2227" s="2">
        <v>200</v>
      </c>
      <c r="F2227" s="2">
        <v>32441</v>
      </c>
      <c r="G2227" s="2">
        <v>10.2107464</v>
      </c>
      <c r="H2227" s="3">
        <v>8.5500000000000004E-23</v>
      </c>
      <c r="I2227" s="2" t="s">
        <v>12222</v>
      </c>
      <c r="J2227" s="2" t="s">
        <v>12223</v>
      </c>
      <c r="K2227" s="3">
        <v>5.3400000000000002E-21</v>
      </c>
      <c r="L2227" s="2" t="s">
        <v>1178</v>
      </c>
      <c r="M2227" s="4" t="s">
        <v>12224</v>
      </c>
    </row>
    <row r="2228" spans="1:13">
      <c r="A2228" s="2">
        <v>4814</v>
      </c>
      <c r="B2228" s="2" t="s">
        <v>12225</v>
      </c>
      <c r="C2228" s="2">
        <v>35</v>
      </c>
      <c r="D2228" s="2">
        <v>556</v>
      </c>
      <c r="E2228" s="2">
        <v>200</v>
      </c>
      <c r="F2228" s="2">
        <v>32441</v>
      </c>
      <c r="G2228" s="2">
        <v>10.2107464</v>
      </c>
      <c r="H2228" s="3">
        <v>8.5500000000000004E-23</v>
      </c>
      <c r="I2228" s="2" t="s">
        <v>12226</v>
      </c>
      <c r="J2228" s="2" t="s">
        <v>12227</v>
      </c>
      <c r="K2228" s="3">
        <v>5.3400000000000002E-21</v>
      </c>
      <c r="L2228" s="2" t="s">
        <v>1178</v>
      </c>
      <c r="M2228" s="4" t="s">
        <v>12228</v>
      </c>
    </row>
    <row r="2229" spans="1:13">
      <c r="A2229" s="2">
        <v>2834</v>
      </c>
      <c r="B2229" s="2" t="s">
        <v>12229</v>
      </c>
      <c r="C2229" s="2">
        <v>33</v>
      </c>
      <c r="D2229" s="2">
        <v>556</v>
      </c>
      <c r="E2229" s="2">
        <v>177</v>
      </c>
      <c r="F2229" s="2">
        <v>32441</v>
      </c>
      <c r="G2229" s="2">
        <v>10.87827704</v>
      </c>
      <c r="H2229" s="3">
        <v>2.5800000000000001E-22</v>
      </c>
      <c r="I2229" s="2" t="s">
        <v>12230</v>
      </c>
      <c r="J2229" s="2" t="s">
        <v>12231</v>
      </c>
      <c r="K2229" s="3">
        <v>1.5900000000000001E-20</v>
      </c>
      <c r="L2229" s="2" t="s">
        <v>1178</v>
      </c>
      <c r="M2229" s="4" t="s">
        <v>12232</v>
      </c>
    </row>
    <row r="2230" spans="1:13">
      <c r="A2230" s="2">
        <v>43731</v>
      </c>
      <c r="B2230" s="2" t="s">
        <v>12233</v>
      </c>
      <c r="C2230" s="2">
        <v>34</v>
      </c>
      <c r="D2230" s="2">
        <v>556</v>
      </c>
      <c r="E2230" s="2">
        <v>197</v>
      </c>
      <c r="F2230" s="2">
        <v>32441</v>
      </c>
      <c r="G2230" s="2">
        <v>10.07006172</v>
      </c>
      <c r="H2230" s="3">
        <v>5.2399999999999997E-22</v>
      </c>
      <c r="I2230" s="2" t="s">
        <v>12234</v>
      </c>
      <c r="J2230" s="2" t="s">
        <v>12235</v>
      </c>
      <c r="K2230" s="3">
        <v>3.19E-20</v>
      </c>
      <c r="L2230" s="2" t="s">
        <v>1178</v>
      </c>
      <c r="M2230" s="4" t="s">
        <v>12236</v>
      </c>
    </row>
    <row r="2231" spans="1:13">
      <c r="A2231" s="2">
        <v>984</v>
      </c>
      <c r="B2231" s="2" t="s">
        <v>12237</v>
      </c>
      <c r="C2231" s="2">
        <v>34</v>
      </c>
      <c r="D2231" s="2">
        <v>556</v>
      </c>
      <c r="E2231" s="2">
        <v>200</v>
      </c>
      <c r="F2231" s="2">
        <v>32441</v>
      </c>
      <c r="G2231" s="2">
        <v>9.9190107909999998</v>
      </c>
      <c r="H2231" s="3">
        <v>8.0199999999999998E-22</v>
      </c>
      <c r="I2231" s="2" t="s">
        <v>12238</v>
      </c>
      <c r="J2231" s="2" t="s">
        <v>12239</v>
      </c>
      <c r="K2231" s="3">
        <v>4.5400000000000003E-20</v>
      </c>
      <c r="L2231" s="2" t="s">
        <v>1178</v>
      </c>
      <c r="M2231" s="4" t="s">
        <v>12240</v>
      </c>
    </row>
    <row r="2232" spans="1:13">
      <c r="A2232" s="2">
        <v>1334</v>
      </c>
      <c r="B2232" s="2" t="s">
        <v>12241</v>
      </c>
      <c r="C2232" s="2">
        <v>34</v>
      </c>
      <c r="D2232" s="2">
        <v>556</v>
      </c>
      <c r="E2232" s="2">
        <v>200</v>
      </c>
      <c r="F2232" s="2">
        <v>32441</v>
      </c>
      <c r="G2232" s="2">
        <v>9.9190107909999998</v>
      </c>
      <c r="H2232" s="3">
        <v>8.0199999999999998E-22</v>
      </c>
      <c r="I2232" s="2" t="s">
        <v>12242</v>
      </c>
      <c r="J2232" s="2" t="s">
        <v>12243</v>
      </c>
      <c r="K2232" s="3">
        <v>4.5400000000000003E-20</v>
      </c>
      <c r="L2232" s="2" t="s">
        <v>1178</v>
      </c>
      <c r="M2232" s="4" t="s">
        <v>12244</v>
      </c>
    </row>
    <row r="2233" spans="1:13">
      <c r="A2233" s="2">
        <v>1577</v>
      </c>
      <c r="B2233" s="2" t="s">
        <v>12245</v>
      </c>
      <c r="C2233" s="2">
        <v>34</v>
      </c>
      <c r="D2233" s="2">
        <v>556</v>
      </c>
      <c r="E2233" s="2">
        <v>200</v>
      </c>
      <c r="F2233" s="2">
        <v>32441</v>
      </c>
      <c r="G2233" s="2">
        <v>9.9190107909999998</v>
      </c>
      <c r="H2233" s="3">
        <v>8.0199999999999998E-22</v>
      </c>
      <c r="I2233" s="2" t="s">
        <v>12246</v>
      </c>
      <c r="J2233" s="2" t="s">
        <v>12247</v>
      </c>
      <c r="K2233" s="3">
        <v>4.5400000000000003E-20</v>
      </c>
      <c r="L2233" s="2" t="s">
        <v>1178</v>
      </c>
      <c r="M2233" s="4" t="s">
        <v>12248</v>
      </c>
    </row>
    <row r="2234" spans="1:13">
      <c r="A2234" s="2">
        <v>17751</v>
      </c>
      <c r="B2234" s="2" t="s">
        <v>12249</v>
      </c>
      <c r="C2234" s="2">
        <v>34</v>
      </c>
      <c r="D2234" s="2">
        <v>556</v>
      </c>
      <c r="E2234" s="2">
        <v>200</v>
      </c>
      <c r="F2234" s="2">
        <v>32441</v>
      </c>
      <c r="G2234" s="2">
        <v>9.9190107909999998</v>
      </c>
      <c r="H2234" s="3">
        <v>8.0199999999999998E-22</v>
      </c>
      <c r="I2234" s="2" t="s">
        <v>12250</v>
      </c>
      <c r="J2234" s="2" t="s">
        <v>12251</v>
      </c>
      <c r="K2234" s="3">
        <v>4.5400000000000003E-20</v>
      </c>
      <c r="L2234" s="2" t="s">
        <v>1178</v>
      </c>
      <c r="M2234" s="4" t="s">
        <v>12252</v>
      </c>
    </row>
    <row r="2235" spans="1:13">
      <c r="A2235" s="2">
        <v>1901</v>
      </c>
      <c r="B2235" s="2" t="s">
        <v>12253</v>
      </c>
      <c r="C2235" s="2">
        <v>34</v>
      </c>
      <c r="D2235" s="2">
        <v>556</v>
      </c>
      <c r="E2235" s="2">
        <v>200</v>
      </c>
      <c r="F2235" s="2">
        <v>32441</v>
      </c>
      <c r="G2235" s="2">
        <v>9.9190107909999998</v>
      </c>
      <c r="H2235" s="3">
        <v>8.0199999999999998E-22</v>
      </c>
      <c r="I2235" s="2" t="s">
        <v>12254</v>
      </c>
      <c r="J2235" s="2" t="s">
        <v>12255</v>
      </c>
      <c r="K2235" s="3">
        <v>4.5400000000000003E-20</v>
      </c>
      <c r="L2235" s="2" t="s">
        <v>1178</v>
      </c>
      <c r="M2235" s="4" t="s">
        <v>12256</v>
      </c>
    </row>
    <row r="2236" spans="1:13">
      <c r="A2236" s="2">
        <v>3047</v>
      </c>
      <c r="B2236" s="2" t="s">
        <v>12257</v>
      </c>
      <c r="C2236" s="2">
        <v>34</v>
      </c>
      <c r="D2236" s="2">
        <v>556</v>
      </c>
      <c r="E2236" s="2">
        <v>200</v>
      </c>
      <c r="F2236" s="2">
        <v>32441</v>
      </c>
      <c r="G2236" s="2">
        <v>9.9190107909999998</v>
      </c>
      <c r="H2236" s="3">
        <v>8.0199999999999998E-22</v>
      </c>
      <c r="I2236" s="2" t="s">
        <v>12258</v>
      </c>
      <c r="J2236" s="2" t="s">
        <v>12259</v>
      </c>
      <c r="K2236" s="3">
        <v>4.5400000000000003E-20</v>
      </c>
      <c r="L2236" s="2" t="s">
        <v>1178</v>
      </c>
      <c r="M2236" s="4" t="s">
        <v>12260</v>
      </c>
    </row>
    <row r="2237" spans="1:13">
      <c r="A2237" s="2">
        <v>2455</v>
      </c>
      <c r="B2237" s="2" t="s">
        <v>12261</v>
      </c>
      <c r="C2237" s="2">
        <v>32</v>
      </c>
      <c r="D2237" s="2">
        <v>556</v>
      </c>
      <c r="E2237" s="2">
        <v>172</v>
      </c>
      <c r="F2237" s="2">
        <v>32441</v>
      </c>
      <c r="G2237" s="2">
        <v>10.855278569999999</v>
      </c>
      <c r="H2237" s="3">
        <v>1.1900000000000001E-21</v>
      </c>
      <c r="I2237" s="2" t="s">
        <v>12262</v>
      </c>
      <c r="J2237" s="2" t="s">
        <v>12263</v>
      </c>
      <c r="K2237" s="3">
        <v>6.6400000000000002E-20</v>
      </c>
      <c r="L2237" s="2" t="s">
        <v>1178</v>
      </c>
      <c r="M2237" s="4" t="s">
        <v>12264</v>
      </c>
    </row>
    <row r="2238" spans="1:13">
      <c r="A2238" s="2">
        <v>1060</v>
      </c>
      <c r="B2238" s="2" t="s">
        <v>12265</v>
      </c>
      <c r="C2238" s="2">
        <v>33</v>
      </c>
      <c r="D2238" s="2">
        <v>556</v>
      </c>
      <c r="E2238" s="2">
        <v>200</v>
      </c>
      <c r="F2238" s="2">
        <v>32441</v>
      </c>
      <c r="G2238" s="2">
        <v>9.6272751799999998</v>
      </c>
      <c r="H2238" s="3">
        <v>7.3199999999999999E-21</v>
      </c>
      <c r="I2238" s="2" t="s">
        <v>12266</v>
      </c>
      <c r="J2238" s="2" t="s">
        <v>12267</v>
      </c>
      <c r="K2238" s="3">
        <v>3.8399999999999999E-19</v>
      </c>
      <c r="L2238" s="2" t="s">
        <v>1178</v>
      </c>
      <c r="M2238" s="4" t="s">
        <v>12268</v>
      </c>
    </row>
    <row r="2239" spans="1:13">
      <c r="A2239" s="2">
        <v>1874</v>
      </c>
      <c r="B2239" s="2" t="s">
        <v>12269</v>
      </c>
      <c r="C2239" s="2">
        <v>33</v>
      </c>
      <c r="D2239" s="2">
        <v>556</v>
      </c>
      <c r="E2239" s="2">
        <v>200</v>
      </c>
      <c r="F2239" s="2">
        <v>32441</v>
      </c>
      <c r="G2239" s="2">
        <v>9.6272751799999998</v>
      </c>
      <c r="H2239" s="3">
        <v>7.3199999999999999E-21</v>
      </c>
      <c r="I2239" s="2" t="s">
        <v>12270</v>
      </c>
      <c r="J2239" s="2" t="s">
        <v>12271</v>
      </c>
      <c r="K2239" s="3">
        <v>3.8399999999999999E-19</v>
      </c>
      <c r="L2239" s="2" t="s">
        <v>1178</v>
      </c>
      <c r="M2239" s="4" t="s">
        <v>12272</v>
      </c>
    </row>
    <row r="2240" spans="1:13">
      <c r="A2240" s="2">
        <v>1910</v>
      </c>
      <c r="B2240" s="2" t="s">
        <v>12273</v>
      </c>
      <c r="C2240" s="2">
        <v>33</v>
      </c>
      <c r="D2240" s="2">
        <v>556</v>
      </c>
      <c r="E2240" s="2">
        <v>200</v>
      </c>
      <c r="F2240" s="2">
        <v>32441</v>
      </c>
      <c r="G2240" s="2">
        <v>9.6272751799999998</v>
      </c>
      <c r="H2240" s="3">
        <v>7.3199999999999999E-21</v>
      </c>
      <c r="I2240" s="2" t="s">
        <v>12274</v>
      </c>
      <c r="J2240" s="2" t="s">
        <v>12275</v>
      </c>
      <c r="K2240" s="3">
        <v>3.8399999999999999E-19</v>
      </c>
      <c r="L2240" s="2" t="s">
        <v>1178</v>
      </c>
      <c r="M2240" s="4" t="s">
        <v>12276</v>
      </c>
    </row>
    <row r="2241" spans="1:13">
      <c r="A2241" s="2">
        <v>2970</v>
      </c>
      <c r="B2241" s="2" t="s">
        <v>12277</v>
      </c>
      <c r="C2241" s="2">
        <v>33</v>
      </c>
      <c r="D2241" s="2">
        <v>556</v>
      </c>
      <c r="E2241" s="2">
        <v>200</v>
      </c>
      <c r="F2241" s="2">
        <v>32441</v>
      </c>
      <c r="G2241" s="2">
        <v>9.6272751799999998</v>
      </c>
      <c r="H2241" s="3">
        <v>7.3199999999999999E-21</v>
      </c>
      <c r="I2241" s="2" t="s">
        <v>12278</v>
      </c>
      <c r="J2241" s="2" t="s">
        <v>12279</v>
      </c>
      <c r="K2241" s="3">
        <v>3.8399999999999999E-19</v>
      </c>
      <c r="L2241" s="2" t="s">
        <v>1178</v>
      </c>
      <c r="M2241" s="4" t="s">
        <v>12280</v>
      </c>
    </row>
    <row r="2242" spans="1:13">
      <c r="A2242" s="2">
        <v>39611</v>
      </c>
      <c r="B2242" s="2" t="s">
        <v>12281</v>
      </c>
      <c r="C2242" s="2">
        <v>33</v>
      </c>
      <c r="D2242" s="2">
        <v>556</v>
      </c>
      <c r="E2242" s="2">
        <v>200</v>
      </c>
      <c r="F2242" s="2">
        <v>32441</v>
      </c>
      <c r="G2242" s="2">
        <v>9.6272751799999998</v>
      </c>
      <c r="H2242" s="3">
        <v>7.3199999999999999E-21</v>
      </c>
      <c r="I2242" s="2" t="s">
        <v>12282</v>
      </c>
      <c r="J2242" s="2" t="s">
        <v>12283</v>
      </c>
      <c r="K2242" s="3">
        <v>3.8399999999999999E-19</v>
      </c>
      <c r="L2242" s="2" t="s">
        <v>1178</v>
      </c>
      <c r="M2242" s="4" t="s">
        <v>12284</v>
      </c>
    </row>
    <row r="2243" spans="1:13">
      <c r="A2243" s="2">
        <v>4669</v>
      </c>
      <c r="B2243" s="2" t="s">
        <v>12285</v>
      </c>
      <c r="C2243" s="2">
        <v>33</v>
      </c>
      <c r="D2243" s="2">
        <v>556</v>
      </c>
      <c r="E2243" s="2">
        <v>200</v>
      </c>
      <c r="F2243" s="2">
        <v>32441</v>
      </c>
      <c r="G2243" s="2">
        <v>9.6272751799999998</v>
      </c>
      <c r="H2243" s="3">
        <v>7.3199999999999999E-21</v>
      </c>
      <c r="I2243" s="2" t="s">
        <v>12286</v>
      </c>
      <c r="J2243" s="2" t="s">
        <v>12287</v>
      </c>
      <c r="K2243" s="3">
        <v>3.8399999999999999E-19</v>
      </c>
      <c r="L2243" s="2" t="s">
        <v>1178</v>
      </c>
      <c r="M2243" s="4" t="s">
        <v>12288</v>
      </c>
    </row>
    <row r="2244" spans="1:13">
      <c r="A2244" s="2">
        <v>2832</v>
      </c>
      <c r="B2244" s="2" t="s">
        <v>12289</v>
      </c>
      <c r="C2244" s="2">
        <v>31</v>
      </c>
      <c r="D2244" s="2">
        <v>556</v>
      </c>
      <c r="E2244" s="2">
        <v>178</v>
      </c>
      <c r="F2244" s="2">
        <v>32441</v>
      </c>
      <c r="G2244" s="2">
        <v>10.16157748</v>
      </c>
      <c r="H2244" s="3">
        <v>2.8199999999999997E-20</v>
      </c>
      <c r="I2244" s="2" t="s">
        <v>12290</v>
      </c>
      <c r="J2244" s="2" t="s">
        <v>12291</v>
      </c>
      <c r="K2244" s="3">
        <v>1.4599999999999999E-18</v>
      </c>
      <c r="L2244" s="2" t="s">
        <v>1178</v>
      </c>
      <c r="M2244" s="4" t="s">
        <v>12292</v>
      </c>
    </row>
    <row r="2245" spans="1:13">
      <c r="A2245" s="2">
        <v>39</v>
      </c>
      <c r="B2245" s="2" t="s">
        <v>12293</v>
      </c>
      <c r="C2245" s="2">
        <v>32</v>
      </c>
      <c r="D2245" s="2">
        <v>556</v>
      </c>
      <c r="E2245" s="2">
        <v>200</v>
      </c>
      <c r="F2245" s="2">
        <v>32441</v>
      </c>
      <c r="G2245" s="2">
        <v>9.3355395679999997</v>
      </c>
      <c r="H2245" s="3">
        <v>6.5099999999999994E-20</v>
      </c>
      <c r="I2245" s="2" t="s">
        <v>12294</v>
      </c>
      <c r="J2245" s="2" t="s">
        <v>12295</v>
      </c>
      <c r="K2245" s="3">
        <v>3.0200000000000001E-18</v>
      </c>
      <c r="L2245" s="2" t="s">
        <v>1178</v>
      </c>
      <c r="M2245" s="4" t="s">
        <v>12296</v>
      </c>
    </row>
    <row r="2246" spans="1:13">
      <c r="A2246" s="2">
        <v>4510</v>
      </c>
      <c r="B2246" s="2" t="s">
        <v>12297</v>
      </c>
      <c r="C2246" s="2">
        <v>32</v>
      </c>
      <c r="D2246" s="2">
        <v>556</v>
      </c>
      <c r="E2246" s="2">
        <v>200</v>
      </c>
      <c r="F2246" s="2">
        <v>32441</v>
      </c>
      <c r="G2246" s="2">
        <v>9.3355395679999997</v>
      </c>
      <c r="H2246" s="3">
        <v>6.5099999999999994E-20</v>
      </c>
      <c r="I2246" s="2" t="s">
        <v>12298</v>
      </c>
      <c r="J2246" s="2" t="s">
        <v>12299</v>
      </c>
      <c r="K2246" s="3">
        <v>3.0200000000000001E-18</v>
      </c>
      <c r="L2246" s="2" t="s">
        <v>1178</v>
      </c>
      <c r="M2246" s="4" t="s">
        <v>12300</v>
      </c>
    </row>
    <row r="2247" spans="1:13">
      <c r="A2247" s="2">
        <v>3022</v>
      </c>
      <c r="B2247" s="2" t="s">
        <v>12301</v>
      </c>
      <c r="C2247" s="2">
        <v>32</v>
      </c>
      <c r="D2247" s="2">
        <v>556</v>
      </c>
      <c r="E2247" s="2">
        <v>200</v>
      </c>
      <c r="F2247" s="2">
        <v>32441</v>
      </c>
      <c r="G2247" s="2">
        <v>9.3355395679999997</v>
      </c>
      <c r="H2247" s="3">
        <v>6.5099999999999994E-20</v>
      </c>
      <c r="I2247" s="2" t="s">
        <v>12302</v>
      </c>
      <c r="J2247" s="2" t="s">
        <v>12303</v>
      </c>
      <c r="K2247" s="3">
        <v>3.0200000000000001E-18</v>
      </c>
      <c r="L2247" s="2" t="s">
        <v>1178</v>
      </c>
      <c r="M2247" s="4" t="s">
        <v>12304</v>
      </c>
    </row>
    <row r="2248" spans="1:13">
      <c r="A2248" s="2">
        <v>4322</v>
      </c>
      <c r="B2248" s="2" t="s">
        <v>12305</v>
      </c>
      <c r="C2248" s="2">
        <v>32</v>
      </c>
      <c r="D2248" s="2">
        <v>556</v>
      </c>
      <c r="E2248" s="2">
        <v>200</v>
      </c>
      <c r="F2248" s="2">
        <v>32441</v>
      </c>
      <c r="G2248" s="2">
        <v>9.3355395679999997</v>
      </c>
      <c r="H2248" s="3">
        <v>6.5099999999999994E-20</v>
      </c>
      <c r="I2248" s="2" t="s">
        <v>12306</v>
      </c>
      <c r="J2248" s="2" t="s">
        <v>12307</v>
      </c>
      <c r="K2248" s="3">
        <v>3.0200000000000001E-18</v>
      </c>
      <c r="L2248" s="2" t="s">
        <v>1178</v>
      </c>
      <c r="M2248" s="4" t="s">
        <v>12308</v>
      </c>
    </row>
    <row r="2249" spans="1:13">
      <c r="A2249" s="2">
        <v>995</v>
      </c>
      <c r="B2249" s="2" t="s">
        <v>12309</v>
      </c>
      <c r="C2249" s="2">
        <v>32</v>
      </c>
      <c r="D2249" s="2">
        <v>556</v>
      </c>
      <c r="E2249" s="2">
        <v>200</v>
      </c>
      <c r="F2249" s="2">
        <v>32441</v>
      </c>
      <c r="G2249" s="2">
        <v>9.3355395679999997</v>
      </c>
      <c r="H2249" s="3">
        <v>6.5099999999999994E-20</v>
      </c>
      <c r="I2249" s="2" t="s">
        <v>12310</v>
      </c>
      <c r="J2249" s="2" t="s">
        <v>12311</v>
      </c>
      <c r="K2249" s="3">
        <v>3.0200000000000001E-18</v>
      </c>
      <c r="L2249" s="2" t="s">
        <v>1178</v>
      </c>
      <c r="M2249" s="4" t="s">
        <v>12312</v>
      </c>
    </row>
    <row r="2250" spans="1:13">
      <c r="A2250" s="2">
        <v>1024</v>
      </c>
      <c r="B2250" s="2" t="s">
        <v>12313</v>
      </c>
      <c r="C2250" s="2">
        <v>32</v>
      </c>
      <c r="D2250" s="2">
        <v>556</v>
      </c>
      <c r="E2250" s="2">
        <v>200</v>
      </c>
      <c r="F2250" s="2">
        <v>32441</v>
      </c>
      <c r="G2250" s="2">
        <v>9.3355395679999997</v>
      </c>
      <c r="H2250" s="3">
        <v>6.5099999999999994E-20</v>
      </c>
      <c r="I2250" s="2" t="s">
        <v>12314</v>
      </c>
      <c r="J2250" s="2" t="s">
        <v>12315</v>
      </c>
      <c r="K2250" s="3">
        <v>3.0200000000000001E-18</v>
      </c>
      <c r="L2250" s="2" t="s">
        <v>1178</v>
      </c>
      <c r="M2250" s="4" t="s">
        <v>12316</v>
      </c>
    </row>
    <row r="2251" spans="1:13">
      <c r="A2251" s="2">
        <v>1073</v>
      </c>
      <c r="B2251" s="2" t="s">
        <v>12317</v>
      </c>
      <c r="C2251" s="2">
        <v>32</v>
      </c>
      <c r="D2251" s="2">
        <v>556</v>
      </c>
      <c r="E2251" s="2">
        <v>200</v>
      </c>
      <c r="F2251" s="2">
        <v>32441</v>
      </c>
      <c r="G2251" s="2">
        <v>9.3355395679999997</v>
      </c>
      <c r="H2251" s="3">
        <v>6.5099999999999994E-20</v>
      </c>
      <c r="I2251" s="2" t="s">
        <v>12318</v>
      </c>
      <c r="J2251" s="2" t="s">
        <v>12319</v>
      </c>
      <c r="K2251" s="3">
        <v>3.0200000000000001E-18</v>
      </c>
      <c r="L2251" s="2" t="s">
        <v>1178</v>
      </c>
      <c r="M2251" s="4" t="s">
        <v>12320</v>
      </c>
    </row>
    <row r="2252" spans="1:13">
      <c r="A2252" s="2">
        <v>1380</v>
      </c>
      <c r="B2252" s="2" t="s">
        <v>12321</v>
      </c>
      <c r="C2252" s="2">
        <v>32</v>
      </c>
      <c r="D2252" s="2">
        <v>556</v>
      </c>
      <c r="E2252" s="2">
        <v>200</v>
      </c>
      <c r="F2252" s="2">
        <v>32441</v>
      </c>
      <c r="G2252" s="2">
        <v>9.3355395679999997</v>
      </c>
      <c r="H2252" s="3">
        <v>6.5099999999999994E-20</v>
      </c>
      <c r="I2252" s="2" t="s">
        <v>12322</v>
      </c>
      <c r="J2252" s="2" t="s">
        <v>12323</v>
      </c>
      <c r="K2252" s="3">
        <v>3.0200000000000001E-18</v>
      </c>
      <c r="L2252" s="2" t="s">
        <v>1178</v>
      </c>
      <c r="M2252" s="4" t="s">
        <v>12324</v>
      </c>
    </row>
    <row r="2253" spans="1:13">
      <c r="A2253" s="2">
        <v>2079</v>
      </c>
      <c r="B2253" s="2" t="s">
        <v>12325</v>
      </c>
      <c r="C2253" s="2">
        <v>32</v>
      </c>
      <c r="D2253" s="2">
        <v>556</v>
      </c>
      <c r="E2253" s="2">
        <v>200</v>
      </c>
      <c r="F2253" s="2">
        <v>32441</v>
      </c>
      <c r="G2253" s="2">
        <v>9.3355395679999997</v>
      </c>
      <c r="H2253" s="3">
        <v>6.5099999999999994E-20</v>
      </c>
      <c r="I2253" s="2" t="s">
        <v>12326</v>
      </c>
      <c r="J2253" s="2" t="s">
        <v>12327</v>
      </c>
      <c r="K2253" s="3">
        <v>3.0200000000000001E-18</v>
      </c>
      <c r="L2253" s="2" t="s">
        <v>1178</v>
      </c>
      <c r="M2253" s="4" t="s">
        <v>12328</v>
      </c>
    </row>
    <row r="2254" spans="1:13">
      <c r="A2254" s="2">
        <v>3509</v>
      </c>
      <c r="B2254" s="2" t="s">
        <v>12329</v>
      </c>
      <c r="C2254" s="2">
        <v>32</v>
      </c>
      <c r="D2254" s="2">
        <v>556</v>
      </c>
      <c r="E2254" s="2">
        <v>200</v>
      </c>
      <c r="F2254" s="2">
        <v>32441</v>
      </c>
      <c r="G2254" s="2">
        <v>9.3355395679999997</v>
      </c>
      <c r="H2254" s="3">
        <v>6.5099999999999994E-20</v>
      </c>
      <c r="I2254" s="2" t="s">
        <v>12330</v>
      </c>
      <c r="J2254" s="2" t="s">
        <v>12331</v>
      </c>
      <c r="K2254" s="3">
        <v>3.0200000000000001E-18</v>
      </c>
      <c r="L2254" s="2" t="s">
        <v>1178</v>
      </c>
      <c r="M2254" s="4" t="s">
        <v>12332</v>
      </c>
    </row>
    <row r="2255" spans="1:13">
      <c r="A2255" s="2">
        <v>4768</v>
      </c>
      <c r="B2255" s="2" t="s">
        <v>12333</v>
      </c>
      <c r="C2255" s="2">
        <v>32</v>
      </c>
      <c r="D2255" s="2">
        <v>556</v>
      </c>
      <c r="E2255" s="2">
        <v>200</v>
      </c>
      <c r="F2255" s="2">
        <v>32441</v>
      </c>
      <c r="G2255" s="2">
        <v>9.3355395679999997</v>
      </c>
      <c r="H2255" s="3">
        <v>6.5099999999999994E-20</v>
      </c>
      <c r="I2255" s="2" t="s">
        <v>12334</v>
      </c>
      <c r="J2255" s="2" t="s">
        <v>12335</v>
      </c>
      <c r="K2255" s="3">
        <v>3.0200000000000001E-18</v>
      </c>
      <c r="L2255" s="2" t="s">
        <v>1178</v>
      </c>
      <c r="M2255" s="4" t="s">
        <v>12336</v>
      </c>
    </row>
    <row r="2256" spans="1:13">
      <c r="A2256" s="2">
        <v>2794</v>
      </c>
      <c r="B2256" s="2" t="s">
        <v>12337</v>
      </c>
      <c r="C2256" s="2">
        <v>30</v>
      </c>
      <c r="D2256" s="2">
        <v>556</v>
      </c>
      <c r="E2256" s="2">
        <v>169</v>
      </c>
      <c r="F2256" s="2">
        <v>32441</v>
      </c>
      <c r="G2256" s="2">
        <v>10.35747733</v>
      </c>
      <c r="H2256" s="3">
        <v>7.18E-20</v>
      </c>
      <c r="I2256" s="2" t="s">
        <v>12338</v>
      </c>
      <c r="J2256" s="2" t="s">
        <v>12339</v>
      </c>
      <c r="K2256" s="3">
        <v>3.3000000000000002E-18</v>
      </c>
      <c r="L2256" s="2" t="s">
        <v>1178</v>
      </c>
      <c r="M2256" s="4" t="s">
        <v>12340</v>
      </c>
    </row>
    <row r="2257" spans="1:13">
      <c r="A2257" s="2">
        <v>2687</v>
      </c>
      <c r="B2257" s="2" t="s">
        <v>12341</v>
      </c>
      <c r="C2257" s="2">
        <v>30</v>
      </c>
      <c r="D2257" s="2">
        <v>556</v>
      </c>
      <c r="E2257" s="2">
        <v>176</v>
      </c>
      <c r="F2257" s="2">
        <v>32441</v>
      </c>
      <c r="G2257" s="2">
        <v>9.9455322109999997</v>
      </c>
      <c r="H2257" s="3">
        <v>1.9699999999999999E-19</v>
      </c>
      <c r="I2257" s="2" t="s">
        <v>12342</v>
      </c>
      <c r="J2257" s="2" t="s">
        <v>12343</v>
      </c>
      <c r="K2257" s="3">
        <v>8.9000000000000004E-18</v>
      </c>
      <c r="L2257" s="2" t="s">
        <v>1178</v>
      </c>
      <c r="M2257" s="4" t="s">
        <v>12344</v>
      </c>
    </row>
    <row r="2258" spans="1:13">
      <c r="A2258" s="2">
        <v>27901</v>
      </c>
      <c r="B2258" s="2" t="s">
        <v>12345</v>
      </c>
      <c r="C2258" s="2">
        <v>30</v>
      </c>
      <c r="D2258" s="2">
        <v>556</v>
      </c>
      <c r="E2258" s="2">
        <v>176</v>
      </c>
      <c r="F2258" s="2">
        <v>32441</v>
      </c>
      <c r="G2258" s="2">
        <v>9.9455322109999997</v>
      </c>
      <c r="H2258" s="3">
        <v>1.9699999999999999E-19</v>
      </c>
      <c r="I2258" s="2" t="s">
        <v>12346</v>
      </c>
      <c r="J2258" s="2" t="s">
        <v>12347</v>
      </c>
      <c r="K2258" s="3">
        <v>8.9000000000000004E-18</v>
      </c>
      <c r="L2258" s="2" t="s">
        <v>1178</v>
      </c>
      <c r="M2258" s="4" t="s">
        <v>12348</v>
      </c>
    </row>
    <row r="2259" spans="1:13">
      <c r="A2259" s="2">
        <v>2792</v>
      </c>
      <c r="B2259" s="2" t="s">
        <v>12349</v>
      </c>
      <c r="C2259" s="2">
        <v>30</v>
      </c>
      <c r="D2259" s="2">
        <v>556</v>
      </c>
      <c r="E2259" s="2">
        <v>177</v>
      </c>
      <c r="F2259" s="2">
        <v>32441</v>
      </c>
      <c r="G2259" s="2">
        <v>9.8893427630000001</v>
      </c>
      <c r="H2259" s="3">
        <v>2.2699999999999998E-19</v>
      </c>
      <c r="I2259" s="2" t="s">
        <v>12350</v>
      </c>
      <c r="J2259" s="2" t="s">
        <v>12351</v>
      </c>
      <c r="K2259" s="3">
        <v>1.02E-17</v>
      </c>
      <c r="L2259" s="2" t="s">
        <v>1178</v>
      </c>
      <c r="M2259" s="4" t="s">
        <v>12352</v>
      </c>
    </row>
    <row r="2260" spans="1:13">
      <c r="A2260" s="2">
        <v>16</v>
      </c>
      <c r="B2260" s="2" t="s">
        <v>12353</v>
      </c>
      <c r="C2260" s="2">
        <v>31</v>
      </c>
      <c r="D2260" s="2">
        <v>556</v>
      </c>
      <c r="E2260" s="2">
        <v>200</v>
      </c>
      <c r="F2260" s="2">
        <v>32441</v>
      </c>
      <c r="G2260" s="2">
        <v>9.0438039569999997</v>
      </c>
      <c r="H2260" s="3">
        <v>5.6199999999999998E-19</v>
      </c>
      <c r="I2260" s="2" t="s">
        <v>12354</v>
      </c>
      <c r="J2260" s="2" t="s">
        <v>12355</v>
      </c>
      <c r="K2260" s="3">
        <v>2.32E-17</v>
      </c>
      <c r="L2260" s="2" t="s">
        <v>1178</v>
      </c>
      <c r="M2260" s="4" t="s">
        <v>12356</v>
      </c>
    </row>
    <row r="2261" spans="1:13">
      <c r="A2261" s="2">
        <v>1763</v>
      </c>
      <c r="B2261" s="2" t="s">
        <v>1362</v>
      </c>
      <c r="C2261" s="2">
        <v>31</v>
      </c>
      <c r="D2261" s="2">
        <v>556</v>
      </c>
      <c r="E2261" s="2">
        <v>200</v>
      </c>
      <c r="F2261" s="2">
        <v>32441</v>
      </c>
      <c r="G2261" s="2">
        <v>9.0438039569999997</v>
      </c>
      <c r="H2261" s="3">
        <v>5.6199999999999998E-19</v>
      </c>
      <c r="I2261" s="2" t="s">
        <v>12357</v>
      </c>
      <c r="J2261" s="2" t="s">
        <v>12358</v>
      </c>
      <c r="K2261" s="3">
        <v>2.32E-17</v>
      </c>
      <c r="L2261" s="2" t="s">
        <v>1178</v>
      </c>
      <c r="M2261" s="4" t="s">
        <v>12359</v>
      </c>
    </row>
    <row r="2262" spans="1:13">
      <c r="A2262" s="2">
        <v>8181</v>
      </c>
      <c r="B2262" s="2" t="s">
        <v>12360</v>
      </c>
      <c r="C2262" s="2">
        <v>31</v>
      </c>
      <c r="D2262" s="2">
        <v>556</v>
      </c>
      <c r="E2262" s="2">
        <v>200</v>
      </c>
      <c r="F2262" s="2">
        <v>32441</v>
      </c>
      <c r="G2262" s="2">
        <v>9.0438039569999997</v>
      </c>
      <c r="H2262" s="3">
        <v>5.6199999999999998E-19</v>
      </c>
      <c r="I2262" s="2" t="s">
        <v>12361</v>
      </c>
      <c r="J2262" s="2" t="s">
        <v>12362</v>
      </c>
      <c r="K2262" s="3">
        <v>2.32E-17</v>
      </c>
      <c r="L2262" s="2" t="s">
        <v>1178</v>
      </c>
      <c r="M2262" s="4" t="s">
        <v>12363</v>
      </c>
    </row>
    <row r="2263" spans="1:13">
      <c r="A2263" s="2">
        <v>9411</v>
      </c>
      <c r="B2263" s="2" t="s">
        <v>12364</v>
      </c>
      <c r="C2263" s="2">
        <v>31</v>
      </c>
      <c r="D2263" s="2">
        <v>556</v>
      </c>
      <c r="E2263" s="2">
        <v>200</v>
      </c>
      <c r="F2263" s="2">
        <v>32441</v>
      </c>
      <c r="G2263" s="2">
        <v>9.0438039569999997</v>
      </c>
      <c r="H2263" s="3">
        <v>5.6199999999999998E-19</v>
      </c>
      <c r="I2263" s="2" t="s">
        <v>12365</v>
      </c>
      <c r="J2263" s="2" t="s">
        <v>12366</v>
      </c>
      <c r="K2263" s="3">
        <v>2.32E-17</v>
      </c>
      <c r="L2263" s="2" t="s">
        <v>1178</v>
      </c>
      <c r="M2263" s="4" t="s">
        <v>12367</v>
      </c>
    </row>
    <row r="2264" spans="1:13">
      <c r="A2264" s="2">
        <v>10251</v>
      </c>
      <c r="B2264" s="2" t="s">
        <v>12368</v>
      </c>
      <c r="C2264" s="2">
        <v>31</v>
      </c>
      <c r="D2264" s="2">
        <v>556</v>
      </c>
      <c r="E2264" s="2">
        <v>200</v>
      </c>
      <c r="F2264" s="2">
        <v>32441</v>
      </c>
      <c r="G2264" s="2">
        <v>9.0438039569999997</v>
      </c>
      <c r="H2264" s="3">
        <v>5.6199999999999998E-19</v>
      </c>
      <c r="I2264" s="2" t="s">
        <v>12369</v>
      </c>
      <c r="J2264" s="2" t="s">
        <v>12370</v>
      </c>
      <c r="K2264" s="3">
        <v>2.32E-17</v>
      </c>
      <c r="L2264" s="2" t="s">
        <v>1178</v>
      </c>
      <c r="M2264" s="4" t="s">
        <v>12371</v>
      </c>
    </row>
    <row r="2265" spans="1:13">
      <c r="A2265" s="2">
        <v>1336</v>
      </c>
      <c r="B2265" s="2" t="s">
        <v>12372</v>
      </c>
      <c r="C2265" s="2">
        <v>31</v>
      </c>
      <c r="D2265" s="2">
        <v>556</v>
      </c>
      <c r="E2265" s="2">
        <v>200</v>
      </c>
      <c r="F2265" s="2">
        <v>32441</v>
      </c>
      <c r="G2265" s="2">
        <v>9.0438039569999997</v>
      </c>
      <c r="H2265" s="3">
        <v>5.6199999999999998E-19</v>
      </c>
      <c r="I2265" s="2" t="s">
        <v>12373</v>
      </c>
      <c r="J2265" s="2" t="s">
        <v>12374</v>
      </c>
      <c r="K2265" s="3">
        <v>2.32E-17</v>
      </c>
      <c r="L2265" s="2" t="s">
        <v>1178</v>
      </c>
      <c r="M2265" s="4" t="s">
        <v>12375</v>
      </c>
    </row>
    <row r="2266" spans="1:13">
      <c r="A2266" s="2">
        <v>1768</v>
      </c>
      <c r="B2266" s="2" t="s">
        <v>12376</v>
      </c>
      <c r="C2266" s="2">
        <v>31</v>
      </c>
      <c r="D2266" s="2">
        <v>556</v>
      </c>
      <c r="E2266" s="2">
        <v>200</v>
      </c>
      <c r="F2266" s="2">
        <v>32441</v>
      </c>
      <c r="G2266" s="2">
        <v>9.0438039569999997</v>
      </c>
      <c r="H2266" s="3">
        <v>5.6199999999999998E-19</v>
      </c>
      <c r="I2266" s="2" t="s">
        <v>12377</v>
      </c>
      <c r="J2266" s="2" t="s">
        <v>12378</v>
      </c>
      <c r="K2266" s="3">
        <v>2.32E-17</v>
      </c>
      <c r="L2266" s="2" t="s">
        <v>1178</v>
      </c>
      <c r="M2266" s="4" t="s">
        <v>12379</v>
      </c>
    </row>
    <row r="2267" spans="1:13">
      <c r="A2267" s="2">
        <v>3246</v>
      </c>
      <c r="B2267" s="2" t="s">
        <v>12380</v>
      </c>
      <c r="C2267" s="2">
        <v>31</v>
      </c>
      <c r="D2267" s="2">
        <v>556</v>
      </c>
      <c r="E2267" s="2">
        <v>200</v>
      </c>
      <c r="F2267" s="2">
        <v>32441</v>
      </c>
      <c r="G2267" s="2">
        <v>9.0438039569999997</v>
      </c>
      <c r="H2267" s="3">
        <v>5.6199999999999998E-19</v>
      </c>
      <c r="I2267" s="2" t="s">
        <v>12381</v>
      </c>
      <c r="J2267" s="2" t="s">
        <v>12382</v>
      </c>
      <c r="K2267" s="3">
        <v>2.32E-17</v>
      </c>
      <c r="L2267" s="2" t="s">
        <v>1178</v>
      </c>
      <c r="M2267" s="4" t="s">
        <v>12383</v>
      </c>
    </row>
    <row r="2268" spans="1:13">
      <c r="A2268" s="2">
        <v>4355</v>
      </c>
      <c r="B2268" s="2" t="s">
        <v>12384</v>
      </c>
      <c r="C2268" s="2">
        <v>31</v>
      </c>
      <c r="D2268" s="2">
        <v>556</v>
      </c>
      <c r="E2268" s="2">
        <v>200</v>
      </c>
      <c r="F2268" s="2">
        <v>32441</v>
      </c>
      <c r="G2268" s="2">
        <v>9.0438039569999997</v>
      </c>
      <c r="H2268" s="3">
        <v>5.6199999999999998E-19</v>
      </c>
      <c r="I2268" s="2" t="s">
        <v>12385</v>
      </c>
      <c r="J2268" s="2" t="s">
        <v>12386</v>
      </c>
      <c r="K2268" s="3">
        <v>2.32E-17</v>
      </c>
      <c r="L2268" s="2" t="s">
        <v>1178</v>
      </c>
      <c r="M2268" s="4" t="s">
        <v>12387</v>
      </c>
    </row>
    <row r="2269" spans="1:13">
      <c r="A2269" s="2">
        <v>36201</v>
      </c>
      <c r="B2269" s="2" t="s">
        <v>12388</v>
      </c>
      <c r="C2269" s="2">
        <v>29</v>
      </c>
      <c r="D2269" s="2">
        <v>556</v>
      </c>
      <c r="E2269" s="2">
        <v>177</v>
      </c>
      <c r="F2269" s="2">
        <v>32441</v>
      </c>
      <c r="G2269" s="2">
        <v>9.5596980039999995</v>
      </c>
      <c r="H2269" s="3">
        <v>2.0599999999999998E-18</v>
      </c>
      <c r="I2269" s="2" t="s">
        <v>12389</v>
      </c>
      <c r="J2269" s="2" t="s">
        <v>12390</v>
      </c>
      <c r="K2269" s="3">
        <v>8.4200000000000005E-17</v>
      </c>
      <c r="L2269" s="2" t="s">
        <v>1178</v>
      </c>
      <c r="M2269" s="4" t="s">
        <v>12391</v>
      </c>
    </row>
    <row r="2270" spans="1:13">
      <c r="A2270" s="2">
        <v>1921</v>
      </c>
      <c r="B2270" s="2" t="s">
        <v>12392</v>
      </c>
      <c r="C2270" s="2">
        <v>30</v>
      </c>
      <c r="D2270" s="2">
        <v>556</v>
      </c>
      <c r="E2270" s="2">
        <v>200</v>
      </c>
      <c r="F2270" s="2">
        <v>32441</v>
      </c>
      <c r="G2270" s="2">
        <v>8.7520683449999996</v>
      </c>
      <c r="H2270" s="3">
        <v>4.7200000000000003E-18</v>
      </c>
      <c r="I2270" s="2" t="s">
        <v>12393</v>
      </c>
      <c r="J2270" s="2" t="s">
        <v>12394</v>
      </c>
      <c r="K2270" s="3">
        <v>1.7699999999999999E-16</v>
      </c>
      <c r="L2270" s="2" t="s">
        <v>1178</v>
      </c>
      <c r="M2270" s="4" t="s">
        <v>12395</v>
      </c>
    </row>
    <row r="2271" spans="1:13">
      <c r="A2271" s="2">
        <v>939</v>
      </c>
      <c r="B2271" s="2" t="s">
        <v>12396</v>
      </c>
      <c r="C2271" s="2">
        <v>30</v>
      </c>
      <c r="D2271" s="2">
        <v>556</v>
      </c>
      <c r="E2271" s="2">
        <v>200</v>
      </c>
      <c r="F2271" s="2">
        <v>32441</v>
      </c>
      <c r="G2271" s="2">
        <v>8.7520683449999996</v>
      </c>
      <c r="H2271" s="3">
        <v>4.7200000000000003E-18</v>
      </c>
      <c r="I2271" s="2" t="s">
        <v>12397</v>
      </c>
      <c r="J2271" s="2" t="s">
        <v>12398</v>
      </c>
      <c r="K2271" s="3">
        <v>1.7699999999999999E-16</v>
      </c>
      <c r="L2271" s="2" t="s">
        <v>1178</v>
      </c>
      <c r="M2271" s="4" t="s">
        <v>12399</v>
      </c>
    </row>
    <row r="2272" spans="1:13">
      <c r="A2272" s="2">
        <v>1026</v>
      </c>
      <c r="B2272" s="2" t="s">
        <v>12400</v>
      </c>
      <c r="C2272" s="2">
        <v>30</v>
      </c>
      <c r="D2272" s="2">
        <v>556</v>
      </c>
      <c r="E2272" s="2">
        <v>200</v>
      </c>
      <c r="F2272" s="2">
        <v>32441</v>
      </c>
      <c r="G2272" s="2">
        <v>8.7520683449999996</v>
      </c>
      <c r="H2272" s="3">
        <v>4.7200000000000003E-18</v>
      </c>
      <c r="I2272" s="2" t="s">
        <v>12401</v>
      </c>
      <c r="J2272" s="2" t="s">
        <v>12402</v>
      </c>
      <c r="K2272" s="3">
        <v>1.7699999999999999E-16</v>
      </c>
      <c r="L2272" s="2" t="s">
        <v>1178</v>
      </c>
      <c r="M2272" s="4" t="s">
        <v>12403</v>
      </c>
    </row>
    <row r="2273" spans="1:13">
      <c r="A2273" s="2">
        <v>10291</v>
      </c>
      <c r="B2273" s="2" t="s">
        <v>12404</v>
      </c>
      <c r="C2273" s="2">
        <v>30</v>
      </c>
      <c r="D2273" s="2">
        <v>556</v>
      </c>
      <c r="E2273" s="2">
        <v>200</v>
      </c>
      <c r="F2273" s="2">
        <v>32441</v>
      </c>
      <c r="G2273" s="2">
        <v>8.7520683449999996</v>
      </c>
      <c r="H2273" s="3">
        <v>4.7200000000000003E-18</v>
      </c>
      <c r="I2273" s="2" t="s">
        <v>12405</v>
      </c>
      <c r="J2273" s="2" t="s">
        <v>12406</v>
      </c>
      <c r="K2273" s="3">
        <v>1.7699999999999999E-16</v>
      </c>
      <c r="L2273" s="2" t="s">
        <v>1178</v>
      </c>
      <c r="M2273" s="4" t="s">
        <v>12407</v>
      </c>
    </row>
    <row r="2274" spans="1:13">
      <c r="A2274" s="2">
        <v>21232</v>
      </c>
      <c r="B2274" s="2" t="s">
        <v>12408</v>
      </c>
      <c r="C2274" s="2">
        <v>30</v>
      </c>
      <c r="D2274" s="2">
        <v>556</v>
      </c>
      <c r="E2274" s="2">
        <v>200</v>
      </c>
      <c r="F2274" s="2">
        <v>32441</v>
      </c>
      <c r="G2274" s="2">
        <v>8.7520683449999996</v>
      </c>
      <c r="H2274" s="3">
        <v>4.7200000000000003E-18</v>
      </c>
      <c r="I2274" s="2" t="s">
        <v>12409</v>
      </c>
      <c r="J2274" s="2" t="s">
        <v>12410</v>
      </c>
      <c r="K2274" s="3">
        <v>1.7699999999999999E-16</v>
      </c>
      <c r="L2274" s="2" t="s">
        <v>1178</v>
      </c>
      <c r="M2274" s="4" t="s">
        <v>12411</v>
      </c>
    </row>
    <row r="2275" spans="1:13">
      <c r="A2275" s="2">
        <v>2552</v>
      </c>
      <c r="B2275" s="2" t="s">
        <v>12412</v>
      </c>
      <c r="C2275" s="2">
        <v>30</v>
      </c>
      <c r="D2275" s="2">
        <v>556</v>
      </c>
      <c r="E2275" s="2">
        <v>200</v>
      </c>
      <c r="F2275" s="2">
        <v>32441</v>
      </c>
      <c r="G2275" s="2">
        <v>8.7520683449999996</v>
      </c>
      <c r="H2275" s="3">
        <v>4.7200000000000003E-18</v>
      </c>
      <c r="I2275" s="2" t="s">
        <v>12413</v>
      </c>
      <c r="J2275" s="2" t="s">
        <v>12414</v>
      </c>
      <c r="K2275" s="3">
        <v>1.7699999999999999E-16</v>
      </c>
      <c r="L2275" s="2" t="s">
        <v>1178</v>
      </c>
      <c r="M2275" s="4" t="s">
        <v>12415</v>
      </c>
    </row>
    <row r="2276" spans="1:13">
      <c r="A2276" s="2">
        <v>3263</v>
      </c>
      <c r="B2276" s="2" t="s">
        <v>12416</v>
      </c>
      <c r="C2276" s="2">
        <v>30</v>
      </c>
      <c r="D2276" s="2">
        <v>556</v>
      </c>
      <c r="E2276" s="2">
        <v>200</v>
      </c>
      <c r="F2276" s="2">
        <v>32441</v>
      </c>
      <c r="G2276" s="2">
        <v>8.7520683449999996</v>
      </c>
      <c r="H2276" s="3">
        <v>4.7200000000000003E-18</v>
      </c>
      <c r="I2276" s="2" t="s">
        <v>12417</v>
      </c>
      <c r="J2276" s="2" t="s">
        <v>12418</v>
      </c>
      <c r="K2276" s="3">
        <v>1.7699999999999999E-16</v>
      </c>
      <c r="L2276" s="2" t="s">
        <v>1178</v>
      </c>
      <c r="M2276" s="4" t="s">
        <v>12419</v>
      </c>
    </row>
    <row r="2277" spans="1:13">
      <c r="A2277" s="2">
        <v>33901</v>
      </c>
      <c r="B2277" s="2" t="s">
        <v>12420</v>
      </c>
      <c r="C2277" s="2">
        <v>30</v>
      </c>
      <c r="D2277" s="2">
        <v>556</v>
      </c>
      <c r="E2277" s="2">
        <v>200</v>
      </c>
      <c r="F2277" s="2">
        <v>32441</v>
      </c>
      <c r="G2277" s="2">
        <v>8.7520683449999996</v>
      </c>
      <c r="H2277" s="3">
        <v>4.7200000000000003E-18</v>
      </c>
      <c r="I2277" s="2" t="s">
        <v>12421</v>
      </c>
      <c r="J2277" s="2" t="s">
        <v>12422</v>
      </c>
      <c r="K2277" s="3">
        <v>1.7699999999999999E-16</v>
      </c>
      <c r="L2277" s="2" t="s">
        <v>1178</v>
      </c>
      <c r="M2277" s="4" t="s">
        <v>12423</v>
      </c>
    </row>
    <row r="2278" spans="1:13">
      <c r="A2278" s="2">
        <v>39781</v>
      </c>
      <c r="B2278" s="2" t="s">
        <v>12424</v>
      </c>
      <c r="C2278" s="2">
        <v>30</v>
      </c>
      <c r="D2278" s="2">
        <v>556</v>
      </c>
      <c r="E2278" s="2">
        <v>200</v>
      </c>
      <c r="F2278" s="2">
        <v>32441</v>
      </c>
      <c r="G2278" s="2">
        <v>8.7520683449999996</v>
      </c>
      <c r="H2278" s="3">
        <v>4.7200000000000003E-18</v>
      </c>
      <c r="I2278" s="2" t="s">
        <v>12425</v>
      </c>
      <c r="J2278" s="2" t="s">
        <v>12426</v>
      </c>
      <c r="K2278" s="3">
        <v>1.7699999999999999E-16</v>
      </c>
      <c r="L2278" s="2" t="s">
        <v>1178</v>
      </c>
      <c r="M2278" s="4" t="s">
        <v>12427</v>
      </c>
    </row>
    <row r="2279" spans="1:13">
      <c r="A2279" s="2">
        <v>4523</v>
      </c>
      <c r="B2279" s="2" t="s">
        <v>12428</v>
      </c>
      <c r="C2279" s="2">
        <v>30</v>
      </c>
      <c r="D2279" s="2">
        <v>556</v>
      </c>
      <c r="E2279" s="2">
        <v>200</v>
      </c>
      <c r="F2279" s="2">
        <v>32441</v>
      </c>
      <c r="G2279" s="2">
        <v>8.7520683449999996</v>
      </c>
      <c r="H2279" s="3">
        <v>4.7200000000000003E-18</v>
      </c>
      <c r="I2279" s="2" t="s">
        <v>12429</v>
      </c>
      <c r="J2279" s="2" t="s">
        <v>12430</v>
      </c>
      <c r="K2279" s="3">
        <v>1.7699999999999999E-16</v>
      </c>
      <c r="L2279" s="2" t="s">
        <v>1178</v>
      </c>
      <c r="M2279" s="4" t="s">
        <v>12431</v>
      </c>
    </row>
    <row r="2280" spans="1:13">
      <c r="A2280" s="2">
        <v>4866</v>
      </c>
      <c r="B2280" s="2" t="s">
        <v>12432</v>
      </c>
      <c r="C2280" s="2">
        <v>30</v>
      </c>
      <c r="D2280" s="2">
        <v>556</v>
      </c>
      <c r="E2280" s="2">
        <v>200</v>
      </c>
      <c r="F2280" s="2">
        <v>32441</v>
      </c>
      <c r="G2280" s="2">
        <v>8.7520683449999996</v>
      </c>
      <c r="H2280" s="3">
        <v>4.7200000000000003E-18</v>
      </c>
      <c r="I2280" s="2" t="s">
        <v>12433</v>
      </c>
      <c r="J2280" s="2" t="s">
        <v>12434</v>
      </c>
      <c r="K2280" s="3">
        <v>1.7699999999999999E-16</v>
      </c>
      <c r="L2280" s="2" t="s">
        <v>1178</v>
      </c>
      <c r="M2280" s="4" t="s">
        <v>12435</v>
      </c>
    </row>
    <row r="2281" spans="1:13">
      <c r="A2281" s="2">
        <v>2539</v>
      </c>
      <c r="B2281" s="2" t="s">
        <v>12436</v>
      </c>
      <c r="C2281" s="2">
        <v>28</v>
      </c>
      <c r="D2281" s="2">
        <v>556</v>
      </c>
      <c r="E2281" s="2">
        <v>173</v>
      </c>
      <c r="F2281" s="2">
        <v>32441</v>
      </c>
      <c r="G2281" s="2">
        <v>9.4434648810000006</v>
      </c>
      <c r="H2281" s="3">
        <v>1.0600000000000001E-17</v>
      </c>
      <c r="I2281" s="2" t="s">
        <v>12437</v>
      </c>
      <c r="J2281" s="2" t="s">
        <v>12438</v>
      </c>
      <c r="K2281" s="3">
        <v>3.9500000000000001E-16</v>
      </c>
      <c r="L2281" s="2" t="s">
        <v>1178</v>
      </c>
      <c r="M2281" s="4" t="s">
        <v>12439</v>
      </c>
    </row>
    <row r="2282" spans="1:13">
      <c r="A2282" s="2">
        <v>4231</v>
      </c>
      <c r="B2282" s="2" t="s">
        <v>12440</v>
      </c>
      <c r="C2282" s="2">
        <v>27</v>
      </c>
      <c r="D2282" s="2">
        <v>556</v>
      </c>
      <c r="E2282" s="2">
        <v>162</v>
      </c>
      <c r="F2282" s="2">
        <v>32441</v>
      </c>
      <c r="G2282" s="2">
        <v>9.7245203839999999</v>
      </c>
      <c r="H2282" s="3">
        <v>2.1200000000000001E-17</v>
      </c>
      <c r="I2282" s="2" t="s">
        <v>12441</v>
      </c>
      <c r="J2282" s="2" t="s">
        <v>12442</v>
      </c>
      <c r="K2282" s="3">
        <v>7.83E-16</v>
      </c>
      <c r="L2282" s="2" t="s">
        <v>1178</v>
      </c>
      <c r="M2282" s="4" t="s">
        <v>12443</v>
      </c>
    </row>
    <row r="2283" spans="1:13">
      <c r="A2283" s="2">
        <v>3123</v>
      </c>
      <c r="B2283" s="2" t="s">
        <v>12444</v>
      </c>
      <c r="C2283" s="2">
        <v>29</v>
      </c>
      <c r="D2283" s="2">
        <v>556</v>
      </c>
      <c r="E2283" s="2">
        <v>197</v>
      </c>
      <c r="F2283" s="2">
        <v>32441</v>
      </c>
      <c r="G2283" s="2">
        <v>8.589170288</v>
      </c>
      <c r="H2283" s="3">
        <v>2.6799999999999999E-17</v>
      </c>
      <c r="I2283" s="2" t="s">
        <v>12445</v>
      </c>
      <c r="J2283" s="2" t="s">
        <v>12446</v>
      </c>
      <c r="K2283" s="3">
        <v>9.8099999999999997E-16</v>
      </c>
      <c r="L2283" s="2" t="s">
        <v>1178</v>
      </c>
      <c r="M2283" s="4" t="s">
        <v>12447</v>
      </c>
    </row>
    <row r="2284" spans="1:13">
      <c r="A2284" s="2">
        <v>2441</v>
      </c>
      <c r="B2284" s="2" t="s">
        <v>12448</v>
      </c>
      <c r="C2284" s="2">
        <v>27</v>
      </c>
      <c r="D2284" s="2">
        <v>556</v>
      </c>
      <c r="E2284" s="2">
        <v>164</v>
      </c>
      <c r="F2284" s="2">
        <v>32441</v>
      </c>
      <c r="G2284" s="2">
        <v>9.6059286719999992</v>
      </c>
      <c r="H2284" s="3">
        <v>2.7900000000000001E-17</v>
      </c>
      <c r="I2284" s="2" t="s">
        <v>12449</v>
      </c>
      <c r="J2284" s="2" t="s">
        <v>12450</v>
      </c>
      <c r="K2284" s="3">
        <v>1.02E-15</v>
      </c>
      <c r="L2284" s="2" t="s">
        <v>1178</v>
      </c>
      <c r="M2284" s="4" t="s">
        <v>12451</v>
      </c>
    </row>
    <row r="2285" spans="1:13">
      <c r="A2285" s="2">
        <v>60</v>
      </c>
      <c r="B2285" s="2" t="s">
        <v>12452</v>
      </c>
      <c r="C2285" s="2">
        <v>29</v>
      </c>
      <c r="D2285" s="2">
        <v>556</v>
      </c>
      <c r="E2285" s="2">
        <v>200</v>
      </c>
      <c r="F2285" s="2">
        <v>32441</v>
      </c>
      <c r="G2285" s="2">
        <v>8.4603327339999996</v>
      </c>
      <c r="H2285" s="3">
        <v>3.8399999999999999E-17</v>
      </c>
      <c r="I2285" s="2" t="s">
        <v>12453</v>
      </c>
      <c r="J2285" s="2" t="s">
        <v>12454</v>
      </c>
      <c r="K2285" s="3">
        <v>1.14E-15</v>
      </c>
      <c r="L2285" s="2" t="s">
        <v>1178</v>
      </c>
      <c r="M2285" s="4" t="s">
        <v>12455</v>
      </c>
    </row>
    <row r="2286" spans="1:13">
      <c r="A2286" s="2">
        <v>13710</v>
      </c>
      <c r="B2286" s="2" t="s">
        <v>12456</v>
      </c>
      <c r="C2286" s="2">
        <v>29</v>
      </c>
      <c r="D2286" s="2">
        <v>556</v>
      </c>
      <c r="E2286" s="2">
        <v>200</v>
      </c>
      <c r="F2286" s="2">
        <v>32441</v>
      </c>
      <c r="G2286" s="2">
        <v>8.4603327339999996</v>
      </c>
      <c r="H2286" s="3">
        <v>3.8399999999999999E-17</v>
      </c>
      <c r="I2286" s="2" t="s">
        <v>12457</v>
      </c>
      <c r="J2286" s="2" t="s">
        <v>12458</v>
      </c>
      <c r="K2286" s="3">
        <v>1.14E-15</v>
      </c>
      <c r="L2286" s="2" t="s">
        <v>1178</v>
      </c>
      <c r="M2286" s="4" t="s">
        <v>12459</v>
      </c>
    </row>
    <row r="2287" spans="1:13">
      <c r="A2287" s="2">
        <v>937</v>
      </c>
      <c r="B2287" s="2" t="s">
        <v>12460</v>
      </c>
      <c r="C2287" s="2">
        <v>29</v>
      </c>
      <c r="D2287" s="2">
        <v>556</v>
      </c>
      <c r="E2287" s="2">
        <v>200</v>
      </c>
      <c r="F2287" s="2">
        <v>32441</v>
      </c>
      <c r="G2287" s="2">
        <v>8.4603327339999996</v>
      </c>
      <c r="H2287" s="3">
        <v>3.8399999999999999E-17</v>
      </c>
      <c r="I2287" s="2" t="s">
        <v>12461</v>
      </c>
      <c r="J2287" s="2" t="s">
        <v>12462</v>
      </c>
      <c r="K2287" s="3">
        <v>1.14E-15</v>
      </c>
      <c r="L2287" s="2" t="s">
        <v>1178</v>
      </c>
      <c r="M2287" s="4" t="s">
        <v>12463</v>
      </c>
    </row>
    <row r="2288" spans="1:13">
      <c r="A2288" s="2">
        <v>9721</v>
      </c>
      <c r="B2288" s="2" t="s">
        <v>1671</v>
      </c>
      <c r="C2288" s="2">
        <v>29</v>
      </c>
      <c r="D2288" s="2">
        <v>556</v>
      </c>
      <c r="E2288" s="2">
        <v>200</v>
      </c>
      <c r="F2288" s="2">
        <v>32441</v>
      </c>
      <c r="G2288" s="2">
        <v>8.4603327339999996</v>
      </c>
      <c r="H2288" s="3">
        <v>3.8399999999999999E-17</v>
      </c>
      <c r="I2288" s="2" t="s">
        <v>12464</v>
      </c>
      <c r="J2288" s="2" t="s">
        <v>12465</v>
      </c>
      <c r="K2288" s="3">
        <v>1.14E-15</v>
      </c>
      <c r="L2288" s="2" t="s">
        <v>1178</v>
      </c>
      <c r="M2288" s="4" t="s">
        <v>12466</v>
      </c>
    </row>
    <row r="2289" spans="1:13">
      <c r="A2289" s="2">
        <v>10351</v>
      </c>
      <c r="B2289" s="2" t="s">
        <v>12467</v>
      </c>
      <c r="C2289" s="2">
        <v>29</v>
      </c>
      <c r="D2289" s="2">
        <v>556</v>
      </c>
      <c r="E2289" s="2">
        <v>200</v>
      </c>
      <c r="F2289" s="2">
        <v>32441</v>
      </c>
      <c r="G2289" s="2">
        <v>8.4603327339999996</v>
      </c>
      <c r="H2289" s="3">
        <v>3.8399999999999999E-17</v>
      </c>
      <c r="I2289" s="2" t="s">
        <v>12468</v>
      </c>
      <c r="J2289" s="2" t="s">
        <v>12469</v>
      </c>
      <c r="K2289" s="3">
        <v>1.14E-15</v>
      </c>
      <c r="L2289" s="2" t="s">
        <v>1178</v>
      </c>
      <c r="M2289" s="4" t="s">
        <v>12470</v>
      </c>
    </row>
    <row r="2290" spans="1:13">
      <c r="A2290" s="2">
        <v>12711</v>
      </c>
      <c r="B2290" s="2" t="s">
        <v>12471</v>
      </c>
      <c r="C2290" s="2">
        <v>29</v>
      </c>
      <c r="D2290" s="2">
        <v>556</v>
      </c>
      <c r="E2290" s="2">
        <v>200</v>
      </c>
      <c r="F2290" s="2">
        <v>32441</v>
      </c>
      <c r="G2290" s="2">
        <v>8.4603327339999996</v>
      </c>
      <c r="H2290" s="3">
        <v>3.8399999999999999E-17</v>
      </c>
      <c r="I2290" s="2" t="s">
        <v>12472</v>
      </c>
      <c r="J2290" s="2" t="s">
        <v>12473</v>
      </c>
      <c r="K2290" s="3">
        <v>1.14E-15</v>
      </c>
      <c r="L2290" s="2" t="s">
        <v>1178</v>
      </c>
      <c r="M2290" s="4" t="s">
        <v>12474</v>
      </c>
    </row>
    <row r="2291" spans="1:13">
      <c r="A2291" s="2">
        <v>1637</v>
      </c>
      <c r="B2291" s="2" t="s">
        <v>12475</v>
      </c>
      <c r="C2291" s="2">
        <v>29</v>
      </c>
      <c r="D2291" s="2">
        <v>556</v>
      </c>
      <c r="E2291" s="2">
        <v>200</v>
      </c>
      <c r="F2291" s="2">
        <v>32441</v>
      </c>
      <c r="G2291" s="2">
        <v>8.4603327339999996</v>
      </c>
      <c r="H2291" s="3">
        <v>3.8399999999999999E-17</v>
      </c>
      <c r="I2291" s="2" t="s">
        <v>12476</v>
      </c>
      <c r="J2291" s="2" t="s">
        <v>12477</v>
      </c>
      <c r="K2291" s="3">
        <v>1.14E-15</v>
      </c>
      <c r="L2291" s="2" t="s">
        <v>1178</v>
      </c>
      <c r="M2291" s="4" t="s">
        <v>12478</v>
      </c>
    </row>
    <row r="2292" spans="1:13">
      <c r="A2292" s="2">
        <v>1809</v>
      </c>
      <c r="B2292" s="2" t="s">
        <v>12479</v>
      </c>
      <c r="C2292" s="2">
        <v>29</v>
      </c>
      <c r="D2292" s="2">
        <v>556</v>
      </c>
      <c r="E2292" s="2">
        <v>200</v>
      </c>
      <c r="F2292" s="2">
        <v>32441</v>
      </c>
      <c r="G2292" s="2">
        <v>8.4603327339999996</v>
      </c>
      <c r="H2292" s="3">
        <v>3.8399999999999999E-17</v>
      </c>
      <c r="I2292" s="2" t="s">
        <v>12480</v>
      </c>
      <c r="J2292" s="2" t="s">
        <v>12481</v>
      </c>
      <c r="K2292" s="3">
        <v>1.14E-15</v>
      </c>
      <c r="L2292" s="2" t="s">
        <v>1178</v>
      </c>
      <c r="M2292" s="4" t="s">
        <v>12482</v>
      </c>
    </row>
    <row r="2293" spans="1:13">
      <c r="A2293" s="2">
        <v>1884</v>
      </c>
      <c r="B2293" s="2" t="s">
        <v>12483</v>
      </c>
      <c r="C2293" s="2">
        <v>29</v>
      </c>
      <c r="D2293" s="2">
        <v>556</v>
      </c>
      <c r="E2293" s="2">
        <v>200</v>
      </c>
      <c r="F2293" s="2">
        <v>32441</v>
      </c>
      <c r="G2293" s="2">
        <v>8.4603327339999996</v>
      </c>
      <c r="H2293" s="3">
        <v>3.8399999999999999E-17</v>
      </c>
      <c r="I2293" s="2" t="s">
        <v>12484</v>
      </c>
      <c r="J2293" s="2" t="s">
        <v>12485</v>
      </c>
      <c r="K2293" s="3">
        <v>1.14E-15</v>
      </c>
      <c r="L2293" s="2" t="s">
        <v>1178</v>
      </c>
      <c r="M2293" s="4" t="s">
        <v>12486</v>
      </c>
    </row>
    <row r="2294" spans="1:13">
      <c r="A2294" s="2">
        <v>1886</v>
      </c>
      <c r="B2294" s="2" t="s">
        <v>12487</v>
      </c>
      <c r="C2294" s="2">
        <v>29</v>
      </c>
      <c r="D2294" s="2">
        <v>556</v>
      </c>
      <c r="E2294" s="2">
        <v>200</v>
      </c>
      <c r="F2294" s="2">
        <v>32441</v>
      </c>
      <c r="G2294" s="2">
        <v>8.4603327339999996</v>
      </c>
      <c r="H2294" s="3">
        <v>3.8399999999999999E-17</v>
      </c>
      <c r="I2294" s="2" t="s">
        <v>12488</v>
      </c>
      <c r="J2294" s="2" t="s">
        <v>12489</v>
      </c>
      <c r="K2294" s="3">
        <v>1.14E-15</v>
      </c>
      <c r="L2294" s="2" t="s">
        <v>1178</v>
      </c>
      <c r="M2294" s="4" t="s">
        <v>12490</v>
      </c>
    </row>
    <row r="2295" spans="1:13">
      <c r="A2295" s="2">
        <v>2081</v>
      </c>
      <c r="B2295" s="2" t="s">
        <v>12491</v>
      </c>
      <c r="C2295" s="2">
        <v>29</v>
      </c>
      <c r="D2295" s="2">
        <v>556</v>
      </c>
      <c r="E2295" s="2">
        <v>200</v>
      </c>
      <c r="F2295" s="2">
        <v>32441</v>
      </c>
      <c r="G2295" s="2">
        <v>8.4603327339999996</v>
      </c>
      <c r="H2295" s="3">
        <v>3.8399999999999999E-17</v>
      </c>
      <c r="I2295" s="2" t="s">
        <v>12492</v>
      </c>
      <c r="J2295" s="2" t="s">
        <v>12493</v>
      </c>
      <c r="K2295" s="3">
        <v>1.14E-15</v>
      </c>
      <c r="L2295" s="2" t="s">
        <v>1178</v>
      </c>
      <c r="M2295" s="4" t="s">
        <v>12494</v>
      </c>
    </row>
    <row r="2296" spans="1:13">
      <c r="A2296" s="2">
        <v>2109</v>
      </c>
      <c r="B2296" s="2" t="s">
        <v>12495</v>
      </c>
      <c r="C2296" s="2">
        <v>29</v>
      </c>
      <c r="D2296" s="2">
        <v>556</v>
      </c>
      <c r="E2296" s="2">
        <v>200</v>
      </c>
      <c r="F2296" s="2">
        <v>32441</v>
      </c>
      <c r="G2296" s="2">
        <v>8.4603327339999996</v>
      </c>
      <c r="H2296" s="3">
        <v>3.8399999999999999E-17</v>
      </c>
      <c r="I2296" s="2" t="s">
        <v>12496</v>
      </c>
      <c r="J2296" s="2" t="s">
        <v>12497</v>
      </c>
      <c r="K2296" s="3">
        <v>1.14E-15</v>
      </c>
      <c r="L2296" s="2" t="s">
        <v>1178</v>
      </c>
      <c r="M2296" s="4" t="s">
        <v>12498</v>
      </c>
    </row>
    <row r="2297" spans="1:13">
      <c r="A2297" s="2">
        <v>2328</v>
      </c>
      <c r="B2297" s="2" t="s">
        <v>12499</v>
      </c>
      <c r="C2297" s="2">
        <v>29</v>
      </c>
      <c r="D2297" s="2">
        <v>556</v>
      </c>
      <c r="E2297" s="2">
        <v>200</v>
      </c>
      <c r="F2297" s="2">
        <v>32441</v>
      </c>
      <c r="G2297" s="2">
        <v>8.4603327339999996</v>
      </c>
      <c r="H2297" s="3">
        <v>3.8399999999999999E-17</v>
      </c>
      <c r="I2297" s="2" t="s">
        <v>12500</v>
      </c>
      <c r="J2297" s="2" t="s">
        <v>12501</v>
      </c>
      <c r="K2297" s="3">
        <v>1.14E-15</v>
      </c>
      <c r="L2297" s="2" t="s">
        <v>1178</v>
      </c>
      <c r="M2297" s="4" t="s">
        <v>12502</v>
      </c>
    </row>
    <row r="2298" spans="1:13">
      <c r="A2298" s="2">
        <v>2958</v>
      </c>
      <c r="B2298" s="2" t="s">
        <v>12503</v>
      </c>
      <c r="C2298" s="2">
        <v>29</v>
      </c>
      <c r="D2298" s="2">
        <v>556</v>
      </c>
      <c r="E2298" s="2">
        <v>200</v>
      </c>
      <c r="F2298" s="2">
        <v>32441</v>
      </c>
      <c r="G2298" s="2">
        <v>8.4603327339999996</v>
      </c>
      <c r="H2298" s="3">
        <v>3.8399999999999999E-17</v>
      </c>
      <c r="I2298" s="2" t="s">
        <v>12504</v>
      </c>
      <c r="J2298" s="2" t="s">
        <v>12505</v>
      </c>
      <c r="K2298" s="3">
        <v>1.14E-15</v>
      </c>
      <c r="L2298" s="2" t="s">
        <v>1178</v>
      </c>
      <c r="M2298" s="4" t="s">
        <v>12506</v>
      </c>
    </row>
    <row r="2299" spans="1:13">
      <c r="A2299" s="2">
        <v>29741</v>
      </c>
      <c r="B2299" s="2" t="s">
        <v>12507</v>
      </c>
      <c r="C2299" s="2">
        <v>29</v>
      </c>
      <c r="D2299" s="2">
        <v>556</v>
      </c>
      <c r="E2299" s="2">
        <v>200</v>
      </c>
      <c r="F2299" s="2">
        <v>32441</v>
      </c>
      <c r="G2299" s="2">
        <v>8.4603327339999996</v>
      </c>
      <c r="H2299" s="3">
        <v>3.8399999999999999E-17</v>
      </c>
      <c r="I2299" s="2" t="s">
        <v>12508</v>
      </c>
      <c r="J2299" s="2" t="s">
        <v>12509</v>
      </c>
      <c r="K2299" s="3">
        <v>1.14E-15</v>
      </c>
      <c r="L2299" s="2" t="s">
        <v>1178</v>
      </c>
      <c r="M2299" s="4" t="s">
        <v>12510</v>
      </c>
    </row>
    <row r="2300" spans="1:13">
      <c r="A2300" s="2">
        <v>29761</v>
      </c>
      <c r="B2300" s="2" t="s">
        <v>12511</v>
      </c>
      <c r="C2300" s="2">
        <v>29</v>
      </c>
      <c r="D2300" s="2">
        <v>556</v>
      </c>
      <c r="E2300" s="2">
        <v>200</v>
      </c>
      <c r="F2300" s="2">
        <v>32441</v>
      </c>
      <c r="G2300" s="2">
        <v>8.4603327339999996</v>
      </c>
      <c r="H2300" s="3">
        <v>3.8399999999999999E-17</v>
      </c>
      <c r="I2300" s="2" t="s">
        <v>12512</v>
      </c>
      <c r="J2300" s="2" t="s">
        <v>12513</v>
      </c>
      <c r="K2300" s="3">
        <v>1.14E-15</v>
      </c>
      <c r="L2300" s="2" t="s">
        <v>1178</v>
      </c>
      <c r="M2300" s="4" t="s">
        <v>12514</v>
      </c>
    </row>
    <row r="2301" spans="1:13">
      <c r="A2301" s="2">
        <v>30401</v>
      </c>
      <c r="B2301" s="2" t="s">
        <v>12515</v>
      </c>
      <c r="C2301" s="2">
        <v>29</v>
      </c>
      <c r="D2301" s="2">
        <v>556</v>
      </c>
      <c r="E2301" s="2">
        <v>200</v>
      </c>
      <c r="F2301" s="2">
        <v>32441</v>
      </c>
      <c r="G2301" s="2">
        <v>8.4603327339999996</v>
      </c>
      <c r="H2301" s="3">
        <v>3.8399999999999999E-17</v>
      </c>
      <c r="I2301" s="2" t="s">
        <v>12516</v>
      </c>
      <c r="J2301" s="2" t="s">
        <v>12517</v>
      </c>
      <c r="K2301" s="3">
        <v>1.14E-15</v>
      </c>
      <c r="L2301" s="2" t="s">
        <v>1178</v>
      </c>
      <c r="M2301" s="4" t="s">
        <v>12518</v>
      </c>
    </row>
    <row r="2302" spans="1:13">
      <c r="A2302" s="2">
        <v>3052</v>
      </c>
      <c r="B2302" s="2" t="s">
        <v>12519</v>
      </c>
      <c r="C2302" s="2">
        <v>29</v>
      </c>
      <c r="D2302" s="2">
        <v>556</v>
      </c>
      <c r="E2302" s="2">
        <v>200</v>
      </c>
      <c r="F2302" s="2">
        <v>32441</v>
      </c>
      <c r="G2302" s="2">
        <v>8.4603327339999996</v>
      </c>
      <c r="H2302" s="3">
        <v>3.8399999999999999E-17</v>
      </c>
      <c r="I2302" s="2" t="s">
        <v>12520</v>
      </c>
      <c r="J2302" s="2" t="s">
        <v>12521</v>
      </c>
      <c r="K2302" s="3">
        <v>1.14E-15</v>
      </c>
      <c r="L2302" s="2" t="s">
        <v>1178</v>
      </c>
      <c r="M2302" s="4" t="s">
        <v>12522</v>
      </c>
    </row>
    <row r="2303" spans="1:13">
      <c r="A2303" s="2">
        <v>3157</v>
      </c>
      <c r="B2303" s="2" t="s">
        <v>12523</v>
      </c>
      <c r="C2303" s="2">
        <v>29</v>
      </c>
      <c r="D2303" s="2">
        <v>556</v>
      </c>
      <c r="E2303" s="2">
        <v>200</v>
      </c>
      <c r="F2303" s="2">
        <v>32441</v>
      </c>
      <c r="G2303" s="2">
        <v>8.4603327339999996</v>
      </c>
      <c r="H2303" s="3">
        <v>3.8399999999999999E-17</v>
      </c>
      <c r="I2303" s="2" t="s">
        <v>12524</v>
      </c>
      <c r="J2303" s="2" t="s">
        <v>12525</v>
      </c>
      <c r="K2303" s="3">
        <v>1.14E-15</v>
      </c>
      <c r="L2303" s="2" t="s">
        <v>1178</v>
      </c>
      <c r="M2303" s="4" t="s">
        <v>12526</v>
      </c>
    </row>
    <row r="2304" spans="1:13">
      <c r="A2304" s="2">
        <v>32541</v>
      </c>
      <c r="B2304" s="2" t="s">
        <v>12527</v>
      </c>
      <c r="C2304" s="2">
        <v>29</v>
      </c>
      <c r="D2304" s="2">
        <v>556</v>
      </c>
      <c r="E2304" s="2">
        <v>200</v>
      </c>
      <c r="F2304" s="2">
        <v>32441</v>
      </c>
      <c r="G2304" s="2">
        <v>8.4603327339999996</v>
      </c>
      <c r="H2304" s="3">
        <v>3.8399999999999999E-17</v>
      </c>
      <c r="I2304" s="2" t="s">
        <v>12528</v>
      </c>
      <c r="J2304" s="2" t="s">
        <v>12529</v>
      </c>
      <c r="K2304" s="3">
        <v>1.14E-15</v>
      </c>
      <c r="L2304" s="2" t="s">
        <v>1178</v>
      </c>
      <c r="M2304" s="4" t="s">
        <v>12530</v>
      </c>
    </row>
    <row r="2305" spans="1:13">
      <c r="A2305" s="2">
        <v>3813</v>
      </c>
      <c r="B2305" s="2" t="s">
        <v>12531</v>
      </c>
      <c r="C2305" s="2">
        <v>29</v>
      </c>
      <c r="D2305" s="2">
        <v>556</v>
      </c>
      <c r="E2305" s="2">
        <v>200</v>
      </c>
      <c r="F2305" s="2">
        <v>32441</v>
      </c>
      <c r="G2305" s="2">
        <v>8.4603327339999996</v>
      </c>
      <c r="H2305" s="3">
        <v>3.8399999999999999E-17</v>
      </c>
      <c r="I2305" s="2" t="s">
        <v>12532</v>
      </c>
      <c r="J2305" s="2" t="s">
        <v>12533</v>
      </c>
      <c r="K2305" s="3">
        <v>1.14E-15</v>
      </c>
      <c r="L2305" s="2" t="s">
        <v>1178</v>
      </c>
      <c r="M2305" s="4" t="s">
        <v>12534</v>
      </c>
    </row>
    <row r="2306" spans="1:13">
      <c r="A2306" s="2">
        <v>38521</v>
      </c>
      <c r="B2306" s="2" t="s">
        <v>12535</v>
      </c>
      <c r="C2306" s="2">
        <v>29</v>
      </c>
      <c r="D2306" s="2">
        <v>556</v>
      </c>
      <c r="E2306" s="2">
        <v>200</v>
      </c>
      <c r="F2306" s="2">
        <v>32441</v>
      </c>
      <c r="G2306" s="2">
        <v>8.4603327339999996</v>
      </c>
      <c r="H2306" s="3">
        <v>3.8399999999999999E-17</v>
      </c>
      <c r="I2306" s="2" t="s">
        <v>12536</v>
      </c>
      <c r="J2306" s="2" t="s">
        <v>12537</v>
      </c>
      <c r="K2306" s="3">
        <v>1.14E-15</v>
      </c>
      <c r="L2306" s="2" t="s">
        <v>1178</v>
      </c>
      <c r="M2306" s="4" t="s">
        <v>12538</v>
      </c>
    </row>
    <row r="2307" spans="1:13">
      <c r="A2307" s="2">
        <v>3963</v>
      </c>
      <c r="B2307" s="2" t="s">
        <v>12539</v>
      </c>
      <c r="C2307" s="2">
        <v>29</v>
      </c>
      <c r="D2307" s="2">
        <v>556</v>
      </c>
      <c r="E2307" s="2">
        <v>200</v>
      </c>
      <c r="F2307" s="2">
        <v>32441</v>
      </c>
      <c r="G2307" s="2">
        <v>8.4603327339999996</v>
      </c>
      <c r="H2307" s="3">
        <v>3.8399999999999999E-17</v>
      </c>
      <c r="I2307" s="2" t="s">
        <v>12540</v>
      </c>
      <c r="J2307" s="2" t="s">
        <v>12541</v>
      </c>
      <c r="K2307" s="3">
        <v>1.14E-15</v>
      </c>
      <c r="L2307" s="2" t="s">
        <v>1178</v>
      </c>
      <c r="M2307" s="4" t="s">
        <v>12542</v>
      </c>
    </row>
    <row r="2308" spans="1:13">
      <c r="A2308" s="2">
        <v>39671</v>
      </c>
      <c r="B2308" s="2" t="s">
        <v>12543</v>
      </c>
      <c r="C2308" s="2">
        <v>29</v>
      </c>
      <c r="D2308" s="2">
        <v>556</v>
      </c>
      <c r="E2308" s="2">
        <v>200</v>
      </c>
      <c r="F2308" s="2">
        <v>32441</v>
      </c>
      <c r="G2308" s="2">
        <v>8.4603327339999996</v>
      </c>
      <c r="H2308" s="3">
        <v>3.8399999999999999E-17</v>
      </c>
      <c r="I2308" s="2" t="s">
        <v>12544</v>
      </c>
      <c r="J2308" s="2" t="s">
        <v>12545</v>
      </c>
      <c r="K2308" s="3">
        <v>1.14E-15</v>
      </c>
      <c r="L2308" s="2" t="s">
        <v>1178</v>
      </c>
      <c r="M2308" s="4" t="s">
        <v>12546</v>
      </c>
    </row>
    <row r="2309" spans="1:13">
      <c r="A2309" s="2">
        <v>39802</v>
      </c>
      <c r="B2309" s="2" t="s">
        <v>12547</v>
      </c>
      <c r="C2309" s="2">
        <v>29</v>
      </c>
      <c r="D2309" s="2">
        <v>556</v>
      </c>
      <c r="E2309" s="2">
        <v>199</v>
      </c>
      <c r="F2309" s="2">
        <v>32441</v>
      </c>
      <c r="G2309" s="2">
        <v>8.5028469690000001</v>
      </c>
      <c r="H2309" s="3">
        <v>3.4100000000000002E-17</v>
      </c>
      <c r="I2309" s="2" t="s">
        <v>12548</v>
      </c>
      <c r="J2309" s="2" t="s">
        <v>12549</v>
      </c>
      <c r="K2309" s="3">
        <v>1.14E-15</v>
      </c>
      <c r="L2309" s="2" t="s">
        <v>1178</v>
      </c>
      <c r="M2309" s="4" t="s">
        <v>12550</v>
      </c>
    </row>
    <row r="2310" spans="1:13">
      <c r="A2310" s="2">
        <v>39931</v>
      </c>
      <c r="B2310" s="2" t="s">
        <v>12551</v>
      </c>
      <c r="C2310" s="2">
        <v>29</v>
      </c>
      <c r="D2310" s="2">
        <v>556</v>
      </c>
      <c r="E2310" s="2">
        <v>200</v>
      </c>
      <c r="F2310" s="2">
        <v>32441</v>
      </c>
      <c r="G2310" s="2">
        <v>8.4603327339999996</v>
      </c>
      <c r="H2310" s="3">
        <v>3.8399999999999999E-17</v>
      </c>
      <c r="I2310" s="2" t="s">
        <v>12552</v>
      </c>
      <c r="J2310" s="2" t="s">
        <v>12553</v>
      </c>
      <c r="K2310" s="3">
        <v>1.14E-15</v>
      </c>
      <c r="L2310" s="2" t="s">
        <v>1178</v>
      </c>
      <c r="M2310" s="4" t="s">
        <v>12554</v>
      </c>
    </row>
    <row r="2311" spans="1:13">
      <c r="A2311" s="2">
        <v>42871</v>
      </c>
      <c r="B2311" s="2" t="s">
        <v>12555</v>
      </c>
      <c r="C2311" s="2">
        <v>29</v>
      </c>
      <c r="D2311" s="2">
        <v>556</v>
      </c>
      <c r="E2311" s="2">
        <v>199</v>
      </c>
      <c r="F2311" s="2">
        <v>32441</v>
      </c>
      <c r="G2311" s="2">
        <v>8.5028469690000001</v>
      </c>
      <c r="H2311" s="3">
        <v>3.4100000000000002E-17</v>
      </c>
      <c r="I2311" s="2" t="s">
        <v>12556</v>
      </c>
      <c r="J2311" s="2" t="s">
        <v>12557</v>
      </c>
      <c r="K2311" s="3">
        <v>1.14E-15</v>
      </c>
      <c r="L2311" s="2" t="s">
        <v>1178</v>
      </c>
      <c r="M2311" s="4" t="s">
        <v>12558</v>
      </c>
    </row>
    <row r="2312" spans="1:13">
      <c r="A2312" s="2">
        <v>4671</v>
      </c>
      <c r="B2312" s="2" t="s">
        <v>12559</v>
      </c>
      <c r="C2312" s="2">
        <v>29</v>
      </c>
      <c r="D2312" s="2">
        <v>556</v>
      </c>
      <c r="E2312" s="2">
        <v>200</v>
      </c>
      <c r="F2312" s="2">
        <v>32441</v>
      </c>
      <c r="G2312" s="2">
        <v>8.4603327339999996</v>
      </c>
      <c r="H2312" s="3">
        <v>3.8399999999999999E-17</v>
      </c>
      <c r="I2312" s="2" t="s">
        <v>12560</v>
      </c>
      <c r="J2312" s="2" t="s">
        <v>12561</v>
      </c>
      <c r="K2312" s="3">
        <v>1.14E-15</v>
      </c>
      <c r="L2312" s="2" t="s">
        <v>1178</v>
      </c>
      <c r="M2312" s="4" t="s">
        <v>12562</v>
      </c>
    </row>
    <row r="2313" spans="1:13">
      <c r="A2313" s="2">
        <v>4770</v>
      </c>
      <c r="B2313" s="2" t="s">
        <v>12563</v>
      </c>
      <c r="C2313" s="2">
        <v>29</v>
      </c>
      <c r="D2313" s="2">
        <v>556</v>
      </c>
      <c r="E2313" s="2">
        <v>200</v>
      </c>
      <c r="F2313" s="2">
        <v>32441</v>
      </c>
      <c r="G2313" s="2">
        <v>8.4603327339999996</v>
      </c>
      <c r="H2313" s="3">
        <v>3.8399999999999999E-17</v>
      </c>
      <c r="I2313" s="2" t="s">
        <v>12564</v>
      </c>
      <c r="J2313" s="2" t="s">
        <v>12565</v>
      </c>
      <c r="K2313" s="3">
        <v>1.14E-15</v>
      </c>
      <c r="L2313" s="2" t="s">
        <v>1178</v>
      </c>
      <c r="M2313" s="4" t="s">
        <v>12566</v>
      </c>
    </row>
    <row r="2314" spans="1:13">
      <c r="A2314" s="2">
        <v>47771</v>
      </c>
      <c r="B2314" s="2" t="s">
        <v>1353</v>
      </c>
      <c r="C2314" s="2">
        <v>29</v>
      </c>
      <c r="D2314" s="2">
        <v>556</v>
      </c>
      <c r="E2314" s="2">
        <v>200</v>
      </c>
      <c r="F2314" s="2">
        <v>32441</v>
      </c>
      <c r="G2314" s="2">
        <v>8.4603327339999996</v>
      </c>
      <c r="H2314" s="3">
        <v>3.8399999999999999E-17</v>
      </c>
      <c r="I2314" s="2" t="s">
        <v>12567</v>
      </c>
      <c r="J2314" s="2" t="s">
        <v>12568</v>
      </c>
      <c r="K2314" s="3">
        <v>1.14E-15</v>
      </c>
      <c r="L2314" s="2" t="s">
        <v>1178</v>
      </c>
      <c r="M2314" s="4" t="s">
        <v>12569</v>
      </c>
    </row>
    <row r="2315" spans="1:13">
      <c r="A2315" s="2">
        <v>3242</v>
      </c>
      <c r="B2315" s="2" t="s">
        <v>12570</v>
      </c>
      <c r="C2315" s="2">
        <v>27</v>
      </c>
      <c r="D2315" s="2">
        <v>556</v>
      </c>
      <c r="E2315" s="2">
        <v>176</v>
      </c>
      <c r="F2315" s="2">
        <v>32441</v>
      </c>
      <c r="G2315" s="2">
        <v>8.9509789899999994</v>
      </c>
      <c r="H2315" s="3">
        <v>1.35E-16</v>
      </c>
      <c r="I2315" s="2" t="s">
        <v>12571</v>
      </c>
      <c r="J2315" s="2" t="s">
        <v>12572</v>
      </c>
      <c r="K2315" s="3">
        <v>3.9899999999999998E-15</v>
      </c>
      <c r="L2315" s="2" t="s">
        <v>1178</v>
      </c>
      <c r="M2315" s="4" t="s">
        <v>12573</v>
      </c>
    </row>
    <row r="2316" spans="1:13">
      <c r="A2316" s="2">
        <v>36221</v>
      </c>
      <c r="B2316" s="2" t="s">
        <v>12574</v>
      </c>
      <c r="C2316" s="2">
        <v>27</v>
      </c>
      <c r="D2316" s="2">
        <v>556</v>
      </c>
      <c r="E2316" s="2">
        <v>180</v>
      </c>
      <c r="F2316" s="2">
        <v>32441</v>
      </c>
      <c r="G2316" s="2">
        <v>8.7520683449999996</v>
      </c>
      <c r="H2316" s="3">
        <v>2.2300000000000002E-16</v>
      </c>
      <c r="I2316" s="2" t="s">
        <v>12575</v>
      </c>
      <c r="J2316" s="2" t="s">
        <v>12576</v>
      </c>
      <c r="K2316" s="3">
        <v>6.5500000000000003E-15</v>
      </c>
      <c r="L2316" s="2" t="s">
        <v>1178</v>
      </c>
      <c r="M2316" s="4" t="s">
        <v>12577</v>
      </c>
    </row>
    <row r="2317" spans="1:13">
      <c r="A2317" s="2">
        <v>47151</v>
      </c>
      <c r="B2317" s="2" t="s">
        <v>12578</v>
      </c>
      <c r="C2317" s="2">
        <v>28</v>
      </c>
      <c r="D2317" s="2">
        <v>556</v>
      </c>
      <c r="E2317" s="2">
        <v>199</v>
      </c>
      <c r="F2317" s="2">
        <v>32441</v>
      </c>
      <c r="G2317" s="2">
        <v>8.2096453490000005</v>
      </c>
      <c r="H2317" s="3">
        <v>2.7E-16</v>
      </c>
      <c r="I2317" s="2" t="s">
        <v>12579</v>
      </c>
      <c r="J2317" s="2" t="s">
        <v>12580</v>
      </c>
      <c r="K2317" s="3">
        <v>7.8800000000000002E-15</v>
      </c>
      <c r="L2317" s="2" t="s">
        <v>1178</v>
      </c>
      <c r="M2317" s="4" t="s">
        <v>12581</v>
      </c>
    </row>
    <row r="2318" spans="1:13">
      <c r="A2318" s="2">
        <v>1943</v>
      </c>
      <c r="B2318" s="2" t="s">
        <v>12582</v>
      </c>
      <c r="C2318" s="2">
        <v>28</v>
      </c>
      <c r="D2318" s="2">
        <v>556</v>
      </c>
      <c r="E2318" s="2">
        <v>200</v>
      </c>
      <c r="F2318" s="2">
        <v>32441</v>
      </c>
      <c r="G2318" s="2">
        <v>8.1685971219999995</v>
      </c>
      <c r="H2318" s="3">
        <v>3.0299999999999999E-16</v>
      </c>
      <c r="I2318" s="2" t="s">
        <v>12583</v>
      </c>
      <c r="J2318" s="2" t="s">
        <v>12584</v>
      </c>
      <c r="K2318" s="3">
        <v>7.9500000000000002E-15</v>
      </c>
      <c r="L2318" s="2" t="s">
        <v>1178</v>
      </c>
      <c r="M2318" s="4" t="s">
        <v>12585</v>
      </c>
    </row>
    <row r="2319" spans="1:13">
      <c r="A2319" s="2">
        <v>210</v>
      </c>
      <c r="B2319" s="2" t="s">
        <v>12586</v>
      </c>
      <c r="C2319" s="2">
        <v>28</v>
      </c>
      <c r="D2319" s="2">
        <v>556</v>
      </c>
      <c r="E2319" s="2">
        <v>200</v>
      </c>
      <c r="F2319" s="2">
        <v>32441</v>
      </c>
      <c r="G2319" s="2">
        <v>8.1685971219999995</v>
      </c>
      <c r="H2319" s="3">
        <v>3.0299999999999999E-16</v>
      </c>
      <c r="I2319" s="2" t="s">
        <v>12587</v>
      </c>
      <c r="J2319" s="2" t="s">
        <v>12588</v>
      </c>
      <c r="K2319" s="3">
        <v>7.9500000000000002E-15</v>
      </c>
      <c r="L2319" s="2" t="s">
        <v>1178</v>
      </c>
      <c r="M2319" s="4" t="s">
        <v>12589</v>
      </c>
    </row>
    <row r="2320" spans="1:13">
      <c r="A2320" s="2">
        <v>8161</v>
      </c>
      <c r="B2320" s="2" t="s">
        <v>12590</v>
      </c>
      <c r="C2320" s="2">
        <v>28</v>
      </c>
      <c r="D2320" s="2">
        <v>556</v>
      </c>
      <c r="E2320" s="2">
        <v>200</v>
      </c>
      <c r="F2320" s="2">
        <v>32441</v>
      </c>
      <c r="G2320" s="2">
        <v>8.1685971219999995</v>
      </c>
      <c r="H2320" s="3">
        <v>3.0299999999999999E-16</v>
      </c>
      <c r="I2320" s="2" t="s">
        <v>12591</v>
      </c>
      <c r="J2320" s="2" t="s">
        <v>12592</v>
      </c>
      <c r="K2320" s="3">
        <v>7.9500000000000002E-15</v>
      </c>
      <c r="L2320" s="2" t="s">
        <v>1178</v>
      </c>
      <c r="M2320" s="4" t="s">
        <v>12593</v>
      </c>
    </row>
    <row r="2321" spans="1:13">
      <c r="A2321" s="2">
        <v>9771</v>
      </c>
      <c r="B2321" s="2" t="s">
        <v>12594</v>
      </c>
      <c r="C2321" s="2">
        <v>28</v>
      </c>
      <c r="D2321" s="2">
        <v>556</v>
      </c>
      <c r="E2321" s="2">
        <v>200</v>
      </c>
      <c r="F2321" s="2">
        <v>32441</v>
      </c>
      <c r="G2321" s="2">
        <v>8.1685971219999995</v>
      </c>
      <c r="H2321" s="3">
        <v>3.0299999999999999E-16</v>
      </c>
      <c r="I2321" s="2" t="s">
        <v>12595</v>
      </c>
      <c r="J2321" s="2" t="s">
        <v>12596</v>
      </c>
      <c r="K2321" s="3">
        <v>7.9500000000000002E-15</v>
      </c>
      <c r="L2321" s="2" t="s">
        <v>1178</v>
      </c>
      <c r="M2321" s="4" t="s">
        <v>12597</v>
      </c>
    </row>
    <row r="2322" spans="1:13">
      <c r="A2322" s="2">
        <v>25121</v>
      </c>
      <c r="B2322" s="2" t="s">
        <v>12598</v>
      </c>
      <c r="C2322" s="2">
        <v>28</v>
      </c>
      <c r="D2322" s="2">
        <v>556</v>
      </c>
      <c r="E2322" s="2">
        <v>200</v>
      </c>
      <c r="F2322" s="2">
        <v>32441</v>
      </c>
      <c r="G2322" s="2">
        <v>8.1685971219999995</v>
      </c>
      <c r="H2322" s="3">
        <v>3.0299999999999999E-16</v>
      </c>
      <c r="I2322" s="2" t="s">
        <v>12599</v>
      </c>
      <c r="J2322" s="2" t="s">
        <v>12600</v>
      </c>
      <c r="K2322" s="3">
        <v>7.9500000000000002E-15</v>
      </c>
      <c r="L2322" s="2" t="s">
        <v>1178</v>
      </c>
      <c r="M2322" s="4" t="s">
        <v>12601</v>
      </c>
    </row>
    <row r="2323" spans="1:13">
      <c r="A2323" s="2">
        <v>2593</v>
      </c>
      <c r="B2323" s="2" t="s">
        <v>12602</v>
      </c>
      <c r="C2323" s="2">
        <v>28</v>
      </c>
      <c r="D2323" s="2">
        <v>556</v>
      </c>
      <c r="E2323" s="2">
        <v>200</v>
      </c>
      <c r="F2323" s="2">
        <v>32441</v>
      </c>
      <c r="G2323" s="2">
        <v>8.1685971219999995</v>
      </c>
      <c r="H2323" s="3">
        <v>3.0299999999999999E-16</v>
      </c>
      <c r="I2323" s="2" t="s">
        <v>12603</v>
      </c>
      <c r="J2323" s="2" t="s">
        <v>12604</v>
      </c>
      <c r="K2323" s="3">
        <v>7.9500000000000002E-15</v>
      </c>
      <c r="L2323" s="2" t="s">
        <v>1178</v>
      </c>
      <c r="M2323" s="4" t="s">
        <v>12605</v>
      </c>
    </row>
    <row r="2324" spans="1:13">
      <c r="A2324" s="2">
        <v>2775</v>
      </c>
      <c r="B2324" s="2" t="s">
        <v>12606</v>
      </c>
      <c r="C2324" s="2">
        <v>28</v>
      </c>
      <c r="D2324" s="2">
        <v>556</v>
      </c>
      <c r="E2324" s="2">
        <v>200</v>
      </c>
      <c r="F2324" s="2">
        <v>32441</v>
      </c>
      <c r="G2324" s="2">
        <v>8.1685971219999995</v>
      </c>
      <c r="H2324" s="3">
        <v>3.0299999999999999E-16</v>
      </c>
      <c r="I2324" s="2" t="s">
        <v>12607</v>
      </c>
      <c r="J2324" s="2" t="s">
        <v>12608</v>
      </c>
      <c r="K2324" s="3">
        <v>7.9500000000000002E-15</v>
      </c>
      <c r="L2324" s="2" t="s">
        <v>1178</v>
      </c>
      <c r="M2324" s="4" t="s">
        <v>12609</v>
      </c>
    </row>
    <row r="2325" spans="1:13">
      <c r="A2325" s="2">
        <v>3247</v>
      </c>
      <c r="B2325" s="2" t="s">
        <v>12610</v>
      </c>
      <c r="C2325" s="2">
        <v>28</v>
      </c>
      <c r="D2325" s="2">
        <v>556</v>
      </c>
      <c r="E2325" s="2">
        <v>200</v>
      </c>
      <c r="F2325" s="2">
        <v>32441</v>
      </c>
      <c r="G2325" s="2">
        <v>8.1685971219999995</v>
      </c>
      <c r="H2325" s="3">
        <v>3.0299999999999999E-16</v>
      </c>
      <c r="I2325" s="2" t="s">
        <v>12611</v>
      </c>
      <c r="J2325" s="2" t="s">
        <v>12612</v>
      </c>
      <c r="K2325" s="3">
        <v>7.9500000000000002E-15</v>
      </c>
      <c r="L2325" s="2" t="s">
        <v>1178</v>
      </c>
      <c r="M2325" s="4" t="s">
        <v>12613</v>
      </c>
    </row>
    <row r="2326" spans="1:13">
      <c r="A2326" s="2">
        <v>3252</v>
      </c>
      <c r="B2326" s="2" t="s">
        <v>12614</v>
      </c>
      <c r="C2326" s="2">
        <v>28</v>
      </c>
      <c r="D2326" s="2">
        <v>556</v>
      </c>
      <c r="E2326" s="2">
        <v>200</v>
      </c>
      <c r="F2326" s="2">
        <v>32441</v>
      </c>
      <c r="G2326" s="2">
        <v>8.1685971219999995</v>
      </c>
      <c r="H2326" s="3">
        <v>3.0299999999999999E-16</v>
      </c>
      <c r="I2326" s="2" t="s">
        <v>12615</v>
      </c>
      <c r="J2326" s="2" t="s">
        <v>12616</v>
      </c>
      <c r="K2326" s="3">
        <v>7.9500000000000002E-15</v>
      </c>
      <c r="L2326" s="2" t="s">
        <v>1178</v>
      </c>
      <c r="M2326" s="4" t="s">
        <v>12617</v>
      </c>
    </row>
    <row r="2327" spans="1:13">
      <c r="A2327" s="2">
        <v>3456</v>
      </c>
      <c r="B2327" s="2" t="s">
        <v>12618</v>
      </c>
      <c r="C2327" s="2">
        <v>28</v>
      </c>
      <c r="D2327" s="2">
        <v>556</v>
      </c>
      <c r="E2327" s="2">
        <v>200</v>
      </c>
      <c r="F2327" s="2">
        <v>32441</v>
      </c>
      <c r="G2327" s="2">
        <v>8.1685971219999995</v>
      </c>
      <c r="H2327" s="3">
        <v>3.0299999999999999E-16</v>
      </c>
      <c r="I2327" s="2" t="s">
        <v>12619</v>
      </c>
      <c r="J2327" s="2" t="s">
        <v>12620</v>
      </c>
      <c r="K2327" s="3">
        <v>7.9500000000000002E-15</v>
      </c>
      <c r="L2327" s="2" t="s">
        <v>1178</v>
      </c>
      <c r="M2327" s="4" t="s">
        <v>12621</v>
      </c>
    </row>
    <row r="2328" spans="1:13">
      <c r="A2328" s="2">
        <v>34691</v>
      </c>
      <c r="B2328" s="2" t="s">
        <v>12622</v>
      </c>
      <c r="C2328" s="2">
        <v>28</v>
      </c>
      <c r="D2328" s="2">
        <v>556</v>
      </c>
      <c r="E2328" s="2">
        <v>200</v>
      </c>
      <c r="F2328" s="2">
        <v>32441</v>
      </c>
      <c r="G2328" s="2">
        <v>8.1685971219999995</v>
      </c>
      <c r="H2328" s="3">
        <v>3.0299999999999999E-16</v>
      </c>
      <c r="I2328" s="2" t="s">
        <v>12623</v>
      </c>
      <c r="J2328" s="2" t="s">
        <v>12624</v>
      </c>
      <c r="K2328" s="3">
        <v>7.9500000000000002E-15</v>
      </c>
      <c r="L2328" s="2" t="s">
        <v>1178</v>
      </c>
      <c r="M2328" s="4" t="s">
        <v>12625</v>
      </c>
    </row>
    <row r="2329" spans="1:13">
      <c r="A2329" s="2">
        <v>35212</v>
      </c>
      <c r="B2329" s="2" t="s">
        <v>12626</v>
      </c>
      <c r="C2329" s="2">
        <v>28</v>
      </c>
      <c r="D2329" s="2">
        <v>556</v>
      </c>
      <c r="E2329" s="2">
        <v>200</v>
      </c>
      <c r="F2329" s="2">
        <v>32441</v>
      </c>
      <c r="G2329" s="2">
        <v>8.1685971219999995</v>
      </c>
      <c r="H2329" s="3">
        <v>3.0299999999999999E-16</v>
      </c>
      <c r="I2329" s="2" t="s">
        <v>12627</v>
      </c>
      <c r="J2329" s="2" t="s">
        <v>12628</v>
      </c>
      <c r="K2329" s="3">
        <v>7.9500000000000002E-15</v>
      </c>
      <c r="L2329" s="2" t="s">
        <v>1178</v>
      </c>
      <c r="M2329" s="4" t="s">
        <v>12629</v>
      </c>
    </row>
    <row r="2330" spans="1:13">
      <c r="A2330" s="2">
        <v>38331</v>
      </c>
      <c r="B2330" s="2" t="s">
        <v>12630</v>
      </c>
      <c r="C2330" s="2">
        <v>28</v>
      </c>
      <c r="D2330" s="2">
        <v>556</v>
      </c>
      <c r="E2330" s="2">
        <v>200</v>
      </c>
      <c r="F2330" s="2">
        <v>32441</v>
      </c>
      <c r="G2330" s="2">
        <v>8.1685971219999995</v>
      </c>
      <c r="H2330" s="3">
        <v>3.0299999999999999E-16</v>
      </c>
      <c r="I2330" s="2" t="s">
        <v>12631</v>
      </c>
      <c r="J2330" s="2" t="s">
        <v>12632</v>
      </c>
      <c r="K2330" s="3">
        <v>7.9500000000000002E-15</v>
      </c>
      <c r="L2330" s="2" t="s">
        <v>1178</v>
      </c>
      <c r="M2330" s="4" t="s">
        <v>12633</v>
      </c>
    </row>
    <row r="2331" spans="1:13">
      <c r="A2331" s="2">
        <v>38481</v>
      </c>
      <c r="B2331" s="2" t="s">
        <v>12634</v>
      </c>
      <c r="C2331" s="2">
        <v>28</v>
      </c>
      <c r="D2331" s="2">
        <v>556</v>
      </c>
      <c r="E2331" s="2">
        <v>200</v>
      </c>
      <c r="F2331" s="2">
        <v>32441</v>
      </c>
      <c r="G2331" s="2">
        <v>8.1685971219999995</v>
      </c>
      <c r="H2331" s="3">
        <v>3.0299999999999999E-16</v>
      </c>
      <c r="I2331" s="2" t="s">
        <v>12635</v>
      </c>
      <c r="J2331" s="2" t="s">
        <v>12636</v>
      </c>
      <c r="K2331" s="3">
        <v>7.9500000000000002E-15</v>
      </c>
      <c r="L2331" s="2" t="s">
        <v>1178</v>
      </c>
      <c r="M2331" s="4" t="s">
        <v>12637</v>
      </c>
    </row>
    <row r="2332" spans="1:13">
      <c r="A2332" s="2">
        <v>4237</v>
      </c>
      <c r="B2332" s="2" t="s">
        <v>12638</v>
      </c>
      <c r="C2332" s="2">
        <v>26</v>
      </c>
      <c r="D2332" s="2">
        <v>556</v>
      </c>
      <c r="E2332" s="2">
        <v>165</v>
      </c>
      <c r="F2332" s="2">
        <v>32441</v>
      </c>
      <c r="G2332" s="2">
        <v>9.1940919989999994</v>
      </c>
      <c r="H2332" s="3">
        <v>2.8000000000000001E-16</v>
      </c>
      <c r="I2332" s="2" t="s">
        <v>12639</v>
      </c>
      <c r="J2332" s="2" t="s">
        <v>12640</v>
      </c>
      <c r="K2332" s="3">
        <v>7.9500000000000002E-15</v>
      </c>
      <c r="L2332" s="2" t="s">
        <v>1178</v>
      </c>
      <c r="M2332" s="4" t="s">
        <v>12641</v>
      </c>
    </row>
    <row r="2333" spans="1:13">
      <c r="A2333" s="2">
        <v>4344</v>
      </c>
      <c r="B2333" s="2" t="s">
        <v>12642</v>
      </c>
      <c r="C2333" s="2">
        <v>28</v>
      </c>
      <c r="D2333" s="2">
        <v>556</v>
      </c>
      <c r="E2333" s="2">
        <v>200</v>
      </c>
      <c r="F2333" s="2">
        <v>32441</v>
      </c>
      <c r="G2333" s="2">
        <v>8.1685971219999995</v>
      </c>
      <c r="H2333" s="3">
        <v>3.0299999999999999E-16</v>
      </c>
      <c r="I2333" s="2" t="s">
        <v>12643</v>
      </c>
      <c r="J2333" s="2" t="s">
        <v>12644</v>
      </c>
      <c r="K2333" s="3">
        <v>7.9500000000000002E-15</v>
      </c>
      <c r="L2333" s="2" t="s">
        <v>1178</v>
      </c>
      <c r="M2333" s="4" t="s">
        <v>12645</v>
      </c>
    </row>
    <row r="2334" spans="1:13">
      <c r="A2334" s="2">
        <v>4452</v>
      </c>
      <c r="B2334" s="2" t="s">
        <v>12646</v>
      </c>
      <c r="C2334" s="2">
        <v>28</v>
      </c>
      <c r="D2334" s="2">
        <v>556</v>
      </c>
      <c r="E2334" s="2">
        <v>200</v>
      </c>
      <c r="F2334" s="2">
        <v>32441</v>
      </c>
      <c r="G2334" s="2">
        <v>8.1685971219999995</v>
      </c>
      <c r="H2334" s="3">
        <v>3.0299999999999999E-16</v>
      </c>
      <c r="I2334" s="2" t="s">
        <v>12647</v>
      </c>
      <c r="J2334" s="2" t="s">
        <v>12648</v>
      </c>
      <c r="K2334" s="3">
        <v>7.9500000000000002E-15</v>
      </c>
      <c r="L2334" s="2" t="s">
        <v>1178</v>
      </c>
      <c r="M2334" s="4" t="s">
        <v>12649</v>
      </c>
    </row>
    <row r="2335" spans="1:13">
      <c r="A2335" s="2">
        <v>46751</v>
      </c>
      <c r="B2335" s="2" t="s">
        <v>12650</v>
      </c>
      <c r="C2335" s="2">
        <v>28</v>
      </c>
      <c r="D2335" s="2">
        <v>556</v>
      </c>
      <c r="E2335" s="2">
        <v>200</v>
      </c>
      <c r="F2335" s="2">
        <v>32441</v>
      </c>
      <c r="G2335" s="2">
        <v>8.1685971219999995</v>
      </c>
      <c r="H2335" s="3">
        <v>3.0299999999999999E-16</v>
      </c>
      <c r="I2335" s="2" t="s">
        <v>12651</v>
      </c>
      <c r="J2335" s="2" t="s">
        <v>12652</v>
      </c>
      <c r="K2335" s="3">
        <v>7.9500000000000002E-15</v>
      </c>
      <c r="L2335" s="2" t="s">
        <v>1178</v>
      </c>
      <c r="M2335" s="4" t="s">
        <v>12653</v>
      </c>
    </row>
    <row r="2336" spans="1:13">
      <c r="A2336" s="2">
        <v>47171</v>
      </c>
      <c r="B2336" s="2" t="s">
        <v>12654</v>
      </c>
      <c r="C2336" s="2">
        <v>28</v>
      </c>
      <c r="D2336" s="2">
        <v>556</v>
      </c>
      <c r="E2336" s="2">
        <v>200</v>
      </c>
      <c r="F2336" s="2">
        <v>32441</v>
      </c>
      <c r="G2336" s="2">
        <v>8.1685971219999995</v>
      </c>
      <c r="H2336" s="3">
        <v>3.0299999999999999E-16</v>
      </c>
      <c r="I2336" s="2" t="s">
        <v>12655</v>
      </c>
      <c r="J2336" s="2" t="s">
        <v>12656</v>
      </c>
      <c r="K2336" s="3">
        <v>7.9500000000000002E-15</v>
      </c>
      <c r="L2336" s="2" t="s">
        <v>1178</v>
      </c>
      <c r="M2336" s="4" t="s">
        <v>12657</v>
      </c>
    </row>
    <row r="2337" spans="1:13">
      <c r="A2337" s="2">
        <v>2413</v>
      </c>
      <c r="B2337" s="2" t="s">
        <v>12658</v>
      </c>
      <c r="C2337" s="2">
        <v>26</v>
      </c>
      <c r="D2337" s="2">
        <v>556</v>
      </c>
      <c r="E2337" s="2">
        <v>174</v>
      </c>
      <c r="F2337" s="2">
        <v>32441</v>
      </c>
      <c r="G2337" s="2">
        <v>8.7185355159999993</v>
      </c>
      <c r="H2337" s="3">
        <v>8.7500000000000002E-16</v>
      </c>
      <c r="I2337" s="2" t="s">
        <v>12659</v>
      </c>
      <c r="J2337" s="2" t="s">
        <v>12660</v>
      </c>
      <c r="K2337" s="3">
        <v>2.2800000000000001E-14</v>
      </c>
      <c r="L2337" s="2" t="s">
        <v>1178</v>
      </c>
      <c r="M2337" s="4" t="s">
        <v>12661</v>
      </c>
    </row>
    <row r="2338" spans="1:13">
      <c r="A2338" s="2">
        <v>2036</v>
      </c>
      <c r="B2338" s="2" t="s">
        <v>12662</v>
      </c>
      <c r="C2338" s="2">
        <v>27</v>
      </c>
      <c r="D2338" s="2">
        <v>556</v>
      </c>
      <c r="E2338" s="2">
        <v>196</v>
      </c>
      <c r="F2338" s="2">
        <v>32441</v>
      </c>
      <c r="G2338" s="2">
        <v>8.0376137869999997</v>
      </c>
      <c r="H2338" s="3">
        <v>1.48E-15</v>
      </c>
      <c r="I2338" s="2" t="s">
        <v>12663</v>
      </c>
      <c r="J2338" s="2" t="s">
        <v>12664</v>
      </c>
      <c r="K2338" s="3">
        <v>3.8399999999999999E-14</v>
      </c>
      <c r="L2338" s="2" t="s">
        <v>1178</v>
      </c>
      <c r="M2338" s="4" t="s">
        <v>12665</v>
      </c>
    </row>
    <row r="2339" spans="1:13">
      <c r="A2339" s="2">
        <v>1591</v>
      </c>
      <c r="B2339" s="2" t="s">
        <v>12666</v>
      </c>
      <c r="C2339" s="2">
        <v>27</v>
      </c>
      <c r="D2339" s="2">
        <v>556</v>
      </c>
      <c r="E2339" s="2">
        <v>200</v>
      </c>
      <c r="F2339" s="2">
        <v>32441</v>
      </c>
      <c r="G2339" s="2">
        <v>7.8768615110000004</v>
      </c>
      <c r="H2339" s="3">
        <v>2.3199999999999998E-15</v>
      </c>
      <c r="I2339" s="2" t="s">
        <v>12667</v>
      </c>
      <c r="J2339" s="2" t="s">
        <v>12668</v>
      </c>
      <c r="K2339" s="3">
        <v>5.28E-14</v>
      </c>
      <c r="L2339" s="2" t="s">
        <v>1178</v>
      </c>
      <c r="M2339" s="4" t="s">
        <v>12669</v>
      </c>
    </row>
    <row r="2340" spans="1:13">
      <c r="A2340" s="2">
        <v>276</v>
      </c>
      <c r="B2340" s="2" t="s">
        <v>12670</v>
      </c>
      <c r="C2340" s="2">
        <v>27</v>
      </c>
      <c r="D2340" s="2">
        <v>556</v>
      </c>
      <c r="E2340" s="2">
        <v>200</v>
      </c>
      <c r="F2340" s="2">
        <v>32441</v>
      </c>
      <c r="G2340" s="2">
        <v>7.8768615110000004</v>
      </c>
      <c r="H2340" s="3">
        <v>2.3199999999999998E-15</v>
      </c>
      <c r="I2340" s="2" t="s">
        <v>12671</v>
      </c>
      <c r="J2340" s="2" t="s">
        <v>12672</v>
      </c>
      <c r="K2340" s="3">
        <v>5.28E-14</v>
      </c>
      <c r="L2340" s="2" t="s">
        <v>1178</v>
      </c>
      <c r="M2340" s="4" t="s">
        <v>12673</v>
      </c>
    </row>
    <row r="2341" spans="1:13">
      <c r="A2341" s="2">
        <v>310</v>
      </c>
      <c r="B2341" s="2" t="s">
        <v>2328</v>
      </c>
      <c r="C2341" s="2">
        <v>27</v>
      </c>
      <c r="D2341" s="2">
        <v>556</v>
      </c>
      <c r="E2341" s="2">
        <v>200</v>
      </c>
      <c r="F2341" s="2">
        <v>32441</v>
      </c>
      <c r="G2341" s="2">
        <v>7.8768615110000004</v>
      </c>
      <c r="H2341" s="3">
        <v>2.3199999999999998E-15</v>
      </c>
      <c r="I2341" s="2" t="s">
        <v>12674</v>
      </c>
      <c r="J2341" s="2" t="s">
        <v>12675</v>
      </c>
      <c r="K2341" s="3">
        <v>5.28E-14</v>
      </c>
      <c r="L2341" s="2" t="s">
        <v>1178</v>
      </c>
      <c r="M2341" s="4" t="s">
        <v>12676</v>
      </c>
    </row>
    <row r="2342" spans="1:13">
      <c r="A2342" s="2">
        <v>7471</v>
      </c>
      <c r="B2342" s="2" t="s">
        <v>2082</v>
      </c>
      <c r="C2342" s="2">
        <v>27</v>
      </c>
      <c r="D2342" s="2">
        <v>556</v>
      </c>
      <c r="E2342" s="2">
        <v>200</v>
      </c>
      <c r="F2342" s="2">
        <v>32441</v>
      </c>
      <c r="G2342" s="2">
        <v>7.8768615110000004</v>
      </c>
      <c r="H2342" s="3">
        <v>2.3199999999999998E-15</v>
      </c>
      <c r="I2342" s="2" t="s">
        <v>12677</v>
      </c>
      <c r="J2342" s="2" t="s">
        <v>12678</v>
      </c>
      <c r="K2342" s="3">
        <v>5.28E-14</v>
      </c>
      <c r="L2342" s="2" t="s">
        <v>1178</v>
      </c>
      <c r="M2342" s="4" t="s">
        <v>12679</v>
      </c>
    </row>
    <row r="2343" spans="1:13">
      <c r="A2343" s="2">
        <v>905</v>
      </c>
      <c r="B2343" s="2" t="s">
        <v>12680</v>
      </c>
      <c r="C2343" s="2">
        <v>27</v>
      </c>
      <c r="D2343" s="2">
        <v>556</v>
      </c>
      <c r="E2343" s="2">
        <v>200</v>
      </c>
      <c r="F2343" s="2">
        <v>32441</v>
      </c>
      <c r="G2343" s="2">
        <v>7.8768615110000004</v>
      </c>
      <c r="H2343" s="3">
        <v>2.3199999999999998E-15</v>
      </c>
      <c r="I2343" s="2" t="s">
        <v>12681</v>
      </c>
      <c r="J2343" s="2" t="s">
        <v>12682</v>
      </c>
      <c r="K2343" s="3">
        <v>5.28E-14</v>
      </c>
      <c r="L2343" s="2" t="s">
        <v>1178</v>
      </c>
      <c r="M2343" s="4" t="s">
        <v>12683</v>
      </c>
    </row>
    <row r="2344" spans="1:13">
      <c r="A2344" s="2">
        <v>9761</v>
      </c>
      <c r="B2344" s="2" t="s">
        <v>12684</v>
      </c>
      <c r="C2344" s="2">
        <v>27</v>
      </c>
      <c r="D2344" s="2">
        <v>556</v>
      </c>
      <c r="E2344" s="2">
        <v>200</v>
      </c>
      <c r="F2344" s="2">
        <v>32441</v>
      </c>
      <c r="G2344" s="2">
        <v>7.8768615110000004</v>
      </c>
      <c r="H2344" s="3">
        <v>2.3199999999999998E-15</v>
      </c>
      <c r="I2344" s="2" t="s">
        <v>12685</v>
      </c>
      <c r="J2344" s="2" t="s">
        <v>12686</v>
      </c>
      <c r="K2344" s="3">
        <v>5.28E-14</v>
      </c>
      <c r="L2344" s="2" t="s">
        <v>1178</v>
      </c>
      <c r="M2344" s="4" t="s">
        <v>12687</v>
      </c>
    </row>
    <row r="2345" spans="1:13">
      <c r="A2345" s="2">
        <v>1278</v>
      </c>
      <c r="B2345" s="2" t="s">
        <v>1677</v>
      </c>
      <c r="C2345" s="2">
        <v>27</v>
      </c>
      <c r="D2345" s="2">
        <v>556</v>
      </c>
      <c r="E2345" s="2">
        <v>200</v>
      </c>
      <c r="F2345" s="2">
        <v>32441</v>
      </c>
      <c r="G2345" s="2">
        <v>7.8768615110000004</v>
      </c>
      <c r="H2345" s="3">
        <v>2.3199999999999998E-15</v>
      </c>
      <c r="I2345" s="2" t="s">
        <v>12688</v>
      </c>
      <c r="J2345" s="2" t="s">
        <v>12689</v>
      </c>
      <c r="K2345" s="3">
        <v>5.28E-14</v>
      </c>
      <c r="L2345" s="2" t="s">
        <v>1178</v>
      </c>
      <c r="M2345" s="4" t="s">
        <v>12690</v>
      </c>
    </row>
    <row r="2346" spans="1:13">
      <c r="A2346" s="2">
        <v>1900</v>
      </c>
      <c r="B2346" s="2" t="s">
        <v>12691</v>
      </c>
      <c r="C2346" s="2">
        <v>27</v>
      </c>
      <c r="D2346" s="2">
        <v>556</v>
      </c>
      <c r="E2346" s="2">
        <v>200</v>
      </c>
      <c r="F2346" s="2">
        <v>32441</v>
      </c>
      <c r="G2346" s="2">
        <v>7.8768615110000004</v>
      </c>
      <c r="H2346" s="3">
        <v>2.3199999999999998E-15</v>
      </c>
      <c r="I2346" s="2" t="s">
        <v>12692</v>
      </c>
      <c r="J2346" s="2" t="s">
        <v>12693</v>
      </c>
      <c r="K2346" s="3">
        <v>5.28E-14</v>
      </c>
      <c r="L2346" s="2" t="s">
        <v>1178</v>
      </c>
      <c r="M2346" s="4" t="s">
        <v>12694</v>
      </c>
    </row>
    <row r="2347" spans="1:13">
      <c r="A2347" s="2">
        <v>1906</v>
      </c>
      <c r="B2347" s="2" t="s">
        <v>12695</v>
      </c>
      <c r="C2347" s="2">
        <v>27</v>
      </c>
      <c r="D2347" s="2">
        <v>556</v>
      </c>
      <c r="E2347" s="2">
        <v>200</v>
      </c>
      <c r="F2347" s="2">
        <v>32441</v>
      </c>
      <c r="G2347" s="2">
        <v>7.8768615110000004</v>
      </c>
      <c r="H2347" s="3">
        <v>2.3199999999999998E-15</v>
      </c>
      <c r="I2347" s="2" t="s">
        <v>12696</v>
      </c>
      <c r="J2347" s="2" t="s">
        <v>12697</v>
      </c>
      <c r="K2347" s="3">
        <v>5.28E-14</v>
      </c>
      <c r="L2347" s="2" t="s">
        <v>1178</v>
      </c>
      <c r="M2347" s="4" t="s">
        <v>12698</v>
      </c>
    </row>
    <row r="2348" spans="1:13">
      <c r="A2348" s="2">
        <v>22581</v>
      </c>
      <c r="B2348" s="2" t="s">
        <v>12699</v>
      </c>
      <c r="C2348" s="2">
        <v>27</v>
      </c>
      <c r="D2348" s="2">
        <v>556</v>
      </c>
      <c r="E2348" s="2">
        <v>200</v>
      </c>
      <c r="F2348" s="2">
        <v>32441</v>
      </c>
      <c r="G2348" s="2">
        <v>7.8768615110000004</v>
      </c>
      <c r="H2348" s="3">
        <v>2.3199999999999998E-15</v>
      </c>
      <c r="I2348" s="2" t="s">
        <v>12700</v>
      </c>
      <c r="J2348" s="2" t="s">
        <v>12701</v>
      </c>
      <c r="K2348" s="3">
        <v>5.28E-14</v>
      </c>
      <c r="L2348" s="2" t="s">
        <v>1178</v>
      </c>
      <c r="M2348" s="4" t="s">
        <v>12702</v>
      </c>
    </row>
    <row r="2349" spans="1:13">
      <c r="A2349" s="2">
        <v>2365</v>
      </c>
      <c r="B2349" s="2" t="s">
        <v>12703</v>
      </c>
      <c r="C2349" s="2">
        <v>27</v>
      </c>
      <c r="D2349" s="2">
        <v>556</v>
      </c>
      <c r="E2349" s="2">
        <v>200</v>
      </c>
      <c r="F2349" s="2">
        <v>32441</v>
      </c>
      <c r="G2349" s="2">
        <v>7.8768615110000004</v>
      </c>
      <c r="H2349" s="3">
        <v>2.3199999999999998E-15</v>
      </c>
      <c r="I2349" s="2" t="s">
        <v>12704</v>
      </c>
      <c r="J2349" s="2" t="s">
        <v>12705</v>
      </c>
      <c r="K2349" s="3">
        <v>5.28E-14</v>
      </c>
      <c r="L2349" s="2" t="s">
        <v>1178</v>
      </c>
      <c r="M2349" s="4" t="s">
        <v>12706</v>
      </c>
    </row>
    <row r="2350" spans="1:13">
      <c r="A2350" s="2">
        <v>2585</v>
      </c>
      <c r="B2350" s="2" t="s">
        <v>12707</v>
      </c>
      <c r="C2350" s="2">
        <v>27</v>
      </c>
      <c r="D2350" s="2">
        <v>556</v>
      </c>
      <c r="E2350" s="2">
        <v>200</v>
      </c>
      <c r="F2350" s="2">
        <v>32441</v>
      </c>
      <c r="G2350" s="2">
        <v>7.8768615110000004</v>
      </c>
      <c r="H2350" s="3">
        <v>2.3199999999999998E-15</v>
      </c>
      <c r="I2350" s="2" t="s">
        <v>12708</v>
      </c>
      <c r="J2350" s="2" t="s">
        <v>12709</v>
      </c>
      <c r="K2350" s="3">
        <v>5.28E-14</v>
      </c>
      <c r="L2350" s="2" t="s">
        <v>1178</v>
      </c>
      <c r="M2350" s="4" t="s">
        <v>12710</v>
      </c>
    </row>
    <row r="2351" spans="1:13">
      <c r="A2351" s="2">
        <v>2917</v>
      </c>
      <c r="B2351" s="2" t="s">
        <v>12711</v>
      </c>
      <c r="C2351" s="2">
        <v>27</v>
      </c>
      <c r="D2351" s="2">
        <v>556</v>
      </c>
      <c r="E2351" s="2">
        <v>200</v>
      </c>
      <c r="F2351" s="2">
        <v>32441</v>
      </c>
      <c r="G2351" s="2">
        <v>7.8768615110000004</v>
      </c>
      <c r="H2351" s="3">
        <v>2.3199999999999998E-15</v>
      </c>
      <c r="I2351" s="2" t="s">
        <v>12712</v>
      </c>
      <c r="J2351" s="2" t="s">
        <v>12713</v>
      </c>
      <c r="K2351" s="3">
        <v>5.28E-14</v>
      </c>
      <c r="L2351" s="2" t="s">
        <v>1178</v>
      </c>
      <c r="M2351" s="4" t="s">
        <v>12714</v>
      </c>
    </row>
    <row r="2352" spans="1:13">
      <c r="A2352" s="2">
        <v>2926</v>
      </c>
      <c r="B2352" s="2" t="s">
        <v>12715</v>
      </c>
      <c r="C2352" s="2">
        <v>27</v>
      </c>
      <c r="D2352" s="2">
        <v>556</v>
      </c>
      <c r="E2352" s="2">
        <v>200</v>
      </c>
      <c r="F2352" s="2">
        <v>32441</v>
      </c>
      <c r="G2352" s="2">
        <v>7.8768615110000004</v>
      </c>
      <c r="H2352" s="3">
        <v>2.3199999999999998E-15</v>
      </c>
      <c r="I2352" s="2" t="s">
        <v>12716</v>
      </c>
      <c r="J2352" s="2" t="s">
        <v>12717</v>
      </c>
      <c r="K2352" s="3">
        <v>5.28E-14</v>
      </c>
      <c r="L2352" s="2" t="s">
        <v>1178</v>
      </c>
      <c r="M2352" s="4" t="s">
        <v>12718</v>
      </c>
    </row>
    <row r="2353" spans="1:13">
      <c r="A2353" s="2">
        <v>3166</v>
      </c>
      <c r="B2353" s="2" t="s">
        <v>12719</v>
      </c>
      <c r="C2353" s="2">
        <v>27</v>
      </c>
      <c r="D2353" s="2">
        <v>556</v>
      </c>
      <c r="E2353" s="2">
        <v>200</v>
      </c>
      <c r="F2353" s="2">
        <v>32441</v>
      </c>
      <c r="G2353" s="2">
        <v>7.8768615110000004</v>
      </c>
      <c r="H2353" s="3">
        <v>2.3199999999999998E-15</v>
      </c>
      <c r="I2353" s="2" t="s">
        <v>12720</v>
      </c>
      <c r="J2353" s="2" t="s">
        <v>12721</v>
      </c>
      <c r="K2353" s="3">
        <v>5.28E-14</v>
      </c>
      <c r="L2353" s="2" t="s">
        <v>1178</v>
      </c>
      <c r="M2353" s="4" t="s">
        <v>12722</v>
      </c>
    </row>
    <row r="2354" spans="1:13">
      <c r="A2354" s="2">
        <v>33321</v>
      </c>
      <c r="B2354" s="2" t="s">
        <v>12723</v>
      </c>
      <c r="C2354" s="2">
        <v>27</v>
      </c>
      <c r="D2354" s="2">
        <v>556</v>
      </c>
      <c r="E2354" s="2">
        <v>200</v>
      </c>
      <c r="F2354" s="2">
        <v>32441</v>
      </c>
      <c r="G2354" s="2">
        <v>7.8768615110000004</v>
      </c>
      <c r="H2354" s="3">
        <v>2.3199999999999998E-15</v>
      </c>
      <c r="I2354" s="2" t="s">
        <v>12724</v>
      </c>
      <c r="J2354" s="2" t="s">
        <v>12725</v>
      </c>
      <c r="K2354" s="3">
        <v>5.28E-14</v>
      </c>
      <c r="L2354" s="2" t="s">
        <v>1178</v>
      </c>
      <c r="M2354" s="4" t="s">
        <v>12726</v>
      </c>
    </row>
    <row r="2355" spans="1:13">
      <c r="A2355" s="2">
        <v>3828</v>
      </c>
      <c r="B2355" s="2" t="s">
        <v>12727</v>
      </c>
      <c r="C2355" s="2">
        <v>27</v>
      </c>
      <c r="D2355" s="2">
        <v>556</v>
      </c>
      <c r="E2355" s="2">
        <v>200</v>
      </c>
      <c r="F2355" s="2">
        <v>32441</v>
      </c>
      <c r="G2355" s="2">
        <v>7.8768615110000004</v>
      </c>
      <c r="H2355" s="3">
        <v>2.3199999999999998E-15</v>
      </c>
      <c r="I2355" s="2" t="s">
        <v>12728</v>
      </c>
      <c r="J2355" s="2" t="s">
        <v>12729</v>
      </c>
      <c r="K2355" s="3">
        <v>5.28E-14</v>
      </c>
      <c r="L2355" s="2" t="s">
        <v>1178</v>
      </c>
      <c r="M2355" s="4" t="s">
        <v>12730</v>
      </c>
    </row>
    <row r="2356" spans="1:13">
      <c r="A2356" s="2">
        <v>3839</v>
      </c>
      <c r="B2356" s="2" t="s">
        <v>12731</v>
      </c>
      <c r="C2356" s="2">
        <v>27</v>
      </c>
      <c r="D2356" s="2">
        <v>556</v>
      </c>
      <c r="E2356" s="2">
        <v>200</v>
      </c>
      <c r="F2356" s="2">
        <v>32441</v>
      </c>
      <c r="G2356" s="2">
        <v>7.8768615110000004</v>
      </c>
      <c r="H2356" s="3">
        <v>2.3199999999999998E-15</v>
      </c>
      <c r="I2356" s="2" t="s">
        <v>12732</v>
      </c>
      <c r="J2356" s="2" t="s">
        <v>12733</v>
      </c>
      <c r="K2356" s="3">
        <v>5.28E-14</v>
      </c>
      <c r="L2356" s="2" t="s">
        <v>1178</v>
      </c>
      <c r="M2356" s="4" t="s">
        <v>12734</v>
      </c>
    </row>
    <row r="2357" spans="1:13">
      <c r="A2357" s="2">
        <v>38581</v>
      </c>
      <c r="B2357" s="2" t="s">
        <v>12735</v>
      </c>
      <c r="C2357" s="2">
        <v>27</v>
      </c>
      <c r="D2357" s="2">
        <v>556</v>
      </c>
      <c r="E2357" s="2">
        <v>200</v>
      </c>
      <c r="F2357" s="2">
        <v>32441</v>
      </c>
      <c r="G2357" s="2">
        <v>7.8768615110000004</v>
      </c>
      <c r="H2357" s="3">
        <v>2.3199999999999998E-15</v>
      </c>
      <c r="I2357" s="2" t="s">
        <v>12736</v>
      </c>
      <c r="J2357" s="2" t="s">
        <v>12737</v>
      </c>
      <c r="K2357" s="3">
        <v>5.28E-14</v>
      </c>
      <c r="L2357" s="2" t="s">
        <v>1178</v>
      </c>
      <c r="M2357" s="4" t="s">
        <v>12738</v>
      </c>
    </row>
    <row r="2358" spans="1:13">
      <c r="A2358" s="2">
        <v>3871</v>
      </c>
      <c r="B2358" s="2" t="s">
        <v>1614</v>
      </c>
      <c r="C2358" s="2">
        <v>27</v>
      </c>
      <c r="D2358" s="2">
        <v>556</v>
      </c>
      <c r="E2358" s="2">
        <v>200</v>
      </c>
      <c r="F2358" s="2">
        <v>32441</v>
      </c>
      <c r="G2358" s="2">
        <v>7.8768615110000004</v>
      </c>
      <c r="H2358" s="3">
        <v>2.3199999999999998E-15</v>
      </c>
      <c r="I2358" s="2" t="s">
        <v>12739</v>
      </c>
      <c r="J2358" s="2" t="s">
        <v>12740</v>
      </c>
      <c r="K2358" s="3">
        <v>5.28E-14</v>
      </c>
      <c r="L2358" s="2" t="s">
        <v>1178</v>
      </c>
      <c r="M2358" s="4" t="s">
        <v>12741</v>
      </c>
    </row>
    <row r="2359" spans="1:13">
      <c r="A2359" s="2">
        <v>42161</v>
      </c>
      <c r="B2359" s="2" t="s">
        <v>12742</v>
      </c>
      <c r="C2359" s="2">
        <v>27</v>
      </c>
      <c r="D2359" s="2">
        <v>556</v>
      </c>
      <c r="E2359" s="2">
        <v>200</v>
      </c>
      <c r="F2359" s="2">
        <v>32441</v>
      </c>
      <c r="G2359" s="2">
        <v>7.8768615110000004</v>
      </c>
      <c r="H2359" s="3">
        <v>2.3199999999999998E-15</v>
      </c>
      <c r="I2359" s="2" t="s">
        <v>12743</v>
      </c>
      <c r="J2359" s="2" t="s">
        <v>12744</v>
      </c>
      <c r="K2359" s="3">
        <v>5.28E-14</v>
      </c>
      <c r="L2359" s="2" t="s">
        <v>1178</v>
      </c>
      <c r="M2359" s="4" t="s">
        <v>12745</v>
      </c>
    </row>
    <row r="2360" spans="1:13">
      <c r="A2360" s="2">
        <v>4342</v>
      </c>
      <c r="B2360" s="2" t="s">
        <v>12746</v>
      </c>
      <c r="C2360" s="2">
        <v>27</v>
      </c>
      <c r="D2360" s="2">
        <v>556</v>
      </c>
      <c r="E2360" s="2">
        <v>200</v>
      </c>
      <c r="F2360" s="2">
        <v>32441</v>
      </c>
      <c r="G2360" s="2">
        <v>7.8768615110000004</v>
      </c>
      <c r="H2360" s="3">
        <v>2.3199999999999998E-15</v>
      </c>
      <c r="I2360" s="2" t="s">
        <v>12747</v>
      </c>
      <c r="J2360" s="2" t="s">
        <v>12748</v>
      </c>
      <c r="K2360" s="3">
        <v>5.28E-14</v>
      </c>
      <c r="L2360" s="2" t="s">
        <v>1178</v>
      </c>
      <c r="M2360" s="4" t="s">
        <v>12749</v>
      </c>
    </row>
    <row r="2361" spans="1:13">
      <c r="A2361" s="2">
        <v>4426</v>
      </c>
      <c r="B2361" s="2" t="s">
        <v>12750</v>
      </c>
      <c r="C2361" s="2">
        <v>27</v>
      </c>
      <c r="D2361" s="2">
        <v>556</v>
      </c>
      <c r="E2361" s="2">
        <v>200</v>
      </c>
      <c r="F2361" s="2">
        <v>32441</v>
      </c>
      <c r="G2361" s="2">
        <v>7.8768615110000004</v>
      </c>
      <c r="H2361" s="3">
        <v>2.3199999999999998E-15</v>
      </c>
      <c r="I2361" s="2" t="s">
        <v>12751</v>
      </c>
      <c r="J2361" s="2" t="s">
        <v>12752</v>
      </c>
      <c r="K2361" s="3">
        <v>5.28E-14</v>
      </c>
      <c r="L2361" s="2" t="s">
        <v>1178</v>
      </c>
      <c r="M2361" s="4" t="s">
        <v>12753</v>
      </c>
    </row>
    <row r="2362" spans="1:13">
      <c r="A2362" s="2">
        <v>44461</v>
      </c>
      <c r="B2362" s="2" t="s">
        <v>12754</v>
      </c>
      <c r="C2362" s="2">
        <v>27</v>
      </c>
      <c r="D2362" s="2">
        <v>556</v>
      </c>
      <c r="E2362" s="2">
        <v>200</v>
      </c>
      <c r="F2362" s="2">
        <v>32441</v>
      </c>
      <c r="G2362" s="2">
        <v>7.8768615110000004</v>
      </c>
      <c r="H2362" s="3">
        <v>2.3199999999999998E-15</v>
      </c>
      <c r="I2362" s="2" t="s">
        <v>12755</v>
      </c>
      <c r="J2362" s="2" t="s">
        <v>12756</v>
      </c>
      <c r="K2362" s="3">
        <v>5.28E-14</v>
      </c>
      <c r="L2362" s="2" t="s">
        <v>1178</v>
      </c>
      <c r="M2362" s="4" t="s">
        <v>12757</v>
      </c>
    </row>
    <row r="2363" spans="1:13">
      <c r="A2363" s="2">
        <v>44951</v>
      </c>
      <c r="B2363" s="2" t="s">
        <v>12758</v>
      </c>
      <c r="C2363" s="2">
        <v>27</v>
      </c>
      <c r="D2363" s="2">
        <v>556</v>
      </c>
      <c r="E2363" s="2">
        <v>199</v>
      </c>
      <c r="F2363" s="2">
        <v>32441</v>
      </c>
      <c r="G2363" s="2">
        <v>7.916443729</v>
      </c>
      <c r="H2363" s="3">
        <v>2.0700000000000001E-15</v>
      </c>
      <c r="I2363" s="2" t="s">
        <v>12759</v>
      </c>
      <c r="J2363" s="2" t="s">
        <v>12760</v>
      </c>
      <c r="K2363" s="3">
        <v>5.28E-14</v>
      </c>
      <c r="L2363" s="2" t="s">
        <v>1178</v>
      </c>
      <c r="M2363" s="4" t="s">
        <v>12761</v>
      </c>
    </row>
    <row r="2364" spans="1:13">
      <c r="A2364" s="2">
        <v>4754</v>
      </c>
      <c r="B2364" s="2" t="s">
        <v>12762</v>
      </c>
      <c r="C2364" s="2">
        <v>27</v>
      </c>
      <c r="D2364" s="2">
        <v>556</v>
      </c>
      <c r="E2364" s="2">
        <v>200</v>
      </c>
      <c r="F2364" s="2">
        <v>32441</v>
      </c>
      <c r="G2364" s="2">
        <v>7.8768615110000004</v>
      </c>
      <c r="H2364" s="3">
        <v>2.3199999999999998E-15</v>
      </c>
      <c r="I2364" s="2" t="s">
        <v>12763</v>
      </c>
      <c r="J2364" s="2" t="s">
        <v>12764</v>
      </c>
      <c r="K2364" s="3">
        <v>5.28E-14</v>
      </c>
      <c r="L2364" s="2" t="s">
        <v>1178</v>
      </c>
      <c r="M2364" s="4" t="s">
        <v>12765</v>
      </c>
    </row>
    <row r="2365" spans="1:13">
      <c r="A2365" s="2">
        <v>26842</v>
      </c>
      <c r="B2365" s="2" t="s">
        <v>12766</v>
      </c>
      <c r="C2365" s="2">
        <v>25</v>
      </c>
      <c r="D2365" s="2">
        <v>556</v>
      </c>
      <c r="E2365" s="2">
        <v>167</v>
      </c>
      <c r="F2365" s="2">
        <v>32441</v>
      </c>
      <c r="G2365" s="2">
        <v>8.7345991470000008</v>
      </c>
      <c r="H2365" s="3">
        <v>3.0299999999999999E-15</v>
      </c>
      <c r="I2365" s="2" t="s">
        <v>12767</v>
      </c>
      <c r="J2365" s="2" t="s">
        <v>12768</v>
      </c>
      <c r="K2365" s="3">
        <v>6.8299999999999997E-14</v>
      </c>
      <c r="L2365" s="2" t="s">
        <v>1178</v>
      </c>
      <c r="M2365" s="4" t="s">
        <v>12769</v>
      </c>
    </row>
    <row r="2366" spans="1:13">
      <c r="A2366" s="2">
        <v>42251</v>
      </c>
      <c r="B2366" s="2" t="s">
        <v>12770</v>
      </c>
      <c r="C2366" s="2">
        <v>25</v>
      </c>
      <c r="D2366" s="2">
        <v>556</v>
      </c>
      <c r="E2366" s="2">
        <v>167</v>
      </c>
      <c r="F2366" s="2">
        <v>32441</v>
      </c>
      <c r="G2366" s="2">
        <v>8.7345991470000008</v>
      </c>
      <c r="H2366" s="3">
        <v>3.0299999999999999E-15</v>
      </c>
      <c r="I2366" s="2" t="s">
        <v>12771</v>
      </c>
      <c r="J2366" s="2" t="s">
        <v>12772</v>
      </c>
      <c r="K2366" s="3">
        <v>6.8299999999999997E-14</v>
      </c>
      <c r="L2366" s="2" t="s">
        <v>1178</v>
      </c>
      <c r="M2366" s="4" t="s">
        <v>12773</v>
      </c>
    </row>
    <row r="2367" spans="1:13">
      <c r="A2367" s="2">
        <v>4235</v>
      </c>
      <c r="B2367" s="2" t="s">
        <v>12774</v>
      </c>
      <c r="C2367" s="2">
        <v>23</v>
      </c>
      <c r="D2367" s="2">
        <v>556</v>
      </c>
      <c r="E2367" s="2">
        <v>138</v>
      </c>
      <c r="F2367" s="2">
        <v>32441</v>
      </c>
      <c r="G2367" s="2">
        <v>9.7245203839999999</v>
      </c>
      <c r="H2367" s="3">
        <v>5.0900000000000003E-15</v>
      </c>
      <c r="I2367" s="2" t="s">
        <v>12775</v>
      </c>
      <c r="J2367" s="2" t="s">
        <v>12776</v>
      </c>
      <c r="K2367" s="3">
        <v>1.1399999999999999E-13</v>
      </c>
      <c r="L2367" s="2" t="s">
        <v>1178</v>
      </c>
      <c r="M2367" s="4" t="s">
        <v>12777</v>
      </c>
    </row>
    <row r="2368" spans="1:13">
      <c r="A2368" s="2">
        <v>3302</v>
      </c>
      <c r="B2368" s="2" t="s">
        <v>2289</v>
      </c>
      <c r="C2368" s="2">
        <v>24</v>
      </c>
      <c r="D2368" s="2">
        <v>556</v>
      </c>
      <c r="E2368" s="2">
        <v>158</v>
      </c>
      <c r="F2368" s="2">
        <v>32441</v>
      </c>
      <c r="G2368" s="2">
        <v>8.8628540210000004</v>
      </c>
      <c r="H2368" s="3">
        <v>8.1699999999999998E-15</v>
      </c>
      <c r="I2368" s="2" t="s">
        <v>12778</v>
      </c>
      <c r="J2368" s="2" t="s">
        <v>12779</v>
      </c>
      <c r="K2368" s="3">
        <v>1.83E-13</v>
      </c>
      <c r="L2368" s="2" t="s">
        <v>1178</v>
      </c>
      <c r="M2368" s="4" t="s">
        <v>12780</v>
      </c>
    </row>
    <row r="2369" spans="1:13">
      <c r="A2369" s="2">
        <v>3234</v>
      </c>
      <c r="B2369" s="2" t="s">
        <v>12781</v>
      </c>
      <c r="C2369" s="2">
        <v>25</v>
      </c>
      <c r="D2369" s="2">
        <v>556</v>
      </c>
      <c r="E2369" s="2">
        <v>177</v>
      </c>
      <c r="F2369" s="2">
        <v>32441</v>
      </c>
      <c r="G2369" s="2">
        <v>8.2411189690000004</v>
      </c>
      <c r="H2369" s="3">
        <v>1E-14</v>
      </c>
      <c r="I2369" s="2" t="s">
        <v>12782</v>
      </c>
      <c r="J2369" s="2" t="s">
        <v>12783</v>
      </c>
      <c r="K2369" s="3">
        <v>2.2300000000000001E-13</v>
      </c>
      <c r="L2369" s="2" t="s">
        <v>1178</v>
      </c>
      <c r="M2369" s="4" t="s">
        <v>12784</v>
      </c>
    </row>
    <row r="2370" spans="1:13">
      <c r="A2370" s="2">
        <v>4227</v>
      </c>
      <c r="B2370" s="2" t="s">
        <v>12785</v>
      </c>
      <c r="C2370" s="2">
        <v>22</v>
      </c>
      <c r="D2370" s="2">
        <v>556</v>
      </c>
      <c r="E2370" s="2">
        <v>130</v>
      </c>
      <c r="F2370" s="2">
        <v>32441</v>
      </c>
      <c r="G2370" s="2">
        <v>9.8741283899999992</v>
      </c>
      <c r="H2370" s="3">
        <v>1.5200000000000001E-14</v>
      </c>
      <c r="I2370" s="2" t="s">
        <v>12786</v>
      </c>
      <c r="J2370" s="2" t="s">
        <v>12787</v>
      </c>
      <c r="K2370" s="3">
        <v>3.3599999999999998E-13</v>
      </c>
      <c r="L2370" s="2" t="s">
        <v>1178</v>
      </c>
      <c r="M2370" s="4" t="s">
        <v>12788</v>
      </c>
    </row>
    <row r="2371" spans="1:13">
      <c r="A2371" s="2">
        <v>1414</v>
      </c>
      <c r="B2371" s="2" t="s">
        <v>12789</v>
      </c>
      <c r="C2371" s="2">
        <v>26</v>
      </c>
      <c r="D2371" s="2">
        <v>556</v>
      </c>
      <c r="E2371" s="2">
        <v>200</v>
      </c>
      <c r="F2371" s="2">
        <v>32441</v>
      </c>
      <c r="G2371" s="2">
        <v>7.5851258990000003</v>
      </c>
      <c r="H2371" s="3">
        <v>1.7100000000000001E-14</v>
      </c>
      <c r="I2371" s="2" t="s">
        <v>12790</v>
      </c>
      <c r="J2371" s="2" t="s">
        <v>12791</v>
      </c>
      <c r="K2371" s="3">
        <v>3.5200000000000001E-13</v>
      </c>
      <c r="L2371" s="2" t="s">
        <v>1178</v>
      </c>
      <c r="M2371" s="4" t="s">
        <v>12792</v>
      </c>
    </row>
    <row r="2372" spans="1:13">
      <c r="A2372" s="2">
        <v>885</v>
      </c>
      <c r="B2372" s="2" t="s">
        <v>12793</v>
      </c>
      <c r="C2372" s="2">
        <v>26</v>
      </c>
      <c r="D2372" s="2">
        <v>556</v>
      </c>
      <c r="E2372" s="2">
        <v>200</v>
      </c>
      <c r="F2372" s="2">
        <v>32441</v>
      </c>
      <c r="G2372" s="2">
        <v>7.5851258990000003</v>
      </c>
      <c r="H2372" s="3">
        <v>1.7100000000000001E-14</v>
      </c>
      <c r="I2372" s="2" t="s">
        <v>12794</v>
      </c>
      <c r="J2372" s="2" t="s">
        <v>12795</v>
      </c>
      <c r="K2372" s="3">
        <v>3.5200000000000001E-13</v>
      </c>
      <c r="L2372" s="2" t="s">
        <v>1178</v>
      </c>
      <c r="M2372" s="4" t="s">
        <v>12796</v>
      </c>
    </row>
    <row r="2373" spans="1:13">
      <c r="A2373" s="2">
        <v>10171</v>
      </c>
      <c r="B2373" s="2" t="s">
        <v>1674</v>
      </c>
      <c r="C2373" s="2">
        <v>26</v>
      </c>
      <c r="D2373" s="2">
        <v>556</v>
      </c>
      <c r="E2373" s="2">
        <v>200</v>
      </c>
      <c r="F2373" s="2">
        <v>32441</v>
      </c>
      <c r="G2373" s="2">
        <v>7.5851258990000003</v>
      </c>
      <c r="H2373" s="3">
        <v>1.7100000000000001E-14</v>
      </c>
      <c r="I2373" s="2" t="s">
        <v>12797</v>
      </c>
      <c r="J2373" s="2" t="s">
        <v>12798</v>
      </c>
      <c r="K2373" s="3">
        <v>3.5200000000000001E-13</v>
      </c>
      <c r="L2373" s="2" t="s">
        <v>1178</v>
      </c>
      <c r="M2373" s="4" t="s">
        <v>12799</v>
      </c>
    </row>
    <row r="2374" spans="1:13">
      <c r="A2374" s="2">
        <v>1286</v>
      </c>
      <c r="B2374" s="2" t="s">
        <v>12800</v>
      </c>
      <c r="C2374" s="2">
        <v>26</v>
      </c>
      <c r="D2374" s="2">
        <v>556</v>
      </c>
      <c r="E2374" s="2">
        <v>200</v>
      </c>
      <c r="F2374" s="2">
        <v>32441</v>
      </c>
      <c r="G2374" s="2">
        <v>7.5851258990000003</v>
      </c>
      <c r="H2374" s="3">
        <v>1.7100000000000001E-14</v>
      </c>
      <c r="I2374" s="2" t="s">
        <v>12801</v>
      </c>
      <c r="J2374" s="2" t="s">
        <v>12802</v>
      </c>
      <c r="K2374" s="3">
        <v>3.5200000000000001E-13</v>
      </c>
      <c r="L2374" s="2" t="s">
        <v>1178</v>
      </c>
      <c r="M2374" s="4" t="s">
        <v>12803</v>
      </c>
    </row>
    <row r="2375" spans="1:13">
      <c r="A2375" s="2">
        <v>1340</v>
      </c>
      <c r="B2375" s="2" t="s">
        <v>12804</v>
      </c>
      <c r="C2375" s="2">
        <v>26</v>
      </c>
      <c r="D2375" s="2">
        <v>556</v>
      </c>
      <c r="E2375" s="2">
        <v>200</v>
      </c>
      <c r="F2375" s="2">
        <v>32441</v>
      </c>
      <c r="G2375" s="2">
        <v>7.5851258990000003</v>
      </c>
      <c r="H2375" s="3">
        <v>1.7100000000000001E-14</v>
      </c>
      <c r="I2375" s="2" t="s">
        <v>12805</v>
      </c>
      <c r="J2375" s="2" t="s">
        <v>12806</v>
      </c>
      <c r="K2375" s="3">
        <v>3.5200000000000001E-13</v>
      </c>
      <c r="L2375" s="2" t="s">
        <v>1178</v>
      </c>
      <c r="M2375" s="4" t="s">
        <v>12807</v>
      </c>
    </row>
    <row r="2376" spans="1:13">
      <c r="A2376" s="2">
        <v>1406</v>
      </c>
      <c r="B2376" s="2" t="s">
        <v>12808</v>
      </c>
      <c r="C2376" s="2">
        <v>26</v>
      </c>
      <c r="D2376" s="2">
        <v>556</v>
      </c>
      <c r="E2376" s="2">
        <v>200</v>
      </c>
      <c r="F2376" s="2">
        <v>32441</v>
      </c>
      <c r="G2376" s="2">
        <v>7.5851258990000003</v>
      </c>
      <c r="H2376" s="3">
        <v>1.7100000000000001E-14</v>
      </c>
      <c r="I2376" s="2" t="s">
        <v>12809</v>
      </c>
      <c r="J2376" s="2" t="s">
        <v>12810</v>
      </c>
      <c r="K2376" s="3">
        <v>3.5200000000000001E-13</v>
      </c>
      <c r="L2376" s="2" t="s">
        <v>1178</v>
      </c>
      <c r="M2376" s="4" t="s">
        <v>12811</v>
      </c>
    </row>
    <row r="2377" spans="1:13">
      <c r="A2377" s="2">
        <v>16791</v>
      </c>
      <c r="B2377" s="2" t="s">
        <v>12812</v>
      </c>
      <c r="C2377" s="2">
        <v>26</v>
      </c>
      <c r="D2377" s="2">
        <v>556</v>
      </c>
      <c r="E2377" s="2">
        <v>200</v>
      </c>
      <c r="F2377" s="2">
        <v>32441</v>
      </c>
      <c r="G2377" s="2">
        <v>7.5851258990000003</v>
      </c>
      <c r="H2377" s="3">
        <v>1.7100000000000001E-14</v>
      </c>
      <c r="I2377" s="2" t="s">
        <v>12813</v>
      </c>
      <c r="J2377" s="2" t="s">
        <v>12814</v>
      </c>
      <c r="K2377" s="3">
        <v>3.5200000000000001E-13</v>
      </c>
      <c r="L2377" s="2" t="s">
        <v>1178</v>
      </c>
      <c r="M2377" s="4" t="s">
        <v>12815</v>
      </c>
    </row>
    <row r="2378" spans="1:13">
      <c r="A2378" s="2">
        <v>1870</v>
      </c>
      <c r="B2378" s="2" t="s">
        <v>12816</v>
      </c>
      <c r="C2378" s="2">
        <v>26</v>
      </c>
      <c r="D2378" s="2">
        <v>556</v>
      </c>
      <c r="E2378" s="2">
        <v>200</v>
      </c>
      <c r="F2378" s="2">
        <v>32441</v>
      </c>
      <c r="G2378" s="2">
        <v>7.5851258990000003</v>
      </c>
      <c r="H2378" s="3">
        <v>1.7100000000000001E-14</v>
      </c>
      <c r="I2378" s="2" t="s">
        <v>12817</v>
      </c>
      <c r="J2378" s="2" t="s">
        <v>12818</v>
      </c>
      <c r="K2378" s="3">
        <v>3.5200000000000001E-13</v>
      </c>
      <c r="L2378" s="2" t="s">
        <v>1178</v>
      </c>
      <c r="M2378" s="4" t="s">
        <v>12819</v>
      </c>
    </row>
    <row r="2379" spans="1:13">
      <c r="A2379" s="2">
        <v>2229</v>
      </c>
      <c r="B2379" s="2" t="s">
        <v>12820</v>
      </c>
      <c r="C2379" s="2">
        <v>26</v>
      </c>
      <c r="D2379" s="2">
        <v>556</v>
      </c>
      <c r="E2379" s="2">
        <v>200</v>
      </c>
      <c r="F2379" s="2">
        <v>32441</v>
      </c>
      <c r="G2379" s="2">
        <v>7.5851258990000003</v>
      </c>
      <c r="H2379" s="3">
        <v>1.7100000000000001E-14</v>
      </c>
      <c r="I2379" s="2" t="s">
        <v>12821</v>
      </c>
      <c r="J2379" s="2" t="s">
        <v>12822</v>
      </c>
      <c r="K2379" s="3">
        <v>3.5200000000000001E-13</v>
      </c>
      <c r="L2379" s="2" t="s">
        <v>1178</v>
      </c>
      <c r="M2379" s="4" t="s">
        <v>12823</v>
      </c>
    </row>
    <row r="2380" spans="1:13">
      <c r="A2380" s="2">
        <v>2953</v>
      </c>
      <c r="B2380" s="2" t="s">
        <v>12824</v>
      </c>
      <c r="C2380" s="2">
        <v>26</v>
      </c>
      <c r="D2380" s="2">
        <v>556</v>
      </c>
      <c r="E2380" s="2">
        <v>200</v>
      </c>
      <c r="F2380" s="2">
        <v>32441</v>
      </c>
      <c r="G2380" s="2">
        <v>7.5851258990000003</v>
      </c>
      <c r="H2380" s="3">
        <v>1.7100000000000001E-14</v>
      </c>
      <c r="I2380" s="2" t="s">
        <v>12825</v>
      </c>
      <c r="J2380" s="2" t="s">
        <v>12826</v>
      </c>
      <c r="K2380" s="3">
        <v>3.5200000000000001E-13</v>
      </c>
      <c r="L2380" s="2" t="s">
        <v>1178</v>
      </c>
      <c r="M2380" s="4" t="s">
        <v>12827</v>
      </c>
    </row>
    <row r="2381" spans="1:13">
      <c r="A2381" s="2">
        <v>32571</v>
      </c>
      <c r="B2381" s="2" t="s">
        <v>12828</v>
      </c>
      <c r="C2381" s="2">
        <v>26</v>
      </c>
      <c r="D2381" s="2">
        <v>556</v>
      </c>
      <c r="E2381" s="2">
        <v>200</v>
      </c>
      <c r="F2381" s="2">
        <v>32441</v>
      </c>
      <c r="G2381" s="2">
        <v>7.5851258990000003</v>
      </c>
      <c r="H2381" s="3">
        <v>1.7100000000000001E-14</v>
      </c>
      <c r="I2381" s="2" t="s">
        <v>12829</v>
      </c>
      <c r="J2381" s="2" t="s">
        <v>12830</v>
      </c>
      <c r="K2381" s="3">
        <v>3.5200000000000001E-13</v>
      </c>
      <c r="L2381" s="2" t="s">
        <v>1178</v>
      </c>
      <c r="M2381" s="4" t="s">
        <v>12831</v>
      </c>
    </row>
    <row r="2382" spans="1:13">
      <c r="A2382" s="2">
        <v>36381</v>
      </c>
      <c r="B2382" s="2" t="s">
        <v>12832</v>
      </c>
      <c r="C2382" s="2">
        <v>26</v>
      </c>
      <c r="D2382" s="2">
        <v>556</v>
      </c>
      <c r="E2382" s="2">
        <v>200</v>
      </c>
      <c r="F2382" s="2">
        <v>32441</v>
      </c>
      <c r="G2382" s="2">
        <v>7.5851258990000003</v>
      </c>
      <c r="H2382" s="3">
        <v>1.7100000000000001E-14</v>
      </c>
      <c r="I2382" s="2" t="s">
        <v>12833</v>
      </c>
      <c r="J2382" s="2" t="s">
        <v>12834</v>
      </c>
      <c r="K2382" s="3">
        <v>3.5200000000000001E-13</v>
      </c>
      <c r="L2382" s="2" t="s">
        <v>1178</v>
      </c>
      <c r="M2382" s="4" t="s">
        <v>12835</v>
      </c>
    </row>
    <row r="2383" spans="1:13">
      <c r="A2383" s="2">
        <v>3837</v>
      </c>
      <c r="B2383" s="2" t="s">
        <v>12836</v>
      </c>
      <c r="C2383" s="2">
        <v>26</v>
      </c>
      <c r="D2383" s="2">
        <v>556</v>
      </c>
      <c r="E2383" s="2">
        <v>200</v>
      </c>
      <c r="F2383" s="2">
        <v>32441</v>
      </c>
      <c r="G2383" s="2">
        <v>7.5851258990000003</v>
      </c>
      <c r="H2383" s="3">
        <v>1.7100000000000001E-14</v>
      </c>
      <c r="I2383" s="2" t="s">
        <v>12837</v>
      </c>
      <c r="J2383" s="2" t="s">
        <v>12838</v>
      </c>
      <c r="K2383" s="3">
        <v>3.5200000000000001E-13</v>
      </c>
      <c r="L2383" s="2" t="s">
        <v>1178</v>
      </c>
      <c r="M2383" s="4" t="s">
        <v>12839</v>
      </c>
    </row>
    <row r="2384" spans="1:13">
      <c r="A2384" s="2">
        <v>4273</v>
      </c>
      <c r="B2384" s="2" t="s">
        <v>12840</v>
      </c>
      <c r="C2384" s="2">
        <v>26</v>
      </c>
      <c r="D2384" s="2">
        <v>556</v>
      </c>
      <c r="E2384" s="2">
        <v>200</v>
      </c>
      <c r="F2384" s="2">
        <v>32441</v>
      </c>
      <c r="G2384" s="2">
        <v>7.5851258990000003</v>
      </c>
      <c r="H2384" s="3">
        <v>1.7100000000000001E-14</v>
      </c>
      <c r="I2384" s="2" t="s">
        <v>12841</v>
      </c>
      <c r="J2384" s="2" t="s">
        <v>12842</v>
      </c>
      <c r="K2384" s="3">
        <v>3.5200000000000001E-13</v>
      </c>
      <c r="L2384" s="2" t="s">
        <v>1178</v>
      </c>
      <c r="M2384" s="4" t="s">
        <v>12843</v>
      </c>
    </row>
    <row r="2385" spans="1:13">
      <c r="A2385" s="2">
        <v>4471</v>
      </c>
      <c r="B2385" s="2" t="s">
        <v>12844</v>
      </c>
      <c r="C2385" s="2">
        <v>26</v>
      </c>
      <c r="D2385" s="2">
        <v>556</v>
      </c>
      <c r="E2385" s="2">
        <v>200</v>
      </c>
      <c r="F2385" s="2">
        <v>32441</v>
      </c>
      <c r="G2385" s="2">
        <v>7.5851258990000003</v>
      </c>
      <c r="H2385" s="3">
        <v>1.7100000000000001E-14</v>
      </c>
      <c r="I2385" s="2" t="s">
        <v>12845</v>
      </c>
      <c r="J2385" s="2" t="s">
        <v>12846</v>
      </c>
      <c r="K2385" s="3">
        <v>3.5200000000000001E-13</v>
      </c>
      <c r="L2385" s="2" t="s">
        <v>1178</v>
      </c>
      <c r="M2385" s="4" t="s">
        <v>12847</v>
      </c>
    </row>
    <row r="2386" spans="1:13">
      <c r="A2386" s="2">
        <v>4775</v>
      </c>
      <c r="B2386" s="2" t="s">
        <v>12848</v>
      </c>
      <c r="C2386" s="2">
        <v>26</v>
      </c>
      <c r="D2386" s="2">
        <v>556</v>
      </c>
      <c r="E2386" s="2">
        <v>200</v>
      </c>
      <c r="F2386" s="2">
        <v>32441</v>
      </c>
      <c r="G2386" s="2">
        <v>7.5851258990000003</v>
      </c>
      <c r="H2386" s="3">
        <v>1.7100000000000001E-14</v>
      </c>
      <c r="I2386" s="2" t="s">
        <v>12849</v>
      </c>
      <c r="J2386" s="2" t="s">
        <v>12850</v>
      </c>
      <c r="K2386" s="3">
        <v>3.5200000000000001E-13</v>
      </c>
      <c r="L2386" s="2" t="s">
        <v>1178</v>
      </c>
      <c r="M2386" s="4" t="s">
        <v>12851</v>
      </c>
    </row>
    <row r="2387" spans="1:13">
      <c r="A2387" s="2">
        <v>48711</v>
      </c>
      <c r="B2387" s="2" t="s">
        <v>12852</v>
      </c>
      <c r="C2387" s="2">
        <v>26</v>
      </c>
      <c r="D2387" s="2">
        <v>556</v>
      </c>
      <c r="E2387" s="2">
        <v>200</v>
      </c>
      <c r="F2387" s="2">
        <v>32441</v>
      </c>
      <c r="G2387" s="2">
        <v>7.5851258990000003</v>
      </c>
      <c r="H2387" s="3">
        <v>1.7100000000000001E-14</v>
      </c>
      <c r="I2387" s="2" t="s">
        <v>12853</v>
      </c>
      <c r="J2387" s="2" t="s">
        <v>12854</v>
      </c>
      <c r="K2387" s="3">
        <v>3.5200000000000001E-13</v>
      </c>
      <c r="L2387" s="2" t="s">
        <v>1178</v>
      </c>
      <c r="M2387" s="4" t="s">
        <v>12855</v>
      </c>
    </row>
    <row r="2388" spans="1:13">
      <c r="A2388" s="2">
        <v>2683</v>
      </c>
      <c r="B2388" s="2" t="s">
        <v>12856</v>
      </c>
      <c r="C2388" s="2">
        <v>25</v>
      </c>
      <c r="D2388" s="2">
        <v>556</v>
      </c>
      <c r="E2388" s="2">
        <v>184</v>
      </c>
      <c r="F2388" s="2">
        <v>32441</v>
      </c>
      <c r="G2388" s="2">
        <v>7.9275981389999997</v>
      </c>
      <c r="H2388" s="3">
        <v>2.2199999999999999E-14</v>
      </c>
      <c r="I2388" s="2" t="s">
        <v>12857</v>
      </c>
      <c r="J2388" s="2" t="s">
        <v>12858</v>
      </c>
      <c r="K2388" s="3">
        <v>4.5499999999999998E-13</v>
      </c>
      <c r="L2388" s="2" t="s">
        <v>1178</v>
      </c>
      <c r="M2388" s="4" t="s">
        <v>12859</v>
      </c>
    </row>
    <row r="2389" spans="1:13">
      <c r="A2389" s="2">
        <v>24701</v>
      </c>
      <c r="B2389" s="2" t="s">
        <v>12860</v>
      </c>
      <c r="C2389" s="2">
        <v>24</v>
      </c>
      <c r="D2389" s="2">
        <v>556</v>
      </c>
      <c r="E2389" s="2">
        <v>167</v>
      </c>
      <c r="F2389" s="2">
        <v>32441</v>
      </c>
      <c r="G2389" s="2">
        <v>8.3852151809999995</v>
      </c>
      <c r="H2389" s="3">
        <v>2.4399999999999999E-14</v>
      </c>
      <c r="I2389" s="2" t="s">
        <v>12861</v>
      </c>
      <c r="J2389" s="2" t="s">
        <v>12862</v>
      </c>
      <c r="K2389" s="3">
        <v>4.9600000000000001E-13</v>
      </c>
      <c r="L2389" s="2" t="s">
        <v>1178</v>
      </c>
      <c r="M2389" s="4" t="s">
        <v>12863</v>
      </c>
    </row>
    <row r="2390" spans="1:13">
      <c r="A2390" s="2">
        <v>2528</v>
      </c>
      <c r="B2390" s="2" t="s">
        <v>12864</v>
      </c>
      <c r="C2390" s="2">
        <v>24</v>
      </c>
      <c r="D2390" s="2">
        <v>556</v>
      </c>
      <c r="E2390" s="2">
        <v>167</v>
      </c>
      <c r="F2390" s="2">
        <v>32441</v>
      </c>
      <c r="G2390" s="2">
        <v>8.3852151809999995</v>
      </c>
      <c r="H2390" s="3">
        <v>2.4399999999999999E-14</v>
      </c>
      <c r="I2390" s="2" t="s">
        <v>12865</v>
      </c>
      <c r="J2390" s="2" t="s">
        <v>12866</v>
      </c>
      <c r="K2390" s="3">
        <v>4.9600000000000001E-13</v>
      </c>
      <c r="L2390" s="2" t="s">
        <v>1178</v>
      </c>
      <c r="M2390" s="4" t="s">
        <v>12867</v>
      </c>
    </row>
    <row r="2391" spans="1:13">
      <c r="A2391" s="2">
        <v>2452</v>
      </c>
      <c r="B2391" s="2" t="s">
        <v>12868</v>
      </c>
      <c r="C2391" s="2">
        <v>24</v>
      </c>
      <c r="D2391" s="2">
        <v>556</v>
      </c>
      <c r="E2391" s="2">
        <v>169</v>
      </c>
      <c r="F2391" s="2">
        <v>32441</v>
      </c>
      <c r="G2391" s="2">
        <v>8.2859818650000001</v>
      </c>
      <c r="H2391" s="3">
        <v>3.09E-14</v>
      </c>
      <c r="I2391" s="2" t="s">
        <v>12869</v>
      </c>
      <c r="J2391" s="2" t="s">
        <v>12870</v>
      </c>
      <c r="K2391" s="3">
        <v>6.2499999999999996E-13</v>
      </c>
      <c r="L2391" s="2" t="s">
        <v>1178</v>
      </c>
      <c r="M2391" s="4" t="s">
        <v>12871</v>
      </c>
    </row>
    <row r="2392" spans="1:13">
      <c r="A2392" s="2">
        <v>26882</v>
      </c>
      <c r="B2392" s="2" t="s">
        <v>12872</v>
      </c>
      <c r="C2392" s="2">
        <v>25</v>
      </c>
      <c r="D2392" s="2">
        <v>556</v>
      </c>
      <c r="E2392" s="2">
        <v>188</v>
      </c>
      <c r="F2392" s="2">
        <v>32441</v>
      </c>
      <c r="G2392" s="2">
        <v>7.7589258379999997</v>
      </c>
      <c r="H2392" s="3">
        <v>3.4599999999999999E-14</v>
      </c>
      <c r="I2392" s="2" t="s">
        <v>12873</v>
      </c>
      <c r="J2392" s="2" t="s">
        <v>12874</v>
      </c>
      <c r="K2392" s="3">
        <v>6.9599999999999996E-13</v>
      </c>
      <c r="L2392" s="2" t="s">
        <v>1178</v>
      </c>
      <c r="M2392" s="4" t="s">
        <v>12875</v>
      </c>
    </row>
    <row r="2393" spans="1:13">
      <c r="A2393" s="2">
        <v>26852</v>
      </c>
      <c r="B2393" s="2" t="s">
        <v>12876</v>
      </c>
      <c r="C2393" s="2">
        <v>24</v>
      </c>
      <c r="D2393" s="2">
        <v>556</v>
      </c>
      <c r="E2393" s="2">
        <v>171</v>
      </c>
      <c r="F2393" s="2">
        <v>32441</v>
      </c>
      <c r="G2393" s="2">
        <v>8.1890697970000002</v>
      </c>
      <c r="H2393" s="3">
        <v>3.8999999999999998E-14</v>
      </c>
      <c r="I2393" s="2" t="s">
        <v>12877</v>
      </c>
      <c r="J2393" s="2" t="s">
        <v>12878</v>
      </c>
      <c r="K2393" s="3">
        <v>7.82E-13</v>
      </c>
      <c r="L2393" s="2" t="s">
        <v>1178</v>
      </c>
      <c r="M2393" s="4" t="s">
        <v>12879</v>
      </c>
    </row>
    <row r="2394" spans="1:13">
      <c r="A2394" s="2">
        <v>43721</v>
      </c>
      <c r="B2394" s="2" t="s">
        <v>12880</v>
      </c>
      <c r="C2394" s="2">
        <v>25</v>
      </c>
      <c r="D2394" s="2">
        <v>556</v>
      </c>
      <c r="E2394" s="2">
        <v>195</v>
      </c>
      <c r="F2394" s="2">
        <v>32441</v>
      </c>
      <c r="G2394" s="2">
        <v>7.4804002949999999</v>
      </c>
      <c r="H2394" s="3">
        <v>7.3000000000000004E-14</v>
      </c>
      <c r="I2394" s="2" t="s">
        <v>12881</v>
      </c>
      <c r="J2394" s="2" t="s">
        <v>12882</v>
      </c>
      <c r="K2394" s="3">
        <v>1.46E-12</v>
      </c>
      <c r="L2394" s="2" t="s">
        <v>1178</v>
      </c>
      <c r="M2394" s="4" t="s">
        <v>12883</v>
      </c>
    </row>
    <row r="2395" spans="1:13">
      <c r="A2395" s="2">
        <v>25001</v>
      </c>
      <c r="B2395" s="2" t="s">
        <v>12884</v>
      </c>
      <c r="C2395" s="2">
        <v>22</v>
      </c>
      <c r="D2395" s="2">
        <v>556</v>
      </c>
      <c r="E2395" s="2">
        <v>143</v>
      </c>
      <c r="F2395" s="2">
        <v>32441</v>
      </c>
      <c r="G2395" s="2">
        <v>8.9764803539999996</v>
      </c>
      <c r="H2395" s="3">
        <v>8.5799999999999998E-14</v>
      </c>
      <c r="I2395" s="2" t="s">
        <v>12885</v>
      </c>
      <c r="J2395" s="2" t="s">
        <v>12886</v>
      </c>
      <c r="K2395" s="3">
        <v>1.71E-12</v>
      </c>
      <c r="L2395" s="2" t="s">
        <v>1178</v>
      </c>
      <c r="M2395" s="4" t="s">
        <v>12887</v>
      </c>
    </row>
    <row r="2396" spans="1:13">
      <c r="A2396" s="2">
        <v>2786</v>
      </c>
      <c r="B2396" s="2" t="s">
        <v>12888</v>
      </c>
      <c r="C2396" s="2">
        <v>24</v>
      </c>
      <c r="D2396" s="2">
        <v>556</v>
      </c>
      <c r="E2396" s="2">
        <v>179</v>
      </c>
      <c r="F2396" s="2">
        <v>32441</v>
      </c>
      <c r="G2396" s="2">
        <v>7.8230778509999999</v>
      </c>
      <c r="H2396" s="3">
        <v>9.5999999999999995E-14</v>
      </c>
      <c r="I2396" s="2" t="s">
        <v>12889</v>
      </c>
      <c r="J2396" s="2" t="s">
        <v>12890</v>
      </c>
      <c r="K2396" s="3">
        <v>1.9E-12</v>
      </c>
      <c r="L2396" s="2" t="s">
        <v>1178</v>
      </c>
      <c r="M2396" s="4" t="s">
        <v>12891</v>
      </c>
    </row>
    <row r="2397" spans="1:13">
      <c r="A2397" s="2">
        <v>30861</v>
      </c>
      <c r="B2397" s="2" t="s">
        <v>12892</v>
      </c>
      <c r="C2397" s="2">
        <v>25</v>
      </c>
      <c r="D2397" s="2">
        <v>556</v>
      </c>
      <c r="E2397" s="2">
        <v>199</v>
      </c>
      <c r="F2397" s="2">
        <v>32441</v>
      </c>
      <c r="G2397" s="2">
        <v>7.33004049</v>
      </c>
      <c r="H2397" s="3">
        <v>1.1E-13</v>
      </c>
      <c r="I2397" s="2" t="s">
        <v>12893</v>
      </c>
      <c r="J2397" s="2" t="s">
        <v>12894</v>
      </c>
      <c r="K2397" s="3">
        <v>2.1600000000000001E-12</v>
      </c>
      <c r="L2397" s="2" t="s">
        <v>1178</v>
      </c>
      <c r="M2397" s="4" t="s">
        <v>12895</v>
      </c>
    </row>
    <row r="2398" spans="1:13">
      <c r="A2398" s="2">
        <v>3900</v>
      </c>
      <c r="B2398" s="2" t="s">
        <v>2676</v>
      </c>
      <c r="C2398" s="2">
        <v>25</v>
      </c>
      <c r="D2398" s="2">
        <v>556</v>
      </c>
      <c r="E2398" s="2">
        <v>199</v>
      </c>
      <c r="F2398" s="2">
        <v>32441</v>
      </c>
      <c r="G2398" s="2">
        <v>7.33004049</v>
      </c>
      <c r="H2398" s="3">
        <v>1.1E-13</v>
      </c>
      <c r="I2398" s="2" t="s">
        <v>12896</v>
      </c>
      <c r="J2398" s="2" t="s">
        <v>12897</v>
      </c>
      <c r="K2398" s="3">
        <v>2.1600000000000001E-12</v>
      </c>
      <c r="L2398" s="2" t="s">
        <v>1178</v>
      </c>
      <c r="M2398" s="4" t="s">
        <v>12898</v>
      </c>
    </row>
    <row r="2399" spans="1:13">
      <c r="A2399" s="2">
        <v>3965</v>
      </c>
      <c r="B2399" s="2" t="s">
        <v>12899</v>
      </c>
      <c r="C2399" s="2">
        <v>25</v>
      </c>
      <c r="D2399" s="2">
        <v>556</v>
      </c>
      <c r="E2399" s="2">
        <v>199</v>
      </c>
      <c r="F2399" s="2">
        <v>32441</v>
      </c>
      <c r="G2399" s="2">
        <v>7.33004049</v>
      </c>
      <c r="H2399" s="3">
        <v>1.1E-13</v>
      </c>
      <c r="I2399" s="2" t="s">
        <v>12900</v>
      </c>
      <c r="J2399" s="2" t="s">
        <v>12901</v>
      </c>
      <c r="K2399" s="3">
        <v>2.1600000000000001E-12</v>
      </c>
      <c r="L2399" s="2" t="s">
        <v>1178</v>
      </c>
      <c r="M2399" s="4" t="s">
        <v>12902</v>
      </c>
    </row>
    <row r="2400" spans="1:13">
      <c r="A2400" s="2">
        <v>72</v>
      </c>
      <c r="B2400" s="2" t="s">
        <v>12903</v>
      </c>
      <c r="C2400" s="2">
        <v>25</v>
      </c>
      <c r="D2400" s="2">
        <v>556</v>
      </c>
      <c r="E2400" s="2">
        <v>200</v>
      </c>
      <c r="F2400" s="2">
        <v>32441</v>
      </c>
      <c r="G2400" s="2">
        <v>7.2933902880000003</v>
      </c>
      <c r="H2400" s="3">
        <v>1.2200000000000001E-13</v>
      </c>
      <c r="I2400" s="2" t="s">
        <v>12904</v>
      </c>
      <c r="J2400" s="2" t="s">
        <v>12905</v>
      </c>
      <c r="K2400" s="3">
        <v>2.2199999999999998E-12</v>
      </c>
      <c r="L2400" s="2" t="s">
        <v>1178</v>
      </c>
      <c r="M2400" s="4" t="s">
        <v>12906</v>
      </c>
    </row>
    <row r="2401" spans="1:13">
      <c r="A2401" s="2">
        <v>27810</v>
      </c>
      <c r="B2401" s="2" t="s">
        <v>12907</v>
      </c>
      <c r="C2401" s="2">
        <v>25</v>
      </c>
      <c r="D2401" s="2">
        <v>556</v>
      </c>
      <c r="E2401" s="2">
        <v>200</v>
      </c>
      <c r="F2401" s="2">
        <v>32441</v>
      </c>
      <c r="G2401" s="2">
        <v>7.2933902880000003</v>
      </c>
      <c r="H2401" s="3">
        <v>1.2200000000000001E-13</v>
      </c>
      <c r="I2401" s="2" t="s">
        <v>12908</v>
      </c>
      <c r="J2401" s="2" t="s">
        <v>12909</v>
      </c>
      <c r="K2401" s="3">
        <v>2.2199999999999998E-12</v>
      </c>
      <c r="L2401" s="2" t="s">
        <v>1178</v>
      </c>
      <c r="M2401" s="4" t="s">
        <v>12910</v>
      </c>
    </row>
    <row r="2402" spans="1:13">
      <c r="A2402" s="2">
        <v>10302</v>
      </c>
      <c r="B2402" s="2" t="s">
        <v>12911</v>
      </c>
      <c r="C2402" s="2">
        <v>25</v>
      </c>
      <c r="D2402" s="2">
        <v>556</v>
      </c>
      <c r="E2402" s="2">
        <v>200</v>
      </c>
      <c r="F2402" s="2">
        <v>32441</v>
      </c>
      <c r="G2402" s="2">
        <v>7.2933902880000003</v>
      </c>
      <c r="H2402" s="3">
        <v>1.2200000000000001E-13</v>
      </c>
      <c r="I2402" s="2" t="s">
        <v>12912</v>
      </c>
      <c r="J2402" s="2" t="s">
        <v>12913</v>
      </c>
      <c r="K2402" s="3">
        <v>2.2199999999999998E-12</v>
      </c>
      <c r="L2402" s="2" t="s">
        <v>1178</v>
      </c>
      <c r="M2402" s="4" t="s">
        <v>12914</v>
      </c>
    </row>
    <row r="2403" spans="1:13">
      <c r="A2403" s="2">
        <v>1031</v>
      </c>
      <c r="B2403" s="2" t="s">
        <v>12915</v>
      </c>
      <c r="C2403" s="2">
        <v>25</v>
      </c>
      <c r="D2403" s="2">
        <v>556</v>
      </c>
      <c r="E2403" s="2">
        <v>200</v>
      </c>
      <c r="F2403" s="2">
        <v>32441</v>
      </c>
      <c r="G2403" s="2">
        <v>7.2933902880000003</v>
      </c>
      <c r="H2403" s="3">
        <v>1.2200000000000001E-13</v>
      </c>
      <c r="I2403" s="2" t="s">
        <v>12916</v>
      </c>
      <c r="J2403" s="2" t="s">
        <v>12917</v>
      </c>
      <c r="K2403" s="3">
        <v>2.2199999999999998E-12</v>
      </c>
      <c r="L2403" s="2" t="s">
        <v>1178</v>
      </c>
      <c r="M2403" s="4" t="s">
        <v>12918</v>
      </c>
    </row>
    <row r="2404" spans="1:13">
      <c r="A2404" s="2">
        <v>12901</v>
      </c>
      <c r="B2404" s="2" t="s">
        <v>1344</v>
      </c>
      <c r="C2404" s="2">
        <v>25</v>
      </c>
      <c r="D2404" s="2">
        <v>556</v>
      </c>
      <c r="E2404" s="2">
        <v>200</v>
      </c>
      <c r="F2404" s="2">
        <v>32441</v>
      </c>
      <c r="G2404" s="2">
        <v>7.2933902880000003</v>
      </c>
      <c r="H2404" s="3">
        <v>1.2200000000000001E-13</v>
      </c>
      <c r="I2404" s="2" t="s">
        <v>12919</v>
      </c>
      <c r="J2404" s="2" t="s">
        <v>12920</v>
      </c>
      <c r="K2404" s="3">
        <v>2.2199999999999998E-12</v>
      </c>
      <c r="L2404" s="2" t="s">
        <v>1178</v>
      </c>
      <c r="M2404" s="4" t="s">
        <v>12921</v>
      </c>
    </row>
    <row r="2405" spans="1:13">
      <c r="A2405" s="2">
        <v>18902</v>
      </c>
      <c r="B2405" s="2" t="s">
        <v>12922</v>
      </c>
      <c r="C2405" s="2">
        <v>25</v>
      </c>
      <c r="D2405" s="2">
        <v>556</v>
      </c>
      <c r="E2405" s="2">
        <v>200</v>
      </c>
      <c r="F2405" s="2">
        <v>32441</v>
      </c>
      <c r="G2405" s="2">
        <v>7.2933902880000003</v>
      </c>
      <c r="H2405" s="3">
        <v>1.2200000000000001E-13</v>
      </c>
      <c r="I2405" s="2" t="s">
        <v>12923</v>
      </c>
      <c r="J2405" s="2" t="s">
        <v>12924</v>
      </c>
      <c r="K2405" s="3">
        <v>2.2199999999999998E-12</v>
      </c>
      <c r="L2405" s="2" t="s">
        <v>1178</v>
      </c>
      <c r="M2405" s="4" t="s">
        <v>12925</v>
      </c>
    </row>
    <row r="2406" spans="1:13">
      <c r="A2406" s="2">
        <v>1895</v>
      </c>
      <c r="B2406" s="2" t="s">
        <v>12926</v>
      </c>
      <c r="C2406" s="2">
        <v>25</v>
      </c>
      <c r="D2406" s="2">
        <v>556</v>
      </c>
      <c r="E2406" s="2">
        <v>200</v>
      </c>
      <c r="F2406" s="2">
        <v>32441</v>
      </c>
      <c r="G2406" s="2">
        <v>7.2933902880000003</v>
      </c>
      <c r="H2406" s="3">
        <v>1.2200000000000001E-13</v>
      </c>
      <c r="I2406" s="2" t="s">
        <v>12927</v>
      </c>
      <c r="J2406" s="2" t="s">
        <v>12928</v>
      </c>
      <c r="K2406" s="3">
        <v>2.2199999999999998E-12</v>
      </c>
      <c r="L2406" s="2" t="s">
        <v>1178</v>
      </c>
      <c r="M2406" s="4" t="s">
        <v>12929</v>
      </c>
    </row>
    <row r="2407" spans="1:13">
      <c r="A2407" s="2">
        <v>2088</v>
      </c>
      <c r="B2407" s="2" t="s">
        <v>12930</v>
      </c>
      <c r="C2407" s="2">
        <v>25</v>
      </c>
      <c r="D2407" s="2">
        <v>556</v>
      </c>
      <c r="E2407" s="2">
        <v>200</v>
      </c>
      <c r="F2407" s="2">
        <v>32441</v>
      </c>
      <c r="G2407" s="2">
        <v>7.2933902880000003</v>
      </c>
      <c r="H2407" s="3">
        <v>1.2200000000000001E-13</v>
      </c>
      <c r="I2407" s="2" t="s">
        <v>12931</v>
      </c>
      <c r="J2407" s="2" t="s">
        <v>12932</v>
      </c>
      <c r="K2407" s="3">
        <v>2.2199999999999998E-12</v>
      </c>
      <c r="L2407" s="2" t="s">
        <v>1178</v>
      </c>
      <c r="M2407" s="4" t="s">
        <v>12933</v>
      </c>
    </row>
    <row r="2408" spans="1:13">
      <c r="A2408" s="2">
        <v>26001</v>
      </c>
      <c r="B2408" s="2" t="s">
        <v>12934</v>
      </c>
      <c r="C2408" s="2">
        <v>25</v>
      </c>
      <c r="D2408" s="2">
        <v>556</v>
      </c>
      <c r="E2408" s="2">
        <v>200</v>
      </c>
      <c r="F2408" s="2">
        <v>32441</v>
      </c>
      <c r="G2408" s="2">
        <v>7.2933902880000003</v>
      </c>
      <c r="H2408" s="3">
        <v>1.2200000000000001E-13</v>
      </c>
      <c r="I2408" s="2" t="s">
        <v>12935</v>
      </c>
      <c r="J2408" s="2" t="s">
        <v>12936</v>
      </c>
      <c r="K2408" s="3">
        <v>2.2199999999999998E-12</v>
      </c>
      <c r="L2408" s="2" t="s">
        <v>1178</v>
      </c>
      <c r="M2408" s="4" t="s">
        <v>12937</v>
      </c>
    </row>
    <row r="2409" spans="1:13">
      <c r="A2409" s="2">
        <v>2610</v>
      </c>
      <c r="B2409" s="2" t="s">
        <v>12938</v>
      </c>
      <c r="C2409" s="2">
        <v>25</v>
      </c>
      <c r="D2409" s="2">
        <v>556</v>
      </c>
      <c r="E2409" s="2">
        <v>200</v>
      </c>
      <c r="F2409" s="2">
        <v>32441</v>
      </c>
      <c r="G2409" s="2">
        <v>7.2933902880000003</v>
      </c>
      <c r="H2409" s="3">
        <v>1.2200000000000001E-13</v>
      </c>
      <c r="I2409" s="2" t="s">
        <v>12939</v>
      </c>
      <c r="J2409" s="2" t="s">
        <v>12940</v>
      </c>
      <c r="K2409" s="3">
        <v>2.2199999999999998E-12</v>
      </c>
      <c r="L2409" s="2" t="s">
        <v>1178</v>
      </c>
      <c r="M2409" s="4" t="s">
        <v>12941</v>
      </c>
    </row>
    <row r="2410" spans="1:13">
      <c r="A2410" s="2">
        <v>27782</v>
      </c>
      <c r="B2410" s="2" t="s">
        <v>12942</v>
      </c>
      <c r="C2410" s="2">
        <v>25</v>
      </c>
      <c r="D2410" s="2">
        <v>556</v>
      </c>
      <c r="E2410" s="2">
        <v>200</v>
      </c>
      <c r="F2410" s="2">
        <v>32441</v>
      </c>
      <c r="G2410" s="2">
        <v>7.2933902880000003</v>
      </c>
      <c r="H2410" s="3">
        <v>1.2200000000000001E-13</v>
      </c>
      <c r="I2410" s="2" t="s">
        <v>12943</v>
      </c>
      <c r="J2410" s="2" t="s">
        <v>12944</v>
      </c>
      <c r="K2410" s="3">
        <v>2.2199999999999998E-12</v>
      </c>
      <c r="L2410" s="2" t="s">
        <v>1178</v>
      </c>
      <c r="M2410" s="4" t="s">
        <v>12945</v>
      </c>
    </row>
    <row r="2411" spans="1:13">
      <c r="A2411" s="2">
        <v>3549</v>
      </c>
      <c r="B2411" s="2" t="s">
        <v>12946</v>
      </c>
      <c r="C2411" s="2">
        <v>25</v>
      </c>
      <c r="D2411" s="2">
        <v>556</v>
      </c>
      <c r="E2411" s="2">
        <v>200</v>
      </c>
      <c r="F2411" s="2">
        <v>32441</v>
      </c>
      <c r="G2411" s="2">
        <v>7.2933902880000003</v>
      </c>
      <c r="H2411" s="3">
        <v>1.2200000000000001E-13</v>
      </c>
      <c r="I2411" s="2" t="s">
        <v>12947</v>
      </c>
      <c r="J2411" s="2" t="s">
        <v>12948</v>
      </c>
      <c r="K2411" s="3">
        <v>2.2199999999999998E-12</v>
      </c>
      <c r="L2411" s="2" t="s">
        <v>1178</v>
      </c>
      <c r="M2411" s="4" t="s">
        <v>12949</v>
      </c>
    </row>
    <row r="2412" spans="1:13">
      <c r="A2412" s="2">
        <v>35851</v>
      </c>
      <c r="B2412" s="2" t="s">
        <v>12950</v>
      </c>
      <c r="C2412" s="2">
        <v>25</v>
      </c>
      <c r="D2412" s="2">
        <v>556</v>
      </c>
      <c r="E2412" s="2">
        <v>200</v>
      </c>
      <c r="F2412" s="2">
        <v>32441</v>
      </c>
      <c r="G2412" s="2">
        <v>7.2933902880000003</v>
      </c>
      <c r="H2412" s="3">
        <v>1.2200000000000001E-13</v>
      </c>
      <c r="I2412" s="2" t="s">
        <v>12951</v>
      </c>
      <c r="J2412" s="2" t="s">
        <v>12952</v>
      </c>
      <c r="K2412" s="3">
        <v>2.2199999999999998E-12</v>
      </c>
      <c r="L2412" s="2" t="s">
        <v>1178</v>
      </c>
      <c r="M2412" s="4" t="s">
        <v>12953</v>
      </c>
    </row>
    <row r="2413" spans="1:13">
      <c r="A2413" s="2">
        <v>38431</v>
      </c>
      <c r="B2413" s="2" t="s">
        <v>12954</v>
      </c>
      <c r="C2413" s="2">
        <v>25</v>
      </c>
      <c r="D2413" s="2">
        <v>556</v>
      </c>
      <c r="E2413" s="2">
        <v>200</v>
      </c>
      <c r="F2413" s="2">
        <v>32441</v>
      </c>
      <c r="G2413" s="2">
        <v>7.2933902880000003</v>
      </c>
      <c r="H2413" s="3">
        <v>1.2200000000000001E-13</v>
      </c>
      <c r="I2413" s="2" t="s">
        <v>12955</v>
      </c>
      <c r="J2413" s="2" t="s">
        <v>12956</v>
      </c>
      <c r="K2413" s="3">
        <v>2.2199999999999998E-12</v>
      </c>
      <c r="L2413" s="2" t="s">
        <v>1178</v>
      </c>
      <c r="M2413" s="4" t="s">
        <v>12957</v>
      </c>
    </row>
    <row r="2414" spans="1:13">
      <c r="A2414" s="2">
        <v>39091</v>
      </c>
      <c r="B2414" s="2" t="s">
        <v>12958</v>
      </c>
      <c r="C2414" s="2">
        <v>25</v>
      </c>
      <c r="D2414" s="2">
        <v>556</v>
      </c>
      <c r="E2414" s="2">
        <v>200</v>
      </c>
      <c r="F2414" s="2">
        <v>32441</v>
      </c>
      <c r="G2414" s="2">
        <v>7.2933902880000003</v>
      </c>
      <c r="H2414" s="3">
        <v>1.2200000000000001E-13</v>
      </c>
      <c r="I2414" s="2" t="s">
        <v>12959</v>
      </c>
      <c r="J2414" s="2" t="s">
        <v>12960</v>
      </c>
      <c r="K2414" s="3">
        <v>2.2199999999999998E-12</v>
      </c>
      <c r="L2414" s="2" t="s">
        <v>1178</v>
      </c>
      <c r="M2414" s="4" t="s">
        <v>12961</v>
      </c>
    </row>
    <row r="2415" spans="1:13">
      <c r="A2415" s="2">
        <v>3924</v>
      </c>
      <c r="B2415" s="2" t="s">
        <v>12962</v>
      </c>
      <c r="C2415" s="2">
        <v>25</v>
      </c>
      <c r="D2415" s="2">
        <v>556</v>
      </c>
      <c r="E2415" s="2">
        <v>200</v>
      </c>
      <c r="F2415" s="2">
        <v>32441</v>
      </c>
      <c r="G2415" s="2">
        <v>7.2933902880000003</v>
      </c>
      <c r="H2415" s="3">
        <v>1.2200000000000001E-13</v>
      </c>
      <c r="I2415" s="2" t="s">
        <v>12963</v>
      </c>
      <c r="J2415" s="2" t="s">
        <v>12964</v>
      </c>
      <c r="K2415" s="3">
        <v>2.2199999999999998E-12</v>
      </c>
      <c r="L2415" s="2" t="s">
        <v>1178</v>
      </c>
      <c r="M2415" s="4" t="s">
        <v>12965</v>
      </c>
    </row>
    <row r="2416" spans="1:13">
      <c r="A2416" s="2">
        <v>39661</v>
      </c>
      <c r="B2416" s="2" t="s">
        <v>12966</v>
      </c>
      <c r="C2416" s="2">
        <v>25</v>
      </c>
      <c r="D2416" s="2">
        <v>556</v>
      </c>
      <c r="E2416" s="2">
        <v>200</v>
      </c>
      <c r="F2416" s="2">
        <v>32441</v>
      </c>
      <c r="G2416" s="2">
        <v>7.2933902880000003</v>
      </c>
      <c r="H2416" s="3">
        <v>1.2200000000000001E-13</v>
      </c>
      <c r="I2416" s="2" t="s">
        <v>12967</v>
      </c>
      <c r="J2416" s="2" t="s">
        <v>12968</v>
      </c>
      <c r="K2416" s="3">
        <v>2.2199999999999998E-12</v>
      </c>
      <c r="L2416" s="2" t="s">
        <v>1178</v>
      </c>
      <c r="M2416" s="4" t="s">
        <v>12969</v>
      </c>
    </row>
    <row r="2417" spans="1:13">
      <c r="A2417" s="2">
        <v>4716</v>
      </c>
      <c r="B2417" s="2" t="s">
        <v>12970</v>
      </c>
      <c r="C2417" s="2">
        <v>25</v>
      </c>
      <c r="D2417" s="2">
        <v>556</v>
      </c>
      <c r="E2417" s="2">
        <v>200</v>
      </c>
      <c r="F2417" s="2">
        <v>32441</v>
      </c>
      <c r="G2417" s="2">
        <v>7.2933902880000003</v>
      </c>
      <c r="H2417" s="3">
        <v>1.2200000000000001E-13</v>
      </c>
      <c r="I2417" s="2" t="s">
        <v>12971</v>
      </c>
      <c r="J2417" s="2" t="s">
        <v>12972</v>
      </c>
      <c r="K2417" s="3">
        <v>2.2199999999999998E-12</v>
      </c>
      <c r="L2417" s="2" t="s">
        <v>1178</v>
      </c>
      <c r="M2417" s="4" t="s">
        <v>12973</v>
      </c>
    </row>
    <row r="2418" spans="1:13">
      <c r="A2418" s="2">
        <v>47191</v>
      </c>
      <c r="B2418" s="2" t="s">
        <v>12974</v>
      </c>
      <c r="C2418" s="2">
        <v>25</v>
      </c>
      <c r="D2418" s="2">
        <v>556</v>
      </c>
      <c r="E2418" s="2">
        <v>200</v>
      </c>
      <c r="F2418" s="2">
        <v>32441</v>
      </c>
      <c r="G2418" s="2">
        <v>7.2933902880000003</v>
      </c>
      <c r="H2418" s="3">
        <v>1.2200000000000001E-13</v>
      </c>
      <c r="I2418" s="2" t="s">
        <v>12975</v>
      </c>
      <c r="J2418" s="2" t="s">
        <v>12976</v>
      </c>
      <c r="K2418" s="3">
        <v>2.2199999999999998E-12</v>
      </c>
      <c r="L2418" s="2" t="s">
        <v>1178</v>
      </c>
      <c r="M2418" s="4" t="s">
        <v>12977</v>
      </c>
    </row>
    <row r="2419" spans="1:13">
      <c r="A2419" s="2">
        <v>3306</v>
      </c>
      <c r="B2419" s="2" t="s">
        <v>12978</v>
      </c>
      <c r="C2419" s="2">
        <v>22</v>
      </c>
      <c r="D2419" s="2">
        <v>556</v>
      </c>
      <c r="E2419" s="2">
        <v>151</v>
      </c>
      <c r="F2419" s="2">
        <v>32441</v>
      </c>
      <c r="G2419" s="2">
        <v>8.5009052359999995</v>
      </c>
      <c r="H2419" s="3">
        <v>2.2999999999999998E-13</v>
      </c>
      <c r="I2419" s="2" t="s">
        <v>12979</v>
      </c>
      <c r="J2419" s="2" t="s">
        <v>12980</v>
      </c>
      <c r="K2419" s="3">
        <v>4.1700000000000002E-12</v>
      </c>
      <c r="L2419" s="2" t="s">
        <v>1178</v>
      </c>
      <c r="M2419" s="4" t="s">
        <v>12981</v>
      </c>
    </row>
    <row r="2420" spans="1:13">
      <c r="A2420" s="2">
        <v>32361</v>
      </c>
      <c r="B2420" s="2" t="s">
        <v>12982</v>
      </c>
      <c r="C2420" s="2">
        <v>23</v>
      </c>
      <c r="D2420" s="2">
        <v>556</v>
      </c>
      <c r="E2420" s="2">
        <v>170</v>
      </c>
      <c r="F2420" s="2">
        <v>32441</v>
      </c>
      <c r="G2420" s="2">
        <v>7.8940224289999996</v>
      </c>
      <c r="H2420" s="3">
        <v>2.6599999999999998E-13</v>
      </c>
      <c r="I2420" s="2" t="s">
        <v>12983</v>
      </c>
      <c r="J2420" s="2" t="s">
        <v>12984</v>
      </c>
      <c r="K2420" s="3">
        <v>4.7999999999999997E-12</v>
      </c>
      <c r="L2420" s="2" t="s">
        <v>1178</v>
      </c>
      <c r="M2420" s="4" t="s">
        <v>12985</v>
      </c>
    </row>
    <row r="2421" spans="1:13">
      <c r="A2421" s="2">
        <v>3654</v>
      </c>
      <c r="B2421" s="2" t="s">
        <v>12986</v>
      </c>
      <c r="C2421" s="2">
        <v>23</v>
      </c>
      <c r="D2421" s="2">
        <v>556</v>
      </c>
      <c r="E2421" s="2">
        <v>175</v>
      </c>
      <c r="F2421" s="2">
        <v>32441</v>
      </c>
      <c r="G2421" s="2">
        <v>7.6684789310000001</v>
      </c>
      <c r="H2421" s="3">
        <v>4.5899999999999996E-13</v>
      </c>
      <c r="I2421" s="2" t="s">
        <v>12987</v>
      </c>
      <c r="J2421" s="2" t="s">
        <v>12988</v>
      </c>
      <c r="K2421" s="3">
        <v>8.2500000000000006E-12</v>
      </c>
      <c r="L2421" s="2" t="s">
        <v>1178</v>
      </c>
      <c r="M2421" s="4" t="s">
        <v>12989</v>
      </c>
    </row>
    <row r="2422" spans="1:13">
      <c r="A2422" s="2">
        <v>3081</v>
      </c>
      <c r="B2422" s="2" t="s">
        <v>12990</v>
      </c>
      <c r="C2422" s="2">
        <v>24</v>
      </c>
      <c r="D2422" s="2">
        <v>556</v>
      </c>
      <c r="E2422" s="2">
        <v>198</v>
      </c>
      <c r="F2422" s="2">
        <v>32441</v>
      </c>
      <c r="G2422" s="2">
        <v>7.0723784609999996</v>
      </c>
      <c r="H2422" s="3">
        <v>6.9299999999999998E-13</v>
      </c>
      <c r="I2422" s="2" t="s">
        <v>12991</v>
      </c>
      <c r="J2422" s="2" t="s">
        <v>12992</v>
      </c>
      <c r="K2422" s="3">
        <v>1.24E-11</v>
      </c>
      <c r="L2422" s="2" t="s">
        <v>1178</v>
      </c>
      <c r="M2422" s="4" t="s">
        <v>12993</v>
      </c>
    </row>
    <row r="2423" spans="1:13">
      <c r="A2423" s="2">
        <v>64</v>
      </c>
      <c r="B2423" s="2" t="s">
        <v>12994</v>
      </c>
      <c r="C2423" s="2">
        <v>24</v>
      </c>
      <c r="D2423" s="2">
        <v>556</v>
      </c>
      <c r="E2423" s="2">
        <v>200</v>
      </c>
      <c r="F2423" s="2">
        <v>32441</v>
      </c>
      <c r="G2423" s="2">
        <v>7.0016546760000002</v>
      </c>
      <c r="H2423" s="3">
        <v>8.4300000000000004E-13</v>
      </c>
      <c r="I2423" s="2" t="s">
        <v>12995</v>
      </c>
      <c r="J2423" s="2" t="s">
        <v>12996</v>
      </c>
      <c r="K2423" s="3">
        <v>1.31E-11</v>
      </c>
      <c r="L2423" s="2" t="s">
        <v>1178</v>
      </c>
      <c r="M2423" s="4" t="s">
        <v>12997</v>
      </c>
    </row>
    <row r="2424" spans="1:13">
      <c r="A2424" s="2">
        <v>943</v>
      </c>
      <c r="B2424" s="2" t="s">
        <v>12998</v>
      </c>
      <c r="C2424" s="2">
        <v>24</v>
      </c>
      <c r="D2424" s="2">
        <v>556</v>
      </c>
      <c r="E2424" s="2">
        <v>200</v>
      </c>
      <c r="F2424" s="2">
        <v>32441</v>
      </c>
      <c r="G2424" s="2">
        <v>7.0016546760000002</v>
      </c>
      <c r="H2424" s="3">
        <v>8.4300000000000004E-13</v>
      </c>
      <c r="I2424" s="2" t="s">
        <v>12999</v>
      </c>
      <c r="J2424" s="2" t="s">
        <v>13000</v>
      </c>
      <c r="K2424" s="3">
        <v>1.31E-11</v>
      </c>
      <c r="L2424" s="2" t="s">
        <v>1178</v>
      </c>
      <c r="M2424" s="4" t="s">
        <v>13001</v>
      </c>
    </row>
    <row r="2425" spans="1:13">
      <c r="A2425" s="2">
        <v>2343</v>
      </c>
      <c r="B2425" s="2" t="s">
        <v>13002</v>
      </c>
      <c r="C2425" s="2">
        <v>24</v>
      </c>
      <c r="D2425" s="2">
        <v>556</v>
      </c>
      <c r="E2425" s="2">
        <v>200</v>
      </c>
      <c r="F2425" s="2">
        <v>32441</v>
      </c>
      <c r="G2425" s="2">
        <v>7.0016546760000002</v>
      </c>
      <c r="H2425" s="3">
        <v>8.4300000000000004E-13</v>
      </c>
      <c r="I2425" s="2" t="s">
        <v>13003</v>
      </c>
      <c r="J2425" s="2" t="s">
        <v>13004</v>
      </c>
      <c r="K2425" s="3">
        <v>1.31E-11</v>
      </c>
      <c r="L2425" s="2" t="s">
        <v>1178</v>
      </c>
      <c r="M2425" s="4" t="s">
        <v>13005</v>
      </c>
    </row>
    <row r="2426" spans="1:13">
      <c r="A2426" s="2">
        <v>2825</v>
      </c>
      <c r="B2426" s="2" t="s">
        <v>13006</v>
      </c>
      <c r="C2426" s="2">
        <v>24</v>
      </c>
      <c r="D2426" s="2">
        <v>556</v>
      </c>
      <c r="E2426" s="2">
        <v>200</v>
      </c>
      <c r="F2426" s="2">
        <v>32441</v>
      </c>
      <c r="G2426" s="2">
        <v>7.0016546760000002</v>
      </c>
      <c r="H2426" s="3">
        <v>8.4300000000000004E-13</v>
      </c>
      <c r="I2426" s="2" t="s">
        <v>13007</v>
      </c>
      <c r="J2426" s="2" t="s">
        <v>13008</v>
      </c>
      <c r="K2426" s="3">
        <v>1.31E-11</v>
      </c>
      <c r="L2426" s="2" t="s">
        <v>1178</v>
      </c>
      <c r="M2426" s="4" t="s">
        <v>13009</v>
      </c>
    </row>
    <row r="2427" spans="1:13">
      <c r="A2427" s="2">
        <v>379</v>
      </c>
      <c r="B2427" s="2" t="s">
        <v>13010</v>
      </c>
      <c r="C2427" s="2">
        <v>24</v>
      </c>
      <c r="D2427" s="2">
        <v>556</v>
      </c>
      <c r="E2427" s="2">
        <v>200</v>
      </c>
      <c r="F2427" s="2">
        <v>32441</v>
      </c>
      <c r="G2427" s="2">
        <v>7.0016546760000002</v>
      </c>
      <c r="H2427" s="3">
        <v>8.4300000000000004E-13</v>
      </c>
      <c r="I2427" s="2" t="s">
        <v>13011</v>
      </c>
      <c r="J2427" s="2" t="s">
        <v>13012</v>
      </c>
      <c r="K2427" s="3">
        <v>1.31E-11</v>
      </c>
      <c r="L2427" s="2" t="s">
        <v>1178</v>
      </c>
      <c r="M2427" s="4" t="s">
        <v>13013</v>
      </c>
    </row>
    <row r="2428" spans="1:13">
      <c r="A2428" s="2">
        <v>4205</v>
      </c>
      <c r="B2428" s="2" t="s">
        <v>13014</v>
      </c>
      <c r="C2428" s="2">
        <v>24</v>
      </c>
      <c r="D2428" s="2">
        <v>556</v>
      </c>
      <c r="E2428" s="2">
        <v>200</v>
      </c>
      <c r="F2428" s="2">
        <v>32441</v>
      </c>
      <c r="G2428" s="2">
        <v>7.0016546760000002</v>
      </c>
      <c r="H2428" s="3">
        <v>8.4300000000000004E-13</v>
      </c>
      <c r="I2428" s="2" t="s">
        <v>13015</v>
      </c>
      <c r="J2428" s="2" t="s">
        <v>13016</v>
      </c>
      <c r="K2428" s="3">
        <v>1.31E-11</v>
      </c>
      <c r="L2428" s="2" t="s">
        <v>1178</v>
      </c>
      <c r="M2428" s="4" t="s">
        <v>13017</v>
      </c>
    </row>
    <row r="2429" spans="1:13">
      <c r="A2429" s="2">
        <v>858</v>
      </c>
      <c r="B2429" s="2" t="s">
        <v>13018</v>
      </c>
      <c r="C2429" s="2">
        <v>24</v>
      </c>
      <c r="D2429" s="2">
        <v>556</v>
      </c>
      <c r="E2429" s="2">
        <v>200</v>
      </c>
      <c r="F2429" s="2">
        <v>32441</v>
      </c>
      <c r="G2429" s="2">
        <v>7.0016546760000002</v>
      </c>
      <c r="H2429" s="3">
        <v>8.4300000000000004E-13</v>
      </c>
      <c r="I2429" s="2" t="s">
        <v>13019</v>
      </c>
      <c r="J2429" s="2" t="s">
        <v>13020</v>
      </c>
      <c r="K2429" s="3">
        <v>1.31E-11</v>
      </c>
      <c r="L2429" s="2" t="s">
        <v>1178</v>
      </c>
      <c r="M2429" s="4" t="s">
        <v>13021</v>
      </c>
    </row>
    <row r="2430" spans="1:13">
      <c r="A2430" s="2">
        <v>894</v>
      </c>
      <c r="B2430" s="2" t="s">
        <v>13022</v>
      </c>
      <c r="C2430" s="2">
        <v>24</v>
      </c>
      <c r="D2430" s="2">
        <v>556</v>
      </c>
      <c r="E2430" s="2">
        <v>200</v>
      </c>
      <c r="F2430" s="2">
        <v>32441</v>
      </c>
      <c r="G2430" s="2">
        <v>7.0016546760000002</v>
      </c>
      <c r="H2430" s="3">
        <v>8.4300000000000004E-13</v>
      </c>
      <c r="I2430" s="2" t="s">
        <v>13023</v>
      </c>
      <c r="J2430" s="2" t="s">
        <v>13024</v>
      </c>
      <c r="K2430" s="3">
        <v>1.31E-11</v>
      </c>
      <c r="L2430" s="2" t="s">
        <v>1178</v>
      </c>
      <c r="M2430" s="4" t="s">
        <v>13025</v>
      </c>
    </row>
    <row r="2431" spans="1:13">
      <c r="A2431" s="2">
        <v>940</v>
      </c>
      <c r="B2431" s="2" t="s">
        <v>13026</v>
      </c>
      <c r="C2431" s="2">
        <v>24</v>
      </c>
      <c r="D2431" s="2">
        <v>556</v>
      </c>
      <c r="E2431" s="2">
        <v>200</v>
      </c>
      <c r="F2431" s="2">
        <v>32441</v>
      </c>
      <c r="G2431" s="2">
        <v>7.0016546760000002</v>
      </c>
      <c r="H2431" s="3">
        <v>8.4300000000000004E-13</v>
      </c>
      <c r="I2431" s="2" t="s">
        <v>13027</v>
      </c>
      <c r="J2431" s="2" t="s">
        <v>13028</v>
      </c>
      <c r="K2431" s="3">
        <v>1.31E-11</v>
      </c>
      <c r="L2431" s="2" t="s">
        <v>1178</v>
      </c>
      <c r="M2431" s="4" t="s">
        <v>13029</v>
      </c>
    </row>
    <row r="2432" spans="1:13">
      <c r="A2432" s="2">
        <v>982</v>
      </c>
      <c r="B2432" s="2" t="s">
        <v>13030</v>
      </c>
      <c r="C2432" s="2">
        <v>24</v>
      </c>
      <c r="D2432" s="2">
        <v>556</v>
      </c>
      <c r="E2432" s="2">
        <v>200</v>
      </c>
      <c r="F2432" s="2">
        <v>32441</v>
      </c>
      <c r="G2432" s="2">
        <v>7.0016546760000002</v>
      </c>
      <c r="H2432" s="3">
        <v>8.4300000000000004E-13</v>
      </c>
      <c r="I2432" s="2" t="s">
        <v>13031</v>
      </c>
      <c r="J2432" s="2" t="s">
        <v>13032</v>
      </c>
      <c r="K2432" s="3">
        <v>1.31E-11</v>
      </c>
      <c r="L2432" s="2" t="s">
        <v>1178</v>
      </c>
      <c r="M2432" s="4" t="s">
        <v>13033</v>
      </c>
    </row>
    <row r="2433" spans="1:13">
      <c r="A2433" s="2">
        <v>9931</v>
      </c>
      <c r="B2433" s="2" t="s">
        <v>1416</v>
      </c>
      <c r="C2433" s="2">
        <v>24</v>
      </c>
      <c r="D2433" s="2">
        <v>556</v>
      </c>
      <c r="E2433" s="2">
        <v>200</v>
      </c>
      <c r="F2433" s="2">
        <v>32441</v>
      </c>
      <c r="G2433" s="2">
        <v>7.0016546760000002</v>
      </c>
      <c r="H2433" s="3">
        <v>8.4300000000000004E-13</v>
      </c>
      <c r="I2433" s="2" t="s">
        <v>13034</v>
      </c>
      <c r="J2433" s="2" t="s">
        <v>13035</v>
      </c>
      <c r="K2433" s="3">
        <v>1.31E-11</v>
      </c>
      <c r="L2433" s="2" t="s">
        <v>1178</v>
      </c>
      <c r="M2433" s="4" t="s">
        <v>13036</v>
      </c>
    </row>
    <row r="2434" spans="1:13">
      <c r="A2434" s="2">
        <v>1027</v>
      </c>
      <c r="B2434" s="2" t="s">
        <v>13037</v>
      </c>
      <c r="C2434" s="2">
        <v>24</v>
      </c>
      <c r="D2434" s="2">
        <v>556</v>
      </c>
      <c r="E2434" s="2">
        <v>200</v>
      </c>
      <c r="F2434" s="2">
        <v>32441</v>
      </c>
      <c r="G2434" s="2">
        <v>7.0016546760000002</v>
      </c>
      <c r="H2434" s="3">
        <v>8.4300000000000004E-13</v>
      </c>
      <c r="I2434" s="2" t="s">
        <v>13038</v>
      </c>
      <c r="J2434" s="2" t="s">
        <v>13039</v>
      </c>
      <c r="K2434" s="3">
        <v>1.31E-11</v>
      </c>
      <c r="L2434" s="2" t="s">
        <v>1178</v>
      </c>
      <c r="M2434" s="4" t="s">
        <v>13040</v>
      </c>
    </row>
    <row r="2435" spans="1:13">
      <c r="A2435" s="2">
        <v>1116</v>
      </c>
      <c r="B2435" s="2" t="s">
        <v>13041</v>
      </c>
      <c r="C2435" s="2">
        <v>24</v>
      </c>
      <c r="D2435" s="2">
        <v>556</v>
      </c>
      <c r="E2435" s="2">
        <v>200</v>
      </c>
      <c r="F2435" s="2">
        <v>32441</v>
      </c>
      <c r="G2435" s="2">
        <v>7.0016546760000002</v>
      </c>
      <c r="H2435" s="3">
        <v>8.4300000000000004E-13</v>
      </c>
      <c r="I2435" s="2" t="s">
        <v>13042</v>
      </c>
      <c r="J2435" s="2" t="s">
        <v>13043</v>
      </c>
      <c r="K2435" s="3">
        <v>1.31E-11</v>
      </c>
      <c r="L2435" s="2" t="s">
        <v>1178</v>
      </c>
      <c r="M2435" s="4" t="s">
        <v>13044</v>
      </c>
    </row>
    <row r="2436" spans="1:13">
      <c r="A2436" s="2">
        <v>1401</v>
      </c>
      <c r="B2436" s="2" t="s">
        <v>1257</v>
      </c>
      <c r="C2436" s="2">
        <v>24</v>
      </c>
      <c r="D2436" s="2">
        <v>556</v>
      </c>
      <c r="E2436" s="2">
        <v>200</v>
      </c>
      <c r="F2436" s="2">
        <v>32441</v>
      </c>
      <c r="G2436" s="2">
        <v>7.0016546760000002</v>
      </c>
      <c r="H2436" s="3">
        <v>8.4300000000000004E-13</v>
      </c>
      <c r="I2436" s="2" t="s">
        <v>13045</v>
      </c>
      <c r="J2436" s="2" t="s">
        <v>13046</v>
      </c>
      <c r="K2436" s="3">
        <v>1.31E-11</v>
      </c>
      <c r="L2436" s="2" t="s">
        <v>1178</v>
      </c>
      <c r="M2436" s="4" t="s">
        <v>13047</v>
      </c>
    </row>
    <row r="2437" spans="1:13">
      <c r="A2437" s="2">
        <v>14381</v>
      </c>
      <c r="B2437" s="2" t="s">
        <v>13048</v>
      </c>
      <c r="C2437" s="2">
        <v>24</v>
      </c>
      <c r="D2437" s="2">
        <v>556</v>
      </c>
      <c r="E2437" s="2">
        <v>200</v>
      </c>
      <c r="F2437" s="2">
        <v>32441</v>
      </c>
      <c r="G2437" s="2">
        <v>7.0016546760000002</v>
      </c>
      <c r="H2437" s="3">
        <v>8.4300000000000004E-13</v>
      </c>
      <c r="I2437" s="2" t="s">
        <v>13049</v>
      </c>
      <c r="J2437" s="2" t="s">
        <v>13050</v>
      </c>
      <c r="K2437" s="3">
        <v>1.31E-11</v>
      </c>
      <c r="L2437" s="2" t="s">
        <v>1178</v>
      </c>
      <c r="M2437" s="4" t="s">
        <v>13051</v>
      </c>
    </row>
    <row r="2438" spans="1:13">
      <c r="A2438" s="2">
        <v>1452</v>
      </c>
      <c r="B2438" s="2" t="s">
        <v>13052</v>
      </c>
      <c r="C2438" s="2">
        <v>24</v>
      </c>
      <c r="D2438" s="2">
        <v>556</v>
      </c>
      <c r="E2438" s="2">
        <v>200</v>
      </c>
      <c r="F2438" s="2">
        <v>32441</v>
      </c>
      <c r="G2438" s="2">
        <v>7.0016546760000002</v>
      </c>
      <c r="H2438" s="3">
        <v>8.4300000000000004E-13</v>
      </c>
      <c r="I2438" s="2" t="s">
        <v>13053</v>
      </c>
      <c r="J2438" s="2" t="s">
        <v>13054</v>
      </c>
      <c r="K2438" s="3">
        <v>1.31E-11</v>
      </c>
      <c r="L2438" s="2" t="s">
        <v>1178</v>
      </c>
      <c r="M2438" s="4" t="s">
        <v>13055</v>
      </c>
    </row>
    <row r="2439" spans="1:13">
      <c r="A2439" s="2">
        <v>1641</v>
      </c>
      <c r="B2439" s="2" t="s">
        <v>13056</v>
      </c>
      <c r="C2439" s="2">
        <v>24</v>
      </c>
      <c r="D2439" s="2">
        <v>556</v>
      </c>
      <c r="E2439" s="2">
        <v>200</v>
      </c>
      <c r="F2439" s="2">
        <v>32441</v>
      </c>
      <c r="G2439" s="2">
        <v>7.0016546760000002</v>
      </c>
      <c r="H2439" s="3">
        <v>8.4300000000000004E-13</v>
      </c>
      <c r="I2439" s="2" t="s">
        <v>13057</v>
      </c>
      <c r="J2439" s="2" t="s">
        <v>13058</v>
      </c>
      <c r="K2439" s="3">
        <v>1.31E-11</v>
      </c>
      <c r="L2439" s="2" t="s">
        <v>1178</v>
      </c>
      <c r="M2439" s="4" t="s">
        <v>13059</v>
      </c>
    </row>
    <row r="2440" spans="1:13">
      <c r="A2440" s="2">
        <v>1643</v>
      </c>
      <c r="B2440" s="2" t="s">
        <v>13060</v>
      </c>
      <c r="C2440" s="2">
        <v>24</v>
      </c>
      <c r="D2440" s="2">
        <v>556</v>
      </c>
      <c r="E2440" s="2">
        <v>200</v>
      </c>
      <c r="F2440" s="2">
        <v>32441</v>
      </c>
      <c r="G2440" s="2">
        <v>7.0016546760000002</v>
      </c>
      <c r="H2440" s="3">
        <v>8.4300000000000004E-13</v>
      </c>
      <c r="I2440" s="2" t="s">
        <v>13061</v>
      </c>
      <c r="J2440" s="2" t="s">
        <v>13062</v>
      </c>
      <c r="K2440" s="3">
        <v>1.31E-11</v>
      </c>
      <c r="L2440" s="2" t="s">
        <v>1178</v>
      </c>
      <c r="M2440" s="4" t="s">
        <v>13063</v>
      </c>
    </row>
    <row r="2441" spans="1:13">
      <c r="A2441" s="2">
        <v>1766</v>
      </c>
      <c r="B2441" s="2" t="s">
        <v>13064</v>
      </c>
      <c r="C2441" s="2">
        <v>24</v>
      </c>
      <c r="D2441" s="2">
        <v>556</v>
      </c>
      <c r="E2441" s="2">
        <v>200</v>
      </c>
      <c r="F2441" s="2">
        <v>32441</v>
      </c>
      <c r="G2441" s="2">
        <v>7.0016546760000002</v>
      </c>
      <c r="H2441" s="3">
        <v>8.4300000000000004E-13</v>
      </c>
      <c r="I2441" s="2" t="s">
        <v>13065</v>
      </c>
      <c r="J2441" s="2" t="s">
        <v>13066</v>
      </c>
      <c r="K2441" s="3">
        <v>1.31E-11</v>
      </c>
      <c r="L2441" s="2" t="s">
        <v>1178</v>
      </c>
      <c r="M2441" s="4" t="s">
        <v>13067</v>
      </c>
    </row>
    <row r="2442" spans="1:13">
      <c r="A2442" s="2">
        <v>1802</v>
      </c>
      <c r="B2442" s="2" t="s">
        <v>13068</v>
      </c>
      <c r="C2442" s="2">
        <v>24</v>
      </c>
      <c r="D2442" s="2">
        <v>556</v>
      </c>
      <c r="E2442" s="2">
        <v>200</v>
      </c>
      <c r="F2442" s="2">
        <v>32441</v>
      </c>
      <c r="G2442" s="2">
        <v>7.0016546760000002</v>
      </c>
      <c r="H2442" s="3">
        <v>8.4300000000000004E-13</v>
      </c>
      <c r="I2442" s="2" t="s">
        <v>13069</v>
      </c>
      <c r="J2442" s="2" t="s">
        <v>13070</v>
      </c>
      <c r="K2442" s="3">
        <v>1.31E-11</v>
      </c>
      <c r="L2442" s="2" t="s">
        <v>1178</v>
      </c>
      <c r="M2442" s="4" t="s">
        <v>13071</v>
      </c>
    </row>
    <row r="2443" spans="1:13">
      <c r="A2443" s="2">
        <v>2110</v>
      </c>
      <c r="B2443" s="2" t="s">
        <v>13072</v>
      </c>
      <c r="C2443" s="2">
        <v>24</v>
      </c>
      <c r="D2443" s="2">
        <v>556</v>
      </c>
      <c r="E2443" s="2">
        <v>200</v>
      </c>
      <c r="F2443" s="2">
        <v>32441</v>
      </c>
      <c r="G2443" s="2">
        <v>7.0016546760000002</v>
      </c>
      <c r="H2443" s="3">
        <v>8.4300000000000004E-13</v>
      </c>
      <c r="I2443" s="2" t="s">
        <v>13073</v>
      </c>
      <c r="J2443" s="2" t="s">
        <v>13074</v>
      </c>
      <c r="K2443" s="3">
        <v>1.31E-11</v>
      </c>
      <c r="L2443" s="2" t="s">
        <v>1178</v>
      </c>
      <c r="M2443" s="4" t="s">
        <v>13075</v>
      </c>
    </row>
    <row r="2444" spans="1:13">
      <c r="A2444" s="2">
        <v>2434</v>
      </c>
      <c r="B2444" s="2" t="s">
        <v>13076</v>
      </c>
      <c r="C2444" s="2">
        <v>24</v>
      </c>
      <c r="D2444" s="2">
        <v>556</v>
      </c>
      <c r="E2444" s="2">
        <v>199</v>
      </c>
      <c r="F2444" s="2">
        <v>32441</v>
      </c>
      <c r="G2444" s="2">
        <v>7.0368388709999996</v>
      </c>
      <c r="H2444" s="3">
        <v>7.6399999999999998E-13</v>
      </c>
      <c r="I2444" s="2" t="s">
        <v>13077</v>
      </c>
      <c r="J2444" s="2" t="s">
        <v>13078</v>
      </c>
      <c r="K2444" s="3">
        <v>1.31E-11</v>
      </c>
      <c r="L2444" s="2" t="s">
        <v>1178</v>
      </c>
      <c r="M2444" s="4" t="s">
        <v>13079</v>
      </c>
    </row>
    <row r="2445" spans="1:13">
      <c r="A2445" s="2">
        <v>3042</v>
      </c>
      <c r="B2445" s="2" t="s">
        <v>13080</v>
      </c>
      <c r="C2445" s="2">
        <v>24</v>
      </c>
      <c r="D2445" s="2">
        <v>556</v>
      </c>
      <c r="E2445" s="2">
        <v>199</v>
      </c>
      <c r="F2445" s="2">
        <v>32441</v>
      </c>
      <c r="G2445" s="2">
        <v>7.0368388709999996</v>
      </c>
      <c r="H2445" s="3">
        <v>7.6399999999999998E-13</v>
      </c>
      <c r="I2445" s="2" t="s">
        <v>13081</v>
      </c>
      <c r="J2445" s="2" t="s">
        <v>13082</v>
      </c>
      <c r="K2445" s="3">
        <v>1.31E-11</v>
      </c>
      <c r="L2445" s="2" t="s">
        <v>1178</v>
      </c>
      <c r="M2445" s="4" t="s">
        <v>13083</v>
      </c>
    </row>
    <row r="2446" spans="1:13">
      <c r="A2446" s="2">
        <v>3102</v>
      </c>
      <c r="B2446" s="2" t="s">
        <v>13084</v>
      </c>
      <c r="C2446" s="2">
        <v>24</v>
      </c>
      <c r="D2446" s="2">
        <v>556</v>
      </c>
      <c r="E2446" s="2">
        <v>200</v>
      </c>
      <c r="F2446" s="2">
        <v>32441</v>
      </c>
      <c r="G2446" s="2">
        <v>7.0016546760000002</v>
      </c>
      <c r="H2446" s="3">
        <v>8.4300000000000004E-13</v>
      </c>
      <c r="I2446" s="2" t="s">
        <v>13085</v>
      </c>
      <c r="J2446" s="2" t="s">
        <v>13086</v>
      </c>
      <c r="K2446" s="3">
        <v>1.31E-11</v>
      </c>
      <c r="L2446" s="2" t="s">
        <v>1178</v>
      </c>
      <c r="M2446" s="4" t="s">
        <v>13087</v>
      </c>
    </row>
    <row r="2447" spans="1:13">
      <c r="A2447" s="2">
        <v>31441</v>
      </c>
      <c r="B2447" s="2" t="s">
        <v>13088</v>
      </c>
      <c r="C2447" s="2">
        <v>24</v>
      </c>
      <c r="D2447" s="2">
        <v>556</v>
      </c>
      <c r="E2447" s="2">
        <v>200</v>
      </c>
      <c r="F2447" s="2">
        <v>32441</v>
      </c>
      <c r="G2447" s="2">
        <v>7.0016546760000002</v>
      </c>
      <c r="H2447" s="3">
        <v>8.4300000000000004E-13</v>
      </c>
      <c r="I2447" s="2" t="s">
        <v>13089</v>
      </c>
      <c r="J2447" s="2" t="s">
        <v>13090</v>
      </c>
      <c r="K2447" s="3">
        <v>1.31E-11</v>
      </c>
      <c r="L2447" s="2" t="s">
        <v>1178</v>
      </c>
      <c r="M2447" s="4" t="s">
        <v>13091</v>
      </c>
    </row>
    <row r="2448" spans="1:13">
      <c r="A2448" s="2">
        <v>3145</v>
      </c>
      <c r="B2448" s="2" t="s">
        <v>13092</v>
      </c>
      <c r="C2448" s="2">
        <v>24</v>
      </c>
      <c r="D2448" s="2">
        <v>556</v>
      </c>
      <c r="E2448" s="2">
        <v>200</v>
      </c>
      <c r="F2448" s="2">
        <v>32441</v>
      </c>
      <c r="G2448" s="2">
        <v>7.0016546760000002</v>
      </c>
      <c r="H2448" s="3">
        <v>8.4300000000000004E-13</v>
      </c>
      <c r="I2448" s="2" t="s">
        <v>13093</v>
      </c>
      <c r="J2448" s="2" t="s">
        <v>13094</v>
      </c>
      <c r="K2448" s="3">
        <v>1.31E-11</v>
      </c>
      <c r="L2448" s="2" t="s">
        <v>1178</v>
      </c>
      <c r="M2448" s="4" t="s">
        <v>13095</v>
      </c>
    </row>
    <row r="2449" spans="1:13">
      <c r="A2449" s="2">
        <v>32381</v>
      </c>
      <c r="B2449" s="2" t="s">
        <v>13096</v>
      </c>
      <c r="C2449" s="2">
        <v>23</v>
      </c>
      <c r="D2449" s="2">
        <v>556</v>
      </c>
      <c r="E2449" s="2">
        <v>180</v>
      </c>
      <c r="F2449" s="2">
        <v>32441</v>
      </c>
      <c r="G2449" s="2">
        <v>7.4554656269999997</v>
      </c>
      <c r="H2449" s="3">
        <v>7.8000000000000001E-13</v>
      </c>
      <c r="I2449" s="2" t="s">
        <v>13097</v>
      </c>
      <c r="J2449" s="2" t="s">
        <v>13098</v>
      </c>
      <c r="K2449" s="3">
        <v>1.31E-11</v>
      </c>
      <c r="L2449" s="2" t="s">
        <v>1178</v>
      </c>
      <c r="M2449" s="4" t="s">
        <v>13099</v>
      </c>
    </row>
    <row r="2450" spans="1:13">
      <c r="A2450" s="2">
        <v>3245</v>
      </c>
      <c r="B2450" s="2" t="s">
        <v>13100</v>
      </c>
      <c r="C2450" s="2">
        <v>24</v>
      </c>
      <c r="D2450" s="2">
        <v>556</v>
      </c>
      <c r="E2450" s="2">
        <v>200</v>
      </c>
      <c r="F2450" s="2">
        <v>32441</v>
      </c>
      <c r="G2450" s="2">
        <v>7.0016546760000002</v>
      </c>
      <c r="H2450" s="3">
        <v>8.4300000000000004E-13</v>
      </c>
      <c r="I2450" s="2" t="s">
        <v>13101</v>
      </c>
      <c r="J2450" s="2" t="s">
        <v>13102</v>
      </c>
      <c r="K2450" s="3">
        <v>1.31E-11</v>
      </c>
      <c r="L2450" s="2" t="s">
        <v>1178</v>
      </c>
      <c r="M2450" s="4" t="s">
        <v>13103</v>
      </c>
    </row>
    <row r="2451" spans="1:13">
      <c r="A2451" s="2">
        <v>34531</v>
      </c>
      <c r="B2451" s="2" t="s">
        <v>13104</v>
      </c>
      <c r="C2451" s="2">
        <v>24</v>
      </c>
      <c r="D2451" s="2">
        <v>556</v>
      </c>
      <c r="E2451" s="2">
        <v>200</v>
      </c>
      <c r="F2451" s="2">
        <v>32441</v>
      </c>
      <c r="G2451" s="2">
        <v>7.0016546760000002</v>
      </c>
      <c r="H2451" s="3">
        <v>8.4300000000000004E-13</v>
      </c>
      <c r="I2451" s="2" t="s">
        <v>13105</v>
      </c>
      <c r="J2451" s="2" t="s">
        <v>13106</v>
      </c>
      <c r="K2451" s="3">
        <v>1.31E-11</v>
      </c>
      <c r="L2451" s="2" t="s">
        <v>1178</v>
      </c>
      <c r="M2451" s="4" t="s">
        <v>13107</v>
      </c>
    </row>
    <row r="2452" spans="1:13">
      <c r="A2452" s="2">
        <v>3465</v>
      </c>
      <c r="B2452" s="2" t="s">
        <v>13108</v>
      </c>
      <c r="C2452" s="2">
        <v>24</v>
      </c>
      <c r="D2452" s="2">
        <v>556</v>
      </c>
      <c r="E2452" s="2">
        <v>199</v>
      </c>
      <c r="F2452" s="2">
        <v>32441</v>
      </c>
      <c r="G2452" s="2">
        <v>7.0368388709999996</v>
      </c>
      <c r="H2452" s="3">
        <v>7.6399999999999998E-13</v>
      </c>
      <c r="I2452" s="2" t="s">
        <v>13109</v>
      </c>
      <c r="J2452" s="2" t="s">
        <v>13110</v>
      </c>
      <c r="K2452" s="3">
        <v>1.31E-11</v>
      </c>
      <c r="L2452" s="2" t="s">
        <v>1178</v>
      </c>
      <c r="M2452" s="4" t="s">
        <v>13111</v>
      </c>
    </row>
    <row r="2453" spans="1:13">
      <c r="A2453" s="2">
        <v>3542</v>
      </c>
      <c r="B2453" s="2" t="s">
        <v>13112</v>
      </c>
      <c r="C2453" s="2">
        <v>24</v>
      </c>
      <c r="D2453" s="2">
        <v>556</v>
      </c>
      <c r="E2453" s="2">
        <v>199</v>
      </c>
      <c r="F2453" s="2">
        <v>32441</v>
      </c>
      <c r="G2453" s="2">
        <v>7.0368388709999996</v>
      </c>
      <c r="H2453" s="3">
        <v>7.6399999999999998E-13</v>
      </c>
      <c r="I2453" s="2" t="s">
        <v>13113</v>
      </c>
      <c r="J2453" s="2" t="s">
        <v>13114</v>
      </c>
      <c r="K2453" s="3">
        <v>1.31E-11</v>
      </c>
      <c r="L2453" s="2" t="s">
        <v>1178</v>
      </c>
      <c r="M2453" s="4" t="s">
        <v>13115</v>
      </c>
    </row>
    <row r="2454" spans="1:13">
      <c r="A2454" s="2">
        <v>3551</v>
      </c>
      <c r="B2454" s="2" t="s">
        <v>13116</v>
      </c>
      <c r="C2454" s="2">
        <v>24</v>
      </c>
      <c r="D2454" s="2">
        <v>556</v>
      </c>
      <c r="E2454" s="2">
        <v>200</v>
      </c>
      <c r="F2454" s="2">
        <v>32441</v>
      </c>
      <c r="G2454" s="2">
        <v>7.0016546760000002</v>
      </c>
      <c r="H2454" s="3">
        <v>8.4300000000000004E-13</v>
      </c>
      <c r="I2454" s="2" t="s">
        <v>13117</v>
      </c>
      <c r="J2454" s="2" t="s">
        <v>13118</v>
      </c>
      <c r="K2454" s="3">
        <v>1.31E-11</v>
      </c>
      <c r="L2454" s="2" t="s">
        <v>1178</v>
      </c>
      <c r="M2454" s="4" t="s">
        <v>13119</v>
      </c>
    </row>
    <row r="2455" spans="1:13">
      <c r="A2455" s="2">
        <v>3552</v>
      </c>
      <c r="B2455" s="2" t="s">
        <v>13120</v>
      </c>
      <c r="C2455" s="2">
        <v>24</v>
      </c>
      <c r="D2455" s="2">
        <v>556</v>
      </c>
      <c r="E2455" s="2">
        <v>200</v>
      </c>
      <c r="F2455" s="2">
        <v>32441</v>
      </c>
      <c r="G2455" s="2">
        <v>7.0016546760000002</v>
      </c>
      <c r="H2455" s="3">
        <v>8.4300000000000004E-13</v>
      </c>
      <c r="I2455" s="2" t="s">
        <v>13121</v>
      </c>
      <c r="J2455" s="2" t="s">
        <v>13122</v>
      </c>
      <c r="K2455" s="3">
        <v>1.31E-11</v>
      </c>
      <c r="L2455" s="2" t="s">
        <v>1178</v>
      </c>
      <c r="M2455" s="4" t="s">
        <v>13123</v>
      </c>
    </row>
    <row r="2456" spans="1:13">
      <c r="A2456" s="2">
        <v>3802</v>
      </c>
      <c r="B2456" s="2" t="s">
        <v>13124</v>
      </c>
      <c r="C2456" s="2">
        <v>24</v>
      </c>
      <c r="D2456" s="2">
        <v>556</v>
      </c>
      <c r="E2456" s="2">
        <v>200</v>
      </c>
      <c r="F2456" s="2">
        <v>32441</v>
      </c>
      <c r="G2456" s="2">
        <v>7.0016546760000002</v>
      </c>
      <c r="H2456" s="3">
        <v>8.4300000000000004E-13</v>
      </c>
      <c r="I2456" s="2" t="s">
        <v>13125</v>
      </c>
      <c r="J2456" s="2" t="s">
        <v>13126</v>
      </c>
      <c r="K2456" s="3">
        <v>1.31E-11</v>
      </c>
      <c r="L2456" s="2" t="s">
        <v>1178</v>
      </c>
      <c r="M2456" s="4" t="s">
        <v>13127</v>
      </c>
    </row>
    <row r="2457" spans="1:13">
      <c r="A2457" s="2">
        <v>38411</v>
      </c>
      <c r="B2457" s="2" t="s">
        <v>13128</v>
      </c>
      <c r="C2457" s="2">
        <v>24</v>
      </c>
      <c r="D2457" s="2">
        <v>556</v>
      </c>
      <c r="E2457" s="2">
        <v>200</v>
      </c>
      <c r="F2457" s="2">
        <v>32441</v>
      </c>
      <c r="G2457" s="2">
        <v>7.0016546760000002</v>
      </c>
      <c r="H2457" s="3">
        <v>8.4300000000000004E-13</v>
      </c>
      <c r="I2457" s="2" t="s">
        <v>13129</v>
      </c>
      <c r="J2457" s="2" t="s">
        <v>13130</v>
      </c>
      <c r="K2457" s="3">
        <v>1.31E-11</v>
      </c>
      <c r="L2457" s="2" t="s">
        <v>1178</v>
      </c>
      <c r="M2457" s="4" t="s">
        <v>13131</v>
      </c>
    </row>
    <row r="2458" spans="1:13">
      <c r="A2458" s="2">
        <v>39102</v>
      </c>
      <c r="B2458" s="2" t="s">
        <v>13132</v>
      </c>
      <c r="C2458" s="2">
        <v>24</v>
      </c>
      <c r="D2458" s="2">
        <v>556</v>
      </c>
      <c r="E2458" s="2">
        <v>200</v>
      </c>
      <c r="F2458" s="2">
        <v>32441</v>
      </c>
      <c r="G2458" s="2">
        <v>7.0016546760000002</v>
      </c>
      <c r="H2458" s="3">
        <v>8.4300000000000004E-13</v>
      </c>
      <c r="I2458" s="2" t="s">
        <v>13133</v>
      </c>
      <c r="J2458" s="2" t="s">
        <v>13134</v>
      </c>
      <c r="K2458" s="3">
        <v>1.31E-11</v>
      </c>
      <c r="L2458" s="2" t="s">
        <v>1178</v>
      </c>
      <c r="M2458" s="4" t="s">
        <v>13135</v>
      </c>
    </row>
    <row r="2459" spans="1:13">
      <c r="A2459" s="2">
        <v>3971</v>
      </c>
      <c r="B2459" s="2" t="s">
        <v>13136</v>
      </c>
      <c r="C2459" s="2">
        <v>24</v>
      </c>
      <c r="D2459" s="2">
        <v>556</v>
      </c>
      <c r="E2459" s="2">
        <v>199</v>
      </c>
      <c r="F2459" s="2">
        <v>32441</v>
      </c>
      <c r="G2459" s="2">
        <v>7.0368388709999996</v>
      </c>
      <c r="H2459" s="3">
        <v>7.6399999999999998E-13</v>
      </c>
      <c r="I2459" s="2" t="s">
        <v>13137</v>
      </c>
      <c r="J2459" s="2" t="s">
        <v>13138</v>
      </c>
      <c r="K2459" s="3">
        <v>1.31E-11</v>
      </c>
      <c r="L2459" s="2" t="s">
        <v>1178</v>
      </c>
      <c r="M2459" s="4" t="s">
        <v>13139</v>
      </c>
    </row>
    <row r="2460" spans="1:13">
      <c r="A2460" s="2">
        <v>4134</v>
      </c>
      <c r="B2460" s="2" t="s">
        <v>13140</v>
      </c>
      <c r="C2460" s="2">
        <v>24</v>
      </c>
      <c r="D2460" s="2">
        <v>556</v>
      </c>
      <c r="E2460" s="2">
        <v>200</v>
      </c>
      <c r="F2460" s="2">
        <v>32441</v>
      </c>
      <c r="G2460" s="2">
        <v>7.0016546760000002</v>
      </c>
      <c r="H2460" s="3">
        <v>8.4300000000000004E-13</v>
      </c>
      <c r="I2460" s="2" t="s">
        <v>13141</v>
      </c>
      <c r="J2460" s="2" t="s">
        <v>13142</v>
      </c>
      <c r="K2460" s="3">
        <v>1.31E-11</v>
      </c>
      <c r="L2460" s="2" t="s">
        <v>1178</v>
      </c>
      <c r="M2460" s="4" t="s">
        <v>13143</v>
      </c>
    </row>
    <row r="2461" spans="1:13">
      <c r="A2461" s="2">
        <v>4285</v>
      </c>
      <c r="B2461" s="2" t="s">
        <v>13144</v>
      </c>
      <c r="C2461" s="2">
        <v>24</v>
      </c>
      <c r="D2461" s="2">
        <v>556</v>
      </c>
      <c r="E2461" s="2">
        <v>200</v>
      </c>
      <c r="F2461" s="2">
        <v>32441</v>
      </c>
      <c r="G2461" s="2">
        <v>7.0016546760000002</v>
      </c>
      <c r="H2461" s="3">
        <v>8.4300000000000004E-13</v>
      </c>
      <c r="I2461" s="2" t="s">
        <v>13145</v>
      </c>
      <c r="J2461" s="2" t="s">
        <v>13146</v>
      </c>
      <c r="K2461" s="3">
        <v>1.31E-11</v>
      </c>
      <c r="L2461" s="2" t="s">
        <v>1178</v>
      </c>
      <c r="M2461" s="4" t="s">
        <v>13147</v>
      </c>
    </row>
    <row r="2462" spans="1:13">
      <c r="A2462" s="2">
        <v>4501</v>
      </c>
      <c r="B2462" s="2" t="s">
        <v>13148</v>
      </c>
      <c r="C2462" s="2">
        <v>24</v>
      </c>
      <c r="D2462" s="2">
        <v>556</v>
      </c>
      <c r="E2462" s="2">
        <v>200</v>
      </c>
      <c r="F2462" s="2">
        <v>32441</v>
      </c>
      <c r="G2462" s="2">
        <v>7.0016546760000002</v>
      </c>
      <c r="H2462" s="3">
        <v>8.4300000000000004E-13</v>
      </c>
      <c r="I2462" s="2" t="s">
        <v>13149</v>
      </c>
      <c r="J2462" s="2" t="s">
        <v>13150</v>
      </c>
      <c r="K2462" s="3">
        <v>1.31E-11</v>
      </c>
      <c r="L2462" s="2" t="s">
        <v>1178</v>
      </c>
      <c r="M2462" s="4" t="s">
        <v>13151</v>
      </c>
    </row>
    <row r="2463" spans="1:13">
      <c r="A2463" s="2">
        <v>4532</v>
      </c>
      <c r="B2463" s="2" t="s">
        <v>13152</v>
      </c>
      <c r="C2463" s="2">
        <v>24</v>
      </c>
      <c r="D2463" s="2">
        <v>556</v>
      </c>
      <c r="E2463" s="2">
        <v>200</v>
      </c>
      <c r="F2463" s="2">
        <v>32441</v>
      </c>
      <c r="G2463" s="2">
        <v>7.0016546760000002</v>
      </c>
      <c r="H2463" s="3">
        <v>8.4300000000000004E-13</v>
      </c>
      <c r="I2463" s="2" t="s">
        <v>13153</v>
      </c>
      <c r="J2463" s="2" t="s">
        <v>13154</v>
      </c>
      <c r="K2463" s="3">
        <v>1.31E-11</v>
      </c>
      <c r="L2463" s="2" t="s">
        <v>1178</v>
      </c>
      <c r="M2463" s="4" t="s">
        <v>13155</v>
      </c>
    </row>
    <row r="2464" spans="1:13">
      <c r="A2464" s="2">
        <v>28302</v>
      </c>
      <c r="B2464" s="2" t="s">
        <v>13156</v>
      </c>
      <c r="C2464" s="2">
        <v>23</v>
      </c>
      <c r="D2464" s="2">
        <v>556</v>
      </c>
      <c r="E2464" s="2">
        <v>181</v>
      </c>
      <c r="F2464" s="2">
        <v>32441</v>
      </c>
      <c r="G2464" s="2">
        <v>7.4142752099999996</v>
      </c>
      <c r="H2464" s="3">
        <v>8.6500000000000005E-13</v>
      </c>
      <c r="I2464" s="2" t="s">
        <v>13157</v>
      </c>
      <c r="J2464" s="2" t="s">
        <v>13158</v>
      </c>
      <c r="K2464" s="3">
        <v>1.34E-11</v>
      </c>
      <c r="L2464" s="2" t="s">
        <v>1178</v>
      </c>
      <c r="M2464" s="4" t="s">
        <v>13159</v>
      </c>
    </row>
    <row r="2465" spans="1:13">
      <c r="A2465" s="2">
        <v>24271</v>
      </c>
      <c r="B2465" s="2" t="s">
        <v>13160</v>
      </c>
      <c r="C2465" s="2">
        <v>22</v>
      </c>
      <c r="D2465" s="2">
        <v>556</v>
      </c>
      <c r="E2465" s="2">
        <v>164</v>
      </c>
      <c r="F2465" s="2">
        <v>32441</v>
      </c>
      <c r="G2465" s="2">
        <v>7.8270529919999996</v>
      </c>
      <c r="H2465" s="3">
        <v>1.0300000000000001E-12</v>
      </c>
      <c r="I2465" s="2" t="s">
        <v>13161</v>
      </c>
      <c r="J2465" s="2" t="s">
        <v>13162</v>
      </c>
      <c r="K2465" s="3">
        <v>1.5900000000000001E-11</v>
      </c>
      <c r="L2465" s="2" t="s">
        <v>1178</v>
      </c>
      <c r="M2465" s="4" t="s">
        <v>13163</v>
      </c>
    </row>
    <row r="2466" spans="1:13">
      <c r="A2466" s="2">
        <v>2788</v>
      </c>
      <c r="B2466" s="2" t="s">
        <v>13164</v>
      </c>
      <c r="C2466" s="2">
        <v>23</v>
      </c>
      <c r="D2466" s="2">
        <v>556</v>
      </c>
      <c r="E2466" s="2">
        <v>183</v>
      </c>
      <c r="F2466" s="2">
        <v>32441</v>
      </c>
      <c r="G2466" s="2">
        <v>7.3332448799999996</v>
      </c>
      <c r="H2466" s="3">
        <v>1.0599999999999999E-12</v>
      </c>
      <c r="I2466" s="2" t="s">
        <v>13165</v>
      </c>
      <c r="J2466" s="2" t="s">
        <v>13166</v>
      </c>
      <c r="K2466" s="3">
        <v>1.64E-11</v>
      </c>
      <c r="L2466" s="2" t="s">
        <v>1178</v>
      </c>
      <c r="M2466" s="4" t="s">
        <v>13167</v>
      </c>
    </row>
    <row r="2467" spans="1:13">
      <c r="A2467" s="2">
        <v>3233</v>
      </c>
      <c r="B2467" s="2" t="s">
        <v>13168</v>
      </c>
      <c r="C2467" s="2">
        <v>22</v>
      </c>
      <c r="D2467" s="2">
        <v>556</v>
      </c>
      <c r="E2467" s="2">
        <v>165</v>
      </c>
      <c r="F2467" s="2">
        <v>32441</v>
      </c>
      <c r="G2467" s="2">
        <v>7.7796163070000004</v>
      </c>
      <c r="H2467" s="3">
        <v>1.14E-12</v>
      </c>
      <c r="I2467" s="2" t="s">
        <v>13169</v>
      </c>
      <c r="J2467" s="2" t="s">
        <v>13170</v>
      </c>
      <c r="K2467" s="3">
        <v>1.7599999999999999E-11</v>
      </c>
      <c r="L2467" s="2" t="s">
        <v>1178</v>
      </c>
      <c r="M2467" s="4" t="s">
        <v>13171</v>
      </c>
    </row>
    <row r="2468" spans="1:13">
      <c r="A2468" s="2">
        <v>4318</v>
      </c>
      <c r="B2468" s="2" t="s">
        <v>13172</v>
      </c>
      <c r="C2468" s="2">
        <v>23</v>
      </c>
      <c r="D2468" s="2">
        <v>556</v>
      </c>
      <c r="E2468" s="2">
        <v>194</v>
      </c>
      <c r="F2468" s="2">
        <v>32441</v>
      </c>
      <c r="G2468" s="2">
        <v>6.9174423349999996</v>
      </c>
      <c r="H2468" s="3">
        <v>3.17E-12</v>
      </c>
      <c r="I2468" s="2" t="s">
        <v>13173</v>
      </c>
      <c r="J2468" s="2" t="s">
        <v>13174</v>
      </c>
      <c r="K2468" s="3">
        <v>4.8500000000000001E-11</v>
      </c>
      <c r="L2468" s="2" t="s">
        <v>1178</v>
      </c>
      <c r="M2468" s="4" t="s">
        <v>13175</v>
      </c>
    </row>
    <row r="2469" spans="1:13">
      <c r="A2469" s="2">
        <v>2419</v>
      </c>
      <c r="B2469" s="2" t="s">
        <v>13176</v>
      </c>
      <c r="C2469" s="2">
        <v>22</v>
      </c>
      <c r="D2469" s="2">
        <v>556</v>
      </c>
      <c r="E2469" s="2">
        <v>175</v>
      </c>
      <c r="F2469" s="2">
        <v>32441</v>
      </c>
      <c r="G2469" s="2">
        <v>7.3350668040000002</v>
      </c>
      <c r="H2469" s="3">
        <v>3.3000000000000001E-12</v>
      </c>
      <c r="I2469" s="2" t="s">
        <v>13177</v>
      </c>
      <c r="J2469" s="2" t="s">
        <v>13178</v>
      </c>
      <c r="K2469" s="3">
        <v>5.0299999999999997E-11</v>
      </c>
      <c r="L2469" s="2" t="s">
        <v>1178</v>
      </c>
      <c r="M2469" s="4" t="s">
        <v>13179</v>
      </c>
    </row>
    <row r="2470" spans="1:13">
      <c r="A2470" s="2">
        <v>2293</v>
      </c>
      <c r="B2470" s="2" t="s">
        <v>13180</v>
      </c>
      <c r="C2470" s="2">
        <v>23</v>
      </c>
      <c r="D2470" s="2">
        <v>556</v>
      </c>
      <c r="E2470" s="2">
        <v>196</v>
      </c>
      <c r="F2470" s="2">
        <v>32441</v>
      </c>
      <c r="G2470" s="2">
        <v>6.8468561890000004</v>
      </c>
      <c r="H2470" s="3">
        <v>3.8399999999999998E-12</v>
      </c>
      <c r="I2470" s="2" t="s">
        <v>13181</v>
      </c>
      <c r="J2470" s="2" t="s">
        <v>13182</v>
      </c>
      <c r="K2470" s="3">
        <v>5.84E-11</v>
      </c>
      <c r="L2470" s="2" t="s">
        <v>1178</v>
      </c>
      <c r="M2470" s="4" t="s">
        <v>13183</v>
      </c>
    </row>
    <row r="2471" spans="1:13">
      <c r="A2471" s="2">
        <v>44661</v>
      </c>
      <c r="B2471" s="2" t="s">
        <v>13184</v>
      </c>
      <c r="C2471" s="2">
        <v>21</v>
      </c>
      <c r="D2471" s="2">
        <v>556</v>
      </c>
      <c r="E2471" s="2">
        <v>158</v>
      </c>
      <c r="F2471" s="2">
        <v>32441</v>
      </c>
      <c r="G2471" s="2">
        <v>7.7549972680000003</v>
      </c>
      <c r="H2471" s="3">
        <v>3.9499999999999999E-12</v>
      </c>
      <c r="I2471" s="2" t="s">
        <v>13185</v>
      </c>
      <c r="J2471" s="2" t="s">
        <v>13186</v>
      </c>
      <c r="K2471" s="3">
        <v>5.9899999999999995E-11</v>
      </c>
      <c r="L2471" s="2" t="s">
        <v>1178</v>
      </c>
      <c r="M2471" s="4" t="s">
        <v>13187</v>
      </c>
    </row>
    <row r="2472" spans="1:13">
      <c r="A2472" s="2">
        <v>2049</v>
      </c>
      <c r="B2472" s="2" t="s">
        <v>13188</v>
      </c>
      <c r="C2472" s="2">
        <v>23</v>
      </c>
      <c r="D2472" s="2">
        <v>556</v>
      </c>
      <c r="E2472" s="2">
        <v>197</v>
      </c>
      <c r="F2472" s="2">
        <v>32441</v>
      </c>
      <c r="G2472" s="2">
        <v>6.8121005730000004</v>
      </c>
      <c r="H2472" s="3">
        <v>4.2200000000000002E-12</v>
      </c>
      <c r="I2472" s="2" t="s">
        <v>13189</v>
      </c>
      <c r="J2472" s="2" t="s">
        <v>13190</v>
      </c>
      <c r="K2472" s="3">
        <v>6.3800000000000002E-11</v>
      </c>
      <c r="L2472" s="2" t="s">
        <v>1178</v>
      </c>
      <c r="M2472" s="4" t="s">
        <v>13191</v>
      </c>
    </row>
    <row r="2473" spans="1:13">
      <c r="A2473" s="2">
        <v>1110</v>
      </c>
      <c r="B2473" s="2" t="s">
        <v>13192</v>
      </c>
      <c r="C2473" s="2">
        <v>23</v>
      </c>
      <c r="D2473" s="2">
        <v>556</v>
      </c>
      <c r="E2473" s="2">
        <v>199</v>
      </c>
      <c r="F2473" s="2">
        <v>32441</v>
      </c>
      <c r="G2473" s="2">
        <v>6.743637251</v>
      </c>
      <c r="H2473" s="3">
        <v>5.0900000000000003E-12</v>
      </c>
      <c r="I2473" s="2" t="s">
        <v>13193</v>
      </c>
      <c r="J2473" s="2" t="s">
        <v>13194</v>
      </c>
      <c r="K2473" s="3">
        <v>7.3599999999999997E-11</v>
      </c>
      <c r="L2473" s="2" t="s">
        <v>1178</v>
      </c>
      <c r="M2473" s="4" t="s">
        <v>13195</v>
      </c>
    </row>
    <row r="2474" spans="1:13">
      <c r="A2474" s="2">
        <v>54</v>
      </c>
      <c r="B2474" s="2" t="s">
        <v>13196</v>
      </c>
      <c r="C2474" s="2">
        <v>23</v>
      </c>
      <c r="D2474" s="2">
        <v>556</v>
      </c>
      <c r="E2474" s="2">
        <v>200</v>
      </c>
      <c r="F2474" s="2">
        <v>32441</v>
      </c>
      <c r="G2474" s="2">
        <v>6.7099190650000002</v>
      </c>
      <c r="H2474" s="3">
        <v>5.5900000000000002E-12</v>
      </c>
      <c r="I2474" s="2" t="s">
        <v>13197</v>
      </c>
      <c r="J2474" s="2" t="s">
        <v>13198</v>
      </c>
      <c r="K2474" s="3">
        <v>7.3599999999999997E-11</v>
      </c>
      <c r="L2474" s="2" t="s">
        <v>1178</v>
      </c>
      <c r="M2474" s="4" t="s">
        <v>13199</v>
      </c>
    </row>
    <row r="2475" spans="1:13">
      <c r="A2475" s="2">
        <v>1101</v>
      </c>
      <c r="B2475" s="2" t="s">
        <v>13200</v>
      </c>
      <c r="C2475" s="2">
        <v>23</v>
      </c>
      <c r="D2475" s="2">
        <v>556</v>
      </c>
      <c r="E2475" s="2">
        <v>200</v>
      </c>
      <c r="F2475" s="2">
        <v>32441</v>
      </c>
      <c r="G2475" s="2">
        <v>6.7099190650000002</v>
      </c>
      <c r="H2475" s="3">
        <v>5.5900000000000002E-12</v>
      </c>
      <c r="I2475" s="2" t="s">
        <v>13201</v>
      </c>
      <c r="J2475" s="2" t="s">
        <v>13202</v>
      </c>
      <c r="K2475" s="3">
        <v>7.3599999999999997E-11</v>
      </c>
      <c r="L2475" s="2" t="s">
        <v>1178</v>
      </c>
      <c r="M2475" s="4" t="s">
        <v>13203</v>
      </c>
    </row>
    <row r="2476" spans="1:13">
      <c r="A2476" s="2">
        <v>230</v>
      </c>
      <c r="B2476" s="2" t="s">
        <v>13204</v>
      </c>
      <c r="C2476" s="2">
        <v>23</v>
      </c>
      <c r="D2476" s="2">
        <v>556</v>
      </c>
      <c r="E2476" s="2">
        <v>200</v>
      </c>
      <c r="F2476" s="2">
        <v>32441</v>
      </c>
      <c r="G2476" s="2">
        <v>6.7099190650000002</v>
      </c>
      <c r="H2476" s="3">
        <v>5.5900000000000002E-12</v>
      </c>
      <c r="I2476" s="2" t="s">
        <v>13205</v>
      </c>
      <c r="J2476" s="2" t="s">
        <v>13206</v>
      </c>
      <c r="K2476" s="3">
        <v>7.3599999999999997E-11</v>
      </c>
      <c r="L2476" s="2" t="s">
        <v>1178</v>
      </c>
      <c r="M2476" s="4" t="s">
        <v>13207</v>
      </c>
    </row>
    <row r="2477" spans="1:13">
      <c r="A2477" s="2">
        <v>338</v>
      </c>
      <c r="B2477" s="2" t="s">
        <v>13208</v>
      </c>
      <c r="C2477" s="2">
        <v>23</v>
      </c>
      <c r="D2477" s="2">
        <v>556</v>
      </c>
      <c r="E2477" s="2">
        <v>200</v>
      </c>
      <c r="F2477" s="2">
        <v>32441</v>
      </c>
      <c r="G2477" s="2">
        <v>6.7099190650000002</v>
      </c>
      <c r="H2477" s="3">
        <v>5.5900000000000002E-12</v>
      </c>
      <c r="I2477" s="2" t="s">
        <v>13209</v>
      </c>
      <c r="J2477" s="2" t="s">
        <v>13210</v>
      </c>
      <c r="K2477" s="3">
        <v>7.3599999999999997E-11</v>
      </c>
      <c r="L2477" s="2" t="s">
        <v>1178</v>
      </c>
      <c r="M2477" s="4" t="s">
        <v>13211</v>
      </c>
    </row>
    <row r="2478" spans="1:13">
      <c r="A2478" s="2">
        <v>4386</v>
      </c>
      <c r="B2478" s="2" t="s">
        <v>13212</v>
      </c>
      <c r="C2478" s="2">
        <v>23</v>
      </c>
      <c r="D2478" s="2">
        <v>556</v>
      </c>
      <c r="E2478" s="2">
        <v>200</v>
      </c>
      <c r="F2478" s="2">
        <v>32441</v>
      </c>
      <c r="G2478" s="2">
        <v>6.7099190650000002</v>
      </c>
      <c r="H2478" s="3">
        <v>5.5900000000000002E-12</v>
      </c>
      <c r="I2478" s="2" t="s">
        <v>13213</v>
      </c>
      <c r="J2478" s="2" t="s">
        <v>13214</v>
      </c>
      <c r="K2478" s="3">
        <v>7.3599999999999997E-11</v>
      </c>
      <c r="L2478" s="2" t="s">
        <v>1178</v>
      </c>
      <c r="M2478" s="4" t="s">
        <v>13215</v>
      </c>
    </row>
    <row r="2479" spans="1:13">
      <c r="A2479" s="2">
        <v>881</v>
      </c>
      <c r="B2479" s="2" t="s">
        <v>13216</v>
      </c>
      <c r="C2479" s="2">
        <v>23</v>
      </c>
      <c r="D2479" s="2">
        <v>556</v>
      </c>
      <c r="E2479" s="2">
        <v>200</v>
      </c>
      <c r="F2479" s="2">
        <v>32441</v>
      </c>
      <c r="G2479" s="2">
        <v>6.7099190650000002</v>
      </c>
      <c r="H2479" s="3">
        <v>5.5900000000000002E-12</v>
      </c>
      <c r="I2479" s="2" t="s">
        <v>13217</v>
      </c>
      <c r="J2479" s="2" t="s">
        <v>13218</v>
      </c>
      <c r="K2479" s="3">
        <v>7.3599999999999997E-11</v>
      </c>
      <c r="L2479" s="2" t="s">
        <v>1178</v>
      </c>
      <c r="M2479" s="4" t="s">
        <v>13219</v>
      </c>
    </row>
    <row r="2480" spans="1:13">
      <c r="A2480" s="2">
        <v>913</v>
      </c>
      <c r="B2480" s="2" t="s">
        <v>13220</v>
      </c>
      <c r="C2480" s="2">
        <v>23</v>
      </c>
      <c r="D2480" s="2">
        <v>556</v>
      </c>
      <c r="E2480" s="2">
        <v>200</v>
      </c>
      <c r="F2480" s="2">
        <v>32441</v>
      </c>
      <c r="G2480" s="2">
        <v>6.7099190650000002</v>
      </c>
      <c r="H2480" s="3">
        <v>5.5900000000000002E-12</v>
      </c>
      <c r="I2480" s="2" t="s">
        <v>13221</v>
      </c>
      <c r="J2480" s="2" t="s">
        <v>13222</v>
      </c>
      <c r="K2480" s="3">
        <v>7.3599999999999997E-11</v>
      </c>
      <c r="L2480" s="2" t="s">
        <v>1178</v>
      </c>
      <c r="M2480" s="4" t="s">
        <v>13223</v>
      </c>
    </row>
    <row r="2481" spans="1:13">
      <c r="A2481" s="2">
        <v>9461</v>
      </c>
      <c r="B2481" s="2" t="s">
        <v>13224</v>
      </c>
      <c r="C2481" s="2">
        <v>23</v>
      </c>
      <c r="D2481" s="2">
        <v>556</v>
      </c>
      <c r="E2481" s="2">
        <v>200</v>
      </c>
      <c r="F2481" s="2">
        <v>32441</v>
      </c>
      <c r="G2481" s="2">
        <v>6.7099190650000002</v>
      </c>
      <c r="H2481" s="3">
        <v>5.5900000000000002E-12</v>
      </c>
      <c r="I2481" s="2" t="s">
        <v>13225</v>
      </c>
      <c r="J2481" s="2" t="s">
        <v>13226</v>
      </c>
      <c r="K2481" s="3">
        <v>7.3599999999999997E-11</v>
      </c>
      <c r="L2481" s="2" t="s">
        <v>1178</v>
      </c>
      <c r="M2481" s="4" t="s">
        <v>13227</v>
      </c>
    </row>
    <row r="2482" spans="1:13">
      <c r="A2482" s="2">
        <v>986</v>
      </c>
      <c r="B2482" s="2" t="s">
        <v>13228</v>
      </c>
      <c r="C2482" s="2">
        <v>23</v>
      </c>
      <c r="D2482" s="2">
        <v>556</v>
      </c>
      <c r="E2482" s="2">
        <v>200</v>
      </c>
      <c r="F2482" s="2">
        <v>32441</v>
      </c>
      <c r="G2482" s="2">
        <v>6.7099190650000002</v>
      </c>
      <c r="H2482" s="3">
        <v>5.5900000000000002E-12</v>
      </c>
      <c r="I2482" s="2" t="s">
        <v>13229</v>
      </c>
      <c r="J2482" s="2" t="s">
        <v>13230</v>
      </c>
      <c r="K2482" s="3">
        <v>7.3599999999999997E-11</v>
      </c>
      <c r="L2482" s="2" t="s">
        <v>1178</v>
      </c>
      <c r="M2482" s="4" t="s">
        <v>13231</v>
      </c>
    </row>
    <row r="2483" spans="1:13">
      <c r="A2483" s="2">
        <v>987</v>
      </c>
      <c r="B2483" s="2" t="s">
        <v>1296</v>
      </c>
      <c r="C2483" s="2">
        <v>23</v>
      </c>
      <c r="D2483" s="2">
        <v>556</v>
      </c>
      <c r="E2483" s="2">
        <v>200</v>
      </c>
      <c r="F2483" s="2">
        <v>32441</v>
      </c>
      <c r="G2483" s="2">
        <v>6.7099190650000002</v>
      </c>
      <c r="H2483" s="3">
        <v>5.5900000000000002E-12</v>
      </c>
      <c r="I2483" s="2" t="s">
        <v>13232</v>
      </c>
      <c r="J2483" s="2" t="s">
        <v>13233</v>
      </c>
      <c r="K2483" s="3">
        <v>7.3599999999999997E-11</v>
      </c>
      <c r="L2483" s="2" t="s">
        <v>1178</v>
      </c>
      <c r="M2483" s="4" t="s">
        <v>13234</v>
      </c>
    </row>
    <row r="2484" spans="1:13">
      <c r="A2484" s="2">
        <v>9921</v>
      </c>
      <c r="B2484" s="2" t="s">
        <v>13235</v>
      </c>
      <c r="C2484" s="2">
        <v>23</v>
      </c>
      <c r="D2484" s="2">
        <v>556</v>
      </c>
      <c r="E2484" s="2">
        <v>200</v>
      </c>
      <c r="F2484" s="2">
        <v>32441</v>
      </c>
      <c r="G2484" s="2">
        <v>6.7099190650000002</v>
      </c>
      <c r="H2484" s="3">
        <v>5.5900000000000002E-12</v>
      </c>
      <c r="I2484" s="2" t="s">
        <v>13236</v>
      </c>
      <c r="J2484" s="2" t="s">
        <v>13237</v>
      </c>
      <c r="K2484" s="3">
        <v>7.3599999999999997E-11</v>
      </c>
      <c r="L2484" s="2" t="s">
        <v>1178</v>
      </c>
      <c r="M2484" s="4" t="s">
        <v>13238</v>
      </c>
    </row>
    <row r="2485" spans="1:13">
      <c r="A2485" s="2">
        <v>1078</v>
      </c>
      <c r="B2485" s="2" t="s">
        <v>13239</v>
      </c>
      <c r="C2485" s="2">
        <v>23</v>
      </c>
      <c r="D2485" s="2">
        <v>556</v>
      </c>
      <c r="E2485" s="2">
        <v>200</v>
      </c>
      <c r="F2485" s="2">
        <v>32441</v>
      </c>
      <c r="G2485" s="2">
        <v>6.7099190650000002</v>
      </c>
      <c r="H2485" s="3">
        <v>5.5900000000000002E-12</v>
      </c>
      <c r="I2485" s="2" t="s">
        <v>13240</v>
      </c>
      <c r="J2485" s="2" t="s">
        <v>13241</v>
      </c>
      <c r="K2485" s="3">
        <v>7.3599999999999997E-11</v>
      </c>
      <c r="L2485" s="2" t="s">
        <v>1178</v>
      </c>
      <c r="M2485" s="4" t="s">
        <v>13242</v>
      </c>
    </row>
    <row r="2486" spans="1:13">
      <c r="A2486" s="2">
        <v>10851</v>
      </c>
      <c r="B2486" s="2" t="s">
        <v>13243</v>
      </c>
      <c r="C2486" s="2">
        <v>23</v>
      </c>
      <c r="D2486" s="2">
        <v>556</v>
      </c>
      <c r="E2486" s="2">
        <v>200</v>
      </c>
      <c r="F2486" s="2">
        <v>32441</v>
      </c>
      <c r="G2486" s="2">
        <v>6.7099190650000002</v>
      </c>
      <c r="H2486" s="3">
        <v>5.5900000000000002E-12</v>
      </c>
      <c r="I2486" s="2" t="s">
        <v>13244</v>
      </c>
      <c r="J2486" s="2" t="s">
        <v>13245</v>
      </c>
      <c r="K2486" s="3">
        <v>7.3599999999999997E-11</v>
      </c>
      <c r="L2486" s="2" t="s">
        <v>1178</v>
      </c>
      <c r="M2486" s="4" t="s">
        <v>13246</v>
      </c>
    </row>
    <row r="2487" spans="1:13">
      <c r="A2487" s="2">
        <v>1274</v>
      </c>
      <c r="B2487" s="2" t="s">
        <v>13247</v>
      </c>
      <c r="C2487" s="2">
        <v>23</v>
      </c>
      <c r="D2487" s="2">
        <v>556</v>
      </c>
      <c r="E2487" s="2">
        <v>200</v>
      </c>
      <c r="F2487" s="2">
        <v>32441</v>
      </c>
      <c r="G2487" s="2">
        <v>6.7099190650000002</v>
      </c>
      <c r="H2487" s="3">
        <v>5.5900000000000002E-12</v>
      </c>
      <c r="I2487" s="2" t="s">
        <v>13248</v>
      </c>
      <c r="J2487" s="2" t="s">
        <v>13249</v>
      </c>
      <c r="K2487" s="3">
        <v>7.3599999999999997E-11</v>
      </c>
      <c r="L2487" s="2" t="s">
        <v>1178</v>
      </c>
      <c r="M2487" s="4" t="s">
        <v>13250</v>
      </c>
    </row>
    <row r="2488" spans="1:13">
      <c r="A2488" s="2">
        <v>1377</v>
      </c>
      <c r="B2488" s="2" t="s">
        <v>13251</v>
      </c>
      <c r="C2488" s="2">
        <v>23</v>
      </c>
      <c r="D2488" s="2">
        <v>556</v>
      </c>
      <c r="E2488" s="2">
        <v>200</v>
      </c>
      <c r="F2488" s="2">
        <v>32441</v>
      </c>
      <c r="G2488" s="2">
        <v>6.7099190650000002</v>
      </c>
      <c r="H2488" s="3">
        <v>5.5900000000000002E-12</v>
      </c>
      <c r="I2488" s="2" t="s">
        <v>13252</v>
      </c>
      <c r="J2488" s="2" t="s">
        <v>13253</v>
      </c>
      <c r="K2488" s="3">
        <v>7.3599999999999997E-11</v>
      </c>
      <c r="L2488" s="2" t="s">
        <v>1178</v>
      </c>
      <c r="M2488" s="4" t="s">
        <v>13254</v>
      </c>
    </row>
    <row r="2489" spans="1:13">
      <c r="A2489" s="2">
        <v>1383</v>
      </c>
      <c r="B2489" s="2" t="s">
        <v>13255</v>
      </c>
      <c r="C2489" s="2">
        <v>23</v>
      </c>
      <c r="D2489" s="2">
        <v>556</v>
      </c>
      <c r="E2489" s="2">
        <v>200</v>
      </c>
      <c r="F2489" s="2">
        <v>32441</v>
      </c>
      <c r="G2489" s="2">
        <v>6.7099190650000002</v>
      </c>
      <c r="H2489" s="3">
        <v>5.5900000000000002E-12</v>
      </c>
      <c r="I2489" s="2" t="s">
        <v>13256</v>
      </c>
      <c r="J2489" s="2" t="s">
        <v>13257</v>
      </c>
      <c r="K2489" s="3">
        <v>7.3599999999999997E-11</v>
      </c>
      <c r="L2489" s="2" t="s">
        <v>1178</v>
      </c>
      <c r="M2489" s="4" t="s">
        <v>13258</v>
      </c>
    </row>
    <row r="2490" spans="1:13">
      <c r="A2490" s="2">
        <v>14181</v>
      </c>
      <c r="B2490" s="2" t="s">
        <v>13259</v>
      </c>
      <c r="C2490" s="2">
        <v>23</v>
      </c>
      <c r="D2490" s="2">
        <v>556</v>
      </c>
      <c r="E2490" s="2">
        <v>200</v>
      </c>
      <c r="F2490" s="2">
        <v>32441</v>
      </c>
      <c r="G2490" s="2">
        <v>6.7099190650000002</v>
      </c>
      <c r="H2490" s="3">
        <v>5.5900000000000002E-12</v>
      </c>
      <c r="I2490" s="2" t="s">
        <v>13260</v>
      </c>
      <c r="J2490" s="2" t="s">
        <v>13261</v>
      </c>
      <c r="K2490" s="3">
        <v>7.3599999999999997E-11</v>
      </c>
      <c r="L2490" s="2" t="s">
        <v>1178</v>
      </c>
      <c r="M2490" s="4" t="s">
        <v>13262</v>
      </c>
    </row>
    <row r="2491" spans="1:13">
      <c r="A2491" s="2">
        <v>1434</v>
      </c>
      <c r="B2491" s="2" t="s">
        <v>13263</v>
      </c>
      <c r="C2491" s="2">
        <v>23</v>
      </c>
      <c r="D2491" s="2">
        <v>556</v>
      </c>
      <c r="E2491" s="2">
        <v>200</v>
      </c>
      <c r="F2491" s="2">
        <v>32441</v>
      </c>
      <c r="G2491" s="2">
        <v>6.7099190650000002</v>
      </c>
      <c r="H2491" s="3">
        <v>5.5900000000000002E-12</v>
      </c>
      <c r="I2491" s="2" t="s">
        <v>13264</v>
      </c>
      <c r="J2491" s="2" t="s">
        <v>13265</v>
      </c>
      <c r="K2491" s="3">
        <v>7.3599999999999997E-11</v>
      </c>
      <c r="L2491" s="2" t="s">
        <v>1178</v>
      </c>
      <c r="M2491" s="4" t="s">
        <v>13266</v>
      </c>
    </row>
    <row r="2492" spans="1:13">
      <c r="A2492" s="2">
        <v>1443</v>
      </c>
      <c r="B2492" s="2" t="s">
        <v>13267</v>
      </c>
      <c r="C2492" s="2">
        <v>23</v>
      </c>
      <c r="D2492" s="2">
        <v>556</v>
      </c>
      <c r="E2492" s="2">
        <v>200</v>
      </c>
      <c r="F2492" s="2">
        <v>32441</v>
      </c>
      <c r="G2492" s="2">
        <v>6.7099190650000002</v>
      </c>
      <c r="H2492" s="3">
        <v>5.5900000000000002E-12</v>
      </c>
      <c r="I2492" s="2" t="s">
        <v>13268</v>
      </c>
      <c r="J2492" s="2" t="s">
        <v>13269</v>
      </c>
      <c r="K2492" s="3">
        <v>7.3599999999999997E-11</v>
      </c>
      <c r="L2492" s="2" t="s">
        <v>1178</v>
      </c>
      <c r="M2492" s="4" t="s">
        <v>13270</v>
      </c>
    </row>
    <row r="2493" spans="1:13">
      <c r="A2493" s="2">
        <v>15131</v>
      </c>
      <c r="B2493" s="2" t="s">
        <v>13271</v>
      </c>
      <c r="C2493" s="2">
        <v>23</v>
      </c>
      <c r="D2493" s="2">
        <v>556</v>
      </c>
      <c r="E2493" s="2">
        <v>200</v>
      </c>
      <c r="F2493" s="2">
        <v>32441</v>
      </c>
      <c r="G2493" s="2">
        <v>6.7099190650000002</v>
      </c>
      <c r="H2493" s="3">
        <v>5.5900000000000002E-12</v>
      </c>
      <c r="I2493" s="2" t="s">
        <v>13272</v>
      </c>
      <c r="J2493" s="2" t="s">
        <v>13273</v>
      </c>
      <c r="K2493" s="3">
        <v>7.3599999999999997E-11</v>
      </c>
      <c r="L2493" s="2" t="s">
        <v>1178</v>
      </c>
      <c r="M2493" s="4" t="s">
        <v>13274</v>
      </c>
    </row>
    <row r="2494" spans="1:13">
      <c r="A2494" s="2">
        <v>16081</v>
      </c>
      <c r="B2494" s="2" t="s">
        <v>13275</v>
      </c>
      <c r="C2494" s="2">
        <v>23</v>
      </c>
      <c r="D2494" s="2">
        <v>556</v>
      </c>
      <c r="E2494" s="2">
        <v>200</v>
      </c>
      <c r="F2494" s="2">
        <v>32441</v>
      </c>
      <c r="G2494" s="2">
        <v>6.7099190650000002</v>
      </c>
      <c r="H2494" s="3">
        <v>5.5900000000000002E-12</v>
      </c>
      <c r="I2494" s="2" t="s">
        <v>13276</v>
      </c>
      <c r="J2494" s="2" t="s">
        <v>13277</v>
      </c>
      <c r="K2494" s="3">
        <v>7.3599999999999997E-11</v>
      </c>
      <c r="L2494" s="2" t="s">
        <v>1178</v>
      </c>
      <c r="M2494" s="4" t="s">
        <v>13278</v>
      </c>
    </row>
    <row r="2495" spans="1:13">
      <c r="A2495" s="2">
        <v>17061</v>
      </c>
      <c r="B2495" s="2" t="s">
        <v>13279</v>
      </c>
      <c r="C2495" s="2">
        <v>23</v>
      </c>
      <c r="D2495" s="2">
        <v>556</v>
      </c>
      <c r="E2495" s="2">
        <v>200</v>
      </c>
      <c r="F2495" s="2">
        <v>32441</v>
      </c>
      <c r="G2495" s="2">
        <v>6.7099190650000002</v>
      </c>
      <c r="H2495" s="3">
        <v>5.5900000000000002E-12</v>
      </c>
      <c r="I2495" s="2" t="s">
        <v>13280</v>
      </c>
      <c r="J2495" s="2" t="s">
        <v>13281</v>
      </c>
      <c r="K2495" s="3">
        <v>7.3599999999999997E-11</v>
      </c>
      <c r="L2495" s="2" t="s">
        <v>1178</v>
      </c>
      <c r="M2495" s="4" t="s">
        <v>13282</v>
      </c>
    </row>
    <row r="2496" spans="1:13">
      <c r="A2496" s="2">
        <v>1787</v>
      </c>
      <c r="B2496" s="2" t="s">
        <v>13283</v>
      </c>
      <c r="C2496" s="2">
        <v>23</v>
      </c>
      <c r="D2496" s="2">
        <v>556</v>
      </c>
      <c r="E2496" s="2">
        <v>200</v>
      </c>
      <c r="F2496" s="2">
        <v>32441</v>
      </c>
      <c r="G2496" s="2">
        <v>6.7099190650000002</v>
      </c>
      <c r="H2496" s="3">
        <v>5.5900000000000002E-12</v>
      </c>
      <c r="I2496" s="2" t="s">
        <v>13284</v>
      </c>
      <c r="J2496" s="2" t="s">
        <v>13285</v>
      </c>
      <c r="K2496" s="3">
        <v>7.3599999999999997E-11</v>
      </c>
      <c r="L2496" s="2" t="s">
        <v>1178</v>
      </c>
      <c r="M2496" s="4" t="s">
        <v>13286</v>
      </c>
    </row>
    <row r="2497" spans="1:13">
      <c r="A2497" s="2">
        <v>1888</v>
      </c>
      <c r="B2497" s="2" t="s">
        <v>13287</v>
      </c>
      <c r="C2497" s="2">
        <v>23</v>
      </c>
      <c r="D2497" s="2">
        <v>556</v>
      </c>
      <c r="E2497" s="2">
        <v>200</v>
      </c>
      <c r="F2497" s="2">
        <v>32441</v>
      </c>
      <c r="G2497" s="2">
        <v>6.7099190650000002</v>
      </c>
      <c r="H2497" s="3">
        <v>5.5900000000000002E-12</v>
      </c>
      <c r="I2497" s="2" t="s">
        <v>13288</v>
      </c>
      <c r="J2497" s="2" t="s">
        <v>13289</v>
      </c>
      <c r="K2497" s="3">
        <v>7.3599999999999997E-11</v>
      </c>
      <c r="L2497" s="2" t="s">
        <v>1178</v>
      </c>
      <c r="M2497" s="4" t="s">
        <v>13290</v>
      </c>
    </row>
    <row r="2498" spans="1:13">
      <c r="A2498" s="2">
        <v>2241</v>
      </c>
      <c r="B2498" s="2" t="s">
        <v>13291</v>
      </c>
      <c r="C2498" s="2">
        <v>23</v>
      </c>
      <c r="D2498" s="2">
        <v>556</v>
      </c>
      <c r="E2498" s="2">
        <v>200</v>
      </c>
      <c r="F2498" s="2">
        <v>32441</v>
      </c>
      <c r="G2498" s="2">
        <v>6.7099190650000002</v>
      </c>
      <c r="H2498" s="3">
        <v>5.5900000000000002E-12</v>
      </c>
      <c r="I2498" s="2" t="s">
        <v>13292</v>
      </c>
      <c r="J2498" s="2" t="s">
        <v>13293</v>
      </c>
      <c r="K2498" s="3">
        <v>7.3599999999999997E-11</v>
      </c>
      <c r="L2498" s="2" t="s">
        <v>1178</v>
      </c>
      <c r="M2498" s="4" t="s">
        <v>13294</v>
      </c>
    </row>
    <row r="2499" spans="1:13">
      <c r="A2499" s="2">
        <v>22731</v>
      </c>
      <c r="B2499" s="2" t="s">
        <v>13295</v>
      </c>
      <c r="C2499" s="2">
        <v>23</v>
      </c>
      <c r="D2499" s="2">
        <v>556</v>
      </c>
      <c r="E2499" s="2">
        <v>199</v>
      </c>
      <c r="F2499" s="2">
        <v>32441</v>
      </c>
      <c r="G2499" s="2">
        <v>6.743637251</v>
      </c>
      <c r="H2499" s="3">
        <v>5.0900000000000003E-12</v>
      </c>
      <c r="I2499" s="2" t="s">
        <v>13296</v>
      </c>
      <c r="J2499" s="2" t="s">
        <v>13297</v>
      </c>
      <c r="K2499" s="3">
        <v>7.3599999999999997E-11</v>
      </c>
      <c r="L2499" s="2" t="s">
        <v>1178</v>
      </c>
      <c r="M2499" s="4" t="s">
        <v>13298</v>
      </c>
    </row>
    <row r="2500" spans="1:13">
      <c r="A2500" s="2">
        <v>2784</v>
      </c>
      <c r="B2500" s="2" t="s">
        <v>13299</v>
      </c>
      <c r="C2500" s="2">
        <v>22</v>
      </c>
      <c r="D2500" s="2">
        <v>556</v>
      </c>
      <c r="E2500" s="2">
        <v>180</v>
      </c>
      <c r="F2500" s="2">
        <v>32441</v>
      </c>
      <c r="G2500" s="2">
        <v>7.131314948</v>
      </c>
      <c r="H2500" s="3">
        <v>5.4599999999999998E-12</v>
      </c>
      <c r="I2500" s="2" t="s">
        <v>13300</v>
      </c>
      <c r="J2500" s="2" t="s">
        <v>13301</v>
      </c>
      <c r="K2500" s="3">
        <v>7.3599999999999997E-11</v>
      </c>
      <c r="L2500" s="2" t="s">
        <v>1178</v>
      </c>
      <c r="M2500" s="4" t="s">
        <v>13302</v>
      </c>
    </row>
    <row r="2501" spans="1:13">
      <c r="A2501" s="2">
        <v>2919</v>
      </c>
      <c r="B2501" s="2" t="s">
        <v>13303</v>
      </c>
      <c r="C2501" s="2">
        <v>23</v>
      </c>
      <c r="D2501" s="2">
        <v>556</v>
      </c>
      <c r="E2501" s="2">
        <v>200</v>
      </c>
      <c r="F2501" s="2">
        <v>32441</v>
      </c>
      <c r="G2501" s="2">
        <v>6.7099190650000002</v>
      </c>
      <c r="H2501" s="3">
        <v>5.5900000000000002E-12</v>
      </c>
      <c r="I2501" s="2" t="s">
        <v>13304</v>
      </c>
      <c r="J2501" s="2" t="s">
        <v>13305</v>
      </c>
      <c r="K2501" s="3">
        <v>7.3599999999999997E-11</v>
      </c>
      <c r="L2501" s="2" t="s">
        <v>1178</v>
      </c>
      <c r="M2501" s="4" t="s">
        <v>13306</v>
      </c>
    </row>
    <row r="2502" spans="1:13">
      <c r="A2502" s="2">
        <v>2925</v>
      </c>
      <c r="B2502" s="2" t="s">
        <v>13307</v>
      </c>
      <c r="C2502" s="2">
        <v>23</v>
      </c>
      <c r="D2502" s="2">
        <v>556</v>
      </c>
      <c r="E2502" s="2">
        <v>200</v>
      </c>
      <c r="F2502" s="2">
        <v>32441</v>
      </c>
      <c r="G2502" s="2">
        <v>6.7099190650000002</v>
      </c>
      <c r="H2502" s="3">
        <v>5.5900000000000002E-12</v>
      </c>
      <c r="I2502" s="2" t="s">
        <v>13308</v>
      </c>
      <c r="J2502" s="2" t="s">
        <v>13309</v>
      </c>
      <c r="K2502" s="3">
        <v>7.3599999999999997E-11</v>
      </c>
      <c r="L2502" s="2" t="s">
        <v>1178</v>
      </c>
      <c r="M2502" s="4" t="s">
        <v>13310</v>
      </c>
    </row>
    <row r="2503" spans="1:13">
      <c r="A2503" s="2">
        <v>29691</v>
      </c>
      <c r="B2503" s="2" t="s">
        <v>13311</v>
      </c>
      <c r="C2503" s="2">
        <v>23</v>
      </c>
      <c r="D2503" s="2">
        <v>556</v>
      </c>
      <c r="E2503" s="2">
        <v>200</v>
      </c>
      <c r="F2503" s="2">
        <v>32441</v>
      </c>
      <c r="G2503" s="2">
        <v>6.7099190650000002</v>
      </c>
      <c r="H2503" s="3">
        <v>5.5900000000000002E-12</v>
      </c>
      <c r="I2503" s="2" t="s">
        <v>13312</v>
      </c>
      <c r="J2503" s="2" t="s">
        <v>13313</v>
      </c>
      <c r="K2503" s="3">
        <v>7.3599999999999997E-11</v>
      </c>
      <c r="L2503" s="2" t="s">
        <v>1178</v>
      </c>
      <c r="M2503" s="4" t="s">
        <v>13314</v>
      </c>
    </row>
    <row r="2504" spans="1:13">
      <c r="A2504" s="2">
        <v>3006</v>
      </c>
      <c r="B2504" s="2" t="s">
        <v>13315</v>
      </c>
      <c r="C2504" s="2">
        <v>23</v>
      </c>
      <c r="D2504" s="2">
        <v>556</v>
      </c>
      <c r="E2504" s="2">
        <v>200</v>
      </c>
      <c r="F2504" s="2">
        <v>32441</v>
      </c>
      <c r="G2504" s="2">
        <v>6.7099190650000002</v>
      </c>
      <c r="H2504" s="3">
        <v>5.5900000000000002E-12</v>
      </c>
      <c r="I2504" s="2" t="s">
        <v>13316</v>
      </c>
      <c r="J2504" s="2" t="s">
        <v>13317</v>
      </c>
      <c r="K2504" s="3">
        <v>7.3599999999999997E-11</v>
      </c>
      <c r="L2504" s="2" t="s">
        <v>1178</v>
      </c>
      <c r="M2504" s="4" t="s">
        <v>13318</v>
      </c>
    </row>
    <row r="2505" spans="1:13">
      <c r="A2505" s="2">
        <v>3100</v>
      </c>
      <c r="B2505" s="2" t="s">
        <v>13319</v>
      </c>
      <c r="C2505" s="2">
        <v>23</v>
      </c>
      <c r="D2505" s="2">
        <v>556</v>
      </c>
      <c r="E2505" s="2">
        <v>200</v>
      </c>
      <c r="F2505" s="2">
        <v>32441</v>
      </c>
      <c r="G2505" s="2">
        <v>6.7099190650000002</v>
      </c>
      <c r="H2505" s="3">
        <v>5.5900000000000002E-12</v>
      </c>
      <c r="I2505" s="2" t="s">
        <v>13320</v>
      </c>
      <c r="J2505" s="2" t="s">
        <v>13321</v>
      </c>
      <c r="K2505" s="3">
        <v>7.3599999999999997E-11</v>
      </c>
      <c r="L2505" s="2" t="s">
        <v>1178</v>
      </c>
      <c r="M2505" s="4" t="s">
        <v>13322</v>
      </c>
    </row>
    <row r="2506" spans="1:13">
      <c r="A2506" s="2">
        <v>3126</v>
      </c>
      <c r="B2506" s="2" t="s">
        <v>13323</v>
      </c>
      <c r="C2506" s="2">
        <v>23</v>
      </c>
      <c r="D2506" s="2">
        <v>556</v>
      </c>
      <c r="E2506" s="2">
        <v>199</v>
      </c>
      <c r="F2506" s="2">
        <v>32441</v>
      </c>
      <c r="G2506" s="2">
        <v>6.743637251</v>
      </c>
      <c r="H2506" s="3">
        <v>5.0900000000000003E-12</v>
      </c>
      <c r="I2506" s="2" t="s">
        <v>13324</v>
      </c>
      <c r="J2506" s="2" t="s">
        <v>13325</v>
      </c>
      <c r="K2506" s="3">
        <v>7.3599999999999997E-11</v>
      </c>
      <c r="L2506" s="2" t="s">
        <v>1178</v>
      </c>
      <c r="M2506" s="4" t="s">
        <v>13326</v>
      </c>
    </row>
    <row r="2507" spans="1:13">
      <c r="A2507" s="2">
        <v>3141</v>
      </c>
      <c r="B2507" s="2" t="s">
        <v>13327</v>
      </c>
      <c r="C2507" s="2">
        <v>23</v>
      </c>
      <c r="D2507" s="2">
        <v>556</v>
      </c>
      <c r="E2507" s="2">
        <v>200</v>
      </c>
      <c r="F2507" s="2">
        <v>32441</v>
      </c>
      <c r="G2507" s="2">
        <v>6.7099190650000002</v>
      </c>
      <c r="H2507" s="3">
        <v>5.5900000000000002E-12</v>
      </c>
      <c r="I2507" s="2" t="s">
        <v>13328</v>
      </c>
      <c r="J2507" s="2" t="s">
        <v>13329</v>
      </c>
      <c r="K2507" s="3">
        <v>7.3599999999999997E-11</v>
      </c>
      <c r="L2507" s="2" t="s">
        <v>1178</v>
      </c>
      <c r="M2507" s="4" t="s">
        <v>13330</v>
      </c>
    </row>
    <row r="2508" spans="1:13">
      <c r="A2508" s="2">
        <v>34081</v>
      </c>
      <c r="B2508" s="2" t="s">
        <v>13331</v>
      </c>
      <c r="C2508" s="2">
        <v>23</v>
      </c>
      <c r="D2508" s="2">
        <v>556</v>
      </c>
      <c r="E2508" s="2">
        <v>200</v>
      </c>
      <c r="F2508" s="2">
        <v>32441</v>
      </c>
      <c r="G2508" s="2">
        <v>6.7099190650000002</v>
      </c>
      <c r="H2508" s="3">
        <v>5.5900000000000002E-12</v>
      </c>
      <c r="I2508" s="2" t="s">
        <v>13332</v>
      </c>
      <c r="J2508" s="2" t="s">
        <v>13333</v>
      </c>
      <c r="K2508" s="3">
        <v>7.3599999999999997E-11</v>
      </c>
      <c r="L2508" s="2" t="s">
        <v>1178</v>
      </c>
      <c r="M2508" s="4" t="s">
        <v>13334</v>
      </c>
    </row>
    <row r="2509" spans="1:13">
      <c r="A2509" s="2">
        <v>34541</v>
      </c>
      <c r="B2509" s="2" t="s">
        <v>1326</v>
      </c>
      <c r="C2509" s="2">
        <v>23</v>
      </c>
      <c r="D2509" s="2">
        <v>556</v>
      </c>
      <c r="E2509" s="2">
        <v>200</v>
      </c>
      <c r="F2509" s="2">
        <v>32441</v>
      </c>
      <c r="G2509" s="2">
        <v>6.7099190650000002</v>
      </c>
      <c r="H2509" s="3">
        <v>5.5900000000000002E-12</v>
      </c>
      <c r="I2509" s="2" t="s">
        <v>13335</v>
      </c>
      <c r="J2509" s="2" t="s">
        <v>13336</v>
      </c>
      <c r="K2509" s="3">
        <v>7.3599999999999997E-11</v>
      </c>
      <c r="L2509" s="2" t="s">
        <v>1178</v>
      </c>
      <c r="M2509" s="4" t="s">
        <v>13337</v>
      </c>
    </row>
    <row r="2510" spans="1:13">
      <c r="A2510" s="2">
        <v>36361</v>
      </c>
      <c r="B2510" s="2" t="s">
        <v>13338</v>
      </c>
      <c r="C2510" s="2">
        <v>23</v>
      </c>
      <c r="D2510" s="2">
        <v>556</v>
      </c>
      <c r="E2510" s="2">
        <v>200</v>
      </c>
      <c r="F2510" s="2">
        <v>32441</v>
      </c>
      <c r="G2510" s="2">
        <v>6.7099190650000002</v>
      </c>
      <c r="H2510" s="3">
        <v>5.5900000000000002E-12</v>
      </c>
      <c r="I2510" s="2" t="s">
        <v>13339</v>
      </c>
      <c r="J2510" s="2" t="s">
        <v>13340</v>
      </c>
      <c r="K2510" s="3">
        <v>7.3599999999999997E-11</v>
      </c>
      <c r="L2510" s="2" t="s">
        <v>1178</v>
      </c>
      <c r="M2510" s="4" t="s">
        <v>13341</v>
      </c>
    </row>
    <row r="2511" spans="1:13">
      <c r="A2511" s="2">
        <v>37111</v>
      </c>
      <c r="B2511" s="2" t="s">
        <v>1746</v>
      </c>
      <c r="C2511" s="2">
        <v>23</v>
      </c>
      <c r="D2511" s="2">
        <v>556</v>
      </c>
      <c r="E2511" s="2">
        <v>200</v>
      </c>
      <c r="F2511" s="2">
        <v>32441</v>
      </c>
      <c r="G2511" s="2">
        <v>6.7099190650000002</v>
      </c>
      <c r="H2511" s="3">
        <v>5.5900000000000002E-12</v>
      </c>
      <c r="I2511" s="2" t="s">
        <v>13342</v>
      </c>
      <c r="J2511" s="2" t="s">
        <v>13343</v>
      </c>
      <c r="K2511" s="3">
        <v>7.3599999999999997E-11</v>
      </c>
      <c r="L2511" s="2" t="s">
        <v>1178</v>
      </c>
      <c r="M2511" s="4" t="s">
        <v>13344</v>
      </c>
    </row>
    <row r="2512" spans="1:13">
      <c r="A2512" s="2">
        <v>38421</v>
      </c>
      <c r="B2512" s="2" t="s">
        <v>13345</v>
      </c>
      <c r="C2512" s="2">
        <v>23</v>
      </c>
      <c r="D2512" s="2">
        <v>556</v>
      </c>
      <c r="E2512" s="2">
        <v>200</v>
      </c>
      <c r="F2512" s="2">
        <v>32441</v>
      </c>
      <c r="G2512" s="2">
        <v>6.7099190650000002</v>
      </c>
      <c r="H2512" s="3">
        <v>5.5900000000000002E-12</v>
      </c>
      <c r="I2512" s="2" t="s">
        <v>13346</v>
      </c>
      <c r="J2512" s="2" t="s">
        <v>13347</v>
      </c>
      <c r="K2512" s="3">
        <v>7.3599999999999997E-11</v>
      </c>
      <c r="L2512" s="2" t="s">
        <v>1178</v>
      </c>
      <c r="M2512" s="4" t="s">
        <v>13348</v>
      </c>
    </row>
    <row r="2513" spans="1:13">
      <c r="A2513" s="2">
        <v>4094</v>
      </c>
      <c r="B2513" s="2" t="s">
        <v>13349</v>
      </c>
      <c r="C2513" s="2">
        <v>22</v>
      </c>
      <c r="D2513" s="2">
        <v>556</v>
      </c>
      <c r="E2513" s="2">
        <v>180</v>
      </c>
      <c r="F2513" s="2">
        <v>32441</v>
      </c>
      <c r="G2513" s="2">
        <v>7.131314948</v>
      </c>
      <c r="H2513" s="3">
        <v>5.4599999999999998E-12</v>
      </c>
      <c r="I2513" s="2" t="s">
        <v>13350</v>
      </c>
      <c r="J2513" s="2" t="s">
        <v>13351</v>
      </c>
      <c r="K2513" s="3">
        <v>7.3599999999999997E-11</v>
      </c>
      <c r="L2513" s="2" t="s">
        <v>1178</v>
      </c>
      <c r="M2513" s="4" t="s">
        <v>13352</v>
      </c>
    </row>
    <row r="2514" spans="1:13">
      <c r="A2514" s="2">
        <v>41632</v>
      </c>
      <c r="B2514" s="2" t="s">
        <v>13353</v>
      </c>
      <c r="C2514" s="2">
        <v>23</v>
      </c>
      <c r="D2514" s="2">
        <v>556</v>
      </c>
      <c r="E2514" s="2">
        <v>200</v>
      </c>
      <c r="F2514" s="2">
        <v>32441</v>
      </c>
      <c r="G2514" s="2">
        <v>6.7099190650000002</v>
      </c>
      <c r="H2514" s="3">
        <v>5.5900000000000002E-12</v>
      </c>
      <c r="I2514" s="2" t="s">
        <v>13354</v>
      </c>
      <c r="J2514" s="2" t="s">
        <v>13355</v>
      </c>
      <c r="K2514" s="3">
        <v>7.3599999999999997E-11</v>
      </c>
      <c r="L2514" s="2" t="s">
        <v>1178</v>
      </c>
      <c r="M2514" s="4" t="s">
        <v>13356</v>
      </c>
    </row>
    <row r="2515" spans="1:13">
      <c r="A2515" s="2">
        <v>41761</v>
      </c>
      <c r="B2515" s="2" t="s">
        <v>13357</v>
      </c>
      <c r="C2515" s="2">
        <v>23</v>
      </c>
      <c r="D2515" s="2">
        <v>556</v>
      </c>
      <c r="E2515" s="2">
        <v>200</v>
      </c>
      <c r="F2515" s="2">
        <v>32441</v>
      </c>
      <c r="G2515" s="2">
        <v>6.7099190650000002</v>
      </c>
      <c r="H2515" s="3">
        <v>5.5900000000000002E-12</v>
      </c>
      <c r="I2515" s="2" t="s">
        <v>13358</v>
      </c>
      <c r="J2515" s="2" t="s">
        <v>13359</v>
      </c>
      <c r="K2515" s="3">
        <v>7.3599999999999997E-11</v>
      </c>
      <c r="L2515" s="2" t="s">
        <v>1178</v>
      </c>
      <c r="M2515" s="4" t="s">
        <v>13360</v>
      </c>
    </row>
    <row r="2516" spans="1:13">
      <c r="A2516" s="2">
        <v>4332</v>
      </c>
      <c r="B2516" s="2" t="s">
        <v>13361</v>
      </c>
      <c r="C2516" s="2">
        <v>23</v>
      </c>
      <c r="D2516" s="2">
        <v>556</v>
      </c>
      <c r="E2516" s="2">
        <v>200</v>
      </c>
      <c r="F2516" s="2">
        <v>32441</v>
      </c>
      <c r="G2516" s="2">
        <v>6.7099190650000002</v>
      </c>
      <c r="H2516" s="3">
        <v>5.5900000000000002E-12</v>
      </c>
      <c r="I2516" s="2" t="s">
        <v>13362</v>
      </c>
      <c r="J2516" s="2" t="s">
        <v>13363</v>
      </c>
      <c r="K2516" s="3">
        <v>7.3599999999999997E-11</v>
      </c>
      <c r="L2516" s="2" t="s">
        <v>1178</v>
      </c>
      <c r="M2516" s="4" t="s">
        <v>13364</v>
      </c>
    </row>
    <row r="2517" spans="1:13">
      <c r="A2517" s="2">
        <v>44221</v>
      </c>
      <c r="B2517" s="2" t="s">
        <v>13365</v>
      </c>
      <c r="C2517" s="2">
        <v>23</v>
      </c>
      <c r="D2517" s="2">
        <v>556</v>
      </c>
      <c r="E2517" s="2">
        <v>200</v>
      </c>
      <c r="F2517" s="2">
        <v>32441</v>
      </c>
      <c r="G2517" s="2">
        <v>6.7099190650000002</v>
      </c>
      <c r="H2517" s="3">
        <v>5.5900000000000002E-12</v>
      </c>
      <c r="I2517" s="2" t="s">
        <v>13366</v>
      </c>
      <c r="J2517" s="2" t="s">
        <v>13367</v>
      </c>
      <c r="K2517" s="3">
        <v>7.3599999999999997E-11</v>
      </c>
      <c r="L2517" s="2" t="s">
        <v>1178</v>
      </c>
      <c r="M2517" s="4" t="s">
        <v>13368</v>
      </c>
    </row>
    <row r="2518" spans="1:13">
      <c r="A2518" s="2">
        <v>4652</v>
      </c>
      <c r="B2518" s="2" t="s">
        <v>13369</v>
      </c>
      <c r="C2518" s="2">
        <v>23</v>
      </c>
      <c r="D2518" s="2">
        <v>556</v>
      </c>
      <c r="E2518" s="2">
        <v>200</v>
      </c>
      <c r="F2518" s="2">
        <v>32441</v>
      </c>
      <c r="G2518" s="2">
        <v>6.7099190650000002</v>
      </c>
      <c r="H2518" s="3">
        <v>5.5900000000000002E-12</v>
      </c>
      <c r="I2518" s="2" t="s">
        <v>13370</v>
      </c>
      <c r="J2518" s="2" t="s">
        <v>13371</v>
      </c>
      <c r="K2518" s="3">
        <v>7.3599999999999997E-11</v>
      </c>
      <c r="L2518" s="2" t="s">
        <v>1178</v>
      </c>
      <c r="M2518" s="4" t="s">
        <v>13372</v>
      </c>
    </row>
    <row r="2519" spans="1:13">
      <c r="A2519" s="2">
        <v>4676</v>
      </c>
      <c r="B2519" s="2" t="s">
        <v>13373</v>
      </c>
      <c r="C2519" s="2">
        <v>23</v>
      </c>
      <c r="D2519" s="2">
        <v>556</v>
      </c>
      <c r="E2519" s="2">
        <v>200</v>
      </c>
      <c r="F2519" s="2">
        <v>32441</v>
      </c>
      <c r="G2519" s="2">
        <v>6.7099190650000002</v>
      </c>
      <c r="H2519" s="3">
        <v>5.5900000000000002E-12</v>
      </c>
      <c r="I2519" s="2" t="s">
        <v>13374</v>
      </c>
      <c r="J2519" s="2" t="s">
        <v>13375</v>
      </c>
      <c r="K2519" s="3">
        <v>7.3599999999999997E-11</v>
      </c>
      <c r="L2519" s="2" t="s">
        <v>1178</v>
      </c>
      <c r="M2519" s="4" t="s">
        <v>13376</v>
      </c>
    </row>
    <row r="2520" spans="1:13">
      <c r="A2520" s="2">
        <v>4750</v>
      </c>
      <c r="B2520" s="2" t="s">
        <v>13377</v>
      </c>
      <c r="C2520" s="2">
        <v>23</v>
      </c>
      <c r="D2520" s="2">
        <v>556</v>
      </c>
      <c r="E2520" s="2">
        <v>200</v>
      </c>
      <c r="F2520" s="2">
        <v>32441</v>
      </c>
      <c r="G2520" s="2">
        <v>6.7099190650000002</v>
      </c>
      <c r="H2520" s="3">
        <v>5.5900000000000002E-12</v>
      </c>
      <c r="I2520" s="2" t="s">
        <v>13378</v>
      </c>
      <c r="J2520" s="2" t="s">
        <v>13379</v>
      </c>
      <c r="K2520" s="3">
        <v>7.3599999999999997E-11</v>
      </c>
      <c r="L2520" s="2" t="s">
        <v>1178</v>
      </c>
      <c r="M2520" s="4" t="s">
        <v>13380</v>
      </c>
    </row>
    <row r="2521" spans="1:13">
      <c r="A2521" s="2">
        <v>41031</v>
      </c>
      <c r="B2521" s="2" t="s">
        <v>13381</v>
      </c>
      <c r="C2521" s="2">
        <v>21</v>
      </c>
      <c r="D2521" s="2">
        <v>556</v>
      </c>
      <c r="E2521" s="2">
        <v>164</v>
      </c>
      <c r="F2521" s="2">
        <v>32441</v>
      </c>
      <c r="G2521" s="2">
        <v>7.4712778560000004</v>
      </c>
      <c r="H2521" s="3">
        <v>7.4899999999999998E-12</v>
      </c>
      <c r="I2521" s="2" t="s">
        <v>13382</v>
      </c>
      <c r="J2521" s="2" t="s">
        <v>13383</v>
      </c>
      <c r="K2521" s="3">
        <v>9.8299999999999999E-11</v>
      </c>
      <c r="L2521" s="2" t="s">
        <v>1178</v>
      </c>
      <c r="M2521" s="4" t="s">
        <v>13384</v>
      </c>
    </row>
    <row r="2522" spans="1:13">
      <c r="A2522" s="2">
        <v>24581</v>
      </c>
      <c r="B2522" s="2" t="s">
        <v>13385</v>
      </c>
      <c r="C2522" s="2">
        <v>20</v>
      </c>
      <c r="D2522" s="2">
        <v>556</v>
      </c>
      <c r="E2522" s="2">
        <v>146</v>
      </c>
      <c r="F2522" s="2">
        <v>32441</v>
      </c>
      <c r="G2522" s="2">
        <v>7.9927564799999997</v>
      </c>
      <c r="H2522" s="3">
        <v>7.8400000000000005E-12</v>
      </c>
      <c r="I2522" s="2" t="s">
        <v>13386</v>
      </c>
      <c r="J2522" s="2" t="s">
        <v>13387</v>
      </c>
      <c r="K2522" s="3">
        <v>1.0300000000000001E-10</v>
      </c>
      <c r="L2522" s="2" t="s">
        <v>1178</v>
      </c>
      <c r="M2522" s="4" t="s">
        <v>13388</v>
      </c>
    </row>
    <row r="2523" spans="1:13">
      <c r="A2523" s="2">
        <v>4223</v>
      </c>
      <c r="B2523" s="2" t="s">
        <v>13389</v>
      </c>
      <c r="C2523" s="2">
        <v>21</v>
      </c>
      <c r="D2523" s="2">
        <v>556</v>
      </c>
      <c r="E2523" s="2">
        <v>169</v>
      </c>
      <c r="F2523" s="2">
        <v>32441</v>
      </c>
      <c r="G2523" s="2">
        <v>7.2502341320000001</v>
      </c>
      <c r="H2523" s="3">
        <v>1.25E-11</v>
      </c>
      <c r="I2523" s="2" t="s">
        <v>13390</v>
      </c>
      <c r="J2523" s="2" t="s">
        <v>13391</v>
      </c>
      <c r="K2523" s="3">
        <v>1.64E-10</v>
      </c>
      <c r="L2523" s="2" t="s">
        <v>1178</v>
      </c>
      <c r="M2523" s="4" t="s">
        <v>13392</v>
      </c>
    </row>
    <row r="2524" spans="1:13">
      <c r="A2524" s="2">
        <v>36611</v>
      </c>
      <c r="B2524" s="2" t="s">
        <v>13393</v>
      </c>
      <c r="C2524" s="2">
        <v>20</v>
      </c>
      <c r="D2524" s="2">
        <v>556</v>
      </c>
      <c r="E2524" s="2">
        <v>151</v>
      </c>
      <c r="F2524" s="2">
        <v>32441</v>
      </c>
      <c r="G2524" s="2">
        <v>7.728095669</v>
      </c>
      <c r="H2524" s="3">
        <v>1.36E-11</v>
      </c>
      <c r="I2524" s="2" t="s">
        <v>13394</v>
      </c>
      <c r="J2524" s="2" t="s">
        <v>13395</v>
      </c>
      <c r="K2524" s="3">
        <v>1.7700000000000001E-10</v>
      </c>
      <c r="L2524" s="2" t="s">
        <v>1178</v>
      </c>
      <c r="M2524" s="4" t="s">
        <v>13396</v>
      </c>
    </row>
    <row r="2525" spans="1:13">
      <c r="A2525" s="2">
        <v>2443</v>
      </c>
      <c r="B2525" s="2" t="s">
        <v>13397</v>
      </c>
      <c r="C2525" s="2">
        <v>21</v>
      </c>
      <c r="D2525" s="2">
        <v>556</v>
      </c>
      <c r="E2525" s="2">
        <v>171</v>
      </c>
      <c r="F2525" s="2">
        <v>32441</v>
      </c>
      <c r="G2525" s="2">
        <v>7.1654360720000003</v>
      </c>
      <c r="H2525" s="3">
        <v>1.5300000000000001E-11</v>
      </c>
      <c r="I2525" s="2" t="s">
        <v>13398</v>
      </c>
      <c r="J2525" s="2" t="s">
        <v>13399</v>
      </c>
      <c r="K2525" s="3">
        <v>1.9799999999999999E-10</v>
      </c>
      <c r="L2525" s="2" t="s">
        <v>1178</v>
      </c>
      <c r="M2525" s="4" t="s">
        <v>13400</v>
      </c>
    </row>
    <row r="2526" spans="1:13">
      <c r="A2526" s="2">
        <v>3652</v>
      </c>
      <c r="B2526" s="2" t="s">
        <v>13401</v>
      </c>
      <c r="C2526" s="2">
        <v>21</v>
      </c>
      <c r="D2526" s="2">
        <v>556</v>
      </c>
      <c r="E2526" s="2">
        <v>171</v>
      </c>
      <c r="F2526" s="2">
        <v>32441</v>
      </c>
      <c r="G2526" s="2">
        <v>7.1654360720000003</v>
      </c>
      <c r="H2526" s="3">
        <v>1.5300000000000001E-11</v>
      </c>
      <c r="I2526" s="2" t="s">
        <v>13402</v>
      </c>
      <c r="J2526" s="2" t="s">
        <v>13403</v>
      </c>
      <c r="K2526" s="3">
        <v>1.9799999999999999E-10</v>
      </c>
      <c r="L2526" s="2" t="s">
        <v>1178</v>
      </c>
      <c r="M2526" s="4" t="s">
        <v>13404</v>
      </c>
    </row>
    <row r="2527" spans="1:13">
      <c r="A2527" s="2">
        <v>2286</v>
      </c>
      <c r="B2527" s="2" t="s">
        <v>13405</v>
      </c>
      <c r="C2527" s="2">
        <v>22</v>
      </c>
      <c r="D2527" s="2">
        <v>556</v>
      </c>
      <c r="E2527" s="2">
        <v>193</v>
      </c>
      <c r="F2527" s="2">
        <v>32441</v>
      </c>
      <c r="G2527" s="2">
        <v>6.6509673090000003</v>
      </c>
      <c r="H2527" s="3">
        <v>1.8900000000000001E-11</v>
      </c>
      <c r="I2527" s="2" t="s">
        <v>13406</v>
      </c>
      <c r="J2527" s="2" t="s">
        <v>13407</v>
      </c>
      <c r="K2527" s="3">
        <v>2.4399999999999998E-10</v>
      </c>
      <c r="L2527" s="2" t="s">
        <v>1178</v>
      </c>
      <c r="M2527" s="4" t="s">
        <v>13408</v>
      </c>
    </row>
    <row r="2528" spans="1:13">
      <c r="A2528" s="2">
        <v>2289</v>
      </c>
      <c r="B2528" s="2" t="s">
        <v>13409</v>
      </c>
      <c r="C2528" s="2">
        <v>22</v>
      </c>
      <c r="D2528" s="2">
        <v>556</v>
      </c>
      <c r="E2528" s="2">
        <v>193</v>
      </c>
      <c r="F2528" s="2">
        <v>32441</v>
      </c>
      <c r="G2528" s="2">
        <v>6.6509673090000003</v>
      </c>
      <c r="H2528" s="3">
        <v>1.8900000000000001E-11</v>
      </c>
      <c r="I2528" s="2" t="s">
        <v>13410</v>
      </c>
      <c r="J2528" s="2" t="s">
        <v>13411</v>
      </c>
      <c r="K2528" s="3">
        <v>2.4399999999999998E-10</v>
      </c>
      <c r="L2528" s="2" t="s">
        <v>1178</v>
      </c>
      <c r="M2528" s="4" t="s">
        <v>13412</v>
      </c>
    </row>
    <row r="2529" spans="1:13">
      <c r="A2529" s="2">
        <v>2051</v>
      </c>
      <c r="B2529" s="2" t="s">
        <v>13413</v>
      </c>
      <c r="C2529" s="2">
        <v>22</v>
      </c>
      <c r="D2529" s="2">
        <v>556</v>
      </c>
      <c r="E2529" s="2">
        <v>196</v>
      </c>
      <c r="F2529" s="2">
        <v>32441</v>
      </c>
      <c r="G2529" s="2">
        <v>6.549166789</v>
      </c>
      <c r="H2529" s="3">
        <v>2.4899999999999999E-11</v>
      </c>
      <c r="I2529" s="2" t="s">
        <v>13414</v>
      </c>
      <c r="J2529" s="2" t="s">
        <v>13415</v>
      </c>
      <c r="K2529" s="3">
        <v>3.1899999999999998E-10</v>
      </c>
      <c r="L2529" s="2" t="s">
        <v>1178</v>
      </c>
      <c r="M2529" s="4" t="s">
        <v>13416</v>
      </c>
    </row>
    <row r="2530" spans="1:13">
      <c r="A2530" s="2">
        <v>2288</v>
      </c>
      <c r="B2530" s="2" t="s">
        <v>13417</v>
      </c>
      <c r="C2530" s="2">
        <v>22</v>
      </c>
      <c r="D2530" s="2">
        <v>556</v>
      </c>
      <c r="E2530" s="2">
        <v>196</v>
      </c>
      <c r="F2530" s="2">
        <v>32441</v>
      </c>
      <c r="G2530" s="2">
        <v>6.549166789</v>
      </c>
      <c r="H2530" s="3">
        <v>2.4899999999999999E-11</v>
      </c>
      <c r="I2530" s="2" t="s">
        <v>13418</v>
      </c>
      <c r="J2530" s="2" t="s">
        <v>13419</v>
      </c>
      <c r="K2530" s="3">
        <v>3.1899999999999998E-10</v>
      </c>
      <c r="L2530" s="2" t="s">
        <v>1178</v>
      </c>
      <c r="M2530" s="4" t="s">
        <v>13420</v>
      </c>
    </row>
    <row r="2531" spans="1:13">
      <c r="A2531" s="2">
        <v>4660</v>
      </c>
      <c r="B2531" s="2" t="s">
        <v>13421</v>
      </c>
      <c r="C2531" s="2">
        <v>22</v>
      </c>
      <c r="D2531" s="2">
        <v>556</v>
      </c>
      <c r="E2531" s="2">
        <v>197</v>
      </c>
      <c r="F2531" s="2">
        <v>32441</v>
      </c>
      <c r="G2531" s="2">
        <v>6.5159222879999996</v>
      </c>
      <c r="H2531" s="3">
        <v>2.7299999999999999E-11</v>
      </c>
      <c r="I2531" s="2" t="s">
        <v>13422</v>
      </c>
      <c r="J2531" s="2" t="s">
        <v>13423</v>
      </c>
      <c r="K2531" s="3">
        <v>3.4799999999999999E-10</v>
      </c>
      <c r="L2531" s="2" t="s">
        <v>1178</v>
      </c>
      <c r="M2531" s="4" t="s">
        <v>13424</v>
      </c>
    </row>
    <row r="2532" spans="1:13">
      <c r="A2532" s="2">
        <v>2045</v>
      </c>
      <c r="B2532" s="2" t="s">
        <v>13425</v>
      </c>
      <c r="C2532" s="2">
        <v>22</v>
      </c>
      <c r="D2532" s="2">
        <v>556</v>
      </c>
      <c r="E2532" s="2">
        <v>198</v>
      </c>
      <c r="F2532" s="2">
        <v>32441</v>
      </c>
      <c r="G2532" s="2">
        <v>6.4830135889999996</v>
      </c>
      <c r="H2532" s="3">
        <v>2.9800000000000003E-11</v>
      </c>
      <c r="I2532" s="2" t="s">
        <v>13426</v>
      </c>
      <c r="J2532" s="2" t="s">
        <v>13427</v>
      </c>
      <c r="K2532" s="3">
        <v>3.7899999999999998E-10</v>
      </c>
      <c r="L2532" s="2" t="s">
        <v>1178</v>
      </c>
      <c r="M2532" s="4" t="s">
        <v>13428</v>
      </c>
    </row>
    <row r="2533" spans="1:13">
      <c r="A2533" s="2">
        <v>38751</v>
      </c>
      <c r="B2533" s="2" t="s">
        <v>13429</v>
      </c>
      <c r="C2533" s="2">
        <v>22</v>
      </c>
      <c r="D2533" s="2">
        <v>556</v>
      </c>
      <c r="E2533" s="2">
        <v>198</v>
      </c>
      <c r="F2533" s="2">
        <v>32441</v>
      </c>
      <c r="G2533" s="2">
        <v>6.4830135889999996</v>
      </c>
      <c r="H2533" s="3">
        <v>2.9800000000000003E-11</v>
      </c>
      <c r="I2533" s="2" t="s">
        <v>13430</v>
      </c>
      <c r="J2533" s="2" t="s">
        <v>13431</v>
      </c>
      <c r="K2533" s="3">
        <v>3.7899999999999998E-10</v>
      </c>
      <c r="L2533" s="2" t="s">
        <v>1178</v>
      </c>
      <c r="M2533" s="4" t="s">
        <v>13432</v>
      </c>
    </row>
    <row r="2534" spans="1:13">
      <c r="A2534" s="2">
        <v>745</v>
      </c>
      <c r="B2534" s="2" t="s">
        <v>13433</v>
      </c>
      <c r="C2534" s="2">
        <v>22</v>
      </c>
      <c r="D2534" s="2">
        <v>556</v>
      </c>
      <c r="E2534" s="2">
        <v>200</v>
      </c>
      <c r="F2534" s="2">
        <v>32441</v>
      </c>
      <c r="G2534" s="2">
        <v>6.4181834530000001</v>
      </c>
      <c r="H2534" s="3">
        <v>3.5599999999999999E-11</v>
      </c>
      <c r="I2534" s="2" t="s">
        <v>13434</v>
      </c>
      <c r="J2534" s="2" t="s">
        <v>13435</v>
      </c>
      <c r="K2534" s="3">
        <v>3.9499999999999998E-10</v>
      </c>
      <c r="L2534" s="2" t="s">
        <v>1178</v>
      </c>
      <c r="M2534" s="4" t="s">
        <v>13436</v>
      </c>
    </row>
    <row r="2535" spans="1:13">
      <c r="A2535" s="2">
        <v>1183</v>
      </c>
      <c r="B2535" s="2" t="s">
        <v>13437</v>
      </c>
      <c r="C2535" s="2">
        <v>22</v>
      </c>
      <c r="D2535" s="2">
        <v>556</v>
      </c>
      <c r="E2535" s="2">
        <v>200</v>
      </c>
      <c r="F2535" s="2">
        <v>32441</v>
      </c>
      <c r="G2535" s="2">
        <v>6.4181834530000001</v>
      </c>
      <c r="H2535" s="3">
        <v>3.5599999999999999E-11</v>
      </c>
      <c r="I2535" s="2" t="s">
        <v>13438</v>
      </c>
      <c r="J2535" s="2" t="s">
        <v>13439</v>
      </c>
      <c r="K2535" s="3">
        <v>3.9499999999999998E-10</v>
      </c>
      <c r="L2535" s="2" t="s">
        <v>1178</v>
      </c>
      <c r="M2535" s="4" t="s">
        <v>13440</v>
      </c>
    </row>
    <row r="2536" spans="1:13">
      <c r="A2536" s="2">
        <v>200</v>
      </c>
      <c r="B2536" s="2" t="s">
        <v>13441</v>
      </c>
      <c r="C2536" s="2">
        <v>22</v>
      </c>
      <c r="D2536" s="2">
        <v>556</v>
      </c>
      <c r="E2536" s="2">
        <v>200</v>
      </c>
      <c r="F2536" s="2">
        <v>32441</v>
      </c>
      <c r="G2536" s="2">
        <v>6.4181834530000001</v>
      </c>
      <c r="H2536" s="3">
        <v>3.5599999999999999E-11</v>
      </c>
      <c r="I2536" s="2" t="s">
        <v>13442</v>
      </c>
      <c r="J2536" s="2" t="s">
        <v>13443</v>
      </c>
      <c r="K2536" s="3">
        <v>3.9499999999999998E-10</v>
      </c>
      <c r="L2536" s="2" t="s">
        <v>1178</v>
      </c>
      <c r="M2536" s="4" t="s">
        <v>13444</v>
      </c>
    </row>
    <row r="2537" spans="1:13">
      <c r="A2537" s="2">
        <v>5441</v>
      </c>
      <c r="B2537" s="2" t="s">
        <v>2352</v>
      </c>
      <c r="C2537" s="2">
        <v>22</v>
      </c>
      <c r="D2537" s="2">
        <v>556</v>
      </c>
      <c r="E2537" s="2">
        <v>200</v>
      </c>
      <c r="F2537" s="2">
        <v>32441</v>
      </c>
      <c r="G2537" s="2">
        <v>6.4181834530000001</v>
      </c>
      <c r="H2537" s="3">
        <v>3.5599999999999999E-11</v>
      </c>
      <c r="I2537" s="2" t="s">
        <v>13445</v>
      </c>
      <c r="J2537" s="2" t="s">
        <v>13446</v>
      </c>
      <c r="K2537" s="3">
        <v>3.9499999999999998E-10</v>
      </c>
      <c r="L2537" s="2" t="s">
        <v>1178</v>
      </c>
      <c r="M2537" s="4" t="s">
        <v>13447</v>
      </c>
    </row>
    <row r="2538" spans="1:13">
      <c r="A2538" s="2">
        <v>8421</v>
      </c>
      <c r="B2538" s="2" t="s">
        <v>13448</v>
      </c>
      <c r="C2538" s="2">
        <v>22</v>
      </c>
      <c r="D2538" s="2">
        <v>556</v>
      </c>
      <c r="E2538" s="2">
        <v>200</v>
      </c>
      <c r="F2538" s="2">
        <v>32441</v>
      </c>
      <c r="G2538" s="2">
        <v>6.4181834530000001</v>
      </c>
      <c r="H2538" s="3">
        <v>3.5599999999999999E-11</v>
      </c>
      <c r="I2538" s="2" t="s">
        <v>13449</v>
      </c>
      <c r="J2538" s="2" t="s">
        <v>13450</v>
      </c>
      <c r="K2538" s="3">
        <v>3.9499999999999998E-10</v>
      </c>
      <c r="L2538" s="2" t="s">
        <v>1178</v>
      </c>
      <c r="M2538" s="4" t="s">
        <v>13451</v>
      </c>
    </row>
    <row r="2539" spans="1:13">
      <c r="A2539" s="2">
        <v>8442</v>
      </c>
      <c r="B2539" s="2" t="s">
        <v>13452</v>
      </c>
      <c r="C2539" s="2">
        <v>22</v>
      </c>
      <c r="D2539" s="2">
        <v>556</v>
      </c>
      <c r="E2539" s="2">
        <v>200</v>
      </c>
      <c r="F2539" s="2">
        <v>32441</v>
      </c>
      <c r="G2539" s="2">
        <v>6.4181834530000001</v>
      </c>
      <c r="H2539" s="3">
        <v>3.5599999999999999E-11</v>
      </c>
      <c r="I2539" s="2" t="s">
        <v>13453</v>
      </c>
      <c r="J2539" s="2" t="s">
        <v>13454</v>
      </c>
      <c r="K2539" s="3">
        <v>3.9499999999999998E-10</v>
      </c>
      <c r="L2539" s="2" t="s">
        <v>1178</v>
      </c>
      <c r="M2539" s="4" t="s">
        <v>13455</v>
      </c>
    </row>
    <row r="2540" spans="1:13">
      <c r="A2540" s="2">
        <v>9491</v>
      </c>
      <c r="B2540" s="2" t="s">
        <v>13456</v>
      </c>
      <c r="C2540" s="2">
        <v>22</v>
      </c>
      <c r="D2540" s="2">
        <v>556</v>
      </c>
      <c r="E2540" s="2">
        <v>200</v>
      </c>
      <c r="F2540" s="2">
        <v>32441</v>
      </c>
      <c r="G2540" s="2">
        <v>6.4181834530000001</v>
      </c>
      <c r="H2540" s="3">
        <v>3.5599999999999999E-11</v>
      </c>
      <c r="I2540" s="2" t="s">
        <v>13457</v>
      </c>
      <c r="J2540" s="2" t="s">
        <v>13458</v>
      </c>
      <c r="K2540" s="3">
        <v>3.9499999999999998E-10</v>
      </c>
      <c r="L2540" s="2" t="s">
        <v>1178</v>
      </c>
      <c r="M2540" s="4" t="s">
        <v>13459</v>
      </c>
    </row>
    <row r="2541" spans="1:13">
      <c r="A2541" s="2">
        <v>9511</v>
      </c>
      <c r="B2541" s="2" t="s">
        <v>1572</v>
      </c>
      <c r="C2541" s="2">
        <v>22</v>
      </c>
      <c r="D2541" s="2">
        <v>556</v>
      </c>
      <c r="E2541" s="2">
        <v>200</v>
      </c>
      <c r="F2541" s="2">
        <v>32441</v>
      </c>
      <c r="G2541" s="2">
        <v>6.4181834530000001</v>
      </c>
      <c r="H2541" s="3">
        <v>3.5599999999999999E-11</v>
      </c>
      <c r="I2541" s="2" t="s">
        <v>13460</v>
      </c>
      <c r="J2541" s="2" t="s">
        <v>13461</v>
      </c>
      <c r="K2541" s="3">
        <v>3.9499999999999998E-10</v>
      </c>
      <c r="L2541" s="2" t="s">
        <v>1178</v>
      </c>
      <c r="M2541" s="4" t="s">
        <v>13462</v>
      </c>
    </row>
    <row r="2542" spans="1:13">
      <c r="A2542" s="2">
        <v>9631</v>
      </c>
      <c r="B2542" s="2" t="s">
        <v>3138</v>
      </c>
      <c r="C2542" s="2">
        <v>22</v>
      </c>
      <c r="D2542" s="2">
        <v>556</v>
      </c>
      <c r="E2542" s="2">
        <v>200</v>
      </c>
      <c r="F2542" s="2">
        <v>32441</v>
      </c>
      <c r="G2542" s="2">
        <v>6.4181834530000001</v>
      </c>
      <c r="H2542" s="3">
        <v>3.5599999999999999E-11</v>
      </c>
      <c r="I2542" s="2" t="s">
        <v>13463</v>
      </c>
      <c r="J2542" s="2" t="s">
        <v>13464</v>
      </c>
      <c r="K2542" s="3">
        <v>3.9499999999999998E-10</v>
      </c>
      <c r="L2542" s="2" t="s">
        <v>1178</v>
      </c>
      <c r="M2542" s="4" t="s">
        <v>3141</v>
      </c>
    </row>
    <row r="2543" spans="1:13">
      <c r="A2543" s="2">
        <v>988</v>
      </c>
      <c r="B2543" s="2" t="s">
        <v>13465</v>
      </c>
      <c r="C2543" s="2">
        <v>22</v>
      </c>
      <c r="D2543" s="2">
        <v>556</v>
      </c>
      <c r="E2543" s="2">
        <v>200</v>
      </c>
      <c r="F2543" s="2">
        <v>32441</v>
      </c>
      <c r="G2543" s="2">
        <v>6.4181834530000001</v>
      </c>
      <c r="H2543" s="3">
        <v>3.5599999999999999E-11</v>
      </c>
      <c r="I2543" s="2" t="s">
        <v>13466</v>
      </c>
      <c r="J2543" s="2" t="s">
        <v>13467</v>
      </c>
      <c r="K2543" s="3">
        <v>3.9499999999999998E-10</v>
      </c>
      <c r="L2543" s="2" t="s">
        <v>1178</v>
      </c>
      <c r="M2543" s="4" t="s">
        <v>13468</v>
      </c>
    </row>
    <row r="2544" spans="1:13">
      <c r="A2544" s="2">
        <v>994</v>
      </c>
      <c r="B2544" s="2" t="s">
        <v>13469</v>
      </c>
      <c r="C2544" s="2">
        <v>22</v>
      </c>
      <c r="D2544" s="2">
        <v>556</v>
      </c>
      <c r="E2544" s="2">
        <v>200</v>
      </c>
      <c r="F2544" s="2">
        <v>32441</v>
      </c>
      <c r="G2544" s="2">
        <v>6.4181834530000001</v>
      </c>
      <c r="H2544" s="3">
        <v>3.5599999999999999E-11</v>
      </c>
      <c r="I2544" s="2" t="s">
        <v>13470</v>
      </c>
      <c r="J2544" s="2" t="s">
        <v>13471</v>
      </c>
      <c r="K2544" s="3">
        <v>3.9499999999999998E-10</v>
      </c>
      <c r="L2544" s="2" t="s">
        <v>1178</v>
      </c>
      <c r="M2544" s="4" t="s">
        <v>13472</v>
      </c>
    </row>
    <row r="2545" spans="1:13">
      <c r="A2545" s="2">
        <v>1114</v>
      </c>
      <c r="B2545" s="2" t="s">
        <v>13473</v>
      </c>
      <c r="C2545" s="2">
        <v>22</v>
      </c>
      <c r="D2545" s="2">
        <v>556</v>
      </c>
      <c r="E2545" s="2">
        <v>200</v>
      </c>
      <c r="F2545" s="2">
        <v>32441</v>
      </c>
      <c r="G2545" s="2">
        <v>6.4181834530000001</v>
      </c>
      <c r="H2545" s="3">
        <v>3.5599999999999999E-11</v>
      </c>
      <c r="I2545" s="2" t="s">
        <v>13474</v>
      </c>
      <c r="J2545" s="2" t="s">
        <v>13475</v>
      </c>
      <c r="K2545" s="3">
        <v>3.9499999999999998E-10</v>
      </c>
      <c r="L2545" s="2" t="s">
        <v>1178</v>
      </c>
      <c r="M2545" s="4" t="s">
        <v>13476</v>
      </c>
    </row>
    <row r="2546" spans="1:13">
      <c r="A2546" s="2">
        <v>1267</v>
      </c>
      <c r="B2546" s="2" t="s">
        <v>13477</v>
      </c>
      <c r="C2546" s="2">
        <v>22</v>
      </c>
      <c r="D2546" s="2">
        <v>556</v>
      </c>
      <c r="E2546" s="2">
        <v>200</v>
      </c>
      <c r="F2546" s="2">
        <v>32441</v>
      </c>
      <c r="G2546" s="2">
        <v>6.4181834530000001</v>
      </c>
      <c r="H2546" s="3">
        <v>3.5599999999999999E-11</v>
      </c>
      <c r="I2546" s="2" t="s">
        <v>13478</v>
      </c>
      <c r="J2546" s="2" t="s">
        <v>13479</v>
      </c>
      <c r="K2546" s="3">
        <v>3.9499999999999998E-10</v>
      </c>
      <c r="L2546" s="2" t="s">
        <v>1178</v>
      </c>
      <c r="M2546" s="4" t="s">
        <v>13480</v>
      </c>
    </row>
    <row r="2547" spans="1:13">
      <c r="A2547" s="2">
        <v>1269</v>
      </c>
      <c r="B2547" s="2" t="s">
        <v>1584</v>
      </c>
      <c r="C2547" s="2">
        <v>22</v>
      </c>
      <c r="D2547" s="2">
        <v>556</v>
      </c>
      <c r="E2547" s="2">
        <v>200</v>
      </c>
      <c r="F2547" s="2">
        <v>32441</v>
      </c>
      <c r="G2547" s="2">
        <v>6.4181834530000001</v>
      </c>
      <c r="H2547" s="3">
        <v>3.5599999999999999E-11</v>
      </c>
      <c r="I2547" s="2" t="s">
        <v>13481</v>
      </c>
      <c r="J2547" s="2" t="s">
        <v>13482</v>
      </c>
      <c r="K2547" s="3">
        <v>3.9499999999999998E-10</v>
      </c>
      <c r="L2547" s="2" t="s">
        <v>1178</v>
      </c>
      <c r="M2547" s="4" t="s">
        <v>13483</v>
      </c>
    </row>
    <row r="2548" spans="1:13">
      <c r="A2548" s="2">
        <v>12831</v>
      </c>
      <c r="B2548" s="2" t="s">
        <v>13484</v>
      </c>
      <c r="C2548" s="2">
        <v>22</v>
      </c>
      <c r="D2548" s="2">
        <v>556</v>
      </c>
      <c r="E2548" s="2">
        <v>200</v>
      </c>
      <c r="F2548" s="2">
        <v>32441</v>
      </c>
      <c r="G2548" s="2">
        <v>6.4181834530000001</v>
      </c>
      <c r="H2548" s="3">
        <v>3.5599999999999999E-11</v>
      </c>
      <c r="I2548" s="2" t="s">
        <v>13485</v>
      </c>
      <c r="J2548" s="2" t="s">
        <v>13486</v>
      </c>
      <c r="K2548" s="3">
        <v>3.9499999999999998E-10</v>
      </c>
      <c r="L2548" s="2" t="s">
        <v>1178</v>
      </c>
      <c r="M2548" s="4" t="s">
        <v>13487</v>
      </c>
    </row>
    <row r="2549" spans="1:13">
      <c r="A2549" s="2">
        <v>13411</v>
      </c>
      <c r="B2549" s="2" t="s">
        <v>13488</v>
      </c>
      <c r="C2549" s="2">
        <v>22</v>
      </c>
      <c r="D2549" s="2">
        <v>556</v>
      </c>
      <c r="E2549" s="2">
        <v>200</v>
      </c>
      <c r="F2549" s="2">
        <v>32441</v>
      </c>
      <c r="G2549" s="2">
        <v>6.4181834530000001</v>
      </c>
      <c r="H2549" s="3">
        <v>3.5599999999999999E-11</v>
      </c>
      <c r="I2549" s="2" t="s">
        <v>13489</v>
      </c>
      <c r="J2549" s="2" t="s">
        <v>13490</v>
      </c>
      <c r="K2549" s="3">
        <v>3.9499999999999998E-10</v>
      </c>
      <c r="L2549" s="2" t="s">
        <v>1178</v>
      </c>
      <c r="M2549" s="4" t="s">
        <v>13491</v>
      </c>
    </row>
    <row r="2550" spans="1:13">
      <c r="A2550" s="2">
        <v>1395</v>
      </c>
      <c r="B2550" s="2" t="s">
        <v>13492</v>
      </c>
      <c r="C2550" s="2">
        <v>22</v>
      </c>
      <c r="D2550" s="2">
        <v>556</v>
      </c>
      <c r="E2550" s="2">
        <v>200</v>
      </c>
      <c r="F2550" s="2">
        <v>32441</v>
      </c>
      <c r="G2550" s="2">
        <v>6.4181834530000001</v>
      </c>
      <c r="H2550" s="3">
        <v>3.5599999999999999E-11</v>
      </c>
      <c r="I2550" s="2" t="s">
        <v>13493</v>
      </c>
      <c r="J2550" s="2" t="s">
        <v>13494</v>
      </c>
      <c r="K2550" s="3">
        <v>3.9499999999999998E-10</v>
      </c>
      <c r="L2550" s="2" t="s">
        <v>1178</v>
      </c>
      <c r="M2550" s="4" t="s">
        <v>13495</v>
      </c>
    </row>
    <row r="2551" spans="1:13">
      <c r="A2551" s="2">
        <v>1468</v>
      </c>
      <c r="B2551" s="2" t="s">
        <v>13496</v>
      </c>
      <c r="C2551" s="2">
        <v>22</v>
      </c>
      <c r="D2551" s="2">
        <v>556</v>
      </c>
      <c r="E2551" s="2">
        <v>200</v>
      </c>
      <c r="F2551" s="2">
        <v>32441</v>
      </c>
      <c r="G2551" s="2">
        <v>6.4181834530000001</v>
      </c>
      <c r="H2551" s="3">
        <v>3.5599999999999999E-11</v>
      </c>
      <c r="I2551" s="2" t="s">
        <v>13497</v>
      </c>
      <c r="J2551" s="2" t="s">
        <v>13498</v>
      </c>
      <c r="K2551" s="3">
        <v>3.9499999999999998E-10</v>
      </c>
      <c r="L2551" s="2" t="s">
        <v>1178</v>
      </c>
      <c r="M2551" s="4" t="s">
        <v>13499</v>
      </c>
    </row>
    <row r="2552" spans="1:13">
      <c r="A2552" s="2">
        <v>1494</v>
      </c>
      <c r="B2552" s="2" t="s">
        <v>13500</v>
      </c>
      <c r="C2552" s="2">
        <v>22</v>
      </c>
      <c r="D2552" s="2">
        <v>556</v>
      </c>
      <c r="E2552" s="2">
        <v>200</v>
      </c>
      <c r="F2552" s="2">
        <v>32441</v>
      </c>
      <c r="G2552" s="2">
        <v>6.4181834530000001</v>
      </c>
      <c r="H2552" s="3">
        <v>3.5599999999999999E-11</v>
      </c>
      <c r="I2552" s="2" t="s">
        <v>13501</v>
      </c>
      <c r="J2552" s="2" t="s">
        <v>13502</v>
      </c>
      <c r="K2552" s="3">
        <v>3.9499999999999998E-10</v>
      </c>
      <c r="L2552" s="2" t="s">
        <v>1178</v>
      </c>
      <c r="M2552" s="4" t="s">
        <v>13503</v>
      </c>
    </row>
    <row r="2553" spans="1:13">
      <c r="A2553" s="2">
        <v>16671</v>
      </c>
      <c r="B2553" s="2" t="s">
        <v>13504</v>
      </c>
      <c r="C2553" s="2">
        <v>22</v>
      </c>
      <c r="D2553" s="2">
        <v>556</v>
      </c>
      <c r="E2553" s="2">
        <v>200</v>
      </c>
      <c r="F2553" s="2">
        <v>32441</v>
      </c>
      <c r="G2553" s="2">
        <v>6.4181834530000001</v>
      </c>
      <c r="H2553" s="3">
        <v>3.5599999999999999E-11</v>
      </c>
      <c r="I2553" s="2" t="s">
        <v>13505</v>
      </c>
      <c r="J2553" s="2" t="s">
        <v>13506</v>
      </c>
      <c r="K2553" s="3">
        <v>3.9499999999999998E-10</v>
      </c>
      <c r="L2553" s="2" t="s">
        <v>1178</v>
      </c>
      <c r="M2553" s="4" t="s">
        <v>13507</v>
      </c>
    </row>
    <row r="2554" spans="1:13">
      <c r="A2554" s="2">
        <v>1669</v>
      </c>
      <c r="B2554" s="2" t="s">
        <v>13508</v>
      </c>
      <c r="C2554" s="2">
        <v>22</v>
      </c>
      <c r="D2554" s="2">
        <v>556</v>
      </c>
      <c r="E2554" s="2">
        <v>200</v>
      </c>
      <c r="F2554" s="2">
        <v>32441</v>
      </c>
      <c r="G2554" s="2">
        <v>6.4181834530000001</v>
      </c>
      <c r="H2554" s="3">
        <v>3.5599999999999999E-11</v>
      </c>
      <c r="I2554" s="2" t="s">
        <v>13509</v>
      </c>
      <c r="J2554" s="2" t="s">
        <v>13510</v>
      </c>
      <c r="K2554" s="3">
        <v>3.9499999999999998E-10</v>
      </c>
      <c r="L2554" s="2" t="s">
        <v>1178</v>
      </c>
      <c r="M2554" s="4" t="s">
        <v>13511</v>
      </c>
    </row>
    <row r="2555" spans="1:13">
      <c r="A2555" s="2">
        <v>1807</v>
      </c>
      <c r="B2555" s="2" t="s">
        <v>13512</v>
      </c>
      <c r="C2555" s="2">
        <v>22</v>
      </c>
      <c r="D2555" s="2">
        <v>556</v>
      </c>
      <c r="E2555" s="2">
        <v>200</v>
      </c>
      <c r="F2555" s="2">
        <v>32441</v>
      </c>
      <c r="G2555" s="2">
        <v>6.4181834530000001</v>
      </c>
      <c r="H2555" s="3">
        <v>3.5599999999999999E-11</v>
      </c>
      <c r="I2555" s="2" t="s">
        <v>13513</v>
      </c>
      <c r="J2555" s="2" t="s">
        <v>13514</v>
      </c>
      <c r="K2555" s="3">
        <v>3.9499999999999998E-10</v>
      </c>
      <c r="L2555" s="2" t="s">
        <v>1178</v>
      </c>
      <c r="M2555" s="4" t="s">
        <v>13515</v>
      </c>
    </row>
    <row r="2556" spans="1:13">
      <c r="A2556" s="2">
        <v>1914</v>
      </c>
      <c r="B2556" s="2" t="s">
        <v>13516</v>
      </c>
      <c r="C2556" s="2">
        <v>22</v>
      </c>
      <c r="D2556" s="2">
        <v>556</v>
      </c>
      <c r="E2556" s="2">
        <v>200</v>
      </c>
      <c r="F2556" s="2">
        <v>32441</v>
      </c>
      <c r="G2556" s="2">
        <v>6.4181834530000001</v>
      </c>
      <c r="H2556" s="3">
        <v>3.5599999999999999E-11</v>
      </c>
      <c r="I2556" s="2" t="s">
        <v>13517</v>
      </c>
      <c r="J2556" s="2" t="s">
        <v>13518</v>
      </c>
      <c r="K2556" s="3">
        <v>3.9499999999999998E-10</v>
      </c>
      <c r="L2556" s="2" t="s">
        <v>1178</v>
      </c>
      <c r="M2556" s="4" t="s">
        <v>13519</v>
      </c>
    </row>
    <row r="2557" spans="1:13">
      <c r="A2557" s="2">
        <v>19471</v>
      </c>
      <c r="B2557" s="2" t="s">
        <v>13520</v>
      </c>
      <c r="C2557" s="2">
        <v>22</v>
      </c>
      <c r="D2557" s="2">
        <v>556</v>
      </c>
      <c r="E2557" s="2">
        <v>200</v>
      </c>
      <c r="F2557" s="2">
        <v>32441</v>
      </c>
      <c r="G2557" s="2">
        <v>6.4181834530000001</v>
      </c>
      <c r="H2557" s="3">
        <v>3.5599999999999999E-11</v>
      </c>
      <c r="I2557" s="2" t="s">
        <v>13521</v>
      </c>
      <c r="J2557" s="2" t="s">
        <v>13522</v>
      </c>
      <c r="K2557" s="3">
        <v>3.9499999999999998E-10</v>
      </c>
      <c r="L2557" s="2" t="s">
        <v>1178</v>
      </c>
      <c r="M2557" s="4" t="s">
        <v>13523</v>
      </c>
    </row>
    <row r="2558" spans="1:13">
      <c r="A2558" s="2">
        <v>2007</v>
      </c>
      <c r="B2558" s="2" t="s">
        <v>13524</v>
      </c>
      <c r="C2558" s="2">
        <v>22</v>
      </c>
      <c r="D2558" s="2">
        <v>556</v>
      </c>
      <c r="E2558" s="2">
        <v>200</v>
      </c>
      <c r="F2558" s="2">
        <v>32441</v>
      </c>
      <c r="G2558" s="2">
        <v>6.4181834530000001</v>
      </c>
      <c r="H2558" s="3">
        <v>3.5599999999999999E-11</v>
      </c>
      <c r="I2558" s="2" t="s">
        <v>13525</v>
      </c>
      <c r="J2558" s="2" t="s">
        <v>13526</v>
      </c>
      <c r="K2558" s="3">
        <v>3.9499999999999998E-10</v>
      </c>
      <c r="L2558" s="2" t="s">
        <v>1178</v>
      </c>
      <c r="M2558" s="4" t="s">
        <v>13527</v>
      </c>
    </row>
    <row r="2559" spans="1:13">
      <c r="A2559" s="2">
        <v>2120</v>
      </c>
      <c r="B2559" s="2" t="s">
        <v>13528</v>
      </c>
      <c r="C2559" s="2">
        <v>22</v>
      </c>
      <c r="D2559" s="2">
        <v>556</v>
      </c>
      <c r="E2559" s="2">
        <v>200</v>
      </c>
      <c r="F2559" s="2">
        <v>32441</v>
      </c>
      <c r="G2559" s="2">
        <v>6.4181834530000001</v>
      </c>
      <c r="H2559" s="3">
        <v>3.5599999999999999E-11</v>
      </c>
      <c r="I2559" s="2" t="s">
        <v>13529</v>
      </c>
      <c r="J2559" s="2" t="s">
        <v>13530</v>
      </c>
      <c r="K2559" s="3">
        <v>3.9499999999999998E-10</v>
      </c>
      <c r="L2559" s="2" t="s">
        <v>1178</v>
      </c>
      <c r="M2559" s="4" t="s">
        <v>13531</v>
      </c>
    </row>
    <row r="2560" spans="1:13">
      <c r="A2560" s="2">
        <v>2124</v>
      </c>
      <c r="B2560" s="2" t="s">
        <v>13532</v>
      </c>
      <c r="C2560" s="2">
        <v>22</v>
      </c>
      <c r="D2560" s="2">
        <v>556</v>
      </c>
      <c r="E2560" s="2">
        <v>199</v>
      </c>
      <c r="F2560" s="2">
        <v>32441</v>
      </c>
      <c r="G2560" s="2">
        <v>6.4504356310000004</v>
      </c>
      <c r="H2560" s="3">
        <v>3.2600000000000002E-11</v>
      </c>
      <c r="I2560" s="2" t="s">
        <v>13533</v>
      </c>
      <c r="J2560" s="2" t="s">
        <v>13534</v>
      </c>
      <c r="K2560" s="3">
        <v>3.9499999999999998E-10</v>
      </c>
      <c r="L2560" s="2" t="s">
        <v>1178</v>
      </c>
      <c r="M2560" s="4" t="s">
        <v>13535</v>
      </c>
    </row>
    <row r="2561" spans="1:13">
      <c r="A2561" s="2">
        <v>2249</v>
      </c>
      <c r="B2561" s="2" t="s">
        <v>13536</v>
      </c>
      <c r="C2561" s="2">
        <v>22</v>
      </c>
      <c r="D2561" s="2">
        <v>556</v>
      </c>
      <c r="E2561" s="2">
        <v>200</v>
      </c>
      <c r="F2561" s="2">
        <v>32441</v>
      </c>
      <c r="G2561" s="2">
        <v>6.4181834530000001</v>
      </c>
      <c r="H2561" s="3">
        <v>3.5599999999999999E-11</v>
      </c>
      <c r="I2561" s="2" t="s">
        <v>13537</v>
      </c>
      <c r="J2561" s="2" t="s">
        <v>13538</v>
      </c>
      <c r="K2561" s="3">
        <v>3.9499999999999998E-10</v>
      </c>
      <c r="L2561" s="2" t="s">
        <v>1178</v>
      </c>
      <c r="M2561" s="4" t="s">
        <v>13539</v>
      </c>
    </row>
    <row r="2562" spans="1:13">
      <c r="A2562" s="2">
        <v>2544</v>
      </c>
      <c r="B2562" s="2" t="s">
        <v>13540</v>
      </c>
      <c r="C2562" s="2">
        <v>21</v>
      </c>
      <c r="D2562" s="2">
        <v>556</v>
      </c>
      <c r="E2562" s="2">
        <v>179</v>
      </c>
      <c r="F2562" s="2">
        <v>32441</v>
      </c>
      <c r="G2562" s="2">
        <v>6.8451931190000002</v>
      </c>
      <c r="H2562" s="3">
        <v>3.3400000000000002E-11</v>
      </c>
      <c r="I2562" s="2" t="s">
        <v>13541</v>
      </c>
      <c r="J2562" s="2" t="s">
        <v>13542</v>
      </c>
      <c r="K2562" s="3">
        <v>3.9499999999999998E-10</v>
      </c>
      <c r="L2562" s="2" t="s">
        <v>1178</v>
      </c>
      <c r="M2562" s="4" t="s">
        <v>13543</v>
      </c>
    </row>
    <row r="2563" spans="1:13">
      <c r="A2563" s="2">
        <v>25501</v>
      </c>
      <c r="B2563" s="2" t="s">
        <v>13544</v>
      </c>
      <c r="C2563" s="2">
        <v>22</v>
      </c>
      <c r="D2563" s="2">
        <v>556</v>
      </c>
      <c r="E2563" s="2">
        <v>200</v>
      </c>
      <c r="F2563" s="2">
        <v>32441</v>
      </c>
      <c r="G2563" s="2">
        <v>6.4181834530000001</v>
      </c>
      <c r="H2563" s="3">
        <v>3.5599999999999999E-11</v>
      </c>
      <c r="I2563" s="2" t="s">
        <v>13545</v>
      </c>
      <c r="J2563" s="2" t="s">
        <v>13546</v>
      </c>
      <c r="K2563" s="3">
        <v>3.9499999999999998E-10</v>
      </c>
      <c r="L2563" s="2" t="s">
        <v>1178</v>
      </c>
      <c r="M2563" s="4" t="s">
        <v>13547</v>
      </c>
    </row>
    <row r="2564" spans="1:13">
      <c r="A2564" s="2">
        <v>2583</v>
      </c>
      <c r="B2564" s="2" t="s">
        <v>13548</v>
      </c>
      <c r="C2564" s="2">
        <v>22</v>
      </c>
      <c r="D2564" s="2">
        <v>556</v>
      </c>
      <c r="E2564" s="2">
        <v>200</v>
      </c>
      <c r="F2564" s="2">
        <v>32441</v>
      </c>
      <c r="G2564" s="2">
        <v>6.4181834530000001</v>
      </c>
      <c r="H2564" s="3">
        <v>3.5599999999999999E-11</v>
      </c>
      <c r="I2564" s="2" t="s">
        <v>13549</v>
      </c>
      <c r="J2564" s="2" t="s">
        <v>13550</v>
      </c>
      <c r="K2564" s="3">
        <v>3.9499999999999998E-10</v>
      </c>
      <c r="L2564" s="2" t="s">
        <v>1178</v>
      </c>
      <c r="M2564" s="4" t="s">
        <v>13551</v>
      </c>
    </row>
    <row r="2565" spans="1:13">
      <c r="A2565" s="2">
        <v>2631</v>
      </c>
      <c r="B2565" s="2" t="s">
        <v>13552</v>
      </c>
      <c r="C2565" s="2">
        <v>22</v>
      </c>
      <c r="D2565" s="2">
        <v>556</v>
      </c>
      <c r="E2565" s="2">
        <v>200</v>
      </c>
      <c r="F2565" s="2">
        <v>32441</v>
      </c>
      <c r="G2565" s="2">
        <v>6.4181834530000001</v>
      </c>
      <c r="H2565" s="3">
        <v>3.5599999999999999E-11</v>
      </c>
      <c r="I2565" s="2" t="s">
        <v>13553</v>
      </c>
      <c r="J2565" s="2" t="s">
        <v>13554</v>
      </c>
      <c r="K2565" s="3">
        <v>3.9499999999999998E-10</v>
      </c>
      <c r="L2565" s="2" t="s">
        <v>1178</v>
      </c>
      <c r="M2565" s="4" t="s">
        <v>13555</v>
      </c>
    </row>
    <row r="2566" spans="1:13">
      <c r="A2566" s="2">
        <v>27772</v>
      </c>
      <c r="B2566" s="2" t="s">
        <v>13556</v>
      </c>
      <c r="C2566" s="2">
        <v>22</v>
      </c>
      <c r="D2566" s="2">
        <v>556</v>
      </c>
      <c r="E2566" s="2">
        <v>200</v>
      </c>
      <c r="F2566" s="2">
        <v>32441</v>
      </c>
      <c r="G2566" s="2">
        <v>6.4181834530000001</v>
      </c>
      <c r="H2566" s="3">
        <v>3.5599999999999999E-11</v>
      </c>
      <c r="I2566" s="2" t="s">
        <v>13557</v>
      </c>
      <c r="J2566" s="2" t="s">
        <v>13558</v>
      </c>
      <c r="K2566" s="3">
        <v>3.9499999999999998E-10</v>
      </c>
      <c r="L2566" s="2" t="s">
        <v>1178</v>
      </c>
      <c r="M2566" s="4" t="s">
        <v>13559</v>
      </c>
    </row>
    <row r="2567" spans="1:13">
      <c r="A2567" s="2">
        <v>2923</v>
      </c>
      <c r="B2567" s="2" t="s">
        <v>13560</v>
      </c>
      <c r="C2567" s="2">
        <v>22</v>
      </c>
      <c r="D2567" s="2">
        <v>556</v>
      </c>
      <c r="E2567" s="2">
        <v>200</v>
      </c>
      <c r="F2567" s="2">
        <v>32441</v>
      </c>
      <c r="G2567" s="2">
        <v>6.4181834530000001</v>
      </c>
      <c r="H2567" s="3">
        <v>3.5599999999999999E-11</v>
      </c>
      <c r="I2567" s="2" t="s">
        <v>13561</v>
      </c>
      <c r="J2567" s="2" t="s">
        <v>13562</v>
      </c>
      <c r="K2567" s="3">
        <v>3.9499999999999998E-10</v>
      </c>
      <c r="L2567" s="2" t="s">
        <v>1178</v>
      </c>
      <c r="M2567" s="4" t="s">
        <v>13563</v>
      </c>
    </row>
    <row r="2568" spans="1:13">
      <c r="A2568" s="2">
        <v>2986</v>
      </c>
      <c r="B2568" s="2" t="s">
        <v>13564</v>
      </c>
      <c r="C2568" s="2">
        <v>22</v>
      </c>
      <c r="D2568" s="2">
        <v>556</v>
      </c>
      <c r="E2568" s="2">
        <v>200</v>
      </c>
      <c r="F2568" s="2">
        <v>32441</v>
      </c>
      <c r="G2568" s="2">
        <v>6.4181834530000001</v>
      </c>
      <c r="H2568" s="3">
        <v>3.5599999999999999E-11</v>
      </c>
      <c r="I2568" s="2" t="s">
        <v>13565</v>
      </c>
      <c r="J2568" s="2" t="s">
        <v>13566</v>
      </c>
      <c r="K2568" s="3">
        <v>3.9499999999999998E-10</v>
      </c>
      <c r="L2568" s="2" t="s">
        <v>1178</v>
      </c>
      <c r="M2568" s="4" t="s">
        <v>13567</v>
      </c>
    </row>
    <row r="2569" spans="1:13">
      <c r="A2569" s="2">
        <v>3136</v>
      </c>
      <c r="B2569" s="2" t="s">
        <v>13568</v>
      </c>
      <c r="C2569" s="2">
        <v>22</v>
      </c>
      <c r="D2569" s="2">
        <v>556</v>
      </c>
      <c r="E2569" s="2">
        <v>200</v>
      </c>
      <c r="F2569" s="2">
        <v>32441</v>
      </c>
      <c r="G2569" s="2">
        <v>6.4181834530000001</v>
      </c>
      <c r="H2569" s="3">
        <v>3.5599999999999999E-11</v>
      </c>
      <c r="I2569" s="2" t="s">
        <v>13569</v>
      </c>
      <c r="J2569" s="2" t="s">
        <v>13570</v>
      </c>
      <c r="K2569" s="3">
        <v>3.9499999999999998E-10</v>
      </c>
      <c r="L2569" s="2" t="s">
        <v>1178</v>
      </c>
      <c r="M2569" s="4" t="s">
        <v>13571</v>
      </c>
    </row>
    <row r="2570" spans="1:13">
      <c r="A2570" s="2">
        <v>3450</v>
      </c>
      <c r="B2570" s="2" t="s">
        <v>13572</v>
      </c>
      <c r="C2570" s="2">
        <v>22</v>
      </c>
      <c r="D2570" s="2">
        <v>556</v>
      </c>
      <c r="E2570" s="2">
        <v>200</v>
      </c>
      <c r="F2570" s="2">
        <v>32441</v>
      </c>
      <c r="G2570" s="2">
        <v>6.4181834530000001</v>
      </c>
      <c r="H2570" s="3">
        <v>3.5599999999999999E-11</v>
      </c>
      <c r="I2570" s="2" t="s">
        <v>13573</v>
      </c>
      <c r="J2570" s="2" t="s">
        <v>13574</v>
      </c>
      <c r="K2570" s="3">
        <v>3.9499999999999998E-10</v>
      </c>
      <c r="L2570" s="2" t="s">
        <v>1178</v>
      </c>
      <c r="M2570" s="4" t="s">
        <v>13575</v>
      </c>
    </row>
    <row r="2571" spans="1:13">
      <c r="A2571" s="2">
        <v>3460</v>
      </c>
      <c r="B2571" s="2" t="s">
        <v>13576</v>
      </c>
      <c r="C2571" s="2">
        <v>22</v>
      </c>
      <c r="D2571" s="2">
        <v>556</v>
      </c>
      <c r="E2571" s="2">
        <v>200</v>
      </c>
      <c r="F2571" s="2">
        <v>32441</v>
      </c>
      <c r="G2571" s="2">
        <v>6.4181834530000001</v>
      </c>
      <c r="H2571" s="3">
        <v>3.5599999999999999E-11</v>
      </c>
      <c r="I2571" s="2" t="s">
        <v>13577</v>
      </c>
      <c r="J2571" s="2" t="s">
        <v>13578</v>
      </c>
      <c r="K2571" s="3">
        <v>3.9499999999999998E-10</v>
      </c>
      <c r="L2571" s="2" t="s">
        <v>1178</v>
      </c>
      <c r="M2571" s="4" t="s">
        <v>13579</v>
      </c>
    </row>
    <row r="2572" spans="1:13">
      <c r="A2572" s="2">
        <v>35291</v>
      </c>
      <c r="B2572" s="2" t="s">
        <v>13580</v>
      </c>
      <c r="C2572" s="2">
        <v>22</v>
      </c>
      <c r="D2572" s="2">
        <v>556</v>
      </c>
      <c r="E2572" s="2">
        <v>200</v>
      </c>
      <c r="F2572" s="2">
        <v>32441</v>
      </c>
      <c r="G2572" s="2">
        <v>6.4181834530000001</v>
      </c>
      <c r="H2572" s="3">
        <v>3.5599999999999999E-11</v>
      </c>
      <c r="I2572" s="2" t="s">
        <v>13581</v>
      </c>
      <c r="J2572" s="2" t="s">
        <v>13582</v>
      </c>
      <c r="K2572" s="3">
        <v>3.9499999999999998E-10</v>
      </c>
      <c r="L2572" s="2" t="s">
        <v>1178</v>
      </c>
      <c r="M2572" s="4" t="s">
        <v>13583</v>
      </c>
    </row>
    <row r="2573" spans="1:13">
      <c r="A2573" s="2">
        <v>3550</v>
      </c>
      <c r="B2573" s="2" t="s">
        <v>13584</v>
      </c>
      <c r="C2573" s="2">
        <v>22</v>
      </c>
      <c r="D2573" s="2">
        <v>556</v>
      </c>
      <c r="E2573" s="2">
        <v>200</v>
      </c>
      <c r="F2573" s="2">
        <v>32441</v>
      </c>
      <c r="G2573" s="2">
        <v>6.4181834530000001</v>
      </c>
      <c r="H2573" s="3">
        <v>3.5599999999999999E-11</v>
      </c>
      <c r="I2573" s="2" t="s">
        <v>13585</v>
      </c>
      <c r="J2573" s="2" t="s">
        <v>13586</v>
      </c>
      <c r="K2573" s="3">
        <v>3.9499999999999998E-10</v>
      </c>
      <c r="L2573" s="2" t="s">
        <v>1178</v>
      </c>
      <c r="M2573" s="4" t="s">
        <v>13587</v>
      </c>
    </row>
    <row r="2574" spans="1:13">
      <c r="A2574" s="2">
        <v>35571</v>
      </c>
      <c r="B2574" s="2" t="s">
        <v>13588</v>
      </c>
      <c r="C2574" s="2">
        <v>22</v>
      </c>
      <c r="D2574" s="2">
        <v>556</v>
      </c>
      <c r="E2574" s="2">
        <v>200</v>
      </c>
      <c r="F2574" s="2">
        <v>32441</v>
      </c>
      <c r="G2574" s="2">
        <v>6.4181834530000001</v>
      </c>
      <c r="H2574" s="3">
        <v>3.5599999999999999E-11</v>
      </c>
      <c r="I2574" s="2" t="s">
        <v>13589</v>
      </c>
      <c r="J2574" s="2" t="s">
        <v>13590</v>
      </c>
      <c r="K2574" s="3">
        <v>3.9499999999999998E-10</v>
      </c>
      <c r="L2574" s="2" t="s">
        <v>1178</v>
      </c>
      <c r="M2574" s="4" t="s">
        <v>13591</v>
      </c>
    </row>
    <row r="2575" spans="1:13">
      <c r="A2575" s="2">
        <v>3650</v>
      </c>
      <c r="B2575" s="2" t="s">
        <v>13592</v>
      </c>
      <c r="C2575" s="2">
        <v>22</v>
      </c>
      <c r="D2575" s="2">
        <v>556</v>
      </c>
      <c r="E2575" s="2">
        <v>199</v>
      </c>
      <c r="F2575" s="2">
        <v>32441</v>
      </c>
      <c r="G2575" s="2">
        <v>6.4504356310000004</v>
      </c>
      <c r="H2575" s="3">
        <v>3.2600000000000002E-11</v>
      </c>
      <c r="I2575" s="2" t="s">
        <v>13593</v>
      </c>
      <c r="J2575" s="2" t="s">
        <v>13594</v>
      </c>
      <c r="K2575" s="3">
        <v>3.9499999999999998E-10</v>
      </c>
      <c r="L2575" s="2" t="s">
        <v>1178</v>
      </c>
      <c r="M2575" s="4" t="s">
        <v>13595</v>
      </c>
    </row>
    <row r="2576" spans="1:13">
      <c r="A2576" s="2">
        <v>38361</v>
      </c>
      <c r="B2576" s="2" t="s">
        <v>13596</v>
      </c>
      <c r="C2576" s="2">
        <v>22</v>
      </c>
      <c r="D2576" s="2">
        <v>556</v>
      </c>
      <c r="E2576" s="2">
        <v>200</v>
      </c>
      <c r="F2576" s="2">
        <v>32441</v>
      </c>
      <c r="G2576" s="2">
        <v>6.4181834530000001</v>
      </c>
      <c r="H2576" s="3">
        <v>3.5599999999999999E-11</v>
      </c>
      <c r="I2576" s="2" t="s">
        <v>13597</v>
      </c>
      <c r="J2576" s="2" t="s">
        <v>13598</v>
      </c>
      <c r="K2576" s="3">
        <v>3.9499999999999998E-10</v>
      </c>
      <c r="L2576" s="2" t="s">
        <v>1178</v>
      </c>
      <c r="M2576" s="4" t="s">
        <v>13599</v>
      </c>
    </row>
    <row r="2577" spans="1:13">
      <c r="A2577" s="2">
        <v>38532</v>
      </c>
      <c r="B2577" s="2" t="s">
        <v>13600</v>
      </c>
      <c r="C2577" s="2">
        <v>22</v>
      </c>
      <c r="D2577" s="2">
        <v>556</v>
      </c>
      <c r="E2577" s="2">
        <v>199</v>
      </c>
      <c r="F2577" s="2">
        <v>32441</v>
      </c>
      <c r="G2577" s="2">
        <v>6.4504356310000004</v>
      </c>
      <c r="H2577" s="3">
        <v>3.2600000000000002E-11</v>
      </c>
      <c r="I2577" s="2" t="s">
        <v>13601</v>
      </c>
      <c r="J2577" s="2" t="s">
        <v>13602</v>
      </c>
      <c r="K2577" s="3">
        <v>3.9499999999999998E-10</v>
      </c>
      <c r="L2577" s="2" t="s">
        <v>1178</v>
      </c>
      <c r="M2577" s="4" t="s">
        <v>13603</v>
      </c>
    </row>
    <row r="2578" spans="1:13">
      <c r="A2578" s="2">
        <v>3902</v>
      </c>
      <c r="B2578" s="2" t="s">
        <v>13604</v>
      </c>
      <c r="C2578" s="2">
        <v>22</v>
      </c>
      <c r="D2578" s="2">
        <v>556</v>
      </c>
      <c r="E2578" s="2">
        <v>200</v>
      </c>
      <c r="F2578" s="2">
        <v>32441</v>
      </c>
      <c r="G2578" s="2">
        <v>6.4181834530000001</v>
      </c>
      <c r="H2578" s="3">
        <v>3.5599999999999999E-11</v>
      </c>
      <c r="I2578" s="2" t="s">
        <v>13605</v>
      </c>
      <c r="J2578" s="2" t="s">
        <v>13606</v>
      </c>
      <c r="K2578" s="3">
        <v>3.9499999999999998E-10</v>
      </c>
      <c r="L2578" s="2" t="s">
        <v>1178</v>
      </c>
      <c r="M2578" s="4" t="s">
        <v>13607</v>
      </c>
    </row>
    <row r="2579" spans="1:13">
      <c r="A2579" s="2">
        <v>4140</v>
      </c>
      <c r="B2579" s="2" t="s">
        <v>13608</v>
      </c>
      <c r="C2579" s="2">
        <v>22</v>
      </c>
      <c r="D2579" s="2">
        <v>556</v>
      </c>
      <c r="E2579" s="2">
        <v>200</v>
      </c>
      <c r="F2579" s="2">
        <v>32441</v>
      </c>
      <c r="G2579" s="2">
        <v>6.4181834530000001</v>
      </c>
      <c r="H2579" s="3">
        <v>3.5599999999999999E-11</v>
      </c>
      <c r="I2579" s="2" t="s">
        <v>13609</v>
      </c>
      <c r="J2579" s="2" t="s">
        <v>13610</v>
      </c>
      <c r="K2579" s="3">
        <v>3.9499999999999998E-10</v>
      </c>
      <c r="L2579" s="2" t="s">
        <v>1178</v>
      </c>
      <c r="M2579" s="4" t="s">
        <v>13611</v>
      </c>
    </row>
    <row r="2580" spans="1:13">
      <c r="A2580" s="2">
        <v>4250</v>
      </c>
      <c r="B2580" s="2" t="s">
        <v>13612</v>
      </c>
      <c r="C2580" s="2">
        <v>22</v>
      </c>
      <c r="D2580" s="2">
        <v>556</v>
      </c>
      <c r="E2580" s="2">
        <v>200</v>
      </c>
      <c r="F2580" s="2">
        <v>32441</v>
      </c>
      <c r="G2580" s="2">
        <v>6.4181834530000001</v>
      </c>
      <c r="H2580" s="3">
        <v>3.5599999999999999E-11</v>
      </c>
      <c r="I2580" s="2" t="s">
        <v>13613</v>
      </c>
      <c r="J2580" s="2" t="s">
        <v>13614</v>
      </c>
      <c r="K2580" s="3">
        <v>3.9499999999999998E-10</v>
      </c>
      <c r="L2580" s="2" t="s">
        <v>1178</v>
      </c>
      <c r="M2580" s="4" t="s">
        <v>13615</v>
      </c>
    </row>
    <row r="2581" spans="1:13">
      <c r="A2581" s="2">
        <v>4256</v>
      </c>
      <c r="B2581" s="2" t="s">
        <v>13616</v>
      </c>
      <c r="C2581" s="2">
        <v>22</v>
      </c>
      <c r="D2581" s="2">
        <v>556</v>
      </c>
      <c r="E2581" s="2">
        <v>200</v>
      </c>
      <c r="F2581" s="2">
        <v>32441</v>
      </c>
      <c r="G2581" s="2">
        <v>6.4181834530000001</v>
      </c>
      <c r="H2581" s="3">
        <v>3.5599999999999999E-11</v>
      </c>
      <c r="I2581" s="2" t="s">
        <v>13617</v>
      </c>
      <c r="J2581" s="2" t="s">
        <v>13618</v>
      </c>
      <c r="K2581" s="3">
        <v>3.9499999999999998E-10</v>
      </c>
      <c r="L2581" s="2" t="s">
        <v>1178</v>
      </c>
      <c r="M2581" s="4" t="s">
        <v>13619</v>
      </c>
    </row>
    <row r="2582" spans="1:13">
      <c r="A2582" s="2">
        <v>4277</v>
      </c>
      <c r="B2582" s="2" t="s">
        <v>13620</v>
      </c>
      <c r="C2582" s="2">
        <v>22</v>
      </c>
      <c r="D2582" s="2">
        <v>556</v>
      </c>
      <c r="E2582" s="2">
        <v>200</v>
      </c>
      <c r="F2582" s="2">
        <v>32441</v>
      </c>
      <c r="G2582" s="2">
        <v>6.4181834530000001</v>
      </c>
      <c r="H2582" s="3">
        <v>3.5599999999999999E-11</v>
      </c>
      <c r="I2582" s="2" t="s">
        <v>13621</v>
      </c>
      <c r="J2582" s="2" t="s">
        <v>13622</v>
      </c>
      <c r="K2582" s="3">
        <v>3.9499999999999998E-10</v>
      </c>
      <c r="L2582" s="2" t="s">
        <v>1178</v>
      </c>
      <c r="M2582" s="4" t="s">
        <v>13623</v>
      </c>
    </row>
    <row r="2583" spans="1:13">
      <c r="A2583" s="2">
        <v>4358</v>
      </c>
      <c r="B2583" s="2" t="s">
        <v>13624</v>
      </c>
      <c r="C2583" s="2">
        <v>22</v>
      </c>
      <c r="D2583" s="2">
        <v>556</v>
      </c>
      <c r="E2583" s="2">
        <v>200</v>
      </c>
      <c r="F2583" s="2">
        <v>32441</v>
      </c>
      <c r="G2583" s="2">
        <v>6.4181834530000001</v>
      </c>
      <c r="H2583" s="3">
        <v>3.5599999999999999E-11</v>
      </c>
      <c r="I2583" s="2" t="s">
        <v>13625</v>
      </c>
      <c r="J2583" s="2" t="s">
        <v>13626</v>
      </c>
      <c r="K2583" s="3">
        <v>3.9499999999999998E-10</v>
      </c>
      <c r="L2583" s="2" t="s">
        <v>1178</v>
      </c>
      <c r="M2583" s="4" t="s">
        <v>13627</v>
      </c>
    </row>
    <row r="2584" spans="1:13">
      <c r="A2584" s="2">
        <v>4375</v>
      </c>
      <c r="B2584" s="2" t="s">
        <v>13628</v>
      </c>
      <c r="C2584" s="2">
        <v>22</v>
      </c>
      <c r="D2584" s="2">
        <v>556</v>
      </c>
      <c r="E2584" s="2">
        <v>200</v>
      </c>
      <c r="F2584" s="2">
        <v>32441</v>
      </c>
      <c r="G2584" s="2">
        <v>6.4181834530000001</v>
      </c>
      <c r="H2584" s="3">
        <v>3.5599999999999999E-11</v>
      </c>
      <c r="I2584" s="2" t="s">
        <v>13629</v>
      </c>
      <c r="J2584" s="2" t="s">
        <v>13630</v>
      </c>
      <c r="K2584" s="3">
        <v>3.9499999999999998E-10</v>
      </c>
      <c r="L2584" s="2" t="s">
        <v>1178</v>
      </c>
      <c r="M2584" s="4" t="s">
        <v>13631</v>
      </c>
    </row>
    <row r="2585" spans="1:13">
      <c r="A2585" s="2">
        <v>4568</v>
      </c>
      <c r="B2585" s="2" t="s">
        <v>13632</v>
      </c>
      <c r="C2585" s="2">
        <v>22</v>
      </c>
      <c r="D2585" s="2">
        <v>556</v>
      </c>
      <c r="E2585" s="2">
        <v>200</v>
      </c>
      <c r="F2585" s="2">
        <v>32441</v>
      </c>
      <c r="G2585" s="2">
        <v>6.4181834530000001</v>
      </c>
      <c r="H2585" s="3">
        <v>3.5599999999999999E-11</v>
      </c>
      <c r="I2585" s="2" t="s">
        <v>13633</v>
      </c>
      <c r="J2585" s="2" t="s">
        <v>13634</v>
      </c>
      <c r="K2585" s="3">
        <v>3.9499999999999998E-10</v>
      </c>
      <c r="L2585" s="2" t="s">
        <v>1178</v>
      </c>
      <c r="M2585" s="4" t="s">
        <v>13635</v>
      </c>
    </row>
    <row r="2586" spans="1:13">
      <c r="A2586" s="2">
        <v>4622</v>
      </c>
      <c r="B2586" s="2" t="s">
        <v>13636</v>
      </c>
      <c r="C2586" s="2">
        <v>22</v>
      </c>
      <c r="D2586" s="2">
        <v>556</v>
      </c>
      <c r="E2586" s="2">
        <v>200</v>
      </c>
      <c r="F2586" s="2">
        <v>32441</v>
      </c>
      <c r="G2586" s="2">
        <v>6.4181834530000001</v>
      </c>
      <c r="H2586" s="3">
        <v>3.5599999999999999E-11</v>
      </c>
      <c r="I2586" s="2" t="s">
        <v>13637</v>
      </c>
      <c r="J2586" s="2" t="s">
        <v>13638</v>
      </c>
      <c r="K2586" s="3">
        <v>3.9499999999999998E-10</v>
      </c>
      <c r="L2586" s="2" t="s">
        <v>1178</v>
      </c>
      <c r="M2586" s="4" t="s">
        <v>13639</v>
      </c>
    </row>
    <row r="2587" spans="1:13">
      <c r="A2587" s="2">
        <v>46732</v>
      </c>
      <c r="B2587" s="2" t="s">
        <v>13640</v>
      </c>
      <c r="C2587" s="2">
        <v>22</v>
      </c>
      <c r="D2587" s="2">
        <v>556</v>
      </c>
      <c r="E2587" s="2">
        <v>199</v>
      </c>
      <c r="F2587" s="2">
        <v>32441</v>
      </c>
      <c r="G2587" s="2">
        <v>6.4504356310000004</v>
      </c>
      <c r="H2587" s="3">
        <v>3.2600000000000002E-11</v>
      </c>
      <c r="I2587" s="2" t="s">
        <v>13641</v>
      </c>
      <c r="J2587" s="2" t="s">
        <v>13642</v>
      </c>
      <c r="K2587" s="3">
        <v>3.9499999999999998E-10</v>
      </c>
      <c r="L2587" s="2" t="s">
        <v>1178</v>
      </c>
      <c r="M2587" s="4" t="s">
        <v>13643</v>
      </c>
    </row>
    <row r="2588" spans="1:13">
      <c r="A2588" s="2">
        <v>4807</v>
      </c>
      <c r="B2588" s="2" t="s">
        <v>13644</v>
      </c>
      <c r="C2588" s="2">
        <v>22</v>
      </c>
      <c r="D2588" s="2">
        <v>556</v>
      </c>
      <c r="E2588" s="2">
        <v>200</v>
      </c>
      <c r="F2588" s="2">
        <v>32441</v>
      </c>
      <c r="G2588" s="2">
        <v>6.4181834530000001</v>
      </c>
      <c r="H2588" s="3">
        <v>3.5599999999999999E-11</v>
      </c>
      <c r="I2588" s="2" t="s">
        <v>13645</v>
      </c>
      <c r="J2588" s="2" t="s">
        <v>13646</v>
      </c>
      <c r="K2588" s="3">
        <v>3.9499999999999998E-10</v>
      </c>
      <c r="L2588" s="2" t="s">
        <v>1178</v>
      </c>
      <c r="M2588" s="4" t="s">
        <v>13647</v>
      </c>
    </row>
    <row r="2589" spans="1:13">
      <c r="A2589" s="2">
        <v>4818</v>
      </c>
      <c r="B2589" s="2" t="s">
        <v>13648</v>
      </c>
      <c r="C2589" s="2">
        <v>22</v>
      </c>
      <c r="D2589" s="2">
        <v>556</v>
      </c>
      <c r="E2589" s="2">
        <v>200</v>
      </c>
      <c r="F2589" s="2">
        <v>32441</v>
      </c>
      <c r="G2589" s="2">
        <v>6.4181834530000001</v>
      </c>
      <c r="H2589" s="3">
        <v>3.5599999999999999E-11</v>
      </c>
      <c r="I2589" s="2" t="s">
        <v>13649</v>
      </c>
      <c r="J2589" s="2" t="s">
        <v>13650</v>
      </c>
      <c r="K2589" s="3">
        <v>3.9499999999999998E-10</v>
      </c>
      <c r="L2589" s="2" t="s">
        <v>1178</v>
      </c>
      <c r="M2589" s="4" t="s">
        <v>13651</v>
      </c>
    </row>
    <row r="2590" spans="1:13">
      <c r="A2590" s="2">
        <v>40731</v>
      </c>
      <c r="B2590" s="2" t="s">
        <v>13652</v>
      </c>
      <c r="C2590" s="2">
        <v>21</v>
      </c>
      <c r="D2590" s="2">
        <v>556</v>
      </c>
      <c r="E2590" s="2">
        <v>180</v>
      </c>
      <c r="F2590" s="2">
        <v>32441</v>
      </c>
      <c r="G2590" s="2">
        <v>6.8071642690000003</v>
      </c>
      <c r="H2590" s="3">
        <v>3.67E-11</v>
      </c>
      <c r="I2590" s="2" t="s">
        <v>13653</v>
      </c>
      <c r="J2590" s="2" t="s">
        <v>13654</v>
      </c>
      <c r="K2590" s="3">
        <v>4.0599999999999999E-10</v>
      </c>
      <c r="L2590" s="2" t="s">
        <v>1178</v>
      </c>
      <c r="M2590" s="4" t="s">
        <v>13655</v>
      </c>
    </row>
    <row r="2591" spans="1:13">
      <c r="A2591" s="2">
        <v>42331</v>
      </c>
      <c r="B2591" s="2" t="s">
        <v>13656</v>
      </c>
      <c r="C2591" s="2">
        <v>20</v>
      </c>
      <c r="D2591" s="2">
        <v>556</v>
      </c>
      <c r="E2591" s="2">
        <v>161</v>
      </c>
      <c r="F2591" s="2">
        <v>32441</v>
      </c>
      <c r="G2591" s="2">
        <v>7.248089727</v>
      </c>
      <c r="H2591" s="3">
        <v>3.8799999999999998E-11</v>
      </c>
      <c r="I2591" s="2" t="s">
        <v>13657</v>
      </c>
      <c r="J2591" s="2" t="s">
        <v>13658</v>
      </c>
      <c r="K2591" s="3">
        <v>4.2800000000000002E-10</v>
      </c>
      <c r="L2591" s="2" t="s">
        <v>1178</v>
      </c>
      <c r="M2591" s="4" t="s">
        <v>13659</v>
      </c>
    </row>
    <row r="2592" spans="1:13">
      <c r="A2592" s="2">
        <v>3882</v>
      </c>
      <c r="B2592" s="2" t="s">
        <v>13660</v>
      </c>
      <c r="C2592" s="2">
        <v>20</v>
      </c>
      <c r="D2592" s="2">
        <v>556</v>
      </c>
      <c r="E2592" s="2">
        <v>162</v>
      </c>
      <c r="F2592" s="2">
        <v>32441</v>
      </c>
      <c r="G2592" s="2">
        <v>7.2033484320000003</v>
      </c>
      <c r="H2592" s="3">
        <v>4.2900000000000002E-11</v>
      </c>
      <c r="I2592" s="2" t="s">
        <v>13661</v>
      </c>
      <c r="J2592" s="2" t="s">
        <v>13662</v>
      </c>
      <c r="K2592" s="3">
        <v>4.7300000000000002E-10</v>
      </c>
      <c r="L2592" s="2" t="s">
        <v>1178</v>
      </c>
      <c r="M2592" s="4" t="s">
        <v>13663</v>
      </c>
    </row>
    <row r="2593" spans="1:13">
      <c r="A2593" s="2">
        <v>17461</v>
      </c>
      <c r="B2593" s="2" t="s">
        <v>13664</v>
      </c>
      <c r="C2593" s="2">
        <v>20</v>
      </c>
      <c r="D2593" s="2">
        <v>556</v>
      </c>
      <c r="E2593" s="2">
        <v>167</v>
      </c>
      <c r="F2593" s="2">
        <v>32441</v>
      </c>
      <c r="G2593" s="2">
        <v>6.9876793179999996</v>
      </c>
      <c r="H2593" s="3">
        <v>7.0300000000000005E-11</v>
      </c>
      <c r="I2593" s="2" t="s">
        <v>13665</v>
      </c>
      <c r="J2593" s="2" t="s">
        <v>13666</v>
      </c>
      <c r="K2593" s="3">
        <v>7.7300000000000002E-10</v>
      </c>
      <c r="L2593" s="2" t="s">
        <v>1178</v>
      </c>
      <c r="M2593" s="4" t="s">
        <v>13667</v>
      </c>
    </row>
    <row r="2594" spans="1:13">
      <c r="A2594" s="2">
        <v>2686</v>
      </c>
      <c r="B2594" s="2" t="s">
        <v>13668</v>
      </c>
      <c r="C2594" s="2">
        <v>20</v>
      </c>
      <c r="D2594" s="2">
        <v>556</v>
      </c>
      <c r="E2594" s="2">
        <v>173</v>
      </c>
      <c r="F2594" s="2">
        <v>32441</v>
      </c>
      <c r="G2594" s="2">
        <v>6.7453320579999998</v>
      </c>
      <c r="H2594" s="3">
        <v>1.2500000000000001E-10</v>
      </c>
      <c r="I2594" s="2" t="s">
        <v>13669</v>
      </c>
      <c r="J2594" s="2" t="s">
        <v>13670</v>
      </c>
      <c r="K2594" s="3">
        <v>1.37E-9</v>
      </c>
      <c r="L2594" s="2" t="s">
        <v>1178</v>
      </c>
      <c r="M2594" s="4" t="s">
        <v>13671</v>
      </c>
    </row>
    <row r="2595" spans="1:13">
      <c r="A2595" s="2">
        <v>36131</v>
      </c>
      <c r="B2595" s="2" t="s">
        <v>13672</v>
      </c>
      <c r="C2595" s="2">
        <v>20</v>
      </c>
      <c r="D2595" s="2">
        <v>556</v>
      </c>
      <c r="E2595" s="2">
        <v>175</v>
      </c>
      <c r="F2595" s="2">
        <v>32441</v>
      </c>
      <c r="G2595" s="2">
        <v>6.6682425490000004</v>
      </c>
      <c r="H2595" s="3">
        <v>1.5E-10</v>
      </c>
      <c r="I2595" s="2" t="s">
        <v>13673</v>
      </c>
      <c r="J2595" s="2" t="s">
        <v>13674</v>
      </c>
      <c r="K2595" s="3">
        <v>1.6399999999999999E-9</v>
      </c>
      <c r="L2595" s="2" t="s">
        <v>1178</v>
      </c>
      <c r="M2595" s="4" t="s">
        <v>13675</v>
      </c>
    </row>
    <row r="2596" spans="1:13">
      <c r="A2596" s="2">
        <v>2275</v>
      </c>
      <c r="B2596" s="2" t="s">
        <v>13676</v>
      </c>
      <c r="C2596" s="2">
        <v>21</v>
      </c>
      <c r="D2596" s="2">
        <v>556</v>
      </c>
      <c r="E2596" s="2">
        <v>198</v>
      </c>
      <c r="F2596" s="2">
        <v>32441</v>
      </c>
      <c r="G2596" s="2">
        <v>6.188331153</v>
      </c>
      <c r="H2596" s="3">
        <v>1.8400000000000001E-10</v>
      </c>
      <c r="I2596" s="2" t="s">
        <v>13677</v>
      </c>
      <c r="J2596" s="2" t="s">
        <v>13678</v>
      </c>
      <c r="K2596" s="3">
        <v>2.0099999999999999E-9</v>
      </c>
      <c r="L2596" s="2" t="s">
        <v>1178</v>
      </c>
      <c r="M2596" s="4" t="s">
        <v>13679</v>
      </c>
    </row>
    <row r="2597" spans="1:13">
      <c r="A2597" s="2">
        <v>2</v>
      </c>
      <c r="B2597" s="2" t="s">
        <v>13680</v>
      </c>
      <c r="C2597" s="2">
        <v>21</v>
      </c>
      <c r="D2597" s="2">
        <v>556</v>
      </c>
      <c r="E2597" s="2">
        <v>200</v>
      </c>
      <c r="F2597" s="2">
        <v>32441</v>
      </c>
      <c r="G2597" s="2">
        <v>6.1264478420000001</v>
      </c>
      <c r="H2597" s="3">
        <v>2.18E-10</v>
      </c>
      <c r="I2597" s="2" t="s">
        <v>13681</v>
      </c>
      <c r="J2597" s="2" t="s">
        <v>13682</v>
      </c>
      <c r="K2597" s="3">
        <v>2.09E-9</v>
      </c>
      <c r="L2597" s="2" t="s">
        <v>1178</v>
      </c>
      <c r="M2597" s="4" t="s">
        <v>13683</v>
      </c>
    </row>
    <row r="2598" spans="1:13">
      <c r="A2598" s="2">
        <v>1823</v>
      </c>
      <c r="B2598" s="2" t="s">
        <v>13684</v>
      </c>
      <c r="C2598" s="2">
        <v>21</v>
      </c>
      <c r="D2598" s="2">
        <v>556</v>
      </c>
      <c r="E2598" s="2">
        <v>200</v>
      </c>
      <c r="F2598" s="2">
        <v>32441</v>
      </c>
      <c r="G2598" s="2">
        <v>6.1264478420000001</v>
      </c>
      <c r="H2598" s="3">
        <v>2.18E-10</v>
      </c>
      <c r="I2598" s="2" t="s">
        <v>13685</v>
      </c>
      <c r="J2598" s="2" t="s">
        <v>13686</v>
      </c>
      <c r="K2598" s="3">
        <v>2.09E-9</v>
      </c>
      <c r="L2598" s="2" t="s">
        <v>1178</v>
      </c>
      <c r="M2598" s="4" t="s">
        <v>13687</v>
      </c>
    </row>
    <row r="2599" spans="1:13">
      <c r="A2599" s="2">
        <v>3361</v>
      </c>
      <c r="B2599" s="2" t="s">
        <v>13688</v>
      </c>
      <c r="C2599" s="2">
        <v>21</v>
      </c>
      <c r="D2599" s="2">
        <v>556</v>
      </c>
      <c r="E2599" s="2">
        <v>200</v>
      </c>
      <c r="F2599" s="2">
        <v>32441</v>
      </c>
      <c r="G2599" s="2">
        <v>6.1264478420000001</v>
      </c>
      <c r="H2599" s="3">
        <v>2.18E-10</v>
      </c>
      <c r="I2599" s="2" t="s">
        <v>13689</v>
      </c>
      <c r="J2599" s="2" t="s">
        <v>13690</v>
      </c>
      <c r="K2599" s="3">
        <v>2.09E-9</v>
      </c>
      <c r="L2599" s="2" t="s">
        <v>1178</v>
      </c>
      <c r="M2599" s="4" t="s">
        <v>13691</v>
      </c>
    </row>
    <row r="2600" spans="1:13">
      <c r="A2600" s="2">
        <v>44410</v>
      </c>
      <c r="B2600" s="2" t="s">
        <v>13692</v>
      </c>
      <c r="C2600" s="2">
        <v>21</v>
      </c>
      <c r="D2600" s="2">
        <v>556</v>
      </c>
      <c r="E2600" s="2">
        <v>200</v>
      </c>
      <c r="F2600" s="2">
        <v>32441</v>
      </c>
      <c r="G2600" s="2">
        <v>6.1264478420000001</v>
      </c>
      <c r="H2600" s="3">
        <v>2.18E-10</v>
      </c>
      <c r="I2600" s="2" t="s">
        <v>13693</v>
      </c>
      <c r="J2600" s="2" t="s">
        <v>13694</v>
      </c>
      <c r="K2600" s="3">
        <v>2.09E-9</v>
      </c>
      <c r="L2600" s="2" t="s">
        <v>1178</v>
      </c>
      <c r="M2600" s="4" t="s">
        <v>13695</v>
      </c>
    </row>
    <row r="2601" spans="1:13">
      <c r="A2601" s="2">
        <v>6661</v>
      </c>
      <c r="B2601" s="2" t="s">
        <v>13696</v>
      </c>
      <c r="C2601" s="2">
        <v>21</v>
      </c>
      <c r="D2601" s="2">
        <v>556</v>
      </c>
      <c r="E2601" s="2">
        <v>200</v>
      </c>
      <c r="F2601" s="2">
        <v>32441</v>
      </c>
      <c r="G2601" s="2">
        <v>6.1264478420000001</v>
      </c>
      <c r="H2601" s="3">
        <v>2.18E-10</v>
      </c>
      <c r="I2601" s="2" t="s">
        <v>13697</v>
      </c>
      <c r="J2601" s="2" t="s">
        <v>13698</v>
      </c>
      <c r="K2601" s="3">
        <v>2.09E-9</v>
      </c>
      <c r="L2601" s="2" t="s">
        <v>1178</v>
      </c>
      <c r="M2601" s="4" t="s">
        <v>13699</v>
      </c>
    </row>
    <row r="2602" spans="1:13">
      <c r="A2602" s="2">
        <v>7631</v>
      </c>
      <c r="B2602" s="2" t="s">
        <v>13700</v>
      </c>
      <c r="C2602" s="2">
        <v>21</v>
      </c>
      <c r="D2602" s="2">
        <v>556</v>
      </c>
      <c r="E2602" s="2">
        <v>200</v>
      </c>
      <c r="F2602" s="2">
        <v>32441</v>
      </c>
      <c r="G2602" s="2">
        <v>6.1264478420000001</v>
      </c>
      <c r="H2602" s="3">
        <v>2.18E-10</v>
      </c>
      <c r="I2602" s="2" t="s">
        <v>13701</v>
      </c>
      <c r="J2602" s="2" t="s">
        <v>13702</v>
      </c>
      <c r="K2602" s="3">
        <v>2.09E-9</v>
      </c>
      <c r="L2602" s="2" t="s">
        <v>1178</v>
      </c>
      <c r="M2602" s="4" t="s">
        <v>13703</v>
      </c>
    </row>
    <row r="2603" spans="1:13">
      <c r="A2603" s="2">
        <v>907</v>
      </c>
      <c r="B2603" s="2" t="s">
        <v>13704</v>
      </c>
      <c r="C2603" s="2">
        <v>21</v>
      </c>
      <c r="D2603" s="2">
        <v>556</v>
      </c>
      <c r="E2603" s="2">
        <v>200</v>
      </c>
      <c r="F2603" s="2">
        <v>32441</v>
      </c>
      <c r="G2603" s="2">
        <v>6.1264478420000001</v>
      </c>
      <c r="H2603" s="3">
        <v>2.18E-10</v>
      </c>
      <c r="I2603" s="2" t="s">
        <v>13705</v>
      </c>
      <c r="J2603" s="2" t="s">
        <v>13706</v>
      </c>
      <c r="K2603" s="3">
        <v>2.09E-9</v>
      </c>
      <c r="L2603" s="2" t="s">
        <v>1178</v>
      </c>
      <c r="M2603" s="4" t="s">
        <v>13707</v>
      </c>
    </row>
    <row r="2604" spans="1:13">
      <c r="A2604" s="2">
        <v>9441</v>
      </c>
      <c r="B2604" s="2" t="s">
        <v>13708</v>
      </c>
      <c r="C2604" s="2">
        <v>21</v>
      </c>
      <c r="D2604" s="2">
        <v>556</v>
      </c>
      <c r="E2604" s="2">
        <v>200</v>
      </c>
      <c r="F2604" s="2">
        <v>32441</v>
      </c>
      <c r="G2604" s="2">
        <v>6.1264478420000001</v>
      </c>
      <c r="H2604" s="3">
        <v>2.18E-10</v>
      </c>
      <c r="I2604" s="2" t="s">
        <v>13709</v>
      </c>
      <c r="J2604" s="2" t="s">
        <v>13710</v>
      </c>
      <c r="K2604" s="3">
        <v>2.09E-9</v>
      </c>
      <c r="L2604" s="2" t="s">
        <v>1178</v>
      </c>
      <c r="M2604" s="4" t="s">
        <v>13711</v>
      </c>
    </row>
    <row r="2605" spans="1:13">
      <c r="A2605" s="2">
        <v>9751</v>
      </c>
      <c r="B2605" s="2" t="s">
        <v>1197</v>
      </c>
      <c r="C2605" s="2">
        <v>21</v>
      </c>
      <c r="D2605" s="2">
        <v>556</v>
      </c>
      <c r="E2605" s="2">
        <v>200</v>
      </c>
      <c r="F2605" s="2">
        <v>32441</v>
      </c>
      <c r="G2605" s="2">
        <v>6.1264478420000001</v>
      </c>
      <c r="H2605" s="3">
        <v>2.18E-10</v>
      </c>
      <c r="I2605" s="2" t="s">
        <v>13712</v>
      </c>
      <c r="J2605" s="2" t="s">
        <v>13713</v>
      </c>
      <c r="K2605" s="3">
        <v>2.09E-9</v>
      </c>
      <c r="L2605" s="2" t="s">
        <v>1178</v>
      </c>
      <c r="M2605" s="4" t="s">
        <v>13714</v>
      </c>
    </row>
    <row r="2606" spans="1:13">
      <c r="A2606" s="2">
        <v>1003</v>
      </c>
      <c r="B2606" s="2" t="s">
        <v>1368</v>
      </c>
      <c r="C2606" s="2">
        <v>21</v>
      </c>
      <c r="D2606" s="2">
        <v>556</v>
      </c>
      <c r="E2606" s="2">
        <v>200</v>
      </c>
      <c r="F2606" s="2">
        <v>32441</v>
      </c>
      <c r="G2606" s="2">
        <v>6.1264478420000001</v>
      </c>
      <c r="H2606" s="3">
        <v>2.18E-10</v>
      </c>
      <c r="I2606" s="2" t="s">
        <v>13715</v>
      </c>
      <c r="J2606" s="2" t="s">
        <v>13716</v>
      </c>
      <c r="K2606" s="3">
        <v>2.09E-9</v>
      </c>
      <c r="L2606" s="2" t="s">
        <v>1178</v>
      </c>
      <c r="M2606" s="4" t="s">
        <v>13717</v>
      </c>
    </row>
    <row r="2607" spans="1:13">
      <c r="A2607" s="2">
        <v>10281</v>
      </c>
      <c r="B2607" s="2" t="s">
        <v>13718</v>
      </c>
      <c r="C2607" s="2">
        <v>21</v>
      </c>
      <c r="D2607" s="2">
        <v>556</v>
      </c>
      <c r="E2607" s="2">
        <v>200</v>
      </c>
      <c r="F2607" s="2">
        <v>32441</v>
      </c>
      <c r="G2607" s="2">
        <v>6.1264478420000001</v>
      </c>
      <c r="H2607" s="3">
        <v>2.18E-10</v>
      </c>
      <c r="I2607" s="2" t="s">
        <v>13719</v>
      </c>
      <c r="J2607" s="2" t="s">
        <v>13720</v>
      </c>
      <c r="K2607" s="3">
        <v>2.09E-9</v>
      </c>
      <c r="L2607" s="2" t="s">
        <v>1178</v>
      </c>
      <c r="M2607" s="4" t="s">
        <v>13721</v>
      </c>
    </row>
    <row r="2608" spans="1:13">
      <c r="A2608" s="2">
        <v>1036</v>
      </c>
      <c r="B2608" s="2" t="s">
        <v>13722</v>
      </c>
      <c r="C2608" s="2">
        <v>21</v>
      </c>
      <c r="D2608" s="2">
        <v>556</v>
      </c>
      <c r="E2608" s="2">
        <v>200</v>
      </c>
      <c r="F2608" s="2">
        <v>32441</v>
      </c>
      <c r="G2608" s="2">
        <v>6.1264478420000001</v>
      </c>
      <c r="H2608" s="3">
        <v>2.18E-10</v>
      </c>
      <c r="I2608" s="2" t="s">
        <v>13723</v>
      </c>
      <c r="J2608" s="2" t="s">
        <v>13724</v>
      </c>
      <c r="K2608" s="3">
        <v>2.09E-9</v>
      </c>
      <c r="L2608" s="2" t="s">
        <v>1178</v>
      </c>
      <c r="M2608" s="4" t="s">
        <v>13725</v>
      </c>
    </row>
    <row r="2609" spans="1:13">
      <c r="A2609" s="2">
        <v>10371</v>
      </c>
      <c r="B2609" s="2" t="s">
        <v>13726</v>
      </c>
      <c r="C2609" s="2">
        <v>21</v>
      </c>
      <c r="D2609" s="2">
        <v>556</v>
      </c>
      <c r="E2609" s="2">
        <v>200</v>
      </c>
      <c r="F2609" s="2">
        <v>32441</v>
      </c>
      <c r="G2609" s="2">
        <v>6.1264478420000001</v>
      </c>
      <c r="H2609" s="3">
        <v>2.18E-10</v>
      </c>
      <c r="I2609" s="2" t="s">
        <v>13727</v>
      </c>
      <c r="J2609" s="2" t="s">
        <v>13728</v>
      </c>
      <c r="K2609" s="3">
        <v>2.09E-9</v>
      </c>
      <c r="L2609" s="2" t="s">
        <v>1178</v>
      </c>
      <c r="M2609" s="4" t="s">
        <v>13729</v>
      </c>
    </row>
    <row r="2610" spans="1:13">
      <c r="A2610" s="2">
        <v>1061</v>
      </c>
      <c r="B2610" s="2" t="s">
        <v>13730</v>
      </c>
      <c r="C2610" s="2">
        <v>21</v>
      </c>
      <c r="D2610" s="2">
        <v>556</v>
      </c>
      <c r="E2610" s="2">
        <v>200</v>
      </c>
      <c r="F2610" s="2">
        <v>32441</v>
      </c>
      <c r="G2610" s="2">
        <v>6.1264478420000001</v>
      </c>
      <c r="H2610" s="3">
        <v>2.18E-10</v>
      </c>
      <c r="I2610" s="2" t="s">
        <v>13731</v>
      </c>
      <c r="J2610" s="2" t="s">
        <v>13732</v>
      </c>
      <c r="K2610" s="3">
        <v>2.09E-9</v>
      </c>
      <c r="L2610" s="2" t="s">
        <v>1178</v>
      </c>
      <c r="M2610" s="4" t="s">
        <v>13733</v>
      </c>
    </row>
    <row r="2611" spans="1:13">
      <c r="A2611" s="2">
        <v>1069</v>
      </c>
      <c r="B2611" s="2" t="s">
        <v>13734</v>
      </c>
      <c r="C2611" s="2">
        <v>21</v>
      </c>
      <c r="D2611" s="2">
        <v>556</v>
      </c>
      <c r="E2611" s="2">
        <v>200</v>
      </c>
      <c r="F2611" s="2">
        <v>32441</v>
      </c>
      <c r="G2611" s="2">
        <v>6.1264478420000001</v>
      </c>
      <c r="H2611" s="3">
        <v>2.18E-10</v>
      </c>
      <c r="I2611" s="2" t="s">
        <v>13735</v>
      </c>
      <c r="J2611" s="2" t="s">
        <v>13736</v>
      </c>
      <c r="K2611" s="3">
        <v>2.09E-9</v>
      </c>
      <c r="L2611" s="2" t="s">
        <v>1178</v>
      </c>
      <c r="M2611" s="4" t="s">
        <v>13737</v>
      </c>
    </row>
    <row r="2612" spans="1:13">
      <c r="A2612" s="2">
        <v>1140</v>
      </c>
      <c r="B2612" s="2" t="s">
        <v>13738</v>
      </c>
      <c r="C2612" s="2">
        <v>21</v>
      </c>
      <c r="D2612" s="2">
        <v>556</v>
      </c>
      <c r="E2612" s="2">
        <v>200</v>
      </c>
      <c r="F2612" s="2">
        <v>32441</v>
      </c>
      <c r="G2612" s="2">
        <v>6.1264478420000001</v>
      </c>
      <c r="H2612" s="3">
        <v>2.18E-10</v>
      </c>
      <c r="I2612" s="2" t="s">
        <v>13739</v>
      </c>
      <c r="J2612" s="2" t="s">
        <v>13740</v>
      </c>
      <c r="K2612" s="3">
        <v>2.09E-9</v>
      </c>
      <c r="L2612" s="2" t="s">
        <v>1178</v>
      </c>
      <c r="M2612" s="4" t="s">
        <v>13741</v>
      </c>
    </row>
    <row r="2613" spans="1:13">
      <c r="A2613" s="2">
        <v>1376</v>
      </c>
      <c r="B2613" s="2" t="s">
        <v>13742</v>
      </c>
      <c r="C2613" s="2">
        <v>21</v>
      </c>
      <c r="D2613" s="2">
        <v>556</v>
      </c>
      <c r="E2613" s="2">
        <v>200</v>
      </c>
      <c r="F2613" s="2">
        <v>32441</v>
      </c>
      <c r="G2613" s="2">
        <v>6.1264478420000001</v>
      </c>
      <c r="H2613" s="3">
        <v>2.18E-10</v>
      </c>
      <c r="I2613" s="2" t="s">
        <v>13743</v>
      </c>
      <c r="J2613" s="2" t="s">
        <v>13744</v>
      </c>
      <c r="K2613" s="3">
        <v>2.09E-9</v>
      </c>
      <c r="L2613" s="2" t="s">
        <v>1178</v>
      </c>
      <c r="M2613" s="4" t="s">
        <v>13745</v>
      </c>
    </row>
    <row r="2614" spans="1:13">
      <c r="A2614" s="2">
        <v>14111</v>
      </c>
      <c r="B2614" s="2" t="s">
        <v>13746</v>
      </c>
      <c r="C2614" s="2">
        <v>21</v>
      </c>
      <c r="D2614" s="2">
        <v>556</v>
      </c>
      <c r="E2614" s="2">
        <v>200</v>
      </c>
      <c r="F2614" s="2">
        <v>32441</v>
      </c>
      <c r="G2614" s="2">
        <v>6.1264478420000001</v>
      </c>
      <c r="H2614" s="3">
        <v>2.18E-10</v>
      </c>
      <c r="I2614" s="2" t="s">
        <v>13747</v>
      </c>
      <c r="J2614" s="2" t="s">
        <v>13748</v>
      </c>
      <c r="K2614" s="3">
        <v>2.09E-9</v>
      </c>
      <c r="L2614" s="2" t="s">
        <v>1178</v>
      </c>
      <c r="M2614" s="4" t="s">
        <v>13749</v>
      </c>
    </row>
    <row r="2615" spans="1:13">
      <c r="A2615" s="2">
        <v>14801</v>
      </c>
      <c r="B2615" s="2" t="s">
        <v>13750</v>
      </c>
      <c r="C2615" s="2">
        <v>21</v>
      </c>
      <c r="D2615" s="2">
        <v>556</v>
      </c>
      <c r="E2615" s="2">
        <v>200</v>
      </c>
      <c r="F2615" s="2">
        <v>32441</v>
      </c>
      <c r="G2615" s="2">
        <v>6.1264478420000001</v>
      </c>
      <c r="H2615" s="3">
        <v>2.18E-10</v>
      </c>
      <c r="I2615" s="2" t="s">
        <v>13751</v>
      </c>
      <c r="J2615" s="2" t="s">
        <v>13752</v>
      </c>
      <c r="K2615" s="3">
        <v>2.09E-9</v>
      </c>
      <c r="L2615" s="2" t="s">
        <v>1178</v>
      </c>
      <c r="M2615" s="4" t="s">
        <v>13753</v>
      </c>
    </row>
    <row r="2616" spans="1:13">
      <c r="A2616" s="2">
        <v>15061</v>
      </c>
      <c r="B2616" s="2" t="s">
        <v>13754</v>
      </c>
      <c r="C2616" s="2">
        <v>21</v>
      </c>
      <c r="D2616" s="2">
        <v>556</v>
      </c>
      <c r="E2616" s="2">
        <v>200</v>
      </c>
      <c r="F2616" s="2">
        <v>32441</v>
      </c>
      <c r="G2616" s="2">
        <v>6.1264478420000001</v>
      </c>
      <c r="H2616" s="3">
        <v>2.18E-10</v>
      </c>
      <c r="I2616" s="2" t="s">
        <v>13755</v>
      </c>
      <c r="J2616" s="2" t="s">
        <v>13756</v>
      </c>
      <c r="K2616" s="3">
        <v>2.09E-9</v>
      </c>
      <c r="L2616" s="2" t="s">
        <v>1178</v>
      </c>
      <c r="M2616" s="4" t="s">
        <v>13757</v>
      </c>
    </row>
    <row r="2617" spans="1:13">
      <c r="A2617" s="2">
        <v>15781</v>
      </c>
      <c r="B2617" s="2" t="s">
        <v>13758</v>
      </c>
      <c r="C2617" s="2">
        <v>21</v>
      </c>
      <c r="D2617" s="2">
        <v>556</v>
      </c>
      <c r="E2617" s="2">
        <v>200</v>
      </c>
      <c r="F2617" s="2">
        <v>32441</v>
      </c>
      <c r="G2617" s="2">
        <v>6.1264478420000001</v>
      </c>
      <c r="H2617" s="3">
        <v>2.18E-10</v>
      </c>
      <c r="I2617" s="2" t="s">
        <v>13759</v>
      </c>
      <c r="J2617" s="2" t="s">
        <v>13760</v>
      </c>
      <c r="K2617" s="3">
        <v>2.09E-9</v>
      </c>
      <c r="L2617" s="2" t="s">
        <v>1178</v>
      </c>
      <c r="M2617" s="4" t="s">
        <v>13761</v>
      </c>
    </row>
    <row r="2618" spans="1:13">
      <c r="A2618" s="2">
        <v>1631</v>
      </c>
      <c r="B2618" s="2" t="s">
        <v>13762</v>
      </c>
      <c r="C2618" s="2">
        <v>21</v>
      </c>
      <c r="D2618" s="2">
        <v>556</v>
      </c>
      <c r="E2618" s="2">
        <v>200</v>
      </c>
      <c r="F2618" s="2">
        <v>32441</v>
      </c>
      <c r="G2618" s="2">
        <v>6.1264478420000001</v>
      </c>
      <c r="H2618" s="3">
        <v>2.18E-10</v>
      </c>
      <c r="I2618" s="2" t="s">
        <v>13763</v>
      </c>
      <c r="J2618" s="2" t="s">
        <v>13764</v>
      </c>
      <c r="K2618" s="3">
        <v>2.09E-9</v>
      </c>
      <c r="L2618" s="2" t="s">
        <v>1178</v>
      </c>
      <c r="M2618" s="4" t="s">
        <v>13765</v>
      </c>
    </row>
    <row r="2619" spans="1:13">
      <c r="A2619" s="2">
        <v>16771</v>
      </c>
      <c r="B2619" s="2" t="s">
        <v>13766</v>
      </c>
      <c r="C2619" s="2">
        <v>21</v>
      </c>
      <c r="D2619" s="2">
        <v>556</v>
      </c>
      <c r="E2619" s="2">
        <v>200</v>
      </c>
      <c r="F2619" s="2">
        <v>32441</v>
      </c>
      <c r="G2619" s="2">
        <v>6.1264478420000001</v>
      </c>
      <c r="H2619" s="3">
        <v>2.18E-10</v>
      </c>
      <c r="I2619" s="2" t="s">
        <v>13767</v>
      </c>
      <c r="J2619" s="2" t="s">
        <v>13768</v>
      </c>
      <c r="K2619" s="3">
        <v>2.09E-9</v>
      </c>
      <c r="L2619" s="2" t="s">
        <v>1178</v>
      </c>
      <c r="M2619" s="4" t="s">
        <v>13769</v>
      </c>
    </row>
    <row r="2620" spans="1:13">
      <c r="A2620" s="2">
        <v>1700</v>
      </c>
      <c r="B2620" s="2" t="s">
        <v>13770</v>
      </c>
      <c r="C2620" s="2">
        <v>21</v>
      </c>
      <c r="D2620" s="2">
        <v>556</v>
      </c>
      <c r="E2620" s="2">
        <v>200</v>
      </c>
      <c r="F2620" s="2">
        <v>32441</v>
      </c>
      <c r="G2620" s="2">
        <v>6.1264478420000001</v>
      </c>
      <c r="H2620" s="3">
        <v>2.18E-10</v>
      </c>
      <c r="I2620" s="2" t="s">
        <v>13771</v>
      </c>
      <c r="J2620" s="2" t="s">
        <v>13772</v>
      </c>
      <c r="K2620" s="3">
        <v>2.09E-9</v>
      </c>
      <c r="L2620" s="2" t="s">
        <v>1178</v>
      </c>
      <c r="M2620" s="4" t="s">
        <v>13773</v>
      </c>
    </row>
    <row r="2621" spans="1:13">
      <c r="A2621" s="2">
        <v>1773</v>
      </c>
      <c r="B2621" s="2" t="s">
        <v>3412</v>
      </c>
      <c r="C2621" s="2">
        <v>21</v>
      </c>
      <c r="D2621" s="2">
        <v>556</v>
      </c>
      <c r="E2621" s="2">
        <v>200</v>
      </c>
      <c r="F2621" s="2">
        <v>32441</v>
      </c>
      <c r="G2621" s="2">
        <v>6.1264478420000001</v>
      </c>
      <c r="H2621" s="3">
        <v>2.18E-10</v>
      </c>
      <c r="I2621" s="2" t="s">
        <v>13774</v>
      </c>
      <c r="J2621" s="2" t="s">
        <v>13775</v>
      </c>
      <c r="K2621" s="3">
        <v>2.09E-9</v>
      </c>
      <c r="L2621" s="2" t="s">
        <v>1178</v>
      </c>
      <c r="M2621" s="4" t="s">
        <v>3415</v>
      </c>
    </row>
    <row r="2622" spans="1:13">
      <c r="A2622" s="2">
        <v>1806</v>
      </c>
      <c r="B2622" s="2" t="s">
        <v>13776</v>
      </c>
      <c r="C2622" s="2">
        <v>21</v>
      </c>
      <c r="D2622" s="2">
        <v>556</v>
      </c>
      <c r="E2622" s="2">
        <v>200</v>
      </c>
      <c r="F2622" s="2">
        <v>32441</v>
      </c>
      <c r="G2622" s="2">
        <v>6.1264478420000001</v>
      </c>
      <c r="H2622" s="3">
        <v>2.18E-10</v>
      </c>
      <c r="I2622" s="2" t="s">
        <v>13777</v>
      </c>
      <c r="J2622" s="2" t="s">
        <v>13778</v>
      </c>
      <c r="K2622" s="3">
        <v>2.09E-9</v>
      </c>
      <c r="L2622" s="2" t="s">
        <v>1178</v>
      </c>
      <c r="M2622" s="4" t="s">
        <v>13779</v>
      </c>
    </row>
    <row r="2623" spans="1:13">
      <c r="A2623" s="2">
        <v>1826</v>
      </c>
      <c r="B2623" s="2" t="s">
        <v>13780</v>
      </c>
      <c r="C2623" s="2">
        <v>21</v>
      </c>
      <c r="D2623" s="2">
        <v>556</v>
      </c>
      <c r="E2623" s="2">
        <v>200</v>
      </c>
      <c r="F2623" s="2">
        <v>32441</v>
      </c>
      <c r="G2623" s="2">
        <v>6.1264478420000001</v>
      </c>
      <c r="H2623" s="3">
        <v>2.18E-10</v>
      </c>
      <c r="I2623" s="2" t="s">
        <v>13781</v>
      </c>
      <c r="J2623" s="2" t="s">
        <v>13782</v>
      </c>
      <c r="K2623" s="3">
        <v>2.09E-9</v>
      </c>
      <c r="L2623" s="2" t="s">
        <v>1178</v>
      </c>
      <c r="M2623" s="4" t="s">
        <v>13783</v>
      </c>
    </row>
    <row r="2624" spans="1:13">
      <c r="A2624" s="2">
        <v>1923</v>
      </c>
      <c r="B2624" s="2" t="s">
        <v>13784</v>
      </c>
      <c r="C2624" s="2">
        <v>21</v>
      </c>
      <c r="D2624" s="2">
        <v>556</v>
      </c>
      <c r="E2624" s="2">
        <v>200</v>
      </c>
      <c r="F2624" s="2">
        <v>32441</v>
      </c>
      <c r="G2624" s="2">
        <v>6.1264478420000001</v>
      </c>
      <c r="H2624" s="3">
        <v>2.18E-10</v>
      </c>
      <c r="I2624" s="2" t="s">
        <v>13785</v>
      </c>
      <c r="J2624" s="2" t="s">
        <v>13786</v>
      </c>
      <c r="K2624" s="3">
        <v>2.09E-9</v>
      </c>
      <c r="L2624" s="2" t="s">
        <v>1178</v>
      </c>
      <c r="M2624" s="4" t="s">
        <v>13787</v>
      </c>
    </row>
    <row r="2625" spans="1:13">
      <c r="A2625" s="2">
        <v>22391</v>
      </c>
      <c r="B2625" s="2" t="s">
        <v>13788</v>
      </c>
      <c r="C2625" s="2">
        <v>21</v>
      </c>
      <c r="D2625" s="2">
        <v>556</v>
      </c>
      <c r="E2625" s="2">
        <v>200</v>
      </c>
      <c r="F2625" s="2">
        <v>32441</v>
      </c>
      <c r="G2625" s="2">
        <v>6.1264478420000001</v>
      </c>
      <c r="H2625" s="3">
        <v>2.18E-10</v>
      </c>
      <c r="I2625" s="2" t="s">
        <v>13789</v>
      </c>
      <c r="J2625" s="2" t="s">
        <v>13790</v>
      </c>
      <c r="K2625" s="3">
        <v>2.09E-9</v>
      </c>
      <c r="L2625" s="2" t="s">
        <v>1178</v>
      </c>
      <c r="M2625" s="4" t="s">
        <v>13791</v>
      </c>
    </row>
    <row r="2626" spans="1:13">
      <c r="A2626" s="2">
        <v>2257</v>
      </c>
      <c r="B2626" s="2" t="s">
        <v>13792</v>
      </c>
      <c r="C2626" s="2">
        <v>21</v>
      </c>
      <c r="D2626" s="2">
        <v>556</v>
      </c>
      <c r="E2626" s="2">
        <v>200</v>
      </c>
      <c r="F2626" s="2">
        <v>32441</v>
      </c>
      <c r="G2626" s="2">
        <v>6.1264478420000001</v>
      </c>
      <c r="H2626" s="3">
        <v>2.18E-10</v>
      </c>
      <c r="I2626" s="2" t="s">
        <v>13793</v>
      </c>
      <c r="J2626" s="2" t="s">
        <v>13794</v>
      </c>
      <c r="K2626" s="3">
        <v>2.09E-9</v>
      </c>
      <c r="L2626" s="2" t="s">
        <v>1178</v>
      </c>
      <c r="M2626" s="4" t="s">
        <v>13795</v>
      </c>
    </row>
    <row r="2627" spans="1:13">
      <c r="A2627" s="2">
        <v>2305</v>
      </c>
      <c r="B2627" s="2" t="s">
        <v>13796</v>
      </c>
      <c r="C2627" s="2">
        <v>21</v>
      </c>
      <c r="D2627" s="2">
        <v>556</v>
      </c>
      <c r="E2627" s="2">
        <v>200</v>
      </c>
      <c r="F2627" s="2">
        <v>32441</v>
      </c>
      <c r="G2627" s="2">
        <v>6.1264478420000001</v>
      </c>
      <c r="H2627" s="3">
        <v>2.18E-10</v>
      </c>
      <c r="I2627" s="2" t="s">
        <v>13797</v>
      </c>
      <c r="J2627" s="2" t="s">
        <v>13798</v>
      </c>
      <c r="K2627" s="3">
        <v>2.09E-9</v>
      </c>
      <c r="L2627" s="2" t="s">
        <v>1178</v>
      </c>
      <c r="M2627" s="4" t="s">
        <v>13799</v>
      </c>
    </row>
    <row r="2628" spans="1:13">
      <c r="A2628" s="2">
        <v>2321</v>
      </c>
      <c r="B2628" s="2" t="s">
        <v>13800</v>
      </c>
      <c r="C2628" s="2">
        <v>21</v>
      </c>
      <c r="D2628" s="2">
        <v>556</v>
      </c>
      <c r="E2628" s="2">
        <v>200</v>
      </c>
      <c r="F2628" s="2">
        <v>32441</v>
      </c>
      <c r="G2628" s="2">
        <v>6.1264478420000001</v>
      </c>
      <c r="H2628" s="3">
        <v>2.18E-10</v>
      </c>
      <c r="I2628" s="2" t="s">
        <v>13801</v>
      </c>
      <c r="J2628" s="2" t="s">
        <v>13802</v>
      </c>
      <c r="K2628" s="3">
        <v>2.09E-9</v>
      </c>
      <c r="L2628" s="2" t="s">
        <v>1178</v>
      </c>
      <c r="M2628" s="4" t="s">
        <v>13803</v>
      </c>
    </row>
    <row r="2629" spans="1:13">
      <c r="A2629" s="2">
        <v>23471</v>
      </c>
      <c r="B2629" s="2" t="s">
        <v>1263</v>
      </c>
      <c r="C2629" s="2">
        <v>21</v>
      </c>
      <c r="D2629" s="2">
        <v>556</v>
      </c>
      <c r="E2629" s="2">
        <v>200</v>
      </c>
      <c r="F2629" s="2">
        <v>32441</v>
      </c>
      <c r="G2629" s="2">
        <v>6.1264478420000001</v>
      </c>
      <c r="H2629" s="3">
        <v>2.18E-10</v>
      </c>
      <c r="I2629" s="2" t="s">
        <v>13804</v>
      </c>
      <c r="J2629" s="2" t="s">
        <v>13805</v>
      </c>
      <c r="K2629" s="3">
        <v>2.09E-9</v>
      </c>
      <c r="L2629" s="2" t="s">
        <v>1178</v>
      </c>
      <c r="M2629" s="4" t="s">
        <v>13806</v>
      </c>
    </row>
    <row r="2630" spans="1:13">
      <c r="A2630" s="2">
        <v>2364</v>
      </c>
      <c r="B2630" s="2" t="s">
        <v>13807</v>
      </c>
      <c r="C2630" s="2">
        <v>21</v>
      </c>
      <c r="D2630" s="2">
        <v>556</v>
      </c>
      <c r="E2630" s="2">
        <v>200</v>
      </c>
      <c r="F2630" s="2">
        <v>32441</v>
      </c>
      <c r="G2630" s="2">
        <v>6.1264478420000001</v>
      </c>
      <c r="H2630" s="3">
        <v>2.18E-10</v>
      </c>
      <c r="I2630" s="2" t="s">
        <v>13808</v>
      </c>
      <c r="J2630" s="2" t="s">
        <v>13809</v>
      </c>
      <c r="K2630" s="3">
        <v>2.09E-9</v>
      </c>
      <c r="L2630" s="2" t="s">
        <v>1178</v>
      </c>
      <c r="M2630" s="4" t="s">
        <v>13810</v>
      </c>
    </row>
    <row r="2631" spans="1:13">
      <c r="A2631" s="2">
        <v>2387</v>
      </c>
      <c r="B2631" s="2" t="s">
        <v>13811</v>
      </c>
      <c r="C2631" s="2">
        <v>21</v>
      </c>
      <c r="D2631" s="2">
        <v>556</v>
      </c>
      <c r="E2631" s="2">
        <v>199</v>
      </c>
      <c r="F2631" s="2">
        <v>32441</v>
      </c>
      <c r="G2631" s="2">
        <v>6.157234012</v>
      </c>
      <c r="H2631" s="3">
        <v>2.0000000000000001E-10</v>
      </c>
      <c r="I2631" s="2" t="s">
        <v>13812</v>
      </c>
      <c r="J2631" s="2" t="s">
        <v>13813</v>
      </c>
      <c r="K2631" s="3">
        <v>2.09E-9</v>
      </c>
      <c r="L2631" s="2" t="s">
        <v>1178</v>
      </c>
      <c r="M2631" s="4" t="s">
        <v>13814</v>
      </c>
    </row>
    <row r="2632" spans="1:13">
      <c r="A2632" s="2">
        <v>2640</v>
      </c>
      <c r="B2632" s="2" t="s">
        <v>13815</v>
      </c>
      <c r="C2632" s="2">
        <v>21</v>
      </c>
      <c r="D2632" s="2">
        <v>556</v>
      </c>
      <c r="E2632" s="2">
        <v>200</v>
      </c>
      <c r="F2632" s="2">
        <v>32441</v>
      </c>
      <c r="G2632" s="2">
        <v>6.1264478420000001</v>
      </c>
      <c r="H2632" s="3">
        <v>2.18E-10</v>
      </c>
      <c r="I2632" s="2" t="s">
        <v>13816</v>
      </c>
      <c r="J2632" s="2" t="s">
        <v>13817</v>
      </c>
      <c r="K2632" s="3">
        <v>2.09E-9</v>
      </c>
      <c r="L2632" s="2" t="s">
        <v>1178</v>
      </c>
      <c r="M2632" s="4" t="s">
        <v>13818</v>
      </c>
    </row>
    <row r="2633" spans="1:13">
      <c r="A2633" s="2">
        <v>2922</v>
      </c>
      <c r="B2633" s="2" t="s">
        <v>13819</v>
      </c>
      <c r="C2633" s="2">
        <v>21</v>
      </c>
      <c r="D2633" s="2">
        <v>556</v>
      </c>
      <c r="E2633" s="2">
        <v>200</v>
      </c>
      <c r="F2633" s="2">
        <v>32441</v>
      </c>
      <c r="G2633" s="2">
        <v>6.1264478420000001</v>
      </c>
      <c r="H2633" s="3">
        <v>2.18E-10</v>
      </c>
      <c r="I2633" s="2" t="s">
        <v>13820</v>
      </c>
      <c r="J2633" s="2" t="s">
        <v>13821</v>
      </c>
      <c r="K2633" s="3">
        <v>2.09E-9</v>
      </c>
      <c r="L2633" s="2" t="s">
        <v>1178</v>
      </c>
      <c r="M2633" s="4" t="s">
        <v>13822</v>
      </c>
    </row>
    <row r="2634" spans="1:13">
      <c r="A2634" s="2">
        <v>2962</v>
      </c>
      <c r="B2634" s="2" t="s">
        <v>13823</v>
      </c>
      <c r="C2634" s="2">
        <v>21</v>
      </c>
      <c r="D2634" s="2">
        <v>556</v>
      </c>
      <c r="E2634" s="2">
        <v>200</v>
      </c>
      <c r="F2634" s="2">
        <v>32441</v>
      </c>
      <c r="G2634" s="2">
        <v>6.1264478420000001</v>
      </c>
      <c r="H2634" s="3">
        <v>2.18E-10</v>
      </c>
      <c r="I2634" s="2" t="s">
        <v>13824</v>
      </c>
      <c r="J2634" s="2" t="s">
        <v>13825</v>
      </c>
      <c r="K2634" s="3">
        <v>2.09E-9</v>
      </c>
      <c r="L2634" s="2" t="s">
        <v>1178</v>
      </c>
      <c r="M2634" s="4" t="s">
        <v>13826</v>
      </c>
    </row>
    <row r="2635" spans="1:13">
      <c r="A2635" s="2">
        <v>2967</v>
      </c>
      <c r="B2635" s="2" t="s">
        <v>13827</v>
      </c>
      <c r="C2635" s="2">
        <v>21</v>
      </c>
      <c r="D2635" s="2">
        <v>556</v>
      </c>
      <c r="E2635" s="2">
        <v>200</v>
      </c>
      <c r="F2635" s="2">
        <v>32441</v>
      </c>
      <c r="G2635" s="2">
        <v>6.1264478420000001</v>
      </c>
      <c r="H2635" s="3">
        <v>2.18E-10</v>
      </c>
      <c r="I2635" s="2" t="s">
        <v>13828</v>
      </c>
      <c r="J2635" s="2" t="s">
        <v>13829</v>
      </c>
      <c r="K2635" s="3">
        <v>2.09E-9</v>
      </c>
      <c r="L2635" s="2" t="s">
        <v>1178</v>
      </c>
      <c r="M2635" s="4" t="s">
        <v>13830</v>
      </c>
    </row>
    <row r="2636" spans="1:13">
      <c r="A2636" s="2">
        <v>29681</v>
      </c>
      <c r="B2636" s="2" t="s">
        <v>13831</v>
      </c>
      <c r="C2636" s="2">
        <v>21</v>
      </c>
      <c r="D2636" s="2">
        <v>556</v>
      </c>
      <c r="E2636" s="2">
        <v>200</v>
      </c>
      <c r="F2636" s="2">
        <v>32441</v>
      </c>
      <c r="G2636" s="2">
        <v>6.1264478420000001</v>
      </c>
      <c r="H2636" s="3">
        <v>2.18E-10</v>
      </c>
      <c r="I2636" s="2" t="s">
        <v>13832</v>
      </c>
      <c r="J2636" s="2" t="s">
        <v>13833</v>
      </c>
      <c r="K2636" s="3">
        <v>2.09E-9</v>
      </c>
      <c r="L2636" s="2" t="s">
        <v>1178</v>
      </c>
      <c r="M2636" s="4" t="s">
        <v>13834</v>
      </c>
    </row>
    <row r="2637" spans="1:13">
      <c r="A2637" s="2">
        <v>3097</v>
      </c>
      <c r="B2637" s="2" t="s">
        <v>13835</v>
      </c>
      <c r="C2637" s="2">
        <v>21</v>
      </c>
      <c r="D2637" s="2">
        <v>556</v>
      </c>
      <c r="E2637" s="2">
        <v>200</v>
      </c>
      <c r="F2637" s="2">
        <v>32441</v>
      </c>
      <c r="G2637" s="2">
        <v>6.1264478420000001</v>
      </c>
      <c r="H2637" s="3">
        <v>2.18E-10</v>
      </c>
      <c r="I2637" s="2" t="s">
        <v>13836</v>
      </c>
      <c r="J2637" s="2" t="s">
        <v>13837</v>
      </c>
      <c r="K2637" s="3">
        <v>2.09E-9</v>
      </c>
      <c r="L2637" s="2" t="s">
        <v>1178</v>
      </c>
      <c r="M2637" s="4" t="s">
        <v>13838</v>
      </c>
    </row>
    <row r="2638" spans="1:13">
      <c r="A2638" s="2">
        <v>3107</v>
      </c>
      <c r="B2638" s="2" t="s">
        <v>13839</v>
      </c>
      <c r="C2638" s="2">
        <v>21</v>
      </c>
      <c r="D2638" s="2">
        <v>556</v>
      </c>
      <c r="E2638" s="2">
        <v>200</v>
      </c>
      <c r="F2638" s="2">
        <v>32441</v>
      </c>
      <c r="G2638" s="2">
        <v>6.1264478420000001</v>
      </c>
      <c r="H2638" s="3">
        <v>2.18E-10</v>
      </c>
      <c r="I2638" s="2" t="s">
        <v>13840</v>
      </c>
      <c r="J2638" s="2" t="s">
        <v>13841</v>
      </c>
      <c r="K2638" s="3">
        <v>2.09E-9</v>
      </c>
      <c r="L2638" s="2" t="s">
        <v>1178</v>
      </c>
      <c r="M2638" s="4" t="s">
        <v>13842</v>
      </c>
    </row>
    <row r="2639" spans="1:13">
      <c r="A2639" s="2">
        <v>3256</v>
      </c>
      <c r="B2639" s="2" t="s">
        <v>13843</v>
      </c>
      <c r="C2639" s="2">
        <v>21</v>
      </c>
      <c r="D2639" s="2">
        <v>556</v>
      </c>
      <c r="E2639" s="2">
        <v>200</v>
      </c>
      <c r="F2639" s="2">
        <v>32441</v>
      </c>
      <c r="G2639" s="2">
        <v>6.1264478420000001</v>
      </c>
      <c r="H2639" s="3">
        <v>2.18E-10</v>
      </c>
      <c r="I2639" s="2" t="s">
        <v>13844</v>
      </c>
      <c r="J2639" s="2" t="s">
        <v>13845</v>
      </c>
      <c r="K2639" s="3">
        <v>2.09E-9</v>
      </c>
      <c r="L2639" s="2" t="s">
        <v>1178</v>
      </c>
      <c r="M2639" s="4" t="s">
        <v>13846</v>
      </c>
    </row>
    <row r="2640" spans="1:13">
      <c r="A2640" s="2">
        <v>32991</v>
      </c>
      <c r="B2640" s="2" t="s">
        <v>13847</v>
      </c>
      <c r="C2640" s="2">
        <v>19</v>
      </c>
      <c r="D2640" s="2">
        <v>556</v>
      </c>
      <c r="E2640" s="2">
        <v>159</v>
      </c>
      <c r="F2640" s="2">
        <v>32441</v>
      </c>
      <c r="G2640" s="2">
        <v>6.9722976340000002</v>
      </c>
      <c r="H2640" s="3">
        <v>2.18E-10</v>
      </c>
      <c r="I2640" s="2" t="s">
        <v>13848</v>
      </c>
      <c r="J2640" s="2" t="s">
        <v>13849</v>
      </c>
      <c r="K2640" s="3">
        <v>2.09E-9</v>
      </c>
      <c r="L2640" s="2" t="s">
        <v>1178</v>
      </c>
      <c r="M2640" s="4" t="s">
        <v>13850</v>
      </c>
    </row>
    <row r="2641" spans="1:13">
      <c r="A2641" s="2">
        <v>33751</v>
      </c>
      <c r="B2641" s="2" t="s">
        <v>13851</v>
      </c>
      <c r="C2641" s="2">
        <v>21</v>
      </c>
      <c r="D2641" s="2">
        <v>556</v>
      </c>
      <c r="E2641" s="2">
        <v>200</v>
      </c>
      <c r="F2641" s="2">
        <v>32441</v>
      </c>
      <c r="G2641" s="2">
        <v>6.1264478420000001</v>
      </c>
      <c r="H2641" s="3">
        <v>2.18E-10</v>
      </c>
      <c r="I2641" s="2" t="s">
        <v>13852</v>
      </c>
      <c r="J2641" s="2" t="s">
        <v>13853</v>
      </c>
      <c r="K2641" s="3">
        <v>2.09E-9</v>
      </c>
      <c r="L2641" s="2" t="s">
        <v>1178</v>
      </c>
      <c r="M2641" s="4" t="s">
        <v>13854</v>
      </c>
    </row>
    <row r="2642" spans="1:13">
      <c r="A2642" s="2">
        <v>3473</v>
      </c>
      <c r="B2642" s="2" t="s">
        <v>13855</v>
      </c>
      <c r="C2642" s="2">
        <v>21</v>
      </c>
      <c r="D2642" s="2">
        <v>556</v>
      </c>
      <c r="E2642" s="2">
        <v>200</v>
      </c>
      <c r="F2642" s="2">
        <v>32441</v>
      </c>
      <c r="G2642" s="2">
        <v>6.1264478420000001</v>
      </c>
      <c r="H2642" s="3">
        <v>2.18E-10</v>
      </c>
      <c r="I2642" s="2" t="s">
        <v>13856</v>
      </c>
      <c r="J2642" s="2" t="s">
        <v>13857</v>
      </c>
      <c r="K2642" s="3">
        <v>2.09E-9</v>
      </c>
      <c r="L2642" s="2" t="s">
        <v>1178</v>
      </c>
      <c r="M2642" s="4" t="s">
        <v>13858</v>
      </c>
    </row>
    <row r="2643" spans="1:13">
      <c r="A2643" s="2">
        <v>3534</v>
      </c>
      <c r="B2643" s="2" t="s">
        <v>13859</v>
      </c>
      <c r="C2643" s="2">
        <v>21</v>
      </c>
      <c r="D2643" s="2">
        <v>556</v>
      </c>
      <c r="E2643" s="2">
        <v>200</v>
      </c>
      <c r="F2643" s="2">
        <v>32441</v>
      </c>
      <c r="G2643" s="2">
        <v>6.1264478420000001</v>
      </c>
      <c r="H2643" s="3">
        <v>2.18E-10</v>
      </c>
      <c r="I2643" s="2" t="s">
        <v>13860</v>
      </c>
      <c r="J2643" s="2" t="s">
        <v>13861</v>
      </c>
      <c r="K2643" s="3">
        <v>2.09E-9</v>
      </c>
      <c r="L2643" s="2" t="s">
        <v>1178</v>
      </c>
      <c r="M2643" s="4" t="s">
        <v>13862</v>
      </c>
    </row>
    <row r="2644" spans="1:13">
      <c r="A2644" s="2">
        <v>3538</v>
      </c>
      <c r="B2644" s="2" t="s">
        <v>13863</v>
      </c>
      <c r="C2644" s="2">
        <v>21</v>
      </c>
      <c r="D2644" s="2">
        <v>556</v>
      </c>
      <c r="E2644" s="2">
        <v>200</v>
      </c>
      <c r="F2644" s="2">
        <v>32441</v>
      </c>
      <c r="G2644" s="2">
        <v>6.1264478420000001</v>
      </c>
      <c r="H2644" s="3">
        <v>2.18E-10</v>
      </c>
      <c r="I2644" s="2" t="s">
        <v>13864</v>
      </c>
      <c r="J2644" s="2" t="s">
        <v>13865</v>
      </c>
      <c r="K2644" s="3">
        <v>2.09E-9</v>
      </c>
      <c r="L2644" s="2" t="s">
        <v>1178</v>
      </c>
      <c r="M2644" s="4" t="s">
        <v>13866</v>
      </c>
    </row>
    <row r="2645" spans="1:13">
      <c r="A2645" s="2">
        <v>3547</v>
      </c>
      <c r="B2645" s="2" t="s">
        <v>13867</v>
      </c>
      <c r="C2645" s="2">
        <v>21</v>
      </c>
      <c r="D2645" s="2">
        <v>556</v>
      </c>
      <c r="E2645" s="2">
        <v>200</v>
      </c>
      <c r="F2645" s="2">
        <v>32441</v>
      </c>
      <c r="G2645" s="2">
        <v>6.1264478420000001</v>
      </c>
      <c r="H2645" s="3">
        <v>2.18E-10</v>
      </c>
      <c r="I2645" s="2" t="s">
        <v>13868</v>
      </c>
      <c r="J2645" s="2" t="s">
        <v>13869</v>
      </c>
      <c r="K2645" s="3">
        <v>2.09E-9</v>
      </c>
      <c r="L2645" s="2" t="s">
        <v>1178</v>
      </c>
      <c r="M2645" s="4" t="s">
        <v>13870</v>
      </c>
    </row>
    <row r="2646" spans="1:13">
      <c r="A2646" s="2">
        <v>3794</v>
      </c>
      <c r="B2646" s="2" t="s">
        <v>13871</v>
      </c>
      <c r="C2646" s="2">
        <v>21</v>
      </c>
      <c r="D2646" s="2">
        <v>556</v>
      </c>
      <c r="E2646" s="2">
        <v>199</v>
      </c>
      <c r="F2646" s="2">
        <v>32441</v>
      </c>
      <c r="G2646" s="2">
        <v>6.157234012</v>
      </c>
      <c r="H2646" s="3">
        <v>2.0000000000000001E-10</v>
      </c>
      <c r="I2646" s="2" t="s">
        <v>13872</v>
      </c>
      <c r="J2646" s="2" t="s">
        <v>13873</v>
      </c>
      <c r="K2646" s="3">
        <v>2.09E-9</v>
      </c>
      <c r="L2646" s="2" t="s">
        <v>1178</v>
      </c>
      <c r="M2646" s="4" t="s">
        <v>13874</v>
      </c>
    </row>
    <row r="2647" spans="1:13">
      <c r="A2647" s="2">
        <v>3854</v>
      </c>
      <c r="B2647" s="2" t="s">
        <v>13875</v>
      </c>
      <c r="C2647" s="2">
        <v>21</v>
      </c>
      <c r="D2647" s="2">
        <v>556</v>
      </c>
      <c r="E2647" s="2">
        <v>200</v>
      </c>
      <c r="F2647" s="2">
        <v>32441</v>
      </c>
      <c r="G2647" s="2">
        <v>6.1264478420000001</v>
      </c>
      <c r="H2647" s="3">
        <v>2.18E-10</v>
      </c>
      <c r="I2647" s="2" t="s">
        <v>13876</v>
      </c>
      <c r="J2647" s="2" t="s">
        <v>13877</v>
      </c>
      <c r="K2647" s="3">
        <v>2.09E-9</v>
      </c>
      <c r="L2647" s="2" t="s">
        <v>1178</v>
      </c>
      <c r="M2647" s="4" t="s">
        <v>13878</v>
      </c>
    </row>
    <row r="2648" spans="1:13">
      <c r="A2648" s="2">
        <v>3968</v>
      </c>
      <c r="B2648" s="2" t="s">
        <v>13879</v>
      </c>
      <c r="C2648" s="2">
        <v>21</v>
      </c>
      <c r="D2648" s="2">
        <v>556</v>
      </c>
      <c r="E2648" s="2">
        <v>200</v>
      </c>
      <c r="F2648" s="2">
        <v>32441</v>
      </c>
      <c r="G2648" s="2">
        <v>6.1264478420000001</v>
      </c>
      <c r="H2648" s="3">
        <v>2.18E-10</v>
      </c>
      <c r="I2648" s="2" t="s">
        <v>13880</v>
      </c>
      <c r="J2648" s="2" t="s">
        <v>13881</v>
      </c>
      <c r="K2648" s="3">
        <v>2.09E-9</v>
      </c>
      <c r="L2648" s="2" t="s">
        <v>1178</v>
      </c>
      <c r="M2648" s="4" t="s">
        <v>13882</v>
      </c>
    </row>
    <row r="2649" spans="1:13">
      <c r="A2649" s="2">
        <v>39731</v>
      </c>
      <c r="B2649" s="2" t="s">
        <v>13883</v>
      </c>
      <c r="C2649" s="2">
        <v>21</v>
      </c>
      <c r="D2649" s="2">
        <v>556</v>
      </c>
      <c r="E2649" s="2">
        <v>199</v>
      </c>
      <c r="F2649" s="2">
        <v>32441</v>
      </c>
      <c r="G2649" s="2">
        <v>6.157234012</v>
      </c>
      <c r="H2649" s="3">
        <v>2.0000000000000001E-10</v>
      </c>
      <c r="I2649" s="2" t="s">
        <v>13884</v>
      </c>
      <c r="J2649" s="2" t="s">
        <v>13885</v>
      </c>
      <c r="K2649" s="3">
        <v>2.09E-9</v>
      </c>
      <c r="L2649" s="2" t="s">
        <v>1178</v>
      </c>
      <c r="M2649" s="4" t="s">
        <v>13886</v>
      </c>
    </row>
    <row r="2650" spans="1:13">
      <c r="A2650" s="2">
        <v>3975</v>
      </c>
      <c r="B2650" s="2" t="s">
        <v>13887</v>
      </c>
      <c r="C2650" s="2">
        <v>21</v>
      </c>
      <c r="D2650" s="2">
        <v>556</v>
      </c>
      <c r="E2650" s="2">
        <v>200</v>
      </c>
      <c r="F2650" s="2">
        <v>32441</v>
      </c>
      <c r="G2650" s="2">
        <v>6.1264478420000001</v>
      </c>
      <c r="H2650" s="3">
        <v>2.18E-10</v>
      </c>
      <c r="I2650" s="2" t="s">
        <v>13888</v>
      </c>
      <c r="J2650" s="2" t="s">
        <v>13889</v>
      </c>
      <c r="K2650" s="3">
        <v>2.09E-9</v>
      </c>
      <c r="L2650" s="2" t="s">
        <v>1178</v>
      </c>
      <c r="M2650" s="4" t="s">
        <v>13890</v>
      </c>
    </row>
    <row r="2651" spans="1:13">
      <c r="A2651" s="2">
        <v>42042</v>
      </c>
      <c r="B2651" s="2" t="s">
        <v>13891</v>
      </c>
      <c r="C2651" s="2">
        <v>21</v>
      </c>
      <c r="D2651" s="2">
        <v>556</v>
      </c>
      <c r="E2651" s="2">
        <v>200</v>
      </c>
      <c r="F2651" s="2">
        <v>32441</v>
      </c>
      <c r="G2651" s="2">
        <v>6.1264478420000001</v>
      </c>
      <c r="H2651" s="3">
        <v>2.18E-10</v>
      </c>
      <c r="I2651" s="2" t="s">
        <v>13892</v>
      </c>
      <c r="J2651" s="2" t="s">
        <v>13893</v>
      </c>
      <c r="K2651" s="3">
        <v>2.09E-9</v>
      </c>
      <c r="L2651" s="2" t="s">
        <v>1178</v>
      </c>
      <c r="M2651" s="4" t="s">
        <v>13894</v>
      </c>
    </row>
    <row r="2652" spans="1:13">
      <c r="A2652" s="2">
        <v>42451</v>
      </c>
      <c r="B2652" s="2" t="s">
        <v>13895</v>
      </c>
      <c r="C2652" s="2">
        <v>21</v>
      </c>
      <c r="D2652" s="2">
        <v>556</v>
      </c>
      <c r="E2652" s="2">
        <v>200</v>
      </c>
      <c r="F2652" s="2">
        <v>32441</v>
      </c>
      <c r="G2652" s="2">
        <v>6.1264478420000001</v>
      </c>
      <c r="H2652" s="3">
        <v>2.18E-10</v>
      </c>
      <c r="I2652" s="2" t="s">
        <v>13896</v>
      </c>
      <c r="J2652" s="2" t="s">
        <v>13897</v>
      </c>
      <c r="K2652" s="3">
        <v>2.09E-9</v>
      </c>
      <c r="L2652" s="2" t="s">
        <v>1178</v>
      </c>
      <c r="M2652" s="4" t="s">
        <v>13898</v>
      </c>
    </row>
    <row r="2653" spans="1:13">
      <c r="A2653" s="2">
        <v>43461</v>
      </c>
      <c r="B2653" s="2" t="s">
        <v>13899</v>
      </c>
      <c r="C2653" s="2">
        <v>21</v>
      </c>
      <c r="D2653" s="2">
        <v>556</v>
      </c>
      <c r="E2653" s="2">
        <v>200</v>
      </c>
      <c r="F2653" s="2">
        <v>32441</v>
      </c>
      <c r="G2653" s="2">
        <v>6.1264478420000001</v>
      </c>
      <c r="H2653" s="3">
        <v>2.18E-10</v>
      </c>
      <c r="I2653" s="2" t="s">
        <v>13900</v>
      </c>
      <c r="J2653" s="2" t="s">
        <v>13901</v>
      </c>
      <c r="K2653" s="3">
        <v>2.09E-9</v>
      </c>
      <c r="L2653" s="2" t="s">
        <v>1178</v>
      </c>
      <c r="M2653" s="4" t="s">
        <v>13902</v>
      </c>
    </row>
    <row r="2654" spans="1:13">
      <c r="A2654" s="2">
        <v>4473</v>
      </c>
      <c r="B2654" s="2" t="s">
        <v>13903</v>
      </c>
      <c r="C2654" s="2">
        <v>21</v>
      </c>
      <c r="D2654" s="2">
        <v>556</v>
      </c>
      <c r="E2654" s="2">
        <v>200</v>
      </c>
      <c r="F2654" s="2">
        <v>32441</v>
      </c>
      <c r="G2654" s="2">
        <v>6.1264478420000001</v>
      </c>
      <c r="H2654" s="3">
        <v>2.18E-10</v>
      </c>
      <c r="I2654" s="2" t="s">
        <v>13904</v>
      </c>
      <c r="J2654" s="2" t="s">
        <v>13905</v>
      </c>
      <c r="K2654" s="3">
        <v>2.09E-9</v>
      </c>
      <c r="L2654" s="2" t="s">
        <v>1178</v>
      </c>
      <c r="M2654" s="4" t="s">
        <v>13906</v>
      </c>
    </row>
    <row r="2655" spans="1:13">
      <c r="A2655" s="2">
        <v>4527</v>
      </c>
      <c r="B2655" s="2" t="s">
        <v>1620</v>
      </c>
      <c r="C2655" s="2">
        <v>21</v>
      </c>
      <c r="D2655" s="2">
        <v>556</v>
      </c>
      <c r="E2655" s="2">
        <v>200</v>
      </c>
      <c r="F2655" s="2">
        <v>32441</v>
      </c>
      <c r="G2655" s="2">
        <v>6.1264478420000001</v>
      </c>
      <c r="H2655" s="3">
        <v>2.18E-10</v>
      </c>
      <c r="I2655" s="2" t="s">
        <v>13907</v>
      </c>
      <c r="J2655" s="2" t="s">
        <v>13908</v>
      </c>
      <c r="K2655" s="3">
        <v>2.09E-9</v>
      </c>
      <c r="L2655" s="2" t="s">
        <v>1178</v>
      </c>
      <c r="M2655" s="4" t="s">
        <v>13909</v>
      </c>
    </row>
    <row r="2656" spans="1:13">
      <c r="A2656" s="2">
        <v>4648</v>
      </c>
      <c r="B2656" s="2" t="s">
        <v>13910</v>
      </c>
      <c r="C2656" s="2">
        <v>21</v>
      </c>
      <c r="D2656" s="2">
        <v>556</v>
      </c>
      <c r="E2656" s="2">
        <v>200</v>
      </c>
      <c r="F2656" s="2">
        <v>32441</v>
      </c>
      <c r="G2656" s="2">
        <v>6.1264478420000001</v>
      </c>
      <c r="H2656" s="3">
        <v>2.18E-10</v>
      </c>
      <c r="I2656" s="2" t="s">
        <v>13911</v>
      </c>
      <c r="J2656" s="2" t="s">
        <v>13912</v>
      </c>
      <c r="K2656" s="3">
        <v>2.09E-9</v>
      </c>
      <c r="L2656" s="2" t="s">
        <v>1178</v>
      </c>
      <c r="M2656" s="4" t="s">
        <v>13913</v>
      </c>
    </row>
    <row r="2657" spans="1:13">
      <c r="A2657" s="2">
        <v>4684</v>
      </c>
      <c r="B2657" s="2" t="s">
        <v>13914</v>
      </c>
      <c r="C2657" s="2">
        <v>21</v>
      </c>
      <c r="D2657" s="2">
        <v>556</v>
      </c>
      <c r="E2657" s="2">
        <v>200</v>
      </c>
      <c r="F2657" s="2">
        <v>32441</v>
      </c>
      <c r="G2657" s="2">
        <v>6.1264478420000001</v>
      </c>
      <c r="H2657" s="3">
        <v>2.18E-10</v>
      </c>
      <c r="I2657" s="2" t="s">
        <v>13915</v>
      </c>
      <c r="J2657" s="2" t="s">
        <v>13916</v>
      </c>
      <c r="K2657" s="3">
        <v>2.09E-9</v>
      </c>
      <c r="L2657" s="2" t="s">
        <v>1178</v>
      </c>
      <c r="M2657" s="4" t="s">
        <v>13917</v>
      </c>
    </row>
    <row r="2658" spans="1:13">
      <c r="A2658" s="2">
        <v>2180</v>
      </c>
      <c r="B2658" s="2" t="s">
        <v>13918</v>
      </c>
      <c r="C2658" s="2">
        <v>18</v>
      </c>
      <c r="D2658" s="2">
        <v>556</v>
      </c>
      <c r="E2658" s="2">
        <v>144</v>
      </c>
      <c r="F2658" s="2">
        <v>32441</v>
      </c>
      <c r="G2658" s="2">
        <v>7.2933902880000003</v>
      </c>
      <c r="H2658" s="3">
        <v>3.3599999999999998E-10</v>
      </c>
      <c r="I2658" s="2" t="s">
        <v>13919</v>
      </c>
      <c r="J2658" s="2" t="s">
        <v>13920</v>
      </c>
      <c r="K2658" s="3">
        <v>3.22E-9</v>
      </c>
      <c r="L2658" s="2" t="s">
        <v>1178</v>
      </c>
      <c r="M2658" s="4" t="s">
        <v>13921</v>
      </c>
    </row>
    <row r="2659" spans="1:13">
      <c r="A2659" s="2">
        <v>38851</v>
      </c>
      <c r="B2659" s="2" t="s">
        <v>13922</v>
      </c>
      <c r="C2659" s="2">
        <v>19</v>
      </c>
      <c r="D2659" s="2">
        <v>556</v>
      </c>
      <c r="E2659" s="2">
        <v>165</v>
      </c>
      <c r="F2659" s="2">
        <v>32441</v>
      </c>
      <c r="G2659" s="2">
        <v>6.7187595379999996</v>
      </c>
      <c r="H2659" s="3">
        <v>3.8500000000000001E-10</v>
      </c>
      <c r="I2659" s="2" t="s">
        <v>13923</v>
      </c>
      <c r="J2659" s="2" t="s">
        <v>13924</v>
      </c>
      <c r="K2659" s="3">
        <v>3.6800000000000001E-9</v>
      </c>
      <c r="L2659" s="2" t="s">
        <v>1178</v>
      </c>
      <c r="M2659" s="4" t="s">
        <v>13925</v>
      </c>
    </row>
    <row r="2660" spans="1:13">
      <c r="A2660" s="2">
        <v>40151</v>
      </c>
      <c r="B2660" s="2" t="s">
        <v>13926</v>
      </c>
      <c r="C2660" s="2">
        <v>19</v>
      </c>
      <c r="D2660" s="2">
        <v>556</v>
      </c>
      <c r="E2660" s="2">
        <v>167</v>
      </c>
      <c r="F2660" s="2">
        <v>32441</v>
      </c>
      <c r="G2660" s="2">
        <v>6.6382953520000001</v>
      </c>
      <c r="H2660" s="3">
        <v>4.63E-10</v>
      </c>
      <c r="I2660" s="2" t="s">
        <v>13927</v>
      </c>
      <c r="J2660" s="2" t="s">
        <v>13928</v>
      </c>
      <c r="K2660" s="3">
        <v>4.4100000000000003E-9</v>
      </c>
      <c r="L2660" s="2" t="s">
        <v>1178</v>
      </c>
      <c r="M2660" s="4" t="s">
        <v>13929</v>
      </c>
    </row>
    <row r="2661" spans="1:13">
      <c r="A2661" s="2">
        <v>41091</v>
      </c>
      <c r="B2661" s="2" t="s">
        <v>13930</v>
      </c>
      <c r="C2661" s="2">
        <v>19</v>
      </c>
      <c r="D2661" s="2">
        <v>556</v>
      </c>
      <c r="E2661" s="2">
        <v>167</v>
      </c>
      <c r="F2661" s="2">
        <v>32441</v>
      </c>
      <c r="G2661" s="2">
        <v>6.6382953520000001</v>
      </c>
      <c r="H2661" s="3">
        <v>4.63E-10</v>
      </c>
      <c r="I2661" s="2" t="s">
        <v>13931</v>
      </c>
      <c r="J2661" s="2" t="s">
        <v>13932</v>
      </c>
      <c r="K2661" s="3">
        <v>4.4100000000000003E-9</v>
      </c>
      <c r="L2661" s="2" t="s">
        <v>1178</v>
      </c>
      <c r="M2661" s="4" t="s">
        <v>13933</v>
      </c>
    </row>
    <row r="2662" spans="1:13">
      <c r="A2662" s="2">
        <v>2887</v>
      </c>
      <c r="B2662" s="2" t="s">
        <v>13934</v>
      </c>
      <c r="C2662" s="2">
        <v>19</v>
      </c>
      <c r="D2662" s="2">
        <v>556</v>
      </c>
      <c r="E2662" s="2">
        <v>168</v>
      </c>
      <c r="F2662" s="2">
        <v>32441</v>
      </c>
      <c r="G2662" s="2">
        <v>6.598781689</v>
      </c>
      <c r="H2662" s="3">
        <v>5.0700000000000001E-10</v>
      </c>
      <c r="I2662" s="2" t="s">
        <v>13935</v>
      </c>
      <c r="J2662" s="2" t="s">
        <v>13936</v>
      </c>
      <c r="K2662" s="3">
        <v>4.8300000000000001E-9</v>
      </c>
      <c r="L2662" s="2" t="s">
        <v>1178</v>
      </c>
      <c r="M2662" s="4" t="s">
        <v>13937</v>
      </c>
    </row>
    <row r="2663" spans="1:13">
      <c r="A2663" s="2">
        <v>3619</v>
      </c>
      <c r="B2663" s="2" t="s">
        <v>13938</v>
      </c>
      <c r="C2663" s="2">
        <v>19</v>
      </c>
      <c r="D2663" s="2">
        <v>556</v>
      </c>
      <c r="E2663" s="2">
        <v>171</v>
      </c>
      <c r="F2663" s="2">
        <v>32441</v>
      </c>
      <c r="G2663" s="2">
        <v>6.4830135889999996</v>
      </c>
      <c r="H2663" s="3">
        <v>6.6599999999999997E-10</v>
      </c>
      <c r="I2663" s="2" t="s">
        <v>13939</v>
      </c>
      <c r="J2663" s="2" t="s">
        <v>13940</v>
      </c>
      <c r="K2663" s="3">
        <v>6.3099999999999999E-9</v>
      </c>
      <c r="L2663" s="2" t="s">
        <v>1178</v>
      </c>
      <c r="M2663" s="4" t="s">
        <v>13941</v>
      </c>
    </row>
    <row r="2664" spans="1:13">
      <c r="A2664" s="2">
        <v>42601</v>
      </c>
      <c r="B2664" s="2" t="s">
        <v>13942</v>
      </c>
      <c r="C2664" s="2">
        <v>19</v>
      </c>
      <c r="D2664" s="2">
        <v>556</v>
      </c>
      <c r="E2664" s="2">
        <v>171</v>
      </c>
      <c r="F2664" s="2">
        <v>32441</v>
      </c>
      <c r="G2664" s="2">
        <v>6.4830135889999996</v>
      </c>
      <c r="H2664" s="3">
        <v>6.6599999999999997E-10</v>
      </c>
      <c r="I2664" s="2" t="s">
        <v>13943</v>
      </c>
      <c r="J2664" s="2" t="s">
        <v>13944</v>
      </c>
      <c r="K2664" s="3">
        <v>6.3099999999999999E-9</v>
      </c>
      <c r="L2664" s="2" t="s">
        <v>1178</v>
      </c>
      <c r="M2664" s="4" t="s">
        <v>13945</v>
      </c>
    </row>
    <row r="2665" spans="1:13">
      <c r="A2665" s="2">
        <v>3124</v>
      </c>
      <c r="B2665" s="2" t="s">
        <v>1932</v>
      </c>
      <c r="C2665" s="2">
        <v>20</v>
      </c>
      <c r="D2665" s="2">
        <v>556</v>
      </c>
      <c r="E2665" s="2">
        <v>193</v>
      </c>
      <c r="F2665" s="2">
        <v>32441</v>
      </c>
      <c r="G2665" s="2">
        <v>6.0463339170000001</v>
      </c>
      <c r="H2665" s="3">
        <v>7.2399999999999998E-10</v>
      </c>
      <c r="I2665" s="2" t="s">
        <v>13946</v>
      </c>
      <c r="J2665" s="2" t="s">
        <v>13947</v>
      </c>
      <c r="K2665" s="3">
        <v>6.8500000000000001E-9</v>
      </c>
      <c r="L2665" s="2" t="s">
        <v>1178</v>
      </c>
      <c r="M2665" s="4" t="s">
        <v>13948</v>
      </c>
    </row>
    <row r="2666" spans="1:13">
      <c r="A2666" s="2">
        <v>39311</v>
      </c>
      <c r="B2666" s="2" t="s">
        <v>13949</v>
      </c>
      <c r="C2666" s="2">
        <v>18</v>
      </c>
      <c r="D2666" s="2">
        <v>556</v>
      </c>
      <c r="E2666" s="2">
        <v>154</v>
      </c>
      <c r="F2666" s="2">
        <v>32441</v>
      </c>
      <c r="G2666" s="2">
        <v>6.8197935159999998</v>
      </c>
      <c r="H2666" s="3">
        <v>8.97E-10</v>
      </c>
      <c r="I2666" s="2" t="s">
        <v>13950</v>
      </c>
      <c r="J2666" s="2" t="s">
        <v>13951</v>
      </c>
      <c r="K2666" s="3">
        <v>8.4499999999999996E-9</v>
      </c>
      <c r="L2666" s="2" t="s">
        <v>1178</v>
      </c>
      <c r="M2666" s="4" t="s">
        <v>13952</v>
      </c>
    </row>
    <row r="2667" spans="1:13">
      <c r="A2667" s="2">
        <v>4262</v>
      </c>
      <c r="B2667" s="2" t="s">
        <v>13953</v>
      </c>
      <c r="C2667" s="2">
        <v>18</v>
      </c>
      <c r="D2667" s="2">
        <v>556</v>
      </c>
      <c r="E2667" s="2">
        <v>154</v>
      </c>
      <c r="F2667" s="2">
        <v>32441</v>
      </c>
      <c r="G2667" s="2">
        <v>6.8197935159999998</v>
      </c>
      <c r="H2667" s="3">
        <v>8.97E-10</v>
      </c>
      <c r="I2667" s="2" t="s">
        <v>13954</v>
      </c>
      <c r="J2667" s="2" t="s">
        <v>13955</v>
      </c>
      <c r="K2667" s="3">
        <v>8.4499999999999996E-9</v>
      </c>
      <c r="L2667" s="2" t="s">
        <v>1178</v>
      </c>
      <c r="M2667" s="4" t="s">
        <v>13956</v>
      </c>
    </row>
    <row r="2668" spans="1:13">
      <c r="A2668" s="2">
        <v>43201</v>
      </c>
      <c r="B2668" s="2" t="s">
        <v>13957</v>
      </c>
      <c r="C2668" s="2">
        <v>20</v>
      </c>
      <c r="D2668" s="2">
        <v>556</v>
      </c>
      <c r="E2668" s="2">
        <v>196</v>
      </c>
      <c r="F2668" s="2">
        <v>32441</v>
      </c>
      <c r="G2668" s="2">
        <v>5.9537879900000004</v>
      </c>
      <c r="H2668" s="3">
        <v>9.2600000000000001E-10</v>
      </c>
      <c r="I2668" s="2" t="s">
        <v>13958</v>
      </c>
      <c r="J2668" s="2" t="s">
        <v>13959</v>
      </c>
      <c r="K2668" s="3">
        <v>8.7099999999999999E-9</v>
      </c>
      <c r="L2668" s="2" t="s">
        <v>1178</v>
      </c>
      <c r="M2668" s="4" t="s">
        <v>13960</v>
      </c>
    </row>
    <row r="2669" spans="1:13">
      <c r="A2669" s="2">
        <v>3235</v>
      </c>
      <c r="B2669" s="2" t="s">
        <v>13961</v>
      </c>
      <c r="C2669" s="2">
        <v>19</v>
      </c>
      <c r="D2669" s="2">
        <v>556</v>
      </c>
      <c r="E2669" s="2">
        <v>175</v>
      </c>
      <c r="F2669" s="2">
        <v>32441</v>
      </c>
      <c r="G2669" s="2">
        <v>6.3348304210000004</v>
      </c>
      <c r="H2669" s="3">
        <v>9.4800000000000004E-10</v>
      </c>
      <c r="I2669" s="2" t="s">
        <v>13962</v>
      </c>
      <c r="J2669" s="2" t="s">
        <v>13963</v>
      </c>
      <c r="K2669" s="3">
        <v>8.9000000000000003E-9</v>
      </c>
      <c r="L2669" s="2" t="s">
        <v>1178</v>
      </c>
      <c r="M2669" s="4" t="s">
        <v>13964</v>
      </c>
    </row>
    <row r="2670" spans="1:13">
      <c r="A2670" s="2">
        <v>2773</v>
      </c>
      <c r="B2670" s="2" t="s">
        <v>13965</v>
      </c>
      <c r="C2670" s="2">
        <v>19</v>
      </c>
      <c r="D2670" s="2">
        <v>556</v>
      </c>
      <c r="E2670" s="2">
        <v>176</v>
      </c>
      <c r="F2670" s="2">
        <v>32441</v>
      </c>
      <c r="G2670" s="2">
        <v>6.298837067</v>
      </c>
      <c r="H2670" s="3">
        <v>1.03E-9</v>
      </c>
      <c r="I2670" s="2" t="s">
        <v>13966</v>
      </c>
      <c r="J2670" s="2" t="s">
        <v>13967</v>
      </c>
      <c r="K2670" s="3">
        <v>9.6699999999999999E-9</v>
      </c>
      <c r="L2670" s="2" t="s">
        <v>1178</v>
      </c>
      <c r="M2670" s="4" t="s">
        <v>13968</v>
      </c>
    </row>
    <row r="2671" spans="1:13">
      <c r="A2671" s="2">
        <v>4166</v>
      </c>
      <c r="B2671" s="2" t="s">
        <v>13969</v>
      </c>
      <c r="C2671" s="2">
        <v>19</v>
      </c>
      <c r="D2671" s="2">
        <v>556</v>
      </c>
      <c r="E2671" s="2">
        <v>176</v>
      </c>
      <c r="F2671" s="2">
        <v>32441</v>
      </c>
      <c r="G2671" s="2">
        <v>6.298837067</v>
      </c>
      <c r="H2671" s="3">
        <v>1.03E-9</v>
      </c>
      <c r="I2671" s="2" t="s">
        <v>13970</v>
      </c>
      <c r="J2671" s="2" t="s">
        <v>13971</v>
      </c>
      <c r="K2671" s="3">
        <v>9.6699999999999999E-9</v>
      </c>
      <c r="L2671" s="2" t="s">
        <v>1178</v>
      </c>
      <c r="M2671" s="4" t="s">
        <v>13972</v>
      </c>
    </row>
    <row r="2672" spans="1:13">
      <c r="A2672" s="2">
        <v>28981</v>
      </c>
      <c r="B2672" s="2" t="s">
        <v>13973</v>
      </c>
      <c r="C2672" s="2">
        <v>20</v>
      </c>
      <c r="D2672" s="2">
        <v>556</v>
      </c>
      <c r="E2672" s="2">
        <v>198</v>
      </c>
      <c r="F2672" s="2">
        <v>32441</v>
      </c>
      <c r="G2672" s="2">
        <v>5.8936487169999996</v>
      </c>
      <c r="H2672" s="3">
        <v>1.09E-9</v>
      </c>
      <c r="I2672" s="2" t="s">
        <v>13974</v>
      </c>
      <c r="J2672" s="2" t="s">
        <v>13975</v>
      </c>
      <c r="K2672" s="3">
        <v>1.02E-8</v>
      </c>
      <c r="L2672" s="2" t="s">
        <v>1178</v>
      </c>
      <c r="M2672" s="4" t="s">
        <v>13976</v>
      </c>
    </row>
    <row r="2673" spans="1:13">
      <c r="A2673" s="2">
        <v>1121</v>
      </c>
      <c r="B2673" s="2" t="s">
        <v>13977</v>
      </c>
      <c r="C2673" s="2">
        <v>20</v>
      </c>
      <c r="D2673" s="2">
        <v>556</v>
      </c>
      <c r="E2673" s="2">
        <v>200</v>
      </c>
      <c r="F2673" s="2">
        <v>32441</v>
      </c>
      <c r="G2673" s="2">
        <v>5.8347122300000001</v>
      </c>
      <c r="H2673" s="3">
        <v>1.2799999999999999E-9</v>
      </c>
      <c r="I2673" s="2" t="s">
        <v>13978</v>
      </c>
      <c r="J2673" s="2" t="s">
        <v>13979</v>
      </c>
      <c r="K2673" s="3">
        <v>1.0600000000000001E-8</v>
      </c>
      <c r="L2673" s="2" t="s">
        <v>1178</v>
      </c>
      <c r="M2673" s="4" t="s">
        <v>13980</v>
      </c>
    </row>
    <row r="2674" spans="1:13">
      <c r="A2674" s="2">
        <v>114</v>
      </c>
      <c r="B2674" s="2" t="s">
        <v>1551</v>
      </c>
      <c r="C2674" s="2">
        <v>20</v>
      </c>
      <c r="D2674" s="2">
        <v>556</v>
      </c>
      <c r="E2674" s="2">
        <v>200</v>
      </c>
      <c r="F2674" s="2">
        <v>32441</v>
      </c>
      <c r="G2674" s="2">
        <v>5.8347122300000001</v>
      </c>
      <c r="H2674" s="3">
        <v>1.2799999999999999E-9</v>
      </c>
      <c r="I2674" s="2" t="s">
        <v>13981</v>
      </c>
      <c r="J2674" s="2" t="s">
        <v>13982</v>
      </c>
      <c r="K2674" s="3">
        <v>1.0600000000000001E-8</v>
      </c>
      <c r="L2674" s="2" t="s">
        <v>1178</v>
      </c>
      <c r="M2674" s="4" t="s">
        <v>13983</v>
      </c>
    </row>
    <row r="2675" spans="1:13">
      <c r="A2675" s="2">
        <v>220</v>
      </c>
      <c r="B2675" s="2" t="s">
        <v>13984</v>
      </c>
      <c r="C2675" s="2">
        <v>20</v>
      </c>
      <c r="D2675" s="2">
        <v>556</v>
      </c>
      <c r="E2675" s="2">
        <v>200</v>
      </c>
      <c r="F2675" s="2">
        <v>32441</v>
      </c>
      <c r="G2675" s="2">
        <v>5.8347122300000001</v>
      </c>
      <c r="H2675" s="3">
        <v>1.2799999999999999E-9</v>
      </c>
      <c r="I2675" s="2" t="s">
        <v>13985</v>
      </c>
      <c r="J2675" s="2" t="s">
        <v>13986</v>
      </c>
      <c r="K2675" s="3">
        <v>1.0600000000000001E-8</v>
      </c>
      <c r="L2675" s="2" t="s">
        <v>1178</v>
      </c>
      <c r="M2675" s="4" t="s">
        <v>13987</v>
      </c>
    </row>
    <row r="2676" spans="1:13">
      <c r="A2676" s="2">
        <v>3344</v>
      </c>
      <c r="B2676" s="2" t="s">
        <v>13988</v>
      </c>
      <c r="C2676" s="2">
        <v>20</v>
      </c>
      <c r="D2676" s="2">
        <v>556</v>
      </c>
      <c r="E2676" s="2">
        <v>200</v>
      </c>
      <c r="F2676" s="2">
        <v>32441</v>
      </c>
      <c r="G2676" s="2">
        <v>5.8347122300000001</v>
      </c>
      <c r="H2676" s="3">
        <v>1.2799999999999999E-9</v>
      </c>
      <c r="I2676" s="2" t="s">
        <v>13989</v>
      </c>
      <c r="J2676" s="2" t="s">
        <v>13990</v>
      </c>
      <c r="K2676" s="3">
        <v>1.0600000000000001E-8</v>
      </c>
      <c r="L2676" s="2" t="s">
        <v>1178</v>
      </c>
      <c r="M2676" s="4" t="s">
        <v>13991</v>
      </c>
    </row>
    <row r="2677" spans="1:13">
      <c r="A2677" s="2">
        <v>6421</v>
      </c>
      <c r="B2677" s="2" t="s">
        <v>13992</v>
      </c>
      <c r="C2677" s="2">
        <v>20</v>
      </c>
      <c r="D2677" s="2">
        <v>556</v>
      </c>
      <c r="E2677" s="2">
        <v>200</v>
      </c>
      <c r="F2677" s="2">
        <v>32441</v>
      </c>
      <c r="G2677" s="2">
        <v>5.8347122300000001</v>
      </c>
      <c r="H2677" s="3">
        <v>1.2799999999999999E-9</v>
      </c>
      <c r="I2677" s="2" t="s">
        <v>13993</v>
      </c>
      <c r="J2677" s="2" t="s">
        <v>13994</v>
      </c>
      <c r="K2677" s="3">
        <v>1.0600000000000001E-8</v>
      </c>
      <c r="L2677" s="2" t="s">
        <v>1178</v>
      </c>
      <c r="M2677" s="4" t="s">
        <v>13995</v>
      </c>
    </row>
    <row r="2678" spans="1:13">
      <c r="A2678" s="2">
        <v>7372</v>
      </c>
      <c r="B2678" s="2" t="s">
        <v>13996</v>
      </c>
      <c r="C2678" s="2">
        <v>20</v>
      </c>
      <c r="D2678" s="2">
        <v>556</v>
      </c>
      <c r="E2678" s="2">
        <v>200</v>
      </c>
      <c r="F2678" s="2">
        <v>32441</v>
      </c>
      <c r="G2678" s="2">
        <v>5.8347122300000001</v>
      </c>
      <c r="H2678" s="3">
        <v>1.2799999999999999E-9</v>
      </c>
      <c r="I2678" s="2" t="s">
        <v>13997</v>
      </c>
      <c r="J2678" s="2" t="s">
        <v>13998</v>
      </c>
      <c r="K2678" s="3">
        <v>1.0600000000000001E-8</v>
      </c>
      <c r="L2678" s="2" t="s">
        <v>1178</v>
      </c>
      <c r="M2678" s="4" t="s">
        <v>13999</v>
      </c>
    </row>
    <row r="2679" spans="1:13">
      <c r="A2679" s="2">
        <v>7481</v>
      </c>
      <c r="B2679" s="2" t="s">
        <v>14000</v>
      </c>
      <c r="C2679" s="2">
        <v>20</v>
      </c>
      <c r="D2679" s="2">
        <v>556</v>
      </c>
      <c r="E2679" s="2">
        <v>200</v>
      </c>
      <c r="F2679" s="2">
        <v>32441</v>
      </c>
      <c r="G2679" s="2">
        <v>5.8347122300000001</v>
      </c>
      <c r="H2679" s="3">
        <v>1.2799999999999999E-9</v>
      </c>
      <c r="I2679" s="2" t="s">
        <v>14001</v>
      </c>
      <c r="J2679" s="2" t="s">
        <v>14002</v>
      </c>
      <c r="K2679" s="3">
        <v>1.0600000000000001E-8</v>
      </c>
      <c r="L2679" s="2" t="s">
        <v>1178</v>
      </c>
      <c r="M2679" s="4" t="s">
        <v>14003</v>
      </c>
    </row>
    <row r="2680" spans="1:13">
      <c r="A2680" s="2">
        <v>8141</v>
      </c>
      <c r="B2680" s="2" t="s">
        <v>14004</v>
      </c>
      <c r="C2680" s="2">
        <v>20</v>
      </c>
      <c r="D2680" s="2">
        <v>556</v>
      </c>
      <c r="E2680" s="2">
        <v>200</v>
      </c>
      <c r="F2680" s="2">
        <v>32441</v>
      </c>
      <c r="G2680" s="2">
        <v>5.8347122300000001</v>
      </c>
      <c r="H2680" s="3">
        <v>1.2799999999999999E-9</v>
      </c>
      <c r="I2680" s="2" t="s">
        <v>14005</v>
      </c>
      <c r="J2680" s="2" t="s">
        <v>14006</v>
      </c>
      <c r="K2680" s="3">
        <v>1.0600000000000001E-8</v>
      </c>
      <c r="L2680" s="2" t="s">
        <v>1178</v>
      </c>
      <c r="M2680" s="4" t="s">
        <v>14007</v>
      </c>
    </row>
    <row r="2681" spans="1:13">
      <c r="A2681" s="2">
        <v>8401</v>
      </c>
      <c r="B2681" s="2" t="s">
        <v>14008</v>
      </c>
      <c r="C2681" s="2">
        <v>20</v>
      </c>
      <c r="D2681" s="2">
        <v>556</v>
      </c>
      <c r="E2681" s="2">
        <v>200</v>
      </c>
      <c r="F2681" s="2">
        <v>32441</v>
      </c>
      <c r="G2681" s="2">
        <v>5.8347122300000001</v>
      </c>
      <c r="H2681" s="3">
        <v>1.2799999999999999E-9</v>
      </c>
      <c r="I2681" s="2" t="s">
        <v>14009</v>
      </c>
      <c r="J2681" s="2" t="s">
        <v>14010</v>
      </c>
      <c r="K2681" s="3">
        <v>1.0600000000000001E-8</v>
      </c>
      <c r="L2681" s="2" t="s">
        <v>1178</v>
      </c>
      <c r="M2681" s="4" t="s">
        <v>14011</v>
      </c>
    </row>
    <row r="2682" spans="1:13">
      <c r="A2682" s="2">
        <v>933</v>
      </c>
      <c r="B2682" s="2" t="s">
        <v>2094</v>
      </c>
      <c r="C2682" s="2">
        <v>20</v>
      </c>
      <c r="D2682" s="2">
        <v>556</v>
      </c>
      <c r="E2682" s="2">
        <v>200</v>
      </c>
      <c r="F2682" s="2">
        <v>32441</v>
      </c>
      <c r="G2682" s="2">
        <v>5.8347122300000001</v>
      </c>
      <c r="H2682" s="3">
        <v>1.2799999999999999E-9</v>
      </c>
      <c r="I2682" s="2" t="s">
        <v>14012</v>
      </c>
      <c r="J2682" s="2" t="s">
        <v>14013</v>
      </c>
      <c r="K2682" s="3">
        <v>1.0600000000000001E-8</v>
      </c>
      <c r="L2682" s="2" t="s">
        <v>1178</v>
      </c>
      <c r="M2682" s="4" t="s">
        <v>14014</v>
      </c>
    </row>
    <row r="2683" spans="1:13">
      <c r="A2683" s="2">
        <v>938</v>
      </c>
      <c r="B2683" s="2" t="s">
        <v>14015</v>
      </c>
      <c r="C2683" s="2">
        <v>20</v>
      </c>
      <c r="D2683" s="2">
        <v>556</v>
      </c>
      <c r="E2683" s="2">
        <v>200</v>
      </c>
      <c r="F2683" s="2">
        <v>32441</v>
      </c>
      <c r="G2683" s="2">
        <v>5.8347122300000001</v>
      </c>
      <c r="H2683" s="3">
        <v>1.2799999999999999E-9</v>
      </c>
      <c r="I2683" s="2" t="s">
        <v>14016</v>
      </c>
      <c r="J2683" s="2" t="s">
        <v>14017</v>
      </c>
      <c r="K2683" s="3">
        <v>1.0600000000000001E-8</v>
      </c>
      <c r="L2683" s="2" t="s">
        <v>1178</v>
      </c>
      <c r="M2683" s="4" t="s">
        <v>14018</v>
      </c>
    </row>
    <row r="2684" spans="1:13">
      <c r="A2684" s="2">
        <v>1040</v>
      </c>
      <c r="B2684" s="2" t="s">
        <v>14019</v>
      </c>
      <c r="C2684" s="2">
        <v>20</v>
      </c>
      <c r="D2684" s="2">
        <v>556</v>
      </c>
      <c r="E2684" s="2">
        <v>200</v>
      </c>
      <c r="F2684" s="2">
        <v>32441</v>
      </c>
      <c r="G2684" s="2">
        <v>5.8347122300000001</v>
      </c>
      <c r="H2684" s="3">
        <v>1.2799999999999999E-9</v>
      </c>
      <c r="I2684" s="2" t="s">
        <v>14020</v>
      </c>
      <c r="J2684" s="2" t="s">
        <v>14021</v>
      </c>
      <c r="K2684" s="3">
        <v>1.0600000000000001E-8</v>
      </c>
      <c r="L2684" s="2" t="s">
        <v>1178</v>
      </c>
      <c r="M2684" s="4" t="s">
        <v>14022</v>
      </c>
    </row>
    <row r="2685" spans="1:13">
      <c r="A2685" s="2">
        <v>1077</v>
      </c>
      <c r="B2685" s="2" t="s">
        <v>14023</v>
      </c>
      <c r="C2685" s="2">
        <v>20</v>
      </c>
      <c r="D2685" s="2">
        <v>556</v>
      </c>
      <c r="E2685" s="2">
        <v>200</v>
      </c>
      <c r="F2685" s="2">
        <v>32441</v>
      </c>
      <c r="G2685" s="2">
        <v>5.8347122300000001</v>
      </c>
      <c r="H2685" s="3">
        <v>1.2799999999999999E-9</v>
      </c>
      <c r="I2685" s="2" t="s">
        <v>14024</v>
      </c>
      <c r="J2685" s="2" t="s">
        <v>14025</v>
      </c>
      <c r="K2685" s="3">
        <v>1.0600000000000001E-8</v>
      </c>
      <c r="L2685" s="2" t="s">
        <v>1178</v>
      </c>
      <c r="M2685" s="4" t="s">
        <v>14026</v>
      </c>
    </row>
    <row r="2686" spans="1:13">
      <c r="A2686" s="2">
        <v>11221</v>
      </c>
      <c r="B2686" s="2" t="s">
        <v>14027</v>
      </c>
      <c r="C2686" s="2">
        <v>20</v>
      </c>
      <c r="D2686" s="2">
        <v>556</v>
      </c>
      <c r="E2686" s="2">
        <v>200</v>
      </c>
      <c r="F2686" s="2">
        <v>32441</v>
      </c>
      <c r="G2686" s="2">
        <v>5.8347122300000001</v>
      </c>
      <c r="H2686" s="3">
        <v>1.2799999999999999E-9</v>
      </c>
      <c r="I2686" s="2" t="s">
        <v>14028</v>
      </c>
      <c r="J2686" s="2" t="s">
        <v>14029</v>
      </c>
      <c r="K2686" s="3">
        <v>1.0600000000000001E-8</v>
      </c>
      <c r="L2686" s="2" t="s">
        <v>1178</v>
      </c>
      <c r="M2686" s="4" t="s">
        <v>14030</v>
      </c>
    </row>
    <row r="2687" spans="1:13">
      <c r="A2687" s="2">
        <v>12721</v>
      </c>
      <c r="B2687" s="2" t="s">
        <v>14031</v>
      </c>
      <c r="C2687" s="2">
        <v>20</v>
      </c>
      <c r="D2687" s="2">
        <v>556</v>
      </c>
      <c r="E2687" s="2">
        <v>200</v>
      </c>
      <c r="F2687" s="2">
        <v>32441</v>
      </c>
      <c r="G2687" s="2">
        <v>5.8347122300000001</v>
      </c>
      <c r="H2687" s="3">
        <v>1.2799999999999999E-9</v>
      </c>
      <c r="I2687" s="2" t="s">
        <v>14032</v>
      </c>
      <c r="J2687" s="2" t="s">
        <v>14033</v>
      </c>
      <c r="K2687" s="3">
        <v>1.0600000000000001E-8</v>
      </c>
      <c r="L2687" s="2" t="s">
        <v>1178</v>
      </c>
      <c r="M2687" s="4" t="s">
        <v>14034</v>
      </c>
    </row>
    <row r="2688" spans="1:13">
      <c r="A2688" s="2">
        <v>1378</v>
      </c>
      <c r="B2688" s="2" t="s">
        <v>14035</v>
      </c>
      <c r="C2688" s="2">
        <v>20</v>
      </c>
      <c r="D2688" s="2">
        <v>556</v>
      </c>
      <c r="E2688" s="2">
        <v>200</v>
      </c>
      <c r="F2688" s="2">
        <v>32441</v>
      </c>
      <c r="G2688" s="2">
        <v>5.8347122300000001</v>
      </c>
      <c r="H2688" s="3">
        <v>1.2799999999999999E-9</v>
      </c>
      <c r="I2688" s="2" t="s">
        <v>14036</v>
      </c>
      <c r="J2688" s="2" t="s">
        <v>14037</v>
      </c>
      <c r="K2688" s="3">
        <v>1.0600000000000001E-8</v>
      </c>
      <c r="L2688" s="2" t="s">
        <v>1178</v>
      </c>
      <c r="M2688" s="4" t="s">
        <v>14038</v>
      </c>
    </row>
    <row r="2689" spans="1:13">
      <c r="A2689" s="2">
        <v>14661</v>
      </c>
      <c r="B2689" s="2" t="s">
        <v>14039</v>
      </c>
      <c r="C2689" s="2">
        <v>20</v>
      </c>
      <c r="D2689" s="2">
        <v>556</v>
      </c>
      <c r="E2689" s="2">
        <v>200</v>
      </c>
      <c r="F2689" s="2">
        <v>32441</v>
      </c>
      <c r="G2689" s="2">
        <v>5.8347122300000001</v>
      </c>
      <c r="H2689" s="3">
        <v>1.2799999999999999E-9</v>
      </c>
      <c r="I2689" s="2" t="s">
        <v>14040</v>
      </c>
      <c r="J2689" s="2" t="s">
        <v>14041</v>
      </c>
      <c r="K2689" s="3">
        <v>1.0600000000000001E-8</v>
      </c>
      <c r="L2689" s="2" t="s">
        <v>1178</v>
      </c>
      <c r="M2689" s="4" t="s">
        <v>14042</v>
      </c>
    </row>
    <row r="2690" spans="1:13">
      <c r="A2690" s="2">
        <v>14722</v>
      </c>
      <c r="B2690" s="2" t="s">
        <v>14043</v>
      </c>
      <c r="C2690" s="2">
        <v>20</v>
      </c>
      <c r="D2690" s="2">
        <v>556</v>
      </c>
      <c r="E2690" s="2">
        <v>200</v>
      </c>
      <c r="F2690" s="2">
        <v>32441</v>
      </c>
      <c r="G2690" s="2">
        <v>5.8347122300000001</v>
      </c>
      <c r="H2690" s="3">
        <v>1.2799999999999999E-9</v>
      </c>
      <c r="I2690" s="2" t="s">
        <v>14044</v>
      </c>
      <c r="J2690" s="2" t="s">
        <v>14045</v>
      </c>
      <c r="K2690" s="3">
        <v>1.0600000000000001E-8</v>
      </c>
      <c r="L2690" s="2" t="s">
        <v>1178</v>
      </c>
      <c r="M2690" s="4" t="s">
        <v>14046</v>
      </c>
    </row>
    <row r="2691" spans="1:13">
      <c r="A2691" s="2">
        <v>15011</v>
      </c>
      <c r="B2691" s="2" t="s">
        <v>2469</v>
      </c>
      <c r="C2691" s="2">
        <v>20</v>
      </c>
      <c r="D2691" s="2">
        <v>556</v>
      </c>
      <c r="E2691" s="2">
        <v>200</v>
      </c>
      <c r="F2691" s="2">
        <v>32441</v>
      </c>
      <c r="G2691" s="2">
        <v>5.8347122300000001</v>
      </c>
      <c r="H2691" s="3">
        <v>1.2799999999999999E-9</v>
      </c>
      <c r="I2691" s="2" t="s">
        <v>14047</v>
      </c>
      <c r="J2691" s="2" t="s">
        <v>14048</v>
      </c>
      <c r="K2691" s="3">
        <v>1.0600000000000001E-8</v>
      </c>
      <c r="L2691" s="2" t="s">
        <v>1178</v>
      </c>
      <c r="M2691" s="4" t="s">
        <v>14049</v>
      </c>
    </row>
    <row r="2692" spans="1:13">
      <c r="A2692" s="2">
        <v>15171</v>
      </c>
      <c r="B2692" s="2" t="s">
        <v>2475</v>
      </c>
      <c r="C2692" s="2">
        <v>20</v>
      </c>
      <c r="D2692" s="2">
        <v>556</v>
      </c>
      <c r="E2692" s="2">
        <v>200</v>
      </c>
      <c r="F2692" s="2">
        <v>32441</v>
      </c>
      <c r="G2692" s="2">
        <v>5.8347122300000001</v>
      </c>
      <c r="H2692" s="3">
        <v>1.2799999999999999E-9</v>
      </c>
      <c r="I2692" s="2" t="s">
        <v>14050</v>
      </c>
      <c r="J2692" s="2" t="s">
        <v>14051</v>
      </c>
      <c r="K2692" s="3">
        <v>1.0600000000000001E-8</v>
      </c>
      <c r="L2692" s="2" t="s">
        <v>1178</v>
      </c>
      <c r="M2692" s="4" t="s">
        <v>14052</v>
      </c>
    </row>
    <row r="2693" spans="1:13">
      <c r="A2693" s="2">
        <v>15681</v>
      </c>
      <c r="B2693" s="2" t="s">
        <v>14053</v>
      </c>
      <c r="C2693" s="2">
        <v>20</v>
      </c>
      <c r="D2693" s="2">
        <v>556</v>
      </c>
      <c r="E2693" s="2">
        <v>200</v>
      </c>
      <c r="F2693" s="2">
        <v>32441</v>
      </c>
      <c r="G2693" s="2">
        <v>5.8347122300000001</v>
      </c>
      <c r="H2693" s="3">
        <v>1.2799999999999999E-9</v>
      </c>
      <c r="I2693" s="2" t="s">
        <v>14054</v>
      </c>
      <c r="J2693" s="2" t="s">
        <v>14055</v>
      </c>
      <c r="K2693" s="3">
        <v>1.0600000000000001E-8</v>
      </c>
      <c r="L2693" s="2" t="s">
        <v>1178</v>
      </c>
      <c r="M2693" s="4" t="s">
        <v>14056</v>
      </c>
    </row>
    <row r="2694" spans="1:13">
      <c r="A2694" s="2">
        <v>1585</v>
      </c>
      <c r="B2694" s="2" t="s">
        <v>14057</v>
      </c>
      <c r="C2694" s="2">
        <v>20</v>
      </c>
      <c r="D2694" s="2">
        <v>556</v>
      </c>
      <c r="E2694" s="2">
        <v>200</v>
      </c>
      <c r="F2694" s="2">
        <v>32441</v>
      </c>
      <c r="G2694" s="2">
        <v>5.8347122300000001</v>
      </c>
      <c r="H2694" s="3">
        <v>1.2799999999999999E-9</v>
      </c>
      <c r="I2694" s="2" t="s">
        <v>14058</v>
      </c>
      <c r="J2694" s="2" t="s">
        <v>14059</v>
      </c>
      <c r="K2694" s="3">
        <v>1.0600000000000001E-8</v>
      </c>
      <c r="L2694" s="2" t="s">
        <v>1178</v>
      </c>
      <c r="M2694" s="4" t="s">
        <v>14060</v>
      </c>
    </row>
    <row r="2695" spans="1:13">
      <c r="A2695" s="2">
        <v>1599</v>
      </c>
      <c r="B2695" s="2" t="s">
        <v>14061</v>
      </c>
      <c r="C2695" s="2">
        <v>20</v>
      </c>
      <c r="D2695" s="2">
        <v>556</v>
      </c>
      <c r="E2695" s="2">
        <v>200</v>
      </c>
      <c r="F2695" s="2">
        <v>32441</v>
      </c>
      <c r="G2695" s="2">
        <v>5.8347122300000001</v>
      </c>
      <c r="H2695" s="3">
        <v>1.2799999999999999E-9</v>
      </c>
      <c r="I2695" s="2" t="s">
        <v>14062</v>
      </c>
      <c r="J2695" s="2" t="s">
        <v>14063</v>
      </c>
      <c r="K2695" s="3">
        <v>1.0600000000000001E-8</v>
      </c>
      <c r="L2695" s="2" t="s">
        <v>1178</v>
      </c>
      <c r="M2695" s="4" t="s">
        <v>14064</v>
      </c>
    </row>
    <row r="2696" spans="1:13">
      <c r="A2696" s="2">
        <v>16811</v>
      </c>
      <c r="B2696" s="2" t="s">
        <v>14065</v>
      </c>
      <c r="C2696" s="2">
        <v>20</v>
      </c>
      <c r="D2696" s="2">
        <v>556</v>
      </c>
      <c r="E2696" s="2">
        <v>200</v>
      </c>
      <c r="F2696" s="2">
        <v>32441</v>
      </c>
      <c r="G2696" s="2">
        <v>5.8347122300000001</v>
      </c>
      <c r="H2696" s="3">
        <v>1.2799999999999999E-9</v>
      </c>
      <c r="I2696" s="2" t="s">
        <v>14066</v>
      </c>
      <c r="J2696" s="2" t="s">
        <v>14067</v>
      </c>
      <c r="K2696" s="3">
        <v>1.0600000000000001E-8</v>
      </c>
      <c r="L2696" s="2" t="s">
        <v>1178</v>
      </c>
      <c r="M2696" s="4" t="s">
        <v>14068</v>
      </c>
    </row>
    <row r="2697" spans="1:13">
      <c r="A2697" s="2">
        <v>1685</v>
      </c>
      <c r="B2697" s="2" t="s">
        <v>14069</v>
      </c>
      <c r="C2697" s="2">
        <v>20</v>
      </c>
      <c r="D2697" s="2">
        <v>556</v>
      </c>
      <c r="E2697" s="2">
        <v>200</v>
      </c>
      <c r="F2697" s="2">
        <v>32441</v>
      </c>
      <c r="G2697" s="2">
        <v>5.8347122300000001</v>
      </c>
      <c r="H2697" s="3">
        <v>1.2799999999999999E-9</v>
      </c>
      <c r="I2697" s="2" t="s">
        <v>14070</v>
      </c>
      <c r="J2697" s="2" t="s">
        <v>14071</v>
      </c>
      <c r="K2697" s="3">
        <v>1.0600000000000001E-8</v>
      </c>
      <c r="L2697" s="2" t="s">
        <v>1178</v>
      </c>
      <c r="M2697" s="4" t="s">
        <v>14072</v>
      </c>
    </row>
    <row r="2698" spans="1:13">
      <c r="A2698" s="2">
        <v>1717</v>
      </c>
      <c r="B2698" s="2" t="s">
        <v>14073</v>
      </c>
      <c r="C2698" s="2">
        <v>20</v>
      </c>
      <c r="D2698" s="2">
        <v>556</v>
      </c>
      <c r="E2698" s="2">
        <v>200</v>
      </c>
      <c r="F2698" s="2">
        <v>32441</v>
      </c>
      <c r="G2698" s="2">
        <v>5.8347122300000001</v>
      </c>
      <c r="H2698" s="3">
        <v>1.2799999999999999E-9</v>
      </c>
      <c r="I2698" s="2" t="s">
        <v>14074</v>
      </c>
      <c r="J2698" s="2" t="s">
        <v>14075</v>
      </c>
      <c r="K2698" s="3">
        <v>1.0600000000000001E-8</v>
      </c>
      <c r="L2698" s="2" t="s">
        <v>1178</v>
      </c>
      <c r="M2698" s="4" t="s">
        <v>14076</v>
      </c>
    </row>
    <row r="2699" spans="1:13">
      <c r="A2699" s="2">
        <v>1789</v>
      </c>
      <c r="B2699" s="2" t="s">
        <v>14077</v>
      </c>
      <c r="C2699" s="2">
        <v>20</v>
      </c>
      <c r="D2699" s="2">
        <v>556</v>
      </c>
      <c r="E2699" s="2">
        <v>200</v>
      </c>
      <c r="F2699" s="2">
        <v>32441</v>
      </c>
      <c r="G2699" s="2">
        <v>5.8347122300000001</v>
      </c>
      <c r="H2699" s="3">
        <v>1.2799999999999999E-9</v>
      </c>
      <c r="I2699" s="2" t="s">
        <v>14078</v>
      </c>
      <c r="J2699" s="2" t="s">
        <v>14079</v>
      </c>
      <c r="K2699" s="3">
        <v>1.0600000000000001E-8</v>
      </c>
      <c r="L2699" s="2" t="s">
        <v>1178</v>
      </c>
      <c r="M2699" s="4" t="s">
        <v>14080</v>
      </c>
    </row>
    <row r="2700" spans="1:13">
      <c r="A2700" s="2">
        <v>1813</v>
      </c>
      <c r="B2700" s="2" t="s">
        <v>14081</v>
      </c>
      <c r="C2700" s="2">
        <v>20</v>
      </c>
      <c r="D2700" s="2">
        <v>556</v>
      </c>
      <c r="E2700" s="2">
        <v>200</v>
      </c>
      <c r="F2700" s="2">
        <v>32441</v>
      </c>
      <c r="G2700" s="2">
        <v>5.8347122300000001</v>
      </c>
      <c r="H2700" s="3">
        <v>1.2799999999999999E-9</v>
      </c>
      <c r="I2700" s="2" t="s">
        <v>14082</v>
      </c>
      <c r="J2700" s="2" t="s">
        <v>14083</v>
      </c>
      <c r="K2700" s="3">
        <v>1.0600000000000001E-8</v>
      </c>
      <c r="L2700" s="2" t="s">
        <v>1178</v>
      </c>
      <c r="M2700" s="4" t="s">
        <v>14084</v>
      </c>
    </row>
    <row r="2701" spans="1:13">
      <c r="A2701" s="2">
        <v>18991</v>
      </c>
      <c r="B2701" s="2" t="s">
        <v>14085</v>
      </c>
      <c r="C2701" s="2">
        <v>20</v>
      </c>
      <c r="D2701" s="2">
        <v>556</v>
      </c>
      <c r="E2701" s="2">
        <v>200</v>
      </c>
      <c r="F2701" s="2">
        <v>32441</v>
      </c>
      <c r="G2701" s="2">
        <v>5.8347122300000001</v>
      </c>
      <c r="H2701" s="3">
        <v>1.2799999999999999E-9</v>
      </c>
      <c r="I2701" s="2" t="s">
        <v>14086</v>
      </c>
      <c r="J2701" s="2" t="s">
        <v>14087</v>
      </c>
      <c r="K2701" s="3">
        <v>1.0600000000000001E-8</v>
      </c>
      <c r="L2701" s="2" t="s">
        <v>1178</v>
      </c>
      <c r="M2701" s="4" t="s">
        <v>14088</v>
      </c>
    </row>
    <row r="2702" spans="1:13">
      <c r="A2702" s="2">
        <v>1926</v>
      </c>
      <c r="B2702" s="2" t="s">
        <v>1905</v>
      </c>
      <c r="C2702" s="2">
        <v>20</v>
      </c>
      <c r="D2702" s="2">
        <v>556</v>
      </c>
      <c r="E2702" s="2">
        <v>200</v>
      </c>
      <c r="F2702" s="2">
        <v>32441</v>
      </c>
      <c r="G2702" s="2">
        <v>5.8347122300000001</v>
      </c>
      <c r="H2702" s="3">
        <v>1.2799999999999999E-9</v>
      </c>
      <c r="I2702" s="2" t="s">
        <v>14089</v>
      </c>
      <c r="J2702" s="2" t="s">
        <v>14090</v>
      </c>
      <c r="K2702" s="3">
        <v>1.0600000000000001E-8</v>
      </c>
      <c r="L2702" s="2" t="s">
        <v>1178</v>
      </c>
      <c r="M2702" s="4" t="s">
        <v>14091</v>
      </c>
    </row>
    <row r="2703" spans="1:13">
      <c r="A2703" s="2">
        <v>19321</v>
      </c>
      <c r="B2703" s="2" t="s">
        <v>14092</v>
      </c>
      <c r="C2703" s="2">
        <v>20</v>
      </c>
      <c r="D2703" s="2">
        <v>556</v>
      </c>
      <c r="E2703" s="2">
        <v>199</v>
      </c>
      <c r="F2703" s="2">
        <v>32441</v>
      </c>
      <c r="G2703" s="2">
        <v>5.8640323920000004</v>
      </c>
      <c r="H2703" s="3">
        <v>1.1800000000000001E-9</v>
      </c>
      <c r="I2703" s="2" t="s">
        <v>14093</v>
      </c>
      <c r="J2703" s="2" t="s">
        <v>14094</v>
      </c>
      <c r="K2703" s="3">
        <v>1.0600000000000001E-8</v>
      </c>
      <c r="L2703" s="2" t="s">
        <v>1178</v>
      </c>
      <c r="M2703" s="4" t="s">
        <v>14095</v>
      </c>
    </row>
    <row r="2704" spans="1:13">
      <c r="A2704" s="2">
        <v>1990</v>
      </c>
      <c r="B2704" s="2" t="s">
        <v>14096</v>
      </c>
      <c r="C2704" s="2">
        <v>20</v>
      </c>
      <c r="D2704" s="2">
        <v>556</v>
      </c>
      <c r="E2704" s="2">
        <v>200</v>
      </c>
      <c r="F2704" s="2">
        <v>32441</v>
      </c>
      <c r="G2704" s="2">
        <v>5.8347122300000001</v>
      </c>
      <c r="H2704" s="3">
        <v>1.2799999999999999E-9</v>
      </c>
      <c r="I2704" s="2" t="s">
        <v>14097</v>
      </c>
      <c r="J2704" s="2" t="s">
        <v>14098</v>
      </c>
      <c r="K2704" s="3">
        <v>1.0600000000000001E-8</v>
      </c>
      <c r="L2704" s="2" t="s">
        <v>1178</v>
      </c>
      <c r="M2704" s="4" t="s">
        <v>14099</v>
      </c>
    </row>
    <row r="2705" spans="1:13">
      <c r="A2705" s="2">
        <v>2031</v>
      </c>
      <c r="B2705" s="2" t="s">
        <v>14100</v>
      </c>
      <c r="C2705" s="2">
        <v>20</v>
      </c>
      <c r="D2705" s="2">
        <v>556</v>
      </c>
      <c r="E2705" s="2">
        <v>200</v>
      </c>
      <c r="F2705" s="2">
        <v>32441</v>
      </c>
      <c r="G2705" s="2">
        <v>5.8347122300000001</v>
      </c>
      <c r="H2705" s="3">
        <v>1.2799999999999999E-9</v>
      </c>
      <c r="I2705" s="2" t="s">
        <v>14101</v>
      </c>
      <c r="J2705" s="2" t="s">
        <v>14102</v>
      </c>
      <c r="K2705" s="3">
        <v>1.0600000000000001E-8</v>
      </c>
      <c r="L2705" s="2" t="s">
        <v>1178</v>
      </c>
      <c r="M2705" s="4" t="s">
        <v>14103</v>
      </c>
    </row>
    <row r="2706" spans="1:13">
      <c r="A2706" s="2">
        <v>20821</v>
      </c>
      <c r="B2706" s="2" t="s">
        <v>14104</v>
      </c>
      <c r="C2706" s="2">
        <v>20</v>
      </c>
      <c r="D2706" s="2">
        <v>556</v>
      </c>
      <c r="E2706" s="2">
        <v>200</v>
      </c>
      <c r="F2706" s="2">
        <v>32441</v>
      </c>
      <c r="G2706" s="2">
        <v>5.8347122300000001</v>
      </c>
      <c r="H2706" s="3">
        <v>1.2799999999999999E-9</v>
      </c>
      <c r="I2706" s="2" t="s">
        <v>14105</v>
      </c>
      <c r="J2706" s="2" t="s">
        <v>14106</v>
      </c>
      <c r="K2706" s="3">
        <v>1.0600000000000001E-8</v>
      </c>
      <c r="L2706" s="2" t="s">
        <v>1178</v>
      </c>
      <c r="M2706" s="4" t="s">
        <v>14107</v>
      </c>
    </row>
    <row r="2707" spans="1:13">
      <c r="A2707" s="2">
        <v>2115</v>
      </c>
      <c r="B2707" s="2" t="s">
        <v>14108</v>
      </c>
      <c r="C2707" s="2">
        <v>20</v>
      </c>
      <c r="D2707" s="2">
        <v>556</v>
      </c>
      <c r="E2707" s="2">
        <v>200</v>
      </c>
      <c r="F2707" s="2">
        <v>32441</v>
      </c>
      <c r="G2707" s="2">
        <v>5.8347122300000001</v>
      </c>
      <c r="H2707" s="3">
        <v>1.2799999999999999E-9</v>
      </c>
      <c r="I2707" s="2" t="s">
        <v>14109</v>
      </c>
      <c r="J2707" s="2" t="s">
        <v>14110</v>
      </c>
      <c r="K2707" s="3">
        <v>1.0600000000000001E-8</v>
      </c>
      <c r="L2707" s="2" t="s">
        <v>1178</v>
      </c>
      <c r="M2707" s="4" t="s">
        <v>14111</v>
      </c>
    </row>
    <row r="2708" spans="1:13">
      <c r="A2708" s="2">
        <v>2243</v>
      </c>
      <c r="B2708" s="2" t="s">
        <v>14112</v>
      </c>
      <c r="C2708" s="2">
        <v>20</v>
      </c>
      <c r="D2708" s="2">
        <v>556</v>
      </c>
      <c r="E2708" s="2">
        <v>200</v>
      </c>
      <c r="F2708" s="2">
        <v>32441</v>
      </c>
      <c r="G2708" s="2">
        <v>5.8347122300000001</v>
      </c>
      <c r="H2708" s="3">
        <v>1.2799999999999999E-9</v>
      </c>
      <c r="I2708" s="2" t="s">
        <v>14113</v>
      </c>
      <c r="J2708" s="2" t="s">
        <v>14114</v>
      </c>
      <c r="K2708" s="3">
        <v>1.0600000000000001E-8</v>
      </c>
      <c r="L2708" s="2" t="s">
        <v>1178</v>
      </c>
      <c r="M2708" s="4" t="s">
        <v>14115</v>
      </c>
    </row>
    <row r="2709" spans="1:13">
      <c r="A2709" s="2">
        <v>22531</v>
      </c>
      <c r="B2709" s="2" t="s">
        <v>14116</v>
      </c>
      <c r="C2709" s="2">
        <v>20</v>
      </c>
      <c r="D2709" s="2">
        <v>556</v>
      </c>
      <c r="E2709" s="2">
        <v>200</v>
      </c>
      <c r="F2709" s="2">
        <v>32441</v>
      </c>
      <c r="G2709" s="2">
        <v>5.8347122300000001</v>
      </c>
      <c r="H2709" s="3">
        <v>1.2799999999999999E-9</v>
      </c>
      <c r="I2709" s="2" t="s">
        <v>14117</v>
      </c>
      <c r="J2709" s="2" t="s">
        <v>14118</v>
      </c>
      <c r="K2709" s="3">
        <v>1.0600000000000001E-8</v>
      </c>
      <c r="L2709" s="2" t="s">
        <v>1178</v>
      </c>
      <c r="M2709" s="4" t="s">
        <v>14119</v>
      </c>
    </row>
    <row r="2710" spans="1:13">
      <c r="A2710" s="2">
        <v>2325</v>
      </c>
      <c r="B2710" s="2" t="s">
        <v>14120</v>
      </c>
      <c r="C2710" s="2">
        <v>20</v>
      </c>
      <c r="D2710" s="2">
        <v>556</v>
      </c>
      <c r="E2710" s="2">
        <v>200</v>
      </c>
      <c r="F2710" s="2">
        <v>32441</v>
      </c>
      <c r="G2710" s="2">
        <v>5.8347122300000001</v>
      </c>
      <c r="H2710" s="3">
        <v>1.2799999999999999E-9</v>
      </c>
      <c r="I2710" s="2" t="s">
        <v>14121</v>
      </c>
      <c r="J2710" s="2" t="s">
        <v>14122</v>
      </c>
      <c r="K2710" s="3">
        <v>1.0600000000000001E-8</v>
      </c>
      <c r="L2710" s="2" t="s">
        <v>1178</v>
      </c>
      <c r="M2710" s="4" t="s">
        <v>14123</v>
      </c>
    </row>
    <row r="2711" spans="1:13">
      <c r="A2711" s="2">
        <v>2329</v>
      </c>
      <c r="B2711" s="2" t="s">
        <v>14124</v>
      </c>
      <c r="C2711" s="2">
        <v>20</v>
      </c>
      <c r="D2711" s="2">
        <v>556</v>
      </c>
      <c r="E2711" s="2">
        <v>200</v>
      </c>
      <c r="F2711" s="2">
        <v>32441</v>
      </c>
      <c r="G2711" s="2">
        <v>5.8347122300000001</v>
      </c>
      <c r="H2711" s="3">
        <v>1.2799999999999999E-9</v>
      </c>
      <c r="I2711" s="2" t="s">
        <v>14125</v>
      </c>
      <c r="J2711" s="2" t="s">
        <v>14126</v>
      </c>
      <c r="K2711" s="3">
        <v>1.0600000000000001E-8</v>
      </c>
      <c r="L2711" s="2" t="s">
        <v>1178</v>
      </c>
      <c r="M2711" s="4" t="s">
        <v>14127</v>
      </c>
    </row>
    <row r="2712" spans="1:13">
      <c r="A2712" s="2">
        <v>2359</v>
      </c>
      <c r="B2712" s="2" t="s">
        <v>14128</v>
      </c>
      <c r="C2712" s="2">
        <v>20</v>
      </c>
      <c r="D2712" s="2">
        <v>556</v>
      </c>
      <c r="E2712" s="2">
        <v>200</v>
      </c>
      <c r="F2712" s="2">
        <v>32441</v>
      </c>
      <c r="G2712" s="2">
        <v>5.8347122300000001</v>
      </c>
      <c r="H2712" s="3">
        <v>1.2799999999999999E-9</v>
      </c>
      <c r="I2712" s="2" t="s">
        <v>14129</v>
      </c>
      <c r="J2712" s="2" t="s">
        <v>14130</v>
      </c>
      <c r="K2712" s="3">
        <v>1.0600000000000001E-8</v>
      </c>
      <c r="L2712" s="2" t="s">
        <v>1178</v>
      </c>
      <c r="M2712" s="4" t="s">
        <v>14131</v>
      </c>
    </row>
    <row r="2713" spans="1:13">
      <c r="A2713" s="2">
        <v>25911</v>
      </c>
      <c r="B2713" s="2" t="s">
        <v>14132</v>
      </c>
      <c r="C2713" s="2">
        <v>20</v>
      </c>
      <c r="D2713" s="2">
        <v>556</v>
      </c>
      <c r="E2713" s="2">
        <v>199</v>
      </c>
      <c r="F2713" s="2">
        <v>32441</v>
      </c>
      <c r="G2713" s="2">
        <v>5.8640323920000004</v>
      </c>
      <c r="H2713" s="3">
        <v>1.1800000000000001E-9</v>
      </c>
      <c r="I2713" s="2" t="s">
        <v>14133</v>
      </c>
      <c r="J2713" s="2" t="s">
        <v>14134</v>
      </c>
      <c r="K2713" s="3">
        <v>1.0600000000000001E-8</v>
      </c>
      <c r="L2713" s="2" t="s">
        <v>1178</v>
      </c>
      <c r="M2713" s="4" t="s">
        <v>14135</v>
      </c>
    </row>
    <row r="2714" spans="1:13">
      <c r="A2714" s="2">
        <v>2598</v>
      </c>
      <c r="B2714" s="2" t="s">
        <v>14136</v>
      </c>
      <c r="C2714" s="2">
        <v>20</v>
      </c>
      <c r="D2714" s="2">
        <v>556</v>
      </c>
      <c r="E2714" s="2">
        <v>200</v>
      </c>
      <c r="F2714" s="2">
        <v>32441</v>
      </c>
      <c r="G2714" s="2">
        <v>5.8347122300000001</v>
      </c>
      <c r="H2714" s="3">
        <v>1.2799999999999999E-9</v>
      </c>
      <c r="I2714" s="2" t="s">
        <v>14137</v>
      </c>
      <c r="J2714" s="2" t="s">
        <v>14138</v>
      </c>
      <c r="K2714" s="3">
        <v>1.0600000000000001E-8</v>
      </c>
      <c r="L2714" s="2" t="s">
        <v>1178</v>
      </c>
      <c r="M2714" s="4" t="s">
        <v>14139</v>
      </c>
    </row>
    <row r="2715" spans="1:13">
      <c r="A2715" s="2">
        <v>3260</v>
      </c>
      <c r="B2715" s="2" t="s">
        <v>14140</v>
      </c>
      <c r="C2715" s="2">
        <v>20</v>
      </c>
      <c r="D2715" s="2">
        <v>556</v>
      </c>
      <c r="E2715" s="2">
        <v>200</v>
      </c>
      <c r="F2715" s="2">
        <v>32441</v>
      </c>
      <c r="G2715" s="2">
        <v>5.8347122300000001</v>
      </c>
      <c r="H2715" s="3">
        <v>1.2799999999999999E-9</v>
      </c>
      <c r="I2715" s="2" t="s">
        <v>14141</v>
      </c>
      <c r="J2715" s="2" t="s">
        <v>14142</v>
      </c>
      <c r="K2715" s="3">
        <v>1.0600000000000001E-8</v>
      </c>
      <c r="L2715" s="2" t="s">
        <v>1178</v>
      </c>
      <c r="M2715" s="4" t="s">
        <v>14143</v>
      </c>
    </row>
    <row r="2716" spans="1:13">
      <c r="A2716" s="2">
        <v>34521</v>
      </c>
      <c r="B2716" s="2" t="s">
        <v>14144</v>
      </c>
      <c r="C2716" s="2">
        <v>20</v>
      </c>
      <c r="D2716" s="2">
        <v>556</v>
      </c>
      <c r="E2716" s="2">
        <v>200</v>
      </c>
      <c r="F2716" s="2">
        <v>32441</v>
      </c>
      <c r="G2716" s="2">
        <v>5.8347122300000001</v>
      </c>
      <c r="H2716" s="3">
        <v>1.2799999999999999E-9</v>
      </c>
      <c r="I2716" s="2" t="s">
        <v>14145</v>
      </c>
      <c r="J2716" s="2" t="s">
        <v>14146</v>
      </c>
      <c r="K2716" s="3">
        <v>1.0600000000000001E-8</v>
      </c>
      <c r="L2716" s="2" t="s">
        <v>1178</v>
      </c>
      <c r="M2716" s="4" t="s">
        <v>14147</v>
      </c>
    </row>
    <row r="2717" spans="1:13">
      <c r="A2717" s="2">
        <v>3478</v>
      </c>
      <c r="B2717" s="2" t="s">
        <v>14148</v>
      </c>
      <c r="C2717" s="2">
        <v>20</v>
      </c>
      <c r="D2717" s="2">
        <v>556</v>
      </c>
      <c r="E2717" s="2">
        <v>200</v>
      </c>
      <c r="F2717" s="2">
        <v>32441</v>
      </c>
      <c r="G2717" s="2">
        <v>5.8347122300000001</v>
      </c>
      <c r="H2717" s="3">
        <v>1.2799999999999999E-9</v>
      </c>
      <c r="I2717" s="2" t="s">
        <v>14149</v>
      </c>
      <c r="J2717" s="2" t="s">
        <v>14150</v>
      </c>
      <c r="K2717" s="3">
        <v>1.0600000000000001E-8</v>
      </c>
      <c r="L2717" s="2" t="s">
        <v>1178</v>
      </c>
      <c r="M2717" s="4" t="s">
        <v>14151</v>
      </c>
    </row>
    <row r="2718" spans="1:13">
      <c r="A2718" s="2">
        <v>3502</v>
      </c>
      <c r="B2718" s="2" t="s">
        <v>14152</v>
      </c>
      <c r="C2718" s="2">
        <v>20</v>
      </c>
      <c r="D2718" s="2">
        <v>556</v>
      </c>
      <c r="E2718" s="2">
        <v>200</v>
      </c>
      <c r="F2718" s="2">
        <v>32441</v>
      </c>
      <c r="G2718" s="2">
        <v>5.8347122300000001</v>
      </c>
      <c r="H2718" s="3">
        <v>1.2799999999999999E-9</v>
      </c>
      <c r="I2718" s="2" t="s">
        <v>14153</v>
      </c>
      <c r="J2718" s="2" t="s">
        <v>14154</v>
      </c>
      <c r="K2718" s="3">
        <v>1.0600000000000001E-8</v>
      </c>
      <c r="L2718" s="2" t="s">
        <v>1178</v>
      </c>
      <c r="M2718" s="4" t="s">
        <v>14155</v>
      </c>
    </row>
    <row r="2719" spans="1:13">
      <c r="A2719" s="2">
        <v>3528</v>
      </c>
      <c r="B2719" s="2" t="s">
        <v>14156</v>
      </c>
      <c r="C2719" s="2">
        <v>20</v>
      </c>
      <c r="D2719" s="2">
        <v>556</v>
      </c>
      <c r="E2719" s="2">
        <v>200</v>
      </c>
      <c r="F2719" s="2">
        <v>32441</v>
      </c>
      <c r="G2719" s="2">
        <v>5.8347122300000001</v>
      </c>
      <c r="H2719" s="3">
        <v>1.2799999999999999E-9</v>
      </c>
      <c r="I2719" s="2" t="s">
        <v>14157</v>
      </c>
      <c r="J2719" s="2" t="s">
        <v>14158</v>
      </c>
      <c r="K2719" s="3">
        <v>1.0600000000000001E-8</v>
      </c>
      <c r="L2719" s="2" t="s">
        <v>1178</v>
      </c>
      <c r="M2719" s="4" t="s">
        <v>14159</v>
      </c>
    </row>
    <row r="2720" spans="1:13">
      <c r="A2720" s="2">
        <v>35321</v>
      </c>
      <c r="B2720" s="2" t="s">
        <v>14160</v>
      </c>
      <c r="C2720" s="2">
        <v>20</v>
      </c>
      <c r="D2720" s="2">
        <v>556</v>
      </c>
      <c r="E2720" s="2">
        <v>200</v>
      </c>
      <c r="F2720" s="2">
        <v>32441</v>
      </c>
      <c r="G2720" s="2">
        <v>5.8347122300000001</v>
      </c>
      <c r="H2720" s="3">
        <v>1.2799999999999999E-9</v>
      </c>
      <c r="I2720" s="2" t="s">
        <v>14161</v>
      </c>
      <c r="J2720" s="2" t="s">
        <v>14162</v>
      </c>
      <c r="K2720" s="3">
        <v>1.0600000000000001E-8</v>
      </c>
      <c r="L2720" s="2" t="s">
        <v>1178</v>
      </c>
      <c r="M2720" s="4" t="s">
        <v>14163</v>
      </c>
    </row>
    <row r="2721" spans="1:13">
      <c r="A2721" s="2">
        <v>36291</v>
      </c>
      <c r="B2721" s="2" t="s">
        <v>14164</v>
      </c>
      <c r="C2721" s="2">
        <v>20</v>
      </c>
      <c r="D2721" s="2">
        <v>556</v>
      </c>
      <c r="E2721" s="2">
        <v>200</v>
      </c>
      <c r="F2721" s="2">
        <v>32441</v>
      </c>
      <c r="G2721" s="2">
        <v>5.8347122300000001</v>
      </c>
      <c r="H2721" s="3">
        <v>1.2799999999999999E-9</v>
      </c>
      <c r="I2721" s="2" t="s">
        <v>14165</v>
      </c>
      <c r="J2721" s="2" t="s">
        <v>14166</v>
      </c>
      <c r="K2721" s="3">
        <v>1.0600000000000001E-8</v>
      </c>
      <c r="L2721" s="2" t="s">
        <v>1178</v>
      </c>
      <c r="M2721" s="4" t="s">
        <v>14167</v>
      </c>
    </row>
    <row r="2722" spans="1:13">
      <c r="A2722" s="2">
        <v>36682</v>
      </c>
      <c r="B2722" s="2" t="s">
        <v>14168</v>
      </c>
      <c r="C2722" s="2">
        <v>20</v>
      </c>
      <c r="D2722" s="2">
        <v>556</v>
      </c>
      <c r="E2722" s="2">
        <v>200</v>
      </c>
      <c r="F2722" s="2">
        <v>32441</v>
      </c>
      <c r="G2722" s="2">
        <v>5.8347122300000001</v>
      </c>
      <c r="H2722" s="3">
        <v>1.2799999999999999E-9</v>
      </c>
      <c r="I2722" s="2" t="s">
        <v>14169</v>
      </c>
      <c r="J2722" s="2" t="s">
        <v>14170</v>
      </c>
      <c r="K2722" s="3">
        <v>1.0600000000000001E-8</v>
      </c>
      <c r="L2722" s="2" t="s">
        <v>1178</v>
      </c>
      <c r="M2722" s="4" t="s">
        <v>14171</v>
      </c>
    </row>
    <row r="2723" spans="1:13">
      <c r="A2723" s="2">
        <v>3959</v>
      </c>
      <c r="B2723" s="2" t="s">
        <v>14172</v>
      </c>
      <c r="C2723" s="2">
        <v>20</v>
      </c>
      <c r="D2723" s="2">
        <v>556</v>
      </c>
      <c r="E2723" s="2">
        <v>200</v>
      </c>
      <c r="F2723" s="2">
        <v>32441</v>
      </c>
      <c r="G2723" s="2">
        <v>5.8347122300000001</v>
      </c>
      <c r="H2723" s="3">
        <v>1.2799999999999999E-9</v>
      </c>
      <c r="I2723" s="2" t="s">
        <v>14173</v>
      </c>
      <c r="J2723" s="2" t="s">
        <v>14174</v>
      </c>
      <c r="K2723" s="3">
        <v>1.0600000000000001E-8</v>
      </c>
      <c r="L2723" s="2" t="s">
        <v>1178</v>
      </c>
      <c r="M2723" s="4" t="s">
        <v>14175</v>
      </c>
    </row>
    <row r="2724" spans="1:13">
      <c r="A2724" s="2">
        <v>3990</v>
      </c>
      <c r="B2724" s="2" t="s">
        <v>2679</v>
      </c>
      <c r="C2724" s="2">
        <v>20</v>
      </c>
      <c r="D2724" s="2">
        <v>556</v>
      </c>
      <c r="E2724" s="2">
        <v>200</v>
      </c>
      <c r="F2724" s="2">
        <v>32441</v>
      </c>
      <c r="G2724" s="2">
        <v>5.8347122300000001</v>
      </c>
      <c r="H2724" s="3">
        <v>1.2799999999999999E-9</v>
      </c>
      <c r="I2724" s="2" t="s">
        <v>14176</v>
      </c>
      <c r="J2724" s="2" t="s">
        <v>14177</v>
      </c>
      <c r="K2724" s="3">
        <v>1.0600000000000001E-8</v>
      </c>
      <c r="L2724" s="2" t="s">
        <v>1178</v>
      </c>
      <c r="M2724" s="4" t="s">
        <v>14178</v>
      </c>
    </row>
    <row r="2725" spans="1:13">
      <c r="A2725" s="2">
        <v>4081</v>
      </c>
      <c r="B2725" s="2" t="s">
        <v>14179</v>
      </c>
      <c r="C2725" s="2">
        <v>19</v>
      </c>
      <c r="D2725" s="2">
        <v>556</v>
      </c>
      <c r="E2725" s="2">
        <v>178</v>
      </c>
      <c r="F2725" s="2">
        <v>32441</v>
      </c>
      <c r="G2725" s="2">
        <v>6.2280636170000001</v>
      </c>
      <c r="H2725" s="3">
        <v>1.2300000000000001E-9</v>
      </c>
      <c r="I2725" s="2" t="s">
        <v>14180</v>
      </c>
      <c r="J2725" s="2" t="s">
        <v>14181</v>
      </c>
      <c r="K2725" s="3">
        <v>1.0600000000000001E-8</v>
      </c>
      <c r="L2725" s="2" t="s">
        <v>1178</v>
      </c>
      <c r="M2725" s="4" t="s">
        <v>14182</v>
      </c>
    </row>
    <row r="2726" spans="1:13">
      <c r="A2726" s="2">
        <v>4129</v>
      </c>
      <c r="B2726" s="2" t="s">
        <v>14183</v>
      </c>
      <c r="C2726" s="2">
        <v>20</v>
      </c>
      <c r="D2726" s="2">
        <v>556</v>
      </c>
      <c r="E2726" s="2">
        <v>200</v>
      </c>
      <c r="F2726" s="2">
        <v>32441</v>
      </c>
      <c r="G2726" s="2">
        <v>5.8347122300000001</v>
      </c>
      <c r="H2726" s="3">
        <v>1.2799999999999999E-9</v>
      </c>
      <c r="I2726" s="2" t="s">
        <v>14184</v>
      </c>
      <c r="J2726" s="2" t="s">
        <v>14185</v>
      </c>
      <c r="K2726" s="3">
        <v>1.0600000000000001E-8</v>
      </c>
      <c r="L2726" s="2" t="s">
        <v>1178</v>
      </c>
      <c r="M2726" s="4" t="s">
        <v>14186</v>
      </c>
    </row>
    <row r="2727" spans="1:13">
      <c r="A2727" s="2">
        <v>4136</v>
      </c>
      <c r="B2727" s="2" t="s">
        <v>14187</v>
      </c>
      <c r="C2727" s="2">
        <v>20</v>
      </c>
      <c r="D2727" s="2">
        <v>556</v>
      </c>
      <c r="E2727" s="2">
        <v>200</v>
      </c>
      <c r="F2727" s="2">
        <v>32441</v>
      </c>
      <c r="G2727" s="2">
        <v>5.8347122300000001</v>
      </c>
      <c r="H2727" s="3">
        <v>1.2799999999999999E-9</v>
      </c>
      <c r="I2727" s="2" t="s">
        <v>14188</v>
      </c>
      <c r="J2727" s="2" t="s">
        <v>14189</v>
      </c>
      <c r="K2727" s="3">
        <v>1.0600000000000001E-8</v>
      </c>
      <c r="L2727" s="2" t="s">
        <v>1178</v>
      </c>
      <c r="M2727" s="4" t="s">
        <v>14190</v>
      </c>
    </row>
    <row r="2728" spans="1:13">
      <c r="A2728" s="2">
        <v>4254</v>
      </c>
      <c r="B2728" s="2" t="s">
        <v>14191</v>
      </c>
      <c r="C2728" s="2">
        <v>20</v>
      </c>
      <c r="D2728" s="2">
        <v>556</v>
      </c>
      <c r="E2728" s="2">
        <v>200</v>
      </c>
      <c r="F2728" s="2">
        <v>32441</v>
      </c>
      <c r="G2728" s="2">
        <v>5.8347122300000001</v>
      </c>
      <c r="H2728" s="3">
        <v>1.2799999999999999E-9</v>
      </c>
      <c r="I2728" s="2" t="s">
        <v>14192</v>
      </c>
      <c r="J2728" s="2" t="s">
        <v>14193</v>
      </c>
      <c r="K2728" s="3">
        <v>1.0600000000000001E-8</v>
      </c>
      <c r="L2728" s="2" t="s">
        <v>1178</v>
      </c>
      <c r="M2728" s="4" t="s">
        <v>14194</v>
      </c>
    </row>
    <row r="2729" spans="1:13">
      <c r="A2729" s="2">
        <v>44101</v>
      </c>
      <c r="B2729" s="2" t="s">
        <v>14195</v>
      </c>
      <c r="C2729" s="2">
        <v>20</v>
      </c>
      <c r="D2729" s="2">
        <v>556</v>
      </c>
      <c r="E2729" s="2">
        <v>200</v>
      </c>
      <c r="F2729" s="2">
        <v>32441</v>
      </c>
      <c r="G2729" s="2">
        <v>5.8347122300000001</v>
      </c>
      <c r="H2729" s="3">
        <v>1.2799999999999999E-9</v>
      </c>
      <c r="I2729" s="2" t="s">
        <v>14196</v>
      </c>
      <c r="J2729" s="2" t="s">
        <v>14197</v>
      </c>
      <c r="K2729" s="3">
        <v>1.0600000000000001E-8</v>
      </c>
      <c r="L2729" s="2" t="s">
        <v>1178</v>
      </c>
      <c r="M2729" s="4" t="s">
        <v>14198</v>
      </c>
    </row>
    <row r="2730" spans="1:13">
      <c r="A2730" s="2">
        <v>4529</v>
      </c>
      <c r="B2730" s="2" t="s">
        <v>14199</v>
      </c>
      <c r="C2730" s="2">
        <v>20</v>
      </c>
      <c r="D2730" s="2">
        <v>556</v>
      </c>
      <c r="E2730" s="2">
        <v>200</v>
      </c>
      <c r="F2730" s="2">
        <v>32441</v>
      </c>
      <c r="G2730" s="2">
        <v>5.8347122300000001</v>
      </c>
      <c r="H2730" s="3">
        <v>1.2799999999999999E-9</v>
      </c>
      <c r="I2730" s="2" t="s">
        <v>14200</v>
      </c>
      <c r="J2730" s="2" t="s">
        <v>14201</v>
      </c>
      <c r="K2730" s="3">
        <v>1.0600000000000001E-8</v>
      </c>
      <c r="L2730" s="2" t="s">
        <v>1178</v>
      </c>
      <c r="M2730" s="4" t="s">
        <v>14202</v>
      </c>
    </row>
    <row r="2731" spans="1:13">
      <c r="A2731" s="2">
        <v>4602</v>
      </c>
      <c r="B2731" s="2" t="s">
        <v>14203</v>
      </c>
      <c r="C2731" s="2">
        <v>20</v>
      </c>
      <c r="D2731" s="2">
        <v>556</v>
      </c>
      <c r="E2731" s="2">
        <v>200</v>
      </c>
      <c r="F2731" s="2">
        <v>32441</v>
      </c>
      <c r="G2731" s="2">
        <v>5.8347122300000001</v>
      </c>
      <c r="H2731" s="3">
        <v>1.2799999999999999E-9</v>
      </c>
      <c r="I2731" s="2" t="s">
        <v>14204</v>
      </c>
      <c r="J2731" s="2" t="s">
        <v>14205</v>
      </c>
      <c r="K2731" s="3">
        <v>1.0600000000000001E-8</v>
      </c>
      <c r="L2731" s="2" t="s">
        <v>1178</v>
      </c>
      <c r="M2731" s="4" t="s">
        <v>14206</v>
      </c>
    </row>
    <row r="2732" spans="1:13">
      <c r="A2732" s="2">
        <v>4714</v>
      </c>
      <c r="B2732" s="2" t="s">
        <v>14207</v>
      </c>
      <c r="C2732" s="2">
        <v>20</v>
      </c>
      <c r="D2732" s="2">
        <v>556</v>
      </c>
      <c r="E2732" s="2">
        <v>199</v>
      </c>
      <c r="F2732" s="2">
        <v>32441</v>
      </c>
      <c r="G2732" s="2">
        <v>5.8640323920000004</v>
      </c>
      <c r="H2732" s="3">
        <v>1.1800000000000001E-9</v>
      </c>
      <c r="I2732" s="2" t="s">
        <v>14208</v>
      </c>
      <c r="J2732" s="2" t="s">
        <v>14209</v>
      </c>
      <c r="K2732" s="3">
        <v>1.0600000000000001E-8</v>
      </c>
      <c r="L2732" s="2" t="s">
        <v>1178</v>
      </c>
      <c r="M2732" s="4" t="s">
        <v>14210</v>
      </c>
    </row>
    <row r="2733" spans="1:13">
      <c r="A2733" s="2">
        <v>4730</v>
      </c>
      <c r="B2733" s="2" t="s">
        <v>14211</v>
      </c>
      <c r="C2733" s="2">
        <v>20</v>
      </c>
      <c r="D2733" s="2">
        <v>556</v>
      </c>
      <c r="E2733" s="2">
        <v>200</v>
      </c>
      <c r="F2733" s="2">
        <v>32441</v>
      </c>
      <c r="G2733" s="2">
        <v>5.8347122300000001</v>
      </c>
      <c r="H2733" s="3">
        <v>1.2799999999999999E-9</v>
      </c>
      <c r="I2733" s="2" t="s">
        <v>14212</v>
      </c>
      <c r="J2733" s="2" t="s">
        <v>14213</v>
      </c>
      <c r="K2733" s="3">
        <v>1.0600000000000001E-8</v>
      </c>
      <c r="L2733" s="2" t="s">
        <v>1178</v>
      </c>
      <c r="M2733" s="4" t="s">
        <v>14214</v>
      </c>
    </row>
    <row r="2734" spans="1:13">
      <c r="A2734" s="2">
        <v>47441</v>
      </c>
      <c r="B2734" s="2" t="s">
        <v>14215</v>
      </c>
      <c r="C2734" s="2">
        <v>20</v>
      </c>
      <c r="D2734" s="2">
        <v>556</v>
      </c>
      <c r="E2734" s="2">
        <v>200</v>
      </c>
      <c r="F2734" s="2">
        <v>32441</v>
      </c>
      <c r="G2734" s="2">
        <v>5.8347122300000001</v>
      </c>
      <c r="H2734" s="3">
        <v>1.2799999999999999E-9</v>
      </c>
      <c r="I2734" s="2" t="s">
        <v>14216</v>
      </c>
      <c r="J2734" s="2" t="s">
        <v>14217</v>
      </c>
      <c r="K2734" s="3">
        <v>1.0600000000000001E-8</v>
      </c>
      <c r="L2734" s="2" t="s">
        <v>1178</v>
      </c>
      <c r="M2734" s="4" t="s">
        <v>14218</v>
      </c>
    </row>
    <row r="2735" spans="1:13">
      <c r="A2735" s="2">
        <v>48241</v>
      </c>
      <c r="B2735" s="2" t="s">
        <v>14219</v>
      </c>
      <c r="C2735" s="2">
        <v>20</v>
      </c>
      <c r="D2735" s="2">
        <v>556</v>
      </c>
      <c r="E2735" s="2">
        <v>200</v>
      </c>
      <c r="F2735" s="2">
        <v>32441</v>
      </c>
      <c r="G2735" s="2">
        <v>5.8347122300000001</v>
      </c>
      <c r="H2735" s="3">
        <v>1.2799999999999999E-9</v>
      </c>
      <c r="I2735" s="2" t="s">
        <v>14220</v>
      </c>
      <c r="J2735" s="2" t="s">
        <v>14221</v>
      </c>
      <c r="K2735" s="3">
        <v>1.0600000000000001E-8</v>
      </c>
      <c r="L2735" s="2" t="s">
        <v>1178</v>
      </c>
      <c r="M2735" s="4" t="s">
        <v>14222</v>
      </c>
    </row>
    <row r="2736" spans="1:13">
      <c r="A2736" s="2">
        <v>4083</v>
      </c>
      <c r="B2736" s="2" t="s">
        <v>14223</v>
      </c>
      <c r="C2736" s="2">
        <v>19</v>
      </c>
      <c r="D2736" s="2">
        <v>556</v>
      </c>
      <c r="E2736" s="2">
        <v>179</v>
      </c>
      <c r="F2736" s="2">
        <v>32441</v>
      </c>
      <c r="G2736" s="2">
        <v>6.1932699649999998</v>
      </c>
      <c r="H2736" s="3">
        <v>1.3399999999999999E-9</v>
      </c>
      <c r="I2736" s="2" t="s">
        <v>14224</v>
      </c>
      <c r="J2736" s="2" t="s">
        <v>14225</v>
      </c>
      <c r="K2736" s="3">
        <v>1.11E-8</v>
      </c>
      <c r="L2736" s="2" t="s">
        <v>1178</v>
      </c>
      <c r="M2736" s="4" t="s">
        <v>14226</v>
      </c>
    </row>
    <row r="2737" spans="1:13">
      <c r="A2737" s="2">
        <v>3658</v>
      </c>
      <c r="B2737" s="2" t="s">
        <v>14227</v>
      </c>
      <c r="C2737" s="2">
        <v>18</v>
      </c>
      <c r="D2737" s="2">
        <v>556</v>
      </c>
      <c r="E2737" s="2">
        <v>159</v>
      </c>
      <c r="F2737" s="2">
        <v>32441</v>
      </c>
      <c r="G2737" s="2">
        <v>6.6053345999999999</v>
      </c>
      <c r="H2737" s="3">
        <v>1.43E-9</v>
      </c>
      <c r="I2737" s="2" t="s">
        <v>14228</v>
      </c>
      <c r="J2737" s="2" t="s">
        <v>14229</v>
      </c>
      <c r="K2737" s="3">
        <v>1.1900000000000001E-8</v>
      </c>
      <c r="L2737" s="2" t="s">
        <v>1178</v>
      </c>
      <c r="M2737" s="4" t="s">
        <v>14230</v>
      </c>
    </row>
    <row r="2738" spans="1:13">
      <c r="A2738" s="2">
        <v>2186</v>
      </c>
      <c r="B2738" s="2" t="s">
        <v>14231</v>
      </c>
      <c r="C2738" s="2">
        <v>17</v>
      </c>
      <c r="D2738" s="2">
        <v>556</v>
      </c>
      <c r="E2738" s="2">
        <v>140</v>
      </c>
      <c r="F2738" s="2">
        <v>32441</v>
      </c>
      <c r="G2738" s="2">
        <v>7.085007708</v>
      </c>
      <c r="H2738" s="3">
        <v>1.55E-9</v>
      </c>
      <c r="I2738" s="2" t="s">
        <v>14232</v>
      </c>
      <c r="J2738" s="2" t="s">
        <v>14233</v>
      </c>
      <c r="K2738" s="3">
        <v>1.29E-8</v>
      </c>
      <c r="L2738" s="2" t="s">
        <v>1178</v>
      </c>
      <c r="M2738" s="4" t="s">
        <v>14234</v>
      </c>
    </row>
    <row r="2739" spans="1:13">
      <c r="A2739" s="2">
        <v>2659</v>
      </c>
      <c r="B2739" s="2" t="s">
        <v>14235</v>
      </c>
      <c r="C2739" s="2">
        <v>18</v>
      </c>
      <c r="D2739" s="2">
        <v>556</v>
      </c>
      <c r="E2739" s="2">
        <v>161</v>
      </c>
      <c r="F2739" s="2">
        <v>32441</v>
      </c>
      <c r="G2739" s="2">
        <v>6.523280754</v>
      </c>
      <c r="H2739" s="3">
        <v>1.7100000000000001E-9</v>
      </c>
      <c r="I2739" s="2" t="s">
        <v>14236</v>
      </c>
      <c r="J2739" s="2" t="s">
        <v>14237</v>
      </c>
      <c r="K2739" s="3">
        <v>1.4100000000000001E-8</v>
      </c>
      <c r="L2739" s="2" t="s">
        <v>1178</v>
      </c>
      <c r="M2739" s="4" t="s">
        <v>14238</v>
      </c>
    </row>
    <row r="2740" spans="1:13">
      <c r="A2740" s="2">
        <v>28221</v>
      </c>
      <c r="B2740" s="2" t="s">
        <v>14239</v>
      </c>
      <c r="C2740" s="2">
        <v>18</v>
      </c>
      <c r="D2740" s="2">
        <v>556</v>
      </c>
      <c r="E2740" s="2">
        <v>161</v>
      </c>
      <c r="F2740" s="2">
        <v>32441</v>
      </c>
      <c r="G2740" s="2">
        <v>6.523280754</v>
      </c>
      <c r="H2740" s="3">
        <v>1.7100000000000001E-9</v>
      </c>
      <c r="I2740" s="2" t="s">
        <v>14240</v>
      </c>
      <c r="J2740" s="2" t="s">
        <v>14241</v>
      </c>
      <c r="K2740" s="3">
        <v>1.4100000000000001E-8</v>
      </c>
      <c r="L2740" s="2" t="s">
        <v>1178</v>
      </c>
      <c r="M2740" s="4" t="s">
        <v>14242</v>
      </c>
    </row>
    <row r="2741" spans="1:13">
      <c r="A2741" s="2">
        <v>42191</v>
      </c>
      <c r="B2741" s="2" t="s">
        <v>14243</v>
      </c>
      <c r="C2741" s="2">
        <v>18</v>
      </c>
      <c r="D2741" s="2">
        <v>556</v>
      </c>
      <c r="E2741" s="2">
        <v>161</v>
      </c>
      <c r="F2741" s="2">
        <v>32441</v>
      </c>
      <c r="G2741" s="2">
        <v>6.523280754</v>
      </c>
      <c r="H2741" s="3">
        <v>1.7100000000000001E-9</v>
      </c>
      <c r="I2741" s="2" t="s">
        <v>14244</v>
      </c>
      <c r="J2741" s="2" t="s">
        <v>14245</v>
      </c>
      <c r="K2741" s="3">
        <v>1.4100000000000001E-8</v>
      </c>
      <c r="L2741" s="2" t="s">
        <v>1178</v>
      </c>
      <c r="M2741" s="4" t="s">
        <v>14246</v>
      </c>
    </row>
    <row r="2742" spans="1:13">
      <c r="A2742" s="2">
        <v>2663</v>
      </c>
      <c r="B2742" s="2" t="s">
        <v>14247</v>
      </c>
      <c r="C2742" s="2">
        <v>17</v>
      </c>
      <c r="D2742" s="2">
        <v>556</v>
      </c>
      <c r="E2742" s="2">
        <v>142</v>
      </c>
      <c r="F2742" s="2">
        <v>32441</v>
      </c>
      <c r="G2742" s="2">
        <v>6.9852188670000004</v>
      </c>
      <c r="H2742" s="3">
        <v>1.8899999999999999E-9</v>
      </c>
      <c r="I2742" s="2" t="s">
        <v>14248</v>
      </c>
      <c r="J2742" s="2" t="s">
        <v>14249</v>
      </c>
      <c r="K2742" s="3">
        <v>1.5600000000000001E-8</v>
      </c>
      <c r="L2742" s="2" t="s">
        <v>1178</v>
      </c>
      <c r="M2742" s="4" t="s">
        <v>14250</v>
      </c>
    </row>
    <row r="2743" spans="1:13">
      <c r="A2743" s="2">
        <v>2466</v>
      </c>
      <c r="B2743" s="2" t="s">
        <v>14251</v>
      </c>
      <c r="C2743" s="2">
        <v>18</v>
      </c>
      <c r="D2743" s="2">
        <v>556</v>
      </c>
      <c r="E2743" s="2">
        <v>165</v>
      </c>
      <c r="F2743" s="2">
        <v>32441</v>
      </c>
      <c r="G2743" s="2">
        <v>6.3651406149999996</v>
      </c>
      <c r="H2743" s="3">
        <v>2.4399999999999998E-9</v>
      </c>
      <c r="I2743" s="2" t="s">
        <v>14252</v>
      </c>
      <c r="J2743" s="2" t="s">
        <v>14253</v>
      </c>
      <c r="K2743" s="3">
        <v>2.0100000000000001E-8</v>
      </c>
      <c r="L2743" s="2" t="s">
        <v>1178</v>
      </c>
      <c r="M2743" s="4" t="s">
        <v>14254</v>
      </c>
    </row>
    <row r="2744" spans="1:13">
      <c r="A2744" s="2">
        <v>42581</v>
      </c>
      <c r="B2744" s="2" t="s">
        <v>14255</v>
      </c>
      <c r="C2744" s="2">
        <v>17</v>
      </c>
      <c r="D2744" s="2">
        <v>556</v>
      </c>
      <c r="E2744" s="2">
        <v>145</v>
      </c>
      <c r="F2744" s="2">
        <v>32441</v>
      </c>
      <c r="G2744" s="2">
        <v>6.8406970969999996</v>
      </c>
      <c r="H2744" s="3">
        <v>2.52E-9</v>
      </c>
      <c r="I2744" s="2" t="s">
        <v>14256</v>
      </c>
      <c r="J2744" s="2" t="s">
        <v>14257</v>
      </c>
      <c r="K2744" s="3">
        <v>2.07E-8</v>
      </c>
      <c r="L2744" s="2" t="s">
        <v>1178</v>
      </c>
      <c r="M2744" s="4" t="s">
        <v>14258</v>
      </c>
    </row>
    <row r="2745" spans="1:13">
      <c r="A2745" s="2">
        <v>2183</v>
      </c>
      <c r="B2745" s="2" t="s">
        <v>1245</v>
      </c>
      <c r="C2745" s="2">
        <v>18</v>
      </c>
      <c r="D2745" s="2">
        <v>556</v>
      </c>
      <c r="E2745" s="2">
        <v>171</v>
      </c>
      <c r="F2745" s="2">
        <v>32441</v>
      </c>
      <c r="G2745" s="2">
        <v>6.1418023479999997</v>
      </c>
      <c r="H2745" s="3">
        <v>4.0899999999999997E-9</v>
      </c>
      <c r="I2745" s="2" t="s">
        <v>14259</v>
      </c>
      <c r="J2745" s="2" t="s">
        <v>14260</v>
      </c>
      <c r="K2745" s="3">
        <v>3.3500000000000002E-8</v>
      </c>
      <c r="L2745" s="2" t="s">
        <v>1178</v>
      </c>
      <c r="M2745" s="4" t="s">
        <v>14261</v>
      </c>
    </row>
    <row r="2746" spans="1:13">
      <c r="A2746" s="2">
        <v>43251</v>
      </c>
      <c r="B2746" s="2" t="s">
        <v>14262</v>
      </c>
      <c r="C2746" s="2">
        <v>19</v>
      </c>
      <c r="D2746" s="2">
        <v>556</v>
      </c>
      <c r="E2746" s="2">
        <v>193</v>
      </c>
      <c r="F2746" s="2">
        <v>32441</v>
      </c>
      <c r="G2746" s="2">
        <v>5.744017221</v>
      </c>
      <c r="H2746" s="3">
        <v>4.1899999999999998E-9</v>
      </c>
      <c r="I2746" s="2" t="s">
        <v>14263</v>
      </c>
      <c r="J2746" s="2" t="s">
        <v>14264</v>
      </c>
      <c r="K2746" s="3">
        <v>3.4200000000000002E-8</v>
      </c>
      <c r="L2746" s="2" t="s">
        <v>1178</v>
      </c>
      <c r="M2746" s="4" t="s">
        <v>14265</v>
      </c>
    </row>
    <row r="2747" spans="1:13">
      <c r="A2747" s="2">
        <v>41041</v>
      </c>
      <c r="B2747" s="2" t="s">
        <v>14266</v>
      </c>
      <c r="C2747" s="2">
        <v>17</v>
      </c>
      <c r="D2747" s="2">
        <v>556</v>
      </c>
      <c r="E2747" s="2">
        <v>151</v>
      </c>
      <c r="F2747" s="2">
        <v>32441</v>
      </c>
      <c r="G2747" s="2">
        <v>6.5688813189999999</v>
      </c>
      <c r="H2747" s="3">
        <v>4.3999999999999997E-9</v>
      </c>
      <c r="I2747" s="2" t="s">
        <v>14267</v>
      </c>
      <c r="J2747" s="2" t="s">
        <v>14268</v>
      </c>
      <c r="K2747" s="3">
        <v>3.5899999999999997E-8</v>
      </c>
      <c r="L2747" s="2" t="s">
        <v>1178</v>
      </c>
      <c r="M2747" s="4" t="s">
        <v>14269</v>
      </c>
    </row>
    <row r="2748" spans="1:13">
      <c r="A2748" s="2">
        <v>1756</v>
      </c>
      <c r="B2748" s="2" t="s">
        <v>14270</v>
      </c>
      <c r="C2748" s="2">
        <v>18</v>
      </c>
      <c r="D2748" s="2">
        <v>556</v>
      </c>
      <c r="E2748" s="2">
        <v>172</v>
      </c>
      <c r="F2748" s="2">
        <v>32441</v>
      </c>
      <c r="G2748" s="2">
        <v>6.1060941939999998</v>
      </c>
      <c r="H2748" s="3">
        <v>4.4500000000000001E-9</v>
      </c>
      <c r="I2748" s="2" t="s">
        <v>14271</v>
      </c>
      <c r="J2748" s="2" t="s">
        <v>14272</v>
      </c>
      <c r="K2748" s="3">
        <v>3.62E-8</v>
      </c>
      <c r="L2748" s="2" t="s">
        <v>1178</v>
      </c>
      <c r="M2748" s="4" t="s">
        <v>14273</v>
      </c>
    </row>
    <row r="2749" spans="1:13">
      <c r="A2749" s="2">
        <v>4077</v>
      </c>
      <c r="B2749" s="2" t="s">
        <v>14274</v>
      </c>
      <c r="C2749" s="2">
        <v>18</v>
      </c>
      <c r="D2749" s="2">
        <v>556</v>
      </c>
      <c r="E2749" s="2">
        <v>172</v>
      </c>
      <c r="F2749" s="2">
        <v>32441</v>
      </c>
      <c r="G2749" s="2">
        <v>6.1060941939999998</v>
      </c>
      <c r="H2749" s="3">
        <v>4.4500000000000001E-9</v>
      </c>
      <c r="I2749" s="2" t="s">
        <v>14275</v>
      </c>
      <c r="J2749" s="2" t="s">
        <v>14276</v>
      </c>
      <c r="K2749" s="3">
        <v>3.62E-8</v>
      </c>
      <c r="L2749" s="2" t="s">
        <v>1178</v>
      </c>
      <c r="M2749" s="4" t="s">
        <v>14277</v>
      </c>
    </row>
    <row r="2750" spans="1:13">
      <c r="A2750" s="2">
        <v>2059</v>
      </c>
      <c r="B2750" s="2" t="s">
        <v>14278</v>
      </c>
      <c r="C2750" s="2">
        <v>19</v>
      </c>
      <c r="D2750" s="2">
        <v>556</v>
      </c>
      <c r="E2750" s="2">
        <v>196</v>
      </c>
      <c r="F2750" s="2">
        <v>32441</v>
      </c>
      <c r="G2750" s="2">
        <v>5.6560985910000001</v>
      </c>
      <c r="H2750" s="3">
        <v>5.28E-9</v>
      </c>
      <c r="I2750" s="2" t="s">
        <v>14279</v>
      </c>
      <c r="J2750" s="2" t="s">
        <v>14280</v>
      </c>
      <c r="K2750" s="3">
        <v>4.29E-8</v>
      </c>
      <c r="L2750" s="2" t="s">
        <v>1178</v>
      </c>
      <c r="M2750" s="4" t="s">
        <v>14281</v>
      </c>
    </row>
    <row r="2751" spans="1:13">
      <c r="A2751" s="2">
        <v>2295</v>
      </c>
      <c r="B2751" s="2" t="s">
        <v>14282</v>
      </c>
      <c r="C2751" s="2">
        <v>19</v>
      </c>
      <c r="D2751" s="2">
        <v>556</v>
      </c>
      <c r="E2751" s="2">
        <v>197</v>
      </c>
      <c r="F2751" s="2">
        <v>32441</v>
      </c>
      <c r="G2751" s="2">
        <v>5.6273874299999997</v>
      </c>
      <c r="H2751" s="3">
        <v>5.6999999999999998E-9</v>
      </c>
      <c r="I2751" s="2" t="s">
        <v>14283</v>
      </c>
      <c r="J2751" s="2" t="s">
        <v>14284</v>
      </c>
      <c r="K2751" s="3">
        <v>4.6199999999999997E-8</v>
      </c>
      <c r="L2751" s="2" t="s">
        <v>1178</v>
      </c>
      <c r="M2751" s="4" t="s">
        <v>14285</v>
      </c>
    </row>
    <row r="2752" spans="1:13">
      <c r="A2752" s="2">
        <v>3663</v>
      </c>
      <c r="B2752" s="2" t="s">
        <v>14286</v>
      </c>
      <c r="C2752" s="2">
        <v>19</v>
      </c>
      <c r="D2752" s="2">
        <v>556</v>
      </c>
      <c r="E2752" s="2">
        <v>197</v>
      </c>
      <c r="F2752" s="2">
        <v>32441</v>
      </c>
      <c r="G2752" s="2">
        <v>5.6273874299999997</v>
      </c>
      <c r="H2752" s="3">
        <v>5.6999999999999998E-9</v>
      </c>
      <c r="I2752" s="2" t="s">
        <v>14287</v>
      </c>
      <c r="J2752" s="2" t="s">
        <v>14288</v>
      </c>
      <c r="K2752" s="3">
        <v>4.6199999999999997E-8</v>
      </c>
      <c r="L2752" s="2" t="s">
        <v>1178</v>
      </c>
      <c r="M2752" s="4" t="s">
        <v>14289</v>
      </c>
    </row>
    <row r="2753" spans="1:13">
      <c r="A2753" s="2">
        <v>12</v>
      </c>
      <c r="B2753" s="2" t="s">
        <v>1404</v>
      </c>
      <c r="C2753" s="2">
        <v>19</v>
      </c>
      <c r="D2753" s="2">
        <v>556</v>
      </c>
      <c r="E2753" s="2">
        <v>200</v>
      </c>
      <c r="F2753" s="2">
        <v>32441</v>
      </c>
      <c r="G2753" s="2">
        <v>5.542976619</v>
      </c>
      <c r="H2753" s="3">
        <v>7.1600000000000001E-9</v>
      </c>
      <c r="I2753" s="2" t="s">
        <v>14290</v>
      </c>
      <c r="J2753" s="2" t="s">
        <v>14291</v>
      </c>
      <c r="K2753" s="3">
        <v>5.0600000000000003E-8</v>
      </c>
      <c r="L2753" s="2" t="s">
        <v>1178</v>
      </c>
      <c r="M2753" s="4" t="s">
        <v>14292</v>
      </c>
    </row>
    <row r="2754" spans="1:13">
      <c r="A2754" s="2">
        <v>621</v>
      </c>
      <c r="B2754" s="2" t="s">
        <v>14293</v>
      </c>
      <c r="C2754" s="2">
        <v>19</v>
      </c>
      <c r="D2754" s="2">
        <v>556</v>
      </c>
      <c r="E2754" s="2">
        <v>200</v>
      </c>
      <c r="F2754" s="2">
        <v>32441</v>
      </c>
      <c r="G2754" s="2">
        <v>5.542976619</v>
      </c>
      <c r="H2754" s="3">
        <v>7.1600000000000001E-9</v>
      </c>
      <c r="I2754" s="2" t="s">
        <v>14294</v>
      </c>
      <c r="J2754" s="2" t="s">
        <v>14295</v>
      </c>
      <c r="K2754" s="3">
        <v>5.0600000000000003E-8</v>
      </c>
      <c r="L2754" s="2" t="s">
        <v>1178</v>
      </c>
      <c r="M2754" s="4" t="s">
        <v>14296</v>
      </c>
    </row>
    <row r="2755" spans="1:13">
      <c r="A2755" s="2">
        <v>1508</v>
      </c>
      <c r="B2755" s="2" t="s">
        <v>14297</v>
      </c>
      <c r="C2755" s="2">
        <v>19</v>
      </c>
      <c r="D2755" s="2">
        <v>556</v>
      </c>
      <c r="E2755" s="2">
        <v>200</v>
      </c>
      <c r="F2755" s="2">
        <v>32441</v>
      </c>
      <c r="G2755" s="2">
        <v>5.542976619</v>
      </c>
      <c r="H2755" s="3">
        <v>7.1600000000000001E-9</v>
      </c>
      <c r="I2755" s="2" t="s">
        <v>14298</v>
      </c>
      <c r="J2755" s="2" t="s">
        <v>14299</v>
      </c>
      <c r="K2755" s="3">
        <v>5.0600000000000003E-8</v>
      </c>
      <c r="L2755" s="2" t="s">
        <v>1178</v>
      </c>
      <c r="M2755" s="4" t="s">
        <v>14300</v>
      </c>
    </row>
    <row r="2756" spans="1:13">
      <c r="A2756" s="2">
        <v>165</v>
      </c>
      <c r="B2756" s="2" t="s">
        <v>14301</v>
      </c>
      <c r="C2756" s="2">
        <v>19</v>
      </c>
      <c r="D2756" s="2">
        <v>556</v>
      </c>
      <c r="E2756" s="2">
        <v>200</v>
      </c>
      <c r="F2756" s="2">
        <v>32441</v>
      </c>
      <c r="G2756" s="2">
        <v>5.542976619</v>
      </c>
      <c r="H2756" s="3">
        <v>7.1600000000000001E-9</v>
      </c>
      <c r="I2756" s="2" t="s">
        <v>14302</v>
      </c>
      <c r="J2756" s="2" t="s">
        <v>14303</v>
      </c>
      <c r="K2756" s="3">
        <v>5.0600000000000003E-8</v>
      </c>
      <c r="L2756" s="2" t="s">
        <v>1178</v>
      </c>
      <c r="M2756" s="4" t="s">
        <v>14304</v>
      </c>
    </row>
    <row r="2757" spans="1:13">
      <c r="A2757" s="2">
        <v>1882</v>
      </c>
      <c r="B2757" s="2" t="s">
        <v>14305</v>
      </c>
      <c r="C2757" s="2">
        <v>19</v>
      </c>
      <c r="D2757" s="2">
        <v>556</v>
      </c>
      <c r="E2757" s="2">
        <v>200</v>
      </c>
      <c r="F2757" s="2">
        <v>32441</v>
      </c>
      <c r="G2757" s="2">
        <v>5.542976619</v>
      </c>
      <c r="H2757" s="3">
        <v>7.1600000000000001E-9</v>
      </c>
      <c r="I2757" s="2" t="s">
        <v>14306</v>
      </c>
      <c r="J2757" s="2" t="s">
        <v>14307</v>
      </c>
      <c r="K2757" s="3">
        <v>5.0600000000000003E-8</v>
      </c>
      <c r="L2757" s="2" t="s">
        <v>1178</v>
      </c>
      <c r="M2757" s="4" t="s">
        <v>14308</v>
      </c>
    </row>
    <row r="2758" spans="1:13">
      <c r="A2758" s="2">
        <v>2043</v>
      </c>
      <c r="B2758" s="2" t="s">
        <v>14309</v>
      </c>
      <c r="C2758" s="2">
        <v>19</v>
      </c>
      <c r="D2758" s="2">
        <v>556</v>
      </c>
      <c r="E2758" s="2">
        <v>199</v>
      </c>
      <c r="F2758" s="2">
        <v>32441</v>
      </c>
      <c r="G2758" s="2">
        <v>5.570830773</v>
      </c>
      <c r="H2758" s="3">
        <v>6.6400000000000002E-9</v>
      </c>
      <c r="I2758" s="2" t="s">
        <v>14310</v>
      </c>
      <c r="J2758" s="2" t="s">
        <v>14311</v>
      </c>
      <c r="K2758" s="3">
        <v>5.0600000000000003E-8</v>
      </c>
      <c r="L2758" s="2" t="s">
        <v>1178</v>
      </c>
      <c r="M2758" s="4" t="s">
        <v>14312</v>
      </c>
    </row>
    <row r="2759" spans="1:13">
      <c r="A2759" s="2">
        <v>280</v>
      </c>
      <c r="B2759" s="2" t="s">
        <v>14313</v>
      </c>
      <c r="C2759" s="2">
        <v>19</v>
      </c>
      <c r="D2759" s="2">
        <v>556</v>
      </c>
      <c r="E2759" s="2">
        <v>200</v>
      </c>
      <c r="F2759" s="2">
        <v>32441</v>
      </c>
      <c r="G2759" s="2">
        <v>5.542976619</v>
      </c>
      <c r="H2759" s="3">
        <v>7.1600000000000001E-9</v>
      </c>
      <c r="I2759" s="2" t="s">
        <v>14314</v>
      </c>
      <c r="J2759" s="2" t="s">
        <v>14315</v>
      </c>
      <c r="K2759" s="3">
        <v>5.0600000000000003E-8</v>
      </c>
      <c r="L2759" s="2" t="s">
        <v>1178</v>
      </c>
      <c r="M2759" s="4" t="s">
        <v>14316</v>
      </c>
    </row>
    <row r="2760" spans="1:13">
      <c r="A2760" s="2">
        <v>292</v>
      </c>
      <c r="B2760" s="2" t="s">
        <v>14317</v>
      </c>
      <c r="C2760" s="2">
        <v>19</v>
      </c>
      <c r="D2760" s="2">
        <v>556</v>
      </c>
      <c r="E2760" s="2">
        <v>200</v>
      </c>
      <c r="F2760" s="2">
        <v>32441</v>
      </c>
      <c r="G2760" s="2">
        <v>5.542976619</v>
      </c>
      <c r="H2760" s="3">
        <v>7.1600000000000001E-9</v>
      </c>
      <c r="I2760" s="2" t="s">
        <v>14318</v>
      </c>
      <c r="J2760" s="2" t="s">
        <v>14319</v>
      </c>
      <c r="K2760" s="3">
        <v>5.0600000000000003E-8</v>
      </c>
      <c r="L2760" s="2" t="s">
        <v>1178</v>
      </c>
      <c r="M2760" s="4" t="s">
        <v>14320</v>
      </c>
    </row>
    <row r="2761" spans="1:13">
      <c r="A2761" s="2">
        <v>4345</v>
      </c>
      <c r="B2761" s="2" t="s">
        <v>14321</v>
      </c>
      <c r="C2761" s="2">
        <v>19</v>
      </c>
      <c r="D2761" s="2">
        <v>556</v>
      </c>
      <c r="E2761" s="2">
        <v>200</v>
      </c>
      <c r="F2761" s="2">
        <v>32441</v>
      </c>
      <c r="G2761" s="2">
        <v>5.542976619</v>
      </c>
      <c r="H2761" s="3">
        <v>7.1600000000000001E-9</v>
      </c>
      <c r="I2761" s="2" t="s">
        <v>14322</v>
      </c>
      <c r="J2761" s="2" t="s">
        <v>14323</v>
      </c>
      <c r="K2761" s="3">
        <v>5.0600000000000003E-8</v>
      </c>
      <c r="L2761" s="2" t="s">
        <v>1178</v>
      </c>
      <c r="M2761" s="4" t="s">
        <v>14324</v>
      </c>
    </row>
    <row r="2762" spans="1:13">
      <c r="A2762" s="2">
        <v>538</v>
      </c>
      <c r="B2762" s="2" t="s">
        <v>14325</v>
      </c>
      <c r="C2762" s="2">
        <v>19</v>
      </c>
      <c r="D2762" s="2">
        <v>556</v>
      </c>
      <c r="E2762" s="2">
        <v>200</v>
      </c>
      <c r="F2762" s="2">
        <v>32441</v>
      </c>
      <c r="G2762" s="2">
        <v>5.542976619</v>
      </c>
      <c r="H2762" s="3">
        <v>7.1600000000000001E-9</v>
      </c>
      <c r="I2762" s="2" t="s">
        <v>14326</v>
      </c>
      <c r="J2762" s="2" t="s">
        <v>14327</v>
      </c>
      <c r="K2762" s="3">
        <v>5.0600000000000003E-8</v>
      </c>
      <c r="L2762" s="2" t="s">
        <v>1178</v>
      </c>
      <c r="M2762" s="4" t="s">
        <v>14328</v>
      </c>
    </row>
    <row r="2763" spans="1:13">
      <c r="A2763" s="2">
        <v>570</v>
      </c>
      <c r="B2763" s="2" t="s">
        <v>14329</v>
      </c>
      <c r="C2763" s="2">
        <v>19</v>
      </c>
      <c r="D2763" s="2">
        <v>556</v>
      </c>
      <c r="E2763" s="2">
        <v>200</v>
      </c>
      <c r="F2763" s="2">
        <v>32441</v>
      </c>
      <c r="G2763" s="2">
        <v>5.542976619</v>
      </c>
      <c r="H2763" s="3">
        <v>7.1600000000000001E-9</v>
      </c>
      <c r="I2763" s="2" t="s">
        <v>14330</v>
      </c>
      <c r="J2763" s="2" t="s">
        <v>14331</v>
      </c>
      <c r="K2763" s="3">
        <v>5.0600000000000003E-8</v>
      </c>
      <c r="L2763" s="2" t="s">
        <v>1178</v>
      </c>
      <c r="M2763" s="4" t="s">
        <v>14332</v>
      </c>
    </row>
    <row r="2764" spans="1:13">
      <c r="A2764" s="2">
        <v>654</v>
      </c>
      <c r="B2764" s="2" t="s">
        <v>14333</v>
      </c>
      <c r="C2764" s="2">
        <v>19</v>
      </c>
      <c r="D2764" s="2">
        <v>556</v>
      </c>
      <c r="E2764" s="2">
        <v>200</v>
      </c>
      <c r="F2764" s="2">
        <v>32441</v>
      </c>
      <c r="G2764" s="2">
        <v>5.542976619</v>
      </c>
      <c r="H2764" s="3">
        <v>7.1600000000000001E-9</v>
      </c>
      <c r="I2764" s="2" t="s">
        <v>14334</v>
      </c>
      <c r="J2764" s="2" t="s">
        <v>14335</v>
      </c>
      <c r="K2764" s="3">
        <v>5.0600000000000003E-8</v>
      </c>
      <c r="L2764" s="2" t="s">
        <v>1178</v>
      </c>
      <c r="M2764" s="4" t="s">
        <v>14336</v>
      </c>
    </row>
    <row r="2765" spans="1:13">
      <c r="A2765" s="2">
        <v>7461</v>
      </c>
      <c r="B2765" s="2" t="s">
        <v>14337</v>
      </c>
      <c r="C2765" s="2">
        <v>19</v>
      </c>
      <c r="D2765" s="2">
        <v>556</v>
      </c>
      <c r="E2765" s="2">
        <v>200</v>
      </c>
      <c r="F2765" s="2">
        <v>32441</v>
      </c>
      <c r="G2765" s="2">
        <v>5.542976619</v>
      </c>
      <c r="H2765" s="3">
        <v>7.1600000000000001E-9</v>
      </c>
      <c r="I2765" s="2" t="s">
        <v>14338</v>
      </c>
      <c r="J2765" s="2" t="s">
        <v>14339</v>
      </c>
      <c r="K2765" s="3">
        <v>5.0600000000000003E-8</v>
      </c>
      <c r="L2765" s="2" t="s">
        <v>1178</v>
      </c>
      <c r="M2765" s="4" t="s">
        <v>14340</v>
      </c>
    </row>
    <row r="2766" spans="1:13">
      <c r="A2766" s="2">
        <v>812</v>
      </c>
      <c r="B2766" s="2" t="s">
        <v>14341</v>
      </c>
      <c r="C2766" s="2">
        <v>19</v>
      </c>
      <c r="D2766" s="2">
        <v>556</v>
      </c>
      <c r="E2766" s="2">
        <v>200</v>
      </c>
      <c r="F2766" s="2">
        <v>32441</v>
      </c>
      <c r="G2766" s="2">
        <v>5.542976619</v>
      </c>
      <c r="H2766" s="3">
        <v>7.1600000000000001E-9</v>
      </c>
      <c r="I2766" s="2" t="s">
        <v>14342</v>
      </c>
      <c r="J2766" s="2" t="s">
        <v>14343</v>
      </c>
      <c r="K2766" s="3">
        <v>5.0600000000000003E-8</v>
      </c>
      <c r="L2766" s="2" t="s">
        <v>1178</v>
      </c>
      <c r="M2766" s="4" t="s">
        <v>14344</v>
      </c>
    </row>
    <row r="2767" spans="1:13">
      <c r="A2767" s="2">
        <v>9292</v>
      </c>
      <c r="B2767" s="2" t="s">
        <v>1293</v>
      </c>
      <c r="C2767" s="2">
        <v>19</v>
      </c>
      <c r="D2767" s="2">
        <v>556</v>
      </c>
      <c r="E2767" s="2">
        <v>200</v>
      </c>
      <c r="F2767" s="2">
        <v>32441</v>
      </c>
      <c r="G2767" s="2">
        <v>5.542976619</v>
      </c>
      <c r="H2767" s="3">
        <v>7.1600000000000001E-9</v>
      </c>
      <c r="I2767" s="2" t="s">
        <v>14345</v>
      </c>
      <c r="J2767" s="2" t="s">
        <v>14346</v>
      </c>
      <c r="K2767" s="3">
        <v>5.0600000000000003E-8</v>
      </c>
      <c r="L2767" s="2" t="s">
        <v>1178</v>
      </c>
      <c r="M2767" s="4" t="s">
        <v>14347</v>
      </c>
    </row>
    <row r="2768" spans="1:13">
      <c r="A2768" s="2">
        <v>942</v>
      </c>
      <c r="B2768" s="2" t="s">
        <v>14348</v>
      </c>
      <c r="C2768" s="2">
        <v>19</v>
      </c>
      <c r="D2768" s="2">
        <v>556</v>
      </c>
      <c r="E2768" s="2">
        <v>200</v>
      </c>
      <c r="F2768" s="2">
        <v>32441</v>
      </c>
      <c r="G2768" s="2">
        <v>5.542976619</v>
      </c>
      <c r="H2768" s="3">
        <v>7.1600000000000001E-9</v>
      </c>
      <c r="I2768" s="2" t="s">
        <v>14349</v>
      </c>
      <c r="J2768" s="2" t="s">
        <v>14350</v>
      </c>
      <c r="K2768" s="3">
        <v>5.0600000000000003E-8</v>
      </c>
      <c r="L2768" s="2" t="s">
        <v>1178</v>
      </c>
      <c r="M2768" s="4" t="s">
        <v>14351</v>
      </c>
    </row>
    <row r="2769" spans="1:13">
      <c r="A2769" s="2">
        <v>955</v>
      </c>
      <c r="B2769" s="2" t="s">
        <v>2100</v>
      </c>
      <c r="C2769" s="2">
        <v>19</v>
      </c>
      <c r="D2769" s="2">
        <v>556</v>
      </c>
      <c r="E2769" s="2">
        <v>200</v>
      </c>
      <c r="F2769" s="2">
        <v>32441</v>
      </c>
      <c r="G2769" s="2">
        <v>5.542976619</v>
      </c>
      <c r="H2769" s="3">
        <v>7.1600000000000001E-9</v>
      </c>
      <c r="I2769" s="2" t="s">
        <v>14352</v>
      </c>
      <c r="J2769" s="2" t="s">
        <v>14353</v>
      </c>
      <c r="K2769" s="3">
        <v>5.0600000000000003E-8</v>
      </c>
      <c r="L2769" s="2" t="s">
        <v>1178</v>
      </c>
      <c r="M2769" s="4" t="s">
        <v>3249</v>
      </c>
    </row>
    <row r="2770" spans="1:13">
      <c r="A2770" s="2">
        <v>10321</v>
      </c>
      <c r="B2770" s="2" t="s">
        <v>14354</v>
      </c>
      <c r="C2770" s="2">
        <v>19</v>
      </c>
      <c r="D2770" s="2">
        <v>556</v>
      </c>
      <c r="E2770" s="2">
        <v>200</v>
      </c>
      <c r="F2770" s="2">
        <v>32441</v>
      </c>
      <c r="G2770" s="2">
        <v>5.542976619</v>
      </c>
      <c r="H2770" s="3">
        <v>7.1600000000000001E-9</v>
      </c>
      <c r="I2770" s="2" t="s">
        <v>14355</v>
      </c>
      <c r="J2770" s="2" t="s">
        <v>14356</v>
      </c>
      <c r="K2770" s="3">
        <v>5.0600000000000003E-8</v>
      </c>
      <c r="L2770" s="2" t="s">
        <v>1178</v>
      </c>
      <c r="M2770" s="4" t="s">
        <v>14357</v>
      </c>
    </row>
    <row r="2771" spans="1:13">
      <c r="A2771" s="2">
        <v>1038</v>
      </c>
      <c r="B2771" s="2" t="s">
        <v>14358</v>
      </c>
      <c r="C2771" s="2">
        <v>19</v>
      </c>
      <c r="D2771" s="2">
        <v>556</v>
      </c>
      <c r="E2771" s="2">
        <v>200</v>
      </c>
      <c r="F2771" s="2">
        <v>32441</v>
      </c>
      <c r="G2771" s="2">
        <v>5.542976619</v>
      </c>
      <c r="H2771" s="3">
        <v>7.1600000000000001E-9</v>
      </c>
      <c r="I2771" s="2" t="s">
        <v>14359</v>
      </c>
      <c r="J2771" s="2" t="s">
        <v>14360</v>
      </c>
      <c r="K2771" s="3">
        <v>5.0600000000000003E-8</v>
      </c>
      <c r="L2771" s="2" t="s">
        <v>1178</v>
      </c>
      <c r="M2771" s="4" t="s">
        <v>14361</v>
      </c>
    </row>
    <row r="2772" spans="1:13">
      <c r="A2772" s="2">
        <v>11351</v>
      </c>
      <c r="B2772" s="2" t="s">
        <v>14362</v>
      </c>
      <c r="C2772" s="2">
        <v>19</v>
      </c>
      <c r="D2772" s="2">
        <v>556</v>
      </c>
      <c r="E2772" s="2">
        <v>200</v>
      </c>
      <c r="F2772" s="2">
        <v>32441</v>
      </c>
      <c r="G2772" s="2">
        <v>5.542976619</v>
      </c>
      <c r="H2772" s="3">
        <v>7.1600000000000001E-9</v>
      </c>
      <c r="I2772" s="2" t="s">
        <v>14363</v>
      </c>
      <c r="J2772" s="2" t="s">
        <v>14364</v>
      </c>
      <c r="K2772" s="3">
        <v>5.0600000000000003E-8</v>
      </c>
      <c r="L2772" s="2" t="s">
        <v>1178</v>
      </c>
      <c r="M2772" s="4" t="s">
        <v>14365</v>
      </c>
    </row>
    <row r="2773" spans="1:13">
      <c r="A2773" s="2">
        <v>1168</v>
      </c>
      <c r="B2773" s="2" t="s">
        <v>1875</v>
      </c>
      <c r="C2773" s="2">
        <v>19</v>
      </c>
      <c r="D2773" s="2">
        <v>556</v>
      </c>
      <c r="E2773" s="2">
        <v>200</v>
      </c>
      <c r="F2773" s="2">
        <v>32441</v>
      </c>
      <c r="G2773" s="2">
        <v>5.542976619</v>
      </c>
      <c r="H2773" s="3">
        <v>7.1600000000000001E-9</v>
      </c>
      <c r="I2773" s="2" t="s">
        <v>14366</v>
      </c>
      <c r="J2773" s="2" t="s">
        <v>14367</v>
      </c>
      <c r="K2773" s="3">
        <v>5.0600000000000003E-8</v>
      </c>
      <c r="L2773" s="2" t="s">
        <v>1178</v>
      </c>
      <c r="M2773" s="4" t="s">
        <v>14368</v>
      </c>
    </row>
    <row r="2774" spans="1:13">
      <c r="A2774" s="2">
        <v>1284</v>
      </c>
      <c r="B2774" s="2" t="s">
        <v>14369</v>
      </c>
      <c r="C2774" s="2">
        <v>19</v>
      </c>
      <c r="D2774" s="2">
        <v>556</v>
      </c>
      <c r="E2774" s="2">
        <v>200</v>
      </c>
      <c r="F2774" s="2">
        <v>32441</v>
      </c>
      <c r="G2774" s="2">
        <v>5.542976619</v>
      </c>
      <c r="H2774" s="3">
        <v>7.1600000000000001E-9</v>
      </c>
      <c r="I2774" s="2" t="s">
        <v>14370</v>
      </c>
      <c r="J2774" s="2" t="s">
        <v>14371</v>
      </c>
      <c r="K2774" s="3">
        <v>5.0600000000000003E-8</v>
      </c>
      <c r="L2774" s="2" t="s">
        <v>1178</v>
      </c>
      <c r="M2774" s="4" t="s">
        <v>14372</v>
      </c>
    </row>
    <row r="2775" spans="1:13">
      <c r="A2775" s="2">
        <v>1291</v>
      </c>
      <c r="B2775" s="2" t="s">
        <v>14373</v>
      </c>
      <c r="C2775" s="2">
        <v>19</v>
      </c>
      <c r="D2775" s="2">
        <v>556</v>
      </c>
      <c r="E2775" s="2">
        <v>200</v>
      </c>
      <c r="F2775" s="2">
        <v>32441</v>
      </c>
      <c r="G2775" s="2">
        <v>5.542976619</v>
      </c>
      <c r="H2775" s="3">
        <v>7.1600000000000001E-9</v>
      </c>
      <c r="I2775" s="2" t="s">
        <v>14374</v>
      </c>
      <c r="J2775" s="2" t="s">
        <v>14375</v>
      </c>
      <c r="K2775" s="3">
        <v>5.0600000000000003E-8</v>
      </c>
      <c r="L2775" s="2" t="s">
        <v>1178</v>
      </c>
      <c r="M2775" s="4" t="s">
        <v>14376</v>
      </c>
    </row>
    <row r="2776" spans="1:13">
      <c r="A2776" s="2">
        <v>15361</v>
      </c>
      <c r="B2776" s="2" t="s">
        <v>3153</v>
      </c>
      <c r="C2776" s="2">
        <v>19</v>
      </c>
      <c r="D2776" s="2">
        <v>556</v>
      </c>
      <c r="E2776" s="2">
        <v>200</v>
      </c>
      <c r="F2776" s="2">
        <v>32441</v>
      </c>
      <c r="G2776" s="2">
        <v>5.542976619</v>
      </c>
      <c r="H2776" s="3">
        <v>7.1600000000000001E-9</v>
      </c>
      <c r="I2776" s="2" t="s">
        <v>14377</v>
      </c>
      <c r="J2776" s="2" t="s">
        <v>14378</v>
      </c>
      <c r="K2776" s="3">
        <v>5.0600000000000003E-8</v>
      </c>
      <c r="L2776" s="2" t="s">
        <v>1178</v>
      </c>
      <c r="M2776" s="4" t="s">
        <v>3156</v>
      </c>
    </row>
    <row r="2777" spans="1:13">
      <c r="A2777" s="2">
        <v>1580</v>
      </c>
      <c r="B2777" s="2" t="s">
        <v>14379</v>
      </c>
      <c r="C2777" s="2">
        <v>19</v>
      </c>
      <c r="D2777" s="2">
        <v>556</v>
      </c>
      <c r="E2777" s="2">
        <v>200</v>
      </c>
      <c r="F2777" s="2">
        <v>32441</v>
      </c>
      <c r="G2777" s="2">
        <v>5.542976619</v>
      </c>
      <c r="H2777" s="3">
        <v>7.1600000000000001E-9</v>
      </c>
      <c r="I2777" s="2" t="s">
        <v>14380</v>
      </c>
      <c r="J2777" s="2" t="s">
        <v>14381</v>
      </c>
      <c r="K2777" s="3">
        <v>5.0600000000000003E-8</v>
      </c>
      <c r="L2777" s="2" t="s">
        <v>1178</v>
      </c>
      <c r="M2777" s="4" t="s">
        <v>14382</v>
      </c>
    </row>
    <row r="2778" spans="1:13">
      <c r="A2778" s="2">
        <v>1597</v>
      </c>
      <c r="B2778" s="2" t="s">
        <v>14383</v>
      </c>
      <c r="C2778" s="2">
        <v>19</v>
      </c>
      <c r="D2778" s="2">
        <v>556</v>
      </c>
      <c r="E2778" s="2">
        <v>200</v>
      </c>
      <c r="F2778" s="2">
        <v>32441</v>
      </c>
      <c r="G2778" s="2">
        <v>5.542976619</v>
      </c>
      <c r="H2778" s="3">
        <v>7.1600000000000001E-9</v>
      </c>
      <c r="I2778" s="2" t="s">
        <v>14384</v>
      </c>
      <c r="J2778" s="2" t="s">
        <v>14385</v>
      </c>
      <c r="K2778" s="3">
        <v>5.0600000000000003E-8</v>
      </c>
      <c r="L2778" s="2" t="s">
        <v>1178</v>
      </c>
      <c r="M2778" s="4" t="s">
        <v>14386</v>
      </c>
    </row>
    <row r="2779" spans="1:13">
      <c r="A2779" s="2">
        <v>1612</v>
      </c>
      <c r="B2779" s="2" t="s">
        <v>14387</v>
      </c>
      <c r="C2779" s="2">
        <v>19</v>
      </c>
      <c r="D2779" s="2">
        <v>556</v>
      </c>
      <c r="E2779" s="2">
        <v>200</v>
      </c>
      <c r="F2779" s="2">
        <v>32441</v>
      </c>
      <c r="G2779" s="2">
        <v>5.542976619</v>
      </c>
      <c r="H2779" s="3">
        <v>7.1600000000000001E-9</v>
      </c>
      <c r="I2779" s="2" t="s">
        <v>14388</v>
      </c>
      <c r="J2779" s="2" t="s">
        <v>14389</v>
      </c>
      <c r="K2779" s="3">
        <v>5.0600000000000003E-8</v>
      </c>
      <c r="L2779" s="2" t="s">
        <v>1178</v>
      </c>
      <c r="M2779" s="4" t="s">
        <v>14390</v>
      </c>
    </row>
    <row r="2780" spans="1:13">
      <c r="A2780" s="2">
        <v>1614</v>
      </c>
      <c r="B2780" s="2" t="s">
        <v>14391</v>
      </c>
      <c r="C2780" s="2">
        <v>19</v>
      </c>
      <c r="D2780" s="2">
        <v>556</v>
      </c>
      <c r="E2780" s="2">
        <v>200</v>
      </c>
      <c r="F2780" s="2">
        <v>32441</v>
      </c>
      <c r="G2780" s="2">
        <v>5.542976619</v>
      </c>
      <c r="H2780" s="3">
        <v>7.1600000000000001E-9</v>
      </c>
      <c r="I2780" s="2" t="s">
        <v>14392</v>
      </c>
      <c r="J2780" s="2" t="s">
        <v>14393</v>
      </c>
      <c r="K2780" s="3">
        <v>5.0600000000000003E-8</v>
      </c>
      <c r="L2780" s="2" t="s">
        <v>1178</v>
      </c>
      <c r="M2780" s="4" t="s">
        <v>14394</v>
      </c>
    </row>
    <row r="2781" spans="1:13">
      <c r="A2781" s="2">
        <v>1616</v>
      </c>
      <c r="B2781" s="2" t="s">
        <v>2490</v>
      </c>
      <c r="C2781" s="2">
        <v>19</v>
      </c>
      <c r="D2781" s="2">
        <v>556</v>
      </c>
      <c r="E2781" s="2">
        <v>200</v>
      </c>
      <c r="F2781" s="2">
        <v>32441</v>
      </c>
      <c r="G2781" s="2">
        <v>5.542976619</v>
      </c>
      <c r="H2781" s="3">
        <v>7.1600000000000001E-9</v>
      </c>
      <c r="I2781" s="2" t="s">
        <v>14395</v>
      </c>
      <c r="J2781" s="2" t="s">
        <v>14396</v>
      </c>
      <c r="K2781" s="3">
        <v>5.0600000000000003E-8</v>
      </c>
      <c r="L2781" s="2" t="s">
        <v>1178</v>
      </c>
      <c r="M2781" s="4" t="s">
        <v>14397</v>
      </c>
    </row>
    <row r="2782" spans="1:13">
      <c r="A2782" s="2">
        <v>16351</v>
      </c>
      <c r="B2782" s="2" t="s">
        <v>14398</v>
      </c>
      <c r="C2782" s="2">
        <v>19</v>
      </c>
      <c r="D2782" s="2">
        <v>556</v>
      </c>
      <c r="E2782" s="2">
        <v>200</v>
      </c>
      <c r="F2782" s="2">
        <v>32441</v>
      </c>
      <c r="G2782" s="2">
        <v>5.542976619</v>
      </c>
      <c r="H2782" s="3">
        <v>7.1600000000000001E-9</v>
      </c>
      <c r="I2782" s="2" t="s">
        <v>14399</v>
      </c>
      <c r="J2782" s="2" t="s">
        <v>14400</v>
      </c>
      <c r="K2782" s="3">
        <v>5.0600000000000003E-8</v>
      </c>
      <c r="L2782" s="2" t="s">
        <v>1178</v>
      </c>
      <c r="M2782" s="4" t="s">
        <v>14401</v>
      </c>
    </row>
    <row r="2783" spans="1:13">
      <c r="A2783" s="2">
        <v>16761</v>
      </c>
      <c r="B2783" s="2" t="s">
        <v>14402</v>
      </c>
      <c r="C2783" s="2">
        <v>19</v>
      </c>
      <c r="D2783" s="2">
        <v>556</v>
      </c>
      <c r="E2783" s="2">
        <v>200</v>
      </c>
      <c r="F2783" s="2">
        <v>32441</v>
      </c>
      <c r="G2783" s="2">
        <v>5.542976619</v>
      </c>
      <c r="H2783" s="3">
        <v>7.1600000000000001E-9</v>
      </c>
      <c r="I2783" s="2" t="s">
        <v>14403</v>
      </c>
      <c r="J2783" s="2" t="s">
        <v>14404</v>
      </c>
      <c r="K2783" s="3">
        <v>5.0600000000000003E-8</v>
      </c>
      <c r="L2783" s="2" t="s">
        <v>1178</v>
      </c>
      <c r="M2783" s="4" t="s">
        <v>14405</v>
      </c>
    </row>
    <row r="2784" spans="1:13">
      <c r="A2784" s="2">
        <v>17271</v>
      </c>
      <c r="B2784" s="2" t="s">
        <v>14406</v>
      </c>
      <c r="C2784" s="2">
        <v>19</v>
      </c>
      <c r="D2784" s="2">
        <v>556</v>
      </c>
      <c r="E2784" s="2">
        <v>200</v>
      </c>
      <c r="F2784" s="2">
        <v>32441</v>
      </c>
      <c r="G2784" s="2">
        <v>5.542976619</v>
      </c>
      <c r="H2784" s="3">
        <v>7.1600000000000001E-9</v>
      </c>
      <c r="I2784" s="2" t="s">
        <v>14407</v>
      </c>
      <c r="J2784" s="2" t="s">
        <v>14408</v>
      </c>
      <c r="K2784" s="3">
        <v>5.0600000000000003E-8</v>
      </c>
      <c r="L2784" s="2" t="s">
        <v>1178</v>
      </c>
      <c r="M2784" s="4" t="s">
        <v>14409</v>
      </c>
    </row>
    <row r="2785" spans="1:13">
      <c r="A2785" s="2">
        <v>18011</v>
      </c>
      <c r="B2785" s="2" t="s">
        <v>14410</v>
      </c>
      <c r="C2785" s="2">
        <v>19</v>
      </c>
      <c r="D2785" s="2">
        <v>556</v>
      </c>
      <c r="E2785" s="2">
        <v>200</v>
      </c>
      <c r="F2785" s="2">
        <v>32441</v>
      </c>
      <c r="G2785" s="2">
        <v>5.542976619</v>
      </c>
      <c r="H2785" s="3">
        <v>7.1600000000000001E-9</v>
      </c>
      <c r="I2785" s="2" t="s">
        <v>14411</v>
      </c>
      <c r="J2785" s="2" t="s">
        <v>14412</v>
      </c>
      <c r="K2785" s="3">
        <v>5.0600000000000003E-8</v>
      </c>
      <c r="L2785" s="2" t="s">
        <v>1178</v>
      </c>
      <c r="M2785" s="4" t="s">
        <v>14413</v>
      </c>
    </row>
    <row r="2786" spans="1:13">
      <c r="A2786" s="2">
        <v>1836</v>
      </c>
      <c r="B2786" s="2" t="s">
        <v>14414</v>
      </c>
      <c r="C2786" s="2">
        <v>19</v>
      </c>
      <c r="D2786" s="2">
        <v>556</v>
      </c>
      <c r="E2786" s="2">
        <v>200</v>
      </c>
      <c r="F2786" s="2">
        <v>32441</v>
      </c>
      <c r="G2786" s="2">
        <v>5.542976619</v>
      </c>
      <c r="H2786" s="3">
        <v>7.1600000000000001E-9</v>
      </c>
      <c r="I2786" s="2" t="s">
        <v>14415</v>
      </c>
      <c r="J2786" s="2" t="s">
        <v>14416</v>
      </c>
      <c r="K2786" s="3">
        <v>5.0600000000000003E-8</v>
      </c>
      <c r="L2786" s="2" t="s">
        <v>1178</v>
      </c>
      <c r="M2786" s="4" t="s">
        <v>14417</v>
      </c>
    </row>
    <row r="2787" spans="1:13">
      <c r="A2787" s="2">
        <v>1883</v>
      </c>
      <c r="B2787" s="2" t="s">
        <v>14418</v>
      </c>
      <c r="C2787" s="2">
        <v>19</v>
      </c>
      <c r="D2787" s="2">
        <v>556</v>
      </c>
      <c r="E2787" s="2">
        <v>199</v>
      </c>
      <c r="F2787" s="2">
        <v>32441</v>
      </c>
      <c r="G2787" s="2">
        <v>5.570830773</v>
      </c>
      <c r="H2787" s="3">
        <v>6.6400000000000002E-9</v>
      </c>
      <c r="I2787" s="2" t="s">
        <v>14419</v>
      </c>
      <c r="J2787" s="2" t="s">
        <v>14420</v>
      </c>
      <c r="K2787" s="3">
        <v>5.0600000000000003E-8</v>
      </c>
      <c r="L2787" s="2" t="s">
        <v>1178</v>
      </c>
      <c r="M2787" s="4" t="s">
        <v>14421</v>
      </c>
    </row>
    <row r="2788" spans="1:13">
      <c r="A2788" s="2">
        <v>1897</v>
      </c>
      <c r="B2788" s="2" t="s">
        <v>14422</v>
      </c>
      <c r="C2788" s="2">
        <v>19</v>
      </c>
      <c r="D2788" s="2">
        <v>556</v>
      </c>
      <c r="E2788" s="2">
        <v>200</v>
      </c>
      <c r="F2788" s="2">
        <v>32441</v>
      </c>
      <c r="G2788" s="2">
        <v>5.542976619</v>
      </c>
      <c r="H2788" s="3">
        <v>7.1600000000000001E-9</v>
      </c>
      <c r="I2788" s="2" t="s">
        <v>14423</v>
      </c>
      <c r="J2788" s="2" t="s">
        <v>14424</v>
      </c>
      <c r="K2788" s="3">
        <v>5.0600000000000003E-8</v>
      </c>
      <c r="L2788" s="2" t="s">
        <v>1178</v>
      </c>
      <c r="M2788" s="4" t="s">
        <v>14425</v>
      </c>
    </row>
    <row r="2789" spans="1:13">
      <c r="A2789" s="2">
        <v>1898</v>
      </c>
      <c r="B2789" s="2" t="s">
        <v>14426</v>
      </c>
      <c r="C2789" s="2">
        <v>19</v>
      </c>
      <c r="D2789" s="2">
        <v>556</v>
      </c>
      <c r="E2789" s="2">
        <v>200</v>
      </c>
      <c r="F2789" s="2">
        <v>32441</v>
      </c>
      <c r="G2789" s="2">
        <v>5.542976619</v>
      </c>
      <c r="H2789" s="3">
        <v>7.1600000000000001E-9</v>
      </c>
      <c r="I2789" s="2" t="s">
        <v>14427</v>
      </c>
      <c r="J2789" s="2" t="s">
        <v>14428</v>
      </c>
      <c r="K2789" s="3">
        <v>5.0600000000000003E-8</v>
      </c>
      <c r="L2789" s="2" t="s">
        <v>1178</v>
      </c>
      <c r="M2789" s="4" t="s">
        <v>14429</v>
      </c>
    </row>
    <row r="2790" spans="1:13">
      <c r="A2790" s="2">
        <v>19031</v>
      </c>
      <c r="B2790" s="2" t="s">
        <v>14430</v>
      </c>
      <c r="C2790" s="2">
        <v>19</v>
      </c>
      <c r="D2790" s="2">
        <v>556</v>
      </c>
      <c r="E2790" s="2">
        <v>200</v>
      </c>
      <c r="F2790" s="2">
        <v>32441</v>
      </c>
      <c r="G2790" s="2">
        <v>5.542976619</v>
      </c>
      <c r="H2790" s="3">
        <v>7.1600000000000001E-9</v>
      </c>
      <c r="I2790" s="2" t="s">
        <v>14431</v>
      </c>
      <c r="J2790" s="2" t="s">
        <v>14432</v>
      </c>
      <c r="K2790" s="3">
        <v>5.0600000000000003E-8</v>
      </c>
      <c r="L2790" s="2" t="s">
        <v>1178</v>
      </c>
      <c r="M2790" s="4" t="s">
        <v>14433</v>
      </c>
    </row>
    <row r="2791" spans="1:13">
      <c r="A2791" s="2">
        <v>1908</v>
      </c>
      <c r="B2791" s="2" t="s">
        <v>14434</v>
      </c>
      <c r="C2791" s="2">
        <v>19</v>
      </c>
      <c r="D2791" s="2">
        <v>556</v>
      </c>
      <c r="E2791" s="2">
        <v>200</v>
      </c>
      <c r="F2791" s="2">
        <v>32441</v>
      </c>
      <c r="G2791" s="2">
        <v>5.542976619</v>
      </c>
      <c r="H2791" s="3">
        <v>7.1600000000000001E-9</v>
      </c>
      <c r="I2791" s="2" t="s">
        <v>14435</v>
      </c>
      <c r="J2791" s="2" t="s">
        <v>14436</v>
      </c>
      <c r="K2791" s="3">
        <v>5.0600000000000003E-8</v>
      </c>
      <c r="L2791" s="2" t="s">
        <v>1178</v>
      </c>
      <c r="M2791" s="4" t="s">
        <v>14437</v>
      </c>
    </row>
    <row r="2792" spans="1:13">
      <c r="A2792" s="2">
        <v>19171</v>
      </c>
      <c r="B2792" s="2" t="s">
        <v>14438</v>
      </c>
      <c r="C2792" s="2">
        <v>19</v>
      </c>
      <c r="D2792" s="2">
        <v>556</v>
      </c>
      <c r="E2792" s="2">
        <v>200</v>
      </c>
      <c r="F2792" s="2">
        <v>32441</v>
      </c>
      <c r="G2792" s="2">
        <v>5.542976619</v>
      </c>
      <c r="H2792" s="3">
        <v>7.1600000000000001E-9</v>
      </c>
      <c r="I2792" s="2" t="s">
        <v>14439</v>
      </c>
      <c r="J2792" s="2" t="s">
        <v>14440</v>
      </c>
      <c r="K2792" s="3">
        <v>5.0600000000000003E-8</v>
      </c>
      <c r="L2792" s="2" t="s">
        <v>1178</v>
      </c>
      <c r="M2792" s="4" t="s">
        <v>14441</v>
      </c>
    </row>
    <row r="2793" spans="1:13">
      <c r="A2793" s="2">
        <v>2066</v>
      </c>
      <c r="B2793" s="2" t="s">
        <v>14442</v>
      </c>
      <c r="C2793" s="2">
        <v>19</v>
      </c>
      <c r="D2793" s="2">
        <v>556</v>
      </c>
      <c r="E2793" s="2">
        <v>200</v>
      </c>
      <c r="F2793" s="2">
        <v>32441</v>
      </c>
      <c r="G2793" s="2">
        <v>5.542976619</v>
      </c>
      <c r="H2793" s="3">
        <v>7.1600000000000001E-9</v>
      </c>
      <c r="I2793" s="2" t="s">
        <v>14443</v>
      </c>
      <c r="J2793" s="2" t="s">
        <v>14444</v>
      </c>
      <c r="K2793" s="3">
        <v>5.0600000000000003E-8</v>
      </c>
      <c r="L2793" s="2" t="s">
        <v>1178</v>
      </c>
      <c r="M2793" s="4" t="s">
        <v>14445</v>
      </c>
    </row>
    <row r="2794" spans="1:13">
      <c r="A2794" s="2">
        <v>2118</v>
      </c>
      <c r="B2794" s="2" t="s">
        <v>14446</v>
      </c>
      <c r="C2794" s="2">
        <v>19</v>
      </c>
      <c r="D2794" s="2">
        <v>556</v>
      </c>
      <c r="E2794" s="2">
        <v>200</v>
      </c>
      <c r="F2794" s="2">
        <v>32441</v>
      </c>
      <c r="G2794" s="2">
        <v>5.542976619</v>
      </c>
      <c r="H2794" s="3">
        <v>7.1600000000000001E-9</v>
      </c>
      <c r="I2794" s="2" t="s">
        <v>14447</v>
      </c>
      <c r="J2794" s="2" t="s">
        <v>14448</v>
      </c>
      <c r="K2794" s="3">
        <v>5.0600000000000003E-8</v>
      </c>
      <c r="L2794" s="2" t="s">
        <v>1178</v>
      </c>
      <c r="M2794" s="4" t="s">
        <v>14449</v>
      </c>
    </row>
    <row r="2795" spans="1:13">
      <c r="A2795" s="2">
        <v>2134</v>
      </c>
      <c r="B2795" s="2" t="s">
        <v>2202</v>
      </c>
      <c r="C2795" s="2">
        <v>19</v>
      </c>
      <c r="D2795" s="2">
        <v>556</v>
      </c>
      <c r="E2795" s="2">
        <v>200</v>
      </c>
      <c r="F2795" s="2">
        <v>32441</v>
      </c>
      <c r="G2795" s="2">
        <v>5.542976619</v>
      </c>
      <c r="H2795" s="3">
        <v>7.1600000000000001E-9</v>
      </c>
      <c r="I2795" s="2" t="s">
        <v>14450</v>
      </c>
      <c r="J2795" s="2" t="s">
        <v>14451</v>
      </c>
      <c r="K2795" s="3">
        <v>5.0600000000000003E-8</v>
      </c>
      <c r="L2795" s="2" t="s">
        <v>1178</v>
      </c>
      <c r="M2795" s="4" t="s">
        <v>14452</v>
      </c>
    </row>
    <row r="2796" spans="1:13">
      <c r="A2796" s="2">
        <v>2368</v>
      </c>
      <c r="B2796" s="2" t="s">
        <v>14453</v>
      </c>
      <c r="C2796" s="2">
        <v>19</v>
      </c>
      <c r="D2796" s="2">
        <v>556</v>
      </c>
      <c r="E2796" s="2">
        <v>200</v>
      </c>
      <c r="F2796" s="2">
        <v>32441</v>
      </c>
      <c r="G2796" s="2">
        <v>5.542976619</v>
      </c>
      <c r="H2796" s="3">
        <v>7.1600000000000001E-9</v>
      </c>
      <c r="I2796" s="2" t="s">
        <v>14454</v>
      </c>
      <c r="J2796" s="2" t="s">
        <v>14455</v>
      </c>
      <c r="K2796" s="3">
        <v>5.0600000000000003E-8</v>
      </c>
      <c r="L2796" s="2" t="s">
        <v>1178</v>
      </c>
      <c r="M2796" s="4" t="s">
        <v>14456</v>
      </c>
    </row>
    <row r="2797" spans="1:13">
      <c r="A2797" s="2">
        <v>2511</v>
      </c>
      <c r="B2797" s="2" t="s">
        <v>14457</v>
      </c>
      <c r="C2797" s="2">
        <v>19</v>
      </c>
      <c r="D2797" s="2">
        <v>556</v>
      </c>
      <c r="E2797" s="2">
        <v>200</v>
      </c>
      <c r="F2797" s="2">
        <v>32441</v>
      </c>
      <c r="G2797" s="2">
        <v>5.542976619</v>
      </c>
      <c r="H2797" s="3">
        <v>7.1600000000000001E-9</v>
      </c>
      <c r="I2797" s="2" t="s">
        <v>14458</v>
      </c>
      <c r="J2797" s="2" t="s">
        <v>14459</v>
      </c>
      <c r="K2797" s="3">
        <v>5.0600000000000003E-8</v>
      </c>
      <c r="L2797" s="2" t="s">
        <v>1178</v>
      </c>
      <c r="M2797" s="4" t="s">
        <v>14460</v>
      </c>
    </row>
    <row r="2798" spans="1:13">
      <c r="A2798" s="2">
        <v>2776</v>
      </c>
      <c r="B2798" s="2" t="s">
        <v>14461</v>
      </c>
      <c r="C2798" s="2">
        <v>19</v>
      </c>
      <c r="D2798" s="2">
        <v>556</v>
      </c>
      <c r="E2798" s="2">
        <v>200</v>
      </c>
      <c r="F2798" s="2">
        <v>32441</v>
      </c>
      <c r="G2798" s="2">
        <v>5.542976619</v>
      </c>
      <c r="H2798" s="3">
        <v>7.1600000000000001E-9</v>
      </c>
      <c r="I2798" s="2" t="s">
        <v>14462</v>
      </c>
      <c r="J2798" s="2" t="s">
        <v>14463</v>
      </c>
      <c r="K2798" s="3">
        <v>5.0600000000000003E-8</v>
      </c>
      <c r="L2798" s="2" t="s">
        <v>1178</v>
      </c>
      <c r="M2798" s="4" t="s">
        <v>14464</v>
      </c>
    </row>
    <row r="2799" spans="1:13">
      <c r="A2799" s="2">
        <v>2921</v>
      </c>
      <c r="B2799" s="2" t="s">
        <v>14465</v>
      </c>
      <c r="C2799" s="2">
        <v>19</v>
      </c>
      <c r="D2799" s="2">
        <v>556</v>
      </c>
      <c r="E2799" s="2">
        <v>200</v>
      </c>
      <c r="F2799" s="2">
        <v>32441</v>
      </c>
      <c r="G2799" s="2">
        <v>5.542976619</v>
      </c>
      <c r="H2799" s="3">
        <v>7.1600000000000001E-9</v>
      </c>
      <c r="I2799" s="2" t="s">
        <v>14466</v>
      </c>
      <c r="J2799" s="2" t="s">
        <v>14467</v>
      </c>
      <c r="K2799" s="3">
        <v>5.0600000000000003E-8</v>
      </c>
      <c r="L2799" s="2" t="s">
        <v>1178</v>
      </c>
      <c r="M2799" s="4" t="s">
        <v>14468</v>
      </c>
    </row>
    <row r="2800" spans="1:13">
      <c r="A2800" s="2">
        <v>2924</v>
      </c>
      <c r="B2800" s="2" t="s">
        <v>14469</v>
      </c>
      <c r="C2800" s="2">
        <v>19</v>
      </c>
      <c r="D2800" s="2">
        <v>556</v>
      </c>
      <c r="E2800" s="2">
        <v>200</v>
      </c>
      <c r="F2800" s="2">
        <v>32441</v>
      </c>
      <c r="G2800" s="2">
        <v>5.542976619</v>
      </c>
      <c r="H2800" s="3">
        <v>7.1600000000000001E-9</v>
      </c>
      <c r="I2800" s="2" t="s">
        <v>14470</v>
      </c>
      <c r="J2800" s="2" t="s">
        <v>14471</v>
      </c>
      <c r="K2800" s="3">
        <v>5.0600000000000003E-8</v>
      </c>
      <c r="L2800" s="2" t="s">
        <v>1178</v>
      </c>
      <c r="M2800" s="4" t="s">
        <v>14472</v>
      </c>
    </row>
    <row r="2801" spans="1:13">
      <c r="A2801" s="2">
        <v>2960</v>
      </c>
      <c r="B2801" s="2" t="s">
        <v>14473</v>
      </c>
      <c r="C2801" s="2">
        <v>19</v>
      </c>
      <c r="D2801" s="2">
        <v>556</v>
      </c>
      <c r="E2801" s="2">
        <v>200</v>
      </c>
      <c r="F2801" s="2">
        <v>32441</v>
      </c>
      <c r="G2801" s="2">
        <v>5.542976619</v>
      </c>
      <c r="H2801" s="3">
        <v>7.1600000000000001E-9</v>
      </c>
      <c r="I2801" s="2" t="s">
        <v>14474</v>
      </c>
      <c r="J2801" s="2" t="s">
        <v>14475</v>
      </c>
      <c r="K2801" s="3">
        <v>5.0600000000000003E-8</v>
      </c>
      <c r="L2801" s="2" t="s">
        <v>1178</v>
      </c>
      <c r="M2801" s="4" t="s">
        <v>14476</v>
      </c>
    </row>
    <row r="2802" spans="1:13">
      <c r="A2802" s="2">
        <v>2964</v>
      </c>
      <c r="B2802" s="2" t="s">
        <v>14477</v>
      </c>
      <c r="C2802" s="2">
        <v>19</v>
      </c>
      <c r="D2802" s="2">
        <v>556</v>
      </c>
      <c r="E2802" s="2">
        <v>200</v>
      </c>
      <c r="F2802" s="2">
        <v>32441</v>
      </c>
      <c r="G2802" s="2">
        <v>5.542976619</v>
      </c>
      <c r="H2802" s="3">
        <v>7.1600000000000001E-9</v>
      </c>
      <c r="I2802" s="2" t="s">
        <v>14478</v>
      </c>
      <c r="J2802" s="2" t="s">
        <v>14479</v>
      </c>
      <c r="K2802" s="3">
        <v>5.0600000000000003E-8</v>
      </c>
      <c r="L2802" s="2" t="s">
        <v>1178</v>
      </c>
      <c r="M2802" s="4" t="s">
        <v>14480</v>
      </c>
    </row>
    <row r="2803" spans="1:13">
      <c r="A2803" s="2">
        <v>2972</v>
      </c>
      <c r="B2803" s="2" t="s">
        <v>14481</v>
      </c>
      <c r="C2803" s="2">
        <v>19</v>
      </c>
      <c r="D2803" s="2">
        <v>556</v>
      </c>
      <c r="E2803" s="2">
        <v>200</v>
      </c>
      <c r="F2803" s="2">
        <v>32441</v>
      </c>
      <c r="G2803" s="2">
        <v>5.542976619</v>
      </c>
      <c r="H2803" s="3">
        <v>7.1600000000000001E-9</v>
      </c>
      <c r="I2803" s="2" t="s">
        <v>14482</v>
      </c>
      <c r="J2803" s="2" t="s">
        <v>14483</v>
      </c>
      <c r="K2803" s="3">
        <v>5.0600000000000003E-8</v>
      </c>
      <c r="L2803" s="2" t="s">
        <v>1178</v>
      </c>
      <c r="M2803" s="4" t="s">
        <v>14484</v>
      </c>
    </row>
    <row r="2804" spans="1:13">
      <c r="A2804" s="2">
        <v>3010</v>
      </c>
      <c r="B2804" s="2" t="s">
        <v>14485</v>
      </c>
      <c r="C2804" s="2">
        <v>19</v>
      </c>
      <c r="D2804" s="2">
        <v>556</v>
      </c>
      <c r="E2804" s="2">
        <v>199</v>
      </c>
      <c r="F2804" s="2">
        <v>32441</v>
      </c>
      <c r="G2804" s="2">
        <v>5.570830773</v>
      </c>
      <c r="H2804" s="3">
        <v>6.6400000000000002E-9</v>
      </c>
      <c r="I2804" s="2" t="s">
        <v>14486</v>
      </c>
      <c r="J2804" s="2" t="s">
        <v>14487</v>
      </c>
      <c r="K2804" s="3">
        <v>5.0600000000000003E-8</v>
      </c>
      <c r="L2804" s="2" t="s">
        <v>1178</v>
      </c>
      <c r="M2804" s="4" t="s">
        <v>14488</v>
      </c>
    </row>
    <row r="2805" spans="1:13">
      <c r="A2805" s="2">
        <v>30161</v>
      </c>
      <c r="B2805" s="2" t="s">
        <v>14489</v>
      </c>
      <c r="C2805" s="2">
        <v>19</v>
      </c>
      <c r="D2805" s="2">
        <v>556</v>
      </c>
      <c r="E2805" s="2">
        <v>200</v>
      </c>
      <c r="F2805" s="2">
        <v>32441</v>
      </c>
      <c r="G2805" s="2">
        <v>5.542976619</v>
      </c>
      <c r="H2805" s="3">
        <v>7.1600000000000001E-9</v>
      </c>
      <c r="I2805" s="2" t="s">
        <v>14490</v>
      </c>
      <c r="J2805" s="2" t="s">
        <v>14491</v>
      </c>
      <c r="K2805" s="3">
        <v>5.0600000000000003E-8</v>
      </c>
      <c r="L2805" s="2" t="s">
        <v>1178</v>
      </c>
      <c r="M2805" s="4" t="s">
        <v>14492</v>
      </c>
    </row>
    <row r="2806" spans="1:13">
      <c r="A2806" s="2">
        <v>3110</v>
      </c>
      <c r="B2806" s="2" t="s">
        <v>2229</v>
      </c>
      <c r="C2806" s="2">
        <v>19</v>
      </c>
      <c r="D2806" s="2">
        <v>556</v>
      </c>
      <c r="E2806" s="2">
        <v>200</v>
      </c>
      <c r="F2806" s="2">
        <v>32441</v>
      </c>
      <c r="G2806" s="2">
        <v>5.542976619</v>
      </c>
      <c r="H2806" s="3">
        <v>7.1600000000000001E-9</v>
      </c>
      <c r="I2806" s="2" t="s">
        <v>14493</v>
      </c>
      <c r="J2806" s="2" t="s">
        <v>14494</v>
      </c>
      <c r="K2806" s="3">
        <v>5.0600000000000003E-8</v>
      </c>
      <c r="L2806" s="2" t="s">
        <v>1178</v>
      </c>
      <c r="M2806" s="4" t="s">
        <v>14495</v>
      </c>
    </row>
    <row r="2807" spans="1:13">
      <c r="A2807" s="2">
        <v>3160</v>
      </c>
      <c r="B2807" s="2" t="s">
        <v>14496</v>
      </c>
      <c r="C2807" s="2">
        <v>19</v>
      </c>
      <c r="D2807" s="2">
        <v>556</v>
      </c>
      <c r="E2807" s="2">
        <v>200</v>
      </c>
      <c r="F2807" s="2">
        <v>32441</v>
      </c>
      <c r="G2807" s="2">
        <v>5.542976619</v>
      </c>
      <c r="H2807" s="3">
        <v>7.1600000000000001E-9</v>
      </c>
      <c r="I2807" s="2" t="s">
        <v>14497</v>
      </c>
      <c r="J2807" s="2" t="s">
        <v>14498</v>
      </c>
      <c r="K2807" s="3">
        <v>5.0600000000000003E-8</v>
      </c>
      <c r="L2807" s="2" t="s">
        <v>1178</v>
      </c>
      <c r="M2807" s="4" t="s">
        <v>14499</v>
      </c>
    </row>
    <row r="2808" spans="1:13">
      <c r="A2808" s="2">
        <v>32501</v>
      </c>
      <c r="B2808" s="2" t="s">
        <v>14500</v>
      </c>
      <c r="C2808" s="2">
        <v>19</v>
      </c>
      <c r="D2808" s="2">
        <v>556</v>
      </c>
      <c r="E2808" s="2">
        <v>200</v>
      </c>
      <c r="F2808" s="2">
        <v>32441</v>
      </c>
      <c r="G2808" s="2">
        <v>5.542976619</v>
      </c>
      <c r="H2808" s="3">
        <v>7.1600000000000001E-9</v>
      </c>
      <c r="I2808" s="2" t="s">
        <v>14501</v>
      </c>
      <c r="J2808" s="2" t="s">
        <v>14502</v>
      </c>
      <c r="K2808" s="3">
        <v>5.0600000000000003E-8</v>
      </c>
      <c r="L2808" s="2" t="s">
        <v>1178</v>
      </c>
      <c r="M2808" s="4" t="s">
        <v>14503</v>
      </c>
    </row>
    <row r="2809" spans="1:13">
      <c r="A2809" s="2">
        <v>3373</v>
      </c>
      <c r="B2809" s="2" t="s">
        <v>14504</v>
      </c>
      <c r="C2809" s="2">
        <v>19</v>
      </c>
      <c r="D2809" s="2">
        <v>556</v>
      </c>
      <c r="E2809" s="2">
        <v>200</v>
      </c>
      <c r="F2809" s="2">
        <v>32441</v>
      </c>
      <c r="G2809" s="2">
        <v>5.542976619</v>
      </c>
      <c r="H2809" s="3">
        <v>7.1600000000000001E-9</v>
      </c>
      <c r="I2809" s="2" t="s">
        <v>14505</v>
      </c>
      <c r="J2809" s="2" t="s">
        <v>14506</v>
      </c>
      <c r="K2809" s="3">
        <v>5.0600000000000003E-8</v>
      </c>
      <c r="L2809" s="2" t="s">
        <v>1178</v>
      </c>
      <c r="M2809" s="4" t="s">
        <v>14507</v>
      </c>
    </row>
    <row r="2810" spans="1:13">
      <c r="A2810" s="2">
        <v>33961</v>
      </c>
      <c r="B2810" s="2" t="s">
        <v>14508</v>
      </c>
      <c r="C2810" s="2">
        <v>19</v>
      </c>
      <c r="D2810" s="2">
        <v>556</v>
      </c>
      <c r="E2810" s="2">
        <v>200</v>
      </c>
      <c r="F2810" s="2">
        <v>32441</v>
      </c>
      <c r="G2810" s="2">
        <v>5.542976619</v>
      </c>
      <c r="H2810" s="3">
        <v>7.1600000000000001E-9</v>
      </c>
      <c r="I2810" s="2" t="s">
        <v>14509</v>
      </c>
      <c r="J2810" s="2" t="s">
        <v>14510</v>
      </c>
      <c r="K2810" s="3">
        <v>5.0600000000000003E-8</v>
      </c>
      <c r="L2810" s="2" t="s">
        <v>1178</v>
      </c>
      <c r="M2810" s="4" t="s">
        <v>14511</v>
      </c>
    </row>
    <row r="2811" spans="1:13">
      <c r="A2811" s="2">
        <v>3470</v>
      </c>
      <c r="B2811" s="2" t="s">
        <v>14512</v>
      </c>
      <c r="C2811" s="2">
        <v>19</v>
      </c>
      <c r="D2811" s="2">
        <v>556</v>
      </c>
      <c r="E2811" s="2">
        <v>199</v>
      </c>
      <c r="F2811" s="2">
        <v>32441</v>
      </c>
      <c r="G2811" s="2">
        <v>5.570830773</v>
      </c>
      <c r="H2811" s="3">
        <v>6.6400000000000002E-9</v>
      </c>
      <c r="I2811" s="2" t="s">
        <v>14513</v>
      </c>
      <c r="J2811" s="2" t="s">
        <v>14514</v>
      </c>
      <c r="K2811" s="3">
        <v>5.0600000000000003E-8</v>
      </c>
      <c r="L2811" s="2" t="s">
        <v>1178</v>
      </c>
      <c r="M2811" s="4" t="s">
        <v>14515</v>
      </c>
    </row>
    <row r="2812" spans="1:13">
      <c r="A2812" s="2">
        <v>35061</v>
      </c>
      <c r="B2812" s="2" t="s">
        <v>14516</v>
      </c>
      <c r="C2812" s="2">
        <v>19</v>
      </c>
      <c r="D2812" s="2">
        <v>556</v>
      </c>
      <c r="E2812" s="2">
        <v>200</v>
      </c>
      <c r="F2812" s="2">
        <v>32441</v>
      </c>
      <c r="G2812" s="2">
        <v>5.542976619</v>
      </c>
      <c r="H2812" s="3">
        <v>7.1600000000000001E-9</v>
      </c>
      <c r="I2812" s="2" t="s">
        <v>14517</v>
      </c>
      <c r="J2812" s="2" t="s">
        <v>14518</v>
      </c>
      <c r="K2812" s="3">
        <v>5.0600000000000003E-8</v>
      </c>
      <c r="L2812" s="2" t="s">
        <v>1178</v>
      </c>
      <c r="M2812" s="4" t="s">
        <v>14519</v>
      </c>
    </row>
    <row r="2813" spans="1:13">
      <c r="A2813" s="2">
        <v>3508</v>
      </c>
      <c r="B2813" s="2" t="s">
        <v>14520</v>
      </c>
      <c r="C2813" s="2">
        <v>19</v>
      </c>
      <c r="D2813" s="2">
        <v>556</v>
      </c>
      <c r="E2813" s="2">
        <v>200</v>
      </c>
      <c r="F2813" s="2">
        <v>32441</v>
      </c>
      <c r="G2813" s="2">
        <v>5.542976619</v>
      </c>
      <c r="H2813" s="3">
        <v>7.1600000000000001E-9</v>
      </c>
      <c r="I2813" s="2" t="s">
        <v>14521</v>
      </c>
      <c r="J2813" s="2" t="s">
        <v>14522</v>
      </c>
      <c r="K2813" s="3">
        <v>5.0600000000000003E-8</v>
      </c>
      <c r="L2813" s="2" t="s">
        <v>1178</v>
      </c>
      <c r="M2813" s="4" t="s">
        <v>14523</v>
      </c>
    </row>
    <row r="2814" spans="1:13">
      <c r="A2814" s="2">
        <v>3739</v>
      </c>
      <c r="B2814" s="2" t="s">
        <v>14524</v>
      </c>
      <c r="C2814" s="2">
        <v>19</v>
      </c>
      <c r="D2814" s="2">
        <v>556</v>
      </c>
      <c r="E2814" s="2">
        <v>200</v>
      </c>
      <c r="F2814" s="2">
        <v>32441</v>
      </c>
      <c r="G2814" s="2">
        <v>5.542976619</v>
      </c>
      <c r="H2814" s="3">
        <v>7.1600000000000001E-9</v>
      </c>
      <c r="I2814" s="2" t="s">
        <v>14525</v>
      </c>
      <c r="J2814" s="2" t="s">
        <v>14526</v>
      </c>
      <c r="K2814" s="3">
        <v>5.0600000000000003E-8</v>
      </c>
      <c r="L2814" s="2" t="s">
        <v>1178</v>
      </c>
      <c r="M2814" s="4" t="s">
        <v>14527</v>
      </c>
    </row>
    <row r="2815" spans="1:13">
      <c r="A2815" s="2">
        <v>37731</v>
      </c>
      <c r="B2815" s="2" t="s">
        <v>14528</v>
      </c>
      <c r="C2815" s="2">
        <v>19</v>
      </c>
      <c r="D2815" s="2">
        <v>556</v>
      </c>
      <c r="E2815" s="2">
        <v>200</v>
      </c>
      <c r="F2815" s="2">
        <v>32441</v>
      </c>
      <c r="G2815" s="2">
        <v>5.542976619</v>
      </c>
      <c r="H2815" s="3">
        <v>7.1600000000000001E-9</v>
      </c>
      <c r="I2815" s="2" t="s">
        <v>14529</v>
      </c>
      <c r="J2815" s="2" t="s">
        <v>14530</v>
      </c>
      <c r="K2815" s="3">
        <v>5.0600000000000003E-8</v>
      </c>
      <c r="L2815" s="2" t="s">
        <v>1178</v>
      </c>
      <c r="M2815" s="4" t="s">
        <v>14531</v>
      </c>
    </row>
    <row r="2816" spans="1:13">
      <c r="A2816" s="2">
        <v>38291</v>
      </c>
      <c r="B2816" s="2" t="s">
        <v>3482</v>
      </c>
      <c r="C2816" s="2">
        <v>19</v>
      </c>
      <c r="D2816" s="2">
        <v>556</v>
      </c>
      <c r="E2816" s="2">
        <v>200</v>
      </c>
      <c r="F2816" s="2">
        <v>32441</v>
      </c>
      <c r="G2816" s="2">
        <v>5.542976619</v>
      </c>
      <c r="H2816" s="3">
        <v>7.1600000000000001E-9</v>
      </c>
      <c r="I2816" s="2" t="s">
        <v>14532</v>
      </c>
      <c r="J2816" s="2" t="s">
        <v>14533</v>
      </c>
      <c r="K2816" s="3">
        <v>5.0600000000000003E-8</v>
      </c>
      <c r="L2816" s="2" t="s">
        <v>1178</v>
      </c>
      <c r="M2816" s="4" t="s">
        <v>3485</v>
      </c>
    </row>
    <row r="2817" spans="1:13">
      <c r="A2817" s="2">
        <v>3851</v>
      </c>
      <c r="B2817" s="2" t="s">
        <v>14534</v>
      </c>
      <c r="C2817" s="2">
        <v>19</v>
      </c>
      <c r="D2817" s="2">
        <v>556</v>
      </c>
      <c r="E2817" s="2">
        <v>199</v>
      </c>
      <c r="F2817" s="2">
        <v>32441</v>
      </c>
      <c r="G2817" s="2">
        <v>5.570830773</v>
      </c>
      <c r="H2817" s="3">
        <v>6.6400000000000002E-9</v>
      </c>
      <c r="I2817" s="2" t="s">
        <v>14535</v>
      </c>
      <c r="J2817" s="2" t="s">
        <v>14536</v>
      </c>
      <c r="K2817" s="3">
        <v>5.0600000000000003E-8</v>
      </c>
      <c r="L2817" s="2" t="s">
        <v>1178</v>
      </c>
      <c r="M2817" s="4" t="s">
        <v>14537</v>
      </c>
    </row>
    <row r="2818" spans="1:13">
      <c r="A2818" s="2">
        <v>38631</v>
      </c>
      <c r="B2818" s="2" t="s">
        <v>14538</v>
      </c>
      <c r="C2818" s="2">
        <v>19</v>
      </c>
      <c r="D2818" s="2">
        <v>556</v>
      </c>
      <c r="E2818" s="2">
        <v>200</v>
      </c>
      <c r="F2818" s="2">
        <v>32441</v>
      </c>
      <c r="G2818" s="2">
        <v>5.542976619</v>
      </c>
      <c r="H2818" s="3">
        <v>7.1600000000000001E-9</v>
      </c>
      <c r="I2818" s="2" t="s">
        <v>14539</v>
      </c>
      <c r="J2818" s="2" t="s">
        <v>14540</v>
      </c>
      <c r="K2818" s="3">
        <v>5.0600000000000003E-8</v>
      </c>
      <c r="L2818" s="2" t="s">
        <v>1178</v>
      </c>
      <c r="M2818" s="4" t="s">
        <v>14541</v>
      </c>
    </row>
    <row r="2819" spans="1:13">
      <c r="A2819" s="2">
        <v>38651</v>
      </c>
      <c r="B2819" s="2" t="s">
        <v>14542</v>
      </c>
      <c r="C2819" s="2">
        <v>19</v>
      </c>
      <c r="D2819" s="2">
        <v>556</v>
      </c>
      <c r="E2819" s="2">
        <v>200</v>
      </c>
      <c r="F2819" s="2">
        <v>32441</v>
      </c>
      <c r="G2819" s="2">
        <v>5.542976619</v>
      </c>
      <c r="H2819" s="3">
        <v>7.1600000000000001E-9</v>
      </c>
      <c r="I2819" s="2" t="s">
        <v>14543</v>
      </c>
      <c r="J2819" s="2" t="s">
        <v>14544</v>
      </c>
      <c r="K2819" s="3">
        <v>5.0600000000000003E-8</v>
      </c>
      <c r="L2819" s="2" t="s">
        <v>1178</v>
      </c>
      <c r="M2819" s="4" t="s">
        <v>14545</v>
      </c>
    </row>
    <row r="2820" spans="1:13">
      <c r="A2820" s="2">
        <v>3872</v>
      </c>
      <c r="B2820" s="2" t="s">
        <v>14546</v>
      </c>
      <c r="C2820" s="2">
        <v>19</v>
      </c>
      <c r="D2820" s="2">
        <v>556</v>
      </c>
      <c r="E2820" s="2">
        <v>200</v>
      </c>
      <c r="F2820" s="2">
        <v>32441</v>
      </c>
      <c r="G2820" s="2">
        <v>5.542976619</v>
      </c>
      <c r="H2820" s="3">
        <v>7.1600000000000001E-9</v>
      </c>
      <c r="I2820" s="2" t="s">
        <v>14547</v>
      </c>
      <c r="J2820" s="2" t="s">
        <v>14548</v>
      </c>
      <c r="K2820" s="3">
        <v>5.0600000000000003E-8</v>
      </c>
      <c r="L2820" s="2" t="s">
        <v>1178</v>
      </c>
      <c r="M2820" s="4" t="s">
        <v>14549</v>
      </c>
    </row>
    <row r="2821" spans="1:13">
      <c r="A2821" s="2">
        <v>3898</v>
      </c>
      <c r="B2821" s="2" t="s">
        <v>14550</v>
      </c>
      <c r="C2821" s="2">
        <v>19</v>
      </c>
      <c r="D2821" s="2">
        <v>556</v>
      </c>
      <c r="E2821" s="2">
        <v>199</v>
      </c>
      <c r="F2821" s="2">
        <v>32441</v>
      </c>
      <c r="G2821" s="2">
        <v>5.570830773</v>
      </c>
      <c r="H2821" s="3">
        <v>6.6400000000000002E-9</v>
      </c>
      <c r="I2821" s="2" t="s">
        <v>14551</v>
      </c>
      <c r="J2821" s="2" t="s">
        <v>14552</v>
      </c>
      <c r="K2821" s="3">
        <v>5.0600000000000003E-8</v>
      </c>
      <c r="L2821" s="2" t="s">
        <v>1178</v>
      </c>
      <c r="M2821" s="4" t="s">
        <v>14553</v>
      </c>
    </row>
    <row r="2822" spans="1:13">
      <c r="A2822" s="2">
        <v>39231</v>
      </c>
      <c r="B2822" s="2" t="s">
        <v>14554</v>
      </c>
      <c r="C2822" s="2">
        <v>19</v>
      </c>
      <c r="D2822" s="2">
        <v>556</v>
      </c>
      <c r="E2822" s="2">
        <v>200</v>
      </c>
      <c r="F2822" s="2">
        <v>32441</v>
      </c>
      <c r="G2822" s="2">
        <v>5.542976619</v>
      </c>
      <c r="H2822" s="3">
        <v>7.1600000000000001E-9</v>
      </c>
      <c r="I2822" s="2" t="s">
        <v>14555</v>
      </c>
      <c r="J2822" s="2" t="s">
        <v>14556</v>
      </c>
      <c r="K2822" s="3">
        <v>5.0600000000000003E-8</v>
      </c>
      <c r="L2822" s="2" t="s">
        <v>1178</v>
      </c>
      <c r="M2822" s="4" t="s">
        <v>14557</v>
      </c>
    </row>
    <row r="2823" spans="1:13">
      <c r="A2823" s="2">
        <v>3926</v>
      </c>
      <c r="B2823" s="2" t="s">
        <v>14558</v>
      </c>
      <c r="C2823" s="2">
        <v>19</v>
      </c>
      <c r="D2823" s="2">
        <v>556</v>
      </c>
      <c r="E2823" s="2">
        <v>200</v>
      </c>
      <c r="F2823" s="2">
        <v>32441</v>
      </c>
      <c r="G2823" s="2">
        <v>5.542976619</v>
      </c>
      <c r="H2823" s="3">
        <v>7.1600000000000001E-9</v>
      </c>
      <c r="I2823" s="2" t="s">
        <v>14559</v>
      </c>
      <c r="J2823" s="2" t="s">
        <v>14560</v>
      </c>
      <c r="K2823" s="3">
        <v>5.0600000000000003E-8</v>
      </c>
      <c r="L2823" s="2" t="s">
        <v>1178</v>
      </c>
      <c r="M2823" s="4" t="s">
        <v>14561</v>
      </c>
    </row>
    <row r="2824" spans="1:13">
      <c r="A2824" s="2">
        <v>4138</v>
      </c>
      <c r="B2824" s="2" t="s">
        <v>14562</v>
      </c>
      <c r="C2824" s="2">
        <v>19</v>
      </c>
      <c r="D2824" s="2">
        <v>556</v>
      </c>
      <c r="E2824" s="2">
        <v>200</v>
      </c>
      <c r="F2824" s="2">
        <v>32441</v>
      </c>
      <c r="G2824" s="2">
        <v>5.542976619</v>
      </c>
      <c r="H2824" s="3">
        <v>7.1600000000000001E-9</v>
      </c>
      <c r="I2824" s="2" t="s">
        <v>14563</v>
      </c>
      <c r="J2824" s="2" t="s">
        <v>14564</v>
      </c>
      <c r="K2824" s="3">
        <v>5.0600000000000003E-8</v>
      </c>
      <c r="L2824" s="2" t="s">
        <v>1178</v>
      </c>
      <c r="M2824" s="4" t="s">
        <v>14565</v>
      </c>
    </row>
    <row r="2825" spans="1:13">
      <c r="A2825" s="2">
        <v>4178</v>
      </c>
      <c r="B2825" s="2" t="s">
        <v>14566</v>
      </c>
      <c r="C2825" s="2">
        <v>19</v>
      </c>
      <c r="D2825" s="2">
        <v>556</v>
      </c>
      <c r="E2825" s="2">
        <v>200</v>
      </c>
      <c r="F2825" s="2">
        <v>32441</v>
      </c>
      <c r="G2825" s="2">
        <v>5.542976619</v>
      </c>
      <c r="H2825" s="3">
        <v>7.1600000000000001E-9</v>
      </c>
      <c r="I2825" s="2" t="s">
        <v>14567</v>
      </c>
      <c r="J2825" s="2" t="s">
        <v>14568</v>
      </c>
      <c r="K2825" s="3">
        <v>5.0600000000000003E-8</v>
      </c>
      <c r="L2825" s="2" t="s">
        <v>1178</v>
      </c>
      <c r="M2825" s="4" t="s">
        <v>14569</v>
      </c>
    </row>
    <row r="2826" spans="1:13">
      <c r="A2826" s="2">
        <v>4214</v>
      </c>
      <c r="B2826" s="2" t="s">
        <v>14570</v>
      </c>
      <c r="C2826" s="2">
        <v>19</v>
      </c>
      <c r="D2826" s="2">
        <v>556</v>
      </c>
      <c r="E2826" s="2">
        <v>200</v>
      </c>
      <c r="F2826" s="2">
        <v>32441</v>
      </c>
      <c r="G2826" s="2">
        <v>5.542976619</v>
      </c>
      <c r="H2826" s="3">
        <v>7.1600000000000001E-9</v>
      </c>
      <c r="I2826" s="2" t="s">
        <v>14571</v>
      </c>
      <c r="J2826" s="2" t="s">
        <v>14572</v>
      </c>
      <c r="K2826" s="3">
        <v>5.0600000000000003E-8</v>
      </c>
      <c r="L2826" s="2" t="s">
        <v>1178</v>
      </c>
      <c r="M2826" s="4" t="s">
        <v>14573</v>
      </c>
    </row>
    <row r="2827" spans="1:13">
      <c r="A2827" s="2">
        <v>4247</v>
      </c>
      <c r="B2827" s="2" t="s">
        <v>14574</v>
      </c>
      <c r="C2827" s="2">
        <v>19</v>
      </c>
      <c r="D2827" s="2">
        <v>556</v>
      </c>
      <c r="E2827" s="2">
        <v>200</v>
      </c>
      <c r="F2827" s="2">
        <v>32441</v>
      </c>
      <c r="G2827" s="2">
        <v>5.542976619</v>
      </c>
      <c r="H2827" s="3">
        <v>7.1600000000000001E-9</v>
      </c>
      <c r="I2827" s="2" t="s">
        <v>14575</v>
      </c>
      <c r="J2827" s="2" t="s">
        <v>14576</v>
      </c>
      <c r="K2827" s="3">
        <v>5.0600000000000003E-8</v>
      </c>
      <c r="L2827" s="2" t="s">
        <v>1178</v>
      </c>
      <c r="M2827" s="4" t="s">
        <v>14577</v>
      </c>
    </row>
    <row r="2828" spans="1:13">
      <c r="A2828" s="2">
        <v>4301</v>
      </c>
      <c r="B2828" s="2" t="s">
        <v>14578</v>
      </c>
      <c r="C2828" s="2">
        <v>19</v>
      </c>
      <c r="D2828" s="2">
        <v>556</v>
      </c>
      <c r="E2828" s="2">
        <v>200</v>
      </c>
      <c r="F2828" s="2">
        <v>32441</v>
      </c>
      <c r="G2828" s="2">
        <v>5.542976619</v>
      </c>
      <c r="H2828" s="3">
        <v>7.1600000000000001E-9</v>
      </c>
      <c r="I2828" s="2" t="s">
        <v>14579</v>
      </c>
      <c r="J2828" s="2" t="s">
        <v>14580</v>
      </c>
      <c r="K2828" s="3">
        <v>5.0600000000000003E-8</v>
      </c>
      <c r="L2828" s="2" t="s">
        <v>1178</v>
      </c>
      <c r="M2828" s="4" t="s">
        <v>14581</v>
      </c>
    </row>
    <row r="2829" spans="1:13">
      <c r="A2829" s="2">
        <v>43661</v>
      </c>
      <c r="B2829" s="2" t="s">
        <v>14582</v>
      </c>
      <c r="C2829" s="2">
        <v>19</v>
      </c>
      <c r="D2829" s="2">
        <v>556</v>
      </c>
      <c r="E2829" s="2">
        <v>200</v>
      </c>
      <c r="F2829" s="2">
        <v>32441</v>
      </c>
      <c r="G2829" s="2">
        <v>5.542976619</v>
      </c>
      <c r="H2829" s="3">
        <v>7.1600000000000001E-9</v>
      </c>
      <c r="I2829" s="2" t="s">
        <v>14583</v>
      </c>
      <c r="J2829" s="2" t="s">
        <v>14584</v>
      </c>
      <c r="K2829" s="3">
        <v>5.0600000000000003E-8</v>
      </c>
      <c r="L2829" s="2" t="s">
        <v>1178</v>
      </c>
      <c r="M2829" s="4" t="s">
        <v>14585</v>
      </c>
    </row>
    <row r="2830" spans="1:13">
      <c r="A2830" s="2">
        <v>4420</v>
      </c>
      <c r="B2830" s="2" t="s">
        <v>14586</v>
      </c>
      <c r="C2830" s="2">
        <v>19</v>
      </c>
      <c r="D2830" s="2">
        <v>556</v>
      </c>
      <c r="E2830" s="2">
        <v>200</v>
      </c>
      <c r="F2830" s="2">
        <v>32441</v>
      </c>
      <c r="G2830" s="2">
        <v>5.542976619</v>
      </c>
      <c r="H2830" s="3">
        <v>7.1600000000000001E-9</v>
      </c>
      <c r="I2830" s="2" t="s">
        <v>14587</v>
      </c>
      <c r="J2830" s="2" t="s">
        <v>14588</v>
      </c>
      <c r="K2830" s="3">
        <v>5.0600000000000003E-8</v>
      </c>
      <c r="L2830" s="2" t="s">
        <v>1178</v>
      </c>
      <c r="M2830" s="4" t="s">
        <v>14589</v>
      </c>
    </row>
    <row r="2831" spans="1:13">
      <c r="A2831" s="2">
        <v>4443</v>
      </c>
      <c r="B2831" s="2" t="s">
        <v>14590</v>
      </c>
      <c r="C2831" s="2">
        <v>19</v>
      </c>
      <c r="D2831" s="2">
        <v>556</v>
      </c>
      <c r="E2831" s="2">
        <v>200</v>
      </c>
      <c r="F2831" s="2">
        <v>32441</v>
      </c>
      <c r="G2831" s="2">
        <v>5.542976619</v>
      </c>
      <c r="H2831" s="3">
        <v>7.1600000000000001E-9</v>
      </c>
      <c r="I2831" s="2" t="s">
        <v>14591</v>
      </c>
      <c r="J2831" s="2" t="s">
        <v>14592</v>
      </c>
      <c r="K2831" s="3">
        <v>5.0600000000000003E-8</v>
      </c>
      <c r="L2831" s="2" t="s">
        <v>1178</v>
      </c>
      <c r="M2831" s="4" t="s">
        <v>14593</v>
      </c>
    </row>
    <row r="2832" spans="1:13">
      <c r="A2832" s="2">
        <v>4525</v>
      </c>
      <c r="B2832" s="2" t="s">
        <v>14594</v>
      </c>
      <c r="C2832" s="2">
        <v>19</v>
      </c>
      <c r="D2832" s="2">
        <v>556</v>
      </c>
      <c r="E2832" s="2">
        <v>200</v>
      </c>
      <c r="F2832" s="2">
        <v>32441</v>
      </c>
      <c r="G2832" s="2">
        <v>5.542976619</v>
      </c>
      <c r="H2832" s="3">
        <v>7.1600000000000001E-9</v>
      </c>
      <c r="I2832" s="2" t="s">
        <v>14595</v>
      </c>
      <c r="J2832" s="2" t="s">
        <v>14596</v>
      </c>
      <c r="K2832" s="3">
        <v>5.0600000000000003E-8</v>
      </c>
      <c r="L2832" s="2" t="s">
        <v>1178</v>
      </c>
      <c r="M2832" s="4" t="s">
        <v>14597</v>
      </c>
    </row>
    <row r="2833" spans="1:13">
      <c r="A2833" s="2">
        <v>45372</v>
      </c>
      <c r="B2833" s="2" t="s">
        <v>14598</v>
      </c>
      <c r="C2833" s="2">
        <v>19</v>
      </c>
      <c r="D2833" s="2">
        <v>556</v>
      </c>
      <c r="E2833" s="2">
        <v>200</v>
      </c>
      <c r="F2833" s="2">
        <v>32441</v>
      </c>
      <c r="G2833" s="2">
        <v>5.542976619</v>
      </c>
      <c r="H2833" s="3">
        <v>7.1600000000000001E-9</v>
      </c>
      <c r="I2833" s="2" t="s">
        <v>14599</v>
      </c>
      <c r="J2833" s="2" t="s">
        <v>14600</v>
      </c>
      <c r="K2833" s="3">
        <v>5.0600000000000003E-8</v>
      </c>
      <c r="L2833" s="2" t="s">
        <v>1178</v>
      </c>
      <c r="M2833" s="4" t="s">
        <v>14601</v>
      </c>
    </row>
    <row r="2834" spans="1:13">
      <c r="A2834" s="2">
        <v>45521</v>
      </c>
      <c r="B2834" s="2" t="s">
        <v>14602</v>
      </c>
      <c r="C2834" s="2">
        <v>19</v>
      </c>
      <c r="D2834" s="2">
        <v>556</v>
      </c>
      <c r="E2834" s="2">
        <v>200</v>
      </c>
      <c r="F2834" s="2">
        <v>32441</v>
      </c>
      <c r="G2834" s="2">
        <v>5.542976619</v>
      </c>
      <c r="H2834" s="3">
        <v>7.1600000000000001E-9</v>
      </c>
      <c r="I2834" s="2" t="s">
        <v>14603</v>
      </c>
      <c r="J2834" s="2" t="s">
        <v>14604</v>
      </c>
      <c r="K2834" s="3">
        <v>5.0600000000000003E-8</v>
      </c>
      <c r="L2834" s="2" t="s">
        <v>1178</v>
      </c>
      <c r="M2834" s="4" t="s">
        <v>14605</v>
      </c>
    </row>
    <row r="2835" spans="1:13">
      <c r="A2835" s="2">
        <v>4570</v>
      </c>
      <c r="B2835" s="2" t="s">
        <v>14606</v>
      </c>
      <c r="C2835" s="2">
        <v>19</v>
      </c>
      <c r="D2835" s="2">
        <v>556</v>
      </c>
      <c r="E2835" s="2">
        <v>200</v>
      </c>
      <c r="F2835" s="2">
        <v>32441</v>
      </c>
      <c r="G2835" s="2">
        <v>5.542976619</v>
      </c>
      <c r="H2835" s="3">
        <v>7.1600000000000001E-9</v>
      </c>
      <c r="I2835" s="2" t="s">
        <v>14607</v>
      </c>
      <c r="J2835" s="2" t="s">
        <v>14608</v>
      </c>
      <c r="K2835" s="3">
        <v>5.0600000000000003E-8</v>
      </c>
      <c r="L2835" s="2" t="s">
        <v>1178</v>
      </c>
      <c r="M2835" s="4" t="s">
        <v>14609</v>
      </c>
    </row>
    <row r="2836" spans="1:13">
      <c r="A2836" s="2">
        <v>4620</v>
      </c>
      <c r="B2836" s="2" t="s">
        <v>14610</v>
      </c>
      <c r="C2836" s="2">
        <v>19</v>
      </c>
      <c r="D2836" s="2">
        <v>556</v>
      </c>
      <c r="E2836" s="2">
        <v>200</v>
      </c>
      <c r="F2836" s="2">
        <v>32441</v>
      </c>
      <c r="G2836" s="2">
        <v>5.542976619</v>
      </c>
      <c r="H2836" s="3">
        <v>7.1600000000000001E-9</v>
      </c>
      <c r="I2836" s="2" t="s">
        <v>14611</v>
      </c>
      <c r="J2836" s="2" t="s">
        <v>14612</v>
      </c>
      <c r="K2836" s="3">
        <v>5.0600000000000003E-8</v>
      </c>
      <c r="L2836" s="2" t="s">
        <v>1178</v>
      </c>
      <c r="M2836" s="4" t="s">
        <v>14613</v>
      </c>
    </row>
    <row r="2837" spans="1:13">
      <c r="A2837" s="2">
        <v>46812</v>
      </c>
      <c r="B2837" s="2" t="s">
        <v>14614</v>
      </c>
      <c r="C2837" s="2">
        <v>19</v>
      </c>
      <c r="D2837" s="2">
        <v>556</v>
      </c>
      <c r="E2837" s="2">
        <v>200</v>
      </c>
      <c r="F2837" s="2">
        <v>32441</v>
      </c>
      <c r="G2837" s="2">
        <v>5.542976619</v>
      </c>
      <c r="H2837" s="3">
        <v>7.1600000000000001E-9</v>
      </c>
      <c r="I2837" s="2" t="s">
        <v>14615</v>
      </c>
      <c r="J2837" s="2" t="s">
        <v>14616</v>
      </c>
      <c r="K2837" s="3">
        <v>5.0600000000000003E-8</v>
      </c>
      <c r="L2837" s="2" t="s">
        <v>1178</v>
      </c>
      <c r="M2837" s="4" t="s">
        <v>14617</v>
      </c>
    </row>
    <row r="2838" spans="1:13">
      <c r="A2838" s="2">
        <v>47381</v>
      </c>
      <c r="B2838" s="2" t="s">
        <v>14618</v>
      </c>
      <c r="C2838" s="2">
        <v>19</v>
      </c>
      <c r="D2838" s="2">
        <v>556</v>
      </c>
      <c r="E2838" s="2">
        <v>200</v>
      </c>
      <c r="F2838" s="2">
        <v>32441</v>
      </c>
      <c r="G2838" s="2">
        <v>5.542976619</v>
      </c>
      <c r="H2838" s="3">
        <v>7.1600000000000001E-9</v>
      </c>
      <c r="I2838" s="2" t="s">
        <v>14619</v>
      </c>
      <c r="J2838" s="2" t="s">
        <v>14620</v>
      </c>
      <c r="K2838" s="3">
        <v>5.0600000000000003E-8</v>
      </c>
      <c r="L2838" s="2" t="s">
        <v>1178</v>
      </c>
      <c r="M2838" s="4" t="s">
        <v>14621</v>
      </c>
    </row>
    <row r="2839" spans="1:13">
      <c r="A2839" s="2">
        <v>4811</v>
      </c>
      <c r="B2839" s="2" t="s">
        <v>2283</v>
      </c>
      <c r="C2839" s="2">
        <v>19</v>
      </c>
      <c r="D2839" s="2">
        <v>556</v>
      </c>
      <c r="E2839" s="2">
        <v>200</v>
      </c>
      <c r="F2839" s="2">
        <v>32441</v>
      </c>
      <c r="G2839" s="2">
        <v>5.542976619</v>
      </c>
      <c r="H2839" s="3">
        <v>7.1600000000000001E-9</v>
      </c>
      <c r="I2839" s="2" t="s">
        <v>14622</v>
      </c>
      <c r="J2839" s="2" t="s">
        <v>14623</v>
      </c>
      <c r="K2839" s="3">
        <v>5.0600000000000003E-8</v>
      </c>
      <c r="L2839" s="2" t="s">
        <v>1178</v>
      </c>
      <c r="M2839" s="4" t="s">
        <v>14624</v>
      </c>
    </row>
    <row r="2840" spans="1:13">
      <c r="A2840" s="2">
        <v>2438</v>
      </c>
      <c r="B2840" s="2" t="s">
        <v>14625</v>
      </c>
      <c r="C2840" s="2">
        <v>18</v>
      </c>
      <c r="D2840" s="2">
        <v>556</v>
      </c>
      <c r="E2840" s="2">
        <v>178</v>
      </c>
      <c r="F2840" s="2">
        <v>32441</v>
      </c>
      <c r="G2840" s="2">
        <v>5.900270795</v>
      </c>
      <c r="H2840" s="3">
        <v>7.2900000000000003E-9</v>
      </c>
      <c r="I2840" s="2" t="s">
        <v>14626</v>
      </c>
      <c r="J2840" s="2" t="s">
        <v>14627</v>
      </c>
      <c r="K2840" s="3">
        <v>5.1399999999999997E-8</v>
      </c>
      <c r="L2840" s="2" t="s">
        <v>1178</v>
      </c>
      <c r="M2840" s="4" t="s">
        <v>14628</v>
      </c>
    </row>
    <row r="2841" spans="1:13">
      <c r="A2841" s="2">
        <v>3237</v>
      </c>
      <c r="B2841" s="2" t="s">
        <v>14629</v>
      </c>
      <c r="C2841" s="2">
        <v>18</v>
      </c>
      <c r="D2841" s="2">
        <v>556</v>
      </c>
      <c r="E2841" s="2">
        <v>178</v>
      </c>
      <c r="F2841" s="2">
        <v>32441</v>
      </c>
      <c r="G2841" s="2">
        <v>5.900270795</v>
      </c>
      <c r="H2841" s="3">
        <v>7.2900000000000003E-9</v>
      </c>
      <c r="I2841" s="2" t="s">
        <v>14630</v>
      </c>
      <c r="J2841" s="2" t="s">
        <v>14631</v>
      </c>
      <c r="K2841" s="3">
        <v>5.1399999999999997E-8</v>
      </c>
      <c r="L2841" s="2" t="s">
        <v>1178</v>
      </c>
      <c r="M2841" s="4" t="s">
        <v>14632</v>
      </c>
    </row>
    <row r="2842" spans="1:13">
      <c r="A2842" s="2">
        <v>33041</v>
      </c>
      <c r="B2842" s="2" t="s">
        <v>1536</v>
      </c>
      <c r="C2842" s="2">
        <v>17</v>
      </c>
      <c r="D2842" s="2">
        <v>556</v>
      </c>
      <c r="E2842" s="2">
        <v>160</v>
      </c>
      <c r="F2842" s="2">
        <v>32441</v>
      </c>
      <c r="G2842" s="2">
        <v>6.1993817450000002</v>
      </c>
      <c r="H2842" s="3">
        <v>9.7200000000000003E-9</v>
      </c>
      <c r="I2842" s="2" t="s">
        <v>14633</v>
      </c>
      <c r="J2842" s="2" t="s">
        <v>14634</v>
      </c>
      <c r="K2842" s="3">
        <v>6.8499999999999998E-8</v>
      </c>
      <c r="L2842" s="2" t="s">
        <v>1178</v>
      </c>
      <c r="M2842" s="4" t="s">
        <v>14635</v>
      </c>
    </row>
    <row r="2843" spans="1:13">
      <c r="A2843" s="2">
        <v>1758</v>
      </c>
      <c r="B2843" s="2" t="s">
        <v>14636</v>
      </c>
      <c r="C2843" s="2">
        <v>17</v>
      </c>
      <c r="D2843" s="2">
        <v>556</v>
      </c>
      <c r="E2843" s="2">
        <v>163</v>
      </c>
      <c r="F2843" s="2">
        <v>32441</v>
      </c>
      <c r="G2843" s="2">
        <v>6.085282694</v>
      </c>
      <c r="H2843" s="3">
        <v>1.2499999999999999E-8</v>
      </c>
      <c r="I2843" s="2" t="s">
        <v>14637</v>
      </c>
      <c r="J2843" s="2" t="s">
        <v>14638</v>
      </c>
      <c r="K2843" s="3">
        <v>8.7999999999999994E-8</v>
      </c>
      <c r="L2843" s="2" t="s">
        <v>1178</v>
      </c>
      <c r="M2843" s="4" t="s">
        <v>14639</v>
      </c>
    </row>
    <row r="2844" spans="1:13">
      <c r="A2844" s="2">
        <v>4027</v>
      </c>
      <c r="B2844" s="2" t="s">
        <v>14640</v>
      </c>
      <c r="C2844" s="2">
        <v>17</v>
      </c>
      <c r="D2844" s="2">
        <v>556</v>
      </c>
      <c r="E2844" s="2">
        <v>166</v>
      </c>
      <c r="F2844" s="2">
        <v>32441</v>
      </c>
      <c r="G2844" s="2">
        <v>5.9753077059999997</v>
      </c>
      <c r="H2844" s="3">
        <v>1.6000000000000001E-8</v>
      </c>
      <c r="I2844" s="2" t="s">
        <v>14641</v>
      </c>
      <c r="J2844" s="2" t="s">
        <v>14642</v>
      </c>
      <c r="K2844" s="3">
        <v>1.1300000000000001E-7</v>
      </c>
      <c r="L2844" s="2" t="s">
        <v>1178</v>
      </c>
      <c r="M2844" s="4" t="s">
        <v>14643</v>
      </c>
    </row>
    <row r="2845" spans="1:13">
      <c r="A2845" s="2">
        <v>4221</v>
      </c>
      <c r="B2845" s="2" t="s">
        <v>14644</v>
      </c>
      <c r="C2845" s="2">
        <v>17</v>
      </c>
      <c r="D2845" s="2">
        <v>556</v>
      </c>
      <c r="E2845" s="2">
        <v>167</v>
      </c>
      <c r="F2845" s="2">
        <v>32441</v>
      </c>
      <c r="G2845" s="2">
        <v>5.9395274200000001</v>
      </c>
      <c r="H2845" s="3">
        <v>1.74E-8</v>
      </c>
      <c r="I2845" s="2" t="s">
        <v>14645</v>
      </c>
      <c r="J2845" s="2" t="s">
        <v>14646</v>
      </c>
      <c r="K2845" s="3">
        <v>1.2200000000000001E-7</v>
      </c>
      <c r="L2845" s="2" t="s">
        <v>1178</v>
      </c>
      <c r="M2845" s="4" t="s">
        <v>14647</v>
      </c>
    </row>
    <row r="2846" spans="1:13">
      <c r="A2846" s="2">
        <v>2472</v>
      </c>
      <c r="B2846" s="2" t="s">
        <v>14648</v>
      </c>
      <c r="C2846" s="2">
        <v>17</v>
      </c>
      <c r="D2846" s="2">
        <v>556</v>
      </c>
      <c r="E2846" s="2">
        <v>168</v>
      </c>
      <c r="F2846" s="2">
        <v>32441</v>
      </c>
      <c r="G2846" s="2">
        <v>5.9041730899999996</v>
      </c>
      <c r="H2846" s="3">
        <v>1.89E-8</v>
      </c>
      <c r="I2846" s="2" t="s">
        <v>14649</v>
      </c>
      <c r="J2846" s="2" t="s">
        <v>14650</v>
      </c>
      <c r="K2846" s="3">
        <v>1.3199999999999999E-7</v>
      </c>
      <c r="L2846" s="2" t="s">
        <v>1178</v>
      </c>
      <c r="M2846" s="4" t="s">
        <v>14651</v>
      </c>
    </row>
    <row r="2847" spans="1:13">
      <c r="A2847" s="2">
        <v>2802</v>
      </c>
      <c r="B2847" s="2" t="s">
        <v>14652</v>
      </c>
      <c r="C2847" s="2">
        <v>16</v>
      </c>
      <c r="D2847" s="2">
        <v>556</v>
      </c>
      <c r="E2847" s="2">
        <v>147</v>
      </c>
      <c r="F2847" s="2">
        <v>32441</v>
      </c>
      <c r="G2847" s="2">
        <v>6.3507071890000004</v>
      </c>
      <c r="H2847" s="3">
        <v>1.9399999999999998E-8</v>
      </c>
      <c r="I2847" s="2" t="s">
        <v>14653</v>
      </c>
      <c r="J2847" s="2" t="s">
        <v>14654</v>
      </c>
      <c r="K2847" s="3">
        <v>1.35E-7</v>
      </c>
      <c r="L2847" s="2" t="s">
        <v>1178</v>
      </c>
      <c r="M2847" s="4" t="s">
        <v>14655</v>
      </c>
    </row>
    <row r="2848" spans="1:13">
      <c r="A2848" s="2">
        <v>2810</v>
      </c>
      <c r="B2848" s="2" t="s">
        <v>14656</v>
      </c>
      <c r="C2848" s="2">
        <v>16</v>
      </c>
      <c r="D2848" s="2">
        <v>556</v>
      </c>
      <c r="E2848" s="2">
        <v>149</v>
      </c>
      <c r="F2848" s="2">
        <v>32441</v>
      </c>
      <c r="G2848" s="2">
        <v>6.2654627979999997</v>
      </c>
      <c r="H2848" s="3">
        <v>2.3099999999999998E-8</v>
      </c>
      <c r="I2848" s="2" t="s">
        <v>14657</v>
      </c>
      <c r="J2848" s="2" t="s">
        <v>14658</v>
      </c>
      <c r="K2848" s="3">
        <v>1.61E-7</v>
      </c>
      <c r="L2848" s="2" t="s">
        <v>1178</v>
      </c>
      <c r="M2848" s="4" t="s">
        <v>14659</v>
      </c>
    </row>
    <row r="2849" spans="1:13">
      <c r="A2849" s="2">
        <v>43211</v>
      </c>
      <c r="B2849" s="2" t="s">
        <v>3294</v>
      </c>
      <c r="C2849" s="2">
        <v>18</v>
      </c>
      <c r="D2849" s="2">
        <v>556</v>
      </c>
      <c r="E2849" s="2">
        <v>194</v>
      </c>
      <c r="F2849" s="2">
        <v>32441</v>
      </c>
      <c r="G2849" s="2">
        <v>5.4136505230000003</v>
      </c>
      <c r="H2849" s="3">
        <v>2.4900000000000001E-8</v>
      </c>
      <c r="I2849" s="2" t="s">
        <v>14660</v>
      </c>
      <c r="J2849" s="2" t="s">
        <v>14661</v>
      </c>
      <c r="K2849" s="3">
        <v>1.73E-7</v>
      </c>
      <c r="L2849" s="2" t="s">
        <v>1178</v>
      </c>
      <c r="M2849" s="4" t="s">
        <v>3297</v>
      </c>
    </row>
    <row r="2850" spans="1:13">
      <c r="A2850" s="2">
        <v>2440</v>
      </c>
      <c r="B2850" s="2" t="s">
        <v>14662</v>
      </c>
      <c r="C2850" s="2">
        <v>17</v>
      </c>
      <c r="D2850" s="2">
        <v>556</v>
      </c>
      <c r="E2850" s="2">
        <v>172</v>
      </c>
      <c r="F2850" s="2">
        <v>32441</v>
      </c>
      <c r="G2850" s="2">
        <v>5.7668667390000001</v>
      </c>
      <c r="H2850" s="3">
        <v>2.59E-8</v>
      </c>
      <c r="I2850" s="2" t="s">
        <v>14663</v>
      </c>
      <c r="J2850" s="2" t="s">
        <v>14664</v>
      </c>
      <c r="K2850" s="3">
        <v>1.8099999999999999E-7</v>
      </c>
      <c r="L2850" s="2" t="s">
        <v>1178</v>
      </c>
      <c r="M2850" s="4" t="s">
        <v>14665</v>
      </c>
    </row>
    <row r="2851" spans="1:13">
      <c r="A2851" s="2">
        <v>2176</v>
      </c>
      <c r="B2851" s="2" t="s">
        <v>14666</v>
      </c>
      <c r="C2851" s="2">
        <v>16</v>
      </c>
      <c r="D2851" s="2">
        <v>556</v>
      </c>
      <c r="E2851" s="2">
        <v>151</v>
      </c>
      <c r="F2851" s="2">
        <v>32441</v>
      </c>
      <c r="G2851" s="2">
        <v>6.1824765350000002</v>
      </c>
      <c r="H2851" s="3">
        <v>2.7400000000000001E-8</v>
      </c>
      <c r="I2851" s="2" t="s">
        <v>14667</v>
      </c>
      <c r="J2851" s="2" t="s">
        <v>14668</v>
      </c>
      <c r="K2851" s="3">
        <v>1.9000000000000001E-7</v>
      </c>
      <c r="L2851" s="2" t="s">
        <v>1178</v>
      </c>
      <c r="M2851" s="4" t="s">
        <v>14669</v>
      </c>
    </row>
    <row r="2852" spans="1:13">
      <c r="A2852" s="2">
        <v>4317</v>
      </c>
      <c r="B2852" s="2" t="s">
        <v>14670</v>
      </c>
      <c r="C2852" s="2">
        <v>18</v>
      </c>
      <c r="D2852" s="2">
        <v>556</v>
      </c>
      <c r="E2852" s="2">
        <v>196</v>
      </c>
      <c r="F2852" s="2">
        <v>32441</v>
      </c>
      <c r="G2852" s="2">
        <v>5.3584091909999998</v>
      </c>
      <c r="H2852" s="3">
        <v>2.8699999999999999E-8</v>
      </c>
      <c r="I2852" s="2" t="s">
        <v>14671</v>
      </c>
      <c r="J2852" s="2" t="s">
        <v>14672</v>
      </c>
      <c r="K2852" s="3">
        <v>1.99E-7</v>
      </c>
      <c r="L2852" s="2" t="s">
        <v>1178</v>
      </c>
      <c r="M2852" s="4" t="s">
        <v>14673</v>
      </c>
    </row>
    <row r="2853" spans="1:13">
      <c r="A2853" s="2">
        <v>38791</v>
      </c>
      <c r="B2853" s="2" t="s">
        <v>14674</v>
      </c>
      <c r="C2853" s="2">
        <v>18</v>
      </c>
      <c r="D2853" s="2">
        <v>556</v>
      </c>
      <c r="E2853" s="2">
        <v>197</v>
      </c>
      <c r="F2853" s="2">
        <v>32441</v>
      </c>
      <c r="G2853" s="2">
        <v>5.3312091439999998</v>
      </c>
      <c r="H2853" s="3">
        <v>3.0899999999999999E-8</v>
      </c>
      <c r="I2853" s="2" t="s">
        <v>14675</v>
      </c>
      <c r="J2853" s="2" t="s">
        <v>14676</v>
      </c>
      <c r="K2853" s="3">
        <v>2.1400000000000001E-7</v>
      </c>
      <c r="L2853" s="2" t="s">
        <v>1178</v>
      </c>
      <c r="M2853" s="4" t="s">
        <v>14677</v>
      </c>
    </row>
    <row r="2854" spans="1:13">
      <c r="A2854" s="2">
        <v>1710</v>
      </c>
      <c r="B2854" s="2" t="s">
        <v>14678</v>
      </c>
      <c r="C2854" s="2">
        <v>18</v>
      </c>
      <c r="D2854" s="2">
        <v>556</v>
      </c>
      <c r="E2854" s="2">
        <v>200</v>
      </c>
      <c r="F2854" s="2">
        <v>32441</v>
      </c>
      <c r="G2854" s="2">
        <v>5.251241007</v>
      </c>
      <c r="H2854" s="3">
        <v>3.8199999999999998E-8</v>
      </c>
      <c r="I2854" s="2" t="s">
        <v>14679</v>
      </c>
      <c r="J2854" s="2" t="s">
        <v>14680</v>
      </c>
      <c r="K2854" s="3">
        <v>2.3300000000000001E-7</v>
      </c>
      <c r="L2854" s="2" t="s">
        <v>1178</v>
      </c>
      <c r="M2854" s="4" t="s">
        <v>14681</v>
      </c>
    </row>
    <row r="2855" spans="1:13">
      <c r="A2855" s="2">
        <v>41</v>
      </c>
      <c r="B2855" s="2" t="s">
        <v>14682</v>
      </c>
      <c r="C2855" s="2">
        <v>18</v>
      </c>
      <c r="D2855" s="2">
        <v>556</v>
      </c>
      <c r="E2855" s="2">
        <v>200</v>
      </c>
      <c r="F2855" s="2">
        <v>32441</v>
      </c>
      <c r="G2855" s="2">
        <v>5.251241007</v>
      </c>
      <c r="H2855" s="3">
        <v>3.8199999999999998E-8</v>
      </c>
      <c r="I2855" s="2" t="s">
        <v>14683</v>
      </c>
      <c r="J2855" s="2" t="s">
        <v>14684</v>
      </c>
      <c r="K2855" s="3">
        <v>2.3300000000000001E-7</v>
      </c>
      <c r="L2855" s="2" t="s">
        <v>1178</v>
      </c>
      <c r="M2855" s="4" t="s">
        <v>14685</v>
      </c>
    </row>
    <row r="2856" spans="1:13">
      <c r="A2856" s="2">
        <v>1161</v>
      </c>
      <c r="B2856" s="2" t="s">
        <v>2310</v>
      </c>
      <c r="C2856" s="2">
        <v>18</v>
      </c>
      <c r="D2856" s="2">
        <v>556</v>
      </c>
      <c r="E2856" s="2">
        <v>200</v>
      </c>
      <c r="F2856" s="2">
        <v>32441</v>
      </c>
      <c r="G2856" s="2">
        <v>5.251241007</v>
      </c>
      <c r="H2856" s="3">
        <v>3.8199999999999998E-8</v>
      </c>
      <c r="I2856" s="2" t="s">
        <v>14686</v>
      </c>
      <c r="J2856" s="2" t="s">
        <v>14687</v>
      </c>
      <c r="K2856" s="3">
        <v>2.3300000000000001E-7</v>
      </c>
      <c r="L2856" s="2" t="s">
        <v>1178</v>
      </c>
      <c r="M2856" s="4" t="s">
        <v>14688</v>
      </c>
    </row>
    <row r="2857" spans="1:13">
      <c r="A2857" s="2">
        <v>231</v>
      </c>
      <c r="B2857" s="2" t="s">
        <v>14689</v>
      </c>
      <c r="C2857" s="2">
        <v>18</v>
      </c>
      <c r="D2857" s="2">
        <v>556</v>
      </c>
      <c r="E2857" s="2">
        <v>200</v>
      </c>
      <c r="F2857" s="2">
        <v>32441</v>
      </c>
      <c r="G2857" s="2">
        <v>5.251241007</v>
      </c>
      <c r="H2857" s="3">
        <v>3.8199999999999998E-8</v>
      </c>
      <c r="I2857" s="2" t="s">
        <v>14690</v>
      </c>
      <c r="J2857" s="2" t="s">
        <v>14691</v>
      </c>
      <c r="K2857" s="3">
        <v>2.3300000000000001E-7</v>
      </c>
      <c r="L2857" s="2" t="s">
        <v>1178</v>
      </c>
      <c r="M2857" s="4" t="s">
        <v>14692</v>
      </c>
    </row>
    <row r="2858" spans="1:13">
      <c r="A2858" s="2">
        <v>2323</v>
      </c>
      <c r="B2858" s="2" t="s">
        <v>14693</v>
      </c>
      <c r="C2858" s="2">
        <v>18</v>
      </c>
      <c r="D2858" s="2">
        <v>556</v>
      </c>
      <c r="E2858" s="2">
        <v>200</v>
      </c>
      <c r="F2858" s="2">
        <v>32441</v>
      </c>
      <c r="G2858" s="2">
        <v>5.251241007</v>
      </c>
      <c r="H2858" s="3">
        <v>3.8199999999999998E-8</v>
      </c>
      <c r="I2858" s="2" t="s">
        <v>14694</v>
      </c>
      <c r="J2858" s="2" t="s">
        <v>14695</v>
      </c>
      <c r="K2858" s="3">
        <v>2.3300000000000001E-7</v>
      </c>
      <c r="L2858" s="2" t="s">
        <v>1178</v>
      </c>
      <c r="M2858" s="4" t="s">
        <v>14696</v>
      </c>
    </row>
    <row r="2859" spans="1:13">
      <c r="A2859" s="2">
        <v>7422</v>
      </c>
      <c r="B2859" s="2" t="s">
        <v>14697</v>
      </c>
      <c r="C2859" s="2">
        <v>18</v>
      </c>
      <c r="D2859" s="2">
        <v>556</v>
      </c>
      <c r="E2859" s="2">
        <v>200</v>
      </c>
      <c r="F2859" s="2">
        <v>32441</v>
      </c>
      <c r="G2859" s="2">
        <v>5.251241007</v>
      </c>
      <c r="H2859" s="3">
        <v>3.8199999999999998E-8</v>
      </c>
      <c r="I2859" s="2" t="s">
        <v>14698</v>
      </c>
      <c r="J2859" s="2" t="s">
        <v>14699</v>
      </c>
      <c r="K2859" s="3">
        <v>2.3300000000000001E-7</v>
      </c>
      <c r="L2859" s="2" t="s">
        <v>1178</v>
      </c>
      <c r="M2859" s="4" t="s">
        <v>14700</v>
      </c>
    </row>
    <row r="2860" spans="1:13">
      <c r="A2860" s="2">
        <v>7442</v>
      </c>
      <c r="B2860" s="2" t="s">
        <v>14701</v>
      </c>
      <c r="C2860" s="2">
        <v>18</v>
      </c>
      <c r="D2860" s="2">
        <v>556</v>
      </c>
      <c r="E2860" s="2">
        <v>200</v>
      </c>
      <c r="F2860" s="2">
        <v>32441</v>
      </c>
      <c r="G2860" s="2">
        <v>5.251241007</v>
      </c>
      <c r="H2860" s="3">
        <v>3.8199999999999998E-8</v>
      </c>
      <c r="I2860" s="2" t="s">
        <v>14702</v>
      </c>
      <c r="J2860" s="2" t="s">
        <v>14703</v>
      </c>
      <c r="K2860" s="3">
        <v>2.3300000000000001E-7</v>
      </c>
      <c r="L2860" s="2" t="s">
        <v>1178</v>
      </c>
      <c r="M2860" s="4" t="s">
        <v>14704</v>
      </c>
    </row>
    <row r="2861" spans="1:13">
      <c r="A2861" s="2">
        <v>8841</v>
      </c>
      <c r="B2861" s="2" t="s">
        <v>14705</v>
      </c>
      <c r="C2861" s="2">
        <v>18</v>
      </c>
      <c r="D2861" s="2">
        <v>556</v>
      </c>
      <c r="E2861" s="2">
        <v>200</v>
      </c>
      <c r="F2861" s="2">
        <v>32441</v>
      </c>
      <c r="G2861" s="2">
        <v>5.251241007</v>
      </c>
      <c r="H2861" s="3">
        <v>3.8199999999999998E-8</v>
      </c>
      <c r="I2861" s="2" t="s">
        <v>14706</v>
      </c>
      <c r="J2861" s="2" t="s">
        <v>14707</v>
      </c>
      <c r="K2861" s="3">
        <v>2.3300000000000001E-7</v>
      </c>
      <c r="L2861" s="2" t="s">
        <v>1178</v>
      </c>
      <c r="M2861" s="4" t="s">
        <v>14708</v>
      </c>
    </row>
    <row r="2862" spans="1:13">
      <c r="A2862" s="2">
        <v>934</v>
      </c>
      <c r="B2862" s="2" t="s">
        <v>14709</v>
      </c>
      <c r="C2862" s="2">
        <v>18</v>
      </c>
      <c r="D2862" s="2">
        <v>556</v>
      </c>
      <c r="E2862" s="2">
        <v>200</v>
      </c>
      <c r="F2862" s="2">
        <v>32441</v>
      </c>
      <c r="G2862" s="2">
        <v>5.251241007</v>
      </c>
      <c r="H2862" s="3">
        <v>3.8199999999999998E-8</v>
      </c>
      <c r="I2862" s="2" t="s">
        <v>14710</v>
      </c>
      <c r="J2862" s="2" t="s">
        <v>14711</v>
      </c>
      <c r="K2862" s="3">
        <v>2.3300000000000001E-7</v>
      </c>
      <c r="L2862" s="2" t="s">
        <v>1178</v>
      </c>
      <c r="M2862" s="4" t="s">
        <v>14712</v>
      </c>
    </row>
    <row r="2863" spans="1:13">
      <c r="A2863" s="2">
        <v>959</v>
      </c>
      <c r="B2863" s="2" t="s">
        <v>1338</v>
      </c>
      <c r="C2863" s="2">
        <v>18</v>
      </c>
      <c r="D2863" s="2">
        <v>556</v>
      </c>
      <c r="E2863" s="2">
        <v>200</v>
      </c>
      <c r="F2863" s="2">
        <v>32441</v>
      </c>
      <c r="G2863" s="2">
        <v>5.251241007</v>
      </c>
      <c r="H2863" s="3">
        <v>3.8199999999999998E-8</v>
      </c>
      <c r="I2863" s="2" t="s">
        <v>14713</v>
      </c>
      <c r="J2863" s="2" t="s">
        <v>14714</v>
      </c>
      <c r="K2863" s="3">
        <v>2.3300000000000001E-7</v>
      </c>
      <c r="L2863" s="2" t="s">
        <v>1178</v>
      </c>
      <c r="M2863" s="4" t="s">
        <v>14715</v>
      </c>
    </row>
    <row r="2864" spans="1:13">
      <c r="A2864" s="2">
        <v>10671</v>
      </c>
      <c r="B2864" s="2" t="s">
        <v>14716</v>
      </c>
      <c r="C2864" s="2">
        <v>18</v>
      </c>
      <c r="D2864" s="2">
        <v>556</v>
      </c>
      <c r="E2864" s="2">
        <v>200</v>
      </c>
      <c r="F2864" s="2">
        <v>32441</v>
      </c>
      <c r="G2864" s="2">
        <v>5.251241007</v>
      </c>
      <c r="H2864" s="3">
        <v>3.8199999999999998E-8</v>
      </c>
      <c r="I2864" s="2" t="s">
        <v>14717</v>
      </c>
      <c r="J2864" s="2" t="s">
        <v>14718</v>
      </c>
      <c r="K2864" s="3">
        <v>2.3300000000000001E-7</v>
      </c>
      <c r="L2864" s="2" t="s">
        <v>1178</v>
      </c>
      <c r="M2864" s="4" t="s">
        <v>14719</v>
      </c>
    </row>
    <row r="2865" spans="1:13">
      <c r="A2865" s="2">
        <v>1100</v>
      </c>
      <c r="B2865" s="2" t="s">
        <v>14720</v>
      </c>
      <c r="C2865" s="2">
        <v>18</v>
      </c>
      <c r="D2865" s="2">
        <v>556</v>
      </c>
      <c r="E2865" s="2">
        <v>200</v>
      </c>
      <c r="F2865" s="2">
        <v>32441</v>
      </c>
      <c r="G2865" s="2">
        <v>5.251241007</v>
      </c>
      <c r="H2865" s="3">
        <v>3.8199999999999998E-8</v>
      </c>
      <c r="I2865" s="2" t="s">
        <v>14721</v>
      </c>
      <c r="J2865" s="2" t="s">
        <v>14722</v>
      </c>
      <c r="K2865" s="3">
        <v>2.3300000000000001E-7</v>
      </c>
      <c r="L2865" s="2" t="s">
        <v>1178</v>
      </c>
      <c r="M2865" s="4" t="s">
        <v>14723</v>
      </c>
    </row>
    <row r="2866" spans="1:13">
      <c r="A2866" s="2">
        <v>11181</v>
      </c>
      <c r="B2866" s="2" t="s">
        <v>14724</v>
      </c>
      <c r="C2866" s="2">
        <v>18</v>
      </c>
      <c r="D2866" s="2">
        <v>556</v>
      </c>
      <c r="E2866" s="2">
        <v>200</v>
      </c>
      <c r="F2866" s="2">
        <v>32441</v>
      </c>
      <c r="G2866" s="2">
        <v>5.251241007</v>
      </c>
      <c r="H2866" s="3">
        <v>3.8199999999999998E-8</v>
      </c>
      <c r="I2866" s="2" t="s">
        <v>14725</v>
      </c>
      <c r="J2866" s="2" t="s">
        <v>14726</v>
      </c>
      <c r="K2866" s="3">
        <v>2.3300000000000001E-7</v>
      </c>
      <c r="L2866" s="2" t="s">
        <v>1178</v>
      </c>
      <c r="M2866" s="4" t="s">
        <v>14727</v>
      </c>
    </row>
    <row r="2867" spans="1:13">
      <c r="A2867" s="2">
        <v>1130</v>
      </c>
      <c r="B2867" s="2" t="s">
        <v>14728</v>
      </c>
      <c r="C2867" s="2">
        <v>18</v>
      </c>
      <c r="D2867" s="2">
        <v>556</v>
      </c>
      <c r="E2867" s="2">
        <v>200</v>
      </c>
      <c r="F2867" s="2">
        <v>32441</v>
      </c>
      <c r="G2867" s="2">
        <v>5.251241007</v>
      </c>
      <c r="H2867" s="3">
        <v>3.8199999999999998E-8</v>
      </c>
      <c r="I2867" s="2" t="s">
        <v>14729</v>
      </c>
      <c r="J2867" s="2" t="s">
        <v>14730</v>
      </c>
      <c r="K2867" s="3">
        <v>2.3300000000000001E-7</v>
      </c>
      <c r="L2867" s="2" t="s">
        <v>1178</v>
      </c>
      <c r="M2867" s="4" t="s">
        <v>14731</v>
      </c>
    </row>
    <row r="2868" spans="1:13">
      <c r="A2868" s="2">
        <v>12812</v>
      </c>
      <c r="B2868" s="2" t="s">
        <v>1680</v>
      </c>
      <c r="C2868" s="2">
        <v>18</v>
      </c>
      <c r="D2868" s="2">
        <v>556</v>
      </c>
      <c r="E2868" s="2">
        <v>200</v>
      </c>
      <c r="F2868" s="2">
        <v>32441</v>
      </c>
      <c r="G2868" s="2">
        <v>5.251241007</v>
      </c>
      <c r="H2868" s="3">
        <v>3.8199999999999998E-8</v>
      </c>
      <c r="I2868" s="2" t="s">
        <v>14732</v>
      </c>
      <c r="J2868" s="2" t="s">
        <v>14733</v>
      </c>
      <c r="K2868" s="3">
        <v>2.3300000000000001E-7</v>
      </c>
      <c r="L2868" s="2" t="s">
        <v>1178</v>
      </c>
      <c r="M2868" s="4" t="s">
        <v>14734</v>
      </c>
    </row>
    <row r="2869" spans="1:13">
      <c r="A2869" s="2">
        <v>12851</v>
      </c>
      <c r="B2869" s="2" t="s">
        <v>14735</v>
      </c>
      <c r="C2869" s="2">
        <v>18</v>
      </c>
      <c r="D2869" s="2">
        <v>556</v>
      </c>
      <c r="E2869" s="2">
        <v>200</v>
      </c>
      <c r="F2869" s="2">
        <v>32441</v>
      </c>
      <c r="G2869" s="2">
        <v>5.251241007</v>
      </c>
      <c r="H2869" s="3">
        <v>3.8199999999999998E-8</v>
      </c>
      <c r="I2869" s="2" t="s">
        <v>14736</v>
      </c>
      <c r="J2869" s="2" t="s">
        <v>14737</v>
      </c>
      <c r="K2869" s="3">
        <v>2.3300000000000001E-7</v>
      </c>
      <c r="L2869" s="2" t="s">
        <v>1178</v>
      </c>
      <c r="M2869" s="4" t="s">
        <v>14738</v>
      </c>
    </row>
    <row r="2870" spans="1:13">
      <c r="A2870" s="2">
        <v>1330</v>
      </c>
      <c r="B2870" s="2" t="s">
        <v>14739</v>
      </c>
      <c r="C2870" s="2">
        <v>18</v>
      </c>
      <c r="D2870" s="2">
        <v>556</v>
      </c>
      <c r="E2870" s="2">
        <v>200</v>
      </c>
      <c r="F2870" s="2">
        <v>32441</v>
      </c>
      <c r="G2870" s="2">
        <v>5.251241007</v>
      </c>
      <c r="H2870" s="3">
        <v>3.8199999999999998E-8</v>
      </c>
      <c r="I2870" s="2" t="s">
        <v>14740</v>
      </c>
      <c r="J2870" s="2" t="s">
        <v>14741</v>
      </c>
      <c r="K2870" s="3">
        <v>2.3300000000000001E-7</v>
      </c>
      <c r="L2870" s="2" t="s">
        <v>1178</v>
      </c>
      <c r="M2870" s="4" t="s">
        <v>14742</v>
      </c>
    </row>
    <row r="2871" spans="1:13">
      <c r="A2871" s="2">
        <v>1350</v>
      </c>
      <c r="B2871" s="2" t="s">
        <v>14743</v>
      </c>
      <c r="C2871" s="2">
        <v>18</v>
      </c>
      <c r="D2871" s="2">
        <v>556</v>
      </c>
      <c r="E2871" s="2">
        <v>200</v>
      </c>
      <c r="F2871" s="2">
        <v>32441</v>
      </c>
      <c r="G2871" s="2">
        <v>5.251241007</v>
      </c>
      <c r="H2871" s="3">
        <v>3.8199999999999998E-8</v>
      </c>
      <c r="I2871" s="2" t="s">
        <v>14744</v>
      </c>
      <c r="J2871" s="2" t="s">
        <v>14745</v>
      </c>
      <c r="K2871" s="3">
        <v>2.3300000000000001E-7</v>
      </c>
      <c r="L2871" s="2" t="s">
        <v>1178</v>
      </c>
      <c r="M2871" s="4" t="s">
        <v>14746</v>
      </c>
    </row>
    <row r="2872" spans="1:13">
      <c r="A2872" s="2">
        <v>13522</v>
      </c>
      <c r="B2872" s="2" t="s">
        <v>2448</v>
      </c>
      <c r="C2872" s="2">
        <v>18</v>
      </c>
      <c r="D2872" s="2">
        <v>556</v>
      </c>
      <c r="E2872" s="2">
        <v>200</v>
      </c>
      <c r="F2872" s="2">
        <v>32441</v>
      </c>
      <c r="G2872" s="2">
        <v>5.251241007</v>
      </c>
      <c r="H2872" s="3">
        <v>3.8199999999999998E-8</v>
      </c>
      <c r="I2872" s="2" t="s">
        <v>14747</v>
      </c>
      <c r="J2872" s="2" t="s">
        <v>14748</v>
      </c>
      <c r="K2872" s="3">
        <v>2.3300000000000001E-7</v>
      </c>
      <c r="L2872" s="2" t="s">
        <v>1178</v>
      </c>
      <c r="M2872" s="4" t="s">
        <v>14749</v>
      </c>
    </row>
    <row r="2873" spans="1:13">
      <c r="A2873" s="2">
        <v>1375</v>
      </c>
      <c r="B2873" s="2" t="s">
        <v>14750</v>
      </c>
      <c r="C2873" s="2">
        <v>18</v>
      </c>
      <c r="D2873" s="2">
        <v>556</v>
      </c>
      <c r="E2873" s="2">
        <v>200</v>
      </c>
      <c r="F2873" s="2">
        <v>32441</v>
      </c>
      <c r="G2873" s="2">
        <v>5.251241007</v>
      </c>
      <c r="H2873" s="3">
        <v>3.8199999999999998E-8</v>
      </c>
      <c r="I2873" s="2" t="s">
        <v>14751</v>
      </c>
      <c r="J2873" s="2" t="s">
        <v>14752</v>
      </c>
      <c r="K2873" s="3">
        <v>2.3300000000000001E-7</v>
      </c>
      <c r="L2873" s="2" t="s">
        <v>1178</v>
      </c>
      <c r="M2873" s="4" t="s">
        <v>14753</v>
      </c>
    </row>
    <row r="2874" spans="1:13">
      <c r="A2874" s="2">
        <v>14071</v>
      </c>
      <c r="B2874" s="2" t="s">
        <v>2133</v>
      </c>
      <c r="C2874" s="2">
        <v>18</v>
      </c>
      <c r="D2874" s="2">
        <v>556</v>
      </c>
      <c r="E2874" s="2">
        <v>200</v>
      </c>
      <c r="F2874" s="2">
        <v>32441</v>
      </c>
      <c r="G2874" s="2">
        <v>5.251241007</v>
      </c>
      <c r="H2874" s="3">
        <v>3.8199999999999998E-8</v>
      </c>
      <c r="I2874" s="2" t="s">
        <v>14754</v>
      </c>
      <c r="J2874" s="2" t="s">
        <v>14755</v>
      </c>
      <c r="K2874" s="3">
        <v>2.3300000000000001E-7</v>
      </c>
      <c r="L2874" s="2" t="s">
        <v>1178</v>
      </c>
      <c r="M2874" s="4" t="s">
        <v>14756</v>
      </c>
    </row>
    <row r="2875" spans="1:13">
      <c r="A2875" s="2">
        <v>1423</v>
      </c>
      <c r="B2875" s="2" t="s">
        <v>14757</v>
      </c>
      <c r="C2875" s="2">
        <v>18</v>
      </c>
      <c r="D2875" s="2">
        <v>556</v>
      </c>
      <c r="E2875" s="2">
        <v>200</v>
      </c>
      <c r="F2875" s="2">
        <v>32441</v>
      </c>
      <c r="G2875" s="2">
        <v>5.251241007</v>
      </c>
      <c r="H2875" s="3">
        <v>3.8199999999999998E-8</v>
      </c>
      <c r="I2875" s="2" t="s">
        <v>14758</v>
      </c>
      <c r="J2875" s="2" t="s">
        <v>14759</v>
      </c>
      <c r="K2875" s="3">
        <v>2.3300000000000001E-7</v>
      </c>
      <c r="L2875" s="2" t="s">
        <v>1178</v>
      </c>
      <c r="M2875" s="4" t="s">
        <v>14760</v>
      </c>
    </row>
    <row r="2876" spans="1:13">
      <c r="A2876" s="2">
        <v>14401</v>
      </c>
      <c r="B2876" s="2" t="s">
        <v>14761</v>
      </c>
      <c r="C2876" s="2">
        <v>18</v>
      </c>
      <c r="D2876" s="2">
        <v>556</v>
      </c>
      <c r="E2876" s="2">
        <v>200</v>
      </c>
      <c r="F2876" s="2">
        <v>32441</v>
      </c>
      <c r="G2876" s="2">
        <v>5.251241007</v>
      </c>
      <c r="H2876" s="3">
        <v>3.8199999999999998E-8</v>
      </c>
      <c r="I2876" s="2" t="s">
        <v>14762</v>
      </c>
      <c r="J2876" s="2" t="s">
        <v>14763</v>
      </c>
      <c r="K2876" s="3">
        <v>2.3300000000000001E-7</v>
      </c>
      <c r="L2876" s="2" t="s">
        <v>1178</v>
      </c>
      <c r="M2876" s="4" t="s">
        <v>14764</v>
      </c>
    </row>
    <row r="2877" spans="1:13">
      <c r="A2877" s="2">
        <v>1557</v>
      </c>
      <c r="B2877" s="2" t="s">
        <v>14765</v>
      </c>
      <c r="C2877" s="2">
        <v>18</v>
      </c>
      <c r="D2877" s="2">
        <v>556</v>
      </c>
      <c r="E2877" s="2">
        <v>200</v>
      </c>
      <c r="F2877" s="2">
        <v>32441</v>
      </c>
      <c r="G2877" s="2">
        <v>5.251241007</v>
      </c>
      <c r="H2877" s="3">
        <v>3.8199999999999998E-8</v>
      </c>
      <c r="I2877" s="2" t="s">
        <v>14766</v>
      </c>
      <c r="J2877" s="2" t="s">
        <v>14767</v>
      </c>
      <c r="K2877" s="3">
        <v>2.3300000000000001E-7</v>
      </c>
      <c r="L2877" s="2" t="s">
        <v>1178</v>
      </c>
      <c r="M2877" s="4" t="s">
        <v>14768</v>
      </c>
    </row>
    <row r="2878" spans="1:13">
      <c r="A2878" s="2">
        <v>15611</v>
      </c>
      <c r="B2878" s="2" t="s">
        <v>14769</v>
      </c>
      <c r="C2878" s="2">
        <v>18</v>
      </c>
      <c r="D2878" s="2">
        <v>556</v>
      </c>
      <c r="E2878" s="2">
        <v>199</v>
      </c>
      <c r="F2878" s="2">
        <v>32441</v>
      </c>
      <c r="G2878" s="2">
        <v>5.2776291530000004</v>
      </c>
      <c r="H2878" s="3">
        <v>3.5600000000000001E-8</v>
      </c>
      <c r="I2878" s="2" t="s">
        <v>14770</v>
      </c>
      <c r="J2878" s="2" t="s">
        <v>14771</v>
      </c>
      <c r="K2878" s="3">
        <v>2.3300000000000001E-7</v>
      </c>
      <c r="L2878" s="2" t="s">
        <v>1178</v>
      </c>
      <c r="M2878" s="4" t="s">
        <v>14772</v>
      </c>
    </row>
    <row r="2879" spans="1:13">
      <c r="A2879" s="2">
        <v>1624</v>
      </c>
      <c r="B2879" s="2" t="s">
        <v>14773</v>
      </c>
      <c r="C2879" s="2">
        <v>18</v>
      </c>
      <c r="D2879" s="2">
        <v>556</v>
      </c>
      <c r="E2879" s="2">
        <v>200</v>
      </c>
      <c r="F2879" s="2">
        <v>32441</v>
      </c>
      <c r="G2879" s="2">
        <v>5.251241007</v>
      </c>
      <c r="H2879" s="3">
        <v>3.8199999999999998E-8</v>
      </c>
      <c r="I2879" s="2" t="s">
        <v>14774</v>
      </c>
      <c r="J2879" s="2" t="s">
        <v>14775</v>
      </c>
      <c r="K2879" s="3">
        <v>2.3300000000000001E-7</v>
      </c>
      <c r="L2879" s="2" t="s">
        <v>1178</v>
      </c>
      <c r="M2879" s="4" t="s">
        <v>14776</v>
      </c>
    </row>
    <row r="2880" spans="1:13">
      <c r="A2880" s="2">
        <v>1665</v>
      </c>
      <c r="B2880" s="2" t="s">
        <v>14777</v>
      </c>
      <c r="C2880" s="2">
        <v>18</v>
      </c>
      <c r="D2880" s="2">
        <v>556</v>
      </c>
      <c r="E2880" s="2">
        <v>200</v>
      </c>
      <c r="F2880" s="2">
        <v>32441</v>
      </c>
      <c r="G2880" s="2">
        <v>5.251241007</v>
      </c>
      <c r="H2880" s="3">
        <v>3.8199999999999998E-8</v>
      </c>
      <c r="I2880" s="2" t="s">
        <v>14778</v>
      </c>
      <c r="J2880" s="2" t="s">
        <v>14779</v>
      </c>
      <c r="K2880" s="3">
        <v>2.3300000000000001E-7</v>
      </c>
      <c r="L2880" s="2" t="s">
        <v>1178</v>
      </c>
      <c r="M2880" s="4" t="s">
        <v>14780</v>
      </c>
    </row>
    <row r="2881" spans="1:13">
      <c r="A2881" s="2">
        <v>1689</v>
      </c>
      <c r="B2881" s="2" t="s">
        <v>14781</v>
      </c>
      <c r="C2881" s="2">
        <v>18</v>
      </c>
      <c r="D2881" s="2">
        <v>556</v>
      </c>
      <c r="E2881" s="2">
        <v>200</v>
      </c>
      <c r="F2881" s="2">
        <v>32441</v>
      </c>
      <c r="G2881" s="2">
        <v>5.251241007</v>
      </c>
      <c r="H2881" s="3">
        <v>3.8199999999999998E-8</v>
      </c>
      <c r="I2881" s="2" t="s">
        <v>14782</v>
      </c>
      <c r="J2881" s="2" t="s">
        <v>14783</v>
      </c>
      <c r="K2881" s="3">
        <v>2.3300000000000001E-7</v>
      </c>
      <c r="L2881" s="2" t="s">
        <v>1178</v>
      </c>
      <c r="M2881" s="4" t="s">
        <v>14784</v>
      </c>
    </row>
    <row r="2882" spans="1:13">
      <c r="A2882" s="2">
        <v>1695</v>
      </c>
      <c r="B2882" s="2" t="s">
        <v>14785</v>
      </c>
      <c r="C2882" s="2">
        <v>18</v>
      </c>
      <c r="D2882" s="2">
        <v>556</v>
      </c>
      <c r="E2882" s="2">
        <v>200</v>
      </c>
      <c r="F2882" s="2">
        <v>32441</v>
      </c>
      <c r="G2882" s="2">
        <v>5.251241007</v>
      </c>
      <c r="H2882" s="3">
        <v>3.8199999999999998E-8</v>
      </c>
      <c r="I2882" s="2" t="s">
        <v>14786</v>
      </c>
      <c r="J2882" s="2" t="s">
        <v>14787</v>
      </c>
      <c r="K2882" s="3">
        <v>2.3300000000000001E-7</v>
      </c>
      <c r="L2882" s="2" t="s">
        <v>1178</v>
      </c>
      <c r="M2882" s="4" t="s">
        <v>14788</v>
      </c>
    </row>
    <row r="2883" spans="1:13">
      <c r="A2883" s="2">
        <v>1697</v>
      </c>
      <c r="B2883" s="2" t="s">
        <v>14789</v>
      </c>
      <c r="C2883" s="2">
        <v>18</v>
      </c>
      <c r="D2883" s="2">
        <v>556</v>
      </c>
      <c r="E2883" s="2">
        <v>200</v>
      </c>
      <c r="F2883" s="2">
        <v>32441</v>
      </c>
      <c r="G2883" s="2">
        <v>5.251241007</v>
      </c>
      <c r="H2883" s="3">
        <v>3.8199999999999998E-8</v>
      </c>
      <c r="I2883" s="2" t="s">
        <v>14790</v>
      </c>
      <c r="J2883" s="2" t="s">
        <v>14791</v>
      </c>
      <c r="K2883" s="3">
        <v>2.3300000000000001E-7</v>
      </c>
      <c r="L2883" s="2" t="s">
        <v>1178</v>
      </c>
      <c r="M2883" s="4" t="s">
        <v>14792</v>
      </c>
    </row>
    <row r="2884" spans="1:13">
      <c r="A2884" s="2">
        <v>17181</v>
      </c>
      <c r="B2884" s="2" t="s">
        <v>14793</v>
      </c>
      <c r="C2884" s="2">
        <v>18</v>
      </c>
      <c r="D2884" s="2">
        <v>556</v>
      </c>
      <c r="E2884" s="2">
        <v>200</v>
      </c>
      <c r="F2884" s="2">
        <v>32441</v>
      </c>
      <c r="G2884" s="2">
        <v>5.251241007</v>
      </c>
      <c r="H2884" s="3">
        <v>3.8199999999999998E-8</v>
      </c>
      <c r="I2884" s="2" t="s">
        <v>14794</v>
      </c>
      <c r="J2884" s="2" t="s">
        <v>14795</v>
      </c>
      <c r="K2884" s="3">
        <v>2.3300000000000001E-7</v>
      </c>
      <c r="L2884" s="2" t="s">
        <v>1178</v>
      </c>
      <c r="M2884" s="4" t="s">
        <v>14796</v>
      </c>
    </row>
    <row r="2885" spans="1:13">
      <c r="A2885" s="2">
        <v>17811</v>
      </c>
      <c r="B2885" s="2" t="s">
        <v>14797</v>
      </c>
      <c r="C2885" s="2">
        <v>18</v>
      </c>
      <c r="D2885" s="2">
        <v>556</v>
      </c>
      <c r="E2885" s="2">
        <v>200</v>
      </c>
      <c r="F2885" s="2">
        <v>32441</v>
      </c>
      <c r="G2885" s="2">
        <v>5.251241007</v>
      </c>
      <c r="H2885" s="3">
        <v>3.8199999999999998E-8</v>
      </c>
      <c r="I2885" s="2" t="s">
        <v>14798</v>
      </c>
      <c r="J2885" s="2" t="s">
        <v>14799</v>
      </c>
      <c r="K2885" s="3">
        <v>2.3300000000000001E-7</v>
      </c>
      <c r="L2885" s="2" t="s">
        <v>1178</v>
      </c>
      <c r="M2885" s="4" t="s">
        <v>14800</v>
      </c>
    </row>
    <row r="2886" spans="1:13">
      <c r="A2886" s="2">
        <v>1812</v>
      </c>
      <c r="B2886" s="2" t="s">
        <v>14801</v>
      </c>
      <c r="C2886" s="2">
        <v>18</v>
      </c>
      <c r="D2886" s="2">
        <v>556</v>
      </c>
      <c r="E2886" s="2">
        <v>200</v>
      </c>
      <c r="F2886" s="2">
        <v>32441</v>
      </c>
      <c r="G2886" s="2">
        <v>5.251241007</v>
      </c>
      <c r="H2886" s="3">
        <v>3.8199999999999998E-8</v>
      </c>
      <c r="I2886" s="2" t="s">
        <v>14802</v>
      </c>
      <c r="J2886" s="2" t="s">
        <v>14803</v>
      </c>
      <c r="K2886" s="3">
        <v>2.3300000000000001E-7</v>
      </c>
      <c r="L2886" s="2" t="s">
        <v>1178</v>
      </c>
      <c r="M2886" s="4" t="s">
        <v>14804</v>
      </c>
    </row>
    <row r="2887" spans="1:13">
      <c r="A2887" s="2">
        <v>18331</v>
      </c>
      <c r="B2887" s="2" t="s">
        <v>14805</v>
      </c>
      <c r="C2887" s="2">
        <v>18</v>
      </c>
      <c r="D2887" s="2">
        <v>556</v>
      </c>
      <c r="E2887" s="2">
        <v>200</v>
      </c>
      <c r="F2887" s="2">
        <v>32441</v>
      </c>
      <c r="G2887" s="2">
        <v>5.251241007</v>
      </c>
      <c r="H2887" s="3">
        <v>3.8199999999999998E-8</v>
      </c>
      <c r="I2887" s="2" t="s">
        <v>14806</v>
      </c>
      <c r="J2887" s="2" t="s">
        <v>14807</v>
      </c>
      <c r="K2887" s="3">
        <v>2.3300000000000001E-7</v>
      </c>
      <c r="L2887" s="2" t="s">
        <v>1178</v>
      </c>
      <c r="M2887" s="4" t="s">
        <v>14808</v>
      </c>
    </row>
    <row r="2888" spans="1:13">
      <c r="A2888" s="2">
        <v>1872</v>
      </c>
      <c r="B2888" s="2" t="s">
        <v>14809</v>
      </c>
      <c r="C2888" s="2">
        <v>18</v>
      </c>
      <c r="D2888" s="2">
        <v>556</v>
      </c>
      <c r="E2888" s="2">
        <v>200</v>
      </c>
      <c r="F2888" s="2">
        <v>32441</v>
      </c>
      <c r="G2888" s="2">
        <v>5.251241007</v>
      </c>
      <c r="H2888" s="3">
        <v>3.8199999999999998E-8</v>
      </c>
      <c r="I2888" s="2" t="s">
        <v>14810</v>
      </c>
      <c r="J2888" s="2" t="s">
        <v>14811</v>
      </c>
      <c r="K2888" s="3">
        <v>2.3300000000000001E-7</v>
      </c>
      <c r="L2888" s="2" t="s">
        <v>1178</v>
      </c>
      <c r="M2888" s="4" t="s">
        <v>14812</v>
      </c>
    </row>
    <row r="2889" spans="1:13">
      <c r="A2889" s="2">
        <v>1905</v>
      </c>
      <c r="B2889" s="2" t="s">
        <v>14813</v>
      </c>
      <c r="C2889" s="2">
        <v>18</v>
      </c>
      <c r="D2889" s="2">
        <v>556</v>
      </c>
      <c r="E2889" s="2">
        <v>200</v>
      </c>
      <c r="F2889" s="2">
        <v>32441</v>
      </c>
      <c r="G2889" s="2">
        <v>5.251241007</v>
      </c>
      <c r="H2889" s="3">
        <v>3.8199999999999998E-8</v>
      </c>
      <c r="I2889" s="2" t="s">
        <v>14814</v>
      </c>
      <c r="J2889" s="2" t="s">
        <v>14815</v>
      </c>
      <c r="K2889" s="3">
        <v>2.3300000000000001E-7</v>
      </c>
      <c r="L2889" s="2" t="s">
        <v>1178</v>
      </c>
      <c r="M2889" s="4" t="s">
        <v>14816</v>
      </c>
    </row>
    <row r="2890" spans="1:13">
      <c r="A2890" s="2">
        <v>1927</v>
      </c>
      <c r="B2890" s="2" t="s">
        <v>14817</v>
      </c>
      <c r="C2890" s="2">
        <v>18</v>
      </c>
      <c r="D2890" s="2">
        <v>556</v>
      </c>
      <c r="E2890" s="2">
        <v>200</v>
      </c>
      <c r="F2890" s="2">
        <v>32441</v>
      </c>
      <c r="G2890" s="2">
        <v>5.251241007</v>
      </c>
      <c r="H2890" s="3">
        <v>3.8199999999999998E-8</v>
      </c>
      <c r="I2890" s="2" t="s">
        <v>14818</v>
      </c>
      <c r="J2890" s="2" t="s">
        <v>14819</v>
      </c>
      <c r="K2890" s="3">
        <v>2.3300000000000001E-7</v>
      </c>
      <c r="L2890" s="2" t="s">
        <v>1178</v>
      </c>
      <c r="M2890" s="4" t="s">
        <v>14820</v>
      </c>
    </row>
    <row r="2891" spans="1:13">
      <c r="A2891" s="2">
        <v>1962</v>
      </c>
      <c r="B2891" s="2" t="s">
        <v>14821</v>
      </c>
      <c r="C2891" s="2">
        <v>18</v>
      </c>
      <c r="D2891" s="2">
        <v>556</v>
      </c>
      <c r="E2891" s="2">
        <v>200</v>
      </c>
      <c r="F2891" s="2">
        <v>32441</v>
      </c>
      <c r="G2891" s="2">
        <v>5.251241007</v>
      </c>
      <c r="H2891" s="3">
        <v>3.8199999999999998E-8</v>
      </c>
      <c r="I2891" s="2" t="s">
        <v>14822</v>
      </c>
      <c r="J2891" s="2" t="s">
        <v>14823</v>
      </c>
      <c r="K2891" s="3">
        <v>2.3300000000000001E-7</v>
      </c>
      <c r="L2891" s="2" t="s">
        <v>1178</v>
      </c>
      <c r="M2891" s="4" t="s">
        <v>14824</v>
      </c>
    </row>
    <row r="2892" spans="1:13">
      <c r="A2892" s="2">
        <v>1972</v>
      </c>
      <c r="B2892" s="2" t="s">
        <v>14825</v>
      </c>
      <c r="C2892" s="2">
        <v>18</v>
      </c>
      <c r="D2892" s="2">
        <v>556</v>
      </c>
      <c r="E2892" s="2">
        <v>200</v>
      </c>
      <c r="F2892" s="2">
        <v>32441</v>
      </c>
      <c r="G2892" s="2">
        <v>5.251241007</v>
      </c>
      <c r="H2892" s="3">
        <v>3.8199999999999998E-8</v>
      </c>
      <c r="I2892" s="2" t="s">
        <v>14826</v>
      </c>
      <c r="J2892" s="2" t="s">
        <v>14827</v>
      </c>
      <c r="K2892" s="3">
        <v>2.3300000000000001E-7</v>
      </c>
      <c r="L2892" s="2" t="s">
        <v>1178</v>
      </c>
      <c r="M2892" s="4" t="s">
        <v>14828</v>
      </c>
    </row>
    <row r="2893" spans="1:13">
      <c r="A2893" s="2">
        <v>21601</v>
      </c>
      <c r="B2893" s="2" t="s">
        <v>2205</v>
      </c>
      <c r="C2893" s="2">
        <v>18</v>
      </c>
      <c r="D2893" s="2">
        <v>556</v>
      </c>
      <c r="E2893" s="2">
        <v>200</v>
      </c>
      <c r="F2893" s="2">
        <v>32441</v>
      </c>
      <c r="G2893" s="2">
        <v>5.251241007</v>
      </c>
      <c r="H2893" s="3">
        <v>3.8199999999999998E-8</v>
      </c>
      <c r="I2893" s="2" t="s">
        <v>14829</v>
      </c>
      <c r="J2893" s="2" t="s">
        <v>14830</v>
      </c>
      <c r="K2893" s="3">
        <v>2.3300000000000001E-7</v>
      </c>
      <c r="L2893" s="2" t="s">
        <v>1178</v>
      </c>
      <c r="M2893" s="4" t="s">
        <v>14831</v>
      </c>
    </row>
    <row r="2894" spans="1:13">
      <c r="A2894" s="2">
        <v>2189</v>
      </c>
      <c r="B2894" s="2" t="s">
        <v>14832</v>
      </c>
      <c r="C2894" s="2">
        <v>18</v>
      </c>
      <c r="D2894" s="2">
        <v>556</v>
      </c>
      <c r="E2894" s="2">
        <v>200</v>
      </c>
      <c r="F2894" s="2">
        <v>32441</v>
      </c>
      <c r="G2894" s="2">
        <v>5.251241007</v>
      </c>
      <c r="H2894" s="3">
        <v>3.8199999999999998E-8</v>
      </c>
      <c r="I2894" s="2" t="s">
        <v>14833</v>
      </c>
      <c r="J2894" s="2" t="s">
        <v>14834</v>
      </c>
      <c r="K2894" s="3">
        <v>2.3300000000000001E-7</v>
      </c>
      <c r="L2894" s="2" t="s">
        <v>1178</v>
      </c>
      <c r="M2894" s="4" t="s">
        <v>14835</v>
      </c>
    </row>
    <row r="2895" spans="1:13">
      <c r="A2895" s="2">
        <v>23241</v>
      </c>
      <c r="B2895" s="2" t="s">
        <v>14836</v>
      </c>
      <c r="C2895" s="2">
        <v>18</v>
      </c>
      <c r="D2895" s="2">
        <v>556</v>
      </c>
      <c r="E2895" s="2">
        <v>200</v>
      </c>
      <c r="F2895" s="2">
        <v>32441</v>
      </c>
      <c r="G2895" s="2">
        <v>5.251241007</v>
      </c>
      <c r="H2895" s="3">
        <v>3.8199999999999998E-8</v>
      </c>
      <c r="I2895" s="2" t="s">
        <v>14837</v>
      </c>
      <c r="J2895" s="2" t="s">
        <v>14838</v>
      </c>
      <c r="K2895" s="3">
        <v>2.3300000000000001E-7</v>
      </c>
      <c r="L2895" s="2" t="s">
        <v>1178</v>
      </c>
      <c r="M2895" s="4" t="s">
        <v>14839</v>
      </c>
    </row>
    <row r="2896" spans="1:13">
      <c r="A2896" s="2">
        <v>2332</v>
      </c>
      <c r="B2896" s="2" t="s">
        <v>14840</v>
      </c>
      <c r="C2896" s="2">
        <v>18</v>
      </c>
      <c r="D2896" s="2">
        <v>556</v>
      </c>
      <c r="E2896" s="2">
        <v>200</v>
      </c>
      <c r="F2896" s="2">
        <v>32441</v>
      </c>
      <c r="G2896" s="2">
        <v>5.251241007</v>
      </c>
      <c r="H2896" s="3">
        <v>3.8199999999999998E-8</v>
      </c>
      <c r="I2896" s="2" t="s">
        <v>14841</v>
      </c>
      <c r="J2896" s="2" t="s">
        <v>14842</v>
      </c>
      <c r="K2896" s="3">
        <v>2.3300000000000001E-7</v>
      </c>
      <c r="L2896" s="2" t="s">
        <v>1178</v>
      </c>
      <c r="M2896" s="4" t="s">
        <v>14843</v>
      </c>
    </row>
    <row r="2897" spans="1:13">
      <c r="A2897" s="2">
        <v>2356</v>
      </c>
      <c r="B2897" s="2" t="s">
        <v>14844</v>
      </c>
      <c r="C2897" s="2">
        <v>18</v>
      </c>
      <c r="D2897" s="2">
        <v>556</v>
      </c>
      <c r="E2897" s="2">
        <v>200</v>
      </c>
      <c r="F2897" s="2">
        <v>32441</v>
      </c>
      <c r="G2897" s="2">
        <v>5.251241007</v>
      </c>
      <c r="H2897" s="3">
        <v>3.8199999999999998E-8</v>
      </c>
      <c r="I2897" s="2" t="s">
        <v>14845</v>
      </c>
      <c r="J2897" s="2" t="s">
        <v>14846</v>
      </c>
      <c r="K2897" s="3">
        <v>2.3300000000000001E-7</v>
      </c>
      <c r="L2897" s="2" t="s">
        <v>1178</v>
      </c>
      <c r="M2897" s="4" t="s">
        <v>14847</v>
      </c>
    </row>
    <row r="2898" spans="1:13">
      <c r="A2898" s="2">
        <v>2369</v>
      </c>
      <c r="B2898" s="2" t="s">
        <v>14848</v>
      </c>
      <c r="C2898" s="2">
        <v>18</v>
      </c>
      <c r="D2898" s="2">
        <v>556</v>
      </c>
      <c r="E2898" s="2">
        <v>200</v>
      </c>
      <c r="F2898" s="2">
        <v>32441</v>
      </c>
      <c r="G2898" s="2">
        <v>5.251241007</v>
      </c>
      <c r="H2898" s="3">
        <v>3.8199999999999998E-8</v>
      </c>
      <c r="I2898" s="2" t="s">
        <v>14849</v>
      </c>
      <c r="J2898" s="2" t="s">
        <v>14850</v>
      </c>
      <c r="K2898" s="3">
        <v>2.3300000000000001E-7</v>
      </c>
      <c r="L2898" s="2" t="s">
        <v>1178</v>
      </c>
      <c r="M2898" s="4" t="s">
        <v>14851</v>
      </c>
    </row>
    <row r="2899" spans="1:13">
      <c r="A2899" s="2">
        <v>2555</v>
      </c>
      <c r="B2899" s="2" t="s">
        <v>14852</v>
      </c>
      <c r="C2899" s="2">
        <v>18</v>
      </c>
      <c r="D2899" s="2">
        <v>556</v>
      </c>
      <c r="E2899" s="2">
        <v>200</v>
      </c>
      <c r="F2899" s="2">
        <v>32441</v>
      </c>
      <c r="G2899" s="2">
        <v>5.251241007</v>
      </c>
      <c r="H2899" s="3">
        <v>3.8199999999999998E-8</v>
      </c>
      <c r="I2899" s="2" t="s">
        <v>14853</v>
      </c>
      <c r="J2899" s="2" t="s">
        <v>14854</v>
      </c>
      <c r="K2899" s="3">
        <v>2.3300000000000001E-7</v>
      </c>
      <c r="L2899" s="2" t="s">
        <v>1178</v>
      </c>
      <c r="M2899" s="4" t="s">
        <v>14855</v>
      </c>
    </row>
    <row r="2900" spans="1:13">
      <c r="A2900" s="2">
        <v>2590</v>
      </c>
      <c r="B2900" s="2" t="s">
        <v>14856</v>
      </c>
      <c r="C2900" s="2">
        <v>18</v>
      </c>
      <c r="D2900" s="2">
        <v>556</v>
      </c>
      <c r="E2900" s="2">
        <v>200</v>
      </c>
      <c r="F2900" s="2">
        <v>32441</v>
      </c>
      <c r="G2900" s="2">
        <v>5.251241007</v>
      </c>
      <c r="H2900" s="3">
        <v>3.8199999999999998E-8</v>
      </c>
      <c r="I2900" s="2" t="s">
        <v>14857</v>
      </c>
      <c r="J2900" s="2" t="s">
        <v>14858</v>
      </c>
      <c r="K2900" s="3">
        <v>2.3300000000000001E-7</v>
      </c>
      <c r="L2900" s="2" t="s">
        <v>1178</v>
      </c>
      <c r="M2900" s="4" t="s">
        <v>14859</v>
      </c>
    </row>
    <row r="2901" spans="1:13">
      <c r="A2901" s="2">
        <v>2612</v>
      </c>
      <c r="B2901" s="2" t="s">
        <v>14860</v>
      </c>
      <c r="C2901" s="2">
        <v>18</v>
      </c>
      <c r="D2901" s="2">
        <v>556</v>
      </c>
      <c r="E2901" s="2">
        <v>200</v>
      </c>
      <c r="F2901" s="2">
        <v>32441</v>
      </c>
      <c r="G2901" s="2">
        <v>5.251241007</v>
      </c>
      <c r="H2901" s="3">
        <v>3.8199999999999998E-8</v>
      </c>
      <c r="I2901" s="2" t="s">
        <v>14861</v>
      </c>
      <c r="J2901" s="2" t="s">
        <v>14862</v>
      </c>
      <c r="K2901" s="3">
        <v>2.3300000000000001E-7</v>
      </c>
      <c r="L2901" s="2" t="s">
        <v>1178</v>
      </c>
      <c r="M2901" s="4" t="s">
        <v>14863</v>
      </c>
    </row>
    <row r="2902" spans="1:13">
      <c r="A2902" s="2">
        <v>2635</v>
      </c>
      <c r="B2902" s="2" t="s">
        <v>14864</v>
      </c>
      <c r="C2902" s="2">
        <v>18</v>
      </c>
      <c r="D2902" s="2">
        <v>556</v>
      </c>
      <c r="E2902" s="2">
        <v>200</v>
      </c>
      <c r="F2902" s="2">
        <v>32441</v>
      </c>
      <c r="G2902" s="2">
        <v>5.251241007</v>
      </c>
      <c r="H2902" s="3">
        <v>3.8199999999999998E-8</v>
      </c>
      <c r="I2902" s="2" t="s">
        <v>14865</v>
      </c>
      <c r="J2902" s="2" t="s">
        <v>14866</v>
      </c>
      <c r="K2902" s="3">
        <v>2.3300000000000001E-7</v>
      </c>
      <c r="L2902" s="2" t="s">
        <v>1178</v>
      </c>
      <c r="M2902" s="4" t="s">
        <v>14867</v>
      </c>
    </row>
    <row r="2903" spans="1:13">
      <c r="A2903" s="2">
        <v>27801</v>
      </c>
      <c r="B2903" s="2" t="s">
        <v>14868</v>
      </c>
      <c r="C2903" s="2">
        <v>18</v>
      </c>
      <c r="D2903" s="2">
        <v>556</v>
      </c>
      <c r="E2903" s="2">
        <v>200</v>
      </c>
      <c r="F2903" s="2">
        <v>32441</v>
      </c>
      <c r="G2903" s="2">
        <v>5.251241007</v>
      </c>
      <c r="H2903" s="3">
        <v>3.8199999999999998E-8</v>
      </c>
      <c r="I2903" s="2" t="s">
        <v>14869</v>
      </c>
      <c r="J2903" s="2" t="s">
        <v>14870</v>
      </c>
      <c r="K2903" s="3">
        <v>2.3300000000000001E-7</v>
      </c>
      <c r="L2903" s="2" t="s">
        <v>1178</v>
      </c>
      <c r="M2903" s="4" t="s">
        <v>14871</v>
      </c>
    </row>
    <row r="2904" spans="1:13">
      <c r="A2904" s="2">
        <v>2798</v>
      </c>
      <c r="B2904" s="2" t="s">
        <v>14872</v>
      </c>
      <c r="C2904" s="2">
        <v>16</v>
      </c>
      <c r="D2904" s="2">
        <v>556</v>
      </c>
      <c r="E2904" s="2">
        <v>155</v>
      </c>
      <c r="F2904" s="2">
        <v>32441</v>
      </c>
      <c r="G2904" s="2">
        <v>6.0229287539999996</v>
      </c>
      <c r="H2904" s="3">
        <v>3.8199999999999998E-8</v>
      </c>
      <c r="I2904" s="2" t="s">
        <v>14873</v>
      </c>
      <c r="J2904" s="2" t="s">
        <v>14874</v>
      </c>
      <c r="K2904" s="3">
        <v>2.3300000000000001E-7</v>
      </c>
      <c r="L2904" s="2" t="s">
        <v>1178</v>
      </c>
      <c r="M2904" s="4" t="s">
        <v>14875</v>
      </c>
    </row>
    <row r="2905" spans="1:13">
      <c r="A2905" s="2">
        <v>2837</v>
      </c>
      <c r="B2905" s="2" t="s">
        <v>14876</v>
      </c>
      <c r="C2905" s="2">
        <v>18</v>
      </c>
      <c r="D2905" s="2">
        <v>556</v>
      </c>
      <c r="E2905" s="2">
        <v>200</v>
      </c>
      <c r="F2905" s="2">
        <v>32441</v>
      </c>
      <c r="G2905" s="2">
        <v>5.251241007</v>
      </c>
      <c r="H2905" s="3">
        <v>3.8199999999999998E-8</v>
      </c>
      <c r="I2905" s="2" t="s">
        <v>14877</v>
      </c>
      <c r="J2905" s="2" t="s">
        <v>14878</v>
      </c>
      <c r="K2905" s="3">
        <v>2.3300000000000001E-7</v>
      </c>
      <c r="L2905" s="2" t="s">
        <v>1178</v>
      </c>
      <c r="M2905" s="4" t="s">
        <v>14879</v>
      </c>
    </row>
    <row r="2906" spans="1:13">
      <c r="A2906" s="2">
        <v>2930</v>
      </c>
      <c r="B2906" s="2" t="s">
        <v>1926</v>
      </c>
      <c r="C2906" s="2">
        <v>18</v>
      </c>
      <c r="D2906" s="2">
        <v>556</v>
      </c>
      <c r="E2906" s="2">
        <v>200</v>
      </c>
      <c r="F2906" s="2">
        <v>32441</v>
      </c>
      <c r="G2906" s="2">
        <v>5.251241007</v>
      </c>
      <c r="H2906" s="3">
        <v>3.8199999999999998E-8</v>
      </c>
      <c r="I2906" s="2" t="s">
        <v>14880</v>
      </c>
      <c r="J2906" s="2" t="s">
        <v>14881</v>
      </c>
      <c r="K2906" s="3">
        <v>2.3300000000000001E-7</v>
      </c>
      <c r="L2906" s="2" t="s">
        <v>1178</v>
      </c>
      <c r="M2906" s="4" t="s">
        <v>14882</v>
      </c>
    </row>
    <row r="2907" spans="1:13">
      <c r="A2907" s="2">
        <v>29541</v>
      </c>
      <c r="B2907" s="2" t="s">
        <v>14883</v>
      </c>
      <c r="C2907" s="2">
        <v>18</v>
      </c>
      <c r="D2907" s="2">
        <v>556</v>
      </c>
      <c r="E2907" s="2">
        <v>200</v>
      </c>
      <c r="F2907" s="2">
        <v>32441</v>
      </c>
      <c r="G2907" s="2">
        <v>5.251241007</v>
      </c>
      <c r="H2907" s="3">
        <v>3.8199999999999998E-8</v>
      </c>
      <c r="I2907" s="2" t="s">
        <v>14884</v>
      </c>
      <c r="J2907" s="2" t="s">
        <v>14885</v>
      </c>
      <c r="K2907" s="3">
        <v>2.3300000000000001E-7</v>
      </c>
      <c r="L2907" s="2" t="s">
        <v>1178</v>
      </c>
      <c r="M2907" s="4" t="s">
        <v>14886</v>
      </c>
    </row>
    <row r="2908" spans="1:13">
      <c r="A2908" s="2">
        <v>2971</v>
      </c>
      <c r="B2908" s="2" t="s">
        <v>14887</v>
      </c>
      <c r="C2908" s="2">
        <v>18</v>
      </c>
      <c r="D2908" s="2">
        <v>556</v>
      </c>
      <c r="E2908" s="2">
        <v>200</v>
      </c>
      <c r="F2908" s="2">
        <v>32441</v>
      </c>
      <c r="G2908" s="2">
        <v>5.251241007</v>
      </c>
      <c r="H2908" s="3">
        <v>3.8199999999999998E-8</v>
      </c>
      <c r="I2908" s="2" t="s">
        <v>14888</v>
      </c>
      <c r="J2908" s="2" t="s">
        <v>14889</v>
      </c>
      <c r="K2908" s="3">
        <v>2.3300000000000001E-7</v>
      </c>
      <c r="L2908" s="2" t="s">
        <v>1178</v>
      </c>
      <c r="M2908" s="4" t="s">
        <v>14890</v>
      </c>
    </row>
    <row r="2909" spans="1:13">
      <c r="A2909" s="2">
        <v>3002</v>
      </c>
      <c r="B2909" s="2" t="s">
        <v>14891</v>
      </c>
      <c r="C2909" s="2">
        <v>18</v>
      </c>
      <c r="D2909" s="2">
        <v>556</v>
      </c>
      <c r="E2909" s="2">
        <v>200</v>
      </c>
      <c r="F2909" s="2">
        <v>32441</v>
      </c>
      <c r="G2909" s="2">
        <v>5.251241007</v>
      </c>
      <c r="H2909" s="3">
        <v>3.8199999999999998E-8</v>
      </c>
      <c r="I2909" s="2" t="s">
        <v>14892</v>
      </c>
      <c r="J2909" s="2" t="s">
        <v>14893</v>
      </c>
      <c r="K2909" s="3">
        <v>2.3300000000000001E-7</v>
      </c>
      <c r="L2909" s="2" t="s">
        <v>1178</v>
      </c>
      <c r="M2909" s="4" t="s">
        <v>14894</v>
      </c>
    </row>
    <row r="2910" spans="1:13">
      <c r="A2910" s="2">
        <v>30041</v>
      </c>
      <c r="B2910" s="2" t="s">
        <v>14895</v>
      </c>
      <c r="C2910" s="2">
        <v>18</v>
      </c>
      <c r="D2910" s="2">
        <v>556</v>
      </c>
      <c r="E2910" s="2">
        <v>200</v>
      </c>
      <c r="F2910" s="2">
        <v>32441</v>
      </c>
      <c r="G2910" s="2">
        <v>5.251241007</v>
      </c>
      <c r="H2910" s="3">
        <v>3.8199999999999998E-8</v>
      </c>
      <c r="I2910" s="2" t="s">
        <v>14896</v>
      </c>
      <c r="J2910" s="2" t="s">
        <v>14897</v>
      </c>
      <c r="K2910" s="3">
        <v>2.3300000000000001E-7</v>
      </c>
      <c r="L2910" s="2" t="s">
        <v>1178</v>
      </c>
      <c r="M2910" s="4" t="s">
        <v>14898</v>
      </c>
    </row>
    <row r="2911" spans="1:13">
      <c r="A2911" s="2">
        <v>31951</v>
      </c>
      <c r="B2911" s="2" t="s">
        <v>14899</v>
      </c>
      <c r="C2911" s="2">
        <v>18</v>
      </c>
      <c r="D2911" s="2">
        <v>556</v>
      </c>
      <c r="E2911" s="2">
        <v>199</v>
      </c>
      <c r="F2911" s="2">
        <v>32441</v>
      </c>
      <c r="G2911" s="2">
        <v>5.2776291530000004</v>
      </c>
      <c r="H2911" s="3">
        <v>3.5600000000000001E-8</v>
      </c>
      <c r="I2911" s="2" t="s">
        <v>14900</v>
      </c>
      <c r="J2911" s="2" t="s">
        <v>14901</v>
      </c>
      <c r="K2911" s="3">
        <v>2.3300000000000001E-7</v>
      </c>
      <c r="L2911" s="2" t="s">
        <v>1178</v>
      </c>
      <c r="M2911" s="4" t="s">
        <v>14902</v>
      </c>
    </row>
    <row r="2912" spans="1:13">
      <c r="A2912" s="2">
        <v>32481</v>
      </c>
      <c r="B2912" s="2" t="s">
        <v>14903</v>
      </c>
      <c r="C2912" s="2">
        <v>18</v>
      </c>
      <c r="D2912" s="2">
        <v>556</v>
      </c>
      <c r="E2912" s="2">
        <v>200</v>
      </c>
      <c r="F2912" s="2">
        <v>32441</v>
      </c>
      <c r="G2912" s="2">
        <v>5.251241007</v>
      </c>
      <c r="H2912" s="3">
        <v>3.8199999999999998E-8</v>
      </c>
      <c r="I2912" s="2" t="s">
        <v>14904</v>
      </c>
      <c r="J2912" s="2" t="s">
        <v>14905</v>
      </c>
      <c r="K2912" s="3">
        <v>2.3300000000000001E-7</v>
      </c>
      <c r="L2912" s="2" t="s">
        <v>1178</v>
      </c>
      <c r="M2912" s="4" t="s">
        <v>14906</v>
      </c>
    </row>
    <row r="2913" spans="1:13">
      <c r="A2913" s="2">
        <v>3360</v>
      </c>
      <c r="B2913" s="2" t="s">
        <v>14907</v>
      </c>
      <c r="C2913" s="2">
        <v>18</v>
      </c>
      <c r="D2913" s="2">
        <v>556</v>
      </c>
      <c r="E2913" s="2">
        <v>200</v>
      </c>
      <c r="F2913" s="2">
        <v>32441</v>
      </c>
      <c r="G2913" s="2">
        <v>5.251241007</v>
      </c>
      <c r="H2913" s="3">
        <v>3.8199999999999998E-8</v>
      </c>
      <c r="I2913" s="2" t="s">
        <v>14908</v>
      </c>
      <c r="J2913" s="2" t="s">
        <v>14909</v>
      </c>
      <c r="K2913" s="3">
        <v>2.3300000000000001E-7</v>
      </c>
      <c r="L2913" s="2" t="s">
        <v>1178</v>
      </c>
      <c r="M2913" s="4" t="s">
        <v>14910</v>
      </c>
    </row>
    <row r="2914" spans="1:13">
      <c r="A2914" s="2">
        <v>33792</v>
      </c>
      <c r="B2914" s="2" t="s">
        <v>14911</v>
      </c>
      <c r="C2914" s="2">
        <v>18</v>
      </c>
      <c r="D2914" s="2">
        <v>556</v>
      </c>
      <c r="E2914" s="2">
        <v>200</v>
      </c>
      <c r="F2914" s="2">
        <v>32441</v>
      </c>
      <c r="G2914" s="2">
        <v>5.251241007</v>
      </c>
      <c r="H2914" s="3">
        <v>3.8199999999999998E-8</v>
      </c>
      <c r="I2914" s="2" t="s">
        <v>14912</v>
      </c>
      <c r="J2914" s="2" t="s">
        <v>14913</v>
      </c>
      <c r="K2914" s="3">
        <v>2.3300000000000001E-7</v>
      </c>
      <c r="L2914" s="2" t="s">
        <v>1178</v>
      </c>
      <c r="M2914" s="4" t="s">
        <v>14914</v>
      </c>
    </row>
    <row r="2915" spans="1:13">
      <c r="A2915" s="2">
        <v>3449</v>
      </c>
      <c r="B2915" s="2" t="s">
        <v>14915</v>
      </c>
      <c r="C2915" s="2">
        <v>18</v>
      </c>
      <c r="D2915" s="2">
        <v>556</v>
      </c>
      <c r="E2915" s="2">
        <v>199</v>
      </c>
      <c r="F2915" s="2">
        <v>32441</v>
      </c>
      <c r="G2915" s="2">
        <v>5.2776291530000004</v>
      </c>
      <c r="H2915" s="3">
        <v>3.5600000000000001E-8</v>
      </c>
      <c r="I2915" s="2" t="s">
        <v>14916</v>
      </c>
      <c r="J2915" s="2" t="s">
        <v>14917</v>
      </c>
      <c r="K2915" s="3">
        <v>2.3300000000000001E-7</v>
      </c>
      <c r="L2915" s="2" t="s">
        <v>1178</v>
      </c>
      <c r="M2915" s="4" t="s">
        <v>14918</v>
      </c>
    </row>
    <row r="2916" spans="1:13">
      <c r="A2916" s="2">
        <v>34572</v>
      </c>
      <c r="B2916" s="2" t="s">
        <v>14919</v>
      </c>
      <c r="C2916" s="2">
        <v>18</v>
      </c>
      <c r="D2916" s="2">
        <v>556</v>
      </c>
      <c r="E2916" s="2">
        <v>200</v>
      </c>
      <c r="F2916" s="2">
        <v>32441</v>
      </c>
      <c r="G2916" s="2">
        <v>5.251241007</v>
      </c>
      <c r="H2916" s="3">
        <v>3.8199999999999998E-8</v>
      </c>
      <c r="I2916" s="2" t="s">
        <v>14920</v>
      </c>
      <c r="J2916" s="2" t="s">
        <v>14921</v>
      </c>
      <c r="K2916" s="3">
        <v>2.3300000000000001E-7</v>
      </c>
      <c r="L2916" s="2" t="s">
        <v>1178</v>
      </c>
      <c r="M2916" s="4" t="s">
        <v>14922</v>
      </c>
    </row>
    <row r="2917" spans="1:13">
      <c r="A2917" s="2">
        <v>35301</v>
      </c>
      <c r="B2917" s="2" t="s">
        <v>14923</v>
      </c>
      <c r="C2917" s="2">
        <v>18</v>
      </c>
      <c r="D2917" s="2">
        <v>556</v>
      </c>
      <c r="E2917" s="2">
        <v>200</v>
      </c>
      <c r="F2917" s="2">
        <v>32441</v>
      </c>
      <c r="G2917" s="2">
        <v>5.251241007</v>
      </c>
      <c r="H2917" s="3">
        <v>3.8199999999999998E-8</v>
      </c>
      <c r="I2917" s="2" t="s">
        <v>14924</v>
      </c>
      <c r="J2917" s="2" t="s">
        <v>14925</v>
      </c>
      <c r="K2917" s="3">
        <v>2.3300000000000001E-7</v>
      </c>
      <c r="L2917" s="2" t="s">
        <v>1178</v>
      </c>
      <c r="M2917" s="4" t="s">
        <v>14926</v>
      </c>
    </row>
    <row r="2918" spans="1:13">
      <c r="A2918" s="2">
        <v>35401</v>
      </c>
      <c r="B2918" s="2" t="s">
        <v>14927</v>
      </c>
      <c r="C2918" s="2">
        <v>18</v>
      </c>
      <c r="D2918" s="2">
        <v>556</v>
      </c>
      <c r="E2918" s="2">
        <v>200</v>
      </c>
      <c r="F2918" s="2">
        <v>32441</v>
      </c>
      <c r="G2918" s="2">
        <v>5.251241007</v>
      </c>
      <c r="H2918" s="3">
        <v>3.8199999999999998E-8</v>
      </c>
      <c r="I2918" s="2" t="s">
        <v>14928</v>
      </c>
      <c r="J2918" s="2" t="s">
        <v>14929</v>
      </c>
      <c r="K2918" s="3">
        <v>2.3300000000000001E-7</v>
      </c>
      <c r="L2918" s="2" t="s">
        <v>1178</v>
      </c>
      <c r="M2918" s="4" t="s">
        <v>14930</v>
      </c>
    </row>
    <row r="2919" spans="1:13">
      <c r="A2919" s="2">
        <v>35411</v>
      </c>
      <c r="B2919" s="2" t="s">
        <v>1959</v>
      </c>
      <c r="C2919" s="2">
        <v>18</v>
      </c>
      <c r="D2919" s="2">
        <v>556</v>
      </c>
      <c r="E2919" s="2">
        <v>200</v>
      </c>
      <c r="F2919" s="2">
        <v>32441</v>
      </c>
      <c r="G2919" s="2">
        <v>5.251241007</v>
      </c>
      <c r="H2919" s="3">
        <v>3.8199999999999998E-8</v>
      </c>
      <c r="I2919" s="2" t="s">
        <v>14931</v>
      </c>
      <c r="J2919" s="2" t="s">
        <v>14932</v>
      </c>
      <c r="K2919" s="3">
        <v>2.3300000000000001E-7</v>
      </c>
      <c r="L2919" s="2" t="s">
        <v>1178</v>
      </c>
      <c r="M2919" s="4" t="s">
        <v>14933</v>
      </c>
    </row>
    <row r="2920" spans="1:13">
      <c r="A2920" s="2">
        <v>3704</v>
      </c>
      <c r="B2920" s="2" t="s">
        <v>14934</v>
      </c>
      <c r="C2920" s="2">
        <v>18</v>
      </c>
      <c r="D2920" s="2">
        <v>556</v>
      </c>
      <c r="E2920" s="2">
        <v>200</v>
      </c>
      <c r="F2920" s="2">
        <v>32441</v>
      </c>
      <c r="G2920" s="2">
        <v>5.251241007</v>
      </c>
      <c r="H2920" s="3">
        <v>3.8199999999999998E-8</v>
      </c>
      <c r="I2920" s="2" t="s">
        <v>14935</v>
      </c>
      <c r="J2920" s="2" t="s">
        <v>14936</v>
      </c>
      <c r="K2920" s="3">
        <v>2.3300000000000001E-7</v>
      </c>
      <c r="L2920" s="2" t="s">
        <v>1178</v>
      </c>
      <c r="M2920" s="4" t="s">
        <v>14937</v>
      </c>
    </row>
    <row r="2921" spans="1:13">
      <c r="A2921" s="2">
        <v>3736</v>
      </c>
      <c r="B2921" s="2" t="s">
        <v>14938</v>
      </c>
      <c r="C2921" s="2">
        <v>18</v>
      </c>
      <c r="D2921" s="2">
        <v>556</v>
      </c>
      <c r="E2921" s="2">
        <v>200</v>
      </c>
      <c r="F2921" s="2">
        <v>32441</v>
      </c>
      <c r="G2921" s="2">
        <v>5.251241007</v>
      </c>
      <c r="H2921" s="3">
        <v>3.8199999999999998E-8</v>
      </c>
      <c r="I2921" s="2" t="s">
        <v>14939</v>
      </c>
      <c r="J2921" s="2" t="s">
        <v>14940</v>
      </c>
      <c r="K2921" s="3">
        <v>2.3300000000000001E-7</v>
      </c>
      <c r="L2921" s="2" t="s">
        <v>1178</v>
      </c>
      <c r="M2921" s="4" t="s">
        <v>14941</v>
      </c>
    </row>
    <row r="2922" spans="1:13">
      <c r="A2922" s="2">
        <v>3803</v>
      </c>
      <c r="B2922" s="2" t="s">
        <v>14942</v>
      </c>
      <c r="C2922" s="2">
        <v>18</v>
      </c>
      <c r="D2922" s="2">
        <v>556</v>
      </c>
      <c r="E2922" s="2">
        <v>200</v>
      </c>
      <c r="F2922" s="2">
        <v>32441</v>
      </c>
      <c r="G2922" s="2">
        <v>5.251241007</v>
      </c>
      <c r="H2922" s="3">
        <v>3.8199999999999998E-8</v>
      </c>
      <c r="I2922" s="2" t="s">
        <v>14943</v>
      </c>
      <c r="J2922" s="2" t="s">
        <v>14944</v>
      </c>
      <c r="K2922" s="3">
        <v>2.3300000000000001E-7</v>
      </c>
      <c r="L2922" s="2" t="s">
        <v>1178</v>
      </c>
      <c r="M2922" s="4" t="s">
        <v>14945</v>
      </c>
    </row>
    <row r="2923" spans="1:13">
      <c r="A2923" s="2">
        <v>3860</v>
      </c>
      <c r="B2923" s="2" t="s">
        <v>14946</v>
      </c>
      <c r="C2923" s="2">
        <v>18</v>
      </c>
      <c r="D2923" s="2">
        <v>556</v>
      </c>
      <c r="E2923" s="2">
        <v>200</v>
      </c>
      <c r="F2923" s="2">
        <v>32441</v>
      </c>
      <c r="G2923" s="2">
        <v>5.251241007</v>
      </c>
      <c r="H2923" s="3">
        <v>3.8199999999999998E-8</v>
      </c>
      <c r="I2923" s="2" t="s">
        <v>14947</v>
      </c>
      <c r="J2923" s="2" t="s">
        <v>14948</v>
      </c>
      <c r="K2923" s="3">
        <v>2.3300000000000001E-7</v>
      </c>
      <c r="L2923" s="2" t="s">
        <v>1178</v>
      </c>
      <c r="M2923" s="4" t="s">
        <v>14949</v>
      </c>
    </row>
    <row r="2924" spans="1:13">
      <c r="A2924" s="2">
        <v>3976</v>
      </c>
      <c r="B2924" s="2" t="s">
        <v>14950</v>
      </c>
      <c r="C2924" s="2">
        <v>18</v>
      </c>
      <c r="D2924" s="2">
        <v>556</v>
      </c>
      <c r="E2924" s="2">
        <v>200</v>
      </c>
      <c r="F2924" s="2">
        <v>32441</v>
      </c>
      <c r="G2924" s="2">
        <v>5.251241007</v>
      </c>
      <c r="H2924" s="3">
        <v>3.8199999999999998E-8</v>
      </c>
      <c r="I2924" s="2" t="s">
        <v>14951</v>
      </c>
      <c r="J2924" s="2" t="s">
        <v>14952</v>
      </c>
      <c r="K2924" s="3">
        <v>2.3300000000000001E-7</v>
      </c>
      <c r="L2924" s="2" t="s">
        <v>1178</v>
      </c>
      <c r="M2924" s="4" t="s">
        <v>14953</v>
      </c>
    </row>
    <row r="2925" spans="1:13">
      <c r="A2925" s="2">
        <v>4004</v>
      </c>
      <c r="B2925" s="2" t="s">
        <v>14954</v>
      </c>
      <c r="C2925" s="2">
        <v>18</v>
      </c>
      <c r="D2925" s="2">
        <v>556</v>
      </c>
      <c r="E2925" s="2">
        <v>200</v>
      </c>
      <c r="F2925" s="2">
        <v>32441</v>
      </c>
      <c r="G2925" s="2">
        <v>5.251241007</v>
      </c>
      <c r="H2925" s="3">
        <v>3.8199999999999998E-8</v>
      </c>
      <c r="I2925" s="2" t="s">
        <v>14955</v>
      </c>
      <c r="J2925" s="2" t="s">
        <v>14956</v>
      </c>
      <c r="K2925" s="3">
        <v>2.3300000000000001E-7</v>
      </c>
      <c r="L2925" s="2" t="s">
        <v>1178</v>
      </c>
      <c r="M2925" s="4" t="s">
        <v>14957</v>
      </c>
    </row>
    <row r="2926" spans="1:13">
      <c r="A2926" s="2">
        <v>41971</v>
      </c>
      <c r="B2926" s="2" t="s">
        <v>14958</v>
      </c>
      <c r="C2926" s="2">
        <v>18</v>
      </c>
      <c r="D2926" s="2">
        <v>556</v>
      </c>
      <c r="E2926" s="2">
        <v>200</v>
      </c>
      <c r="F2926" s="2">
        <v>32441</v>
      </c>
      <c r="G2926" s="2">
        <v>5.251241007</v>
      </c>
      <c r="H2926" s="3">
        <v>3.8199999999999998E-8</v>
      </c>
      <c r="I2926" s="2" t="s">
        <v>14959</v>
      </c>
      <c r="J2926" s="2" t="s">
        <v>14960</v>
      </c>
      <c r="K2926" s="3">
        <v>2.3300000000000001E-7</v>
      </c>
      <c r="L2926" s="2" t="s">
        <v>1178</v>
      </c>
      <c r="M2926" s="4" t="s">
        <v>14961</v>
      </c>
    </row>
    <row r="2927" spans="1:13">
      <c r="A2927" s="2">
        <v>42751</v>
      </c>
      <c r="B2927" s="2" t="s">
        <v>14962</v>
      </c>
      <c r="C2927" s="2">
        <v>18</v>
      </c>
      <c r="D2927" s="2">
        <v>556</v>
      </c>
      <c r="E2927" s="2">
        <v>200</v>
      </c>
      <c r="F2927" s="2">
        <v>32441</v>
      </c>
      <c r="G2927" s="2">
        <v>5.251241007</v>
      </c>
      <c r="H2927" s="3">
        <v>3.8199999999999998E-8</v>
      </c>
      <c r="I2927" s="2" t="s">
        <v>14963</v>
      </c>
      <c r="J2927" s="2" t="s">
        <v>14964</v>
      </c>
      <c r="K2927" s="3">
        <v>2.3300000000000001E-7</v>
      </c>
      <c r="L2927" s="2" t="s">
        <v>1178</v>
      </c>
      <c r="M2927" s="4" t="s">
        <v>14965</v>
      </c>
    </row>
    <row r="2928" spans="1:13">
      <c r="A2928" s="2">
        <v>4283</v>
      </c>
      <c r="B2928" s="2" t="s">
        <v>14966</v>
      </c>
      <c r="C2928" s="2">
        <v>18</v>
      </c>
      <c r="D2928" s="2">
        <v>556</v>
      </c>
      <c r="E2928" s="2">
        <v>200</v>
      </c>
      <c r="F2928" s="2">
        <v>32441</v>
      </c>
      <c r="G2928" s="2">
        <v>5.251241007</v>
      </c>
      <c r="H2928" s="3">
        <v>3.8199999999999998E-8</v>
      </c>
      <c r="I2928" s="2" t="s">
        <v>14967</v>
      </c>
      <c r="J2928" s="2" t="s">
        <v>14968</v>
      </c>
      <c r="K2928" s="3">
        <v>2.3300000000000001E-7</v>
      </c>
      <c r="L2928" s="2" t="s">
        <v>1178</v>
      </c>
      <c r="M2928" s="4" t="s">
        <v>14969</v>
      </c>
    </row>
    <row r="2929" spans="1:13">
      <c r="A2929" s="2">
        <v>4290</v>
      </c>
      <c r="B2929" s="2" t="s">
        <v>14970</v>
      </c>
      <c r="C2929" s="2">
        <v>18</v>
      </c>
      <c r="D2929" s="2">
        <v>556</v>
      </c>
      <c r="E2929" s="2">
        <v>200</v>
      </c>
      <c r="F2929" s="2">
        <v>32441</v>
      </c>
      <c r="G2929" s="2">
        <v>5.251241007</v>
      </c>
      <c r="H2929" s="3">
        <v>3.8199999999999998E-8</v>
      </c>
      <c r="I2929" s="2" t="s">
        <v>14971</v>
      </c>
      <c r="J2929" s="2" t="s">
        <v>14972</v>
      </c>
      <c r="K2929" s="3">
        <v>2.3300000000000001E-7</v>
      </c>
      <c r="L2929" s="2" t="s">
        <v>1178</v>
      </c>
      <c r="M2929" s="4" t="s">
        <v>14973</v>
      </c>
    </row>
    <row r="2930" spans="1:13">
      <c r="A2930" s="2">
        <v>4298</v>
      </c>
      <c r="B2930" s="2" t="s">
        <v>14974</v>
      </c>
      <c r="C2930" s="2">
        <v>18</v>
      </c>
      <c r="D2930" s="2">
        <v>556</v>
      </c>
      <c r="E2930" s="2">
        <v>200</v>
      </c>
      <c r="F2930" s="2">
        <v>32441</v>
      </c>
      <c r="G2930" s="2">
        <v>5.251241007</v>
      </c>
      <c r="H2930" s="3">
        <v>3.8199999999999998E-8</v>
      </c>
      <c r="I2930" s="2" t="s">
        <v>14975</v>
      </c>
      <c r="J2930" s="2" t="s">
        <v>14976</v>
      </c>
      <c r="K2930" s="3">
        <v>2.3300000000000001E-7</v>
      </c>
      <c r="L2930" s="2" t="s">
        <v>1178</v>
      </c>
      <c r="M2930" s="4" t="s">
        <v>14977</v>
      </c>
    </row>
    <row r="2931" spans="1:13">
      <c r="A2931" s="2">
        <v>4305</v>
      </c>
      <c r="B2931" s="2" t="s">
        <v>14978</v>
      </c>
      <c r="C2931" s="2">
        <v>18</v>
      </c>
      <c r="D2931" s="2">
        <v>556</v>
      </c>
      <c r="E2931" s="2">
        <v>200</v>
      </c>
      <c r="F2931" s="2">
        <v>32441</v>
      </c>
      <c r="G2931" s="2">
        <v>5.251241007</v>
      </c>
      <c r="H2931" s="3">
        <v>3.8199999999999998E-8</v>
      </c>
      <c r="I2931" s="2" t="s">
        <v>14979</v>
      </c>
      <c r="J2931" s="2" t="s">
        <v>14980</v>
      </c>
      <c r="K2931" s="3">
        <v>2.3300000000000001E-7</v>
      </c>
      <c r="L2931" s="2" t="s">
        <v>1178</v>
      </c>
      <c r="M2931" s="4" t="s">
        <v>14981</v>
      </c>
    </row>
    <row r="2932" spans="1:13">
      <c r="A2932" s="2">
        <v>43511</v>
      </c>
      <c r="B2932" s="2" t="s">
        <v>14982</v>
      </c>
      <c r="C2932" s="2">
        <v>18</v>
      </c>
      <c r="D2932" s="2">
        <v>556</v>
      </c>
      <c r="E2932" s="2">
        <v>199</v>
      </c>
      <c r="F2932" s="2">
        <v>32441</v>
      </c>
      <c r="G2932" s="2">
        <v>5.2776291530000004</v>
      </c>
      <c r="H2932" s="3">
        <v>3.5600000000000001E-8</v>
      </c>
      <c r="I2932" s="2" t="s">
        <v>14983</v>
      </c>
      <c r="J2932" s="2" t="s">
        <v>14984</v>
      </c>
      <c r="K2932" s="3">
        <v>2.3300000000000001E-7</v>
      </c>
      <c r="L2932" s="2" t="s">
        <v>1178</v>
      </c>
      <c r="M2932" s="4" t="s">
        <v>14985</v>
      </c>
    </row>
    <row r="2933" spans="1:13">
      <c r="A2933" s="2">
        <v>4359</v>
      </c>
      <c r="B2933" s="2" t="s">
        <v>14986</v>
      </c>
      <c r="C2933" s="2">
        <v>18</v>
      </c>
      <c r="D2933" s="2">
        <v>556</v>
      </c>
      <c r="E2933" s="2">
        <v>200</v>
      </c>
      <c r="F2933" s="2">
        <v>32441</v>
      </c>
      <c r="G2933" s="2">
        <v>5.251241007</v>
      </c>
      <c r="H2933" s="3">
        <v>3.8199999999999998E-8</v>
      </c>
      <c r="I2933" s="2" t="s">
        <v>14987</v>
      </c>
      <c r="J2933" s="2" t="s">
        <v>14988</v>
      </c>
      <c r="K2933" s="3">
        <v>2.3300000000000001E-7</v>
      </c>
      <c r="L2933" s="2" t="s">
        <v>1178</v>
      </c>
      <c r="M2933" s="4" t="s">
        <v>14989</v>
      </c>
    </row>
    <row r="2934" spans="1:13">
      <c r="A2934" s="2">
        <v>4368</v>
      </c>
      <c r="B2934" s="2" t="s">
        <v>14990</v>
      </c>
      <c r="C2934" s="2">
        <v>18</v>
      </c>
      <c r="D2934" s="2">
        <v>556</v>
      </c>
      <c r="E2934" s="2">
        <v>200</v>
      </c>
      <c r="F2934" s="2">
        <v>32441</v>
      </c>
      <c r="G2934" s="2">
        <v>5.251241007</v>
      </c>
      <c r="H2934" s="3">
        <v>3.8199999999999998E-8</v>
      </c>
      <c r="I2934" s="2" t="s">
        <v>14991</v>
      </c>
      <c r="J2934" s="2" t="s">
        <v>14992</v>
      </c>
      <c r="K2934" s="3">
        <v>2.3300000000000001E-7</v>
      </c>
      <c r="L2934" s="2" t="s">
        <v>1178</v>
      </c>
      <c r="M2934" s="4" t="s">
        <v>14993</v>
      </c>
    </row>
    <row r="2935" spans="1:13">
      <c r="A2935" s="2">
        <v>4442</v>
      </c>
      <c r="B2935" s="2" t="s">
        <v>14994</v>
      </c>
      <c r="C2935" s="2">
        <v>18</v>
      </c>
      <c r="D2935" s="2">
        <v>556</v>
      </c>
      <c r="E2935" s="2">
        <v>200</v>
      </c>
      <c r="F2935" s="2">
        <v>32441</v>
      </c>
      <c r="G2935" s="2">
        <v>5.251241007</v>
      </c>
      <c r="H2935" s="3">
        <v>3.8199999999999998E-8</v>
      </c>
      <c r="I2935" s="2" t="s">
        <v>14995</v>
      </c>
      <c r="J2935" s="2" t="s">
        <v>14996</v>
      </c>
      <c r="K2935" s="3">
        <v>2.3300000000000001E-7</v>
      </c>
      <c r="L2935" s="2" t="s">
        <v>1178</v>
      </c>
      <c r="M2935" s="4" t="s">
        <v>14997</v>
      </c>
    </row>
    <row r="2936" spans="1:13">
      <c r="A2936" s="2">
        <v>4493</v>
      </c>
      <c r="B2936" s="2" t="s">
        <v>14998</v>
      </c>
      <c r="C2936" s="2">
        <v>18</v>
      </c>
      <c r="D2936" s="2">
        <v>556</v>
      </c>
      <c r="E2936" s="2">
        <v>200</v>
      </c>
      <c r="F2936" s="2">
        <v>32441</v>
      </c>
      <c r="G2936" s="2">
        <v>5.251241007</v>
      </c>
      <c r="H2936" s="3">
        <v>3.8199999999999998E-8</v>
      </c>
      <c r="I2936" s="2" t="s">
        <v>14999</v>
      </c>
      <c r="J2936" s="2" t="s">
        <v>15000</v>
      </c>
      <c r="K2936" s="3">
        <v>2.3300000000000001E-7</v>
      </c>
      <c r="L2936" s="2" t="s">
        <v>1178</v>
      </c>
      <c r="M2936" s="4" t="s">
        <v>15001</v>
      </c>
    </row>
    <row r="2937" spans="1:13">
      <c r="A2937" s="2">
        <v>44981</v>
      </c>
      <c r="B2937" s="2" t="s">
        <v>15002</v>
      </c>
      <c r="C2937" s="2">
        <v>18</v>
      </c>
      <c r="D2937" s="2">
        <v>556</v>
      </c>
      <c r="E2937" s="2">
        <v>200</v>
      </c>
      <c r="F2937" s="2">
        <v>32441</v>
      </c>
      <c r="G2937" s="2">
        <v>5.251241007</v>
      </c>
      <c r="H2937" s="3">
        <v>3.8199999999999998E-8</v>
      </c>
      <c r="I2937" s="2" t="s">
        <v>15003</v>
      </c>
      <c r="J2937" s="2" t="s">
        <v>15004</v>
      </c>
      <c r="K2937" s="3">
        <v>2.3300000000000001E-7</v>
      </c>
      <c r="L2937" s="2" t="s">
        <v>1178</v>
      </c>
      <c r="M2937" s="4" t="s">
        <v>15005</v>
      </c>
    </row>
    <row r="2938" spans="1:13">
      <c r="A2938" s="2">
        <v>4530</v>
      </c>
      <c r="B2938" s="2" t="s">
        <v>15006</v>
      </c>
      <c r="C2938" s="2">
        <v>18</v>
      </c>
      <c r="D2938" s="2">
        <v>556</v>
      </c>
      <c r="E2938" s="2">
        <v>200</v>
      </c>
      <c r="F2938" s="2">
        <v>32441</v>
      </c>
      <c r="G2938" s="2">
        <v>5.251241007</v>
      </c>
      <c r="H2938" s="3">
        <v>3.8199999999999998E-8</v>
      </c>
      <c r="I2938" s="2" t="s">
        <v>15007</v>
      </c>
      <c r="J2938" s="2" t="s">
        <v>15008</v>
      </c>
      <c r="K2938" s="3">
        <v>2.3300000000000001E-7</v>
      </c>
      <c r="L2938" s="2" t="s">
        <v>1178</v>
      </c>
      <c r="M2938" s="4" t="s">
        <v>15009</v>
      </c>
    </row>
    <row r="2939" spans="1:13">
      <c r="A2939" s="2">
        <v>45561</v>
      </c>
      <c r="B2939" s="2" t="s">
        <v>15010</v>
      </c>
      <c r="C2939" s="2">
        <v>18</v>
      </c>
      <c r="D2939" s="2">
        <v>556</v>
      </c>
      <c r="E2939" s="2">
        <v>200</v>
      </c>
      <c r="F2939" s="2">
        <v>32441</v>
      </c>
      <c r="G2939" s="2">
        <v>5.251241007</v>
      </c>
      <c r="H2939" s="3">
        <v>3.8199999999999998E-8</v>
      </c>
      <c r="I2939" s="2" t="s">
        <v>15011</v>
      </c>
      <c r="J2939" s="2" t="s">
        <v>15012</v>
      </c>
      <c r="K2939" s="3">
        <v>2.3300000000000001E-7</v>
      </c>
      <c r="L2939" s="2" t="s">
        <v>1178</v>
      </c>
      <c r="M2939" s="4" t="s">
        <v>15013</v>
      </c>
    </row>
    <row r="2940" spans="1:13">
      <c r="A2940" s="2">
        <v>4603</v>
      </c>
      <c r="B2940" s="2" t="s">
        <v>15014</v>
      </c>
      <c r="C2940" s="2">
        <v>18</v>
      </c>
      <c r="D2940" s="2">
        <v>556</v>
      </c>
      <c r="E2940" s="2">
        <v>199</v>
      </c>
      <c r="F2940" s="2">
        <v>32441</v>
      </c>
      <c r="G2940" s="2">
        <v>5.2776291530000004</v>
      </c>
      <c r="H2940" s="3">
        <v>3.5600000000000001E-8</v>
      </c>
      <c r="I2940" s="2" t="s">
        <v>15015</v>
      </c>
      <c r="J2940" s="2" t="s">
        <v>15016</v>
      </c>
      <c r="K2940" s="3">
        <v>2.3300000000000001E-7</v>
      </c>
      <c r="L2940" s="2" t="s">
        <v>1178</v>
      </c>
      <c r="M2940" s="4" t="s">
        <v>15017</v>
      </c>
    </row>
    <row r="2941" spans="1:13">
      <c r="A2941" s="2">
        <v>4628</v>
      </c>
      <c r="B2941" s="2" t="s">
        <v>15018</v>
      </c>
      <c r="C2941" s="2">
        <v>18</v>
      </c>
      <c r="D2941" s="2">
        <v>556</v>
      </c>
      <c r="E2941" s="2">
        <v>200</v>
      </c>
      <c r="F2941" s="2">
        <v>32441</v>
      </c>
      <c r="G2941" s="2">
        <v>5.251241007</v>
      </c>
      <c r="H2941" s="3">
        <v>3.8199999999999998E-8</v>
      </c>
      <c r="I2941" s="2" t="s">
        <v>15019</v>
      </c>
      <c r="J2941" s="2" t="s">
        <v>15020</v>
      </c>
      <c r="K2941" s="3">
        <v>2.3300000000000001E-7</v>
      </c>
      <c r="L2941" s="2" t="s">
        <v>1178</v>
      </c>
      <c r="M2941" s="4" t="s">
        <v>15021</v>
      </c>
    </row>
    <row r="2942" spans="1:13">
      <c r="A2942" s="2">
        <v>4680</v>
      </c>
      <c r="B2942" s="2" t="s">
        <v>15022</v>
      </c>
      <c r="C2942" s="2">
        <v>18</v>
      </c>
      <c r="D2942" s="2">
        <v>556</v>
      </c>
      <c r="E2942" s="2">
        <v>200</v>
      </c>
      <c r="F2942" s="2">
        <v>32441</v>
      </c>
      <c r="G2942" s="2">
        <v>5.251241007</v>
      </c>
      <c r="H2942" s="3">
        <v>3.8199999999999998E-8</v>
      </c>
      <c r="I2942" s="2" t="s">
        <v>15023</v>
      </c>
      <c r="J2942" s="2" t="s">
        <v>15024</v>
      </c>
      <c r="K2942" s="3">
        <v>2.3300000000000001E-7</v>
      </c>
      <c r="L2942" s="2" t="s">
        <v>1178</v>
      </c>
      <c r="M2942" s="4" t="s">
        <v>15025</v>
      </c>
    </row>
    <row r="2943" spans="1:13">
      <c r="A2943" s="2">
        <v>46821</v>
      </c>
      <c r="B2943" s="2" t="s">
        <v>15026</v>
      </c>
      <c r="C2943" s="2">
        <v>18</v>
      </c>
      <c r="D2943" s="2">
        <v>556</v>
      </c>
      <c r="E2943" s="2">
        <v>200</v>
      </c>
      <c r="F2943" s="2">
        <v>32441</v>
      </c>
      <c r="G2943" s="2">
        <v>5.251241007</v>
      </c>
      <c r="H2943" s="3">
        <v>3.8199999999999998E-8</v>
      </c>
      <c r="I2943" s="2" t="s">
        <v>15027</v>
      </c>
      <c r="J2943" s="2" t="s">
        <v>15028</v>
      </c>
      <c r="K2943" s="3">
        <v>2.3300000000000001E-7</v>
      </c>
      <c r="L2943" s="2" t="s">
        <v>1178</v>
      </c>
      <c r="M2943" s="4" t="s">
        <v>15029</v>
      </c>
    </row>
    <row r="2944" spans="1:13">
      <c r="A2944" s="2">
        <v>4685</v>
      </c>
      <c r="B2944" s="2" t="s">
        <v>15030</v>
      </c>
      <c r="C2944" s="2">
        <v>18</v>
      </c>
      <c r="D2944" s="2">
        <v>556</v>
      </c>
      <c r="E2944" s="2">
        <v>200</v>
      </c>
      <c r="F2944" s="2">
        <v>32441</v>
      </c>
      <c r="G2944" s="2">
        <v>5.251241007</v>
      </c>
      <c r="H2944" s="3">
        <v>3.8199999999999998E-8</v>
      </c>
      <c r="I2944" s="2" t="s">
        <v>15031</v>
      </c>
      <c r="J2944" s="2" t="s">
        <v>15032</v>
      </c>
      <c r="K2944" s="3">
        <v>2.3300000000000001E-7</v>
      </c>
      <c r="L2944" s="2" t="s">
        <v>1178</v>
      </c>
      <c r="M2944" s="4" t="s">
        <v>15033</v>
      </c>
    </row>
    <row r="2945" spans="1:13">
      <c r="A2945" s="2">
        <v>47521</v>
      </c>
      <c r="B2945" s="2" t="s">
        <v>15034</v>
      </c>
      <c r="C2945" s="2">
        <v>18</v>
      </c>
      <c r="D2945" s="2">
        <v>556</v>
      </c>
      <c r="E2945" s="2">
        <v>200</v>
      </c>
      <c r="F2945" s="2">
        <v>32441</v>
      </c>
      <c r="G2945" s="2">
        <v>5.251241007</v>
      </c>
      <c r="H2945" s="3">
        <v>3.8199999999999998E-8</v>
      </c>
      <c r="I2945" s="2" t="s">
        <v>15035</v>
      </c>
      <c r="J2945" s="2" t="s">
        <v>15036</v>
      </c>
      <c r="K2945" s="3">
        <v>2.3300000000000001E-7</v>
      </c>
      <c r="L2945" s="2" t="s">
        <v>1178</v>
      </c>
      <c r="M2945" s="4" t="s">
        <v>15037</v>
      </c>
    </row>
    <row r="2946" spans="1:13">
      <c r="A2946" s="2">
        <v>47921</v>
      </c>
      <c r="B2946" s="2" t="s">
        <v>15038</v>
      </c>
      <c r="C2946" s="2">
        <v>18</v>
      </c>
      <c r="D2946" s="2">
        <v>556</v>
      </c>
      <c r="E2946" s="2">
        <v>200</v>
      </c>
      <c r="F2946" s="2">
        <v>32441</v>
      </c>
      <c r="G2946" s="2">
        <v>5.251241007</v>
      </c>
      <c r="H2946" s="3">
        <v>3.8199999999999998E-8</v>
      </c>
      <c r="I2946" s="2" t="s">
        <v>15039</v>
      </c>
      <c r="J2946" s="2" t="s">
        <v>15040</v>
      </c>
      <c r="K2946" s="3">
        <v>2.3300000000000001E-7</v>
      </c>
      <c r="L2946" s="2" t="s">
        <v>1178</v>
      </c>
      <c r="M2946" s="4" t="s">
        <v>15041</v>
      </c>
    </row>
    <row r="2947" spans="1:13">
      <c r="A2947" s="2">
        <v>48151</v>
      </c>
      <c r="B2947" s="2" t="s">
        <v>15042</v>
      </c>
      <c r="C2947" s="2">
        <v>18</v>
      </c>
      <c r="D2947" s="2">
        <v>556</v>
      </c>
      <c r="E2947" s="2">
        <v>200</v>
      </c>
      <c r="F2947" s="2">
        <v>32441</v>
      </c>
      <c r="G2947" s="2">
        <v>5.251241007</v>
      </c>
      <c r="H2947" s="3">
        <v>3.8199999999999998E-8</v>
      </c>
      <c r="I2947" s="2" t="s">
        <v>15043</v>
      </c>
      <c r="J2947" s="2" t="s">
        <v>15044</v>
      </c>
      <c r="K2947" s="3">
        <v>2.3300000000000001E-7</v>
      </c>
      <c r="L2947" s="2" t="s">
        <v>1178</v>
      </c>
      <c r="M2947" s="4" t="s">
        <v>15045</v>
      </c>
    </row>
    <row r="2948" spans="1:13">
      <c r="A2948" s="2">
        <v>48171</v>
      </c>
      <c r="B2948" s="2" t="s">
        <v>15046</v>
      </c>
      <c r="C2948" s="2">
        <v>18</v>
      </c>
      <c r="D2948" s="2">
        <v>556</v>
      </c>
      <c r="E2948" s="2">
        <v>200</v>
      </c>
      <c r="F2948" s="2">
        <v>32441</v>
      </c>
      <c r="G2948" s="2">
        <v>5.251241007</v>
      </c>
      <c r="H2948" s="3">
        <v>3.8199999999999998E-8</v>
      </c>
      <c r="I2948" s="2" t="s">
        <v>15047</v>
      </c>
      <c r="J2948" s="2" t="s">
        <v>15048</v>
      </c>
      <c r="K2948" s="3">
        <v>2.3300000000000001E-7</v>
      </c>
      <c r="L2948" s="2" t="s">
        <v>1178</v>
      </c>
      <c r="M2948" s="4" t="s">
        <v>15049</v>
      </c>
    </row>
    <row r="2949" spans="1:13">
      <c r="A2949" s="2">
        <v>3928</v>
      </c>
      <c r="B2949" s="2" t="s">
        <v>15050</v>
      </c>
      <c r="C2949" s="2">
        <v>16</v>
      </c>
      <c r="D2949" s="2">
        <v>556</v>
      </c>
      <c r="E2949" s="2">
        <v>164</v>
      </c>
      <c r="F2949" s="2">
        <v>32441</v>
      </c>
      <c r="G2949" s="2">
        <v>5.6924021759999999</v>
      </c>
      <c r="H2949" s="3">
        <v>7.8499999999999995E-8</v>
      </c>
      <c r="I2949" s="2" t="s">
        <v>15051</v>
      </c>
      <c r="J2949" s="2" t="s">
        <v>15052</v>
      </c>
      <c r="K2949" s="3">
        <v>4.7899999999999999E-7</v>
      </c>
      <c r="L2949" s="2" t="s">
        <v>1178</v>
      </c>
      <c r="M2949" s="4" t="s">
        <v>15053</v>
      </c>
    </row>
    <row r="2950" spans="1:13">
      <c r="A2950" s="2">
        <v>25221</v>
      </c>
      <c r="B2950" s="2" t="s">
        <v>15054</v>
      </c>
      <c r="C2950" s="2">
        <v>16</v>
      </c>
      <c r="D2950" s="2">
        <v>556</v>
      </c>
      <c r="E2950" s="2">
        <v>167</v>
      </c>
      <c r="F2950" s="2">
        <v>32441</v>
      </c>
      <c r="G2950" s="2">
        <v>5.5901434539999997</v>
      </c>
      <c r="H2950" s="3">
        <v>9.8799999999999998E-8</v>
      </c>
      <c r="I2950" s="2" t="s">
        <v>15055</v>
      </c>
      <c r="J2950" s="2" t="s">
        <v>15056</v>
      </c>
      <c r="K2950" s="3">
        <v>6.0100000000000005E-7</v>
      </c>
      <c r="L2950" s="2" t="s">
        <v>1178</v>
      </c>
      <c r="M2950" s="4" t="s">
        <v>15057</v>
      </c>
    </row>
    <row r="2951" spans="1:13">
      <c r="A2951" s="2">
        <v>36211</v>
      </c>
      <c r="B2951" s="2" t="s">
        <v>1284</v>
      </c>
      <c r="C2951" s="2">
        <v>16</v>
      </c>
      <c r="D2951" s="2">
        <v>556</v>
      </c>
      <c r="E2951" s="2">
        <v>167</v>
      </c>
      <c r="F2951" s="2">
        <v>32441</v>
      </c>
      <c r="G2951" s="2">
        <v>5.5901434539999997</v>
      </c>
      <c r="H2951" s="3">
        <v>9.8799999999999998E-8</v>
      </c>
      <c r="I2951" s="2" t="s">
        <v>15058</v>
      </c>
      <c r="J2951" s="2" t="s">
        <v>15059</v>
      </c>
      <c r="K2951" s="3">
        <v>6.0100000000000005E-7</v>
      </c>
      <c r="L2951" s="2" t="s">
        <v>1178</v>
      </c>
      <c r="M2951" s="4" t="s">
        <v>15060</v>
      </c>
    </row>
    <row r="2952" spans="1:13">
      <c r="A2952" s="2">
        <v>4664</v>
      </c>
      <c r="B2952" s="2" t="s">
        <v>15061</v>
      </c>
      <c r="C2952" s="2">
        <v>17</v>
      </c>
      <c r="D2952" s="2">
        <v>556</v>
      </c>
      <c r="E2952" s="2">
        <v>192</v>
      </c>
      <c r="F2952" s="2">
        <v>32441</v>
      </c>
      <c r="G2952" s="2">
        <v>5.1661514540000004</v>
      </c>
      <c r="H2952" s="3">
        <v>1.1300000000000001E-7</v>
      </c>
      <c r="I2952" s="2" t="s">
        <v>15062</v>
      </c>
      <c r="J2952" s="2" t="s">
        <v>15063</v>
      </c>
      <c r="K2952" s="3">
        <v>6.8800000000000002E-7</v>
      </c>
      <c r="L2952" s="2" t="s">
        <v>1178</v>
      </c>
      <c r="M2952" s="4" t="s">
        <v>15064</v>
      </c>
    </row>
    <row r="2953" spans="1:13">
      <c r="A2953" s="2">
        <v>1748</v>
      </c>
      <c r="B2953" s="2" t="s">
        <v>15065</v>
      </c>
      <c r="C2953" s="2">
        <v>16</v>
      </c>
      <c r="D2953" s="2">
        <v>556</v>
      </c>
      <c r="E2953" s="2">
        <v>169</v>
      </c>
      <c r="F2953" s="2">
        <v>32441</v>
      </c>
      <c r="G2953" s="2">
        <v>5.5239879099999998</v>
      </c>
      <c r="H2953" s="3">
        <v>1.15E-7</v>
      </c>
      <c r="I2953" s="2" t="s">
        <v>15066</v>
      </c>
      <c r="J2953" s="2" t="s">
        <v>15067</v>
      </c>
      <c r="K2953" s="3">
        <v>6.9599999999999999E-7</v>
      </c>
      <c r="L2953" s="2" t="s">
        <v>1178</v>
      </c>
      <c r="M2953" s="4" t="s">
        <v>15068</v>
      </c>
    </row>
    <row r="2954" spans="1:13">
      <c r="A2954" s="2">
        <v>3239</v>
      </c>
      <c r="B2954" s="2" t="s">
        <v>15069</v>
      </c>
      <c r="C2954" s="2">
        <v>16</v>
      </c>
      <c r="D2954" s="2">
        <v>556</v>
      </c>
      <c r="E2954" s="2">
        <v>169</v>
      </c>
      <c r="F2954" s="2">
        <v>32441</v>
      </c>
      <c r="G2954" s="2">
        <v>5.5239879099999998</v>
      </c>
      <c r="H2954" s="3">
        <v>1.15E-7</v>
      </c>
      <c r="I2954" s="2" t="s">
        <v>15070</v>
      </c>
      <c r="J2954" s="2" t="s">
        <v>15071</v>
      </c>
      <c r="K2954" s="3">
        <v>6.9599999999999999E-7</v>
      </c>
      <c r="L2954" s="2" t="s">
        <v>1178</v>
      </c>
      <c r="M2954" s="4" t="s">
        <v>15072</v>
      </c>
    </row>
    <row r="2955" spans="1:13">
      <c r="A2955" s="2">
        <v>2785</v>
      </c>
      <c r="B2955" s="2" t="s">
        <v>15073</v>
      </c>
      <c r="C2955" s="2">
        <v>16</v>
      </c>
      <c r="D2955" s="2">
        <v>556</v>
      </c>
      <c r="E2955" s="2">
        <v>170</v>
      </c>
      <c r="F2955" s="2">
        <v>32441</v>
      </c>
      <c r="G2955" s="2">
        <v>5.4914938639999997</v>
      </c>
      <c r="H2955" s="3">
        <v>1.24E-7</v>
      </c>
      <c r="I2955" s="2" t="s">
        <v>15074</v>
      </c>
      <c r="J2955" s="2" t="s">
        <v>15075</v>
      </c>
      <c r="K2955" s="3">
        <v>7.4900000000000005E-7</v>
      </c>
      <c r="L2955" s="2" t="s">
        <v>1178</v>
      </c>
      <c r="M2955" s="4" t="s">
        <v>15076</v>
      </c>
    </row>
    <row r="2956" spans="1:13">
      <c r="A2956" s="2">
        <v>41021</v>
      </c>
      <c r="B2956" s="2" t="s">
        <v>15077</v>
      </c>
      <c r="C2956" s="2">
        <v>16</v>
      </c>
      <c r="D2956" s="2">
        <v>556</v>
      </c>
      <c r="E2956" s="2">
        <v>171</v>
      </c>
      <c r="F2956" s="2">
        <v>32441</v>
      </c>
      <c r="G2956" s="2">
        <v>5.4593798649999998</v>
      </c>
      <c r="H2956" s="3">
        <v>1.3300000000000001E-7</v>
      </c>
      <c r="I2956" s="2" t="s">
        <v>15078</v>
      </c>
      <c r="J2956" s="2" t="s">
        <v>15079</v>
      </c>
      <c r="K2956" s="3">
        <v>8.0500000000000002E-7</v>
      </c>
      <c r="L2956" s="2" t="s">
        <v>1178</v>
      </c>
      <c r="M2956" s="4" t="s">
        <v>15080</v>
      </c>
    </row>
    <row r="2957" spans="1:13">
      <c r="A2957" s="2">
        <v>2892</v>
      </c>
      <c r="B2957" s="2" t="s">
        <v>15081</v>
      </c>
      <c r="C2957" s="2">
        <v>14</v>
      </c>
      <c r="D2957" s="2">
        <v>556</v>
      </c>
      <c r="E2957" s="2">
        <v>128</v>
      </c>
      <c r="F2957" s="2">
        <v>32441</v>
      </c>
      <c r="G2957" s="2">
        <v>6.3817165019999997</v>
      </c>
      <c r="H2957" s="3">
        <v>1.4100000000000001E-7</v>
      </c>
      <c r="I2957" s="2" t="s">
        <v>15082</v>
      </c>
      <c r="J2957" s="2" t="s">
        <v>15083</v>
      </c>
      <c r="K2957" s="3">
        <v>8.5199999999999995E-7</v>
      </c>
      <c r="L2957" s="2" t="s">
        <v>1178</v>
      </c>
      <c r="M2957" s="4" t="s">
        <v>15084</v>
      </c>
    </row>
    <row r="2958" spans="1:13">
      <c r="A2958" s="2">
        <v>2808</v>
      </c>
      <c r="B2958" s="2" t="s">
        <v>15085</v>
      </c>
      <c r="C2958" s="2">
        <v>15</v>
      </c>
      <c r="D2958" s="2">
        <v>556</v>
      </c>
      <c r="E2958" s="2">
        <v>150</v>
      </c>
      <c r="F2958" s="2">
        <v>32441</v>
      </c>
      <c r="G2958" s="2">
        <v>5.8347122300000001</v>
      </c>
      <c r="H2958" s="3">
        <v>1.49E-7</v>
      </c>
      <c r="I2958" s="2" t="s">
        <v>15086</v>
      </c>
      <c r="J2958" s="2" t="s">
        <v>15087</v>
      </c>
      <c r="K2958" s="3">
        <v>8.9599999999999998E-7</v>
      </c>
      <c r="L2958" s="2" t="s">
        <v>1178</v>
      </c>
      <c r="M2958" s="4" t="s">
        <v>15088</v>
      </c>
    </row>
    <row r="2959" spans="1:13">
      <c r="A2959" s="2">
        <v>4324</v>
      </c>
      <c r="B2959" s="2" t="s">
        <v>15089</v>
      </c>
      <c r="C2959" s="2">
        <v>17</v>
      </c>
      <c r="D2959" s="2">
        <v>556</v>
      </c>
      <c r="E2959" s="2">
        <v>196</v>
      </c>
      <c r="F2959" s="2">
        <v>32441</v>
      </c>
      <c r="G2959" s="2">
        <v>5.0607197920000004</v>
      </c>
      <c r="H2959" s="3">
        <v>1.49E-7</v>
      </c>
      <c r="I2959" s="2" t="s">
        <v>15090</v>
      </c>
      <c r="J2959" s="2" t="s">
        <v>15091</v>
      </c>
      <c r="K2959" s="3">
        <v>8.9599999999999998E-7</v>
      </c>
      <c r="L2959" s="2" t="s">
        <v>1178</v>
      </c>
      <c r="M2959" s="4" t="s">
        <v>15092</v>
      </c>
    </row>
    <row r="2960" spans="1:13">
      <c r="A2960" s="2">
        <v>2292</v>
      </c>
      <c r="B2960" s="2" t="s">
        <v>15093</v>
      </c>
      <c r="C2960" s="2">
        <v>17</v>
      </c>
      <c r="D2960" s="2">
        <v>556</v>
      </c>
      <c r="E2960" s="2">
        <v>197</v>
      </c>
      <c r="F2960" s="2">
        <v>32441</v>
      </c>
      <c r="G2960" s="2">
        <v>5.0350308589999999</v>
      </c>
      <c r="H2960" s="3">
        <v>1.5900000000000001E-7</v>
      </c>
      <c r="I2960" s="2" t="s">
        <v>15094</v>
      </c>
      <c r="J2960" s="2" t="s">
        <v>15095</v>
      </c>
      <c r="K2960" s="3">
        <v>9.5600000000000004E-7</v>
      </c>
      <c r="L2960" s="2" t="s">
        <v>1178</v>
      </c>
      <c r="M2960" s="4" t="s">
        <v>15096</v>
      </c>
    </row>
    <row r="2961" spans="1:13">
      <c r="A2961" s="2">
        <v>3118</v>
      </c>
      <c r="B2961" s="2" t="s">
        <v>15097</v>
      </c>
      <c r="C2961" s="2">
        <v>17</v>
      </c>
      <c r="D2961" s="2">
        <v>556</v>
      </c>
      <c r="E2961" s="2">
        <v>197</v>
      </c>
      <c r="F2961" s="2">
        <v>32441</v>
      </c>
      <c r="G2961" s="2">
        <v>5.0350308589999999</v>
      </c>
      <c r="H2961" s="3">
        <v>1.5900000000000001E-7</v>
      </c>
      <c r="I2961" s="2" t="s">
        <v>15098</v>
      </c>
      <c r="J2961" s="2" t="s">
        <v>15099</v>
      </c>
      <c r="K2961" s="3">
        <v>9.5600000000000004E-7</v>
      </c>
      <c r="L2961" s="2" t="s">
        <v>1178</v>
      </c>
      <c r="M2961" s="4" t="s">
        <v>15100</v>
      </c>
    </row>
    <row r="2962" spans="1:13">
      <c r="A2962" s="2">
        <v>2181</v>
      </c>
      <c r="B2962" s="2" t="s">
        <v>1215</v>
      </c>
      <c r="C2962" s="2">
        <v>16</v>
      </c>
      <c r="D2962" s="2">
        <v>556</v>
      </c>
      <c r="E2962" s="2">
        <v>174</v>
      </c>
      <c r="F2962" s="2">
        <v>32441</v>
      </c>
      <c r="G2962" s="2">
        <v>5.3652526250000001</v>
      </c>
      <c r="H2962" s="3">
        <v>1.66E-7</v>
      </c>
      <c r="I2962" s="2" t="s">
        <v>15101</v>
      </c>
      <c r="J2962" s="2" t="s">
        <v>15102</v>
      </c>
      <c r="K2962" s="3">
        <v>9.95E-7</v>
      </c>
      <c r="L2962" s="2" t="s">
        <v>1178</v>
      </c>
      <c r="M2962" s="4" t="s">
        <v>15103</v>
      </c>
    </row>
    <row r="2963" spans="1:13">
      <c r="A2963" s="2">
        <v>1010</v>
      </c>
      <c r="B2963" s="2" t="s">
        <v>1803</v>
      </c>
      <c r="C2963" s="2">
        <v>17</v>
      </c>
      <c r="D2963" s="2">
        <v>556</v>
      </c>
      <c r="E2963" s="2">
        <v>200</v>
      </c>
      <c r="F2963" s="2">
        <v>32441</v>
      </c>
      <c r="G2963" s="2">
        <v>4.959505396</v>
      </c>
      <c r="H2963" s="3">
        <v>1.9399999999999999E-7</v>
      </c>
      <c r="I2963" s="2" t="s">
        <v>15104</v>
      </c>
      <c r="J2963" s="2" t="s">
        <v>15105</v>
      </c>
      <c r="K2963" s="3">
        <v>1.0300000000000001E-6</v>
      </c>
      <c r="L2963" s="2" t="s">
        <v>1178</v>
      </c>
      <c r="M2963" s="4" t="s">
        <v>15106</v>
      </c>
    </row>
    <row r="2964" spans="1:13">
      <c r="A2964" s="2">
        <v>13</v>
      </c>
      <c r="B2964" s="2" t="s">
        <v>2001</v>
      </c>
      <c r="C2964" s="2">
        <v>17</v>
      </c>
      <c r="D2964" s="2">
        <v>556</v>
      </c>
      <c r="E2964" s="2">
        <v>200</v>
      </c>
      <c r="F2964" s="2">
        <v>32441</v>
      </c>
      <c r="G2964" s="2">
        <v>4.959505396</v>
      </c>
      <c r="H2964" s="3">
        <v>1.9399999999999999E-7</v>
      </c>
      <c r="I2964" s="2" t="s">
        <v>15107</v>
      </c>
      <c r="J2964" s="2" t="s">
        <v>15108</v>
      </c>
      <c r="K2964" s="3">
        <v>1.0300000000000001E-6</v>
      </c>
      <c r="L2964" s="2" t="s">
        <v>1178</v>
      </c>
      <c r="M2964" s="4" t="s">
        <v>15109</v>
      </c>
    </row>
    <row r="2965" spans="1:13">
      <c r="A2965" s="2">
        <v>898</v>
      </c>
      <c r="B2965" s="2" t="s">
        <v>15110</v>
      </c>
      <c r="C2965" s="2">
        <v>17</v>
      </c>
      <c r="D2965" s="2">
        <v>556</v>
      </c>
      <c r="E2965" s="2">
        <v>200</v>
      </c>
      <c r="F2965" s="2">
        <v>32441</v>
      </c>
      <c r="G2965" s="2">
        <v>4.959505396</v>
      </c>
      <c r="H2965" s="3">
        <v>1.9399999999999999E-7</v>
      </c>
      <c r="I2965" s="2" t="s">
        <v>15111</v>
      </c>
      <c r="J2965" s="2" t="s">
        <v>15112</v>
      </c>
      <c r="K2965" s="3">
        <v>1.0300000000000001E-6</v>
      </c>
      <c r="L2965" s="2" t="s">
        <v>1178</v>
      </c>
      <c r="M2965" s="4" t="s">
        <v>15113</v>
      </c>
    </row>
    <row r="2966" spans="1:13">
      <c r="A2966" s="2">
        <v>1311</v>
      </c>
      <c r="B2966" s="2" t="s">
        <v>15114</v>
      </c>
      <c r="C2966" s="2">
        <v>17</v>
      </c>
      <c r="D2966" s="2">
        <v>556</v>
      </c>
      <c r="E2966" s="2">
        <v>200</v>
      </c>
      <c r="F2966" s="2">
        <v>32441</v>
      </c>
      <c r="G2966" s="2">
        <v>4.959505396</v>
      </c>
      <c r="H2966" s="3">
        <v>1.9399999999999999E-7</v>
      </c>
      <c r="I2966" s="2" t="s">
        <v>15115</v>
      </c>
      <c r="J2966" s="2" t="s">
        <v>15116</v>
      </c>
      <c r="K2966" s="3">
        <v>1.0300000000000001E-6</v>
      </c>
      <c r="L2966" s="2" t="s">
        <v>1178</v>
      </c>
      <c r="M2966" s="4" t="s">
        <v>15117</v>
      </c>
    </row>
    <row r="2967" spans="1:13">
      <c r="A2967" s="2">
        <v>184</v>
      </c>
      <c r="B2967" s="2" t="s">
        <v>15118</v>
      </c>
      <c r="C2967" s="2">
        <v>17</v>
      </c>
      <c r="D2967" s="2">
        <v>556</v>
      </c>
      <c r="E2967" s="2">
        <v>200</v>
      </c>
      <c r="F2967" s="2">
        <v>32441</v>
      </c>
      <c r="G2967" s="2">
        <v>4.959505396</v>
      </c>
      <c r="H2967" s="3">
        <v>1.9399999999999999E-7</v>
      </c>
      <c r="I2967" s="2" t="s">
        <v>15119</v>
      </c>
      <c r="J2967" s="2" t="s">
        <v>15120</v>
      </c>
      <c r="K2967" s="3">
        <v>1.0300000000000001E-6</v>
      </c>
      <c r="L2967" s="2" t="s">
        <v>1178</v>
      </c>
      <c r="M2967" s="4" t="s">
        <v>15121</v>
      </c>
    </row>
    <row r="2968" spans="1:13">
      <c r="A2968" s="2">
        <v>2375</v>
      </c>
      <c r="B2968" s="2" t="s">
        <v>2322</v>
      </c>
      <c r="C2968" s="2">
        <v>17</v>
      </c>
      <c r="D2968" s="2">
        <v>556</v>
      </c>
      <c r="E2968" s="2">
        <v>200</v>
      </c>
      <c r="F2968" s="2">
        <v>32441</v>
      </c>
      <c r="G2968" s="2">
        <v>4.959505396</v>
      </c>
      <c r="H2968" s="3">
        <v>1.9399999999999999E-7</v>
      </c>
      <c r="I2968" s="2" t="s">
        <v>15122</v>
      </c>
      <c r="J2968" s="2" t="s">
        <v>15123</v>
      </c>
      <c r="K2968" s="3">
        <v>1.0300000000000001E-6</v>
      </c>
      <c r="L2968" s="2" t="s">
        <v>1178</v>
      </c>
      <c r="M2968" s="4" t="s">
        <v>15124</v>
      </c>
    </row>
    <row r="2969" spans="1:13">
      <c r="A2969" s="2">
        <v>28310</v>
      </c>
      <c r="B2969" s="2" t="s">
        <v>15125</v>
      </c>
      <c r="C2969" s="2">
        <v>17</v>
      </c>
      <c r="D2969" s="2">
        <v>556</v>
      </c>
      <c r="E2969" s="2">
        <v>200</v>
      </c>
      <c r="F2969" s="2">
        <v>32441</v>
      </c>
      <c r="G2969" s="2">
        <v>4.959505396</v>
      </c>
      <c r="H2969" s="3">
        <v>1.9399999999999999E-7</v>
      </c>
      <c r="I2969" s="2" t="s">
        <v>15126</v>
      </c>
      <c r="J2969" s="2" t="s">
        <v>15127</v>
      </c>
      <c r="K2969" s="3">
        <v>1.0300000000000001E-6</v>
      </c>
      <c r="L2969" s="2" t="s">
        <v>1178</v>
      </c>
      <c r="M2969" s="4" t="s">
        <v>15128</v>
      </c>
    </row>
    <row r="2970" spans="1:13">
      <c r="A2970" s="2">
        <v>4413</v>
      </c>
      <c r="B2970" s="2" t="s">
        <v>15129</v>
      </c>
      <c r="C2970" s="2">
        <v>17</v>
      </c>
      <c r="D2970" s="2">
        <v>556</v>
      </c>
      <c r="E2970" s="2">
        <v>200</v>
      </c>
      <c r="F2970" s="2">
        <v>32441</v>
      </c>
      <c r="G2970" s="2">
        <v>4.959505396</v>
      </c>
      <c r="H2970" s="3">
        <v>1.9399999999999999E-7</v>
      </c>
      <c r="I2970" s="2" t="s">
        <v>15130</v>
      </c>
      <c r="J2970" s="2" t="s">
        <v>15131</v>
      </c>
      <c r="K2970" s="3">
        <v>1.0300000000000001E-6</v>
      </c>
      <c r="L2970" s="2" t="s">
        <v>1178</v>
      </c>
      <c r="M2970" s="4" t="s">
        <v>15132</v>
      </c>
    </row>
    <row r="2971" spans="1:13">
      <c r="A2971" s="2">
        <v>443</v>
      </c>
      <c r="B2971" s="2" t="s">
        <v>15133</v>
      </c>
      <c r="C2971" s="2">
        <v>17</v>
      </c>
      <c r="D2971" s="2">
        <v>556</v>
      </c>
      <c r="E2971" s="2">
        <v>200</v>
      </c>
      <c r="F2971" s="2">
        <v>32441</v>
      </c>
      <c r="G2971" s="2">
        <v>4.959505396</v>
      </c>
      <c r="H2971" s="3">
        <v>1.9399999999999999E-7</v>
      </c>
      <c r="I2971" s="2" t="s">
        <v>15134</v>
      </c>
      <c r="J2971" s="2" t="s">
        <v>15135</v>
      </c>
      <c r="K2971" s="3">
        <v>1.0300000000000001E-6</v>
      </c>
      <c r="L2971" s="2" t="s">
        <v>1178</v>
      </c>
      <c r="M2971" s="4" t="s">
        <v>15136</v>
      </c>
    </row>
    <row r="2972" spans="1:13">
      <c r="A2972" s="2">
        <v>548</v>
      </c>
      <c r="B2972" s="2" t="s">
        <v>15137</v>
      </c>
      <c r="C2972" s="2">
        <v>17</v>
      </c>
      <c r="D2972" s="2">
        <v>556</v>
      </c>
      <c r="E2972" s="2">
        <v>200</v>
      </c>
      <c r="F2972" s="2">
        <v>32441</v>
      </c>
      <c r="G2972" s="2">
        <v>4.959505396</v>
      </c>
      <c r="H2972" s="3">
        <v>1.9399999999999999E-7</v>
      </c>
      <c r="I2972" s="2" t="s">
        <v>15138</v>
      </c>
      <c r="J2972" s="2" t="s">
        <v>15139</v>
      </c>
      <c r="K2972" s="3">
        <v>1.0300000000000001E-6</v>
      </c>
      <c r="L2972" s="2" t="s">
        <v>1178</v>
      </c>
      <c r="M2972" s="4" t="s">
        <v>15140</v>
      </c>
    </row>
    <row r="2973" spans="1:13">
      <c r="A2973" s="2">
        <v>611</v>
      </c>
      <c r="B2973" s="2" t="s">
        <v>15141</v>
      </c>
      <c r="C2973" s="2">
        <v>17</v>
      </c>
      <c r="D2973" s="2">
        <v>556</v>
      </c>
      <c r="E2973" s="2">
        <v>200</v>
      </c>
      <c r="F2973" s="2">
        <v>32441</v>
      </c>
      <c r="G2973" s="2">
        <v>4.959505396</v>
      </c>
      <c r="H2973" s="3">
        <v>1.9399999999999999E-7</v>
      </c>
      <c r="I2973" s="2" t="s">
        <v>15142</v>
      </c>
      <c r="J2973" s="2" t="s">
        <v>15143</v>
      </c>
      <c r="K2973" s="3">
        <v>1.0300000000000001E-6</v>
      </c>
      <c r="L2973" s="2" t="s">
        <v>1178</v>
      </c>
      <c r="M2973" s="4" t="s">
        <v>15144</v>
      </c>
    </row>
    <row r="2974" spans="1:13">
      <c r="A2974" s="2">
        <v>624</v>
      </c>
      <c r="B2974" s="2" t="s">
        <v>15145</v>
      </c>
      <c r="C2974" s="2">
        <v>17</v>
      </c>
      <c r="D2974" s="2">
        <v>556</v>
      </c>
      <c r="E2974" s="2">
        <v>200</v>
      </c>
      <c r="F2974" s="2">
        <v>32441</v>
      </c>
      <c r="G2974" s="2">
        <v>4.959505396</v>
      </c>
      <c r="H2974" s="3">
        <v>1.9399999999999999E-7</v>
      </c>
      <c r="I2974" s="2" t="s">
        <v>15146</v>
      </c>
      <c r="J2974" s="2" t="s">
        <v>15147</v>
      </c>
      <c r="K2974" s="3">
        <v>1.0300000000000001E-6</v>
      </c>
      <c r="L2974" s="2" t="s">
        <v>1178</v>
      </c>
      <c r="M2974" s="4" t="s">
        <v>15148</v>
      </c>
    </row>
    <row r="2975" spans="1:13">
      <c r="A2975" s="2">
        <v>665</v>
      </c>
      <c r="B2975" s="2" t="s">
        <v>15149</v>
      </c>
      <c r="C2975" s="2">
        <v>17</v>
      </c>
      <c r="D2975" s="2">
        <v>556</v>
      </c>
      <c r="E2975" s="2">
        <v>200</v>
      </c>
      <c r="F2975" s="2">
        <v>32441</v>
      </c>
      <c r="G2975" s="2">
        <v>4.959505396</v>
      </c>
      <c r="H2975" s="3">
        <v>1.9399999999999999E-7</v>
      </c>
      <c r="I2975" s="2" t="s">
        <v>15150</v>
      </c>
      <c r="J2975" s="2" t="s">
        <v>15151</v>
      </c>
      <c r="K2975" s="3">
        <v>1.0300000000000001E-6</v>
      </c>
      <c r="L2975" s="2" t="s">
        <v>1178</v>
      </c>
      <c r="M2975" s="4" t="s">
        <v>15152</v>
      </c>
    </row>
    <row r="2976" spans="1:13">
      <c r="A2976" s="2">
        <v>810</v>
      </c>
      <c r="B2976" s="2" t="s">
        <v>15153</v>
      </c>
      <c r="C2976" s="2">
        <v>17</v>
      </c>
      <c r="D2976" s="2">
        <v>556</v>
      </c>
      <c r="E2976" s="2">
        <v>200</v>
      </c>
      <c r="F2976" s="2">
        <v>32441</v>
      </c>
      <c r="G2976" s="2">
        <v>4.959505396</v>
      </c>
      <c r="H2976" s="3">
        <v>1.9399999999999999E-7</v>
      </c>
      <c r="I2976" s="2" t="s">
        <v>15154</v>
      </c>
      <c r="J2976" s="2" t="s">
        <v>15155</v>
      </c>
      <c r="K2976" s="3">
        <v>1.0300000000000001E-6</v>
      </c>
      <c r="L2976" s="2" t="s">
        <v>1178</v>
      </c>
      <c r="M2976" s="4" t="s">
        <v>15156</v>
      </c>
    </row>
    <row r="2977" spans="1:13">
      <c r="A2977" s="2">
        <v>846</v>
      </c>
      <c r="B2977" s="2" t="s">
        <v>15157</v>
      </c>
      <c r="C2977" s="2">
        <v>17</v>
      </c>
      <c r="D2977" s="2">
        <v>556</v>
      </c>
      <c r="E2977" s="2">
        <v>200</v>
      </c>
      <c r="F2977" s="2">
        <v>32441</v>
      </c>
      <c r="G2977" s="2">
        <v>4.959505396</v>
      </c>
      <c r="H2977" s="3">
        <v>1.9399999999999999E-7</v>
      </c>
      <c r="I2977" s="2" t="s">
        <v>15158</v>
      </c>
      <c r="J2977" s="2" t="s">
        <v>15159</v>
      </c>
      <c r="K2977" s="3">
        <v>1.0300000000000001E-6</v>
      </c>
      <c r="L2977" s="2" t="s">
        <v>1178</v>
      </c>
      <c r="M2977" s="4" t="s">
        <v>15160</v>
      </c>
    </row>
    <row r="2978" spans="1:13">
      <c r="A2978" s="2">
        <v>922</v>
      </c>
      <c r="B2978" s="2" t="s">
        <v>3357</v>
      </c>
      <c r="C2978" s="2">
        <v>17</v>
      </c>
      <c r="D2978" s="2">
        <v>556</v>
      </c>
      <c r="E2978" s="2">
        <v>200</v>
      </c>
      <c r="F2978" s="2">
        <v>32441</v>
      </c>
      <c r="G2978" s="2">
        <v>4.959505396</v>
      </c>
      <c r="H2978" s="3">
        <v>1.9399999999999999E-7</v>
      </c>
      <c r="I2978" s="2" t="s">
        <v>15161</v>
      </c>
      <c r="J2978" s="2" t="s">
        <v>15162</v>
      </c>
      <c r="K2978" s="3">
        <v>1.0300000000000001E-6</v>
      </c>
      <c r="L2978" s="2" t="s">
        <v>1178</v>
      </c>
      <c r="M2978" s="4" t="s">
        <v>3360</v>
      </c>
    </row>
    <row r="2979" spans="1:13">
      <c r="A2979" s="2">
        <v>923</v>
      </c>
      <c r="B2979" s="2" t="s">
        <v>15163</v>
      </c>
      <c r="C2979" s="2">
        <v>17</v>
      </c>
      <c r="D2979" s="2">
        <v>556</v>
      </c>
      <c r="E2979" s="2">
        <v>200</v>
      </c>
      <c r="F2979" s="2">
        <v>32441</v>
      </c>
      <c r="G2979" s="2">
        <v>4.959505396</v>
      </c>
      <c r="H2979" s="3">
        <v>1.9399999999999999E-7</v>
      </c>
      <c r="I2979" s="2" t="s">
        <v>15164</v>
      </c>
      <c r="J2979" s="2" t="s">
        <v>15165</v>
      </c>
      <c r="K2979" s="3">
        <v>1.0300000000000001E-6</v>
      </c>
      <c r="L2979" s="2" t="s">
        <v>1178</v>
      </c>
      <c r="M2979" s="4" t="s">
        <v>15166</v>
      </c>
    </row>
    <row r="2980" spans="1:13">
      <c r="A2980" s="2">
        <v>9241</v>
      </c>
      <c r="B2980" s="2" t="s">
        <v>15167</v>
      </c>
      <c r="C2980" s="2">
        <v>17</v>
      </c>
      <c r="D2980" s="2">
        <v>556</v>
      </c>
      <c r="E2980" s="2">
        <v>200</v>
      </c>
      <c r="F2980" s="2">
        <v>32441</v>
      </c>
      <c r="G2980" s="2">
        <v>4.959505396</v>
      </c>
      <c r="H2980" s="3">
        <v>1.9399999999999999E-7</v>
      </c>
      <c r="I2980" s="2" t="s">
        <v>15168</v>
      </c>
      <c r="J2980" s="2" t="s">
        <v>15169</v>
      </c>
      <c r="K2980" s="3">
        <v>1.0300000000000001E-6</v>
      </c>
      <c r="L2980" s="2" t="s">
        <v>1178</v>
      </c>
      <c r="M2980" s="4" t="s">
        <v>15170</v>
      </c>
    </row>
    <row r="2981" spans="1:13">
      <c r="A2981" s="2">
        <v>932</v>
      </c>
      <c r="B2981" s="2" t="s">
        <v>15171</v>
      </c>
      <c r="C2981" s="2">
        <v>17</v>
      </c>
      <c r="D2981" s="2">
        <v>556</v>
      </c>
      <c r="E2981" s="2">
        <v>200</v>
      </c>
      <c r="F2981" s="2">
        <v>32441</v>
      </c>
      <c r="G2981" s="2">
        <v>4.959505396</v>
      </c>
      <c r="H2981" s="3">
        <v>1.9399999999999999E-7</v>
      </c>
      <c r="I2981" s="2" t="s">
        <v>15172</v>
      </c>
      <c r="J2981" s="2" t="s">
        <v>15173</v>
      </c>
      <c r="K2981" s="3">
        <v>1.0300000000000001E-6</v>
      </c>
      <c r="L2981" s="2" t="s">
        <v>1178</v>
      </c>
      <c r="M2981" s="4" t="s">
        <v>15174</v>
      </c>
    </row>
    <row r="2982" spans="1:13">
      <c r="A2982" s="2">
        <v>965</v>
      </c>
      <c r="B2982" s="2" t="s">
        <v>3192</v>
      </c>
      <c r="C2982" s="2">
        <v>17</v>
      </c>
      <c r="D2982" s="2">
        <v>556</v>
      </c>
      <c r="E2982" s="2">
        <v>200</v>
      </c>
      <c r="F2982" s="2">
        <v>32441</v>
      </c>
      <c r="G2982" s="2">
        <v>4.959505396</v>
      </c>
      <c r="H2982" s="3">
        <v>1.9399999999999999E-7</v>
      </c>
      <c r="I2982" s="2" t="s">
        <v>15175</v>
      </c>
      <c r="J2982" s="2" t="s">
        <v>15176</v>
      </c>
      <c r="K2982" s="3">
        <v>1.0300000000000001E-6</v>
      </c>
      <c r="L2982" s="2" t="s">
        <v>1178</v>
      </c>
      <c r="M2982" s="4" t="s">
        <v>3195</v>
      </c>
    </row>
    <row r="2983" spans="1:13">
      <c r="A2983" s="2">
        <v>971</v>
      </c>
      <c r="B2983" s="2" t="s">
        <v>15177</v>
      </c>
      <c r="C2983" s="2">
        <v>17</v>
      </c>
      <c r="D2983" s="2">
        <v>556</v>
      </c>
      <c r="E2983" s="2">
        <v>200</v>
      </c>
      <c r="F2983" s="2">
        <v>32441</v>
      </c>
      <c r="G2983" s="2">
        <v>4.959505396</v>
      </c>
      <c r="H2983" s="3">
        <v>1.9399999999999999E-7</v>
      </c>
      <c r="I2983" s="2" t="s">
        <v>15178</v>
      </c>
      <c r="J2983" s="2" t="s">
        <v>15179</v>
      </c>
      <c r="K2983" s="3">
        <v>1.0300000000000001E-6</v>
      </c>
      <c r="L2983" s="2" t="s">
        <v>1178</v>
      </c>
      <c r="M2983" s="4" t="s">
        <v>15180</v>
      </c>
    </row>
    <row r="2984" spans="1:13">
      <c r="A2984" s="2">
        <v>1004</v>
      </c>
      <c r="B2984" s="2" t="s">
        <v>15181</v>
      </c>
      <c r="C2984" s="2">
        <v>17</v>
      </c>
      <c r="D2984" s="2">
        <v>556</v>
      </c>
      <c r="E2984" s="2">
        <v>200</v>
      </c>
      <c r="F2984" s="2">
        <v>32441</v>
      </c>
      <c r="G2984" s="2">
        <v>4.959505396</v>
      </c>
      <c r="H2984" s="3">
        <v>1.9399999999999999E-7</v>
      </c>
      <c r="I2984" s="2" t="s">
        <v>15182</v>
      </c>
      <c r="J2984" s="2" t="s">
        <v>15183</v>
      </c>
      <c r="K2984" s="3">
        <v>1.0300000000000001E-6</v>
      </c>
      <c r="L2984" s="2" t="s">
        <v>1178</v>
      </c>
      <c r="M2984" s="4" t="s">
        <v>15184</v>
      </c>
    </row>
    <row r="2985" spans="1:13">
      <c r="A2985" s="2">
        <v>1039</v>
      </c>
      <c r="B2985" s="2" t="s">
        <v>15185</v>
      </c>
      <c r="C2985" s="2">
        <v>17</v>
      </c>
      <c r="D2985" s="2">
        <v>556</v>
      </c>
      <c r="E2985" s="2">
        <v>200</v>
      </c>
      <c r="F2985" s="2">
        <v>32441</v>
      </c>
      <c r="G2985" s="2">
        <v>4.959505396</v>
      </c>
      <c r="H2985" s="3">
        <v>1.9399999999999999E-7</v>
      </c>
      <c r="I2985" s="2" t="s">
        <v>15186</v>
      </c>
      <c r="J2985" s="2" t="s">
        <v>15187</v>
      </c>
      <c r="K2985" s="3">
        <v>1.0300000000000001E-6</v>
      </c>
      <c r="L2985" s="2" t="s">
        <v>1178</v>
      </c>
      <c r="M2985" s="4" t="s">
        <v>15188</v>
      </c>
    </row>
    <row r="2986" spans="1:13">
      <c r="A2986" s="2">
        <v>1074</v>
      </c>
      <c r="B2986" s="2" t="s">
        <v>15189</v>
      </c>
      <c r="C2986" s="2">
        <v>17</v>
      </c>
      <c r="D2986" s="2">
        <v>556</v>
      </c>
      <c r="E2986" s="2">
        <v>200</v>
      </c>
      <c r="F2986" s="2">
        <v>32441</v>
      </c>
      <c r="G2986" s="2">
        <v>4.959505396</v>
      </c>
      <c r="H2986" s="3">
        <v>1.9399999999999999E-7</v>
      </c>
      <c r="I2986" s="2" t="s">
        <v>15190</v>
      </c>
      <c r="J2986" s="2" t="s">
        <v>15191</v>
      </c>
      <c r="K2986" s="3">
        <v>1.0300000000000001E-6</v>
      </c>
      <c r="L2986" s="2" t="s">
        <v>1178</v>
      </c>
      <c r="M2986" s="4" t="s">
        <v>15192</v>
      </c>
    </row>
    <row r="2987" spans="1:13">
      <c r="A2987" s="2">
        <v>1124</v>
      </c>
      <c r="B2987" s="2" t="s">
        <v>15193</v>
      </c>
      <c r="C2987" s="2">
        <v>17</v>
      </c>
      <c r="D2987" s="2">
        <v>556</v>
      </c>
      <c r="E2987" s="2">
        <v>200</v>
      </c>
      <c r="F2987" s="2">
        <v>32441</v>
      </c>
      <c r="G2987" s="2">
        <v>4.959505396</v>
      </c>
      <c r="H2987" s="3">
        <v>1.9399999999999999E-7</v>
      </c>
      <c r="I2987" s="2" t="s">
        <v>15194</v>
      </c>
      <c r="J2987" s="2" t="s">
        <v>15195</v>
      </c>
      <c r="K2987" s="3">
        <v>1.0300000000000001E-6</v>
      </c>
      <c r="L2987" s="2" t="s">
        <v>1178</v>
      </c>
      <c r="M2987" s="4" t="s">
        <v>15196</v>
      </c>
    </row>
    <row r="2988" spans="1:13">
      <c r="A2988" s="2">
        <v>1138</v>
      </c>
      <c r="B2988" s="2" t="s">
        <v>15197</v>
      </c>
      <c r="C2988" s="2">
        <v>17</v>
      </c>
      <c r="D2988" s="2">
        <v>556</v>
      </c>
      <c r="E2988" s="2">
        <v>200</v>
      </c>
      <c r="F2988" s="2">
        <v>32441</v>
      </c>
      <c r="G2988" s="2">
        <v>4.959505396</v>
      </c>
      <c r="H2988" s="3">
        <v>1.9399999999999999E-7</v>
      </c>
      <c r="I2988" s="2" t="s">
        <v>15198</v>
      </c>
      <c r="J2988" s="2" t="s">
        <v>15199</v>
      </c>
      <c r="K2988" s="3">
        <v>1.0300000000000001E-6</v>
      </c>
      <c r="L2988" s="2" t="s">
        <v>1178</v>
      </c>
      <c r="M2988" s="4" t="s">
        <v>15200</v>
      </c>
    </row>
    <row r="2989" spans="1:13">
      <c r="A2989" s="2">
        <v>11641</v>
      </c>
      <c r="B2989" s="2" t="s">
        <v>15201</v>
      </c>
      <c r="C2989" s="2">
        <v>17</v>
      </c>
      <c r="D2989" s="2">
        <v>556</v>
      </c>
      <c r="E2989" s="2">
        <v>200</v>
      </c>
      <c r="F2989" s="2">
        <v>32441</v>
      </c>
      <c r="G2989" s="2">
        <v>4.959505396</v>
      </c>
      <c r="H2989" s="3">
        <v>1.9399999999999999E-7</v>
      </c>
      <c r="I2989" s="2" t="s">
        <v>15202</v>
      </c>
      <c r="J2989" s="2" t="s">
        <v>15203</v>
      </c>
      <c r="K2989" s="3">
        <v>1.0300000000000001E-6</v>
      </c>
      <c r="L2989" s="2" t="s">
        <v>1178</v>
      </c>
      <c r="M2989" s="4" t="s">
        <v>15204</v>
      </c>
    </row>
    <row r="2990" spans="1:13">
      <c r="A2990" s="2">
        <v>1273</v>
      </c>
      <c r="B2990" s="2" t="s">
        <v>15205</v>
      </c>
      <c r="C2990" s="2">
        <v>17</v>
      </c>
      <c r="D2990" s="2">
        <v>556</v>
      </c>
      <c r="E2990" s="2">
        <v>200</v>
      </c>
      <c r="F2990" s="2">
        <v>32441</v>
      </c>
      <c r="G2990" s="2">
        <v>4.959505396</v>
      </c>
      <c r="H2990" s="3">
        <v>1.9399999999999999E-7</v>
      </c>
      <c r="I2990" s="2" t="s">
        <v>15206</v>
      </c>
      <c r="J2990" s="2" t="s">
        <v>15207</v>
      </c>
      <c r="K2990" s="3">
        <v>1.0300000000000001E-6</v>
      </c>
      <c r="L2990" s="2" t="s">
        <v>1178</v>
      </c>
      <c r="M2990" s="4" t="s">
        <v>15208</v>
      </c>
    </row>
    <row r="2991" spans="1:13">
      <c r="A2991" s="2">
        <v>1343</v>
      </c>
      <c r="B2991" s="2" t="s">
        <v>15209</v>
      </c>
      <c r="C2991" s="2">
        <v>17</v>
      </c>
      <c r="D2991" s="2">
        <v>556</v>
      </c>
      <c r="E2991" s="2">
        <v>200</v>
      </c>
      <c r="F2991" s="2">
        <v>32441</v>
      </c>
      <c r="G2991" s="2">
        <v>4.959505396</v>
      </c>
      <c r="H2991" s="3">
        <v>1.9399999999999999E-7</v>
      </c>
      <c r="I2991" s="2" t="s">
        <v>15210</v>
      </c>
      <c r="J2991" s="2" t="s">
        <v>15211</v>
      </c>
      <c r="K2991" s="3">
        <v>1.0300000000000001E-6</v>
      </c>
      <c r="L2991" s="2" t="s">
        <v>1178</v>
      </c>
      <c r="M2991" s="4" t="s">
        <v>15212</v>
      </c>
    </row>
    <row r="2992" spans="1:13">
      <c r="A2992" s="2">
        <v>1357</v>
      </c>
      <c r="B2992" s="2" t="s">
        <v>15213</v>
      </c>
      <c r="C2992" s="2">
        <v>17</v>
      </c>
      <c r="D2992" s="2">
        <v>556</v>
      </c>
      <c r="E2992" s="2">
        <v>200</v>
      </c>
      <c r="F2992" s="2">
        <v>32441</v>
      </c>
      <c r="G2992" s="2">
        <v>4.959505396</v>
      </c>
      <c r="H2992" s="3">
        <v>1.9399999999999999E-7</v>
      </c>
      <c r="I2992" s="2" t="s">
        <v>15214</v>
      </c>
      <c r="J2992" s="2" t="s">
        <v>15215</v>
      </c>
      <c r="K2992" s="3">
        <v>1.0300000000000001E-6</v>
      </c>
      <c r="L2992" s="2" t="s">
        <v>1178</v>
      </c>
      <c r="M2992" s="4" t="s">
        <v>15216</v>
      </c>
    </row>
    <row r="2993" spans="1:13">
      <c r="A2993" s="2">
        <v>1449</v>
      </c>
      <c r="B2993" s="2" t="s">
        <v>15217</v>
      </c>
      <c r="C2993" s="2">
        <v>17</v>
      </c>
      <c r="D2993" s="2">
        <v>556</v>
      </c>
      <c r="E2993" s="2">
        <v>200</v>
      </c>
      <c r="F2993" s="2">
        <v>32441</v>
      </c>
      <c r="G2993" s="2">
        <v>4.959505396</v>
      </c>
      <c r="H2993" s="3">
        <v>1.9399999999999999E-7</v>
      </c>
      <c r="I2993" s="2" t="s">
        <v>15218</v>
      </c>
      <c r="J2993" s="2" t="s">
        <v>15219</v>
      </c>
      <c r="K2993" s="3">
        <v>1.0300000000000001E-6</v>
      </c>
      <c r="L2993" s="2" t="s">
        <v>1178</v>
      </c>
      <c r="M2993" s="4" t="s">
        <v>15220</v>
      </c>
    </row>
    <row r="2994" spans="1:13">
      <c r="A2994" s="2">
        <v>1454</v>
      </c>
      <c r="B2994" s="2" t="s">
        <v>15221</v>
      </c>
      <c r="C2994" s="2">
        <v>17</v>
      </c>
      <c r="D2994" s="2">
        <v>556</v>
      </c>
      <c r="E2994" s="2">
        <v>200</v>
      </c>
      <c r="F2994" s="2">
        <v>32441</v>
      </c>
      <c r="G2994" s="2">
        <v>4.959505396</v>
      </c>
      <c r="H2994" s="3">
        <v>1.9399999999999999E-7</v>
      </c>
      <c r="I2994" s="2" t="s">
        <v>15222</v>
      </c>
      <c r="J2994" s="2" t="s">
        <v>15223</v>
      </c>
      <c r="K2994" s="3">
        <v>1.0300000000000001E-6</v>
      </c>
      <c r="L2994" s="2" t="s">
        <v>1178</v>
      </c>
      <c r="M2994" s="4" t="s">
        <v>15224</v>
      </c>
    </row>
    <row r="2995" spans="1:13">
      <c r="A2995" s="2">
        <v>1473</v>
      </c>
      <c r="B2995" s="2" t="s">
        <v>1887</v>
      </c>
      <c r="C2995" s="2">
        <v>17</v>
      </c>
      <c r="D2995" s="2">
        <v>556</v>
      </c>
      <c r="E2995" s="2">
        <v>200</v>
      </c>
      <c r="F2995" s="2">
        <v>32441</v>
      </c>
      <c r="G2995" s="2">
        <v>4.959505396</v>
      </c>
      <c r="H2995" s="3">
        <v>1.9399999999999999E-7</v>
      </c>
      <c r="I2995" s="2" t="s">
        <v>15225</v>
      </c>
      <c r="J2995" s="2" t="s">
        <v>15226</v>
      </c>
      <c r="K2995" s="3">
        <v>1.0300000000000001E-6</v>
      </c>
      <c r="L2995" s="2" t="s">
        <v>1178</v>
      </c>
      <c r="M2995" s="4" t="s">
        <v>15227</v>
      </c>
    </row>
    <row r="2996" spans="1:13">
      <c r="A2996" s="2">
        <v>1474</v>
      </c>
      <c r="B2996" s="2" t="s">
        <v>15228</v>
      </c>
      <c r="C2996" s="2">
        <v>17</v>
      </c>
      <c r="D2996" s="2">
        <v>556</v>
      </c>
      <c r="E2996" s="2">
        <v>200</v>
      </c>
      <c r="F2996" s="2">
        <v>32441</v>
      </c>
      <c r="G2996" s="2">
        <v>4.959505396</v>
      </c>
      <c r="H2996" s="3">
        <v>1.9399999999999999E-7</v>
      </c>
      <c r="I2996" s="2" t="s">
        <v>15229</v>
      </c>
      <c r="J2996" s="2" t="s">
        <v>15230</v>
      </c>
      <c r="K2996" s="3">
        <v>1.0300000000000001E-6</v>
      </c>
      <c r="L2996" s="2" t="s">
        <v>1178</v>
      </c>
      <c r="M2996" s="4" t="s">
        <v>15231</v>
      </c>
    </row>
    <row r="2997" spans="1:13">
      <c r="A2997" s="2">
        <v>1523</v>
      </c>
      <c r="B2997" s="2" t="s">
        <v>15232</v>
      </c>
      <c r="C2997" s="2">
        <v>17</v>
      </c>
      <c r="D2997" s="2">
        <v>556</v>
      </c>
      <c r="E2997" s="2">
        <v>200</v>
      </c>
      <c r="F2997" s="2">
        <v>32441</v>
      </c>
      <c r="G2997" s="2">
        <v>4.959505396</v>
      </c>
      <c r="H2997" s="3">
        <v>1.9399999999999999E-7</v>
      </c>
      <c r="I2997" s="2" t="s">
        <v>15233</v>
      </c>
      <c r="J2997" s="2" t="s">
        <v>15234</v>
      </c>
      <c r="K2997" s="3">
        <v>1.0300000000000001E-6</v>
      </c>
      <c r="L2997" s="2" t="s">
        <v>1178</v>
      </c>
      <c r="M2997" s="4" t="s">
        <v>15235</v>
      </c>
    </row>
    <row r="2998" spans="1:13">
      <c r="A2998" s="2">
        <v>15721</v>
      </c>
      <c r="B2998" s="2" t="s">
        <v>15236</v>
      </c>
      <c r="C2998" s="2">
        <v>17</v>
      </c>
      <c r="D2998" s="2">
        <v>556</v>
      </c>
      <c r="E2998" s="2">
        <v>200</v>
      </c>
      <c r="F2998" s="2">
        <v>32441</v>
      </c>
      <c r="G2998" s="2">
        <v>4.959505396</v>
      </c>
      <c r="H2998" s="3">
        <v>1.9399999999999999E-7</v>
      </c>
      <c r="I2998" s="2" t="s">
        <v>15237</v>
      </c>
      <c r="J2998" s="2" t="s">
        <v>15238</v>
      </c>
      <c r="K2998" s="3">
        <v>1.0300000000000001E-6</v>
      </c>
      <c r="L2998" s="2" t="s">
        <v>1178</v>
      </c>
      <c r="M2998" s="4" t="s">
        <v>15239</v>
      </c>
    </row>
    <row r="2999" spans="1:13">
      <c r="A2999" s="2">
        <v>15821</v>
      </c>
      <c r="B2999" s="2" t="s">
        <v>15240</v>
      </c>
      <c r="C2999" s="2">
        <v>17</v>
      </c>
      <c r="D2999" s="2">
        <v>556</v>
      </c>
      <c r="E2999" s="2">
        <v>200</v>
      </c>
      <c r="F2999" s="2">
        <v>32441</v>
      </c>
      <c r="G2999" s="2">
        <v>4.959505396</v>
      </c>
      <c r="H2999" s="3">
        <v>1.9399999999999999E-7</v>
      </c>
      <c r="I2999" s="2" t="s">
        <v>15241</v>
      </c>
      <c r="J2999" s="2" t="s">
        <v>15242</v>
      </c>
      <c r="K2999" s="3">
        <v>1.0300000000000001E-6</v>
      </c>
      <c r="L2999" s="2" t="s">
        <v>1178</v>
      </c>
      <c r="M2999" s="4" t="s">
        <v>15243</v>
      </c>
    </row>
    <row r="3000" spans="1:13">
      <c r="A3000" s="2">
        <v>16181</v>
      </c>
      <c r="B3000" s="2" t="s">
        <v>15244</v>
      </c>
      <c r="C3000" s="2">
        <v>17</v>
      </c>
      <c r="D3000" s="2">
        <v>556</v>
      </c>
      <c r="E3000" s="2">
        <v>200</v>
      </c>
      <c r="F3000" s="2">
        <v>32441</v>
      </c>
      <c r="G3000" s="2">
        <v>4.959505396</v>
      </c>
      <c r="H3000" s="3">
        <v>1.9399999999999999E-7</v>
      </c>
      <c r="I3000" s="2" t="s">
        <v>15245</v>
      </c>
      <c r="J3000" s="2" t="s">
        <v>15246</v>
      </c>
      <c r="K3000" s="3">
        <v>1.0300000000000001E-6</v>
      </c>
      <c r="L3000" s="2" t="s">
        <v>1178</v>
      </c>
      <c r="M3000" s="4" t="s">
        <v>15247</v>
      </c>
    </row>
    <row r="3001" spans="1:13">
      <c r="A3001" s="2">
        <v>1632</v>
      </c>
      <c r="B3001" s="2" t="s">
        <v>15248</v>
      </c>
      <c r="C3001" s="2">
        <v>17</v>
      </c>
      <c r="D3001" s="2">
        <v>556</v>
      </c>
      <c r="E3001" s="2">
        <v>200</v>
      </c>
      <c r="F3001" s="2">
        <v>32441</v>
      </c>
      <c r="G3001" s="2">
        <v>4.959505396</v>
      </c>
      <c r="H3001" s="3">
        <v>1.9399999999999999E-7</v>
      </c>
      <c r="I3001" s="2" t="s">
        <v>15249</v>
      </c>
      <c r="J3001" s="2" t="s">
        <v>15250</v>
      </c>
      <c r="K3001" s="3">
        <v>1.0300000000000001E-6</v>
      </c>
      <c r="L3001" s="2" t="s">
        <v>1178</v>
      </c>
      <c r="M3001" s="4" t="s">
        <v>15251</v>
      </c>
    </row>
    <row r="3002" spans="1:13">
      <c r="A3002" s="2">
        <v>16501</v>
      </c>
      <c r="B3002" s="2" t="s">
        <v>2172</v>
      </c>
      <c r="C3002" s="2">
        <v>17</v>
      </c>
      <c r="D3002" s="2">
        <v>556</v>
      </c>
      <c r="E3002" s="2">
        <v>200</v>
      </c>
      <c r="F3002" s="2">
        <v>32441</v>
      </c>
      <c r="G3002" s="2">
        <v>4.959505396</v>
      </c>
      <c r="H3002" s="3">
        <v>1.9399999999999999E-7</v>
      </c>
      <c r="I3002" s="2" t="s">
        <v>15252</v>
      </c>
      <c r="J3002" s="2" t="s">
        <v>15253</v>
      </c>
      <c r="K3002" s="3">
        <v>1.0300000000000001E-6</v>
      </c>
      <c r="L3002" s="2" t="s">
        <v>1178</v>
      </c>
      <c r="M3002" s="4" t="s">
        <v>15254</v>
      </c>
    </row>
    <row r="3003" spans="1:13">
      <c r="A3003" s="2">
        <v>1657</v>
      </c>
      <c r="B3003" s="2" t="s">
        <v>15255</v>
      </c>
      <c r="C3003" s="2">
        <v>17</v>
      </c>
      <c r="D3003" s="2">
        <v>556</v>
      </c>
      <c r="E3003" s="2">
        <v>199</v>
      </c>
      <c r="F3003" s="2">
        <v>32441</v>
      </c>
      <c r="G3003" s="2">
        <v>4.9844275329999999</v>
      </c>
      <c r="H3003" s="3">
        <v>1.8199999999999999E-7</v>
      </c>
      <c r="I3003" s="2" t="s">
        <v>15256</v>
      </c>
      <c r="J3003" s="2" t="s">
        <v>15257</v>
      </c>
      <c r="K3003" s="3">
        <v>1.0300000000000001E-6</v>
      </c>
      <c r="L3003" s="2" t="s">
        <v>1178</v>
      </c>
      <c r="M3003" s="4" t="s">
        <v>15258</v>
      </c>
    </row>
    <row r="3004" spans="1:13">
      <c r="A3004" s="2">
        <v>16911</v>
      </c>
      <c r="B3004" s="2" t="s">
        <v>15259</v>
      </c>
      <c r="C3004" s="2">
        <v>17</v>
      </c>
      <c r="D3004" s="2">
        <v>556</v>
      </c>
      <c r="E3004" s="2">
        <v>200</v>
      </c>
      <c r="F3004" s="2">
        <v>32441</v>
      </c>
      <c r="G3004" s="2">
        <v>4.959505396</v>
      </c>
      <c r="H3004" s="3">
        <v>1.9399999999999999E-7</v>
      </c>
      <c r="I3004" s="2" t="s">
        <v>15260</v>
      </c>
      <c r="J3004" s="2" t="s">
        <v>15261</v>
      </c>
      <c r="K3004" s="3">
        <v>1.0300000000000001E-6</v>
      </c>
      <c r="L3004" s="2" t="s">
        <v>1178</v>
      </c>
      <c r="M3004" s="4" t="s">
        <v>15262</v>
      </c>
    </row>
    <row r="3005" spans="1:13">
      <c r="A3005" s="2">
        <v>1693</v>
      </c>
      <c r="B3005" s="2" t="s">
        <v>15263</v>
      </c>
      <c r="C3005" s="2">
        <v>17</v>
      </c>
      <c r="D3005" s="2">
        <v>556</v>
      </c>
      <c r="E3005" s="2">
        <v>200</v>
      </c>
      <c r="F3005" s="2">
        <v>32441</v>
      </c>
      <c r="G3005" s="2">
        <v>4.959505396</v>
      </c>
      <c r="H3005" s="3">
        <v>1.9399999999999999E-7</v>
      </c>
      <c r="I3005" s="2" t="s">
        <v>15264</v>
      </c>
      <c r="J3005" s="2" t="s">
        <v>15265</v>
      </c>
      <c r="K3005" s="3">
        <v>1.0300000000000001E-6</v>
      </c>
      <c r="L3005" s="2" t="s">
        <v>1178</v>
      </c>
      <c r="M3005" s="4" t="s">
        <v>15266</v>
      </c>
    </row>
    <row r="3006" spans="1:13">
      <c r="A3006" s="2">
        <v>1715</v>
      </c>
      <c r="B3006" s="2" t="s">
        <v>15267</v>
      </c>
      <c r="C3006" s="2">
        <v>17</v>
      </c>
      <c r="D3006" s="2">
        <v>556</v>
      </c>
      <c r="E3006" s="2">
        <v>200</v>
      </c>
      <c r="F3006" s="2">
        <v>32441</v>
      </c>
      <c r="G3006" s="2">
        <v>4.959505396</v>
      </c>
      <c r="H3006" s="3">
        <v>1.9399999999999999E-7</v>
      </c>
      <c r="I3006" s="2" t="s">
        <v>15268</v>
      </c>
      <c r="J3006" s="2" t="s">
        <v>15269</v>
      </c>
      <c r="K3006" s="3">
        <v>1.0300000000000001E-6</v>
      </c>
      <c r="L3006" s="2" t="s">
        <v>1178</v>
      </c>
      <c r="M3006" s="4" t="s">
        <v>15270</v>
      </c>
    </row>
    <row r="3007" spans="1:13">
      <c r="A3007" s="2">
        <v>1737</v>
      </c>
      <c r="B3007" s="2" t="s">
        <v>2505</v>
      </c>
      <c r="C3007" s="2">
        <v>17</v>
      </c>
      <c r="D3007" s="2">
        <v>556</v>
      </c>
      <c r="E3007" s="2">
        <v>200</v>
      </c>
      <c r="F3007" s="2">
        <v>32441</v>
      </c>
      <c r="G3007" s="2">
        <v>4.959505396</v>
      </c>
      <c r="H3007" s="3">
        <v>1.9399999999999999E-7</v>
      </c>
      <c r="I3007" s="2" t="s">
        <v>15271</v>
      </c>
      <c r="J3007" s="2" t="s">
        <v>15272</v>
      </c>
      <c r="K3007" s="3">
        <v>1.0300000000000001E-6</v>
      </c>
      <c r="L3007" s="2" t="s">
        <v>1178</v>
      </c>
      <c r="M3007" s="4" t="s">
        <v>15273</v>
      </c>
    </row>
    <row r="3008" spans="1:13">
      <c r="A3008" s="2">
        <v>17621</v>
      </c>
      <c r="B3008" s="2" t="s">
        <v>15274</v>
      </c>
      <c r="C3008" s="2">
        <v>17</v>
      </c>
      <c r="D3008" s="2">
        <v>556</v>
      </c>
      <c r="E3008" s="2">
        <v>200</v>
      </c>
      <c r="F3008" s="2">
        <v>32441</v>
      </c>
      <c r="G3008" s="2">
        <v>4.959505396</v>
      </c>
      <c r="H3008" s="3">
        <v>1.9399999999999999E-7</v>
      </c>
      <c r="I3008" s="2" t="s">
        <v>15275</v>
      </c>
      <c r="J3008" s="2" t="s">
        <v>15276</v>
      </c>
      <c r="K3008" s="3">
        <v>1.0300000000000001E-6</v>
      </c>
      <c r="L3008" s="2" t="s">
        <v>1178</v>
      </c>
      <c r="M3008" s="4" t="s">
        <v>15277</v>
      </c>
    </row>
    <row r="3009" spans="1:13">
      <c r="A3009" s="2">
        <v>1777</v>
      </c>
      <c r="B3009" s="2" t="s">
        <v>15278</v>
      </c>
      <c r="C3009" s="2">
        <v>17</v>
      </c>
      <c r="D3009" s="2">
        <v>556</v>
      </c>
      <c r="E3009" s="2">
        <v>200</v>
      </c>
      <c r="F3009" s="2">
        <v>32441</v>
      </c>
      <c r="G3009" s="2">
        <v>4.959505396</v>
      </c>
      <c r="H3009" s="3">
        <v>1.9399999999999999E-7</v>
      </c>
      <c r="I3009" s="2" t="s">
        <v>15279</v>
      </c>
      <c r="J3009" s="2" t="s">
        <v>15280</v>
      </c>
      <c r="K3009" s="3">
        <v>1.0300000000000001E-6</v>
      </c>
      <c r="L3009" s="2" t="s">
        <v>1178</v>
      </c>
      <c r="M3009" s="4" t="s">
        <v>15281</v>
      </c>
    </row>
    <row r="3010" spans="1:13">
      <c r="A3010" s="2">
        <v>1786</v>
      </c>
      <c r="B3010" s="2" t="s">
        <v>15282</v>
      </c>
      <c r="C3010" s="2">
        <v>17</v>
      </c>
      <c r="D3010" s="2">
        <v>556</v>
      </c>
      <c r="E3010" s="2">
        <v>200</v>
      </c>
      <c r="F3010" s="2">
        <v>32441</v>
      </c>
      <c r="G3010" s="2">
        <v>4.959505396</v>
      </c>
      <c r="H3010" s="3">
        <v>1.9399999999999999E-7</v>
      </c>
      <c r="I3010" s="2" t="s">
        <v>15283</v>
      </c>
      <c r="J3010" s="2" t="s">
        <v>15284</v>
      </c>
      <c r="K3010" s="3">
        <v>1.0300000000000001E-6</v>
      </c>
      <c r="L3010" s="2" t="s">
        <v>1178</v>
      </c>
      <c r="M3010" s="4" t="s">
        <v>15285</v>
      </c>
    </row>
    <row r="3011" spans="1:13">
      <c r="A3011" s="2">
        <v>1822</v>
      </c>
      <c r="B3011" s="2" t="s">
        <v>15286</v>
      </c>
      <c r="C3011" s="2">
        <v>17</v>
      </c>
      <c r="D3011" s="2">
        <v>556</v>
      </c>
      <c r="E3011" s="2">
        <v>200</v>
      </c>
      <c r="F3011" s="2">
        <v>32441</v>
      </c>
      <c r="G3011" s="2">
        <v>4.959505396</v>
      </c>
      <c r="H3011" s="3">
        <v>1.9399999999999999E-7</v>
      </c>
      <c r="I3011" s="2" t="s">
        <v>15287</v>
      </c>
      <c r="J3011" s="2" t="s">
        <v>15288</v>
      </c>
      <c r="K3011" s="3">
        <v>1.0300000000000001E-6</v>
      </c>
      <c r="L3011" s="2" t="s">
        <v>1178</v>
      </c>
      <c r="M3011" s="4" t="s">
        <v>15289</v>
      </c>
    </row>
    <row r="3012" spans="1:13">
      <c r="A3012" s="2">
        <v>1824</v>
      </c>
      <c r="B3012" s="2" t="s">
        <v>15290</v>
      </c>
      <c r="C3012" s="2">
        <v>17</v>
      </c>
      <c r="D3012" s="2">
        <v>556</v>
      </c>
      <c r="E3012" s="2">
        <v>200</v>
      </c>
      <c r="F3012" s="2">
        <v>32441</v>
      </c>
      <c r="G3012" s="2">
        <v>4.959505396</v>
      </c>
      <c r="H3012" s="3">
        <v>1.9399999999999999E-7</v>
      </c>
      <c r="I3012" s="2" t="s">
        <v>15291</v>
      </c>
      <c r="J3012" s="2" t="s">
        <v>15292</v>
      </c>
      <c r="K3012" s="3">
        <v>1.0300000000000001E-6</v>
      </c>
      <c r="L3012" s="2" t="s">
        <v>1178</v>
      </c>
      <c r="M3012" s="4" t="s">
        <v>15293</v>
      </c>
    </row>
    <row r="3013" spans="1:13">
      <c r="A3013" s="2">
        <v>1828</v>
      </c>
      <c r="B3013" s="2" t="s">
        <v>2508</v>
      </c>
      <c r="C3013" s="2">
        <v>17</v>
      </c>
      <c r="D3013" s="2">
        <v>556</v>
      </c>
      <c r="E3013" s="2">
        <v>200</v>
      </c>
      <c r="F3013" s="2">
        <v>32441</v>
      </c>
      <c r="G3013" s="2">
        <v>4.959505396</v>
      </c>
      <c r="H3013" s="3">
        <v>1.9399999999999999E-7</v>
      </c>
      <c r="I3013" s="2" t="s">
        <v>15294</v>
      </c>
      <c r="J3013" s="2" t="s">
        <v>15295</v>
      </c>
      <c r="K3013" s="3">
        <v>1.0300000000000001E-6</v>
      </c>
      <c r="L3013" s="2" t="s">
        <v>1178</v>
      </c>
      <c r="M3013" s="4" t="s">
        <v>15296</v>
      </c>
    </row>
    <row r="3014" spans="1:13">
      <c r="A3014" s="2">
        <v>1840</v>
      </c>
      <c r="B3014" s="2" t="s">
        <v>15297</v>
      </c>
      <c r="C3014" s="2">
        <v>17</v>
      </c>
      <c r="D3014" s="2">
        <v>556</v>
      </c>
      <c r="E3014" s="2">
        <v>200</v>
      </c>
      <c r="F3014" s="2">
        <v>32441</v>
      </c>
      <c r="G3014" s="2">
        <v>4.959505396</v>
      </c>
      <c r="H3014" s="3">
        <v>1.9399999999999999E-7</v>
      </c>
      <c r="I3014" s="2" t="s">
        <v>15298</v>
      </c>
      <c r="J3014" s="2" t="s">
        <v>15299</v>
      </c>
      <c r="K3014" s="3">
        <v>1.0300000000000001E-6</v>
      </c>
      <c r="L3014" s="2" t="s">
        <v>1178</v>
      </c>
      <c r="M3014" s="4" t="s">
        <v>15300</v>
      </c>
    </row>
    <row r="3015" spans="1:13">
      <c r="A3015" s="2">
        <v>1877</v>
      </c>
      <c r="B3015" s="2" t="s">
        <v>15301</v>
      </c>
      <c r="C3015" s="2">
        <v>17</v>
      </c>
      <c r="D3015" s="2">
        <v>556</v>
      </c>
      <c r="E3015" s="2">
        <v>199</v>
      </c>
      <c r="F3015" s="2">
        <v>32441</v>
      </c>
      <c r="G3015" s="2">
        <v>4.9844275329999999</v>
      </c>
      <c r="H3015" s="3">
        <v>1.8199999999999999E-7</v>
      </c>
      <c r="I3015" s="2" t="s">
        <v>15302</v>
      </c>
      <c r="J3015" s="2" t="s">
        <v>15303</v>
      </c>
      <c r="K3015" s="3">
        <v>1.0300000000000001E-6</v>
      </c>
      <c r="L3015" s="2" t="s">
        <v>1178</v>
      </c>
      <c r="M3015" s="4" t="s">
        <v>15304</v>
      </c>
    </row>
    <row r="3016" spans="1:13">
      <c r="A3016" s="2">
        <v>1885</v>
      </c>
      <c r="B3016" s="2" t="s">
        <v>15305</v>
      </c>
      <c r="C3016" s="2">
        <v>17</v>
      </c>
      <c r="D3016" s="2">
        <v>556</v>
      </c>
      <c r="E3016" s="2">
        <v>199</v>
      </c>
      <c r="F3016" s="2">
        <v>32441</v>
      </c>
      <c r="G3016" s="2">
        <v>4.9844275329999999</v>
      </c>
      <c r="H3016" s="3">
        <v>1.8199999999999999E-7</v>
      </c>
      <c r="I3016" s="2" t="s">
        <v>15306</v>
      </c>
      <c r="J3016" s="2" t="s">
        <v>15307</v>
      </c>
      <c r="K3016" s="3">
        <v>1.0300000000000001E-6</v>
      </c>
      <c r="L3016" s="2" t="s">
        <v>1178</v>
      </c>
      <c r="M3016" s="4" t="s">
        <v>15308</v>
      </c>
    </row>
    <row r="3017" spans="1:13">
      <c r="A3017" s="2">
        <v>19021</v>
      </c>
      <c r="B3017" s="2" t="s">
        <v>15309</v>
      </c>
      <c r="C3017" s="2">
        <v>17</v>
      </c>
      <c r="D3017" s="2">
        <v>556</v>
      </c>
      <c r="E3017" s="2">
        <v>200</v>
      </c>
      <c r="F3017" s="2">
        <v>32441</v>
      </c>
      <c r="G3017" s="2">
        <v>4.959505396</v>
      </c>
      <c r="H3017" s="3">
        <v>1.9399999999999999E-7</v>
      </c>
      <c r="I3017" s="2" t="s">
        <v>15310</v>
      </c>
      <c r="J3017" s="2" t="s">
        <v>15311</v>
      </c>
      <c r="K3017" s="3">
        <v>1.0300000000000001E-6</v>
      </c>
      <c r="L3017" s="2" t="s">
        <v>1178</v>
      </c>
      <c r="M3017" s="4" t="s">
        <v>15312</v>
      </c>
    </row>
    <row r="3018" spans="1:13">
      <c r="A3018" s="2">
        <v>1920</v>
      </c>
      <c r="B3018" s="2" t="s">
        <v>15313</v>
      </c>
      <c r="C3018" s="2">
        <v>17</v>
      </c>
      <c r="D3018" s="2">
        <v>556</v>
      </c>
      <c r="E3018" s="2">
        <v>200</v>
      </c>
      <c r="F3018" s="2">
        <v>32441</v>
      </c>
      <c r="G3018" s="2">
        <v>4.959505396</v>
      </c>
      <c r="H3018" s="3">
        <v>1.9399999999999999E-7</v>
      </c>
      <c r="I3018" s="2" t="s">
        <v>15314</v>
      </c>
      <c r="J3018" s="2" t="s">
        <v>15315</v>
      </c>
      <c r="K3018" s="3">
        <v>1.0300000000000001E-6</v>
      </c>
      <c r="L3018" s="2" t="s">
        <v>1178</v>
      </c>
      <c r="M3018" s="4" t="s">
        <v>15316</v>
      </c>
    </row>
    <row r="3019" spans="1:13">
      <c r="A3019" s="2">
        <v>1933</v>
      </c>
      <c r="B3019" s="2" t="s">
        <v>15317</v>
      </c>
      <c r="C3019" s="2">
        <v>17</v>
      </c>
      <c r="D3019" s="2">
        <v>556</v>
      </c>
      <c r="E3019" s="2">
        <v>199</v>
      </c>
      <c r="F3019" s="2">
        <v>32441</v>
      </c>
      <c r="G3019" s="2">
        <v>4.9844275329999999</v>
      </c>
      <c r="H3019" s="3">
        <v>1.8199999999999999E-7</v>
      </c>
      <c r="I3019" s="2" t="s">
        <v>15318</v>
      </c>
      <c r="J3019" s="2" t="s">
        <v>15319</v>
      </c>
      <c r="K3019" s="3">
        <v>1.0300000000000001E-6</v>
      </c>
      <c r="L3019" s="2" t="s">
        <v>1178</v>
      </c>
      <c r="M3019" s="4" t="s">
        <v>15320</v>
      </c>
    </row>
    <row r="3020" spans="1:13">
      <c r="A3020" s="2">
        <v>1938</v>
      </c>
      <c r="B3020" s="2" t="s">
        <v>15321</v>
      </c>
      <c r="C3020" s="2">
        <v>17</v>
      </c>
      <c r="D3020" s="2">
        <v>556</v>
      </c>
      <c r="E3020" s="2">
        <v>200</v>
      </c>
      <c r="F3020" s="2">
        <v>32441</v>
      </c>
      <c r="G3020" s="2">
        <v>4.959505396</v>
      </c>
      <c r="H3020" s="3">
        <v>1.9399999999999999E-7</v>
      </c>
      <c r="I3020" s="2" t="s">
        <v>15322</v>
      </c>
      <c r="J3020" s="2" t="s">
        <v>15323</v>
      </c>
      <c r="K3020" s="3">
        <v>1.0300000000000001E-6</v>
      </c>
      <c r="L3020" s="2" t="s">
        <v>1178</v>
      </c>
      <c r="M3020" s="4" t="s">
        <v>15324</v>
      </c>
    </row>
    <row r="3021" spans="1:13">
      <c r="A3021" s="2">
        <v>1958</v>
      </c>
      <c r="B3021" s="2" t="s">
        <v>15325</v>
      </c>
      <c r="C3021" s="2">
        <v>17</v>
      </c>
      <c r="D3021" s="2">
        <v>556</v>
      </c>
      <c r="E3021" s="2">
        <v>200</v>
      </c>
      <c r="F3021" s="2">
        <v>32441</v>
      </c>
      <c r="G3021" s="2">
        <v>4.959505396</v>
      </c>
      <c r="H3021" s="3">
        <v>1.9399999999999999E-7</v>
      </c>
      <c r="I3021" s="2" t="s">
        <v>15326</v>
      </c>
      <c r="J3021" s="2" t="s">
        <v>15327</v>
      </c>
      <c r="K3021" s="3">
        <v>1.0300000000000001E-6</v>
      </c>
      <c r="L3021" s="2" t="s">
        <v>1178</v>
      </c>
      <c r="M3021" s="4" t="s">
        <v>15328</v>
      </c>
    </row>
    <row r="3022" spans="1:13">
      <c r="A3022" s="2">
        <v>1959</v>
      </c>
      <c r="B3022" s="2" t="s">
        <v>15329</v>
      </c>
      <c r="C3022" s="2">
        <v>17</v>
      </c>
      <c r="D3022" s="2">
        <v>556</v>
      </c>
      <c r="E3022" s="2">
        <v>199</v>
      </c>
      <c r="F3022" s="2">
        <v>32441</v>
      </c>
      <c r="G3022" s="2">
        <v>4.9844275329999999</v>
      </c>
      <c r="H3022" s="3">
        <v>1.8199999999999999E-7</v>
      </c>
      <c r="I3022" s="2" t="s">
        <v>15330</v>
      </c>
      <c r="J3022" s="2" t="s">
        <v>15331</v>
      </c>
      <c r="K3022" s="3">
        <v>1.0300000000000001E-6</v>
      </c>
      <c r="L3022" s="2" t="s">
        <v>1178</v>
      </c>
      <c r="M3022" s="4" t="s">
        <v>15332</v>
      </c>
    </row>
    <row r="3023" spans="1:13">
      <c r="A3023" s="2">
        <v>1965</v>
      </c>
      <c r="B3023" s="2" t="s">
        <v>15333</v>
      </c>
      <c r="C3023" s="2">
        <v>17</v>
      </c>
      <c r="D3023" s="2">
        <v>556</v>
      </c>
      <c r="E3023" s="2">
        <v>200</v>
      </c>
      <c r="F3023" s="2">
        <v>32441</v>
      </c>
      <c r="G3023" s="2">
        <v>4.959505396</v>
      </c>
      <c r="H3023" s="3">
        <v>1.9399999999999999E-7</v>
      </c>
      <c r="I3023" s="2" t="s">
        <v>15334</v>
      </c>
      <c r="J3023" s="2" t="s">
        <v>15335</v>
      </c>
      <c r="K3023" s="3">
        <v>1.0300000000000001E-6</v>
      </c>
      <c r="L3023" s="2" t="s">
        <v>1178</v>
      </c>
      <c r="M3023" s="4" t="s">
        <v>15336</v>
      </c>
    </row>
    <row r="3024" spans="1:13">
      <c r="A3024" s="2">
        <v>2013</v>
      </c>
      <c r="B3024" s="2" t="s">
        <v>15337</v>
      </c>
      <c r="C3024" s="2">
        <v>17</v>
      </c>
      <c r="D3024" s="2">
        <v>556</v>
      </c>
      <c r="E3024" s="2">
        <v>200</v>
      </c>
      <c r="F3024" s="2">
        <v>32441</v>
      </c>
      <c r="G3024" s="2">
        <v>4.959505396</v>
      </c>
      <c r="H3024" s="3">
        <v>1.9399999999999999E-7</v>
      </c>
      <c r="I3024" s="2" t="s">
        <v>15338</v>
      </c>
      <c r="J3024" s="2" t="s">
        <v>15339</v>
      </c>
      <c r="K3024" s="3">
        <v>1.0300000000000001E-6</v>
      </c>
      <c r="L3024" s="2" t="s">
        <v>1178</v>
      </c>
      <c r="M3024" s="4" t="s">
        <v>15340</v>
      </c>
    </row>
    <row r="3025" spans="1:13">
      <c r="A3025" s="2">
        <v>2157</v>
      </c>
      <c r="B3025" s="2" t="s">
        <v>15341</v>
      </c>
      <c r="C3025" s="2">
        <v>17</v>
      </c>
      <c r="D3025" s="2">
        <v>556</v>
      </c>
      <c r="E3025" s="2">
        <v>200</v>
      </c>
      <c r="F3025" s="2">
        <v>32441</v>
      </c>
      <c r="G3025" s="2">
        <v>4.959505396</v>
      </c>
      <c r="H3025" s="3">
        <v>1.9399999999999999E-7</v>
      </c>
      <c r="I3025" s="2" t="s">
        <v>15342</v>
      </c>
      <c r="J3025" s="2" t="s">
        <v>15343</v>
      </c>
      <c r="K3025" s="3">
        <v>1.0300000000000001E-6</v>
      </c>
      <c r="L3025" s="2" t="s">
        <v>1178</v>
      </c>
      <c r="M3025" s="4" t="s">
        <v>15344</v>
      </c>
    </row>
    <row r="3026" spans="1:13">
      <c r="A3026" s="2">
        <v>22642</v>
      </c>
      <c r="B3026" s="2" t="s">
        <v>15345</v>
      </c>
      <c r="C3026" s="2">
        <v>17</v>
      </c>
      <c r="D3026" s="2">
        <v>556</v>
      </c>
      <c r="E3026" s="2">
        <v>200</v>
      </c>
      <c r="F3026" s="2">
        <v>32441</v>
      </c>
      <c r="G3026" s="2">
        <v>4.959505396</v>
      </c>
      <c r="H3026" s="3">
        <v>1.9399999999999999E-7</v>
      </c>
      <c r="I3026" s="2" t="s">
        <v>15346</v>
      </c>
      <c r="J3026" s="2" t="s">
        <v>15347</v>
      </c>
      <c r="K3026" s="3">
        <v>1.0300000000000001E-6</v>
      </c>
      <c r="L3026" s="2" t="s">
        <v>1178</v>
      </c>
      <c r="M3026" s="4" t="s">
        <v>15348</v>
      </c>
    </row>
    <row r="3027" spans="1:13">
      <c r="A3027" s="2">
        <v>2331</v>
      </c>
      <c r="B3027" s="2" t="s">
        <v>15349</v>
      </c>
      <c r="C3027" s="2">
        <v>17</v>
      </c>
      <c r="D3027" s="2">
        <v>556</v>
      </c>
      <c r="E3027" s="2">
        <v>199</v>
      </c>
      <c r="F3027" s="2">
        <v>32441</v>
      </c>
      <c r="G3027" s="2">
        <v>4.9844275329999999</v>
      </c>
      <c r="H3027" s="3">
        <v>1.8199999999999999E-7</v>
      </c>
      <c r="I3027" s="2" t="s">
        <v>15350</v>
      </c>
      <c r="J3027" s="2" t="s">
        <v>15351</v>
      </c>
      <c r="K3027" s="3">
        <v>1.0300000000000001E-6</v>
      </c>
      <c r="L3027" s="2" t="s">
        <v>1178</v>
      </c>
      <c r="M3027" s="4" t="s">
        <v>15352</v>
      </c>
    </row>
    <row r="3028" spans="1:13">
      <c r="A3028" s="2">
        <v>23341</v>
      </c>
      <c r="B3028" s="2" t="s">
        <v>15353</v>
      </c>
      <c r="C3028" s="2">
        <v>17</v>
      </c>
      <c r="D3028" s="2">
        <v>556</v>
      </c>
      <c r="E3028" s="2">
        <v>200</v>
      </c>
      <c r="F3028" s="2">
        <v>32441</v>
      </c>
      <c r="G3028" s="2">
        <v>4.959505396</v>
      </c>
      <c r="H3028" s="3">
        <v>1.9399999999999999E-7</v>
      </c>
      <c r="I3028" s="2" t="s">
        <v>15354</v>
      </c>
      <c r="J3028" s="2" t="s">
        <v>15355</v>
      </c>
      <c r="K3028" s="3">
        <v>1.0300000000000001E-6</v>
      </c>
      <c r="L3028" s="2" t="s">
        <v>1178</v>
      </c>
      <c r="M3028" s="4" t="s">
        <v>15356</v>
      </c>
    </row>
    <row r="3029" spans="1:13">
      <c r="A3029" s="2">
        <v>2489</v>
      </c>
      <c r="B3029" s="2" t="s">
        <v>15357</v>
      </c>
      <c r="C3029" s="2">
        <v>17</v>
      </c>
      <c r="D3029" s="2">
        <v>556</v>
      </c>
      <c r="E3029" s="2">
        <v>200</v>
      </c>
      <c r="F3029" s="2">
        <v>32441</v>
      </c>
      <c r="G3029" s="2">
        <v>4.959505396</v>
      </c>
      <c r="H3029" s="3">
        <v>1.9399999999999999E-7</v>
      </c>
      <c r="I3029" s="2" t="s">
        <v>15358</v>
      </c>
      <c r="J3029" s="2" t="s">
        <v>15359</v>
      </c>
      <c r="K3029" s="3">
        <v>1.0300000000000001E-6</v>
      </c>
      <c r="L3029" s="2" t="s">
        <v>1178</v>
      </c>
      <c r="M3029" s="4" t="s">
        <v>15360</v>
      </c>
    </row>
    <row r="3030" spans="1:13">
      <c r="A3030" s="2">
        <v>25771</v>
      </c>
      <c r="B3030" s="2" t="s">
        <v>15361</v>
      </c>
      <c r="C3030" s="2">
        <v>17</v>
      </c>
      <c r="D3030" s="2">
        <v>556</v>
      </c>
      <c r="E3030" s="2">
        <v>200</v>
      </c>
      <c r="F3030" s="2">
        <v>32441</v>
      </c>
      <c r="G3030" s="2">
        <v>4.959505396</v>
      </c>
      <c r="H3030" s="3">
        <v>1.9399999999999999E-7</v>
      </c>
      <c r="I3030" s="2" t="s">
        <v>15362</v>
      </c>
      <c r="J3030" s="2" t="s">
        <v>15363</v>
      </c>
      <c r="K3030" s="3">
        <v>1.0300000000000001E-6</v>
      </c>
      <c r="L3030" s="2" t="s">
        <v>1178</v>
      </c>
      <c r="M3030" s="4" t="s">
        <v>15364</v>
      </c>
    </row>
    <row r="3031" spans="1:13">
      <c r="A3031" s="2">
        <v>2592</v>
      </c>
      <c r="B3031" s="2" t="s">
        <v>15365</v>
      </c>
      <c r="C3031" s="2">
        <v>17</v>
      </c>
      <c r="D3031" s="2">
        <v>556</v>
      </c>
      <c r="E3031" s="2">
        <v>200</v>
      </c>
      <c r="F3031" s="2">
        <v>32441</v>
      </c>
      <c r="G3031" s="2">
        <v>4.959505396</v>
      </c>
      <c r="H3031" s="3">
        <v>1.9399999999999999E-7</v>
      </c>
      <c r="I3031" s="2" t="s">
        <v>15366</v>
      </c>
      <c r="J3031" s="2" t="s">
        <v>15367</v>
      </c>
      <c r="K3031" s="3">
        <v>1.0300000000000001E-6</v>
      </c>
      <c r="L3031" s="2" t="s">
        <v>1178</v>
      </c>
      <c r="M3031" s="4" t="s">
        <v>15368</v>
      </c>
    </row>
    <row r="3032" spans="1:13">
      <c r="A3032" s="2">
        <v>2896</v>
      </c>
      <c r="B3032" s="2" t="s">
        <v>15369</v>
      </c>
      <c r="C3032" s="2">
        <v>17</v>
      </c>
      <c r="D3032" s="2">
        <v>556</v>
      </c>
      <c r="E3032" s="2">
        <v>200</v>
      </c>
      <c r="F3032" s="2">
        <v>32441</v>
      </c>
      <c r="G3032" s="2">
        <v>4.959505396</v>
      </c>
      <c r="H3032" s="3">
        <v>1.9399999999999999E-7</v>
      </c>
      <c r="I3032" s="2" t="s">
        <v>15370</v>
      </c>
      <c r="J3032" s="2" t="s">
        <v>15371</v>
      </c>
      <c r="K3032" s="3">
        <v>1.0300000000000001E-6</v>
      </c>
      <c r="L3032" s="2" t="s">
        <v>1178</v>
      </c>
      <c r="M3032" s="4" t="s">
        <v>15372</v>
      </c>
    </row>
    <row r="3033" spans="1:13">
      <c r="A3033" s="2">
        <v>2927</v>
      </c>
      <c r="B3033" s="2" t="s">
        <v>15373</v>
      </c>
      <c r="C3033" s="2">
        <v>17</v>
      </c>
      <c r="D3033" s="2">
        <v>556</v>
      </c>
      <c r="E3033" s="2">
        <v>200</v>
      </c>
      <c r="F3033" s="2">
        <v>32441</v>
      </c>
      <c r="G3033" s="2">
        <v>4.959505396</v>
      </c>
      <c r="H3033" s="3">
        <v>1.9399999999999999E-7</v>
      </c>
      <c r="I3033" s="2" t="s">
        <v>15374</v>
      </c>
      <c r="J3033" s="2" t="s">
        <v>15375</v>
      </c>
      <c r="K3033" s="3">
        <v>1.0300000000000001E-6</v>
      </c>
      <c r="L3033" s="2" t="s">
        <v>1178</v>
      </c>
      <c r="M3033" s="4" t="s">
        <v>15376</v>
      </c>
    </row>
    <row r="3034" spans="1:13">
      <c r="A3034" s="2">
        <v>2978</v>
      </c>
      <c r="B3034" s="2" t="s">
        <v>15377</v>
      </c>
      <c r="C3034" s="2">
        <v>17</v>
      </c>
      <c r="D3034" s="2">
        <v>556</v>
      </c>
      <c r="E3034" s="2">
        <v>200</v>
      </c>
      <c r="F3034" s="2">
        <v>32441</v>
      </c>
      <c r="G3034" s="2">
        <v>4.959505396</v>
      </c>
      <c r="H3034" s="3">
        <v>1.9399999999999999E-7</v>
      </c>
      <c r="I3034" s="2" t="s">
        <v>15378</v>
      </c>
      <c r="J3034" s="2" t="s">
        <v>15379</v>
      </c>
      <c r="K3034" s="3">
        <v>1.0300000000000001E-6</v>
      </c>
      <c r="L3034" s="2" t="s">
        <v>1178</v>
      </c>
      <c r="M3034" s="4" t="s">
        <v>15380</v>
      </c>
    </row>
    <row r="3035" spans="1:13">
      <c r="A3035" s="2">
        <v>3015</v>
      </c>
      <c r="B3035" s="2" t="s">
        <v>15381</v>
      </c>
      <c r="C3035" s="2">
        <v>17</v>
      </c>
      <c r="D3035" s="2">
        <v>556</v>
      </c>
      <c r="E3035" s="2">
        <v>200</v>
      </c>
      <c r="F3035" s="2">
        <v>32441</v>
      </c>
      <c r="G3035" s="2">
        <v>4.959505396</v>
      </c>
      <c r="H3035" s="3">
        <v>1.9399999999999999E-7</v>
      </c>
      <c r="I3035" s="2" t="s">
        <v>15382</v>
      </c>
      <c r="J3035" s="2" t="s">
        <v>15383</v>
      </c>
      <c r="K3035" s="3">
        <v>1.0300000000000001E-6</v>
      </c>
      <c r="L3035" s="2" t="s">
        <v>1178</v>
      </c>
      <c r="M3035" s="4" t="s">
        <v>15384</v>
      </c>
    </row>
    <row r="3036" spans="1:13">
      <c r="A3036" s="2">
        <v>3053</v>
      </c>
      <c r="B3036" s="2" t="s">
        <v>15385</v>
      </c>
      <c r="C3036" s="2">
        <v>17</v>
      </c>
      <c r="D3036" s="2">
        <v>556</v>
      </c>
      <c r="E3036" s="2">
        <v>200</v>
      </c>
      <c r="F3036" s="2">
        <v>32441</v>
      </c>
      <c r="G3036" s="2">
        <v>4.959505396</v>
      </c>
      <c r="H3036" s="3">
        <v>1.9399999999999999E-7</v>
      </c>
      <c r="I3036" s="2" t="s">
        <v>15386</v>
      </c>
      <c r="J3036" s="2" t="s">
        <v>15387</v>
      </c>
      <c r="K3036" s="3">
        <v>1.0300000000000001E-6</v>
      </c>
      <c r="L3036" s="2" t="s">
        <v>1178</v>
      </c>
      <c r="M3036" s="4" t="s">
        <v>15388</v>
      </c>
    </row>
    <row r="3037" spans="1:13">
      <c r="A3037" s="2">
        <v>3253</v>
      </c>
      <c r="B3037" s="2" t="s">
        <v>2631</v>
      </c>
      <c r="C3037" s="2">
        <v>17</v>
      </c>
      <c r="D3037" s="2">
        <v>556</v>
      </c>
      <c r="E3037" s="2">
        <v>200</v>
      </c>
      <c r="F3037" s="2">
        <v>32441</v>
      </c>
      <c r="G3037" s="2">
        <v>4.959505396</v>
      </c>
      <c r="H3037" s="3">
        <v>1.9399999999999999E-7</v>
      </c>
      <c r="I3037" s="2" t="s">
        <v>15389</v>
      </c>
      <c r="J3037" s="2" t="s">
        <v>15390</v>
      </c>
      <c r="K3037" s="3">
        <v>1.0300000000000001E-6</v>
      </c>
      <c r="L3037" s="2" t="s">
        <v>1178</v>
      </c>
      <c r="M3037" s="4" t="s">
        <v>15391</v>
      </c>
    </row>
    <row r="3038" spans="1:13">
      <c r="A3038" s="2">
        <v>33212</v>
      </c>
      <c r="B3038" s="2" t="s">
        <v>1941</v>
      </c>
      <c r="C3038" s="2">
        <v>17</v>
      </c>
      <c r="D3038" s="2">
        <v>556</v>
      </c>
      <c r="E3038" s="2">
        <v>200</v>
      </c>
      <c r="F3038" s="2">
        <v>32441</v>
      </c>
      <c r="G3038" s="2">
        <v>4.959505396</v>
      </c>
      <c r="H3038" s="3">
        <v>1.9399999999999999E-7</v>
      </c>
      <c r="I3038" s="2" t="s">
        <v>15392</v>
      </c>
      <c r="J3038" s="2" t="s">
        <v>15393</v>
      </c>
      <c r="K3038" s="3">
        <v>1.0300000000000001E-6</v>
      </c>
      <c r="L3038" s="2" t="s">
        <v>1178</v>
      </c>
      <c r="M3038" s="4" t="s">
        <v>15394</v>
      </c>
    </row>
    <row r="3039" spans="1:13">
      <c r="A3039" s="2">
        <v>3358</v>
      </c>
      <c r="B3039" s="2" t="s">
        <v>15395</v>
      </c>
      <c r="C3039" s="2">
        <v>17</v>
      </c>
      <c r="D3039" s="2">
        <v>556</v>
      </c>
      <c r="E3039" s="2">
        <v>200</v>
      </c>
      <c r="F3039" s="2">
        <v>32441</v>
      </c>
      <c r="G3039" s="2">
        <v>4.959505396</v>
      </c>
      <c r="H3039" s="3">
        <v>1.9399999999999999E-7</v>
      </c>
      <c r="I3039" s="2" t="s">
        <v>15396</v>
      </c>
      <c r="J3039" s="2" t="s">
        <v>15397</v>
      </c>
      <c r="K3039" s="3">
        <v>1.0300000000000001E-6</v>
      </c>
      <c r="L3039" s="2" t="s">
        <v>1178</v>
      </c>
      <c r="M3039" s="4" t="s">
        <v>15398</v>
      </c>
    </row>
    <row r="3040" spans="1:13">
      <c r="A3040" s="2">
        <v>34681</v>
      </c>
      <c r="B3040" s="2" t="s">
        <v>15399</v>
      </c>
      <c r="C3040" s="2">
        <v>17</v>
      </c>
      <c r="D3040" s="2">
        <v>556</v>
      </c>
      <c r="E3040" s="2">
        <v>200</v>
      </c>
      <c r="F3040" s="2">
        <v>32441</v>
      </c>
      <c r="G3040" s="2">
        <v>4.959505396</v>
      </c>
      <c r="H3040" s="3">
        <v>1.9399999999999999E-7</v>
      </c>
      <c r="I3040" s="2" t="s">
        <v>15400</v>
      </c>
      <c r="J3040" s="2" t="s">
        <v>15401</v>
      </c>
      <c r="K3040" s="3">
        <v>1.0300000000000001E-6</v>
      </c>
      <c r="L3040" s="2" t="s">
        <v>1178</v>
      </c>
      <c r="M3040" s="4" t="s">
        <v>15402</v>
      </c>
    </row>
    <row r="3041" spans="1:13">
      <c r="A3041" s="2">
        <v>35561</v>
      </c>
      <c r="B3041" s="2" t="s">
        <v>15403</v>
      </c>
      <c r="C3041" s="2">
        <v>17</v>
      </c>
      <c r="D3041" s="2">
        <v>556</v>
      </c>
      <c r="E3041" s="2">
        <v>200</v>
      </c>
      <c r="F3041" s="2">
        <v>32441</v>
      </c>
      <c r="G3041" s="2">
        <v>4.959505396</v>
      </c>
      <c r="H3041" s="3">
        <v>1.9399999999999999E-7</v>
      </c>
      <c r="I3041" s="2" t="s">
        <v>15404</v>
      </c>
      <c r="J3041" s="2" t="s">
        <v>15405</v>
      </c>
      <c r="K3041" s="3">
        <v>1.0300000000000001E-6</v>
      </c>
      <c r="L3041" s="2" t="s">
        <v>1178</v>
      </c>
      <c r="M3041" s="4" t="s">
        <v>15406</v>
      </c>
    </row>
    <row r="3042" spans="1:13">
      <c r="A3042" s="2">
        <v>35601</v>
      </c>
      <c r="B3042" s="2" t="s">
        <v>15407</v>
      </c>
      <c r="C3042" s="2">
        <v>17</v>
      </c>
      <c r="D3042" s="2">
        <v>556</v>
      </c>
      <c r="E3042" s="2">
        <v>200</v>
      </c>
      <c r="F3042" s="2">
        <v>32441</v>
      </c>
      <c r="G3042" s="2">
        <v>4.959505396</v>
      </c>
      <c r="H3042" s="3">
        <v>1.9399999999999999E-7</v>
      </c>
      <c r="I3042" s="2" t="s">
        <v>15408</v>
      </c>
      <c r="J3042" s="2" t="s">
        <v>15409</v>
      </c>
      <c r="K3042" s="3">
        <v>1.0300000000000001E-6</v>
      </c>
      <c r="L3042" s="2" t="s">
        <v>1178</v>
      </c>
      <c r="M3042" s="4" t="s">
        <v>15410</v>
      </c>
    </row>
    <row r="3043" spans="1:13">
      <c r="A3043" s="2">
        <v>3645</v>
      </c>
      <c r="B3043" s="2" t="s">
        <v>15411</v>
      </c>
      <c r="C3043" s="2">
        <v>17</v>
      </c>
      <c r="D3043" s="2">
        <v>556</v>
      </c>
      <c r="E3043" s="2">
        <v>200</v>
      </c>
      <c r="F3043" s="2">
        <v>32441</v>
      </c>
      <c r="G3043" s="2">
        <v>4.959505396</v>
      </c>
      <c r="H3043" s="3">
        <v>1.9399999999999999E-7</v>
      </c>
      <c r="I3043" s="2" t="s">
        <v>15412</v>
      </c>
      <c r="J3043" s="2" t="s">
        <v>15413</v>
      </c>
      <c r="K3043" s="3">
        <v>1.0300000000000001E-6</v>
      </c>
      <c r="L3043" s="2" t="s">
        <v>1178</v>
      </c>
      <c r="M3043" s="4" t="s">
        <v>15414</v>
      </c>
    </row>
    <row r="3044" spans="1:13">
      <c r="A3044" s="2">
        <v>38311</v>
      </c>
      <c r="B3044" s="2" t="s">
        <v>15415</v>
      </c>
      <c r="C3044" s="2">
        <v>17</v>
      </c>
      <c r="D3044" s="2">
        <v>556</v>
      </c>
      <c r="E3044" s="2">
        <v>200</v>
      </c>
      <c r="F3044" s="2">
        <v>32441</v>
      </c>
      <c r="G3044" s="2">
        <v>4.959505396</v>
      </c>
      <c r="H3044" s="3">
        <v>1.9399999999999999E-7</v>
      </c>
      <c r="I3044" s="2" t="s">
        <v>15416</v>
      </c>
      <c r="J3044" s="2" t="s">
        <v>15417</v>
      </c>
      <c r="K3044" s="3">
        <v>1.0300000000000001E-6</v>
      </c>
      <c r="L3044" s="2" t="s">
        <v>1178</v>
      </c>
      <c r="M3044" s="4" t="s">
        <v>15418</v>
      </c>
    </row>
    <row r="3045" spans="1:13">
      <c r="A3045" s="2">
        <v>38472</v>
      </c>
      <c r="B3045" s="2" t="s">
        <v>15419</v>
      </c>
      <c r="C3045" s="2">
        <v>17</v>
      </c>
      <c r="D3045" s="2">
        <v>556</v>
      </c>
      <c r="E3045" s="2">
        <v>200</v>
      </c>
      <c r="F3045" s="2">
        <v>32441</v>
      </c>
      <c r="G3045" s="2">
        <v>4.959505396</v>
      </c>
      <c r="H3045" s="3">
        <v>1.9399999999999999E-7</v>
      </c>
      <c r="I3045" s="2" t="s">
        <v>15420</v>
      </c>
      <c r="J3045" s="2" t="s">
        <v>15421</v>
      </c>
      <c r="K3045" s="3">
        <v>1.0300000000000001E-6</v>
      </c>
      <c r="L3045" s="2" t="s">
        <v>1178</v>
      </c>
      <c r="M3045" s="4" t="s">
        <v>15422</v>
      </c>
    </row>
    <row r="3046" spans="1:13">
      <c r="A3046" s="2">
        <v>3849</v>
      </c>
      <c r="B3046" s="2" t="s">
        <v>15423</v>
      </c>
      <c r="C3046" s="2">
        <v>17</v>
      </c>
      <c r="D3046" s="2">
        <v>556</v>
      </c>
      <c r="E3046" s="2">
        <v>200</v>
      </c>
      <c r="F3046" s="2">
        <v>32441</v>
      </c>
      <c r="G3046" s="2">
        <v>4.959505396</v>
      </c>
      <c r="H3046" s="3">
        <v>1.9399999999999999E-7</v>
      </c>
      <c r="I3046" s="2" t="s">
        <v>15424</v>
      </c>
      <c r="J3046" s="2" t="s">
        <v>15425</v>
      </c>
      <c r="K3046" s="3">
        <v>1.0300000000000001E-6</v>
      </c>
      <c r="L3046" s="2" t="s">
        <v>1178</v>
      </c>
      <c r="M3046" s="4" t="s">
        <v>15426</v>
      </c>
    </row>
    <row r="3047" spans="1:13">
      <c r="A3047" s="2">
        <v>38551</v>
      </c>
      <c r="B3047" s="2" t="s">
        <v>15427</v>
      </c>
      <c r="C3047" s="2">
        <v>17</v>
      </c>
      <c r="D3047" s="2">
        <v>556</v>
      </c>
      <c r="E3047" s="2">
        <v>200</v>
      </c>
      <c r="F3047" s="2">
        <v>32441</v>
      </c>
      <c r="G3047" s="2">
        <v>4.959505396</v>
      </c>
      <c r="H3047" s="3">
        <v>1.9399999999999999E-7</v>
      </c>
      <c r="I3047" s="2" t="s">
        <v>15428</v>
      </c>
      <c r="J3047" s="2" t="s">
        <v>15429</v>
      </c>
      <c r="K3047" s="3">
        <v>1.0300000000000001E-6</v>
      </c>
      <c r="L3047" s="2" t="s">
        <v>1178</v>
      </c>
      <c r="M3047" s="4" t="s">
        <v>15430</v>
      </c>
    </row>
    <row r="3048" spans="1:13">
      <c r="A3048" s="2">
        <v>38611</v>
      </c>
      <c r="B3048" s="2" t="s">
        <v>15431</v>
      </c>
      <c r="C3048" s="2">
        <v>17</v>
      </c>
      <c r="D3048" s="2">
        <v>556</v>
      </c>
      <c r="E3048" s="2">
        <v>200</v>
      </c>
      <c r="F3048" s="2">
        <v>32441</v>
      </c>
      <c r="G3048" s="2">
        <v>4.959505396</v>
      </c>
      <c r="H3048" s="3">
        <v>1.9399999999999999E-7</v>
      </c>
      <c r="I3048" s="2" t="s">
        <v>15432</v>
      </c>
      <c r="J3048" s="2" t="s">
        <v>15433</v>
      </c>
      <c r="K3048" s="3">
        <v>1.0300000000000001E-6</v>
      </c>
      <c r="L3048" s="2" t="s">
        <v>1178</v>
      </c>
      <c r="M3048" s="4" t="s">
        <v>15434</v>
      </c>
    </row>
    <row r="3049" spans="1:13">
      <c r="A3049" s="2">
        <v>39181</v>
      </c>
      <c r="B3049" s="2" t="s">
        <v>15435</v>
      </c>
      <c r="C3049" s="2">
        <v>17</v>
      </c>
      <c r="D3049" s="2">
        <v>556</v>
      </c>
      <c r="E3049" s="2">
        <v>200</v>
      </c>
      <c r="F3049" s="2">
        <v>32441</v>
      </c>
      <c r="G3049" s="2">
        <v>4.959505396</v>
      </c>
      <c r="H3049" s="3">
        <v>1.9399999999999999E-7</v>
      </c>
      <c r="I3049" s="2" t="s">
        <v>15436</v>
      </c>
      <c r="J3049" s="2" t="s">
        <v>15437</v>
      </c>
      <c r="K3049" s="3">
        <v>1.0300000000000001E-6</v>
      </c>
      <c r="L3049" s="2" t="s">
        <v>1178</v>
      </c>
      <c r="M3049" s="4" t="s">
        <v>15438</v>
      </c>
    </row>
    <row r="3050" spans="1:13">
      <c r="A3050" s="2">
        <v>3958</v>
      </c>
      <c r="B3050" s="2" t="s">
        <v>15439</v>
      </c>
      <c r="C3050" s="2">
        <v>17</v>
      </c>
      <c r="D3050" s="2">
        <v>556</v>
      </c>
      <c r="E3050" s="2">
        <v>200</v>
      </c>
      <c r="F3050" s="2">
        <v>32441</v>
      </c>
      <c r="G3050" s="2">
        <v>4.959505396</v>
      </c>
      <c r="H3050" s="3">
        <v>1.9399999999999999E-7</v>
      </c>
      <c r="I3050" s="2" t="s">
        <v>15440</v>
      </c>
      <c r="J3050" s="2" t="s">
        <v>15441</v>
      </c>
      <c r="K3050" s="3">
        <v>1.0300000000000001E-6</v>
      </c>
      <c r="L3050" s="2" t="s">
        <v>1178</v>
      </c>
      <c r="M3050" s="4" t="s">
        <v>15442</v>
      </c>
    </row>
    <row r="3051" spans="1:13">
      <c r="A3051" s="2">
        <v>3974</v>
      </c>
      <c r="B3051" s="2" t="s">
        <v>15443</v>
      </c>
      <c r="C3051" s="2">
        <v>17</v>
      </c>
      <c r="D3051" s="2">
        <v>556</v>
      </c>
      <c r="E3051" s="2">
        <v>200</v>
      </c>
      <c r="F3051" s="2">
        <v>32441</v>
      </c>
      <c r="G3051" s="2">
        <v>4.959505396</v>
      </c>
      <c r="H3051" s="3">
        <v>1.9399999999999999E-7</v>
      </c>
      <c r="I3051" s="2" t="s">
        <v>15444</v>
      </c>
      <c r="J3051" s="2" t="s">
        <v>15445</v>
      </c>
      <c r="K3051" s="3">
        <v>1.0300000000000001E-6</v>
      </c>
      <c r="L3051" s="2" t="s">
        <v>1178</v>
      </c>
      <c r="M3051" s="4" t="s">
        <v>15446</v>
      </c>
    </row>
    <row r="3052" spans="1:13">
      <c r="A3052" s="2">
        <v>39841</v>
      </c>
      <c r="B3052" s="2" t="s">
        <v>15447</v>
      </c>
      <c r="C3052" s="2">
        <v>17</v>
      </c>
      <c r="D3052" s="2">
        <v>556</v>
      </c>
      <c r="E3052" s="2">
        <v>200</v>
      </c>
      <c r="F3052" s="2">
        <v>32441</v>
      </c>
      <c r="G3052" s="2">
        <v>4.959505396</v>
      </c>
      <c r="H3052" s="3">
        <v>1.9399999999999999E-7</v>
      </c>
      <c r="I3052" s="2" t="s">
        <v>15448</v>
      </c>
      <c r="J3052" s="2" t="s">
        <v>15449</v>
      </c>
      <c r="K3052" s="3">
        <v>1.0300000000000001E-6</v>
      </c>
      <c r="L3052" s="2" t="s">
        <v>1178</v>
      </c>
      <c r="M3052" s="4" t="s">
        <v>15450</v>
      </c>
    </row>
    <row r="3053" spans="1:13">
      <c r="A3053" s="2">
        <v>39911</v>
      </c>
      <c r="B3053" s="2" t="s">
        <v>15451</v>
      </c>
      <c r="C3053" s="2">
        <v>17</v>
      </c>
      <c r="D3053" s="2">
        <v>556</v>
      </c>
      <c r="E3053" s="2">
        <v>199</v>
      </c>
      <c r="F3053" s="2">
        <v>32441</v>
      </c>
      <c r="G3053" s="2">
        <v>4.9844275329999999</v>
      </c>
      <c r="H3053" s="3">
        <v>1.8199999999999999E-7</v>
      </c>
      <c r="I3053" s="2" t="s">
        <v>15452</v>
      </c>
      <c r="J3053" s="2" t="s">
        <v>15453</v>
      </c>
      <c r="K3053" s="3">
        <v>1.0300000000000001E-6</v>
      </c>
      <c r="L3053" s="2" t="s">
        <v>1178</v>
      </c>
      <c r="M3053" s="4" t="s">
        <v>15454</v>
      </c>
    </row>
    <row r="3054" spans="1:13">
      <c r="A3054" s="2">
        <v>4164</v>
      </c>
      <c r="B3054" s="2" t="s">
        <v>15455</v>
      </c>
      <c r="C3054" s="2">
        <v>17</v>
      </c>
      <c r="D3054" s="2">
        <v>556</v>
      </c>
      <c r="E3054" s="2">
        <v>200</v>
      </c>
      <c r="F3054" s="2">
        <v>32441</v>
      </c>
      <c r="G3054" s="2">
        <v>4.959505396</v>
      </c>
      <c r="H3054" s="3">
        <v>1.9399999999999999E-7</v>
      </c>
      <c r="I3054" s="2" t="s">
        <v>15456</v>
      </c>
      <c r="J3054" s="2" t="s">
        <v>15457</v>
      </c>
      <c r="K3054" s="3">
        <v>1.0300000000000001E-6</v>
      </c>
      <c r="L3054" s="2" t="s">
        <v>1178</v>
      </c>
      <c r="M3054" s="4" t="s">
        <v>15458</v>
      </c>
    </row>
    <row r="3055" spans="1:13">
      <c r="A3055" s="2">
        <v>41822</v>
      </c>
      <c r="B3055" s="2" t="s">
        <v>15459</v>
      </c>
      <c r="C3055" s="2">
        <v>17</v>
      </c>
      <c r="D3055" s="2">
        <v>556</v>
      </c>
      <c r="E3055" s="2">
        <v>200</v>
      </c>
      <c r="F3055" s="2">
        <v>32441</v>
      </c>
      <c r="G3055" s="2">
        <v>4.959505396</v>
      </c>
      <c r="H3055" s="3">
        <v>1.9399999999999999E-7</v>
      </c>
      <c r="I3055" s="2" t="s">
        <v>15460</v>
      </c>
      <c r="J3055" s="2" t="s">
        <v>15461</v>
      </c>
      <c r="K3055" s="3">
        <v>1.0300000000000001E-6</v>
      </c>
      <c r="L3055" s="2" t="s">
        <v>1178</v>
      </c>
      <c r="M3055" s="4" t="s">
        <v>15462</v>
      </c>
    </row>
    <row r="3056" spans="1:13">
      <c r="A3056" s="2">
        <v>4188</v>
      </c>
      <c r="B3056" s="2" t="s">
        <v>15463</v>
      </c>
      <c r="C3056" s="2">
        <v>17</v>
      </c>
      <c r="D3056" s="2">
        <v>556</v>
      </c>
      <c r="E3056" s="2">
        <v>200</v>
      </c>
      <c r="F3056" s="2">
        <v>32441</v>
      </c>
      <c r="G3056" s="2">
        <v>4.959505396</v>
      </c>
      <c r="H3056" s="3">
        <v>1.9399999999999999E-7</v>
      </c>
      <c r="I3056" s="2" t="s">
        <v>15464</v>
      </c>
      <c r="J3056" s="2" t="s">
        <v>15465</v>
      </c>
      <c r="K3056" s="3">
        <v>1.0300000000000001E-6</v>
      </c>
      <c r="L3056" s="2" t="s">
        <v>1178</v>
      </c>
      <c r="M3056" s="4" t="s">
        <v>15466</v>
      </c>
    </row>
    <row r="3057" spans="1:13">
      <c r="A3057" s="2">
        <v>4196</v>
      </c>
      <c r="B3057" s="2" t="s">
        <v>15467</v>
      </c>
      <c r="C3057" s="2">
        <v>17</v>
      </c>
      <c r="D3057" s="2">
        <v>556</v>
      </c>
      <c r="E3057" s="2">
        <v>200</v>
      </c>
      <c r="F3057" s="2">
        <v>32441</v>
      </c>
      <c r="G3057" s="2">
        <v>4.959505396</v>
      </c>
      <c r="H3057" s="3">
        <v>1.9399999999999999E-7</v>
      </c>
      <c r="I3057" s="2" t="s">
        <v>15468</v>
      </c>
      <c r="J3057" s="2" t="s">
        <v>15469</v>
      </c>
      <c r="K3057" s="3">
        <v>1.0300000000000001E-6</v>
      </c>
      <c r="L3057" s="2" t="s">
        <v>1178</v>
      </c>
      <c r="M3057" s="4" t="s">
        <v>15470</v>
      </c>
    </row>
    <row r="3058" spans="1:13">
      <c r="A3058" s="2">
        <v>4206</v>
      </c>
      <c r="B3058" s="2" t="s">
        <v>15471</v>
      </c>
      <c r="C3058" s="2">
        <v>17</v>
      </c>
      <c r="D3058" s="2">
        <v>556</v>
      </c>
      <c r="E3058" s="2">
        <v>200</v>
      </c>
      <c r="F3058" s="2">
        <v>32441</v>
      </c>
      <c r="G3058" s="2">
        <v>4.959505396</v>
      </c>
      <c r="H3058" s="3">
        <v>1.9399999999999999E-7</v>
      </c>
      <c r="I3058" s="2" t="s">
        <v>15472</v>
      </c>
      <c r="J3058" s="2" t="s">
        <v>15473</v>
      </c>
      <c r="K3058" s="3">
        <v>1.0300000000000001E-6</v>
      </c>
      <c r="L3058" s="2" t="s">
        <v>1178</v>
      </c>
      <c r="M3058" s="4" t="s">
        <v>15474</v>
      </c>
    </row>
    <row r="3059" spans="1:13">
      <c r="A3059" s="2">
        <v>4252</v>
      </c>
      <c r="B3059" s="2" t="s">
        <v>15475</v>
      </c>
      <c r="C3059" s="2">
        <v>17</v>
      </c>
      <c r="D3059" s="2">
        <v>556</v>
      </c>
      <c r="E3059" s="2">
        <v>200</v>
      </c>
      <c r="F3059" s="2">
        <v>32441</v>
      </c>
      <c r="G3059" s="2">
        <v>4.959505396</v>
      </c>
      <c r="H3059" s="3">
        <v>1.9399999999999999E-7</v>
      </c>
      <c r="I3059" s="2" t="s">
        <v>15476</v>
      </c>
      <c r="J3059" s="2" t="s">
        <v>15477</v>
      </c>
      <c r="K3059" s="3">
        <v>1.0300000000000001E-6</v>
      </c>
      <c r="L3059" s="2" t="s">
        <v>1178</v>
      </c>
      <c r="M3059" s="4" t="s">
        <v>15478</v>
      </c>
    </row>
    <row r="3060" spans="1:13">
      <c r="A3060" s="2">
        <v>4282</v>
      </c>
      <c r="B3060" s="2" t="s">
        <v>15479</v>
      </c>
      <c r="C3060" s="2">
        <v>17</v>
      </c>
      <c r="D3060" s="2">
        <v>556</v>
      </c>
      <c r="E3060" s="2">
        <v>200</v>
      </c>
      <c r="F3060" s="2">
        <v>32441</v>
      </c>
      <c r="G3060" s="2">
        <v>4.959505396</v>
      </c>
      <c r="H3060" s="3">
        <v>1.9399999999999999E-7</v>
      </c>
      <c r="I3060" s="2" t="s">
        <v>15480</v>
      </c>
      <c r="J3060" s="2" t="s">
        <v>15481</v>
      </c>
      <c r="K3060" s="3">
        <v>1.0300000000000001E-6</v>
      </c>
      <c r="L3060" s="2" t="s">
        <v>1178</v>
      </c>
      <c r="M3060" s="4" t="s">
        <v>15482</v>
      </c>
    </row>
    <row r="3061" spans="1:13">
      <c r="A3061" s="2">
        <v>4315</v>
      </c>
      <c r="B3061" s="2" t="s">
        <v>15483</v>
      </c>
      <c r="C3061" s="2">
        <v>17</v>
      </c>
      <c r="D3061" s="2">
        <v>556</v>
      </c>
      <c r="E3061" s="2">
        <v>200</v>
      </c>
      <c r="F3061" s="2">
        <v>32441</v>
      </c>
      <c r="G3061" s="2">
        <v>4.959505396</v>
      </c>
      <c r="H3061" s="3">
        <v>1.9399999999999999E-7</v>
      </c>
      <c r="I3061" s="2" t="s">
        <v>15484</v>
      </c>
      <c r="J3061" s="2" t="s">
        <v>15485</v>
      </c>
      <c r="K3061" s="3">
        <v>1.0300000000000001E-6</v>
      </c>
      <c r="L3061" s="2" t="s">
        <v>1178</v>
      </c>
      <c r="M3061" s="4" t="s">
        <v>15486</v>
      </c>
    </row>
    <row r="3062" spans="1:13">
      <c r="A3062" s="2">
        <v>4409</v>
      </c>
      <c r="B3062" s="2" t="s">
        <v>15487</v>
      </c>
      <c r="C3062" s="2">
        <v>17</v>
      </c>
      <c r="D3062" s="2">
        <v>556</v>
      </c>
      <c r="E3062" s="2">
        <v>200</v>
      </c>
      <c r="F3062" s="2">
        <v>32441</v>
      </c>
      <c r="G3062" s="2">
        <v>4.959505396</v>
      </c>
      <c r="H3062" s="3">
        <v>1.9399999999999999E-7</v>
      </c>
      <c r="I3062" s="2" t="s">
        <v>15488</v>
      </c>
      <c r="J3062" s="2" t="s">
        <v>15489</v>
      </c>
      <c r="K3062" s="3">
        <v>1.0300000000000001E-6</v>
      </c>
      <c r="L3062" s="2" t="s">
        <v>1178</v>
      </c>
      <c r="M3062" s="4" t="s">
        <v>15490</v>
      </c>
    </row>
    <row r="3063" spans="1:13">
      <c r="A3063" s="2">
        <v>4476</v>
      </c>
      <c r="B3063" s="2" t="s">
        <v>15491</v>
      </c>
      <c r="C3063" s="2">
        <v>17</v>
      </c>
      <c r="D3063" s="2">
        <v>556</v>
      </c>
      <c r="E3063" s="2">
        <v>200</v>
      </c>
      <c r="F3063" s="2">
        <v>32441</v>
      </c>
      <c r="G3063" s="2">
        <v>4.959505396</v>
      </c>
      <c r="H3063" s="3">
        <v>1.9399999999999999E-7</v>
      </c>
      <c r="I3063" s="2" t="s">
        <v>15492</v>
      </c>
      <c r="J3063" s="2" t="s">
        <v>15493</v>
      </c>
      <c r="K3063" s="3">
        <v>1.0300000000000001E-6</v>
      </c>
      <c r="L3063" s="2" t="s">
        <v>1178</v>
      </c>
      <c r="M3063" s="4" t="s">
        <v>15494</v>
      </c>
    </row>
    <row r="3064" spans="1:13">
      <c r="A3064" s="2">
        <v>4512</v>
      </c>
      <c r="B3064" s="2" t="s">
        <v>15495</v>
      </c>
      <c r="C3064" s="2">
        <v>17</v>
      </c>
      <c r="D3064" s="2">
        <v>556</v>
      </c>
      <c r="E3064" s="2">
        <v>199</v>
      </c>
      <c r="F3064" s="2">
        <v>32441</v>
      </c>
      <c r="G3064" s="2">
        <v>4.9844275329999999</v>
      </c>
      <c r="H3064" s="3">
        <v>1.8199999999999999E-7</v>
      </c>
      <c r="I3064" s="2" t="s">
        <v>15496</v>
      </c>
      <c r="J3064" s="2" t="s">
        <v>15497</v>
      </c>
      <c r="K3064" s="3">
        <v>1.0300000000000001E-6</v>
      </c>
      <c r="L3064" s="2" t="s">
        <v>1178</v>
      </c>
      <c r="M3064" s="4" t="s">
        <v>15498</v>
      </c>
    </row>
    <row r="3065" spans="1:13">
      <c r="A3065" s="2">
        <v>4534</v>
      </c>
      <c r="B3065" s="2" t="s">
        <v>2271</v>
      </c>
      <c r="C3065" s="2">
        <v>17</v>
      </c>
      <c r="D3065" s="2">
        <v>556</v>
      </c>
      <c r="E3065" s="2">
        <v>200</v>
      </c>
      <c r="F3065" s="2">
        <v>32441</v>
      </c>
      <c r="G3065" s="2">
        <v>4.959505396</v>
      </c>
      <c r="H3065" s="3">
        <v>1.9399999999999999E-7</v>
      </c>
      <c r="I3065" s="2" t="s">
        <v>15499</v>
      </c>
      <c r="J3065" s="2" t="s">
        <v>15500</v>
      </c>
      <c r="K3065" s="3">
        <v>1.0300000000000001E-6</v>
      </c>
      <c r="L3065" s="2" t="s">
        <v>1178</v>
      </c>
      <c r="M3065" s="4" t="s">
        <v>15501</v>
      </c>
    </row>
    <row r="3066" spans="1:13">
      <c r="A3066" s="2">
        <v>45581</v>
      </c>
      <c r="B3066" s="2" t="s">
        <v>15502</v>
      </c>
      <c r="C3066" s="2">
        <v>17</v>
      </c>
      <c r="D3066" s="2">
        <v>556</v>
      </c>
      <c r="E3066" s="2">
        <v>200</v>
      </c>
      <c r="F3066" s="2">
        <v>32441</v>
      </c>
      <c r="G3066" s="2">
        <v>4.959505396</v>
      </c>
      <c r="H3066" s="3">
        <v>1.9399999999999999E-7</v>
      </c>
      <c r="I3066" s="2" t="s">
        <v>15503</v>
      </c>
      <c r="J3066" s="2" t="s">
        <v>15504</v>
      </c>
      <c r="K3066" s="3">
        <v>1.0300000000000001E-6</v>
      </c>
      <c r="L3066" s="2" t="s">
        <v>1178</v>
      </c>
      <c r="M3066" s="4" t="s">
        <v>15505</v>
      </c>
    </row>
    <row r="3067" spans="1:13">
      <c r="A3067" s="2">
        <v>46001</v>
      </c>
      <c r="B3067" s="2" t="s">
        <v>15506</v>
      </c>
      <c r="C3067" s="2">
        <v>17</v>
      </c>
      <c r="D3067" s="2">
        <v>556</v>
      </c>
      <c r="E3067" s="2">
        <v>199</v>
      </c>
      <c r="F3067" s="2">
        <v>32441</v>
      </c>
      <c r="G3067" s="2">
        <v>4.9844275329999999</v>
      </c>
      <c r="H3067" s="3">
        <v>1.8199999999999999E-7</v>
      </c>
      <c r="I3067" s="2" t="s">
        <v>15507</v>
      </c>
      <c r="J3067" s="2" t="s">
        <v>15508</v>
      </c>
      <c r="K3067" s="3">
        <v>1.0300000000000001E-6</v>
      </c>
      <c r="L3067" s="2" t="s">
        <v>1178</v>
      </c>
      <c r="M3067" s="4" t="s">
        <v>15509</v>
      </c>
    </row>
    <row r="3068" spans="1:13">
      <c r="A3068" s="2">
        <v>4618</v>
      </c>
      <c r="B3068" s="2" t="s">
        <v>15510</v>
      </c>
      <c r="C3068" s="2">
        <v>17</v>
      </c>
      <c r="D3068" s="2">
        <v>556</v>
      </c>
      <c r="E3068" s="2">
        <v>200</v>
      </c>
      <c r="F3068" s="2">
        <v>32441</v>
      </c>
      <c r="G3068" s="2">
        <v>4.959505396</v>
      </c>
      <c r="H3068" s="3">
        <v>1.9399999999999999E-7</v>
      </c>
      <c r="I3068" s="2" t="s">
        <v>15511</v>
      </c>
      <c r="J3068" s="2" t="s">
        <v>15512</v>
      </c>
      <c r="K3068" s="3">
        <v>1.0300000000000001E-6</v>
      </c>
      <c r="L3068" s="2" t="s">
        <v>1178</v>
      </c>
      <c r="M3068" s="4" t="s">
        <v>15513</v>
      </c>
    </row>
    <row r="3069" spans="1:13">
      <c r="A3069" s="2">
        <v>46771</v>
      </c>
      <c r="B3069" s="2" t="s">
        <v>15514</v>
      </c>
      <c r="C3069" s="2">
        <v>17</v>
      </c>
      <c r="D3069" s="2">
        <v>556</v>
      </c>
      <c r="E3069" s="2">
        <v>200</v>
      </c>
      <c r="F3069" s="2">
        <v>32441</v>
      </c>
      <c r="G3069" s="2">
        <v>4.959505396</v>
      </c>
      <c r="H3069" s="3">
        <v>1.9399999999999999E-7</v>
      </c>
      <c r="I3069" s="2" t="s">
        <v>15515</v>
      </c>
      <c r="J3069" s="2" t="s">
        <v>15516</v>
      </c>
      <c r="K3069" s="3">
        <v>1.0300000000000001E-6</v>
      </c>
      <c r="L3069" s="2" t="s">
        <v>1178</v>
      </c>
      <c r="M3069" s="4" t="s">
        <v>15517</v>
      </c>
    </row>
    <row r="3070" spans="1:13">
      <c r="A3070" s="2">
        <v>4723</v>
      </c>
      <c r="B3070" s="2" t="s">
        <v>15518</v>
      </c>
      <c r="C3070" s="2">
        <v>17</v>
      </c>
      <c r="D3070" s="2">
        <v>556</v>
      </c>
      <c r="E3070" s="2">
        <v>199</v>
      </c>
      <c r="F3070" s="2">
        <v>32441</v>
      </c>
      <c r="G3070" s="2">
        <v>4.9844275329999999</v>
      </c>
      <c r="H3070" s="3">
        <v>1.8199999999999999E-7</v>
      </c>
      <c r="I3070" s="2" t="s">
        <v>15519</v>
      </c>
      <c r="J3070" s="2" t="s">
        <v>15520</v>
      </c>
      <c r="K3070" s="3">
        <v>1.0300000000000001E-6</v>
      </c>
      <c r="L3070" s="2" t="s">
        <v>1178</v>
      </c>
      <c r="M3070" s="4" t="s">
        <v>15521</v>
      </c>
    </row>
    <row r="3071" spans="1:13">
      <c r="A3071" s="2">
        <v>4726</v>
      </c>
      <c r="B3071" s="2" t="s">
        <v>15522</v>
      </c>
      <c r="C3071" s="2">
        <v>17</v>
      </c>
      <c r="D3071" s="2">
        <v>556</v>
      </c>
      <c r="E3071" s="2">
        <v>199</v>
      </c>
      <c r="F3071" s="2">
        <v>32441</v>
      </c>
      <c r="G3071" s="2">
        <v>4.9844275329999999</v>
      </c>
      <c r="H3071" s="3">
        <v>1.8199999999999999E-7</v>
      </c>
      <c r="I3071" s="2" t="s">
        <v>15523</v>
      </c>
      <c r="J3071" s="2" t="s">
        <v>15524</v>
      </c>
      <c r="K3071" s="3">
        <v>1.0300000000000001E-6</v>
      </c>
      <c r="L3071" s="2" t="s">
        <v>1178</v>
      </c>
      <c r="M3071" s="4" t="s">
        <v>15525</v>
      </c>
    </row>
    <row r="3072" spans="1:13">
      <c r="A3072" s="2">
        <v>4816</v>
      </c>
      <c r="B3072" s="2" t="s">
        <v>15526</v>
      </c>
      <c r="C3072" s="2">
        <v>17</v>
      </c>
      <c r="D3072" s="2">
        <v>556</v>
      </c>
      <c r="E3072" s="2">
        <v>200</v>
      </c>
      <c r="F3072" s="2">
        <v>32441</v>
      </c>
      <c r="G3072" s="2">
        <v>4.959505396</v>
      </c>
      <c r="H3072" s="3">
        <v>1.9399999999999999E-7</v>
      </c>
      <c r="I3072" s="2" t="s">
        <v>15527</v>
      </c>
      <c r="J3072" s="2" t="s">
        <v>15528</v>
      </c>
      <c r="K3072" s="3">
        <v>1.0300000000000001E-6</v>
      </c>
      <c r="L3072" s="2" t="s">
        <v>1178</v>
      </c>
      <c r="M3072" s="4" t="s">
        <v>15529</v>
      </c>
    </row>
    <row r="3073" spans="1:13">
      <c r="A3073" s="2">
        <v>25401</v>
      </c>
      <c r="B3073" s="2" t="s">
        <v>15530</v>
      </c>
      <c r="C3073" s="2">
        <v>15</v>
      </c>
      <c r="D3073" s="2">
        <v>556</v>
      </c>
      <c r="E3073" s="2">
        <v>155</v>
      </c>
      <c r="F3073" s="2">
        <v>32441</v>
      </c>
      <c r="G3073" s="2">
        <v>5.6464957069999997</v>
      </c>
      <c r="H3073" s="3">
        <v>2.2000000000000001E-7</v>
      </c>
      <c r="I3073" s="2" t="s">
        <v>15531</v>
      </c>
      <c r="J3073" s="2" t="s">
        <v>15532</v>
      </c>
      <c r="K3073" s="3">
        <v>1.1599999999999999E-6</v>
      </c>
      <c r="L3073" s="2" t="s">
        <v>1178</v>
      </c>
      <c r="M3073" s="4" t="s">
        <v>15533</v>
      </c>
    </row>
    <row r="3074" spans="1:13">
      <c r="A3074" s="2">
        <v>4239</v>
      </c>
      <c r="B3074" s="2" t="s">
        <v>15534</v>
      </c>
      <c r="C3074" s="2">
        <v>15</v>
      </c>
      <c r="D3074" s="2">
        <v>556</v>
      </c>
      <c r="E3074" s="2">
        <v>155</v>
      </c>
      <c r="F3074" s="2">
        <v>32441</v>
      </c>
      <c r="G3074" s="2">
        <v>5.6464957069999997</v>
      </c>
      <c r="H3074" s="3">
        <v>2.2000000000000001E-7</v>
      </c>
      <c r="I3074" s="2" t="s">
        <v>15535</v>
      </c>
      <c r="J3074" s="2" t="s">
        <v>15536</v>
      </c>
      <c r="K3074" s="3">
        <v>1.1599999999999999E-6</v>
      </c>
      <c r="L3074" s="2" t="s">
        <v>1178</v>
      </c>
      <c r="M3074" s="4" t="s">
        <v>15537</v>
      </c>
    </row>
    <row r="3075" spans="1:13">
      <c r="A3075" s="2">
        <v>25421</v>
      </c>
      <c r="B3075" s="2" t="s">
        <v>15538</v>
      </c>
      <c r="C3075" s="2">
        <v>15</v>
      </c>
      <c r="D3075" s="2">
        <v>556</v>
      </c>
      <c r="E3075" s="2">
        <v>156</v>
      </c>
      <c r="F3075" s="2">
        <v>32441</v>
      </c>
      <c r="G3075" s="2">
        <v>5.6103002210000001</v>
      </c>
      <c r="H3075" s="3">
        <v>2.3699999999999999E-7</v>
      </c>
      <c r="I3075" s="2" t="s">
        <v>15539</v>
      </c>
      <c r="J3075" s="2" t="s">
        <v>15540</v>
      </c>
      <c r="K3075" s="3">
        <v>1.2500000000000001E-6</v>
      </c>
      <c r="L3075" s="2" t="s">
        <v>1178</v>
      </c>
      <c r="M3075" s="4" t="s">
        <v>15541</v>
      </c>
    </row>
    <row r="3076" spans="1:13">
      <c r="A3076" s="2">
        <v>2820</v>
      </c>
      <c r="B3076" s="2" t="s">
        <v>15542</v>
      </c>
      <c r="C3076" s="2">
        <v>16</v>
      </c>
      <c r="D3076" s="2">
        <v>556</v>
      </c>
      <c r="E3076" s="2">
        <v>180</v>
      </c>
      <c r="F3076" s="2">
        <v>32441</v>
      </c>
      <c r="G3076" s="2">
        <v>5.1864108709999996</v>
      </c>
      <c r="H3076" s="3">
        <v>2.5400000000000002E-7</v>
      </c>
      <c r="I3076" s="2" t="s">
        <v>15543</v>
      </c>
      <c r="J3076" s="2" t="s">
        <v>15544</v>
      </c>
      <c r="K3076" s="3">
        <v>1.33E-6</v>
      </c>
      <c r="L3076" s="2" t="s">
        <v>1178</v>
      </c>
      <c r="M3076" s="4" t="s">
        <v>15545</v>
      </c>
    </row>
    <row r="3077" spans="1:13">
      <c r="A3077" s="2">
        <v>2461</v>
      </c>
      <c r="B3077" s="2" t="s">
        <v>15546</v>
      </c>
      <c r="C3077" s="2">
        <v>16</v>
      </c>
      <c r="D3077" s="2">
        <v>556</v>
      </c>
      <c r="E3077" s="2">
        <v>181</v>
      </c>
      <c r="F3077" s="2">
        <v>32441</v>
      </c>
      <c r="G3077" s="2">
        <v>5.1577566680000002</v>
      </c>
      <c r="H3077" s="3">
        <v>2.72E-7</v>
      </c>
      <c r="I3077" s="2" t="s">
        <v>15547</v>
      </c>
      <c r="J3077" s="2" t="s">
        <v>15548</v>
      </c>
      <c r="K3077" s="3">
        <v>1.4300000000000001E-6</v>
      </c>
      <c r="L3077" s="2" t="s">
        <v>1178</v>
      </c>
      <c r="M3077" s="4" t="s">
        <v>15549</v>
      </c>
    </row>
    <row r="3078" spans="1:13">
      <c r="A3078" s="2">
        <v>3240</v>
      </c>
      <c r="B3078" s="2" t="s">
        <v>15550</v>
      </c>
      <c r="C3078" s="2">
        <v>15</v>
      </c>
      <c r="D3078" s="2">
        <v>556</v>
      </c>
      <c r="E3078" s="2">
        <v>162</v>
      </c>
      <c r="F3078" s="2">
        <v>32441</v>
      </c>
      <c r="G3078" s="2">
        <v>5.4025113239999998</v>
      </c>
      <c r="H3078" s="3">
        <v>3.7099999999999997E-7</v>
      </c>
      <c r="I3078" s="2" t="s">
        <v>15551</v>
      </c>
      <c r="J3078" s="2" t="s">
        <v>15552</v>
      </c>
      <c r="K3078" s="3">
        <v>1.9400000000000001E-6</v>
      </c>
      <c r="L3078" s="2" t="s">
        <v>1178</v>
      </c>
      <c r="M3078" s="4" t="s">
        <v>15553</v>
      </c>
    </row>
    <row r="3079" spans="1:13">
      <c r="A3079" s="2">
        <v>42291</v>
      </c>
      <c r="B3079" s="2" t="s">
        <v>15554</v>
      </c>
      <c r="C3079" s="2">
        <v>15</v>
      </c>
      <c r="D3079" s="2">
        <v>556</v>
      </c>
      <c r="E3079" s="2">
        <v>162</v>
      </c>
      <c r="F3079" s="2">
        <v>32441</v>
      </c>
      <c r="G3079" s="2">
        <v>5.4025113239999998</v>
      </c>
      <c r="H3079" s="3">
        <v>3.7099999999999997E-7</v>
      </c>
      <c r="I3079" s="2" t="s">
        <v>15555</v>
      </c>
      <c r="J3079" s="2" t="s">
        <v>15556</v>
      </c>
      <c r="K3079" s="3">
        <v>1.9400000000000001E-6</v>
      </c>
      <c r="L3079" s="2" t="s">
        <v>1178</v>
      </c>
      <c r="M3079" s="4" t="s">
        <v>15557</v>
      </c>
    </row>
    <row r="3080" spans="1:13">
      <c r="A3080" s="2">
        <v>2177</v>
      </c>
      <c r="B3080" s="2" t="s">
        <v>1203</v>
      </c>
      <c r="C3080" s="2">
        <v>15</v>
      </c>
      <c r="D3080" s="2">
        <v>556</v>
      </c>
      <c r="E3080" s="2">
        <v>164</v>
      </c>
      <c r="F3080" s="2">
        <v>32441</v>
      </c>
      <c r="G3080" s="2">
        <v>5.3366270399999998</v>
      </c>
      <c r="H3080" s="3">
        <v>4.2800000000000002E-7</v>
      </c>
      <c r="I3080" s="2" t="s">
        <v>15558</v>
      </c>
      <c r="J3080" s="2" t="s">
        <v>15559</v>
      </c>
      <c r="K3080" s="3">
        <v>2.2400000000000002E-6</v>
      </c>
      <c r="L3080" s="2" t="s">
        <v>1178</v>
      </c>
      <c r="M3080" s="4" t="s">
        <v>15560</v>
      </c>
    </row>
    <row r="3081" spans="1:13">
      <c r="A3081" s="2">
        <v>2426</v>
      </c>
      <c r="B3081" s="2" t="s">
        <v>15561</v>
      </c>
      <c r="C3081" s="2">
        <v>15</v>
      </c>
      <c r="D3081" s="2">
        <v>556</v>
      </c>
      <c r="E3081" s="2">
        <v>167</v>
      </c>
      <c r="F3081" s="2">
        <v>32441</v>
      </c>
      <c r="G3081" s="2">
        <v>5.2407594880000001</v>
      </c>
      <c r="H3081" s="3">
        <v>5.3000000000000001E-7</v>
      </c>
      <c r="I3081" s="2" t="s">
        <v>15562</v>
      </c>
      <c r="J3081" s="2" t="s">
        <v>15563</v>
      </c>
      <c r="K3081" s="3">
        <v>2.7700000000000002E-6</v>
      </c>
      <c r="L3081" s="2" t="s">
        <v>1178</v>
      </c>
      <c r="M3081" s="4" t="s">
        <v>15564</v>
      </c>
    </row>
    <row r="3082" spans="1:13">
      <c r="A3082" s="2">
        <v>40761</v>
      </c>
      <c r="B3082" s="2" t="s">
        <v>15565</v>
      </c>
      <c r="C3082" s="2">
        <v>15</v>
      </c>
      <c r="D3082" s="2">
        <v>556</v>
      </c>
      <c r="E3082" s="2">
        <v>167</v>
      </c>
      <c r="F3082" s="2">
        <v>32441</v>
      </c>
      <c r="G3082" s="2">
        <v>5.2407594880000001</v>
      </c>
      <c r="H3082" s="3">
        <v>5.3000000000000001E-7</v>
      </c>
      <c r="I3082" s="2" t="s">
        <v>15566</v>
      </c>
      <c r="J3082" s="2" t="s">
        <v>15567</v>
      </c>
      <c r="K3082" s="3">
        <v>2.7700000000000002E-6</v>
      </c>
      <c r="L3082" s="2" t="s">
        <v>1178</v>
      </c>
      <c r="M3082" s="4" t="s">
        <v>15568</v>
      </c>
    </row>
    <row r="3083" spans="1:13">
      <c r="A3083" s="2">
        <v>40861</v>
      </c>
      <c r="B3083" s="2" t="s">
        <v>15569</v>
      </c>
      <c r="C3083" s="2">
        <v>14</v>
      </c>
      <c r="D3083" s="2">
        <v>556</v>
      </c>
      <c r="E3083" s="2">
        <v>147</v>
      </c>
      <c r="F3083" s="2">
        <v>32441</v>
      </c>
      <c r="G3083" s="2">
        <v>5.5568687910000003</v>
      </c>
      <c r="H3083" s="3">
        <v>6.6300000000000005E-7</v>
      </c>
      <c r="I3083" s="2" t="s">
        <v>15570</v>
      </c>
      <c r="J3083" s="2" t="s">
        <v>15571</v>
      </c>
      <c r="K3083" s="3">
        <v>3.4599999999999999E-6</v>
      </c>
      <c r="L3083" s="2" t="s">
        <v>1178</v>
      </c>
      <c r="M3083" s="4" t="s">
        <v>15572</v>
      </c>
    </row>
    <row r="3084" spans="1:13">
      <c r="A3084" s="2">
        <v>4327</v>
      </c>
      <c r="B3084" s="2" t="s">
        <v>15573</v>
      </c>
      <c r="C3084" s="2">
        <v>16</v>
      </c>
      <c r="D3084" s="2">
        <v>556</v>
      </c>
      <c r="E3084" s="2">
        <v>195</v>
      </c>
      <c r="F3084" s="2">
        <v>32441</v>
      </c>
      <c r="G3084" s="2">
        <v>4.7874561890000003</v>
      </c>
      <c r="H3084" s="3">
        <v>6.8599999999999998E-7</v>
      </c>
      <c r="I3084" s="2" t="s">
        <v>15574</v>
      </c>
      <c r="J3084" s="2" t="s">
        <v>15575</v>
      </c>
      <c r="K3084" s="3">
        <v>3.58E-6</v>
      </c>
      <c r="L3084" s="2" t="s">
        <v>1178</v>
      </c>
      <c r="M3084" s="4" t="s">
        <v>15576</v>
      </c>
    </row>
    <row r="3085" spans="1:13">
      <c r="A3085" s="2">
        <v>27871</v>
      </c>
      <c r="B3085" s="2" t="s">
        <v>15577</v>
      </c>
      <c r="C3085" s="2">
        <v>15</v>
      </c>
      <c r="D3085" s="2">
        <v>556</v>
      </c>
      <c r="E3085" s="2">
        <v>171</v>
      </c>
      <c r="F3085" s="2">
        <v>32441</v>
      </c>
      <c r="G3085" s="2">
        <v>5.1181686229999999</v>
      </c>
      <c r="H3085" s="3">
        <v>6.9999999999999997E-7</v>
      </c>
      <c r="I3085" s="2" t="s">
        <v>15578</v>
      </c>
      <c r="J3085" s="2" t="s">
        <v>15579</v>
      </c>
      <c r="K3085" s="3">
        <v>3.6399999999999999E-6</v>
      </c>
      <c r="L3085" s="2" t="s">
        <v>1178</v>
      </c>
      <c r="M3085" s="4" t="s">
        <v>15580</v>
      </c>
    </row>
    <row r="3086" spans="1:13">
      <c r="A3086" s="2">
        <v>39331</v>
      </c>
      <c r="B3086" s="2" t="s">
        <v>15581</v>
      </c>
      <c r="C3086" s="2">
        <v>15</v>
      </c>
      <c r="D3086" s="2">
        <v>556</v>
      </c>
      <c r="E3086" s="2">
        <v>171</v>
      </c>
      <c r="F3086" s="2">
        <v>32441</v>
      </c>
      <c r="G3086" s="2">
        <v>5.1181686229999999</v>
      </c>
      <c r="H3086" s="3">
        <v>6.9999999999999997E-7</v>
      </c>
      <c r="I3086" s="2" t="s">
        <v>15582</v>
      </c>
      <c r="J3086" s="2" t="s">
        <v>15583</v>
      </c>
      <c r="K3086" s="3">
        <v>3.6399999999999999E-6</v>
      </c>
      <c r="L3086" s="2" t="s">
        <v>1178</v>
      </c>
      <c r="M3086" s="4" t="s">
        <v>15584</v>
      </c>
    </row>
    <row r="3087" spans="1:13">
      <c r="A3087" s="2">
        <v>2543</v>
      </c>
      <c r="B3087" s="2" t="s">
        <v>15585</v>
      </c>
      <c r="C3087" s="2">
        <v>15</v>
      </c>
      <c r="D3087" s="2">
        <v>556</v>
      </c>
      <c r="E3087" s="2">
        <v>172</v>
      </c>
      <c r="F3087" s="2">
        <v>32441</v>
      </c>
      <c r="G3087" s="2">
        <v>5.088411829</v>
      </c>
      <c r="H3087" s="3">
        <v>7.4900000000000005E-7</v>
      </c>
      <c r="I3087" s="2" t="s">
        <v>15586</v>
      </c>
      <c r="J3087" s="2" t="s">
        <v>15587</v>
      </c>
      <c r="K3087" s="3">
        <v>3.8999999999999999E-6</v>
      </c>
      <c r="L3087" s="2" t="s">
        <v>1178</v>
      </c>
      <c r="M3087" s="4" t="s">
        <v>15588</v>
      </c>
    </row>
    <row r="3088" spans="1:13">
      <c r="A3088" s="2">
        <v>2056</v>
      </c>
      <c r="B3088" s="2" t="s">
        <v>15589</v>
      </c>
      <c r="C3088" s="2">
        <v>16</v>
      </c>
      <c r="D3088" s="2">
        <v>556</v>
      </c>
      <c r="E3088" s="2">
        <v>197</v>
      </c>
      <c r="F3088" s="2">
        <v>32441</v>
      </c>
      <c r="G3088" s="2">
        <v>4.738852573</v>
      </c>
      <c r="H3088" s="3">
        <v>7.7800000000000001E-7</v>
      </c>
      <c r="I3088" s="2" t="s">
        <v>15590</v>
      </c>
      <c r="J3088" s="2" t="s">
        <v>15591</v>
      </c>
      <c r="K3088" s="3">
        <v>4.0300000000000004E-6</v>
      </c>
      <c r="L3088" s="2" t="s">
        <v>1178</v>
      </c>
      <c r="M3088" s="4" t="s">
        <v>15592</v>
      </c>
    </row>
    <row r="3089" spans="1:13">
      <c r="A3089" s="2">
        <v>38962</v>
      </c>
      <c r="B3089" s="2" t="s">
        <v>15593</v>
      </c>
      <c r="C3089" s="2">
        <v>16</v>
      </c>
      <c r="D3089" s="2">
        <v>556</v>
      </c>
      <c r="E3089" s="2">
        <v>197</v>
      </c>
      <c r="F3089" s="2">
        <v>32441</v>
      </c>
      <c r="G3089" s="2">
        <v>4.738852573</v>
      </c>
      <c r="H3089" s="3">
        <v>7.7800000000000001E-7</v>
      </c>
      <c r="I3089" s="2" t="s">
        <v>15594</v>
      </c>
      <c r="J3089" s="2" t="s">
        <v>15595</v>
      </c>
      <c r="K3089" s="3">
        <v>4.0300000000000004E-6</v>
      </c>
      <c r="L3089" s="2" t="s">
        <v>1178</v>
      </c>
      <c r="M3089" s="4" t="s">
        <v>15596</v>
      </c>
    </row>
    <row r="3090" spans="1:13">
      <c r="A3090" s="2">
        <v>2173</v>
      </c>
      <c r="B3090" s="2" t="s">
        <v>1356</v>
      </c>
      <c r="C3090" s="2">
        <v>15</v>
      </c>
      <c r="D3090" s="2">
        <v>556</v>
      </c>
      <c r="E3090" s="2">
        <v>173</v>
      </c>
      <c r="F3090" s="2">
        <v>32441</v>
      </c>
      <c r="G3090" s="2">
        <v>5.0589990440000001</v>
      </c>
      <c r="H3090" s="3">
        <v>8.0200000000000001E-7</v>
      </c>
      <c r="I3090" s="2" t="s">
        <v>15597</v>
      </c>
      <c r="J3090" s="2" t="s">
        <v>15598</v>
      </c>
      <c r="K3090" s="3">
        <v>4.1500000000000001E-6</v>
      </c>
      <c r="L3090" s="2" t="s">
        <v>1178</v>
      </c>
      <c r="M3090" s="4" t="s">
        <v>15599</v>
      </c>
    </row>
    <row r="3091" spans="1:13">
      <c r="A3091" s="2">
        <v>42571</v>
      </c>
      <c r="B3091" s="2" t="s">
        <v>15600</v>
      </c>
      <c r="C3091" s="2">
        <v>15</v>
      </c>
      <c r="D3091" s="2">
        <v>556</v>
      </c>
      <c r="E3091" s="2">
        <v>173</v>
      </c>
      <c r="F3091" s="2">
        <v>32441</v>
      </c>
      <c r="G3091" s="2">
        <v>5.0589990440000001</v>
      </c>
      <c r="H3091" s="3">
        <v>8.0200000000000001E-7</v>
      </c>
      <c r="I3091" s="2" t="s">
        <v>15601</v>
      </c>
      <c r="J3091" s="2" t="s">
        <v>15602</v>
      </c>
      <c r="K3091" s="3">
        <v>4.1500000000000001E-6</v>
      </c>
      <c r="L3091" s="2" t="s">
        <v>1178</v>
      </c>
      <c r="M3091" s="4" t="s">
        <v>15603</v>
      </c>
    </row>
    <row r="3092" spans="1:13">
      <c r="A3092" s="2">
        <v>1814</v>
      </c>
      <c r="B3092" s="2" t="s">
        <v>1458</v>
      </c>
      <c r="C3092" s="2">
        <v>16</v>
      </c>
      <c r="D3092" s="2">
        <v>556</v>
      </c>
      <c r="E3092" s="2">
        <v>200</v>
      </c>
      <c r="F3092" s="2">
        <v>32441</v>
      </c>
      <c r="G3092" s="2">
        <v>4.6677697839999999</v>
      </c>
      <c r="H3092" s="3">
        <v>9.3600000000000002E-7</v>
      </c>
      <c r="I3092" s="2" t="s">
        <v>15604</v>
      </c>
      <c r="J3092" s="2" t="s">
        <v>15605</v>
      </c>
      <c r="K3092" s="3">
        <v>4.16E-6</v>
      </c>
      <c r="L3092" s="2" t="s">
        <v>1178</v>
      </c>
      <c r="M3092" s="4" t="s">
        <v>15606</v>
      </c>
    </row>
    <row r="3093" spans="1:13">
      <c r="A3093" s="2">
        <v>22</v>
      </c>
      <c r="B3093" s="2" t="s">
        <v>2004</v>
      </c>
      <c r="C3093" s="2">
        <v>16</v>
      </c>
      <c r="D3093" s="2">
        <v>556</v>
      </c>
      <c r="E3093" s="2">
        <v>200</v>
      </c>
      <c r="F3093" s="2">
        <v>32441</v>
      </c>
      <c r="G3093" s="2">
        <v>4.6677697839999999</v>
      </c>
      <c r="H3093" s="3">
        <v>9.3600000000000002E-7</v>
      </c>
      <c r="I3093" s="2" t="s">
        <v>15607</v>
      </c>
      <c r="J3093" s="2" t="s">
        <v>15608</v>
      </c>
      <c r="K3093" s="3">
        <v>4.16E-6</v>
      </c>
      <c r="L3093" s="2" t="s">
        <v>1178</v>
      </c>
      <c r="M3093" s="4" t="s">
        <v>15609</v>
      </c>
    </row>
    <row r="3094" spans="1:13">
      <c r="A3094" s="2">
        <v>322</v>
      </c>
      <c r="B3094" s="2" t="s">
        <v>15610</v>
      </c>
      <c r="C3094" s="2">
        <v>16</v>
      </c>
      <c r="D3094" s="2">
        <v>556</v>
      </c>
      <c r="E3094" s="2">
        <v>200</v>
      </c>
      <c r="F3094" s="2">
        <v>32441</v>
      </c>
      <c r="G3094" s="2">
        <v>4.6677697839999999</v>
      </c>
      <c r="H3094" s="3">
        <v>9.3600000000000002E-7</v>
      </c>
      <c r="I3094" s="2" t="s">
        <v>15611</v>
      </c>
      <c r="J3094" s="2" t="s">
        <v>15612</v>
      </c>
      <c r="K3094" s="3">
        <v>4.16E-6</v>
      </c>
      <c r="L3094" s="2" t="s">
        <v>1178</v>
      </c>
      <c r="M3094" s="4" t="s">
        <v>15613</v>
      </c>
    </row>
    <row r="3095" spans="1:13">
      <c r="A3095" s="2">
        <v>69</v>
      </c>
      <c r="B3095" s="2" t="s">
        <v>15614</v>
      </c>
      <c r="C3095" s="2">
        <v>16</v>
      </c>
      <c r="D3095" s="2">
        <v>556</v>
      </c>
      <c r="E3095" s="2">
        <v>200</v>
      </c>
      <c r="F3095" s="2">
        <v>32441</v>
      </c>
      <c r="G3095" s="2">
        <v>4.6677697839999999</v>
      </c>
      <c r="H3095" s="3">
        <v>9.3600000000000002E-7</v>
      </c>
      <c r="I3095" s="2" t="s">
        <v>15615</v>
      </c>
      <c r="J3095" s="2" t="s">
        <v>15616</v>
      </c>
      <c r="K3095" s="3">
        <v>4.16E-6</v>
      </c>
      <c r="L3095" s="2" t="s">
        <v>1178</v>
      </c>
      <c r="M3095" s="4" t="s">
        <v>15617</v>
      </c>
    </row>
    <row r="3096" spans="1:13">
      <c r="A3096" s="2">
        <v>75</v>
      </c>
      <c r="B3096" s="2" t="s">
        <v>1407</v>
      </c>
      <c r="C3096" s="2">
        <v>16</v>
      </c>
      <c r="D3096" s="2">
        <v>556</v>
      </c>
      <c r="E3096" s="2">
        <v>200</v>
      </c>
      <c r="F3096" s="2">
        <v>32441</v>
      </c>
      <c r="G3096" s="2">
        <v>4.6677697839999999</v>
      </c>
      <c r="H3096" s="3">
        <v>9.3600000000000002E-7</v>
      </c>
      <c r="I3096" s="2" t="s">
        <v>15618</v>
      </c>
      <c r="J3096" s="2" t="s">
        <v>15619</v>
      </c>
      <c r="K3096" s="3">
        <v>4.16E-6</v>
      </c>
      <c r="L3096" s="2" t="s">
        <v>1178</v>
      </c>
      <c r="M3096" s="4" t="s">
        <v>15620</v>
      </c>
    </row>
    <row r="3097" spans="1:13">
      <c r="A3097" s="2">
        <v>912</v>
      </c>
      <c r="B3097" s="2" t="s">
        <v>15621</v>
      </c>
      <c r="C3097" s="2">
        <v>16</v>
      </c>
      <c r="D3097" s="2">
        <v>556</v>
      </c>
      <c r="E3097" s="2">
        <v>200</v>
      </c>
      <c r="F3097" s="2">
        <v>32441</v>
      </c>
      <c r="G3097" s="2">
        <v>4.6677697839999999</v>
      </c>
      <c r="H3097" s="3">
        <v>9.3600000000000002E-7</v>
      </c>
      <c r="I3097" s="2" t="s">
        <v>15622</v>
      </c>
      <c r="J3097" s="2" t="s">
        <v>15623</v>
      </c>
      <c r="K3097" s="3">
        <v>4.16E-6</v>
      </c>
      <c r="L3097" s="2" t="s">
        <v>1178</v>
      </c>
      <c r="M3097" s="4" t="s">
        <v>15624</v>
      </c>
    </row>
    <row r="3098" spans="1:13">
      <c r="A3098" s="2">
        <v>164</v>
      </c>
      <c r="B3098" s="2" t="s">
        <v>15625</v>
      </c>
      <c r="C3098" s="2">
        <v>16</v>
      </c>
      <c r="D3098" s="2">
        <v>556</v>
      </c>
      <c r="E3098" s="2">
        <v>200</v>
      </c>
      <c r="F3098" s="2">
        <v>32441</v>
      </c>
      <c r="G3098" s="2">
        <v>4.6677697839999999</v>
      </c>
      <c r="H3098" s="3">
        <v>9.3600000000000002E-7</v>
      </c>
      <c r="I3098" s="2" t="s">
        <v>15626</v>
      </c>
      <c r="J3098" s="2" t="s">
        <v>15627</v>
      </c>
      <c r="K3098" s="3">
        <v>4.16E-6</v>
      </c>
      <c r="L3098" s="2" t="s">
        <v>1178</v>
      </c>
      <c r="M3098" s="4" t="s">
        <v>15628</v>
      </c>
    </row>
    <row r="3099" spans="1:13">
      <c r="A3099" s="2">
        <v>1732</v>
      </c>
      <c r="B3099" s="2" t="s">
        <v>15629</v>
      </c>
      <c r="C3099" s="2">
        <v>16</v>
      </c>
      <c r="D3099" s="2">
        <v>556</v>
      </c>
      <c r="E3099" s="2">
        <v>200</v>
      </c>
      <c r="F3099" s="2">
        <v>32441</v>
      </c>
      <c r="G3099" s="2">
        <v>4.6677697839999999</v>
      </c>
      <c r="H3099" s="3">
        <v>9.3600000000000002E-7</v>
      </c>
      <c r="I3099" s="2" t="s">
        <v>15630</v>
      </c>
      <c r="J3099" s="2" t="s">
        <v>15631</v>
      </c>
      <c r="K3099" s="3">
        <v>4.16E-6</v>
      </c>
      <c r="L3099" s="2" t="s">
        <v>1178</v>
      </c>
      <c r="M3099" s="4" t="s">
        <v>15632</v>
      </c>
    </row>
    <row r="3100" spans="1:13">
      <c r="A3100" s="2">
        <v>236</v>
      </c>
      <c r="B3100" s="2" t="s">
        <v>15633</v>
      </c>
      <c r="C3100" s="2">
        <v>16</v>
      </c>
      <c r="D3100" s="2">
        <v>556</v>
      </c>
      <c r="E3100" s="2">
        <v>200</v>
      </c>
      <c r="F3100" s="2">
        <v>32441</v>
      </c>
      <c r="G3100" s="2">
        <v>4.6677697839999999</v>
      </c>
      <c r="H3100" s="3">
        <v>9.3600000000000002E-7</v>
      </c>
      <c r="I3100" s="2" t="s">
        <v>15634</v>
      </c>
      <c r="J3100" s="2" t="s">
        <v>15635</v>
      </c>
      <c r="K3100" s="3">
        <v>4.16E-6</v>
      </c>
      <c r="L3100" s="2" t="s">
        <v>1178</v>
      </c>
      <c r="M3100" s="4" t="s">
        <v>15636</v>
      </c>
    </row>
    <row r="3101" spans="1:13">
      <c r="A3101" s="2">
        <v>272</v>
      </c>
      <c r="B3101" s="2" t="s">
        <v>3333</v>
      </c>
      <c r="C3101" s="2">
        <v>16</v>
      </c>
      <c r="D3101" s="2">
        <v>556</v>
      </c>
      <c r="E3101" s="2">
        <v>200</v>
      </c>
      <c r="F3101" s="2">
        <v>32441</v>
      </c>
      <c r="G3101" s="2">
        <v>4.6677697839999999</v>
      </c>
      <c r="H3101" s="3">
        <v>9.3600000000000002E-7</v>
      </c>
      <c r="I3101" s="2" t="s">
        <v>15637</v>
      </c>
      <c r="J3101" s="2" t="s">
        <v>15638</v>
      </c>
      <c r="K3101" s="3">
        <v>4.16E-6</v>
      </c>
      <c r="L3101" s="2" t="s">
        <v>1178</v>
      </c>
      <c r="M3101" s="4" t="s">
        <v>3336</v>
      </c>
    </row>
    <row r="3102" spans="1:13">
      <c r="A3102" s="2">
        <v>290</v>
      </c>
      <c r="B3102" s="2" t="s">
        <v>15639</v>
      </c>
      <c r="C3102" s="2">
        <v>16</v>
      </c>
      <c r="D3102" s="2">
        <v>556</v>
      </c>
      <c r="E3102" s="2">
        <v>200</v>
      </c>
      <c r="F3102" s="2">
        <v>32441</v>
      </c>
      <c r="G3102" s="2">
        <v>4.6677697839999999</v>
      </c>
      <c r="H3102" s="3">
        <v>9.3600000000000002E-7</v>
      </c>
      <c r="I3102" s="2" t="s">
        <v>15640</v>
      </c>
      <c r="J3102" s="2" t="s">
        <v>15641</v>
      </c>
      <c r="K3102" s="3">
        <v>4.16E-6</v>
      </c>
      <c r="L3102" s="2" t="s">
        <v>1178</v>
      </c>
      <c r="M3102" s="4" t="s">
        <v>15642</v>
      </c>
    </row>
    <row r="3103" spans="1:13">
      <c r="A3103" s="2">
        <v>2913</v>
      </c>
      <c r="B3103" s="2" t="s">
        <v>15643</v>
      </c>
      <c r="C3103" s="2">
        <v>16</v>
      </c>
      <c r="D3103" s="2">
        <v>556</v>
      </c>
      <c r="E3103" s="2">
        <v>200</v>
      </c>
      <c r="F3103" s="2">
        <v>32441</v>
      </c>
      <c r="G3103" s="2">
        <v>4.6677697839999999</v>
      </c>
      <c r="H3103" s="3">
        <v>9.3600000000000002E-7</v>
      </c>
      <c r="I3103" s="2" t="s">
        <v>15644</v>
      </c>
      <c r="J3103" s="2" t="s">
        <v>15645</v>
      </c>
      <c r="K3103" s="3">
        <v>4.16E-6</v>
      </c>
      <c r="L3103" s="2" t="s">
        <v>1178</v>
      </c>
      <c r="M3103" s="4" t="s">
        <v>15646</v>
      </c>
    </row>
    <row r="3104" spans="1:13">
      <c r="A3104" s="2">
        <v>2982</v>
      </c>
      <c r="B3104" s="2" t="s">
        <v>15647</v>
      </c>
      <c r="C3104" s="2">
        <v>16</v>
      </c>
      <c r="D3104" s="2">
        <v>556</v>
      </c>
      <c r="E3104" s="2">
        <v>200</v>
      </c>
      <c r="F3104" s="2">
        <v>32441</v>
      </c>
      <c r="G3104" s="2">
        <v>4.6677697839999999</v>
      </c>
      <c r="H3104" s="3">
        <v>9.3600000000000002E-7</v>
      </c>
      <c r="I3104" s="2" t="s">
        <v>15648</v>
      </c>
      <c r="J3104" s="2" t="s">
        <v>15649</v>
      </c>
      <c r="K3104" s="3">
        <v>4.16E-6</v>
      </c>
      <c r="L3104" s="2" t="s">
        <v>1178</v>
      </c>
      <c r="M3104" s="4" t="s">
        <v>15650</v>
      </c>
    </row>
    <row r="3105" spans="1:13">
      <c r="A3105" s="2">
        <v>300</v>
      </c>
      <c r="B3105" s="2" t="s">
        <v>15651</v>
      </c>
      <c r="C3105" s="2">
        <v>16</v>
      </c>
      <c r="D3105" s="2">
        <v>556</v>
      </c>
      <c r="E3105" s="2">
        <v>200</v>
      </c>
      <c r="F3105" s="2">
        <v>32441</v>
      </c>
      <c r="G3105" s="2">
        <v>4.6677697839999999</v>
      </c>
      <c r="H3105" s="3">
        <v>9.3600000000000002E-7</v>
      </c>
      <c r="I3105" s="2" t="s">
        <v>15652</v>
      </c>
      <c r="J3105" s="2" t="s">
        <v>15653</v>
      </c>
      <c r="K3105" s="3">
        <v>4.16E-6</v>
      </c>
      <c r="L3105" s="2" t="s">
        <v>1178</v>
      </c>
      <c r="M3105" s="4" t="s">
        <v>15654</v>
      </c>
    </row>
    <row r="3106" spans="1:13">
      <c r="A3106" s="2">
        <v>3062</v>
      </c>
      <c r="B3106" s="2" t="s">
        <v>15655</v>
      </c>
      <c r="C3106" s="2">
        <v>16</v>
      </c>
      <c r="D3106" s="2">
        <v>556</v>
      </c>
      <c r="E3106" s="2">
        <v>200</v>
      </c>
      <c r="F3106" s="2">
        <v>32441</v>
      </c>
      <c r="G3106" s="2">
        <v>4.6677697839999999</v>
      </c>
      <c r="H3106" s="3">
        <v>9.3600000000000002E-7</v>
      </c>
      <c r="I3106" s="2" t="s">
        <v>15656</v>
      </c>
      <c r="J3106" s="2" t="s">
        <v>15657</v>
      </c>
      <c r="K3106" s="3">
        <v>4.16E-6</v>
      </c>
      <c r="L3106" s="2" t="s">
        <v>1178</v>
      </c>
      <c r="M3106" s="4" t="s">
        <v>15658</v>
      </c>
    </row>
    <row r="3107" spans="1:13">
      <c r="A3107" s="2">
        <v>417</v>
      </c>
      <c r="B3107" s="2" t="s">
        <v>2340</v>
      </c>
      <c r="C3107" s="2">
        <v>16</v>
      </c>
      <c r="D3107" s="2">
        <v>556</v>
      </c>
      <c r="E3107" s="2">
        <v>200</v>
      </c>
      <c r="F3107" s="2">
        <v>32441</v>
      </c>
      <c r="G3107" s="2">
        <v>4.6677697839999999</v>
      </c>
      <c r="H3107" s="3">
        <v>9.3600000000000002E-7</v>
      </c>
      <c r="I3107" s="2" t="s">
        <v>15659</v>
      </c>
      <c r="J3107" s="2" t="s">
        <v>15660</v>
      </c>
      <c r="K3107" s="3">
        <v>4.16E-6</v>
      </c>
      <c r="L3107" s="2" t="s">
        <v>1178</v>
      </c>
      <c r="M3107" s="4" t="s">
        <v>15661</v>
      </c>
    </row>
    <row r="3108" spans="1:13">
      <c r="A3108" s="2">
        <v>4185</v>
      </c>
      <c r="B3108" s="2" t="s">
        <v>15662</v>
      </c>
      <c r="C3108" s="2">
        <v>16</v>
      </c>
      <c r="D3108" s="2">
        <v>556</v>
      </c>
      <c r="E3108" s="2">
        <v>200</v>
      </c>
      <c r="F3108" s="2">
        <v>32441</v>
      </c>
      <c r="G3108" s="2">
        <v>4.6677697839999999</v>
      </c>
      <c r="H3108" s="3">
        <v>9.3600000000000002E-7</v>
      </c>
      <c r="I3108" s="2" t="s">
        <v>15663</v>
      </c>
      <c r="J3108" s="2" t="s">
        <v>15664</v>
      </c>
      <c r="K3108" s="3">
        <v>4.16E-6</v>
      </c>
      <c r="L3108" s="2" t="s">
        <v>1178</v>
      </c>
      <c r="M3108" s="4" t="s">
        <v>15665</v>
      </c>
    </row>
    <row r="3109" spans="1:13">
      <c r="A3109" s="2">
        <v>440</v>
      </c>
      <c r="B3109" s="2" t="s">
        <v>15666</v>
      </c>
      <c r="C3109" s="2">
        <v>16</v>
      </c>
      <c r="D3109" s="2">
        <v>556</v>
      </c>
      <c r="E3109" s="2">
        <v>200</v>
      </c>
      <c r="F3109" s="2">
        <v>32441</v>
      </c>
      <c r="G3109" s="2">
        <v>4.6677697839999999</v>
      </c>
      <c r="H3109" s="3">
        <v>9.3600000000000002E-7</v>
      </c>
      <c r="I3109" s="2" t="s">
        <v>15667</v>
      </c>
      <c r="J3109" s="2" t="s">
        <v>15668</v>
      </c>
      <c r="K3109" s="3">
        <v>4.16E-6</v>
      </c>
      <c r="L3109" s="2" t="s">
        <v>1178</v>
      </c>
      <c r="M3109" s="4" t="s">
        <v>15669</v>
      </c>
    </row>
    <row r="3110" spans="1:13">
      <c r="A3110" s="2">
        <v>522</v>
      </c>
      <c r="B3110" s="2" t="s">
        <v>15670</v>
      </c>
      <c r="C3110" s="2">
        <v>16</v>
      </c>
      <c r="D3110" s="2">
        <v>556</v>
      </c>
      <c r="E3110" s="2">
        <v>200</v>
      </c>
      <c r="F3110" s="2">
        <v>32441</v>
      </c>
      <c r="G3110" s="2">
        <v>4.6677697839999999</v>
      </c>
      <c r="H3110" s="3">
        <v>9.3600000000000002E-7</v>
      </c>
      <c r="I3110" s="2" t="s">
        <v>15671</v>
      </c>
      <c r="J3110" s="2" t="s">
        <v>15672</v>
      </c>
      <c r="K3110" s="3">
        <v>4.16E-6</v>
      </c>
      <c r="L3110" s="2" t="s">
        <v>1178</v>
      </c>
      <c r="M3110" s="4" t="s">
        <v>15673</v>
      </c>
    </row>
    <row r="3111" spans="1:13">
      <c r="A3111" s="2">
        <v>6271</v>
      </c>
      <c r="B3111" s="2" t="s">
        <v>15674</v>
      </c>
      <c r="C3111" s="2">
        <v>16</v>
      </c>
      <c r="D3111" s="2">
        <v>556</v>
      </c>
      <c r="E3111" s="2">
        <v>200</v>
      </c>
      <c r="F3111" s="2">
        <v>32441</v>
      </c>
      <c r="G3111" s="2">
        <v>4.6677697839999999</v>
      </c>
      <c r="H3111" s="3">
        <v>9.3600000000000002E-7</v>
      </c>
      <c r="I3111" s="2" t="s">
        <v>15675</v>
      </c>
      <c r="J3111" s="2" t="s">
        <v>15676</v>
      </c>
      <c r="K3111" s="3">
        <v>4.16E-6</v>
      </c>
      <c r="L3111" s="2" t="s">
        <v>1178</v>
      </c>
      <c r="M3111" s="4" t="s">
        <v>15677</v>
      </c>
    </row>
    <row r="3112" spans="1:13">
      <c r="A3112" s="2">
        <v>637</v>
      </c>
      <c r="B3112" s="2" t="s">
        <v>15678</v>
      </c>
      <c r="C3112" s="2">
        <v>16</v>
      </c>
      <c r="D3112" s="2">
        <v>556</v>
      </c>
      <c r="E3112" s="2">
        <v>200</v>
      </c>
      <c r="F3112" s="2">
        <v>32441</v>
      </c>
      <c r="G3112" s="2">
        <v>4.6677697839999999</v>
      </c>
      <c r="H3112" s="3">
        <v>9.3600000000000002E-7</v>
      </c>
      <c r="I3112" s="2" t="s">
        <v>15679</v>
      </c>
      <c r="J3112" s="2" t="s">
        <v>15680</v>
      </c>
      <c r="K3112" s="3">
        <v>4.16E-6</v>
      </c>
      <c r="L3112" s="2" t="s">
        <v>1178</v>
      </c>
      <c r="M3112" s="4" t="s">
        <v>15681</v>
      </c>
    </row>
    <row r="3113" spans="1:13">
      <c r="A3113" s="2">
        <v>648</v>
      </c>
      <c r="B3113" s="2" t="s">
        <v>15682</v>
      </c>
      <c r="C3113" s="2">
        <v>16</v>
      </c>
      <c r="D3113" s="2">
        <v>556</v>
      </c>
      <c r="E3113" s="2">
        <v>200</v>
      </c>
      <c r="F3113" s="2">
        <v>32441</v>
      </c>
      <c r="G3113" s="2">
        <v>4.6677697839999999</v>
      </c>
      <c r="H3113" s="3">
        <v>9.3600000000000002E-7</v>
      </c>
      <c r="I3113" s="2" t="s">
        <v>15683</v>
      </c>
      <c r="J3113" s="2" t="s">
        <v>15684</v>
      </c>
      <c r="K3113" s="3">
        <v>4.16E-6</v>
      </c>
      <c r="L3113" s="2" t="s">
        <v>1178</v>
      </c>
      <c r="M3113" s="4" t="s">
        <v>15685</v>
      </c>
    </row>
    <row r="3114" spans="1:13">
      <c r="A3114" s="2">
        <v>693</v>
      </c>
      <c r="B3114" s="2" t="s">
        <v>15686</v>
      </c>
      <c r="C3114" s="2">
        <v>16</v>
      </c>
      <c r="D3114" s="2">
        <v>556</v>
      </c>
      <c r="E3114" s="2">
        <v>200</v>
      </c>
      <c r="F3114" s="2">
        <v>32441</v>
      </c>
      <c r="G3114" s="2">
        <v>4.6677697839999999</v>
      </c>
      <c r="H3114" s="3">
        <v>9.3600000000000002E-7</v>
      </c>
      <c r="I3114" s="2" t="s">
        <v>15687</v>
      </c>
      <c r="J3114" s="2" t="s">
        <v>15688</v>
      </c>
      <c r="K3114" s="3">
        <v>4.16E-6</v>
      </c>
      <c r="L3114" s="2" t="s">
        <v>1178</v>
      </c>
      <c r="M3114" s="4" t="s">
        <v>15689</v>
      </c>
    </row>
    <row r="3115" spans="1:13">
      <c r="A3115" s="2">
        <v>731</v>
      </c>
      <c r="B3115" s="2" t="s">
        <v>15690</v>
      </c>
      <c r="C3115" s="2">
        <v>16</v>
      </c>
      <c r="D3115" s="2">
        <v>556</v>
      </c>
      <c r="E3115" s="2">
        <v>200</v>
      </c>
      <c r="F3115" s="2">
        <v>32441</v>
      </c>
      <c r="G3115" s="2">
        <v>4.6677697839999999</v>
      </c>
      <c r="H3115" s="3">
        <v>9.3600000000000002E-7</v>
      </c>
      <c r="I3115" s="2" t="s">
        <v>15691</v>
      </c>
      <c r="J3115" s="2" t="s">
        <v>15692</v>
      </c>
      <c r="K3115" s="3">
        <v>4.16E-6</v>
      </c>
      <c r="L3115" s="2" t="s">
        <v>1178</v>
      </c>
      <c r="M3115" s="4" t="s">
        <v>15693</v>
      </c>
    </row>
    <row r="3116" spans="1:13">
      <c r="A3116" s="2">
        <v>7873</v>
      </c>
      <c r="B3116" s="2" t="s">
        <v>15694</v>
      </c>
      <c r="C3116" s="2">
        <v>16</v>
      </c>
      <c r="D3116" s="2">
        <v>556</v>
      </c>
      <c r="E3116" s="2">
        <v>200</v>
      </c>
      <c r="F3116" s="2">
        <v>32441</v>
      </c>
      <c r="G3116" s="2">
        <v>4.6677697839999999</v>
      </c>
      <c r="H3116" s="3">
        <v>9.3600000000000002E-7</v>
      </c>
      <c r="I3116" s="2" t="s">
        <v>15695</v>
      </c>
      <c r="J3116" s="2" t="s">
        <v>15696</v>
      </c>
      <c r="K3116" s="3">
        <v>4.16E-6</v>
      </c>
      <c r="L3116" s="2" t="s">
        <v>1178</v>
      </c>
      <c r="M3116" s="4" t="s">
        <v>15697</v>
      </c>
    </row>
    <row r="3117" spans="1:13">
      <c r="A3117" s="2">
        <v>7991</v>
      </c>
      <c r="B3117" s="2" t="s">
        <v>15698</v>
      </c>
      <c r="C3117" s="2">
        <v>16</v>
      </c>
      <c r="D3117" s="2">
        <v>556</v>
      </c>
      <c r="E3117" s="2">
        <v>200</v>
      </c>
      <c r="F3117" s="2">
        <v>32441</v>
      </c>
      <c r="G3117" s="2">
        <v>4.6677697839999999</v>
      </c>
      <c r="H3117" s="3">
        <v>9.3600000000000002E-7</v>
      </c>
      <c r="I3117" s="2" t="s">
        <v>15699</v>
      </c>
      <c r="J3117" s="2" t="s">
        <v>15700</v>
      </c>
      <c r="K3117" s="3">
        <v>4.16E-6</v>
      </c>
      <c r="L3117" s="2" t="s">
        <v>1178</v>
      </c>
      <c r="M3117" s="4" t="s">
        <v>15701</v>
      </c>
    </row>
    <row r="3118" spans="1:13">
      <c r="A3118" s="2">
        <v>860</v>
      </c>
      <c r="B3118" s="2" t="s">
        <v>15702</v>
      </c>
      <c r="C3118" s="2">
        <v>16</v>
      </c>
      <c r="D3118" s="2">
        <v>556</v>
      </c>
      <c r="E3118" s="2">
        <v>200</v>
      </c>
      <c r="F3118" s="2">
        <v>32441</v>
      </c>
      <c r="G3118" s="2">
        <v>4.6677697839999999</v>
      </c>
      <c r="H3118" s="3">
        <v>9.3600000000000002E-7</v>
      </c>
      <c r="I3118" s="2" t="s">
        <v>15703</v>
      </c>
      <c r="J3118" s="2" t="s">
        <v>15704</v>
      </c>
      <c r="K3118" s="3">
        <v>4.16E-6</v>
      </c>
      <c r="L3118" s="2" t="s">
        <v>1178</v>
      </c>
      <c r="M3118" s="4" t="s">
        <v>15705</v>
      </c>
    </row>
    <row r="3119" spans="1:13">
      <c r="A3119" s="2">
        <v>8621</v>
      </c>
      <c r="B3119" s="2" t="s">
        <v>15706</v>
      </c>
      <c r="C3119" s="2">
        <v>16</v>
      </c>
      <c r="D3119" s="2">
        <v>556</v>
      </c>
      <c r="E3119" s="2">
        <v>200</v>
      </c>
      <c r="F3119" s="2">
        <v>32441</v>
      </c>
      <c r="G3119" s="2">
        <v>4.6677697839999999</v>
      </c>
      <c r="H3119" s="3">
        <v>9.3600000000000002E-7</v>
      </c>
      <c r="I3119" s="2" t="s">
        <v>15707</v>
      </c>
      <c r="J3119" s="2" t="s">
        <v>15708</v>
      </c>
      <c r="K3119" s="3">
        <v>4.16E-6</v>
      </c>
      <c r="L3119" s="2" t="s">
        <v>1178</v>
      </c>
      <c r="M3119" s="4" t="s">
        <v>15709</v>
      </c>
    </row>
    <row r="3120" spans="1:13">
      <c r="A3120" s="2">
        <v>903</v>
      </c>
      <c r="B3120" s="2" t="s">
        <v>15710</v>
      </c>
      <c r="C3120" s="2">
        <v>16</v>
      </c>
      <c r="D3120" s="2">
        <v>556</v>
      </c>
      <c r="E3120" s="2">
        <v>200</v>
      </c>
      <c r="F3120" s="2">
        <v>32441</v>
      </c>
      <c r="G3120" s="2">
        <v>4.6677697839999999</v>
      </c>
      <c r="H3120" s="3">
        <v>9.3600000000000002E-7</v>
      </c>
      <c r="I3120" s="2" t="s">
        <v>15711</v>
      </c>
      <c r="J3120" s="2" t="s">
        <v>15712</v>
      </c>
      <c r="K3120" s="3">
        <v>4.16E-6</v>
      </c>
      <c r="L3120" s="2" t="s">
        <v>1178</v>
      </c>
      <c r="M3120" s="4" t="s">
        <v>15713</v>
      </c>
    </row>
    <row r="3121" spans="1:13">
      <c r="A3121" s="2">
        <v>9111</v>
      </c>
      <c r="B3121" s="2" t="s">
        <v>15714</v>
      </c>
      <c r="C3121" s="2">
        <v>16</v>
      </c>
      <c r="D3121" s="2">
        <v>556</v>
      </c>
      <c r="E3121" s="2">
        <v>200</v>
      </c>
      <c r="F3121" s="2">
        <v>32441</v>
      </c>
      <c r="G3121" s="2">
        <v>4.6677697839999999</v>
      </c>
      <c r="H3121" s="3">
        <v>9.3600000000000002E-7</v>
      </c>
      <c r="I3121" s="2" t="s">
        <v>15715</v>
      </c>
      <c r="J3121" s="2" t="s">
        <v>15716</v>
      </c>
      <c r="K3121" s="3">
        <v>4.16E-6</v>
      </c>
      <c r="L3121" s="2" t="s">
        <v>1178</v>
      </c>
      <c r="M3121" s="4" t="s">
        <v>15717</v>
      </c>
    </row>
    <row r="3122" spans="1:13">
      <c r="A3122" s="2">
        <v>925</v>
      </c>
      <c r="B3122" s="2" t="s">
        <v>1668</v>
      </c>
      <c r="C3122" s="2">
        <v>16</v>
      </c>
      <c r="D3122" s="2">
        <v>556</v>
      </c>
      <c r="E3122" s="2">
        <v>200</v>
      </c>
      <c r="F3122" s="2">
        <v>32441</v>
      </c>
      <c r="G3122" s="2">
        <v>4.6677697839999999</v>
      </c>
      <c r="H3122" s="3">
        <v>9.3600000000000002E-7</v>
      </c>
      <c r="I3122" s="2" t="s">
        <v>15718</v>
      </c>
      <c r="J3122" s="2" t="s">
        <v>15719</v>
      </c>
      <c r="K3122" s="3">
        <v>4.16E-6</v>
      </c>
      <c r="L3122" s="2" t="s">
        <v>1178</v>
      </c>
      <c r="M3122" s="4" t="s">
        <v>15720</v>
      </c>
    </row>
    <row r="3123" spans="1:13">
      <c r="A3123" s="2">
        <v>9621</v>
      </c>
      <c r="B3123" s="2" t="s">
        <v>15721</v>
      </c>
      <c r="C3123" s="2">
        <v>16</v>
      </c>
      <c r="D3123" s="2">
        <v>556</v>
      </c>
      <c r="E3123" s="2">
        <v>200</v>
      </c>
      <c r="F3123" s="2">
        <v>32441</v>
      </c>
      <c r="G3123" s="2">
        <v>4.6677697839999999</v>
      </c>
      <c r="H3123" s="3">
        <v>9.3600000000000002E-7</v>
      </c>
      <c r="I3123" s="2" t="s">
        <v>15722</v>
      </c>
      <c r="J3123" s="2" t="s">
        <v>15723</v>
      </c>
      <c r="K3123" s="3">
        <v>4.16E-6</v>
      </c>
      <c r="L3123" s="2" t="s">
        <v>1178</v>
      </c>
      <c r="M3123" s="4" t="s">
        <v>15724</v>
      </c>
    </row>
    <row r="3124" spans="1:13">
      <c r="A3124" s="2">
        <v>974</v>
      </c>
      <c r="B3124" s="2" t="s">
        <v>15725</v>
      </c>
      <c r="C3124" s="2">
        <v>16</v>
      </c>
      <c r="D3124" s="2">
        <v>556</v>
      </c>
      <c r="E3124" s="2">
        <v>200</v>
      </c>
      <c r="F3124" s="2">
        <v>32441</v>
      </c>
      <c r="G3124" s="2">
        <v>4.6677697839999999</v>
      </c>
      <c r="H3124" s="3">
        <v>9.3600000000000002E-7</v>
      </c>
      <c r="I3124" s="2" t="s">
        <v>15726</v>
      </c>
      <c r="J3124" s="2" t="s">
        <v>15727</v>
      </c>
      <c r="K3124" s="3">
        <v>4.16E-6</v>
      </c>
      <c r="L3124" s="2" t="s">
        <v>1178</v>
      </c>
      <c r="M3124" s="4" t="s">
        <v>15728</v>
      </c>
    </row>
    <row r="3125" spans="1:13">
      <c r="A3125" s="2">
        <v>979</v>
      </c>
      <c r="B3125" s="2" t="s">
        <v>1194</v>
      </c>
      <c r="C3125" s="2">
        <v>16</v>
      </c>
      <c r="D3125" s="2">
        <v>556</v>
      </c>
      <c r="E3125" s="2">
        <v>200</v>
      </c>
      <c r="F3125" s="2">
        <v>32441</v>
      </c>
      <c r="G3125" s="2">
        <v>4.6677697839999999</v>
      </c>
      <c r="H3125" s="3">
        <v>9.3600000000000002E-7</v>
      </c>
      <c r="I3125" s="2" t="s">
        <v>15729</v>
      </c>
      <c r="J3125" s="2" t="s">
        <v>15730</v>
      </c>
      <c r="K3125" s="3">
        <v>4.16E-6</v>
      </c>
      <c r="L3125" s="2" t="s">
        <v>1178</v>
      </c>
      <c r="M3125" s="4" t="s">
        <v>15731</v>
      </c>
    </row>
    <row r="3126" spans="1:13">
      <c r="A3126" s="2">
        <v>985</v>
      </c>
      <c r="B3126" s="2" t="s">
        <v>2103</v>
      </c>
      <c r="C3126" s="2">
        <v>16</v>
      </c>
      <c r="D3126" s="2">
        <v>556</v>
      </c>
      <c r="E3126" s="2">
        <v>200</v>
      </c>
      <c r="F3126" s="2">
        <v>32441</v>
      </c>
      <c r="G3126" s="2">
        <v>4.6677697839999999</v>
      </c>
      <c r="H3126" s="3">
        <v>9.3600000000000002E-7</v>
      </c>
      <c r="I3126" s="2" t="s">
        <v>15732</v>
      </c>
      <c r="J3126" s="2" t="s">
        <v>15733</v>
      </c>
      <c r="K3126" s="3">
        <v>4.16E-6</v>
      </c>
      <c r="L3126" s="2" t="s">
        <v>1178</v>
      </c>
      <c r="M3126" s="4" t="s">
        <v>15734</v>
      </c>
    </row>
    <row r="3127" spans="1:13">
      <c r="A3127" s="2">
        <v>1092</v>
      </c>
      <c r="B3127" s="2" t="s">
        <v>15735</v>
      </c>
      <c r="C3127" s="2">
        <v>16</v>
      </c>
      <c r="D3127" s="2">
        <v>556</v>
      </c>
      <c r="E3127" s="2">
        <v>200</v>
      </c>
      <c r="F3127" s="2">
        <v>32441</v>
      </c>
      <c r="G3127" s="2">
        <v>4.6677697839999999</v>
      </c>
      <c r="H3127" s="3">
        <v>9.3600000000000002E-7</v>
      </c>
      <c r="I3127" s="2" t="s">
        <v>15736</v>
      </c>
      <c r="J3127" s="2" t="s">
        <v>15737</v>
      </c>
      <c r="K3127" s="3">
        <v>4.16E-6</v>
      </c>
      <c r="L3127" s="2" t="s">
        <v>1178</v>
      </c>
      <c r="M3127" s="4" t="s">
        <v>15738</v>
      </c>
    </row>
    <row r="3128" spans="1:13">
      <c r="A3128" s="2">
        <v>1107</v>
      </c>
      <c r="B3128" s="2" t="s">
        <v>15739</v>
      </c>
      <c r="C3128" s="2">
        <v>16</v>
      </c>
      <c r="D3128" s="2">
        <v>556</v>
      </c>
      <c r="E3128" s="2">
        <v>200</v>
      </c>
      <c r="F3128" s="2">
        <v>32441</v>
      </c>
      <c r="G3128" s="2">
        <v>4.6677697839999999</v>
      </c>
      <c r="H3128" s="3">
        <v>9.3600000000000002E-7</v>
      </c>
      <c r="I3128" s="2" t="s">
        <v>15740</v>
      </c>
      <c r="J3128" s="2" t="s">
        <v>15741</v>
      </c>
      <c r="K3128" s="3">
        <v>4.16E-6</v>
      </c>
      <c r="L3128" s="2" t="s">
        <v>1178</v>
      </c>
      <c r="M3128" s="4" t="s">
        <v>15742</v>
      </c>
    </row>
    <row r="3129" spans="1:13">
      <c r="A3129" s="2">
        <v>1139</v>
      </c>
      <c r="B3129" s="2" t="s">
        <v>2415</v>
      </c>
      <c r="C3129" s="2">
        <v>16</v>
      </c>
      <c r="D3129" s="2">
        <v>556</v>
      </c>
      <c r="E3129" s="2">
        <v>200</v>
      </c>
      <c r="F3129" s="2">
        <v>32441</v>
      </c>
      <c r="G3129" s="2">
        <v>4.6677697839999999</v>
      </c>
      <c r="H3129" s="3">
        <v>9.3600000000000002E-7</v>
      </c>
      <c r="I3129" s="2" t="s">
        <v>15743</v>
      </c>
      <c r="J3129" s="2" t="s">
        <v>15744</v>
      </c>
      <c r="K3129" s="3">
        <v>4.16E-6</v>
      </c>
      <c r="L3129" s="2" t="s">
        <v>1178</v>
      </c>
      <c r="M3129" s="4" t="s">
        <v>15745</v>
      </c>
    </row>
    <row r="3130" spans="1:13">
      <c r="A3130" s="2">
        <v>1276</v>
      </c>
      <c r="B3130" s="2" t="s">
        <v>15746</v>
      </c>
      <c r="C3130" s="2">
        <v>16</v>
      </c>
      <c r="D3130" s="2">
        <v>556</v>
      </c>
      <c r="E3130" s="2">
        <v>200</v>
      </c>
      <c r="F3130" s="2">
        <v>32441</v>
      </c>
      <c r="G3130" s="2">
        <v>4.6677697839999999</v>
      </c>
      <c r="H3130" s="3">
        <v>9.3600000000000002E-7</v>
      </c>
      <c r="I3130" s="2" t="s">
        <v>15747</v>
      </c>
      <c r="J3130" s="2" t="s">
        <v>15748</v>
      </c>
      <c r="K3130" s="3">
        <v>4.16E-6</v>
      </c>
      <c r="L3130" s="2" t="s">
        <v>1178</v>
      </c>
      <c r="M3130" s="4" t="s">
        <v>15749</v>
      </c>
    </row>
    <row r="3131" spans="1:13">
      <c r="A3131" s="2">
        <v>12791</v>
      </c>
      <c r="B3131" s="2" t="s">
        <v>15750</v>
      </c>
      <c r="C3131" s="2">
        <v>16</v>
      </c>
      <c r="D3131" s="2">
        <v>556</v>
      </c>
      <c r="E3131" s="2">
        <v>200</v>
      </c>
      <c r="F3131" s="2">
        <v>32441</v>
      </c>
      <c r="G3131" s="2">
        <v>4.6677697839999999</v>
      </c>
      <c r="H3131" s="3">
        <v>9.3600000000000002E-7</v>
      </c>
      <c r="I3131" s="2" t="s">
        <v>15751</v>
      </c>
      <c r="J3131" s="2" t="s">
        <v>15752</v>
      </c>
      <c r="K3131" s="3">
        <v>4.16E-6</v>
      </c>
      <c r="L3131" s="2" t="s">
        <v>1178</v>
      </c>
      <c r="M3131" s="4" t="s">
        <v>15753</v>
      </c>
    </row>
    <row r="3132" spans="1:13">
      <c r="A3132" s="2">
        <v>14171</v>
      </c>
      <c r="B3132" s="2" t="s">
        <v>1683</v>
      </c>
      <c r="C3132" s="2">
        <v>16</v>
      </c>
      <c r="D3132" s="2">
        <v>556</v>
      </c>
      <c r="E3132" s="2">
        <v>200</v>
      </c>
      <c r="F3132" s="2">
        <v>32441</v>
      </c>
      <c r="G3132" s="2">
        <v>4.6677697839999999</v>
      </c>
      <c r="H3132" s="3">
        <v>9.3600000000000002E-7</v>
      </c>
      <c r="I3132" s="2" t="s">
        <v>15754</v>
      </c>
      <c r="J3132" s="2" t="s">
        <v>15755</v>
      </c>
      <c r="K3132" s="3">
        <v>4.16E-6</v>
      </c>
      <c r="L3132" s="2" t="s">
        <v>1178</v>
      </c>
      <c r="M3132" s="4" t="s">
        <v>15756</v>
      </c>
    </row>
    <row r="3133" spans="1:13">
      <c r="A3133" s="2">
        <v>15591</v>
      </c>
      <c r="B3133" s="2" t="s">
        <v>15757</v>
      </c>
      <c r="C3133" s="2">
        <v>16</v>
      </c>
      <c r="D3133" s="2">
        <v>556</v>
      </c>
      <c r="E3133" s="2">
        <v>200</v>
      </c>
      <c r="F3133" s="2">
        <v>32441</v>
      </c>
      <c r="G3133" s="2">
        <v>4.6677697839999999</v>
      </c>
      <c r="H3133" s="3">
        <v>9.3600000000000002E-7</v>
      </c>
      <c r="I3133" s="2" t="s">
        <v>15758</v>
      </c>
      <c r="J3133" s="2" t="s">
        <v>15759</v>
      </c>
      <c r="K3133" s="3">
        <v>4.16E-6</v>
      </c>
      <c r="L3133" s="2" t="s">
        <v>1178</v>
      </c>
      <c r="M3133" s="4" t="s">
        <v>15760</v>
      </c>
    </row>
    <row r="3134" spans="1:13">
      <c r="A3134" s="2">
        <v>15871</v>
      </c>
      <c r="B3134" s="2" t="s">
        <v>15761</v>
      </c>
      <c r="C3134" s="2">
        <v>16</v>
      </c>
      <c r="D3134" s="2">
        <v>556</v>
      </c>
      <c r="E3134" s="2">
        <v>200</v>
      </c>
      <c r="F3134" s="2">
        <v>32441</v>
      </c>
      <c r="G3134" s="2">
        <v>4.6677697839999999</v>
      </c>
      <c r="H3134" s="3">
        <v>9.3600000000000002E-7</v>
      </c>
      <c r="I3134" s="2" t="s">
        <v>15762</v>
      </c>
      <c r="J3134" s="2" t="s">
        <v>15763</v>
      </c>
      <c r="K3134" s="3">
        <v>4.16E-6</v>
      </c>
      <c r="L3134" s="2" t="s">
        <v>1178</v>
      </c>
      <c r="M3134" s="4" t="s">
        <v>15764</v>
      </c>
    </row>
    <row r="3135" spans="1:13">
      <c r="A3135" s="2">
        <v>15881</v>
      </c>
      <c r="B3135" s="2" t="s">
        <v>15765</v>
      </c>
      <c r="C3135" s="2">
        <v>16</v>
      </c>
      <c r="D3135" s="2">
        <v>556</v>
      </c>
      <c r="E3135" s="2">
        <v>200</v>
      </c>
      <c r="F3135" s="2">
        <v>32441</v>
      </c>
      <c r="G3135" s="2">
        <v>4.6677697839999999</v>
      </c>
      <c r="H3135" s="3">
        <v>9.3600000000000002E-7</v>
      </c>
      <c r="I3135" s="2" t="s">
        <v>15766</v>
      </c>
      <c r="J3135" s="2" t="s">
        <v>15767</v>
      </c>
      <c r="K3135" s="3">
        <v>4.16E-6</v>
      </c>
      <c r="L3135" s="2" t="s">
        <v>1178</v>
      </c>
      <c r="M3135" s="4" t="s">
        <v>15768</v>
      </c>
    </row>
    <row r="3136" spans="1:13">
      <c r="A3136" s="2">
        <v>1593</v>
      </c>
      <c r="B3136" s="2" t="s">
        <v>15769</v>
      </c>
      <c r="C3136" s="2">
        <v>16</v>
      </c>
      <c r="D3136" s="2">
        <v>556</v>
      </c>
      <c r="E3136" s="2">
        <v>200</v>
      </c>
      <c r="F3136" s="2">
        <v>32441</v>
      </c>
      <c r="G3136" s="2">
        <v>4.6677697839999999</v>
      </c>
      <c r="H3136" s="3">
        <v>9.3600000000000002E-7</v>
      </c>
      <c r="I3136" s="2" t="s">
        <v>15770</v>
      </c>
      <c r="J3136" s="2" t="s">
        <v>15771</v>
      </c>
      <c r="K3136" s="3">
        <v>4.16E-6</v>
      </c>
      <c r="L3136" s="2" t="s">
        <v>1178</v>
      </c>
      <c r="M3136" s="4" t="s">
        <v>15772</v>
      </c>
    </row>
    <row r="3137" spans="1:13">
      <c r="A3137" s="2">
        <v>16101</v>
      </c>
      <c r="B3137" s="2" t="s">
        <v>15773</v>
      </c>
      <c r="C3137" s="2">
        <v>16</v>
      </c>
      <c r="D3137" s="2">
        <v>556</v>
      </c>
      <c r="E3137" s="2">
        <v>200</v>
      </c>
      <c r="F3137" s="2">
        <v>32441</v>
      </c>
      <c r="G3137" s="2">
        <v>4.6677697839999999</v>
      </c>
      <c r="H3137" s="3">
        <v>9.3600000000000002E-7</v>
      </c>
      <c r="I3137" s="2" t="s">
        <v>15774</v>
      </c>
      <c r="J3137" s="2" t="s">
        <v>15775</v>
      </c>
      <c r="K3137" s="3">
        <v>4.16E-6</v>
      </c>
      <c r="L3137" s="2" t="s">
        <v>1178</v>
      </c>
      <c r="M3137" s="4" t="s">
        <v>15776</v>
      </c>
    </row>
    <row r="3138" spans="1:13">
      <c r="A3138" s="2">
        <v>1622</v>
      </c>
      <c r="B3138" s="2" t="s">
        <v>15777</v>
      </c>
      <c r="C3138" s="2">
        <v>16</v>
      </c>
      <c r="D3138" s="2">
        <v>556</v>
      </c>
      <c r="E3138" s="2">
        <v>200</v>
      </c>
      <c r="F3138" s="2">
        <v>32441</v>
      </c>
      <c r="G3138" s="2">
        <v>4.6677697839999999</v>
      </c>
      <c r="H3138" s="3">
        <v>9.3600000000000002E-7</v>
      </c>
      <c r="I3138" s="2" t="s">
        <v>15778</v>
      </c>
      <c r="J3138" s="2" t="s">
        <v>15779</v>
      </c>
      <c r="K3138" s="3">
        <v>4.16E-6</v>
      </c>
      <c r="L3138" s="2" t="s">
        <v>1178</v>
      </c>
      <c r="M3138" s="4" t="s">
        <v>15780</v>
      </c>
    </row>
    <row r="3139" spans="1:13">
      <c r="A3139" s="2">
        <v>16281</v>
      </c>
      <c r="B3139" s="2" t="s">
        <v>15781</v>
      </c>
      <c r="C3139" s="2">
        <v>16</v>
      </c>
      <c r="D3139" s="2">
        <v>556</v>
      </c>
      <c r="E3139" s="2">
        <v>200</v>
      </c>
      <c r="F3139" s="2">
        <v>32441</v>
      </c>
      <c r="G3139" s="2">
        <v>4.6677697839999999</v>
      </c>
      <c r="H3139" s="3">
        <v>9.3600000000000002E-7</v>
      </c>
      <c r="I3139" s="2" t="s">
        <v>15782</v>
      </c>
      <c r="J3139" s="2" t="s">
        <v>15783</v>
      </c>
      <c r="K3139" s="3">
        <v>4.16E-6</v>
      </c>
      <c r="L3139" s="2" t="s">
        <v>1178</v>
      </c>
      <c r="M3139" s="4" t="s">
        <v>15784</v>
      </c>
    </row>
    <row r="3140" spans="1:13">
      <c r="A3140" s="2">
        <v>1636</v>
      </c>
      <c r="B3140" s="2" t="s">
        <v>1896</v>
      </c>
      <c r="C3140" s="2">
        <v>16</v>
      </c>
      <c r="D3140" s="2">
        <v>556</v>
      </c>
      <c r="E3140" s="2">
        <v>200</v>
      </c>
      <c r="F3140" s="2">
        <v>32441</v>
      </c>
      <c r="G3140" s="2">
        <v>4.6677697839999999</v>
      </c>
      <c r="H3140" s="3">
        <v>9.3600000000000002E-7</v>
      </c>
      <c r="I3140" s="2" t="s">
        <v>15785</v>
      </c>
      <c r="J3140" s="2" t="s">
        <v>15786</v>
      </c>
      <c r="K3140" s="3">
        <v>4.16E-6</v>
      </c>
      <c r="L3140" s="2" t="s">
        <v>1178</v>
      </c>
      <c r="M3140" s="4" t="s">
        <v>15787</v>
      </c>
    </row>
    <row r="3141" spans="1:13">
      <c r="A3141" s="2">
        <v>1651</v>
      </c>
      <c r="B3141" s="2" t="s">
        <v>15788</v>
      </c>
      <c r="C3141" s="2">
        <v>16</v>
      </c>
      <c r="D3141" s="2">
        <v>556</v>
      </c>
      <c r="E3141" s="2">
        <v>200</v>
      </c>
      <c r="F3141" s="2">
        <v>32441</v>
      </c>
      <c r="G3141" s="2">
        <v>4.6677697839999999</v>
      </c>
      <c r="H3141" s="3">
        <v>9.3600000000000002E-7</v>
      </c>
      <c r="I3141" s="2" t="s">
        <v>15789</v>
      </c>
      <c r="J3141" s="2" t="s">
        <v>15790</v>
      </c>
      <c r="K3141" s="3">
        <v>4.16E-6</v>
      </c>
      <c r="L3141" s="2" t="s">
        <v>1178</v>
      </c>
      <c r="M3141" s="4" t="s">
        <v>15791</v>
      </c>
    </row>
    <row r="3142" spans="1:13">
      <c r="A3142" s="2">
        <v>16531</v>
      </c>
      <c r="B3142" s="2" t="s">
        <v>15792</v>
      </c>
      <c r="C3142" s="2">
        <v>16</v>
      </c>
      <c r="D3142" s="2">
        <v>556</v>
      </c>
      <c r="E3142" s="2">
        <v>200</v>
      </c>
      <c r="F3142" s="2">
        <v>32441</v>
      </c>
      <c r="G3142" s="2">
        <v>4.6677697839999999</v>
      </c>
      <c r="H3142" s="3">
        <v>9.3600000000000002E-7</v>
      </c>
      <c r="I3142" s="2" t="s">
        <v>15793</v>
      </c>
      <c r="J3142" s="2" t="s">
        <v>15794</v>
      </c>
      <c r="K3142" s="3">
        <v>4.16E-6</v>
      </c>
      <c r="L3142" s="2" t="s">
        <v>1178</v>
      </c>
      <c r="M3142" s="4" t="s">
        <v>15795</v>
      </c>
    </row>
    <row r="3143" spans="1:13">
      <c r="A3143" s="2">
        <v>1682</v>
      </c>
      <c r="B3143" s="2" t="s">
        <v>15796</v>
      </c>
      <c r="C3143" s="2">
        <v>16</v>
      </c>
      <c r="D3143" s="2">
        <v>556</v>
      </c>
      <c r="E3143" s="2">
        <v>200</v>
      </c>
      <c r="F3143" s="2">
        <v>32441</v>
      </c>
      <c r="G3143" s="2">
        <v>4.6677697839999999</v>
      </c>
      <c r="H3143" s="3">
        <v>9.3600000000000002E-7</v>
      </c>
      <c r="I3143" s="2" t="s">
        <v>15797</v>
      </c>
      <c r="J3143" s="2" t="s">
        <v>15798</v>
      </c>
      <c r="K3143" s="3">
        <v>4.16E-6</v>
      </c>
      <c r="L3143" s="2" t="s">
        <v>1178</v>
      </c>
      <c r="M3143" s="4" t="s">
        <v>15799</v>
      </c>
    </row>
    <row r="3144" spans="1:13">
      <c r="A3144" s="2">
        <v>1683</v>
      </c>
      <c r="B3144" s="2" t="s">
        <v>15800</v>
      </c>
      <c r="C3144" s="2">
        <v>16</v>
      </c>
      <c r="D3144" s="2">
        <v>556</v>
      </c>
      <c r="E3144" s="2">
        <v>200</v>
      </c>
      <c r="F3144" s="2">
        <v>32441</v>
      </c>
      <c r="G3144" s="2">
        <v>4.6677697839999999</v>
      </c>
      <c r="H3144" s="3">
        <v>9.3600000000000002E-7</v>
      </c>
      <c r="I3144" s="2" t="s">
        <v>15801</v>
      </c>
      <c r="J3144" s="2" t="s">
        <v>15802</v>
      </c>
      <c r="K3144" s="3">
        <v>4.16E-6</v>
      </c>
      <c r="L3144" s="2" t="s">
        <v>1178</v>
      </c>
      <c r="M3144" s="4" t="s">
        <v>15803</v>
      </c>
    </row>
    <row r="3145" spans="1:13">
      <c r="A3145" s="2">
        <v>1687</v>
      </c>
      <c r="B3145" s="2" t="s">
        <v>15804</v>
      </c>
      <c r="C3145" s="2">
        <v>16</v>
      </c>
      <c r="D3145" s="2">
        <v>556</v>
      </c>
      <c r="E3145" s="2">
        <v>200</v>
      </c>
      <c r="F3145" s="2">
        <v>32441</v>
      </c>
      <c r="G3145" s="2">
        <v>4.6677697839999999</v>
      </c>
      <c r="H3145" s="3">
        <v>9.3600000000000002E-7</v>
      </c>
      <c r="I3145" s="2" t="s">
        <v>15805</v>
      </c>
      <c r="J3145" s="2" t="s">
        <v>15806</v>
      </c>
      <c r="K3145" s="3">
        <v>4.16E-6</v>
      </c>
      <c r="L3145" s="2" t="s">
        <v>1178</v>
      </c>
      <c r="M3145" s="4" t="s">
        <v>15807</v>
      </c>
    </row>
    <row r="3146" spans="1:13">
      <c r="A3146" s="2">
        <v>1719</v>
      </c>
      <c r="B3146" s="2" t="s">
        <v>15808</v>
      </c>
      <c r="C3146" s="2">
        <v>16</v>
      </c>
      <c r="D3146" s="2">
        <v>556</v>
      </c>
      <c r="E3146" s="2">
        <v>200</v>
      </c>
      <c r="F3146" s="2">
        <v>32441</v>
      </c>
      <c r="G3146" s="2">
        <v>4.6677697839999999</v>
      </c>
      <c r="H3146" s="3">
        <v>9.3600000000000002E-7</v>
      </c>
      <c r="I3146" s="2" t="s">
        <v>15809</v>
      </c>
      <c r="J3146" s="2" t="s">
        <v>15810</v>
      </c>
      <c r="K3146" s="3">
        <v>4.16E-6</v>
      </c>
      <c r="L3146" s="2" t="s">
        <v>1178</v>
      </c>
      <c r="M3146" s="4" t="s">
        <v>15811</v>
      </c>
    </row>
    <row r="3147" spans="1:13">
      <c r="A3147" s="2">
        <v>1780</v>
      </c>
      <c r="B3147" s="2" t="s">
        <v>1710</v>
      </c>
      <c r="C3147" s="2">
        <v>16</v>
      </c>
      <c r="D3147" s="2">
        <v>556</v>
      </c>
      <c r="E3147" s="2">
        <v>200</v>
      </c>
      <c r="F3147" s="2">
        <v>32441</v>
      </c>
      <c r="G3147" s="2">
        <v>4.6677697839999999</v>
      </c>
      <c r="H3147" s="3">
        <v>9.3600000000000002E-7</v>
      </c>
      <c r="I3147" s="2" t="s">
        <v>15812</v>
      </c>
      <c r="J3147" s="2" t="s">
        <v>15813</v>
      </c>
      <c r="K3147" s="3">
        <v>4.16E-6</v>
      </c>
      <c r="L3147" s="2" t="s">
        <v>1178</v>
      </c>
      <c r="M3147" s="4" t="s">
        <v>15814</v>
      </c>
    </row>
    <row r="3148" spans="1:13">
      <c r="A3148" s="2">
        <v>1825</v>
      </c>
      <c r="B3148" s="2" t="s">
        <v>15815</v>
      </c>
      <c r="C3148" s="2">
        <v>16</v>
      </c>
      <c r="D3148" s="2">
        <v>556</v>
      </c>
      <c r="E3148" s="2">
        <v>200</v>
      </c>
      <c r="F3148" s="2">
        <v>32441</v>
      </c>
      <c r="G3148" s="2">
        <v>4.6677697839999999</v>
      </c>
      <c r="H3148" s="3">
        <v>9.3600000000000002E-7</v>
      </c>
      <c r="I3148" s="2" t="s">
        <v>15816</v>
      </c>
      <c r="J3148" s="2" t="s">
        <v>15817</v>
      </c>
      <c r="K3148" s="3">
        <v>4.16E-6</v>
      </c>
      <c r="L3148" s="2" t="s">
        <v>1178</v>
      </c>
      <c r="M3148" s="4" t="s">
        <v>15818</v>
      </c>
    </row>
    <row r="3149" spans="1:13">
      <c r="A3149" s="2">
        <v>18511</v>
      </c>
      <c r="B3149" s="2" t="s">
        <v>15819</v>
      </c>
      <c r="C3149" s="2">
        <v>16</v>
      </c>
      <c r="D3149" s="2">
        <v>556</v>
      </c>
      <c r="E3149" s="2">
        <v>200</v>
      </c>
      <c r="F3149" s="2">
        <v>32441</v>
      </c>
      <c r="G3149" s="2">
        <v>4.6677697839999999</v>
      </c>
      <c r="H3149" s="3">
        <v>9.3600000000000002E-7</v>
      </c>
      <c r="I3149" s="2" t="s">
        <v>15820</v>
      </c>
      <c r="J3149" s="2" t="s">
        <v>15821</v>
      </c>
      <c r="K3149" s="3">
        <v>4.16E-6</v>
      </c>
      <c r="L3149" s="2" t="s">
        <v>1178</v>
      </c>
      <c r="M3149" s="4" t="s">
        <v>15822</v>
      </c>
    </row>
    <row r="3150" spans="1:13">
      <c r="A3150" s="2">
        <v>1879</v>
      </c>
      <c r="B3150" s="2" t="s">
        <v>15823</v>
      </c>
      <c r="C3150" s="2">
        <v>16</v>
      </c>
      <c r="D3150" s="2">
        <v>556</v>
      </c>
      <c r="E3150" s="2">
        <v>200</v>
      </c>
      <c r="F3150" s="2">
        <v>32441</v>
      </c>
      <c r="G3150" s="2">
        <v>4.6677697839999999</v>
      </c>
      <c r="H3150" s="3">
        <v>9.3600000000000002E-7</v>
      </c>
      <c r="I3150" s="2" t="s">
        <v>15824</v>
      </c>
      <c r="J3150" s="2" t="s">
        <v>15825</v>
      </c>
      <c r="K3150" s="3">
        <v>4.16E-6</v>
      </c>
      <c r="L3150" s="2" t="s">
        <v>1178</v>
      </c>
      <c r="M3150" s="4" t="s">
        <v>15826</v>
      </c>
    </row>
    <row r="3151" spans="1:13">
      <c r="A3151" s="2">
        <v>19041</v>
      </c>
      <c r="B3151" s="2" t="s">
        <v>15827</v>
      </c>
      <c r="C3151" s="2">
        <v>16</v>
      </c>
      <c r="D3151" s="2">
        <v>556</v>
      </c>
      <c r="E3151" s="2">
        <v>200</v>
      </c>
      <c r="F3151" s="2">
        <v>32441</v>
      </c>
      <c r="G3151" s="2">
        <v>4.6677697839999999</v>
      </c>
      <c r="H3151" s="3">
        <v>9.3600000000000002E-7</v>
      </c>
      <c r="I3151" s="2" t="s">
        <v>15828</v>
      </c>
      <c r="J3151" s="2" t="s">
        <v>15829</v>
      </c>
      <c r="K3151" s="3">
        <v>4.16E-6</v>
      </c>
      <c r="L3151" s="2" t="s">
        <v>1178</v>
      </c>
      <c r="M3151" s="4" t="s">
        <v>15830</v>
      </c>
    </row>
    <row r="3152" spans="1:13">
      <c r="A3152" s="2">
        <v>1944</v>
      </c>
      <c r="B3152" s="2" t="s">
        <v>15831</v>
      </c>
      <c r="C3152" s="2">
        <v>16</v>
      </c>
      <c r="D3152" s="2">
        <v>556</v>
      </c>
      <c r="E3152" s="2">
        <v>200</v>
      </c>
      <c r="F3152" s="2">
        <v>32441</v>
      </c>
      <c r="G3152" s="2">
        <v>4.6677697839999999</v>
      </c>
      <c r="H3152" s="3">
        <v>9.3600000000000002E-7</v>
      </c>
      <c r="I3152" s="2" t="s">
        <v>15832</v>
      </c>
      <c r="J3152" s="2" t="s">
        <v>15833</v>
      </c>
      <c r="K3152" s="3">
        <v>4.16E-6</v>
      </c>
      <c r="L3152" s="2" t="s">
        <v>1178</v>
      </c>
      <c r="M3152" s="4" t="s">
        <v>15834</v>
      </c>
    </row>
    <row r="3153" spans="1:13">
      <c r="A3153" s="2">
        <v>1949</v>
      </c>
      <c r="B3153" s="2" t="s">
        <v>15835</v>
      </c>
      <c r="C3153" s="2">
        <v>16</v>
      </c>
      <c r="D3153" s="2">
        <v>556</v>
      </c>
      <c r="E3153" s="2">
        <v>200</v>
      </c>
      <c r="F3153" s="2">
        <v>32441</v>
      </c>
      <c r="G3153" s="2">
        <v>4.6677697839999999</v>
      </c>
      <c r="H3153" s="3">
        <v>9.3600000000000002E-7</v>
      </c>
      <c r="I3153" s="2" t="s">
        <v>15836</v>
      </c>
      <c r="J3153" s="2" t="s">
        <v>15837</v>
      </c>
      <c r="K3153" s="3">
        <v>4.16E-6</v>
      </c>
      <c r="L3153" s="2" t="s">
        <v>1178</v>
      </c>
      <c r="M3153" s="4" t="s">
        <v>15838</v>
      </c>
    </row>
    <row r="3154" spans="1:13">
      <c r="A3154" s="2">
        <v>1953</v>
      </c>
      <c r="B3154" s="2" t="s">
        <v>15839</v>
      </c>
      <c r="C3154" s="2">
        <v>16</v>
      </c>
      <c r="D3154" s="2">
        <v>556</v>
      </c>
      <c r="E3154" s="2">
        <v>200</v>
      </c>
      <c r="F3154" s="2">
        <v>32441</v>
      </c>
      <c r="G3154" s="2">
        <v>4.6677697839999999</v>
      </c>
      <c r="H3154" s="3">
        <v>9.3600000000000002E-7</v>
      </c>
      <c r="I3154" s="2" t="s">
        <v>15840</v>
      </c>
      <c r="J3154" s="2" t="s">
        <v>15841</v>
      </c>
      <c r="K3154" s="3">
        <v>4.16E-6</v>
      </c>
      <c r="L3154" s="2" t="s">
        <v>1178</v>
      </c>
      <c r="M3154" s="4" t="s">
        <v>15842</v>
      </c>
    </row>
    <row r="3155" spans="1:13">
      <c r="A3155" s="2">
        <v>19801</v>
      </c>
      <c r="B3155" s="2" t="s">
        <v>15843</v>
      </c>
      <c r="C3155" s="2">
        <v>16</v>
      </c>
      <c r="D3155" s="2">
        <v>556</v>
      </c>
      <c r="E3155" s="2">
        <v>200</v>
      </c>
      <c r="F3155" s="2">
        <v>32441</v>
      </c>
      <c r="G3155" s="2">
        <v>4.6677697839999999</v>
      </c>
      <c r="H3155" s="3">
        <v>9.3600000000000002E-7</v>
      </c>
      <c r="I3155" s="2" t="s">
        <v>15844</v>
      </c>
      <c r="J3155" s="2" t="s">
        <v>15845</v>
      </c>
      <c r="K3155" s="3">
        <v>4.16E-6</v>
      </c>
      <c r="L3155" s="2" t="s">
        <v>1178</v>
      </c>
      <c r="M3155" s="4" t="s">
        <v>15846</v>
      </c>
    </row>
    <row r="3156" spans="1:13">
      <c r="A3156" s="2">
        <v>2027</v>
      </c>
      <c r="B3156" s="2" t="s">
        <v>15847</v>
      </c>
      <c r="C3156" s="2">
        <v>16</v>
      </c>
      <c r="D3156" s="2">
        <v>556</v>
      </c>
      <c r="E3156" s="2">
        <v>199</v>
      </c>
      <c r="F3156" s="2">
        <v>32441</v>
      </c>
      <c r="G3156" s="2">
        <v>4.6912259140000003</v>
      </c>
      <c r="H3156" s="3">
        <v>8.8000000000000004E-7</v>
      </c>
      <c r="I3156" s="2" t="s">
        <v>15848</v>
      </c>
      <c r="J3156" s="2" t="s">
        <v>15849</v>
      </c>
      <c r="K3156" s="3">
        <v>4.16E-6</v>
      </c>
      <c r="L3156" s="2" t="s">
        <v>1178</v>
      </c>
      <c r="M3156" s="4" t="s">
        <v>15850</v>
      </c>
    </row>
    <row r="3157" spans="1:13">
      <c r="A3157" s="2">
        <v>21111</v>
      </c>
      <c r="B3157" s="2" t="s">
        <v>15851</v>
      </c>
      <c r="C3157" s="2">
        <v>16</v>
      </c>
      <c r="D3157" s="2">
        <v>556</v>
      </c>
      <c r="E3157" s="2">
        <v>200</v>
      </c>
      <c r="F3157" s="2">
        <v>32441</v>
      </c>
      <c r="G3157" s="2">
        <v>4.6677697839999999</v>
      </c>
      <c r="H3157" s="3">
        <v>9.3600000000000002E-7</v>
      </c>
      <c r="I3157" s="2" t="s">
        <v>15852</v>
      </c>
      <c r="J3157" s="2" t="s">
        <v>15853</v>
      </c>
      <c r="K3157" s="3">
        <v>4.16E-6</v>
      </c>
      <c r="L3157" s="2" t="s">
        <v>1178</v>
      </c>
      <c r="M3157" s="4" t="s">
        <v>15854</v>
      </c>
    </row>
    <row r="3158" spans="1:13">
      <c r="A3158" s="2">
        <v>2133</v>
      </c>
      <c r="B3158" s="2" t="s">
        <v>15855</v>
      </c>
      <c r="C3158" s="2">
        <v>16</v>
      </c>
      <c r="D3158" s="2">
        <v>556</v>
      </c>
      <c r="E3158" s="2">
        <v>200</v>
      </c>
      <c r="F3158" s="2">
        <v>32441</v>
      </c>
      <c r="G3158" s="2">
        <v>4.6677697839999999</v>
      </c>
      <c r="H3158" s="3">
        <v>9.3600000000000002E-7</v>
      </c>
      <c r="I3158" s="2" t="s">
        <v>15856</v>
      </c>
      <c r="J3158" s="2" t="s">
        <v>15857</v>
      </c>
      <c r="K3158" s="3">
        <v>4.16E-6</v>
      </c>
      <c r="L3158" s="2" t="s">
        <v>1178</v>
      </c>
      <c r="M3158" s="4" t="s">
        <v>15858</v>
      </c>
    </row>
    <row r="3159" spans="1:13">
      <c r="A3159" s="2">
        <v>2138</v>
      </c>
      <c r="B3159" s="2" t="s">
        <v>15859</v>
      </c>
      <c r="C3159" s="2">
        <v>16</v>
      </c>
      <c r="D3159" s="2">
        <v>556</v>
      </c>
      <c r="E3159" s="2">
        <v>200</v>
      </c>
      <c r="F3159" s="2">
        <v>32441</v>
      </c>
      <c r="G3159" s="2">
        <v>4.6677697839999999</v>
      </c>
      <c r="H3159" s="3">
        <v>9.3600000000000002E-7</v>
      </c>
      <c r="I3159" s="2" t="s">
        <v>15860</v>
      </c>
      <c r="J3159" s="2" t="s">
        <v>15861</v>
      </c>
      <c r="K3159" s="3">
        <v>4.16E-6</v>
      </c>
      <c r="L3159" s="2" t="s">
        <v>1178</v>
      </c>
      <c r="M3159" s="4" t="s">
        <v>15862</v>
      </c>
    </row>
    <row r="3160" spans="1:13">
      <c r="A3160" s="2">
        <v>2144</v>
      </c>
      <c r="B3160" s="2" t="s">
        <v>15863</v>
      </c>
      <c r="C3160" s="2">
        <v>16</v>
      </c>
      <c r="D3160" s="2">
        <v>556</v>
      </c>
      <c r="E3160" s="2">
        <v>200</v>
      </c>
      <c r="F3160" s="2">
        <v>32441</v>
      </c>
      <c r="G3160" s="2">
        <v>4.6677697839999999</v>
      </c>
      <c r="H3160" s="3">
        <v>9.3600000000000002E-7</v>
      </c>
      <c r="I3160" s="2" t="s">
        <v>15864</v>
      </c>
      <c r="J3160" s="2" t="s">
        <v>15865</v>
      </c>
      <c r="K3160" s="3">
        <v>4.16E-6</v>
      </c>
      <c r="L3160" s="2" t="s">
        <v>1178</v>
      </c>
      <c r="M3160" s="4" t="s">
        <v>15866</v>
      </c>
    </row>
    <row r="3161" spans="1:13">
      <c r="A3161" s="2">
        <v>2191</v>
      </c>
      <c r="B3161" s="2" t="s">
        <v>15867</v>
      </c>
      <c r="C3161" s="2">
        <v>16</v>
      </c>
      <c r="D3161" s="2">
        <v>556</v>
      </c>
      <c r="E3161" s="2">
        <v>200</v>
      </c>
      <c r="F3161" s="2">
        <v>32441</v>
      </c>
      <c r="G3161" s="2">
        <v>4.6677697839999999</v>
      </c>
      <c r="H3161" s="3">
        <v>9.3600000000000002E-7</v>
      </c>
      <c r="I3161" s="2" t="s">
        <v>15868</v>
      </c>
      <c r="J3161" s="2" t="s">
        <v>15869</v>
      </c>
      <c r="K3161" s="3">
        <v>4.16E-6</v>
      </c>
      <c r="L3161" s="2" t="s">
        <v>1178</v>
      </c>
      <c r="M3161" s="4" t="s">
        <v>15870</v>
      </c>
    </row>
    <row r="3162" spans="1:13">
      <c r="A3162" s="2">
        <v>2202</v>
      </c>
      <c r="B3162" s="2" t="s">
        <v>15871</v>
      </c>
      <c r="C3162" s="2">
        <v>16</v>
      </c>
      <c r="D3162" s="2">
        <v>556</v>
      </c>
      <c r="E3162" s="2">
        <v>200</v>
      </c>
      <c r="F3162" s="2">
        <v>32441</v>
      </c>
      <c r="G3162" s="2">
        <v>4.6677697839999999</v>
      </c>
      <c r="H3162" s="3">
        <v>9.3600000000000002E-7</v>
      </c>
      <c r="I3162" s="2" t="s">
        <v>15872</v>
      </c>
      <c r="J3162" s="2" t="s">
        <v>15873</v>
      </c>
      <c r="K3162" s="3">
        <v>4.16E-6</v>
      </c>
      <c r="L3162" s="2" t="s">
        <v>1178</v>
      </c>
      <c r="M3162" s="4" t="s">
        <v>15874</v>
      </c>
    </row>
    <row r="3163" spans="1:13">
      <c r="A3163" s="2">
        <v>22181</v>
      </c>
      <c r="B3163" s="2" t="s">
        <v>15875</v>
      </c>
      <c r="C3163" s="2">
        <v>16</v>
      </c>
      <c r="D3163" s="2">
        <v>556</v>
      </c>
      <c r="E3163" s="2">
        <v>200</v>
      </c>
      <c r="F3163" s="2">
        <v>32441</v>
      </c>
      <c r="G3163" s="2">
        <v>4.6677697839999999</v>
      </c>
      <c r="H3163" s="3">
        <v>9.3600000000000002E-7</v>
      </c>
      <c r="I3163" s="2" t="s">
        <v>15876</v>
      </c>
      <c r="J3163" s="2" t="s">
        <v>15877</v>
      </c>
      <c r="K3163" s="3">
        <v>4.16E-6</v>
      </c>
      <c r="L3163" s="2" t="s">
        <v>1178</v>
      </c>
      <c r="M3163" s="4" t="s">
        <v>15878</v>
      </c>
    </row>
    <row r="3164" spans="1:13">
      <c r="A3164" s="2">
        <v>2233</v>
      </c>
      <c r="B3164" s="2" t="s">
        <v>15879</v>
      </c>
      <c r="C3164" s="2">
        <v>16</v>
      </c>
      <c r="D3164" s="2">
        <v>556</v>
      </c>
      <c r="E3164" s="2">
        <v>200</v>
      </c>
      <c r="F3164" s="2">
        <v>32441</v>
      </c>
      <c r="G3164" s="2">
        <v>4.6677697839999999</v>
      </c>
      <c r="H3164" s="3">
        <v>9.3600000000000002E-7</v>
      </c>
      <c r="I3164" s="2" t="s">
        <v>15880</v>
      </c>
      <c r="J3164" s="2" t="s">
        <v>15881</v>
      </c>
      <c r="K3164" s="3">
        <v>4.16E-6</v>
      </c>
      <c r="L3164" s="2" t="s">
        <v>1178</v>
      </c>
      <c r="M3164" s="4" t="s">
        <v>15882</v>
      </c>
    </row>
    <row r="3165" spans="1:13">
      <c r="A3165" s="2">
        <v>22402</v>
      </c>
      <c r="B3165" s="2" t="s">
        <v>15883</v>
      </c>
      <c r="C3165" s="2">
        <v>16</v>
      </c>
      <c r="D3165" s="2">
        <v>556</v>
      </c>
      <c r="E3165" s="2">
        <v>200</v>
      </c>
      <c r="F3165" s="2">
        <v>32441</v>
      </c>
      <c r="G3165" s="2">
        <v>4.6677697839999999</v>
      </c>
      <c r="H3165" s="3">
        <v>9.3600000000000002E-7</v>
      </c>
      <c r="I3165" s="2" t="s">
        <v>15884</v>
      </c>
      <c r="J3165" s="2" t="s">
        <v>15885</v>
      </c>
      <c r="K3165" s="3">
        <v>4.16E-6</v>
      </c>
      <c r="L3165" s="2" t="s">
        <v>1178</v>
      </c>
      <c r="M3165" s="4" t="s">
        <v>15886</v>
      </c>
    </row>
    <row r="3166" spans="1:13">
      <c r="A3166" s="2">
        <v>22631</v>
      </c>
      <c r="B3166" s="2" t="s">
        <v>15887</v>
      </c>
      <c r="C3166" s="2">
        <v>16</v>
      </c>
      <c r="D3166" s="2">
        <v>556</v>
      </c>
      <c r="E3166" s="2">
        <v>200</v>
      </c>
      <c r="F3166" s="2">
        <v>32441</v>
      </c>
      <c r="G3166" s="2">
        <v>4.6677697839999999</v>
      </c>
      <c r="H3166" s="3">
        <v>9.3600000000000002E-7</v>
      </c>
      <c r="I3166" s="2" t="s">
        <v>15888</v>
      </c>
      <c r="J3166" s="2" t="s">
        <v>15889</v>
      </c>
      <c r="K3166" s="3">
        <v>4.16E-6</v>
      </c>
      <c r="L3166" s="2" t="s">
        <v>1178</v>
      </c>
      <c r="M3166" s="4" t="s">
        <v>15890</v>
      </c>
    </row>
    <row r="3167" spans="1:13">
      <c r="A3167" s="2">
        <v>23521</v>
      </c>
      <c r="B3167" s="2" t="s">
        <v>15891</v>
      </c>
      <c r="C3167" s="2">
        <v>16</v>
      </c>
      <c r="D3167" s="2">
        <v>556</v>
      </c>
      <c r="E3167" s="2">
        <v>200</v>
      </c>
      <c r="F3167" s="2">
        <v>32441</v>
      </c>
      <c r="G3167" s="2">
        <v>4.6677697839999999</v>
      </c>
      <c r="H3167" s="3">
        <v>9.3600000000000002E-7</v>
      </c>
      <c r="I3167" s="2" t="s">
        <v>15892</v>
      </c>
      <c r="J3167" s="2" t="s">
        <v>15893</v>
      </c>
      <c r="K3167" s="3">
        <v>4.16E-6</v>
      </c>
      <c r="L3167" s="2" t="s">
        <v>1178</v>
      </c>
      <c r="M3167" s="4" t="s">
        <v>15894</v>
      </c>
    </row>
    <row r="3168" spans="1:13">
      <c r="A3168" s="2">
        <v>2402</v>
      </c>
      <c r="B3168" s="2" t="s">
        <v>15895</v>
      </c>
      <c r="C3168" s="2">
        <v>16</v>
      </c>
      <c r="D3168" s="2">
        <v>556</v>
      </c>
      <c r="E3168" s="2">
        <v>200</v>
      </c>
      <c r="F3168" s="2">
        <v>32441</v>
      </c>
      <c r="G3168" s="2">
        <v>4.6677697839999999</v>
      </c>
      <c r="H3168" s="3">
        <v>9.3600000000000002E-7</v>
      </c>
      <c r="I3168" s="2" t="s">
        <v>15896</v>
      </c>
      <c r="J3168" s="2" t="s">
        <v>15897</v>
      </c>
      <c r="K3168" s="3">
        <v>4.16E-6</v>
      </c>
      <c r="L3168" s="2" t="s">
        <v>1178</v>
      </c>
      <c r="M3168" s="4" t="s">
        <v>15898</v>
      </c>
    </row>
    <row r="3169" spans="1:13">
      <c r="A3169" s="2">
        <v>2558</v>
      </c>
      <c r="B3169" s="2" t="s">
        <v>15899</v>
      </c>
      <c r="C3169" s="2">
        <v>16</v>
      </c>
      <c r="D3169" s="2">
        <v>556</v>
      </c>
      <c r="E3169" s="2">
        <v>199</v>
      </c>
      <c r="F3169" s="2">
        <v>32441</v>
      </c>
      <c r="G3169" s="2">
        <v>4.6912259140000003</v>
      </c>
      <c r="H3169" s="3">
        <v>8.8000000000000004E-7</v>
      </c>
      <c r="I3169" s="2" t="s">
        <v>15900</v>
      </c>
      <c r="J3169" s="2" t="s">
        <v>15901</v>
      </c>
      <c r="K3169" s="3">
        <v>4.16E-6</v>
      </c>
      <c r="L3169" s="2" t="s">
        <v>1178</v>
      </c>
      <c r="M3169" s="4" t="s">
        <v>15902</v>
      </c>
    </row>
    <row r="3170" spans="1:13">
      <c r="A3170" s="2">
        <v>25611</v>
      </c>
      <c r="B3170" s="2" t="s">
        <v>2571</v>
      </c>
      <c r="C3170" s="2">
        <v>16</v>
      </c>
      <c r="D3170" s="2">
        <v>556</v>
      </c>
      <c r="E3170" s="2">
        <v>200</v>
      </c>
      <c r="F3170" s="2">
        <v>32441</v>
      </c>
      <c r="G3170" s="2">
        <v>4.6677697839999999</v>
      </c>
      <c r="H3170" s="3">
        <v>9.3600000000000002E-7</v>
      </c>
      <c r="I3170" s="2" t="s">
        <v>15903</v>
      </c>
      <c r="J3170" s="2" t="s">
        <v>15904</v>
      </c>
      <c r="K3170" s="3">
        <v>4.16E-6</v>
      </c>
      <c r="L3170" s="2" t="s">
        <v>1178</v>
      </c>
      <c r="M3170" s="4" t="s">
        <v>15905</v>
      </c>
    </row>
    <row r="3171" spans="1:13">
      <c r="A3171" s="2">
        <v>25871</v>
      </c>
      <c r="B3171" s="2" t="s">
        <v>15906</v>
      </c>
      <c r="C3171" s="2">
        <v>16</v>
      </c>
      <c r="D3171" s="2">
        <v>556</v>
      </c>
      <c r="E3171" s="2">
        <v>199</v>
      </c>
      <c r="F3171" s="2">
        <v>32441</v>
      </c>
      <c r="G3171" s="2">
        <v>4.6912259140000003</v>
      </c>
      <c r="H3171" s="3">
        <v>8.8000000000000004E-7</v>
      </c>
      <c r="I3171" s="2" t="s">
        <v>15907</v>
      </c>
      <c r="J3171" s="2" t="s">
        <v>15908</v>
      </c>
      <c r="K3171" s="3">
        <v>4.16E-6</v>
      </c>
      <c r="L3171" s="2" t="s">
        <v>1178</v>
      </c>
      <c r="M3171" s="4" t="s">
        <v>15909</v>
      </c>
    </row>
    <row r="3172" spans="1:13">
      <c r="A3172" s="2">
        <v>25891</v>
      </c>
      <c r="B3172" s="2" t="s">
        <v>15910</v>
      </c>
      <c r="C3172" s="2">
        <v>16</v>
      </c>
      <c r="D3172" s="2">
        <v>556</v>
      </c>
      <c r="E3172" s="2">
        <v>200</v>
      </c>
      <c r="F3172" s="2">
        <v>32441</v>
      </c>
      <c r="G3172" s="2">
        <v>4.6677697839999999</v>
      </c>
      <c r="H3172" s="3">
        <v>9.3600000000000002E-7</v>
      </c>
      <c r="I3172" s="2" t="s">
        <v>15911</v>
      </c>
      <c r="J3172" s="2" t="s">
        <v>15912</v>
      </c>
      <c r="K3172" s="3">
        <v>4.16E-6</v>
      </c>
      <c r="L3172" s="2" t="s">
        <v>1178</v>
      </c>
      <c r="M3172" s="4" t="s">
        <v>15913</v>
      </c>
    </row>
    <row r="3173" spans="1:13">
      <c r="A3173" s="2">
        <v>26271</v>
      </c>
      <c r="B3173" s="2" t="s">
        <v>15914</v>
      </c>
      <c r="C3173" s="2">
        <v>16</v>
      </c>
      <c r="D3173" s="2">
        <v>556</v>
      </c>
      <c r="E3173" s="2">
        <v>200</v>
      </c>
      <c r="F3173" s="2">
        <v>32441</v>
      </c>
      <c r="G3173" s="2">
        <v>4.6677697839999999</v>
      </c>
      <c r="H3173" s="3">
        <v>9.3600000000000002E-7</v>
      </c>
      <c r="I3173" s="2" t="s">
        <v>15915</v>
      </c>
      <c r="J3173" s="2" t="s">
        <v>15916</v>
      </c>
      <c r="K3173" s="3">
        <v>4.16E-6</v>
      </c>
      <c r="L3173" s="2" t="s">
        <v>1178</v>
      </c>
      <c r="M3173" s="4" t="s">
        <v>15917</v>
      </c>
    </row>
    <row r="3174" spans="1:13">
      <c r="A3174" s="2">
        <v>26341</v>
      </c>
      <c r="B3174" s="2" t="s">
        <v>15918</v>
      </c>
      <c r="C3174" s="2">
        <v>16</v>
      </c>
      <c r="D3174" s="2">
        <v>556</v>
      </c>
      <c r="E3174" s="2">
        <v>200</v>
      </c>
      <c r="F3174" s="2">
        <v>32441</v>
      </c>
      <c r="G3174" s="2">
        <v>4.6677697839999999</v>
      </c>
      <c r="H3174" s="3">
        <v>9.3600000000000002E-7</v>
      </c>
      <c r="I3174" s="2" t="s">
        <v>15919</v>
      </c>
      <c r="J3174" s="2" t="s">
        <v>15920</v>
      </c>
      <c r="K3174" s="3">
        <v>4.16E-6</v>
      </c>
      <c r="L3174" s="2" t="s">
        <v>1178</v>
      </c>
      <c r="M3174" s="4" t="s">
        <v>15921</v>
      </c>
    </row>
    <row r="3175" spans="1:13">
      <c r="A3175" s="2">
        <v>2645</v>
      </c>
      <c r="B3175" s="2" t="s">
        <v>15922</v>
      </c>
      <c r="C3175" s="2">
        <v>16</v>
      </c>
      <c r="D3175" s="2">
        <v>556</v>
      </c>
      <c r="E3175" s="2">
        <v>200</v>
      </c>
      <c r="F3175" s="2">
        <v>32441</v>
      </c>
      <c r="G3175" s="2">
        <v>4.6677697839999999</v>
      </c>
      <c r="H3175" s="3">
        <v>9.3600000000000002E-7</v>
      </c>
      <c r="I3175" s="2" t="s">
        <v>15923</v>
      </c>
      <c r="J3175" s="2" t="s">
        <v>15924</v>
      </c>
      <c r="K3175" s="3">
        <v>4.16E-6</v>
      </c>
      <c r="L3175" s="2" t="s">
        <v>1178</v>
      </c>
      <c r="M3175" s="4" t="s">
        <v>15925</v>
      </c>
    </row>
    <row r="3176" spans="1:13">
      <c r="A3176" s="2">
        <v>26801</v>
      </c>
      <c r="B3176" s="2" t="s">
        <v>15926</v>
      </c>
      <c r="C3176" s="2">
        <v>15</v>
      </c>
      <c r="D3176" s="2">
        <v>556</v>
      </c>
      <c r="E3176" s="2">
        <v>174</v>
      </c>
      <c r="F3176" s="2">
        <v>32441</v>
      </c>
      <c r="G3176" s="2">
        <v>5.0299243359999997</v>
      </c>
      <c r="H3176" s="3">
        <v>8.5799999999999998E-7</v>
      </c>
      <c r="I3176" s="2" t="s">
        <v>15927</v>
      </c>
      <c r="J3176" s="2" t="s">
        <v>15928</v>
      </c>
      <c r="K3176" s="3">
        <v>4.16E-6</v>
      </c>
      <c r="L3176" s="2" t="s">
        <v>1178</v>
      </c>
      <c r="M3176" s="4" t="s">
        <v>15929</v>
      </c>
    </row>
    <row r="3177" spans="1:13">
      <c r="A3177" s="2">
        <v>2690</v>
      </c>
      <c r="B3177" s="2" t="s">
        <v>15930</v>
      </c>
      <c r="C3177" s="2">
        <v>16</v>
      </c>
      <c r="D3177" s="2">
        <v>556</v>
      </c>
      <c r="E3177" s="2">
        <v>200</v>
      </c>
      <c r="F3177" s="2">
        <v>32441</v>
      </c>
      <c r="G3177" s="2">
        <v>4.6677697839999999</v>
      </c>
      <c r="H3177" s="3">
        <v>9.3600000000000002E-7</v>
      </c>
      <c r="I3177" s="2" t="s">
        <v>15931</v>
      </c>
      <c r="J3177" s="2" t="s">
        <v>15932</v>
      </c>
      <c r="K3177" s="3">
        <v>4.16E-6</v>
      </c>
      <c r="L3177" s="2" t="s">
        <v>1178</v>
      </c>
      <c r="M3177" s="4" t="s">
        <v>15933</v>
      </c>
    </row>
    <row r="3178" spans="1:13">
      <c r="A3178" s="2">
        <v>27791</v>
      </c>
      <c r="B3178" s="2" t="s">
        <v>15934</v>
      </c>
      <c r="C3178" s="2">
        <v>16</v>
      </c>
      <c r="D3178" s="2">
        <v>556</v>
      </c>
      <c r="E3178" s="2">
        <v>200</v>
      </c>
      <c r="F3178" s="2">
        <v>32441</v>
      </c>
      <c r="G3178" s="2">
        <v>4.6677697839999999</v>
      </c>
      <c r="H3178" s="3">
        <v>9.3600000000000002E-7</v>
      </c>
      <c r="I3178" s="2" t="s">
        <v>15935</v>
      </c>
      <c r="J3178" s="2" t="s">
        <v>15936</v>
      </c>
      <c r="K3178" s="3">
        <v>4.16E-6</v>
      </c>
      <c r="L3178" s="2" t="s">
        <v>1178</v>
      </c>
      <c r="M3178" s="4" t="s">
        <v>15937</v>
      </c>
    </row>
    <row r="3179" spans="1:13">
      <c r="A3179" s="2">
        <v>27831</v>
      </c>
      <c r="B3179" s="2" t="s">
        <v>15938</v>
      </c>
      <c r="C3179" s="2">
        <v>15</v>
      </c>
      <c r="D3179" s="2">
        <v>556</v>
      </c>
      <c r="E3179" s="2">
        <v>174</v>
      </c>
      <c r="F3179" s="2">
        <v>32441</v>
      </c>
      <c r="G3179" s="2">
        <v>5.0299243359999997</v>
      </c>
      <c r="H3179" s="3">
        <v>8.5799999999999998E-7</v>
      </c>
      <c r="I3179" s="2" t="s">
        <v>15939</v>
      </c>
      <c r="J3179" s="2" t="s">
        <v>15940</v>
      </c>
      <c r="K3179" s="3">
        <v>4.16E-6</v>
      </c>
      <c r="L3179" s="2" t="s">
        <v>1178</v>
      </c>
      <c r="M3179" s="4" t="s">
        <v>15941</v>
      </c>
    </row>
    <row r="3180" spans="1:13">
      <c r="A3180" s="2">
        <v>28381</v>
      </c>
      <c r="B3180" s="2" t="s">
        <v>15942</v>
      </c>
      <c r="C3180" s="2">
        <v>16</v>
      </c>
      <c r="D3180" s="2">
        <v>556</v>
      </c>
      <c r="E3180" s="2">
        <v>200</v>
      </c>
      <c r="F3180" s="2">
        <v>32441</v>
      </c>
      <c r="G3180" s="2">
        <v>4.6677697839999999</v>
      </c>
      <c r="H3180" s="3">
        <v>9.3600000000000002E-7</v>
      </c>
      <c r="I3180" s="2" t="s">
        <v>15943</v>
      </c>
      <c r="J3180" s="2" t="s">
        <v>15944</v>
      </c>
      <c r="K3180" s="3">
        <v>4.16E-6</v>
      </c>
      <c r="L3180" s="2" t="s">
        <v>1178</v>
      </c>
      <c r="M3180" s="4" t="s">
        <v>15945</v>
      </c>
    </row>
    <row r="3181" spans="1:13">
      <c r="A3181" s="2">
        <v>2929</v>
      </c>
      <c r="B3181" s="2" t="s">
        <v>15946</v>
      </c>
      <c r="C3181" s="2">
        <v>16</v>
      </c>
      <c r="D3181" s="2">
        <v>556</v>
      </c>
      <c r="E3181" s="2">
        <v>200</v>
      </c>
      <c r="F3181" s="2">
        <v>32441</v>
      </c>
      <c r="G3181" s="2">
        <v>4.6677697839999999</v>
      </c>
      <c r="H3181" s="3">
        <v>9.3600000000000002E-7</v>
      </c>
      <c r="I3181" s="2" t="s">
        <v>15947</v>
      </c>
      <c r="J3181" s="2" t="s">
        <v>15948</v>
      </c>
      <c r="K3181" s="3">
        <v>4.16E-6</v>
      </c>
      <c r="L3181" s="2" t="s">
        <v>1178</v>
      </c>
      <c r="M3181" s="4" t="s">
        <v>15949</v>
      </c>
    </row>
    <row r="3182" spans="1:13">
      <c r="A3182" s="2">
        <v>2936</v>
      </c>
      <c r="B3182" s="2" t="s">
        <v>15950</v>
      </c>
      <c r="C3182" s="2">
        <v>16</v>
      </c>
      <c r="D3182" s="2">
        <v>556</v>
      </c>
      <c r="E3182" s="2">
        <v>200</v>
      </c>
      <c r="F3182" s="2">
        <v>32441</v>
      </c>
      <c r="G3182" s="2">
        <v>4.6677697839999999</v>
      </c>
      <c r="H3182" s="3">
        <v>9.3600000000000002E-7</v>
      </c>
      <c r="I3182" s="2" t="s">
        <v>15951</v>
      </c>
      <c r="J3182" s="2" t="s">
        <v>15952</v>
      </c>
      <c r="K3182" s="3">
        <v>4.16E-6</v>
      </c>
      <c r="L3182" s="2" t="s">
        <v>1178</v>
      </c>
      <c r="M3182" s="4" t="s">
        <v>15953</v>
      </c>
    </row>
    <row r="3183" spans="1:13">
      <c r="A3183" s="2">
        <v>2944</v>
      </c>
      <c r="B3183" s="2" t="s">
        <v>2217</v>
      </c>
      <c r="C3183" s="2">
        <v>16</v>
      </c>
      <c r="D3183" s="2">
        <v>556</v>
      </c>
      <c r="E3183" s="2">
        <v>200</v>
      </c>
      <c r="F3183" s="2">
        <v>32441</v>
      </c>
      <c r="G3183" s="2">
        <v>4.6677697839999999</v>
      </c>
      <c r="H3183" s="3">
        <v>9.3600000000000002E-7</v>
      </c>
      <c r="I3183" s="2" t="s">
        <v>15954</v>
      </c>
      <c r="J3183" s="2" t="s">
        <v>15955</v>
      </c>
      <c r="K3183" s="3">
        <v>4.16E-6</v>
      </c>
      <c r="L3183" s="2" t="s">
        <v>1178</v>
      </c>
      <c r="M3183" s="4" t="s">
        <v>15956</v>
      </c>
    </row>
    <row r="3184" spans="1:13">
      <c r="A3184" s="2">
        <v>2956</v>
      </c>
      <c r="B3184" s="2" t="s">
        <v>2604</v>
      </c>
      <c r="C3184" s="2">
        <v>16</v>
      </c>
      <c r="D3184" s="2">
        <v>556</v>
      </c>
      <c r="E3184" s="2">
        <v>200</v>
      </c>
      <c r="F3184" s="2">
        <v>32441</v>
      </c>
      <c r="G3184" s="2">
        <v>4.6677697839999999</v>
      </c>
      <c r="H3184" s="3">
        <v>9.3600000000000002E-7</v>
      </c>
      <c r="I3184" s="2" t="s">
        <v>15957</v>
      </c>
      <c r="J3184" s="2" t="s">
        <v>15958</v>
      </c>
      <c r="K3184" s="3">
        <v>4.16E-6</v>
      </c>
      <c r="L3184" s="2" t="s">
        <v>1178</v>
      </c>
      <c r="M3184" s="4" t="s">
        <v>15959</v>
      </c>
    </row>
    <row r="3185" spans="1:13">
      <c r="A3185" s="2">
        <v>3077</v>
      </c>
      <c r="B3185" s="2" t="s">
        <v>15960</v>
      </c>
      <c r="C3185" s="2">
        <v>16</v>
      </c>
      <c r="D3185" s="2">
        <v>556</v>
      </c>
      <c r="E3185" s="2">
        <v>199</v>
      </c>
      <c r="F3185" s="2">
        <v>32441</v>
      </c>
      <c r="G3185" s="2">
        <v>4.6912259140000003</v>
      </c>
      <c r="H3185" s="3">
        <v>8.8000000000000004E-7</v>
      </c>
      <c r="I3185" s="2" t="s">
        <v>15961</v>
      </c>
      <c r="J3185" s="2" t="s">
        <v>15962</v>
      </c>
      <c r="K3185" s="3">
        <v>4.16E-6</v>
      </c>
      <c r="L3185" s="2" t="s">
        <v>1178</v>
      </c>
      <c r="M3185" s="4" t="s">
        <v>15963</v>
      </c>
    </row>
    <row r="3186" spans="1:13">
      <c r="A3186" s="2">
        <v>3088</v>
      </c>
      <c r="B3186" s="2" t="s">
        <v>15964</v>
      </c>
      <c r="C3186" s="2">
        <v>16</v>
      </c>
      <c r="D3186" s="2">
        <v>556</v>
      </c>
      <c r="E3186" s="2">
        <v>199</v>
      </c>
      <c r="F3186" s="2">
        <v>32441</v>
      </c>
      <c r="G3186" s="2">
        <v>4.6912259140000003</v>
      </c>
      <c r="H3186" s="3">
        <v>8.8000000000000004E-7</v>
      </c>
      <c r="I3186" s="2" t="s">
        <v>15965</v>
      </c>
      <c r="J3186" s="2" t="s">
        <v>15966</v>
      </c>
      <c r="K3186" s="3">
        <v>4.16E-6</v>
      </c>
      <c r="L3186" s="2" t="s">
        <v>1178</v>
      </c>
      <c r="M3186" s="4" t="s">
        <v>15967</v>
      </c>
    </row>
    <row r="3187" spans="1:13">
      <c r="A3187" s="2">
        <v>3092</v>
      </c>
      <c r="B3187" s="2" t="s">
        <v>15968</v>
      </c>
      <c r="C3187" s="2">
        <v>16</v>
      </c>
      <c r="D3187" s="2">
        <v>556</v>
      </c>
      <c r="E3187" s="2">
        <v>200</v>
      </c>
      <c r="F3187" s="2">
        <v>32441</v>
      </c>
      <c r="G3187" s="2">
        <v>4.6677697839999999</v>
      </c>
      <c r="H3187" s="3">
        <v>9.3600000000000002E-7</v>
      </c>
      <c r="I3187" s="2" t="s">
        <v>15969</v>
      </c>
      <c r="J3187" s="2" t="s">
        <v>15970</v>
      </c>
      <c r="K3187" s="3">
        <v>4.16E-6</v>
      </c>
      <c r="L3187" s="2" t="s">
        <v>1178</v>
      </c>
      <c r="M3187" s="4" t="s">
        <v>15971</v>
      </c>
    </row>
    <row r="3188" spans="1:13">
      <c r="A3188" s="2">
        <v>31341</v>
      </c>
      <c r="B3188" s="2" t="s">
        <v>15972</v>
      </c>
      <c r="C3188" s="2">
        <v>16</v>
      </c>
      <c r="D3188" s="2">
        <v>556</v>
      </c>
      <c r="E3188" s="2">
        <v>200</v>
      </c>
      <c r="F3188" s="2">
        <v>32441</v>
      </c>
      <c r="G3188" s="2">
        <v>4.6677697839999999</v>
      </c>
      <c r="H3188" s="3">
        <v>9.3600000000000002E-7</v>
      </c>
      <c r="I3188" s="2" t="s">
        <v>15973</v>
      </c>
      <c r="J3188" s="2" t="s">
        <v>15974</v>
      </c>
      <c r="K3188" s="3">
        <v>4.16E-6</v>
      </c>
      <c r="L3188" s="2" t="s">
        <v>1178</v>
      </c>
      <c r="M3188" s="4" t="s">
        <v>15975</v>
      </c>
    </row>
    <row r="3189" spans="1:13">
      <c r="A3189" s="2">
        <v>3149</v>
      </c>
      <c r="B3189" s="2" t="s">
        <v>15976</v>
      </c>
      <c r="C3189" s="2">
        <v>16</v>
      </c>
      <c r="D3189" s="2">
        <v>556</v>
      </c>
      <c r="E3189" s="2">
        <v>200</v>
      </c>
      <c r="F3189" s="2">
        <v>32441</v>
      </c>
      <c r="G3189" s="2">
        <v>4.6677697839999999</v>
      </c>
      <c r="H3189" s="3">
        <v>9.3600000000000002E-7</v>
      </c>
      <c r="I3189" s="2" t="s">
        <v>15977</v>
      </c>
      <c r="J3189" s="2" t="s">
        <v>15978</v>
      </c>
      <c r="K3189" s="3">
        <v>4.16E-6</v>
      </c>
      <c r="L3189" s="2" t="s">
        <v>1178</v>
      </c>
      <c r="M3189" s="4" t="s">
        <v>15979</v>
      </c>
    </row>
    <row r="3190" spans="1:13">
      <c r="A3190" s="2">
        <v>3159</v>
      </c>
      <c r="B3190" s="2" t="s">
        <v>15980</v>
      </c>
      <c r="C3190" s="2">
        <v>16</v>
      </c>
      <c r="D3190" s="2">
        <v>556</v>
      </c>
      <c r="E3190" s="2">
        <v>200</v>
      </c>
      <c r="F3190" s="2">
        <v>32441</v>
      </c>
      <c r="G3190" s="2">
        <v>4.6677697839999999</v>
      </c>
      <c r="H3190" s="3">
        <v>9.3600000000000002E-7</v>
      </c>
      <c r="I3190" s="2" t="s">
        <v>15981</v>
      </c>
      <c r="J3190" s="2" t="s">
        <v>15982</v>
      </c>
      <c r="K3190" s="3">
        <v>4.16E-6</v>
      </c>
      <c r="L3190" s="2" t="s">
        <v>1178</v>
      </c>
      <c r="M3190" s="4" t="s">
        <v>15983</v>
      </c>
    </row>
    <row r="3191" spans="1:13">
      <c r="A3191" s="2">
        <v>3178</v>
      </c>
      <c r="B3191" s="2" t="s">
        <v>15984</v>
      </c>
      <c r="C3191" s="2">
        <v>16</v>
      </c>
      <c r="D3191" s="2">
        <v>556</v>
      </c>
      <c r="E3191" s="2">
        <v>199</v>
      </c>
      <c r="F3191" s="2">
        <v>32441</v>
      </c>
      <c r="G3191" s="2">
        <v>4.6912259140000003</v>
      </c>
      <c r="H3191" s="3">
        <v>8.8000000000000004E-7</v>
      </c>
      <c r="I3191" s="2" t="s">
        <v>15985</v>
      </c>
      <c r="J3191" s="2" t="s">
        <v>15986</v>
      </c>
      <c r="K3191" s="3">
        <v>4.16E-6</v>
      </c>
      <c r="L3191" s="2" t="s">
        <v>1178</v>
      </c>
      <c r="M3191" s="4" t="s">
        <v>15987</v>
      </c>
    </row>
    <row r="3192" spans="1:13">
      <c r="A3192" s="2">
        <v>3223</v>
      </c>
      <c r="B3192" s="2" t="s">
        <v>3216</v>
      </c>
      <c r="C3192" s="2">
        <v>16</v>
      </c>
      <c r="D3192" s="2">
        <v>556</v>
      </c>
      <c r="E3192" s="2">
        <v>200</v>
      </c>
      <c r="F3192" s="2">
        <v>32441</v>
      </c>
      <c r="G3192" s="2">
        <v>4.6677697839999999</v>
      </c>
      <c r="H3192" s="3">
        <v>9.3600000000000002E-7</v>
      </c>
      <c r="I3192" s="2" t="s">
        <v>15988</v>
      </c>
      <c r="J3192" s="2" t="s">
        <v>15989</v>
      </c>
      <c r="K3192" s="3">
        <v>4.16E-6</v>
      </c>
      <c r="L3192" s="2" t="s">
        <v>1178</v>
      </c>
      <c r="M3192" s="4" t="s">
        <v>3219</v>
      </c>
    </row>
    <row r="3193" spans="1:13">
      <c r="A3193" s="2">
        <v>3251</v>
      </c>
      <c r="B3193" s="2" t="s">
        <v>15990</v>
      </c>
      <c r="C3193" s="2">
        <v>16</v>
      </c>
      <c r="D3193" s="2">
        <v>556</v>
      </c>
      <c r="E3193" s="2">
        <v>200</v>
      </c>
      <c r="F3193" s="2">
        <v>32441</v>
      </c>
      <c r="G3193" s="2">
        <v>4.6677697839999999</v>
      </c>
      <c r="H3193" s="3">
        <v>9.3600000000000002E-7</v>
      </c>
      <c r="I3193" s="2" t="s">
        <v>15991</v>
      </c>
      <c r="J3193" s="2" t="s">
        <v>15992</v>
      </c>
      <c r="K3193" s="3">
        <v>4.16E-6</v>
      </c>
      <c r="L3193" s="2" t="s">
        <v>1178</v>
      </c>
      <c r="M3193" s="4" t="s">
        <v>15993</v>
      </c>
    </row>
    <row r="3194" spans="1:13">
      <c r="A3194" s="2">
        <v>3259</v>
      </c>
      <c r="B3194" s="2" t="s">
        <v>1725</v>
      </c>
      <c r="C3194" s="2">
        <v>16</v>
      </c>
      <c r="D3194" s="2">
        <v>556</v>
      </c>
      <c r="E3194" s="2">
        <v>200</v>
      </c>
      <c r="F3194" s="2">
        <v>32441</v>
      </c>
      <c r="G3194" s="2">
        <v>4.6677697839999999</v>
      </c>
      <c r="H3194" s="3">
        <v>9.3600000000000002E-7</v>
      </c>
      <c r="I3194" s="2" t="s">
        <v>15994</v>
      </c>
      <c r="J3194" s="2" t="s">
        <v>15995</v>
      </c>
      <c r="K3194" s="3">
        <v>4.16E-6</v>
      </c>
      <c r="L3194" s="2" t="s">
        <v>1178</v>
      </c>
      <c r="M3194" s="4" t="s">
        <v>15996</v>
      </c>
    </row>
    <row r="3195" spans="1:13">
      <c r="A3195" s="2">
        <v>3319</v>
      </c>
      <c r="B3195" s="2" t="s">
        <v>15997</v>
      </c>
      <c r="C3195" s="2">
        <v>16</v>
      </c>
      <c r="D3195" s="2">
        <v>556</v>
      </c>
      <c r="E3195" s="2">
        <v>200</v>
      </c>
      <c r="F3195" s="2">
        <v>32441</v>
      </c>
      <c r="G3195" s="2">
        <v>4.6677697839999999</v>
      </c>
      <c r="H3195" s="3">
        <v>9.3600000000000002E-7</v>
      </c>
      <c r="I3195" s="2" t="s">
        <v>15998</v>
      </c>
      <c r="J3195" s="2" t="s">
        <v>15999</v>
      </c>
      <c r="K3195" s="3">
        <v>4.16E-6</v>
      </c>
      <c r="L3195" s="2" t="s">
        <v>1178</v>
      </c>
      <c r="M3195" s="4" t="s">
        <v>16000</v>
      </c>
    </row>
    <row r="3196" spans="1:13">
      <c r="A3196" s="2">
        <v>3364</v>
      </c>
      <c r="B3196" s="2" t="s">
        <v>16001</v>
      </c>
      <c r="C3196" s="2">
        <v>16</v>
      </c>
      <c r="D3196" s="2">
        <v>556</v>
      </c>
      <c r="E3196" s="2">
        <v>200</v>
      </c>
      <c r="F3196" s="2">
        <v>32441</v>
      </c>
      <c r="G3196" s="2">
        <v>4.6677697839999999</v>
      </c>
      <c r="H3196" s="3">
        <v>9.3600000000000002E-7</v>
      </c>
      <c r="I3196" s="2" t="s">
        <v>16002</v>
      </c>
      <c r="J3196" s="2" t="s">
        <v>16003</v>
      </c>
      <c r="K3196" s="3">
        <v>4.16E-6</v>
      </c>
      <c r="L3196" s="2" t="s">
        <v>1178</v>
      </c>
      <c r="M3196" s="4" t="s">
        <v>16004</v>
      </c>
    </row>
    <row r="3197" spans="1:13">
      <c r="A3197" s="2">
        <v>33811</v>
      </c>
      <c r="B3197" s="2" t="s">
        <v>16005</v>
      </c>
      <c r="C3197" s="2">
        <v>16</v>
      </c>
      <c r="D3197" s="2">
        <v>556</v>
      </c>
      <c r="E3197" s="2">
        <v>200</v>
      </c>
      <c r="F3197" s="2">
        <v>32441</v>
      </c>
      <c r="G3197" s="2">
        <v>4.6677697839999999</v>
      </c>
      <c r="H3197" s="3">
        <v>9.3600000000000002E-7</v>
      </c>
      <c r="I3197" s="2" t="s">
        <v>16006</v>
      </c>
      <c r="J3197" s="2" t="s">
        <v>16007</v>
      </c>
      <c r="K3197" s="3">
        <v>4.16E-6</v>
      </c>
      <c r="L3197" s="2" t="s">
        <v>1178</v>
      </c>
      <c r="M3197" s="4" t="s">
        <v>16008</v>
      </c>
    </row>
    <row r="3198" spans="1:13">
      <c r="A3198" s="2">
        <v>3401</v>
      </c>
      <c r="B3198" s="2" t="s">
        <v>16009</v>
      </c>
      <c r="C3198" s="2">
        <v>16</v>
      </c>
      <c r="D3198" s="2">
        <v>556</v>
      </c>
      <c r="E3198" s="2">
        <v>200</v>
      </c>
      <c r="F3198" s="2">
        <v>32441</v>
      </c>
      <c r="G3198" s="2">
        <v>4.6677697839999999</v>
      </c>
      <c r="H3198" s="3">
        <v>9.3600000000000002E-7</v>
      </c>
      <c r="I3198" s="2" t="s">
        <v>16010</v>
      </c>
      <c r="J3198" s="2" t="s">
        <v>16011</v>
      </c>
      <c r="K3198" s="3">
        <v>4.16E-6</v>
      </c>
      <c r="L3198" s="2" t="s">
        <v>1178</v>
      </c>
      <c r="M3198" s="4" t="s">
        <v>16012</v>
      </c>
    </row>
    <row r="3199" spans="1:13">
      <c r="A3199" s="2">
        <v>3404</v>
      </c>
      <c r="B3199" s="2" t="s">
        <v>16013</v>
      </c>
      <c r="C3199" s="2">
        <v>16</v>
      </c>
      <c r="D3199" s="2">
        <v>556</v>
      </c>
      <c r="E3199" s="2">
        <v>200</v>
      </c>
      <c r="F3199" s="2">
        <v>32441</v>
      </c>
      <c r="G3199" s="2">
        <v>4.6677697839999999</v>
      </c>
      <c r="H3199" s="3">
        <v>9.3600000000000002E-7</v>
      </c>
      <c r="I3199" s="2" t="s">
        <v>16014</v>
      </c>
      <c r="J3199" s="2" t="s">
        <v>16015</v>
      </c>
      <c r="K3199" s="3">
        <v>4.16E-6</v>
      </c>
      <c r="L3199" s="2" t="s">
        <v>1178</v>
      </c>
      <c r="M3199" s="4" t="s">
        <v>16016</v>
      </c>
    </row>
    <row r="3200" spans="1:13">
      <c r="A3200" s="2">
        <v>3434</v>
      </c>
      <c r="B3200" s="2" t="s">
        <v>16017</v>
      </c>
      <c r="C3200" s="2">
        <v>16</v>
      </c>
      <c r="D3200" s="2">
        <v>556</v>
      </c>
      <c r="E3200" s="2">
        <v>200</v>
      </c>
      <c r="F3200" s="2">
        <v>32441</v>
      </c>
      <c r="G3200" s="2">
        <v>4.6677697839999999</v>
      </c>
      <c r="H3200" s="3">
        <v>9.3600000000000002E-7</v>
      </c>
      <c r="I3200" s="2" t="s">
        <v>16018</v>
      </c>
      <c r="J3200" s="2" t="s">
        <v>16019</v>
      </c>
      <c r="K3200" s="3">
        <v>4.16E-6</v>
      </c>
      <c r="L3200" s="2" t="s">
        <v>1178</v>
      </c>
      <c r="M3200" s="4" t="s">
        <v>16020</v>
      </c>
    </row>
    <row r="3201" spans="1:13">
      <c r="A3201" s="2">
        <v>3472</v>
      </c>
      <c r="B3201" s="2" t="s">
        <v>16021</v>
      </c>
      <c r="C3201" s="2">
        <v>16</v>
      </c>
      <c r="D3201" s="2">
        <v>556</v>
      </c>
      <c r="E3201" s="2">
        <v>200</v>
      </c>
      <c r="F3201" s="2">
        <v>32441</v>
      </c>
      <c r="G3201" s="2">
        <v>4.6677697839999999</v>
      </c>
      <c r="H3201" s="3">
        <v>9.3600000000000002E-7</v>
      </c>
      <c r="I3201" s="2" t="s">
        <v>16022</v>
      </c>
      <c r="J3201" s="2" t="s">
        <v>16023</v>
      </c>
      <c r="K3201" s="3">
        <v>4.16E-6</v>
      </c>
      <c r="L3201" s="2" t="s">
        <v>1178</v>
      </c>
      <c r="M3201" s="4" t="s">
        <v>16024</v>
      </c>
    </row>
    <row r="3202" spans="1:13">
      <c r="A3202" s="2">
        <v>3561</v>
      </c>
      <c r="B3202" s="2" t="s">
        <v>16025</v>
      </c>
      <c r="C3202" s="2">
        <v>16</v>
      </c>
      <c r="D3202" s="2">
        <v>556</v>
      </c>
      <c r="E3202" s="2">
        <v>200</v>
      </c>
      <c r="F3202" s="2">
        <v>32441</v>
      </c>
      <c r="G3202" s="2">
        <v>4.6677697839999999</v>
      </c>
      <c r="H3202" s="3">
        <v>9.3600000000000002E-7</v>
      </c>
      <c r="I3202" s="2" t="s">
        <v>16026</v>
      </c>
      <c r="J3202" s="2" t="s">
        <v>16027</v>
      </c>
      <c r="K3202" s="3">
        <v>4.16E-6</v>
      </c>
      <c r="L3202" s="2" t="s">
        <v>1178</v>
      </c>
      <c r="M3202" s="4" t="s">
        <v>16028</v>
      </c>
    </row>
    <row r="3203" spans="1:13">
      <c r="A3203" s="2">
        <v>3607</v>
      </c>
      <c r="B3203" s="2" t="s">
        <v>16029</v>
      </c>
      <c r="C3203" s="2">
        <v>16</v>
      </c>
      <c r="D3203" s="2">
        <v>556</v>
      </c>
      <c r="E3203" s="2">
        <v>200</v>
      </c>
      <c r="F3203" s="2">
        <v>32441</v>
      </c>
      <c r="G3203" s="2">
        <v>4.6677697839999999</v>
      </c>
      <c r="H3203" s="3">
        <v>9.3600000000000002E-7</v>
      </c>
      <c r="I3203" s="2" t="s">
        <v>16030</v>
      </c>
      <c r="J3203" s="2" t="s">
        <v>16031</v>
      </c>
      <c r="K3203" s="3">
        <v>4.16E-6</v>
      </c>
      <c r="L3203" s="2" t="s">
        <v>1178</v>
      </c>
      <c r="M3203" s="4" t="s">
        <v>16032</v>
      </c>
    </row>
    <row r="3204" spans="1:13">
      <c r="A3204" s="2">
        <v>36411</v>
      </c>
      <c r="B3204" s="2" t="s">
        <v>16033</v>
      </c>
      <c r="C3204" s="2">
        <v>16</v>
      </c>
      <c r="D3204" s="2">
        <v>556</v>
      </c>
      <c r="E3204" s="2">
        <v>200</v>
      </c>
      <c r="F3204" s="2">
        <v>32441</v>
      </c>
      <c r="G3204" s="2">
        <v>4.6677697839999999</v>
      </c>
      <c r="H3204" s="3">
        <v>9.3600000000000002E-7</v>
      </c>
      <c r="I3204" s="2" t="s">
        <v>16034</v>
      </c>
      <c r="J3204" s="2" t="s">
        <v>16035</v>
      </c>
      <c r="K3204" s="3">
        <v>4.16E-6</v>
      </c>
      <c r="L3204" s="2" t="s">
        <v>1178</v>
      </c>
      <c r="M3204" s="4" t="s">
        <v>16036</v>
      </c>
    </row>
    <row r="3205" spans="1:13">
      <c r="A3205" s="2">
        <v>36421</v>
      </c>
      <c r="B3205" s="2" t="s">
        <v>16037</v>
      </c>
      <c r="C3205" s="2">
        <v>16</v>
      </c>
      <c r="D3205" s="2">
        <v>556</v>
      </c>
      <c r="E3205" s="2">
        <v>200</v>
      </c>
      <c r="F3205" s="2">
        <v>32441</v>
      </c>
      <c r="G3205" s="2">
        <v>4.6677697839999999</v>
      </c>
      <c r="H3205" s="3">
        <v>9.3600000000000002E-7</v>
      </c>
      <c r="I3205" s="2" t="s">
        <v>16038</v>
      </c>
      <c r="J3205" s="2" t="s">
        <v>16039</v>
      </c>
      <c r="K3205" s="3">
        <v>4.16E-6</v>
      </c>
      <c r="L3205" s="2" t="s">
        <v>1178</v>
      </c>
      <c r="M3205" s="4" t="s">
        <v>16040</v>
      </c>
    </row>
    <row r="3206" spans="1:13">
      <c r="A3206" s="2">
        <v>36701</v>
      </c>
      <c r="B3206" s="2" t="s">
        <v>16041</v>
      </c>
      <c r="C3206" s="2">
        <v>16</v>
      </c>
      <c r="D3206" s="2">
        <v>556</v>
      </c>
      <c r="E3206" s="2">
        <v>200</v>
      </c>
      <c r="F3206" s="2">
        <v>32441</v>
      </c>
      <c r="G3206" s="2">
        <v>4.6677697839999999</v>
      </c>
      <c r="H3206" s="3">
        <v>9.3600000000000002E-7</v>
      </c>
      <c r="I3206" s="2" t="s">
        <v>16042</v>
      </c>
      <c r="J3206" s="2" t="s">
        <v>16043</v>
      </c>
      <c r="K3206" s="3">
        <v>4.16E-6</v>
      </c>
      <c r="L3206" s="2" t="s">
        <v>1178</v>
      </c>
      <c r="M3206" s="4" t="s">
        <v>16044</v>
      </c>
    </row>
    <row r="3207" spans="1:13">
      <c r="A3207" s="2">
        <v>3727</v>
      </c>
      <c r="B3207" s="2" t="s">
        <v>16045</v>
      </c>
      <c r="C3207" s="2">
        <v>16</v>
      </c>
      <c r="D3207" s="2">
        <v>556</v>
      </c>
      <c r="E3207" s="2">
        <v>200</v>
      </c>
      <c r="F3207" s="2">
        <v>32441</v>
      </c>
      <c r="G3207" s="2">
        <v>4.6677697839999999</v>
      </c>
      <c r="H3207" s="3">
        <v>9.3600000000000002E-7</v>
      </c>
      <c r="I3207" s="2" t="s">
        <v>16046</v>
      </c>
      <c r="J3207" s="2" t="s">
        <v>16047</v>
      </c>
      <c r="K3207" s="3">
        <v>4.16E-6</v>
      </c>
      <c r="L3207" s="2" t="s">
        <v>1178</v>
      </c>
      <c r="M3207" s="4" t="s">
        <v>16048</v>
      </c>
    </row>
    <row r="3208" spans="1:13">
      <c r="A3208" s="2">
        <v>3783</v>
      </c>
      <c r="B3208" s="2" t="s">
        <v>16049</v>
      </c>
      <c r="C3208" s="2">
        <v>16</v>
      </c>
      <c r="D3208" s="2">
        <v>556</v>
      </c>
      <c r="E3208" s="2">
        <v>200</v>
      </c>
      <c r="F3208" s="2">
        <v>32441</v>
      </c>
      <c r="G3208" s="2">
        <v>4.6677697839999999</v>
      </c>
      <c r="H3208" s="3">
        <v>9.3600000000000002E-7</v>
      </c>
      <c r="I3208" s="2" t="s">
        <v>16050</v>
      </c>
      <c r="J3208" s="2" t="s">
        <v>16051</v>
      </c>
      <c r="K3208" s="3">
        <v>4.16E-6</v>
      </c>
      <c r="L3208" s="2" t="s">
        <v>1178</v>
      </c>
      <c r="M3208" s="4" t="s">
        <v>16052</v>
      </c>
    </row>
    <row r="3209" spans="1:13">
      <c r="A3209" s="2">
        <v>38261</v>
      </c>
      <c r="B3209" s="2" t="s">
        <v>16053</v>
      </c>
      <c r="C3209" s="2">
        <v>16</v>
      </c>
      <c r="D3209" s="2">
        <v>556</v>
      </c>
      <c r="E3209" s="2">
        <v>199</v>
      </c>
      <c r="F3209" s="2">
        <v>32441</v>
      </c>
      <c r="G3209" s="2">
        <v>4.6912259140000003</v>
      </c>
      <c r="H3209" s="3">
        <v>8.8000000000000004E-7</v>
      </c>
      <c r="I3209" s="2" t="s">
        <v>16054</v>
      </c>
      <c r="J3209" s="2" t="s">
        <v>16055</v>
      </c>
      <c r="K3209" s="3">
        <v>4.16E-6</v>
      </c>
      <c r="L3209" s="2" t="s">
        <v>1178</v>
      </c>
      <c r="M3209" s="4" t="s">
        <v>16056</v>
      </c>
    </row>
    <row r="3210" spans="1:13">
      <c r="A3210" s="2">
        <v>3850</v>
      </c>
      <c r="B3210" s="2" t="s">
        <v>16057</v>
      </c>
      <c r="C3210" s="2">
        <v>16</v>
      </c>
      <c r="D3210" s="2">
        <v>556</v>
      </c>
      <c r="E3210" s="2">
        <v>200</v>
      </c>
      <c r="F3210" s="2">
        <v>32441</v>
      </c>
      <c r="G3210" s="2">
        <v>4.6677697839999999</v>
      </c>
      <c r="H3210" s="3">
        <v>9.3600000000000002E-7</v>
      </c>
      <c r="I3210" s="2" t="s">
        <v>16058</v>
      </c>
      <c r="J3210" s="2" t="s">
        <v>16059</v>
      </c>
      <c r="K3210" s="3">
        <v>4.16E-6</v>
      </c>
      <c r="L3210" s="2" t="s">
        <v>1178</v>
      </c>
      <c r="M3210" s="4" t="s">
        <v>16060</v>
      </c>
    </row>
    <row r="3211" spans="1:13">
      <c r="A3211" s="2">
        <v>39121</v>
      </c>
      <c r="B3211" s="2" t="s">
        <v>16061</v>
      </c>
      <c r="C3211" s="2">
        <v>16</v>
      </c>
      <c r="D3211" s="2">
        <v>556</v>
      </c>
      <c r="E3211" s="2">
        <v>200</v>
      </c>
      <c r="F3211" s="2">
        <v>32441</v>
      </c>
      <c r="G3211" s="2">
        <v>4.6677697839999999</v>
      </c>
      <c r="H3211" s="3">
        <v>9.3600000000000002E-7</v>
      </c>
      <c r="I3211" s="2" t="s">
        <v>16062</v>
      </c>
      <c r="J3211" s="2" t="s">
        <v>16063</v>
      </c>
      <c r="K3211" s="3">
        <v>4.16E-6</v>
      </c>
      <c r="L3211" s="2" t="s">
        <v>1178</v>
      </c>
      <c r="M3211" s="4" t="s">
        <v>16064</v>
      </c>
    </row>
    <row r="3212" spans="1:13">
      <c r="A3212" s="2">
        <v>3915</v>
      </c>
      <c r="B3212" s="2" t="s">
        <v>16065</v>
      </c>
      <c r="C3212" s="2">
        <v>16</v>
      </c>
      <c r="D3212" s="2">
        <v>556</v>
      </c>
      <c r="E3212" s="2">
        <v>200</v>
      </c>
      <c r="F3212" s="2">
        <v>32441</v>
      </c>
      <c r="G3212" s="2">
        <v>4.6677697839999999</v>
      </c>
      <c r="H3212" s="3">
        <v>9.3600000000000002E-7</v>
      </c>
      <c r="I3212" s="2" t="s">
        <v>16066</v>
      </c>
      <c r="J3212" s="2" t="s">
        <v>16067</v>
      </c>
      <c r="K3212" s="3">
        <v>4.16E-6</v>
      </c>
      <c r="L3212" s="2" t="s">
        <v>1178</v>
      </c>
      <c r="M3212" s="4" t="s">
        <v>16068</v>
      </c>
    </row>
    <row r="3213" spans="1:13">
      <c r="A3213" s="2">
        <v>3919</v>
      </c>
      <c r="B3213" s="2" t="s">
        <v>16069</v>
      </c>
      <c r="C3213" s="2">
        <v>16</v>
      </c>
      <c r="D3213" s="2">
        <v>556</v>
      </c>
      <c r="E3213" s="2">
        <v>200</v>
      </c>
      <c r="F3213" s="2">
        <v>32441</v>
      </c>
      <c r="G3213" s="2">
        <v>4.6677697839999999</v>
      </c>
      <c r="H3213" s="3">
        <v>9.3600000000000002E-7</v>
      </c>
      <c r="I3213" s="2" t="s">
        <v>16070</v>
      </c>
      <c r="J3213" s="2" t="s">
        <v>16071</v>
      </c>
      <c r="K3213" s="3">
        <v>4.16E-6</v>
      </c>
      <c r="L3213" s="2" t="s">
        <v>1178</v>
      </c>
      <c r="M3213" s="4" t="s">
        <v>16072</v>
      </c>
    </row>
    <row r="3214" spans="1:13">
      <c r="A3214" s="2">
        <v>3939</v>
      </c>
      <c r="B3214" s="2" t="s">
        <v>16073</v>
      </c>
      <c r="C3214" s="2">
        <v>16</v>
      </c>
      <c r="D3214" s="2">
        <v>556</v>
      </c>
      <c r="E3214" s="2">
        <v>200</v>
      </c>
      <c r="F3214" s="2">
        <v>32441</v>
      </c>
      <c r="G3214" s="2">
        <v>4.6677697839999999</v>
      </c>
      <c r="H3214" s="3">
        <v>9.3600000000000002E-7</v>
      </c>
      <c r="I3214" s="2" t="s">
        <v>16074</v>
      </c>
      <c r="J3214" s="2" t="s">
        <v>16075</v>
      </c>
      <c r="K3214" s="3">
        <v>4.16E-6</v>
      </c>
      <c r="L3214" s="2" t="s">
        <v>1178</v>
      </c>
      <c r="M3214" s="4" t="s">
        <v>16076</v>
      </c>
    </row>
    <row r="3215" spans="1:13">
      <c r="A3215" s="2">
        <v>3982</v>
      </c>
      <c r="B3215" s="2" t="s">
        <v>16077</v>
      </c>
      <c r="C3215" s="2">
        <v>16</v>
      </c>
      <c r="D3215" s="2">
        <v>556</v>
      </c>
      <c r="E3215" s="2">
        <v>200</v>
      </c>
      <c r="F3215" s="2">
        <v>32441</v>
      </c>
      <c r="G3215" s="2">
        <v>4.6677697839999999</v>
      </c>
      <c r="H3215" s="3">
        <v>9.3600000000000002E-7</v>
      </c>
      <c r="I3215" s="2" t="s">
        <v>16078</v>
      </c>
      <c r="J3215" s="2" t="s">
        <v>16079</v>
      </c>
      <c r="K3215" s="3">
        <v>4.16E-6</v>
      </c>
      <c r="L3215" s="2" t="s">
        <v>1178</v>
      </c>
      <c r="M3215" s="4" t="s">
        <v>16080</v>
      </c>
    </row>
    <row r="3216" spans="1:13">
      <c r="A3216" s="2">
        <v>3988</v>
      </c>
      <c r="B3216" s="2" t="s">
        <v>16081</v>
      </c>
      <c r="C3216" s="2">
        <v>16</v>
      </c>
      <c r="D3216" s="2">
        <v>556</v>
      </c>
      <c r="E3216" s="2">
        <v>199</v>
      </c>
      <c r="F3216" s="2">
        <v>32441</v>
      </c>
      <c r="G3216" s="2">
        <v>4.6912259140000003</v>
      </c>
      <c r="H3216" s="3">
        <v>8.8000000000000004E-7</v>
      </c>
      <c r="I3216" s="2" t="s">
        <v>16082</v>
      </c>
      <c r="J3216" s="2" t="s">
        <v>16083</v>
      </c>
      <c r="K3216" s="3">
        <v>4.16E-6</v>
      </c>
      <c r="L3216" s="2" t="s">
        <v>1178</v>
      </c>
      <c r="M3216" s="4" t="s">
        <v>16084</v>
      </c>
    </row>
    <row r="3217" spans="1:13">
      <c r="A3217" s="2">
        <v>3989</v>
      </c>
      <c r="B3217" s="2" t="s">
        <v>16085</v>
      </c>
      <c r="C3217" s="2">
        <v>16</v>
      </c>
      <c r="D3217" s="2">
        <v>556</v>
      </c>
      <c r="E3217" s="2">
        <v>198</v>
      </c>
      <c r="F3217" s="2">
        <v>32441</v>
      </c>
      <c r="G3217" s="2">
        <v>4.7149189739999997</v>
      </c>
      <c r="H3217" s="3">
        <v>8.2799999999999995E-7</v>
      </c>
      <c r="I3217" s="2" t="s">
        <v>16086</v>
      </c>
      <c r="J3217" s="2" t="s">
        <v>16087</v>
      </c>
      <c r="K3217" s="3">
        <v>4.16E-6</v>
      </c>
      <c r="L3217" s="2" t="s">
        <v>1178</v>
      </c>
      <c r="M3217" s="4" t="s">
        <v>16088</v>
      </c>
    </row>
    <row r="3218" spans="1:13">
      <c r="A3218" s="2">
        <v>39971</v>
      </c>
      <c r="B3218" s="2" t="s">
        <v>16089</v>
      </c>
      <c r="C3218" s="2">
        <v>16</v>
      </c>
      <c r="D3218" s="2">
        <v>556</v>
      </c>
      <c r="E3218" s="2">
        <v>200</v>
      </c>
      <c r="F3218" s="2">
        <v>32441</v>
      </c>
      <c r="G3218" s="2">
        <v>4.6677697839999999</v>
      </c>
      <c r="H3218" s="3">
        <v>9.3600000000000002E-7</v>
      </c>
      <c r="I3218" s="2" t="s">
        <v>16090</v>
      </c>
      <c r="J3218" s="2" t="s">
        <v>16091</v>
      </c>
      <c r="K3218" s="3">
        <v>4.16E-6</v>
      </c>
      <c r="L3218" s="2" t="s">
        <v>1178</v>
      </c>
      <c r="M3218" s="4" t="s">
        <v>16092</v>
      </c>
    </row>
    <row r="3219" spans="1:13">
      <c r="A3219" s="2">
        <v>4002</v>
      </c>
      <c r="B3219" s="2" t="s">
        <v>16093</v>
      </c>
      <c r="C3219" s="2">
        <v>16</v>
      </c>
      <c r="D3219" s="2">
        <v>556</v>
      </c>
      <c r="E3219" s="2">
        <v>200</v>
      </c>
      <c r="F3219" s="2">
        <v>32441</v>
      </c>
      <c r="G3219" s="2">
        <v>4.6677697839999999</v>
      </c>
      <c r="H3219" s="3">
        <v>9.3600000000000002E-7</v>
      </c>
      <c r="I3219" s="2" t="s">
        <v>16094</v>
      </c>
      <c r="J3219" s="2" t="s">
        <v>16095</v>
      </c>
      <c r="K3219" s="3">
        <v>4.16E-6</v>
      </c>
      <c r="L3219" s="2" t="s">
        <v>1178</v>
      </c>
      <c r="M3219" s="4" t="s">
        <v>16096</v>
      </c>
    </row>
    <row r="3220" spans="1:13">
      <c r="A3220" s="2">
        <v>41801</v>
      </c>
      <c r="B3220" s="2" t="s">
        <v>16097</v>
      </c>
      <c r="C3220" s="2">
        <v>16</v>
      </c>
      <c r="D3220" s="2">
        <v>556</v>
      </c>
      <c r="E3220" s="2">
        <v>200</v>
      </c>
      <c r="F3220" s="2">
        <v>32441</v>
      </c>
      <c r="G3220" s="2">
        <v>4.6677697839999999</v>
      </c>
      <c r="H3220" s="3">
        <v>9.3600000000000002E-7</v>
      </c>
      <c r="I3220" s="2" t="s">
        <v>16098</v>
      </c>
      <c r="J3220" s="2" t="s">
        <v>16099</v>
      </c>
      <c r="K3220" s="3">
        <v>4.16E-6</v>
      </c>
      <c r="L3220" s="2" t="s">
        <v>1178</v>
      </c>
      <c r="M3220" s="4" t="s">
        <v>16100</v>
      </c>
    </row>
    <row r="3221" spans="1:13">
      <c r="A3221" s="2">
        <v>4272</v>
      </c>
      <c r="B3221" s="2" t="s">
        <v>16101</v>
      </c>
      <c r="C3221" s="2">
        <v>16</v>
      </c>
      <c r="D3221" s="2">
        <v>556</v>
      </c>
      <c r="E3221" s="2">
        <v>200</v>
      </c>
      <c r="F3221" s="2">
        <v>32441</v>
      </c>
      <c r="G3221" s="2">
        <v>4.6677697839999999</v>
      </c>
      <c r="H3221" s="3">
        <v>9.3600000000000002E-7</v>
      </c>
      <c r="I3221" s="2" t="s">
        <v>16102</v>
      </c>
      <c r="J3221" s="2" t="s">
        <v>16103</v>
      </c>
      <c r="K3221" s="3">
        <v>4.16E-6</v>
      </c>
      <c r="L3221" s="2" t="s">
        <v>1178</v>
      </c>
      <c r="M3221" s="4" t="s">
        <v>16104</v>
      </c>
    </row>
    <row r="3222" spans="1:13">
      <c r="A3222" s="2">
        <v>4299</v>
      </c>
      <c r="B3222" s="2" t="s">
        <v>16105</v>
      </c>
      <c r="C3222" s="2">
        <v>16</v>
      </c>
      <c r="D3222" s="2">
        <v>556</v>
      </c>
      <c r="E3222" s="2">
        <v>200</v>
      </c>
      <c r="F3222" s="2">
        <v>32441</v>
      </c>
      <c r="G3222" s="2">
        <v>4.6677697839999999</v>
      </c>
      <c r="H3222" s="3">
        <v>9.3600000000000002E-7</v>
      </c>
      <c r="I3222" s="2" t="s">
        <v>16106</v>
      </c>
      <c r="J3222" s="2" t="s">
        <v>16107</v>
      </c>
      <c r="K3222" s="3">
        <v>4.16E-6</v>
      </c>
      <c r="L3222" s="2" t="s">
        <v>1178</v>
      </c>
      <c r="M3222" s="4" t="s">
        <v>16108</v>
      </c>
    </row>
    <row r="3223" spans="1:13">
      <c r="A3223" s="2">
        <v>4385</v>
      </c>
      <c r="B3223" s="2" t="s">
        <v>16109</v>
      </c>
      <c r="C3223" s="2">
        <v>16</v>
      </c>
      <c r="D3223" s="2">
        <v>556</v>
      </c>
      <c r="E3223" s="2">
        <v>200</v>
      </c>
      <c r="F3223" s="2">
        <v>32441</v>
      </c>
      <c r="G3223" s="2">
        <v>4.6677697839999999</v>
      </c>
      <c r="H3223" s="3">
        <v>9.3600000000000002E-7</v>
      </c>
      <c r="I3223" s="2" t="s">
        <v>16110</v>
      </c>
      <c r="J3223" s="2" t="s">
        <v>16111</v>
      </c>
      <c r="K3223" s="3">
        <v>4.16E-6</v>
      </c>
      <c r="L3223" s="2" t="s">
        <v>1178</v>
      </c>
      <c r="M3223" s="4" t="s">
        <v>16112</v>
      </c>
    </row>
    <row r="3224" spans="1:13">
      <c r="A3224" s="2">
        <v>4387</v>
      </c>
      <c r="B3224" s="2" t="s">
        <v>16113</v>
      </c>
      <c r="C3224" s="2">
        <v>16</v>
      </c>
      <c r="D3224" s="2">
        <v>556</v>
      </c>
      <c r="E3224" s="2">
        <v>199</v>
      </c>
      <c r="F3224" s="2">
        <v>32441</v>
      </c>
      <c r="G3224" s="2">
        <v>4.6912259140000003</v>
      </c>
      <c r="H3224" s="3">
        <v>8.8000000000000004E-7</v>
      </c>
      <c r="I3224" s="2" t="s">
        <v>16114</v>
      </c>
      <c r="J3224" s="2" t="s">
        <v>16115</v>
      </c>
      <c r="K3224" s="3">
        <v>4.16E-6</v>
      </c>
      <c r="L3224" s="2" t="s">
        <v>1178</v>
      </c>
      <c r="M3224" s="4" t="s">
        <v>16116</v>
      </c>
    </row>
    <row r="3225" spans="1:13">
      <c r="A3225" s="2">
        <v>4394</v>
      </c>
      <c r="B3225" s="2" t="s">
        <v>16117</v>
      </c>
      <c r="C3225" s="2">
        <v>16</v>
      </c>
      <c r="D3225" s="2">
        <v>556</v>
      </c>
      <c r="E3225" s="2">
        <v>200</v>
      </c>
      <c r="F3225" s="2">
        <v>32441</v>
      </c>
      <c r="G3225" s="2">
        <v>4.6677697839999999</v>
      </c>
      <c r="H3225" s="3">
        <v>9.3600000000000002E-7</v>
      </c>
      <c r="I3225" s="2" t="s">
        <v>16118</v>
      </c>
      <c r="J3225" s="2" t="s">
        <v>16119</v>
      </c>
      <c r="K3225" s="3">
        <v>4.16E-6</v>
      </c>
      <c r="L3225" s="2" t="s">
        <v>1178</v>
      </c>
      <c r="M3225" s="4" t="s">
        <v>16120</v>
      </c>
    </row>
    <row r="3226" spans="1:13">
      <c r="A3226" s="2">
        <v>44021</v>
      </c>
      <c r="B3226" s="2" t="s">
        <v>16121</v>
      </c>
      <c r="C3226" s="2">
        <v>16</v>
      </c>
      <c r="D3226" s="2">
        <v>556</v>
      </c>
      <c r="E3226" s="2">
        <v>200</v>
      </c>
      <c r="F3226" s="2">
        <v>32441</v>
      </c>
      <c r="G3226" s="2">
        <v>4.6677697839999999</v>
      </c>
      <c r="H3226" s="3">
        <v>9.3600000000000002E-7</v>
      </c>
      <c r="I3226" s="2" t="s">
        <v>16122</v>
      </c>
      <c r="J3226" s="2" t="s">
        <v>16123</v>
      </c>
      <c r="K3226" s="3">
        <v>4.16E-6</v>
      </c>
      <c r="L3226" s="2" t="s">
        <v>1178</v>
      </c>
      <c r="M3226" s="4" t="s">
        <v>16124</v>
      </c>
    </row>
    <row r="3227" spans="1:13">
      <c r="A3227" s="2">
        <v>44141</v>
      </c>
      <c r="B3227" s="2" t="s">
        <v>16125</v>
      </c>
      <c r="C3227" s="2">
        <v>16</v>
      </c>
      <c r="D3227" s="2">
        <v>556</v>
      </c>
      <c r="E3227" s="2">
        <v>199</v>
      </c>
      <c r="F3227" s="2">
        <v>32441</v>
      </c>
      <c r="G3227" s="2">
        <v>4.6912259140000003</v>
      </c>
      <c r="H3227" s="3">
        <v>8.8000000000000004E-7</v>
      </c>
      <c r="I3227" s="2" t="s">
        <v>16126</v>
      </c>
      <c r="J3227" s="2" t="s">
        <v>16127</v>
      </c>
      <c r="K3227" s="3">
        <v>4.16E-6</v>
      </c>
      <c r="L3227" s="2" t="s">
        <v>1178</v>
      </c>
      <c r="M3227" s="4" t="s">
        <v>16128</v>
      </c>
    </row>
    <row r="3228" spans="1:13">
      <c r="A3228" s="2">
        <v>4467</v>
      </c>
      <c r="B3228" s="2" t="s">
        <v>16129</v>
      </c>
      <c r="C3228" s="2">
        <v>16</v>
      </c>
      <c r="D3228" s="2">
        <v>556</v>
      </c>
      <c r="E3228" s="2">
        <v>200</v>
      </c>
      <c r="F3228" s="2">
        <v>32441</v>
      </c>
      <c r="G3228" s="2">
        <v>4.6677697839999999</v>
      </c>
      <c r="H3228" s="3">
        <v>9.3600000000000002E-7</v>
      </c>
      <c r="I3228" s="2" t="s">
        <v>16130</v>
      </c>
      <c r="J3228" s="2" t="s">
        <v>16131</v>
      </c>
      <c r="K3228" s="3">
        <v>4.16E-6</v>
      </c>
      <c r="L3228" s="2" t="s">
        <v>1178</v>
      </c>
      <c r="M3228" s="4" t="s">
        <v>16132</v>
      </c>
    </row>
    <row r="3229" spans="1:13">
      <c r="A3229" s="2">
        <v>4479</v>
      </c>
      <c r="B3229" s="2" t="s">
        <v>16133</v>
      </c>
      <c r="C3229" s="2">
        <v>16</v>
      </c>
      <c r="D3229" s="2">
        <v>556</v>
      </c>
      <c r="E3229" s="2">
        <v>200</v>
      </c>
      <c r="F3229" s="2">
        <v>32441</v>
      </c>
      <c r="G3229" s="2">
        <v>4.6677697839999999</v>
      </c>
      <c r="H3229" s="3">
        <v>9.3600000000000002E-7</v>
      </c>
      <c r="I3229" s="2" t="s">
        <v>16134</v>
      </c>
      <c r="J3229" s="2" t="s">
        <v>16135</v>
      </c>
      <c r="K3229" s="3">
        <v>4.16E-6</v>
      </c>
      <c r="L3229" s="2" t="s">
        <v>1178</v>
      </c>
      <c r="M3229" s="4" t="s">
        <v>16136</v>
      </c>
    </row>
    <row r="3230" spans="1:13">
      <c r="A3230" s="2">
        <v>4505</v>
      </c>
      <c r="B3230" s="2" t="s">
        <v>16137</v>
      </c>
      <c r="C3230" s="2">
        <v>16</v>
      </c>
      <c r="D3230" s="2">
        <v>556</v>
      </c>
      <c r="E3230" s="2">
        <v>200</v>
      </c>
      <c r="F3230" s="2">
        <v>32441</v>
      </c>
      <c r="G3230" s="2">
        <v>4.6677697839999999</v>
      </c>
      <c r="H3230" s="3">
        <v>9.3600000000000002E-7</v>
      </c>
      <c r="I3230" s="2" t="s">
        <v>16138</v>
      </c>
      <c r="J3230" s="2" t="s">
        <v>16139</v>
      </c>
      <c r="K3230" s="3">
        <v>4.16E-6</v>
      </c>
      <c r="L3230" s="2" t="s">
        <v>1178</v>
      </c>
      <c r="M3230" s="4" t="s">
        <v>16140</v>
      </c>
    </row>
    <row r="3231" spans="1:13">
      <c r="A3231" s="2">
        <v>4573</v>
      </c>
      <c r="B3231" s="2" t="s">
        <v>16141</v>
      </c>
      <c r="C3231" s="2">
        <v>16</v>
      </c>
      <c r="D3231" s="2">
        <v>556</v>
      </c>
      <c r="E3231" s="2">
        <v>200</v>
      </c>
      <c r="F3231" s="2">
        <v>32441</v>
      </c>
      <c r="G3231" s="2">
        <v>4.6677697839999999</v>
      </c>
      <c r="H3231" s="3">
        <v>9.3600000000000002E-7</v>
      </c>
      <c r="I3231" s="2" t="s">
        <v>16142</v>
      </c>
      <c r="J3231" s="2" t="s">
        <v>16143</v>
      </c>
      <c r="K3231" s="3">
        <v>4.16E-6</v>
      </c>
      <c r="L3231" s="2" t="s">
        <v>1178</v>
      </c>
      <c r="M3231" s="4" t="s">
        <v>16144</v>
      </c>
    </row>
    <row r="3232" spans="1:13">
      <c r="A3232" s="2">
        <v>4608</v>
      </c>
      <c r="B3232" s="2" t="s">
        <v>16145</v>
      </c>
      <c r="C3232" s="2">
        <v>16</v>
      </c>
      <c r="D3232" s="2">
        <v>556</v>
      </c>
      <c r="E3232" s="2">
        <v>200</v>
      </c>
      <c r="F3232" s="2">
        <v>32441</v>
      </c>
      <c r="G3232" s="2">
        <v>4.6677697839999999</v>
      </c>
      <c r="H3232" s="3">
        <v>9.3600000000000002E-7</v>
      </c>
      <c r="I3232" s="2" t="s">
        <v>16146</v>
      </c>
      <c r="J3232" s="2" t="s">
        <v>16147</v>
      </c>
      <c r="K3232" s="3">
        <v>4.16E-6</v>
      </c>
      <c r="L3232" s="2" t="s">
        <v>1178</v>
      </c>
      <c r="M3232" s="4" t="s">
        <v>16148</v>
      </c>
    </row>
    <row r="3233" spans="1:13">
      <c r="A3233" s="2">
        <v>4626</v>
      </c>
      <c r="B3233" s="2" t="s">
        <v>16149</v>
      </c>
      <c r="C3233" s="2">
        <v>16</v>
      </c>
      <c r="D3233" s="2">
        <v>556</v>
      </c>
      <c r="E3233" s="2">
        <v>200</v>
      </c>
      <c r="F3233" s="2">
        <v>32441</v>
      </c>
      <c r="G3233" s="2">
        <v>4.6677697839999999</v>
      </c>
      <c r="H3233" s="3">
        <v>9.3600000000000002E-7</v>
      </c>
      <c r="I3233" s="2" t="s">
        <v>16150</v>
      </c>
      <c r="J3233" s="2" t="s">
        <v>16151</v>
      </c>
      <c r="K3233" s="3">
        <v>4.16E-6</v>
      </c>
      <c r="L3233" s="2" t="s">
        <v>1178</v>
      </c>
      <c r="M3233" s="4" t="s">
        <v>16152</v>
      </c>
    </row>
    <row r="3234" spans="1:13">
      <c r="A3234" s="2">
        <v>46301</v>
      </c>
      <c r="B3234" s="2" t="s">
        <v>16153</v>
      </c>
      <c r="C3234" s="2">
        <v>16</v>
      </c>
      <c r="D3234" s="2">
        <v>556</v>
      </c>
      <c r="E3234" s="2">
        <v>200</v>
      </c>
      <c r="F3234" s="2">
        <v>32441</v>
      </c>
      <c r="G3234" s="2">
        <v>4.6677697839999999</v>
      </c>
      <c r="H3234" s="3">
        <v>9.3600000000000002E-7</v>
      </c>
      <c r="I3234" s="2" t="s">
        <v>16154</v>
      </c>
      <c r="J3234" s="2" t="s">
        <v>16155</v>
      </c>
      <c r="K3234" s="3">
        <v>4.16E-6</v>
      </c>
      <c r="L3234" s="2" t="s">
        <v>1178</v>
      </c>
      <c r="M3234" s="4" t="s">
        <v>16156</v>
      </c>
    </row>
    <row r="3235" spans="1:13">
      <c r="A3235" s="2">
        <v>4646</v>
      </c>
      <c r="B3235" s="2" t="s">
        <v>16157</v>
      </c>
      <c r="C3235" s="2">
        <v>16</v>
      </c>
      <c r="D3235" s="2">
        <v>556</v>
      </c>
      <c r="E3235" s="2">
        <v>199</v>
      </c>
      <c r="F3235" s="2">
        <v>32441</v>
      </c>
      <c r="G3235" s="2">
        <v>4.6912259140000003</v>
      </c>
      <c r="H3235" s="3">
        <v>8.8000000000000004E-7</v>
      </c>
      <c r="I3235" s="2" t="s">
        <v>16158</v>
      </c>
      <c r="J3235" s="2" t="s">
        <v>16159</v>
      </c>
      <c r="K3235" s="3">
        <v>4.16E-6</v>
      </c>
      <c r="L3235" s="2" t="s">
        <v>1178</v>
      </c>
      <c r="M3235" s="4" t="s">
        <v>16160</v>
      </c>
    </row>
    <row r="3236" spans="1:13">
      <c r="A3236" s="2">
        <v>46511</v>
      </c>
      <c r="B3236" s="2" t="s">
        <v>16161</v>
      </c>
      <c r="C3236" s="2">
        <v>16</v>
      </c>
      <c r="D3236" s="2">
        <v>556</v>
      </c>
      <c r="E3236" s="2">
        <v>199</v>
      </c>
      <c r="F3236" s="2">
        <v>32441</v>
      </c>
      <c r="G3236" s="2">
        <v>4.6912259140000003</v>
      </c>
      <c r="H3236" s="3">
        <v>8.8000000000000004E-7</v>
      </c>
      <c r="I3236" s="2" t="s">
        <v>16162</v>
      </c>
      <c r="J3236" s="2" t="s">
        <v>16163</v>
      </c>
      <c r="K3236" s="3">
        <v>4.16E-6</v>
      </c>
      <c r="L3236" s="2" t="s">
        <v>1178</v>
      </c>
      <c r="M3236" s="4" t="s">
        <v>16164</v>
      </c>
    </row>
    <row r="3237" spans="1:13">
      <c r="A3237" s="2">
        <v>46531</v>
      </c>
      <c r="B3237" s="2" t="s">
        <v>16165</v>
      </c>
      <c r="C3237" s="2">
        <v>16</v>
      </c>
      <c r="D3237" s="2">
        <v>556</v>
      </c>
      <c r="E3237" s="2">
        <v>199</v>
      </c>
      <c r="F3237" s="2">
        <v>32441</v>
      </c>
      <c r="G3237" s="2">
        <v>4.6912259140000003</v>
      </c>
      <c r="H3237" s="3">
        <v>8.8000000000000004E-7</v>
      </c>
      <c r="I3237" s="2" t="s">
        <v>16166</v>
      </c>
      <c r="J3237" s="2" t="s">
        <v>16167</v>
      </c>
      <c r="K3237" s="3">
        <v>4.16E-6</v>
      </c>
      <c r="L3237" s="2" t="s">
        <v>1178</v>
      </c>
      <c r="M3237" s="4" t="s">
        <v>16168</v>
      </c>
    </row>
    <row r="3238" spans="1:13">
      <c r="A3238" s="2">
        <v>4678</v>
      </c>
      <c r="B3238" s="2" t="s">
        <v>16169</v>
      </c>
      <c r="C3238" s="2">
        <v>16</v>
      </c>
      <c r="D3238" s="2">
        <v>556</v>
      </c>
      <c r="E3238" s="2">
        <v>199</v>
      </c>
      <c r="F3238" s="2">
        <v>32441</v>
      </c>
      <c r="G3238" s="2">
        <v>4.6912259140000003</v>
      </c>
      <c r="H3238" s="3">
        <v>8.8000000000000004E-7</v>
      </c>
      <c r="I3238" s="2" t="s">
        <v>16170</v>
      </c>
      <c r="J3238" s="2" t="s">
        <v>16171</v>
      </c>
      <c r="K3238" s="3">
        <v>4.16E-6</v>
      </c>
      <c r="L3238" s="2" t="s">
        <v>1178</v>
      </c>
      <c r="M3238" s="4" t="s">
        <v>16172</v>
      </c>
    </row>
    <row r="3239" spans="1:13">
      <c r="A3239" s="2">
        <v>46911</v>
      </c>
      <c r="B3239" s="2" t="s">
        <v>16173</v>
      </c>
      <c r="C3239" s="2">
        <v>16</v>
      </c>
      <c r="D3239" s="2">
        <v>556</v>
      </c>
      <c r="E3239" s="2">
        <v>200</v>
      </c>
      <c r="F3239" s="2">
        <v>32441</v>
      </c>
      <c r="G3239" s="2">
        <v>4.6677697839999999</v>
      </c>
      <c r="H3239" s="3">
        <v>9.3600000000000002E-7</v>
      </c>
      <c r="I3239" s="2" t="s">
        <v>16174</v>
      </c>
      <c r="J3239" s="2" t="s">
        <v>16175</v>
      </c>
      <c r="K3239" s="3">
        <v>4.16E-6</v>
      </c>
      <c r="L3239" s="2" t="s">
        <v>1178</v>
      </c>
      <c r="M3239" s="4" t="s">
        <v>16176</v>
      </c>
    </row>
    <row r="3240" spans="1:13">
      <c r="A3240" s="2">
        <v>4702</v>
      </c>
      <c r="B3240" s="2" t="s">
        <v>16177</v>
      </c>
      <c r="C3240" s="2">
        <v>16</v>
      </c>
      <c r="D3240" s="2">
        <v>556</v>
      </c>
      <c r="E3240" s="2">
        <v>200</v>
      </c>
      <c r="F3240" s="2">
        <v>32441</v>
      </c>
      <c r="G3240" s="2">
        <v>4.6677697839999999</v>
      </c>
      <c r="H3240" s="3">
        <v>9.3600000000000002E-7</v>
      </c>
      <c r="I3240" s="2" t="s">
        <v>16178</v>
      </c>
      <c r="J3240" s="2" t="s">
        <v>16179</v>
      </c>
      <c r="K3240" s="3">
        <v>4.16E-6</v>
      </c>
      <c r="L3240" s="2" t="s">
        <v>1178</v>
      </c>
      <c r="M3240" s="4" t="s">
        <v>16180</v>
      </c>
    </row>
    <row r="3241" spans="1:13">
      <c r="A3241" s="2">
        <v>47481</v>
      </c>
      <c r="B3241" s="2" t="s">
        <v>16181</v>
      </c>
      <c r="C3241" s="2">
        <v>16</v>
      </c>
      <c r="D3241" s="2">
        <v>556</v>
      </c>
      <c r="E3241" s="2">
        <v>200</v>
      </c>
      <c r="F3241" s="2">
        <v>32441</v>
      </c>
      <c r="G3241" s="2">
        <v>4.6677697839999999</v>
      </c>
      <c r="H3241" s="3">
        <v>9.3600000000000002E-7</v>
      </c>
      <c r="I3241" s="2" t="s">
        <v>16182</v>
      </c>
      <c r="J3241" s="2" t="s">
        <v>16183</v>
      </c>
      <c r="K3241" s="3">
        <v>4.16E-6</v>
      </c>
      <c r="L3241" s="2" t="s">
        <v>1178</v>
      </c>
      <c r="M3241" s="4" t="s">
        <v>16184</v>
      </c>
    </row>
    <row r="3242" spans="1:13">
      <c r="A3242" s="2">
        <v>4772</v>
      </c>
      <c r="B3242" s="2" t="s">
        <v>16185</v>
      </c>
      <c r="C3242" s="2">
        <v>16</v>
      </c>
      <c r="D3242" s="2">
        <v>556</v>
      </c>
      <c r="E3242" s="2">
        <v>200</v>
      </c>
      <c r="F3242" s="2">
        <v>32441</v>
      </c>
      <c r="G3242" s="2">
        <v>4.6677697839999999</v>
      </c>
      <c r="H3242" s="3">
        <v>9.3600000000000002E-7</v>
      </c>
      <c r="I3242" s="2" t="s">
        <v>16186</v>
      </c>
      <c r="J3242" s="2" t="s">
        <v>16187</v>
      </c>
      <c r="K3242" s="3">
        <v>4.16E-6</v>
      </c>
      <c r="L3242" s="2" t="s">
        <v>1178</v>
      </c>
      <c r="M3242" s="4" t="s">
        <v>16188</v>
      </c>
    </row>
    <row r="3243" spans="1:13">
      <c r="A3243" s="2">
        <v>4779</v>
      </c>
      <c r="B3243" s="2" t="s">
        <v>1185</v>
      </c>
      <c r="C3243" s="2">
        <v>16</v>
      </c>
      <c r="D3243" s="2">
        <v>556</v>
      </c>
      <c r="E3243" s="2">
        <v>200</v>
      </c>
      <c r="F3243" s="2">
        <v>32441</v>
      </c>
      <c r="G3243" s="2">
        <v>4.6677697839999999</v>
      </c>
      <c r="H3243" s="3">
        <v>9.3600000000000002E-7</v>
      </c>
      <c r="I3243" s="2" t="s">
        <v>16189</v>
      </c>
      <c r="J3243" s="2" t="s">
        <v>16190</v>
      </c>
      <c r="K3243" s="3">
        <v>4.16E-6</v>
      </c>
      <c r="L3243" s="2" t="s">
        <v>1178</v>
      </c>
      <c r="M3243" s="4" t="s">
        <v>16191</v>
      </c>
    </row>
    <row r="3244" spans="1:13">
      <c r="A3244" s="2">
        <v>4781</v>
      </c>
      <c r="B3244" s="2" t="s">
        <v>1191</v>
      </c>
      <c r="C3244" s="2">
        <v>16</v>
      </c>
      <c r="D3244" s="2">
        <v>556</v>
      </c>
      <c r="E3244" s="2">
        <v>200</v>
      </c>
      <c r="F3244" s="2">
        <v>32441</v>
      </c>
      <c r="G3244" s="2">
        <v>4.6677697839999999</v>
      </c>
      <c r="H3244" s="3">
        <v>9.3600000000000002E-7</v>
      </c>
      <c r="I3244" s="2" t="s">
        <v>16192</v>
      </c>
      <c r="J3244" s="2" t="s">
        <v>16193</v>
      </c>
      <c r="K3244" s="3">
        <v>4.16E-6</v>
      </c>
      <c r="L3244" s="2" t="s">
        <v>1178</v>
      </c>
      <c r="M3244" s="4" t="s">
        <v>16194</v>
      </c>
    </row>
    <row r="3245" spans="1:13">
      <c r="A3245" s="2">
        <v>4782</v>
      </c>
      <c r="B3245" s="2" t="s">
        <v>16195</v>
      </c>
      <c r="C3245" s="2">
        <v>16</v>
      </c>
      <c r="D3245" s="2">
        <v>556</v>
      </c>
      <c r="E3245" s="2">
        <v>200</v>
      </c>
      <c r="F3245" s="2">
        <v>32441</v>
      </c>
      <c r="G3245" s="2">
        <v>4.6677697839999999</v>
      </c>
      <c r="H3245" s="3">
        <v>9.3600000000000002E-7</v>
      </c>
      <c r="I3245" s="2" t="s">
        <v>16196</v>
      </c>
      <c r="J3245" s="2" t="s">
        <v>16197</v>
      </c>
      <c r="K3245" s="3">
        <v>4.16E-6</v>
      </c>
      <c r="L3245" s="2" t="s">
        <v>1178</v>
      </c>
      <c r="M3245" s="4" t="s">
        <v>16198</v>
      </c>
    </row>
    <row r="3246" spans="1:13">
      <c r="A3246" s="2">
        <v>48261</v>
      </c>
      <c r="B3246" s="2" t="s">
        <v>16199</v>
      </c>
      <c r="C3246" s="2">
        <v>16</v>
      </c>
      <c r="D3246" s="2">
        <v>556</v>
      </c>
      <c r="E3246" s="2">
        <v>200</v>
      </c>
      <c r="F3246" s="2">
        <v>32441</v>
      </c>
      <c r="G3246" s="2">
        <v>4.6677697839999999</v>
      </c>
      <c r="H3246" s="3">
        <v>9.3600000000000002E-7</v>
      </c>
      <c r="I3246" s="2" t="s">
        <v>16200</v>
      </c>
      <c r="J3246" s="2" t="s">
        <v>16201</v>
      </c>
      <c r="K3246" s="3">
        <v>4.16E-6</v>
      </c>
      <c r="L3246" s="2" t="s">
        <v>1178</v>
      </c>
      <c r="M3246" s="4" t="s">
        <v>16202</v>
      </c>
    </row>
    <row r="3247" spans="1:13">
      <c r="A3247" s="2">
        <v>2171</v>
      </c>
      <c r="B3247" s="2" t="s">
        <v>1446</v>
      </c>
      <c r="C3247" s="2">
        <v>15</v>
      </c>
      <c r="D3247" s="2">
        <v>556</v>
      </c>
      <c r="E3247" s="2">
        <v>177</v>
      </c>
      <c r="F3247" s="2">
        <v>32441</v>
      </c>
      <c r="G3247" s="2">
        <v>4.9446713820000001</v>
      </c>
      <c r="H3247" s="3">
        <v>1.0499999999999999E-6</v>
      </c>
      <c r="I3247" s="2" t="s">
        <v>16203</v>
      </c>
      <c r="J3247" s="2" t="s">
        <v>16204</v>
      </c>
      <c r="K3247" s="3">
        <v>4.6500000000000004E-6</v>
      </c>
      <c r="L3247" s="2" t="s">
        <v>1178</v>
      </c>
      <c r="M3247" s="4" t="s">
        <v>16205</v>
      </c>
    </row>
    <row r="3248" spans="1:13">
      <c r="A3248" s="2">
        <v>40881</v>
      </c>
      <c r="B3248" s="2" t="s">
        <v>16206</v>
      </c>
      <c r="C3248" s="2">
        <v>14</v>
      </c>
      <c r="D3248" s="2">
        <v>556</v>
      </c>
      <c r="E3248" s="2">
        <v>159</v>
      </c>
      <c r="F3248" s="2">
        <v>32441</v>
      </c>
      <c r="G3248" s="2">
        <v>5.1374824669999999</v>
      </c>
      <c r="H3248" s="3">
        <v>1.57E-6</v>
      </c>
      <c r="I3248" s="2" t="s">
        <v>16207</v>
      </c>
      <c r="J3248" s="2" t="s">
        <v>16208</v>
      </c>
      <c r="K3248" s="3">
        <v>6.9700000000000002E-6</v>
      </c>
      <c r="L3248" s="2" t="s">
        <v>1178</v>
      </c>
      <c r="M3248" s="4" t="s">
        <v>16209</v>
      </c>
    </row>
    <row r="3249" spans="1:13">
      <c r="A3249" s="2">
        <v>2829</v>
      </c>
      <c r="B3249" s="2" t="s">
        <v>16210</v>
      </c>
      <c r="C3249" s="2">
        <v>14</v>
      </c>
      <c r="D3249" s="2">
        <v>556</v>
      </c>
      <c r="E3249" s="2">
        <v>160</v>
      </c>
      <c r="F3249" s="2">
        <v>32441</v>
      </c>
      <c r="G3249" s="2">
        <v>5.1053732009999999</v>
      </c>
      <c r="H3249" s="3">
        <v>1.68E-6</v>
      </c>
      <c r="I3249" s="2" t="s">
        <v>16211</v>
      </c>
      <c r="J3249" s="2" t="s">
        <v>16212</v>
      </c>
      <c r="K3249" s="3">
        <v>7.4599999999999997E-6</v>
      </c>
      <c r="L3249" s="2" t="s">
        <v>1178</v>
      </c>
      <c r="M3249" s="4" t="s">
        <v>16213</v>
      </c>
    </row>
    <row r="3250" spans="1:13">
      <c r="A3250" s="2">
        <v>4112</v>
      </c>
      <c r="B3250" s="2" t="s">
        <v>16214</v>
      </c>
      <c r="C3250" s="2">
        <v>12</v>
      </c>
      <c r="D3250" s="2">
        <v>556</v>
      </c>
      <c r="E3250" s="2">
        <v>115</v>
      </c>
      <c r="F3250" s="2">
        <v>32441</v>
      </c>
      <c r="G3250" s="2">
        <v>6.0883953709999998</v>
      </c>
      <c r="H3250" s="3">
        <v>1.73E-6</v>
      </c>
      <c r="I3250" s="2" t="s">
        <v>16215</v>
      </c>
      <c r="J3250" s="2" t="s">
        <v>16216</v>
      </c>
      <c r="K3250" s="3">
        <v>7.6499999999999996E-6</v>
      </c>
      <c r="L3250" s="2" t="s">
        <v>1178</v>
      </c>
      <c r="M3250" s="4" t="s">
        <v>16217</v>
      </c>
    </row>
    <row r="3251" spans="1:13">
      <c r="A3251" s="2">
        <v>3616</v>
      </c>
      <c r="B3251" s="2" t="s">
        <v>16218</v>
      </c>
      <c r="C3251" s="2">
        <v>14</v>
      </c>
      <c r="D3251" s="2">
        <v>556</v>
      </c>
      <c r="E3251" s="2">
        <v>162</v>
      </c>
      <c r="F3251" s="2">
        <v>32441</v>
      </c>
      <c r="G3251" s="2">
        <v>5.0423439029999999</v>
      </c>
      <c r="H3251" s="3">
        <v>1.9300000000000002E-6</v>
      </c>
      <c r="I3251" s="2" t="s">
        <v>16219</v>
      </c>
      <c r="J3251" s="2" t="s">
        <v>16220</v>
      </c>
      <c r="K3251" s="3">
        <v>8.5299999999999996E-6</v>
      </c>
      <c r="L3251" s="2" t="s">
        <v>1178</v>
      </c>
      <c r="M3251" s="4" t="s">
        <v>16221</v>
      </c>
    </row>
    <row r="3252" spans="1:13">
      <c r="A3252" s="2">
        <v>28312</v>
      </c>
      <c r="B3252" s="2" t="s">
        <v>16222</v>
      </c>
      <c r="C3252" s="2">
        <v>14</v>
      </c>
      <c r="D3252" s="2">
        <v>556</v>
      </c>
      <c r="E3252" s="2">
        <v>166</v>
      </c>
      <c r="F3252" s="2">
        <v>32441</v>
      </c>
      <c r="G3252" s="2">
        <v>4.9208416399999999</v>
      </c>
      <c r="H3252" s="3">
        <v>2.5100000000000001E-6</v>
      </c>
      <c r="I3252" s="2" t="s">
        <v>16223</v>
      </c>
      <c r="J3252" s="2" t="s">
        <v>16224</v>
      </c>
      <c r="K3252" s="3">
        <v>1.11E-5</v>
      </c>
      <c r="L3252" s="2" t="s">
        <v>1178</v>
      </c>
      <c r="M3252" s="4" t="s">
        <v>16225</v>
      </c>
    </row>
    <row r="3253" spans="1:13">
      <c r="A3253" s="2">
        <v>3881</v>
      </c>
      <c r="B3253" s="2" t="s">
        <v>16226</v>
      </c>
      <c r="C3253" s="2">
        <v>14</v>
      </c>
      <c r="D3253" s="2">
        <v>556</v>
      </c>
      <c r="E3253" s="2">
        <v>168</v>
      </c>
      <c r="F3253" s="2">
        <v>32441</v>
      </c>
      <c r="G3253" s="2">
        <v>4.8622601919999999</v>
      </c>
      <c r="H3253" s="3">
        <v>2.8600000000000001E-6</v>
      </c>
      <c r="I3253" s="2" t="s">
        <v>16227</v>
      </c>
      <c r="J3253" s="2" t="s">
        <v>16228</v>
      </c>
      <c r="K3253" s="3">
        <v>1.26E-5</v>
      </c>
      <c r="L3253" s="2" t="s">
        <v>1178</v>
      </c>
      <c r="M3253" s="4" t="s">
        <v>16229</v>
      </c>
    </row>
    <row r="3254" spans="1:13">
      <c r="A3254" s="2">
        <v>2456</v>
      </c>
      <c r="B3254" s="2" t="s">
        <v>1443</v>
      </c>
      <c r="C3254" s="2">
        <v>14</v>
      </c>
      <c r="D3254" s="2">
        <v>556</v>
      </c>
      <c r="E3254" s="2">
        <v>169</v>
      </c>
      <c r="F3254" s="2">
        <v>32441</v>
      </c>
      <c r="G3254" s="2">
        <v>4.8334894210000003</v>
      </c>
      <c r="H3254" s="3">
        <v>3.05E-6</v>
      </c>
      <c r="I3254" s="2" t="s">
        <v>16230</v>
      </c>
      <c r="J3254" s="2" t="s">
        <v>16231</v>
      </c>
      <c r="K3254" s="3">
        <v>1.3499999999999999E-5</v>
      </c>
      <c r="L3254" s="2" t="s">
        <v>1178</v>
      </c>
      <c r="M3254" s="4" t="s">
        <v>16232</v>
      </c>
    </row>
    <row r="3255" spans="1:13">
      <c r="A3255" s="2">
        <v>2040</v>
      </c>
      <c r="B3255" s="2" t="s">
        <v>16233</v>
      </c>
      <c r="C3255" s="2">
        <v>15</v>
      </c>
      <c r="D3255" s="2">
        <v>556</v>
      </c>
      <c r="E3255" s="2">
        <v>195</v>
      </c>
      <c r="F3255" s="2">
        <v>32441</v>
      </c>
      <c r="G3255" s="2">
        <v>4.4882401769999998</v>
      </c>
      <c r="H3255" s="3">
        <v>3.1999999999999999E-6</v>
      </c>
      <c r="I3255" s="2" t="s">
        <v>16234</v>
      </c>
      <c r="J3255" s="2" t="s">
        <v>16235</v>
      </c>
      <c r="K3255" s="3">
        <v>1.4100000000000001E-5</v>
      </c>
      <c r="L3255" s="2" t="s">
        <v>1178</v>
      </c>
      <c r="M3255" s="4" t="s">
        <v>16236</v>
      </c>
    </row>
    <row r="3256" spans="1:13">
      <c r="A3256" s="2">
        <v>27911</v>
      </c>
      <c r="B3256" s="2" t="s">
        <v>1635</v>
      </c>
      <c r="C3256" s="2">
        <v>14</v>
      </c>
      <c r="D3256" s="2">
        <v>556</v>
      </c>
      <c r="E3256" s="2">
        <v>170</v>
      </c>
      <c r="F3256" s="2">
        <v>32441</v>
      </c>
      <c r="G3256" s="2">
        <v>4.8050571309999999</v>
      </c>
      <c r="H3256" s="3">
        <v>3.2499999999999998E-6</v>
      </c>
      <c r="I3256" s="2" t="s">
        <v>16237</v>
      </c>
      <c r="J3256" s="2" t="s">
        <v>16238</v>
      </c>
      <c r="K3256" s="3">
        <v>1.43E-5</v>
      </c>
      <c r="L3256" s="2" t="s">
        <v>1178</v>
      </c>
      <c r="M3256" s="4" t="s">
        <v>16239</v>
      </c>
    </row>
    <row r="3257" spans="1:13">
      <c r="A3257" s="2">
        <v>2054</v>
      </c>
      <c r="B3257" s="2" t="s">
        <v>16240</v>
      </c>
      <c r="C3257" s="2">
        <v>15</v>
      </c>
      <c r="D3257" s="2">
        <v>556</v>
      </c>
      <c r="E3257" s="2">
        <v>196</v>
      </c>
      <c r="F3257" s="2">
        <v>32441</v>
      </c>
      <c r="G3257" s="2">
        <v>4.4653409929999999</v>
      </c>
      <c r="H3257" s="3">
        <v>3.3900000000000002E-6</v>
      </c>
      <c r="I3257" s="2" t="s">
        <v>16241</v>
      </c>
      <c r="J3257" s="2" t="s">
        <v>16242</v>
      </c>
      <c r="K3257" s="3">
        <v>1.49E-5</v>
      </c>
      <c r="L3257" s="2" t="s">
        <v>1178</v>
      </c>
      <c r="M3257" s="4" t="s">
        <v>16243</v>
      </c>
    </row>
    <row r="3258" spans="1:13">
      <c r="A3258" s="2">
        <v>24601</v>
      </c>
      <c r="B3258" s="2" t="s">
        <v>16244</v>
      </c>
      <c r="C3258" s="2">
        <v>13</v>
      </c>
      <c r="D3258" s="2">
        <v>556</v>
      </c>
      <c r="E3258" s="2">
        <v>147</v>
      </c>
      <c r="F3258" s="2">
        <v>32441</v>
      </c>
      <c r="G3258" s="2">
        <v>5.1599495910000002</v>
      </c>
      <c r="H3258" s="3">
        <v>3.5300000000000001E-6</v>
      </c>
      <c r="I3258" s="2" t="s">
        <v>16245</v>
      </c>
      <c r="J3258" s="2" t="s">
        <v>16246</v>
      </c>
      <c r="K3258" s="3">
        <v>1.5500000000000001E-5</v>
      </c>
      <c r="L3258" s="2" t="s">
        <v>1178</v>
      </c>
      <c r="M3258" s="4" t="s">
        <v>16247</v>
      </c>
    </row>
    <row r="3259" spans="1:13">
      <c r="A3259" s="2">
        <v>87</v>
      </c>
      <c r="B3259" s="2" t="s">
        <v>1998</v>
      </c>
      <c r="C3259" s="2">
        <v>15</v>
      </c>
      <c r="D3259" s="2">
        <v>556</v>
      </c>
      <c r="E3259" s="2">
        <v>200</v>
      </c>
      <c r="F3259" s="2">
        <v>32441</v>
      </c>
      <c r="G3259" s="2">
        <v>4.3760341729999999</v>
      </c>
      <c r="H3259" s="3">
        <v>4.2699999999999998E-6</v>
      </c>
      <c r="I3259" s="2" t="s">
        <v>16248</v>
      </c>
      <c r="J3259" s="2" t="s">
        <v>16249</v>
      </c>
      <c r="K3259" s="3">
        <v>1.6500000000000001E-5</v>
      </c>
      <c r="L3259" s="2" t="s">
        <v>1178</v>
      </c>
      <c r="M3259" s="4" t="s">
        <v>16250</v>
      </c>
    </row>
    <row r="3260" spans="1:13">
      <c r="A3260" s="2">
        <v>50</v>
      </c>
      <c r="B3260" s="2" t="s">
        <v>16251</v>
      </c>
      <c r="C3260" s="2">
        <v>15</v>
      </c>
      <c r="D3260" s="2">
        <v>556</v>
      </c>
      <c r="E3260" s="2">
        <v>200</v>
      </c>
      <c r="F3260" s="2">
        <v>32441</v>
      </c>
      <c r="G3260" s="2">
        <v>4.3760341729999999</v>
      </c>
      <c r="H3260" s="3">
        <v>4.2699999999999998E-6</v>
      </c>
      <c r="I3260" s="2" t="s">
        <v>16252</v>
      </c>
      <c r="J3260" s="2" t="s">
        <v>16253</v>
      </c>
      <c r="K3260" s="3">
        <v>1.6500000000000001E-5</v>
      </c>
      <c r="L3260" s="2" t="s">
        <v>1178</v>
      </c>
      <c r="M3260" s="4" t="s">
        <v>16254</v>
      </c>
    </row>
    <row r="3261" spans="1:13">
      <c r="A3261" s="2">
        <v>52</v>
      </c>
      <c r="B3261" s="2" t="s">
        <v>16255</v>
      </c>
      <c r="C3261" s="2">
        <v>15</v>
      </c>
      <c r="D3261" s="2">
        <v>556</v>
      </c>
      <c r="E3261" s="2">
        <v>200</v>
      </c>
      <c r="F3261" s="2">
        <v>32441</v>
      </c>
      <c r="G3261" s="2">
        <v>4.3760341729999999</v>
      </c>
      <c r="H3261" s="3">
        <v>4.2699999999999998E-6</v>
      </c>
      <c r="I3261" s="2" t="s">
        <v>16256</v>
      </c>
      <c r="J3261" s="2" t="s">
        <v>16257</v>
      </c>
      <c r="K3261" s="3">
        <v>1.6500000000000001E-5</v>
      </c>
      <c r="L3261" s="2" t="s">
        <v>1178</v>
      </c>
      <c r="M3261" s="4" t="s">
        <v>16258</v>
      </c>
    </row>
    <row r="3262" spans="1:13">
      <c r="A3262" s="2">
        <v>65</v>
      </c>
      <c r="B3262" s="2" t="s">
        <v>16259</v>
      </c>
      <c r="C3262" s="2">
        <v>15</v>
      </c>
      <c r="D3262" s="2">
        <v>556</v>
      </c>
      <c r="E3262" s="2">
        <v>200</v>
      </c>
      <c r="F3262" s="2">
        <v>32441</v>
      </c>
      <c r="G3262" s="2">
        <v>4.3760341729999999</v>
      </c>
      <c r="H3262" s="3">
        <v>4.2699999999999998E-6</v>
      </c>
      <c r="I3262" s="2" t="s">
        <v>16260</v>
      </c>
      <c r="J3262" s="2" t="s">
        <v>16261</v>
      </c>
      <c r="K3262" s="3">
        <v>1.6500000000000001E-5</v>
      </c>
      <c r="L3262" s="2" t="s">
        <v>1178</v>
      </c>
      <c r="M3262" s="4" t="s">
        <v>16262</v>
      </c>
    </row>
    <row r="3263" spans="1:13">
      <c r="A3263" s="2">
        <v>147</v>
      </c>
      <c r="B3263" s="2" t="s">
        <v>16263</v>
      </c>
      <c r="C3263" s="2">
        <v>15</v>
      </c>
      <c r="D3263" s="2">
        <v>556</v>
      </c>
      <c r="E3263" s="2">
        <v>200</v>
      </c>
      <c r="F3263" s="2">
        <v>32441</v>
      </c>
      <c r="G3263" s="2">
        <v>4.3760341729999999</v>
      </c>
      <c r="H3263" s="3">
        <v>4.2699999999999998E-6</v>
      </c>
      <c r="I3263" s="2" t="s">
        <v>16264</v>
      </c>
      <c r="J3263" s="2" t="s">
        <v>16265</v>
      </c>
      <c r="K3263" s="3">
        <v>1.6500000000000001E-5</v>
      </c>
      <c r="L3263" s="2" t="s">
        <v>1178</v>
      </c>
      <c r="M3263" s="4" t="s">
        <v>16266</v>
      </c>
    </row>
    <row r="3264" spans="1:13">
      <c r="A3264" s="2">
        <v>1488</v>
      </c>
      <c r="B3264" s="2" t="s">
        <v>16267</v>
      </c>
      <c r="C3264" s="2">
        <v>15</v>
      </c>
      <c r="D3264" s="2">
        <v>556</v>
      </c>
      <c r="E3264" s="2">
        <v>200</v>
      </c>
      <c r="F3264" s="2">
        <v>32441</v>
      </c>
      <c r="G3264" s="2">
        <v>4.3760341729999999</v>
      </c>
      <c r="H3264" s="3">
        <v>4.2699999999999998E-6</v>
      </c>
      <c r="I3264" s="2" t="s">
        <v>16268</v>
      </c>
      <c r="J3264" s="2" t="s">
        <v>16269</v>
      </c>
      <c r="K3264" s="3">
        <v>1.6500000000000001E-5</v>
      </c>
      <c r="L3264" s="2" t="s">
        <v>1178</v>
      </c>
      <c r="M3264" s="4" t="s">
        <v>16270</v>
      </c>
    </row>
    <row r="3265" spans="1:13">
      <c r="A3265" s="2">
        <v>1711</v>
      </c>
      <c r="B3265" s="2" t="s">
        <v>1647</v>
      </c>
      <c r="C3265" s="2">
        <v>15</v>
      </c>
      <c r="D3265" s="2">
        <v>556</v>
      </c>
      <c r="E3265" s="2">
        <v>200</v>
      </c>
      <c r="F3265" s="2">
        <v>32441</v>
      </c>
      <c r="G3265" s="2">
        <v>4.3760341729999999</v>
      </c>
      <c r="H3265" s="3">
        <v>4.2699999999999998E-6</v>
      </c>
      <c r="I3265" s="2" t="s">
        <v>16271</v>
      </c>
      <c r="J3265" s="2" t="s">
        <v>16272</v>
      </c>
      <c r="K3265" s="3">
        <v>1.6500000000000001E-5</v>
      </c>
      <c r="L3265" s="2" t="s">
        <v>1178</v>
      </c>
      <c r="M3265" s="4" t="s">
        <v>16273</v>
      </c>
    </row>
    <row r="3266" spans="1:13">
      <c r="A3266" s="2">
        <v>1831</v>
      </c>
      <c r="B3266" s="2" t="s">
        <v>16274</v>
      </c>
      <c r="C3266" s="2">
        <v>15</v>
      </c>
      <c r="D3266" s="2">
        <v>556</v>
      </c>
      <c r="E3266" s="2">
        <v>200</v>
      </c>
      <c r="F3266" s="2">
        <v>32441</v>
      </c>
      <c r="G3266" s="2">
        <v>4.3760341729999999</v>
      </c>
      <c r="H3266" s="3">
        <v>4.2699999999999998E-6</v>
      </c>
      <c r="I3266" s="2" t="s">
        <v>16275</v>
      </c>
      <c r="J3266" s="2" t="s">
        <v>16276</v>
      </c>
      <c r="K3266" s="3">
        <v>1.6500000000000001E-5</v>
      </c>
      <c r="L3266" s="2" t="s">
        <v>1178</v>
      </c>
      <c r="M3266" s="4" t="s">
        <v>16277</v>
      </c>
    </row>
    <row r="3267" spans="1:13">
      <c r="A3267" s="2">
        <v>1863</v>
      </c>
      <c r="B3267" s="2" t="s">
        <v>1812</v>
      </c>
      <c r="C3267" s="2">
        <v>15</v>
      </c>
      <c r="D3267" s="2">
        <v>556</v>
      </c>
      <c r="E3267" s="2">
        <v>200</v>
      </c>
      <c r="F3267" s="2">
        <v>32441</v>
      </c>
      <c r="G3267" s="2">
        <v>4.3760341729999999</v>
      </c>
      <c r="H3267" s="3">
        <v>4.2699999999999998E-6</v>
      </c>
      <c r="I3267" s="2" t="s">
        <v>16278</v>
      </c>
      <c r="J3267" s="2" t="s">
        <v>16279</v>
      </c>
      <c r="K3267" s="3">
        <v>1.6500000000000001E-5</v>
      </c>
      <c r="L3267" s="2" t="s">
        <v>1178</v>
      </c>
      <c r="M3267" s="4" t="s">
        <v>16280</v>
      </c>
    </row>
    <row r="3268" spans="1:13">
      <c r="A3268" s="2">
        <v>222</v>
      </c>
      <c r="B3268" s="2" t="s">
        <v>16281</v>
      </c>
      <c r="C3268" s="2">
        <v>15</v>
      </c>
      <c r="D3268" s="2">
        <v>556</v>
      </c>
      <c r="E3268" s="2">
        <v>200</v>
      </c>
      <c r="F3268" s="2">
        <v>32441</v>
      </c>
      <c r="G3268" s="2">
        <v>4.3760341729999999</v>
      </c>
      <c r="H3268" s="3">
        <v>4.2699999999999998E-6</v>
      </c>
      <c r="I3268" s="2" t="s">
        <v>16282</v>
      </c>
      <c r="J3268" s="2" t="s">
        <v>16283</v>
      </c>
      <c r="K3268" s="3">
        <v>1.6500000000000001E-5</v>
      </c>
      <c r="L3268" s="2" t="s">
        <v>1178</v>
      </c>
      <c r="M3268" s="4" t="s">
        <v>16284</v>
      </c>
    </row>
    <row r="3269" spans="1:13">
      <c r="A3269" s="2">
        <v>2815</v>
      </c>
      <c r="B3269" s="2" t="s">
        <v>16285</v>
      </c>
      <c r="C3269" s="2">
        <v>15</v>
      </c>
      <c r="D3269" s="2">
        <v>556</v>
      </c>
      <c r="E3269" s="2">
        <v>200</v>
      </c>
      <c r="F3269" s="2">
        <v>32441</v>
      </c>
      <c r="G3269" s="2">
        <v>4.3760341729999999</v>
      </c>
      <c r="H3269" s="3">
        <v>4.2699999999999998E-6</v>
      </c>
      <c r="I3269" s="2" t="s">
        <v>16286</v>
      </c>
      <c r="J3269" s="2" t="s">
        <v>16287</v>
      </c>
      <c r="K3269" s="3">
        <v>1.6500000000000001E-5</v>
      </c>
      <c r="L3269" s="2" t="s">
        <v>1178</v>
      </c>
      <c r="M3269" s="4" t="s">
        <v>16288</v>
      </c>
    </row>
    <row r="3270" spans="1:13">
      <c r="A3270" s="2">
        <v>3323</v>
      </c>
      <c r="B3270" s="2" t="s">
        <v>16289</v>
      </c>
      <c r="C3270" s="2">
        <v>15</v>
      </c>
      <c r="D3270" s="2">
        <v>556</v>
      </c>
      <c r="E3270" s="2">
        <v>200</v>
      </c>
      <c r="F3270" s="2">
        <v>32441</v>
      </c>
      <c r="G3270" s="2">
        <v>4.3760341729999999</v>
      </c>
      <c r="H3270" s="3">
        <v>4.2699999999999998E-6</v>
      </c>
      <c r="I3270" s="2" t="s">
        <v>16290</v>
      </c>
      <c r="J3270" s="2" t="s">
        <v>16291</v>
      </c>
      <c r="K3270" s="3">
        <v>1.6500000000000001E-5</v>
      </c>
      <c r="L3270" s="2" t="s">
        <v>1178</v>
      </c>
      <c r="M3270" s="4" t="s">
        <v>16292</v>
      </c>
    </row>
    <row r="3271" spans="1:13">
      <c r="A3271" s="2">
        <v>4425</v>
      </c>
      <c r="B3271" s="2" t="s">
        <v>16293</v>
      </c>
      <c r="C3271" s="2">
        <v>15</v>
      </c>
      <c r="D3271" s="2">
        <v>556</v>
      </c>
      <c r="E3271" s="2">
        <v>200</v>
      </c>
      <c r="F3271" s="2">
        <v>32441</v>
      </c>
      <c r="G3271" s="2">
        <v>4.3760341729999999</v>
      </c>
      <c r="H3271" s="3">
        <v>4.2699999999999998E-6</v>
      </c>
      <c r="I3271" s="2" t="s">
        <v>16294</v>
      </c>
      <c r="J3271" s="2" t="s">
        <v>16295</v>
      </c>
      <c r="K3271" s="3">
        <v>1.6500000000000001E-5</v>
      </c>
      <c r="L3271" s="2" t="s">
        <v>1178</v>
      </c>
      <c r="M3271" s="4" t="s">
        <v>16296</v>
      </c>
    </row>
    <row r="3272" spans="1:13">
      <c r="A3272" s="2">
        <v>4453</v>
      </c>
      <c r="B3272" s="2" t="s">
        <v>16297</v>
      </c>
      <c r="C3272" s="2">
        <v>15</v>
      </c>
      <c r="D3272" s="2">
        <v>556</v>
      </c>
      <c r="E3272" s="2">
        <v>200</v>
      </c>
      <c r="F3272" s="2">
        <v>32441</v>
      </c>
      <c r="G3272" s="2">
        <v>4.3760341729999999</v>
      </c>
      <c r="H3272" s="3">
        <v>4.2699999999999998E-6</v>
      </c>
      <c r="I3272" s="2" t="s">
        <v>16298</v>
      </c>
      <c r="J3272" s="2" t="s">
        <v>16299</v>
      </c>
      <c r="K3272" s="3">
        <v>1.6500000000000001E-5</v>
      </c>
      <c r="L3272" s="2" t="s">
        <v>1178</v>
      </c>
      <c r="M3272" s="4" t="s">
        <v>16300</v>
      </c>
    </row>
    <row r="3273" spans="1:13">
      <c r="A3273" s="2">
        <v>5292</v>
      </c>
      <c r="B3273" s="2" t="s">
        <v>16301</v>
      </c>
      <c r="C3273" s="2">
        <v>15</v>
      </c>
      <c r="D3273" s="2">
        <v>556</v>
      </c>
      <c r="E3273" s="2">
        <v>200</v>
      </c>
      <c r="F3273" s="2">
        <v>32441</v>
      </c>
      <c r="G3273" s="2">
        <v>4.3760341729999999</v>
      </c>
      <c r="H3273" s="3">
        <v>4.2699999999999998E-6</v>
      </c>
      <c r="I3273" s="2" t="s">
        <v>16302</v>
      </c>
      <c r="J3273" s="2" t="s">
        <v>16303</v>
      </c>
      <c r="K3273" s="3">
        <v>1.6500000000000001E-5</v>
      </c>
      <c r="L3273" s="2" t="s">
        <v>1178</v>
      </c>
      <c r="M3273" s="4" t="s">
        <v>16304</v>
      </c>
    </row>
    <row r="3274" spans="1:13">
      <c r="A3274" s="2">
        <v>5401</v>
      </c>
      <c r="B3274" s="2" t="s">
        <v>1830</v>
      </c>
      <c r="C3274" s="2">
        <v>15</v>
      </c>
      <c r="D3274" s="2">
        <v>556</v>
      </c>
      <c r="E3274" s="2">
        <v>200</v>
      </c>
      <c r="F3274" s="2">
        <v>32441</v>
      </c>
      <c r="G3274" s="2">
        <v>4.3760341729999999</v>
      </c>
      <c r="H3274" s="3">
        <v>4.2699999999999998E-6</v>
      </c>
      <c r="I3274" s="2" t="s">
        <v>16305</v>
      </c>
      <c r="J3274" s="2" t="s">
        <v>16306</v>
      </c>
      <c r="K3274" s="3">
        <v>1.6500000000000001E-5</v>
      </c>
      <c r="L3274" s="2" t="s">
        <v>1178</v>
      </c>
      <c r="M3274" s="4" t="s">
        <v>16307</v>
      </c>
    </row>
    <row r="3275" spans="1:13">
      <c r="A3275" s="2">
        <v>5491</v>
      </c>
      <c r="B3275" s="2" t="s">
        <v>16308</v>
      </c>
      <c r="C3275" s="2">
        <v>15</v>
      </c>
      <c r="D3275" s="2">
        <v>556</v>
      </c>
      <c r="E3275" s="2">
        <v>200</v>
      </c>
      <c r="F3275" s="2">
        <v>32441</v>
      </c>
      <c r="G3275" s="2">
        <v>4.3760341729999999</v>
      </c>
      <c r="H3275" s="3">
        <v>4.2699999999999998E-6</v>
      </c>
      <c r="I3275" s="2" t="s">
        <v>16309</v>
      </c>
      <c r="J3275" s="2" t="s">
        <v>16310</v>
      </c>
      <c r="K3275" s="3">
        <v>1.6500000000000001E-5</v>
      </c>
      <c r="L3275" s="2" t="s">
        <v>1178</v>
      </c>
      <c r="M3275" s="4" t="s">
        <v>16311</v>
      </c>
    </row>
    <row r="3276" spans="1:13">
      <c r="A3276" s="2">
        <v>553</v>
      </c>
      <c r="B3276" s="2" t="s">
        <v>16312</v>
      </c>
      <c r="C3276" s="2">
        <v>15</v>
      </c>
      <c r="D3276" s="2">
        <v>556</v>
      </c>
      <c r="E3276" s="2">
        <v>200</v>
      </c>
      <c r="F3276" s="2">
        <v>32441</v>
      </c>
      <c r="G3276" s="2">
        <v>4.3760341729999999</v>
      </c>
      <c r="H3276" s="3">
        <v>4.2699999999999998E-6</v>
      </c>
      <c r="I3276" s="2" t="s">
        <v>16313</v>
      </c>
      <c r="J3276" s="2" t="s">
        <v>16314</v>
      </c>
      <c r="K3276" s="3">
        <v>1.6500000000000001E-5</v>
      </c>
      <c r="L3276" s="2" t="s">
        <v>1178</v>
      </c>
      <c r="M3276" s="4" t="s">
        <v>16315</v>
      </c>
    </row>
    <row r="3277" spans="1:13">
      <c r="A3277" s="2">
        <v>574</v>
      </c>
      <c r="B3277" s="2" t="s">
        <v>16316</v>
      </c>
      <c r="C3277" s="2">
        <v>15</v>
      </c>
      <c r="D3277" s="2">
        <v>556</v>
      </c>
      <c r="E3277" s="2">
        <v>200</v>
      </c>
      <c r="F3277" s="2">
        <v>32441</v>
      </c>
      <c r="G3277" s="2">
        <v>4.3760341729999999</v>
      </c>
      <c r="H3277" s="3">
        <v>4.2699999999999998E-6</v>
      </c>
      <c r="I3277" s="2" t="s">
        <v>16317</v>
      </c>
      <c r="J3277" s="2" t="s">
        <v>16318</v>
      </c>
      <c r="K3277" s="3">
        <v>1.6500000000000001E-5</v>
      </c>
      <c r="L3277" s="2" t="s">
        <v>1178</v>
      </c>
      <c r="M3277" s="4" t="s">
        <v>16319</v>
      </c>
    </row>
    <row r="3278" spans="1:13">
      <c r="A3278" s="2">
        <v>5872</v>
      </c>
      <c r="B3278" s="2" t="s">
        <v>16320</v>
      </c>
      <c r="C3278" s="2">
        <v>15</v>
      </c>
      <c r="D3278" s="2">
        <v>556</v>
      </c>
      <c r="E3278" s="2">
        <v>200</v>
      </c>
      <c r="F3278" s="2">
        <v>32441</v>
      </c>
      <c r="G3278" s="2">
        <v>4.3760341729999999</v>
      </c>
      <c r="H3278" s="3">
        <v>4.2699999999999998E-6</v>
      </c>
      <c r="I3278" s="2" t="s">
        <v>16321</v>
      </c>
      <c r="J3278" s="2" t="s">
        <v>16322</v>
      </c>
      <c r="K3278" s="3">
        <v>1.6500000000000001E-5</v>
      </c>
      <c r="L3278" s="2" t="s">
        <v>1178</v>
      </c>
      <c r="M3278" s="4" t="s">
        <v>16323</v>
      </c>
    </row>
    <row r="3279" spans="1:13">
      <c r="A3279" s="2">
        <v>6071</v>
      </c>
      <c r="B3279" s="2" t="s">
        <v>16324</v>
      </c>
      <c r="C3279" s="2">
        <v>15</v>
      </c>
      <c r="D3279" s="2">
        <v>556</v>
      </c>
      <c r="E3279" s="2">
        <v>200</v>
      </c>
      <c r="F3279" s="2">
        <v>32441</v>
      </c>
      <c r="G3279" s="2">
        <v>4.3760341729999999</v>
      </c>
      <c r="H3279" s="3">
        <v>4.2699999999999998E-6</v>
      </c>
      <c r="I3279" s="2" t="s">
        <v>16325</v>
      </c>
      <c r="J3279" s="2" t="s">
        <v>16326</v>
      </c>
      <c r="K3279" s="3">
        <v>1.6500000000000001E-5</v>
      </c>
      <c r="L3279" s="2" t="s">
        <v>1178</v>
      </c>
      <c r="M3279" s="4" t="s">
        <v>16327</v>
      </c>
    </row>
    <row r="3280" spans="1:13">
      <c r="A3280" s="2">
        <v>663</v>
      </c>
      <c r="B3280" s="2" t="s">
        <v>16328</v>
      </c>
      <c r="C3280" s="2">
        <v>15</v>
      </c>
      <c r="D3280" s="2">
        <v>556</v>
      </c>
      <c r="E3280" s="2">
        <v>200</v>
      </c>
      <c r="F3280" s="2">
        <v>32441</v>
      </c>
      <c r="G3280" s="2">
        <v>4.3760341729999999</v>
      </c>
      <c r="H3280" s="3">
        <v>4.2699999999999998E-6</v>
      </c>
      <c r="I3280" s="2" t="s">
        <v>16329</v>
      </c>
      <c r="J3280" s="2" t="s">
        <v>16330</v>
      </c>
      <c r="K3280" s="3">
        <v>1.6500000000000001E-5</v>
      </c>
      <c r="L3280" s="2" t="s">
        <v>1178</v>
      </c>
      <c r="M3280" s="4" t="s">
        <v>16331</v>
      </c>
    </row>
    <row r="3281" spans="1:13">
      <c r="A3281" s="2">
        <v>6761</v>
      </c>
      <c r="B3281" s="2" t="s">
        <v>16332</v>
      </c>
      <c r="C3281" s="2">
        <v>15</v>
      </c>
      <c r="D3281" s="2">
        <v>556</v>
      </c>
      <c r="E3281" s="2">
        <v>200</v>
      </c>
      <c r="F3281" s="2">
        <v>32441</v>
      </c>
      <c r="G3281" s="2">
        <v>4.3760341729999999</v>
      </c>
      <c r="H3281" s="3">
        <v>4.2699999999999998E-6</v>
      </c>
      <c r="I3281" s="2" t="s">
        <v>16333</v>
      </c>
      <c r="J3281" s="2" t="s">
        <v>16334</v>
      </c>
      <c r="K3281" s="3">
        <v>1.6500000000000001E-5</v>
      </c>
      <c r="L3281" s="2" t="s">
        <v>1178</v>
      </c>
      <c r="M3281" s="4" t="s">
        <v>16335</v>
      </c>
    </row>
    <row r="3282" spans="1:13">
      <c r="A3282" s="2">
        <v>7611</v>
      </c>
      <c r="B3282" s="2" t="s">
        <v>1851</v>
      </c>
      <c r="C3282" s="2">
        <v>15</v>
      </c>
      <c r="D3282" s="2">
        <v>556</v>
      </c>
      <c r="E3282" s="2">
        <v>199</v>
      </c>
      <c r="F3282" s="2">
        <v>32441</v>
      </c>
      <c r="G3282" s="2">
        <v>4.3980242939999998</v>
      </c>
      <c r="H3282" s="3">
        <v>4.0300000000000004E-6</v>
      </c>
      <c r="I3282" s="2" t="s">
        <v>16336</v>
      </c>
      <c r="J3282" s="2" t="s">
        <v>16337</v>
      </c>
      <c r="K3282" s="3">
        <v>1.6500000000000001E-5</v>
      </c>
      <c r="L3282" s="2" t="s">
        <v>1178</v>
      </c>
      <c r="M3282" s="4" t="s">
        <v>16338</v>
      </c>
    </row>
    <row r="3283" spans="1:13">
      <c r="A3283" s="2">
        <v>773</v>
      </c>
      <c r="B3283" s="2" t="s">
        <v>16339</v>
      </c>
      <c r="C3283" s="2">
        <v>15</v>
      </c>
      <c r="D3283" s="2">
        <v>556</v>
      </c>
      <c r="E3283" s="2">
        <v>200</v>
      </c>
      <c r="F3283" s="2">
        <v>32441</v>
      </c>
      <c r="G3283" s="2">
        <v>4.3760341729999999</v>
      </c>
      <c r="H3283" s="3">
        <v>4.2699999999999998E-6</v>
      </c>
      <c r="I3283" s="2" t="s">
        <v>16340</v>
      </c>
      <c r="J3283" s="2" t="s">
        <v>16341</v>
      </c>
      <c r="K3283" s="3">
        <v>1.6500000000000001E-5</v>
      </c>
      <c r="L3283" s="2" t="s">
        <v>1178</v>
      </c>
      <c r="M3283" s="4" t="s">
        <v>16342</v>
      </c>
    </row>
    <row r="3284" spans="1:13">
      <c r="A3284" s="2">
        <v>7891</v>
      </c>
      <c r="B3284" s="2" t="s">
        <v>16343</v>
      </c>
      <c r="C3284" s="2">
        <v>15</v>
      </c>
      <c r="D3284" s="2">
        <v>556</v>
      </c>
      <c r="E3284" s="2">
        <v>200</v>
      </c>
      <c r="F3284" s="2">
        <v>32441</v>
      </c>
      <c r="G3284" s="2">
        <v>4.3760341729999999</v>
      </c>
      <c r="H3284" s="3">
        <v>4.2699999999999998E-6</v>
      </c>
      <c r="I3284" s="2" t="s">
        <v>16344</v>
      </c>
      <c r="J3284" s="2" t="s">
        <v>16345</v>
      </c>
      <c r="K3284" s="3">
        <v>1.6500000000000001E-5</v>
      </c>
      <c r="L3284" s="2" t="s">
        <v>1178</v>
      </c>
      <c r="M3284" s="4" t="s">
        <v>16346</v>
      </c>
    </row>
    <row r="3285" spans="1:13">
      <c r="A3285" s="2">
        <v>797</v>
      </c>
      <c r="B3285" s="2" t="s">
        <v>16347</v>
      </c>
      <c r="C3285" s="2">
        <v>15</v>
      </c>
      <c r="D3285" s="2">
        <v>556</v>
      </c>
      <c r="E3285" s="2">
        <v>200</v>
      </c>
      <c r="F3285" s="2">
        <v>32441</v>
      </c>
      <c r="G3285" s="2">
        <v>4.3760341729999999</v>
      </c>
      <c r="H3285" s="3">
        <v>4.2699999999999998E-6</v>
      </c>
      <c r="I3285" s="2" t="s">
        <v>16348</v>
      </c>
      <c r="J3285" s="2" t="s">
        <v>16349</v>
      </c>
      <c r="K3285" s="3">
        <v>1.6500000000000001E-5</v>
      </c>
      <c r="L3285" s="2" t="s">
        <v>1178</v>
      </c>
      <c r="M3285" s="4" t="s">
        <v>16350</v>
      </c>
    </row>
    <row r="3286" spans="1:13">
      <c r="A3286" s="2">
        <v>8151</v>
      </c>
      <c r="B3286" s="2" t="s">
        <v>16351</v>
      </c>
      <c r="C3286" s="2">
        <v>15</v>
      </c>
      <c r="D3286" s="2">
        <v>556</v>
      </c>
      <c r="E3286" s="2">
        <v>200</v>
      </c>
      <c r="F3286" s="2">
        <v>32441</v>
      </c>
      <c r="G3286" s="2">
        <v>4.3760341729999999</v>
      </c>
      <c r="H3286" s="3">
        <v>4.2699999999999998E-6</v>
      </c>
      <c r="I3286" s="2" t="s">
        <v>16352</v>
      </c>
      <c r="J3286" s="2" t="s">
        <v>16353</v>
      </c>
      <c r="K3286" s="3">
        <v>1.6500000000000001E-5</v>
      </c>
      <c r="L3286" s="2" t="s">
        <v>1178</v>
      </c>
      <c r="M3286" s="4" t="s">
        <v>16354</v>
      </c>
    </row>
    <row r="3287" spans="1:13">
      <c r="A3287" s="2">
        <v>850</v>
      </c>
      <c r="B3287" s="2" t="s">
        <v>16355</v>
      </c>
      <c r="C3287" s="2">
        <v>15</v>
      </c>
      <c r="D3287" s="2">
        <v>556</v>
      </c>
      <c r="E3287" s="2">
        <v>200</v>
      </c>
      <c r="F3287" s="2">
        <v>32441</v>
      </c>
      <c r="G3287" s="2">
        <v>4.3760341729999999</v>
      </c>
      <c r="H3287" s="3">
        <v>4.2699999999999998E-6</v>
      </c>
      <c r="I3287" s="2" t="s">
        <v>16356</v>
      </c>
      <c r="J3287" s="2" t="s">
        <v>16357</v>
      </c>
      <c r="K3287" s="3">
        <v>1.6500000000000001E-5</v>
      </c>
      <c r="L3287" s="2" t="s">
        <v>1178</v>
      </c>
      <c r="M3287" s="4" t="s">
        <v>16358</v>
      </c>
    </row>
    <row r="3288" spans="1:13">
      <c r="A3288" s="2">
        <v>852</v>
      </c>
      <c r="B3288" s="2" t="s">
        <v>16359</v>
      </c>
      <c r="C3288" s="2">
        <v>15</v>
      </c>
      <c r="D3288" s="2">
        <v>556</v>
      </c>
      <c r="E3288" s="2">
        <v>199</v>
      </c>
      <c r="F3288" s="2">
        <v>32441</v>
      </c>
      <c r="G3288" s="2">
        <v>4.3980242939999998</v>
      </c>
      <c r="H3288" s="3">
        <v>4.0300000000000004E-6</v>
      </c>
      <c r="I3288" s="2" t="s">
        <v>16360</v>
      </c>
      <c r="J3288" s="2" t="s">
        <v>16361</v>
      </c>
      <c r="K3288" s="3">
        <v>1.6500000000000001E-5</v>
      </c>
      <c r="L3288" s="2" t="s">
        <v>1178</v>
      </c>
      <c r="M3288" s="4" t="s">
        <v>16362</v>
      </c>
    </row>
    <row r="3289" spans="1:13">
      <c r="A3289" s="2">
        <v>8671</v>
      </c>
      <c r="B3289" s="2" t="s">
        <v>16363</v>
      </c>
      <c r="C3289" s="2">
        <v>15</v>
      </c>
      <c r="D3289" s="2">
        <v>556</v>
      </c>
      <c r="E3289" s="2">
        <v>200</v>
      </c>
      <c r="F3289" s="2">
        <v>32441</v>
      </c>
      <c r="G3289" s="2">
        <v>4.3760341729999999</v>
      </c>
      <c r="H3289" s="3">
        <v>4.2699999999999998E-6</v>
      </c>
      <c r="I3289" s="2" t="s">
        <v>16364</v>
      </c>
      <c r="J3289" s="2" t="s">
        <v>16365</v>
      </c>
      <c r="K3289" s="3">
        <v>1.6500000000000001E-5</v>
      </c>
      <c r="L3289" s="2" t="s">
        <v>1178</v>
      </c>
      <c r="M3289" s="4" t="s">
        <v>16366</v>
      </c>
    </row>
    <row r="3290" spans="1:13">
      <c r="A3290" s="2">
        <v>874</v>
      </c>
      <c r="B3290" s="2" t="s">
        <v>16367</v>
      </c>
      <c r="C3290" s="2">
        <v>15</v>
      </c>
      <c r="D3290" s="2">
        <v>556</v>
      </c>
      <c r="E3290" s="2">
        <v>200</v>
      </c>
      <c r="F3290" s="2">
        <v>32441</v>
      </c>
      <c r="G3290" s="2">
        <v>4.3760341729999999</v>
      </c>
      <c r="H3290" s="3">
        <v>4.2699999999999998E-6</v>
      </c>
      <c r="I3290" s="2" t="s">
        <v>16368</v>
      </c>
      <c r="J3290" s="2" t="s">
        <v>16369</v>
      </c>
      <c r="K3290" s="3">
        <v>1.6500000000000001E-5</v>
      </c>
      <c r="L3290" s="2" t="s">
        <v>1178</v>
      </c>
      <c r="M3290" s="4" t="s">
        <v>16370</v>
      </c>
    </row>
    <row r="3291" spans="1:13">
      <c r="A3291" s="2">
        <v>883</v>
      </c>
      <c r="B3291" s="2" t="s">
        <v>16371</v>
      </c>
      <c r="C3291" s="2">
        <v>15</v>
      </c>
      <c r="D3291" s="2">
        <v>556</v>
      </c>
      <c r="E3291" s="2">
        <v>200</v>
      </c>
      <c r="F3291" s="2">
        <v>32441</v>
      </c>
      <c r="G3291" s="2">
        <v>4.3760341729999999</v>
      </c>
      <c r="H3291" s="3">
        <v>4.2699999999999998E-6</v>
      </c>
      <c r="I3291" s="2" t="s">
        <v>16372</v>
      </c>
      <c r="J3291" s="2" t="s">
        <v>16373</v>
      </c>
      <c r="K3291" s="3">
        <v>1.6500000000000001E-5</v>
      </c>
      <c r="L3291" s="2" t="s">
        <v>1178</v>
      </c>
      <c r="M3291" s="4" t="s">
        <v>16374</v>
      </c>
    </row>
    <row r="3292" spans="1:13">
      <c r="A3292" s="2">
        <v>886</v>
      </c>
      <c r="B3292" s="2" t="s">
        <v>16375</v>
      </c>
      <c r="C3292" s="2">
        <v>15</v>
      </c>
      <c r="D3292" s="2">
        <v>556</v>
      </c>
      <c r="E3292" s="2">
        <v>200</v>
      </c>
      <c r="F3292" s="2">
        <v>32441</v>
      </c>
      <c r="G3292" s="2">
        <v>4.3760341729999999</v>
      </c>
      <c r="H3292" s="3">
        <v>4.2699999999999998E-6</v>
      </c>
      <c r="I3292" s="2" t="s">
        <v>16376</v>
      </c>
      <c r="J3292" s="2" t="s">
        <v>16377</v>
      </c>
      <c r="K3292" s="3">
        <v>1.6500000000000001E-5</v>
      </c>
      <c r="L3292" s="2" t="s">
        <v>1178</v>
      </c>
      <c r="M3292" s="4" t="s">
        <v>16378</v>
      </c>
    </row>
    <row r="3293" spans="1:13">
      <c r="A3293" s="2">
        <v>909</v>
      </c>
      <c r="B3293" s="2" t="s">
        <v>16379</v>
      </c>
      <c r="C3293" s="2">
        <v>15</v>
      </c>
      <c r="D3293" s="2">
        <v>556</v>
      </c>
      <c r="E3293" s="2">
        <v>200</v>
      </c>
      <c r="F3293" s="2">
        <v>32441</v>
      </c>
      <c r="G3293" s="2">
        <v>4.3760341729999999</v>
      </c>
      <c r="H3293" s="3">
        <v>4.2699999999999998E-6</v>
      </c>
      <c r="I3293" s="2" t="s">
        <v>16380</v>
      </c>
      <c r="J3293" s="2" t="s">
        <v>16381</v>
      </c>
      <c r="K3293" s="3">
        <v>1.6500000000000001E-5</v>
      </c>
      <c r="L3293" s="2" t="s">
        <v>1178</v>
      </c>
      <c r="M3293" s="4" t="s">
        <v>16382</v>
      </c>
    </row>
    <row r="3294" spans="1:13">
      <c r="A3294" s="2">
        <v>948</v>
      </c>
      <c r="B3294" s="2" t="s">
        <v>16383</v>
      </c>
      <c r="C3294" s="2">
        <v>15</v>
      </c>
      <c r="D3294" s="2">
        <v>556</v>
      </c>
      <c r="E3294" s="2">
        <v>200</v>
      </c>
      <c r="F3294" s="2">
        <v>32441</v>
      </c>
      <c r="G3294" s="2">
        <v>4.3760341729999999</v>
      </c>
      <c r="H3294" s="3">
        <v>4.2699999999999998E-6</v>
      </c>
      <c r="I3294" s="2" t="s">
        <v>16384</v>
      </c>
      <c r="J3294" s="2" t="s">
        <v>16385</v>
      </c>
      <c r="K3294" s="3">
        <v>1.6500000000000001E-5</v>
      </c>
      <c r="L3294" s="2" t="s">
        <v>1178</v>
      </c>
      <c r="M3294" s="4" t="s">
        <v>16386</v>
      </c>
    </row>
    <row r="3295" spans="1:13">
      <c r="A3295" s="2">
        <v>953</v>
      </c>
      <c r="B3295" s="2" t="s">
        <v>2097</v>
      </c>
      <c r="C3295" s="2">
        <v>15</v>
      </c>
      <c r="D3295" s="2">
        <v>556</v>
      </c>
      <c r="E3295" s="2">
        <v>200</v>
      </c>
      <c r="F3295" s="2">
        <v>32441</v>
      </c>
      <c r="G3295" s="2">
        <v>4.3760341729999999</v>
      </c>
      <c r="H3295" s="3">
        <v>4.2699999999999998E-6</v>
      </c>
      <c r="I3295" s="2" t="s">
        <v>16387</v>
      </c>
      <c r="J3295" s="2" t="s">
        <v>16388</v>
      </c>
      <c r="K3295" s="3">
        <v>1.6500000000000001E-5</v>
      </c>
      <c r="L3295" s="2" t="s">
        <v>1178</v>
      </c>
      <c r="M3295" s="4" t="s">
        <v>16389</v>
      </c>
    </row>
    <row r="3296" spans="1:13">
      <c r="A3296" s="2">
        <v>9911</v>
      </c>
      <c r="B3296" s="2" t="s">
        <v>16390</v>
      </c>
      <c r="C3296" s="2">
        <v>15</v>
      </c>
      <c r="D3296" s="2">
        <v>556</v>
      </c>
      <c r="E3296" s="2">
        <v>200</v>
      </c>
      <c r="F3296" s="2">
        <v>32441</v>
      </c>
      <c r="G3296" s="2">
        <v>4.3760341729999999</v>
      </c>
      <c r="H3296" s="3">
        <v>4.2699999999999998E-6</v>
      </c>
      <c r="I3296" s="2" t="s">
        <v>16391</v>
      </c>
      <c r="J3296" s="2" t="s">
        <v>16392</v>
      </c>
      <c r="K3296" s="3">
        <v>1.6500000000000001E-5</v>
      </c>
      <c r="L3296" s="2" t="s">
        <v>1178</v>
      </c>
      <c r="M3296" s="4" t="s">
        <v>16393</v>
      </c>
    </row>
    <row r="3297" spans="1:13">
      <c r="A3297" s="2">
        <v>10222</v>
      </c>
      <c r="B3297" s="2" t="s">
        <v>2406</v>
      </c>
      <c r="C3297" s="2">
        <v>15</v>
      </c>
      <c r="D3297" s="2">
        <v>556</v>
      </c>
      <c r="E3297" s="2">
        <v>200</v>
      </c>
      <c r="F3297" s="2">
        <v>32441</v>
      </c>
      <c r="G3297" s="2">
        <v>4.3760341729999999</v>
      </c>
      <c r="H3297" s="3">
        <v>4.2699999999999998E-6</v>
      </c>
      <c r="I3297" s="2" t="s">
        <v>16394</v>
      </c>
      <c r="J3297" s="2" t="s">
        <v>16395</v>
      </c>
      <c r="K3297" s="3">
        <v>1.6500000000000001E-5</v>
      </c>
      <c r="L3297" s="2" t="s">
        <v>1178</v>
      </c>
      <c r="M3297" s="4" t="s">
        <v>16396</v>
      </c>
    </row>
    <row r="3298" spans="1:13">
      <c r="A3298" s="2">
        <v>1066</v>
      </c>
      <c r="B3298" s="2" t="s">
        <v>16397</v>
      </c>
      <c r="C3298" s="2">
        <v>15</v>
      </c>
      <c r="D3298" s="2">
        <v>556</v>
      </c>
      <c r="E3298" s="2">
        <v>200</v>
      </c>
      <c r="F3298" s="2">
        <v>32441</v>
      </c>
      <c r="G3298" s="2">
        <v>4.3760341729999999</v>
      </c>
      <c r="H3298" s="3">
        <v>4.2699999999999998E-6</v>
      </c>
      <c r="I3298" s="2" t="s">
        <v>16398</v>
      </c>
      <c r="J3298" s="2" t="s">
        <v>16399</v>
      </c>
      <c r="K3298" s="3">
        <v>1.6500000000000001E-5</v>
      </c>
      <c r="L3298" s="2" t="s">
        <v>1178</v>
      </c>
      <c r="M3298" s="4" t="s">
        <v>16400</v>
      </c>
    </row>
    <row r="3299" spans="1:13">
      <c r="A3299" s="2">
        <v>1076</v>
      </c>
      <c r="B3299" s="2" t="s">
        <v>16401</v>
      </c>
      <c r="C3299" s="2">
        <v>15</v>
      </c>
      <c r="D3299" s="2">
        <v>556</v>
      </c>
      <c r="E3299" s="2">
        <v>200</v>
      </c>
      <c r="F3299" s="2">
        <v>32441</v>
      </c>
      <c r="G3299" s="2">
        <v>4.3760341729999999</v>
      </c>
      <c r="H3299" s="3">
        <v>4.2699999999999998E-6</v>
      </c>
      <c r="I3299" s="2" t="s">
        <v>16402</v>
      </c>
      <c r="J3299" s="2" t="s">
        <v>16403</v>
      </c>
      <c r="K3299" s="3">
        <v>1.6500000000000001E-5</v>
      </c>
      <c r="L3299" s="2" t="s">
        <v>1178</v>
      </c>
      <c r="M3299" s="4" t="s">
        <v>16404</v>
      </c>
    </row>
    <row r="3300" spans="1:13">
      <c r="A3300" s="2">
        <v>1096</v>
      </c>
      <c r="B3300" s="2" t="s">
        <v>16405</v>
      </c>
      <c r="C3300" s="2">
        <v>15</v>
      </c>
      <c r="D3300" s="2">
        <v>556</v>
      </c>
      <c r="E3300" s="2">
        <v>200</v>
      </c>
      <c r="F3300" s="2">
        <v>32441</v>
      </c>
      <c r="G3300" s="2">
        <v>4.3760341729999999</v>
      </c>
      <c r="H3300" s="3">
        <v>4.2699999999999998E-6</v>
      </c>
      <c r="I3300" s="2" t="s">
        <v>16406</v>
      </c>
      <c r="J3300" s="2" t="s">
        <v>16407</v>
      </c>
      <c r="K3300" s="3">
        <v>1.6500000000000001E-5</v>
      </c>
      <c r="L3300" s="2" t="s">
        <v>1178</v>
      </c>
      <c r="M3300" s="4" t="s">
        <v>16408</v>
      </c>
    </row>
    <row r="3301" spans="1:13">
      <c r="A3301" s="2">
        <v>1120</v>
      </c>
      <c r="B3301" s="2" t="s">
        <v>16409</v>
      </c>
      <c r="C3301" s="2">
        <v>15</v>
      </c>
      <c r="D3301" s="2">
        <v>556</v>
      </c>
      <c r="E3301" s="2">
        <v>200</v>
      </c>
      <c r="F3301" s="2">
        <v>32441</v>
      </c>
      <c r="G3301" s="2">
        <v>4.3760341729999999</v>
      </c>
      <c r="H3301" s="3">
        <v>4.2699999999999998E-6</v>
      </c>
      <c r="I3301" s="2" t="s">
        <v>16410</v>
      </c>
      <c r="J3301" s="2" t="s">
        <v>16411</v>
      </c>
      <c r="K3301" s="3">
        <v>1.6500000000000001E-5</v>
      </c>
      <c r="L3301" s="2" t="s">
        <v>1178</v>
      </c>
      <c r="M3301" s="4" t="s">
        <v>16412</v>
      </c>
    </row>
    <row r="3302" spans="1:13">
      <c r="A3302" s="2">
        <v>1131</v>
      </c>
      <c r="B3302" s="2" t="s">
        <v>16413</v>
      </c>
      <c r="C3302" s="2">
        <v>15</v>
      </c>
      <c r="D3302" s="2">
        <v>556</v>
      </c>
      <c r="E3302" s="2">
        <v>200</v>
      </c>
      <c r="F3302" s="2">
        <v>32441</v>
      </c>
      <c r="G3302" s="2">
        <v>4.3760341729999999</v>
      </c>
      <c r="H3302" s="3">
        <v>4.2699999999999998E-6</v>
      </c>
      <c r="I3302" s="2" t="s">
        <v>16414</v>
      </c>
      <c r="J3302" s="2" t="s">
        <v>16415</v>
      </c>
      <c r="K3302" s="3">
        <v>1.6500000000000001E-5</v>
      </c>
      <c r="L3302" s="2" t="s">
        <v>1178</v>
      </c>
      <c r="M3302" s="4" t="s">
        <v>16416</v>
      </c>
    </row>
    <row r="3303" spans="1:13">
      <c r="A3303" s="2">
        <v>11411</v>
      </c>
      <c r="B3303" s="2" t="s">
        <v>1866</v>
      </c>
      <c r="C3303" s="2">
        <v>15</v>
      </c>
      <c r="D3303" s="2">
        <v>556</v>
      </c>
      <c r="E3303" s="2">
        <v>200</v>
      </c>
      <c r="F3303" s="2">
        <v>32441</v>
      </c>
      <c r="G3303" s="2">
        <v>4.3760341729999999</v>
      </c>
      <c r="H3303" s="3">
        <v>4.2699999999999998E-6</v>
      </c>
      <c r="I3303" s="2" t="s">
        <v>16417</v>
      </c>
      <c r="J3303" s="2" t="s">
        <v>16418</v>
      </c>
      <c r="K3303" s="3">
        <v>1.6500000000000001E-5</v>
      </c>
      <c r="L3303" s="2" t="s">
        <v>1178</v>
      </c>
      <c r="M3303" s="4" t="s">
        <v>16419</v>
      </c>
    </row>
    <row r="3304" spans="1:13">
      <c r="A3304" s="2">
        <v>1148</v>
      </c>
      <c r="B3304" s="2" t="s">
        <v>16420</v>
      </c>
      <c r="C3304" s="2">
        <v>15</v>
      </c>
      <c r="D3304" s="2">
        <v>556</v>
      </c>
      <c r="E3304" s="2">
        <v>200</v>
      </c>
      <c r="F3304" s="2">
        <v>32441</v>
      </c>
      <c r="G3304" s="2">
        <v>4.3760341729999999</v>
      </c>
      <c r="H3304" s="3">
        <v>4.2699999999999998E-6</v>
      </c>
      <c r="I3304" s="2" t="s">
        <v>16421</v>
      </c>
      <c r="J3304" s="2" t="s">
        <v>16422</v>
      </c>
      <c r="K3304" s="3">
        <v>1.6500000000000001E-5</v>
      </c>
      <c r="L3304" s="2" t="s">
        <v>1178</v>
      </c>
      <c r="M3304" s="4" t="s">
        <v>16423</v>
      </c>
    </row>
    <row r="3305" spans="1:13">
      <c r="A3305" s="2">
        <v>1206</v>
      </c>
      <c r="B3305" s="2" t="s">
        <v>16424</v>
      </c>
      <c r="C3305" s="2">
        <v>15</v>
      </c>
      <c r="D3305" s="2">
        <v>556</v>
      </c>
      <c r="E3305" s="2">
        <v>200</v>
      </c>
      <c r="F3305" s="2">
        <v>32441</v>
      </c>
      <c r="G3305" s="2">
        <v>4.3760341729999999</v>
      </c>
      <c r="H3305" s="3">
        <v>4.2699999999999998E-6</v>
      </c>
      <c r="I3305" s="2" t="s">
        <v>16425</v>
      </c>
      <c r="J3305" s="2" t="s">
        <v>16426</v>
      </c>
      <c r="K3305" s="3">
        <v>1.6500000000000001E-5</v>
      </c>
      <c r="L3305" s="2" t="s">
        <v>1178</v>
      </c>
      <c r="M3305" s="4" t="s">
        <v>16427</v>
      </c>
    </row>
    <row r="3306" spans="1:13">
      <c r="A3306" s="2">
        <v>1213</v>
      </c>
      <c r="B3306" s="2" t="s">
        <v>16428</v>
      </c>
      <c r="C3306" s="2">
        <v>15</v>
      </c>
      <c r="D3306" s="2">
        <v>556</v>
      </c>
      <c r="E3306" s="2">
        <v>200</v>
      </c>
      <c r="F3306" s="2">
        <v>32441</v>
      </c>
      <c r="G3306" s="2">
        <v>4.3760341729999999</v>
      </c>
      <c r="H3306" s="3">
        <v>4.2699999999999998E-6</v>
      </c>
      <c r="I3306" s="2" t="s">
        <v>16429</v>
      </c>
      <c r="J3306" s="2" t="s">
        <v>16430</v>
      </c>
      <c r="K3306" s="3">
        <v>1.6500000000000001E-5</v>
      </c>
      <c r="L3306" s="2" t="s">
        <v>1178</v>
      </c>
      <c r="M3306" s="4" t="s">
        <v>16431</v>
      </c>
    </row>
    <row r="3307" spans="1:13">
      <c r="A3307" s="2">
        <v>1242</v>
      </c>
      <c r="B3307" s="2" t="s">
        <v>16432</v>
      </c>
      <c r="C3307" s="2">
        <v>15</v>
      </c>
      <c r="D3307" s="2">
        <v>556</v>
      </c>
      <c r="E3307" s="2">
        <v>200</v>
      </c>
      <c r="F3307" s="2">
        <v>32441</v>
      </c>
      <c r="G3307" s="2">
        <v>4.3760341729999999</v>
      </c>
      <c r="H3307" s="3">
        <v>4.2699999999999998E-6</v>
      </c>
      <c r="I3307" s="2" t="s">
        <v>16433</v>
      </c>
      <c r="J3307" s="2" t="s">
        <v>16434</v>
      </c>
      <c r="K3307" s="3">
        <v>1.6500000000000001E-5</v>
      </c>
      <c r="L3307" s="2" t="s">
        <v>1178</v>
      </c>
      <c r="M3307" s="4" t="s">
        <v>16435</v>
      </c>
    </row>
    <row r="3308" spans="1:13">
      <c r="A3308" s="2">
        <v>13322</v>
      </c>
      <c r="B3308" s="2" t="s">
        <v>16436</v>
      </c>
      <c r="C3308" s="2">
        <v>15</v>
      </c>
      <c r="D3308" s="2">
        <v>556</v>
      </c>
      <c r="E3308" s="2">
        <v>200</v>
      </c>
      <c r="F3308" s="2">
        <v>32441</v>
      </c>
      <c r="G3308" s="2">
        <v>4.3760341729999999</v>
      </c>
      <c r="H3308" s="3">
        <v>4.2699999999999998E-6</v>
      </c>
      <c r="I3308" s="2" t="s">
        <v>16437</v>
      </c>
      <c r="J3308" s="2" t="s">
        <v>16438</v>
      </c>
      <c r="K3308" s="3">
        <v>1.6500000000000001E-5</v>
      </c>
      <c r="L3308" s="2" t="s">
        <v>1178</v>
      </c>
      <c r="M3308" s="4" t="s">
        <v>16439</v>
      </c>
    </row>
    <row r="3309" spans="1:13">
      <c r="A3309" s="2">
        <v>1342</v>
      </c>
      <c r="B3309" s="2" t="s">
        <v>16440</v>
      </c>
      <c r="C3309" s="2">
        <v>15</v>
      </c>
      <c r="D3309" s="2">
        <v>556</v>
      </c>
      <c r="E3309" s="2">
        <v>199</v>
      </c>
      <c r="F3309" s="2">
        <v>32441</v>
      </c>
      <c r="G3309" s="2">
        <v>4.3980242939999998</v>
      </c>
      <c r="H3309" s="3">
        <v>4.0300000000000004E-6</v>
      </c>
      <c r="I3309" s="2" t="s">
        <v>16441</v>
      </c>
      <c r="J3309" s="2" t="s">
        <v>16442</v>
      </c>
      <c r="K3309" s="3">
        <v>1.6500000000000001E-5</v>
      </c>
      <c r="L3309" s="2" t="s">
        <v>1178</v>
      </c>
      <c r="M3309" s="4" t="s">
        <v>16443</v>
      </c>
    </row>
    <row r="3310" spans="1:13">
      <c r="A3310" s="2">
        <v>13561</v>
      </c>
      <c r="B3310" s="2" t="s">
        <v>16444</v>
      </c>
      <c r="C3310" s="2">
        <v>15</v>
      </c>
      <c r="D3310" s="2">
        <v>556</v>
      </c>
      <c r="E3310" s="2">
        <v>200</v>
      </c>
      <c r="F3310" s="2">
        <v>32441</v>
      </c>
      <c r="G3310" s="2">
        <v>4.3760341729999999</v>
      </c>
      <c r="H3310" s="3">
        <v>4.2699999999999998E-6</v>
      </c>
      <c r="I3310" s="2" t="s">
        <v>16445</v>
      </c>
      <c r="J3310" s="2" t="s">
        <v>16446</v>
      </c>
      <c r="K3310" s="3">
        <v>1.6500000000000001E-5</v>
      </c>
      <c r="L3310" s="2" t="s">
        <v>1178</v>
      </c>
      <c r="M3310" s="4" t="s">
        <v>16447</v>
      </c>
    </row>
    <row r="3311" spans="1:13">
      <c r="A3311" s="2">
        <v>1374</v>
      </c>
      <c r="B3311" s="2" t="s">
        <v>16448</v>
      </c>
      <c r="C3311" s="2">
        <v>15</v>
      </c>
      <c r="D3311" s="2">
        <v>556</v>
      </c>
      <c r="E3311" s="2">
        <v>200</v>
      </c>
      <c r="F3311" s="2">
        <v>32441</v>
      </c>
      <c r="G3311" s="2">
        <v>4.3760341729999999</v>
      </c>
      <c r="H3311" s="3">
        <v>4.2699999999999998E-6</v>
      </c>
      <c r="I3311" s="2" t="s">
        <v>16449</v>
      </c>
      <c r="J3311" s="2" t="s">
        <v>16450</v>
      </c>
      <c r="K3311" s="3">
        <v>1.6500000000000001E-5</v>
      </c>
      <c r="L3311" s="2" t="s">
        <v>1178</v>
      </c>
      <c r="M3311" s="4" t="s">
        <v>16451</v>
      </c>
    </row>
    <row r="3312" spans="1:13">
      <c r="A3312" s="2">
        <v>1409</v>
      </c>
      <c r="B3312" s="2" t="s">
        <v>1881</v>
      </c>
      <c r="C3312" s="2">
        <v>15</v>
      </c>
      <c r="D3312" s="2">
        <v>556</v>
      </c>
      <c r="E3312" s="2">
        <v>200</v>
      </c>
      <c r="F3312" s="2">
        <v>32441</v>
      </c>
      <c r="G3312" s="2">
        <v>4.3760341729999999</v>
      </c>
      <c r="H3312" s="3">
        <v>4.2699999999999998E-6</v>
      </c>
      <c r="I3312" s="2" t="s">
        <v>16452</v>
      </c>
      <c r="J3312" s="2" t="s">
        <v>16453</v>
      </c>
      <c r="K3312" s="3">
        <v>1.6500000000000001E-5</v>
      </c>
      <c r="L3312" s="2" t="s">
        <v>1178</v>
      </c>
      <c r="M3312" s="4" t="s">
        <v>16454</v>
      </c>
    </row>
    <row r="3313" spans="1:13">
      <c r="A3313" s="2">
        <v>14121</v>
      </c>
      <c r="B3313" s="2" t="s">
        <v>16455</v>
      </c>
      <c r="C3313" s="2">
        <v>15</v>
      </c>
      <c r="D3313" s="2">
        <v>556</v>
      </c>
      <c r="E3313" s="2">
        <v>200</v>
      </c>
      <c r="F3313" s="2">
        <v>32441</v>
      </c>
      <c r="G3313" s="2">
        <v>4.3760341729999999</v>
      </c>
      <c r="H3313" s="3">
        <v>4.2699999999999998E-6</v>
      </c>
      <c r="I3313" s="2" t="s">
        <v>16456</v>
      </c>
      <c r="J3313" s="2" t="s">
        <v>16457</v>
      </c>
      <c r="K3313" s="3">
        <v>1.6500000000000001E-5</v>
      </c>
      <c r="L3313" s="2" t="s">
        <v>1178</v>
      </c>
      <c r="M3313" s="4" t="s">
        <v>16458</v>
      </c>
    </row>
    <row r="3314" spans="1:13">
      <c r="A3314" s="2">
        <v>14441</v>
      </c>
      <c r="B3314" s="2" t="s">
        <v>16459</v>
      </c>
      <c r="C3314" s="2">
        <v>15</v>
      </c>
      <c r="D3314" s="2">
        <v>556</v>
      </c>
      <c r="E3314" s="2">
        <v>200</v>
      </c>
      <c r="F3314" s="2">
        <v>32441</v>
      </c>
      <c r="G3314" s="2">
        <v>4.3760341729999999</v>
      </c>
      <c r="H3314" s="3">
        <v>4.2699999999999998E-6</v>
      </c>
      <c r="I3314" s="2" t="s">
        <v>16460</v>
      </c>
      <c r="J3314" s="2" t="s">
        <v>16461</v>
      </c>
      <c r="K3314" s="3">
        <v>1.6500000000000001E-5</v>
      </c>
      <c r="L3314" s="2" t="s">
        <v>1178</v>
      </c>
      <c r="M3314" s="4" t="s">
        <v>16462</v>
      </c>
    </row>
    <row r="3315" spans="1:13">
      <c r="A3315" s="2">
        <v>1464</v>
      </c>
      <c r="B3315" s="2" t="s">
        <v>16463</v>
      </c>
      <c r="C3315" s="2">
        <v>15</v>
      </c>
      <c r="D3315" s="2">
        <v>556</v>
      </c>
      <c r="E3315" s="2">
        <v>200</v>
      </c>
      <c r="F3315" s="2">
        <v>32441</v>
      </c>
      <c r="G3315" s="2">
        <v>4.3760341729999999</v>
      </c>
      <c r="H3315" s="3">
        <v>4.2699999999999998E-6</v>
      </c>
      <c r="I3315" s="2" t="s">
        <v>16464</v>
      </c>
      <c r="J3315" s="2" t="s">
        <v>16465</v>
      </c>
      <c r="K3315" s="3">
        <v>1.6500000000000001E-5</v>
      </c>
      <c r="L3315" s="2" t="s">
        <v>1178</v>
      </c>
      <c r="M3315" s="4" t="s">
        <v>16466</v>
      </c>
    </row>
    <row r="3316" spans="1:13">
      <c r="A3316" s="2">
        <v>1516</v>
      </c>
      <c r="B3316" s="2" t="s">
        <v>16467</v>
      </c>
      <c r="C3316" s="2">
        <v>15</v>
      </c>
      <c r="D3316" s="2">
        <v>556</v>
      </c>
      <c r="E3316" s="2">
        <v>200</v>
      </c>
      <c r="F3316" s="2">
        <v>32441</v>
      </c>
      <c r="G3316" s="2">
        <v>4.3760341729999999</v>
      </c>
      <c r="H3316" s="3">
        <v>4.2699999999999998E-6</v>
      </c>
      <c r="I3316" s="2" t="s">
        <v>16468</v>
      </c>
      <c r="J3316" s="2" t="s">
        <v>16469</v>
      </c>
      <c r="K3316" s="3">
        <v>1.6500000000000001E-5</v>
      </c>
      <c r="L3316" s="2" t="s">
        <v>1178</v>
      </c>
      <c r="M3316" s="4" t="s">
        <v>16470</v>
      </c>
    </row>
    <row r="3317" spans="1:13">
      <c r="A3317" s="2">
        <v>15181</v>
      </c>
      <c r="B3317" s="2" t="s">
        <v>16471</v>
      </c>
      <c r="C3317" s="2">
        <v>15</v>
      </c>
      <c r="D3317" s="2">
        <v>556</v>
      </c>
      <c r="E3317" s="2">
        <v>200</v>
      </c>
      <c r="F3317" s="2">
        <v>32441</v>
      </c>
      <c r="G3317" s="2">
        <v>4.3760341729999999</v>
      </c>
      <c r="H3317" s="3">
        <v>4.2699999999999998E-6</v>
      </c>
      <c r="I3317" s="2" t="s">
        <v>16472</v>
      </c>
      <c r="J3317" s="2" t="s">
        <v>16473</v>
      </c>
      <c r="K3317" s="3">
        <v>1.6500000000000001E-5</v>
      </c>
      <c r="L3317" s="2" t="s">
        <v>1178</v>
      </c>
      <c r="M3317" s="4" t="s">
        <v>16474</v>
      </c>
    </row>
    <row r="3318" spans="1:13">
      <c r="A3318" s="2">
        <v>15191</v>
      </c>
      <c r="B3318" s="2" t="s">
        <v>2478</v>
      </c>
      <c r="C3318" s="2">
        <v>15</v>
      </c>
      <c r="D3318" s="2">
        <v>556</v>
      </c>
      <c r="E3318" s="2">
        <v>200</v>
      </c>
      <c r="F3318" s="2">
        <v>32441</v>
      </c>
      <c r="G3318" s="2">
        <v>4.3760341729999999</v>
      </c>
      <c r="H3318" s="3">
        <v>4.2699999999999998E-6</v>
      </c>
      <c r="I3318" s="2" t="s">
        <v>16475</v>
      </c>
      <c r="J3318" s="2" t="s">
        <v>16476</v>
      </c>
      <c r="K3318" s="3">
        <v>1.6500000000000001E-5</v>
      </c>
      <c r="L3318" s="2" t="s">
        <v>1178</v>
      </c>
      <c r="M3318" s="4" t="s">
        <v>16477</v>
      </c>
    </row>
    <row r="3319" spans="1:13">
      <c r="A3319" s="2">
        <v>16381</v>
      </c>
      <c r="B3319" s="2" t="s">
        <v>2169</v>
      </c>
      <c r="C3319" s="2">
        <v>15</v>
      </c>
      <c r="D3319" s="2">
        <v>556</v>
      </c>
      <c r="E3319" s="2">
        <v>200</v>
      </c>
      <c r="F3319" s="2">
        <v>32441</v>
      </c>
      <c r="G3319" s="2">
        <v>4.3760341729999999</v>
      </c>
      <c r="H3319" s="3">
        <v>4.2699999999999998E-6</v>
      </c>
      <c r="I3319" s="2" t="s">
        <v>16478</v>
      </c>
      <c r="J3319" s="2" t="s">
        <v>16479</v>
      </c>
      <c r="K3319" s="3">
        <v>1.6500000000000001E-5</v>
      </c>
      <c r="L3319" s="2" t="s">
        <v>1178</v>
      </c>
      <c r="M3319" s="4" t="s">
        <v>16480</v>
      </c>
    </row>
    <row r="3320" spans="1:13">
      <c r="A3320" s="2">
        <v>16462</v>
      </c>
      <c r="B3320" s="2" t="s">
        <v>16481</v>
      </c>
      <c r="C3320" s="2">
        <v>15</v>
      </c>
      <c r="D3320" s="2">
        <v>556</v>
      </c>
      <c r="E3320" s="2">
        <v>200</v>
      </c>
      <c r="F3320" s="2">
        <v>32441</v>
      </c>
      <c r="G3320" s="2">
        <v>4.3760341729999999</v>
      </c>
      <c r="H3320" s="3">
        <v>4.2699999999999998E-6</v>
      </c>
      <c r="I3320" s="2" t="s">
        <v>16482</v>
      </c>
      <c r="J3320" s="2" t="s">
        <v>16483</v>
      </c>
      <c r="K3320" s="3">
        <v>1.6500000000000001E-5</v>
      </c>
      <c r="L3320" s="2" t="s">
        <v>1178</v>
      </c>
      <c r="M3320" s="4" t="s">
        <v>16484</v>
      </c>
    </row>
    <row r="3321" spans="1:13">
      <c r="A3321" s="2">
        <v>16551</v>
      </c>
      <c r="B3321" s="2" t="s">
        <v>16485</v>
      </c>
      <c r="C3321" s="2">
        <v>15</v>
      </c>
      <c r="D3321" s="2">
        <v>556</v>
      </c>
      <c r="E3321" s="2">
        <v>200</v>
      </c>
      <c r="F3321" s="2">
        <v>32441</v>
      </c>
      <c r="G3321" s="2">
        <v>4.3760341729999999</v>
      </c>
      <c r="H3321" s="3">
        <v>4.2699999999999998E-6</v>
      </c>
      <c r="I3321" s="2" t="s">
        <v>16486</v>
      </c>
      <c r="J3321" s="2" t="s">
        <v>16487</v>
      </c>
      <c r="K3321" s="3">
        <v>1.6500000000000001E-5</v>
      </c>
      <c r="L3321" s="2" t="s">
        <v>1178</v>
      </c>
      <c r="M3321" s="4" t="s">
        <v>16488</v>
      </c>
    </row>
    <row r="3322" spans="1:13">
      <c r="A3322" s="2">
        <v>1659</v>
      </c>
      <c r="B3322" s="2" t="s">
        <v>16489</v>
      </c>
      <c r="C3322" s="2">
        <v>15</v>
      </c>
      <c r="D3322" s="2">
        <v>556</v>
      </c>
      <c r="E3322" s="2">
        <v>199</v>
      </c>
      <c r="F3322" s="2">
        <v>32441</v>
      </c>
      <c r="G3322" s="2">
        <v>4.3980242939999998</v>
      </c>
      <c r="H3322" s="3">
        <v>4.0300000000000004E-6</v>
      </c>
      <c r="I3322" s="2" t="s">
        <v>16490</v>
      </c>
      <c r="J3322" s="2" t="s">
        <v>16491</v>
      </c>
      <c r="K3322" s="3">
        <v>1.6500000000000001E-5</v>
      </c>
      <c r="L3322" s="2" t="s">
        <v>1178</v>
      </c>
      <c r="M3322" s="4" t="s">
        <v>16492</v>
      </c>
    </row>
    <row r="3323" spans="1:13">
      <c r="A3323" s="2">
        <v>17161</v>
      </c>
      <c r="B3323" s="2" t="s">
        <v>16493</v>
      </c>
      <c r="C3323" s="2">
        <v>15</v>
      </c>
      <c r="D3323" s="2">
        <v>556</v>
      </c>
      <c r="E3323" s="2">
        <v>200</v>
      </c>
      <c r="F3323" s="2">
        <v>32441</v>
      </c>
      <c r="G3323" s="2">
        <v>4.3760341729999999</v>
      </c>
      <c r="H3323" s="3">
        <v>4.2699999999999998E-6</v>
      </c>
      <c r="I3323" s="2" t="s">
        <v>16494</v>
      </c>
      <c r="J3323" s="2" t="s">
        <v>16495</v>
      </c>
      <c r="K3323" s="3">
        <v>1.6500000000000001E-5</v>
      </c>
      <c r="L3323" s="2" t="s">
        <v>1178</v>
      </c>
      <c r="M3323" s="4" t="s">
        <v>16496</v>
      </c>
    </row>
    <row r="3324" spans="1:13">
      <c r="A3324" s="2">
        <v>17281</v>
      </c>
      <c r="B3324" s="2" t="s">
        <v>16497</v>
      </c>
      <c r="C3324" s="2">
        <v>15</v>
      </c>
      <c r="D3324" s="2">
        <v>556</v>
      </c>
      <c r="E3324" s="2">
        <v>200</v>
      </c>
      <c r="F3324" s="2">
        <v>32441</v>
      </c>
      <c r="G3324" s="2">
        <v>4.3760341729999999</v>
      </c>
      <c r="H3324" s="3">
        <v>4.2699999999999998E-6</v>
      </c>
      <c r="I3324" s="2" t="s">
        <v>16498</v>
      </c>
      <c r="J3324" s="2" t="s">
        <v>16499</v>
      </c>
      <c r="K3324" s="3">
        <v>1.6500000000000001E-5</v>
      </c>
      <c r="L3324" s="2" t="s">
        <v>1178</v>
      </c>
      <c r="M3324" s="4" t="s">
        <v>16500</v>
      </c>
    </row>
    <row r="3325" spans="1:13">
      <c r="A3325" s="2">
        <v>1765</v>
      </c>
      <c r="B3325" s="2" t="s">
        <v>16501</v>
      </c>
      <c r="C3325" s="2">
        <v>15</v>
      </c>
      <c r="D3325" s="2">
        <v>556</v>
      </c>
      <c r="E3325" s="2">
        <v>200</v>
      </c>
      <c r="F3325" s="2">
        <v>32441</v>
      </c>
      <c r="G3325" s="2">
        <v>4.3760341729999999</v>
      </c>
      <c r="H3325" s="3">
        <v>4.2699999999999998E-6</v>
      </c>
      <c r="I3325" s="2" t="s">
        <v>16502</v>
      </c>
      <c r="J3325" s="2" t="s">
        <v>16503</v>
      </c>
      <c r="K3325" s="3">
        <v>1.6500000000000001E-5</v>
      </c>
      <c r="L3325" s="2" t="s">
        <v>1178</v>
      </c>
      <c r="M3325" s="4" t="s">
        <v>16504</v>
      </c>
    </row>
    <row r="3326" spans="1:13">
      <c r="A3326" s="2">
        <v>17911</v>
      </c>
      <c r="B3326" s="2" t="s">
        <v>16505</v>
      </c>
      <c r="C3326" s="2">
        <v>15</v>
      </c>
      <c r="D3326" s="2">
        <v>556</v>
      </c>
      <c r="E3326" s="2">
        <v>200</v>
      </c>
      <c r="F3326" s="2">
        <v>32441</v>
      </c>
      <c r="G3326" s="2">
        <v>4.3760341729999999</v>
      </c>
      <c r="H3326" s="3">
        <v>4.2699999999999998E-6</v>
      </c>
      <c r="I3326" s="2" t="s">
        <v>16506</v>
      </c>
      <c r="J3326" s="2" t="s">
        <v>16507</v>
      </c>
      <c r="K3326" s="3">
        <v>1.6500000000000001E-5</v>
      </c>
      <c r="L3326" s="2" t="s">
        <v>1178</v>
      </c>
      <c r="M3326" s="4" t="s">
        <v>16508</v>
      </c>
    </row>
    <row r="3327" spans="1:13">
      <c r="A3327" s="2">
        <v>1819</v>
      </c>
      <c r="B3327" s="2" t="s">
        <v>16509</v>
      </c>
      <c r="C3327" s="2">
        <v>15</v>
      </c>
      <c r="D3327" s="2">
        <v>556</v>
      </c>
      <c r="E3327" s="2">
        <v>200</v>
      </c>
      <c r="F3327" s="2">
        <v>32441</v>
      </c>
      <c r="G3327" s="2">
        <v>4.3760341729999999</v>
      </c>
      <c r="H3327" s="3">
        <v>4.2699999999999998E-6</v>
      </c>
      <c r="I3327" s="2" t="s">
        <v>16510</v>
      </c>
      <c r="J3327" s="2" t="s">
        <v>16511</v>
      </c>
      <c r="K3327" s="3">
        <v>1.6500000000000001E-5</v>
      </c>
      <c r="L3327" s="2" t="s">
        <v>1178</v>
      </c>
      <c r="M3327" s="4" t="s">
        <v>16512</v>
      </c>
    </row>
    <row r="3328" spans="1:13">
      <c r="A3328" s="2">
        <v>18961</v>
      </c>
      <c r="B3328" s="2" t="s">
        <v>16513</v>
      </c>
      <c r="C3328" s="2">
        <v>15</v>
      </c>
      <c r="D3328" s="2">
        <v>556</v>
      </c>
      <c r="E3328" s="2">
        <v>200</v>
      </c>
      <c r="F3328" s="2">
        <v>32441</v>
      </c>
      <c r="G3328" s="2">
        <v>4.3760341729999999</v>
      </c>
      <c r="H3328" s="3">
        <v>4.2699999999999998E-6</v>
      </c>
      <c r="I3328" s="2" t="s">
        <v>16514</v>
      </c>
      <c r="J3328" s="2" t="s">
        <v>16515</v>
      </c>
      <c r="K3328" s="3">
        <v>1.6500000000000001E-5</v>
      </c>
      <c r="L3328" s="2" t="s">
        <v>1178</v>
      </c>
      <c r="M3328" s="4" t="s">
        <v>16516</v>
      </c>
    </row>
    <row r="3329" spans="1:13">
      <c r="A3329" s="2">
        <v>2021</v>
      </c>
      <c r="B3329" s="2" t="s">
        <v>16517</v>
      </c>
      <c r="C3329" s="2">
        <v>15</v>
      </c>
      <c r="D3329" s="2">
        <v>556</v>
      </c>
      <c r="E3329" s="2">
        <v>200</v>
      </c>
      <c r="F3329" s="2">
        <v>32441</v>
      </c>
      <c r="G3329" s="2">
        <v>4.3760341729999999</v>
      </c>
      <c r="H3329" s="3">
        <v>4.2699999999999998E-6</v>
      </c>
      <c r="I3329" s="2" t="s">
        <v>16518</v>
      </c>
      <c r="J3329" s="2" t="s">
        <v>16519</v>
      </c>
      <c r="K3329" s="3">
        <v>1.6500000000000001E-5</v>
      </c>
      <c r="L3329" s="2" t="s">
        <v>1178</v>
      </c>
      <c r="M3329" s="4" t="s">
        <v>16520</v>
      </c>
    </row>
    <row r="3330" spans="1:13">
      <c r="A3330" s="2">
        <v>20261</v>
      </c>
      <c r="B3330" s="2" t="s">
        <v>16521</v>
      </c>
      <c r="C3330" s="2">
        <v>15</v>
      </c>
      <c r="D3330" s="2">
        <v>556</v>
      </c>
      <c r="E3330" s="2">
        <v>199</v>
      </c>
      <c r="F3330" s="2">
        <v>32441</v>
      </c>
      <c r="G3330" s="2">
        <v>4.3980242939999998</v>
      </c>
      <c r="H3330" s="3">
        <v>4.0300000000000004E-6</v>
      </c>
      <c r="I3330" s="2" t="s">
        <v>16522</v>
      </c>
      <c r="J3330" s="2" t="s">
        <v>16523</v>
      </c>
      <c r="K3330" s="3">
        <v>1.6500000000000001E-5</v>
      </c>
      <c r="L3330" s="2" t="s">
        <v>1178</v>
      </c>
      <c r="M3330" s="4" t="s">
        <v>16524</v>
      </c>
    </row>
    <row r="3331" spans="1:13">
      <c r="A3331" s="2">
        <v>20651</v>
      </c>
      <c r="B3331" s="2" t="s">
        <v>16525</v>
      </c>
      <c r="C3331" s="2">
        <v>15</v>
      </c>
      <c r="D3331" s="2">
        <v>556</v>
      </c>
      <c r="E3331" s="2">
        <v>198</v>
      </c>
      <c r="F3331" s="2">
        <v>32441</v>
      </c>
      <c r="G3331" s="2">
        <v>4.4202365380000002</v>
      </c>
      <c r="H3331" s="3">
        <v>3.8099999999999999E-6</v>
      </c>
      <c r="I3331" s="2" t="s">
        <v>16526</v>
      </c>
      <c r="J3331" s="2" t="s">
        <v>16527</v>
      </c>
      <c r="K3331" s="3">
        <v>1.6500000000000001E-5</v>
      </c>
      <c r="L3331" s="2" t="s">
        <v>1178</v>
      </c>
      <c r="M3331" s="4" t="s">
        <v>16528</v>
      </c>
    </row>
    <row r="3332" spans="1:13">
      <c r="A3332" s="2">
        <v>2087</v>
      </c>
      <c r="B3332" s="2" t="s">
        <v>16529</v>
      </c>
      <c r="C3332" s="2">
        <v>15</v>
      </c>
      <c r="D3332" s="2">
        <v>556</v>
      </c>
      <c r="E3332" s="2">
        <v>200</v>
      </c>
      <c r="F3332" s="2">
        <v>32441</v>
      </c>
      <c r="G3332" s="2">
        <v>4.3760341729999999</v>
      </c>
      <c r="H3332" s="3">
        <v>4.2699999999999998E-6</v>
      </c>
      <c r="I3332" s="2" t="s">
        <v>16530</v>
      </c>
      <c r="J3332" s="2" t="s">
        <v>16531</v>
      </c>
      <c r="K3332" s="3">
        <v>1.6500000000000001E-5</v>
      </c>
      <c r="L3332" s="2" t="s">
        <v>1178</v>
      </c>
      <c r="M3332" s="4" t="s">
        <v>16532</v>
      </c>
    </row>
    <row r="3333" spans="1:13">
      <c r="A3333" s="2">
        <v>2135</v>
      </c>
      <c r="B3333" s="2" t="s">
        <v>16533</v>
      </c>
      <c r="C3333" s="2">
        <v>15</v>
      </c>
      <c r="D3333" s="2">
        <v>556</v>
      </c>
      <c r="E3333" s="2">
        <v>199</v>
      </c>
      <c r="F3333" s="2">
        <v>32441</v>
      </c>
      <c r="G3333" s="2">
        <v>4.3980242939999998</v>
      </c>
      <c r="H3333" s="3">
        <v>4.0300000000000004E-6</v>
      </c>
      <c r="I3333" s="2" t="s">
        <v>16534</v>
      </c>
      <c r="J3333" s="2" t="s">
        <v>16535</v>
      </c>
      <c r="K3333" s="3">
        <v>1.6500000000000001E-5</v>
      </c>
      <c r="L3333" s="2" t="s">
        <v>1178</v>
      </c>
      <c r="M3333" s="4" t="s">
        <v>16536</v>
      </c>
    </row>
    <row r="3334" spans="1:13">
      <c r="A3334" s="2">
        <v>2142</v>
      </c>
      <c r="B3334" s="2" t="s">
        <v>16537</v>
      </c>
      <c r="C3334" s="2">
        <v>15</v>
      </c>
      <c r="D3334" s="2">
        <v>556</v>
      </c>
      <c r="E3334" s="2">
        <v>200</v>
      </c>
      <c r="F3334" s="2">
        <v>32441</v>
      </c>
      <c r="G3334" s="2">
        <v>4.3760341729999999</v>
      </c>
      <c r="H3334" s="3">
        <v>4.2699999999999998E-6</v>
      </c>
      <c r="I3334" s="2" t="s">
        <v>16538</v>
      </c>
      <c r="J3334" s="2" t="s">
        <v>16539</v>
      </c>
      <c r="K3334" s="3">
        <v>1.6500000000000001E-5</v>
      </c>
      <c r="L3334" s="2" t="s">
        <v>1178</v>
      </c>
      <c r="M3334" s="4" t="s">
        <v>16540</v>
      </c>
    </row>
    <row r="3335" spans="1:13">
      <c r="A3335" s="2">
        <v>21621</v>
      </c>
      <c r="B3335" s="2" t="s">
        <v>16541</v>
      </c>
      <c r="C3335" s="2">
        <v>15</v>
      </c>
      <c r="D3335" s="2">
        <v>556</v>
      </c>
      <c r="E3335" s="2">
        <v>200</v>
      </c>
      <c r="F3335" s="2">
        <v>32441</v>
      </c>
      <c r="G3335" s="2">
        <v>4.3760341729999999</v>
      </c>
      <c r="H3335" s="3">
        <v>4.2699999999999998E-6</v>
      </c>
      <c r="I3335" s="2" t="s">
        <v>16542</v>
      </c>
      <c r="J3335" s="2" t="s">
        <v>16543</v>
      </c>
      <c r="K3335" s="3">
        <v>1.6500000000000001E-5</v>
      </c>
      <c r="L3335" s="2" t="s">
        <v>1178</v>
      </c>
      <c r="M3335" s="4" t="s">
        <v>16544</v>
      </c>
    </row>
    <row r="3336" spans="1:13">
      <c r="A3336" s="2">
        <v>22001</v>
      </c>
      <c r="B3336" s="2" t="s">
        <v>16545</v>
      </c>
      <c r="C3336" s="2">
        <v>15</v>
      </c>
      <c r="D3336" s="2">
        <v>556</v>
      </c>
      <c r="E3336" s="2">
        <v>200</v>
      </c>
      <c r="F3336" s="2">
        <v>32441</v>
      </c>
      <c r="G3336" s="2">
        <v>4.3760341729999999</v>
      </c>
      <c r="H3336" s="3">
        <v>4.2699999999999998E-6</v>
      </c>
      <c r="I3336" s="2" t="s">
        <v>16546</v>
      </c>
      <c r="J3336" s="2" t="s">
        <v>16547</v>
      </c>
      <c r="K3336" s="3">
        <v>1.6500000000000001E-5</v>
      </c>
      <c r="L3336" s="2" t="s">
        <v>1178</v>
      </c>
      <c r="M3336" s="4" t="s">
        <v>16548</v>
      </c>
    </row>
    <row r="3337" spans="1:13">
      <c r="A3337" s="2">
        <v>22041</v>
      </c>
      <c r="B3337" s="2" t="s">
        <v>16549</v>
      </c>
      <c r="C3337" s="2">
        <v>15</v>
      </c>
      <c r="D3337" s="2">
        <v>556</v>
      </c>
      <c r="E3337" s="2">
        <v>200</v>
      </c>
      <c r="F3337" s="2">
        <v>32441</v>
      </c>
      <c r="G3337" s="2">
        <v>4.3760341729999999</v>
      </c>
      <c r="H3337" s="3">
        <v>4.2699999999999998E-6</v>
      </c>
      <c r="I3337" s="2" t="s">
        <v>16550</v>
      </c>
      <c r="J3337" s="2" t="s">
        <v>16551</v>
      </c>
      <c r="K3337" s="3">
        <v>1.6500000000000001E-5</v>
      </c>
      <c r="L3337" s="2" t="s">
        <v>1178</v>
      </c>
      <c r="M3337" s="4" t="s">
        <v>16552</v>
      </c>
    </row>
    <row r="3338" spans="1:13">
      <c r="A3338" s="2">
        <v>22201</v>
      </c>
      <c r="B3338" s="2" t="s">
        <v>3444</v>
      </c>
      <c r="C3338" s="2">
        <v>15</v>
      </c>
      <c r="D3338" s="2">
        <v>556</v>
      </c>
      <c r="E3338" s="2">
        <v>200</v>
      </c>
      <c r="F3338" s="2">
        <v>32441</v>
      </c>
      <c r="G3338" s="2">
        <v>4.3760341729999999</v>
      </c>
      <c r="H3338" s="3">
        <v>4.2699999999999998E-6</v>
      </c>
      <c r="I3338" s="2" t="s">
        <v>16553</v>
      </c>
      <c r="J3338" s="2" t="s">
        <v>16554</v>
      </c>
      <c r="K3338" s="3">
        <v>1.6500000000000001E-5</v>
      </c>
      <c r="L3338" s="2" t="s">
        <v>1178</v>
      </c>
      <c r="M3338" s="4" t="s">
        <v>3447</v>
      </c>
    </row>
    <row r="3339" spans="1:13">
      <c r="A3339" s="2">
        <v>22451</v>
      </c>
      <c r="B3339" s="2" t="s">
        <v>16555</v>
      </c>
      <c r="C3339" s="2">
        <v>15</v>
      </c>
      <c r="D3339" s="2">
        <v>556</v>
      </c>
      <c r="E3339" s="2">
        <v>200</v>
      </c>
      <c r="F3339" s="2">
        <v>32441</v>
      </c>
      <c r="G3339" s="2">
        <v>4.3760341729999999</v>
      </c>
      <c r="H3339" s="3">
        <v>4.2699999999999998E-6</v>
      </c>
      <c r="I3339" s="2" t="s">
        <v>16556</v>
      </c>
      <c r="J3339" s="2" t="s">
        <v>16557</v>
      </c>
      <c r="K3339" s="3">
        <v>1.6500000000000001E-5</v>
      </c>
      <c r="L3339" s="2" t="s">
        <v>1178</v>
      </c>
      <c r="M3339" s="4" t="s">
        <v>16558</v>
      </c>
    </row>
    <row r="3340" spans="1:13">
      <c r="A3340" s="2">
        <v>2247</v>
      </c>
      <c r="B3340" s="2" t="s">
        <v>16559</v>
      </c>
      <c r="C3340" s="2">
        <v>15</v>
      </c>
      <c r="D3340" s="2">
        <v>556</v>
      </c>
      <c r="E3340" s="2">
        <v>200</v>
      </c>
      <c r="F3340" s="2">
        <v>32441</v>
      </c>
      <c r="G3340" s="2">
        <v>4.3760341729999999</v>
      </c>
      <c r="H3340" s="3">
        <v>4.2699999999999998E-6</v>
      </c>
      <c r="I3340" s="2" t="s">
        <v>16560</v>
      </c>
      <c r="J3340" s="2" t="s">
        <v>16561</v>
      </c>
      <c r="K3340" s="3">
        <v>1.6500000000000001E-5</v>
      </c>
      <c r="L3340" s="2" t="s">
        <v>1178</v>
      </c>
      <c r="M3340" s="4" t="s">
        <v>16562</v>
      </c>
    </row>
    <row r="3341" spans="1:13">
      <c r="A3341" s="2">
        <v>22591</v>
      </c>
      <c r="B3341" s="2" t="s">
        <v>16563</v>
      </c>
      <c r="C3341" s="2">
        <v>15</v>
      </c>
      <c r="D3341" s="2">
        <v>556</v>
      </c>
      <c r="E3341" s="2">
        <v>200</v>
      </c>
      <c r="F3341" s="2">
        <v>32441</v>
      </c>
      <c r="G3341" s="2">
        <v>4.3760341729999999</v>
      </c>
      <c r="H3341" s="3">
        <v>4.2699999999999998E-6</v>
      </c>
      <c r="I3341" s="2" t="s">
        <v>16564</v>
      </c>
      <c r="J3341" s="2" t="s">
        <v>16565</v>
      </c>
      <c r="K3341" s="3">
        <v>1.6500000000000001E-5</v>
      </c>
      <c r="L3341" s="2" t="s">
        <v>1178</v>
      </c>
      <c r="M3341" s="4" t="s">
        <v>16566</v>
      </c>
    </row>
    <row r="3342" spans="1:13">
      <c r="A3342" s="2">
        <v>2271</v>
      </c>
      <c r="B3342" s="2" t="s">
        <v>16567</v>
      </c>
      <c r="C3342" s="2">
        <v>15</v>
      </c>
      <c r="D3342" s="2">
        <v>556</v>
      </c>
      <c r="E3342" s="2">
        <v>200</v>
      </c>
      <c r="F3342" s="2">
        <v>32441</v>
      </c>
      <c r="G3342" s="2">
        <v>4.3760341729999999</v>
      </c>
      <c r="H3342" s="3">
        <v>4.2699999999999998E-6</v>
      </c>
      <c r="I3342" s="2" t="s">
        <v>16568</v>
      </c>
      <c r="J3342" s="2" t="s">
        <v>16569</v>
      </c>
      <c r="K3342" s="3">
        <v>1.6500000000000001E-5</v>
      </c>
      <c r="L3342" s="2" t="s">
        <v>1178</v>
      </c>
      <c r="M3342" s="4" t="s">
        <v>16570</v>
      </c>
    </row>
    <row r="3343" spans="1:13">
      <c r="A3343" s="2">
        <v>2276</v>
      </c>
      <c r="B3343" s="2" t="s">
        <v>1716</v>
      </c>
      <c r="C3343" s="2">
        <v>15</v>
      </c>
      <c r="D3343" s="2">
        <v>556</v>
      </c>
      <c r="E3343" s="2">
        <v>200</v>
      </c>
      <c r="F3343" s="2">
        <v>32441</v>
      </c>
      <c r="G3343" s="2">
        <v>4.3760341729999999</v>
      </c>
      <c r="H3343" s="3">
        <v>4.2699999999999998E-6</v>
      </c>
      <c r="I3343" s="2" t="s">
        <v>16571</v>
      </c>
      <c r="J3343" s="2" t="s">
        <v>16572</v>
      </c>
      <c r="K3343" s="3">
        <v>1.6500000000000001E-5</v>
      </c>
      <c r="L3343" s="2" t="s">
        <v>1178</v>
      </c>
      <c r="M3343" s="4" t="s">
        <v>16573</v>
      </c>
    </row>
    <row r="3344" spans="1:13">
      <c r="A3344" s="2">
        <v>2310</v>
      </c>
      <c r="B3344" s="2" t="s">
        <v>1719</v>
      </c>
      <c r="C3344" s="2">
        <v>15</v>
      </c>
      <c r="D3344" s="2">
        <v>556</v>
      </c>
      <c r="E3344" s="2">
        <v>200</v>
      </c>
      <c r="F3344" s="2">
        <v>32441</v>
      </c>
      <c r="G3344" s="2">
        <v>4.3760341729999999</v>
      </c>
      <c r="H3344" s="3">
        <v>4.2699999999999998E-6</v>
      </c>
      <c r="I3344" s="2" t="s">
        <v>16574</v>
      </c>
      <c r="J3344" s="2" t="s">
        <v>16575</v>
      </c>
      <c r="K3344" s="3">
        <v>1.6500000000000001E-5</v>
      </c>
      <c r="L3344" s="2" t="s">
        <v>1178</v>
      </c>
      <c r="M3344" s="4" t="s">
        <v>16576</v>
      </c>
    </row>
    <row r="3345" spans="1:13">
      <c r="A3345" s="2">
        <v>2313</v>
      </c>
      <c r="B3345" s="2" t="s">
        <v>16577</v>
      </c>
      <c r="C3345" s="2">
        <v>15</v>
      </c>
      <c r="D3345" s="2">
        <v>556</v>
      </c>
      <c r="E3345" s="2">
        <v>200</v>
      </c>
      <c r="F3345" s="2">
        <v>32441</v>
      </c>
      <c r="G3345" s="2">
        <v>4.3760341729999999</v>
      </c>
      <c r="H3345" s="3">
        <v>4.2699999999999998E-6</v>
      </c>
      <c r="I3345" s="2" t="s">
        <v>16578</v>
      </c>
      <c r="J3345" s="2" t="s">
        <v>16579</v>
      </c>
      <c r="K3345" s="3">
        <v>1.6500000000000001E-5</v>
      </c>
      <c r="L3345" s="2" t="s">
        <v>1178</v>
      </c>
      <c r="M3345" s="4" t="s">
        <v>16580</v>
      </c>
    </row>
    <row r="3346" spans="1:13">
      <c r="A3346" s="2">
        <v>24911</v>
      </c>
      <c r="B3346" s="2" t="s">
        <v>16581</v>
      </c>
      <c r="C3346" s="2">
        <v>15</v>
      </c>
      <c r="D3346" s="2">
        <v>556</v>
      </c>
      <c r="E3346" s="2">
        <v>199</v>
      </c>
      <c r="F3346" s="2">
        <v>32441</v>
      </c>
      <c r="G3346" s="2">
        <v>4.3980242939999998</v>
      </c>
      <c r="H3346" s="3">
        <v>4.0300000000000004E-6</v>
      </c>
      <c r="I3346" s="2" t="s">
        <v>16582</v>
      </c>
      <c r="J3346" s="2" t="s">
        <v>16583</v>
      </c>
      <c r="K3346" s="3">
        <v>1.6500000000000001E-5</v>
      </c>
      <c r="L3346" s="2" t="s">
        <v>1178</v>
      </c>
      <c r="M3346" s="4" t="s">
        <v>16584</v>
      </c>
    </row>
    <row r="3347" spans="1:13">
      <c r="A3347" s="2">
        <v>25201</v>
      </c>
      <c r="B3347" s="2" t="s">
        <v>16585</v>
      </c>
      <c r="C3347" s="2">
        <v>15</v>
      </c>
      <c r="D3347" s="2">
        <v>556</v>
      </c>
      <c r="E3347" s="2">
        <v>199</v>
      </c>
      <c r="F3347" s="2">
        <v>32441</v>
      </c>
      <c r="G3347" s="2">
        <v>4.3980242939999998</v>
      </c>
      <c r="H3347" s="3">
        <v>4.0300000000000004E-6</v>
      </c>
      <c r="I3347" s="2" t="s">
        <v>16586</v>
      </c>
      <c r="J3347" s="2" t="s">
        <v>16587</v>
      </c>
      <c r="K3347" s="3">
        <v>1.6500000000000001E-5</v>
      </c>
      <c r="L3347" s="2" t="s">
        <v>1178</v>
      </c>
      <c r="M3347" s="4" t="s">
        <v>16588</v>
      </c>
    </row>
    <row r="3348" spans="1:13">
      <c r="A3348" s="2">
        <v>2584</v>
      </c>
      <c r="B3348" s="2" t="s">
        <v>16589</v>
      </c>
      <c r="C3348" s="2">
        <v>15</v>
      </c>
      <c r="D3348" s="2">
        <v>556</v>
      </c>
      <c r="E3348" s="2">
        <v>200</v>
      </c>
      <c r="F3348" s="2">
        <v>32441</v>
      </c>
      <c r="G3348" s="2">
        <v>4.3760341729999999</v>
      </c>
      <c r="H3348" s="3">
        <v>4.2699999999999998E-6</v>
      </c>
      <c r="I3348" s="2" t="s">
        <v>16590</v>
      </c>
      <c r="J3348" s="2" t="s">
        <v>16591</v>
      </c>
      <c r="K3348" s="3">
        <v>1.6500000000000001E-5</v>
      </c>
      <c r="L3348" s="2" t="s">
        <v>1178</v>
      </c>
      <c r="M3348" s="4" t="s">
        <v>16592</v>
      </c>
    </row>
    <row r="3349" spans="1:13">
      <c r="A3349" s="2">
        <v>25881</v>
      </c>
      <c r="B3349" s="2" t="s">
        <v>16593</v>
      </c>
      <c r="C3349" s="2">
        <v>15</v>
      </c>
      <c r="D3349" s="2">
        <v>556</v>
      </c>
      <c r="E3349" s="2">
        <v>200</v>
      </c>
      <c r="F3349" s="2">
        <v>32441</v>
      </c>
      <c r="G3349" s="2">
        <v>4.3760341729999999</v>
      </c>
      <c r="H3349" s="3">
        <v>4.2699999999999998E-6</v>
      </c>
      <c r="I3349" s="2" t="s">
        <v>16594</v>
      </c>
      <c r="J3349" s="2" t="s">
        <v>16595</v>
      </c>
      <c r="K3349" s="3">
        <v>1.6500000000000001E-5</v>
      </c>
      <c r="L3349" s="2" t="s">
        <v>1178</v>
      </c>
      <c r="M3349" s="4" t="s">
        <v>16596</v>
      </c>
    </row>
    <row r="3350" spans="1:13">
      <c r="A3350" s="2">
        <v>2673</v>
      </c>
      <c r="B3350" s="2" t="s">
        <v>16597</v>
      </c>
      <c r="C3350" s="2">
        <v>15</v>
      </c>
      <c r="D3350" s="2">
        <v>556</v>
      </c>
      <c r="E3350" s="2">
        <v>200</v>
      </c>
      <c r="F3350" s="2">
        <v>32441</v>
      </c>
      <c r="G3350" s="2">
        <v>4.3760341729999999</v>
      </c>
      <c r="H3350" s="3">
        <v>4.2699999999999998E-6</v>
      </c>
      <c r="I3350" s="2" t="s">
        <v>16598</v>
      </c>
      <c r="J3350" s="2" t="s">
        <v>16599</v>
      </c>
      <c r="K3350" s="3">
        <v>1.6500000000000001E-5</v>
      </c>
      <c r="L3350" s="2" t="s">
        <v>1178</v>
      </c>
      <c r="M3350" s="4" t="s">
        <v>16600</v>
      </c>
    </row>
    <row r="3351" spans="1:13">
      <c r="A3351" s="2">
        <v>26912</v>
      </c>
      <c r="B3351" s="2" t="s">
        <v>16601</v>
      </c>
      <c r="C3351" s="2">
        <v>15</v>
      </c>
      <c r="D3351" s="2">
        <v>556</v>
      </c>
      <c r="E3351" s="2">
        <v>200</v>
      </c>
      <c r="F3351" s="2">
        <v>32441</v>
      </c>
      <c r="G3351" s="2">
        <v>4.3760341729999999</v>
      </c>
      <c r="H3351" s="3">
        <v>4.2699999999999998E-6</v>
      </c>
      <c r="I3351" s="2" t="s">
        <v>16602</v>
      </c>
      <c r="J3351" s="2" t="s">
        <v>16603</v>
      </c>
      <c r="K3351" s="3">
        <v>1.6500000000000001E-5</v>
      </c>
      <c r="L3351" s="2" t="s">
        <v>1178</v>
      </c>
      <c r="M3351" s="4" t="s">
        <v>16604</v>
      </c>
    </row>
    <row r="3352" spans="1:13">
      <c r="A3352" s="2">
        <v>27711</v>
      </c>
      <c r="B3352" s="2" t="s">
        <v>16605</v>
      </c>
      <c r="C3352" s="2">
        <v>15</v>
      </c>
      <c r="D3352" s="2">
        <v>556</v>
      </c>
      <c r="E3352" s="2">
        <v>200</v>
      </c>
      <c r="F3352" s="2">
        <v>32441</v>
      </c>
      <c r="G3352" s="2">
        <v>4.3760341729999999</v>
      </c>
      <c r="H3352" s="3">
        <v>4.2699999999999998E-6</v>
      </c>
      <c r="I3352" s="2" t="s">
        <v>16606</v>
      </c>
      <c r="J3352" s="2" t="s">
        <v>16607</v>
      </c>
      <c r="K3352" s="3">
        <v>1.6500000000000001E-5</v>
      </c>
      <c r="L3352" s="2" t="s">
        <v>1178</v>
      </c>
      <c r="M3352" s="4" t="s">
        <v>16608</v>
      </c>
    </row>
    <row r="3353" spans="1:13">
      <c r="A3353" s="2">
        <v>2843</v>
      </c>
      <c r="B3353" s="2" t="s">
        <v>16609</v>
      </c>
      <c r="C3353" s="2">
        <v>15</v>
      </c>
      <c r="D3353" s="2">
        <v>556</v>
      </c>
      <c r="E3353" s="2">
        <v>200</v>
      </c>
      <c r="F3353" s="2">
        <v>32441</v>
      </c>
      <c r="G3353" s="2">
        <v>4.3760341729999999</v>
      </c>
      <c r="H3353" s="3">
        <v>4.2699999999999998E-6</v>
      </c>
      <c r="I3353" s="2" t="s">
        <v>16610</v>
      </c>
      <c r="J3353" s="2" t="s">
        <v>16611</v>
      </c>
      <c r="K3353" s="3">
        <v>1.6500000000000001E-5</v>
      </c>
      <c r="L3353" s="2" t="s">
        <v>1178</v>
      </c>
      <c r="M3353" s="4" t="s">
        <v>16612</v>
      </c>
    </row>
    <row r="3354" spans="1:13">
      <c r="A3354" s="2">
        <v>2848</v>
      </c>
      <c r="B3354" s="2" t="s">
        <v>16613</v>
      </c>
      <c r="C3354" s="2">
        <v>15</v>
      </c>
      <c r="D3354" s="2">
        <v>556</v>
      </c>
      <c r="E3354" s="2">
        <v>200</v>
      </c>
      <c r="F3354" s="2">
        <v>32441</v>
      </c>
      <c r="G3354" s="2">
        <v>4.3760341729999999</v>
      </c>
      <c r="H3354" s="3">
        <v>4.2699999999999998E-6</v>
      </c>
      <c r="I3354" s="2" t="s">
        <v>16614</v>
      </c>
      <c r="J3354" s="2" t="s">
        <v>16615</v>
      </c>
      <c r="K3354" s="3">
        <v>1.6500000000000001E-5</v>
      </c>
      <c r="L3354" s="2" t="s">
        <v>1178</v>
      </c>
      <c r="M3354" s="4" t="s">
        <v>16616</v>
      </c>
    </row>
    <row r="3355" spans="1:13">
      <c r="A3355" s="2">
        <v>2903</v>
      </c>
      <c r="B3355" s="2" t="s">
        <v>16617</v>
      </c>
      <c r="C3355" s="2">
        <v>15</v>
      </c>
      <c r="D3355" s="2">
        <v>556</v>
      </c>
      <c r="E3355" s="2">
        <v>199</v>
      </c>
      <c r="F3355" s="2">
        <v>32441</v>
      </c>
      <c r="G3355" s="2">
        <v>4.3980242939999998</v>
      </c>
      <c r="H3355" s="3">
        <v>4.0300000000000004E-6</v>
      </c>
      <c r="I3355" s="2" t="s">
        <v>16618</v>
      </c>
      <c r="J3355" s="2" t="s">
        <v>16619</v>
      </c>
      <c r="K3355" s="3">
        <v>1.6500000000000001E-5</v>
      </c>
      <c r="L3355" s="2" t="s">
        <v>1178</v>
      </c>
      <c r="M3355" s="4" t="s">
        <v>16620</v>
      </c>
    </row>
    <row r="3356" spans="1:13">
      <c r="A3356" s="2">
        <v>2912</v>
      </c>
      <c r="B3356" s="2" t="s">
        <v>16621</v>
      </c>
      <c r="C3356" s="2">
        <v>15</v>
      </c>
      <c r="D3356" s="2">
        <v>556</v>
      </c>
      <c r="E3356" s="2">
        <v>200</v>
      </c>
      <c r="F3356" s="2">
        <v>32441</v>
      </c>
      <c r="G3356" s="2">
        <v>4.3760341729999999</v>
      </c>
      <c r="H3356" s="3">
        <v>4.2699999999999998E-6</v>
      </c>
      <c r="I3356" s="2" t="s">
        <v>16622</v>
      </c>
      <c r="J3356" s="2" t="s">
        <v>16623</v>
      </c>
      <c r="K3356" s="3">
        <v>1.6500000000000001E-5</v>
      </c>
      <c r="L3356" s="2" t="s">
        <v>1178</v>
      </c>
      <c r="M3356" s="4" t="s">
        <v>16624</v>
      </c>
    </row>
    <row r="3357" spans="1:13">
      <c r="A3357" s="2">
        <v>2950</v>
      </c>
      <c r="B3357" s="2" t="s">
        <v>2220</v>
      </c>
      <c r="C3357" s="2">
        <v>15</v>
      </c>
      <c r="D3357" s="2">
        <v>556</v>
      </c>
      <c r="E3357" s="2">
        <v>200</v>
      </c>
      <c r="F3357" s="2">
        <v>32441</v>
      </c>
      <c r="G3357" s="2">
        <v>4.3760341729999999</v>
      </c>
      <c r="H3357" s="3">
        <v>4.2699999999999998E-6</v>
      </c>
      <c r="I3357" s="2" t="s">
        <v>16625</v>
      </c>
      <c r="J3357" s="2" t="s">
        <v>16626</v>
      </c>
      <c r="K3357" s="3">
        <v>1.6500000000000001E-5</v>
      </c>
      <c r="L3357" s="2" t="s">
        <v>1178</v>
      </c>
      <c r="M3357" s="4" t="s">
        <v>16627</v>
      </c>
    </row>
    <row r="3358" spans="1:13">
      <c r="A3358" s="2">
        <v>3249</v>
      </c>
      <c r="B3358" s="2" t="s">
        <v>16628</v>
      </c>
      <c r="C3358" s="2">
        <v>15</v>
      </c>
      <c r="D3358" s="2">
        <v>556</v>
      </c>
      <c r="E3358" s="2">
        <v>200</v>
      </c>
      <c r="F3358" s="2">
        <v>32441</v>
      </c>
      <c r="G3358" s="2">
        <v>4.3760341729999999</v>
      </c>
      <c r="H3358" s="3">
        <v>4.2699999999999998E-6</v>
      </c>
      <c r="I3358" s="2" t="s">
        <v>16629</v>
      </c>
      <c r="J3358" s="2" t="s">
        <v>16630</v>
      </c>
      <c r="K3358" s="3">
        <v>1.6500000000000001E-5</v>
      </c>
      <c r="L3358" s="2" t="s">
        <v>1178</v>
      </c>
      <c r="M3358" s="4" t="s">
        <v>16631</v>
      </c>
    </row>
    <row r="3359" spans="1:13">
      <c r="A3359" s="2">
        <v>3258</v>
      </c>
      <c r="B3359" s="2" t="s">
        <v>16632</v>
      </c>
      <c r="C3359" s="2">
        <v>15</v>
      </c>
      <c r="D3359" s="2">
        <v>556</v>
      </c>
      <c r="E3359" s="2">
        <v>200</v>
      </c>
      <c r="F3359" s="2">
        <v>32441</v>
      </c>
      <c r="G3359" s="2">
        <v>4.3760341729999999</v>
      </c>
      <c r="H3359" s="3">
        <v>4.2699999999999998E-6</v>
      </c>
      <c r="I3359" s="2" t="s">
        <v>16633</v>
      </c>
      <c r="J3359" s="2" t="s">
        <v>16634</v>
      </c>
      <c r="K3359" s="3">
        <v>1.6500000000000001E-5</v>
      </c>
      <c r="L3359" s="2" t="s">
        <v>1178</v>
      </c>
      <c r="M3359" s="4" t="s">
        <v>16635</v>
      </c>
    </row>
    <row r="3360" spans="1:13">
      <c r="A3360" s="2">
        <v>33011</v>
      </c>
      <c r="B3360" s="2" t="s">
        <v>16636</v>
      </c>
      <c r="C3360" s="2">
        <v>14</v>
      </c>
      <c r="D3360" s="2">
        <v>556</v>
      </c>
      <c r="E3360" s="2">
        <v>173</v>
      </c>
      <c r="F3360" s="2">
        <v>32441</v>
      </c>
      <c r="G3360" s="2">
        <v>4.7217324410000003</v>
      </c>
      <c r="H3360" s="3">
        <v>3.9299999999999996E-6</v>
      </c>
      <c r="I3360" s="2" t="s">
        <v>16637</v>
      </c>
      <c r="J3360" s="2" t="s">
        <v>16638</v>
      </c>
      <c r="K3360" s="3">
        <v>1.6500000000000001E-5</v>
      </c>
      <c r="L3360" s="2" t="s">
        <v>1178</v>
      </c>
      <c r="M3360" s="4" t="s">
        <v>16639</v>
      </c>
    </row>
    <row r="3361" spans="1:13">
      <c r="A3361" s="2">
        <v>3310</v>
      </c>
      <c r="B3361" s="2" t="s">
        <v>16640</v>
      </c>
      <c r="C3361" s="2">
        <v>15</v>
      </c>
      <c r="D3361" s="2">
        <v>556</v>
      </c>
      <c r="E3361" s="2">
        <v>200</v>
      </c>
      <c r="F3361" s="2">
        <v>32441</v>
      </c>
      <c r="G3361" s="2">
        <v>4.3760341729999999</v>
      </c>
      <c r="H3361" s="3">
        <v>4.2699999999999998E-6</v>
      </c>
      <c r="I3361" s="2" t="s">
        <v>16641</v>
      </c>
      <c r="J3361" s="2" t="s">
        <v>16642</v>
      </c>
      <c r="K3361" s="3">
        <v>1.6500000000000001E-5</v>
      </c>
      <c r="L3361" s="2" t="s">
        <v>1178</v>
      </c>
      <c r="M3361" s="4" t="s">
        <v>16643</v>
      </c>
    </row>
    <row r="3362" spans="1:13">
      <c r="A3362" s="2">
        <v>3356</v>
      </c>
      <c r="B3362" s="2" t="s">
        <v>16644</v>
      </c>
      <c r="C3362" s="2">
        <v>15</v>
      </c>
      <c r="D3362" s="2">
        <v>556</v>
      </c>
      <c r="E3362" s="2">
        <v>200</v>
      </c>
      <c r="F3362" s="2">
        <v>32441</v>
      </c>
      <c r="G3362" s="2">
        <v>4.3760341729999999</v>
      </c>
      <c r="H3362" s="3">
        <v>4.2699999999999998E-6</v>
      </c>
      <c r="I3362" s="2" t="s">
        <v>16645</v>
      </c>
      <c r="J3362" s="2" t="s">
        <v>16646</v>
      </c>
      <c r="K3362" s="3">
        <v>1.6500000000000001E-5</v>
      </c>
      <c r="L3362" s="2" t="s">
        <v>1178</v>
      </c>
      <c r="M3362" s="4" t="s">
        <v>16647</v>
      </c>
    </row>
    <row r="3363" spans="1:13">
      <c r="A3363" s="2">
        <v>3366</v>
      </c>
      <c r="B3363" s="2" t="s">
        <v>16648</v>
      </c>
      <c r="C3363" s="2">
        <v>15</v>
      </c>
      <c r="D3363" s="2">
        <v>556</v>
      </c>
      <c r="E3363" s="2">
        <v>200</v>
      </c>
      <c r="F3363" s="2">
        <v>32441</v>
      </c>
      <c r="G3363" s="2">
        <v>4.3760341729999999</v>
      </c>
      <c r="H3363" s="3">
        <v>4.2699999999999998E-6</v>
      </c>
      <c r="I3363" s="2" t="s">
        <v>16649</v>
      </c>
      <c r="J3363" s="2" t="s">
        <v>16650</v>
      </c>
      <c r="K3363" s="3">
        <v>1.6500000000000001E-5</v>
      </c>
      <c r="L3363" s="2" t="s">
        <v>1178</v>
      </c>
      <c r="M3363" s="4" t="s">
        <v>16651</v>
      </c>
    </row>
    <row r="3364" spans="1:13">
      <c r="A3364" s="2">
        <v>33711</v>
      </c>
      <c r="B3364" s="2" t="s">
        <v>16652</v>
      </c>
      <c r="C3364" s="2">
        <v>15</v>
      </c>
      <c r="D3364" s="2">
        <v>556</v>
      </c>
      <c r="E3364" s="2">
        <v>200</v>
      </c>
      <c r="F3364" s="2">
        <v>32441</v>
      </c>
      <c r="G3364" s="2">
        <v>4.3760341729999999</v>
      </c>
      <c r="H3364" s="3">
        <v>4.2699999999999998E-6</v>
      </c>
      <c r="I3364" s="2" t="s">
        <v>16653</v>
      </c>
      <c r="J3364" s="2" t="s">
        <v>16654</v>
      </c>
      <c r="K3364" s="3">
        <v>1.6500000000000001E-5</v>
      </c>
      <c r="L3364" s="2" t="s">
        <v>1178</v>
      </c>
      <c r="M3364" s="4" t="s">
        <v>16655</v>
      </c>
    </row>
    <row r="3365" spans="1:13">
      <c r="A3365" s="2">
        <v>34121</v>
      </c>
      <c r="B3365" s="2" t="s">
        <v>16656</v>
      </c>
      <c r="C3365" s="2">
        <v>15</v>
      </c>
      <c r="D3365" s="2">
        <v>556</v>
      </c>
      <c r="E3365" s="2">
        <v>200</v>
      </c>
      <c r="F3365" s="2">
        <v>32441</v>
      </c>
      <c r="G3365" s="2">
        <v>4.3760341729999999</v>
      </c>
      <c r="H3365" s="3">
        <v>4.2699999999999998E-6</v>
      </c>
      <c r="I3365" s="2" t="s">
        <v>16657</v>
      </c>
      <c r="J3365" s="2" t="s">
        <v>16658</v>
      </c>
      <c r="K3365" s="3">
        <v>1.6500000000000001E-5</v>
      </c>
      <c r="L3365" s="2" t="s">
        <v>1178</v>
      </c>
      <c r="M3365" s="4" t="s">
        <v>16659</v>
      </c>
    </row>
    <row r="3366" spans="1:13">
      <c r="A3366" s="2">
        <v>34512</v>
      </c>
      <c r="B3366" s="2" t="s">
        <v>16660</v>
      </c>
      <c r="C3366" s="2">
        <v>15</v>
      </c>
      <c r="D3366" s="2">
        <v>556</v>
      </c>
      <c r="E3366" s="2">
        <v>200</v>
      </c>
      <c r="F3366" s="2">
        <v>32441</v>
      </c>
      <c r="G3366" s="2">
        <v>4.3760341729999999</v>
      </c>
      <c r="H3366" s="3">
        <v>4.2699999999999998E-6</v>
      </c>
      <c r="I3366" s="2" t="s">
        <v>16661</v>
      </c>
      <c r="J3366" s="2" t="s">
        <v>16662</v>
      </c>
      <c r="K3366" s="3">
        <v>1.6500000000000001E-5</v>
      </c>
      <c r="L3366" s="2" t="s">
        <v>1178</v>
      </c>
      <c r="M3366" s="4" t="s">
        <v>16663</v>
      </c>
    </row>
    <row r="3367" spans="1:13">
      <c r="A3367" s="2">
        <v>3535</v>
      </c>
      <c r="B3367" s="2" t="s">
        <v>16664</v>
      </c>
      <c r="C3367" s="2">
        <v>15</v>
      </c>
      <c r="D3367" s="2">
        <v>556</v>
      </c>
      <c r="E3367" s="2">
        <v>200</v>
      </c>
      <c r="F3367" s="2">
        <v>32441</v>
      </c>
      <c r="G3367" s="2">
        <v>4.3760341729999999</v>
      </c>
      <c r="H3367" s="3">
        <v>4.2699999999999998E-6</v>
      </c>
      <c r="I3367" s="2" t="s">
        <v>16665</v>
      </c>
      <c r="J3367" s="2" t="s">
        <v>16666</v>
      </c>
      <c r="K3367" s="3">
        <v>1.6500000000000001E-5</v>
      </c>
      <c r="L3367" s="2" t="s">
        <v>1178</v>
      </c>
      <c r="M3367" s="4" t="s">
        <v>16667</v>
      </c>
    </row>
    <row r="3368" spans="1:13">
      <c r="A3368" s="2">
        <v>35431</v>
      </c>
      <c r="B3368" s="2" t="s">
        <v>1437</v>
      </c>
      <c r="C3368" s="2">
        <v>15</v>
      </c>
      <c r="D3368" s="2">
        <v>556</v>
      </c>
      <c r="E3368" s="2">
        <v>200</v>
      </c>
      <c r="F3368" s="2">
        <v>32441</v>
      </c>
      <c r="G3368" s="2">
        <v>4.3760341729999999</v>
      </c>
      <c r="H3368" s="3">
        <v>4.2699999999999998E-6</v>
      </c>
      <c r="I3368" s="2" t="s">
        <v>16668</v>
      </c>
      <c r="J3368" s="2" t="s">
        <v>16669</v>
      </c>
      <c r="K3368" s="3">
        <v>1.6500000000000001E-5</v>
      </c>
      <c r="L3368" s="2" t="s">
        <v>1178</v>
      </c>
      <c r="M3368" s="4" t="s">
        <v>16670</v>
      </c>
    </row>
    <row r="3369" spans="1:13">
      <c r="A3369" s="2">
        <v>3691</v>
      </c>
      <c r="B3369" s="2" t="s">
        <v>16671</v>
      </c>
      <c r="C3369" s="2">
        <v>15</v>
      </c>
      <c r="D3369" s="2">
        <v>556</v>
      </c>
      <c r="E3369" s="2">
        <v>200</v>
      </c>
      <c r="F3369" s="2">
        <v>32441</v>
      </c>
      <c r="G3369" s="2">
        <v>4.3760341729999999</v>
      </c>
      <c r="H3369" s="3">
        <v>4.2699999999999998E-6</v>
      </c>
      <c r="I3369" s="2" t="s">
        <v>16672</v>
      </c>
      <c r="J3369" s="2" t="s">
        <v>16673</v>
      </c>
      <c r="K3369" s="3">
        <v>1.6500000000000001E-5</v>
      </c>
      <c r="L3369" s="2" t="s">
        <v>1178</v>
      </c>
      <c r="M3369" s="4" t="s">
        <v>16674</v>
      </c>
    </row>
    <row r="3370" spans="1:13">
      <c r="A3370" s="2">
        <v>3693</v>
      </c>
      <c r="B3370" s="2" t="s">
        <v>16675</v>
      </c>
      <c r="C3370" s="2">
        <v>15</v>
      </c>
      <c r="D3370" s="2">
        <v>556</v>
      </c>
      <c r="E3370" s="2">
        <v>200</v>
      </c>
      <c r="F3370" s="2">
        <v>32441</v>
      </c>
      <c r="G3370" s="2">
        <v>4.3760341729999999</v>
      </c>
      <c r="H3370" s="3">
        <v>4.2699999999999998E-6</v>
      </c>
      <c r="I3370" s="2" t="s">
        <v>16676</v>
      </c>
      <c r="J3370" s="2" t="s">
        <v>16677</v>
      </c>
      <c r="K3370" s="3">
        <v>1.6500000000000001E-5</v>
      </c>
      <c r="L3370" s="2" t="s">
        <v>1178</v>
      </c>
      <c r="M3370" s="4" t="s">
        <v>16678</v>
      </c>
    </row>
    <row r="3371" spans="1:13">
      <c r="A3371" s="2">
        <v>3743</v>
      </c>
      <c r="B3371" s="2" t="s">
        <v>16679</v>
      </c>
      <c r="C3371" s="2">
        <v>15</v>
      </c>
      <c r="D3371" s="2">
        <v>556</v>
      </c>
      <c r="E3371" s="2">
        <v>200</v>
      </c>
      <c r="F3371" s="2">
        <v>32441</v>
      </c>
      <c r="G3371" s="2">
        <v>4.3760341729999999</v>
      </c>
      <c r="H3371" s="3">
        <v>4.2699999999999998E-6</v>
      </c>
      <c r="I3371" s="2" t="s">
        <v>16680</v>
      </c>
      <c r="J3371" s="2" t="s">
        <v>16681</v>
      </c>
      <c r="K3371" s="3">
        <v>1.6500000000000001E-5</v>
      </c>
      <c r="L3371" s="2" t="s">
        <v>1178</v>
      </c>
      <c r="M3371" s="4" t="s">
        <v>16682</v>
      </c>
    </row>
    <row r="3372" spans="1:13">
      <c r="A3372" s="2">
        <v>37441</v>
      </c>
      <c r="B3372" s="2" t="s">
        <v>16683</v>
      </c>
      <c r="C3372" s="2">
        <v>15</v>
      </c>
      <c r="D3372" s="2">
        <v>556</v>
      </c>
      <c r="E3372" s="2">
        <v>200</v>
      </c>
      <c r="F3372" s="2">
        <v>32441</v>
      </c>
      <c r="G3372" s="2">
        <v>4.3760341729999999</v>
      </c>
      <c r="H3372" s="3">
        <v>4.2699999999999998E-6</v>
      </c>
      <c r="I3372" s="2" t="s">
        <v>16684</v>
      </c>
      <c r="J3372" s="2" t="s">
        <v>16685</v>
      </c>
      <c r="K3372" s="3">
        <v>1.6500000000000001E-5</v>
      </c>
      <c r="L3372" s="2" t="s">
        <v>1178</v>
      </c>
      <c r="M3372" s="4" t="s">
        <v>16686</v>
      </c>
    </row>
    <row r="3373" spans="1:13">
      <c r="A3373" s="2">
        <v>3751</v>
      </c>
      <c r="B3373" s="2" t="s">
        <v>16687</v>
      </c>
      <c r="C3373" s="2">
        <v>15</v>
      </c>
      <c r="D3373" s="2">
        <v>556</v>
      </c>
      <c r="E3373" s="2">
        <v>200</v>
      </c>
      <c r="F3373" s="2">
        <v>32441</v>
      </c>
      <c r="G3373" s="2">
        <v>4.3760341729999999</v>
      </c>
      <c r="H3373" s="3">
        <v>4.2699999999999998E-6</v>
      </c>
      <c r="I3373" s="2" t="s">
        <v>16688</v>
      </c>
      <c r="J3373" s="2" t="s">
        <v>16689</v>
      </c>
      <c r="K3373" s="3">
        <v>1.6500000000000001E-5</v>
      </c>
      <c r="L3373" s="2" t="s">
        <v>1178</v>
      </c>
      <c r="M3373" s="4" t="s">
        <v>16690</v>
      </c>
    </row>
    <row r="3374" spans="1:13">
      <c r="A3374" s="2">
        <v>38151</v>
      </c>
      <c r="B3374" s="2" t="s">
        <v>16691</v>
      </c>
      <c r="C3374" s="2">
        <v>15</v>
      </c>
      <c r="D3374" s="2">
        <v>556</v>
      </c>
      <c r="E3374" s="2">
        <v>200</v>
      </c>
      <c r="F3374" s="2">
        <v>32441</v>
      </c>
      <c r="G3374" s="2">
        <v>4.3760341729999999</v>
      </c>
      <c r="H3374" s="3">
        <v>4.2699999999999998E-6</v>
      </c>
      <c r="I3374" s="2" t="s">
        <v>16692</v>
      </c>
      <c r="J3374" s="2" t="s">
        <v>16693</v>
      </c>
      <c r="K3374" s="3">
        <v>1.6500000000000001E-5</v>
      </c>
      <c r="L3374" s="2" t="s">
        <v>1178</v>
      </c>
      <c r="M3374" s="4" t="s">
        <v>16694</v>
      </c>
    </row>
    <row r="3375" spans="1:13">
      <c r="A3375" s="2">
        <v>38201</v>
      </c>
      <c r="B3375" s="2" t="s">
        <v>2670</v>
      </c>
      <c r="C3375" s="2">
        <v>15</v>
      </c>
      <c r="D3375" s="2">
        <v>556</v>
      </c>
      <c r="E3375" s="2">
        <v>200</v>
      </c>
      <c r="F3375" s="2">
        <v>32441</v>
      </c>
      <c r="G3375" s="2">
        <v>4.3760341729999999</v>
      </c>
      <c r="H3375" s="3">
        <v>4.2699999999999998E-6</v>
      </c>
      <c r="I3375" s="2" t="s">
        <v>16695</v>
      </c>
      <c r="J3375" s="2" t="s">
        <v>16696</v>
      </c>
      <c r="K3375" s="3">
        <v>1.6500000000000001E-5</v>
      </c>
      <c r="L3375" s="2" t="s">
        <v>1178</v>
      </c>
      <c r="M3375" s="4" t="s">
        <v>16697</v>
      </c>
    </row>
    <row r="3376" spans="1:13">
      <c r="A3376" s="2">
        <v>38662</v>
      </c>
      <c r="B3376" s="2" t="s">
        <v>16698</v>
      </c>
      <c r="C3376" s="2">
        <v>15</v>
      </c>
      <c r="D3376" s="2">
        <v>556</v>
      </c>
      <c r="E3376" s="2">
        <v>200</v>
      </c>
      <c r="F3376" s="2">
        <v>32441</v>
      </c>
      <c r="G3376" s="2">
        <v>4.3760341729999999</v>
      </c>
      <c r="H3376" s="3">
        <v>4.2699999999999998E-6</v>
      </c>
      <c r="I3376" s="2" t="s">
        <v>16699</v>
      </c>
      <c r="J3376" s="2" t="s">
        <v>16700</v>
      </c>
      <c r="K3376" s="3">
        <v>1.6500000000000001E-5</v>
      </c>
      <c r="L3376" s="2" t="s">
        <v>1178</v>
      </c>
      <c r="M3376" s="4" t="s">
        <v>16701</v>
      </c>
    </row>
    <row r="3377" spans="1:13">
      <c r="A3377" s="2">
        <v>39061</v>
      </c>
      <c r="B3377" s="2" t="s">
        <v>16702</v>
      </c>
      <c r="C3377" s="2">
        <v>15</v>
      </c>
      <c r="D3377" s="2">
        <v>556</v>
      </c>
      <c r="E3377" s="2">
        <v>200</v>
      </c>
      <c r="F3377" s="2">
        <v>32441</v>
      </c>
      <c r="G3377" s="2">
        <v>4.3760341729999999</v>
      </c>
      <c r="H3377" s="3">
        <v>4.2699999999999998E-6</v>
      </c>
      <c r="I3377" s="2" t="s">
        <v>16703</v>
      </c>
      <c r="J3377" s="2" t="s">
        <v>16704</v>
      </c>
      <c r="K3377" s="3">
        <v>1.6500000000000001E-5</v>
      </c>
      <c r="L3377" s="2" t="s">
        <v>1178</v>
      </c>
      <c r="M3377" s="4" t="s">
        <v>16705</v>
      </c>
    </row>
    <row r="3378" spans="1:13">
      <c r="A3378" s="2">
        <v>39211</v>
      </c>
      <c r="B3378" s="2" t="s">
        <v>16706</v>
      </c>
      <c r="C3378" s="2">
        <v>15</v>
      </c>
      <c r="D3378" s="2">
        <v>556</v>
      </c>
      <c r="E3378" s="2">
        <v>200</v>
      </c>
      <c r="F3378" s="2">
        <v>32441</v>
      </c>
      <c r="G3378" s="2">
        <v>4.3760341729999999</v>
      </c>
      <c r="H3378" s="3">
        <v>4.2699999999999998E-6</v>
      </c>
      <c r="I3378" s="2" t="s">
        <v>16707</v>
      </c>
      <c r="J3378" s="2" t="s">
        <v>16708</v>
      </c>
      <c r="K3378" s="3">
        <v>1.6500000000000001E-5</v>
      </c>
      <c r="L3378" s="2" t="s">
        <v>1178</v>
      </c>
      <c r="M3378" s="4" t="s">
        <v>16709</v>
      </c>
    </row>
    <row r="3379" spans="1:13">
      <c r="A3379" s="2">
        <v>3952</v>
      </c>
      <c r="B3379" s="2" t="s">
        <v>16710</v>
      </c>
      <c r="C3379" s="2">
        <v>15</v>
      </c>
      <c r="D3379" s="2">
        <v>556</v>
      </c>
      <c r="E3379" s="2">
        <v>200</v>
      </c>
      <c r="F3379" s="2">
        <v>32441</v>
      </c>
      <c r="G3379" s="2">
        <v>4.3760341729999999</v>
      </c>
      <c r="H3379" s="3">
        <v>4.2699999999999998E-6</v>
      </c>
      <c r="I3379" s="2" t="s">
        <v>16711</v>
      </c>
      <c r="J3379" s="2" t="s">
        <v>16712</v>
      </c>
      <c r="K3379" s="3">
        <v>1.6500000000000001E-5</v>
      </c>
      <c r="L3379" s="2" t="s">
        <v>1178</v>
      </c>
      <c r="M3379" s="4" t="s">
        <v>16713</v>
      </c>
    </row>
    <row r="3380" spans="1:13">
      <c r="A3380" s="2">
        <v>3962</v>
      </c>
      <c r="B3380" s="2" t="s">
        <v>16714</v>
      </c>
      <c r="C3380" s="2">
        <v>15</v>
      </c>
      <c r="D3380" s="2">
        <v>556</v>
      </c>
      <c r="E3380" s="2">
        <v>200</v>
      </c>
      <c r="F3380" s="2">
        <v>32441</v>
      </c>
      <c r="G3380" s="2">
        <v>4.3760341729999999</v>
      </c>
      <c r="H3380" s="3">
        <v>4.2699999999999998E-6</v>
      </c>
      <c r="I3380" s="2" t="s">
        <v>16715</v>
      </c>
      <c r="J3380" s="2" t="s">
        <v>16716</v>
      </c>
      <c r="K3380" s="3">
        <v>1.6500000000000001E-5</v>
      </c>
      <c r="L3380" s="2" t="s">
        <v>1178</v>
      </c>
      <c r="M3380" s="4" t="s">
        <v>16717</v>
      </c>
    </row>
    <row r="3381" spans="1:13">
      <c r="A3381" s="2">
        <v>3964</v>
      </c>
      <c r="B3381" s="2" t="s">
        <v>16718</v>
      </c>
      <c r="C3381" s="2">
        <v>15</v>
      </c>
      <c r="D3381" s="2">
        <v>556</v>
      </c>
      <c r="E3381" s="2">
        <v>200</v>
      </c>
      <c r="F3381" s="2">
        <v>32441</v>
      </c>
      <c r="G3381" s="2">
        <v>4.3760341729999999</v>
      </c>
      <c r="H3381" s="3">
        <v>4.2699999999999998E-6</v>
      </c>
      <c r="I3381" s="2" t="s">
        <v>16719</v>
      </c>
      <c r="J3381" s="2" t="s">
        <v>16720</v>
      </c>
      <c r="K3381" s="3">
        <v>1.6500000000000001E-5</v>
      </c>
      <c r="L3381" s="2" t="s">
        <v>1178</v>
      </c>
      <c r="M3381" s="4" t="s">
        <v>16721</v>
      </c>
    </row>
    <row r="3382" spans="1:13">
      <c r="A3382" s="2">
        <v>39941</v>
      </c>
      <c r="B3382" s="2" t="s">
        <v>16722</v>
      </c>
      <c r="C3382" s="2">
        <v>15</v>
      </c>
      <c r="D3382" s="2">
        <v>556</v>
      </c>
      <c r="E3382" s="2">
        <v>200</v>
      </c>
      <c r="F3382" s="2">
        <v>32441</v>
      </c>
      <c r="G3382" s="2">
        <v>4.3760341729999999</v>
      </c>
      <c r="H3382" s="3">
        <v>4.2699999999999998E-6</v>
      </c>
      <c r="I3382" s="2" t="s">
        <v>16723</v>
      </c>
      <c r="J3382" s="2" t="s">
        <v>16724</v>
      </c>
      <c r="K3382" s="3">
        <v>1.6500000000000001E-5</v>
      </c>
      <c r="L3382" s="2" t="s">
        <v>1178</v>
      </c>
      <c r="M3382" s="4" t="s">
        <v>16725</v>
      </c>
    </row>
    <row r="3383" spans="1:13">
      <c r="A3383" s="2">
        <v>40031</v>
      </c>
      <c r="B3383" s="2" t="s">
        <v>16726</v>
      </c>
      <c r="C3383" s="2">
        <v>15</v>
      </c>
      <c r="D3383" s="2">
        <v>556</v>
      </c>
      <c r="E3383" s="2">
        <v>200</v>
      </c>
      <c r="F3383" s="2">
        <v>32441</v>
      </c>
      <c r="G3383" s="2">
        <v>4.3760341729999999</v>
      </c>
      <c r="H3383" s="3">
        <v>4.2699999999999998E-6</v>
      </c>
      <c r="I3383" s="2" t="s">
        <v>16727</v>
      </c>
      <c r="J3383" s="2" t="s">
        <v>16728</v>
      </c>
      <c r="K3383" s="3">
        <v>1.6500000000000001E-5</v>
      </c>
      <c r="L3383" s="2" t="s">
        <v>1178</v>
      </c>
      <c r="M3383" s="4" t="s">
        <v>16729</v>
      </c>
    </row>
    <row r="3384" spans="1:13">
      <c r="A3384" s="2">
        <v>40431</v>
      </c>
      <c r="B3384" s="2" t="s">
        <v>16730</v>
      </c>
      <c r="C3384" s="2">
        <v>15</v>
      </c>
      <c r="D3384" s="2">
        <v>556</v>
      </c>
      <c r="E3384" s="2">
        <v>200</v>
      </c>
      <c r="F3384" s="2">
        <v>32441</v>
      </c>
      <c r="G3384" s="2">
        <v>4.3760341729999999</v>
      </c>
      <c r="H3384" s="3">
        <v>4.2699999999999998E-6</v>
      </c>
      <c r="I3384" s="2" t="s">
        <v>16731</v>
      </c>
      <c r="J3384" s="2" t="s">
        <v>16732</v>
      </c>
      <c r="K3384" s="3">
        <v>1.6500000000000001E-5</v>
      </c>
      <c r="L3384" s="2" t="s">
        <v>1178</v>
      </c>
      <c r="M3384" s="4" t="s">
        <v>16733</v>
      </c>
    </row>
    <row r="3385" spans="1:13">
      <c r="A3385" s="2">
        <v>4150</v>
      </c>
      <c r="B3385" s="2" t="s">
        <v>16734</v>
      </c>
      <c r="C3385" s="2">
        <v>15</v>
      </c>
      <c r="D3385" s="2">
        <v>556</v>
      </c>
      <c r="E3385" s="2">
        <v>200</v>
      </c>
      <c r="F3385" s="2">
        <v>32441</v>
      </c>
      <c r="G3385" s="2">
        <v>4.3760341729999999</v>
      </c>
      <c r="H3385" s="3">
        <v>4.2699999999999998E-6</v>
      </c>
      <c r="I3385" s="2" t="s">
        <v>16735</v>
      </c>
      <c r="J3385" s="2" t="s">
        <v>16736</v>
      </c>
      <c r="K3385" s="3">
        <v>1.6500000000000001E-5</v>
      </c>
      <c r="L3385" s="2" t="s">
        <v>1178</v>
      </c>
      <c r="M3385" s="4" t="s">
        <v>16737</v>
      </c>
    </row>
    <row r="3386" spans="1:13">
      <c r="A3386" s="2">
        <v>41911</v>
      </c>
      <c r="B3386" s="2" t="s">
        <v>16738</v>
      </c>
      <c r="C3386" s="2">
        <v>15</v>
      </c>
      <c r="D3386" s="2">
        <v>556</v>
      </c>
      <c r="E3386" s="2">
        <v>200</v>
      </c>
      <c r="F3386" s="2">
        <v>32441</v>
      </c>
      <c r="G3386" s="2">
        <v>4.3760341729999999</v>
      </c>
      <c r="H3386" s="3">
        <v>4.2699999999999998E-6</v>
      </c>
      <c r="I3386" s="2" t="s">
        <v>16739</v>
      </c>
      <c r="J3386" s="2" t="s">
        <v>16740</v>
      </c>
      <c r="K3386" s="3">
        <v>1.6500000000000001E-5</v>
      </c>
      <c r="L3386" s="2" t="s">
        <v>1178</v>
      </c>
      <c r="M3386" s="4" t="s">
        <v>16741</v>
      </c>
    </row>
    <row r="3387" spans="1:13">
      <c r="A3387" s="2">
        <v>4195</v>
      </c>
      <c r="B3387" s="2" t="s">
        <v>16742</v>
      </c>
      <c r="C3387" s="2">
        <v>15</v>
      </c>
      <c r="D3387" s="2">
        <v>556</v>
      </c>
      <c r="E3387" s="2">
        <v>200</v>
      </c>
      <c r="F3387" s="2">
        <v>32441</v>
      </c>
      <c r="G3387" s="2">
        <v>4.3760341729999999</v>
      </c>
      <c r="H3387" s="3">
        <v>4.2699999999999998E-6</v>
      </c>
      <c r="I3387" s="2" t="s">
        <v>16743</v>
      </c>
      <c r="J3387" s="2" t="s">
        <v>16744</v>
      </c>
      <c r="K3387" s="3">
        <v>1.6500000000000001E-5</v>
      </c>
      <c r="L3387" s="2" t="s">
        <v>1178</v>
      </c>
      <c r="M3387" s="4" t="s">
        <v>16745</v>
      </c>
    </row>
    <row r="3388" spans="1:13">
      <c r="A3388" s="2">
        <v>4271</v>
      </c>
      <c r="B3388" s="2" t="s">
        <v>16746</v>
      </c>
      <c r="C3388" s="2">
        <v>15</v>
      </c>
      <c r="D3388" s="2">
        <v>556</v>
      </c>
      <c r="E3388" s="2">
        <v>200</v>
      </c>
      <c r="F3388" s="2">
        <v>32441</v>
      </c>
      <c r="G3388" s="2">
        <v>4.3760341729999999</v>
      </c>
      <c r="H3388" s="3">
        <v>4.2699999999999998E-6</v>
      </c>
      <c r="I3388" s="2" t="s">
        <v>16747</v>
      </c>
      <c r="J3388" s="2" t="s">
        <v>16748</v>
      </c>
      <c r="K3388" s="3">
        <v>1.6500000000000001E-5</v>
      </c>
      <c r="L3388" s="2" t="s">
        <v>1178</v>
      </c>
      <c r="M3388" s="4" t="s">
        <v>16749</v>
      </c>
    </row>
    <row r="3389" spans="1:13">
      <c r="A3389" s="2">
        <v>42801</v>
      </c>
      <c r="B3389" s="2" t="s">
        <v>16750</v>
      </c>
      <c r="C3389" s="2">
        <v>15</v>
      </c>
      <c r="D3389" s="2">
        <v>556</v>
      </c>
      <c r="E3389" s="2">
        <v>200</v>
      </c>
      <c r="F3389" s="2">
        <v>32441</v>
      </c>
      <c r="G3389" s="2">
        <v>4.3760341729999999</v>
      </c>
      <c r="H3389" s="3">
        <v>4.2699999999999998E-6</v>
      </c>
      <c r="I3389" s="2" t="s">
        <v>16751</v>
      </c>
      <c r="J3389" s="2" t="s">
        <v>16752</v>
      </c>
      <c r="K3389" s="3">
        <v>1.6500000000000001E-5</v>
      </c>
      <c r="L3389" s="2" t="s">
        <v>1178</v>
      </c>
      <c r="M3389" s="4" t="s">
        <v>16753</v>
      </c>
    </row>
    <row r="3390" spans="1:13">
      <c r="A3390" s="2">
        <v>4343</v>
      </c>
      <c r="B3390" s="2" t="s">
        <v>16754</v>
      </c>
      <c r="C3390" s="2">
        <v>15</v>
      </c>
      <c r="D3390" s="2">
        <v>556</v>
      </c>
      <c r="E3390" s="2">
        <v>200</v>
      </c>
      <c r="F3390" s="2">
        <v>32441</v>
      </c>
      <c r="G3390" s="2">
        <v>4.3760341729999999</v>
      </c>
      <c r="H3390" s="3">
        <v>4.2699999999999998E-6</v>
      </c>
      <c r="I3390" s="2" t="s">
        <v>16755</v>
      </c>
      <c r="J3390" s="2" t="s">
        <v>16756</v>
      </c>
      <c r="K3390" s="3">
        <v>1.6500000000000001E-5</v>
      </c>
      <c r="L3390" s="2" t="s">
        <v>1178</v>
      </c>
      <c r="M3390" s="4" t="s">
        <v>16757</v>
      </c>
    </row>
    <row r="3391" spans="1:13">
      <c r="A3391" s="2">
        <v>4350</v>
      </c>
      <c r="B3391" s="2" t="s">
        <v>16758</v>
      </c>
      <c r="C3391" s="2">
        <v>15</v>
      </c>
      <c r="D3391" s="2">
        <v>556</v>
      </c>
      <c r="E3391" s="2">
        <v>200</v>
      </c>
      <c r="F3391" s="2">
        <v>32441</v>
      </c>
      <c r="G3391" s="2">
        <v>4.3760341729999999</v>
      </c>
      <c r="H3391" s="3">
        <v>4.2699999999999998E-6</v>
      </c>
      <c r="I3391" s="2" t="s">
        <v>16759</v>
      </c>
      <c r="J3391" s="2" t="s">
        <v>16760</v>
      </c>
      <c r="K3391" s="3">
        <v>1.6500000000000001E-5</v>
      </c>
      <c r="L3391" s="2" t="s">
        <v>1178</v>
      </c>
      <c r="M3391" s="4" t="s">
        <v>16761</v>
      </c>
    </row>
    <row r="3392" spans="1:13">
      <c r="A3392" s="2">
        <v>4383</v>
      </c>
      <c r="B3392" s="2" t="s">
        <v>16762</v>
      </c>
      <c r="C3392" s="2">
        <v>15</v>
      </c>
      <c r="D3392" s="2">
        <v>556</v>
      </c>
      <c r="E3392" s="2">
        <v>199</v>
      </c>
      <c r="F3392" s="2">
        <v>32441</v>
      </c>
      <c r="G3392" s="2">
        <v>4.3980242939999998</v>
      </c>
      <c r="H3392" s="3">
        <v>4.0300000000000004E-6</v>
      </c>
      <c r="I3392" s="2" t="s">
        <v>16763</v>
      </c>
      <c r="J3392" s="2" t="s">
        <v>16764</v>
      </c>
      <c r="K3392" s="3">
        <v>1.6500000000000001E-5</v>
      </c>
      <c r="L3392" s="2" t="s">
        <v>1178</v>
      </c>
      <c r="M3392" s="4" t="s">
        <v>16765</v>
      </c>
    </row>
    <row r="3393" spans="1:13">
      <c r="A3393" s="2">
        <v>4390</v>
      </c>
      <c r="B3393" s="2" t="s">
        <v>16766</v>
      </c>
      <c r="C3393" s="2">
        <v>15</v>
      </c>
      <c r="D3393" s="2">
        <v>556</v>
      </c>
      <c r="E3393" s="2">
        <v>200</v>
      </c>
      <c r="F3393" s="2">
        <v>32441</v>
      </c>
      <c r="G3393" s="2">
        <v>4.3760341729999999</v>
      </c>
      <c r="H3393" s="3">
        <v>4.2699999999999998E-6</v>
      </c>
      <c r="I3393" s="2" t="s">
        <v>16767</v>
      </c>
      <c r="J3393" s="2" t="s">
        <v>16768</v>
      </c>
      <c r="K3393" s="3">
        <v>1.6500000000000001E-5</v>
      </c>
      <c r="L3393" s="2" t="s">
        <v>1178</v>
      </c>
      <c r="M3393" s="4" t="s">
        <v>16769</v>
      </c>
    </row>
    <row r="3394" spans="1:13">
      <c r="A3394" s="2">
        <v>4432</v>
      </c>
      <c r="B3394" s="2" t="s">
        <v>16770</v>
      </c>
      <c r="C3394" s="2">
        <v>15</v>
      </c>
      <c r="D3394" s="2">
        <v>556</v>
      </c>
      <c r="E3394" s="2">
        <v>200</v>
      </c>
      <c r="F3394" s="2">
        <v>32441</v>
      </c>
      <c r="G3394" s="2">
        <v>4.3760341729999999</v>
      </c>
      <c r="H3394" s="3">
        <v>4.2699999999999998E-6</v>
      </c>
      <c r="I3394" s="2" t="s">
        <v>16771</v>
      </c>
      <c r="J3394" s="2" t="s">
        <v>16772</v>
      </c>
      <c r="K3394" s="3">
        <v>1.6500000000000001E-5</v>
      </c>
      <c r="L3394" s="2" t="s">
        <v>1178</v>
      </c>
      <c r="M3394" s="4" t="s">
        <v>16773</v>
      </c>
    </row>
    <row r="3395" spans="1:13">
      <c r="A3395" s="2">
        <v>4439</v>
      </c>
      <c r="B3395" s="2" t="s">
        <v>16774</v>
      </c>
      <c r="C3395" s="2">
        <v>15</v>
      </c>
      <c r="D3395" s="2">
        <v>556</v>
      </c>
      <c r="E3395" s="2">
        <v>200</v>
      </c>
      <c r="F3395" s="2">
        <v>32441</v>
      </c>
      <c r="G3395" s="2">
        <v>4.3760341729999999</v>
      </c>
      <c r="H3395" s="3">
        <v>4.2699999999999998E-6</v>
      </c>
      <c r="I3395" s="2" t="s">
        <v>16775</v>
      </c>
      <c r="J3395" s="2" t="s">
        <v>16776</v>
      </c>
      <c r="K3395" s="3">
        <v>1.6500000000000001E-5</v>
      </c>
      <c r="L3395" s="2" t="s">
        <v>1178</v>
      </c>
      <c r="M3395" s="4" t="s">
        <v>16777</v>
      </c>
    </row>
    <row r="3396" spans="1:13">
      <c r="A3396" s="2">
        <v>4508</v>
      </c>
      <c r="B3396" s="2" t="s">
        <v>16778</v>
      </c>
      <c r="C3396" s="2">
        <v>15</v>
      </c>
      <c r="D3396" s="2">
        <v>556</v>
      </c>
      <c r="E3396" s="2">
        <v>200</v>
      </c>
      <c r="F3396" s="2">
        <v>32441</v>
      </c>
      <c r="G3396" s="2">
        <v>4.3760341729999999</v>
      </c>
      <c r="H3396" s="3">
        <v>4.2699999999999998E-6</v>
      </c>
      <c r="I3396" s="2" t="s">
        <v>16779</v>
      </c>
      <c r="J3396" s="2" t="s">
        <v>16780</v>
      </c>
      <c r="K3396" s="3">
        <v>1.6500000000000001E-5</v>
      </c>
      <c r="L3396" s="2" t="s">
        <v>1178</v>
      </c>
      <c r="M3396" s="4" t="s">
        <v>16781</v>
      </c>
    </row>
    <row r="3397" spans="1:13">
      <c r="A3397" s="2">
        <v>4524</v>
      </c>
      <c r="B3397" s="2" t="s">
        <v>16782</v>
      </c>
      <c r="C3397" s="2">
        <v>15</v>
      </c>
      <c r="D3397" s="2">
        <v>556</v>
      </c>
      <c r="E3397" s="2">
        <v>200</v>
      </c>
      <c r="F3397" s="2">
        <v>32441</v>
      </c>
      <c r="G3397" s="2">
        <v>4.3760341729999999</v>
      </c>
      <c r="H3397" s="3">
        <v>4.2699999999999998E-6</v>
      </c>
      <c r="I3397" s="2" t="s">
        <v>16783</v>
      </c>
      <c r="J3397" s="2" t="s">
        <v>16784</v>
      </c>
      <c r="K3397" s="3">
        <v>1.6500000000000001E-5</v>
      </c>
      <c r="L3397" s="2" t="s">
        <v>1178</v>
      </c>
      <c r="M3397" s="4" t="s">
        <v>16785</v>
      </c>
    </row>
    <row r="3398" spans="1:13">
      <c r="A3398" s="2">
        <v>4528</v>
      </c>
      <c r="B3398" s="2" t="s">
        <v>16786</v>
      </c>
      <c r="C3398" s="2">
        <v>15</v>
      </c>
      <c r="D3398" s="2">
        <v>556</v>
      </c>
      <c r="E3398" s="2">
        <v>200</v>
      </c>
      <c r="F3398" s="2">
        <v>32441</v>
      </c>
      <c r="G3398" s="2">
        <v>4.3760341729999999</v>
      </c>
      <c r="H3398" s="3">
        <v>4.2699999999999998E-6</v>
      </c>
      <c r="I3398" s="2" t="s">
        <v>16787</v>
      </c>
      <c r="J3398" s="2" t="s">
        <v>16788</v>
      </c>
      <c r="K3398" s="3">
        <v>1.6500000000000001E-5</v>
      </c>
      <c r="L3398" s="2" t="s">
        <v>1178</v>
      </c>
      <c r="M3398" s="4" t="s">
        <v>16789</v>
      </c>
    </row>
    <row r="3399" spans="1:13">
      <c r="A3399" s="2">
        <v>4562</v>
      </c>
      <c r="B3399" s="2" t="s">
        <v>16790</v>
      </c>
      <c r="C3399" s="2">
        <v>15</v>
      </c>
      <c r="D3399" s="2">
        <v>556</v>
      </c>
      <c r="E3399" s="2">
        <v>200</v>
      </c>
      <c r="F3399" s="2">
        <v>32441</v>
      </c>
      <c r="G3399" s="2">
        <v>4.3760341729999999</v>
      </c>
      <c r="H3399" s="3">
        <v>4.2699999999999998E-6</v>
      </c>
      <c r="I3399" s="2" t="s">
        <v>16791</v>
      </c>
      <c r="J3399" s="2" t="s">
        <v>16792</v>
      </c>
      <c r="K3399" s="3">
        <v>1.6500000000000001E-5</v>
      </c>
      <c r="L3399" s="2" t="s">
        <v>1178</v>
      </c>
      <c r="M3399" s="4" t="s">
        <v>16793</v>
      </c>
    </row>
    <row r="3400" spans="1:13">
      <c r="A3400" s="2">
        <v>45881</v>
      </c>
      <c r="B3400" s="2" t="s">
        <v>16794</v>
      </c>
      <c r="C3400" s="2">
        <v>15</v>
      </c>
      <c r="D3400" s="2">
        <v>556</v>
      </c>
      <c r="E3400" s="2">
        <v>200</v>
      </c>
      <c r="F3400" s="2">
        <v>32441</v>
      </c>
      <c r="G3400" s="2">
        <v>4.3760341729999999</v>
      </c>
      <c r="H3400" s="3">
        <v>4.2699999999999998E-6</v>
      </c>
      <c r="I3400" s="2" t="s">
        <v>16795</v>
      </c>
      <c r="J3400" s="2" t="s">
        <v>16796</v>
      </c>
      <c r="K3400" s="3">
        <v>1.6500000000000001E-5</v>
      </c>
      <c r="L3400" s="2" t="s">
        <v>1178</v>
      </c>
      <c r="M3400" s="4" t="s">
        <v>16797</v>
      </c>
    </row>
    <row r="3401" spans="1:13">
      <c r="A3401" s="2">
        <v>45961</v>
      </c>
      <c r="B3401" s="2" t="s">
        <v>16798</v>
      </c>
      <c r="C3401" s="2">
        <v>15</v>
      </c>
      <c r="D3401" s="2">
        <v>556</v>
      </c>
      <c r="E3401" s="2">
        <v>200</v>
      </c>
      <c r="F3401" s="2">
        <v>32441</v>
      </c>
      <c r="G3401" s="2">
        <v>4.3760341729999999</v>
      </c>
      <c r="H3401" s="3">
        <v>4.2699999999999998E-6</v>
      </c>
      <c r="I3401" s="2" t="s">
        <v>16799</v>
      </c>
      <c r="J3401" s="2" t="s">
        <v>16800</v>
      </c>
      <c r="K3401" s="3">
        <v>1.6500000000000001E-5</v>
      </c>
      <c r="L3401" s="2" t="s">
        <v>1178</v>
      </c>
      <c r="M3401" s="4" t="s">
        <v>16801</v>
      </c>
    </row>
    <row r="3402" spans="1:13">
      <c r="A3402" s="2">
        <v>4624</v>
      </c>
      <c r="B3402" s="2" t="s">
        <v>16802</v>
      </c>
      <c r="C3402" s="2">
        <v>15</v>
      </c>
      <c r="D3402" s="2">
        <v>556</v>
      </c>
      <c r="E3402" s="2">
        <v>200</v>
      </c>
      <c r="F3402" s="2">
        <v>32441</v>
      </c>
      <c r="G3402" s="2">
        <v>4.3760341729999999</v>
      </c>
      <c r="H3402" s="3">
        <v>4.2699999999999998E-6</v>
      </c>
      <c r="I3402" s="2" t="s">
        <v>16803</v>
      </c>
      <c r="J3402" s="2" t="s">
        <v>16804</v>
      </c>
      <c r="K3402" s="3">
        <v>1.6500000000000001E-5</v>
      </c>
      <c r="L3402" s="2" t="s">
        <v>1178</v>
      </c>
      <c r="M3402" s="4" t="s">
        <v>16805</v>
      </c>
    </row>
    <row r="3403" spans="1:13">
      <c r="A3403" s="2">
        <v>46451</v>
      </c>
      <c r="B3403" s="2" t="s">
        <v>16806</v>
      </c>
      <c r="C3403" s="2">
        <v>15</v>
      </c>
      <c r="D3403" s="2">
        <v>556</v>
      </c>
      <c r="E3403" s="2">
        <v>200</v>
      </c>
      <c r="F3403" s="2">
        <v>32441</v>
      </c>
      <c r="G3403" s="2">
        <v>4.3760341729999999</v>
      </c>
      <c r="H3403" s="3">
        <v>4.2699999999999998E-6</v>
      </c>
      <c r="I3403" s="2" t="s">
        <v>16807</v>
      </c>
      <c r="J3403" s="2" t="s">
        <v>16808</v>
      </c>
      <c r="K3403" s="3">
        <v>1.6500000000000001E-5</v>
      </c>
      <c r="L3403" s="2" t="s">
        <v>1178</v>
      </c>
      <c r="M3403" s="4" t="s">
        <v>16809</v>
      </c>
    </row>
    <row r="3404" spans="1:13">
      <c r="A3404" s="2">
        <v>4655</v>
      </c>
      <c r="B3404" s="2" t="s">
        <v>16810</v>
      </c>
      <c r="C3404" s="2">
        <v>15</v>
      </c>
      <c r="D3404" s="2">
        <v>556</v>
      </c>
      <c r="E3404" s="2">
        <v>200</v>
      </c>
      <c r="F3404" s="2">
        <v>32441</v>
      </c>
      <c r="G3404" s="2">
        <v>4.3760341729999999</v>
      </c>
      <c r="H3404" s="3">
        <v>4.2699999999999998E-6</v>
      </c>
      <c r="I3404" s="2" t="s">
        <v>16811</v>
      </c>
      <c r="J3404" s="2" t="s">
        <v>16812</v>
      </c>
      <c r="K3404" s="3">
        <v>1.6500000000000001E-5</v>
      </c>
      <c r="L3404" s="2" t="s">
        <v>1178</v>
      </c>
      <c r="M3404" s="4" t="s">
        <v>16813</v>
      </c>
    </row>
    <row r="3405" spans="1:13">
      <c r="A3405" s="2">
        <v>47031</v>
      </c>
      <c r="B3405" s="2" t="s">
        <v>16814</v>
      </c>
      <c r="C3405" s="2">
        <v>15</v>
      </c>
      <c r="D3405" s="2">
        <v>556</v>
      </c>
      <c r="E3405" s="2">
        <v>200</v>
      </c>
      <c r="F3405" s="2">
        <v>32441</v>
      </c>
      <c r="G3405" s="2">
        <v>4.3760341729999999</v>
      </c>
      <c r="H3405" s="3">
        <v>4.2699999999999998E-6</v>
      </c>
      <c r="I3405" s="2" t="s">
        <v>16815</v>
      </c>
      <c r="J3405" s="2" t="s">
        <v>16816</v>
      </c>
      <c r="K3405" s="3">
        <v>1.6500000000000001E-5</v>
      </c>
      <c r="L3405" s="2" t="s">
        <v>1178</v>
      </c>
      <c r="M3405" s="4" t="s">
        <v>16817</v>
      </c>
    </row>
    <row r="3406" spans="1:13">
      <c r="A3406" s="2">
        <v>4704</v>
      </c>
      <c r="B3406" s="2" t="s">
        <v>16818</v>
      </c>
      <c r="C3406" s="2">
        <v>15</v>
      </c>
      <c r="D3406" s="2">
        <v>556</v>
      </c>
      <c r="E3406" s="2">
        <v>200</v>
      </c>
      <c r="F3406" s="2">
        <v>32441</v>
      </c>
      <c r="G3406" s="2">
        <v>4.3760341729999999</v>
      </c>
      <c r="H3406" s="3">
        <v>4.2699999999999998E-6</v>
      </c>
      <c r="I3406" s="2" t="s">
        <v>16819</v>
      </c>
      <c r="J3406" s="2" t="s">
        <v>16820</v>
      </c>
      <c r="K3406" s="3">
        <v>1.6500000000000001E-5</v>
      </c>
      <c r="L3406" s="2" t="s">
        <v>1178</v>
      </c>
      <c r="M3406" s="4" t="s">
        <v>16821</v>
      </c>
    </row>
    <row r="3407" spans="1:13">
      <c r="A3407" s="2">
        <v>4710</v>
      </c>
      <c r="B3407" s="2" t="s">
        <v>16822</v>
      </c>
      <c r="C3407" s="2">
        <v>15</v>
      </c>
      <c r="D3407" s="2">
        <v>556</v>
      </c>
      <c r="E3407" s="2">
        <v>200</v>
      </c>
      <c r="F3407" s="2">
        <v>32441</v>
      </c>
      <c r="G3407" s="2">
        <v>4.3760341729999999</v>
      </c>
      <c r="H3407" s="3">
        <v>4.2699999999999998E-6</v>
      </c>
      <c r="I3407" s="2" t="s">
        <v>16823</v>
      </c>
      <c r="J3407" s="2" t="s">
        <v>16824</v>
      </c>
      <c r="K3407" s="3">
        <v>1.6500000000000001E-5</v>
      </c>
      <c r="L3407" s="2" t="s">
        <v>1178</v>
      </c>
      <c r="M3407" s="4" t="s">
        <v>16825</v>
      </c>
    </row>
    <row r="3408" spans="1:13">
      <c r="A3408" s="2">
        <v>4769</v>
      </c>
      <c r="B3408" s="2" t="s">
        <v>16826</v>
      </c>
      <c r="C3408" s="2">
        <v>15</v>
      </c>
      <c r="D3408" s="2">
        <v>556</v>
      </c>
      <c r="E3408" s="2">
        <v>200</v>
      </c>
      <c r="F3408" s="2">
        <v>32441</v>
      </c>
      <c r="G3408" s="2">
        <v>4.3760341729999999</v>
      </c>
      <c r="H3408" s="3">
        <v>4.2699999999999998E-6</v>
      </c>
      <c r="I3408" s="2" t="s">
        <v>16827</v>
      </c>
      <c r="J3408" s="2" t="s">
        <v>16828</v>
      </c>
      <c r="K3408" s="3">
        <v>1.6500000000000001E-5</v>
      </c>
      <c r="L3408" s="2" t="s">
        <v>1178</v>
      </c>
      <c r="M3408" s="4" t="s">
        <v>16829</v>
      </c>
    </row>
    <row r="3409" spans="1:13">
      <c r="A3409" s="2">
        <v>4789</v>
      </c>
      <c r="B3409" s="2" t="s">
        <v>16830</v>
      </c>
      <c r="C3409" s="2">
        <v>15</v>
      </c>
      <c r="D3409" s="2">
        <v>556</v>
      </c>
      <c r="E3409" s="2">
        <v>200</v>
      </c>
      <c r="F3409" s="2">
        <v>32441</v>
      </c>
      <c r="G3409" s="2">
        <v>4.3760341729999999</v>
      </c>
      <c r="H3409" s="3">
        <v>4.2699999999999998E-6</v>
      </c>
      <c r="I3409" s="2" t="s">
        <v>16831</v>
      </c>
      <c r="J3409" s="2" t="s">
        <v>16832</v>
      </c>
      <c r="K3409" s="3">
        <v>1.6500000000000001E-5</v>
      </c>
      <c r="L3409" s="2" t="s">
        <v>1178</v>
      </c>
      <c r="M3409" s="4" t="s">
        <v>16833</v>
      </c>
    </row>
    <row r="3410" spans="1:13">
      <c r="A3410" s="2">
        <v>47961</v>
      </c>
      <c r="B3410" s="2" t="s">
        <v>2733</v>
      </c>
      <c r="C3410" s="2">
        <v>15</v>
      </c>
      <c r="D3410" s="2">
        <v>556</v>
      </c>
      <c r="E3410" s="2">
        <v>200</v>
      </c>
      <c r="F3410" s="2">
        <v>32441</v>
      </c>
      <c r="G3410" s="2">
        <v>4.3760341729999999</v>
      </c>
      <c r="H3410" s="3">
        <v>4.2699999999999998E-6</v>
      </c>
      <c r="I3410" s="2" t="s">
        <v>16834</v>
      </c>
      <c r="J3410" s="2" t="s">
        <v>16835</v>
      </c>
      <c r="K3410" s="3">
        <v>1.6500000000000001E-5</v>
      </c>
      <c r="L3410" s="2" t="s">
        <v>1178</v>
      </c>
      <c r="M3410" s="4" t="s">
        <v>16836</v>
      </c>
    </row>
    <row r="3411" spans="1:13">
      <c r="A3411" s="2">
        <v>4071</v>
      </c>
      <c r="B3411" s="2" t="s">
        <v>16837</v>
      </c>
      <c r="C3411" s="2">
        <v>14</v>
      </c>
      <c r="D3411" s="2">
        <v>556</v>
      </c>
      <c r="E3411" s="2">
        <v>176</v>
      </c>
      <c r="F3411" s="2">
        <v>32441</v>
      </c>
      <c r="G3411" s="2">
        <v>4.641248365</v>
      </c>
      <c r="H3411" s="3">
        <v>4.7299999999999996E-6</v>
      </c>
      <c r="I3411" s="2" t="s">
        <v>16838</v>
      </c>
      <c r="J3411" s="2" t="s">
        <v>16839</v>
      </c>
      <c r="K3411" s="3">
        <v>1.8300000000000001E-5</v>
      </c>
      <c r="L3411" s="2" t="s">
        <v>1178</v>
      </c>
      <c r="M3411" s="4" t="s">
        <v>16840</v>
      </c>
    </row>
    <row r="3412" spans="1:13">
      <c r="A3412" s="2">
        <v>2439</v>
      </c>
      <c r="B3412" s="2" t="s">
        <v>16841</v>
      </c>
      <c r="C3412" s="2">
        <v>14</v>
      </c>
      <c r="D3412" s="2">
        <v>556</v>
      </c>
      <c r="E3412" s="2">
        <v>177</v>
      </c>
      <c r="F3412" s="2">
        <v>32441</v>
      </c>
      <c r="G3412" s="2">
        <v>4.6150266230000003</v>
      </c>
      <c r="H3412" s="3">
        <v>5.0200000000000002E-6</v>
      </c>
      <c r="I3412" s="2" t="s">
        <v>16842</v>
      </c>
      <c r="J3412" s="2" t="s">
        <v>16843</v>
      </c>
      <c r="K3412" s="3">
        <v>1.9400000000000001E-5</v>
      </c>
      <c r="L3412" s="2" t="s">
        <v>1178</v>
      </c>
      <c r="M3412" s="4" t="s">
        <v>16844</v>
      </c>
    </row>
    <row r="3413" spans="1:13">
      <c r="A3413" s="2">
        <v>3577</v>
      </c>
      <c r="B3413" s="2" t="s">
        <v>16845</v>
      </c>
      <c r="C3413" s="2">
        <v>13</v>
      </c>
      <c r="D3413" s="2">
        <v>556</v>
      </c>
      <c r="E3413" s="2">
        <v>153</v>
      </c>
      <c r="F3413" s="2">
        <v>32441</v>
      </c>
      <c r="G3413" s="2">
        <v>4.9575986270000003</v>
      </c>
      <c r="H3413" s="3">
        <v>5.3000000000000001E-6</v>
      </c>
      <c r="I3413" s="2" t="s">
        <v>16846</v>
      </c>
      <c r="J3413" s="2" t="s">
        <v>16847</v>
      </c>
      <c r="K3413" s="3">
        <v>2.0400000000000001E-5</v>
      </c>
      <c r="L3413" s="2" t="s">
        <v>1178</v>
      </c>
      <c r="M3413" s="4" t="s">
        <v>16848</v>
      </c>
    </row>
    <row r="3414" spans="1:13">
      <c r="A3414" s="2">
        <v>4244</v>
      </c>
      <c r="B3414" s="2" t="s">
        <v>16849</v>
      </c>
      <c r="C3414" s="2">
        <v>13</v>
      </c>
      <c r="D3414" s="2">
        <v>556</v>
      </c>
      <c r="E3414" s="2">
        <v>154</v>
      </c>
      <c r="F3414" s="2">
        <v>32441</v>
      </c>
      <c r="G3414" s="2">
        <v>4.9254064279999996</v>
      </c>
      <c r="H3414" s="3">
        <v>5.66E-6</v>
      </c>
      <c r="I3414" s="2" t="s">
        <v>16850</v>
      </c>
      <c r="J3414" s="2" t="s">
        <v>16851</v>
      </c>
      <c r="K3414" s="3">
        <v>2.1800000000000001E-5</v>
      </c>
      <c r="L3414" s="2" t="s">
        <v>1178</v>
      </c>
      <c r="M3414" s="4" t="s">
        <v>16852</v>
      </c>
    </row>
    <row r="3415" spans="1:13">
      <c r="A3415" s="2">
        <v>32411</v>
      </c>
      <c r="B3415" s="2" t="s">
        <v>16853</v>
      </c>
      <c r="C3415" s="2">
        <v>14</v>
      </c>
      <c r="D3415" s="2">
        <v>556</v>
      </c>
      <c r="E3415" s="2">
        <v>180</v>
      </c>
      <c r="F3415" s="2">
        <v>32441</v>
      </c>
      <c r="G3415" s="2">
        <v>4.5381095120000001</v>
      </c>
      <c r="H3415" s="3">
        <v>6.02E-6</v>
      </c>
      <c r="I3415" s="2" t="s">
        <v>16854</v>
      </c>
      <c r="J3415" s="2" t="s">
        <v>16855</v>
      </c>
      <c r="K3415" s="3">
        <v>2.3200000000000001E-5</v>
      </c>
      <c r="L3415" s="2" t="s">
        <v>1178</v>
      </c>
      <c r="M3415" s="4" t="s">
        <v>16856</v>
      </c>
    </row>
    <row r="3416" spans="1:13">
      <c r="A3416" s="2">
        <v>4075</v>
      </c>
      <c r="B3416" s="2" t="s">
        <v>16857</v>
      </c>
      <c r="C3416" s="2">
        <v>14</v>
      </c>
      <c r="D3416" s="2">
        <v>556</v>
      </c>
      <c r="E3416" s="2">
        <v>180</v>
      </c>
      <c r="F3416" s="2">
        <v>32441</v>
      </c>
      <c r="G3416" s="2">
        <v>4.5381095120000001</v>
      </c>
      <c r="H3416" s="3">
        <v>6.02E-6</v>
      </c>
      <c r="I3416" s="2" t="s">
        <v>16858</v>
      </c>
      <c r="J3416" s="2" t="s">
        <v>16859</v>
      </c>
      <c r="K3416" s="3">
        <v>2.3200000000000001E-5</v>
      </c>
      <c r="L3416" s="2" t="s">
        <v>1178</v>
      </c>
      <c r="M3416" s="4" t="s">
        <v>16860</v>
      </c>
    </row>
    <row r="3417" spans="1:13">
      <c r="A3417" s="2">
        <v>21841</v>
      </c>
      <c r="B3417" s="2" t="s">
        <v>3533</v>
      </c>
      <c r="C3417" s="2">
        <v>12</v>
      </c>
      <c r="D3417" s="2">
        <v>556</v>
      </c>
      <c r="E3417" s="2">
        <v>132</v>
      </c>
      <c r="F3417" s="2">
        <v>32441</v>
      </c>
      <c r="G3417" s="2">
        <v>5.3042838459999997</v>
      </c>
      <c r="H3417" s="3">
        <v>6.4300000000000003E-6</v>
      </c>
      <c r="I3417" s="2" t="s">
        <v>16861</v>
      </c>
      <c r="J3417" s="2" t="s">
        <v>16862</v>
      </c>
      <c r="K3417" s="3">
        <v>2.4700000000000001E-5</v>
      </c>
      <c r="L3417" s="2" t="s">
        <v>1178</v>
      </c>
      <c r="M3417" s="4" t="s">
        <v>3536</v>
      </c>
    </row>
    <row r="3418" spans="1:13">
      <c r="A3418" s="2">
        <v>2894</v>
      </c>
      <c r="B3418" s="2" t="s">
        <v>16863</v>
      </c>
      <c r="C3418" s="2">
        <v>13</v>
      </c>
      <c r="D3418" s="2">
        <v>556</v>
      </c>
      <c r="E3418" s="2">
        <v>156</v>
      </c>
      <c r="F3418" s="2">
        <v>32441</v>
      </c>
      <c r="G3418" s="2">
        <v>4.8622601919999999</v>
      </c>
      <c r="H3418" s="3">
        <v>6.4500000000000001E-6</v>
      </c>
      <c r="I3418" s="2" t="s">
        <v>16864</v>
      </c>
      <c r="J3418" s="2" t="s">
        <v>16865</v>
      </c>
      <c r="K3418" s="3">
        <v>2.48E-5</v>
      </c>
      <c r="L3418" s="2" t="s">
        <v>1178</v>
      </c>
      <c r="M3418" s="4" t="s">
        <v>16866</v>
      </c>
    </row>
    <row r="3419" spans="1:13">
      <c r="A3419" s="2">
        <v>4069</v>
      </c>
      <c r="B3419" s="2" t="s">
        <v>16867</v>
      </c>
      <c r="C3419" s="2">
        <v>12</v>
      </c>
      <c r="D3419" s="2">
        <v>556</v>
      </c>
      <c r="E3419" s="2">
        <v>133</v>
      </c>
      <c r="F3419" s="2">
        <v>32441</v>
      </c>
      <c r="G3419" s="2">
        <v>5.2644020119999997</v>
      </c>
      <c r="H3419" s="3">
        <v>6.9099999999999999E-6</v>
      </c>
      <c r="I3419" s="2" t="s">
        <v>16868</v>
      </c>
      <c r="J3419" s="2" t="s">
        <v>16869</v>
      </c>
      <c r="K3419" s="3">
        <v>2.65E-5</v>
      </c>
      <c r="L3419" s="2" t="s">
        <v>1178</v>
      </c>
      <c r="M3419" s="4" t="s">
        <v>16870</v>
      </c>
    </row>
    <row r="3420" spans="1:13">
      <c r="A3420" s="2">
        <v>3617</v>
      </c>
      <c r="B3420" s="2" t="s">
        <v>16871</v>
      </c>
      <c r="C3420" s="2">
        <v>13</v>
      </c>
      <c r="D3420" s="2">
        <v>556</v>
      </c>
      <c r="E3420" s="2">
        <v>158</v>
      </c>
      <c r="F3420" s="2">
        <v>32441</v>
      </c>
      <c r="G3420" s="2">
        <v>4.8007125940000002</v>
      </c>
      <c r="H3420" s="3">
        <v>7.3300000000000001E-6</v>
      </c>
      <c r="I3420" s="2" t="s">
        <v>16872</v>
      </c>
      <c r="J3420" s="2" t="s">
        <v>16873</v>
      </c>
      <c r="K3420" s="3">
        <v>2.8099999999999999E-5</v>
      </c>
      <c r="L3420" s="2" t="s">
        <v>1178</v>
      </c>
      <c r="M3420" s="4" t="s">
        <v>16874</v>
      </c>
    </row>
    <row r="3421" spans="1:13">
      <c r="A3421" s="2">
        <v>39301</v>
      </c>
      <c r="B3421" s="2" t="s">
        <v>16875</v>
      </c>
      <c r="C3421" s="2">
        <v>13</v>
      </c>
      <c r="D3421" s="2">
        <v>556</v>
      </c>
      <c r="E3421" s="2">
        <v>158</v>
      </c>
      <c r="F3421" s="2">
        <v>32441</v>
      </c>
      <c r="G3421" s="2">
        <v>4.8007125940000002</v>
      </c>
      <c r="H3421" s="3">
        <v>7.3300000000000001E-6</v>
      </c>
      <c r="I3421" s="2" t="s">
        <v>16876</v>
      </c>
      <c r="J3421" s="2" t="s">
        <v>16877</v>
      </c>
      <c r="K3421" s="3">
        <v>2.8099999999999999E-5</v>
      </c>
      <c r="L3421" s="2" t="s">
        <v>1178</v>
      </c>
      <c r="M3421" s="4" t="s">
        <v>16878</v>
      </c>
    </row>
    <row r="3422" spans="1:13">
      <c r="A3422" s="2">
        <v>3303</v>
      </c>
      <c r="B3422" s="2" t="s">
        <v>16879</v>
      </c>
      <c r="C3422" s="2">
        <v>13</v>
      </c>
      <c r="D3422" s="2">
        <v>556</v>
      </c>
      <c r="E3422" s="2">
        <v>159</v>
      </c>
      <c r="F3422" s="2">
        <v>32441</v>
      </c>
      <c r="G3422" s="2">
        <v>4.7705194339999997</v>
      </c>
      <c r="H3422" s="3">
        <v>7.8099999999999998E-6</v>
      </c>
      <c r="I3422" s="2" t="s">
        <v>16880</v>
      </c>
      <c r="J3422" s="2" t="s">
        <v>16881</v>
      </c>
      <c r="K3422" s="3">
        <v>2.9899999999999998E-5</v>
      </c>
      <c r="L3422" s="2" t="s">
        <v>1178</v>
      </c>
      <c r="M3422" s="4" t="s">
        <v>16882</v>
      </c>
    </row>
    <row r="3423" spans="1:13">
      <c r="A3423" s="2">
        <v>40841</v>
      </c>
      <c r="B3423" s="2" t="s">
        <v>16883</v>
      </c>
      <c r="C3423" s="2">
        <v>13</v>
      </c>
      <c r="D3423" s="2">
        <v>556</v>
      </c>
      <c r="E3423" s="2">
        <v>160</v>
      </c>
      <c r="F3423" s="2">
        <v>32441</v>
      </c>
      <c r="G3423" s="2">
        <v>4.7407036869999999</v>
      </c>
      <c r="H3423" s="3">
        <v>8.3100000000000001E-6</v>
      </c>
      <c r="I3423" s="2" t="s">
        <v>16884</v>
      </c>
      <c r="J3423" s="2" t="s">
        <v>16885</v>
      </c>
      <c r="K3423" s="3">
        <v>3.18E-5</v>
      </c>
      <c r="L3423" s="2" t="s">
        <v>1178</v>
      </c>
      <c r="M3423" s="4" t="s">
        <v>16886</v>
      </c>
    </row>
    <row r="3424" spans="1:13">
      <c r="A3424" s="2">
        <v>26551</v>
      </c>
      <c r="B3424" s="2" t="s">
        <v>16887</v>
      </c>
      <c r="C3424" s="2">
        <v>13</v>
      </c>
      <c r="D3424" s="2">
        <v>556</v>
      </c>
      <c r="E3424" s="2">
        <v>161</v>
      </c>
      <c r="F3424" s="2">
        <v>32441</v>
      </c>
      <c r="G3424" s="2">
        <v>4.711258323</v>
      </c>
      <c r="H3424" s="3">
        <v>8.85E-6</v>
      </c>
      <c r="I3424" s="2" t="s">
        <v>16888</v>
      </c>
      <c r="J3424" s="2" t="s">
        <v>16889</v>
      </c>
      <c r="K3424" s="3">
        <v>3.3800000000000002E-5</v>
      </c>
      <c r="L3424" s="2" t="s">
        <v>1178</v>
      </c>
      <c r="M3424" s="4" t="s">
        <v>16890</v>
      </c>
    </row>
    <row r="3425" spans="1:13">
      <c r="A3425" s="2">
        <v>3581</v>
      </c>
      <c r="B3425" s="2" t="s">
        <v>3130</v>
      </c>
      <c r="C3425" s="2">
        <v>13</v>
      </c>
      <c r="D3425" s="2">
        <v>556</v>
      </c>
      <c r="E3425" s="2">
        <v>162</v>
      </c>
      <c r="F3425" s="2">
        <v>32441</v>
      </c>
      <c r="G3425" s="2">
        <v>4.6821764809999999</v>
      </c>
      <c r="H3425" s="3">
        <v>9.4099999999999997E-6</v>
      </c>
      <c r="I3425" s="2" t="s">
        <v>16891</v>
      </c>
      <c r="J3425" s="2" t="s">
        <v>16892</v>
      </c>
      <c r="K3425" s="3">
        <v>3.6000000000000001E-5</v>
      </c>
      <c r="L3425" s="2" t="s">
        <v>1178</v>
      </c>
      <c r="M3425" s="4" t="s">
        <v>3133</v>
      </c>
    </row>
    <row r="3426" spans="1:13">
      <c r="A3426" s="2">
        <v>4200</v>
      </c>
      <c r="B3426" s="2" t="s">
        <v>16893</v>
      </c>
      <c r="C3426" s="2">
        <v>14</v>
      </c>
      <c r="D3426" s="2">
        <v>556</v>
      </c>
      <c r="E3426" s="2">
        <v>190</v>
      </c>
      <c r="F3426" s="2">
        <v>32441</v>
      </c>
      <c r="G3426" s="2">
        <v>4.2992616430000004</v>
      </c>
      <c r="H3426" s="3">
        <v>1.0699999999999999E-5</v>
      </c>
      <c r="I3426" s="2" t="s">
        <v>16894</v>
      </c>
      <c r="J3426" s="2" t="s">
        <v>16895</v>
      </c>
      <c r="K3426" s="3">
        <v>4.0800000000000002E-5</v>
      </c>
      <c r="L3426" s="2" t="s">
        <v>1178</v>
      </c>
      <c r="M3426" s="4" t="s">
        <v>16896</v>
      </c>
    </row>
    <row r="3427" spans="1:13">
      <c r="A3427" s="2">
        <v>2527</v>
      </c>
      <c r="B3427" s="2" t="s">
        <v>16897</v>
      </c>
      <c r="C3427" s="2">
        <v>13</v>
      </c>
      <c r="D3427" s="2">
        <v>556</v>
      </c>
      <c r="E3427" s="2">
        <v>166</v>
      </c>
      <c r="F3427" s="2">
        <v>32441</v>
      </c>
      <c r="G3427" s="2">
        <v>4.5693529509999999</v>
      </c>
      <c r="H3427" s="3">
        <v>1.2E-5</v>
      </c>
      <c r="I3427" s="2" t="s">
        <v>16898</v>
      </c>
      <c r="J3427" s="2" t="s">
        <v>16899</v>
      </c>
      <c r="K3427" s="3">
        <v>4.5800000000000002E-5</v>
      </c>
      <c r="L3427" s="2" t="s">
        <v>1178</v>
      </c>
      <c r="M3427" s="4" t="s">
        <v>16900</v>
      </c>
    </row>
    <row r="3428" spans="1:13">
      <c r="A3428" s="2">
        <v>36601</v>
      </c>
      <c r="B3428" s="2" t="s">
        <v>16901</v>
      </c>
      <c r="C3428" s="2">
        <v>13</v>
      </c>
      <c r="D3428" s="2">
        <v>556</v>
      </c>
      <c r="E3428" s="2">
        <v>166</v>
      </c>
      <c r="F3428" s="2">
        <v>32441</v>
      </c>
      <c r="G3428" s="2">
        <v>4.5693529509999999</v>
      </c>
      <c r="H3428" s="3">
        <v>1.2E-5</v>
      </c>
      <c r="I3428" s="2" t="s">
        <v>16902</v>
      </c>
      <c r="J3428" s="2" t="s">
        <v>16903</v>
      </c>
      <c r="K3428" s="3">
        <v>4.5800000000000002E-5</v>
      </c>
      <c r="L3428" s="2" t="s">
        <v>1178</v>
      </c>
      <c r="M3428" s="4" t="s">
        <v>16904</v>
      </c>
    </row>
    <row r="3429" spans="1:13">
      <c r="A3429" s="2">
        <v>2567</v>
      </c>
      <c r="B3429" s="2" t="s">
        <v>16905</v>
      </c>
      <c r="C3429" s="2">
        <v>12</v>
      </c>
      <c r="D3429" s="2">
        <v>556</v>
      </c>
      <c r="E3429" s="2">
        <v>143</v>
      </c>
      <c r="F3429" s="2">
        <v>32441</v>
      </c>
      <c r="G3429" s="2">
        <v>4.8962620110000001</v>
      </c>
      <c r="H3429" s="3">
        <v>1.36E-5</v>
      </c>
      <c r="I3429" s="2" t="s">
        <v>16906</v>
      </c>
      <c r="J3429" s="2" t="s">
        <v>16907</v>
      </c>
      <c r="K3429" s="3">
        <v>5.1900000000000001E-5</v>
      </c>
      <c r="L3429" s="2" t="s">
        <v>1178</v>
      </c>
      <c r="M3429" s="4" t="s">
        <v>16908</v>
      </c>
    </row>
    <row r="3430" spans="1:13">
      <c r="A3430" s="2">
        <v>34441</v>
      </c>
      <c r="B3430" s="2" t="s">
        <v>16909</v>
      </c>
      <c r="C3430" s="2">
        <v>14</v>
      </c>
      <c r="D3430" s="2">
        <v>556</v>
      </c>
      <c r="E3430" s="2">
        <v>195</v>
      </c>
      <c r="F3430" s="2">
        <v>32441</v>
      </c>
      <c r="G3430" s="2">
        <v>4.1890241650000002</v>
      </c>
      <c r="H3430" s="3">
        <v>1.4100000000000001E-5</v>
      </c>
      <c r="I3430" s="2" t="s">
        <v>16910</v>
      </c>
      <c r="J3430" s="2" t="s">
        <v>16911</v>
      </c>
      <c r="K3430" s="3">
        <v>5.3499999999999999E-5</v>
      </c>
      <c r="L3430" s="2" t="s">
        <v>1178</v>
      </c>
      <c r="M3430" s="4" t="s">
        <v>16912</v>
      </c>
    </row>
    <row r="3431" spans="1:13">
      <c r="A3431" s="2">
        <v>28111</v>
      </c>
      <c r="B3431" s="2" t="s">
        <v>1287</v>
      </c>
      <c r="C3431" s="2">
        <v>13</v>
      </c>
      <c r="D3431" s="2">
        <v>556</v>
      </c>
      <c r="E3431" s="2">
        <v>170</v>
      </c>
      <c r="F3431" s="2">
        <v>32441</v>
      </c>
      <c r="G3431" s="2">
        <v>4.4618387640000003</v>
      </c>
      <c r="H3431" s="3">
        <v>1.52E-5</v>
      </c>
      <c r="I3431" s="2" t="s">
        <v>16913</v>
      </c>
      <c r="J3431" s="2" t="s">
        <v>16914</v>
      </c>
      <c r="K3431" s="3">
        <v>5.7800000000000002E-5</v>
      </c>
      <c r="L3431" s="2" t="s">
        <v>1178</v>
      </c>
      <c r="M3431" s="4" t="s">
        <v>16915</v>
      </c>
    </row>
    <row r="3432" spans="1:13">
      <c r="A3432" s="2">
        <v>96</v>
      </c>
      <c r="B3432" s="2" t="s">
        <v>16916</v>
      </c>
      <c r="C3432" s="2">
        <v>14</v>
      </c>
      <c r="D3432" s="2">
        <v>556</v>
      </c>
      <c r="E3432" s="2">
        <v>199</v>
      </c>
      <c r="F3432" s="2">
        <v>32441</v>
      </c>
      <c r="G3432" s="2">
        <v>4.1048226750000003</v>
      </c>
      <c r="H3432" s="3">
        <v>1.7399999999999999E-5</v>
      </c>
      <c r="I3432" s="2" t="s">
        <v>16917</v>
      </c>
      <c r="J3432" s="2" t="s">
        <v>16918</v>
      </c>
      <c r="K3432" s="3">
        <v>6.0900000000000003E-5</v>
      </c>
      <c r="L3432" s="2" t="s">
        <v>1178</v>
      </c>
      <c r="M3432" s="4" t="s">
        <v>16919</v>
      </c>
    </row>
    <row r="3433" spans="1:13">
      <c r="A3433" s="2">
        <v>151</v>
      </c>
      <c r="B3433" s="2" t="s">
        <v>16920</v>
      </c>
      <c r="C3433" s="2">
        <v>14</v>
      </c>
      <c r="D3433" s="2">
        <v>556</v>
      </c>
      <c r="E3433" s="2">
        <v>200</v>
      </c>
      <c r="F3433" s="2">
        <v>32441</v>
      </c>
      <c r="G3433" s="2">
        <v>4.0842985609999998</v>
      </c>
      <c r="H3433" s="3">
        <v>1.8300000000000001E-5</v>
      </c>
      <c r="I3433" s="2" t="s">
        <v>16921</v>
      </c>
      <c r="J3433" s="2" t="s">
        <v>16922</v>
      </c>
      <c r="K3433" s="3">
        <v>6.0900000000000003E-5</v>
      </c>
      <c r="L3433" s="2" t="s">
        <v>1178</v>
      </c>
      <c r="M3433" s="4" t="s">
        <v>16923</v>
      </c>
    </row>
    <row r="3434" spans="1:13">
      <c r="A3434" s="2">
        <v>195</v>
      </c>
      <c r="B3434" s="2" t="s">
        <v>16924</v>
      </c>
      <c r="C3434" s="2">
        <v>14</v>
      </c>
      <c r="D3434" s="2">
        <v>556</v>
      </c>
      <c r="E3434" s="2">
        <v>200</v>
      </c>
      <c r="F3434" s="2">
        <v>32441</v>
      </c>
      <c r="G3434" s="2">
        <v>4.0842985609999998</v>
      </c>
      <c r="H3434" s="3">
        <v>1.8300000000000001E-5</v>
      </c>
      <c r="I3434" s="2" t="s">
        <v>16925</v>
      </c>
      <c r="J3434" s="2" t="s">
        <v>16926</v>
      </c>
      <c r="K3434" s="3">
        <v>6.0900000000000003E-5</v>
      </c>
      <c r="L3434" s="2" t="s">
        <v>1178</v>
      </c>
      <c r="M3434" s="4" t="s">
        <v>16927</v>
      </c>
    </row>
    <row r="3435" spans="1:13">
      <c r="A3435" s="2">
        <v>255</v>
      </c>
      <c r="B3435" s="2" t="s">
        <v>1239</v>
      </c>
      <c r="C3435" s="2">
        <v>14</v>
      </c>
      <c r="D3435" s="2">
        <v>556</v>
      </c>
      <c r="E3435" s="2">
        <v>200</v>
      </c>
      <c r="F3435" s="2">
        <v>32441</v>
      </c>
      <c r="G3435" s="2">
        <v>4.0842985609999998</v>
      </c>
      <c r="H3435" s="3">
        <v>1.8300000000000001E-5</v>
      </c>
      <c r="I3435" s="2" t="s">
        <v>16928</v>
      </c>
      <c r="J3435" s="2" t="s">
        <v>16929</v>
      </c>
      <c r="K3435" s="3">
        <v>6.0900000000000003E-5</v>
      </c>
      <c r="L3435" s="2" t="s">
        <v>1178</v>
      </c>
      <c r="M3435" s="4" t="s">
        <v>16930</v>
      </c>
    </row>
    <row r="3436" spans="1:13">
      <c r="A3436" s="2">
        <v>293</v>
      </c>
      <c r="B3436" s="2" t="s">
        <v>2007</v>
      </c>
      <c r="C3436" s="2">
        <v>14</v>
      </c>
      <c r="D3436" s="2">
        <v>556</v>
      </c>
      <c r="E3436" s="2">
        <v>200</v>
      </c>
      <c r="F3436" s="2">
        <v>32441</v>
      </c>
      <c r="G3436" s="2">
        <v>4.0842985609999998</v>
      </c>
      <c r="H3436" s="3">
        <v>1.8300000000000001E-5</v>
      </c>
      <c r="I3436" s="2" t="s">
        <v>16931</v>
      </c>
      <c r="J3436" s="2" t="s">
        <v>16932</v>
      </c>
      <c r="K3436" s="3">
        <v>6.0900000000000003E-5</v>
      </c>
      <c r="L3436" s="2" t="s">
        <v>1178</v>
      </c>
      <c r="M3436" s="4" t="s">
        <v>16933</v>
      </c>
    </row>
    <row r="3437" spans="1:13">
      <c r="A3437" s="2">
        <v>57</v>
      </c>
      <c r="B3437" s="2" t="s">
        <v>3306</v>
      </c>
      <c r="C3437" s="2">
        <v>14</v>
      </c>
      <c r="D3437" s="2">
        <v>556</v>
      </c>
      <c r="E3437" s="2">
        <v>199</v>
      </c>
      <c r="F3437" s="2">
        <v>32441</v>
      </c>
      <c r="G3437" s="2">
        <v>4.1048226750000003</v>
      </c>
      <c r="H3437" s="3">
        <v>1.7399999999999999E-5</v>
      </c>
      <c r="I3437" s="2" t="s">
        <v>16934</v>
      </c>
      <c r="J3437" s="2" t="s">
        <v>16935</v>
      </c>
      <c r="K3437" s="3">
        <v>6.0900000000000003E-5</v>
      </c>
      <c r="L3437" s="2" t="s">
        <v>1178</v>
      </c>
      <c r="M3437" s="4" t="s">
        <v>3309</v>
      </c>
    </row>
    <row r="3438" spans="1:13">
      <c r="A3438" s="2">
        <v>67</v>
      </c>
      <c r="B3438" s="2" t="s">
        <v>16936</v>
      </c>
      <c r="C3438" s="2">
        <v>14</v>
      </c>
      <c r="D3438" s="2">
        <v>556</v>
      </c>
      <c r="E3438" s="2">
        <v>200</v>
      </c>
      <c r="F3438" s="2">
        <v>32441</v>
      </c>
      <c r="G3438" s="2">
        <v>4.0842985609999998</v>
      </c>
      <c r="H3438" s="3">
        <v>1.8300000000000001E-5</v>
      </c>
      <c r="I3438" s="2" t="s">
        <v>16937</v>
      </c>
      <c r="J3438" s="2" t="s">
        <v>16938</v>
      </c>
      <c r="K3438" s="3">
        <v>6.0900000000000003E-5</v>
      </c>
      <c r="L3438" s="2" t="s">
        <v>1178</v>
      </c>
      <c r="M3438" s="4" t="s">
        <v>16939</v>
      </c>
    </row>
    <row r="3439" spans="1:13">
      <c r="A3439" s="2">
        <v>1199</v>
      </c>
      <c r="B3439" s="2" t="s">
        <v>16940</v>
      </c>
      <c r="C3439" s="2">
        <v>14</v>
      </c>
      <c r="D3439" s="2">
        <v>556</v>
      </c>
      <c r="E3439" s="2">
        <v>200</v>
      </c>
      <c r="F3439" s="2">
        <v>32441</v>
      </c>
      <c r="G3439" s="2">
        <v>4.0842985609999998</v>
      </c>
      <c r="H3439" s="3">
        <v>1.8300000000000001E-5</v>
      </c>
      <c r="I3439" s="2" t="s">
        <v>16941</v>
      </c>
      <c r="J3439" s="2" t="s">
        <v>16942</v>
      </c>
      <c r="K3439" s="3">
        <v>6.0900000000000003E-5</v>
      </c>
      <c r="L3439" s="2" t="s">
        <v>1178</v>
      </c>
      <c r="M3439" s="4" t="s">
        <v>16943</v>
      </c>
    </row>
    <row r="3440" spans="1:13">
      <c r="A3440" s="2">
        <v>221</v>
      </c>
      <c r="B3440" s="2" t="s">
        <v>16944</v>
      </c>
      <c r="C3440" s="2">
        <v>14</v>
      </c>
      <c r="D3440" s="2">
        <v>556</v>
      </c>
      <c r="E3440" s="2">
        <v>200</v>
      </c>
      <c r="F3440" s="2">
        <v>32441</v>
      </c>
      <c r="G3440" s="2">
        <v>4.0842985609999998</v>
      </c>
      <c r="H3440" s="3">
        <v>1.8300000000000001E-5</v>
      </c>
      <c r="I3440" s="2" t="s">
        <v>16945</v>
      </c>
      <c r="J3440" s="2" t="s">
        <v>16946</v>
      </c>
      <c r="K3440" s="3">
        <v>6.0900000000000003E-5</v>
      </c>
      <c r="L3440" s="2" t="s">
        <v>1178</v>
      </c>
      <c r="M3440" s="4" t="s">
        <v>16947</v>
      </c>
    </row>
    <row r="3441" spans="1:13">
      <c r="A3441" s="2">
        <v>2741</v>
      </c>
      <c r="B3441" s="2" t="s">
        <v>16948</v>
      </c>
      <c r="C3441" s="2">
        <v>14</v>
      </c>
      <c r="D3441" s="2">
        <v>556</v>
      </c>
      <c r="E3441" s="2">
        <v>200</v>
      </c>
      <c r="F3441" s="2">
        <v>32441</v>
      </c>
      <c r="G3441" s="2">
        <v>4.0842985609999998</v>
      </c>
      <c r="H3441" s="3">
        <v>1.8300000000000001E-5</v>
      </c>
      <c r="I3441" s="2" t="s">
        <v>16949</v>
      </c>
      <c r="J3441" s="2" t="s">
        <v>16950</v>
      </c>
      <c r="K3441" s="3">
        <v>6.0900000000000003E-5</v>
      </c>
      <c r="L3441" s="2" t="s">
        <v>1178</v>
      </c>
      <c r="M3441" s="4" t="s">
        <v>16951</v>
      </c>
    </row>
    <row r="3442" spans="1:13">
      <c r="A3442" s="2">
        <v>27710</v>
      </c>
      <c r="B3442" s="2" t="s">
        <v>16952</v>
      </c>
      <c r="C3442" s="2">
        <v>14</v>
      </c>
      <c r="D3442" s="2">
        <v>556</v>
      </c>
      <c r="E3442" s="2">
        <v>200</v>
      </c>
      <c r="F3442" s="2">
        <v>32441</v>
      </c>
      <c r="G3442" s="2">
        <v>4.0842985609999998</v>
      </c>
      <c r="H3442" s="3">
        <v>1.8300000000000001E-5</v>
      </c>
      <c r="I3442" s="2" t="s">
        <v>16953</v>
      </c>
      <c r="J3442" s="2" t="s">
        <v>16954</v>
      </c>
      <c r="K3442" s="3">
        <v>6.0900000000000003E-5</v>
      </c>
      <c r="L3442" s="2" t="s">
        <v>1178</v>
      </c>
      <c r="M3442" s="4" t="s">
        <v>16955</v>
      </c>
    </row>
    <row r="3443" spans="1:13">
      <c r="A3443" s="2">
        <v>3271</v>
      </c>
      <c r="B3443" s="2" t="s">
        <v>2022</v>
      </c>
      <c r="C3443" s="2">
        <v>14</v>
      </c>
      <c r="D3443" s="2">
        <v>556</v>
      </c>
      <c r="E3443" s="2">
        <v>200</v>
      </c>
      <c r="F3443" s="2">
        <v>32441</v>
      </c>
      <c r="G3443" s="2">
        <v>4.0842985609999998</v>
      </c>
      <c r="H3443" s="3">
        <v>1.8300000000000001E-5</v>
      </c>
      <c r="I3443" s="2" t="s">
        <v>16956</v>
      </c>
      <c r="J3443" s="2" t="s">
        <v>16957</v>
      </c>
      <c r="K3443" s="3">
        <v>6.0900000000000003E-5</v>
      </c>
      <c r="L3443" s="2" t="s">
        <v>1178</v>
      </c>
      <c r="M3443" s="4" t="s">
        <v>16958</v>
      </c>
    </row>
    <row r="3444" spans="1:13">
      <c r="A3444" s="2">
        <v>3422</v>
      </c>
      <c r="B3444" s="2" t="s">
        <v>16959</v>
      </c>
      <c r="C3444" s="2">
        <v>14</v>
      </c>
      <c r="D3444" s="2">
        <v>556</v>
      </c>
      <c r="E3444" s="2">
        <v>200</v>
      </c>
      <c r="F3444" s="2">
        <v>32441</v>
      </c>
      <c r="G3444" s="2">
        <v>4.0842985609999998</v>
      </c>
      <c r="H3444" s="3">
        <v>1.8300000000000001E-5</v>
      </c>
      <c r="I3444" s="2" t="s">
        <v>16960</v>
      </c>
      <c r="J3444" s="2" t="s">
        <v>16961</v>
      </c>
      <c r="K3444" s="3">
        <v>6.0900000000000003E-5</v>
      </c>
      <c r="L3444" s="2" t="s">
        <v>1178</v>
      </c>
      <c r="M3444" s="4" t="s">
        <v>16962</v>
      </c>
    </row>
    <row r="3445" spans="1:13">
      <c r="A3445" s="2">
        <v>4371</v>
      </c>
      <c r="B3445" s="2" t="s">
        <v>16963</v>
      </c>
      <c r="C3445" s="2">
        <v>14</v>
      </c>
      <c r="D3445" s="2">
        <v>556</v>
      </c>
      <c r="E3445" s="2">
        <v>200</v>
      </c>
      <c r="F3445" s="2">
        <v>32441</v>
      </c>
      <c r="G3445" s="2">
        <v>4.0842985609999998</v>
      </c>
      <c r="H3445" s="3">
        <v>1.8300000000000001E-5</v>
      </c>
      <c r="I3445" s="2" t="s">
        <v>16964</v>
      </c>
      <c r="J3445" s="2" t="s">
        <v>16965</v>
      </c>
      <c r="K3445" s="3">
        <v>6.0900000000000003E-5</v>
      </c>
      <c r="L3445" s="2" t="s">
        <v>1178</v>
      </c>
      <c r="M3445" s="4" t="s">
        <v>16966</v>
      </c>
    </row>
    <row r="3446" spans="1:13">
      <c r="A3446" s="2">
        <v>4396</v>
      </c>
      <c r="B3446" s="2" t="s">
        <v>16967</v>
      </c>
      <c r="C3446" s="2">
        <v>14</v>
      </c>
      <c r="D3446" s="2">
        <v>556</v>
      </c>
      <c r="E3446" s="2">
        <v>200</v>
      </c>
      <c r="F3446" s="2">
        <v>32441</v>
      </c>
      <c r="G3446" s="2">
        <v>4.0842985609999998</v>
      </c>
      <c r="H3446" s="3">
        <v>1.8300000000000001E-5</v>
      </c>
      <c r="I3446" s="2" t="s">
        <v>16968</v>
      </c>
      <c r="J3446" s="2" t="s">
        <v>16969</v>
      </c>
      <c r="K3446" s="3">
        <v>6.0900000000000003E-5</v>
      </c>
      <c r="L3446" s="2" t="s">
        <v>1178</v>
      </c>
      <c r="M3446" s="4" t="s">
        <v>16970</v>
      </c>
    </row>
    <row r="3447" spans="1:13">
      <c r="A3447" s="2">
        <v>446</v>
      </c>
      <c r="B3447" s="2" t="s">
        <v>16971</v>
      </c>
      <c r="C3447" s="2">
        <v>14</v>
      </c>
      <c r="D3447" s="2">
        <v>556</v>
      </c>
      <c r="E3447" s="2">
        <v>200</v>
      </c>
      <c r="F3447" s="2">
        <v>32441</v>
      </c>
      <c r="G3447" s="2">
        <v>4.0842985609999998</v>
      </c>
      <c r="H3447" s="3">
        <v>1.8300000000000001E-5</v>
      </c>
      <c r="I3447" s="2" t="s">
        <v>16972</v>
      </c>
      <c r="J3447" s="2" t="s">
        <v>16973</v>
      </c>
      <c r="K3447" s="3">
        <v>6.0900000000000003E-5</v>
      </c>
      <c r="L3447" s="2" t="s">
        <v>1178</v>
      </c>
      <c r="M3447" s="4" t="s">
        <v>16974</v>
      </c>
    </row>
    <row r="3448" spans="1:13">
      <c r="A3448" s="2">
        <v>5511</v>
      </c>
      <c r="B3448" s="2" t="s">
        <v>16975</v>
      </c>
      <c r="C3448" s="2">
        <v>14</v>
      </c>
      <c r="D3448" s="2">
        <v>556</v>
      </c>
      <c r="E3448" s="2">
        <v>200</v>
      </c>
      <c r="F3448" s="2">
        <v>32441</v>
      </c>
      <c r="G3448" s="2">
        <v>4.0842985609999998</v>
      </c>
      <c r="H3448" s="3">
        <v>1.8300000000000001E-5</v>
      </c>
      <c r="I3448" s="2" t="s">
        <v>16976</v>
      </c>
      <c r="J3448" s="2" t="s">
        <v>16977</v>
      </c>
      <c r="K3448" s="3">
        <v>6.0900000000000003E-5</v>
      </c>
      <c r="L3448" s="2" t="s">
        <v>1178</v>
      </c>
      <c r="M3448" s="4" t="s">
        <v>16978</v>
      </c>
    </row>
    <row r="3449" spans="1:13">
      <c r="A3449" s="2">
        <v>561</v>
      </c>
      <c r="B3449" s="2" t="s">
        <v>16979</v>
      </c>
      <c r="C3449" s="2">
        <v>14</v>
      </c>
      <c r="D3449" s="2">
        <v>556</v>
      </c>
      <c r="E3449" s="2">
        <v>200</v>
      </c>
      <c r="F3449" s="2">
        <v>32441</v>
      </c>
      <c r="G3449" s="2">
        <v>4.0842985609999998</v>
      </c>
      <c r="H3449" s="3">
        <v>1.8300000000000001E-5</v>
      </c>
      <c r="I3449" s="2" t="s">
        <v>16980</v>
      </c>
      <c r="J3449" s="2" t="s">
        <v>16981</v>
      </c>
      <c r="K3449" s="3">
        <v>6.0900000000000003E-5</v>
      </c>
      <c r="L3449" s="2" t="s">
        <v>1178</v>
      </c>
      <c r="M3449" s="4" t="s">
        <v>16982</v>
      </c>
    </row>
    <row r="3450" spans="1:13">
      <c r="A3450" s="2">
        <v>5761</v>
      </c>
      <c r="B3450" s="2" t="s">
        <v>16983</v>
      </c>
      <c r="C3450" s="2">
        <v>14</v>
      </c>
      <c r="D3450" s="2">
        <v>556</v>
      </c>
      <c r="E3450" s="2">
        <v>200</v>
      </c>
      <c r="F3450" s="2">
        <v>32441</v>
      </c>
      <c r="G3450" s="2">
        <v>4.0842985609999998</v>
      </c>
      <c r="H3450" s="3">
        <v>1.8300000000000001E-5</v>
      </c>
      <c r="I3450" s="2" t="s">
        <v>16984</v>
      </c>
      <c r="J3450" s="2" t="s">
        <v>16985</v>
      </c>
      <c r="K3450" s="3">
        <v>6.0900000000000003E-5</v>
      </c>
      <c r="L3450" s="2" t="s">
        <v>1178</v>
      </c>
      <c r="M3450" s="4" t="s">
        <v>16986</v>
      </c>
    </row>
    <row r="3451" spans="1:13">
      <c r="A3451" s="2">
        <v>6032</v>
      </c>
      <c r="B3451" s="2" t="s">
        <v>16987</v>
      </c>
      <c r="C3451" s="2">
        <v>14</v>
      </c>
      <c r="D3451" s="2">
        <v>556</v>
      </c>
      <c r="E3451" s="2">
        <v>200</v>
      </c>
      <c r="F3451" s="2">
        <v>32441</v>
      </c>
      <c r="G3451" s="2">
        <v>4.0842985609999998</v>
      </c>
      <c r="H3451" s="3">
        <v>1.8300000000000001E-5</v>
      </c>
      <c r="I3451" s="2" t="s">
        <v>16988</v>
      </c>
      <c r="J3451" s="2" t="s">
        <v>16989</v>
      </c>
      <c r="K3451" s="3">
        <v>6.0900000000000003E-5</v>
      </c>
      <c r="L3451" s="2" t="s">
        <v>1178</v>
      </c>
      <c r="M3451" s="4" t="s">
        <v>16990</v>
      </c>
    </row>
    <row r="3452" spans="1:13">
      <c r="A3452" s="2">
        <v>6132</v>
      </c>
      <c r="B3452" s="2" t="s">
        <v>16991</v>
      </c>
      <c r="C3452" s="2">
        <v>14</v>
      </c>
      <c r="D3452" s="2">
        <v>556</v>
      </c>
      <c r="E3452" s="2">
        <v>200</v>
      </c>
      <c r="F3452" s="2">
        <v>32441</v>
      </c>
      <c r="G3452" s="2">
        <v>4.0842985609999998</v>
      </c>
      <c r="H3452" s="3">
        <v>1.8300000000000001E-5</v>
      </c>
      <c r="I3452" s="2" t="s">
        <v>16992</v>
      </c>
      <c r="J3452" s="2" t="s">
        <v>16993</v>
      </c>
      <c r="K3452" s="3">
        <v>6.0900000000000003E-5</v>
      </c>
      <c r="L3452" s="2" t="s">
        <v>1178</v>
      </c>
      <c r="M3452" s="4" t="s">
        <v>16994</v>
      </c>
    </row>
    <row r="3453" spans="1:13">
      <c r="A3453" s="2">
        <v>6441</v>
      </c>
      <c r="B3453" s="2" t="s">
        <v>16995</v>
      </c>
      <c r="C3453" s="2">
        <v>14</v>
      </c>
      <c r="D3453" s="2">
        <v>556</v>
      </c>
      <c r="E3453" s="2">
        <v>200</v>
      </c>
      <c r="F3453" s="2">
        <v>32441</v>
      </c>
      <c r="G3453" s="2">
        <v>4.0842985609999998</v>
      </c>
      <c r="H3453" s="3">
        <v>1.8300000000000001E-5</v>
      </c>
      <c r="I3453" s="2" t="s">
        <v>16996</v>
      </c>
      <c r="J3453" s="2" t="s">
        <v>16997</v>
      </c>
      <c r="K3453" s="3">
        <v>6.0900000000000003E-5</v>
      </c>
      <c r="L3453" s="2" t="s">
        <v>1178</v>
      </c>
      <c r="M3453" s="4" t="s">
        <v>16998</v>
      </c>
    </row>
    <row r="3454" spans="1:13">
      <c r="A3454" s="2">
        <v>6611</v>
      </c>
      <c r="B3454" s="2" t="s">
        <v>16999</v>
      </c>
      <c r="C3454" s="2">
        <v>14</v>
      </c>
      <c r="D3454" s="2">
        <v>556</v>
      </c>
      <c r="E3454" s="2">
        <v>200</v>
      </c>
      <c r="F3454" s="2">
        <v>32441</v>
      </c>
      <c r="G3454" s="2">
        <v>4.0842985609999998</v>
      </c>
      <c r="H3454" s="3">
        <v>1.8300000000000001E-5</v>
      </c>
      <c r="I3454" s="2" t="s">
        <v>17000</v>
      </c>
      <c r="J3454" s="2" t="s">
        <v>17001</v>
      </c>
      <c r="K3454" s="3">
        <v>6.0900000000000003E-5</v>
      </c>
      <c r="L3454" s="2" t="s">
        <v>1178</v>
      </c>
      <c r="M3454" s="4" t="s">
        <v>17002</v>
      </c>
    </row>
    <row r="3455" spans="1:13">
      <c r="A3455" s="2">
        <v>670</v>
      </c>
      <c r="B3455" s="2" t="s">
        <v>17003</v>
      </c>
      <c r="C3455" s="2">
        <v>14</v>
      </c>
      <c r="D3455" s="2">
        <v>556</v>
      </c>
      <c r="E3455" s="2">
        <v>200</v>
      </c>
      <c r="F3455" s="2">
        <v>32441</v>
      </c>
      <c r="G3455" s="2">
        <v>4.0842985609999998</v>
      </c>
      <c r="H3455" s="3">
        <v>1.8300000000000001E-5</v>
      </c>
      <c r="I3455" s="2" t="s">
        <v>17004</v>
      </c>
      <c r="J3455" s="2" t="s">
        <v>17005</v>
      </c>
      <c r="K3455" s="3">
        <v>6.0900000000000003E-5</v>
      </c>
      <c r="L3455" s="2" t="s">
        <v>1178</v>
      </c>
      <c r="M3455" s="4" t="s">
        <v>17006</v>
      </c>
    </row>
    <row r="3456" spans="1:13">
      <c r="A3456" s="2">
        <v>6851</v>
      </c>
      <c r="B3456" s="2" t="s">
        <v>17007</v>
      </c>
      <c r="C3456" s="2">
        <v>14</v>
      </c>
      <c r="D3456" s="2">
        <v>556</v>
      </c>
      <c r="E3456" s="2">
        <v>200</v>
      </c>
      <c r="F3456" s="2">
        <v>32441</v>
      </c>
      <c r="G3456" s="2">
        <v>4.0842985609999998</v>
      </c>
      <c r="H3456" s="3">
        <v>1.8300000000000001E-5</v>
      </c>
      <c r="I3456" s="2" t="s">
        <v>17008</v>
      </c>
      <c r="J3456" s="2" t="s">
        <v>17009</v>
      </c>
      <c r="K3456" s="3">
        <v>6.0900000000000003E-5</v>
      </c>
      <c r="L3456" s="2" t="s">
        <v>1178</v>
      </c>
      <c r="M3456" s="4" t="s">
        <v>17010</v>
      </c>
    </row>
    <row r="3457" spans="1:13">
      <c r="A3457" s="2">
        <v>7011</v>
      </c>
      <c r="B3457" s="2" t="s">
        <v>17011</v>
      </c>
      <c r="C3457" s="2">
        <v>14</v>
      </c>
      <c r="D3457" s="2">
        <v>556</v>
      </c>
      <c r="E3457" s="2">
        <v>200</v>
      </c>
      <c r="F3457" s="2">
        <v>32441</v>
      </c>
      <c r="G3457" s="2">
        <v>4.0842985609999998</v>
      </c>
      <c r="H3457" s="3">
        <v>1.8300000000000001E-5</v>
      </c>
      <c r="I3457" s="2" t="s">
        <v>17012</v>
      </c>
      <c r="J3457" s="2" t="s">
        <v>17013</v>
      </c>
      <c r="K3457" s="3">
        <v>6.0900000000000003E-5</v>
      </c>
      <c r="L3457" s="2" t="s">
        <v>1178</v>
      </c>
      <c r="M3457" s="4" t="s">
        <v>17014</v>
      </c>
    </row>
    <row r="3458" spans="1:13">
      <c r="A3458" s="2">
        <v>703</v>
      </c>
      <c r="B3458" s="2" t="s">
        <v>17015</v>
      </c>
      <c r="C3458" s="2">
        <v>14</v>
      </c>
      <c r="D3458" s="2">
        <v>556</v>
      </c>
      <c r="E3458" s="2">
        <v>200</v>
      </c>
      <c r="F3458" s="2">
        <v>32441</v>
      </c>
      <c r="G3458" s="2">
        <v>4.0842985609999998</v>
      </c>
      <c r="H3458" s="3">
        <v>1.8300000000000001E-5</v>
      </c>
      <c r="I3458" s="2" t="s">
        <v>17016</v>
      </c>
      <c r="J3458" s="2" t="s">
        <v>17017</v>
      </c>
      <c r="K3458" s="3">
        <v>6.0900000000000003E-5</v>
      </c>
      <c r="L3458" s="2" t="s">
        <v>1178</v>
      </c>
      <c r="M3458" s="4" t="s">
        <v>17018</v>
      </c>
    </row>
    <row r="3459" spans="1:13">
      <c r="A3459" s="2">
        <v>712</v>
      </c>
      <c r="B3459" s="2" t="s">
        <v>17019</v>
      </c>
      <c r="C3459" s="2">
        <v>14</v>
      </c>
      <c r="D3459" s="2">
        <v>556</v>
      </c>
      <c r="E3459" s="2">
        <v>200</v>
      </c>
      <c r="F3459" s="2">
        <v>32441</v>
      </c>
      <c r="G3459" s="2">
        <v>4.0842985609999998</v>
      </c>
      <c r="H3459" s="3">
        <v>1.8300000000000001E-5</v>
      </c>
      <c r="I3459" s="2" t="s">
        <v>17020</v>
      </c>
      <c r="J3459" s="2" t="s">
        <v>17021</v>
      </c>
      <c r="K3459" s="3">
        <v>6.0900000000000003E-5</v>
      </c>
      <c r="L3459" s="2" t="s">
        <v>1178</v>
      </c>
      <c r="M3459" s="4" t="s">
        <v>17022</v>
      </c>
    </row>
    <row r="3460" spans="1:13">
      <c r="A3460" s="2">
        <v>715</v>
      </c>
      <c r="B3460" s="2" t="s">
        <v>17023</v>
      </c>
      <c r="C3460" s="2">
        <v>14</v>
      </c>
      <c r="D3460" s="2">
        <v>556</v>
      </c>
      <c r="E3460" s="2">
        <v>200</v>
      </c>
      <c r="F3460" s="2">
        <v>32441</v>
      </c>
      <c r="G3460" s="2">
        <v>4.0842985609999998</v>
      </c>
      <c r="H3460" s="3">
        <v>1.8300000000000001E-5</v>
      </c>
      <c r="I3460" s="2" t="s">
        <v>17024</v>
      </c>
      <c r="J3460" s="2" t="s">
        <v>17025</v>
      </c>
      <c r="K3460" s="3">
        <v>6.0900000000000003E-5</v>
      </c>
      <c r="L3460" s="2" t="s">
        <v>1178</v>
      </c>
      <c r="M3460" s="4" t="s">
        <v>17026</v>
      </c>
    </row>
    <row r="3461" spans="1:13">
      <c r="A3461" s="2">
        <v>724</v>
      </c>
      <c r="B3461" s="2" t="s">
        <v>17027</v>
      </c>
      <c r="C3461" s="2">
        <v>14</v>
      </c>
      <c r="D3461" s="2">
        <v>556</v>
      </c>
      <c r="E3461" s="2">
        <v>200</v>
      </c>
      <c r="F3461" s="2">
        <v>32441</v>
      </c>
      <c r="G3461" s="2">
        <v>4.0842985609999998</v>
      </c>
      <c r="H3461" s="3">
        <v>1.8300000000000001E-5</v>
      </c>
      <c r="I3461" s="2" t="s">
        <v>17028</v>
      </c>
      <c r="J3461" s="2" t="s">
        <v>17029</v>
      </c>
      <c r="K3461" s="3">
        <v>6.0900000000000003E-5</v>
      </c>
      <c r="L3461" s="2" t="s">
        <v>1178</v>
      </c>
      <c r="M3461" s="4" t="s">
        <v>17030</v>
      </c>
    </row>
    <row r="3462" spans="1:13">
      <c r="A3462" s="2">
        <v>729</v>
      </c>
      <c r="B3462" s="2" t="s">
        <v>17031</v>
      </c>
      <c r="C3462" s="2">
        <v>14</v>
      </c>
      <c r="D3462" s="2">
        <v>556</v>
      </c>
      <c r="E3462" s="2">
        <v>200</v>
      </c>
      <c r="F3462" s="2">
        <v>32441</v>
      </c>
      <c r="G3462" s="2">
        <v>4.0842985609999998</v>
      </c>
      <c r="H3462" s="3">
        <v>1.8300000000000001E-5</v>
      </c>
      <c r="I3462" s="2" t="s">
        <v>17032</v>
      </c>
      <c r="J3462" s="2" t="s">
        <v>17033</v>
      </c>
      <c r="K3462" s="3">
        <v>6.0900000000000003E-5</v>
      </c>
      <c r="L3462" s="2" t="s">
        <v>1178</v>
      </c>
      <c r="M3462" s="4" t="s">
        <v>17034</v>
      </c>
    </row>
    <row r="3463" spans="1:13">
      <c r="A3463" s="2">
        <v>7392</v>
      </c>
      <c r="B3463" s="2" t="s">
        <v>17035</v>
      </c>
      <c r="C3463" s="2">
        <v>14</v>
      </c>
      <c r="D3463" s="2">
        <v>556</v>
      </c>
      <c r="E3463" s="2">
        <v>200</v>
      </c>
      <c r="F3463" s="2">
        <v>32441</v>
      </c>
      <c r="G3463" s="2">
        <v>4.0842985609999998</v>
      </c>
      <c r="H3463" s="3">
        <v>1.8300000000000001E-5</v>
      </c>
      <c r="I3463" s="2" t="s">
        <v>17036</v>
      </c>
      <c r="J3463" s="2" t="s">
        <v>17037</v>
      </c>
      <c r="K3463" s="3">
        <v>6.0900000000000003E-5</v>
      </c>
      <c r="L3463" s="2" t="s">
        <v>1178</v>
      </c>
      <c r="M3463" s="4" t="s">
        <v>17038</v>
      </c>
    </row>
    <row r="3464" spans="1:13">
      <c r="A3464" s="2">
        <v>740</v>
      </c>
      <c r="B3464" s="2" t="s">
        <v>17039</v>
      </c>
      <c r="C3464" s="2">
        <v>14</v>
      </c>
      <c r="D3464" s="2">
        <v>556</v>
      </c>
      <c r="E3464" s="2">
        <v>200</v>
      </c>
      <c r="F3464" s="2">
        <v>32441</v>
      </c>
      <c r="G3464" s="2">
        <v>4.0842985609999998</v>
      </c>
      <c r="H3464" s="3">
        <v>1.8300000000000001E-5</v>
      </c>
      <c r="I3464" s="2" t="s">
        <v>17040</v>
      </c>
      <c r="J3464" s="2" t="s">
        <v>17041</v>
      </c>
      <c r="K3464" s="3">
        <v>6.0900000000000003E-5</v>
      </c>
      <c r="L3464" s="2" t="s">
        <v>1178</v>
      </c>
      <c r="M3464" s="4" t="s">
        <v>17042</v>
      </c>
    </row>
    <row r="3465" spans="1:13">
      <c r="A3465" s="2">
        <v>751</v>
      </c>
      <c r="B3465" s="2" t="s">
        <v>17043</v>
      </c>
      <c r="C3465" s="2">
        <v>14</v>
      </c>
      <c r="D3465" s="2">
        <v>556</v>
      </c>
      <c r="E3465" s="2">
        <v>200</v>
      </c>
      <c r="F3465" s="2">
        <v>32441</v>
      </c>
      <c r="G3465" s="2">
        <v>4.0842985609999998</v>
      </c>
      <c r="H3465" s="3">
        <v>1.8300000000000001E-5</v>
      </c>
      <c r="I3465" s="2" t="s">
        <v>17044</v>
      </c>
      <c r="J3465" s="2" t="s">
        <v>17045</v>
      </c>
      <c r="K3465" s="3">
        <v>6.0900000000000003E-5</v>
      </c>
      <c r="L3465" s="2" t="s">
        <v>1178</v>
      </c>
      <c r="M3465" s="4" t="s">
        <v>17046</v>
      </c>
    </row>
    <row r="3466" spans="1:13">
      <c r="A3466" s="2">
        <v>768</v>
      </c>
      <c r="B3466" s="2" t="s">
        <v>17047</v>
      </c>
      <c r="C3466" s="2">
        <v>14</v>
      </c>
      <c r="D3466" s="2">
        <v>556</v>
      </c>
      <c r="E3466" s="2">
        <v>200</v>
      </c>
      <c r="F3466" s="2">
        <v>32441</v>
      </c>
      <c r="G3466" s="2">
        <v>4.0842985609999998</v>
      </c>
      <c r="H3466" s="3">
        <v>1.8300000000000001E-5</v>
      </c>
      <c r="I3466" s="2" t="s">
        <v>17048</v>
      </c>
      <c r="J3466" s="2" t="s">
        <v>17049</v>
      </c>
      <c r="K3466" s="3">
        <v>6.0900000000000003E-5</v>
      </c>
      <c r="L3466" s="2" t="s">
        <v>1178</v>
      </c>
      <c r="M3466" s="4" t="s">
        <v>17050</v>
      </c>
    </row>
    <row r="3467" spans="1:13">
      <c r="A3467" s="2">
        <v>783</v>
      </c>
      <c r="B3467" s="2" t="s">
        <v>17051</v>
      </c>
      <c r="C3467" s="2">
        <v>14</v>
      </c>
      <c r="D3467" s="2">
        <v>556</v>
      </c>
      <c r="E3467" s="2">
        <v>200</v>
      </c>
      <c r="F3467" s="2">
        <v>32441</v>
      </c>
      <c r="G3467" s="2">
        <v>4.0842985609999998</v>
      </c>
      <c r="H3467" s="3">
        <v>1.8300000000000001E-5</v>
      </c>
      <c r="I3467" s="2" t="s">
        <v>17052</v>
      </c>
      <c r="J3467" s="2" t="s">
        <v>17053</v>
      </c>
      <c r="K3467" s="3">
        <v>6.0900000000000003E-5</v>
      </c>
      <c r="L3467" s="2" t="s">
        <v>1178</v>
      </c>
      <c r="M3467" s="4" t="s">
        <v>17054</v>
      </c>
    </row>
    <row r="3468" spans="1:13">
      <c r="A3468" s="2">
        <v>7951</v>
      </c>
      <c r="B3468" s="2" t="s">
        <v>17055</v>
      </c>
      <c r="C3468" s="2">
        <v>14</v>
      </c>
      <c r="D3468" s="2">
        <v>556</v>
      </c>
      <c r="E3468" s="2">
        <v>200</v>
      </c>
      <c r="F3468" s="2">
        <v>32441</v>
      </c>
      <c r="G3468" s="2">
        <v>4.0842985609999998</v>
      </c>
      <c r="H3468" s="3">
        <v>1.8300000000000001E-5</v>
      </c>
      <c r="I3468" s="2" t="s">
        <v>17056</v>
      </c>
      <c r="J3468" s="2" t="s">
        <v>17057</v>
      </c>
      <c r="K3468" s="3">
        <v>6.0900000000000003E-5</v>
      </c>
      <c r="L3468" s="2" t="s">
        <v>1178</v>
      </c>
      <c r="M3468" s="4" t="s">
        <v>17058</v>
      </c>
    </row>
    <row r="3469" spans="1:13">
      <c r="A3469" s="2">
        <v>880</v>
      </c>
      <c r="B3469" s="2" t="s">
        <v>17059</v>
      </c>
      <c r="C3469" s="2">
        <v>14</v>
      </c>
      <c r="D3469" s="2">
        <v>556</v>
      </c>
      <c r="E3469" s="2">
        <v>200</v>
      </c>
      <c r="F3469" s="2">
        <v>32441</v>
      </c>
      <c r="G3469" s="2">
        <v>4.0842985609999998</v>
      </c>
      <c r="H3469" s="3">
        <v>1.8300000000000001E-5</v>
      </c>
      <c r="I3469" s="2" t="s">
        <v>17060</v>
      </c>
      <c r="J3469" s="2" t="s">
        <v>17061</v>
      </c>
      <c r="K3469" s="3">
        <v>6.0900000000000003E-5</v>
      </c>
      <c r="L3469" s="2" t="s">
        <v>1178</v>
      </c>
      <c r="M3469" s="4" t="s">
        <v>17062</v>
      </c>
    </row>
    <row r="3470" spans="1:13">
      <c r="A3470" s="2">
        <v>8901</v>
      </c>
      <c r="B3470" s="2" t="s">
        <v>17063</v>
      </c>
      <c r="C3470" s="2">
        <v>14</v>
      </c>
      <c r="D3470" s="2">
        <v>556</v>
      </c>
      <c r="E3470" s="2">
        <v>200</v>
      </c>
      <c r="F3470" s="2">
        <v>32441</v>
      </c>
      <c r="G3470" s="2">
        <v>4.0842985609999998</v>
      </c>
      <c r="H3470" s="3">
        <v>1.8300000000000001E-5</v>
      </c>
      <c r="I3470" s="2" t="s">
        <v>17064</v>
      </c>
      <c r="J3470" s="2" t="s">
        <v>17065</v>
      </c>
      <c r="K3470" s="3">
        <v>6.0900000000000003E-5</v>
      </c>
      <c r="L3470" s="2" t="s">
        <v>1178</v>
      </c>
      <c r="M3470" s="4" t="s">
        <v>17066</v>
      </c>
    </row>
    <row r="3471" spans="1:13">
      <c r="A3471" s="2">
        <v>892</v>
      </c>
      <c r="B3471" s="2" t="s">
        <v>17067</v>
      </c>
      <c r="C3471" s="2">
        <v>14</v>
      </c>
      <c r="D3471" s="2">
        <v>556</v>
      </c>
      <c r="E3471" s="2">
        <v>200</v>
      </c>
      <c r="F3471" s="2">
        <v>32441</v>
      </c>
      <c r="G3471" s="2">
        <v>4.0842985609999998</v>
      </c>
      <c r="H3471" s="3">
        <v>1.8300000000000001E-5</v>
      </c>
      <c r="I3471" s="2" t="s">
        <v>17068</v>
      </c>
      <c r="J3471" s="2" t="s">
        <v>17069</v>
      </c>
      <c r="K3471" s="3">
        <v>6.0900000000000003E-5</v>
      </c>
      <c r="L3471" s="2" t="s">
        <v>1178</v>
      </c>
      <c r="M3471" s="4" t="s">
        <v>17070</v>
      </c>
    </row>
    <row r="3472" spans="1:13">
      <c r="A3472" s="2">
        <v>8932</v>
      </c>
      <c r="B3472" s="2" t="s">
        <v>17071</v>
      </c>
      <c r="C3472" s="2">
        <v>14</v>
      </c>
      <c r="D3472" s="2">
        <v>556</v>
      </c>
      <c r="E3472" s="2">
        <v>200</v>
      </c>
      <c r="F3472" s="2">
        <v>32441</v>
      </c>
      <c r="G3472" s="2">
        <v>4.0842985609999998</v>
      </c>
      <c r="H3472" s="3">
        <v>1.8300000000000001E-5</v>
      </c>
      <c r="I3472" s="2" t="s">
        <v>17072</v>
      </c>
      <c r="J3472" s="2" t="s">
        <v>17073</v>
      </c>
      <c r="K3472" s="3">
        <v>6.0900000000000003E-5</v>
      </c>
      <c r="L3472" s="2" t="s">
        <v>1178</v>
      </c>
      <c r="M3472" s="4" t="s">
        <v>17074</v>
      </c>
    </row>
    <row r="3473" spans="1:13">
      <c r="A3473" s="2">
        <v>897</v>
      </c>
      <c r="B3473" s="2" t="s">
        <v>17075</v>
      </c>
      <c r="C3473" s="2">
        <v>14</v>
      </c>
      <c r="D3473" s="2">
        <v>556</v>
      </c>
      <c r="E3473" s="2">
        <v>200</v>
      </c>
      <c r="F3473" s="2">
        <v>32441</v>
      </c>
      <c r="G3473" s="2">
        <v>4.0842985609999998</v>
      </c>
      <c r="H3473" s="3">
        <v>1.8300000000000001E-5</v>
      </c>
      <c r="I3473" s="2" t="s">
        <v>17076</v>
      </c>
      <c r="J3473" s="2" t="s">
        <v>17077</v>
      </c>
      <c r="K3473" s="3">
        <v>6.0900000000000003E-5</v>
      </c>
      <c r="L3473" s="2" t="s">
        <v>1178</v>
      </c>
      <c r="M3473" s="4" t="s">
        <v>17078</v>
      </c>
    </row>
    <row r="3474" spans="1:13">
      <c r="A3474" s="2">
        <v>9571</v>
      </c>
      <c r="B3474" s="2" t="s">
        <v>1479</v>
      </c>
      <c r="C3474" s="2">
        <v>14</v>
      </c>
      <c r="D3474" s="2">
        <v>556</v>
      </c>
      <c r="E3474" s="2">
        <v>200</v>
      </c>
      <c r="F3474" s="2">
        <v>32441</v>
      </c>
      <c r="G3474" s="2">
        <v>4.0842985609999998</v>
      </c>
      <c r="H3474" s="3">
        <v>1.8300000000000001E-5</v>
      </c>
      <c r="I3474" s="2" t="s">
        <v>17079</v>
      </c>
      <c r="J3474" s="2" t="s">
        <v>17080</v>
      </c>
      <c r="K3474" s="3">
        <v>6.0900000000000003E-5</v>
      </c>
      <c r="L3474" s="2" t="s">
        <v>1178</v>
      </c>
      <c r="M3474" s="4" t="s">
        <v>17081</v>
      </c>
    </row>
    <row r="3475" spans="1:13">
      <c r="A3475" s="2">
        <v>1041</v>
      </c>
      <c r="B3475" s="2" t="s">
        <v>17082</v>
      </c>
      <c r="C3475" s="2">
        <v>14</v>
      </c>
      <c r="D3475" s="2">
        <v>556</v>
      </c>
      <c r="E3475" s="2">
        <v>200</v>
      </c>
      <c r="F3475" s="2">
        <v>32441</v>
      </c>
      <c r="G3475" s="2">
        <v>4.0842985609999998</v>
      </c>
      <c r="H3475" s="3">
        <v>1.8300000000000001E-5</v>
      </c>
      <c r="I3475" s="2" t="s">
        <v>17083</v>
      </c>
      <c r="J3475" s="2" t="s">
        <v>17084</v>
      </c>
      <c r="K3475" s="3">
        <v>6.0900000000000003E-5</v>
      </c>
      <c r="L3475" s="2" t="s">
        <v>1178</v>
      </c>
      <c r="M3475" s="4" t="s">
        <v>17085</v>
      </c>
    </row>
    <row r="3476" spans="1:13">
      <c r="A3476" s="2">
        <v>1043</v>
      </c>
      <c r="B3476" s="2" t="s">
        <v>17086</v>
      </c>
      <c r="C3476" s="2">
        <v>14</v>
      </c>
      <c r="D3476" s="2">
        <v>556</v>
      </c>
      <c r="E3476" s="2">
        <v>200</v>
      </c>
      <c r="F3476" s="2">
        <v>32441</v>
      </c>
      <c r="G3476" s="2">
        <v>4.0842985609999998</v>
      </c>
      <c r="H3476" s="3">
        <v>1.8300000000000001E-5</v>
      </c>
      <c r="I3476" s="2" t="s">
        <v>17087</v>
      </c>
      <c r="J3476" s="2" t="s">
        <v>17088</v>
      </c>
      <c r="K3476" s="3">
        <v>6.0900000000000003E-5</v>
      </c>
      <c r="L3476" s="2" t="s">
        <v>1178</v>
      </c>
      <c r="M3476" s="4" t="s">
        <v>17089</v>
      </c>
    </row>
    <row r="3477" spans="1:13">
      <c r="A3477" s="2">
        <v>1091</v>
      </c>
      <c r="B3477" s="2" t="s">
        <v>17090</v>
      </c>
      <c r="C3477" s="2">
        <v>14</v>
      </c>
      <c r="D3477" s="2">
        <v>556</v>
      </c>
      <c r="E3477" s="2">
        <v>200</v>
      </c>
      <c r="F3477" s="2">
        <v>32441</v>
      </c>
      <c r="G3477" s="2">
        <v>4.0842985609999998</v>
      </c>
      <c r="H3477" s="3">
        <v>1.8300000000000001E-5</v>
      </c>
      <c r="I3477" s="2" t="s">
        <v>17091</v>
      </c>
      <c r="J3477" s="2" t="s">
        <v>17092</v>
      </c>
      <c r="K3477" s="3">
        <v>6.0900000000000003E-5</v>
      </c>
      <c r="L3477" s="2" t="s">
        <v>1178</v>
      </c>
      <c r="M3477" s="4" t="s">
        <v>17093</v>
      </c>
    </row>
    <row r="3478" spans="1:13">
      <c r="A3478" s="2">
        <v>1137</v>
      </c>
      <c r="B3478" s="2" t="s">
        <v>17094</v>
      </c>
      <c r="C3478" s="2">
        <v>14</v>
      </c>
      <c r="D3478" s="2">
        <v>556</v>
      </c>
      <c r="E3478" s="2">
        <v>200</v>
      </c>
      <c r="F3478" s="2">
        <v>32441</v>
      </c>
      <c r="G3478" s="2">
        <v>4.0842985609999998</v>
      </c>
      <c r="H3478" s="3">
        <v>1.8300000000000001E-5</v>
      </c>
      <c r="I3478" s="2" t="s">
        <v>17095</v>
      </c>
      <c r="J3478" s="2" t="s">
        <v>17096</v>
      </c>
      <c r="K3478" s="3">
        <v>6.0900000000000003E-5</v>
      </c>
      <c r="L3478" s="2" t="s">
        <v>1178</v>
      </c>
      <c r="M3478" s="4" t="s">
        <v>17097</v>
      </c>
    </row>
    <row r="3479" spans="1:13">
      <c r="A3479" s="2">
        <v>1142</v>
      </c>
      <c r="B3479" s="2" t="s">
        <v>17098</v>
      </c>
      <c r="C3479" s="2">
        <v>14</v>
      </c>
      <c r="D3479" s="2">
        <v>556</v>
      </c>
      <c r="E3479" s="2">
        <v>200</v>
      </c>
      <c r="F3479" s="2">
        <v>32441</v>
      </c>
      <c r="G3479" s="2">
        <v>4.0842985609999998</v>
      </c>
      <c r="H3479" s="3">
        <v>1.8300000000000001E-5</v>
      </c>
      <c r="I3479" s="2" t="s">
        <v>17099</v>
      </c>
      <c r="J3479" s="2" t="s">
        <v>17100</v>
      </c>
      <c r="K3479" s="3">
        <v>6.0900000000000003E-5</v>
      </c>
      <c r="L3479" s="2" t="s">
        <v>1178</v>
      </c>
      <c r="M3479" s="4" t="s">
        <v>17101</v>
      </c>
    </row>
    <row r="3480" spans="1:13">
      <c r="A3480" s="2">
        <v>1178</v>
      </c>
      <c r="B3480" s="2" t="s">
        <v>17102</v>
      </c>
      <c r="C3480" s="2">
        <v>14</v>
      </c>
      <c r="D3480" s="2">
        <v>556</v>
      </c>
      <c r="E3480" s="2">
        <v>200</v>
      </c>
      <c r="F3480" s="2">
        <v>32441</v>
      </c>
      <c r="G3480" s="2">
        <v>4.0842985609999998</v>
      </c>
      <c r="H3480" s="3">
        <v>1.8300000000000001E-5</v>
      </c>
      <c r="I3480" s="2" t="s">
        <v>17103</v>
      </c>
      <c r="J3480" s="2" t="s">
        <v>17104</v>
      </c>
      <c r="K3480" s="3">
        <v>6.0900000000000003E-5</v>
      </c>
      <c r="L3480" s="2" t="s">
        <v>1178</v>
      </c>
      <c r="M3480" s="4" t="s">
        <v>17105</v>
      </c>
    </row>
    <row r="3481" spans="1:13">
      <c r="A3481" s="2">
        <v>1182</v>
      </c>
      <c r="B3481" s="2" t="s">
        <v>17106</v>
      </c>
      <c r="C3481" s="2">
        <v>14</v>
      </c>
      <c r="D3481" s="2">
        <v>556</v>
      </c>
      <c r="E3481" s="2">
        <v>200</v>
      </c>
      <c r="F3481" s="2">
        <v>32441</v>
      </c>
      <c r="G3481" s="2">
        <v>4.0842985609999998</v>
      </c>
      <c r="H3481" s="3">
        <v>1.8300000000000001E-5</v>
      </c>
      <c r="I3481" s="2" t="s">
        <v>17107</v>
      </c>
      <c r="J3481" s="2" t="s">
        <v>17108</v>
      </c>
      <c r="K3481" s="3">
        <v>6.0900000000000003E-5</v>
      </c>
      <c r="L3481" s="2" t="s">
        <v>1178</v>
      </c>
      <c r="M3481" s="4" t="s">
        <v>17109</v>
      </c>
    </row>
    <row r="3482" spans="1:13">
      <c r="A3482" s="2">
        <v>1191</v>
      </c>
      <c r="B3482" s="2" t="s">
        <v>17110</v>
      </c>
      <c r="C3482" s="2">
        <v>14</v>
      </c>
      <c r="D3482" s="2">
        <v>556</v>
      </c>
      <c r="E3482" s="2">
        <v>200</v>
      </c>
      <c r="F3482" s="2">
        <v>32441</v>
      </c>
      <c r="G3482" s="2">
        <v>4.0842985609999998</v>
      </c>
      <c r="H3482" s="3">
        <v>1.8300000000000001E-5</v>
      </c>
      <c r="I3482" s="2" t="s">
        <v>17111</v>
      </c>
      <c r="J3482" s="2" t="s">
        <v>17112</v>
      </c>
      <c r="K3482" s="3">
        <v>6.0900000000000003E-5</v>
      </c>
      <c r="L3482" s="2" t="s">
        <v>1178</v>
      </c>
      <c r="M3482" s="4" t="s">
        <v>17113</v>
      </c>
    </row>
    <row r="3483" spans="1:13">
      <c r="A3483" s="2">
        <v>1219</v>
      </c>
      <c r="B3483" s="2" t="s">
        <v>2427</v>
      </c>
      <c r="C3483" s="2">
        <v>14</v>
      </c>
      <c r="D3483" s="2">
        <v>556</v>
      </c>
      <c r="E3483" s="2">
        <v>200</v>
      </c>
      <c r="F3483" s="2">
        <v>32441</v>
      </c>
      <c r="G3483" s="2">
        <v>4.0842985609999998</v>
      </c>
      <c r="H3483" s="3">
        <v>1.8300000000000001E-5</v>
      </c>
      <c r="I3483" s="2" t="s">
        <v>17114</v>
      </c>
      <c r="J3483" s="2" t="s">
        <v>17115</v>
      </c>
      <c r="K3483" s="3">
        <v>6.0900000000000003E-5</v>
      </c>
      <c r="L3483" s="2" t="s">
        <v>1178</v>
      </c>
      <c r="M3483" s="4" t="s">
        <v>17116</v>
      </c>
    </row>
    <row r="3484" spans="1:13">
      <c r="A3484" s="2">
        <v>12381</v>
      </c>
      <c r="B3484" s="2" t="s">
        <v>2430</v>
      </c>
      <c r="C3484" s="2">
        <v>14</v>
      </c>
      <c r="D3484" s="2">
        <v>556</v>
      </c>
      <c r="E3484" s="2">
        <v>200</v>
      </c>
      <c r="F3484" s="2">
        <v>32441</v>
      </c>
      <c r="G3484" s="2">
        <v>4.0842985609999998</v>
      </c>
      <c r="H3484" s="3">
        <v>1.8300000000000001E-5</v>
      </c>
      <c r="I3484" s="2" t="s">
        <v>17117</v>
      </c>
      <c r="J3484" s="2" t="s">
        <v>17118</v>
      </c>
      <c r="K3484" s="3">
        <v>6.0900000000000003E-5</v>
      </c>
      <c r="L3484" s="2" t="s">
        <v>1178</v>
      </c>
      <c r="M3484" s="4" t="s">
        <v>17119</v>
      </c>
    </row>
    <row r="3485" spans="1:13">
      <c r="A3485" s="2">
        <v>12442</v>
      </c>
      <c r="B3485" s="2" t="s">
        <v>17120</v>
      </c>
      <c r="C3485" s="2">
        <v>14</v>
      </c>
      <c r="D3485" s="2">
        <v>556</v>
      </c>
      <c r="E3485" s="2">
        <v>200</v>
      </c>
      <c r="F3485" s="2">
        <v>32441</v>
      </c>
      <c r="G3485" s="2">
        <v>4.0842985609999998</v>
      </c>
      <c r="H3485" s="3">
        <v>1.8300000000000001E-5</v>
      </c>
      <c r="I3485" s="2" t="s">
        <v>17121</v>
      </c>
      <c r="J3485" s="2" t="s">
        <v>17122</v>
      </c>
      <c r="K3485" s="3">
        <v>6.0900000000000003E-5</v>
      </c>
      <c r="L3485" s="2" t="s">
        <v>1178</v>
      </c>
      <c r="M3485" s="4" t="s">
        <v>17123</v>
      </c>
    </row>
    <row r="3486" spans="1:13">
      <c r="A3486" s="2">
        <v>12991</v>
      </c>
      <c r="B3486" s="2" t="s">
        <v>17124</v>
      </c>
      <c r="C3486" s="2">
        <v>14</v>
      </c>
      <c r="D3486" s="2">
        <v>556</v>
      </c>
      <c r="E3486" s="2">
        <v>200</v>
      </c>
      <c r="F3486" s="2">
        <v>32441</v>
      </c>
      <c r="G3486" s="2">
        <v>4.0842985609999998</v>
      </c>
      <c r="H3486" s="3">
        <v>1.8300000000000001E-5</v>
      </c>
      <c r="I3486" s="2" t="s">
        <v>17125</v>
      </c>
      <c r="J3486" s="2" t="s">
        <v>17126</v>
      </c>
      <c r="K3486" s="3">
        <v>6.0900000000000003E-5</v>
      </c>
      <c r="L3486" s="2" t="s">
        <v>1178</v>
      </c>
      <c r="M3486" s="4" t="s">
        <v>17127</v>
      </c>
    </row>
    <row r="3487" spans="1:13">
      <c r="A3487" s="2">
        <v>1355</v>
      </c>
      <c r="B3487" s="2" t="s">
        <v>17128</v>
      </c>
      <c r="C3487" s="2">
        <v>14</v>
      </c>
      <c r="D3487" s="2">
        <v>556</v>
      </c>
      <c r="E3487" s="2">
        <v>200</v>
      </c>
      <c r="F3487" s="2">
        <v>32441</v>
      </c>
      <c r="G3487" s="2">
        <v>4.0842985609999998</v>
      </c>
      <c r="H3487" s="3">
        <v>1.8300000000000001E-5</v>
      </c>
      <c r="I3487" s="2" t="s">
        <v>17129</v>
      </c>
      <c r="J3487" s="2" t="s">
        <v>17130</v>
      </c>
      <c r="K3487" s="3">
        <v>6.0900000000000003E-5</v>
      </c>
      <c r="L3487" s="2" t="s">
        <v>1178</v>
      </c>
      <c r="M3487" s="4" t="s">
        <v>17131</v>
      </c>
    </row>
    <row r="3488" spans="1:13">
      <c r="A3488" s="2">
        <v>13811</v>
      </c>
      <c r="B3488" s="2" t="s">
        <v>17132</v>
      </c>
      <c r="C3488" s="2">
        <v>14</v>
      </c>
      <c r="D3488" s="2">
        <v>556</v>
      </c>
      <c r="E3488" s="2">
        <v>200</v>
      </c>
      <c r="F3488" s="2">
        <v>32441</v>
      </c>
      <c r="G3488" s="2">
        <v>4.0842985609999998</v>
      </c>
      <c r="H3488" s="3">
        <v>1.8300000000000001E-5</v>
      </c>
      <c r="I3488" s="2" t="s">
        <v>17133</v>
      </c>
      <c r="J3488" s="2" t="s">
        <v>17134</v>
      </c>
      <c r="K3488" s="3">
        <v>6.0900000000000003E-5</v>
      </c>
      <c r="L3488" s="2" t="s">
        <v>1178</v>
      </c>
      <c r="M3488" s="4" t="s">
        <v>17135</v>
      </c>
    </row>
    <row r="3489" spans="1:13">
      <c r="A3489" s="2">
        <v>1387</v>
      </c>
      <c r="B3489" s="2" t="s">
        <v>17136</v>
      </c>
      <c r="C3489" s="2">
        <v>14</v>
      </c>
      <c r="D3489" s="2">
        <v>556</v>
      </c>
      <c r="E3489" s="2">
        <v>200</v>
      </c>
      <c r="F3489" s="2">
        <v>32441</v>
      </c>
      <c r="G3489" s="2">
        <v>4.0842985609999998</v>
      </c>
      <c r="H3489" s="3">
        <v>1.8300000000000001E-5</v>
      </c>
      <c r="I3489" s="2" t="s">
        <v>17137</v>
      </c>
      <c r="J3489" s="2" t="s">
        <v>17138</v>
      </c>
      <c r="K3489" s="3">
        <v>6.0900000000000003E-5</v>
      </c>
      <c r="L3489" s="2" t="s">
        <v>1178</v>
      </c>
      <c r="M3489" s="4" t="s">
        <v>17139</v>
      </c>
    </row>
    <row r="3490" spans="1:13">
      <c r="A3490" s="2">
        <v>13881</v>
      </c>
      <c r="B3490" s="2" t="s">
        <v>17140</v>
      </c>
      <c r="C3490" s="2">
        <v>14</v>
      </c>
      <c r="D3490" s="2">
        <v>556</v>
      </c>
      <c r="E3490" s="2">
        <v>200</v>
      </c>
      <c r="F3490" s="2">
        <v>32441</v>
      </c>
      <c r="G3490" s="2">
        <v>4.0842985609999998</v>
      </c>
      <c r="H3490" s="3">
        <v>1.8300000000000001E-5</v>
      </c>
      <c r="I3490" s="2" t="s">
        <v>17141</v>
      </c>
      <c r="J3490" s="2" t="s">
        <v>17142</v>
      </c>
      <c r="K3490" s="3">
        <v>6.0900000000000003E-5</v>
      </c>
      <c r="L3490" s="2" t="s">
        <v>1178</v>
      </c>
      <c r="M3490" s="4" t="s">
        <v>17143</v>
      </c>
    </row>
    <row r="3491" spans="1:13">
      <c r="A3491" s="2">
        <v>14192</v>
      </c>
      <c r="B3491" s="2" t="s">
        <v>2463</v>
      </c>
      <c r="C3491" s="2">
        <v>14</v>
      </c>
      <c r="D3491" s="2">
        <v>556</v>
      </c>
      <c r="E3491" s="2">
        <v>200</v>
      </c>
      <c r="F3491" s="2">
        <v>32441</v>
      </c>
      <c r="G3491" s="2">
        <v>4.0842985609999998</v>
      </c>
      <c r="H3491" s="3">
        <v>1.8300000000000001E-5</v>
      </c>
      <c r="I3491" s="2" t="s">
        <v>17144</v>
      </c>
      <c r="J3491" s="2" t="s">
        <v>17145</v>
      </c>
      <c r="K3491" s="3">
        <v>6.0900000000000003E-5</v>
      </c>
      <c r="L3491" s="2" t="s">
        <v>1178</v>
      </c>
      <c r="M3491" s="4" t="s">
        <v>17146</v>
      </c>
    </row>
    <row r="3492" spans="1:13">
      <c r="A3492" s="2">
        <v>14331</v>
      </c>
      <c r="B3492" s="2" t="s">
        <v>17147</v>
      </c>
      <c r="C3492" s="2">
        <v>14</v>
      </c>
      <c r="D3492" s="2">
        <v>556</v>
      </c>
      <c r="E3492" s="2">
        <v>200</v>
      </c>
      <c r="F3492" s="2">
        <v>32441</v>
      </c>
      <c r="G3492" s="2">
        <v>4.0842985609999998</v>
      </c>
      <c r="H3492" s="3">
        <v>1.8300000000000001E-5</v>
      </c>
      <c r="I3492" s="2" t="s">
        <v>17148</v>
      </c>
      <c r="J3492" s="2" t="s">
        <v>17149</v>
      </c>
      <c r="K3492" s="3">
        <v>6.0900000000000003E-5</v>
      </c>
      <c r="L3492" s="2" t="s">
        <v>1178</v>
      </c>
      <c r="M3492" s="4" t="s">
        <v>17150</v>
      </c>
    </row>
    <row r="3493" spans="1:13">
      <c r="A3493" s="2">
        <v>14421</v>
      </c>
      <c r="B3493" s="2" t="s">
        <v>17151</v>
      </c>
      <c r="C3493" s="2">
        <v>14</v>
      </c>
      <c r="D3493" s="2">
        <v>556</v>
      </c>
      <c r="E3493" s="2">
        <v>200</v>
      </c>
      <c r="F3493" s="2">
        <v>32441</v>
      </c>
      <c r="G3493" s="2">
        <v>4.0842985609999998</v>
      </c>
      <c r="H3493" s="3">
        <v>1.8300000000000001E-5</v>
      </c>
      <c r="I3493" s="2" t="s">
        <v>17152</v>
      </c>
      <c r="J3493" s="2" t="s">
        <v>17153</v>
      </c>
      <c r="K3493" s="3">
        <v>6.0900000000000003E-5</v>
      </c>
      <c r="L3493" s="2" t="s">
        <v>1178</v>
      </c>
      <c r="M3493" s="4" t="s">
        <v>17154</v>
      </c>
    </row>
    <row r="3494" spans="1:13">
      <c r="A3494" s="2">
        <v>1450</v>
      </c>
      <c r="B3494" s="2" t="s">
        <v>17155</v>
      </c>
      <c r="C3494" s="2">
        <v>14</v>
      </c>
      <c r="D3494" s="2">
        <v>556</v>
      </c>
      <c r="E3494" s="2">
        <v>200</v>
      </c>
      <c r="F3494" s="2">
        <v>32441</v>
      </c>
      <c r="G3494" s="2">
        <v>4.0842985609999998</v>
      </c>
      <c r="H3494" s="3">
        <v>1.8300000000000001E-5</v>
      </c>
      <c r="I3494" s="2" t="s">
        <v>17156</v>
      </c>
      <c r="J3494" s="2" t="s">
        <v>17157</v>
      </c>
      <c r="K3494" s="3">
        <v>6.0900000000000003E-5</v>
      </c>
      <c r="L3494" s="2" t="s">
        <v>1178</v>
      </c>
      <c r="M3494" s="4" t="s">
        <v>17158</v>
      </c>
    </row>
    <row r="3495" spans="1:13">
      <c r="A3495" s="2">
        <v>1463</v>
      </c>
      <c r="B3495" s="2" t="s">
        <v>17159</v>
      </c>
      <c r="C3495" s="2">
        <v>14</v>
      </c>
      <c r="D3495" s="2">
        <v>556</v>
      </c>
      <c r="E3495" s="2">
        <v>200</v>
      </c>
      <c r="F3495" s="2">
        <v>32441</v>
      </c>
      <c r="G3495" s="2">
        <v>4.0842985609999998</v>
      </c>
      <c r="H3495" s="3">
        <v>1.8300000000000001E-5</v>
      </c>
      <c r="I3495" s="2" t="s">
        <v>17160</v>
      </c>
      <c r="J3495" s="2" t="s">
        <v>17161</v>
      </c>
      <c r="K3495" s="3">
        <v>6.0900000000000003E-5</v>
      </c>
      <c r="L3495" s="2" t="s">
        <v>1178</v>
      </c>
      <c r="M3495" s="4" t="s">
        <v>17162</v>
      </c>
    </row>
    <row r="3496" spans="1:13">
      <c r="A3496" s="2">
        <v>1465</v>
      </c>
      <c r="B3496" s="2" t="s">
        <v>17163</v>
      </c>
      <c r="C3496" s="2">
        <v>14</v>
      </c>
      <c r="D3496" s="2">
        <v>556</v>
      </c>
      <c r="E3496" s="2">
        <v>199</v>
      </c>
      <c r="F3496" s="2">
        <v>32441</v>
      </c>
      <c r="G3496" s="2">
        <v>4.1048226750000003</v>
      </c>
      <c r="H3496" s="3">
        <v>1.7399999999999999E-5</v>
      </c>
      <c r="I3496" s="2" t="s">
        <v>17164</v>
      </c>
      <c r="J3496" s="2" t="s">
        <v>17165</v>
      </c>
      <c r="K3496" s="3">
        <v>6.0900000000000003E-5</v>
      </c>
      <c r="L3496" s="2" t="s">
        <v>1178</v>
      </c>
      <c r="M3496" s="4" t="s">
        <v>17166</v>
      </c>
    </row>
    <row r="3497" spans="1:13">
      <c r="A3497" s="2">
        <v>15021</v>
      </c>
      <c r="B3497" s="2" t="s">
        <v>17167</v>
      </c>
      <c r="C3497" s="2">
        <v>14</v>
      </c>
      <c r="D3497" s="2">
        <v>556</v>
      </c>
      <c r="E3497" s="2">
        <v>200</v>
      </c>
      <c r="F3497" s="2">
        <v>32441</v>
      </c>
      <c r="G3497" s="2">
        <v>4.0842985609999998</v>
      </c>
      <c r="H3497" s="3">
        <v>1.8300000000000001E-5</v>
      </c>
      <c r="I3497" s="2" t="s">
        <v>17168</v>
      </c>
      <c r="J3497" s="2" t="s">
        <v>17169</v>
      </c>
      <c r="K3497" s="3">
        <v>6.0900000000000003E-5</v>
      </c>
      <c r="L3497" s="2" t="s">
        <v>1178</v>
      </c>
      <c r="M3497" s="4" t="s">
        <v>17170</v>
      </c>
    </row>
    <row r="3498" spans="1:13">
      <c r="A3498" s="2">
        <v>1504</v>
      </c>
      <c r="B3498" s="2" t="s">
        <v>17171</v>
      </c>
      <c r="C3498" s="2">
        <v>14</v>
      </c>
      <c r="D3498" s="2">
        <v>556</v>
      </c>
      <c r="E3498" s="2">
        <v>200</v>
      </c>
      <c r="F3498" s="2">
        <v>32441</v>
      </c>
      <c r="G3498" s="2">
        <v>4.0842985609999998</v>
      </c>
      <c r="H3498" s="3">
        <v>1.8300000000000001E-5</v>
      </c>
      <c r="I3498" s="2" t="s">
        <v>17172</v>
      </c>
      <c r="J3498" s="2" t="s">
        <v>17173</v>
      </c>
      <c r="K3498" s="3">
        <v>6.0900000000000003E-5</v>
      </c>
      <c r="L3498" s="2" t="s">
        <v>1178</v>
      </c>
      <c r="M3498" s="4" t="s">
        <v>17174</v>
      </c>
    </row>
    <row r="3499" spans="1:13">
      <c r="A3499" s="2">
        <v>1521</v>
      </c>
      <c r="B3499" s="2" t="s">
        <v>3253</v>
      </c>
      <c r="C3499" s="2">
        <v>14</v>
      </c>
      <c r="D3499" s="2">
        <v>556</v>
      </c>
      <c r="E3499" s="2">
        <v>200</v>
      </c>
      <c r="F3499" s="2">
        <v>32441</v>
      </c>
      <c r="G3499" s="2">
        <v>4.0842985609999998</v>
      </c>
      <c r="H3499" s="3">
        <v>1.8300000000000001E-5</v>
      </c>
      <c r="I3499" s="2" t="s">
        <v>17175</v>
      </c>
      <c r="J3499" s="2" t="s">
        <v>17176</v>
      </c>
      <c r="K3499" s="3">
        <v>6.0900000000000003E-5</v>
      </c>
      <c r="L3499" s="2" t="s">
        <v>1178</v>
      </c>
      <c r="M3499" s="4" t="s">
        <v>3256</v>
      </c>
    </row>
    <row r="3500" spans="1:13">
      <c r="A3500" s="2">
        <v>15251</v>
      </c>
      <c r="B3500" s="2" t="s">
        <v>17177</v>
      </c>
      <c r="C3500" s="2">
        <v>14</v>
      </c>
      <c r="D3500" s="2">
        <v>556</v>
      </c>
      <c r="E3500" s="2">
        <v>200</v>
      </c>
      <c r="F3500" s="2">
        <v>32441</v>
      </c>
      <c r="G3500" s="2">
        <v>4.0842985609999998</v>
      </c>
      <c r="H3500" s="3">
        <v>1.8300000000000001E-5</v>
      </c>
      <c r="I3500" s="2" t="s">
        <v>17178</v>
      </c>
      <c r="J3500" s="2" t="s">
        <v>17179</v>
      </c>
      <c r="K3500" s="3">
        <v>6.0900000000000003E-5</v>
      </c>
      <c r="L3500" s="2" t="s">
        <v>1178</v>
      </c>
      <c r="M3500" s="4" t="s">
        <v>17180</v>
      </c>
    </row>
    <row r="3501" spans="1:13">
      <c r="A3501" s="2">
        <v>15391</v>
      </c>
      <c r="B3501" s="2" t="s">
        <v>17181</v>
      </c>
      <c r="C3501" s="2">
        <v>14</v>
      </c>
      <c r="D3501" s="2">
        <v>556</v>
      </c>
      <c r="E3501" s="2">
        <v>200</v>
      </c>
      <c r="F3501" s="2">
        <v>32441</v>
      </c>
      <c r="G3501" s="2">
        <v>4.0842985609999998</v>
      </c>
      <c r="H3501" s="3">
        <v>1.8300000000000001E-5</v>
      </c>
      <c r="I3501" s="2" t="s">
        <v>17182</v>
      </c>
      <c r="J3501" s="2" t="s">
        <v>17183</v>
      </c>
      <c r="K3501" s="3">
        <v>6.0900000000000003E-5</v>
      </c>
      <c r="L3501" s="2" t="s">
        <v>1178</v>
      </c>
      <c r="M3501" s="4" t="s">
        <v>17184</v>
      </c>
    </row>
    <row r="3502" spans="1:13">
      <c r="A3502" s="2">
        <v>15491</v>
      </c>
      <c r="B3502" s="2" t="s">
        <v>3392</v>
      </c>
      <c r="C3502" s="2">
        <v>14</v>
      </c>
      <c r="D3502" s="2">
        <v>556</v>
      </c>
      <c r="E3502" s="2">
        <v>200</v>
      </c>
      <c r="F3502" s="2">
        <v>32441</v>
      </c>
      <c r="G3502" s="2">
        <v>4.0842985609999998</v>
      </c>
      <c r="H3502" s="3">
        <v>1.8300000000000001E-5</v>
      </c>
      <c r="I3502" s="2" t="s">
        <v>17185</v>
      </c>
      <c r="J3502" s="2" t="s">
        <v>17186</v>
      </c>
      <c r="K3502" s="3">
        <v>6.0900000000000003E-5</v>
      </c>
      <c r="L3502" s="2" t="s">
        <v>1178</v>
      </c>
      <c r="M3502" s="4" t="s">
        <v>3395</v>
      </c>
    </row>
    <row r="3503" spans="1:13">
      <c r="A3503" s="2">
        <v>15511</v>
      </c>
      <c r="B3503" s="2" t="s">
        <v>17187</v>
      </c>
      <c r="C3503" s="2">
        <v>14</v>
      </c>
      <c r="D3503" s="2">
        <v>556</v>
      </c>
      <c r="E3503" s="2">
        <v>199</v>
      </c>
      <c r="F3503" s="2">
        <v>32441</v>
      </c>
      <c r="G3503" s="2">
        <v>4.1048226750000003</v>
      </c>
      <c r="H3503" s="3">
        <v>1.7399999999999999E-5</v>
      </c>
      <c r="I3503" s="2" t="s">
        <v>17188</v>
      </c>
      <c r="J3503" s="2" t="s">
        <v>17189</v>
      </c>
      <c r="K3503" s="3">
        <v>6.0900000000000003E-5</v>
      </c>
      <c r="L3503" s="2" t="s">
        <v>1178</v>
      </c>
      <c r="M3503" s="4" t="s">
        <v>17190</v>
      </c>
    </row>
    <row r="3504" spans="1:13">
      <c r="A3504" s="2">
        <v>15921</v>
      </c>
      <c r="B3504" s="2" t="s">
        <v>17191</v>
      </c>
      <c r="C3504" s="2">
        <v>14</v>
      </c>
      <c r="D3504" s="2">
        <v>556</v>
      </c>
      <c r="E3504" s="2">
        <v>200</v>
      </c>
      <c r="F3504" s="2">
        <v>32441</v>
      </c>
      <c r="G3504" s="2">
        <v>4.0842985609999998</v>
      </c>
      <c r="H3504" s="3">
        <v>1.8300000000000001E-5</v>
      </c>
      <c r="I3504" s="2" t="s">
        <v>17192</v>
      </c>
      <c r="J3504" s="2" t="s">
        <v>17193</v>
      </c>
      <c r="K3504" s="3">
        <v>6.0900000000000003E-5</v>
      </c>
      <c r="L3504" s="2" t="s">
        <v>1178</v>
      </c>
      <c r="M3504" s="4" t="s">
        <v>17194</v>
      </c>
    </row>
    <row r="3505" spans="1:13">
      <c r="A3505" s="2">
        <v>1595</v>
      </c>
      <c r="B3505" s="2" t="s">
        <v>17195</v>
      </c>
      <c r="C3505" s="2">
        <v>14</v>
      </c>
      <c r="D3505" s="2">
        <v>556</v>
      </c>
      <c r="E3505" s="2">
        <v>200</v>
      </c>
      <c r="F3505" s="2">
        <v>32441</v>
      </c>
      <c r="G3505" s="2">
        <v>4.0842985609999998</v>
      </c>
      <c r="H3505" s="3">
        <v>1.8300000000000001E-5</v>
      </c>
      <c r="I3505" s="2" t="s">
        <v>17196</v>
      </c>
      <c r="J3505" s="2" t="s">
        <v>17197</v>
      </c>
      <c r="K3505" s="3">
        <v>6.0900000000000003E-5</v>
      </c>
      <c r="L3505" s="2" t="s">
        <v>1178</v>
      </c>
      <c r="M3505" s="4" t="s">
        <v>17198</v>
      </c>
    </row>
    <row r="3506" spans="1:13">
      <c r="A3506" s="2">
        <v>1601</v>
      </c>
      <c r="B3506" s="2" t="s">
        <v>17199</v>
      </c>
      <c r="C3506" s="2">
        <v>14</v>
      </c>
      <c r="D3506" s="2">
        <v>556</v>
      </c>
      <c r="E3506" s="2">
        <v>200</v>
      </c>
      <c r="F3506" s="2">
        <v>32441</v>
      </c>
      <c r="G3506" s="2">
        <v>4.0842985609999998</v>
      </c>
      <c r="H3506" s="3">
        <v>1.8300000000000001E-5</v>
      </c>
      <c r="I3506" s="2" t="s">
        <v>17200</v>
      </c>
      <c r="J3506" s="2" t="s">
        <v>17201</v>
      </c>
      <c r="K3506" s="3">
        <v>6.0900000000000003E-5</v>
      </c>
      <c r="L3506" s="2" t="s">
        <v>1178</v>
      </c>
      <c r="M3506" s="4" t="s">
        <v>17202</v>
      </c>
    </row>
    <row r="3507" spans="1:13">
      <c r="A3507" s="2">
        <v>1619</v>
      </c>
      <c r="B3507" s="2" t="s">
        <v>17203</v>
      </c>
      <c r="C3507" s="2">
        <v>14</v>
      </c>
      <c r="D3507" s="2">
        <v>556</v>
      </c>
      <c r="E3507" s="2">
        <v>200</v>
      </c>
      <c r="F3507" s="2">
        <v>32441</v>
      </c>
      <c r="G3507" s="2">
        <v>4.0842985609999998</v>
      </c>
      <c r="H3507" s="3">
        <v>1.8300000000000001E-5</v>
      </c>
      <c r="I3507" s="2" t="s">
        <v>17204</v>
      </c>
      <c r="J3507" s="2" t="s">
        <v>17205</v>
      </c>
      <c r="K3507" s="3">
        <v>6.0900000000000003E-5</v>
      </c>
      <c r="L3507" s="2" t="s">
        <v>1178</v>
      </c>
      <c r="M3507" s="4" t="s">
        <v>17206</v>
      </c>
    </row>
    <row r="3508" spans="1:13">
      <c r="A3508" s="2">
        <v>16301</v>
      </c>
      <c r="B3508" s="2" t="s">
        <v>17207</v>
      </c>
      <c r="C3508" s="2">
        <v>14</v>
      </c>
      <c r="D3508" s="2">
        <v>556</v>
      </c>
      <c r="E3508" s="2">
        <v>200</v>
      </c>
      <c r="F3508" s="2">
        <v>32441</v>
      </c>
      <c r="G3508" s="2">
        <v>4.0842985609999998</v>
      </c>
      <c r="H3508" s="3">
        <v>1.8300000000000001E-5</v>
      </c>
      <c r="I3508" s="2" t="s">
        <v>17208</v>
      </c>
      <c r="J3508" s="2" t="s">
        <v>17209</v>
      </c>
      <c r="K3508" s="3">
        <v>6.0900000000000003E-5</v>
      </c>
      <c r="L3508" s="2" t="s">
        <v>1178</v>
      </c>
      <c r="M3508" s="4" t="s">
        <v>17210</v>
      </c>
    </row>
    <row r="3509" spans="1:13">
      <c r="A3509" s="2">
        <v>1634</v>
      </c>
      <c r="B3509" s="2" t="s">
        <v>17211</v>
      </c>
      <c r="C3509" s="2">
        <v>14</v>
      </c>
      <c r="D3509" s="2">
        <v>556</v>
      </c>
      <c r="E3509" s="2">
        <v>200</v>
      </c>
      <c r="F3509" s="2">
        <v>32441</v>
      </c>
      <c r="G3509" s="2">
        <v>4.0842985609999998</v>
      </c>
      <c r="H3509" s="3">
        <v>1.8300000000000001E-5</v>
      </c>
      <c r="I3509" s="2" t="s">
        <v>17212</v>
      </c>
      <c r="J3509" s="2" t="s">
        <v>17213</v>
      </c>
      <c r="K3509" s="3">
        <v>6.0900000000000003E-5</v>
      </c>
      <c r="L3509" s="2" t="s">
        <v>1178</v>
      </c>
      <c r="M3509" s="4" t="s">
        <v>17214</v>
      </c>
    </row>
    <row r="3510" spans="1:13">
      <c r="A3510" s="2">
        <v>16401</v>
      </c>
      <c r="B3510" s="2" t="s">
        <v>17215</v>
      </c>
      <c r="C3510" s="2">
        <v>14</v>
      </c>
      <c r="D3510" s="2">
        <v>556</v>
      </c>
      <c r="E3510" s="2">
        <v>200</v>
      </c>
      <c r="F3510" s="2">
        <v>32441</v>
      </c>
      <c r="G3510" s="2">
        <v>4.0842985609999998</v>
      </c>
      <c r="H3510" s="3">
        <v>1.8300000000000001E-5</v>
      </c>
      <c r="I3510" s="2" t="s">
        <v>17216</v>
      </c>
      <c r="J3510" s="2" t="s">
        <v>17217</v>
      </c>
      <c r="K3510" s="3">
        <v>6.0900000000000003E-5</v>
      </c>
      <c r="L3510" s="2" t="s">
        <v>1178</v>
      </c>
      <c r="M3510" s="4" t="s">
        <v>17218</v>
      </c>
    </row>
    <row r="3511" spans="1:13">
      <c r="A3511" s="2">
        <v>1642</v>
      </c>
      <c r="B3511" s="2" t="s">
        <v>17219</v>
      </c>
      <c r="C3511" s="2">
        <v>14</v>
      </c>
      <c r="D3511" s="2">
        <v>556</v>
      </c>
      <c r="E3511" s="2">
        <v>200</v>
      </c>
      <c r="F3511" s="2">
        <v>32441</v>
      </c>
      <c r="G3511" s="2">
        <v>4.0842985609999998</v>
      </c>
      <c r="H3511" s="3">
        <v>1.8300000000000001E-5</v>
      </c>
      <c r="I3511" s="2" t="s">
        <v>17220</v>
      </c>
      <c r="J3511" s="2" t="s">
        <v>17221</v>
      </c>
      <c r="K3511" s="3">
        <v>6.0900000000000003E-5</v>
      </c>
      <c r="L3511" s="2" t="s">
        <v>1178</v>
      </c>
      <c r="M3511" s="4" t="s">
        <v>17222</v>
      </c>
    </row>
    <row r="3512" spans="1:13">
      <c r="A3512" s="2">
        <v>1644</v>
      </c>
      <c r="B3512" s="2" t="s">
        <v>17223</v>
      </c>
      <c r="C3512" s="2">
        <v>14</v>
      </c>
      <c r="D3512" s="2">
        <v>556</v>
      </c>
      <c r="E3512" s="2">
        <v>200</v>
      </c>
      <c r="F3512" s="2">
        <v>32441</v>
      </c>
      <c r="G3512" s="2">
        <v>4.0842985609999998</v>
      </c>
      <c r="H3512" s="3">
        <v>1.8300000000000001E-5</v>
      </c>
      <c r="I3512" s="2" t="s">
        <v>17224</v>
      </c>
      <c r="J3512" s="2" t="s">
        <v>17225</v>
      </c>
      <c r="K3512" s="3">
        <v>6.0900000000000003E-5</v>
      </c>
      <c r="L3512" s="2" t="s">
        <v>1178</v>
      </c>
      <c r="M3512" s="4" t="s">
        <v>17226</v>
      </c>
    </row>
    <row r="3513" spans="1:13">
      <c r="A3513" s="2">
        <v>16471</v>
      </c>
      <c r="B3513" s="2" t="s">
        <v>17227</v>
      </c>
      <c r="C3513" s="2">
        <v>14</v>
      </c>
      <c r="D3513" s="2">
        <v>556</v>
      </c>
      <c r="E3513" s="2">
        <v>200</v>
      </c>
      <c r="F3513" s="2">
        <v>32441</v>
      </c>
      <c r="G3513" s="2">
        <v>4.0842985609999998</v>
      </c>
      <c r="H3513" s="3">
        <v>1.8300000000000001E-5</v>
      </c>
      <c r="I3513" s="2" t="s">
        <v>17228</v>
      </c>
      <c r="J3513" s="2" t="s">
        <v>17229</v>
      </c>
      <c r="K3513" s="3">
        <v>6.0900000000000003E-5</v>
      </c>
      <c r="L3513" s="2" t="s">
        <v>1178</v>
      </c>
      <c r="M3513" s="4" t="s">
        <v>17230</v>
      </c>
    </row>
    <row r="3514" spans="1:13">
      <c r="A3514" s="2">
        <v>1661</v>
      </c>
      <c r="B3514" s="2" t="s">
        <v>17231</v>
      </c>
      <c r="C3514" s="2">
        <v>14</v>
      </c>
      <c r="D3514" s="2">
        <v>556</v>
      </c>
      <c r="E3514" s="2">
        <v>200</v>
      </c>
      <c r="F3514" s="2">
        <v>32441</v>
      </c>
      <c r="G3514" s="2">
        <v>4.0842985609999998</v>
      </c>
      <c r="H3514" s="3">
        <v>1.8300000000000001E-5</v>
      </c>
      <c r="I3514" s="2" t="s">
        <v>17232</v>
      </c>
      <c r="J3514" s="2" t="s">
        <v>17233</v>
      </c>
      <c r="K3514" s="3">
        <v>6.0900000000000003E-5</v>
      </c>
      <c r="L3514" s="2" t="s">
        <v>1178</v>
      </c>
      <c r="M3514" s="4" t="s">
        <v>17234</v>
      </c>
    </row>
    <row r="3515" spans="1:13">
      <c r="A3515" s="2">
        <v>1678</v>
      </c>
      <c r="B3515" s="2" t="s">
        <v>17235</v>
      </c>
      <c r="C3515" s="2">
        <v>14</v>
      </c>
      <c r="D3515" s="2">
        <v>556</v>
      </c>
      <c r="E3515" s="2">
        <v>200</v>
      </c>
      <c r="F3515" s="2">
        <v>32441</v>
      </c>
      <c r="G3515" s="2">
        <v>4.0842985609999998</v>
      </c>
      <c r="H3515" s="3">
        <v>1.8300000000000001E-5</v>
      </c>
      <c r="I3515" s="2" t="s">
        <v>17236</v>
      </c>
      <c r="J3515" s="2" t="s">
        <v>17237</v>
      </c>
      <c r="K3515" s="3">
        <v>6.0900000000000003E-5</v>
      </c>
      <c r="L3515" s="2" t="s">
        <v>1178</v>
      </c>
      <c r="M3515" s="4" t="s">
        <v>17238</v>
      </c>
    </row>
    <row r="3516" spans="1:13">
      <c r="A3516" s="2">
        <v>1684</v>
      </c>
      <c r="B3516" s="2" t="s">
        <v>17239</v>
      </c>
      <c r="C3516" s="2">
        <v>14</v>
      </c>
      <c r="D3516" s="2">
        <v>556</v>
      </c>
      <c r="E3516" s="2">
        <v>200</v>
      </c>
      <c r="F3516" s="2">
        <v>32441</v>
      </c>
      <c r="G3516" s="2">
        <v>4.0842985609999998</v>
      </c>
      <c r="H3516" s="3">
        <v>1.8300000000000001E-5</v>
      </c>
      <c r="I3516" s="2" t="s">
        <v>17240</v>
      </c>
      <c r="J3516" s="2" t="s">
        <v>17241</v>
      </c>
      <c r="K3516" s="3">
        <v>6.0900000000000003E-5</v>
      </c>
      <c r="L3516" s="2" t="s">
        <v>1178</v>
      </c>
      <c r="M3516" s="4" t="s">
        <v>17242</v>
      </c>
    </row>
    <row r="3517" spans="1:13">
      <c r="A3517" s="2">
        <v>17081</v>
      </c>
      <c r="B3517" s="2" t="s">
        <v>17243</v>
      </c>
      <c r="C3517" s="2">
        <v>14</v>
      </c>
      <c r="D3517" s="2">
        <v>556</v>
      </c>
      <c r="E3517" s="2">
        <v>200</v>
      </c>
      <c r="F3517" s="2">
        <v>32441</v>
      </c>
      <c r="G3517" s="2">
        <v>4.0842985609999998</v>
      </c>
      <c r="H3517" s="3">
        <v>1.8300000000000001E-5</v>
      </c>
      <c r="I3517" s="2" t="s">
        <v>17244</v>
      </c>
      <c r="J3517" s="2" t="s">
        <v>17245</v>
      </c>
      <c r="K3517" s="3">
        <v>6.0900000000000003E-5</v>
      </c>
      <c r="L3517" s="2" t="s">
        <v>1178</v>
      </c>
      <c r="M3517" s="4" t="s">
        <v>17246</v>
      </c>
    </row>
    <row r="3518" spans="1:13">
      <c r="A3518" s="2">
        <v>1769</v>
      </c>
      <c r="B3518" s="2" t="s">
        <v>17247</v>
      </c>
      <c r="C3518" s="2">
        <v>14</v>
      </c>
      <c r="D3518" s="2">
        <v>556</v>
      </c>
      <c r="E3518" s="2">
        <v>200</v>
      </c>
      <c r="F3518" s="2">
        <v>32441</v>
      </c>
      <c r="G3518" s="2">
        <v>4.0842985609999998</v>
      </c>
      <c r="H3518" s="3">
        <v>1.8300000000000001E-5</v>
      </c>
      <c r="I3518" s="2" t="s">
        <v>17248</v>
      </c>
      <c r="J3518" s="2" t="s">
        <v>17249</v>
      </c>
      <c r="K3518" s="3">
        <v>6.0900000000000003E-5</v>
      </c>
      <c r="L3518" s="2" t="s">
        <v>1178</v>
      </c>
      <c r="M3518" s="4" t="s">
        <v>17250</v>
      </c>
    </row>
    <row r="3519" spans="1:13">
      <c r="A3519" s="2">
        <v>1770</v>
      </c>
      <c r="B3519" s="2" t="s">
        <v>17251</v>
      </c>
      <c r="C3519" s="2">
        <v>14</v>
      </c>
      <c r="D3519" s="2">
        <v>556</v>
      </c>
      <c r="E3519" s="2">
        <v>200</v>
      </c>
      <c r="F3519" s="2">
        <v>32441</v>
      </c>
      <c r="G3519" s="2">
        <v>4.0842985609999998</v>
      </c>
      <c r="H3519" s="3">
        <v>1.8300000000000001E-5</v>
      </c>
      <c r="I3519" s="2" t="s">
        <v>17252</v>
      </c>
      <c r="J3519" s="2" t="s">
        <v>17253</v>
      </c>
      <c r="K3519" s="3">
        <v>6.0900000000000003E-5</v>
      </c>
      <c r="L3519" s="2" t="s">
        <v>1178</v>
      </c>
      <c r="M3519" s="4" t="s">
        <v>17254</v>
      </c>
    </row>
    <row r="3520" spans="1:13">
      <c r="A3520" s="2">
        <v>1793</v>
      </c>
      <c r="B3520" s="2" t="s">
        <v>17255</v>
      </c>
      <c r="C3520" s="2">
        <v>14</v>
      </c>
      <c r="D3520" s="2">
        <v>556</v>
      </c>
      <c r="E3520" s="2">
        <v>200</v>
      </c>
      <c r="F3520" s="2">
        <v>32441</v>
      </c>
      <c r="G3520" s="2">
        <v>4.0842985609999998</v>
      </c>
      <c r="H3520" s="3">
        <v>1.8300000000000001E-5</v>
      </c>
      <c r="I3520" s="2" t="s">
        <v>17256</v>
      </c>
      <c r="J3520" s="2" t="s">
        <v>17257</v>
      </c>
      <c r="K3520" s="3">
        <v>6.0900000000000003E-5</v>
      </c>
      <c r="L3520" s="2" t="s">
        <v>1178</v>
      </c>
      <c r="M3520" s="4" t="s">
        <v>17258</v>
      </c>
    </row>
    <row r="3521" spans="1:13">
      <c r="A3521" s="2">
        <v>18582</v>
      </c>
      <c r="B3521" s="2" t="s">
        <v>17259</v>
      </c>
      <c r="C3521" s="2">
        <v>14</v>
      </c>
      <c r="D3521" s="2">
        <v>556</v>
      </c>
      <c r="E3521" s="2">
        <v>200</v>
      </c>
      <c r="F3521" s="2">
        <v>32441</v>
      </c>
      <c r="G3521" s="2">
        <v>4.0842985609999998</v>
      </c>
      <c r="H3521" s="3">
        <v>1.8300000000000001E-5</v>
      </c>
      <c r="I3521" s="2" t="s">
        <v>17260</v>
      </c>
      <c r="J3521" s="2" t="s">
        <v>17261</v>
      </c>
      <c r="K3521" s="3">
        <v>6.0900000000000003E-5</v>
      </c>
      <c r="L3521" s="2" t="s">
        <v>1178</v>
      </c>
      <c r="M3521" s="4" t="s">
        <v>17262</v>
      </c>
    </row>
    <row r="3522" spans="1:13">
      <c r="A3522" s="2">
        <v>1878</v>
      </c>
      <c r="B3522" s="2" t="s">
        <v>2190</v>
      </c>
      <c r="C3522" s="2">
        <v>14</v>
      </c>
      <c r="D3522" s="2">
        <v>556</v>
      </c>
      <c r="E3522" s="2">
        <v>200</v>
      </c>
      <c r="F3522" s="2">
        <v>32441</v>
      </c>
      <c r="G3522" s="2">
        <v>4.0842985609999998</v>
      </c>
      <c r="H3522" s="3">
        <v>1.8300000000000001E-5</v>
      </c>
      <c r="I3522" s="2" t="s">
        <v>17263</v>
      </c>
      <c r="J3522" s="2" t="s">
        <v>17264</v>
      </c>
      <c r="K3522" s="3">
        <v>6.0900000000000003E-5</v>
      </c>
      <c r="L3522" s="2" t="s">
        <v>1178</v>
      </c>
      <c r="M3522" s="4" t="s">
        <v>17265</v>
      </c>
    </row>
    <row r="3523" spans="1:13">
      <c r="A3523" s="2">
        <v>18801</v>
      </c>
      <c r="B3523" s="2" t="s">
        <v>17266</v>
      </c>
      <c r="C3523" s="2">
        <v>14</v>
      </c>
      <c r="D3523" s="2">
        <v>556</v>
      </c>
      <c r="E3523" s="2">
        <v>200</v>
      </c>
      <c r="F3523" s="2">
        <v>32441</v>
      </c>
      <c r="G3523" s="2">
        <v>4.0842985609999998</v>
      </c>
      <c r="H3523" s="3">
        <v>1.8300000000000001E-5</v>
      </c>
      <c r="I3523" s="2" t="s">
        <v>17267</v>
      </c>
      <c r="J3523" s="2" t="s">
        <v>17268</v>
      </c>
      <c r="K3523" s="3">
        <v>6.0900000000000003E-5</v>
      </c>
      <c r="L3523" s="2" t="s">
        <v>1178</v>
      </c>
      <c r="M3523" s="4" t="s">
        <v>17269</v>
      </c>
    </row>
    <row r="3524" spans="1:13">
      <c r="A3524" s="2">
        <v>1919</v>
      </c>
      <c r="B3524" s="2" t="s">
        <v>1383</v>
      </c>
      <c r="C3524" s="2">
        <v>14</v>
      </c>
      <c r="D3524" s="2">
        <v>556</v>
      </c>
      <c r="E3524" s="2">
        <v>200</v>
      </c>
      <c r="F3524" s="2">
        <v>32441</v>
      </c>
      <c r="G3524" s="2">
        <v>4.0842985609999998</v>
      </c>
      <c r="H3524" s="3">
        <v>1.8300000000000001E-5</v>
      </c>
      <c r="I3524" s="2" t="s">
        <v>17270</v>
      </c>
      <c r="J3524" s="2" t="s">
        <v>17271</v>
      </c>
      <c r="K3524" s="3">
        <v>6.0900000000000003E-5</v>
      </c>
      <c r="L3524" s="2" t="s">
        <v>1178</v>
      </c>
      <c r="M3524" s="4" t="s">
        <v>17272</v>
      </c>
    </row>
    <row r="3525" spans="1:13">
      <c r="A3525" s="2">
        <v>1970</v>
      </c>
      <c r="B3525" s="2" t="s">
        <v>17273</v>
      </c>
      <c r="C3525" s="2">
        <v>14</v>
      </c>
      <c r="D3525" s="2">
        <v>556</v>
      </c>
      <c r="E3525" s="2">
        <v>200</v>
      </c>
      <c r="F3525" s="2">
        <v>32441</v>
      </c>
      <c r="G3525" s="2">
        <v>4.0842985609999998</v>
      </c>
      <c r="H3525" s="3">
        <v>1.8300000000000001E-5</v>
      </c>
      <c r="I3525" s="2" t="s">
        <v>17274</v>
      </c>
      <c r="J3525" s="2" t="s">
        <v>17275</v>
      </c>
      <c r="K3525" s="3">
        <v>6.0900000000000003E-5</v>
      </c>
      <c r="L3525" s="2" t="s">
        <v>1178</v>
      </c>
      <c r="M3525" s="4" t="s">
        <v>17276</v>
      </c>
    </row>
    <row r="3526" spans="1:13">
      <c r="A3526" s="2">
        <v>1994</v>
      </c>
      <c r="B3526" s="2" t="s">
        <v>17277</v>
      </c>
      <c r="C3526" s="2">
        <v>14</v>
      </c>
      <c r="D3526" s="2">
        <v>556</v>
      </c>
      <c r="E3526" s="2">
        <v>199</v>
      </c>
      <c r="F3526" s="2">
        <v>32441</v>
      </c>
      <c r="G3526" s="2">
        <v>4.1048226750000003</v>
      </c>
      <c r="H3526" s="3">
        <v>1.7399999999999999E-5</v>
      </c>
      <c r="I3526" s="2" t="s">
        <v>17278</v>
      </c>
      <c r="J3526" s="2" t="s">
        <v>17279</v>
      </c>
      <c r="K3526" s="3">
        <v>6.0900000000000003E-5</v>
      </c>
      <c r="L3526" s="2" t="s">
        <v>1178</v>
      </c>
      <c r="M3526" s="4" t="s">
        <v>17280</v>
      </c>
    </row>
    <row r="3527" spans="1:13">
      <c r="A3527" s="2">
        <v>1997</v>
      </c>
      <c r="B3527" s="2" t="s">
        <v>17281</v>
      </c>
      <c r="C3527" s="2">
        <v>14</v>
      </c>
      <c r="D3527" s="2">
        <v>556</v>
      </c>
      <c r="E3527" s="2">
        <v>200</v>
      </c>
      <c r="F3527" s="2">
        <v>32441</v>
      </c>
      <c r="G3527" s="2">
        <v>4.0842985609999998</v>
      </c>
      <c r="H3527" s="3">
        <v>1.8300000000000001E-5</v>
      </c>
      <c r="I3527" s="2" t="s">
        <v>17282</v>
      </c>
      <c r="J3527" s="2" t="s">
        <v>17283</v>
      </c>
      <c r="K3527" s="3">
        <v>6.0900000000000003E-5</v>
      </c>
      <c r="L3527" s="2" t="s">
        <v>1178</v>
      </c>
      <c r="M3527" s="4" t="s">
        <v>17284</v>
      </c>
    </row>
    <row r="3528" spans="1:13">
      <c r="A3528" s="2">
        <v>20421</v>
      </c>
      <c r="B3528" s="2" t="s">
        <v>17285</v>
      </c>
      <c r="C3528" s="2">
        <v>14</v>
      </c>
      <c r="D3528" s="2">
        <v>556</v>
      </c>
      <c r="E3528" s="2">
        <v>199</v>
      </c>
      <c r="F3528" s="2">
        <v>32441</v>
      </c>
      <c r="G3528" s="2">
        <v>4.1048226750000003</v>
      </c>
      <c r="H3528" s="3">
        <v>1.7399999999999999E-5</v>
      </c>
      <c r="I3528" s="2" t="s">
        <v>17286</v>
      </c>
      <c r="J3528" s="2" t="s">
        <v>17287</v>
      </c>
      <c r="K3528" s="3">
        <v>6.0900000000000003E-5</v>
      </c>
      <c r="L3528" s="2" t="s">
        <v>1178</v>
      </c>
      <c r="M3528" s="4" t="s">
        <v>17288</v>
      </c>
    </row>
    <row r="3529" spans="1:13">
      <c r="A3529" s="2">
        <v>2063</v>
      </c>
      <c r="B3529" s="2" t="s">
        <v>17289</v>
      </c>
      <c r="C3529" s="2">
        <v>14</v>
      </c>
      <c r="D3529" s="2">
        <v>556</v>
      </c>
      <c r="E3529" s="2">
        <v>199</v>
      </c>
      <c r="F3529" s="2">
        <v>32441</v>
      </c>
      <c r="G3529" s="2">
        <v>4.1048226750000003</v>
      </c>
      <c r="H3529" s="3">
        <v>1.7399999999999999E-5</v>
      </c>
      <c r="I3529" s="2" t="s">
        <v>17290</v>
      </c>
      <c r="J3529" s="2" t="s">
        <v>17291</v>
      </c>
      <c r="K3529" s="3">
        <v>6.0900000000000003E-5</v>
      </c>
      <c r="L3529" s="2" t="s">
        <v>1178</v>
      </c>
      <c r="M3529" s="4" t="s">
        <v>17292</v>
      </c>
    </row>
    <row r="3530" spans="1:13">
      <c r="A3530" s="2">
        <v>2242</v>
      </c>
      <c r="B3530" s="2" t="s">
        <v>17293</v>
      </c>
      <c r="C3530" s="2">
        <v>14</v>
      </c>
      <c r="D3530" s="2">
        <v>556</v>
      </c>
      <c r="E3530" s="2">
        <v>200</v>
      </c>
      <c r="F3530" s="2">
        <v>32441</v>
      </c>
      <c r="G3530" s="2">
        <v>4.0842985609999998</v>
      </c>
      <c r="H3530" s="3">
        <v>1.8300000000000001E-5</v>
      </c>
      <c r="I3530" s="2" t="s">
        <v>17294</v>
      </c>
      <c r="J3530" s="2" t="s">
        <v>17295</v>
      </c>
      <c r="K3530" s="3">
        <v>6.0900000000000003E-5</v>
      </c>
      <c r="L3530" s="2" t="s">
        <v>1178</v>
      </c>
      <c r="M3530" s="4" t="s">
        <v>17296</v>
      </c>
    </row>
    <row r="3531" spans="1:13">
      <c r="A3531" s="2">
        <v>2336</v>
      </c>
      <c r="B3531" s="2" t="s">
        <v>17297</v>
      </c>
      <c r="C3531" s="2">
        <v>14</v>
      </c>
      <c r="D3531" s="2">
        <v>556</v>
      </c>
      <c r="E3531" s="2">
        <v>200</v>
      </c>
      <c r="F3531" s="2">
        <v>32441</v>
      </c>
      <c r="G3531" s="2">
        <v>4.0842985609999998</v>
      </c>
      <c r="H3531" s="3">
        <v>1.8300000000000001E-5</v>
      </c>
      <c r="I3531" s="2" t="s">
        <v>17298</v>
      </c>
      <c r="J3531" s="2" t="s">
        <v>17299</v>
      </c>
      <c r="K3531" s="3">
        <v>6.0900000000000003E-5</v>
      </c>
      <c r="L3531" s="2" t="s">
        <v>1178</v>
      </c>
      <c r="M3531" s="4" t="s">
        <v>17300</v>
      </c>
    </row>
    <row r="3532" spans="1:13">
      <c r="A3532" s="2">
        <v>2357</v>
      </c>
      <c r="B3532" s="2" t="s">
        <v>17301</v>
      </c>
      <c r="C3532" s="2">
        <v>14</v>
      </c>
      <c r="D3532" s="2">
        <v>556</v>
      </c>
      <c r="E3532" s="2">
        <v>200</v>
      </c>
      <c r="F3532" s="2">
        <v>32441</v>
      </c>
      <c r="G3532" s="2">
        <v>4.0842985609999998</v>
      </c>
      <c r="H3532" s="3">
        <v>1.8300000000000001E-5</v>
      </c>
      <c r="I3532" s="2" t="s">
        <v>17302</v>
      </c>
      <c r="J3532" s="2" t="s">
        <v>17303</v>
      </c>
      <c r="K3532" s="3">
        <v>6.0900000000000003E-5</v>
      </c>
      <c r="L3532" s="2" t="s">
        <v>1178</v>
      </c>
      <c r="M3532" s="4" t="s">
        <v>17304</v>
      </c>
    </row>
    <row r="3533" spans="1:13">
      <c r="A3533" s="2">
        <v>2361</v>
      </c>
      <c r="B3533" s="2" t="s">
        <v>17305</v>
      </c>
      <c r="C3533" s="2">
        <v>14</v>
      </c>
      <c r="D3533" s="2">
        <v>556</v>
      </c>
      <c r="E3533" s="2">
        <v>200</v>
      </c>
      <c r="F3533" s="2">
        <v>32441</v>
      </c>
      <c r="G3533" s="2">
        <v>4.0842985609999998</v>
      </c>
      <c r="H3533" s="3">
        <v>1.8300000000000001E-5</v>
      </c>
      <c r="I3533" s="2" t="s">
        <v>17306</v>
      </c>
      <c r="J3533" s="2" t="s">
        <v>17307</v>
      </c>
      <c r="K3533" s="3">
        <v>6.0900000000000003E-5</v>
      </c>
      <c r="L3533" s="2" t="s">
        <v>1178</v>
      </c>
      <c r="M3533" s="4" t="s">
        <v>17308</v>
      </c>
    </row>
    <row r="3534" spans="1:13">
      <c r="A3534" s="2">
        <v>2366</v>
      </c>
      <c r="B3534" s="2" t="s">
        <v>17309</v>
      </c>
      <c r="C3534" s="2">
        <v>14</v>
      </c>
      <c r="D3534" s="2">
        <v>556</v>
      </c>
      <c r="E3534" s="2">
        <v>200</v>
      </c>
      <c r="F3534" s="2">
        <v>32441</v>
      </c>
      <c r="G3534" s="2">
        <v>4.0842985609999998</v>
      </c>
      <c r="H3534" s="3">
        <v>1.8300000000000001E-5</v>
      </c>
      <c r="I3534" s="2" t="s">
        <v>17310</v>
      </c>
      <c r="J3534" s="2" t="s">
        <v>17311</v>
      </c>
      <c r="K3534" s="3">
        <v>6.0900000000000003E-5</v>
      </c>
      <c r="L3534" s="2" t="s">
        <v>1178</v>
      </c>
      <c r="M3534" s="4" t="s">
        <v>17312</v>
      </c>
    </row>
    <row r="3535" spans="1:13">
      <c r="A3535" s="2">
        <v>2370</v>
      </c>
      <c r="B3535" s="2" t="s">
        <v>17313</v>
      </c>
      <c r="C3535" s="2">
        <v>14</v>
      </c>
      <c r="D3535" s="2">
        <v>556</v>
      </c>
      <c r="E3535" s="2">
        <v>200</v>
      </c>
      <c r="F3535" s="2">
        <v>32441</v>
      </c>
      <c r="G3535" s="2">
        <v>4.0842985609999998</v>
      </c>
      <c r="H3535" s="3">
        <v>1.8300000000000001E-5</v>
      </c>
      <c r="I3535" s="2" t="s">
        <v>17314</v>
      </c>
      <c r="J3535" s="2" t="s">
        <v>17315</v>
      </c>
      <c r="K3535" s="3">
        <v>6.0900000000000003E-5</v>
      </c>
      <c r="L3535" s="2" t="s">
        <v>1178</v>
      </c>
      <c r="M3535" s="4" t="s">
        <v>17316</v>
      </c>
    </row>
    <row r="3536" spans="1:13">
      <c r="A3536" s="2">
        <v>23971</v>
      </c>
      <c r="B3536" s="2" t="s">
        <v>17317</v>
      </c>
      <c r="C3536" s="2">
        <v>14</v>
      </c>
      <c r="D3536" s="2">
        <v>556</v>
      </c>
      <c r="E3536" s="2">
        <v>200</v>
      </c>
      <c r="F3536" s="2">
        <v>32441</v>
      </c>
      <c r="G3536" s="2">
        <v>4.0842985609999998</v>
      </c>
      <c r="H3536" s="3">
        <v>1.8300000000000001E-5</v>
      </c>
      <c r="I3536" s="2" t="s">
        <v>17318</v>
      </c>
      <c r="J3536" s="2" t="s">
        <v>17319</v>
      </c>
      <c r="K3536" s="3">
        <v>6.0900000000000003E-5</v>
      </c>
      <c r="L3536" s="2" t="s">
        <v>1178</v>
      </c>
      <c r="M3536" s="4" t="s">
        <v>17320</v>
      </c>
    </row>
    <row r="3537" spans="1:13">
      <c r="A3537" s="2">
        <v>2437</v>
      </c>
      <c r="B3537" s="2" t="s">
        <v>17321</v>
      </c>
      <c r="C3537" s="2">
        <v>13</v>
      </c>
      <c r="D3537" s="2">
        <v>556</v>
      </c>
      <c r="E3537" s="2">
        <v>173</v>
      </c>
      <c r="F3537" s="2">
        <v>32441</v>
      </c>
      <c r="G3537" s="2">
        <v>4.3844658379999997</v>
      </c>
      <c r="H3537" s="3">
        <v>1.8099999999999999E-5</v>
      </c>
      <c r="I3537" s="2" t="s">
        <v>17322</v>
      </c>
      <c r="J3537" s="2" t="s">
        <v>17323</v>
      </c>
      <c r="K3537" s="3">
        <v>6.0900000000000003E-5</v>
      </c>
      <c r="L3537" s="2" t="s">
        <v>1178</v>
      </c>
      <c r="M3537" s="4" t="s">
        <v>17324</v>
      </c>
    </row>
    <row r="3538" spans="1:13">
      <c r="A3538" s="2">
        <v>26921</v>
      </c>
      <c r="B3538" s="2" t="s">
        <v>17325</v>
      </c>
      <c r="C3538" s="2">
        <v>14</v>
      </c>
      <c r="D3538" s="2">
        <v>556</v>
      </c>
      <c r="E3538" s="2">
        <v>200</v>
      </c>
      <c r="F3538" s="2">
        <v>32441</v>
      </c>
      <c r="G3538" s="2">
        <v>4.0842985609999998</v>
      </c>
      <c r="H3538" s="3">
        <v>1.8300000000000001E-5</v>
      </c>
      <c r="I3538" s="2" t="s">
        <v>17326</v>
      </c>
      <c r="J3538" s="2" t="s">
        <v>17327</v>
      </c>
      <c r="K3538" s="3">
        <v>6.0900000000000003E-5</v>
      </c>
      <c r="L3538" s="2" t="s">
        <v>1178</v>
      </c>
      <c r="M3538" s="4" t="s">
        <v>17328</v>
      </c>
    </row>
    <row r="3539" spans="1:13">
      <c r="A3539" s="2">
        <v>28281</v>
      </c>
      <c r="B3539" s="2" t="s">
        <v>17329</v>
      </c>
      <c r="C3539" s="2">
        <v>13</v>
      </c>
      <c r="D3539" s="2">
        <v>556</v>
      </c>
      <c r="E3539" s="2">
        <v>173</v>
      </c>
      <c r="F3539" s="2">
        <v>32441</v>
      </c>
      <c r="G3539" s="2">
        <v>4.3844658379999997</v>
      </c>
      <c r="H3539" s="3">
        <v>1.8099999999999999E-5</v>
      </c>
      <c r="I3539" s="2" t="s">
        <v>17330</v>
      </c>
      <c r="J3539" s="2" t="s">
        <v>17331</v>
      </c>
      <c r="K3539" s="3">
        <v>6.0900000000000003E-5</v>
      </c>
      <c r="L3539" s="2" t="s">
        <v>1178</v>
      </c>
      <c r="M3539" s="4" t="s">
        <v>17332</v>
      </c>
    </row>
    <row r="3540" spans="1:13">
      <c r="A3540" s="2">
        <v>2853</v>
      </c>
      <c r="B3540" s="2" t="s">
        <v>17333</v>
      </c>
      <c r="C3540" s="2">
        <v>14</v>
      </c>
      <c r="D3540" s="2">
        <v>556</v>
      </c>
      <c r="E3540" s="2">
        <v>200</v>
      </c>
      <c r="F3540" s="2">
        <v>32441</v>
      </c>
      <c r="G3540" s="2">
        <v>4.0842985609999998</v>
      </c>
      <c r="H3540" s="3">
        <v>1.8300000000000001E-5</v>
      </c>
      <c r="I3540" s="2" t="s">
        <v>17334</v>
      </c>
      <c r="J3540" s="2" t="s">
        <v>17335</v>
      </c>
      <c r="K3540" s="3">
        <v>6.0900000000000003E-5</v>
      </c>
      <c r="L3540" s="2" t="s">
        <v>1178</v>
      </c>
      <c r="M3540" s="4" t="s">
        <v>17336</v>
      </c>
    </row>
    <row r="3541" spans="1:13">
      <c r="A3541" s="2">
        <v>28951</v>
      </c>
      <c r="B3541" s="2" t="s">
        <v>17337</v>
      </c>
      <c r="C3541" s="2">
        <v>14</v>
      </c>
      <c r="D3541" s="2">
        <v>556</v>
      </c>
      <c r="E3541" s="2">
        <v>200</v>
      </c>
      <c r="F3541" s="2">
        <v>32441</v>
      </c>
      <c r="G3541" s="2">
        <v>4.0842985609999998</v>
      </c>
      <c r="H3541" s="3">
        <v>1.8300000000000001E-5</v>
      </c>
      <c r="I3541" s="2" t="s">
        <v>17338</v>
      </c>
      <c r="J3541" s="2" t="s">
        <v>17339</v>
      </c>
      <c r="K3541" s="3">
        <v>6.0900000000000003E-5</v>
      </c>
      <c r="L3541" s="2" t="s">
        <v>1178</v>
      </c>
      <c r="M3541" s="4" t="s">
        <v>17340</v>
      </c>
    </row>
    <row r="3542" spans="1:13">
      <c r="A3542" s="2">
        <v>29161</v>
      </c>
      <c r="B3542" s="2" t="s">
        <v>17341</v>
      </c>
      <c r="C3542" s="2">
        <v>14</v>
      </c>
      <c r="D3542" s="2">
        <v>556</v>
      </c>
      <c r="E3542" s="2">
        <v>199</v>
      </c>
      <c r="F3542" s="2">
        <v>32441</v>
      </c>
      <c r="G3542" s="2">
        <v>4.1048226750000003</v>
      </c>
      <c r="H3542" s="3">
        <v>1.7399999999999999E-5</v>
      </c>
      <c r="I3542" s="2" t="s">
        <v>17342</v>
      </c>
      <c r="J3542" s="2" t="s">
        <v>17343</v>
      </c>
      <c r="K3542" s="3">
        <v>6.0900000000000003E-5</v>
      </c>
      <c r="L3542" s="2" t="s">
        <v>1178</v>
      </c>
      <c r="M3542" s="4" t="s">
        <v>17344</v>
      </c>
    </row>
    <row r="3543" spans="1:13">
      <c r="A3543" s="2">
        <v>29331</v>
      </c>
      <c r="B3543" s="2" t="s">
        <v>17345</v>
      </c>
      <c r="C3543" s="2">
        <v>14</v>
      </c>
      <c r="D3543" s="2">
        <v>556</v>
      </c>
      <c r="E3543" s="2">
        <v>200</v>
      </c>
      <c r="F3543" s="2">
        <v>32441</v>
      </c>
      <c r="G3543" s="2">
        <v>4.0842985609999998</v>
      </c>
      <c r="H3543" s="3">
        <v>1.8300000000000001E-5</v>
      </c>
      <c r="I3543" s="2" t="s">
        <v>17346</v>
      </c>
      <c r="J3543" s="2" t="s">
        <v>17347</v>
      </c>
      <c r="K3543" s="3">
        <v>6.0900000000000003E-5</v>
      </c>
      <c r="L3543" s="2" t="s">
        <v>1178</v>
      </c>
      <c r="M3543" s="4" t="s">
        <v>17348</v>
      </c>
    </row>
    <row r="3544" spans="1:13">
      <c r="A3544" s="2">
        <v>29421</v>
      </c>
      <c r="B3544" s="2" t="s">
        <v>2598</v>
      </c>
      <c r="C3544" s="2">
        <v>14</v>
      </c>
      <c r="D3544" s="2">
        <v>556</v>
      </c>
      <c r="E3544" s="2">
        <v>200</v>
      </c>
      <c r="F3544" s="2">
        <v>32441</v>
      </c>
      <c r="G3544" s="2">
        <v>4.0842985609999998</v>
      </c>
      <c r="H3544" s="3">
        <v>1.8300000000000001E-5</v>
      </c>
      <c r="I3544" s="2" t="s">
        <v>17349</v>
      </c>
      <c r="J3544" s="2" t="s">
        <v>17350</v>
      </c>
      <c r="K3544" s="3">
        <v>6.0900000000000003E-5</v>
      </c>
      <c r="L3544" s="2" t="s">
        <v>1178</v>
      </c>
      <c r="M3544" s="4" t="s">
        <v>17351</v>
      </c>
    </row>
    <row r="3545" spans="1:13">
      <c r="A3545" s="2">
        <v>2947</v>
      </c>
      <c r="B3545" s="2" t="s">
        <v>17352</v>
      </c>
      <c r="C3545" s="2">
        <v>14</v>
      </c>
      <c r="D3545" s="2">
        <v>556</v>
      </c>
      <c r="E3545" s="2">
        <v>200</v>
      </c>
      <c r="F3545" s="2">
        <v>32441</v>
      </c>
      <c r="G3545" s="2">
        <v>4.0842985609999998</v>
      </c>
      <c r="H3545" s="3">
        <v>1.8300000000000001E-5</v>
      </c>
      <c r="I3545" s="2" t="s">
        <v>17353</v>
      </c>
      <c r="J3545" s="2" t="s">
        <v>17354</v>
      </c>
      <c r="K3545" s="3">
        <v>6.0900000000000003E-5</v>
      </c>
      <c r="L3545" s="2" t="s">
        <v>1178</v>
      </c>
      <c r="M3545" s="4" t="s">
        <v>17355</v>
      </c>
    </row>
    <row r="3546" spans="1:13">
      <c r="A3546" s="2">
        <v>2955</v>
      </c>
      <c r="B3546" s="2" t="s">
        <v>17356</v>
      </c>
      <c r="C3546" s="2">
        <v>14</v>
      </c>
      <c r="D3546" s="2">
        <v>556</v>
      </c>
      <c r="E3546" s="2">
        <v>200</v>
      </c>
      <c r="F3546" s="2">
        <v>32441</v>
      </c>
      <c r="G3546" s="2">
        <v>4.0842985609999998</v>
      </c>
      <c r="H3546" s="3">
        <v>1.8300000000000001E-5</v>
      </c>
      <c r="I3546" s="2" t="s">
        <v>17357</v>
      </c>
      <c r="J3546" s="2" t="s">
        <v>17358</v>
      </c>
      <c r="K3546" s="3">
        <v>6.0900000000000003E-5</v>
      </c>
      <c r="L3546" s="2" t="s">
        <v>1178</v>
      </c>
      <c r="M3546" s="4" t="s">
        <v>17359</v>
      </c>
    </row>
    <row r="3547" spans="1:13">
      <c r="A3547" s="2">
        <v>3000</v>
      </c>
      <c r="B3547" s="2" t="s">
        <v>17360</v>
      </c>
      <c r="C3547" s="2">
        <v>14</v>
      </c>
      <c r="D3547" s="2">
        <v>556</v>
      </c>
      <c r="E3547" s="2">
        <v>200</v>
      </c>
      <c r="F3547" s="2">
        <v>32441</v>
      </c>
      <c r="G3547" s="2">
        <v>4.0842985609999998</v>
      </c>
      <c r="H3547" s="3">
        <v>1.8300000000000001E-5</v>
      </c>
      <c r="I3547" s="2" t="s">
        <v>17361</v>
      </c>
      <c r="J3547" s="2" t="s">
        <v>17362</v>
      </c>
      <c r="K3547" s="3">
        <v>6.0900000000000003E-5</v>
      </c>
      <c r="L3547" s="2" t="s">
        <v>1178</v>
      </c>
      <c r="M3547" s="4" t="s">
        <v>17363</v>
      </c>
    </row>
    <row r="3548" spans="1:13">
      <c r="A3548" s="2">
        <v>3012</v>
      </c>
      <c r="B3548" s="2" t="s">
        <v>17364</v>
      </c>
      <c r="C3548" s="2">
        <v>14</v>
      </c>
      <c r="D3548" s="2">
        <v>556</v>
      </c>
      <c r="E3548" s="2">
        <v>199</v>
      </c>
      <c r="F3548" s="2">
        <v>32441</v>
      </c>
      <c r="G3548" s="2">
        <v>4.1048226750000003</v>
      </c>
      <c r="H3548" s="3">
        <v>1.7399999999999999E-5</v>
      </c>
      <c r="I3548" s="2" t="s">
        <v>17365</v>
      </c>
      <c r="J3548" s="2" t="s">
        <v>17366</v>
      </c>
      <c r="K3548" s="3">
        <v>6.0900000000000003E-5</v>
      </c>
      <c r="L3548" s="2" t="s">
        <v>1178</v>
      </c>
      <c r="M3548" s="4" t="s">
        <v>17367</v>
      </c>
    </row>
    <row r="3549" spans="1:13">
      <c r="A3549" s="2">
        <v>3098</v>
      </c>
      <c r="B3549" s="2" t="s">
        <v>17368</v>
      </c>
      <c r="C3549" s="2">
        <v>14</v>
      </c>
      <c r="D3549" s="2">
        <v>556</v>
      </c>
      <c r="E3549" s="2">
        <v>200</v>
      </c>
      <c r="F3549" s="2">
        <v>32441</v>
      </c>
      <c r="G3549" s="2">
        <v>4.0842985609999998</v>
      </c>
      <c r="H3549" s="3">
        <v>1.8300000000000001E-5</v>
      </c>
      <c r="I3549" s="2" t="s">
        <v>17369</v>
      </c>
      <c r="J3549" s="2" t="s">
        <v>17370</v>
      </c>
      <c r="K3549" s="3">
        <v>6.0900000000000003E-5</v>
      </c>
      <c r="L3549" s="2" t="s">
        <v>1178</v>
      </c>
      <c r="M3549" s="4" t="s">
        <v>17371</v>
      </c>
    </row>
    <row r="3550" spans="1:13">
      <c r="A3550" s="2">
        <v>31031</v>
      </c>
      <c r="B3550" s="2" t="s">
        <v>17372</v>
      </c>
      <c r="C3550" s="2">
        <v>14</v>
      </c>
      <c r="D3550" s="2">
        <v>556</v>
      </c>
      <c r="E3550" s="2">
        <v>200</v>
      </c>
      <c r="F3550" s="2">
        <v>32441</v>
      </c>
      <c r="G3550" s="2">
        <v>4.0842985609999998</v>
      </c>
      <c r="H3550" s="3">
        <v>1.8300000000000001E-5</v>
      </c>
      <c r="I3550" s="2" t="s">
        <v>17373</v>
      </c>
      <c r="J3550" s="2" t="s">
        <v>17374</v>
      </c>
      <c r="K3550" s="3">
        <v>6.0900000000000003E-5</v>
      </c>
      <c r="L3550" s="2" t="s">
        <v>1178</v>
      </c>
      <c r="M3550" s="4" t="s">
        <v>17375</v>
      </c>
    </row>
    <row r="3551" spans="1:13">
      <c r="A3551" s="2">
        <v>31041</v>
      </c>
      <c r="B3551" s="2" t="s">
        <v>17376</v>
      </c>
      <c r="C3551" s="2">
        <v>14</v>
      </c>
      <c r="D3551" s="2">
        <v>556</v>
      </c>
      <c r="E3551" s="2">
        <v>200</v>
      </c>
      <c r="F3551" s="2">
        <v>32441</v>
      </c>
      <c r="G3551" s="2">
        <v>4.0842985609999998</v>
      </c>
      <c r="H3551" s="3">
        <v>1.8300000000000001E-5</v>
      </c>
      <c r="I3551" s="2" t="s">
        <v>17377</v>
      </c>
      <c r="J3551" s="2" t="s">
        <v>17378</v>
      </c>
      <c r="K3551" s="3">
        <v>6.0900000000000003E-5</v>
      </c>
      <c r="L3551" s="2" t="s">
        <v>1178</v>
      </c>
      <c r="M3551" s="4" t="s">
        <v>17379</v>
      </c>
    </row>
    <row r="3552" spans="1:13">
      <c r="A3552" s="2">
        <v>31381</v>
      </c>
      <c r="B3552" s="2" t="s">
        <v>17380</v>
      </c>
      <c r="C3552" s="2">
        <v>14</v>
      </c>
      <c r="D3552" s="2">
        <v>556</v>
      </c>
      <c r="E3552" s="2">
        <v>200</v>
      </c>
      <c r="F3552" s="2">
        <v>32441</v>
      </c>
      <c r="G3552" s="2">
        <v>4.0842985609999998</v>
      </c>
      <c r="H3552" s="3">
        <v>1.8300000000000001E-5</v>
      </c>
      <c r="I3552" s="2" t="s">
        <v>17381</v>
      </c>
      <c r="J3552" s="2" t="s">
        <v>17382</v>
      </c>
      <c r="K3552" s="3">
        <v>6.0900000000000003E-5</v>
      </c>
      <c r="L3552" s="2" t="s">
        <v>1178</v>
      </c>
      <c r="M3552" s="4" t="s">
        <v>17383</v>
      </c>
    </row>
    <row r="3553" spans="1:13">
      <c r="A3553" s="2">
        <v>3168</v>
      </c>
      <c r="B3553" s="2" t="s">
        <v>17384</v>
      </c>
      <c r="C3553" s="2">
        <v>14</v>
      </c>
      <c r="D3553" s="2">
        <v>556</v>
      </c>
      <c r="E3553" s="2">
        <v>200</v>
      </c>
      <c r="F3553" s="2">
        <v>32441</v>
      </c>
      <c r="G3553" s="2">
        <v>4.0842985609999998</v>
      </c>
      <c r="H3553" s="3">
        <v>1.8300000000000001E-5</v>
      </c>
      <c r="I3553" s="2" t="s">
        <v>17385</v>
      </c>
      <c r="J3553" s="2" t="s">
        <v>17386</v>
      </c>
      <c r="K3553" s="3">
        <v>6.0900000000000003E-5</v>
      </c>
      <c r="L3553" s="2" t="s">
        <v>1178</v>
      </c>
      <c r="M3553" s="4" t="s">
        <v>17387</v>
      </c>
    </row>
    <row r="3554" spans="1:13">
      <c r="A3554" s="2">
        <v>3197</v>
      </c>
      <c r="B3554" s="2" t="s">
        <v>17388</v>
      </c>
      <c r="C3554" s="2">
        <v>14</v>
      </c>
      <c r="D3554" s="2">
        <v>556</v>
      </c>
      <c r="E3554" s="2">
        <v>199</v>
      </c>
      <c r="F3554" s="2">
        <v>32441</v>
      </c>
      <c r="G3554" s="2">
        <v>4.1048226750000003</v>
      </c>
      <c r="H3554" s="3">
        <v>1.7399999999999999E-5</v>
      </c>
      <c r="I3554" s="2" t="s">
        <v>17389</v>
      </c>
      <c r="J3554" s="2" t="s">
        <v>17390</v>
      </c>
      <c r="K3554" s="3">
        <v>6.0900000000000003E-5</v>
      </c>
      <c r="L3554" s="2" t="s">
        <v>1178</v>
      </c>
      <c r="M3554" s="4" t="s">
        <v>17391</v>
      </c>
    </row>
    <row r="3555" spans="1:13">
      <c r="A3555" s="2">
        <v>32431</v>
      </c>
      <c r="B3555" s="2" t="s">
        <v>17392</v>
      </c>
      <c r="C3555" s="2">
        <v>14</v>
      </c>
      <c r="D3555" s="2">
        <v>556</v>
      </c>
      <c r="E3555" s="2">
        <v>200</v>
      </c>
      <c r="F3555" s="2">
        <v>32441</v>
      </c>
      <c r="G3555" s="2">
        <v>4.0842985609999998</v>
      </c>
      <c r="H3555" s="3">
        <v>1.8300000000000001E-5</v>
      </c>
      <c r="I3555" s="2" t="s">
        <v>17393</v>
      </c>
      <c r="J3555" s="2" t="s">
        <v>17394</v>
      </c>
      <c r="K3555" s="3">
        <v>6.0900000000000003E-5</v>
      </c>
      <c r="L3555" s="2" t="s">
        <v>1178</v>
      </c>
      <c r="M3555" s="4" t="s">
        <v>17395</v>
      </c>
    </row>
    <row r="3556" spans="1:13">
      <c r="A3556" s="2">
        <v>32551</v>
      </c>
      <c r="B3556" s="2" t="s">
        <v>17396</v>
      </c>
      <c r="C3556" s="2">
        <v>14</v>
      </c>
      <c r="D3556" s="2">
        <v>556</v>
      </c>
      <c r="E3556" s="2">
        <v>200</v>
      </c>
      <c r="F3556" s="2">
        <v>32441</v>
      </c>
      <c r="G3556" s="2">
        <v>4.0842985609999998</v>
      </c>
      <c r="H3556" s="3">
        <v>1.8300000000000001E-5</v>
      </c>
      <c r="I3556" s="2" t="s">
        <v>17397</v>
      </c>
      <c r="J3556" s="2" t="s">
        <v>17398</v>
      </c>
      <c r="K3556" s="3">
        <v>6.0900000000000003E-5</v>
      </c>
      <c r="L3556" s="2" t="s">
        <v>1178</v>
      </c>
      <c r="M3556" s="4" t="s">
        <v>17399</v>
      </c>
    </row>
    <row r="3557" spans="1:13">
      <c r="A3557" s="2">
        <v>3389</v>
      </c>
      <c r="B3557" s="2" t="s">
        <v>17400</v>
      </c>
      <c r="C3557" s="2">
        <v>14</v>
      </c>
      <c r="D3557" s="2">
        <v>556</v>
      </c>
      <c r="E3557" s="2">
        <v>200</v>
      </c>
      <c r="F3557" s="2">
        <v>32441</v>
      </c>
      <c r="G3557" s="2">
        <v>4.0842985609999998</v>
      </c>
      <c r="H3557" s="3">
        <v>1.8300000000000001E-5</v>
      </c>
      <c r="I3557" s="2" t="s">
        <v>17401</v>
      </c>
      <c r="J3557" s="2" t="s">
        <v>17402</v>
      </c>
      <c r="K3557" s="3">
        <v>6.0900000000000003E-5</v>
      </c>
      <c r="L3557" s="2" t="s">
        <v>1178</v>
      </c>
      <c r="M3557" s="4" t="s">
        <v>17403</v>
      </c>
    </row>
    <row r="3558" spans="1:13">
      <c r="A3558" s="2">
        <v>3480</v>
      </c>
      <c r="B3558" s="2" t="s">
        <v>17404</v>
      </c>
      <c r="C3558" s="2">
        <v>14</v>
      </c>
      <c r="D3558" s="2">
        <v>556</v>
      </c>
      <c r="E3558" s="2">
        <v>200</v>
      </c>
      <c r="F3558" s="2">
        <v>32441</v>
      </c>
      <c r="G3558" s="2">
        <v>4.0842985609999998</v>
      </c>
      <c r="H3558" s="3">
        <v>1.8300000000000001E-5</v>
      </c>
      <c r="I3558" s="2" t="s">
        <v>17405</v>
      </c>
      <c r="J3558" s="2" t="s">
        <v>17406</v>
      </c>
      <c r="K3558" s="3">
        <v>6.0900000000000003E-5</v>
      </c>
      <c r="L3558" s="2" t="s">
        <v>1178</v>
      </c>
      <c r="M3558" s="4" t="s">
        <v>17407</v>
      </c>
    </row>
    <row r="3559" spans="1:13">
      <c r="A3559" s="2">
        <v>3483</v>
      </c>
      <c r="B3559" s="2" t="s">
        <v>17408</v>
      </c>
      <c r="C3559" s="2">
        <v>14</v>
      </c>
      <c r="D3559" s="2">
        <v>556</v>
      </c>
      <c r="E3559" s="2">
        <v>200</v>
      </c>
      <c r="F3559" s="2">
        <v>32441</v>
      </c>
      <c r="G3559" s="2">
        <v>4.0842985609999998</v>
      </c>
      <c r="H3559" s="3">
        <v>1.8300000000000001E-5</v>
      </c>
      <c r="I3559" s="2" t="s">
        <v>17409</v>
      </c>
      <c r="J3559" s="2" t="s">
        <v>17410</v>
      </c>
      <c r="K3559" s="3">
        <v>6.0900000000000003E-5</v>
      </c>
      <c r="L3559" s="2" t="s">
        <v>1178</v>
      </c>
      <c r="M3559" s="4" t="s">
        <v>17411</v>
      </c>
    </row>
    <row r="3560" spans="1:13">
      <c r="A3560" s="2">
        <v>35041</v>
      </c>
      <c r="B3560" s="2" t="s">
        <v>17412</v>
      </c>
      <c r="C3560" s="2">
        <v>14</v>
      </c>
      <c r="D3560" s="2">
        <v>556</v>
      </c>
      <c r="E3560" s="2">
        <v>200</v>
      </c>
      <c r="F3560" s="2">
        <v>32441</v>
      </c>
      <c r="G3560" s="2">
        <v>4.0842985609999998</v>
      </c>
      <c r="H3560" s="3">
        <v>1.8300000000000001E-5</v>
      </c>
      <c r="I3560" s="2" t="s">
        <v>17413</v>
      </c>
      <c r="J3560" s="2" t="s">
        <v>17414</v>
      </c>
      <c r="K3560" s="3">
        <v>6.0900000000000003E-5</v>
      </c>
      <c r="L3560" s="2" t="s">
        <v>1178</v>
      </c>
      <c r="M3560" s="4" t="s">
        <v>17415</v>
      </c>
    </row>
    <row r="3561" spans="1:13">
      <c r="A3561" s="2">
        <v>35261</v>
      </c>
      <c r="B3561" s="2" t="s">
        <v>17416</v>
      </c>
      <c r="C3561" s="2">
        <v>14</v>
      </c>
      <c r="D3561" s="2">
        <v>556</v>
      </c>
      <c r="E3561" s="2">
        <v>200</v>
      </c>
      <c r="F3561" s="2">
        <v>32441</v>
      </c>
      <c r="G3561" s="2">
        <v>4.0842985609999998</v>
      </c>
      <c r="H3561" s="3">
        <v>1.8300000000000001E-5</v>
      </c>
      <c r="I3561" s="2" t="s">
        <v>17417</v>
      </c>
      <c r="J3561" s="2" t="s">
        <v>17418</v>
      </c>
      <c r="K3561" s="3">
        <v>6.0900000000000003E-5</v>
      </c>
      <c r="L3561" s="2" t="s">
        <v>1178</v>
      </c>
      <c r="M3561" s="4" t="s">
        <v>17419</v>
      </c>
    </row>
    <row r="3562" spans="1:13">
      <c r="A3562" s="2">
        <v>3536</v>
      </c>
      <c r="B3562" s="2" t="s">
        <v>17420</v>
      </c>
      <c r="C3562" s="2">
        <v>14</v>
      </c>
      <c r="D3562" s="2">
        <v>556</v>
      </c>
      <c r="E3562" s="2">
        <v>200</v>
      </c>
      <c r="F3562" s="2">
        <v>32441</v>
      </c>
      <c r="G3562" s="2">
        <v>4.0842985609999998</v>
      </c>
      <c r="H3562" s="3">
        <v>1.8300000000000001E-5</v>
      </c>
      <c r="I3562" s="2" t="s">
        <v>17421</v>
      </c>
      <c r="J3562" s="2" t="s">
        <v>17422</v>
      </c>
      <c r="K3562" s="3">
        <v>6.0900000000000003E-5</v>
      </c>
      <c r="L3562" s="2" t="s">
        <v>1178</v>
      </c>
      <c r="M3562" s="4" t="s">
        <v>17423</v>
      </c>
    </row>
    <row r="3563" spans="1:13">
      <c r="A3563" s="2">
        <v>3554</v>
      </c>
      <c r="B3563" s="2" t="s">
        <v>17424</v>
      </c>
      <c r="C3563" s="2">
        <v>14</v>
      </c>
      <c r="D3563" s="2">
        <v>556</v>
      </c>
      <c r="E3563" s="2">
        <v>200</v>
      </c>
      <c r="F3563" s="2">
        <v>32441</v>
      </c>
      <c r="G3563" s="2">
        <v>4.0842985609999998</v>
      </c>
      <c r="H3563" s="3">
        <v>1.8300000000000001E-5</v>
      </c>
      <c r="I3563" s="2" t="s">
        <v>17425</v>
      </c>
      <c r="J3563" s="2" t="s">
        <v>17426</v>
      </c>
      <c r="K3563" s="3">
        <v>6.0900000000000003E-5</v>
      </c>
      <c r="L3563" s="2" t="s">
        <v>1178</v>
      </c>
      <c r="M3563" s="4" t="s">
        <v>17427</v>
      </c>
    </row>
    <row r="3564" spans="1:13">
      <c r="A3564" s="2">
        <v>3566</v>
      </c>
      <c r="B3564" s="2" t="s">
        <v>17428</v>
      </c>
      <c r="C3564" s="2">
        <v>14</v>
      </c>
      <c r="D3564" s="2">
        <v>556</v>
      </c>
      <c r="E3564" s="2">
        <v>200</v>
      </c>
      <c r="F3564" s="2">
        <v>32441</v>
      </c>
      <c r="G3564" s="2">
        <v>4.0842985609999998</v>
      </c>
      <c r="H3564" s="3">
        <v>1.8300000000000001E-5</v>
      </c>
      <c r="I3564" s="2" t="s">
        <v>17429</v>
      </c>
      <c r="J3564" s="2" t="s">
        <v>17430</v>
      </c>
      <c r="K3564" s="3">
        <v>6.0900000000000003E-5</v>
      </c>
      <c r="L3564" s="2" t="s">
        <v>1178</v>
      </c>
      <c r="M3564" s="4" t="s">
        <v>17431</v>
      </c>
    </row>
    <row r="3565" spans="1:13">
      <c r="A3565" s="2">
        <v>3643</v>
      </c>
      <c r="B3565" s="2" t="s">
        <v>1608</v>
      </c>
      <c r="C3565" s="2">
        <v>14</v>
      </c>
      <c r="D3565" s="2">
        <v>556</v>
      </c>
      <c r="E3565" s="2">
        <v>200</v>
      </c>
      <c r="F3565" s="2">
        <v>32441</v>
      </c>
      <c r="G3565" s="2">
        <v>4.0842985609999998</v>
      </c>
      <c r="H3565" s="3">
        <v>1.8300000000000001E-5</v>
      </c>
      <c r="I3565" s="2" t="s">
        <v>17432</v>
      </c>
      <c r="J3565" s="2" t="s">
        <v>17433</v>
      </c>
      <c r="K3565" s="3">
        <v>6.0900000000000003E-5</v>
      </c>
      <c r="L3565" s="2" t="s">
        <v>1178</v>
      </c>
      <c r="M3565" s="4" t="s">
        <v>17434</v>
      </c>
    </row>
    <row r="3566" spans="1:13">
      <c r="A3566" s="2">
        <v>3721</v>
      </c>
      <c r="B3566" s="2" t="s">
        <v>17435</v>
      </c>
      <c r="C3566" s="2">
        <v>14</v>
      </c>
      <c r="D3566" s="2">
        <v>556</v>
      </c>
      <c r="E3566" s="2">
        <v>200</v>
      </c>
      <c r="F3566" s="2">
        <v>32441</v>
      </c>
      <c r="G3566" s="2">
        <v>4.0842985609999998</v>
      </c>
      <c r="H3566" s="3">
        <v>1.8300000000000001E-5</v>
      </c>
      <c r="I3566" s="2" t="s">
        <v>17436</v>
      </c>
      <c r="J3566" s="2" t="s">
        <v>17437</v>
      </c>
      <c r="K3566" s="3">
        <v>6.0900000000000003E-5</v>
      </c>
      <c r="L3566" s="2" t="s">
        <v>1178</v>
      </c>
      <c r="M3566" s="4" t="s">
        <v>17438</v>
      </c>
    </row>
    <row r="3567" spans="1:13">
      <c r="A3567" s="2">
        <v>37231</v>
      </c>
      <c r="B3567" s="2" t="s">
        <v>17439</v>
      </c>
      <c r="C3567" s="2">
        <v>14</v>
      </c>
      <c r="D3567" s="2">
        <v>556</v>
      </c>
      <c r="E3567" s="2">
        <v>200</v>
      </c>
      <c r="F3567" s="2">
        <v>32441</v>
      </c>
      <c r="G3567" s="2">
        <v>4.0842985609999998</v>
      </c>
      <c r="H3567" s="3">
        <v>1.8300000000000001E-5</v>
      </c>
      <c r="I3567" s="2" t="s">
        <v>17440</v>
      </c>
      <c r="J3567" s="2" t="s">
        <v>17441</v>
      </c>
      <c r="K3567" s="3">
        <v>6.0900000000000003E-5</v>
      </c>
      <c r="L3567" s="2" t="s">
        <v>1178</v>
      </c>
      <c r="M3567" s="4" t="s">
        <v>17442</v>
      </c>
    </row>
    <row r="3568" spans="1:13">
      <c r="A3568" s="2">
        <v>3755</v>
      </c>
      <c r="B3568" s="2" t="s">
        <v>17443</v>
      </c>
      <c r="C3568" s="2">
        <v>14</v>
      </c>
      <c r="D3568" s="2">
        <v>556</v>
      </c>
      <c r="E3568" s="2">
        <v>200</v>
      </c>
      <c r="F3568" s="2">
        <v>32441</v>
      </c>
      <c r="G3568" s="2">
        <v>4.0842985609999998</v>
      </c>
      <c r="H3568" s="3">
        <v>1.8300000000000001E-5</v>
      </c>
      <c r="I3568" s="2" t="s">
        <v>17444</v>
      </c>
      <c r="J3568" s="2" t="s">
        <v>17445</v>
      </c>
      <c r="K3568" s="3">
        <v>6.0900000000000003E-5</v>
      </c>
      <c r="L3568" s="2" t="s">
        <v>1178</v>
      </c>
      <c r="M3568" s="4" t="s">
        <v>17446</v>
      </c>
    </row>
    <row r="3569" spans="1:13">
      <c r="A3569" s="2">
        <v>3756</v>
      </c>
      <c r="B3569" s="2" t="s">
        <v>17447</v>
      </c>
      <c r="C3569" s="2">
        <v>14</v>
      </c>
      <c r="D3569" s="2">
        <v>556</v>
      </c>
      <c r="E3569" s="2">
        <v>199</v>
      </c>
      <c r="F3569" s="2">
        <v>32441</v>
      </c>
      <c r="G3569" s="2">
        <v>4.1048226750000003</v>
      </c>
      <c r="H3569" s="3">
        <v>1.7399999999999999E-5</v>
      </c>
      <c r="I3569" s="2" t="s">
        <v>17448</v>
      </c>
      <c r="J3569" s="2" t="s">
        <v>17449</v>
      </c>
      <c r="K3569" s="3">
        <v>6.0900000000000003E-5</v>
      </c>
      <c r="L3569" s="2" t="s">
        <v>1178</v>
      </c>
      <c r="M3569" s="4" t="s">
        <v>17450</v>
      </c>
    </row>
    <row r="3570" spans="1:13">
      <c r="A3570" s="2">
        <v>3758</v>
      </c>
      <c r="B3570" s="2" t="s">
        <v>17451</v>
      </c>
      <c r="C3570" s="2">
        <v>14</v>
      </c>
      <c r="D3570" s="2">
        <v>556</v>
      </c>
      <c r="E3570" s="2">
        <v>200</v>
      </c>
      <c r="F3570" s="2">
        <v>32441</v>
      </c>
      <c r="G3570" s="2">
        <v>4.0842985609999998</v>
      </c>
      <c r="H3570" s="3">
        <v>1.8300000000000001E-5</v>
      </c>
      <c r="I3570" s="2" t="s">
        <v>17452</v>
      </c>
      <c r="J3570" s="2" t="s">
        <v>17453</v>
      </c>
      <c r="K3570" s="3">
        <v>6.0900000000000003E-5</v>
      </c>
      <c r="L3570" s="2" t="s">
        <v>1178</v>
      </c>
      <c r="M3570" s="4" t="s">
        <v>17454</v>
      </c>
    </row>
    <row r="3571" spans="1:13">
      <c r="A3571" s="2">
        <v>3766</v>
      </c>
      <c r="B3571" s="2" t="s">
        <v>2253</v>
      </c>
      <c r="C3571" s="2">
        <v>14</v>
      </c>
      <c r="D3571" s="2">
        <v>556</v>
      </c>
      <c r="E3571" s="2">
        <v>200</v>
      </c>
      <c r="F3571" s="2">
        <v>32441</v>
      </c>
      <c r="G3571" s="2">
        <v>4.0842985609999998</v>
      </c>
      <c r="H3571" s="3">
        <v>1.8300000000000001E-5</v>
      </c>
      <c r="I3571" s="2" t="s">
        <v>17455</v>
      </c>
      <c r="J3571" s="2" t="s">
        <v>17456</v>
      </c>
      <c r="K3571" s="3">
        <v>6.0900000000000003E-5</v>
      </c>
      <c r="L3571" s="2" t="s">
        <v>1178</v>
      </c>
      <c r="M3571" s="4" t="s">
        <v>17457</v>
      </c>
    </row>
    <row r="3572" spans="1:13">
      <c r="A3572" s="2">
        <v>3823</v>
      </c>
      <c r="B3572" s="2" t="s">
        <v>17458</v>
      </c>
      <c r="C3572" s="2">
        <v>14</v>
      </c>
      <c r="D3572" s="2">
        <v>556</v>
      </c>
      <c r="E3572" s="2">
        <v>200</v>
      </c>
      <c r="F3572" s="2">
        <v>32441</v>
      </c>
      <c r="G3572" s="2">
        <v>4.0842985609999998</v>
      </c>
      <c r="H3572" s="3">
        <v>1.8300000000000001E-5</v>
      </c>
      <c r="I3572" s="2" t="s">
        <v>17459</v>
      </c>
      <c r="J3572" s="2" t="s">
        <v>17460</v>
      </c>
      <c r="K3572" s="3">
        <v>6.0900000000000003E-5</v>
      </c>
      <c r="L3572" s="2" t="s">
        <v>1178</v>
      </c>
      <c r="M3572" s="4" t="s">
        <v>17461</v>
      </c>
    </row>
    <row r="3573" spans="1:13">
      <c r="A3573" s="2">
        <v>38441</v>
      </c>
      <c r="B3573" s="2" t="s">
        <v>17462</v>
      </c>
      <c r="C3573" s="2">
        <v>14</v>
      </c>
      <c r="D3573" s="2">
        <v>556</v>
      </c>
      <c r="E3573" s="2">
        <v>200</v>
      </c>
      <c r="F3573" s="2">
        <v>32441</v>
      </c>
      <c r="G3573" s="2">
        <v>4.0842985609999998</v>
      </c>
      <c r="H3573" s="3">
        <v>1.8300000000000001E-5</v>
      </c>
      <c r="I3573" s="2" t="s">
        <v>17463</v>
      </c>
      <c r="J3573" s="2" t="s">
        <v>17464</v>
      </c>
      <c r="K3573" s="3">
        <v>6.0900000000000003E-5</v>
      </c>
      <c r="L3573" s="2" t="s">
        <v>1178</v>
      </c>
      <c r="M3573" s="4" t="s">
        <v>17465</v>
      </c>
    </row>
    <row r="3574" spans="1:13">
      <c r="A3574" s="2">
        <v>3922</v>
      </c>
      <c r="B3574" s="2" t="s">
        <v>17466</v>
      </c>
      <c r="C3574" s="2">
        <v>14</v>
      </c>
      <c r="D3574" s="2">
        <v>556</v>
      </c>
      <c r="E3574" s="2">
        <v>200</v>
      </c>
      <c r="F3574" s="2">
        <v>32441</v>
      </c>
      <c r="G3574" s="2">
        <v>4.0842985609999998</v>
      </c>
      <c r="H3574" s="3">
        <v>1.8300000000000001E-5</v>
      </c>
      <c r="I3574" s="2" t="s">
        <v>17467</v>
      </c>
      <c r="J3574" s="2" t="s">
        <v>17468</v>
      </c>
      <c r="K3574" s="3">
        <v>6.0900000000000003E-5</v>
      </c>
      <c r="L3574" s="2" t="s">
        <v>1178</v>
      </c>
      <c r="M3574" s="4" t="s">
        <v>17469</v>
      </c>
    </row>
    <row r="3575" spans="1:13">
      <c r="A3575" s="2">
        <v>39831</v>
      </c>
      <c r="B3575" s="2" t="s">
        <v>17470</v>
      </c>
      <c r="C3575" s="2">
        <v>14</v>
      </c>
      <c r="D3575" s="2">
        <v>556</v>
      </c>
      <c r="E3575" s="2">
        <v>199</v>
      </c>
      <c r="F3575" s="2">
        <v>32441</v>
      </c>
      <c r="G3575" s="2">
        <v>4.1048226750000003</v>
      </c>
      <c r="H3575" s="3">
        <v>1.7399999999999999E-5</v>
      </c>
      <c r="I3575" s="2" t="s">
        <v>17471</v>
      </c>
      <c r="J3575" s="2" t="s">
        <v>17472</v>
      </c>
      <c r="K3575" s="3">
        <v>6.0900000000000003E-5</v>
      </c>
      <c r="L3575" s="2" t="s">
        <v>1178</v>
      </c>
      <c r="M3575" s="4" t="s">
        <v>17473</v>
      </c>
    </row>
    <row r="3576" spans="1:13">
      <c r="A3576" s="2">
        <v>3986</v>
      </c>
      <c r="B3576" s="2" t="s">
        <v>17474</v>
      </c>
      <c r="C3576" s="2">
        <v>14</v>
      </c>
      <c r="D3576" s="2">
        <v>556</v>
      </c>
      <c r="E3576" s="2">
        <v>200</v>
      </c>
      <c r="F3576" s="2">
        <v>32441</v>
      </c>
      <c r="G3576" s="2">
        <v>4.0842985609999998</v>
      </c>
      <c r="H3576" s="3">
        <v>1.8300000000000001E-5</v>
      </c>
      <c r="I3576" s="2" t="s">
        <v>17475</v>
      </c>
      <c r="J3576" s="2" t="s">
        <v>17476</v>
      </c>
      <c r="K3576" s="3">
        <v>6.0900000000000003E-5</v>
      </c>
      <c r="L3576" s="2" t="s">
        <v>1178</v>
      </c>
      <c r="M3576" s="4" t="s">
        <v>17477</v>
      </c>
    </row>
    <row r="3577" spans="1:13">
      <c r="A3577" s="2">
        <v>39871</v>
      </c>
      <c r="B3577" s="2" t="s">
        <v>17478</v>
      </c>
      <c r="C3577" s="2">
        <v>14</v>
      </c>
      <c r="D3577" s="2">
        <v>556</v>
      </c>
      <c r="E3577" s="2">
        <v>199</v>
      </c>
      <c r="F3577" s="2">
        <v>32441</v>
      </c>
      <c r="G3577" s="2">
        <v>4.1048226750000003</v>
      </c>
      <c r="H3577" s="3">
        <v>1.7399999999999999E-5</v>
      </c>
      <c r="I3577" s="2" t="s">
        <v>17479</v>
      </c>
      <c r="J3577" s="2" t="s">
        <v>17480</v>
      </c>
      <c r="K3577" s="3">
        <v>6.0900000000000003E-5</v>
      </c>
      <c r="L3577" s="2" t="s">
        <v>1178</v>
      </c>
      <c r="M3577" s="4" t="s">
        <v>17481</v>
      </c>
    </row>
    <row r="3578" spans="1:13">
      <c r="A3578" s="2">
        <v>39961</v>
      </c>
      <c r="B3578" s="2" t="s">
        <v>2262</v>
      </c>
      <c r="C3578" s="2">
        <v>14</v>
      </c>
      <c r="D3578" s="2">
        <v>556</v>
      </c>
      <c r="E3578" s="2">
        <v>200</v>
      </c>
      <c r="F3578" s="2">
        <v>32441</v>
      </c>
      <c r="G3578" s="2">
        <v>4.0842985609999998</v>
      </c>
      <c r="H3578" s="3">
        <v>1.8300000000000001E-5</v>
      </c>
      <c r="I3578" s="2" t="s">
        <v>17482</v>
      </c>
      <c r="J3578" s="2" t="s">
        <v>17483</v>
      </c>
      <c r="K3578" s="3">
        <v>6.0900000000000003E-5</v>
      </c>
      <c r="L3578" s="2" t="s">
        <v>1178</v>
      </c>
      <c r="M3578" s="4" t="s">
        <v>17484</v>
      </c>
    </row>
    <row r="3579" spans="1:13">
      <c r="A3579" s="2">
        <v>4063</v>
      </c>
      <c r="B3579" s="2" t="s">
        <v>17485</v>
      </c>
      <c r="C3579" s="2">
        <v>14</v>
      </c>
      <c r="D3579" s="2">
        <v>556</v>
      </c>
      <c r="E3579" s="2">
        <v>200</v>
      </c>
      <c r="F3579" s="2">
        <v>32441</v>
      </c>
      <c r="G3579" s="2">
        <v>4.0842985609999998</v>
      </c>
      <c r="H3579" s="3">
        <v>1.8300000000000001E-5</v>
      </c>
      <c r="I3579" s="2" t="s">
        <v>17486</v>
      </c>
      <c r="J3579" s="2" t="s">
        <v>17487</v>
      </c>
      <c r="K3579" s="3">
        <v>6.0900000000000003E-5</v>
      </c>
      <c r="L3579" s="2" t="s">
        <v>1178</v>
      </c>
      <c r="M3579" s="4" t="s">
        <v>17488</v>
      </c>
    </row>
    <row r="3580" spans="1:13">
      <c r="A3580" s="2">
        <v>4127</v>
      </c>
      <c r="B3580" s="2" t="s">
        <v>3290</v>
      </c>
      <c r="C3580" s="2">
        <v>14</v>
      </c>
      <c r="D3580" s="2">
        <v>556</v>
      </c>
      <c r="E3580" s="2">
        <v>200</v>
      </c>
      <c r="F3580" s="2">
        <v>32441</v>
      </c>
      <c r="G3580" s="2">
        <v>4.0842985609999998</v>
      </c>
      <c r="H3580" s="3">
        <v>1.8300000000000001E-5</v>
      </c>
      <c r="I3580" s="2" t="s">
        <v>17489</v>
      </c>
      <c r="J3580" s="2" t="s">
        <v>17490</v>
      </c>
      <c r="K3580" s="3">
        <v>6.0900000000000003E-5</v>
      </c>
      <c r="L3580" s="2" t="s">
        <v>1178</v>
      </c>
      <c r="M3580" s="4" t="s">
        <v>3293</v>
      </c>
    </row>
    <row r="3581" spans="1:13">
      <c r="A3581" s="2">
        <v>4161</v>
      </c>
      <c r="B3581" s="2" t="s">
        <v>17491</v>
      </c>
      <c r="C3581" s="2">
        <v>14</v>
      </c>
      <c r="D3581" s="2">
        <v>556</v>
      </c>
      <c r="E3581" s="2">
        <v>200</v>
      </c>
      <c r="F3581" s="2">
        <v>32441</v>
      </c>
      <c r="G3581" s="2">
        <v>4.0842985609999998</v>
      </c>
      <c r="H3581" s="3">
        <v>1.8300000000000001E-5</v>
      </c>
      <c r="I3581" s="2" t="s">
        <v>17492</v>
      </c>
      <c r="J3581" s="2" t="s">
        <v>17493</v>
      </c>
      <c r="K3581" s="3">
        <v>6.0900000000000003E-5</v>
      </c>
      <c r="L3581" s="2" t="s">
        <v>1178</v>
      </c>
      <c r="M3581" s="4" t="s">
        <v>17494</v>
      </c>
    </row>
    <row r="3582" spans="1:13">
      <c r="A3582" s="2">
        <v>4184</v>
      </c>
      <c r="B3582" s="2" t="s">
        <v>17495</v>
      </c>
      <c r="C3582" s="2">
        <v>14</v>
      </c>
      <c r="D3582" s="2">
        <v>556</v>
      </c>
      <c r="E3582" s="2">
        <v>200</v>
      </c>
      <c r="F3582" s="2">
        <v>32441</v>
      </c>
      <c r="G3582" s="2">
        <v>4.0842985609999998</v>
      </c>
      <c r="H3582" s="3">
        <v>1.8300000000000001E-5</v>
      </c>
      <c r="I3582" s="2" t="s">
        <v>17496</v>
      </c>
      <c r="J3582" s="2" t="s">
        <v>17497</v>
      </c>
      <c r="K3582" s="3">
        <v>6.0900000000000003E-5</v>
      </c>
      <c r="L3582" s="2" t="s">
        <v>1178</v>
      </c>
      <c r="M3582" s="4" t="s">
        <v>17498</v>
      </c>
    </row>
    <row r="3583" spans="1:13">
      <c r="A3583" s="2">
        <v>4202</v>
      </c>
      <c r="B3583" s="2" t="s">
        <v>17499</v>
      </c>
      <c r="C3583" s="2">
        <v>14</v>
      </c>
      <c r="D3583" s="2">
        <v>556</v>
      </c>
      <c r="E3583" s="2">
        <v>199</v>
      </c>
      <c r="F3583" s="2">
        <v>32441</v>
      </c>
      <c r="G3583" s="2">
        <v>4.1048226750000003</v>
      </c>
      <c r="H3583" s="3">
        <v>1.7399999999999999E-5</v>
      </c>
      <c r="I3583" s="2" t="s">
        <v>17500</v>
      </c>
      <c r="J3583" s="2" t="s">
        <v>17501</v>
      </c>
      <c r="K3583" s="3">
        <v>6.0900000000000003E-5</v>
      </c>
      <c r="L3583" s="2" t="s">
        <v>1178</v>
      </c>
      <c r="M3583" s="4" t="s">
        <v>17502</v>
      </c>
    </row>
    <row r="3584" spans="1:13">
      <c r="A3584" s="2">
        <v>4208</v>
      </c>
      <c r="B3584" s="2" t="s">
        <v>17503</v>
      </c>
      <c r="C3584" s="2">
        <v>14</v>
      </c>
      <c r="D3584" s="2">
        <v>556</v>
      </c>
      <c r="E3584" s="2">
        <v>200</v>
      </c>
      <c r="F3584" s="2">
        <v>32441</v>
      </c>
      <c r="G3584" s="2">
        <v>4.0842985609999998</v>
      </c>
      <c r="H3584" s="3">
        <v>1.8300000000000001E-5</v>
      </c>
      <c r="I3584" s="2" t="s">
        <v>17504</v>
      </c>
      <c r="J3584" s="2" t="s">
        <v>17505</v>
      </c>
      <c r="K3584" s="3">
        <v>6.0900000000000003E-5</v>
      </c>
      <c r="L3584" s="2" t="s">
        <v>1178</v>
      </c>
      <c r="M3584" s="4" t="s">
        <v>17506</v>
      </c>
    </row>
    <row r="3585" spans="1:13">
      <c r="A3585" s="2">
        <v>4210</v>
      </c>
      <c r="B3585" s="2" t="s">
        <v>17507</v>
      </c>
      <c r="C3585" s="2">
        <v>14</v>
      </c>
      <c r="D3585" s="2">
        <v>556</v>
      </c>
      <c r="E3585" s="2">
        <v>199</v>
      </c>
      <c r="F3585" s="2">
        <v>32441</v>
      </c>
      <c r="G3585" s="2">
        <v>4.1048226750000003</v>
      </c>
      <c r="H3585" s="3">
        <v>1.7399999999999999E-5</v>
      </c>
      <c r="I3585" s="2" t="s">
        <v>17508</v>
      </c>
      <c r="J3585" s="2" t="s">
        <v>17509</v>
      </c>
      <c r="K3585" s="3">
        <v>6.0900000000000003E-5</v>
      </c>
      <c r="L3585" s="2" t="s">
        <v>1178</v>
      </c>
      <c r="M3585" s="4" t="s">
        <v>17510</v>
      </c>
    </row>
    <row r="3586" spans="1:13">
      <c r="A3586" s="2">
        <v>4292</v>
      </c>
      <c r="B3586" s="2" t="s">
        <v>17511</v>
      </c>
      <c r="C3586" s="2">
        <v>14</v>
      </c>
      <c r="D3586" s="2">
        <v>556</v>
      </c>
      <c r="E3586" s="2">
        <v>200</v>
      </c>
      <c r="F3586" s="2">
        <v>32441</v>
      </c>
      <c r="G3586" s="2">
        <v>4.0842985609999998</v>
      </c>
      <c r="H3586" s="3">
        <v>1.8300000000000001E-5</v>
      </c>
      <c r="I3586" s="2" t="s">
        <v>17512</v>
      </c>
      <c r="J3586" s="2" t="s">
        <v>17513</v>
      </c>
      <c r="K3586" s="3">
        <v>6.0900000000000003E-5</v>
      </c>
      <c r="L3586" s="2" t="s">
        <v>1178</v>
      </c>
      <c r="M3586" s="4" t="s">
        <v>17514</v>
      </c>
    </row>
    <row r="3587" spans="1:13">
      <c r="A3587" s="2">
        <v>4294</v>
      </c>
      <c r="B3587" s="2" t="s">
        <v>17515</v>
      </c>
      <c r="C3587" s="2">
        <v>14</v>
      </c>
      <c r="D3587" s="2">
        <v>556</v>
      </c>
      <c r="E3587" s="2">
        <v>200</v>
      </c>
      <c r="F3587" s="2">
        <v>32441</v>
      </c>
      <c r="G3587" s="2">
        <v>4.0842985609999998</v>
      </c>
      <c r="H3587" s="3">
        <v>1.8300000000000001E-5</v>
      </c>
      <c r="I3587" s="2" t="s">
        <v>17516</v>
      </c>
      <c r="J3587" s="2" t="s">
        <v>17517</v>
      </c>
      <c r="K3587" s="3">
        <v>6.0900000000000003E-5</v>
      </c>
      <c r="L3587" s="2" t="s">
        <v>1178</v>
      </c>
      <c r="M3587" s="4" t="s">
        <v>17518</v>
      </c>
    </row>
    <row r="3588" spans="1:13">
      <c r="A3588" s="2">
        <v>4296</v>
      </c>
      <c r="B3588" s="2" t="s">
        <v>17519</v>
      </c>
      <c r="C3588" s="2">
        <v>14</v>
      </c>
      <c r="D3588" s="2">
        <v>556</v>
      </c>
      <c r="E3588" s="2">
        <v>200</v>
      </c>
      <c r="F3588" s="2">
        <v>32441</v>
      </c>
      <c r="G3588" s="2">
        <v>4.0842985609999998</v>
      </c>
      <c r="H3588" s="3">
        <v>1.8300000000000001E-5</v>
      </c>
      <c r="I3588" s="2" t="s">
        <v>17520</v>
      </c>
      <c r="J3588" s="2" t="s">
        <v>17521</v>
      </c>
      <c r="K3588" s="3">
        <v>6.0900000000000003E-5</v>
      </c>
      <c r="L3588" s="2" t="s">
        <v>1178</v>
      </c>
      <c r="M3588" s="4" t="s">
        <v>17522</v>
      </c>
    </row>
    <row r="3589" spans="1:13">
      <c r="A3589" s="2">
        <v>4348</v>
      </c>
      <c r="B3589" s="2" t="s">
        <v>1524</v>
      </c>
      <c r="C3589" s="2">
        <v>14</v>
      </c>
      <c r="D3589" s="2">
        <v>556</v>
      </c>
      <c r="E3589" s="2">
        <v>200</v>
      </c>
      <c r="F3589" s="2">
        <v>32441</v>
      </c>
      <c r="G3589" s="2">
        <v>4.0842985609999998</v>
      </c>
      <c r="H3589" s="3">
        <v>1.8300000000000001E-5</v>
      </c>
      <c r="I3589" s="2" t="s">
        <v>17523</v>
      </c>
      <c r="J3589" s="2" t="s">
        <v>17524</v>
      </c>
      <c r="K3589" s="3">
        <v>6.0900000000000003E-5</v>
      </c>
      <c r="L3589" s="2" t="s">
        <v>1178</v>
      </c>
      <c r="M3589" s="4" t="s">
        <v>17525</v>
      </c>
    </row>
    <row r="3590" spans="1:13">
      <c r="A3590" s="2">
        <v>4349</v>
      </c>
      <c r="B3590" s="2" t="s">
        <v>17526</v>
      </c>
      <c r="C3590" s="2">
        <v>14</v>
      </c>
      <c r="D3590" s="2">
        <v>556</v>
      </c>
      <c r="E3590" s="2">
        <v>200</v>
      </c>
      <c r="F3590" s="2">
        <v>32441</v>
      </c>
      <c r="G3590" s="2">
        <v>4.0842985609999998</v>
      </c>
      <c r="H3590" s="3">
        <v>1.8300000000000001E-5</v>
      </c>
      <c r="I3590" s="2" t="s">
        <v>17527</v>
      </c>
      <c r="J3590" s="2" t="s">
        <v>17528</v>
      </c>
      <c r="K3590" s="3">
        <v>6.0900000000000003E-5</v>
      </c>
      <c r="L3590" s="2" t="s">
        <v>1178</v>
      </c>
      <c r="M3590" s="4" t="s">
        <v>17529</v>
      </c>
    </row>
    <row r="3591" spans="1:13">
      <c r="A3591" s="2">
        <v>43541</v>
      </c>
      <c r="B3591" s="2" t="s">
        <v>17530</v>
      </c>
      <c r="C3591" s="2">
        <v>14</v>
      </c>
      <c r="D3591" s="2">
        <v>556</v>
      </c>
      <c r="E3591" s="2">
        <v>200</v>
      </c>
      <c r="F3591" s="2">
        <v>32441</v>
      </c>
      <c r="G3591" s="2">
        <v>4.0842985609999998</v>
      </c>
      <c r="H3591" s="3">
        <v>1.8300000000000001E-5</v>
      </c>
      <c r="I3591" s="2" t="s">
        <v>17531</v>
      </c>
      <c r="J3591" s="2" t="s">
        <v>17532</v>
      </c>
      <c r="K3591" s="3">
        <v>6.0900000000000003E-5</v>
      </c>
      <c r="L3591" s="2" t="s">
        <v>1178</v>
      </c>
      <c r="M3591" s="4" t="s">
        <v>17533</v>
      </c>
    </row>
    <row r="3592" spans="1:13">
      <c r="A3592" s="2">
        <v>4356</v>
      </c>
      <c r="B3592" s="2" t="s">
        <v>17534</v>
      </c>
      <c r="C3592" s="2">
        <v>14</v>
      </c>
      <c r="D3592" s="2">
        <v>556</v>
      </c>
      <c r="E3592" s="2">
        <v>200</v>
      </c>
      <c r="F3592" s="2">
        <v>32441</v>
      </c>
      <c r="G3592" s="2">
        <v>4.0842985609999998</v>
      </c>
      <c r="H3592" s="3">
        <v>1.8300000000000001E-5</v>
      </c>
      <c r="I3592" s="2" t="s">
        <v>17535</v>
      </c>
      <c r="J3592" s="2" t="s">
        <v>17536</v>
      </c>
      <c r="K3592" s="3">
        <v>6.0900000000000003E-5</v>
      </c>
      <c r="L3592" s="2" t="s">
        <v>1178</v>
      </c>
      <c r="M3592" s="4" t="s">
        <v>17537</v>
      </c>
    </row>
    <row r="3593" spans="1:13">
      <c r="A3593" s="2">
        <v>43792</v>
      </c>
      <c r="B3593" s="2" t="s">
        <v>17538</v>
      </c>
      <c r="C3593" s="2">
        <v>14</v>
      </c>
      <c r="D3593" s="2">
        <v>556</v>
      </c>
      <c r="E3593" s="2">
        <v>200</v>
      </c>
      <c r="F3593" s="2">
        <v>32441</v>
      </c>
      <c r="G3593" s="2">
        <v>4.0842985609999998</v>
      </c>
      <c r="H3593" s="3">
        <v>1.8300000000000001E-5</v>
      </c>
      <c r="I3593" s="2" t="s">
        <v>17539</v>
      </c>
      <c r="J3593" s="2" t="s">
        <v>17540</v>
      </c>
      <c r="K3593" s="3">
        <v>6.0900000000000003E-5</v>
      </c>
      <c r="L3593" s="2" t="s">
        <v>1178</v>
      </c>
      <c r="M3593" s="4" t="s">
        <v>17541</v>
      </c>
    </row>
    <row r="3594" spans="1:13">
      <c r="A3594" s="2">
        <v>4393</v>
      </c>
      <c r="B3594" s="2" t="s">
        <v>17542</v>
      </c>
      <c r="C3594" s="2">
        <v>14</v>
      </c>
      <c r="D3594" s="2">
        <v>556</v>
      </c>
      <c r="E3594" s="2">
        <v>200</v>
      </c>
      <c r="F3594" s="2">
        <v>32441</v>
      </c>
      <c r="G3594" s="2">
        <v>4.0842985609999998</v>
      </c>
      <c r="H3594" s="3">
        <v>1.8300000000000001E-5</v>
      </c>
      <c r="I3594" s="2" t="s">
        <v>17543</v>
      </c>
      <c r="J3594" s="2" t="s">
        <v>17544</v>
      </c>
      <c r="K3594" s="3">
        <v>6.0900000000000003E-5</v>
      </c>
      <c r="L3594" s="2" t="s">
        <v>1178</v>
      </c>
      <c r="M3594" s="4" t="s">
        <v>17545</v>
      </c>
    </row>
    <row r="3595" spans="1:13">
      <c r="A3595" s="2">
        <v>44301</v>
      </c>
      <c r="B3595" s="2" t="s">
        <v>17546</v>
      </c>
      <c r="C3595" s="2">
        <v>14</v>
      </c>
      <c r="D3595" s="2">
        <v>556</v>
      </c>
      <c r="E3595" s="2">
        <v>200</v>
      </c>
      <c r="F3595" s="2">
        <v>32441</v>
      </c>
      <c r="G3595" s="2">
        <v>4.0842985609999998</v>
      </c>
      <c r="H3595" s="3">
        <v>1.8300000000000001E-5</v>
      </c>
      <c r="I3595" s="2" t="s">
        <v>17547</v>
      </c>
      <c r="J3595" s="2" t="s">
        <v>17548</v>
      </c>
      <c r="K3595" s="3">
        <v>6.0900000000000003E-5</v>
      </c>
      <c r="L3595" s="2" t="s">
        <v>1178</v>
      </c>
      <c r="M3595" s="4" t="s">
        <v>17549</v>
      </c>
    </row>
    <row r="3596" spans="1:13">
      <c r="A3596" s="2">
        <v>44441</v>
      </c>
      <c r="B3596" s="2" t="s">
        <v>17550</v>
      </c>
      <c r="C3596" s="2">
        <v>14</v>
      </c>
      <c r="D3596" s="2">
        <v>556</v>
      </c>
      <c r="E3596" s="2">
        <v>200</v>
      </c>
      <c r="F3596" s="2">
        <v>32441</v>
      </c>
      <c r="G3596" s="2">
        <v>4.0842985609999998</v>
      </c>
      <c r="H3596" s="3">
        <v>1.8300000000000001E-5</v>
      </c>
      <c r="I3596" s="2" t="s">
        <v>17551</v>
      </c>
      <c r="J3596" s="2" t="s">
        <v>17552</v>
      </c>
      <c r="K3596" s="3">
        <v>6.0900000000000003E-5</v>
      </c>
      <c r="L3596" s="2" t="s">
        <v>1178</v>
      </c>
      <c r="M3596" s="4" t="s">
        <v>17553</v>
      </c>
    </row>
    <row r="3597" spans="1:13">
      <c r="A3597" s="2">
        <v>44471</v>
      </c>
      <c r="B3597" s="2" t="s">
        <v>17554</v>
      </c>
      <c r="C3597" s="2">
        <v>14</v>
      </c>
      <c r="D3597" s="2">
        <v>556</v>
      </c>
      <c r="E3597" s="2">
        <v>200</v>
      </c>
      <c r="F3597" s="2">
        <v>32441</v>
      </c>
      <c r="G3597" s="2">
        <v>4.0842985609999998</v>
      </c>
      <c r="H3597" s="3">
        <v>1.8300000000000001E-5</v>
      </c>
      <c r="I3597" s="2" t="s">
        <v>17555</v>
      </c>
      <c r="J3597" s="2" t="s">
        <v>17556</v>
      </c>
      <c r="K3597" s="3">
        <v>6.0900000000000003E-5</v>
      </c>
      <c r="L3597" s="2" t="s">
        <v>1178</v>
      </c>
      <c r="M3597" s="4" t="s">
        <v>17557</v>
      </c>
    </row>
    <row r="3598" spans="1:13">
      <c r="A3598" s="2">
        <v>4477</v>
      </c>
      <c r="B3598" s="2" t="s">
        <v>3188</v>
      </c>
      <c r="C3598" s="2">
        <v>14</v>
      </c>
      <c r="D3598" s="2">
        <v>556</v>
      </c>
      <c r="E3598" s="2">
        <v>200</v>
      </c>
      <c r="F3598" s="2">
        <v>32441</v>
      </c>
      <c r="G3598" s="2">
        <v>4.0842985609999998</v>
      </c>
      <c r="H3598" s="3">
        <v>1.8300000000000001E-5</v>
      </c>
      <c r="I3598" s="2" t="s">
        <v>17558</v>
      </c>
      <c r="J3598" s="2" t="s">
        <v>17559</v>
      </c>
      <c r="K3598" s="3">
        <v>6.0900000000000003E-5</v>
      </c>
      <c r="L3598" s="2" t="s">
        <v>1178</v>
      </c>
      <c r="M3598" s="4" t="s">
        <v>3191</v>
      </c>
    </row>
    <row r="3599" spans="1:13">
      <c r="A3599" s="2">
        <v>45211</v>
      </c>
      <c r="B3599" s="2" t="s">
        <v>17560</v>
      </c>
      <c r="C3599" s="2">
        <v>14</v>
      </c>
      <c r="D3599" s="2">
        <v>556</v>
      </c>
      <c r="E3599" s="2">
        <v>200</v>
      </c>
      <c r="F3599" s="2">
        <v>32441</v>
      </c>
      <c r="G3599" s="2">
        <v>4.0842985609999998</v>
      </c>
      <c r="H3599" s="3">
        <v>1.8300000000000001E-5</v>
      </c>
      <c r="I3599" s="2" t="s">
        <v>17561</v>
      </c>
      <c r="J3599" s="2" t="s">
        <v>17562</v>
      </c>
      <c r="K3599" s="3">
        <v>6.0900000000000003E-5</v>
      </c>
      <c r="L3599" s="2" t="s">
        <v>1178</v>
      </c>
      <c r="M3599" s="4" t="s">
        <v>17563</v>
      </c>
    </row>
    <row r="3600" spans="1:13">
      <c r="A3600" s="2">
        <v>45541</v>
      </c>
      <c r="B3600" s="2" t="s">
        <v>17564</v>
      </c>
      <c r="C3600" s="2">
        <v>14</v>
      </c>
      <c r="D3600" s="2">
        <v>556</v>
      </c>
      <c r="E3600" s="2">
        <v>200</v>
      </c>
      <c r="F3600" s="2">
        <v>32441</v>
      </c>
      <c r="G3600" s="2">
        <v>4.0842985609999998</v>
      </c>
      <c r="H3600" s="3">
        <v>1.8300000000000001E-5</v>
      </c>
      <c r="I3600" s="2" t="s">
        <v>17565</v>
      </c>
      <c r="J3600" s="2" t="s">
        <v>17566</v>
      </c>
      <c r="K3600" s="3">
        <v>6.0900000000000003E-5</v>
      </c>
      <c r="L3600" s="2" t="s">
        <v>1178</v>
      </c>
      <c r="M3600" s="4" t="s">
        <v>17567</v>
      </c>
    </row>
    <row r="3601" spans="1:13">
      <c r="A3601" s="2">
        <v>4578</v>
      </c>
      <c r="B3601" s="2" t="s">
        <v>17568</v>
      </c>
      <c r="C3601" s="2">
        <v>14</v>
      </c>
      <c r="D3601" s="2">
        <v>556</v>
      </c>
      <c r="E3601" s="2">
        <v>200</v>
      </c>
      <c r="F3601" s="2">
        <v>32441</v>
      </c>
      <c r="G3601" s="2">
        <v>4.0842985609999998</v>
      </c>
      <c r="H3601" s="3">
        <v>1.8300000000000001E-5</v>
      </c>
      <c r="I3601" s="2" t="s">
        <v>17569</v>
      </c>
      <c r="J3601" s="2" t="s">
        <v>17570</v>
      </c>
      <c r="K3601" s="3">
        <v>6.0900000000000003E-5</v>
      </c>
      <c r="L3601" s="2" t="s">
        <v>1178</v>
      </c>
      <c r="M3601" s="4" t="s">
        <v>17571</v>
      </c>
    </row>
    <row r="3602" spans="1:13">
      <c r="A3602" s="2">
        <v>4616</v>
      </c>
      <c r="B3602" s="2" t="s">
        <v>17572</v>
      </c>
      <c r="C3602" s="2">
        <v>14</v>
      </c>
      <c r="D3602" s="2">
        <v>556</v>
      </c>
      <c r="E3602" s="2">
        <v>200</v>
      </c>
      <c r="F3602" s="2">
        <v>32441</v>
      </c>
      <c r="G3602" s="2">
        <v>4.0842985609999998</v>
      </c>
      <c r="H3602" s="3">
        <v>1.8300000000000001E-5</v>
      </c>
      <c r="I3602" s="2" t="s">
        <v>17573</v>
      </c>
      <c r="J3602" s="2" t="s">
        <v>17574</v>
      </c>
      <c r="K3602" s="3">
        <v>6.0900000000000003E-5</v>
      </c>
      <c r="L3602" s="2" t="s">
        <v>1178</v>
      </c>
      <c r="M3602" s="4" t="s">
        <v>17575</v>
      </c>
    </row>
    <row r="3603" spans="1:13">
      <c r="A3603" s="2">
        <v>4627</v>
      </c>
      <c r="B3603" s="2" t="s">
        <v>17576</v>
      </c>
      <c r="C3603" s="2">
        <v>14</v>
      </c>
      <c r="D3603" s="2">
        <v>556</v>
      </c>
      <c r="E3603" s="2">
        <v>200</v>
      </c>
      <c r="F3603" s="2">
        <v>32441</v>
      </c>
      <c r="G3603" s="2">
        <v>4.0842985609999998</v>
      </c>
      <c r="H3603" s="3">
        <v>1.8300000000000001E-5</v>
      </c>
      <c r="I3603" s="2" t="s">
        <v>17577</v>
      </c>
      <c r="J3603" s="2" t="s">
        <v>17578</v>
      </c>
      <c r="K3603" s="3">
        <v>6.0900000000000003E-5</v>
      </c>
      <c r="L3603" s="2" t="s">
        <v>1178</v>
      </c>
      <c r="M3603" s="4" t="s">
        <v>17579</v>
      </c>
    </row>
    <row r="3604" spans="1:13">
      <c r="A3604" s="2">
        <v>4633</v>
      </c>
      <c r="B3604" s="2" t="s">
        <v>2718</v>
      </c>
      <c r="C3604" s="2">
        <v>14</v>
      </c>
      <c r="D3604" s="2">
        <v>556</v>
      </c>
      <c r="E3604" s="2">
        <v>200</v>
      </c>
      <c r="F3604" s="2">
        <v>32441</v>
      </c>
      <c r="G3604" s="2">
        <v>4.0842985609999998</v>
      </c>
      <c r="H3604" s="3">
        <v>1.8300000000000001E-5</v>
      </c>
      <c r="I3604" s="2" t="s">
        <v>17580</v>
      </c>
      <c r="J3604" s="2" t="s">
        <v>17581</v>
      </c>
      <c r="K3604" s="3">
        <v>6.0900000000000003E-5</v>
      </c>
      <c r="L3604" s="2" t="s">
        <v>1178</v>
      </c>
      <c r="M3604" s="4" t="s">
        <v>17582</v>
      </c>
    </row>
    <row r="3605" spans="1:13">
      <c r="A3605" s="2">
        <v>4638</v>
      </c>
      <c r="B3605" s="2" t="s">
        <v>17583</v>
      </c>
      <c r="C3605" s="2">
        <v>14</v>
      </c>
      <c r="D3605" s="2">
        <v>556</v>
      </c>
      <c r="E3605" s="2">
        <v>200</v>
      </c>
      <c r="F3605" s="2">
        <v>32441</v>
      </c>
      <c r="G3605" s="2">
        <v>4.0842985609999998</v>
      </c>
      <c r="H3605" s="3">
        <v>1.8300000000000001E-5</v>
      </c>
      <c r="I3605" s="2" t="s">
        <v>17584</v>
      </c>
      <c r="J3605" s="2" t="s">
        <v>17585</v>
      </c>
      <c r="K3605" s="3">
        <v>6.0900000000000003E-5</v>
      </c>
      <c r="L3605" s="2" t="s">
        <v>1178</v>
      </c>
      <c r="M3605" s="4" t="s">
        <v>17586</v>
      </c>
    </row>
    <row r="3606" spans="1:13">
      <c r="A3606" s="2">
        <v>4699</v>
      </c>
      <c r="B3606" s="2" t="s">
        <v>17587</v>
      </c>
      <c r="C3606" s="2">
        <v>14</v>
      </c>
      <c r="D3606" s="2">
        <v>556</v>
      </c>
      <c r="E3606" s="2">
        <v>200</v>
      </c>
      <c r="F3606" s="2">
        <v>32441</v>
      </c>
      <c r="G3606" s="2">
        <v>4.0842985609999998</v>
      </c>
      <c r="H3606" s="3">
        <v>1.8300000000000001E-5</v>
      </c>
      <c r="I3606" s="2" t="s">
        <v>17588</v>
      </c>
      <c r="J3606" s="2" t="s">
        <v>17589</v>
      </c>
      <c r="K3606" s="3">
        <v>6.0900000000000003E-5</v>
      </c>
      <c r="L3606" s="2" t="s">
        <v>1178</v>
      </c>
      <c r="M3606" s="4" t="s">
        <v>17590</v>
      </c>
    </row>
    <row r="3607" spans="1:13">
      <c r="A3607" s="2">
        <v>47051</v>
      </c>
      <c r="B3607" s="2" t="s">
        <v>17591</v>
      </c>
      <c r="C3607" s="2">
        <v>14</v>
      </c>
      <c r="D3607" s="2">
        <v>556</v>
      </c>
      <c r="E3607" s="2">
        <v>200</v>
      </c>
      <c r="F3607" s="2">
        <v>32441</v>
      </c>
      <c r="G3607" s="2">
        <v>4.0842985609999998</v>
      </c>
      <c r="H3607" s="3">
        <v>1.8300000000000001E-5</v>
      </c>
      <c r="I3607" s="2" t="s">
        <v>17592</v>
      </c>
      <c r="J3607" s="2" t="s">
        <v>17593</v>
      </c>
      <c r="K3607" s="3">
        <v>6.0900000000000003E-5</v>
      </c>
      <c r="L3607" s="2" t="s">
        <v>1178</v>
      </c>
      <c r="M3607" s="4" t="s">
        <v>17594</v>
      </c>
    </row>
    <row r="3608" spans="1:13">
      <c r="A3608" s="2">
        <v>4724</v>
      </c>
      <c r="B3608" s="2" t="s">
        <v>17595</v>
      </c>
      <c r="C3608" s="2">
        <v>14</v>
      </c>
      <c r="D3608" s="2">
        <v>556</v>
      </c>
      <c r="E3608" s="2">
        <v>200</v>
      </c>
      <c r="F3608" s="2">
        <v>32441</v>
      </c>
      <c r="G3608" s="2">
        <v>4.0842985609999998</v>
      </c>
      <c r="H3608" s="3">
        <v>1.8300000000000001E-5</v>
      </c>
      <c r="I3608" s="2" t="s">
        <v>17596</v>
      </c>
      <c r="J3608" s="2" t="s">
        <v>17597</v>
      </c>
      <c r="K3608" s="3">
        <v>6.0900000000000003E-5</v>
      </c>
      <c r="L3608" s="2" t="s">
        <v>1178</v>
      </c>
      <c r="M3608" s="4" t="s">
        <v>17598</v>
      </c>
    </row>
    <row r="3609" spans="1:13">
      <c r="A3609" s="2">
        <v>4740</v>
      </c>
      <c r="B3609" s="2" t="s">
        <v>17599</v>
      </c>
      <c r="C3609" s="2">
        <v>14</v>
      </c>
      <c r="D3609" s="2">
        <v>556</v>
      </c>
      <c r="E3609" s="2">
        <v>200</v>
      </c>
      <c r="F3609" s="2">
        <v>32441</v>
      </c>
      <c r="G3609" s="2">
        <v>4.0842985609999998</v>
      </c>
      <c r="H3609" s="3">
        <v>1.8300000000000001E-5</v>
      </c>
      <c r="I3609" s="2" t="s">
        <v>17600</v>
      </c>
      <c r="J3609" s="2" t="s">
        <v>17601</v>
      </c>
      <c r="K3609" s="3">
        <v>6.0900000000000003E-5</v>
      </c>
      <c r="L3609" s="2" t="s">
        <v>1178</v>
      </c>
      <c r="M3609" s="4" t="s">
        <v>17602</v>
      </c>
    </row>
    <row r="3610" spans="1:13">
      <c r="A3610" s="2">
        <v>4767</v>
      </c>
      <c r="B3610" s="2" t="s">
        <v>3525</v>
      </c>
      <c r="C3610" s="2">
        <v>14</v>
      </c>
      <c r="D3610" s="2">
        <v>556</v>
      </c>
      <c r="E3610" s="2">
        <v>200</v>
      </c>
      <c r="F3610" s="2">
        <v>32441</v>
      </c>
      <c r="G3610" s="2">
        <v>4.0842985609999998</v>
      </c>
      <c r="H3610" s="3">
        <v>1.8300000000000001E-5</v>
      </c>
      <c r="I3610" s="2" t="s">
        <v>17603</v>
      </c>
      <c r="J3610" s="2" t="s">
        <v>17604</v>
      </c>
      <c r="K3610" s="3">
        <v>6.0900000000000003E-5</v>
      </c>
      <c r="L3610" s="2" t="s">
        <v>1178</v>
      </c>
      <c r="M3610" s="4" t="s">
        <v>3528</v>
      </c>
    </row>
    <row r="3611" spans="1:13">
      <c r="A3611" s="2">
        <v>4786</v>
      </c>
      <c r="B3611" s="2" t="s">
        <v>17605</v>
      </c>
      <c r="C3611" s="2">
        <v>14</v>
      </c>
      <c r="D3611" s="2">
        <v>556</v>
      </c>
      <c r="E3611" s="2">
        <v>199</v>
      </c>
      <c r="F3611" s="2">
        <v>32441</v>
      </c>
      <c r="G3611" s="2">
        <v>4.1048226750000003</v>
      </c>
      <c r="H3611" s="3">
        <v>1.7399999999999999E-5</v>
      </c>
      <c r="I3611" s="2" t="s">
        <v>17606</v>
      </c>
      <c r="J3611" s="2" t="s">
        <v>17607</v>
      </c>
      <c r="K3611" s="3">
        <v>6.0900000000000003E-5</v>
      </c>
      <c r="L3611" s="2" t="s">
        <v>1178</v>
      </c>
      <c r="M3611" s="4" t="s">
        <v>17608</v>
      </c>
    </row>
    <row r="3612" spans="1:13">
      <c r="A3612" s="2">
        <v>4788</v>
      </c>
      <c r="B3612" s="2" t="s">
        <v>17609</v>
      </c>
      <c r="C3612" s="2">
        <v>14</v>
      </c>
      <c r="D3612" s="2">
        <v>556</v>
      </c>
      <c r="E3612" s="2">
        <v>200</v>
      </c>
      <c r="F3612" s="2">
        <v>32441</v>
      </c>
      <c r="G3612" s="2">
        <v>4.0842985609999998</v>
      </c>
      <c r="H3612" s="3">
        <v>1.8300000000000001E-5</v>
      </c>
      <c r="I3612" s="2" t="s">
        <v>17610</v>
      </c>
      <c r="J3612" s="2" t="s">
        <v>17611</v>
      </c>
      <c r="K3612" s="3">
        <v>6.0900000000000003E-5</v>
      </c>
      <c r="L3612" s="2" t="s">
        <v>1178</v>
      </c>
      <c r="M3612" s="4" t="s">
        <v>17612</v>
      </c>
    </row>
    <row r="3613" spans="1:13">
      <c r="A3613" s="2">
        <v>4793</v>
      </c>
      <c r="B3613" s="2" t="s">
        <v>17613</v>
      </c>
      <c r="C3613" s="2">
        <v>14</v>
      </c>
      <c r="D3613" s="2">
        <v>556</v>
      </c>
      <c r="E3613" s="2">
        <v>200</v>
      </c>
      <c r="F3613" s="2">
        <v>32441</v>
      </c>
      <c r="G3613" s="2">
        <v>4.0842985609999998</v>
      </c>
      <c r="H3613" s="3">
        <v>1.8300000000000001E-5</v>
      </c>
      <c r="I3613" s="2" t="s">
        <v>17614</v>
      </c>
      <c r="J3613" s="2" t="s">
        <v>17615</v>
      </c>
      <c r="K3613" s="3">
        <v>6.0900000000000003E-5</v>
      </c>
      <c r="L3613" s="2" t="s">
        <v>1178</v>
      </c>
      <c r="M3613" s="4" t="s">
        <v>17616</v>
      </c>
    </row>
    <row r="3614" spans="1:13">
      <c r="A3614" s="2">
        <v>4809</v>
      </c>
      <c r="B3614" s="2" t="s">
        <v>17617</v>
      </c>
      <c r="C3614" s="2">
        <v>14</v>
      </c>
      <c r="D3614" s="2">
        <v>556</v>
      </c>
      <c r="E3614" s="2">
        <v>200</v>
      </c>
      <c r="F3614" s="2">
        <v>32441</v>
      </c>
      <c r="G3614" s="2">
        <v>4.0842985609999998</v>
      </c>
      <c r="H3614" s="3">
        <v>1.8300000000000001E-5</v>
      </c>
      <c r="I3614" s="2" t="s">
        <v>17618</v>
      </c>
      <c r="J3614" s="2" t="s">
        <v>17619</v>
      </c>
      <c r="K3614" s="3">
        <v>6.0900000000000003E-5</v>
      </c>
      <c r="L3614" s="2" t="s">
        <v>1178</v>
      </c>
      <c r="M3614" s="4" t="s">
        <v>17620</v>
      </c>
    </row>
    <row r="3615" spans="1:13">
      <c r="A3615" s="2">
        <v>4820</v>
      </c>
      <c r="B3615" s="2" t="s">
        <v>17621</v>
      </c>
      <c r="C3615" s="2">
        <v>14</v>
      </c>
      <c r="D3615" s="2">
        <v>556</v>
      </c>
      <c r="E3615" s="2">
        <v>200</v>
      </c>
      <c r="F3615" s="2">
        <v>32441</v>
      </c>
      <c r="G3615" s="2">
        <v>4.0842985609999998</v>
      </c>
      <c r="H3615" s="3">
        <v>1.8300000000000001E-5</v>
      </c>
      <c r="I3615" s="2" t="s">
        <v>17622</v>
      </c>
      <c r="J3615" s="2" t="s">
        <v>17623</v>
      </c>
      <c r="K3615" s="3">
        <v>6.0900000000000003E-5</v>
      </c>
      <c r="L3615" s="2" t="s">
        <v>1178</v>
      </c>
      <c r="M3615" s="4" t="s">
        <v>17624</v>
      </c>
    </row>
    <row r="3616" spans="1:13">
      <c r="A3616" s="2">
        <v>2547</v>
      </c>
      <c r="B3616" s="2" t="s">
        <v>1794</v>
      </c>
      <c r="C3616" s="2">
        <v>13</v>
      </c>
      <c r="D3616" s="2">
        <v>556</v>
      </c>
      <c r="E3616" s="2">
        <v>174</v>
      </c>
      <c r="F3616" s="2">
        <v>32441</v>
      </c>
      <c r="G3616" s="2">
        <v>4.3592677579999997</v>
      </c>
      <c r="H3616" s="3">
        <v>1.91E-5</v>
      </c>
      <c r="I3616" s="2" t="s">
        <v>17625</v>
      </c>
      <c r="J3616" s="2" t="s">
        <v>17626</v>
      </c>
      <c r="K3616" s="3">
        <v>6.3600000000000001E-5</v>
      </c>
      <c r="L3616" s="2" t="s">
        <v>1178</v>
      </c>
      <c r="M3616" s="4" t="s">
        <v>17627</v>
      </c>
    </row>
    <row r="3617" spans="1:13">
      <c r="A3617" s="2">
        <v>27821</v>
      </c>
      <c r="B3617" s="2" t="s">
        <v>17628</v>
      </c>
      <c r="C3617" s="2">
        <v>13</v>
      </c>
      <c r="D3617" s="2">
        <v>556</v>
      </c>
      <c r="E3617" s="2">
        <v>175</v>
      </c>
      <c r="F3617" s="2">
        <v>32441</v>
      </c>
      <c r="G3617" s="2">
        <v>4.334357657</v>
      </c>
      <c r="H3617" s="3">
        <v>2.02E-5</v>
      </c>
      <c r="I3617" s="2" t="s">
        <v>17629</v>
      </c>
      <c r="J3617" s="2" t="s">
        <v>17630</v>
      </c>
      <c r="K3617" s="3">
        <v>6.7199999999999994E-5</v>
      </c>
      <c r="L3617" s="2" t="s">
        <v>1178</v>
      </c>
      <c r="M3617" s="4" t="s">
        <v>17631</v>
      </c>
    </row>
    <row r="3618" spans="1:13">
      <c r="A3618" s="2">
        <v>27961</v>
      </c>
      <c r="B3618" s="2" t="s">
        <v>17632</v>
      </c>
      <c r="C3618" s="2">
        <v>11</v>
      </c>
      <c r="D3618" s="2">
        <v>556</v>
      </c>
      <c r="E3618" s="2">
        <v>125</v>
      </c>
      <c r="F3618" s="2">
        <v>32441</v>
      </c>
      <c r="G3618" s="2">
        <v>5.1345467630000003</v>
      </c>
      <c r="H3618" s="3">
        <v>2.0599999999999999E-5</v>
      </c>
      <c r="I3618" s="2" t="s">
        <v>17633</v>
      </c>
      <c r="J3618" s="2" t="s">
        <v>17634</v>
      </c>
      <c r="K3618" s="3">
        <v>6.8300000000000007E-5</v>
      </c>
      <c r="L3618" s="2" t="s">
        <v>1178</v>
      </c>
      <c r="M3618" s="4" t="s">
        <v>17635</v>
      </c>
    </row>
    <row r="3619" spans="1:13">
      <c r="A3619" s="2">
        <v>2537</v>
      </c>
      <c r="B3619" s="2" t="s">
        <v>17636</v>
      </c>
      <c r="C3619" s="2">
        <v>12</v>
      </c>
      <c r="D3619" s="2">
        <v>556</v>
      </c>
      <c r="E3619" s="2">
        <v>152</v>
      </c>
      <c r="F3619" s="2">
        <v>32441</v>
      </c>
      <c r="G3619" s="2">
        <v>4.606351761</v>
      </c>
      <c r="H3619" s="3">
        <v>2.4000000000000001E-5</v>
      </c>
      <c r="I3619" s="2" t="s">
        <v>17637</v>
      </c>
      <c r="J3619" s="2" t="s">
        <v>17638</v>
      </c>
      <c r="K3619" s="3">
        <v>7.9599999999999997E-5</v>
      </c>
      <c r="L3619" s="2" t="s">
        <v>1178</v>
      </c>
      <c r="M3619" s="4" t="s">
        <v>17639</v>
      </c>
    </row>
    <row r="3620" spans="1:13">
      <c r="A3620" s="2">
        <v>2464</v>
      </c>
      <c r="B3620" s="2" t="s">
        <v>17640</v>
      </c>
      <c r="C3620" s="2">
        <v>11</v>
      </c>
      <c r="D3620" s="2">
        <v>556</v>
      </c>
      <c r="E3620" s="2">
        <v>129</v>
      </c>
      <c r="F3620" s="2">
        <v>32441</v>
      </c>
      <c r="G3620" s="2">
        <v>4.9753360100000004</v>
      </c>
      <c r="H3620" s="3">
        <v>2.6999999999999999E-5</v>
      </c>
      <c r="I3620" s="2" t="s">
        <v>17641</v>
      </c>
      <c r="J3620" s="2" t="s">
        <v>17642</v>
      </c>
      <c r="K3620" s="3">
        <v>8.9400000000000005E-5</v>
      </c>
      <c r="L3620" s="2" t="s">
        <v>1178</v>
      </c>
      <c r="M3620" s="4" t="s">
        <v>17643</v>
      </c>
    </row>
    <row r="3621" spans="1:13">
      <c r="A3621" s="2">
        <v>27641</v>
      </c>
      <c r="B3621" s="2" t="s">
        <v>17644</v>
      </c>
      <c r="C3621" s="2">
        <v>11</v>
      </c>
      <c r="D3621" s="2">
        <v>556</v>
      </c>
      <c r="E3621" s="2">
        <v>129</v>
      </c>
      <c r="F3621" s="2">
        <v>32441</v>
      </c>
      <c r="G3621" s="2">
        <v>4.9753360100000004</v>
      </c>
      <c r="H3621" s="3">
        <v>2.6999999999999999E-5</v>
      </c>
      <c r="I3621" s="2" t="s">
        <v>17645</v>
      </c>
      <c r="J3621" s="2" t="s">
        <v>17646</v>
      </c>
      <c r="K3621" s="3">
        <v>8.9400000000000005E-5</v>
      </c>
      <c r="L3621" s="2" t="s">
        <v>1178</v>
      </c>
      <c r="M3621" s="4" t="s">
        <v>17647</v>
      </c>
    </row>
    <row r="3622" spans="1:13">
      <c r="A3622" s="2">
        <v>24051</v>
      </c>
      <c r="B3622" s="2" t="s">
        <v>17648</v>
      </c>
      <c r="C3622" s="2">
        <v>12</v>
      </c>
      <c r="D3622" s="2">
        <v>556</v>
      </c>
      <c r="E3622" s="2">
        <v>155</v>
      </c>
      <c r="F3622" s="2">
        <v>32441</v>
      </c>
      <c r="G3622" s="2">
        <v>4.5171965649999999</v>
      </c>
      <c r="H3622" s="3">
        <v>2.87E-5</v>
      </c>
      <c r="I3622" s="2" t="s">
        <v>17649</v>
      </c>
      <c r="J3622" s="2" t="s">
        <v>17650</v>
      </c>
      <c r="K3622" s="3">
        <v>9.5000000000000005E-5</v>
      </c>
      <c r="L3622" s="2" t="s">
        <v>1178</v>
      </c>
      <c r="M3622" s="4" t="s">
        <v>17651</v>
      </c>
    </row>
    <row r="3623" spans="1:13">
      <c r="A3623" s="2">
        <v>27361</v>
      </c>
      <c r="B3623" s="2" t="s">
        <v>17652</v>
      </c>
      <c r="C3623" s="2">
        <v>10</v>
      </c>
      <c r="D3623" s="2">
        <v>556</v>
      </c>
      <c r="E3623" s="2">
        <v>109</v>
      </c>
      <c r="F3623" s="2">
        <v>32441</v>
      </c>
      <c r="G3623" s="2">
        <v>5.3529470000000003</v>
      </c>
      <c r="H3623" s="3">
        <v>3.5099999999999999E-5</v>
      </c>
      <c r="I3623" s="2" t="s">
        <v>17653</v>
      </c>
      <c r="J3623" s="2" t="s">
        <v>17654</v>
      </c>
      <c r="K3623" s="2">
        <v>1.15949E-4</v>
      </c>
      <c r="L3623" s="2" t="s">
        <v>1178</v>
      </c>
      <c r="M3623" s="4" t="s">
        <v>17655</v>
      </c>
    </row>
    <row r="3624" spans="1:13">
      <c r="A3624" s="2">
        <v>40191</v>
      </c>
      <c r="B3624" s="2" t="s">
        <v>17656</v>
      </c>
      <c r="C3624" s="2">
        <v>13</v>
      </c>
      <c r="D3624" s="2">
        <v>556</v>
      </c>
      <c r="E3624" s="2">
        <v>186</v>
      </c>
      <c r="F3624" s="2">
        <v>32441</v>
      </c>
      <c r="G3624" s="2">
        <v>4.0780246770000002</v>
      </c>
      <c r="H3624" s="3">
        <v>3.6699999999999998E-5</v>
      </c>
      <c r="I3624" s="2" t="s">
        <v>17657</v>
      </c>
      <c r="J3624" s="2" t="s">
        <v>17658</v>
      </c>
      <c r="K3624" s="2">
        <v>1.21441E-4</v>
      </c>
      <c r="L3624" s="2" t="s">
        <v>1178</v>
      </c>
      <c r="M3624" s="4" t="s">
        <v>17659</v>
      </c>
    </row>
    <row r="3625" spans="1:13">
      <c r="A3625" s="2">
        <v>17421</v>
      </c>
      <c r="B3625" s="2" t="s">
        <v>17660</v>
      </c>
      <c r="C3625" s="2">
        <v>12</v>
      </c>
      <c r="D3625" s="2">
        <v>556</v>
      </c>
      <c r="E3625" s="2">
        <v>160</v>
      </c>
      <c r="F3625" s="2">
        <v>32441</v>
      </c>
      <c r="G3625" s="2">
        <v>4.3760341729999999</v>
      </c>
      <c r="H3625" s="3">
        <v>3.8399999999999998E-5</v>
      </c>
      <c r="I3625" s="2" t="s">
        <v>17661</v>
      </c>
      <c r="J3625" s="2" t="s">
        <v>17662</v>
      </c>
      <c r="K3625" s="2">
        <v>1.2667599999999999E-4</v>
      </c>
      <c r="L3625" s="2" t="s">
        <v>1178</v>
      </c>
      <c r="M3625" s="4" t="s">
        <v>17663</v>
      </c>
    </row>
    <row r="3626" spans="1:13">
      <c r="A3626" s="2">
        <v>4007</v>
      </c>
      <c r="B3626" s="2" t="s">
        <v>17664</v>
      </c>
      <c r="C3626" s="2">
        <v>12</v>
      </c>
      <c r="D3626" s="2">
        <v>556</v>
      </c>
      <c r="E3626" s="2">
        <v>160</v>
      </c>
      <c r="F3626" s="2">
        <v>32441</v>
      </c>
      <c r="G3626" s="2">
        <v>4.3760341729999999</v>
      </c>
      <c r="H3626" s="3">
        <v>3.8399999999999998E-5</v>
      </c>
      <c r="I3626" s="2" t="s">
        <v>17665</v>
      </c>
      <c r="J3626" s="2" t="s">
        <v>17666</v>
      </c>
      <c r="K3626" s="2">
        <v>1.2667599999999999E-4</v>
      </c>
      <c r="L3626" s="2" t="s">
        <v>1178</v>
      </c>
      <c r="M3626" s="4" t="s">
        <v>17667</v>
      </c>
    </row>
    <row r="3627" spans="1:13">
      <c r="A3627" s="2">
        <v>28241</v>
      </c>
      <c r="B3627" s="2" t="s">
        <v>17668</v>
      </c>
      <c r="C3627" s="2">
        <v>12</v>
      </c>
      <c r="D3627" s="2">
        <v>556</v>
      </c>
      <c r="E3627" s="2">
        <v>161</v>
      </c>
      <c r="F3627" s="2">
        <v>32441</v>
      </c>
      <c r="G3627" s="2">
        <v>4.348853836</v>
      </c>
      <c r="H3627" s="3">
        <v>4.0599999999999998E-5</v>
      </c>
      <c r="I3627" s="2" t="s">
        <v>17669</v>
      </c>
      <c r="J3627" s="2" t="s">
        <v>17670</v>
      </c>
      <c r="K3627" s="2">
        <v>1.33981E-4</v>
      </c>
      <c r="L3627" s="2" t="s">
        <v>1178</v>
      </c>
      <c r="M3627" s="4" t="s">
        <v>17671</v>
      </c>
    </row>
    <row r="3628" spans="1:13">
      <c r="A3628" s="2">
        <v>2532</v>
      </c>
      <c r="B3628" s="2" t="s">
        <v>17672</v>
      </c>
      <c r="C3628" s="2">
        <v>12</v>
      </c>
      <c r="D3628" s="2">
        <v>556</v>
      </c>
      <c r="E3628" s="2">
        <v>162</v>
      </c>
      <c r="F3628" s="2">
        <v>32441</v>
      </c>
      <c r="G3628" s="2">
        <v>4.322009059</v>
      </c>
      <c r="H3628" s="3">
        <v>4.3000000000000002E-5</v>
      </c>
      <c r="I3628" s="2" t="s">
        <v>17673</v>
      </c>
      <c r="J3628" s="2" t="s">
        <v>17674</v>
      </c>
      <c r="K3628" s="2">
        <v>1.41552E-4</v>
      </c>
      <c r="L3628" s="2" t="s">
        <v>1178</v>
      </c>
      <c r="M3628" s="4" t="s">
        <v>17675</v>
      </c>
    </row>
    <row r="3629" spans="1:13">
      <c r="A3629" s="2">
        <v>42411</v>
      </c>
      <c r="B3629" s="2" t="s">
        <v>17676</v>
      </c>
      <c r="C3629" s="2">
        <v>12</v>
      </c>
      <c r="D3629" s="2">
        <v>556</v>
      </c>
      <c r="E3629" s="2">
        <v>162</v>
      </c>
      <c r="F3629" s="2">
        <v>32441</v>
      </c>
      <c r="G3629" s="2">
        <v>4.322009059</v>
      </c>
      <c r="H3629" s="3">
        <v>4.3000000000000002E-5</v>
      </c>
      <c r="I3629" s="2" t="s">
        <v>17677</v>
      </c>
      <c r="J3629" s="2" t="s">
        <v>17678</v>
      </c>
      <c r="K3629" s="2">
        <v>1.41552E-4</v>
      </c>
      <c r="L3629" s="2" t="s">
        <v>1178</v>
      </c>
      <c r="M3629" s="4" t="s">
        <v>17679</v>
      </c>
    </row>
    <row r="3630" spans="1:13">
      <c r="A3630" s="2">
        <v>4028</v>
      </c>
      <c r="B3630" s="2" t="s">
        <v>17680</v>
      </c>
      <c r="C3630" s="2">
        <v>12</v>
      </c>
      <c r="D3630" s="2">
        <v>556</v>
      </c>
      <c r="E3630" s="2">
        <v>163</v>
      </c>
      <c r="F3630" s="2">
        <v>32441</v>
      </c>
      <c r="G3630" s="2">
        <v>4.2954936659999996</v>
      </c>
      <c r="H3630" s="3">
        <v>4.5399999999999999E-5</v>
      </c>
      <c r="I3630" s="2" t="s">
        <v>17681</v>
      </c>
      <c r="J3630" s="2" t="s">
        <v>17682</v>
      </c>
      <c r="K3630" s="2">
        <v>1.4958899999999999E-4</v>
      </c>
      <c r="L3630" s="2" t="s">
        <v>1178</v>
      </c>
      <c r="M3630" s="4" t="s">
        <v>17683</v>
      </c>
    </row>
    <row r="3631" spans="1:13">
      <c r="A3631" s="2">
        <v>2061</v>
      </c>
      <c r="B3631" s="2" t="s">
        <v>17684</v>
      </c>
      <c r="C3631" s="2">
        <v>13</v>
      </c>
      <c r="D3631" s="2">
        <v>556</v>
      </c>
      <c r="E3631" s="2">
        <v>191</v>
      </c>
      <c r="F3631" s="2">
        <v>32441</v>
      </c>
      <c r="G3631" s="2">
        <v>3.9712701039999998</v>
      </c>
      <c r="H3631" s="3">
        <v>4.7500000000000003E-5</v>
      </c>
      <c r="I3631" s="2" t="s">
        <v>17685</v>
      </c>
      <c r="J3631" s="2" t="s">
        <v>17686</v>
      </c>
      <c r="K3631" s="2">
        <v>1.5622300000000001E-4</v>
      </c>
      <c r="L3631" s="2" t="s">
        <v>1178</v>
      </c>
      <c r="M3631" s="4" t="s">
        <v>17687</v>
      </c>
    </row>
    <row r="3632" spans="1:13">
      <c r="A3632" s="2">
        <v>27002</v>
      </c>
      <c r="B3632" s="2" t="s">
        <v>17688</v>
      </c>
      <c r="C3632" s="2">
        <v>12</v>
      </c>
      <c r="D3632" s="2">
        <v>556</v>
      </c>
      <c r="E3632" s="2">
        <v>165</v>
      </c>
      <c r="F3632" s="2">
        <v>32441</v>
      </c>
      <c r="G3632" s="2">
        <v>4.2434270769999998</v>
      </c>
      <c r="H3632" s="3">
        <v>5.0800000000000002E-5</v>
      </c>
      <c r="I3632" s="2" t="s">
        <v>17689</v>
      </c>
      <c r="J3632" s="2" t="s">
        <v>17690</v>
      </c>
      <c r="K3632" s="2">
        <v>1.66849E-4</v>
      </c>
      <c r="L3632" s="2" t="s">
        <v>1178</v>
      </c>
      <c r="M3632" s="4" t="s">
        <v>17691</v>
      </c>
    </row>
    <row r="3633" spans="1:13">
      <c r="A3633" s="2">
        <v>3893</v>
      </c>
      <c r="B3633" s="2" t="s">
        <v>3223</v>
      </c>
      <c r="C3633" s="2">
        <v>13</v>
      </c>
      <c r="D3633" s="2">
        <v>556</v>
      </c>
      <c r="E3633" s="2">
        <v>193</v>
      </c>
      <c r="F3633" s="2">
        <v>32441</v>
      </c>
      <c r="G3633" s="2">
        <v>3.9301170459999999</v>
      </c>
      <c r="H3633" s="3">
        <v>5.2500000000000002E-5</v>
      </c>
      <c r="I3633" s="2" t="s">
        <v>17692</v>
      </c>
      <c r="J3633" s="2" t="s">
        <v>17693</v>
      </c>
      <c r="K3633" s="2">
        <v>1.7247200000000001E-4</v>
      </c>
      <c r="L3633" s="2" t="s">
        <v>1178</v>
      </c>
      <c r="M3633" s="4" t="s">
        <v>3226</v>
      </c>
    </row>
    <row r="3634" spans="1:13">
      <c r="A3634" s="2">
        <v>2570</v>
      </c>
      <c r="B3634" s="2" t="s">
        <v>17694</v>
      </c>
      <c r="C3634" s="2">
        <v>12</v>
      </c>
      <c r="D3634" s="2">
        <v>556</v>
      </c>
      <c r="E3634" s="2">
        <v>166</v>
      </c>
      <c r="F3634" s="2">
        <v>32441</v>
      </c>
      <c r="G3634" s="2">
        <v>4.2178642630000001</v>
      </c>
      <c r="H3634" s="3">
        <v>5.3600000000000002E-5</v>
      </c>
      <c r="I3634" s="2" t="s">
        <v>17695</v>
      </c>
      <c r="J3634" s="2" t="s">
        <v>17696</v>
      </c>
      <c r="K3634" s="2">
        <v>1.7598599999999999E-4</v>
      </c>
      <c r="L3634" s="2" t="s">
        <v>1178</v>
      </c>
      <c r="M3634" s="4" t="s">
        <v>17697</v>
      </c>
    </row>
    <row r="3635" spans="1:13">
      <c r="A3635" s="2">
        <v>4080</v>
      </c>
      <c r="B3635" s="2" t="s">
        <v>17698</v>
      </c>
      <c r="C3635" s="2">
        <v>12</v>
      </c>
      <c r="D3635" s="2">
        <v>556</v>
      </c>
      <c r="E3635" s="2">
        <v>169</v>
      </c>
      <c r="F3635" s="2">
        <v>32441</v>
      </c>
      <c r="G3635" s="2">
        <v>4.1429909330000001</v>
      </c>
      <c r="H3635" s="3">
        <v>6.3E-5</v>
      </c>
      <c r="I3635" s="2" t="s">
        <v>17699</v>
      </c>
      <c r="J3635" s="2" t="s">
        <v>17700</v>
      </c>
      <c r="K3635" s="2">
        <v>2.0671200000000001E-4</v>
      </c>
      <c r="L3635" s="2" t="s">
        <v>1178</v>
      </c>
      <c r="M3635" s="4" t="s">
        <v>17701</v>
      </c>
    </row>
    <row r="3636" spans="1:13">
      <c r="A3636" s="2">
        <v>33</v>
      </c>
      <c r="B3636" s="2" t="s">
        <v>1218</v>
      </c>
      <c r="C3636" s="2">
        <v>13</v>
      </c>
      <c r="D3636" s="2">
        <v>556</v>
      </c>
      <c r="E3636" s="2">
        <v>200</v>
      </c>
      <c r="F3636" s="2">
        <v>32441</v>
      </c>
      <c r="G3636" s="2">
        <v>3.7925629500000002</v>
      </c>
      <c r="H3636" s="3">
        <v>7.3800000000000005E-5</v>
      </c>
      <c r="I3636" s="2" t="s">
        <v>17702</v>
      </c>
      <c r="J3636" s="2" t="s">
        <v>17703</v>
      </c>
      <c r="K3636" s="2">
        <v>2.1630299999999999E-4</v>
      </c>
      <c r="L3636" s="2" t="s">
        <v>1178</v>
      </c>
      <c r="M3636" s="4" t="s">
        <v>17704</v>
      </c>
    </row>
    <row r="3637" spans="1:13">
      <c r="A3637" s="2">
        <v>35</v>
      </c>
      <c r="B3637" s="2" t="s">
        <v>2010</v>
      </c>
      <c r="C3637" s="2">
        <v>13</v>
      </c>
      <c r="D3637" s="2">
        <v>556</v>
      </c>
      <c r="E3637" s="2">
        <v>200</v>
      </c>
      <c r="F3637" s="2">
        <v>32441</v>
      </c>
      <c r="G3637" s="2">
        <v>3.7925629500000002</v>
      </c>
      <c r="H3637" s="3">
        <v>7.3800000000000005E-5</v>
      </c>
      <c r="I3637" s="2" t="s">
        <v>17705</v>
      </c>
      <c r="J3637" s="2" t="s">
        <v>17706</v>
      </c>
      <c r="K3637" s="2">
        <v>2.1630299999999999E-4</v>
      </c>
      <c r="L3637" s="2" t="s">
        <v>1178</v>
      </c>
      <c r="M3637" s="4" t="s">
        <v>17707</v>
      </c>
    </row>
    <row r="3638" spans="1:13">
      <c r="A3638" s="2">
        <v>66</v>
      </c>
      <c r="B3638" s="2" t="s">
        <v>17708</v>
      </c>
      <c r="C3638" s="2">
        <v>13</v>
      </c>
      <c r="D3638" s="2">
        <v>556</v>
      </c>
      <c r="E3638" s="2">
        <v>199</v>
      </c>
      <c r="F3638" s="2">
        <v>32441</v>
      </c>
      <c r="G3638" s="2">
        <v>3.8116210549999998</v>
      </c>
      <c r="H3638" s="3">
        <v>7.0400000000000004E-5</v>
      </c>
      <c r="I3638" s="2" t="s">
        <v>17709</v>
      </c>
      <c r="J3638" s="2" t="s">
        <v>17710</v>
      </c>
      <c r="K3638" s="2">
        <v>2.1630299999999999E-4</v>
      </c>
      <c r="L3638" s="2" t="s">
        <v>1178</v>
      </c>
      <c r="M3638" s="4" t="s">
        <v>17711</v>
      </c>
    </row>
    <row r="3639" spans="1:13">
      <c r="A3639" s="2">
        <v>826</v>
      </c>
      <c r="B3639" s="2" t="s">
        <v>17712</v>
      </c>
      <c r="C3639" s="2">
        <v>13</v>
      </c>
      <c r="D3639" s="2">
        <v>556</v>
      </c>
      <c r="E3639" s="2">
        <v>200</v>
      </c>
      <c r="F3639" s="2">
        <v>32441</v>
      </c>
      <c r="G3639" s="2">
        <v>3.7925629500000002</v>
      </c>
      <c r="H3639" s="3">
        <v>7.3800000000000005E-5</v>
      </c>
      <c r="I3639" s="2" t="s">
        <v>17713</v>
      </c>
      <c r="J3639" s="2" t="s">
        <v>17714</v>
      </c>
      <c r="K3639" s="2">
        <v>2.1630299999999999E-4</v>
      </c>
      <c r="L3639" s="2" t="s">
        <v>1178</v>
      </c>
      <c r="M3639" s="4" t="s">
        <v>17715</v>
      </c>
    </row>
    <row r="3640" spans="1:13">
      <c r="A3640" s="2">
        <v>1405</v>
      </c>
      <c r="B3640" s="2" t="s">
        <v>17716</v>
      </c>
      <c r="C3640" s="2">
        <v>13</v>
      </c>
      <c r="D3640" s="2">
        <v>556</v>
      </c>
      <c r="E3640" s="2">
        <v>200</v>
      </c>
      <c r="F3640" s="2">
        <v>32441</v>
      </c>
      <c r="G3640" s="2">
        <v>3.7925629500000002</v>
      </c>
      <c r="H3640" s="3">
        <v>7.3800000000000005E-5</v>
      </c>
      <c r="I3640" s="2" t="s">
        <v>17717</v>
      </c>
      <c r="J3640" s="2" t="s">
        <v>17718</v>
      </c>
      <c r="K3640" s="2">
        <v>2.1630299999999999E-4</v>
      </c>
      <c r="L3640" s="2" t="s">
        <v>1178</v>
      </c>
      <c r="M3640" s="4" t="s">
        <v>17719</v>
      </c>
    </row>
    <row r="3641" spans="1:13">
      <c r="A3641" s="2">
        <v>143</v>
      </c>
      <c r="B3641" s="2" t="s">
        <v>17720</v>
      </c>
      <c r="C3641" s="2">
        <v>13</v>
      </c>
      <c r="D3641" s="2">
        <v>556</v>
      </c>
      <c r="E3641" s="2">
        <v>200</v>
      </c>
      <c r="F3641" s="2">
        <v>32441</v>
      </c>
      <c r="G3641" s="2">
        <v>3.7925629500000002</v>
      </c>
      <c r="H3641" s="3">
        <v>7.3800000000000005E-5</v>
      </c>
      <c r="I3641" s="2" t="s">
        <v>17721</v>
      </c>
      <c r="J3641" s="2" t="s">
        <v>17722</v>
      </c>
      <c r="K3641" s="2">
        <v>2.1630299999999999E-4</v>
      </c>
      <c r="L3641" s="2" t="s">
        <v>1178</v>
      </c>
      <c r="M3641" s="4" t="s">
        <v>17723</v>
      </c>
    </row>
    <row r="3642" spans="1:13">
      <c r="A3642" s="2">
        <v>1581</v>
      </c>
      <c r="B3642" s="2" t="s">
        <v>17724</v>
      </c>
      <c r="C3642" s="2">
        <v>13</v>
      </c>
      <c r="D3642" s="2">
        <v>556</v>
      </c>
      <c r="E3642" s="2">
        <v>200</v>
      </c>
      <c r="F3642" s="2">
        <v>32441</v>
      </c>
      <c r="G3642" s="2">
        <v>3.7925629500000002</v>
      </c>
      <c r="H3642" s="3">
        <v>7.3800000000000005E-5</v>
      </c>
      <c r="I3642" s="2" t="s">
        <v>17725</v>
      </c>
      <c r="J3642" s="2" t="s">
        <v>17726</v>
      </c>
      <c r="K3642" s="2">
        <v>2.1630299999999999E-4</v>
      </c>
      <c r="L3642" s="2" t="s">
        <v>1178</v>
      </c>
      <c r="M3642" s="4" t="s">
        <v>17727</v>
      </c>
    </row>
    <row r="3643" spans="1:13">
      <c r="A3643" s="2">
        <v>1602</v>
      </c>
      <c r="B3643" s="2" t="s">
        <v>17728</v>
      </c>
      <c r="C3643" s="2">
        <v>13</v>
      </c>
      <c r="D3643" s="2">
        <v>556</v>
      </c>
      <c r="E3643" s="2">
        <v>200</v>
      </c>
      <c r="F3643" s="2">
        <v>32441</v>
      </c>
      <c r="G3643" s="2">
        <v>3.7925629500000002</v>
      </c>
      <c r="H3643" s="3">
        <v>7.3800000000000005E-5</v>
      </c>
      <c r="I3643" s="2" t="s">
        <v>17729</v>
      </c>
      <c r="J3643" s="2" t="s">
        <v>17730</v>
      </c>
      <c r="K3643" s="2">
        <v>2.1630299999999999E-4</v>
      </c>
      <c r="L3643" s="2" t="s">
        <v>1178</v>
      </c>
      <c r="M3643" s="4" t="s">
        <v>17731</v>
      </c>
    </row>
    <row r="3644" spans="1:13">
      <c r="A3644" s="2">
        <v>207</v>
      </c>
      <c r="B3644" s="2" t="s">
        <v>17732</v>
      </c>
      <c r="C3644" s="2">
        <v>13</v>
      </c>
      <c r="D3644" s="2">
        <v>556</v>
      </c>
      <c r="E3644" s="2">
        <v>200</v>
      </c>
      <c r="F3644" s="2">
        <v>32441</v>
      </c>
      <c r="G3644" s="2">
        <v>3.7925629500000002</v>
      </c>
      <c r="H3644" s="3">
        <v>7.3800000000000005E-5</v>
      </c>
      <c r="I3644" s="2" t="s">
        <v>17733</v>
      </c>
      <c r="J3644" s="2" t="s">
        <v>17734</v>
      </c>
      <c r="K3644" s="2">
        <v>2.1630299999999999E-4</v>
      </c>
      <c r="L3644" s="2" t="s">
        <v>1178</v>
      </c>
      <c r="M3644" s="4" t="s">
        <v>17735</v>
      </c>
    </row>
    <row r="3645" spans="1:13">
      <c r="A3645" s="2">
        <v>2693</v>
      </c>
      <c r="B3645" s="2" t="s">
        <v>17736</v>
      </c>
      <c r="C3645" s="2">
        <v>13</v>
      </c>
      <c r="D3645" s="2">
        <v>556</v>
      </c>
      <c r="E3645" s="2">
        <v>200</v>
      </c>
      <c r="F3645" s="2">
        <v>32441</v>
      </c>
      <c r="G3645" s="2">
        <v>3.7925629500000002</v>
      </c>
      <c r="H3645" s="3">
        <v>7.3800000000000005E-5</v>
      </c>
      <c r="I3645" s="2" t="s">
        <v>17737</v>
      </c>
      <c r="J3645" s="2" t="s">
        <v>17738</v>
      </c>
      <c r="K3645" s="2">
        <v>2.1630299999999999E-4</v>
      </c>
      <c r="L3645" s="2" t="s">
        <v>1178</v>
      </c>
      <c r="M3645" s="4" t="s">
        <v>17739</v>
      </c>
    </row>
    <row r="3646" spans="1:13">
      <c r="A3646" s="2">
        <v>270</v>
      </c>
      <c r="B3646" s="2" t="s">
        <v>17740</v>
      </c>
      <c r="C3646" s="2">
        <v>13</v>
      </c>
      <c r="D3646" s="2">
        <v>556</v>
      </c>
      <c r="E3646" s="2">
        <v>200</v>
      </c>
      <c r="F3646" s="2">
        <v>32441</v>
      </c>
      <c r="G3646" s="2">
        <v>3.7925629500000002</v>
      </c>
      <c r="H3646" s="3">
        <v>7.3800000000000005E-5</v>
      </c>
      <c r="I3646" s="2" t="s">
        <v>17741</v>
      </c>
      <c r="J3646" s="2" t="s">
        <v>17742</v>
      </c>
      <c r="K3646" s="2">
        <v>2.1630299999999999E-4</v>
      </c>
      <c r="L3646" s="2" t="s">
        <v>1178</v>
      </c>
      <c r="M3646" s="4" t="s">
        <v>17743</v>
      </c>
    </row>
    <row r="3647" spans="1:13">
      <c r="A3647" s="2">
        <v>294</v>
      </c>
      <c r="B3647" s="2" t="s">
        <v>17744</v>
      </c>
      <c r="C3647" s="2">
        <v>13</v>
      </c>
      <c r="D3647" s="2">
        <v>556</v>
      </c>
      <c r="E3647" s="2">
        <v>200</v>
      </c>
      <c r="F3647" s="2">
        <v>32441</v>
      </c>
      <c r="G3647" s="2">
        <v>3.7925629500000002</v>
      </c>
      <c r="H3647" s="3">
        <v>7.3800000000000005E-5</v>
      </c>
      <c r="I3647" s="2" t="s">
        <v>17745</v>
      </c>
      <c r="J3647" s="2" t="s">
        <v>17746</v>
      </c>
      <c r="K3647" s="2">
        <v>2.1630299999999999E-4</v>
      </c>
      <c r="L3647" s="2" t="s">
        <v>1178</v>
      </c>
      <c r="M3647" s="4" t="s">
        <v>17747</v>
      </c>
    </row>
    <row r="3648" spans="1:13">
      <c r="A3648" s="2">
        <v>2965</v>
      </c>
      <c r="B3648" s="2" t="s">
        <v>17748</v>
      </c>
      <c r="C3648" s="2">
        <v>13</v>
      </c>
      <c r="D3648" s="2">
        <v>556</v>
      </c>
      <c r="E3648" s="2">
        <v>200</v>
      </c>
      <c r="F3648" s="2">
        <v>32441</v>
      </c>
      <c r="G3648" s="2">
        <v>3.7925629500000002</v>
      </c>
      <c r="H3648" s="3">
        <v>7.3800000000000005E-5</v>
      </c>
      <c r="I3648" s="2" t="s">
        <v>17749</v>
      </c>
      <c r="J3648" s="2" t="s">
        <v>17750</v>
      </c>
      <c r="K3648" s="2">
        <v>2.1630299999999999E-4</v>
      </c>
      <c r="L3648" s="2" t="s">
        <v>1178</v>
      </c>
      <c r="M3648" s="4" t="s">
        <v>17751</v>
      </c>
    </row>
    <row r="3649" spans="1:13">
      <c r="A3649" s="2">
        <v>3212</v>
      </c>
      <c r="B3649" s="2" t="s">
        <v>17752</v>
      </c>
      <c r="C3649" s="2">
        <v>13</v>
      </c>
      <c r="D3649" s="2">
        <v>556</v>
      </c>
      <c r="E3649" s="2">
        <v>200</v>
      </c>
      <c r="F3649" s="2">
        <v>32441</v>
      </c>
      <c r="G3649" s="2">
        <v>3.7925629500000002</v>
      </c>
      <c r="H3649" s="3">
        <v>7.3800000000000005E-5</v>
      </c>
      <c r="I3649" s="2" t="s">
        <v>17753</v>
      </c>
      <c r="J3649" s="2" t="s">
        <v>17754</v>
      </c>
      <c r="K3649" s="2">
        <v>2.1630299999999999E-4</v>
      </c>
      <c r="L3649" s="2" t="s">
        <v>1178</v>
      </c>
      <c r="M3649" s="4" t="s">
        <v>17755</v>
      </c>
    </row>
    <row r="3650" spans="1:13">
      <c r="A3650" s="2">
        <v>340</v>
      </c>
      <c r="B3650" s="2" t="s">
        <v>17756</v>
      </c>
      <c r="C3650" s="2">
        <v>13</v>
      </c>
      <c r="D3650" s="2">
        <v>556</v>
      </c>
      <c r="E3650" s="2">
        <v>200</v>
      </c>
      <c r="F3650" s="2">
        <v>32441</v>
      </c>
      <c r="G3650" s="2">
        <v>3.7925629500000002</v>
      </c>
      <c r="H3650" s="3">
        <v>7.3800000000000005E-5</v>
      </c>
      <c r="I3650" s="2" t="s">
        <v>17757</v>
      </c>
      <c r="J3650" s="2" t="s">
        <v>17758</v>
      </c>
      <c r="K3650" s="2">
        <v>2.1630299999999999E-4</v>
      </c>
      <c r="L3650" s="2" t="s">
        <v>1178</v>
      </c>
      <c r="M3650" s="4" t="s">
        <v>17759</v>
      </c>
    </row>
    <row r="3651" spans="1:13">
      <c r="A3651" s="2">
        <v>4067</v>
      </c>
      <c r="B3651" s="2" t="s">
        <v>17760</v>
      </c>
      <c r="C3651" s="2">
        <v>13</v>
      </c>
      <c r="D3651" s="2">
        <v>556</v>
      </c>
      <c r="E3651" s="2">
        <v>200</v>
      </c>
      <c r="F3651" s="2">
        <v>32441</v>
      </c>
      <c r="G3651" s="2">
        <v>3.7925629500000002</v>
      </c>
      <c r="H3651" s="3">
        <v>7.3800000000000005E-5</v>
      </c>
      <c r="I3651" s="2" t="s">
        <v>17761</v>
      </c>
      <c r="J3651" s="2" t="s">
        <v>17762</v>
      </c>
      <c r="K3651" s="2">
        <v>2.1630299999999999E-4</v>
      </c>
      <c r="L3651" s="2" t="s">
        <v>1178</v>
      </c>
      <c r="M3651" s="4" t="s">
        <v>17763</v>
      </c>
    </row>
    <row r="3652" spans="1:13">
      <c r="A3652" s="2">
        <v>41910</v>
      </c>
      <c r="B3652" s="2" t="s">
        <v>2031</v>
      </c>
      <c r="C3652" s="2">
        <v>13</v>
      </c>
      <c r="D3652" s="2">
        <v>556</v>
      </c>
      <c r="E3652" s="2">
        <v>200</v>
      </c>
      <c r="F3652" s="2">
        <v>32441</v>
      </c>
      <c r="G3652" s="2">
        <v>3.7925629500000002</v>
      </c>
      <c r="H3652" s="3">
        <v>7.3800000000000005E-5</v>
      </c>
      <c r="I3652" s="2" t="s">
        <v>17764</v>
      </c>
      <c r="J3652" s="2" t="s">
        <v>17765</v>
      </c>
      <c r="K3652" s="2">
        <v>2.1630299999999999E-4</v>
      </c>
      <c r="L3652" s="2" t="s">
        <v>1178</v>
      </c>
      <c r="M3652" s="4" t="s">
        <v>17766</v>
      </c>
    </row>
    <row r="3653" spans="1:13">
      <c r="A3653" s="2">
        <v>4213</v>
      </c>
      <c r="B3653" s="2" t="s">
        <v>17767</v>
      </c>
      <c r="C3653" s="2">
        <v>13</v>
      </c>
      <c r="D3653" s="2">
        <v>556</v>
      </c>
      <c r="E3653" s="2">
        <v>200</v>
      </c>
      <c r="F3653" s="2">
        <v>32441</v>
      </c>
      <c r="G3653" s="2">
        <v>3.7925629500000002</v>
      </c>
      <c r="H3653" s="3">
        <v>7.3800000000000005E-5</v>
      </c>
      <c r="I3653" s="2" t="s">
        <v>17768</v>
      </c>
      <c r="J3653" s="2" t="s">
        <v>17769</v>
      </c>
      <c r="K3653" s="2">
        <v>2.1630299999999999E-4</v>
      </c>
      <c r="L3653" s="2" t="s">
        <v>1178</v>
      </c>
      <c r="M3653" s="4" t="s">
        <v>17770</v>
      </c>
    </row>
    <row r="3654" spans="1:13">
      <c r="A3654" s="2">
        <v>4312</v>
      </c>
      <c r="B3654" s="2" t="s">
        <v>17771</v>
      </c>
      <c r="C3654" s="2">
        <v>13</v>
      </c>
      <c r="D3654" s="2">
        <v>556</v>
      </c>
      <c r="E3654" s="2">
        <v>200</v>
      </c>
      <c r="F3654" s="2">
        <v>32441</v>
      </c>
      <c r="G3654" s="2">
        <v>3.7925629500000002</v>
      </c>
      <c r="H3654" s="3">
        <v>7.3800000000000005E-5</v>
      </c>
      <c r="I3654" s="2" t="s">
        <v>17772</v>
      </c>
      <c r="J3654" s="2" t="s">
        <v>17773</v>
      </c>
      <c r="K3654" s="2">
        <v>2.1630299999999999E-4</v>
      </c>
      <c r="L3654" s="2" t="s">
        <v>1178</v>
      </c>
      <c r="M3654" s="4" t="s">
        <v>17774</v>
      </c>
    </row>
    <row r="3655" spans="1:13">
      <c r="A3655" s="2">
        <v>4362</v>
      </c>
      <c r="B3655" s="2" t="s">
        <v>17775</v>
      </c>
      <c r="C3655" s="2">
        <v>13</v>
      </c>
      <c r="D3655" s="2">
        <v>556</v>
      </c>
      <c r="E3655" s="2">
        <v>200</v>
      </c>
      <c r="F3655" s="2">
        <v>32441</v>
      </c>
      <c r="G3655" s="2">
        <v>3.7925629500000002</v>
      </c>
      <c r="H3655" s="3">
        <v>7.3800000000000005E-5</v>
      </c>
      <c r="I3655" s="2" t="s">
        <v>17776</v>
      </c>
      <c r="J3655" s="2" t="s">
        <v>17777</v>
      </c>
      <c r="K3655" s="2">
        <v>2.1630299999999999E-4</v>
      </c>
      <c r="L3655" s="2" t="s">
        <v>1178</v>
      </c>
      <c r="M3655" s="4" t="s">
        <v>17778</v>
      </c>
    </row>
    <row r="3656" spans="1:13">
      <c r="A3656" s="2">
        <v>4614</v>
      </c>
      <c r="B3656" s="2" t="s">
        <v>17779</v>
      </c>
      <c r="C3656" s="2">
        <v>13</v>
      </c>
      <c r="D3656" s="2">
        <v>556</v>
      </c>
      <c r="E3656" s="2">
        <v>199</v>
      </c>
      <c r="F3656" s="2">
        <v>32441</v>
      </c>
      <c r="G3656" s="2">
        <v>3.8116210549999998</v>
      </c>
      <c r="H3656" s="3">
        <v>7.0400000000000004E-5</v>
      </c>
      <c r="I3656" s="2" t="s">
        <v>17780</v>
      </c>
      <c r="J3656" s="2" t="s">
        <v>17781</v>
      </c>
      <c r="K3656" s="2">
        <v>2.1630299999999999E-4</v>
      </c>
      <c r="L3656" s="2" t="s">
        <v>1178</v>
      </c>
      <c r="M3656" s="4" t="s">
        <v>17782</v>
      </c>
    </row>
    <row r="3657" spans="1:13">
      <c r="A3657" s="2">
        <v>5141</v>
      </c>
      <c r="B3657" s="2" t="s">
        <v>17783</v>
      </c>
      <c r="C3657" s="2">
        <v>13</v>
      </c>
      <c r="D3657" s="2">
        <v>556</v>
      </c>
      <c r="E3657" s="2">
        <v>200</v>
      </c>
      <c r="F3657" s="2">
        <v>32441</v>
      </c>
      <c r="G3657" s="2">
        <v>3.7925629500000002</v>
      </c>
      <c r="H3657" s="3">
        <v>7.3800000000000005E-5</v>
      </c>
      <c r="I3657" s="2" t="s">
        <v>17784</v>
      </c>
      <c r="J3657" s="2" t="s">
        <v>17785</v>
      </c>
      <c r="K3657" s="2">
        <v>2.1630299999999999E-4</v>
      </c>
      <c r="L3657" s="2" t="s">
        <v>1178</v>
      </c>
      <c r="M3657" s="4" t="s">
        <v>17786</v>
      </c>
    </row>
    <row r="3658" spans="1:13">
      <c r="A3658" s="2">
        <v>536</v>
      </c>
      <c r="B3658" s="2" t="s">
        <v>1827</v>
      </c>
      <c r="C3658" s="2">
        <v>13</v>
      </c>
      <c r="D3658" s="2">
        <v>556</v>
      </c>
      <c r="E3658" s="2">
        <v>199</v>
      </c>
      <c r="F3658" s="2">
        <v>32441</v>
      </c>
      <c r="G3658" s="2">
        <v>3.8116210549999998</v>
      </c>
      <c r="H3658" s="3">
        <v>7.0400000000000004E-5</v>
      </c>
      <c r="I3658" s="2" t="s">
        <v>17787</v>
      </c>
      <c r="J3658" s="2" t="s">
        <v>17788</v>
      </c>
      <c r="K3658" s="2">
        <v>2.1630299999999999E-4</v>
      </c>
      <c r="L3658" s="2" t="s">
        <v>1178</v>
      </c>
      <c r="M3658" s="4" t="s">
        <v>17789</v>
      </c>
    </row>
    <row r="3659" spans="1:13">
      <c r="A3659" s="2">
        <v>5412</v>
      </c>
      <c r="B3659" s="2" t="s">
        <v>17790</v>
      </c>
      <c r="C3659" s="2">
        <v>13</v>
      </c>
      <c r="D3659" s="2">
        <v>556</v>
      </c>
      <c r="E3659" s="2">
        <v>200</v>
      </c>
      <c r="F3659" s="2">
        <v>32441</v>
      </c>
      <c r="G3659" s="2">
        <v>3.7925629500000002</v>
      </c>
      <c r="H3659" s="3">
        <v>7.3800000000000005E-5</v>
      </c>
      <c r="I3659" s="2" t="s">
        <v>17791</v>
      </c>
      <c r="J3659" s="2" t="s">
        <v>17792</v>
      </c>
      <c r="K3659" s="2">
        <v>2.1630299999999999E-4</v>
      </c>
      <c r="L3659" s="2" t="s">
        <v>1178</v>
      </c>
      <c r="M3659" s="4" t="s">
        <v>17793</v>
      </c>
    </row>
    <row r="3660" spans="1:13">
      <c r="A3660" s="2">
        <v>542</v>
      </c>
      <c r="B3660" s="2" t="s">
        <v>17794</v>
      </c>
      <c r="C3660" s="2">
        <v>13</v>
      </c>
      <c r="D3660" s="2">
        <v>556</v>
      </c>
      <c r="E3660" s="2">
        <v>200</v>
      </c>
      <c r="F3660" s="2">
        <v>32441</v>
      </c>
      <c r="G3660" s="2">
        <v>3.7925629500000002</v>
      </c>
      <c r="H3660" s="3">
        <v>7.3800000000000005E-5</v>
      </c>
      <c r="I3660" s="2" t="s">
        <v>17795</v>
      </c>
      <c r="J3660" s="2" t="s">
        <v>17796</v>
      </c>
      <c r="K3660" s="2">
        <v>2.1630299999999999E-4</v>
      </c>
      <c r="L3660" s="2" t="s">
        <v>1178</v>
      </c>
      <c r="M3660" s="4" t="s">
        <v>17797</v>
      </c>
    </row>
    <row r="3661" spans="1:13">
      <c r="A3661" s="2">
        <v>559</v>
      </c>
      <c r="B3661" s="2" t="s">
        <v>17798</v>
      </c>
      <c r="C3661" s="2">
        <v>13</v>
      </c>
      <c r="D3661" s="2">
        <v>556</v>
      </c>
      <c r="E3661" s="2">
        <v>200</v>
      </c>
      <c r="F3661" s="2">
        <v>32441</v>
      </c>
      <c r="G3661" s="2">
        <v>3.7925629500000002</v>
      </c>
      <c r="H3661" s="3">
        <v>7.3800000000000005E-5</v>
      </c>
      <c r="I3661" s="2" t="s">
        <v>17799</v>
      </c>
      <c r="J3661" s="2" t="s">
        <v>17800</v>
      </c>
      <c r="K3661" s="2">
        <v>2.1630299999999999E-4</v>
      </c>
      <c r="L3661" s="2" t="s">
        <v>1178</v>
      </c>
      <c r="M3661" s="4" t="s">
        <v>17801</v>
      </c>
    </row>
    <row r="3662" spans="1:13">
      <c r="A3662" s="2">
        <v>5931</v>
      </c>
      <c r="B3662" s="2" t="s">
        <v>17802</v>
      </c>
      <c r="C3662" s="2">
        <v>13</v>
      </c>
      <c r="D3662" s="2">
        <v>556</v>
      </c>
      <c r="E3662" s="2">
        <v>200</v>
      </c>
      <c r="F3662" s="2">
        <v>32441</v>
      </c>
      <c r="G3662" s="2">
        <v>3.7925629500000002</v>
      </c>
      <c r="H3662" s="3">
        <v>7.3800000000000005E-5</v>
      </c>
      <c r="I3662" s="2" t="s">
        <v>17803</v>
      </c>
      <c r="J3662" s="2" t="s">
        <v>17804</v>
      </c>
      <c r="K3662" s="2">
        <v>2.1630299999999999E-4</v>
      </c>
      <c r="L3662" s="2" t="s">
        <v>1178</v>
      </c>
      <c r="M3662" s="4" t="s">
        <v>17805</v>
      </c>
    </row>
    <row r="3663" spans="1:13">
      <c r="A3663" s="2">
        <v>615</v>
      </c>
      <c r="B3663" s="2" t="s">
        <v>17806</v>
      </c>
      <c r="C3663" s="2">
        <v>13</v>
      </c>
      <c r="D3663" s="2">
        <v>556</v>
      </c>
      <c r="E3663" s="2">
        <v>200</v>
      </c>
      <c r="F3663" s="2">
        <v>32441</v>
      </c>
      <c r="G3663" s="2">
        <v>3.7925629500000002</v>
      </c>
      <c r="H3663" s="3">
        <v>7.3800000000000005E-5</v>
      </c>
      <c r="I3663" s="2" t="s">
        <v>17807</v>
      </c>
      <c r="J3663" s="2" t="s">
        <v>17808</v>
      </c>
      <c r="K3663" s="2">
        <v>2.1630299999999999E-4</v>
      </c>
      <c r="L3663" s="2" t="s">
        <v>1178</v>
      </c>
      <c r="M3663" s="4" t="s">
        <v>17809</v>
      </c>
    </row>
    <row r="3664" spans="1:13">
      <c r="A3664" s="2">
        <v>6501</v>
      </c>
      <c r="B3664" s="2" t="s">
        <v>17810</v>
      </c>
      <c r="C3664" s="2">
        <v>13</v>
      </c>
      <c r="D3664" s="2">
        <v>556</v>
      </c>
      <c r="E3664" s="2">
        <v>200</v>
      </c>
      <c r="F3664" s="2">
        <v>32441</v>
      </c>
      <c r="G3664" s="2">
        <v>3.7925629500000002</v>
      </c>
      <c r="H3664" s="3">
        <v>7.3800000000000005E-5</v>
      </c>
      <c r="I3664" s="2" t="s">
        <v>17811</v>
      </c>
      <c r="J3664" s="2" t="s">
        <v>17812</v>
      </c>
      <c r="K3664" s="2">
        <v>2.1630299999999999E-4</v>
      </c>
      <c r="L3664" s="2" t="s">
        <v>1178</v>
      </c>
      <c r="M3664" s="4" t="s">
        <v>17813</v>
      </c>
    </row>
    <row r="3665" spans="1:13">
      <c r="A3665" s="2">
        <v>674</v>
      </c>
      <c r="B3665" s="2" t="s">
        <v>17814</v>
      </c>
      <c r="C3665" s="2">
        <v>13</v>
      </c>
      <c r="D3665" s="2">
        <v>556</v>
      </c>
      <c r="E3665" s="2">
        <v>199</v>
      </c>
      <c r="F3665" s="2">
        <v>32441</v>
      </c>
      <c r="G3665" s="2">
        <v>3.8116210549999998</v>
      </c>
      <c r="H3665" s="3">
        <v>7.0400000000000004E-5</v>
      </c>
      <c r="I3665" s="2" t="s">
        <v>17815</v>
      </c>
      <c r="J3665" s="2" t="s">
        <v>17816</v>
      </c>
      <c r="K3665" s="2">
        <v>2.1630299999999999E-4</v>
      </c>
      <c r="L3665" s="2" t="s">
        <v>1178</v>
      </c>
      <c r="M3665" s="4" t="s">
        <v>17817</v>
      </c>
    </row>
    <row r="3666" spans="1:13">
      <c r="A3666" s="2">
        <v>689</v>
      </c>
      <c r="B3666" s="2" t="s">
        <v>17818</v>
      </c>
      <c r="C3666" s="2">
        <v>13</v>
      </c>
      <c r="D3666" s="2">
        <v>556</v>
      </c>
      <c r="E3666" s="2">
        <v>200</v>
      </c>
      <c r="F3666" s="2">
        <v>32441</v>
      </c>
      <c r="G3666" s="2">
        <v>3.7925629500000002</v>
      </c>
      <c r="H3666" s="3">
        <v>7.3800000000000005E-5</v>
      </c>
      <c r="I3666" s="2" t="s">
        <v>17819</v>
      </c>
      <c r="J3666" s="2" t="s">
        <v>17820</v>
      </c>
      <c r="K3666" s="2">
        <v>2.1630299999999999E-4</v>
      </c>
      <c r="L3666" s="2" t="s">
        <v>1178</v>
      </c>
      <c r="M3666" s="4" t="s">
        <v>17821</v>
      </c>
    </row>
    <row r="3667" spans="1:13">
      <c r="A3667" s="2">
        <v>705</v>
      </c>
      <c r="B3667" s="2" t="s">
        <v>17822</v>
      </c>
      <c r="C3667" s="2">
        <v>13</v>
      </c>
      <c r="D3667" s="2">
        <v>556</v>
      </c>
      <c r="E3667" s="2">
        <v>200</v>
      </c>
      <c r="F3667" s="2">
        <v>32441</v>
      </c>
      <c r="G3667" s="2">
        <v>3.7925629500000002</v>
      </c>
      <c r="H3667" s="3">
        <v>7.3800000000000005E-5</v>
      </c>
      <c r="I3667" s="2" t="s">
        <v>17823</v>
      </c>
      <c r="J3667" s="2" t="s">
        <v>17824</v>
      </c>
      <c r="K3667" s="2">
        <v>2.1630299999999999E-4</v>
      </c>
      <c r="L3667" s="2" t="s">
        <v>1178</v>
      </c>
      <c r="M3667" s="4" t="s">
        <v>17825</v>
      </c>
    </row>
    <row r="3668" spans="1:13">
      <c r="A3668" s="2">
        <v>706</v>
      </c>
      <c r="B3668" s="2" t="s">
        <v>17826</v>
      </c>
      <c r="C3668" s="2">
        <v>13</v>
      </c>
      <c r="D3668" s="2">
        <v>556</v>
      </c>
      <c r="E3668" s="2">
        <v>200</v>
      </c>
      <c r="F3668" s="2">
        <v>32441</v>
      </c>
      <c r="G3668" s="2">
        <v>3.7925629500000002</v>
      </c>
      <c r="H3668" s="3">
        <v>7.3800000000000005E-5</v>
      </c>
      <c r="I3668" s="2" t="s">
        <v>17827</v>
      </c>
      <c r="J3668" s="2" t="s">
        <v>17828</v>
      </c>
      <c r="K3668" s="2">
        <v>2.1630299999999999E-4</v>
      </c>
      <c r="L3668" s="2" t="s">
        <v>1178</v>
      </c>
      <c r="M3668" s="4" t="s">
        <v>17829</v>
      </c>
    </row>
    <row r="3669" spans="1:13">
      <c r="A3669" s="2">
        <v>714</v>
      </c>
      <c r="B3669" s="2" t="s">
        <v>17830</v>
      </c>
      <c r="C3669" s="2">
        <v>13</v>
      </c>
      <c r="D3669" s="2">
        <v>556</v>
      </c>
      <c r="E3669" s="2">
        <v>200</v>
      </c>
      <c r="F3669" s="2">
        <v>32441</v>
      </c>
      <c r="G3669" s="2">
        <v>3.7925629500000002</v>
      </c>
      <c r="H3669" s="3">
        <v>7.3800000000000005E-5</v>
      </c>
      <c r="I3669" s="2" t="s">
        <v>17831</v>
      </c>
      <c r="J3669" s="2" t="s">
        <v>17832</v>
      </c>
      <c r="K3669" s="2">
        <v>2.1630299999999999E-4</v>
      </c>
      <c r="L3669" s="2" t="s">
        <v>1178</v>
      </c>
      <c r="M3669" s="4" t="s">
        <v>17833</v>
      </c>
    </row>
    <row r="3670" spans="1:13">
      <c r="A3670" s="2">
        <v>7381</v>
      </c>
      <c r="B3670" s="2" t="s">
        <v>17834</v>
      </c>
      <c r="C3670" s="2">
        <v>13</v>
      </c>
      <c r="D3670" s="2">
        <v>556</v>
      </c>
      <c r="E3670" s="2">
        <v>200</v>
      </c>
      <c r="F3670" s="2">
        <v>32441</v>
      </c>
      <c r="G3670" s="2">
        <v>3.7925629500000002</v>
      </c>
      <c r="H3670" s="3">
        <v>7.3800000000000005E-5</v>
      </c>
      <c r="I3670" s="2" t="s">
        <v>17835</v>
      </c>
      <c r="J3670" s="2" t="s">
        <v>17836</v>
      </c>
      <c r="K3670" s="2">
        <v>2.1630299999999999E-4</v>
      </c>
      <c r="L3670" s="2" t="s">
        <v>1178</v>
      </c>
      <c r="M3670" s="4" t="s">
        <v>17837</v>
      </c>
    </row>
    <row r="3671" spans="1:13">
      <c r="A3671" s="2">
        <v>767</v>
      </c>
      <c r="B3671" s="2" t="s">
        <v>17838</v>
      </c>
      <c r="C3671" s="2">
        <v>13</v>
      </c>
      <c r="D3671" s="2">
        <v>556</v>
      </c>
      <c r="E3671" s="2">
        <v>200</v>
      </c>
      <c r="F3671" s="2">
        <v>32441</v>
      </c>
      <c r="G3671" s="2">
        <v>3.7925629500000002</v>
      </c>
      <c r="H3671" s="3">
        <v>7.3800000000000005E-5</v>
      </c>
      <c r="I3671" s="2" t="s">
        <v>17839</v>
      </c>
      <c r="J3671" s="2" t="s">
        <v>17840</v>
      </c>
      <c r="K3671" s="2">
        <v>2.1630299999999999E-4</v>
      </c>
      <c r="L3671" s="2" t="s">
        <v>1178</v>
      </c>
      <c r="M3671" s="4" t="s">
        <v>17841</v>
      </c>
    </row>
    <row r="3672" spans="1:13">
      <c r="A3672" s="2">
        <v>777</v>
      </c>
      <c r="B3672" s="2" t="s">
        <v>17842</v>
      </c>
      <c r="C3672" s="2">
        <v>13</v>
      </c>
      <c r="D3672" s="2">
        <v>556</v>
      </c>
      <c r="E3672" s="2">
        <v>200</v>
      </c>
      <c r="F3672" s="2">
        <v>32441</v>
      </c>
      <c r="G3672" s="2">
        <v>3.7925629500000002</v>
      </c>
      <c r="H3672" s="3">
        <v>7.3800000000000005E-5</v>
      </c>
      <c r="I3672" s="2" t="s">
        <v>17843</v>
      </c>
      <c r="J3672" s="2" t="s">
        <v>17844</v>
      </c>
      <c r="K3672" s="2">
        <v>2.1630299999999999E-4</v>
      </c>
      <c r="L3672" s="2" t="s">
        <v>1178</v>
      </c>
      <c r="M3672" s="4" t="s">
        <v>17845</v>
      </c>
    </row>
    <row r="3673" spans="1:13">
      <c r="A3673" s="2">
        <v>7792</v>
      </c>
      <c r="B3673" s="2" t="s">
        <v>17846</v>
      </c>
      <c r="C3673" s="2">
        <v>13</v>
      </c>
      <c r="D3673" s="2">
        <v>556</v>
      </c>
      <c r="E3673" s="2">
        <v>200</v>
      </c>
      <c r="F3673" s="2">
        <v>32441</v>
      </c>
      <c r="G3673" s="2">
        <v>3.7925629500000002</v>
      </c>
      <c r="H3673" s="3">
        <v>7.3800000000000005E-5</v>
      </c>
      <c r="I3673" s="2" t="s">
        <v>17847</v>
      </c>
      <c r="J3673" s="2" t="s">
        <v>17848</v>
      </c>
      <c r="K3673" s="2">
        <v>2.1630299999999999E-4</v>
      </c>
      <c r="L3673" s="2" t="s">
        <v>1178</v>
      </c>
      <c r="M3673" s="4" t="s">
        <v>17849</v>
      </c>
    </row>
    <row r="3674" spans="1:13">
      <c r="A3674" s="2">
        <v>805</v>
      </c>
      <c r="B3674" s="2" t="s">
        <v>17850</v>
      </c>
      <c r="C3674" s="2">
        <v>13</v>
      </c>
      <c r="D3674" s="2">
        <v>556</v>
      </c>
      <c r="E3674" s="2">
        <v>200</v>
      </c>
      <c r="F3674" s="2">
        <v>32441</v>
      </c>
      <c r="G3674" s="2">
        <v>3.7925629500000002</v>
      </c>
      <c r="H3674" s="3">
        <v>7.3800000000000005E-5</v>
      </c>
      <c r="I3674" s="2" t="s">
        <v>17851</v>
      </c>
      <c r="J3674" s="2" t="s">
        <v>17852</v>
      </c>
      <c r="K3674" s="2">
        <v>2.1630299999999999E-4</v>
      </c>
      <c r="L3674" s="2" t="s">
        <v>1178</v>
      </c>
      <c r="M3674" s="4" t="s">
        <v>17853</v>
      </c>
    </row>
    <row r="3675" spans="1:13">
      <c r="A3675" s="2">
        <v>8381</v>
      </c>
      <c r="B3675" s="2" t="s">
        <v>17854</v>
      </c>
      <c r="C3675" s="2">
        <v>13</v>
      </c>
      <c r="D3675" s="2">
        <v>556</v>
      </c>
      <c r="E3675" s="2">
        <v>200</v>
      </c>
      <c r="F3675" s="2">
        <v>32441</v>
      </c>
      <c r="G3675" s="2">
        <v>3.7925629500000002</v>
      </c>
      <c r="H3675" s="3">
        <v>7.3800000000000005E-5</v>
      </c>
      <c r="I3675" s="2" t="s">
        <v>17855</v>
      </c>
      <c r="J3675" s="2" t="s">
        <v>17856</v>
      </c>
      <c r="K3675" s="2">
        <v>2.1630299999999999E-4</v>
      </c>
      <c r="L3675" s="2" t="s">
        <v>1178</v>
      </c>
      <c r="M3675" s="4" t="s">
        <v>17857</v>
      </c>
    </row>
    <row r="3676" spans="1:13">
      <c r="A3676" s="2">
        <v>8881</v>
      </c>
      <c r="B3676" s="2" t="s">
        <v>17858</v>
      </c>
      <c r="C3676" s="2">
        <v>13</v>
      </c>
      <c r="D3676" s="2">
        <v>556</v>
      </c>
      <c r="E3676" s="2">
        <v>200</v>
      </c>
      <c r="F3676" s="2">
        <v>32441</v>
      </c>
      <c r="G3676" s="2">
        <v>3.7925629500000002</v>
      </c>
      <c r="H3676" s="3">
        <v>7.3800000000000005E-5</v>
      </c>
      <c r="I3676" s="2" t="s">
        <v>17859</v>
      </c>
      <c r="J3676" s="2" t="s">
        <v>17860</v>
      </c>
      <c r="K3676" s="2">
        <v>2.1630299999999999E-4</v>
      </c>
      <c r="L3676" s="2" t="s">
        <v>1178</v>
      </c>
      <c r="M3676" s="4" t="s">
        <v>17861</v>
      </c>
    </row>
    <row r="3677" spans="1:13">
      <c r="A3677" s="2">
        <v>895</v>
      </c>
      <c r="B3677" s="2" t="s">
        <v>17862</v>
      </c>
      <c r="C3677" s="2">
        <v>13</v>
      </c>
      <c r="D3677" s="2">
        <v>556</v>
      </c>
      <c r="E3677" s="2">
        <v>200</v>
      </c>
      <c r="F3677" s="2">
        <v>32441</v>
      </c>
      <c r="G3677" s="2">
        <v>3.7925629500000002</v>
      </c>
      <c r="H3677" s="3">
        <v>7.3800000000000005E-5</v>
      </c>
      <c r="I3677" s="2" t="s">
        <v>17863</v>
      </c>
      <c r="J3677" s="2" t="s">
        <v>17864</v>
      </c>
      <c r="K3677" s="2">
        <v>2.1630299999999999E-4</v>
      </c>
      <c r="L3677" s="2" t="s">
        <v>1178</v>
      </c>
      <c r="M3677" s="4" t="s">
        <v>17865</v>
      </c>
    </row>
    <row r="3678" spans="1:13">
      <c r="A3678" s="2">
        <v>917</v>
      </c>
      <c r="B3678" s="2" t="s">
        <v>17866</v>
      </c>
      <c r="C3678" s="2">
        <v>13</v>
      </c>
      <c r="D3678" s="2">
        <v>556</v>
      </c>
      <c r="E3678" s="2">
        <v>200</v>
      </c>
      <c r="F3678" s="2">
        <v>32441</v>
      </c>
      <c r="G3678" s="2">
        <v>3.7925629500000002</v>
      </c>
      <c r="H3678" s="3">
        <v>7.3800000000000005E-5</v>
      </c>
      <c r="I3678" s="2" t="s">
        <v>17867</v>
      </c>
      <c r="J3678" s="2" t="s">
        <v>17868</v>
      </c>
      <c r="K3678" s="2">
        <v>2.1630299999999999E-4</v>
      </c>
      <c r="L3678" s="2" t="s">
        <v>1178</v>
      </c>
      <c r="M3678" s="4" t="s">
        <v>17869</v>
      </c>
    </row>
    <row r="3679" spans="1:13">
      <c r="A3679" s="2">
        <v>921</v>
      </c>
      <c r="B3679" s="2" t="s">
        <v>17870</v>
      </c>
      <c r="C3679" s="2">
        <v>13</v>
      </c>
      <c r="D3679" s="2">
        <v>556</v>
      </c>
      <c r="E3679" s="2">
        <v>200</v>
      </c>
      <c r="F3679" s="2">
        <v>32441</v>
      </c>
      <c r="G3679" s="2">
        <v>3.7925629500000002</v>
      </c>
      <c r="H3679" s="3">
        <v>7.3800000000000005E-5</v>
      </c>
      <c r="I3679" s="2" t="s">
        <v>17871</v>
      </c>
      <c r="J3679" s="2" t="s">
        <v>17872</v>
      </c>
      <c r="K3679" s="2">
        <v>2.1630299999999999E-4</v>
      </c>
      <c r="L3679" s="2" t="s">
        <v>1178</v>
      </c>
      <c r="M3679" s="4" t="s">
        <v>17873</v>
      </c>
    </row>
    <row r="3680" spans="1:13">
      <c r="A3680" s="2">
        <v>9301</v>
      </c>
      <c r="B3680" s="2" t="s">
        <v>17874</v>
      </c>
      <c r="C3680" s="2">
        <v>13</v>
      </c>
      <c r="D3680" s="2">
        <v>556</v>
      </c>
      <c r="E3680" s="2">
        <v>200</v>
      </c>
      <c r="F3680" s="2">
        <v>32441</v>
      </c>
      <c r="G3680" s="2">
        <v>3.7925629500000002</v>
      </c>
      <c r="H3680" s="3">
        <v>7.3800000000000005E-5</v>
      </c>
      <c r="I3680" s="2" t="s">
        <v>17875</v>
      </c>
      <c r="J3680" s="2" t="s">
        <v>17876</v>
      </c>
      <c r="K3680" s="2">
        <v>2.1630299999999999E-4</v>
      </c>
      <c r="L3680" s="2" t="s">
        <v>1178</v>
      </c>
      <c r="M3680" s="4" t="s">
        <v>17877</v>
      </c>
    </row>
    <row r="3681" spans="1:13">
      <c r="A3681" s="2">
        <v>935</v>
      </c>
      <c r="B3681" s="2" t="s">
        <v>17878</v>
      </c>
      <c r="C3681" s="2">
        <v>13</v>
      </c>
      <c r="D3681" s="2">
        <v>556</v>
      </c>
      <c r="E3681" s="2">
        <v>200</v>
      </c>
      <c r="F3681" s="2">
        <v>32441</v>
      </c>
      <c r="G3681" s="2">
        <v>3.7925629500000002</v>
      </c>
      <c r="H3681" s="3">
        <v>7.3800000000000005E-5</v>
      </c>
      <c r="I3681" s="2" t="s">
        <v>17879</v>
      </c>
      <c r="J3681" s="2" t="s">
        <v>17880</v>
      </c>
      <c r="K3681" s="2">
        <v>2.1630299999999999E-4</v>
      </c>
      <c r="L3681" s="2" t="s">
        <v>1178</v>
      </c>
      <c r="M3681" s="4" t="s">
        <v>17881</v>
      </c>
    </row>
    <row r="3682" spans="1:13">
      <c r="A3682" s="2">
        <v>9832</v>
      </c>
      <c r="B3682" s="2" t="s">
        <v>17882</v>
      </c>
      <c r="C3682" s="2">
        <v>13</v>
      </c>
      <c r="D3682" s="2">
        <v>556</v>
      </c>
      <c r="E3682" s="2">
        <v>200</v>
      </c>
      <c r="F3682" s="2">
        <v>32441</v>
      </c>
      <c r="G3682" s="2">
        <v>3.7925629500000002</v>
      </c>
      <c r="H3682" s="3">
        <v>7.3800000000000005E-5</v>
      </c>
      <c r="I3682" s="2" t="s">
        <v>17883</v>
      </c>
      <c r="J3682" s="2" t="s">
        <v>17884</v>
      </c>
      <c r="K3682" s="2">
        <v>2.1630299999999999E-4</v>
      </c>
      <c r="L3682" s="2" t="s">
        <v>1178</v>
      </c>
      <c r="M3682" s="4" t="s">
        <v>17885</v>
      </c>
    </row>
    <row r="3683" spans="1:13">
      <c r="A3683" s="2">
        <v>1052</v>
      </c>
      <c r="B3683" s="2" t="s">
        <v>17886</v>
      </c>
      <c r="C3683" s="2">
        <v>13</v>
      </c>
      <c r="D3683" s="2">
        <v>556</v>
      </c>
      <c r="E3683" s="2">
        <v>200</v>
      </c>
      <c r="F3683" s="2">
        <v>32441</v>
      </c>
      <c r="G3683" s="2">
        <v>3.7925629500000002</v>
      </c>
      <c r="H3683" s="3">
        <v>7.3800000000000005E-5</v>
      </c>
      <c r="I3683" s="2" t="s">
        <v>17887</v>
      </c>
      <c r="J3683" s="2" t="s">
        <v>17888</v>
      </c>
      <c r="K3683" s="2">
        <v>2.1630299999999999E-4</v>
      </c>
      <c r="L3683" s="2" t="s">
        <v>1178</v>
      </c>
      <c r="M3683" s="4" t="s">
        <v>17889</v>
      </c>
    </row>
    <row r="3684" spans="1:13">
      <c r="A3684" s="2">
        <v>1071</v>
      </c>
      <c r="B3684" s="2" t="s">
        <v>17890</v>
      </c>
      <c r="C3684" s="2">
        <v>13</v>
      </c>
      <c r="D3684" s="2">
        <v>556</v>
      </c>
      <c r="E3684" s="2">
        <v>200</v>
      </c>
      <c r="F3684" s="2">
        <v>32441</v>
      </c>
      <c r="G3684" s="2">
        <v>3.7925629500000002</v>
      </c>
      <c r="H3684" s="3">
        <v>7.3800000000000005E-5</v>
      </c>
      <c r="I3684" s="2" t="s">
        <v>17891</v>
      </c>
      <c r="J3684" s="2" t="s">
        <v>17892</v>
      </c>
      <c r="K3684" s="2">
        <v>2.1630299999999999E-4</v>
      </c>
      <c r="L3684" s="2" t="s">
        <v>1178</v>
      </c>
      <c r="M3684" s="4" t="s">
        <v>17893</v>
      </c>
    </row>
    <row r="3685" spans="1:13">
      <c r="A3685" s="2">
        <v>1115</v>
      </c>
      <c r="B3685" s="2" t="s">
        <v>17894</v>
      </c>
      <c r="C3685" s="2">
        <v>13</v>
      </c>
      <c r="D3685" s="2">
        <v>556</v>
      </c>
      <c r="E3685" s="2">
        <v>200</v>
      </c>
      <c r="F3685" s="2">
        <v>32441</v>
      </c>
      <c r="G3685" s="2">
        <v>3.7925629500000002</v>
      </c>
      <c r="H3685" s="3">
        <v>7.3800000000000005E-5</v>
      </c>
      <c r="I3685" s="2" t="s">
        <v>17895</v>
      </c>
      <c r="J3685" s="2" t="s">
        <v>17896</v>
      </c>
      <c r="K3685" s="2">
        <v>2.1630299999999999E-4</v>
      </c>
      <c r="L3685" s="2" t="s">
        <v>1178</v>
      </c>
      <c r="M3685" s="4" t="s">
        <v>17897</v>
      </c>
    </row>
    <row r="3686" spans="1:13">
      <c r="A3686" s="2">
        <v>1128</v>
      </c>
      <c r="B3686" s="2" t="s">
        <v>17898</v>
      </c>
      <c r="C3686" s="2">
        <v>13</v>
      </c>
      <c r="D3686" s="2">
        <v>556</v>
      </c>
      <c r="E3686" s="2">
        <v>200</v>
      </c>
      <c r="F3686" s="2">
        <v>32441</v>
      </c>
      <c r="G3686" s="2">
        <v>3.7925629500000002</v>
      </c>
      <c r="H3686" s="3">
        <v>7.3800000000000005E-5</v>
      </c>
      <c r="I3686" s="2" t="s">
        <v>17899</v>
      </c>
      <c r="J3686" s="2" t="s">
        <v>17900</v>
      </c>
      <c r="K3686" s="2">
        <v>2.1630299999999999E-4</v>
      </c>
      <c r="L3686" s="2" t="s">
        <v>1178</v>
      </c>
      <c r="M3686" s="4" t="s">
        <v>17901</v>
      </c>
    </row>
    <row r="3687" spans="1:13">
      <c r="A3687" s="2">
        <v>1162</v>
      </c>
      <c r="B3687" s="2" t="s">
        <v>1872</v>
      </c>
      <c r="C3687" s="2">
        <v>13</v>
      </c>
      <c r="D3687" s="2">
        <v>556</v>
      </c>
      <c r="E3687" s="2">
        <v>200</v>
      </c>
      <c r="F3687" s="2">
        <v>32441</v>
      </c>
      <c r="G3687" s="2">
        <v>3.7925629500000002</v>
      </c>
      <c r="H3687" s="3">
        <v>7.3800000000000005E-5</v>
      </c>
      <c r="I3687" s="2" t="s">
        <v>17902</v>
      </c>
      <c r="J3687" s="2" t="s">
        <v>17903</v>
      </c>
      <c r="K3687" s="2">
        <v>2.1630299999999999E-4</v>
      </c>
      <c r="L3687" s="2" t="s">
        <v>1178</v>
      </c>
      <c r="M3687" s="4" t="s">
        <v>17904</v>
      </c>
    </row>
    <row r="3688" spans="1:13">
      <c r="A3688" s="2">
        <v>1192</v>
      </c>
      <c r="B3688" s="2" t="s">
        <v>2115</v>
      </c>
      <c r="C3688" s="2">
        <v>13</v>
      </c>
      <c r="D3688" s="2">
        <v>556</v>
      </c>
      <c r="E3688" s="2">
        <v>200</v>
      </c>
      <c r="F3688" s="2">
        <v>32441</v>
      </c>
      <c r="G3688" s="2">
        <v>3.7925629500000002</v>
      </c>
      <c r="H3688" s="3">
        <v>7.3800000000000005E-5</v>
      </c>
      <c r="I3688" s="2" t="s">
        <v>17905</v>
      </c>
      <c r="J3688" s="2" t="s">
        <v>17906</v>
      </c>
      <c r="K3688" s="2">
        <v>2.1630299999999999E-4</v>
      </c>
      <c r="L3688" s="2" t="s">
        <v>1178</v>
      </c>
      <c r="M3688" s="4" t="s">
        <v>17907</v>
      </c>
    </row>
    <row r="3689" spans="1:13">
      <c r="A3689" s="2">
        <v>11962</v>
      </c>
      <c r="B3689" s="2" t="s">
        <v>17908</v>
      </c>
      <c r="C3689" s="2">
        <v>13</v>
      </c>
      <c r="D3689" s="2">
        <v>556</v>
      </c>
      <c r="E3689" s="2">
        <v>200</v>
      </c>
      <c r="F3689" s="2">
        <v>32441</v>
      </c>
      <c r="G3689" s="2">
        <v>3.7925629500000002</v>
      </c>
      <c r="H3689" s="3">
        <v>7.3800000000000005E-5</v>
      </c>
      <c r="I3689" s="2" t="s">
        <v>17909</v>
      </c>
      <c r="J3689" s="2" t="s">
        <v>17910</v>
      </c>
      <c r="K3689" s="2">
        <v>2.1630299999999999E-4</v>
      </c>
      <c r="L3689" s="2" t="s">
        <v>1178</v>
      </c>
      <c r="M3689" s="4" t="s">
        <v>17911</v>
      </c>
    </row>
    <row r="3690" spans="1:13">
      <c r="A3690" s="2">
        <v>1243</v>
      </c>
      <c r="B3690" s="2" t="s">
        <v>2433</v>
      </c>
      <c r="C3690" s="2">
        <v>13</v>
      </c>
      <c r="D3690" s="2">
        <v>556</v>
      </c>
      <c r="E3690" s="2">
        <v>200</v>
      </c>
      <c r="F3690" s="2">
        <v>32441</v>
      </c>
      <c r="G3690" s="2">
        <v>3.7925629500000002</v>
      </c>
      <c r="H3690" s="3">
        <v>7.3800000000000005E-5</v>
      </c>
      <c r="I3690" s="2" t="s">
        <v>17912</v>
      </c>
      <c r="J3690" s="2" t="s">
        <v>17913</v>
      </c>
      <c r="K3690" s="2">
        <v>2.1630299999999999E-4</v>
      </c>
      <c r="L3690" s="2" t="s">
        <v>1178</v>
      </c>
      <c r="M3690" s="4" t="s">
        <v>17914</v>
      </c>
    </row>
    <row r="3691" spans="1:13">
      <c r="A3691" s="2">
        <v>12651</v>
      </c>
      <c r="B3691" s="2" t="s">
        <v>17915</v>
      </c>
      <c r="C3691" s="2">
        <v>13</v>
      </c>
      <c r="D3691" s="2">
        <v>556</v>
      </c>
      <c r="E3691" s="2">
        <v>200</v>
      </c>
      <c r="F3691" s="2">
        <v>32441</v>
      </c>
      <c r="G3691" s="2">
        <v>3.7925629500000002</v>
      </c>
      <c r="H3691" s="3">
        <v>7.3800000000000005E-5</v>
      </c>
      <c r="I3691" s="2" t="s">
        <v>17916</v>
      </c>
      <c r="J3691" s="2" t="s">
        <v>17917</v>
      </c>
      <c r="K3691" s="2">
        <v>2.1630299999999999E-4</v>
      </c>
      <c r="L3691" s="2" t="s">
        <v>1178</v>
      </c>
      <c r="M3691" s="4" t="s">
        <v>17918</v>
      </c>
    </row>
    <row r="3692" spans="1:13">
      <c r="A3692" s="2">
        <v>12881</v>
      </c>
      <c r="B3692" s="2" t="s">
        <v>17919</v>
      </c>
      <c r="C3692" s="2">
        <v>13</v>
      </c>
      <c r="D3692" s="2">
        <v>556</v>
      </c>
      <c r="E3692" s="2">
        <v>200</v>
      </c>
      <c r="F3692" s="2">
        <v>32441</v>
      </c>
      <c r="G3692" s="2">
        <v>3.7925629500000002</v>
      </c>
      <c r="H3692" s="3">
        <v>7.3800000000000005E-5</v>
      </c>
      <c r="I3692" s="2" t="s">
        <v>17920</v>
      </c>
      <c r="J3692" s="2" t="s">
        <v>17921</v>
      </c>
      <c r="K3692" s="2">
        <v>2.1630299999999999E-4</v>
      </c>
      <c r="L3692" s="2" t="s">
        <v>1178</v>
      </c>
      <c r="M3692" s="4" t="s">
        <v>17922</v>
      </c>
    </row>
    <row r="3693" spans="1:13">
      <c r="A3693" s="2">
        <v>1301</v>
      </c>
      <c r="B3693" s="2" t="s">
        <v>2436</v>
      </c>
      <c r="C3693" s="2">
        <v>13</v>
      </c>
      <c r="D3693" s="2">
        <v>556</v>
      </c>
      <c r="E3693" s="2">
        <v>200</v>
      </c>
      <c r="F3693" s="2">
        <v>32441</v>
      </c>
      <c r="G3693" s="2">
        <v>3.7925629500000002</v>
      </c>
      <c r="H3693" s="3">
        <v>7.3800000000000005E-5</v>
      </c>
      <c r="I3693" s="2" t="s">
        <v>17923</v>
      </c>
      <c r="J3693" s="2" t="s">
        <v>17924</v>
      </c>
      <c r="K3693" s="2">
        <v>2.1630299999999999E-4</v>
      </c>
      <c r="L3693" s="2" t="s">
        <v>1178</v>
      </c>
      <c r="M3693" s="4" t="s">
        <v>17925</v>
      </c>
    </row>
    <row r="3694" spans="1:13">
      <c r="A3694" s="2">
        <v>13201</v>
      </c>
      <c r="B3694" s="2" t="s">
        <v>17926</v>
      </c>
      <c r="C3694" s="2">
        <v>13</v>
      </c>
      <c r="D3694" s="2">
        <v>556</v>
      </c>
      <c r="E3694" s="2">
        <v>200</v>
      </c>
      <c r="F3694" s="2">
        <v>32441</v>
      </c>
      <c r="G3694" s="2">
        <v>3.7925629500000002</v>
      </c>
      <c r="H3694" s="3">
        <v>7.3800000000000005E-5</v>
      </c>
      <c r="I3694" s="2" t="s">
        <v>17927</v>
      </c>
      <c r="J3694" s="2" t="s">
        <v>17928</v>
      </c>
      <c r="K3694" s="2">
        <v>2.1630299999999999E-4</v>
      </c>
      <c r="L3694" s="2" t="s">
        <v>1178</v>
      </c>
      <c r="M3694" s="4" t="s">
        <v>17929</v>
      </c>
    </row>
    <row r="3695" spans="1:13">
      <c r="A3695" s="2">
        <v>13441</v>
      </c>
      <c r="B3695" s="2" t="s">
        <v>17930</v>
      </c>
      <c r="C3695" s="2">
        <v>13</v>
      </c>
      <c r="D3695" s="2">
        <v>556</v>
      </c>
      <c r="E3695" s="2">
        <v>200</v>
      </c>
      <c r="F3695" s="2">
        <v>32441</v>
      </c>
      <c r="G3695" s="2">
        <v>3.7925629500000002</v>
      </c>
      <c r="H3695" s="3">
        <v>7.3800000000000005E-5</v>
      </c>
      <c r="I3695" s="2" t="s">
        <v>17931</v>
      </c>
      <c r="J3695" s="2" t="s">
        <v>17932</v>
      </c>
      <c r="K3695" s="2">
        <v>2.1630299999999999E-4</v>
      </c>
      <c r="L3695" s="2" t="s">
        <v>1178</v>
      </c>
      <c r="M3695" s="4" t="s">
        <v>17933</v>
      </c>
    </row>
    <row r="3696" spans="1:13">
      <c r="A3696" s="2">
        <v>1385</v>
      </c>
      <c r="B3696" s="2" t="s">
        <v>17934</v>
      </c>
      <c r="C3696" s="2">
        <v>13</v>
      </c>
      <c r="D3696" s="2">
        <v>556</v>
      </c>
      <c r="E3696" s="2">
        <v>200</v>
      </c>
      <c r="F3696" s="2">
        <v>32441</v>
      </c>
      <c r="G3696" s="2">
        <v>3.7925629500000002</v>
      </c>
      <c r="H3696" s="3">
        <v>7.3800000000000005E-5</v>
      </c>
      <c r="I3696" s="2" t="s">
        <v>17935</v>
      </c>
      <c r="J3696" s="2" t="s">
        <v>17936</v>
      </c>
      <c r="K3696" s="2">
        <v>2.1630299999999999E-4</v>
      </c>
      <c r="L3696" s="2" t="s">
        <v>1178</v>
      </c>
      <c r="M3696" s="4" t="s">
        <v>17937</v>
      </c>
    </row>
    <row r="3697" spans="1:13">
      <c r="A3697" s="2">
        <v>1390</v>
      </c>
      <c r="B3697" s="2" t="s">
        <v>1485</v>
      </c>
      <c r="C3697" s="2">
        <v>13</v>
      </c>
      <c r="D3697" s="2">
        <v>556</v>
      </c>
      <c r="E3697" s="2">
        <v>200</v>
      </c>
      <c r="F3697" s="2">
        <v>32441</v>
      </c>
      <c r="G3697" s="2">
        <v>3.7925629500000002</v>
      </c>
      <c r="H3697" s="3">
        <v>7.3800000000000005E-5</v>
      </c>
      <c r="I3697" s="2" t="s">
        <v>17938</v>
      </c>
      <c r="J3697" s="2" t="s">
        <v>17939</v>
      </c>
      <c r="K3697" s="2">
        <v>2.1630299999999999E-4</v>
      </c>
      <c r="L3697" s="2" t="s">
        <v>1178</v>
      </c>
      <c r="M3697" s="4" t="s">
        <v>17940</v>
      </c>
    </row>
    <row r="3698" spans="1:13">
      <c r="A3698" s="2">
        <v>1397</v>
      </c>
      <c r="B3698" s="2" t="s">
        <v>17941</v>
      </c>
      <c r="C3698" s="2">
        <v>13</v>
      </c>
      <c r="D3698" s="2">
        <v>556</v>
      </c>
      <c r="E3698" s="2">
        <v>200</v>
      </c>
      <c r="F3698" s="2">
        <v>32441</v>
      </c>
      <c r="G3698" s="2">
        <v>3.7925629500000002</v>
      </c>
      <c r="H3698" s="3">
        <v>7.3800000000000005E-5</v>
      </c>
      <c r="I3698" s="2" t="s">
        <v>17942</v>
      </c>
      <c r="J3698" s="2" t="s">
        <v>17943</v>
      </c>
      <c r="K3698" s="2">
        <v>2.1630299999999999E-4</v>
      </c>
      <c r="L3698" s="2" t="s">
        <v>1178</v>
      </c>
      <c r="M3698" s="4" t="s">
        <v>17944</v>
      </c>
    </row>
    <row r="3699" spans="1:13">
      <c r="A3699" s="2">
        <v>13991</v>
      </c>
      <c r="B3699" s="2" t="s">
        <v>17945</v>
      </c>
      <c r="C3699" s="2">
        <v>13</v>
      </c>
      <c r="D3699" s="2">
        <v>556</v>
      </c>
      <c r="E3699" s="2">
        <v>200</v>
      </c>
      <c r="F3699" s="2">
        <v>32441</v>
      </c>
      <c r="G3699" s="2">
        <v>3.7925629500000002</v>
      </c>
      <c r="H3699" s="3">
        <v>7.3800000000000005E-5</v>
      </c>
      <c r="I3699" s="2" t="s">
        <v>17946</v>
      </c>
      <c r="J3699" s="2" t="s">
        <v>17947</v>
      </c>
      <c r="K3699" s="2">
        <v>2.1630299999999999E-4</v>
      </c>
      <c r="L3699" s="2" t="s">
        <v>1178</v>
      </c>
      <c r="M3699" s="4" t="s">
        <v>17948</v>
      </c>
    </row>
    <row r="3700" spans="1:13">
      <c r="A3700" s="2">
        <v>14292</v>
      </c>
      <c r="B3700" s="2" t="s">
        <v>2136</v>
      </c>
      <c r="C3700" s="2">
        <v>13</v>
      </c>
      <c r="D3700" s="2">
        <v>556</v>
      </c>
      <c r="E3700" s="2">
        <v>200</v>
      </c>
      <c r="F3700" s="2">
        <v>32441</v>
      </c>
      <c r="G3700" s="2">
        <v>3.7925629500000002</v>
      </c>
      <c r="H3700" s="3">
        <v>7.3800000000000005E-5</v>
      </c>
      <c r="I3700" s="2" t="s">
        <v>17949</v>
      </c>
      <c r="J3700" s="2" t="s">
        <v>17950</v>
      </c>
      <c r="K3700" s="2">
        <v>2.1630299999999999E-4</v>
      </c>
      <c r="L3700" s="2" t="s">
        <v>1178</v>
      </c>
      <c r="M3700" s="4" t="s">
        <v>17951</v>
      </c>
    </row>
    <row r="3701" spans="1:13">
      <c r="A3701" s="2">
        <v>14371</v>
      </c>
      <c r="B3701" s="2" t="s">
        <v>17952</v>
      </c>
      <c r="C3701" s="2">
        <v>13</v>
      </c>
      <c r="D3701" s="2">
        <v>556</v>
      </c>
      <c r="E3701" s="2">
        <v>200</v>
      </c>
      <c r="F3701" s="2">
        <v>32441</v>
      </c>
      <c r="G3701" s="2">
        <v>3.7925629500000002</v>
      </c>
      <c r="H3701" s="3">
        <v>7.3800000000000005E-5</v>
      </c>
      <c r="I3701" s="2" t="s">
        <v>17953</v>
      </c>
      <c r="J3701" s="2" t="s">
        <v>17954</v>
      </c>
      <c r="K3701" s="2">
        <v>2.1630299999999999E-4</v>
      </c>
      <c r="L3701" s="2" t="s">
        <v>1178</v>
      </c>
      <c r="M3701" s="4" t="s">
        <v>17955</v>
      </c>
    </row>
    <row r="3702" spans="1:13">
      <c r="A3702" s="2">
        <v>1451</v>
      </c>
      <c r="B3702" s="2" t="s">
        <v>17956</v>
      </c>
      <c r="C3702" s="2">
        <v>13</v>
      </c>
      <c r="D3702" s="2">
        <v>556</v>
      </c>
      <c r="E3702" s="2">
        <v>200</v>
      </c>
      <c r="F3702" s="2">
        <v>32441</v>
      </c>
      <c r="G3702" s="2">
        <v>3.7925629500000002</v>
      </c>
      <c r="H3702" s="3">
        <v>7.3800000000000005E-5</v>
      </c>
      <c r="I3702" s="2" t="s">
        <v>17957</v>
      </c>
      <c r="J3702" s="2" t="s">
        <v>17958</v>
      </c>
      <c r="K3702" s="2">
        <v>2.1630299999999999E-4</v>
      </c>
      <c r="L3702" s="2" t="s">
        <v>1178</v>
      </c>
      <c r="M3702" s="4" t="s">
        <v>17959</v>
      </c>
    </row>
    <row r="3703" spans="1:13">
      <c r="A3703" s="2">
        <v>1459</v>
      </c>
      <c r="B3703" s="2" t="s">
        <v>17960</v>
      </c>
      <c r="C3703" s="2">
        <v>13</v>
      </c>
      <c r="D3703" s="2">
        <v>556</v>
      </c>
      <c r="E3703" s="2">
        <v>200</v>
      </c>
      <c r="F3703" s="2">
        <v>32441</v>
      </c>
      <c r="G3703" s="2">
        <v>3.7925629500000002</v>
      </c>
      <c r="H3703" s="3">
        <v>7.3800000000000005E-5</v>
      </c>
      <c r="I3703" s="2" t="s">
        <v>17961</v>
      </c>
      <c r="J3703" s="2" t="s">
        <v>17962</v>
      </c>
      <c r="K3703" s="2">
        <v>2.1630299999999999E-4</v>
      </c>
      <c r="L3703" s="2" t="s">
        <v>1178</v>
      </c>
      <c r="M3703" s="4" t="s">
        <v>17963</v>
      </c>
    </row>
    <row r="3704" spans="1:13">
      <c r="A3704" s="2">
        <v>1509</v>
      </c>
      <c r="B3704" s="2" t="s">
        <v>17964</v>
      </c>
      <c r="C3704" s="2">
        <v>13</v>
      </c>
      <c r="D3704" s="2">
        <v>556</v>
      </c>
      <c r="E3704" s="2">
        <v>200</v>
      </c>
      <c r="F3704" s="2">
        <v>32441</v>
      </c>
      <c r="G3704" s="2">
        <v>3.7925629500000002</v>
      </c>
      <c r="H3704" s="3">
        <v>7.3800000000000005E-5</v>
      </c>
      <c r="I3704" s="2" t="s">
        <v>17965</v>
      </c>
      <c r="J3704" s="2" t="s">
        <v>17966</v>
      </c>
      <c r="K3704" s="2">
        <v>2.1630299999999999E-4</v>
      </c>
      <c r="L3704" s="2" t="s">
        <v>1178</v>
      </c>
      <c r="M3704" s="4" t="s">
        <v>17967</v>
      </c>
    </row>
    <row r="3705" spans="1:13">
      <c r="A3705" s="2">
        <v>15471</v>
      </c>
      <c r="B3705" s="2" t="s">
        <v>17968</v>
      </c>
      <c r="C3705" s="2">
        <v>13</v>
      </c>
      <c r="D3705" s="2">
        <v>556</v>
      </c>
      <c r="E3705" s="2">
        <v>200</v>
      </c>
      <c r="F3705" s="2">
        <v>32441</v>
      </c>
      <c r="G3705" s="2">
        <v>3.7925629500000002</v>
      </c>
      <c r="H3705" s="3">
        <v>7.3800000000000005E-5</v>
      </c>
      <c r="I3705" s="2" t="s">
        <v>17969</v>
      </c>
      <c r="J3705" s="2" t="s">
        <v>17970</v>
      </c>
      <c r="K3705" s="2">
        <v>2.1630299999999999E-4</v>
      </c>
      <c r="L3705" s="2" t="s">
        <v>1178</v>
      </c>
      <c r="M3705" s="4" t="s">
        <v>17971</v>
      </c>
    </row>
    <row r="3706" spans="1:13">
      <c r="A3706" s="2">
        <v>15551</v>
      </c>
      <c r="B3706" s="2" t="s">
        <v>17972</v>
      </c>
      <c r="C3706" s="2">
        <v>13</v>
      </c>
      <c r="D3706" s="2">
        <v>556</v>
      </c>
      <c r="E3706" s="2">
        <v>200</v>
      </c>
      <c r="F3706" s="2">
        <v>32441</v>
      </c>
      <c r="G3706" s="2">
        <v>3.7925629500000002</v>
      </c>
      <c r="H3706" s="3">
        <v>7.3800000000000005E-5</v>
      </c>
      <c r="I3706" s="2" t="s">
        <v>17973</v>
      </c>
      <c r="J3706" s="2" t="s">
        <v>17974</v>
      </c>
      <c r="K3706" s="2">
        <v>2.1630299999999999E-4</v>
      </c>
      <c r="L3706" s="2" t="s">
        <v>1178</v>
      </c>
      <c r="M3706" s="4" t="s">
        <v>17975</v>
      </c>
    </row>
    <row r="3707" spans="1:13">
      <c r="A3707" s="2">
        <v>1620</v>
      </c>
      <c r="B3707" s="2" t="s">
        <v>17976</v>
      </c>
      <c r="C3707" s="2">
        <v>13</v>
      </c>
      <c r="D3707" s="2">
        <v>556</v>
      </c>
      <c r="E3707" s="2">
        <v>200</v>
      </c>
      <c r="F3707" s="2">
        <v>32441</v>
      </c>
      <c r="G3707" s="2">
        <v>3.7925629500000002</v>
      </c>
      <c r="H3707" s="3">
        <v>7.3800000000000005E-5</v>
      </c>
      <c r="I3707" s="2" t="s">
        <v>17977</v>
      </c>
      <c r="J3707" s="2" t="s">
        <v>17978</v>
      </c>
      <c r="K3707" s="2">
        <v>2.1630299999999999E-4</v>
      </c>
      <c r="L3707" s="2" t="s">
        <v>1178</v>
      </c>
      <c r="M3707" s="4" t="s">
        <v>17979</v>
      </c>
    </row>
    <row r="3708" spans="1:13">
      <c r="A3708" s="2">
        <v>1633</v>
      </c>
      <c r="B3708" s="2" t="s">
        <v>17980</v>
      </c>
      <c r="C3708" s="2">
        <v>13</v>
      </c>
      <c r="D3708" s="2">
        <v>556</v>
      </c>
      <c r="E3708" s="2">
        <v>200</v>
      </c>
      <c r="F3708" s="2">
        <v>32441</v>
      </c>
      <c r="G3708" s="2">
        <v>3.7925629500000002</v>
      </c>
      <c r="H3708" s="3">
        <v>7.3800000000000005E-5</v>
      </c>
      <c r="I3708" s="2" t="s">
        <v>17981</v>
      </c>
      <c r="J3708" s="2" t="s">
        <v>17982</v>
      </c>
      <c r="K3708" s="2">
        <v>2.1630299999999999E-4</v>
      </c>
      <c r="L3708" s="2" t="s">
        <v>1178</v>
      </c>
      <c r="M3708" s="4" t="s">
        <v>17983</v>
      </c>
    </row>
    <row r="3709" spans="1:13">
      <c r="A3709" s="2">
        <v>1639</v>
      </c>
      <c r="B3709" s="2" t="s">
        <v>17984</v>
      </c>
      <c r="C3709" s="2">
        <v>13</v>
      </c>
      <c r="D3709" s="2">
        <v>556</v>
      </c>
      <c r="E3709" s="2">
        <v>200</v>
      </c>
      <c r="F3709" s="2">
        <v>32441</v>
      </c>
      <c r="G3709" s="2">
        <v>3.7925629500000002</v>
      </c>
      <c r="H3709" s="3">
        <v>7.3800000000000005E-5</v>
      </c>
      <c r="I3709" s="2" t="s">
        <v>17985</v>
      </c>
      <c r="J3709" s="2" t="s">
        <v>17986</v>
      </c>
      <c r="K3709" s="2">
        <v>2.1630299999999999E-4</v>
      </c>
      <c r="L3709" s="2" t="s">
        <v>1178</v>
      </c>
      <c r="M3709" s="4" t="s">
        <v>17987</v>
      </c>
    </row>
    <row r="3710" spans="1:13">
      <c r="A3710" s="2">
        <v>1709</v>
      </c>
      <c r="B3710" s="2" t="s">
        <v>17988</v>
      </c>
      <c r="C3710" s="2">
        <v>13</v>
      </c>
      <c r="D3710" s="2">
        <v>556</v>
      </c>
      <c r="E3710" s="2">
        <v>200</v>
      </c>
      <c r="F3710" s="2">
        <v>32441</v>
      </c>
      <c r="G3710" s="2">
        <v>3.7925629500000002</v>
      </c>
      <c r="H3710" s="3">
        <v>7.3800000000000005E-5</v>
      </c>
      <c r="I3710" s="2" t="s">
        <v>17989</v>
      </c>
      <c r="J3710" s="2" t="s">
        <v>17990</v>
      </c>
      <c r="K3710" s="2">
        <v>2.1630299999999999E-4</v>
      </c>
      <c r="L3710" s="2" t="s">
        <v>1178</v>
      </c>
      <c r="M3710" s="4" t="s">
        <v>17991</v>
      </c>
    </row>
    <row r="3711" spans="1:13">
      <c r="A3711" s="2">
        <v>1713</v>
      </c>
      <c r="B3711" s="2" t="s">
        <v>17992</v>
      </c>
      <c r="C3711" s="2">
        <v>13</v>
      </c>
      <c r="D3711" s="2">
        <v>556</v>
      </c>
      <c r="E3711" s="2">
        <v>200</v>
      </c>
      <c r="F3711" s="2">
        <v>32441</v>
      </c>
      <c r="G3711" s="2">
        <v>3.7925629500000002</v>
      </c>
      <c r="H3711" s="3">
        <v>7.3800000000000005E-5</v>
      </c>
      <c r="I3711" s="2" t="s">
        <v>17993</v>
      </c>
      <c r="J3711" s="2" t="s">
        <v>17994</v>
      </c>
      <c r="K3711" s="2">
        <v>2.1630299999999999E-4</v>
      </c>
      <c r="L3711" s="2" t="s">
        <v>1178</v>
      </c>
      <c r="M3711" s="4" t="s">
        <v>17995</v>
      </c>
    </row>
    <row r="3712" spans="1:13">
      <c r="A3712" s="2">
        <v>1778</v>
      </c>
      <c r="B3712" s="2" t="s">
        <v>17996</v>
      </c>
      <c r="C3712" s="2">
        <v>13</v>
      </c>
      <c r="D3712" s="2">
        <v>556</v>
      </c>
      <c r="E3712" s="2">
        <v>200</v>
      </c>
      <c r="F3712" s="2">
        <v>32441</v>
      </c>
      <c r="G3712" s="2">
        <v>3.7925629500000002</v>
      </c>
      <c r="H3712" s="3">
        <v>7.3800000000000005E-5</v>
      </c>
      <c r="I3712" s="2" t="s">
        <v>17997</v>
      </c>
      <c r="J3712" s="2" t="s">
        <v>17998</v>
      </c>
      <c r="K3712" s="2">
        <v>2.1630299999999999E-4</v>
      </c>
      <c r="L3712" s="2" t="s">
        <v>1178</v>
      </c>
      <c r="M3712" s="4" t="s">
        <v>17999</v>
      </c>
    </row>
    <row r="3713" spans="1:13">
      <c r="A3713" s="2">
        <v>1782</v>
      </c>
      <c r="B3713" s="2" t="s">
        <v>18000</v>
      </c>
      <c r="C3713" s="2">
        <v>13</v>
      </c>
      <c r="D3713" s="2">
        <v>556</v>
      </c>
      <c r="E3713" s="2">
        <v>200</v>
      </c>
      <c r="F3713" s="2">
        <v>32441</v>
      </c>
      <c r="G3713" s="2">
        <v>3.7925629500000002</v>
      </c>
      <c r="H3713" s="3">
        <v>7.3800000000000005E-5</v>
      </c>
      <c r="I3713" s="2" t="s">
        <v>18001</v>
      </c>
      <c r="J3713" s="2" t="s">
        <v>18002</v>
      </c>
      <c r="K3713" s="2">
        <v>2.1630299999999999E-4</v>
      </c>
      <c r="L3713" s="2" t="s">
        <v>1178</v>
      </c>
      <c r="M3713" s="4" t="s">
        <v>18003</v>
      </c>
    </row>
    <row r="3714" spans="1:13">
      <c r="A3714" s="2">
        <v>1790</v>
      </c>
      <c r="B3714" s="2" t="s">
        <v>18004</v>
      </c>
      <c r="C3714" s="2">
        <v>13</v>
      </c>
      <c r="D3714" s="2">
        <v>556</v>
      </c>
      <c r="E3714" s="2">
        <v>200</v>
      </c>
      <c r="F3714" s="2">
        <v>32441</v>
      </c>
      <c r="G3714" s="2">
        <v>3.7925629500000002</v>
      </c>
      <c r="H3714" s="3">
        <v>7.3800000000000005E-5</v>
      </c>
      <c r="I3714" s="2" t="s">
        <v>18005</v>
      </c>
      <c r="J3714" s="2" t="s">
        <v>18006</v>
      </c>
      <c r="K3714" s="2">
        <v>2.1630299999999999E-4</v>
      </c>
      <c r="L3714" s="2" t="s">
        <v>1178</v>
      </c>
      <c r="M3714" s="4" t="s">
        <v>18007</v>
      </c>
    </row>
    <row r="3715" spans="1:13">
      <c r="A3715" s="2">
        <v>1804</v>
      </c>
      <c r="B3715" s="2" t="s">
        <v>18008</v>
      </c>
      <c r="C3715" s="2">
        <v>13</v>
      </c>
      <c r="D3715" s="2">
        <v>556</v>
      </c>
      <c r="E3715" s="2">
        <v>200</v>
      </c>
      <c r="F3715" s="2">
        <v>32441</v>
      </c>
      <c r="G3715" s="2">
        <v>3.7925629500000002</v>
      </c>
      <c r="H3715" s="3">
        <v>7.3800000000000005E-5</v>
      </c>
      <c r="I3715" s="2" t="s">
        <v>18009</v>
      </c>
      <c r="J3715" s="2" t="s">
        <v>18010</v>
      </c>
      <c r="K3715" s="2">
        <v>2.1630299999999999E-4</v>
      </c>
      <c r="L3715" s="2" t="s">
        <v>1178</v>
      </c>
      <c r="M3715" s="4" t="s">
        <v>18011</v>
      </c>
    </row>
    <row r="3716" spans="1:13">
      <c r="A3716" s="2">
        <v>1818</v>
      </c>
      <c r="B3716" s="2" t="s">
        <v>18012</v>
      </c>
      <c r="C3716" s="2">
        <v>13</v>
      </c>
      <c r="D3716" s="2">
        <v>556</v>
      </c>
      <c r="E3716" s="2">
        <v>200</v>
      </c>
      <c r="F3716" s="2">
        <v>32441</v>
      </c>
      <c r="G3716" s="2">
        <v>3.7925629500000002</v>
      </c>
      <c r="H3716" s="3">
        <v>7.3800000000000005E-5</v>
      </c>
      <c r="I3716" s="2" t="s">
        <v>18013</v>
      </c>
      <c r="J3716" s="2" t="s">
        <v>18014</v>
      </c>
      <c r="K3716" s="2">
        <v>2.1630299999999999E-4</v>
      </c>
      <c r="L3716" s="2" t="s">
        <v>1178</v>
      </c>
      <c r="M3716" s="4" t="s">
        <v>18015</v>
      </c>
    </row>
    <row r="3717" spans="1:13">
      <c r="A3717" s="2">
        <v>1887</v>
      </c>
      <c r="B3717" s="2" t="s">
        <v>18016</v>
      </c>
      <c r="C3717" s="2">
        <v>13</v>
      </c>
      <c r="D3717" s="2">
        <v>556</v>
      </c>
      <c r="E3717" s="2">
        <v>200</v>
      </c>
      <c r="F3717" s="2">
        <v>32441</v>
      </c>
      <c r="G3717" s="2">
        <v>3.7925629500000002</v>
      </c>
      <c r="H3717" s="3">
        <v>7.3800000000000005E-5</v>
      </c>
      <c r="I3717" s="2" t="s">
        <v>18017</v>
      </c>
      <c r="J3717" s="2" t="s">
        <v>18018</v>
      </c>
      <c r="K3717" s="2">
        <v>2.1630299999999999E-4</v>
      </c>
      <c r="L3717" s="2" t="s">
        <v>1178</v>
      </c>
      <c r="M3717" s="4" t="s">
        <v>18019</v>
      </c>
    </row>
    <row r="3718" spans="1:13">
      <c r="A3718" s="2">
        <v>1951</v>
      </c>
      <c r="B3718" s="2" t="s">
        <v>18020</v>
      </c>
      <c r="C3718" s="2">
        <v>13</v>
      </c>
      <c r="D3718" s="2">
        <v>556</v>
      </c>
      <c r="E3718" s="2">
        <v>199</v>
      </c>
      <c r="F3718" s="2">
        <v>32441</v>
      </c>
      <c r="G3718" s="2">
        <v>3.8116210549999998</v>
      </c>
      <c r="H3718" s="3">
        <v>7.0400000000000004E-5</v>
      </c>
      <c r="I3718" s="2" t="s">
        <v>18021</v>
      </c>
      <c r="J3718" s="2" t="s">
        <v>18022</v>
      </c>
      <c r="K3718" s="2">
        <v>2.1630299999999999E-4</v>
      </c>
      <c r="L3718" s="2" t="s">
        <v>1178</v>
      </c>
      <c r="M3718" s="4" t="s">
        <v>18023</v>
      </c>
    </row>
    <row r="3719" spans="1:13">
      <c r="A3719" s="2">
        <v>1955</v>
      </c>
      <c r="B3719" s="2" t="s">
        <v>18024</v>
      </c>
      <c r="C3719" s="2">
        <v>13</v>
      </c>
      <c r="D3719" s="2">
        <v>556</v>
      </c>
      <c r="E3719" s="2">
        <v>200</v>
      </c>
      <c r="F3719" s="2">
        <v>32441</v>
      </c>
      <c r="G3719" s="2">
        <v>3.7925629500000002</v>
      </c>
      <c r="H3719" s="3">
        <v>7.3800000000000005E-5</v>
      </c>
      <c r="I3719" s="2" t="s">
        <v>18025</v>
      </c>
      <c r="J3719" s="2" t="s">
        <v>18026</v>
      </c>
      <c r="K3719" s="2">
        <v>2.1630299999999999E-4</v>
      </c>
      <c r="L3719" s="2" t="s">
        <v>1178</v>
      </c>
      <c r="M3719" s="4" t="s">
        <v>18027</v>
      </c>
    </row>
    <row r="3720" spans="1:13">
      <c r="A3720" s="2">
        <v>1984</v>
      </c>
      <c r="B3720" s="2" t="s">
        <v>18028</v>
      </c>
      <c r="C3720" s="2">
        <v>13</v>
      </c>
      <c r="D3720" s="2">
        <v>556</v>
      </c>
      <c r="E3720" s="2">
        <v>200</v>
      </c>
      <c r="F3720" s="2">
        <v>32441</v>
      </c>
      <c r="G3720" s="2">
        <v>3.7925629500000002</v>
      </c>
      <c r="H3720" s="3">
        <v>7.3800000000000005E-5</v>
      </c>
      <c r="I3720" s="2" t="s">
        <v>18029</v>
      </c>
      <c r="J3720" s="2" t="s">
        <v>18030</v>
      </c>
      <c r="K3720" s="2">
        <v>2.1630299999999999E-4</v>
      </c>
      <c r="L3720" s="2" t="s">
        <v>1178</v>
      </c>
      <c r="M3720" s="4" t="s">
        <v>18031</v>
      </c>
    </row>
    <row r="3721" spans="1:13">
      <c r="A3721" s="2">
        <v>1989</v>
      </c>
      <c r="B3721" s="2" t="s">
        <v>18032</v>
      </c>
      <c r="C3721" s="2">
        <v>13</v>
      </c>
      <c r="D3721" s="2">
        <v>556</v>
      </c>
      <c r="E3721" s="2">
        <v>200</v>
      </c>
      <c r="F3721" s="2">
        <v>32441</v>
      </c>
      <c r="G3721" s="2">
        <v>3.7925629500000002</v>
      </c>
      <c r="H3721" s="3">
        <v>7.3800000000000005E-5</v>
      </c>
      <c r="I3721" s="2" t="s">
        <v>18033</v>
      </c>
      <c r="J3721" s="2" t="s">
        <v>18034</v>
      </c>
      <c r="K3721" s="2">
        <v>2.1630299999999999E-4</v>
      </c>
      <c r="L3721" s="2" t="s">
        <v>1178</v>
      </c>
      <c r="M3721" s="4" t="s">
        <v>18035</v>
      </c>
    </row>
    <row r="3722" spans="1:13">
      <c r="A3722" s="2">
        <v>2008</v>
      </c>
      <c r="B3722" s="2" t="s">
        <v>18036</v>
      </c>
      <c r="C3722" s="2">
        <v>13</v>
      </c>
      <c r="D3722" s="2">
        <v>556</v>
      </c>
      <c r="E3722" s="2">
        <v>200</v>
      </c>
      <c r="F3722" s="2">
        <v>32441</v>
      </c>
      <c r="G3722" s="2">
        <v>3.7925629500000002</v>
      </c>
      <c r="H3722" s="3">
        <v>7.3800000000000005E-5</v>
      </c>
      <c r="I3722" s="2" t="s">
        <v>18037</v>
      </c>
      <c r="J3722" s="2" t="s">
        <v>18038</v>
      </c>
      <c r="K3722" s="2">
        <v>2.1630299999999999E-4</v>
      </c>
      <c r="L3722" s="2" t="s">
        <v>1178</v>
      </c>
      <c r="M3722" s="4" t="s">
        <v>18039</v>
      </c>
    </row>
    <row r="3723" spans="1:13">
      <c r="A3723" s="2">
        <v>2037</v>
      </c>
      <c r="B3723" s="2" t="s">
        <v>18040</v>
      </c>
      <c r="C3723" s="2">
        <v>13</v>
      </c>
      <c r="D3723" s="2">
        <v>556</v>
      </c>
      <c r="E3723" s="2">
        <v>199</v>
      </c>
      <c r="F3723" s="2">
        <v>32441</v>
      </c>
      <c r="G3723" s="2">
        <v>3.8116210549999998</v>
      </c>
      <c r="H3723" s="3">
        <v>7.0400000000000004E-5</v>
      </c>
      <c r="I3723" s="2" t="s">
        <v>18041</v>
      </c>
      <c r="J3723" s="2" t="s">
        <v>18042</v>
      </c>
      <c r="K3723" s="2">
        <v>2.1630299999999999E-4</v>
      </c>
      <c r="L3723" s="2" t="s">
        <v>1178</v>
      </c>
      <c r="M3723" s="4" t="s">
        <v>18043</v>
      </c>
    </row>
    <row r="3724" spans="1:13">
      <c r="A3724" s="2">
        <v>2197</v>
      </c>
      <c r="B3724" s="2" t="s">
        <v>18044</v>
      </c>
      <c r="C3724" s="2">
        <v>13</v>
      </c>
      <c r="D3724" s="2">
        <v>556</v>
      </c>
      <c r="E3724" s="2">
        <v>200</v>
      </c>
      <c r="F3724" s="2">
        <v>32441</v>
      </c>
      <c r="G3724" s="2">
        <v>3.7925629500000002</v>
      </c>
      <c r="H3724" s="3">
        <v>7.3800000000000005E-5</v>
      </c>
      <c r="I3724" s="2" t="s">
        <v>18045</v>
      </c>
      <c r="J3724" s="2" t="s">
        <v>18046</v>
      </c>
      <c r="K3724" s="2">
        <v>2.1630299999999999E-4</v>
      </c>
      <c r="L3724" s="2" t="s">
        <v>1178</v>
      </c>
      <c r="M3724" s="4" t="s">
        <v>18047</v>
      </c>
    </row>
    <row r="3725" spans="1:13">
      <c r="A3725" s="2">
        <v>22311</v>
      </c>
      <c r="B3725" s="2" t="s">
        <v>18048</v>
      </c>
      <c r="C3725" s="2">
        <v>13</v>
      </c>
      <c r="D3725" s="2">
        <v>556</v>
      </c>
      <c r="E3725" s="2">
        <v>200</v>
      </c>
      <c r="F3725" s="2">
        <v>32441</v>
      </c>
      <c r="G3725" s="2">
        <v>3.7925629500000002</v>
      </c>
      <c r="H3725" s="3">
        <v>7.3800000000000005E-5</v>
      </c>
      <c r="I3725" s="2" t="s">
        <v>18049</v>
      </c>
      <c r="J3725" s="2" t="s">
        <v>18050</v>
      </c>
      <c r="K3725" s="2">
        <v>2.1630299999999999E-4</v>
      </c>
      <c r="L3725" s="2" t="s">
        <v>1178</v>
      </c>
      <c r="M3725" s="4" t="s">
        <v>18051</v>
      </c>
    </row>
    <row r="3726" spans="1:13">
      <c r="A3726" s="2">
        <v>22371</v>
      </c>
      <c r="B3726" s="2" t="s">
        <v>18052</v>
      </c>
      <c r="C3726" s="2">
        <v>13</v>
      </c>
      <c r="D3726" s="2">
        <v>556</v>
      </c>
      <c r="E3726" s="2">
        <v>200</v>
      </c>
      <c r="F3726" s="2">
        <v>32441</v>
      </c>
      <c r="G3726" s="2">
        <v>3.7925629500000002</v>
      </c>
      <c r="H3726" s="3">
        <v>7.3800000000000005E-5</v>
      </c>
      <c r="I3726" s="2" t="s">
        <v>18053</v>
      </c>
      <c r="J3726" s="2" t="s">
        <v>18054</v>
      </c>
      <c r="K3726" s="2">
        <v>2.1630299999999999E-4</v>
      </c>
      <c r="L3726" s="2" t="s">
        <v>1178</v>
      </c>
      <c r="M3726" s="4" t="s">
        <v>18055</v>
      </c>
    </row>
    <row r="3727" spans="1:13">
      <c r="A3727" s="2">
        <v>2251</v>
      </c>
      <c r="B3727" s="2" t="s">
        <v>18056</v>
      </c>
      <c r="C3727" s="2">
        <v>13</v>
      </c>
      <c r="D3727" s="2">
        <v>556</v>
      </c>
      <c r="E3727" s="2">
        <v>200</v>
      </c>
      <c r="F3727" s="2">
        <v>32441</v>
      </c>
      <c r="G3727" s="2">
        <v>3.7925629500000002</v>
      </c>
      <c r="H3727" s="3">
        <v>7.3800000000000005E-5</v>
      </c>
      <c r="I3727" s="2" t="s">
        <v>18057</v>
      </c>
      <c r="J3727" s="2" t="s">
        <v>18058</v>
      </c>
      <c r="K3727" s="2">
        <v>2.1630299999999999E-4</v>
      </c>
      <c r="L3727" s="2" t="s">
        <v>1178</v>
      </c>
      <c r="M3727" s="4" t="s">
        <v>18059</v>
      </c>
    </row>
    <row r="3728" spans="1:13">
      <c r="A3728" s="2">
        <v>22621</v>
      </c>
      <c r="B3728" s="2" t="s">
        <v>18060</v>
      </c>
      <c r="C3728" s="2">
        <v>13</v>
      </c>
      <c r="D3728" s="2">
        <v>556</v>
      </c>
      <c r="E3728" s="2">
        <v>200</v>
      </c>
      <c r="F3728" s="2">
        <v>32441</v>
      </c>
      <c r="G3728" s="2">
        <v>3.7925629500000002</v>
      </c>
      <c r="H3728" s="3">
        <v>7.3800000000000005E-5</v>
      </c>
      <c r="I3728" s="2" t="s">
        <v>18061</v>
      </c>
      <c r="J3728" s="2" t="s">
        <v>18062</v>
      </c>
      <c r="K3728" s="2">
        <v>2.1630299999999999E-4</v>
      </c>
      <c r="L3728" s="2" t="s">
        <v>1178</v>
      </c>
      <c r="M3728" s="4" t="s">
        <v>18063</v>
      </c>
    </row>
    <row r="3729" spans="1:13">
      <c r="A3729" s="2">
        <v>2308</v>
      </c>
      <c r="B3729" s="2" t="s">
        <v>2211</v>
      </c>
      <c r="C3729" s="2">
        <v>13</v>
      </c>
      <c r="D3729" s="2">
        <v>556</v>
      </c>
      <c r="E3729" s="2">
        <v>200</v>
      </c>
      <c r="F3729" s="2">
        <v>32441</v>
      </c>
      <c r="G3729" s="2">
        <v>3.7925629500000002</v>
      </c>
      <c r="H3729" s="3">
        <v>7.3800000000000005E-5</v>
      </c>
      <c r="I3729" s="2" t="s">
        <v>18064</v>
      </c>
      <c r="J3729" s="2" t="s">
        <v>18065</v>
      </c>
      <c r="K3729" s="2">
        <v>2.1630299999999999E-4</v>
      </c>
      <c r="L3729" s="2" t="s">
        <v>1178</v>
      </c>
      <c r="M3729" s="4" t="s">
        <v>18066</v>
      </c>
    </row>
    <row r="3730" spans="1:13">
      <c r="A3730" s="2">
        <v>2326</v>
      </c>
      <c r="B3730" s="2" t="s">
        <v>18067</v>
      </c>
      <c r="C3730" s="2">
        <v>13</v>
      </c>
      <c r="D3730" s="2">
        <v>556</v>
      </c>
      <c r="E3730" s="2">
        <v>199</v>
      </c>
      <c r="F3730" s="2">
        <v>32441</v>
      </c>
      <c r="G3730" s="2">
        <v>3.8116210549999998</v>
      </c>
      <c r="H3730" s="3">
        <v>7.0400000000000004E-5</v>
      </c>
      <c r="I3730" s="2" t="s">
        <v>18068</v>
      </c>
      <c r="J3730" s="2" t="s">
        <v>18069</v>
      </c>
      <c r="K3730" s="2">
        <v>2.1630299999999999E-4</v>
      </c>
      <c r="L3730" s="2" t="s">
        <v>1178</v>
      </c>
      <c r="M3730" s="4" t="s">
        <v>18070</v>
      </c>
    </row>
    <row r="3731" spans="1:13">
      <c r="A3731" s="2">
        <v>23451</v>
      </c>
      <c r="B3731" s="2" t="s">
        <v>1302</v>
      </c>
      <c r="C3731" s="2">
        <v>13</v>
      </c>
      <c r="D3731" s="2">
        <v>556</v>
      </c>
      <c r="E3731" s="2">
        <v>199</v>
      </c>
      <c r="F3731" s="2">
        <v>32441</v>
      </c>
      <c r="G3731" s="2">
        <v>3.8116210549999998</v>
      </c>
      <c r="H3731" s="3">
        <v>7.0400000000000004E-5</v>
      </c>
      <c r="I3731" s="2" t="s">
        <v>18071</v>
      </c>
      <c r="J3731" s="2" t="s">
        <v>18072</v>
      </c>
      <c r="K3731" s="2">
        <v>2.1630299999999999E-4</v>
      </c>
      <c r="L3731" s="2" t="s">
        <v>1178</v>
      </c>
      <c r="M3731" s="4" t="s">
        <v>18073</v>
      </c>
    </row>
    <row r="3732" spans="1:13">
      <c r="A3732" s="2">
        <v>2382</v>
      </c>
      <c r="B3732" s="2" t="s">
        <v>18074</v>
      </c>
      <c r="C3732" s="2">
        <v>13</v>
      </c>
      <c r="D3732" s="2">
        <v>556</v>
      </c>
      <c r="E3732" s="2">
        <v>200</v>
      </c>
      <c r="F3732" s="2">
        <v>32441</v>
      </c>
      <c r="G3732" s="2">
        <v>3.7925629500000002</v>
      </c>
      <c r="H3732" s="3">
        <v>7.3800000000000005E-5</v>
      </c>
      <c r="I3732" s="2" t="s">
        <v>18075</v>
      </c>
      <c r="J3732" s="2" t="s">
        <v>18076</v>
      </c>
      <c r="K3732" s="2">
        <v>2.1630299999999999E-4</v>
      </c>
      <c r="L3732" s="2" t="s">
        <v>1178</v>
      </c>
      <c r="M3732" s="4" t="s">
        <v>18077</v>
      </c>
    </row>
    <row r="3733" spans="1:13">
      <c r="A3733" s="2">
        <v>23841</v>
      </c>
      <c r="B3733" s="2" t="s">
        <v>18078</v>
      </c>
      <c r="C3733" s="2">
        <v>13</v>
      </c>
      <c r="D3733" s="2">
        <v>556</v>
      </c>
      <c r="E3733" s="2">
        <v>200</v>
      </c>
      <c r="F3733" s="2">
        <v>32441</v>
      </c>
      <c r="G3733" s="2">
        <v>3.7925629500000002</v>
      </c>
      <c r="H3733" s="3">
        <v>7.3800000000000005E-5</v>
      </c>
      <c r="I3733" s="2" t="s">
        <v>18079</v>
      </c>
      <c r="J3733" s="2" t="s">
        <v>18080</v>
      </c>
      <c r="K3733" s="2">
        <v>2.1630299999999999E-4</v>
      </c>
      <c r="L3733" s="2" t="s">
        <v>1178</v>
      </c>
      <c r="M3733" s="4" t="s">
        <v>18081</v>
      </c>
    </row>
    <row r="3734" spans="1:13">
      <c r="A3734" s="2">
        <v>24031</v>
      </c>
      <c r="B3734" s="2" t="s">
        <v>18082</v>
      </c>
      <c r="C3734" s="2">
        <v>13</v>
      </c>
      <c r="D3734" s="2">
        <v>556</v>
      </c>
      <c r="E3734" s="2">
        <v>200</v>
      </c>
      <c r="F3734" s="2">
        <v>32441</v>
      </c>
      <c r="G3734" s="2">
        <v>3.7925629500000002</v>
      </c>
      <c r="H3734" s="3">
        <v>7.3800000000000005E-5</v>
      </c>
      <c r="I3734" s="2" t="s">
        <v>18083</v>
      </c>
      <c r="J3734" s="2" t="s">
        <v>18084</v>
      </c>
      <c r="K3734" s="2">
        <v>2.1630299999999999E-4</v>
      </c>
      <c r="L3734" s="2" t="s">
        <v>1178</v>
      </c>
      <c r="M3734" s="4" t="s">
        <v>18085</v>
      </c>
    </row>
    <row r="3735" spans="1:13">
      <c r="A3735" s="2">
        <v>2450</v>
      </c>
      <c r="B3735" s="2" t="s">
        <v>18086</v>
      </c>
      <c r="C3735" s="2">
        <v>13</v>
      </c>
      <c r="D3735" s="2">
        <v>556</v>
      </c>
      <c r="E3735" s="2">
        <v>198</v>
      </c>
      <c r="F3735" s="2">
        <v>32441</v>
      </c>
      <c r="G3735" s="2">
        <v>3.8308716660000002</v>
      </c>
      <c r="H3735" s="3">
        <v>6.7100000000000005E-5</v>
      </c>
      <c r="I3735" s="2" t="s">
        <v>18087</v>
      </c>
      <c r="J3735" s="2" t="s">
        <v>18088</v>
      </c>
      <c r="K3735" s="2">
        <v>2.1630299999999999E-4</v>
      </c>
      <c r="L3735" s="2" t="s">
        <v>1178</v>
      </c>
      <c r="M3735" s="4" t="s">
        <v>18089</v>
      </c>
    </row>
    <row r="3736" spans="1:13">
      <c r="A3736" s="2">
        <v>2516</v>
      </c>
      <c r="B3736" s="2" t="s">
        <v>18090</v>
      </c>
      <c r="C3736" s="2">
        <v>13</v>
      </c>
      <c r="D3736" s="2">
        <v>556</v>
      </c>
      <c r="E3736" s="2">
        <v>200</v>
      </c>
      <c r="F3736" s="2">
        <v>32441</v>
      </c>
      <c r="G3736" s="2">
        <v>3.7925629500000002</v>
      </c>
      <c r="H3736" s="3">
        <v>7.3800000000000005E-5</v>
      </c>
      <c r="I3736" s="2" t="s">
        <v>18091</v>
      </c>
      <c r="J3736" s="2" t="s">
        <v>18092</v>
      </c>
      <c r="K3736" s="2">
        <v>2.1630299999999999E-4</v>
      </c>
      <c r="L3736" s="2" t="s">
        <v>1178</v>
      </c>
      <c r="M3736" s="4" t="s">
        <v>18093</v>
      </c>
    </row>
    <row r="3737" spans="1:13">
      <c r="A3737" s="2">
        <v>25811</v>
      </c>
      <c r="B3737" s="2" t="s">
        <v>18094</v>
      </c>
      <c r="C3737" s="2">
        <v>13</v>
      </c>
      <c r="D3737" s="2">
        <v>556</v>
      </c>
      <c r="E3737" s="2">
        <v>200</v>
      </c>
      <c r="F3737" s="2">
        <v>32441</v>
      </c>
      <c r="G3737" s="2">
        <v>3.7925629500000002</v>
      </c>
      <c r="H3737" s="3">
        <v>7.3800000000000005E-5</v>
      </c>
      <c r="I3737" s="2" t="s">
        <v>18095</v>
      </c>
      <c r="J3737" s="2" t="s">
        <v>18096</v>
      </c>
      <c r="K3737" s="2">
        <v>2.1630299999999999E-4</v>
      </c>
      <c r="L3737" s="2" t="s">
        <v>1178</v>
      </c>
      <c r="M3737" s="4" t="s">
        <v>18097</v>
      </c>
    </row>
    <row r="3738" spans="1:13">
      <c r="A3738" s="2">
        <v>26201</v>
      </c>
      <c r="B3738" s="2" t="s">
        <v>2214</v>
      </c>
      <c r="C3738" s="2">
        <v>13</v>
      </c>
      <c r="D3738" s="2">
        <v>556</v>
      </c>
      <c r="E3738" s="2">
        <v>200</v>
      </c>
      <c r="F3738" s="2">
        <v>32441</v>
      </c>
      <c r="G3738" s="2">
        <v>3.7925629500000002</v>
      </c>
      <c r="H3738" s="3">
        <v>7.3800000000000005E-5</v>
      </c>
      <c r="I3738" s="2" t="s">
        <v>18098</v>
      </c>
      <c r="J3738" s="2" t="s">
        <v>18099</v>
      </c>
      <c r="K3738" s="2">
        <v>2.1630299999999999E-4</v>
      </c>
      <c r="L3738" s="2" t="s">
        <v>1178</v>
      </c>
      <c r="M3738" s="4" t="s">
        <v>18100</v>
      </c>
    </row>
    <row r="3739" spans="1:13">
      <c r="A3739" s="2">
        <v>2623</v>
      </c>
      <c r="B3739" s="2" t="s">
        <v>18101</v>
      </c>
      <c r="C3739" s="2">
        <v>13</v>
      </c>
      <c r="D3739" s="2">
        <v>556</v>
      </c>
      <c r="E3739" s="2">
        <v>200</v>
      </c>
      <c r="F3739" s="2">
        <v>32441</v>
      </c>
      <c r="G3739" s="2">
        <v>3.7925629500000002</v>
      </c>
      <c r="H3739" s="3">
        <v>7.3800000000000005E-5</v>
      </c>
      <c r="I3739" s="2" t="s">
        <v>18102</v>
      </c>
      <c r="J3739" s="2" t="s">
        <v>18103</v>
      </c>
      <c r="K3739" s="2">
        <v>2.1630299999999999E-4</v>
      </c>
      <c r="L3739" s="2" t="s">
        <v>1178</v>
      </c>
      <c r="M3739" s="4" t="s">
        <v>18104</v>
      </c>
    </row>
    <row r="3740" spans="1:13">
      <c r="A3740" s="2">
        <v>2641</v>
      </c>
      <c r="B3740" s="2" t="s">
        <v>18105</v>
      </c>
      <c r="C3740" s="2">
        <v>13</v>
      </c>
      <c r="D3740" s="2">
        <v>556</v>
      </c>
      <c r="E3740" s="2">
        <v>200</v>
      </c>
      <c r="F3740" s="2">
        <v>32441</v>
      </c>
      <c r="G3740" s="2">
        <v>3.7925629500000002</v>
      </c>
      <c r="H3740" s="3">
        <v>7.3800000000000005E-5</v>
      </c>
      <c r="I3740" s="2" t="s">
        <v>18106</v>
      </c>
      <c r="J3740" s="2" t="s">
        <v>18107</v>
      </c>
      <c r="K3740" s="2">
        <v>2.1630299999999999E-4</v>
      </c>
      <c r="L3740" s="2" t="s">
        <v>1178</v>
      </c>
      <c r="M3740" s="4" t="s">
        <v>18108</v>
      </c>
    </row>
    <row r="3741" spans="1:13">
      <c r="A3741" s="2">
        <v>27891</v>
      </c>
      <c r="B3741" s="2" t="s">
        <v>18109</v>
      </c>
      <c r="C3741" s="2">
        <v>12</v>
      </c>
      <c r="D3741" s="2">
        <v>556</v>
      </c>
      <c r="E3741" s="2">
        <v>171</v>
      </c>
      <c r="F3741" s="2">
        <v>32441</v>
      </c>
      <c r="G3741" s="2">
        <v>4.094534898</v>
      </c>
      <c r="H3741" s="3">
        <v>6.9999999999999994E-5</v>
      </c>
      <c r="I3741" s="2" t="s">
        <v>18110</v>
      </c>
      <c r="J3741" s="2" t="s">
        <v>18111</v>
      </c>
      <c r="K3741" s="2">
        <v>2.1630299999999999E-4</v>
      </c>
      <c r="L3741" s="2" t="s">
        <v>1178</v>
      </c>
      <c r="M3741" s="4" t="s">
        <v>18112</v>
      </c>
    </row>
    <row r="3742" spans="1:13">
      <c r="A3742" s="2">
        <v>2793</v>
      </c>
      <c r="B3742" s="2" t="s">
        <v>18113</v>
      </c>
      <c r="C3742" s="2">
        <v>12</v>
      </c>
      <c r="D3742" s="2">
        <v>556</v>
      </c>
      <c r="E3742" s="2">
        <v>170</v>
      </c>
      <c r="F3742" s="2">
        <v>32441</v>
      </c>
      <c r="G3742" s="2">
        <v>4.118620398</v>
      </c>
      <c r="H3742" s="3">
        <v>6.6400000000000001E-5</v>
      </c>
      <c r="I3742" s="2" t="s">
        <v>18114</v>
      </c>
      <c r="J3742" s="2" t="s">
        <v>18115</v>
      </c>
      <c r="K3742" s="2">
        <v>2.1630299999999999E-4</v>
      </c>
      <c r="L3742" s="2" t="s">
        <v>1178</v>
      </c>
      <c r="M3742" s="4" t="s">
        <v>18116</v>
      </c>
    </row>
    <row r="3743" spans="1:13">
      <c r="A3743" s="2">
        <v>2839</v>
      </c>
      <c r="B3743" s="2" t="s">
        <v>18117</v>
      </c>
      <c r="C3743" s="2">
        <v>13</v>
      </c>
      <c r="D3743" s="2">
        <v>556</v>
      </c>
      <c r="E3743" s="2">
        <v>200</v>
      </c>
      <c r="F3743" s="2">
        <v>32441</v>
      </c>
      <c r="G3743" s="2">
        <v>3.7925629500000002</v>
      </c>
      <c r="H3743" s="3">
        <v>7.3800000000000005E-5</v>
      </c>
      <c r="I3743" s="2" t="s">
        <v>18118</v>
      </c>
      <c r="J3743" s="2" t="s">
        <v>18119</v>
      </c>
      <c r="K3743" s="2">
        <v>2.1630299999999999E-4</v>
      </c>
      <c r="L3743" s="2" t="s">
        <v>1178</v>
      </c>
      <c r="M3743" s="4" t="s">
        <v>18120</v>
      </c>
    </row>
    <row r="3744" spans="1:13">
      <c r="A3744" s="2">
        <v>2873</v>
      </c>
      <c r="B3744" s="2" t="s">
        <v>18121</v>
      </c>
      <c r="C3744" s="2">
        <v>13</v>
      </c>
      <c r="D3744" s="2">
        <v>556</v>
      </c>
      <c r="E3744" s="2">
        <v>200</v>
      </c>
      <c r="F3744" s="2">
        <v>32441</v>
      </c>
      <c r="G3744" s="2">
        <v>3.7925629500000002</v>
      </c>
      <c r="H3744" s="3">
        <v>7.3800000000000005E-5</v>
      </c>
      <c r="I3744" s="2" t="s">
        <v>18122</v>
      </c>
      <c r="J3744" s="2" t="s">
        <v>18123</v>
      </c>
      <c r="K3744" s="2">
        <v>2.1630299999999999E-4</v>
      </c>
      <c r="L3744" s="2" t="s">
        <v>1178</v>
      </c>
      <c r="M3744" s="4" t="s">
        <v>18124</v>
      </c>
    </row>
    <row r="3745" spans="1:13">
      <c r="A3745" s="2">
        <v>2931</v>
      </c>
      <c r="B3745" s="2" t="s">
        <v>18125</v>
      </c>
      <c r="C3745" s="2">
        <v>13</v>
      </c>
      <c r="D3745" s="2">
        <v>556</v>
      </c>
      <c r="E3745" s="2">
        <v>200</v>
      </c>
      <c r="F3745" s="2">
        <v>32441</v>
      </c>
      <c r="G3745" s="2">
        <v>3.7925629500000002</v>
      </c>
      <c r="H3745" s="3">
        <v>7.3800000000000005E-5</v>
      </c>
      <c r="I3745" s="2" t="s">
        <v>18126</v>
      </c>
      <c r="J3745" s="2" t="s">
        <v>18127</v>
      </c>
      <c r="K3745" s="2">
        <v>2.1630299999999999E-4</v>
      </c>
      <c r="L3745" s="2" t="s">
        <v>1178</v>
      </c>
      <c r="M3745" s="4" t="s">
        <v>18128</v>
      </c>
    </row>
    <row r="3746" spans="1:13">
      <c r="A3746" s="2">
        <v>29381</v>
      </c>
      <c r="B3746" s="2" t="s">
        <v>18129</v>
      </c>
      <c r="C3746" s="2">
        <v>13</v>
      </c>
      <c r="D3746" s="2">
        <v>556</v>
      </c>
      <c r="E3746" s="2">
        <v>200</v>
      </c>
      <c r="F3746" s="2">
        <v>32441</v>
      </c>
      <c r="G3746" s="2">
        <v>3.7925629500000002</v>
      </c>
      <c r="H3746" s="3">
        <v>7.3800000000000005E-5</v>
      </c>
      <c r="I3746" s="2" t="s">
        <v>18130</v>
      </c>
      <c r="J3746" s="2" t="s">
        <v>18131</v>
      </c>
      <c r="K3746" s="2">
        <v>2.1630299999999999E-4</v>
      </c>
      <c r="L3746" s="2" t="s">
        <v>1178</v>
      </c>
      <c r="M3746" s="4" t="s">
        <v>18132</v>
      </c>
    </row>
    <row r="3747" spans="1:13">
      <c r="A3747" s="2">
        <v>29481</v>
      </c>
      <c r="B3747" s="2" t="s">
        <v>2601</v>
      </c>
      <c r="C3747" s="2">
        <v>13</v>
      </c>
      <c r="D3747" s="2">
        <v>556</v>
      </c>
      <c r="E3747" s="2">
        <v>200</v>
      </c>
      <c r="F3747" s="2">
        <v>32441</v>
      </c>
      <c r="G3747" s="2">
        <v>3.7925629500000002</v>
      </c>
      <c r="H3747" s="3">
        <v>7.3800000000000005E-5</v>
      </c>
      <c r="I3747" s="2" t="s">
        <v>18133</v>
      </c>
      <c r="J3747" s="2" t="s">
        <v>18134</v>
      </c>
      <c r="K3747" s="2">
        <v>2.1630299999999999E-4</v>
      </c>
      <c r="L3747" s="2" t="s">
        <v>1178</v>
      </c>
      <c r="M3747" s="4" t="s">
        <v>18135</v>
      </c>
    </row>
    <row r="3748" spans="1:13">
      <c r="A3748" s="2">
        <v>2951</v>
      </c>
      <c r="B3748" s="2" t="s">
        <v>18136</v>
      </c>
      <c r="C3748" s="2">
        <v>13</v>
      </c>
      <c r="D3748" s="2">
        <v>556</v>
      </c>
      <c r="E3748" s="2">
        <v>200</v>
      </c>
      <c r="F3748" s="2">
        <v>32441</v>
      </c>
      <c r="G3748" s="2">
        <v>3.7925629500000002</v>
      </c>
      <c r="H3748" s="3">
        <v>7.3800000000000005E-5</v>
      </c>
      <c r="I3748" s="2" t="s">
        <v>18137</v>
      </c>
      <c r="J3748" s="2" t="s">
        <v>18138</v>
      </c>
      <c r="K3748" s="2">
        <v>2.1630299999999999E-4</v>
      </c>
      <c r="L3748" s="2" t="s">
        <v>1178</v>
      </c>
      <c r="M3748" s="4" t="s">
        <v>18139</v>
      </c>
    </row>
    <row r="3749" spans="1:13">
      <c r="A3749" s="2">
        <v>2961</v>
      </c>
      <c r="B3749" s="2" t="s">
        <v>18140</v>
      </c>
      <c r="C3749" s="2">
        <v>13</v>
      </c>
      <c r="D3749" s="2">
        <v>556</v>
      </c>
      <c r="E3749" s="2">
        <v>200</v>
      </c>
      <c r="F3749" s="2">
        <v>32441</v>
      </c>
      <c r="G3749" s="2">
        <v>3.7925629500000002</v>
      </c>
      <c r="H3749" s="3">
        <v>7.3800000000000005E-5</v>
      </c>
      <c r="I3749" s="2" t="s">
        <v>18141</v>
      </c>
      <c r="J3749" s="2" t="s">
        <v>18142</v>
      </c>
      <c r="K3749" s="2">
        <v>2.1630299999999999E-4</v>
      </c>
      <c r="L3749" s="2" t="s">
        <v>1178</v>
      </c>
      <c r="M3749" s="4" t="s">
        <v>18143</v>
      </c>
    </row>
    <row r="3750" spans="1:13">
      <c r="A3750" s="2">
        <v>2994</v>
      </c>
      <c r="B3750" s="2" t="s">
        <v>18144</v>
      </c>
      <c r="C3750" s="2">
        <v>13</v>
      </c>
      <c r="D3750" s="2">
        <v>556</v>
      </c>
      <c r="E3750" s="2">
        <v>199</v>
      </c>
      <c r="F3750" s="2">
        <v>32441</v>
      </c>
      <c r="G3750" s="2">
        <v>3.8116210549999998</v>
      </c>
      <c r="H3750" s="3">
        <v>7.0400000000000004E-5</v>
      </c>
      <c r="I3750" s="2" t="s">
        <v>18145</v>
      </c>
      <c r="J3750" s="2" t="s">
        <v>18146</v>
      </c>
      <c r="K3750" s="2">
        <v>2.1630299999999999E-4</v>
      </c>
      <c r="L3750" s="2" t="s">
        <v>1178</v>
      </c>
      <c r="M3750" s="4" t="s">
        <v>18147</v>
      </c>
    </row>
    <row r="3751" spans="1:13">
      <c r="A3751" s="2">
        <v>2997</v>
      </c>
      <c r="B3751" s="2" t="s">
        <v>18148</v>
      </c>
      <c r="C3751" s="2">
        <v>13</v>
      </c>
      <c r="D3751" s="2">
        <v>556</v>
      </c>
      <c r="E3751" s="2">
        <v>200</v>
      </c>
      <c r="F3751" s="2">
        <v>32441</v>
      </c>
      <c r="G3751" s="2">
        <v>3.7925629500000002</v>
      </c>
      <c r="H3751" s="3">
        <v>7.3800000000000005E-5</v>
      </c>
      <c r="I3751" s="2" t="s">
        <v>18149</v>
      </c>
      <c r="J3751" s="2" t="s">
        <v>18150</v>
      </c>
      <c r="K3751" s="2">
        <v>2.1630299999999999E-4</v>
      </c>
      <c r="L3751" s="2" t="s">
        <v>1178</v>
      </c>
      <c r="M3751" s="4" t="s">
        <v>18151</v>
      </c>
    </row>
    <row r="3752" spans="1:13">
      <c r="A3752" s="2">
        <v>3065</v>
      </c>
      <c r="B3752" s="2" t="s">
        <v>18152</v>
      </c>
      <c r="C3752" s="2">
        <v>13</v>
      </c>
      <c r="D3752" s="2">
        <v>556</v>
      </c>
      <c r="E3752" s="2">
        <v>200</v>
      </c>
      <c r="F3752" s="2">
        <v>32441</v>
      </c>
      <c r="G3752" s="2">
        <v>3.7925629500000002</v>
      </c>
      <c r="H3752" s="3">
        <v>7.3800000000000005E-5</v>
      </c>
      <c r="I3752" s="2" t="s">
        <v>18153</v>
      </c>
      <c r="J3752" s="2" t="s">
        <v>18154</v>
      </c>
      <c r="K3752" s="2">
        <v>2.1630299999999999E-4</v>
      </c>
      <c r="L3752" s="2" t="s">
        <v>1178</v>
      </c>
      <c r="M3752" s="4" t="s">
        <v>18155</v>
      </c>
    </row>
    <row r="3753" spans="1:13">
      <c r="A3753" s="2">
        <v>30751</v>
      </c>
      <c r="B3753" s="2" t="s">
        <v>18156</v>
      </c>
      <c r="C3753" s="2">
        <v>13</v>
      </c>
      <c r="D3753" s="2">
        <v>556</v>
      </c>
      <c r="E3753" s="2">
        <v>200</v>
      </c>
      <c r="F3753" s="2">
        <v>32441</v>
      </c>
      <c r="G3753" s="2">
        <v>3.7925629500000002</v>
      </c>
      <c r="H3753" s="3">
        <v>7.3800000000000005E-5</v>
      </c>
      <c r="I3753" s="2" t="s">
        <v>18157</v>
      </c>
      <c r="J3753" s="2" t="s">
        <v>18158</v>
      </c>
      <c r="K3753" s="2">
        <v>2.1630299999999999E-4</v>
      </c>
      <c r="L3753" s="2" t="s">
        <v>1178</v>
      </c>
      <c r="M3753" s="4" t="s">
        <v>18159</v>
      </c>
    </row>
    <row r="3754" spans="1:13">
      <c r="A3754" s="2">
        <v>3094</v>
      </c>
      <c r="B3754" s="2" t="s">
        <v>18160</v>
      </c>
      <c r="C3754" s="2">
        <v>13</v>
      </c>
      <c r="D3754" s="2">
        <v>556</v>
      </c>
      <c r="E3754" s="2">
        <v>200</v>
      </c>
      <c r="F3754" s="2">
        <v>32441</v>
      </c>
      <c r="G3754" s="2">
        <v>3.7925629500000002</v>
      </c>
      <c r="H3754" s="3">
        <v>7.3800000000000005E-5</v>
      </c>
      <c r="I3754" s="2" t="s">
        <v>18161</v>
      </c>
      <c r="J3754" s="2" t="s">
        <v>18162</v>
      </c>
      <c r="K3754" s="2">
        <v>2.1630299999999999E-4</v>
      </c>
      <c r="L3754" s="2" t="s">
        <v>1178</v>
      </c>
      <c r="M3754" s="4" t="s">
        <v>18163</v>
      </c>
    </row>
    <row r="3755" spans="1:13">
      <c r="A3755" s="2">
        <v>31561</v>
      </c>
      <c r="B3755" s="2" t="s">
        <v>18164</v>
      </c>
      <c r="C3755" s="2">
        <v>13</v>
      </c>
      <c r="D3755" s="2">
        <v>556</v>
      </c>
      <c r="E3755" s="2">
        <v>200</v>
      </c>
      <c r="F3755" s="2">
        <v>32441</v>
      </c>
      <c r="G3755" s="2">
        <v>3.7925629500000002</v>
      </c>
      <c r="H3755" s="3">
        <v>7.3800000000000005E-5</v>
      </c>
      <c r="I3755" s="2" t="s">
        <v>18165</v>
      </c>
      <c r="J3755" s="2" t="s">
        <v>18166</v>
      </c>
      <c r="K3755" s="2">
        <v>2.1630299999999999E-4</v>
      </c>
      <c r="L3755" s="2" t="s">
        <v>1178</v>
      </c>
      <c r="M3755" s="4" t="s">
        <v>18167</v>
      </c>
    </row>
    <row r="3756" spans="1:13">
      <c r="A3756" s="2">
        <v>3324</v>
      </c>
      <c r="B3756" s="2" t="s">
        <v>18168</v>
      </c>
      <c r="C3756" s="2">
        <v>13</v>
      </c>
      <c r="D3756" s="2">
        <v>556</v>
      </c>
      <c r="E3756" s="2">
        <v>200</v>
      </c>
      <c r="F3756" s="2">
        <v>32441</v>
      </c>
      <c r="G3756" s="2">
        <v>3.7925629500000002</v>
      </c>
      <c r="H3756" s="3">
        <v>7.3800000000000005E-5</v>
      </c>
      <c r="I3756" s="2" t="s">
        <v>18169</v>
      </c>
      <c r="J3756" s="2" t="s">
        <v>18170</v>
      </c>
      <c r="K3756" s="2">
        <v>2.1630299999999999E-4</v>
      </c>
      <c r="L3756" s="2" t="s">
        <v>1178</v>
      </c>
      <c r="M3756" s="4" t="s">
        <v>18171</v>
      </c>
    </row>
    <row r="3757" spans="1:13">
      <c r="A3757" s="2">
        <v>3362</v>
      </c>
      <c r="B3757" s="2" t="s">
        <v>18172</v>
      </c>
      <c r="C3757" s="2">
        <v>13</v>
      </c>
      <c r="D3757" s="2">
        <v>556</v>
      </c>
      <c r="E3757" s="2">
        <v>200</v>
      </c>
      <c r="F3757" s="2">
        <v>32441</v>
      </c>
      <c r="G3757" s="2">
        <v>3.7925629500000002</v>
      </c>
      <c r="H3757" s="3">
        <v>7.3800000000000005E-5</v>
      </c>
      <c r="I3757" s="2" t="s">
        <v>18173</v>
      </c>
      <c r="J3757" s="2" t="s">
        <v>18174</v>
      </c>
      <c r="K3757" s="2">
        <v>2.1630299999999999E-4</v>
      </c>
      <c r="L3757" s="2" t="s">
        <v>1178</v>
      </c>
      <c r="M3757" s="4" t="s">
        <v>18175</v>
      </c>
    </row>
    <row r="3758" spans="1:13">
      <c r="A3758" s="2">
        <v>33772</v>
      </c>
      <c r="B3758" s="2" t="s">
        <v>18176</v>
      </c>
      <c r="C3758" s="2">
        <v>13</v>
      </c>
      <c r="D3758" s="2">
        <v>556</v>
      </c>
      <c r="E3758" s="2">
        <v>200</v>
      </c>
      <c r="F3758" s="2">
        <v>32441</v>
      </c>
      <c r="G3758" s="2">
        <v>3.7925629500000002</v>
      </c>
      <c r="H3758" s="3">
        <v>7.3800000000000005E-5</v>
      </c>
      <c r="I3758" s="2" t="s">
        <v>18177</v>
      </c>
      <c r="J3758" s="2" t="s">
        <v>18178</v>
      </c>
      <c r="K3758" s="2">
        <v>2.1630299999999999E-4</v>
      </c>
      <c r="L3758" s="2" t="s">
        <v>1178</v>
      </c>
      <c r="M3758" s="4" t="s">
        <v>18179</v>
      </c>
    </row>
    <row r="3759" spans="1:13">
      <c r="A3759" s="2">
        <v>3387</v>
      </c>
      <c r="B3759" s="2" t="s">
        <v>18180</v>
      </c>
      <c r="C3759" s="2">
        <v>13</v>
      </c>
      <c r="D3759" s="2">
        <v>556</v>
      </c>
      <c r="E3759" s="2">
        <v>200</v>
      </c>
      <c r="F3759" s="2">
        <v>32441</v>
      </c>
      <c r="G3759" s="2">
        <v>3.7925629500000002</v>
      </c>
      <c r="H3759" s="3">
        <v>7.3800000000000005E-5</v>
      </c>
      <c r="I3759" s="2" t="s">
        <v>18181</v>
      </c>
      <c r="J3759" s="2" t="s">
        <v>18182</v>
      </c>
      <c r="K3759" s="2">
        <v>2.1630299999999999E-4</v>
      </c>
      <c r="L3759" s="2" t="s">
        <v>1178</v>
      </c>
      <c r="M3759" s="4" t="s">
        <v>18183</v>
      </c>
    </row>
    <row r="3760" spans="1:13">
      <c r="A3760" s="2">
        <v>33912</v>
      </c>
      <c r="B3760" s="2" t="s">
        <v>18184</v>
      </c>
      <c r="C3760" s="2">
        <v>13</v>
      </c>
      <c r="D3760" s="2">
        <v>556</v>
      </c>
      <c r="E3760" s="2">
        <v>200</v>
      </c>
      <c r="F3760" s="2">
        <v>32441</v>
      </c>
      <c r="G3760" s="2">
        <v>3.7925629500000002</v>
      </c>
      <c r="H3760" s="3">
        <v>7.3800000000000005E-5</v>
      </c>
      <c r="I3760" s="2" t="s">
        <v>18185</v>
      </c>
      <c r="J3760" s="2" t="s">
        <v>18186</v>
      </c>
      <c r="K3760" s="2">
        <v>2.1630299999999999E-4</v>
      </c>
      <c r="L3760" s="2" t="s">
        <v>1178</v>
      </c>
      <c r="M3760" s="4" t="s">
        <v>18187</v>
      </c>
    </row>
    <row r="3761" spans="1:13">
      <c r="A3761" s="2">
        <v>3410</v>
      </c>
      <c r="B3761" s="2" t="s">
        <v>18188</v>
      </c>
      <c r="C3761" s="2">
        <v>13</v>
      </c>
      <c r="D3761" s="2">
        <v>556</v>
      </c>
      <c r="E3761" s="2">
        <v>200</v>
      </c>
      <c r="F3761" s="2">
        <v>32441</v>
      </c>
      <c r="G3761" s="2">
        <v>3.7925629500000002</v>
      </c>
      <c r="H3761" s="3">
        <v>7.3800000000000005E-5</v>
      </c>
      <c r="I3761" s="2" t="s">
        <v>18189</v>
      </c>
      <c r="J3761" s="2" t="s">
        <v>18190</v>
      </c>
      <c r="K3761" s="2">
        <v>2.1630299999999999E-4</v>
      </c>
      <c r="L3761" s="2" t="s">
        <v>1178</v>
      </c>
      <c r="M3761" s="4" t="s">
        <v>18191</v>
      </c>
    </row>
    <row r="3762" spans="1:13">
      <c r="A3762" s="2">
        <v>35122</v>
      </c>
      <c r="B3762" s="2" t="s">
        <v>18192</v>
      </c>
      <c r="C3762" s="2">
        <v>13</v>
      </c>
      <c r="D3762" s="2">
        <v>556</v>
      </c>
      <c r="E3762" s="2">
        <v>200</v>
      </c>
      <c r="F3762" s="2">
        <v>32441</v>
      </c>
      <c r="G3762" s="2">
        <v>3.7925629500000002</v>
      </c>
      <c r="H3762" s="3">
        <v>7.3800000000000005E-5</v>
      </c>
      <c r="I3762" s="2" t="s">
        <v>18193</v>
      </c>
      <c r="J3762" s="2" t="s">
        <v>18194</v>
      </c>
      <c r="K3762" s="2">
        <v>2.1630299999999999E-4</v>
      </c>
      <c r="L3762" s="2" t="s">
        <v>1178</v>
      </c>
      <c r="M3762" s="4" t="s">
        <v>18195</v>
      </c>
    </row>
    <row r="3763" spans="1:13">
      <c r="A3763" s="2">
        <v>3562</v>
      </c>
      <c r="B3763" s="2" t="s">
        <v>18196</v>
      </c>
      <c r="C3763" s="2">
        <v>13</v>
      </c>
      <c r="D3763" s="2">
        <v>556</v>
      </c>
      <c r="E3763" s="2">
        <v>200</v>
      </c>
      <c r="F3763" s="2">
        <v>32441</v>
      </c>
      <c r="G3763" s="2">
        <v>3.7925629500000002</v>
      </c>
      <c r="H3763" s="3">
        <v>7.3800000000000005E-5</v>
      </c>
      <c r="I3763" s="2" t="s">
        <v>18197</v>
      </c>
      <c r="J3763" s="2" t="s">
        <v>18198</v>
      </c>
      <c r="K3763" s="2">
        <v>2.1630299999999999E-4</v>
      </c>
      <c r="L3763" s="2" t="s">
        <v>1178</v>
      </c>
      <c r="M3763" s="4" t="s">
        <v>18199</v>
      </c>
    </row>
    <row r="3764" spans="1:13">
      <c r="A3764" s="2">
        <v>35641</v>
      </c>
      <c r="B3764" s="2" t="s">
        <v>18200</v>
      </c>
      <c r="C3764" s="2">
        <v>13</v>
      </c>
      <c r="D3764" s="2">
        <v>556</v>
      </c>
      <c r="E3764" s="2">
        <v>200</v>
      </c>
      <c r="F3764" s="2">
        <v>32441</v>
      </c>
      <c r="G3764" s="2">
        <v>3.7925629500000002</v>
      </c>
      <c r="H3764" s="3">
        <v>7.3800000000000005E-5</v>
      </c>
      <c r="I3764" s="2" t="s">
        <v>18201</v>
      </c>
      <c r="J3764" s="2" t="s">
        <v>18202</v>
      </c>
      <c r="K3764" s="2">
        <v>2.1630299999999999E-4</v>
      </c>
      <c r="L3764" s="2" t="s">
        <v>1178</v>
      </c>
      <c r="M3764" s="4" t="s">
        <v>18203</v>
      </c>
    </row>
    <row r="3765" spans="1:13">
      <c r="A3765" s="2">
        <v>3574</v>
      </c>
      <c r="B3765" s="2" t="s">
        <v>18204</v>
      </c>
      <c r="C3765" s="2">
        <v>13</v>
      </c>
      <c r="D3765" s="2">
        <v>556</v>
      </c>
      <c r="E3765" s="2">
        <v>199</v>
      </c>
      <c r="F3765" s="2">
        <v>32441</v>
      </c>
      <c r="G3765" s="2">
        <v>3.8116210549999998</v>
      </c>
      <c r="H3765" s="3">
        <v>7.0400000000000004E-5</v>
      </c>
      <c r="I3765" s="2" t="s">
        <v>18205</v>
      </c>
      <c r="J3765" s="2" t="s">
        <v>18206</v>
      </c>
      <c r="K3765" s="2">
        <v>2.1630299999999999E-4</v>
      </c>
      <c r="L3765" s="2" t="s">
        <v>1178</v>
      </c>
      <c r="M3765" s="4" t="s">
        <v>18207</v>
      </c>
    </row>
    <row r="3766" spans="1:13">
      <c r="A3766" s="2">
        <v>3627</v>
      </c>
      <c r="B3766" s="2" t="s">
        <v>18208</v>
      </c>
      <c r="C3766" s="2">
        <v>13</v>
      </c>
      <c r="D3766" s="2">
        <v>556</v>
      </c>
      <c r="E3766" s="2">
        <v>200</v>
      </c>
      <c r="F3766" s="2">
        <v>32441</v>
      </c>
      <c r="G3766" s="2">
        <v>3.7925629500000002</v>
      </c>
      <c r="H3766" s="3">
        <v>7.3800000000000005E-5</v>
      </c>
      <c r="I3766" s="2" t="s">
        <v>18209</v>
      </c>
      <c r="J3766" s="2" t="s">
        <v>18210</v>
      </c>
      <c r="K3766" s="2">
        <v>2.1630299999999999E-4</v>
      </c>
      <c r="L3766" s="2" t="s">
        <v>1178</v>
      </c>
      <c r="M3766" s="4" t="s">
        <v>18211</v>
      </c>
    </row>
    <row r="3767" spans="1:13">
      <c r="A3767" s="2">
        <v>3676</v>
      </c>
      <c r="B3767" s="2" t="s">
        <v>18212</v>
      </c>
      <c r="C3767" s="2">
        <v>13</v>
      </c>
      <c r="D3767" s="2">
        <v>556</v>
      </c>
      <c r="E3767" s="2">
        <v>200</v>
      </c>
      <c r="F3767" s="2">
        <v>32441</v>
      </c>
      <c r="G3767" s="2">
        <v>3.7925629500000002</v>
      </c>
      <c r="H3767" s="3">
        <v>7.3800000000000005E-5</v>
      </c>
      <c r="I3767" s="2" t="s">
        <v>18213</v>
      </c>
      <c r="J3767" s="2" t="s">
        <v>18214</v>
      </c>
      <c r="K3767" s="2">
        <v>2.1630299999999999E-4</v>
      </c>
      <c r="L3767" s="2" t="s">
        <v>1178</v>
      </c>
      <c r="M3767" s="4" t="s">
        <v>18215</v>
      </c>
    </row>
    <row r="3768" spans="1:13">
      <c r="A3768" s="2">
        <v>36821</v>
      </c>
      <c r="B3768" s="2" t="s">
        <v>18216</v>
      </c>
      <c r="C3768" s="2">
        <v>13</v>
      </c>
      <c r="D3768" s="2">
        <v>556</v>
      </c>
      <c r="E3768" s="2">
        <v>200</v>
      </c>
      <c r="F3768" s="2">
        <v>32441</v>
      </c>
      <c r="G3768" s="2">
        <v>3.7925629500000002</v>
      </c>
      <c r="H3768" s="3">
        <v>7.3800000000000005E-5</v>
      </c>
      <c r="I3768" s="2" t="s">
        <v>18217</v>
      </c>
      <c r="J3768" s="2" t="s">
        <v>18218</v>
      </c>
      <c r="K3768" s="2">
        <v>2.1630299999999999E-4</v>
      </c>
      <c r="L3768" s="2" t="s">
        <v>1178</v>
      </c>
      <c r="M3768" s="4" t="s">
        <v>18219</v>
      </c>
    </row>
    <row r="3769" spans="1:13">
      <c r="A3769" s="2">
        <v>3699</v>
      </c>
      <c r="B3769" s="2" t="s">
        <v>18220</v>
      </c>
      <c r="C3769" s="2">
        <v>13</v>
      </c>
      <c r="D3769" s="2">
        <v>556</v>
      </c>
      <c r="E3769" s="2">
        <v>200</v>
      </c>
      <c r="F3769" s="2">
        <v>32441</v>
      </c>
      <c r="G3769" s="2">
        <v>3.7925629500000002</v>
      </c>
      <c r="H3769" s="3">
        <v>7.3800000000000005E-5</v>
      </c>
      <c r="I3769" s="2" t="s">
        <v>18221</v>
      </c>
      <c r="J3769" s="2" t="s">
        <v>18222</v>
      </c>
      <c r="K3769" s="2">
        <v>2.1630299999999999E-4</v>
      </c>
      <c r="L3769" s="2" t="s">
        <v>1178</v>
      </c>
      <c r="M3769" s="4" t="s">
        <v>18223</v>
      </c>
    </row>
    <row r="3770" spans="1:13">
      <c r="A3770" s="2">
        <v>37142</v>
      </c>
      <c r="B3770" s="2" t="s">
        <v>18224</v>
      </c>
      <c r="C3770" s="2">
        <v>13</v>
      </c>
      <c r="D3770" s="2">
        <v>556</v>
      </c>
      <c r="E3770" s="2">
        <v>200</v>
      </c>
      <c r="F3770" s="2">
        <v>32441</v>
      </c>
      <c r="G3770" s="2">
        <v>3.7925629500000002</v>
      </c>
      <c r="H3770" s="3">
        <v>7.3800000000000005E-5</v>
      </c>
      <c r="I3770" s="2" t="s">
        <v>18225</v>
      </c>
      <c r="J3770" s="2" t="s">
        <v>18226</v>
      </c>
      <c r="K3770" s="2">
        <v>2.1630299999999999E-4</v>
      </c>
      <c r="L3770" s="2" t="s">
        <v>1178</v>
      </c>
      <c r="M3770" s="4" t="s">
        <v>18227</v>
      </c>
    </row>
    <row r="3771" spans="1:13">
      <c r="A3771" s="2">
        <v>3730</v>
      </c>
      <c r="B3771" s="2" t="s">
        <v>18228</v>
      </c>
      <c r="C3771" s="2">
        <v>13</v>
      </c>
      <c r="D3771" s="2">
        <v>556</v>
      </c>
      <c r="E3771" s="2">
        <v>200</v>
      </c>
      <c r="F3771" s="2">
        <v>32441</v>
      </c>
      <c r="G3771" s="2">
        <v>3.7925629500000002</v>
      </c>
      <c r="H3771" s="3">
        <v>7.3800000000000005E-5</v>
      </c>
      <c r="I3771" s="2" t="s">
        <v>18229</v>
      </c>
      <c r="J3771" s="2" t="s">
        <v>18230</v>
      </c>
      <c r="K3771" s="2">
        <v>2.1630299999999999E-4</v>
      </c>
      <c r="L3771" s="2" t="s">
        <v>1178</v>
      </c>
      <c r="M3771" s="4" t="s">
        <v>18231</v>
      </c>
    </row>
    <row r="3772" spans="1:13">
      <c r="A3772" s="2">
        <v>3732</v>
      </c>
      <c r="B3772" s="2" t="s">
        <v>18232</v>
      </c>
      <c r="C3772" s="2">
        <v>13</v>
      </c>
      <c r="D3772" s="2">
        <v>556</v>
      </c>
      <c r="E3772" s="2">
        <v>200</v>
      </c>
      <c r="F3772" s="2">
        <v>32441</v>
      </c>
      <c r="G3772" s="2">
        <v>3.7925629500000002</v>
      </c>
      <c r="H3772" s="3">
        <v>7.3800000000000005E-5</v>
      </c>
      <c r="I3772" s="2" t="s">
        <v>18233</v>
      </c>
      <c r="J3772" s="2" t="s">
        <v>18234</v>
      </c>
      <c r="K3772" s="2">
        <v>2.1630299999999999E-4</v>
      </c>
      <c r="L3772" s="2" t="s">
        <v>1178</v>
      </c>
      <c r="M3772" s="4" t="s">
        <v>18235</v>
      </c>
    </row>
    <row r="3773" spans="1:13">
      <c r="A3773" s="2">
        <v>37591</v>
      </c>
      <c r="B3773" s="2" t="s">
        <v>18236</v>
      </c>
      <c r="C3773" s="2">
        <v>13</v>
      </c>
      <c r="D3773" s="2">
        <v>556</v>
      </c>
      <c r="E3773" s="2">
        <v>200</v>
      </c>
      <c r="F3773" s="2">
        <v>32441</v>
      </c>
      <c r="G3773" s="2">
        <v>3.7925629500000002</v>
      </c>
      <c r="H3773" s="3">
        <v>7.3800000000000005E-5</v>
      </c>
      <c r="I3773" s="2" t="s">
        <v>18237</v>
      </c>
      <c r="J3773" s="2" t="s">
        <v>18238</v>
      </c>
      <c r="K3773" s="2">
        <v>2.1630299999999999E-4</v>
      </c>
      <c r="L3773" s="2" t="s">
        <v>1178</v>
      </c>
      <c r="M3773" s="4" t="s">
        <v>18239</v>
      </c>
    </row>
    <row r="3774" spans="1:13">
      <c r="A3774" s="2">
        <v>3760</v>
      </c>
      <c r="B3774" s="2" t="s">
        <v>18240</v>
      </c>
      <c r="C3774" s="2">
        <v>13</v>
      </c>
      <c r="D3774" s="2">
        <v>556</v>
      </c>
      <c r="E3774" s="2">
        <v>200</v>
      </c>
      <c r="F3774" s="2">
        <v>32441</v>
      </c>
      <c r="G3774" s="2">
        <v>3.7925629500000002</v>
      </c>
      <c r="H3774" s="3">
        <v>7.3800000000000005E-5</v>
      </c>
      <c r="I3774" s="2" t="s">
        <v>18241</v>
      </c>
      <c r="J3774" s="2" t="s">
        <v>18242</v>
      </c>
      <c r="K3774" s="2">
        <v>2.1630299999999999E-4</v>
      </c>
      <c r="L3774" s="2" t="s">
        <v>1178</v>
      </c>
      <c r="M3774" s="4" t="s">
        <v>18243</v>
      </c>
    </row>
    <row r="3775" spans="1:13">
      <c r="A3775" s="2">
        <v>3774</v>
      </c>
      <c r="B3775" s="2" t="s">
        <v>18244</v>
      </c>
      <c r="C3775" s="2">
        <v>13</v>
      </c>
      <c r="D3775" s="2">
        <v>556</v>
      </c>
      <c r="E3775" s="2">
        <v>200</v>
      </c>
      <c r="F3775" s="2">
        <v>32441</v>
      </c>
      <c r="G3775" s="2">
        <v>3.7925629500000002</v>
      </c>
      <c r="H3775" s="3">
        <v>7.3800000000000005E-5</v>
      </c>
      <c r="I3775" s="2" t="s">
        <v>18245</v>
      </c>
      <c r="J3775" s="2" t="s">
        <v>18246</v>
      </c>
      <c r="K3775" s="2">
        <v>2.1630299999999999E-4</v>
      </c>
      <c r="L3775" s="2" t="s">
        <v>1178</v>
      </c>
      <c r="M3775" s="4" t="s">
        <v>18247</v>
      </c>
    </row>
    <row r="3776" spans="1:13">
      <c r="A3776" s="2">
        <v>3776</v>
      </c>
      <c r="B3776" s="2" t="s">
        <v>18248</v>
      </c>
      <c r="C3776" s="2">
        <v>13</v>
      </c>
      <c r="D3776" s="2">
        <v>556</v>
      </c>
      <c r="E3776" s="2">
        <v>200</v>
      </c>
      <c r="F3776" s="2">
        <v>32441</v>
      </c>
      <c r="G3776" s="2">
        <v>3.7925629500000002</v>
      </c>
      <c r="H3776" s="3">
        <v>7.3800000000000005E-5</v>
      </c>
      <c r="I3776" s="2" t="s">
        <v>18249</v>
      </c>
      <c r="J3776" s="2" t="s">
        <v>18250</v>
      </c>
      <c r="K3776" s="2">
        <v>2.1630299999999999E-4</v>
      </c>
      <c r="L3776" s="2" t="s">
        <v>1178</v>
      </c>
      <c r="M3776" s="4" t="s">
        <v>18251</v>
      </c>
    </row>
    <row r="3777" spans="1:13">
      <c r="A3777" s="2">
        <v>38271</v>
      </c>
      <c r="B3777" s="2" t="s">
        <v>18252</v>
      </c>
      <c r="C3777" s="2">
        <v>13</v>
      </c>
      <c r="D3777" s="2">
        <v>556</v>
      </c>
      <c r="E3777" s="2">
        <v>200</v>
      </c>
      <c r="F3777" s="2">
        <v>32441</v>
      </c>
      <c r="G3777" s="2">
        <v>3.7925629500000002</v>
      </c>
      <c r="H3777" s="3">
        <v>7.3800000000000005E-5</v>
      </c>
      <c r="I3777" s="2" t="s">
        <v>18253</v>
      </c>
      <c r="J3777" s="2" t="s">
        <v>18254</v>
      </c>
      <c r="K3777" s="2">
        <v>2.1630299999999999E-4</v>
      </c>
      <c r="L3777" s="2" t="s">
        <v>1178</v>
      </c>
      <c r="M3777" s="4" t="s">
        <v>18255</v>
      </c>
    </row>
    <row r="3778" spans="1:13">
      <c r="A3778" s="2">
        <v>38452</v>
      </c>
      <c r="B3778" s="2" t="s">
        <v>18256</v>
      </c>
      <c r="C3778" s="2">
        <v>13</v>
      </c>
      <c r="D3778" s="2">
        <v>556</v>
      </c>
      <c r="E3778" s="2">
        <v>200</v>
      </c>
      <c r="F3778" s="2">
        <v>32441</v>
      </c>
      <c r="G3778" s="2">
        <v>3.7925629500000002</v>
      </c>
      <c r="H3778" s="3">
        <v>7.3800000000000005E-5</v>
      </c>
      <c r="I3778" s="2" t="s">
        <v>18257</v>
      </c>
      <c r="J3778" s="2" t="s">
        <v>18258</v>
      </c>
      <c r="K3778" s="2">
        <v>2.1630299999999999E-4</v>
      </c>
      <c r="L3778" s="2" t="s">
        <v>1178</v>
      </c>
      <c r="M3778" s="4" t="s">
        <v>18259</v>
      </c>
    </row>
    <row r="3779" spans="1:13">
      <c r="A3779" s="2">
        <v>3876</v>
      </c>
      <c r="B3779" s="2" t="s">
        <v>18260</v>
      </c>
      <c r="C3779" s="2">
        <v>13</v>
      </c>
      <c r="D3779" s="2">
        <v>556</v>
      </c>
      <c r="E3779" s="2">
        <v>199</v>
      </c>
      <c r="F3779" s="2">
        <v>32441</v>
      </c>
      <c r="G3779" s="2">
        <v>3.8116210549999998</v>
      </c>
      <c r="H3779" s="3">
        <v>7.0400000000000004E-5</v>
      </c>
      <c r="I3779" s="2" t="s">
        <v>18261</v>
      </c>
      <c r="J3779" s="2" t="s">
        <v>18262</v>
      </c>
      <c r="K3779" s="2">
        <v>2.1630299999999999E-4</v>
      </c>
      <c r="L3779" s="2" t="s">
        <v>1178</v>
      </c>
      <c r="M3779" s="4" t="s">
        <v>18263</v>
      </c>
    </row>
    <row r="3780" spans="1:13">
      <c r="A3780" s="2">
        <v>3884</v>
      </c>
      <c r="B3780" s="2" t="s">
        <v>18264</v>
      </c>
      <c r="C3780" s="2">
        <v>12</v>
      </c>
      <c r="D3780" s="2">
        <v>556</v>
      </c>
      <c r="E3780" s="2">
        <v>170</v>
      </c>
      <c r="F3780" s="2">
        <v>32441</v>
      </c>
      <c r="G3780" s="2">
        <v>4.118620398</v>
      </c>
      <c r="H3780" s="3">
        <v>6.6400000000000001E-5</v>
      </c>
      <c r="I3780" s="2" t="s">
        <v>18265</v>
      </c>
      <c r="J3780" s="2" t="s">
        <v>18266</v>
      </c>
      <c r="K3780" s="2">
        <v>2.1630299999999999E-4</v>
      </c>
      <c r="L3780" s="2" t="s">
        <v>1178</v>
      </c>
      <c r="M3780" s="4" t="s">
        <v>18267</v>
      </c>
    </row>
    <row r="3781" spans="1:13">
      <c r="A3781" s="2">
        <v>39112</v>
      </c>
      <c r="B3781" s="2" t="s">
        <v>18268</v>
      </c>
      <c r="C3781" s="2">
        <v>13</v>
      </c>
      <c r="D3781" s="2">
        <v>556</v>
      </c>
      <c r="E3781" s="2">
        <v>200</v>
      </c>
      <c r="F3781" s="2">
        <v>32441</v>
      </c>
      <c r="G3781" s="2">
        <v>3.7925629500000002</v>
      </c>
      <c r="H3781" s="3">
        <v>7.3800000000000005E-5</v>
      </c>
      <c r="I3781" s="2" t="s">
        <v>18269</v>
      </c>
      <c r="J3781" s="2" t="s">
        <v>18270</v>
      </c>
      <c r="K3781" s="2">
        <v>2.1630299999999999E-4</v>
      </c>
      <c r="L3781" s="2" t="s">
        <v>1178</v>
      </c>
      <c r="M3781" s="4" t="s">
        <v>18271</v>
      </c>
    </row>
    <row r="3782" spans="1:13">
      <c r="A3782" s="2">
        <v>39251</v>
      </c>
      <c r="B3782" s="2" t="s">
        <v>18272</v>
      </c>
      <c r="C3782" s="2">
        <v>13</v>
      </c>
      <c r="D3782" s="2">
        <v>556</v>
      </c>
      <c r="E3782" s="2">
        <v>200</v>
      </c>
      <c r="F3782" s="2">
        <v>32441</v>
      </c>
      <c r="G3782" s="2">
        <v>3.7925629500000002</v>
      </c>
      <c r="H3782" s="3">
        <v>7.3800000000000005E-5</v>
      </c>
      <c r="I3782" s="2" t="s">
        <v>18273</v>
      </c>
      <c r="J3782" s="2" t="s">
        <v>18274</v>
      </c>
      <c r="K3782" s="2">
        <v>2.1630299999999999E-4</v>
      </c>
      <c r="L3782" s="2" t="s">
        <v>1178</v>
      </c>
      <c r="M3782" s="4" t="s">
        <v>18275</v>
      </c>
    </row>
    <row r="3783" spans="1:13">
      <c r="A3783" s="2">
        <v>4021</v>
      </c>
      <c r="B3783" s="2" t="s">
        <v>18276</v>
      </c>
      <c r="C3783" s="2">
        <v>13</v>
      </c>
      <c r="D3783" s="2">
        <v>556</v>
      </c>
      <c r="E3783" s="2">
        <v>200</v>
      </c>
      <c r="F3783" s="2">
        <v>32441</v>
      </c>
      <c r="G3783" s="2">
        <v>3.7925629500000002</v>
      </c>
      <c r="H3783" s="3">
        <v>7.3800000000000005E-5</v>
      </c>
      <c r="I3783" s="2" t="s">
        <v>18277</v>
      </c>
      <c r="J3783" s="2" t="s">
        <v>18278</v>
      </c>
      <c r="K3783" s="2">
        <v>2.1630299999999999E-4</v>
      </c>
      <c r="L3783" s="2" t="s">
        <v>1178</v>
      </c>
      <c r="M3783" s="4" t="s">
        <v>18279</v>
      </c>
    </row>
    <row r="3784" spans="1:13">
      <c r="A3784" s="2">
        <v>4062</v>
      </c>
      <c r="B3784" s="2" t="s">
        <v>18280</v>
      </c>
      <c r="C3784" s="2">
        <v>13</v>
      </c>
      <c r="D3784" s="2">
        <v>556</v>
      </c>
      <c r="E3784" s="2">
        <v>200</v>
      </c>
      <c r="F3784" s="2">
        <v>32441</v>
      </c>
      <c r="G3784" s="2">
        <v>3.7925629500000002</v>
      </c>
      <c r="H3784" s="3">
        <v>7.3800000000000005E-5</v>
      </c>
      <c r="I3784" s="2" t="s">
        <v>18281</v>
      </c>
      <c r="J3784" s="2" t="s">
        <v>18282</v>
      </c>
      <c r="K3784" s="2">
        <v>2.1630299999999999E-4</v>
      </c>
      <c r="L3784" s="2" t="s">
        <v>1178</v>
      </c>
      <c r="M3784" s="4" t="s">
        <v>18283</v>
      </c>
    </row>
    <row r="3785" spans="1:13">
      <c r="A3785" s="2">
        <v>4072</v>
      </c>
      <c r="B3785" s="2" t="s">
        <v>18284</v>
      </c>
      <c r="C3785" s="2">
        <v>12</v>
      </c>
      <c r="D3785" s="2">
        <v>556</v>
      </c>
      <c r="E3785" s="2">
        <v>170</v>
      </c>
      <c r="F3785" s="2">
        <v>32441</v>
      </c>
      <c r="G3785" s="2">
        <v>4.118620398</v>
      </c>
      <c r="H3785" s="3">
        <v>6.6400000000000001E-5</v>
      </c>
      <c r="I3785" s="2" t="s">
        <v>18285</v>
      </c>
      <c r="J3785" s="2" t="s">
        <v>18286</v>
      </c>
      <c r="K3785" s="2">
        <v>2.1630299999999999E-4</v>
      </c>
      <c r="L3785" s="2" t="s">
        <v>1178</v>
      </c>
      <c r="M3785" s="4" t="s">
        <v>18287</v>
      </c>
    </row>
    <row r="3786" spans="1:13">
      <c r="A3786" s="2">
        <v>4125</v>
      </c>
      <c r="B3786" s="2" t="s">
        <v>18288</v>
      </c>
      <c r="C3786" s="2">
        <v>13</v>
      </c>
      <c r="D3786" s="2">
        <v>556</v>
      </c>
      <c r="E3786" s="2">
        <v>200</v>
      </c>
      <c r="F3786" s="2">
        <v>32441</v>
      </c>
      <c r="G3786" s="2">
        <v>3.7925629500000002</v>
      </c>
      <c r="H3786" s="3">
        <v>7.3800000000000005E-5</v>
      </c>
      <c r="I3786" s="2" t="s">
        <v>18289</v>
      </c>
      <c r="J3786" s="2" t="s">
        <v>18290</v>
      </c>
      <c r="K3786" s="2">
        <v>2.1630299999999999E-4</v>
      </c>
      <c r="L3786" s="2" t="s">
        <v>1178</v>
      </c>
      <c r="M3786" s="4" t="s">
        <v>18291</v>
      </c>
    </row>
    <row r="3787" spans="1:13">
      <c r="A3787" s="2">
        <v>4201</v>
      </c>
      <c r="B3787" s="2" t="s">
        <v>1521</v>
      </c>
      <c r="C3787" s="2">
        <v>13</v>
      </c>
      <c r="D3787" s="2">
        <v>556</v>
      </c>
      <c r="E3787" s="2">
        <v>200</v>
      </c>
      <c r="F3787" s="2">
        <v>32441</v>
      </c>
      <c r="G3787" s="2">
        <v>3.7925629500000002</v>
      </c>
      <c r="H3787" s="3">
        <v>7.3800000000000005E-5</v>
      </c>
      <c r="I3787" s="2" t="s">
        <v>18292</v>
      </c>
      <c r="J3787" s="2" t="s">
        <v>18293</v>
      </c>
      <c r="K3787" s="2">
        <v>2.1630299999999999E-4</v>
      </c>
      <c r="L3787" s="2" t="s">
        <v>1178</v>
      </c>
      <c r="M3787" s="4" t="s">
        <v>18294</v>
      </c>
    </row>
    <row r="3788" spans="1:13">
      <c r="A3788" s="2">
        <v>4288</v>
      </c>
      <c r="B3788" s="2" t="s">
        <v>18295</v>
      </c>
      <c r="C3788" s="2">
        <v>13</v>
      </c>
      <c r="D3788" s="2">
        <v>556</v>
      </c>
      <c r="E3788" s="2">
        <v>200</v>
      </c>
      <c r="F3788" s="2">
        <v>32441</v>
      </c>
      <c r="G3788" s="2">
        <v>3.7925629500000002</v>
      </c>
      <c r="H3788" s="3">
        <v>7.3800000000000005E-5</v>
      </c>
      <c r="I3788" s="2" t="s">
        <v>18296</v>
      </c>
      <c r="J3788" s="2" t="s">
        <v>18297</v>
      </c>
      <c r="K3788" s="2">
        <v>2.1630299999999999E-4</v>
      </c>
      <c r="L3788" s="2" t="s">
        <v>1178</v>
      </c>
      <c r="M3788" s="4" t="s">
        <v>18298</v>
      </c>
    </row>
    <row r="3789" spans="1:13">
      <c r="A3789" s="2">
        <v>4295</v>
      </c>
      <c r="B3789" s="2" t="s">
        <v>18299</v>
      </c>
      <c r="C3789" s="2">
        <v>13</v>
      </c>
      <c r="D3789" s="2">
        <v>556</v>
      </c>
      <c r="E3789" s="2">
        <v>200</v>
      </c>
      <c r="F3789" s="2">
        <v>32441</v>
      </c>
      <c r="G3789" s="2">
        <v>3.7925629500000002</v>
      </c>
      <c r="H3789" s="3">
        <v>7.3800000000000005E-5</v>
      </c>
      <c r="I3789" s="2" t="s">
        <v>18300</v>
      </c>
      <c r="J3789" s="2" t="s">
        <v>18301</v>
      </c>
      <c r="K3789" s="2">
        <v>2.1630299999999999E-4</v>
      </c>
      <c r="L3789" s="2" t="s">
        <v>1178</v>
      </c>
      <c r="M3789" s="4" t="s">
        <v>18302</v>
      </c>
    </row>
    <row r="3790" spans="1:13">
      <c r="A3790" s="2">
        <v>4300</v>
      </c>
      <c r="B3790" s="2" t="s">
        <v>18303</v>
      </c>
      <c r="C3790" s="2">
        <v>13</v>
      </c>
      <c r="D3790" s="2">
        <v>556</v>
      </c>
      <c r="E3790" s="2">
        <v>200</v>
      </c>
      <c r="F3790" s="2">
        <v>32441</v>
      </c>
      <c r="G3790" s="2">
        <v>3.7925629500000002</v>
      </c>
      <c r="H3790" s="3">
        <v>7.3800000000000005E-5</v>
      </c>
      <c r="I3790" s="2" t="s">
        <v>18304</v>
      </c>
      <c r="J3790" s="2" t="s">
        <v>18305</v>
      </c>
      <c r="K3790" s="2">
        <v>2.1630299999999999E-4</v>
      </c>
      <c r="L3790" s="2" t="s">
        <v>1178</v>
      </c>
      <c r="M3790" s="4" t="s">
        <v>18306</v>
      </c>
    </row>
    <row r="3791" spans="1:13">
      <c r="A3791" s="2">
        <v>4303</v>
      </c>
      <c r="B3791" s="2" t="s">
        <v>18307</v>
      </c>
      <c r="C3791" s="2">
        <v>13</v>
      </c>
      <c r="D3791" s="2">
        <v>556</v>
      </c>
      <c r="E3791" s="2">
        <v>200</v>
      </c>
      <c r="F3791" s="2">
        <v>32441</v>
      </c>
      <c r="G3791" s="2">
        <v>3.7925629500000002</v>
      </c>
      <c r="H3791" s="3">
        <v>7.3800000000000005E-5</v>
      </c>
      <c r="I3791" s="2" t="s">
        <v>18308</v>
      </c>
      <c r="J3791" s="2" t="s">
        <v>18309</v>
      </c>
      <c r="K3791" s="2">
        <v>2.1630299999999999E-4</v>
      </c>
      <c r="L3791" s="2" t="s">
        <v>1178</v>
      </c>
      <c r="M3791" s="4" t="s">
        <v>18310</v>
      </c>
    </row>
    <row r="3792" spans="1:13">
      <c r="A3792" s="2">
        <v>4319</v>
      </c>
      <c r="B3792" s="2" t="s">
        <v>18311</v>
      </c>
      <c r="C3792" s="2">
        <v>13</v>
      </c>
      <c r="D3792" s="2">
        <v>556</v>
      </c>
      <c r="E3792" s="2">
        <v>198</v>
      </c>
      <c r="F3792" s="2">
        <v>32441</v>
      </c>
      <c r="G3792" s="2">
        <v>3.8308716660000002</v>
      </c>
      <c r="H3792" s="3">
        <v>6.7100000000000005E-5</v>
      </c>
      <c r="I3792" s="2" t="s">
        <v>18312</v>
      </c>
      <c r="J3792" s="2" t="s">
        <v>18313</v>
      </c>
      <c r="K3792" s="2">
        <v>2.1630299999999999E-4</v>
      </c>
      <c r="L3792" s="2" t="s">
        <v>1178</v>
      </c>
      <c r="M3792" s="4" t="s">
        <v>18314</v>
      </c>
    </row>
    <row r="3793" spans="1:13">
      <c r="A3793" s="2">
        <v>4338</v>
      </c>
      <c r="B3793" s="2" t="s">
        <v>18315</v>
      </c>
      <c r="C3793" s="2">
        <v>13</v>
      </c>
      <c r="D3793" s="2">
        <v>556</v>
      </c>
      <c r="E3793" s="2">
        <v>200</v>
      </c>
      <c r="F3793" s="2">
        <v>32441</v>
      </c>
      <c r="G3793" s="2">
        <v>3.7925629500000002</v>
      </c>
      <c r="H3793" s="3">
        <v>7.3800000000000005E-5</v>
      </c>
      <c r="I3793" s="2" t="s">
        <v>18316</v>
      </c>
      <c r="J3793" s="2" t="s">
        <v>18317</v>
      </c>
      <c r="K3793" s="2">
        <v>2.1630299999999999E-4</v>
      </c>
      <c r="L3793" s="2" t="s">
        <v>1178</v>
      </c>
      <c r="M3793" s="4" t="s">
        <v>18318</v>
      </c>
    </row>
    <row r="3794" spans="1:13">
      <c r="A3794" s="2">
        <v>43401</v>
      </c>
      <c r="B3794" s="2" t="s">
        <v>18319</v>
      </c>
      <c r="C3794" s="2">
        <v>13</v>
      </c>
      <c r="D3794" s="2">
        <v>556</v>
      </c>
      <c r="E3794" s="2">
        <v>200</v>
      </c>
      <c r="F3794" s="2">
        <v>32441</v>
      </c>
      <c r="G3794" s="2">
        <v>3.7925629500000002</v>
      </c>
      <c r="H3794" s="3">
        <v>7.3800000000000005E-5</v>
      </c>
      <c r="I3794" s="2" t="s">
        <v>18320</v>
      </c>
      <c r="J3794" s="2" t="s">
        <v>18321</v>
      </c>
      <c r="K3794" s="2">
        <v>2.1630299999999999E-4</v>
      </c>
      <c r="L3794" s="2" t="s">
        <v>1178</v>
      </c>
      <c r="M3794" s="4" t="s">
        <v>18322</v>
      </c>
    </row>
    <row r="3795" spans="1:13">
      <c r="A3795" s="2">
        <v>4377</v>
      </c>
      <c r="B3795" s="2" t="s">
        <v>18323</v>
      </c>
      <c r="C3795" s="2">
        <v>13</v>
      </c>
      <c r="D3795" s="2">
        <v>556</v>
      </c>
      <c r="E3795" s="2">
        <v>200</v>
      </c>
      <c r="F3795" s="2">
        <v>32441</v>
      </c>
      <c r="G3795" s="2">
        <v>3.7925629500000002</v>
      </c>
      <c r="H3795" s="3">
        <v>7.3800000000000005E-5</v>
      </c>
      <c r="I3795" s="2" t="s">
        <v>18324</v>
      </c>
      <c r="J3795" s="2" t="s">
        <v>18325</v>
      </c>
      <c r="K3795" s="2">
        <v>2.1630299999999999E-4</v>
      </c>
      <c r="L3795" s="2" t="s">
        <v>1178</v>
      </c>
      <c r="M3795" s="4" t="s">
        <v>18326</v>
      </c>
    </row>
    <row r="3796" spans="1:13">
      <c r="A3796" s="2">
        <v>43881</v>
      </c>
      <c r="B3796" s="2" t="s">
        <v>18327</v>
      </c>
      <c r="C3796" s="2">
        <v>13</v>
      </c>
      <c r="D3796" s="2">
        <v>556</v>
      </c>
      <c r="E3796" s="2">
        <v>200</v>
      </c>
      <c r="F3796" s="2">
        <v>32441</v>
      </c>
      <c r="G3796" s="2">
        <v>3.7925629500000002</v>
      </c>
      <c r="H3796" s="3">
        <v>7.3800000000000005E-5</v>
      </c>
      <c r="I3796" s="2" t="s">
        <v>18328</v>
      </c>
      <c r="J3796" s="2" t="s">
        <v>18329</v>
      </c>
      <c r="K3796" s="2">
        <v>2.1630299999999999E-4</v>
      </c>
      <c r="L3796" s="2" t="s">
        <v>1178</v>
      </c>
      <c r="M3796" s="4" t="s">
        <v>18330</v>
      </c>
    </row>
    <row r="3797" spans="1:13">
      <c r="A3797" s="2">
        <v>4389</v>
      </c>
      <c r="B3797" s="2" t="s">
        <v>18331</v>
      </c>
      <c r="C3797" s="2">
        <v>13</v>
      </c>
      <c r="D3797" s="2">
        <v>556</v>
      </c>
      <c r="E3797" s="2">
        <v>200</v>
      </c>
      <c r="F3797" s="2">
        <v>32441</v>
      </c>
      <c r="G3797" s="2">
        <v>3.7925629500000002</v>
      </c>
      <c r="H3797" s="3">
        <v>7.3800000000000005E-5</v>
      </c>
      <c r="I3797" s="2" t="s">
        <v>18332</v>
      </c>
      <c r="J3797" s="2" t="s">
        <v>18333</v>
      </c>
      <c r="K3797" s="2">
        <v>2.1630299999999999E-4</v>
      </c>
      <c r="L3797" s="2" t="s">
        <v>1178</v>
      </c>
      <c r="M3797" s="4" t="s">
        <v>18334</v>
      </c>
    </row>
    <row r="3798" spans="1:13">
      <c r="A3798" s="2">
        <v>4424</v>
      </c>
      <c r="B3798" s="2" t="s">
        <v>18335</v>
      </c>
      <c r="C3798" s="2">
        <v>13</v>
      </c>
      <c r="D3798" s="2">
        <v>556</v>
      </c>
      <c r="E3798" s="2">
        <v>200</v>
      </c>
      <c r="F3798" s="2">
        <v>32441</v>
      </c>
      <c r="G3798" s="2">
        <v>3.7925629500000002</v>
      </c>
      <c r="H3798" s="3">
        <v>7.3800000000000005E-5</v>
      </c>
      <c r="I3798" s="2" t="s">
        <v>18336</v>
      </c>
      <c r="J3798" s="2" t="s">
        <v>18337</v>
      </c>
      <c r="K3798" s="2">
        <v>2.1630299999999999E-4</v>
      </c>
      <c r="L3798" s="2" t="s">
        <v>1178</v>
      </c>
      <c r="M3798" s="4" t="s">
        <v>18338</v>
      </c>
    </row>
    <row r="3799" spans="1:13">
      <c r="A3799" s="2">
        <v>44271</v>
      </c>
      <c r="B3799" s="2" t="s">
        <v>18339</v>
      </c>
      <c r="C3799" s="2">
        <v>13</v>
      </c>
      <c r="D3799" s="2">
        <v>556</v>
      </c>
      <c r="E3799" s="2">
        <v>200</v>
      </c>
      <c r="F3799" s="2">
        <v>32441</v>
      </c>
      <c r="G3799" s="2">
        <v>3.7925629500000002</v>
      </c>
      <c r="H3799" s="3">
        <v>7.3800000000000005E-5</v>
      </c>
      <c r="I3799" s="2" t="s">
        <v>18340</v>
      </c>
      <c r="J3799" s="2" t="s">
        <v>18341</v>
      </c>
      <c r="K3799" s="2">
        <v>2.1630299999999999E-4</v>
      </c>
      <c r="L3799" s="2" t="s">
        <v>1178</v>
      </c>
      <c r="M3799" s="4" t="s">
        <v>18342</v>
      </c>
    </row>
    <row r="3800" spans="1:13">
      <c r="A3800" s="2">
        <v>4445</v>
      </c>
      <c r="B3800" s="2" t="s">
        <v>18343</v>
      </c>
      <c r="C3800" s="2">
        <v>13</v>
      </c>
      <c r="D3800" s="2">
        <v>556</v>
      </c>
      <c r="E3800" s="2">
        <v>200</v>
      </c>
      <c r="F3800" s="2">
        <v>32441</v>
      </c>
      <c r="G3800" s="2">
        <v>3.7925629500000002</v>
      </c>
      <c r="H3800" s="3">
        <v>7.3800000000000005E-5</v>
      </c>
      <c r="I3800" s="2" t="s">
        <v>18344</v>
      </c>
      <c r="J3800" s="2" t="s">
        <v>18345</v>
      </c>
      <c r="K3800" s="2">
        <v>2.1630299999999999E-4</v>
      </c>
      <c r="L3800" s="2" t="s">
        <v>1178</v>
      </c>
      <c r="M3800" s="4" t="s">
        <v>18346</v>
      </c>
    </row>
    <row r="3801" spans="1:13">
      <c r="A3801" s="2">
        <v>45191</v>
      </c>
      <c r="B3801" s="2" t="s">
        <v>18347</v>
      </c>
      <c r="C3801" s="2">
        <v>13</v>
      </c>
      <c r="D3801" s="2">
        <v>556</v>
      </c>
      <c r="E3801" s="2">
        <v>198</v>
      </c>
      <c r="F3801" s="2">
        <v>32441</v>
      </c>
      <c r="G3801" s="2">
        <v>3.8308716660000002</v>
      </c>
      <c r="H3801" s="3">
        <v>6.7100000000000005E-5</v>
      </c>
      <c r="I3801" s="2" t="s">
        <v>18348</v>
      </c>
      <c r="J3801" s="2" t="s">
        <v>18349</v>
      </c>
      <c r="K3801" s="2">
        <v>2.1630299999999999E-4</v>
      </c>
      <c r="L3801" s="2" t="s">
        <v>1178</v>
      </c>
      <c r="M3801" s="4" t="s">
        <v>18350</v>
      </c>
    </row>
    <row r="3802" spans="1:13">
      <c r="A3802" s="2">
        <v>45411</v>
      </c>
      <c r="B3802" s="2" t="s">
        <v>18351</v>
      </c>
      <c r="C3802" s="2">
        <v>13</v>
      </c>
      <c r="D3802" s="2">
        <v>556</v>
      </c>
      <c r="E3802" s="2">
        <v>200</v>
      </c>
      <c r="F3802" s="2">
        <v>32441</v>
      </c>
      <c r="G3802" s="2">
        <v>3.7925629500000002</v>
      </c>
      <c r="H3802" s="3">
        <v>7.3800000000000005E-5</v>
      </c>
      <c r="I3802" s="2" t="s">
        <v>18352</v>
      </c>
      <c r="J3802" s="2" t="s">
        <v>18353</v>
      </c>
      <c r="K3802" s="2">
        <v>2.1630299999999999E-4</v>
      </c>
      <c r="L3802" s="2" t="s">
        <v>1178</v>
      </c>
      <c r="M3802" s="4" t="s">
        <v>18354</v>
      </c>
    </row>
    <row r="3803" spans="1:13">
      <c r="A3803" s="2">
        <v>4560</v>
      </c>
      <c r="B3803" s="2" t="s">
        <v>18355</v>
      </c>
      <c r="C3803" s="2">
        <v>13</v>
      </c>
      <c r="D3803" s="2">
        <v>556</v>
      </c>
      <c r="E3803" s="2">
        <v>200</v>
      </c>
      <c r="F3803" s="2">
        <v>32441</v>
      </c>
      <c r="G3803" s="2">
        <v>3.7925629500000002</v>
      </c>
      <c r="H3803" s="3">
        <v>7.3800000000000005E-5</v>
      </c>
      <c r="I3803" s="2" t="s">
        <v>18356</v>
      </c>
      <c r="J3803" s="2" t="s">
        <v>18357</v>
      </c>
      <c r="K3803" s="2">
        <v>2.1630299999999999E-4</v>
      </c>
      <c r="L3803" s="2" t="s">
        <v>1178</v>
      </c>
      <c r="M3803" s="4" t="s">
        <v>18358</v>
      </c>
    </row>
    <row r="3804" spans="1:13">
      <c r="A3804" s="2">
        <v>4565</v>
      </c>
      <c r="B3804" s="2" t="s">
        <v>18359</v>
      </c>
      <c r="C3804" s="2">
        <v>13</v>
      </c>
      <c r="D3804" s="2">
        <v>556</v>
      </c>
      <c r="E3804" s="2">
        <v>200</v>
      </c>
      <c r="F3804" s="2">
        <v>32441</v>
      </c>
      <c r="G3804" s="2">
        <v>3.7925629500000002</v>
      </c>
      <c r="H3804" s="3">
        <v>7.3800000000000005E-5</v>
      </c>
      <c r="I3804" s="2" t="s">
        <v>18360</v>
      </c>
      <c r="J3804" s="2" t="s">
        <v>18361</v>
      </c>
      <c r="K3804" s="2">
        <v>2.1630299999999999E-4</v>
      </c>
      <c r="L3804" s="2" t="s">
        <v>1178</v>
      </c>
      <c r="M3804" s="4" t="s">
        <v>18362</v>
      </c>
    </row>
    <row r="3805" spans="1:13">
      <c r="A3805" s="2">
        <v>45712</v>
      </c>
      <c r="B3805" s="2" t="s">
        <v>18363</v>
      </c>
      <c r="C3805" s="2">
        <v>13</v>
      </c>
      <c r="D3805" s="2">
        <v>556</v>
      </c>
      <c r="E3805" s="2">
        <v>200</v>
      </c>
      <c r="F3805" s="2">
        <v>32441</v>
      </c>
      <c r="G3805" s="2">
        <v>3.7925629500000002</v>
      </c>
      <c r="H3805" s="3">
        <v>7.3800000000000005E-5</v>
      </c>
      <c r="I3805" s="2" t="s">
        <v>18364</v>
      </c>
      <c r="J3805" s="2" t="s">
        <v>18365</v>
      </c>
      <c r="K3805" s="2">
        <v>2.1630299999999999E-4</v>
      </c>
      <c r="L3805" s="2" t="s">
        <v>1178</v>
      </c>
      <c r="M3805" s="4" t="s">
        <v>18366</v>
      </c>
    </row>
    <row r="3806" spans="1:13">
      <c r="A3806" s="2">
        <v>4584</v>
      </c>
      <c r="B3806" s="2" t="s">
        <v>18367</v>
      </c>
      <c r="C3806" s="2">
        <v>13</v>
      </c>
      <c r="D3806" s="2">
        <v>556</v>
      </c>
      <c r="E3806" s="2">
        <v>200</v>
      </c>
      <c r="F3806" s="2">
        <v>32441</v>
      </c>
      <c r="G3806" s="2">
        <v>3.7925629500000002</v>
      </c>
      <c r="H3806" s="3">
        <v>7.3800000000000005E-5</v>
      </c>
      <c r="I3806" s="2" t="s">
        <v>18368</v>
      </c>
      <c r="J3806" s="2" t="s">
        <v>18369</v>
      </c>
      <c r="K3806" s="2">
        <v>2.1630299999999999E-4</v>
      </c>
      <c r="L3806" s="2" t="s">
        <v>1178</v>
      </c>
      <c r="M3806" s="4" t="s">
        <v>18370</v>
      </c>
    </row>
    <row r="3807" spans="1:13">
      <c r="A3807" s="2">
        <v>4590</v>
      </c>
      <c r="B3807" s="2" t="s">
        <v>18371</v>
      </c>
      <c r="C3807" s="2">
        <v>13</v>
      </c>
      <c r="D3807" s="2">
        <v>556</v>
      </c>
      <c r="E3807" s="2">
        <v>200</v>
      </c>
      <c r="F3807" s="2">
        <v>32441</v>
      </c>
      <c r="G3807" s="2">
        <v>3.7925629500000002</v>
      </c>
      <c r="H3807" s="3">
        <v>7.3800000000000005E-5</v>
      </c>
      <c r="I3807" s="2" t="s">
        <v>18372</v>
      </c>
      <c r="J3807" s="2" t="s">
        <v>18373</v>
      </c>
      <c r="K3807" s="2">
        <v>2.1630299999999999E-4</v>
      </c>
      <c r="L3807" s="2" t="s">
        <v>1178</v>
      </c>
      <c r="M3807" s="4" t="s">
        <v>18374</v>
      </c>
    </row>
    <row r="3808" spans="1:13">
      <c r="A3808" s="2">
        <v>4637</v>
      </c>
      <c r="B3808" s="2" t="s">
        <v>2721</v>
      </c>
      <c r="C3808" s="2">
        <v>13</v>
      </c>
      <c r="D3808" s="2">
        <v>556</v>
      </c>
      <c r="E3808" s="2">
        <v>200</v>
      </c>
      <c r="F3808" s="2">
        <v>32441</v>
      </c>
      <c r="G3808" s="2">
        <v>3.7925629500000002</v>
      </c>
      <c r="H3808" s="3">
        <v>7.3800000000000005E-5</v>
      </c>
      <c r="I3808" s="2" t="s">
        <v>18375</v>
      </c>
      <c r="J3808" s="2" t="s">
        <v>18376</v>
      </c>
      <c r="K3808" s="2">
        <v>2.1630299999999999E-4</v>
      </c>
      <c r="L3808" s="2" t="s">
        <v>1178</v>
      </c>
      <c r="M3808" s="4" t="s">
        <v>18377</v>
      </c>
    </row>
    <row r="3809" spans="1:13">
      <c r="A3809" s="2">
        <v>46831</v>
      </c>
      <c r="B3809" s="2" t="s">
        <v>18378</v>
      </c>
      <c r="C3809" s="2">
        <v>13</v>
      </c>
      <c r="D3809" s="2">
        <v>556</v>
      </c>
      <c r="E3809" s="2">
        <v>200</v>
      </c>
      <c r="F3809" s="2">
        <v>32441</v>
      </c>
      <c r="G3809" s="2">
        <v>3.7925629500000002</v>
      </c>
      <c r="H3809" s="3">
        <v>7.3800000000000005E-5</v>
      </c>
      <c r="I3809" s="2" t="s">
        <v>18379</v>
      </c>
      <c r="J3809" s="2" t="s">
        <v>18380</v>
      </c>
      <c r="K3809" s="2">
        <v>2.1630299999999999E-4</v>
      </c>
      <c r="L3809" s="2" t="s">
        <v>1178</v>
      </c>
      <c r="M3809" s="4" t="s">
        <v>18381</v>
      </c>
    </row>
    <row r="3810" spans="1:13">
      <c r="A3810" s="2">
        <v>46861</v>
      </c>
      <c r="B3810" s="2" t="s">
        <v>18382</v>
      </c>
      <c r="C3810" s="2">
        <v>13</v>
      </c>
      <c r="D3810" s="2">
        <v>556</v>
      </c>
      <c r="E3810" s="2">
        <v>200</v>
      </c>
      <c r="F3810" s="2">
        <v>32441</v>
      </c>
      <c r="G3810" s="2">
        <v>3.7925629500000002</v>
      </c>
      <c r="H3810" s="3">
        <v>7.3800000000000005E-5</v>
      </c>
      <c r="I3810" s="2" t="s">
        <v>18383</v>
      </c>
      <c r="J3810" s="2" t="s">
        <v>18384</v>
      </c>
      <c r="K3810" s="2">
        <v>2.1630299999999999E-4</v>
      </c>
      <c r="L3810" s="2" t="s">
        <v>1178</v>
      </c>
      <c r="M3810" s="4" t="s">
        <v>18385</v>
      </c>
    </row>
    <row r="3811" spans="1:13">
      <c r="A3811" s="2">
        <v>47411</v>
      </c>
      <c r="B3811" s="2" t="s">
        <v>18386</v>
      </c>
      <c r="C3811" s="2">
        <v>13</v>
      </c>
      <c r="D3811" s="2">
        <v>556</v>
      </c>
      <c r="E3811" s="2">
        <v>200</v>
      </c>
      <c r="F3811" s="2">
        <v>32441</v>
      </c>
      <c r="G3811" s="2">
        <v>3.7925629500000002</v>
      </c>
      <c r="H3811" s="3">
        <v>7.3800000000000005E-5</v>
      </c>
      <c r="I3811" s="2" t="s">
        <v>18387</v>
      </c>
      <c r="J3811" s="2" t="s">
        <v>18388</v>
      </c>
      <c r="K3811" s="2">
        <v>2.1630299999999999E-4</v>
      </c>
      <c r="L3811" s="2" t="s">
        <v>1178</v>
      </c>
      <c r="M3811" s="4" t="s">
        <v>18389</v>
      </c>
    </row>
    <row r="3812" spans="1:13">
      <c r="A3812" s="2">
        <v>4787</v>
      </c>
      <c r="B3812" s="2" t="s">
        <v>18390</v>
      </c>
      <c r="C3812" s="2">
        <v>13</v>
      </c>
      <c r="D3812" s="2">
        <v>556</v>
      </c>
      <c r="E3812" s="2">
        <v>200</v>
      </c>
      <c r="F3812" s="2">
        <v>32441</v>
      </c>
      <c r="G3812" s="2">
        <v>3.7925629500000002</v>
      </c>
      <c r="H3812" s="3">
        <v>7.3800000000000005E-5</v>
      </c>
      <c r="I3812" s="2" t="s">
        <v>18391</v>
      </c>
      <c r="J3812" s="2" t="s">
        <v>18392</v>
      </c>
      <c r="K3812" s="2">
        <v>2.1630299999999999E-4</v>
      </c>
      <c r="L3812" s="2" t="s">
        <v>1178</v>
      </c>
      <c r="M3812" s="4" t="s">
        <v>18393</v>
      </c>
    </row>
    <row r="3813" spans="1:13">
      <c r="A3813" s="2">
        <v>47901</v>
      </c>
      <c r="B3813" s="2" t="s">
        <v>18394</v>
      </c>
      <c r="C3813" s="2">
        <v>13</v>
      </c>
      <c r="D3813" s="2">
        <v>556</v>
      </c>
      <c r="E3813" s="2">
        <v>200</v>
      </c>
      <c r="F3813" s="2">
        <v>32441</v>
      </c>
      <c r="G3813" s="2">
        <v>3.7925629500000002</v>
      </c>
      <c r="H3813" s="3">
        <v>7.3800000000000005E-5</v>
      </c>
      <c r="I3813" s="2" t="s">
        <v>18395</v>
      </c>
      <c r="J3813" s="2" t="s">
        <v>18396</v>
      </c>
      <c r="K3813" s="2">
        <v>2.1630299999999999E-4</v>
      </c>
      <c r="L3813" s="2" t="s">
        <v>1178</v>
      </c>
      <c r="M3813" s="4" t="s">
        <v>18397</v>
      </c>
    </row>
    <row r="3814" spans="1:13">
      <c r="A3814" s="2">
        <v>21791</v>
      </c>
      <c r="B3814" s="2" t="s">
        <v>1206</v>
      </c>
      <c r="C3814" s="2">
        <v>12</v>
      </c>
      <c r="D3814" s="2">
        <v>556</v>
      </c>
      <c r="E3814" s="2">
        <v>173</v>
      </c>
      <c r="F3814" s="2">
        <v>32441</v>
      </c>
      <c r="G3814" s="2">
        <v>4.0471992349999999</v>
      </c>
      <c r="H3814" s="3">
        <v>7.7700000000000005E-5</v>
      </c>
      <c r="I3814" s="2" t="s">
        <v>18398</v>
      </c>
      <c r="J3814" s="2" t="s">
        <v>18399</v>
      </c>
      <c r="K3814" s="2">
        <v>2.2745600000000001E-4</v>
      </c>
      <c r="L3814" s="2" t="s">
        <v>1178</v>
      </c>
      <c r="M3814" s="4" t="s">
        <v>18400</v>
      </c>
    </row>
    <row r="3815" spans="1:13">
      <c r="A3815" s="2">
        <v>42671</v>
      </c>
      <c r="B3815" s="2" t="s">
        <v>1791</v>
      </c>
      <c r="C3815" s="2">
        <v>12</v>
      </c>
      <c r="D3815" s="2">
        <v>556</v>
      </c>
      <c r="E3815" s="2">
        <v>173</v>
      </c>
      <c r="F3815" s="2">
        <v>32441</v>
      </c>
      <c r="G3815" s="2">
        <v>4.0471992349999999</v>
      </c>
      <c r="H3815" s="3">
        <v>7.7700000000000005E-5</v>
      </c>
      <c r="I3815" s="2" t="s">
        <v>18401</v>
      </c>
      <c r="J3815" s="2" t="s">
        <v>18402</v>
      </c>
      <c r="K3815" s="2">
        <v>2.2745600000000001E-4</v>
      </c>
      <c r="L3815" s="2" t="s">
        <v>1178</v>
      </c>
      <c r="M3815" s="4" t="s">
        <v>18403</v>
      </c>
    </row>
    <row r="3816" spans="1:13">
      <c r="A3816" s="2">
        <v>24751</v>
      </c>
      <c r="B3816" s="2" t="s">
        <v>2295</v>
      </c>
      <c r="C3816" s="2">
        <v>12</v>
      </c>
      <c r="D3816" s="2">
        <v>556</v>
      </c>
      <c r="E3816" s="2">
        <v>174</v>
      </c>
      <c r="F3816" s="2">
        <v>32441</v>
      </c>
      <c r="G3816" s="2">
        <v>4.0239394690000001</v>
      </c>
      <c r="H3816" s="3">
        <v>8.1799999999999996E-5</v>
      </c>
      <c r="I3816" s="2" t="s">
        <v>18404</v>
      </c>
      <c r="J3816" s="2" t="s">
        <v>18405</v>
      </c>
      <c r="K3816" s="2">
        <v>2.39206E-4</v>
      </c>
      <c r="L3816" s="2" t="s">
        <v>1178</v>
      </c>
      <c r="M3816" s="4" t="s">
        <v>18406</v>
      </c>
    </row>
    <row r="3817" spans="1:13">
      <c r="A3817" s="2">
        <v>41052</v>
      </c>
      <c r="B3817" s="2" t="s">
        <v>18407</v>
      </c>
      <c r="C3817" s="2">
        <v>12</v>
      </c>
      <c r="D3817" s="2">
        <v>556</v>
      </c>
      <c r="E3817" s="2">
        <v>174</v>
      </c>
      <c r="F3817" s="2">
        <v>32441</v>
      </c>
      <c r="G3817" s="2">
        <v>4.0239394690000001</v>
      </c>
      <c r="H3817" s="3">
        <v>8.1799999999999996E-5</v>
      </c>
      <c r="I3817" s="2" t="s">
        <v>18408</v>
      </c>
      <c r="J3817" s="2" t="s">
        <v>18409</v>
      </c>
      <c r="K3817" s="2">
        <v>2.39206E-4</v>
      </c>
      <c r="L3817" s="2" t="s">
        <v>1178</v>
      </c>
      <c r="M3817" s="4" t="s">
        <v>18410</v>
      </c>
    </row>
    <row r="3818" spans="1:13">
      <c r="A3818" s="2">
        <v>27812</v>
      </c>
      <c r="B3818" s="2" t="s">
        <v>18411</v>
      </c>
      <c r="C3818" s="2">
        <v>11</v>
      </c>
      <c r="D3818" s="2">
        <v>556</v>
      </c>
      <c r="E3818" s="2">
        <v>148</v>
      </c>
      <c r="F3818" s="2">
        <v>32441</v>
      </c>
      <c r="G3818" s="2">
        <v>4.3366104410000004</v>
      </c>
      <c r="H3818" s="3">
        <v>8.6399999999999999E-5</v>
      </c>
      <c r="I3818" s="2" t="s">
        <v>18412</v>
      </c>
      <c r="J3818" s="2" t="s">
        <v>18413</v>
      </c>
      <c r="K3818" s="2">
        <v>2.5230400000000002E-4</v>
      </c>
      <c r="L3818" s="2" t="s">
        <v>1178</v>
      </c>
      <c r="M3818" s="4" t="s">
        <v>18414</v>
      </c>
    </row>
    <row r="3819" spans="1:13">
      <c r="A3819" s="2">
        <v>25662</v>
      </c>
      <c r="B3819" s="2" t="s">
        <v>18415</v>
      </c>
      <c r="C3819" s="2">
        <v>10</v>
      </c>
      <c r="D3819" s="2">
        <v>556</v>
      </c>
      <c r="E3819" s="2">
        <v>123</v>
      </c>
      <c r="F3819" s="2">
        <v>32441</v>
      </c>
      <c r="G3819" s="2">
        <v>4.7436684800000002</v>
      </c>
      <c r="H3819" s="3">
        <v>9.0199999999999997E-5</v>
      </c>
      <c r="I3819" s="2" t="s">
        <v>18416</v>
      </c>
      <c r="J3819" s="2" t="s">
        <v>18417</v>
      </c>
      <c r="K3819" s="2">
        <v>2.6323999999999998E-4</v>
      </c>
      <c r="L3819" s="2" t="s">
        <v>1178</v>
      </c>
      <c r="M3819" s="4" t="s">
        <v>18418</v>
      </c>
    </row>
    <row r="3820" spans="1:13">
      <c r="A3820" s="2">
        <v>2444</v>
      </c>
      <c r="B3820" s="2" t="s">
        <v>18419</v>
      </c>
      <c r="C3820" s="2">
        <v>12</v>
      </c>
      <c r="D3820" s="2">
        <v>556</v>
      </c>
      <c r="E3820" s="2">
        <v>176</v>
      </c>
      <c r="F3820" s="2">
        <v>32441</v>
      </c>
      <c r="G3820" s="2">
        <v>3.9782128839999999</v>
      </c>
      <c r="H3820" s="3">
        <v>9.0600000000000007E-5</v>
      </c>
      <c r="I3820" s="2" t="s">
        <v>18420</v>
      </c>
      <c r="J3820" s="2" t="s">
        <v>18421</v>
      </c>
      <c r="K3820" s="2">
        <v>2.64271E-4</v>
      </c>
      <c r="L3820" s="2" t="s">
        <v>1178</v>
      </c>
      <c r="M3820" s="4" t="s">
        <v>18422</v>
      </c>
    </row>
    <row r="3821" spans="1:13">
      <c r="A3821" s="2">
        <v>38741</v>
      </c>
      <c r="B3821" s="2" t="s">
        <v>18423</v>
      </c>
      <c r="C3821" s="2">
        <v>12</v>
      </c>
      <c r="D3821" s="2">
        <v>556</v>
      </c>
      <c r="E3821" s="2">
        <v>176</v>
      </c>
      <c r="F3821" s="2">
        <v>32441</v>
      </c>
      <c r="G3821" s="2">
        <v>3.9782128839999999</v>
      </c>
      <c r="H3821" s="3">
        <v>9.0600000000000007E-5</v>
      </c>
      <c r="I3821" s="2" t="s">
        <v>18424</v>
      </c>
      <c r="J3821" s="2" t="s">
        <v>18425</v>
      </c>
      <c r="K3821" s="2">
        <v>2.64271E-4</v>
      </c>
      <c r="L3821" s="2" t="s">
        <v>1178</v>
      </c>
      <c r="M3821" s="4" t="s">
        <v>18426</v>
      </c>
    </row>
    <row r="3822" spans="1:13">
      <c r="A3822" s="2">
        <v>4093</v>
      </c>
      <c r="B3822" s="2" t="s">
        <v>18427</v>
      </c>
      <c r="C3822" s="2">
        <v>11</v>
      </c>
      <c r="D3822" s="2">
        <v>556</v>
      </c>
      <c r="E3822" s="2">
        <v>149</v>
      </c>
      <c r="F3822" s="2">
        <v>32441</v>
      </c>
      <c r="G3822" s="2">
        <v>4.3075056729999996</v>
      </c>
      <c r="H3822" s="3">
        <v>9.1399999999999999E-5</v>
      </c>
      <c r="I3822" s="2" t="s">
        <v>18428</v>
      </c>
      <c r="J3822" s="2" t="s">
        <v>18429</v>
      </c>
      <c r="K3822" s="2">
        <v>2.6624899999999998E-4</v>
      </c>
      <c r="L3822" s="2" t="s">
        <v>1178</v>
      </c>
      <c r="M3822" s="4" t="s">
        <v>18430</v>
      </c>
    </row>
    <row r="3823" spans="1:13">
      <c r="A3823" s="2">
        <v>40821</v>
      </c>
      <c r="B3823" s="2" t="s">
        <v>18431</v>
      </c>
      <c r="C3823" s="2">
        <v>12</v>
      </c>
      <c r="D3823" s="2">
        <v>556</v>
      </c>
      <c r="E3823" s="2">
        <v>177</v>
      </c>
      <c r="F3823" s="2">
        <v>32441</v>
      </c>
      <c r="G3823" s="2">
        <v>3.9557371049999999</v>
      </c>
      <c r="H3823" s="3">
        <v>9.5299999999999999E-5</v>
      </c>
      <c r="I3823" s="2" t="s">
        <v>18432</v>
      </c>
      <c r="J3823" s="2" t="s">
        <v>18433</v>
      </c>
      <c r="K3823" s="2">
        <v>2.7762199999999999E-4</v>
      </c>
      <c r="L3823" s="2" t="s">
        <v>1178</v>
      </c>
      <c r="M3823" s="4" t="s">
        <v>18434</v>
      </c>
    </row>
    <row r="3824" spans="1:13">
      <c r="A3824" s="2">
        <v>41101</v>
      </c>
      <c r="B3824" s="2" t="s">
        <v>18435</v>
      </c>
      <c r="C3824" s="2">
        <v>10</v>
      </c>
      <c r="D3824" s="2">
        <v>556</v>
      </c>
      <c r="E3824" s="2">
        <v>126</v>
      </c>
      <c r="F3824" s="2">
        <v>32441</v>
      </c>
      <c r="G3824" s="2">
        <v>4.6307239920000001</v>
      </c>
      <c r="H3824" s="2">
        <v>1.08622E-4</v>
      </c>
      <c r="I3824" s="2" t="s">
        <v>18436</v>
      </c>
      <c r="J3824" s="2" t="s">
        <v>18437</v>
      </c>
      <c r="K3824" s="2">
        <v>3.1613300000000002E-4</v>
      </c>
      <c r="L3824" s="2" t="s">
        <v>1178</v>
      </c>
      <c r="M3824" s="4" t="s">
        <v>18438</v>
      </c>
    </row>
    <row r="3825" spans="1:13">
      <c r="A3825" s="2">
        <v>4259</v>
      </c>
      <c r="B3825" s="2" t="s">
        <v>18439</v>
      </c>
      <c r="C3825" s="2">
        <v>10</v>
      </c>
      <c r="D3825" s="2">
        <v>556</v>
      </c>
      <c r="E3825" s="2">
        <v>128</v>
      </c>
      <c r="F3825" s="2">
        <v>32441</v>
      </c>
      <c r="G3825" s="2">
        <v>4.5583689300000003</v>
      </c>
      <c r="H3825" s="2">
        <v>1.2261300000000001E-4</v>
      </c>
      <c r="I3825" s="2" t="s">
        <v>18440</v>
      </c>
      <c r="J3825" s="2" t="s">
        <v>18441</v>
      </c>
      <c r="K3825" s="2">
        <v>3.56638E-4</v>
      </c>
      <c r="L3825" s="2" t="s">
        <v>1178</v>
      </c>
      <c r="M3825" s="4" t="s">
        <v>18442</v>
      </c>
    </row>
    <row r="3826" spans="1:13">
      <c r="A3826" s="2">
        <v>2564</v>
      </c>
      <c r="B3826" s="2" t="s">
        <v>18443</v>
      </c>
      <c r="C3826" s="2">
        <v>11</v>
      </c>
      <c r="D3826" s="2">
        <v>556</v>
      </c>
      <c r="E3826" s="2">
        <v>157</v>
      </c>
      <c r="F3826" s="2">
        <v>32441</v>
      </c>
      <c r="G3826" s="2">
        <v>4.0880149379999997</v>
      </c>
      <c r="H3826" s="2">
        <v>1.4096599999999999E-4</v>
      </c>
      <c r="I3826" s="2" t="s">
        <v>18444</v>
      </c>
      <c r="J3826" s="2" t="s">
        <v>18445</v>
      </c>
      <c r="K3826" s="2">
        <v>4.0977800000000002E-4</v>
      </c>
      <c r="L3826" s="2" t="s">
        <v>1178</v>
      </c>
      <c r="M3826" s="4" t="s">
        <v>18446</v>
      </c>
    </row>
    <row r="3827" spans="1:13">
      <c r="A3827" s="2">
        <v>2535</v>
      </c>
      <c r="B3827" s="2" t="s">
        <v>18447</v>
      </c>
      <c r="C3827" s="2">
        <v>11</v>
      </c>
      <c r="D3827" s="2">
        <v>556</v>
      </c>
      <c r="E3827" s="2">
        <v>158</v>
      </c>
      <c r="F3827" s="2">
        <v>32441</v>
      </c>
      <c r="G3827" s="2">
        <v>4.0621414260000002</v>
      </c>
      <c r="H3827" s="2">
        <v>1.4853300000000001E-4</v>
      </c>
      <c r="I3827" s="2" t="s">
        <v>18448</v>
      </c>
      <c r="J3827" s="2" t="s">
        <v>18449</v>
      </c>
      <c r="K3827" s="2">
        <v>4.3125800000000001E-4</v>
      </c>
      <c r="L3827" s="2" t="s">
        <v>1178</v>
      </c>
      <c r="M3827" s="4" t="s">
        <v>18450</v>
      </c>
    </row>
    <row r="3828" spans="1:13">
      <c r="A3828" s="2">
        <v>2827</v>
      </c>
      <c r="B3828" s="2" t="s">
        <v>18451</v>
      </c>
      <c r="C3828" s="2">
        <v>11</v>
      </c>
      <c r="D3828" s="2">
        <v>556</v>
      </c>
      <c r="E3828" s="2">
        <v>158</v>
      </c>
      <c r="F3828" s="2">
        <v>32441</v>
      </c>
      <c r="G3828" s="2">
        <v>4.0621414260000002</v>
      </c>
      <c r="H3828" s="2">
        <v>1.4853300000000001E-4</v>
      </c>
      <c r="I3828" s="2" t="s">
        <v>18452</v>
      </c>
      <c r="J3828" s="2" t="s">
        <v>18453</v>
      </c>
      <c r="K3828" s="2">
        <v>4.3125800000000001E-4</v>
      </c>
      <c r="L3828" s="2" t="s">
        <v>1178</v>
      </c>
      <c r="M3828" s="4" t="s">
        <v>18454</v>
      </c>
    </row>
    <row r="3829" spans="1:13">
      <c r="A3829" s="2">
        <v>35841</v>
      </c>
      <c r="B3829" s="2" t="s">
        <v>18455</v>
      </c>
      <c r="C3829" s="2">
        <v>12</v>
      </c>
      <c r="D3829" s="2">
        <v>556</v>
      </c>
      <c r="E3829" s="2">
        <v>191</v>
      </c>
      <c r="F3829" s="2">
        <v>32441</v>
      </c>
      <c r="G3829" s="2">
        <v>3.6657877889999999</v>
      </c>
      <c r="H3829" s="2">
        <v>1.86515E-4</v>
      </c>
      <c r="I3829" s="2" t="s">
        <v>18456</v>
      </c>
      <c r="J3829" s="2" t="s">
        <v>18457</v>
      </c>
      <c r="K3829" s="2">
        <v>5.4121499999999995E-4</v>
      </c>
      <c r="L3829" s="2" t="s">
        <v>1178</v>
      </c>
      <c r="M3829" s="4" t="s">
        <v>18458</v>
      </c>
    </row>
    <row r="3830" spans="1:13">
      <c r="A3830" s="2">
        <v>2833</v>
      </c>
      <c r="B3830" s="2" t="s">
        <v>18459</v>
      </c>
      <c r="C3830" s="2">
        <v>11</v>
      </c>
      <c r="D3830" s="2">
        <v>556</v>
      </c>
      <c r="E3830" s="2">
        <v>164</v>
      </c>
      <c r="F3830" s="2">
        <v>32441</v>
      </c>
      <c r="G3830" s="2">
        <v>3.9135264959999998</v>
      </c>
      <c r="H3830" s="2">
        <v>2.0156699999999999E-4</v>
      </c>
      <c r="I3830" s="2" t="s">
        <v>18460</v>
      </c>
      <c r="J3830" s="2" t="s">
        <v>18461</v>
      </c>
      <c r="K3830" s="2">
        <v>5.8454500000000001E-4</v>
      </c>
      <c r="L3830" s="2" t="s">
        <v>1178</v>
      </c>
      <c r="M3830" s="4" t="s">
        <v>18462</v>
      </c>
    </row>
    <row r="3831" spans="1:13">
      <c r="A3831" s="2">
        <v>2287</v>
      </c>
      <c r="B3831" s="2" t="s">
        <v>18463</v>
      </c>
      <c r="C3831" s="2">
        <v>12</v>
      </c>
      <c r="D3831" s="2">
        <v>556</v>
      </c>
      <c r="E3831" s="2">
        <v>195</v>
      </c>
      <c r="F3831" s="2">
        <v>32441</v>
      </c>
      <c r="G3831" s="2">
        <v>3.5905921420000002</v>
      </c>
      <c r="H3831" s="2">
        <v>2.23372E-4</v>
      </c>
      <c r="I3831" s="2" t="s">
        <v>18464</v>
      </c>
      <c r="J3831" s="2" t="s">
        <v>18465</v>
      </c>
      <c r="K3831" s="2">
        <v>6.4700900000000004E-4</v>
      </c>
      <c r="L3831" s="2" t="s">
        <v>1178</v>
      </c>
      <c r="M3831" s="4" t="s">
        <v>18466</v>
      </c>
    </row>
    <row r="3832" spans="1:13">
      <c r="A3832" s="2">
        <v>3201</v>
      </c>
      <c r="B3832" s="2" t="s">
        <v>18467</v>
      </c>
      <c r="C3832" s="2">
        <v>12</v>
      </c>
      <c r="D3832" s="2">
        <v>556</v>
      </c>
      <c r="E3832" s="2">
        <v>195</v>
      </c>
      <c r="F3832" s="2">
        <v>32441</v>
      </c>
      <c r="G3832" s="2">
        <v>3.5905921420000002</v>
      </c>
      <c r="H3832" s="2">
        <v>2.23372E-4</v>
      </c>
      <c r="I3832" s="2" t="s">
        <v>18468</v>
      </c>
      <c r="J3832" s="2" t="s">
        <v>18469</v>
      </c>
      <c r="K3832" s="2">
        <v>6.4700900000000004E-4</v>
      </c>
      <c r="L3832" s="2" t="s">
        <v>1178</v>
      </c>
      <c r="M3832" s="4" t="s">
        <v>18470</v>
      </c>
    </row>
    <row r="3833" spans="1:13">
      <c r="A3833" s="2">
        <v>2654</v>
      </c>
      <c r="B3833" s="2" t="s">
        <v>18471</v>
      </c>
      <c r="C3833" s="2">
        <v>10</v>
      </c>
      <c r="D3833" s="2">
        <v>556</v>
      </c>
      <c r="E3833" s="2">
        <v>139</v>
      </c>
      <c r="F3833" s="2">
        <v>32441</v>
      </c>
      <c r="G3833" s="2">
        <v>4.1976346979999999</v>
      </c>
      <c r="H3833" s="2">
        <v>2.29769E-4</v>
      </c>
      <c r="I3833" s="2" t="s">
        <v>18472</v>
      </c>
      <c r="J3833" s="2" t="s">
        <v>18473</v>
      </c>
      <c r="K3833" s="2">
        <v>6.6514199999999997E-4</v>
      </c>
      <c r="L3833" s="2" t="s">
        <v>1178</v>
      </c>
      <c r="M3833" s="4" t="s">
        <v>18474</v>
      </c>
    </row>
    <row r="3834" spans="1:13">
      <c r="A3834" s="2">
        <v>2101</v>
      </c>
      <c r="B3834" s="2" t="s">
        <v>18475</v>
      </c>
      <c r="C3834" s="2">
        <v>12</v>
      </c>
      <c r="D3834" s="2">
        <v>556</v>
      </c>
      <c r="E3834" s="2">
        <v>196</v>
      </c>
      <c r="F3834" s="2">
        <v>32441</v>
      </c>
      <c r="G3834" s="2">
        <v>3.5722727939999999</v>
      </c>
      <c r="H3834" s="2">
        <v>2.3349899999999999E-4</v>
      </c>
      <c r="I3834" s="2" t="s">
        <v>18476</v>
      </c>
      <c r="J3834" s="2" t="s">
        <v>18477</v>
      </c>
      <c r="K3834" s="2">
        <v>6.7502299999999996E-4</v>
      </c>
      <c r="L3834" s="2" t="s">
        <v>1178</v>
      </c>
      <c r="M3834" s="4" t="s">
        <v>18478</v>
      </c>
    </row>
    <row r="3835" spans="1:13">
      <c r="A3835" s="2">
        <v>2425</v>
      </c>
      <c r="B3835" s="2" t="s">
        <v>18479</v>
      </c>
      <c r="C3835" s="2">
        <v>11</v>
      </c>
      <c r="D3835" s="2">
        <v>556</v>
      </c>
      <c r="E3835" s="2">
        <v>167</v>
      </c>
      <c r="F3835" s="2">
        <v>32441</v>
      </c>
      <c r="G3835" s="2">
        <v>3.8432236249999998</v>
      </c>
      <c r="H3835" s="2">
        <v>2.3359800000000001E-4</v>
      </c>
      <c r="I3835" s="2" t="s">
        <v>18480</v>
      </c>
      <c r="J3835" s="2" t="s">
        <v>18481</v>
      </c>
      <c r="K3835" s="2">
        <v>6.7502299999999996E-4</v>
      </c>
      <c r="L3835" s="2" t="s">
        <v>1178</v>
      </c>
      <c r="M3835" s="4" t="s">
        <v>18482</v>
      </c>
    </row>
    <row r="3836" spans="1:13">
      <c r="A3836" s="2">
        <v>31741</v>
      </c>
      <c r="B3836" s="2" t="s">
        <v>18483</v>
      </c>
      <c r="C3836" s="2">
        <v>12</v>
      </c>
      <c r="D3836" s="2">
        <v>556</v>
      </c>
      <c r="E3836" s="2">
        <v>196</v>
      </c>
      <c r="F3836" s="2">
        <v>32441</v>
      </c>
      <c r="G3836" s="2">
        <v>3.5722727939999999</v>
      </c>
      <c r="H3836" s="2">
        <v>2.3349899999999999E-4</v>
      </c>
      <c r="I3836" s="2" t="s">
        <v>18484</v>
      </c>
      <c r="J3836" s="2" t="s">
        <v>18485</v>
      </c>
      <c r="K3836" s="2">
        <v>6.7502299999999996E-4</v>
      </c>
      <c r="L3836" s="2" t="s">
        <v>1178</v>
      </c>
      <c r="M3836" s="4" t="s">
        <v>18486</v>
      </c>
    </row>
    <row r="3837" spans="1:13">
      <c r="A3837" s="2">
        <v>3488</v>
      </c>
      <c r="B3837" s="2" t="s">
        <v>18487</v>
      </c>
      <c r="C3837" s="2">
        <v>12</v>
      </c>
      <c r="D3837" s="2">
        <v>556</v>
      </c>
      <c r="E3837" s="2">
        <v>197</v>
      </c>
      <c r="F3837" s="2">
        <v>32441</v>
      </c>
      <c r="G3837" s="2">
        <v>3.5541394300000002</v>
      </c>
      <c r="H3837" s="2">
        <v>2.4401499999999999E-4</v>
      </c>
      <c r="I3837" s="2" t="s">
        <v>18488</v>
      </c>
      <c r="J3837" s="2" t="s">
        <v>18489</v>
      </c>
      <c r="K3837" s="2">
        <v>7.0470600000000004E-4</v>
      </c>
      <c r="L3837" s="2" t="s">
        <v>1178</v>
      </c>
      <c r="M3837" s="4" t="s">
        <v>18490</v>
      </c>
    </row>
    <row r="3838" spans="1:13">
      <c r="A3838" s="2">
        <v>2169</v>
      </c>
      <c r="B3838" s="2" t="s">
        <v>18491</v>
      </c>
      <c r="C3838" s="2">
        <v>11</v>
      </c>
      <c r="D3838" s="2">
        <v>556</v>
      </c>
      <c r="E3838" s="2">
        <v>168</v>
      </c>
      <c r="F3838" s="2">
        <v>32441</v>
      </c>
      <c r="G3838" s="2">
        <v>3.8203472939999998</v>
      </c>
      <c r="H3838" s="2">
        <v>2.4518700000000001E-4</v>
      </c>
      <c r="I3838" s="2" t="s">
        <v>18492</v>
      </c>
      <c r="J3838" s="2" t="s">
        <v>18493</v>
      </c>
      <c r="K3838" s="2">
        <v>7.0767300000000003E-4</v>
      </c>
      <c r="L3838" s="2" t="s">
        <v>1178</v>
      </c>
      <c r="M3838" s="4" t="s">
        <v>18494</v>
      </c>
    </row>
    <row r="3839" spans="1:13">
      <c r="A3839" s="2">
        <v>10710</v>
      </c>
      <c r="B3839" s="2" t="s">
        <v>18495</v>
      </c>
      <c r="C3839" s="2">
        <v>12</v>
      </c>
      <c r="D3839" s="2">
        <v>556</v>
      </c>
      <c r="E3839" s="2">
        <v>200</v>
      </c>
      <c r="F3839" s="2">
        <v>32441</v>
      </c>
      <c r="G3839" s="2">
        <v>3.5008273380000001</v>
      </c>
      <c r="H3839" s="2">
        <v>2.7800999999999998E-4</v>
      </c>
      <c r="I3839" s="2" t="s">
        <v>18496</v>
      </c>
      <c r="J3839" s="2" t="s">
        <v>18497</v>
      </c>
      <c r="K3839" s="2">
        <v>7.1551099999999995E-4</v>
      </c>
      <c r="L3839" s="2" t="s">
        <v>1178</v>
      </c>
      <c r="M3839" s="4" t="s">
        <v>18498</v>
      </c>
    </row>
    <row r="3840" spans="1:13">
      <c r="A3840" s="2">
        <v>1253</v>
      </c>
      <c r="B3840" s="2" t="s">
        <v>2013</v>
      </c>
      <c r="C3840" s="2">
        <v>12</v>
      </c>
      <c r="D3840" s="2">
        <v>556</v>
      </c>
      <c r="E3840" s="2">
        <v>200</v>
      </c>
      <c r="F3840" s="2">
        <v>32441</v>
      </c>
      <c r="G3840" s="2">
        <v>3.5008273380000001</v>
      </c>
      <c r="H3840" s="2">
        <v>2.7800999999999998E-4</v>
      </c>
      <c r="I3840" s="2" t="s">
        <v>18499</v>
      </c>
      <c r="J3840" s="2" t="s">
        <v>18500</v>
      </c>
      <c r="K3840" s="2">
        <v>7.1551099999999995E-4</v>
      </c>
      <c r="L3840" s="2" t="s">
        <v>1178</v>
      </c>
      <c r="M3840" s="4" t="s">
        <v>18501</v>
      </c>
    </row>
    <row r="3841" spans="1:13">
      <c r="A3841" s="2">
        <v>1455</v>
      </c>
      <c r="B3841" s="2" t="s">
        <v>18502</v>
      </c>
      <c r="C3841" s="2">
        <v>12</v>
      </c>
      <c r="D3841" s="2">
        <v>556</v>
      </c>
      <c r="E3841" s="2">
        <v>200</v>
      </c>
      <c r="F3841" s="2">
        <v>32441</v>
      </c>
      <c r="G3841" s="2">
        <v>3.5008273380000001</v>
      </c>
      <c r="H3841" s="2">
        <v>2.7800999999999998E-4</v>
      </c>
      <c r="I3841" s="2" t="s">
        <v>18503</v>
      </c>
      <c r="J3841" s="2" t="s">
        <v>18504</v>
      </c>
      <c r="K3841" s="2">
        <v>7.1551099999999995E-4</v>
      </c>
      <c r="L3841" s="2" t="s">
        <v>1178</v>
      </c>
      <c r="M3841" s="4" t="s">
        <v>18505</v>
      </c>
    </row>
    <row r="3842" spans="1:13">
      <c r="A3842" s="2">
        <v>1701</v>
      </c>
      <c r="B3842" s="2" t="s">
        <v>18506</v>
      </c>
      <c r="C3842" s="2">
        <v>12</v>
      </c>
      <c r="D3842" s="2">
        <v>556</v>
      </c>
      <c r="E3842" s="2">
        <v>200</v>
      </c>
      <c r="F3842" s="2">
        <v>32441</v>
      </c>
      <c r="G3842" s="2">
        <v>3.5008273380000001</v>
      </c>
      <c r="H3842" s="2">
        <v>2.7800999999999998E-4</v>
      </c>
      <c r="I3842" s="2" t="s">
        <v>18507</v>
      </c>
      <c r="J3842" s="2" t="s">
        <v>18508</v>
      </c>
      <c r="K3842" s="2">
        <v>7.1551099999999995E-4</v>
      </c>
      <c r="L3842" s="2" t="s">
        <v>1178</v>
      </c>
      <c r="M3842" s="4" t="s">
        <v>18509</v>
      </c>
    </row>
    <row r="3843" spans="1:13">
      <c r="A3843" s="2">
        <v>21310</v>
      </c>
      <c r="B3843" s="2" t="s">
        <v>18510</v>
      </c>
      <c r="C3843" s="2">
        <v>12</v>
      </c>
      <c r="D3843" s="2">
        <v>556</v>
      </c>
      <c r="E3843" s="2">
        <v>200</v>
      </c>
      <c r="F3843" s="2">
        <v>32441</v>
      </c>
      <c r="G3843" s="2">
        <v>3.5008273380000001</v>
      </c>
      <c r="H3843" s="2">
        <v>2.7800999999999998E-4</v>
      </c>
      <c r="I3843" s="2" t="s">
        <v>18511</v>
      </c>
      <c r="J3843" s="2" t="s">
        <v>18512</v>
      </c>
      <c r="K3843" s="2">
        <v>7.1551099999999995E-4</v>
      </c>
      <c r="L3843" s="2" t="s">
        <v>1178</v>
      </c>
      <c r="M3843" s="4" t="s">
        <v>18513</v>
      </c>
    </row>
    <row r="3844" spans="1:13">
      <c r="A3844" s="2">
        <v>2393</v>
      </c>
      <c r="B3844" s="2" t="s">
        <v>2016</v>
      </c>
      <c r="C3844" s="2">
        <v>12</v>
      </c>
      <c r="D3844" s="2">
        <v>556</v>
      </c>
      <c r="E3844" s="2">
        <v>200</v>
      </c>
      <c r="F3844" s="2">
        <v>32441</v>
      </c>
      <c r="G3844" s="2">
        <v>3.5008273380000001</v>
      </c>
      <c r="H3844" s="2">
        <v>2.7800999999999998E-4</v>
      </c>
      <c r="I3844" s="2" t="s">
        <v>18514</v>
      </c>
      <c r="J3844" s="2" t="s">
        <v>18515</v>
      </c>
      <c r="K3844" s="2">
        <v>7.1551099999999995E-4</v>
      </c>
      <c r="L3844" s="2" t="s">
        <v>1178</v>
      </c>
      <c r="M3844" s="4" t="s">
        <v>18516</v>
      </c>
    </row>
    <row r="3845" spans="1:13">
      <c r="A3845" s="2">
        <v>246</v>
      </c>
      <c r="B3845" s="2" t="s">
        <v>18517</v>
      </c>
      <c r="C3845" s="2">
        <v>12</v>
      </c>
      <c r="D3845" s="2">
        <v>556</v>
      </c>
      <c r="E3845" s="2">
        <v>200</v>
      </c>
      <c r="F3845" s="2">
        <v>32441</v>
      </c>
      <c r="G3845" s="2">
        <v>3.5008273380000001</v>
      </c>
      <c r="H3845" s="2">
        <v>2.7800999999999998E-4</v>
      </c>
      <c r="I3845" s="2" t="s">
        <v>18518</v>
      </c>
      <c r="J3845" s="2" t="s">
        <v>18519</v>
      </c>
      <c r="K3845" s="2">
        <v>7.1551099999999995E-4</v>
      </c>
      <c r="L3845" s="2" t="s">
        <v>1178</v>
      </c>
      <c r="M3845" s="4" t="s">
        <v>18520</v>
      </c>
    </row>
    <row r="3846" spans="1:13">
      <c r="A3846" s="2">
        <v>3043</v>
      </c>
      <c r="B3846" s="2" t="s">
        <v>18521</v>
      </c>
      <c r="C3846" s="2">
        <v>12</v>
      </c>
      <c r="D3846" s="2">
        <v>556</v>
      </c>
      <c r="E3846" s="2">
        <v>200</v>
      </c>
      <c r="F3846" s="2">
        <v>32441</v>
      </c>
      <c r="G3846" s="2">
        <v>3.5008273380000001</v>
      </c>
      <c r="H3846" s="2">
        <v>2.7800999999999998E-4</v>
      </c>
      <c r="I3846" s="2" t="s">
        <v>18522</v>
      </c>
      <c r="J3846" s="2" t="s">
        <v>18523</v>
      </c>
      <c r="K3846" s="2">
        <v>7.1551099999999995E-4</v>
      </c>
      <c r="L3846" s="2" t="s">
        <v>1178</v>
      </c>
      <c r="M3846" s="4" t="s">
        <v>18524</v>
      </c>
    </row>
    <row r="3847" spans="1:13">
      <c r="A3847" s="2">
        <v>344</v>
      </c>
      <c r="B3847" s="2" t="s">
        <v>18525</v>
      </c>
      <c r="C3847" s="2">
        <v>12</v>
      </c>
      <c r="D3847" s="2">
        <v>556</v>
      </c>
      <c r="E3847" s="2">
        <v>200</v>
      </c>
      <c r="F3847" s="2">
        <v>32441</v>
      </c>
      <c r="G3847" s="2">
        <v>3.5008273380000001</v>
      </c>
      <c r="H3847" s="2">
        <v>2.7800999999999998E-4</v>
      </c>
      <c r="I3847" s="2" t="s">
        <v>18526</v>
      </c>
      <c r="J3847" s="2" t="s">
        <v>18527</v>
      </c>
      <c r="K3847" s="2">
        <v>7.1551099999999995E-4</v>
      </c>
      <c r="L3847" s="2" t="s">
        <v>1178</v>
      </c>
      <c r="M3847" s="4" t="s">
        <v>18528</v>
      </c>
    </row>
    <row r="3848" spans="1:13">
      <c r="A3848" s="2">
        <v>349</v>
      </c>
      <c r="B3848" s="2" t="s">
        <v>18529</v>
      </c>
      <c r="C3848" s="2">
        <v>12</v>
      </c>
      <c r="D3848" s="2">
        <v>556</v>
      </c>
      <c r="E3848" s="2">
        <v>200</v>
      </c>
      <c r="F3848" s="2">
        <v>32441</v>
      </c>
      <c r="G3848" s="2">
        <v>3.5008273380000001</v>
      </c>
      <c r="H3848" s="2">
        <v>2.7800999999999998E-4</v>
      </c>
      <c r="I3848" s="2" t="s">
        <v>18530</v>
      </c>
      <c r="J3848" s="2" t="s">
        <v>18531</v>
      </c>
      <c r="K3848" s="2">
        <v>7.1551099999999995E-4</v>
      </c>
      <c r="L3848" s="2" t="s">
        <v>1178</v>
      </c>
      <c r="M3848" s="4" t="s">
        <v>18532</v>
      </c>
    </row>
    <row r="3849" spans="1:13">
      <c r="A3849" s="2">
        <v>3563</v>
      </c>
      <c r="B3849" s="2" t="s">
        <v>18533</v>
      </c>
      <c r="C3849" s="2">
        <v>12</v>
      </c>
      <c r="D3849" s="2">
        <v>556</v>
      </c>
      <c r="E3849" s="2">
        <v>200</v>
      </c>
      <c r="F3849" s="2">
        <v>32441</v>
      </c>
      <c r="G3849" s="2">
        <v>3.5008273380000001</v>
      </c>
      <c r="H3849" s="2">
        <v>2.7800999999999998E-4</v>
      </c>
      <c r="I3849" s="2" t="s">
        <v>18534</v>
      </c>
      <c r="J3849" s="2" t="s">
        <v>18535</v>
      </c>
      <c r="K3849" s="2">
        <v>7.1551099999999995E-4</v>
      </c>
      <c r="L3849" s="2" t="s">
        <v>1178</v>
      </c>
      <c r="M3849" s="4" t="s">
        <v>18536</v>
      </c>
    </row>
    <row r="3850" spans="1:13">
      <c r="A3850" s="2">
        <v>370</v>
      </c>
      <c r="B3850" s="2" t="s">
        <v>18537</v>
      </c>
      <c r="C3850" s="2">
        <v>12</v>
      </c>
      <c r="D3850" s="2">
        <v>556</v>
      </c>
      <c r="E3850" s="2">
        <v>200</v>
      </c>
      <c r="F3850" s="2">
        <v>32441</v>
      </c>
      <c r="G3850" s="2">
        <v>3.5008273380000001</v>
      </c>
      <c r="H3850" s="2">
        <v>2.7800999999999998E-4</v>
      </c>
      <c r="I3850" s="2" t="s">
        <v>18538</v>
      </c>
      <c r="J3850" s="2" t="s">
        <v>18539</v>
      </c>
      <c r="K3850" s="2">
        <v>7.1551099999999995E-4</v>
      </c>
      <c r="L3850" s="2" t="s">
        <v>1178</v>
      </c>
      <c r="M3850" s="4" t="s">
        <v>18540</v>
      </c>
    </row>
    <row r="3851" spans="1:13">
      <c r="A3851" s="2">
        <v>39010</v>
      </c>
      <c r="B3851" s="2" t="s">
        <v>18541</v>
      </c>
      <c r="C3851" s="2">
        <v>12</v>
      </c>
      <c r="D3851" s="2">
        <v>556</v>
      </c>
      <c r="E3851" s="2">
        <v>200</v>
      </c>
      <c r="F3851" s="2">
        <v>32441</v>
      </c>
      <c r="G3851" s="2">
        <v>3.5008273380000001</v>
      </c>
      <c r="H3851" s="2">
        <v>2.7800999999999998E-4</v>
      </c>
      <c r="I3851" s="2" t="s">
        <v>18542</v>
      </c>
      <c r="J3851" s="2" t="s">
        <v>18543</v>
      </c>
      <c r="K3851" s="2">
        <v>7.1551099999999995E-4</v>
      </c>
      <c r="L3851" s="2" t="s">
        <v>1178</v>
      </c>
      <c r="M3851" s="4" t="s">
        <v>18544</v>
      </c>
    </row>
    <row r="3852" spans="1:13">
      <c r="A3852" s="2">
        <v>4044</v>
      </c>
      <c r="B3852" s="2" t="s">
        <v>18545</v>
      </c>
      <c r="C3852" s="2">
        <v>12</v>
      </c>
      <c r="D3852" s="2">
        <v>556</v>
      </c>
      <c r="E3852" s="2">
        <v>200</v>
      </c>
      <c r="F3852" s="2">
        <v>32441</v>
      </c>
      <c r="G3852" s="2">
        <v>3.5008273380000001</v>
      </c>
      <c r="H3852" s="2">
        <v>2.7800999999999998E-4</v>
      </c>
      <c r="I3852" s="2" t="s">
        <v>18546</v>
      </c>
      <c r="J3852" s="2" t="s">
        <v>18547</v>
      </c>
      <c r="K3852" s="2">
        <v>7.1551099999999995E-4</v>
      </c>
      <c r="L3852" s="2" t="s">
        <v>1178</v>
      </c>
      <c r="M3852" s="4" t="s">
        <v>18548</v>
      </c>
    </row>
    <row r="3853" spans="1:13">
      <c r="A3853" s="2">
        <v>413</v>
      </c>
      <c r="B3853" s="2" t="s">
        <v>18549</v>
      </c>
      <c r="C3853" s="2">
        <v>12</v>
      </c>
      <c r="D3853" s="2">
        <v>556</v>
      </c>
      <c r="E3853" s="2">
        <v>200</v>
      </c>
      <c r="F3853" s="2">
        <v>32441</v>
      </c>
      <c r="G3853" s="2">
        <v>3.5008273380000001</v>
      </c>
      <c r="H3853" s="2">
        <v>2.7800999999999998E-4</v>
      </c>
      <c r="I3853" s="2" t="s">
        <v>18550</v>
      </c>
      <c r="J3853" s="2" t="s">
        <v>18551</v>
      </c>
      <c r="K3853" s="2">
        <v>7.1551099999999995E-4</v>
      </c>
      <c r="L3853" s="2" t="s">
        <v>1178</v>
      </c>
      <c r="M3853" s="4" t="s">
        <v>18552</v>
      </c>
    </row>
    <row r="3854" spans="1:13">
      <c r="A3854" s="2">
        <v>45210</v>
      </c>
      <c r="B3854" s="2" t="s">
        <v>18553</v>
      </c>
      <c r="C3854" s="2">
        <v>12</v>
      </c>
      <c r="D3854" s="2">
        <v>556</v>
      </c>
      <c r="E3854" s="2">
        <v>200</v>
      </c>
      <c r="F3854" s="2">
        <v>32441</v>
      </c>
      <c r="G3854" s="2">
        <v>3.5008273380000001</v>
      </c>
      <c r="H3854" s="2">
        <v>2.7800999999999998E-4</v>
      </c>
      <c r="I3854" s="2" t="s">
        <v>18554</v>
      </c>
      <c r="J3854" s="2" t="s">
        <v>18555</v>
      </c>
      <c r="K3854" s="2">
        <v>7.1551099999999995E-4</v>
      </c>
      <c r="L3854" s="2" t="s">
        <v>1178</v>
      </c>
      <c r="M3854" s="4" t="s">
        <v>18556</v>
      </c>
    </row>
    <row r="3855" spans="1:13">
      <c r="A3855" s="2">
        <v>458</v>
      </c>
      <c r="B3855" s="2" t="s">
        <v>18557</v>
      </c>
      <c r="C3855" s="2">
        <v>12</v>
      </c>
      <c r="D3855" s="2">
        <v>556</v>
      </c>
      <c r="E3855" s="2">
        <v>200</v>
      </c>
      <c r="F3855" s="2">
        <v>32441</v>
      </c>
      <c r="G3855" s="2">
        <v>3.5008273380000001</v>
      </c>
      <c r="H3855" s="2">
        <v>2.7800999999999998E-4</v>
      </c>
      <c r="I3855" s="2" t="s">
        <v>18558</v>
      </c>
      <c r="J3855" s="2" t="s">
        <v>18559</v>
      </c>
      <c r="K3855" s="2">
        <v>7.1551099999999995E-4</v>
      </c>
      <c r="L3855" s="2" t="s">
        <v>1178</v>
      </c>
      <c r="M3855" s="4" t="s">
        <v>18560</v>
      </c>
    </row>
    <row r="3856" spans="1:13">
      <c r="A3856" s="2">
        <v>4634</v>
      </c>
      <c r="B3856" s="2" t="s">
        <v>18561</v>
      </c>
      <c r="C3856" s="2">
        <v>12</v>
      </c>
      <c r="D3856" s="2">
        <v>556</v>
      </c>
      <c r="E3856" s="2">
        <v>200</v>
      </c>
      <c r="F3856" s="2">
        <v>32441</v>
      </c>
      <c r="G3856" s="2">
        <v>3.5008273380000001</v>
      </c>
      <c r="H3856" s="2">
        <v>2.7800999999999998E-4</v>
      </c>
      <c r="I3856" s="2" t="s">
        <v>18562</v>
      </c>
      <c r="J3856" s="2" t="s">
        <v>18563</v>
      </c>
      <c r="K3856" s="2">
        <v>7.1551099999999995E-4</v>
      </c>
      <c r="L3856" s="2" t="s">
        <v>1178</v>
      </c>
      <c r="M3856" s="4" t="s">
        <v>18564</v>
      </c>
    </row>
    <row r="3857" spans="1:13">
      <c r="A3857" s="2">
        <v>472</v>
      </c>
      <c r="B3857" s="2" t="s">
        <v>18565</v>
      </c>
      <c r="C3857" s="2">
        <v>12</v>
      </c>
      <c r="D3857" s="2">
        <v>556</v>
      </c>
      <c r="E3857" s="2">
        <v>200</v>
      </c>
      <c r="F3857" s="2">
        <v>32441</v>
      </c>
      <c r="G3857" s="2">
        <v>3.5008273380000001</v>
      </c>
      <c r="H3857" s="2">
        <v>2.7800999999999998E-4</v>
      </c>
      <c r="I3857" s="2" t="s">
        <v>18566</v>
      </c>
      <c r="J3857" s="2" t="s">
        <v>18567</v>
      </c>
      <c r="K3857" s="2">
        <v>7.1551099999999995E-4</v>
      </c>
      <c r="L3857" s="2" t="s">
        <v>1178</v>
      </c>
      <c r="M3857" s="4" t="s">
        <v>18568</v>
      </c>
    </row>
    <row r="3858" spans="1:13">
      <c r="A3858" s="2">
        <v>4872</v>
      </c>
      <c r="B3858" s="2" t="s">
        <v>2043</v>
      </c>
      <c r="C3858" s="2">
        <v>12</v>
      </c>
      <c r="D3858" s="2">
        <v>556</v>
      </c>
      <c r="E3858" s="2">
        <v>200</v>
      </c>
      <c r="F3858" s="2">
        <v>32441</v>
      </c>
      <c r="G3858" s="2">
        <v>3.5008273380000001</v>
      </c>
      <c r="H3858" s="2">
        <v>2.7800999999999998E-4</v>
      </c>
      <c r="I3858" s="2" t="s">
        <v>18569</v>
      </c>
      <c r="J3858" s="2" t="s">
        <v>18570</v>
      </c>
      <c r="K3858" s="2">
        <v>7.1551099999999995E-4</v>
      </c>
      <c r="L3858" s="2" t="s">
        <v>1178</v>
      </c>
      <c r="M3858" s="4" t="s">
        <v>18571</v>
      </c>
    </row>
    <row r="3859" spans="1:13">
      <c r="A3859" s="2">
        <v>500</v>
      </c>
      <c r="B3859" s="2" t="s">
        <v>18572</v>
      </c>
      <c r="C3859" s="2">
        <v>12</v>
      </c>
      <c r="D3859" s="2">
        <v>556</v>
      </c>
      <c r="E3859" s="2">
        <v>200</v>
      </c>
      <c r="F3859" s="2">
        <v>32441</v>
      </c>
      <c r="G3859" s="2">
        <v>3.5008273380000001</v>
      </c>
      <c r="H3859" s="2">
        <v>2.7800999999999998E-4</v>
      </c>
      <c r="I3859" s="2" t="s">
        <v>18573</v>
      </c>
      <c r="J3859" s="2" t="s">
        <v>18574</v>
      </c>
      <c r="K3859" s="2">
        <v>7.1551099999999995E-4</v>
      </c>
      <c r="L3859" s="2" t="s">
        <v>1178</v>
      </c>
      <c r="M3859" s="4" t="s">
        <v>18575</v>
      </c>
    </row>
    <row r="3860" spans="1:13">
      <c r="A3860" s="2">
        <v>5062</v>
      </c>
      <c r="B3860" s="2" t="s">
        <v>18576</v>
      </c>
      <c r="C3860" s="2">
        <v>12</v>
      </c>
      <c r="D3860" s="2">
        <v>556</v>
      </c>
      <c r="E3860" s="2">
        <v>200</v>
      </c>
      <c r="F3860" s="2">
        <v>32441</v>
      </c>
      <c r="G3860" s="2">
        <v>3.5008273380000001</v>
      </c>
      <c r="H3860" s="2">
        <v>2.7800999999999998E-4</v>
      </c>
      <c r="I3860" s="2" t="s">
        <v>18577</v>
      </c>
      <c r="J3860" s="2" t="s">
        <v>18578</v>
      </c>
      <c r="K3860" s="2">
        <v>7.1551099999999995E-4</v>
      </c>
      <c r="L3860" s="2" t="s">
        <v>1178</v>
      </c>
      <c r="M3860" s="4" t="s">
        <v>18579</v>
      </c>
    </row>
    <row r="3861" spans="1:13">
      <c r="A3861" s="2">
        <v>508</v>
      </c>
      <c r="B3861" s="2" t="s">
        <v>18580</v>
      </c>
      <c r="C3861" s="2">
        <v>12</v>
      </c>
      <c r="D3861" s="2">
        <v>556</v>
      </c>
      <c r="E3861" s="2">
        <v>200</v>
      </c>
      <c r="F3861" s="2">
        <v>32441</v>
      </c>
      <c r="G3861" s="2">
        <v>3.5008273380000001</v>
      </c>
      <c r="H3861" s="2">
        <v>2.7800999999999998E-4</v>
      </c>
      <c r="I3861" s="2" t="s">
        <v>18581</v>
      </c>
      <c r="J3861" s="2" t="s">
        <v>18582</v>
      </c>
      <c r="K3861" s="2">
        <v>7.1551099999999995E-4</v>
      </c>
      <c r="L3861" s="2" t="s">
        <v>1178</v>
      </c>
      <c r="M3861" s="4" t="s">
        <v>18583</v>
      </c>
    </row>
    <row r="3862" spans="1:13">
      <c r="A3862" s="2">
        <v>5312</v>
      </c>
      <c r="B3862" s="2" t="s">
        <v>18584</v>
      </c>
      <c r="C3862" s="2">
        <v>12</v>
      </c>
      <c r="D3862" s="2">
        <v>556</v>
      </c>
      <c r="E3862" s="2">
        <v>200</v>
      </c>
      <c r="F3862" s="2">
        <v>32441</v>
      </c>
      <c r="G3862" s="2">
        <v>3.5008273380000001</v>
      </c>
      <c r="H3862" s="2">
        <v>2.7800999999999998E-4</v>
      </c>
      <c r="I3862" s="2" t="s">
        <v>18585</v>
      </c>
      <c r="J3862" s="2" t="s">
        <v>18586</v>
      </c>
      <c r="K3862" s="2">
        <v>7.1551099999999995E-4</v>
      </c>
      <c r="L3862" s="2" t="s">
        <v>1178</v>
      </c>
      <c r="M3862" s="4" t="s">
        <v>18587</v>
      </c>
    </row>
    <row r="3863" spans="1:13">
      <c r="A3863" s="2">
        <v>5342</v>
      </c>
      <c r="B3863" s="2" t="s">
        <v>2052</v>
      </c>
      <c r="C3863" s="2">
        <v>12</v>
      </c>
      <c r="D3863" s="2">
        <v>556</v>
      </c>
      <c r="E3863" s="2">
        <v>200</v>
      </c>
      <c r="F3863" s="2">
        <v>32441</v>
      </c>
      <c r="G3863" s="2">
        <v>3.5008273380000001</v>
      </c>
      <c r="H3863" s="2">
        <v>2.7800999999999998E-4</v>
      </c>
      <c r="I3863" s="2" t="s">
        <v>18588</v>
      </c>
      <c r="J3863" s="2" t="s">
        <v>18589</v>
      </c>
      <c r="K3863" s="2">
        <v>7.1551099999999995E-4</v>
      </c>
      <c r="L3863" s="2" t="s">
        <v>1178</v>
      </c>
      <c r="M3863" s="4" t="s">
        <v>18590</v>
      </c>
    </row>
    <row r="3864" spans="1:13">
      <c r="A3864" s="2">
        <v>552</v>
      </c>
      <c r="B3864" s="2" t="s">
        <v>18591</v>
      </c>
      <c r="C3864" s="2">
        <v>12</v>
      </c>
      <c r="D3864" s="2">
        <v>556</v>
      </c>
      <c r="E3864" s="2">
        <v>199</v>
      </c>
      <c r="F3864" s="2">
        <v>32441</v>
      </c>
      <c r="G3864" s="2">
        <v>3.5184194350000002</v>
      </c>
      <c r="H3864" s="2">
        <v>2.66257E-4</v>
      </c>
      <c r="I3864" s="2" t="s">
        <v>18592</v>
      </c>
      <c r="J3864" s="2" t="s">
        <v>18593</v>
      </c>
      <c r="K3864" s="2">
        <v>7.1551099999999995E-4</v>
      </c>
      <c r="L3864" s="2" t="s">
        <v>1178</v>
      </c>
      <c r="M3864" s="4" t="s">
        <v>18594</v>
      </c>
    </row>
    <row r="3865" spans="1:13">
      <c r="A3865" s="2">
        <v>572</v>
      </c>
      <c r="B3865" s="2" t="s">
        <v>18595</v>
      </c>
      <c r="C3865" s="2">
        <v>12</v>
      </c>
      <c r="D3865" s="2">
        <v>556</v>
      </c>
      <c r="E3865" s="2">
        <v>200</v>
      </c>
      <c r="F3865" s="2">
        <v>32441</v>
      </c>
      <c r="G3865" s="2">
        <v>3.5008273380000001</v>
      </c>
      <c r="H3865" s="2">
        <v>2.7800999999999998E-4</v>
      </c>
      <c r="I3865" s="2" t="s">
        <v>18596</v>
      </c>
      <c r="J3865" s="2" t="s">
        <v>18597</v>
      </c>
      <c r="K3865" s="2">
        <v>7.1551099999999995E-4</v>
      </c>
      <c r="L3865" s="2" t="s">
        <v>1178</v>
      </c>
      <c r="M3865" s="4" t="s">
        <v>18598</v>
      </c>
    </row>
    <row r="3866" spans="1:13">
      <c r="A3866" s="2">
        <v>6051</v>
      </c>
      <c r="B3866" s="2" t="s">
        <v>18599</v>
      </c>
      <c r="C3866" s="2">
        <v>12</v>
      </c>
      <c r="D3866" s="2">
        <v>556</v>
      </c>
      <c r="E3866" s="2">
        <v>200</v>
      </c>
      <c r="F3866" s="2">
        <v>32441</v>
      </c>
      <c r="G3866" s="2">
        <v>3.5008273380000001</v>
      </c>
      <c r="H3866" s="2">
        <v>2.7800999999999998E-4</v>
      </c>
      <c r="I3866" s="2" t="s">
        <v>18600</v>
      </c>
      <c r="J3866" s="2" t="s">
        <v>18601</v>
      </c>
      <c r="K3866" s="2">
        <v>7.1551099999999995E-4</v>
      </c>
      <c r="L3866" s="2" t="s">
        <v>1178</v>
      </c>
      <c r="M3866" s="4" t="s">
        <v>18602</v>
      </c>
    </row>
    <row r="3867" spans="1:13">
      <c r="A3867" s="2">
        <v>609</v>
      </c>
      <c r="B3867" s="2" t="s">
        <v>18603</v>
      </c>
      <c r="C3867" s="2">
        <v>12</v>
      </c>
      <c r="D3867" s="2">
        <v>556</v>
      </c>
      <c r="E3867" s="2">
        <v>200</v>
      </c>
      <c r="F3867" s="2">
        <v>32441</v>
      </c>
      <c r="G3867" s="2">
        <v>3.5008273380000001</v>
      </c>
      <c r="H3867" s="2">
        <v>2.7800999999999998E-4</v>
      </c>
      <c r="I3867" s="2" t="s">
        <v>18604</v>
      </c>
      <c r="J3867" s="2" t="s">
        <v>18605</v>
      </c>
      <c r="K3867" s="2">
        <v>7.1551099999999995E-4</v>
      </c>
      <c r="L3867" s="2" t="s">
        <v>1178</v>
      </c>
      <c r="M3867" s="4" t="s">
        <v>18606</v>
      </c>
    </row>
    <row r="3868" spans="1:13">
      <c r="A3868" s="2">
        <v>616</v>
      </c>
      <c r="B3868" s="2" t="s">
        <v>2061</v>
      </c>
      <c r="C3868" s="2">
        <v>12</v>
      </c>
      <c r="D3868" s="2">
        <v>556</v>
      </c>
      <c r="E3868" s="2">
        <v>200</v>
      </c>
      <c r="F3868" s="2">
        <v>32441</v>
      </c>
      <c r="G3868" s="2">
        <v>3.5008273380000001</v>
      </c>
      <c r="H3868" s="2">
        <v>2.7800999999999998E-4</v>
      </c>
      <c r="I3868" s="2" t="s">
        <v>18607</v>
      </c>
      <c r="J3868" s="2" t="s">
        <v>18608</v>
      </c>
      <c r="K3868" s="2">
        <v>7.1551099999999995E-4</v>
      </c>
      <c r="L3868" s="2" t="s">
        <v>1178</v>
      </c>
      <c r="M3868" s="4" t="s">
        <v>18609</v>
      </c>
    </row>
    <row r="3869" spans="1:13">
      <c r="A3869" s="2">
        <v>631</v>
      </c>
      <c r="B3869" s="2" t="s">
        <v>18610</v>
      </c>
      <c r="C3869" s="2">
        <v>12</v>
      </c>
      <c r="D3869" s="2">
        <v>556</v>
      </c>
      <c r="E3869" s="2">
        <v>200</v>
      </c>
      <c r="F3869" s="2">
        <v>32441</v>
      </c>
      <c r="G3869" s="2">
        <v>3.5008273380000001</v>
      </c>
      <c r="H3869" s="2">
        <v>2.7800999999999998E-4</v>
      </c>
      <c r="I3869" s="2" t="s">
        <v>18611</v>
      </c>
      <c r="J3869" s="2" t="s">
        <v>18612</v>
      </c>
      <c r="K3869" s="2">
        <v>7.1551099999999995E-4</v>
      </c>
      <c r="L3869" s="2" t="s">
        <v>1178</v>
      </c>
      <c r="M3869" s="4" t="s">
        <v>18613</v>
      </c>
    </row>
    <row r="3870" spans="1:13">
      <c r="A3870" s="2">
        <v>687</v>
      </c>
      <c r="B3870" s="2" t="s">
        <v>18614</v>
      </c>
      <c r="C3870" s="2">
        <v>12</v>
      </c>
      <c r="D3870" s="2">
        <v>556</v>
      </c>
      <c r="E3870" s="2">
        <v>200</v>
      </c>
      <c r="F3870" s="2">
        <v>32441</v>
      </c>
      <c r="G3870" s="2">
        <v>3.5008273380000001</v>
      </c>
      <c r="H3870" s="2">
        <v>2.7800999999999998E-4</v>
      </c>
      <c r="I3870" s="2" t="s">
        <v>18615</v>
      </c>
      <c r="J3870" s="2" t="s">
        <v>18616</v>
      </c>
      <c r="K3870" s="2">
        <v>7.1551099999999995E-4</v>
      </c>
      <c r="L3870" s="2" t="s">
        <v>1178</v>
      </c>
      <c r="M3870" s="4" t="s">
        <v>18617</v>
      </c>
    </row>
    <row r="3871" spans="1:13">
      <c r="A3871" s="2">
        <v>7041</v>
      </c>
      <c r="B3871" s="2" t="s">
        <v>2073</v>
      </c>
      <c r="C3871" s="2">
        <v>12</v>
      </c>
      <c r="D3871" s="2">
        <v>556</v>
      </c>
      <c r="E3871" s="2">
        <v>200</v>
      </c>
      <c r="F3871" s="2">
        <v>32441</v>
      </c>
      <c r="G3871" s="2">
        <v>3.5008273380000001</v>
      </c>
      <c r="H3871" s="2">
        <v>2.7800999999999998E-4</v>
      </c>
      <c r="I3871" s="2" t="s">
        <v>18618</v>
      </c>
      <c r="J3871" s="2" t="s">
        <v>18619</v>
      </c>
      <c r="K3871" s="2">
        <v>7.1551099999999995E-4</v>
      </c>
      <c r="L3871" s="2" t="s">
        <v>1178</v>
      </c>
      <c r="M3871" s="4" t="s">
        <v>18620</v>
      </c>
    </row>
    <row r="3872" spans="1:13">
      <c r="A3872" s="2">
        <v>743</v>
      </c>
      <c r="B3872" s="2" t="s">
        <v>18621</v>
      </c>
      <c r="C3872" s="2">
        <v>12</v>
      </c>
      <c r="D3872" s="2">
        <v>556</v>
      </c>
      <c r="E3872" s="2">
        <v>200</v>
      </c>
      <c r="F3872" s="2">
        <v>32441</v>
      </c>
      <c r="G3872" s="2">
        <v>3.5008273380000001</v>
      </c>
      <c r="H3872" s="2">
        <v>2.7800999999999998E-4</v>
      </c>
      <c r="I3872" s="2" t="s">
        <v>18622</v>
      </c>
      <c r="J3872" s="2" t="s">
        <v>18623</v>
      </c>
      <c r="K3872" s="2">
        <v>7.1551099999999995E-4</v>
      </c>
      <c r="L3872" s="2" t="s">
        <v>1178</v>
      </c>
      <c r="M3872" s="4" t="s">
        <v>18624</v>
      </c>
    </row>
    <row r="3873" spans="1:13">
      <c r="A3873" s="2">
        <v>765</v>
      </c>
      <c r="B3873" s="2" t="s">
        <v>18625</v>
      </c>
      <c r="C3873" s="2">
        <v>12</v>
      </c>
      <c r="D3873" s="2">
        <v>556</v>
      </c>
      <c r="E3873" s="2">
        <v>200</v>
      </c>
      <c r="F3873" s="2">
        <v>32441</v>
      </c>
      <c r="G3873" s="2">
        <v>3.5008273380000001</v>
      </c>
      <c r="H3873" s="2">
        <v>2.7800999999999998E-4</v>
      </c>
      <c r="I3873" s="2" t="s">
        <v>18626</v>
      </c>
      <c r="J3873" s="2" t="s">
        <v>18627</v>
      </c>
      <c r="K3873" s="2">
        <v>7.1551099999999995E-4</v>
      </c>
      <c r="L3873" s="2" t="s">
        <v>1178</v>
      </c>
      <c r="M3873" s="4" t="s">
        <v>18628</v>
      </c>
    </row>
    <row r="3874" spans="1:13">
      <c r="A3874" s="2">
        <v>7661</v>
      </c>
      <c r="B3874" s="2" t="s">
        <v>18629</v>
      </c>
      <c r="C3874" s="2">
        <v>12</v>
      </c>
      <c r="D3874" s="2">
        <v>556</v>
      </c>
      <c r="E3874" s="2">
        <v>200</v>
      </c>
      <c r="F3874" s="2">
        <v>32441</v>
      </c>
      <c r="G3874" s="2">
        <v>3.5008273380000001</v>
      </c>
      <c r="H3874" s="2">
        <v>2.7800999999999998E-4</v>
      </c>
      <c r="I3874" s="2" t="s">
        <v>18630</v>
      </c>
      <c r="J3874" s="2" t="s">
        <v>18631</v>
      </c>
      <c r="K3874" s="2">
        <v>7.1551099999999995E-4</v>
      </c>
      <c r="L3874" s="2" t="s">
        <v>1178</v>
      </c>
      <c r="M3874" s="4" t="s">
        <v>18632</v>
      </c>
    </row>
    <row r="3875" spans="1:13">
      <c r="A3875" s="2">
        <v>8072</v>
      </c>
      <c r="B3875" s="2" t="s">
        <v>18633</v>
      </c>
      <c r="C3875" s="2">
        <v>12</v>
      </c>
      <c r="D3875" s="2">
        <v>556</v>
      </c>
      <c r="E3875" s="2">
        <v>200</v>
      </c>
      <c r="F3875" s="2">
        <v>32441</v>
      </c>
      <c r="G3875" s="2">
        <v>3.5008273380000001</v>
      </c>
      <c r="H3875" s="2">
        <v>2.7800999999999998E-4</v>
      </c>
      <c r="I3875" s="2" t="s">
        <v>18634</v>
      </c>
      <c r="J3875" s="2" t="s">
        <v>18635</v>
      </c>
      <c r="K3875" s="2">
        <v>7.1551099999999995E-4</v>
      </c>
      <c r="L3875" s="2" t="s">
        <v>1178</v>
      </c>
      <c r="M3875" s="4" t="s">
        <v>18636</v>
      </c>
    </row>
    <row r="3876" spans="1:13">
      <c r="A3876" s="2">
        <v>8111</v>
      </c>
      <c r="B3876" s="2" t="s">
        <v>18637</v>
      </c>
      <c r="C3876" s="2">
        <v>12</v>
      </c>
      <c r="D3876" s="2">
        <v>556</v>
      </c>
      <c r="E3876" s="2">
        <v>200</v>
      </c>
      <c r="F3876" s="2">
        <v>32441</v>
      </c>
      <c r="G3876" s="2">
        <v>3.5008273380000001</v>
      </c>
      <c r="H3876" s="2">
        <v>2.7800999999999998E-4</v>
      </c>
      <c r="I3876" s="2" t="s">
        <v>18638</v>
      </c>
      <c r="J3876" s="2" t="s">
        <v>18639</v>
      </c>
      <c r="K3876" s="2">
        <v>7.1551099999999995E-4</v>
      </c>
      <c r="L3876" s="2" t="s">
        <v>1178</v>
      </c>
      <c r="M3876" s="4" t="s">
        <v>18640</v>
      </c>
    </row>
    <row r="3877" spans="1:13">
      <c r="A3877" s="2">
        <v>848</v>
      </c>
      <c r="B3877" s="2" t="s">
        <v>18641</v>
      </c>
      <c r="C3877" s="2">
        <v>12</v>
      </c>
      <c r="D3877" s="2">
        <v>556</v>
      </c>
      <c r="E3877" s="2">
        <v>200</v>
      </c>
      <c r="F3877" s="2">
        <v>32441</v>
      </c>
      <c r="G3877" s="2">
        <v>3.5008273380000001</v>
      </c>
      <c r="H3877" s="2">
        <v>2.7800999999999998E-4</v>
      </c>
      <c r="I3877" s="2" t="s">
        <v>18642</v>
      </c>
      <c r="J3877" s="2" t="s">
        <v>18643</v>
      </c>
      <c r="K3877" s="2">
        <v>7.1551099999999995E-4</v>
      </c>
      <c r="L3877" s="2" t="s">
        <v>1178</v>
      </c>
      <c r="M3877" s="4" t="s">
        <v>18644</v>
      </c>
    </row>
    <row r="3878" spans="1:13">
      <c r="A3878" s="2">
        <v>915</v>
      </c>
      <c r="B3878" s="2" t="s">
        <v>18645</v>
      </c>
      <c r="C3878" s="2">
        <v>12</v>
      </c>
      <c r="D3878" s="2">
        <v>556</v>
      </c>
      <c r="E3878" s="2">
        <v>200</v>
      </c>
      <c r="F3878" s="2">
        <v>32441</v>
      </c>
      <c r="G3878" s="2">
        <v>3.5008273380000001</v>
      </c>
      <c r="H3878" s="2">
        <v>2.7800999999999998E-4</v>
      </c>
      <c r="I3878" s="2" t="s">
        <v>18646</v>
      </c>
      <c r="J3878" s="2" t="s">
        <v>18647</v>
      </c>
      <c r="K3878" s="2">
        <v>7.1551099999999995E-4</v>
      </c>
      <c r="L3878" s="2" t="s">
        <v>1178</v>
      </c>
      <c r="M3878" s="4" t="s">
        <v>18648</v>
      </c>
    </row>
    <row r="3879" spans="1:13">
      <c r="A3879" s="2">
        <v>947</v>
      </c>
      <c r="B3879" s="2" t="s">
        <v>18649</v>
      </c>
      <c r="C3879" s="2">
        <v>12</v>
      </c>
      <c r="D3879" s="2">
        <v>556</v>
      </c>
      <c r="E3879" s="2">
        <v>200</v>
      </c>
      <c r="F3879" s="2">
        <v>32441</v>
      </c>
      <c r="G3879" s="2">
        <v>3.5008273380000001</v>
      </c>
      <c r="H3879" s="2">
        <v>2.7800999999999998E-4</v>
      </c>
      <c r="I3879" s="2" t="s">
        <v>18650</v>
      </c>
      <c r="J3879" s="2" t="s">
        <v>18651</v>
      </c>
      <c r="K3879" s="2">
        <v>7.1551099999999995E-4</v>
      </c>
      <c r="L3879" s="2" t="s">
        <v>1178</v>
      </c>
      <c r="M3879" s="4" t="s">
        <v>18652</v>
      </c>
    </row>
    <row r="3880" spans="1:13">
      <c r="A3880" s="2">
        <v>967</v>
      </c>
      <c r="B3880" s="2" t="s">
        <v>18653</v>
      </c>
      <c r="C3880" s="2">
        <v>12</v>
      </c>
      <c r="D3880" s="2">
        <v>556</v>
      </c>
      <c r="E3880" s="2">
        <v>200</v>
      </c>
      <c r="F3880" s="2">
        <v>32441</v>
      </c>
      <c r="G3880" s="2">
        <v>3.5008273380000001</v>
      </c>
      <c r="H3880" s="2">
        <v>2.7800999999999998E-4</v>
      </c>
      <c r="I3880" s="2" t="s">
        <v>18654</v>
      </c>
      <c r="J3880" s="2" t="s">
        <v>18655</v>
      </c>
      <c r="K3880" s="2">
        <v>7.1551099999999995E-4</v>
      </c>
      <c r="L3880" s="2" t="s">
        <v>1178</v>
      </c>
      <c r="M3880" s="4" t="s">
        <v>18656</v>
      </c>
    </row>
    <row r="3881" spans="1:13">
      <c r="A3881" s="2">
        <v>981</v>
      </c>
      <c r="B3881" s="2" t="s">
        <v>1317</v>
      </c>
      <c r="C3881" s="2">
        <v>12</v>
      </c>
      <c r="D3881" s="2">
        <v>556</v>
      </c>
      <c r="E3881" s="2">
        <v>200</v>
      </c>
      <c r="F3881" s="2">
        <v>32441</v>
      </c>
      <c r="G3881" s="2">
        <v>3.5008273380000001</v>
      </c>
      <c r="H3881" s="2">
        <v>2.7800999999999998E-4</v>
      </c>
      <c r="I3881" s="2" t="s">
        <v>18657</v>
      </c>
      <c r="J3881" s="2" t="s">
        <v>18658</v>
      </c>
      <c r="K3881" s="2">
        <v>7.1551099999999995E-4</v>
      </c>
      <c r="L3881" s="2" t="s">
        <v>1178</v>
      </c>
      <c r="M3881" s="4" t="s">
        <v>18659</v>
      </c>
    </row>
    <row r="3882" spans="1:13">
      <c r="A3882" s="2">
        <v>1020</v>
      </c>
      <c r="B3882" s="2" t="s">
        <v>18660</v>
      </c>
      <c r="C3882" s="2">
        <v>12</v>
      </c>
      <c r="D3882" s="2">
        <v>556</v>
      </c>
      <c r="E3882" s="2">
        <v>200</v>
      </c>
      <c r="F3882" s="2">
        <v>32441</v>
      </c>
      <c r="G3882" s="2">
        <v>3.5008273380000001</v>
      </c>
      <c r="H3882" s="2">
        <v>2.7800999999999998E-4</v>
      </c>
      <c r="I3882" s="2" t="s">
        <v>18661</v>
      </c>
      <c r="J3882" s="2" t="s">
        <v>18662</v>
      </c>
      <c r="K3882" s="2">
        <v>7.1551099999999995E-4</v>
      </c>
      <c r="L3882" s="2" t="s">
        <v>1178</v>
      </c>
      <c r="M3882" s="4" t="s">
        <v>18663</v>
      </c>
    </row>
    <row r="3883" spans="1:13">
      <c r="A3883" s="2">
        <v>1033</v>
      </c>
      <c r="B3883" s="2" t="s">
        <v>18664</v>
      </c>
      <c r="C3883" s="2">
        <v>12</v>
      </c>
      <c r="D3883" s="2">
        <v>556</v>
      </c>
      <c r="E3883" s="2">
        <v>200</v>
      </c>
      <c r="F3883" s="2">
        <v>32441</v>
      </c>
      <c r="G3883" s="2">
        <v>3.5008273380000001</v>
      </c>
      <c r="H3883" s="2">
        <v>2.7800999999999998E-4</v>
      </c>
      <c r="I3883" s="2" t="s">
        <v>18665</v>
      </c>
      <c r="J3883" s="2" t="s">
        <v>18666</v>
      </c>
      <c r="K3883" s="2">
        <v>7.1551099999999995E-4</v>
      </c>
      <c r="L3883" s="2" t="s">
        <v>1178</v>
      </c>
      <c r="M3883" s="4" t="s">
        <v>18667</v>
      </c>
    </row>
    <row r="3884" spans="1:13">
      <c r="A3884" s="2">
        <v>1046</v>
      </c>
      <c r="B3884" s="2" t="s">
        <v>18668</v>
      </c>
      <c r="C3884" s="2">
        <v>12</v>
      </c>
      <c r="D3884" s="2">
        <v>556</v>
      </c>
      <c r="E3884" s="2">
        <v>200</v>
      </c>
      <c r="F3884" s="2">
        <v>32441</v>
      </c>
      <c r="G3884" s="2">
        <v>3.5008273380000001</v>
      </c>
      <c r="H3884" s="2">
        <v>2.7800999999999998E-4</v>
      </c>
      <c r="I3884" s="2" t="s">
        <v>18669</v>
      </c>
      <c r="J3884" s="2" t="s">
        <v>18670</v>
      </c>
      <c r="K3884" s="2">
        <v>7.1551099999999995E-4</v>
      </c>
      <c r="L3884" s="2" t="s">
        <v>1178</v>
      </c>
      <c r="M3884" s="4" t="s">
        <v>18671</v>
      </c>
    </row>
    <row r="3885" spans="1:13">
      <c r="A3885" s="2">
        <v>10471</v>
      </c>
      <c r="B3885" s="2" t="s">
        <v>2109</v>
      </c>
      <c r="C3885" s="2">
        <v>12</v>
      </c>
      <c r="D3885" s="2">
        <v>556</v>
      </c>
      <c r="E3885" s="2">
        <v>200</v>
      </c>
      <c r="F3885" s="2">
        <v>32441</v>
      </c>
      <c r="G3885" s="2">
        <v>3.5008273380000001</v>
      </c>
      <c r="H3885" s="2">
        <v>2.7800999999999998E-4</v>
      </c>
      <c r="I3885" s="2" t="s">
        <v>18672</v>
      </c>
      <c r="J3885" s="2" t="s">
        <v>18673</v>
      </c>
      <c r="K3885" s="2">
        <v>7.1551099999999995E-4</v>
      </c>
      <c r="L3885" s="2" t="s">
        <v>1178</v>
      </c>
      <c r="M3885" s="4" t="s">
        <v>18674</v>
      </c>
    </row>
    <row r="3886" spans="1:13">
      <c r="A3886" s="2">
        <v>1048</v>
      </c>
      <c r="B3886" s="2" t="s">
        <v>18675</v>
      </c>
      <c r="C3886" s="2">
        <v>12</v>
      </c>
      <c r="D3886" s="2">
        <v>556</v>
      </c>
      <c r="E3886" s="2">
        <v>200</v>
      </c>
      <c r="F3886" s="2">
        <v>32441</v>
      </c>
      <c r="G3886" s="2">
        <v>3.5008273380000001</v>
      </c>
      <c r="H3886" s="2">
        <v>2.7800999999999998E-4</v>
      </c>
      <c r="I3886" s="2" t="s">
        <v>18676</v>
      </c>
      <c r="J3886" s="2" t="s">
        <v>18677</v>
      </c>
      <c r="K3886" s="2">
        <v>7.1551099999999995E-4</v>
      </c>
      <c r="L3886" s="2" t="s">
        <v>1178</v>
      </c>
      <c r="M3886" s="4" t="s">
        <v>18678</v>
      </c>
    </row>
    <row r="3887" spans="1:13">
      <c r="A3887" s="2">
        <v>1075</v>
      </c>
      <c r="B3887" s="2" t="s">
        <v>18679</v>
      </c>
      <c r="C3887" s="2">
        <v>12</v>
      </c>
      <c r="D3887" s="2">
        <v>556</v>
      </c>
      <c r="E3887" s="2">
        <v>200</v>
      </c>
      <c r="F3887" s="2">
        <v>32441</v>
      </c>
      <c r="G3887" s="2">
        <v>3.5008273380000001</v>
      </c>
      <c r="H3887" s="2">
        <v>2.7800999999999998E-4</v>
      </c>
      <c r="I3887" s="2" t="s">
        <v>18680</v>
      </c>
      <c r="J3887" s="2" t="s">
        <v>18681</v>
      </c>
      <c r="K3887" s="2">
        <v>7.1551099999999995E-4</v>
      </c>
      <c r="L3887" s="2" t="s">
        <v>1178</v>
      </c>
      <c r="M3887" s="4" t="s">
        <v>18682</v>
      </c>
    </row>
    <row r="3888" spans="1:13">
      <c r="A3888" s="2">
        <v>1083</v>
      </c>
      <c r="B3888" s="2" t="s">
        <v>18683</v>
      </c>
      <c r="C3888" s="2">
        <v>12</v>
      </c>
      <c r="D3888" s="2">
        <v>556</v>
      </c>
      <c r="E3888" s="2">
        <v>200</v>
      </c>
      <c r="F3888" s="2">
        <v>32441</v>
      </c>
      <c r="G3888" s="2">
        <v>3.5008273380000001</v>
      </c>
      <c r="H3888" s="2">
        <v>2.7800999999999998E-4</v>
      </c>
      <c r="I3888" s="2" t="s">
        <v>18684</v>
      </c>
      <c r="J3888" s="2" t="s">
        <v>18685</v>
      </c>
      <c r="K3888" s="2">
        <v>7.1551099999999995E-4</v>
      </c>
      <c r="L3888" s="2" t="s">
        <v>1178</v>
      </c>
      <c r="M3888" s="4" t="s">
        <v>18686</v>
      </c>
    </row>
    <row r="3889" spans="1:13">
      <c r="A3889" s="2">
        <v>10931</v>
      </c>
      <c r="B3889" s="2" t="s">
        <v>18687</v>
      </c>
      <c r="C3889" s="2">
        <v>12</v>
      </c>
      <c r="D3889" s="2">
        <v>556</v>
      </c>
      <c r="E3889" s="2">
        <v>200</v>
      </c>
      <c r="F3889" s="2">
        <v>32441</v>
      </c>
      <c r="G3889" s="2">
        <v>3.5008273380000001</v>
      </c>
      <c r="H3889" s="2">
        <v>2.7800999999999998E-4</v>
      </c>
      <c r="I3889" s="2" t="s">
        <v>18688</v>
      </c>
      <c r="J3889" s="2" t="s">
        <v>18689</v>
      </c>
      <c r="K3889" s="2">
        <v>7.1551099999999995E-4</v>
      </c>
      <c r="L3889" s="2" t="s">
        <v>1178</v>
      </c>
      <c r="M3889" s="4" t="s">
        <v>18690</v>
      </c>
    </row>
    <row r="3890" spans="1:13">
      <c r="A3890" s="2">
        <v>1098</v>
      </c>
      <c r="B3890" s="2" t="s">
        <v>18691</v>
      </c>
      <c r="C3890" s="2">
        <v>12</v>
      </c>
      <c r="D3890" s="2">
        <v>556</v>
      </c>
      <c r="E3890" s="2">
        <v>200</v>
      </c>
      <c r="F3890" s="2">
        <v>32441</v>
      </c>
      <c r="G3890" s="2">
        <v>3.5008273380000001</v>
      </c>
      <c r="H3890" s="2">
        <v>2.7800999999999998E-4</v>
      </c>
      <c r="I3890" s="2" t="s">
        <v>18692</v>
      </c>
      <c r="J3890" s="2" t="s">
        <v>18693</v>
      </c>
      <c r="K3890" s="2">
        <v>7.1551099999999995E-4</v>
      </c>
      <c r="L3890" s="2" t="s">
        <v>1178</v>
      </c>
      <c r="M3890" s="4" t="s">
        <v>18694</v>
      </c>
    </row>
    <row r="3891" spans="1:13">
      <c r="A3891" s="2">
        <v>1132</v>
      </c>
      <c r="B3891" s="2" t="s">
        <v>18695</v>
      </c>
      <c r="C3891" s="2">
        <v>12</v>
      </c>
      <c r="D3891" s="2">
        <v>556</v>
      </c>
      <c r="E3891" s="2">
        <v>200</v>
      </c>
      <c r="F3891" s="2">
        <v>32441</v>
      </c>
      <c r="G3891" s="2">
        <v>3.5008273380000001</v>
      </c>
      <c r="H3891" s="2">
        <v>2.7800999999999998E-4</v>
      </c>
      <c r="I3891" s="2" t="s">
        <v>18696</v>
      </c>
      <c r="J3891" s="2" t="s">
        <v>18697</v>
      </c>
      <c r="K3891" s="2">
        <v>7.1551099999999995E-4</v>
      </c>
      <c r="L3891" s="2" t="s">
        <v>1178</v>
      </c>
      <c r="M3891" s="4" t="s">
        <v>18698</v>
      </c>
    </row>
    <row r="3892" spans="1:13">
      <c r="A3892" s="2">
        <v>1150</v>
      </c>
      <c r="B3892" s="2" t="s">
        <v>1482</v>
      </c>
      <c r="C3892" s="2">
        <v>12</v>
      </c>
      <c r="D3892" s="2">
        <v>556</v>
      </c>
      <c r="E3892" s="2">
        <v>200</v>
      </c>
      <c r="F3892" s="2">
        <v>32441</v>
      </c>
      <c r="G3892" s="2">
        <v>3.5008273380000001</v>
      </c>
      <c r="H3892" s="2">
        <v>2.7800999999999998E-4</v>
      </c>
      <c r="I3892" s="2" t="s">
        <v>18699</v>
      </c>
      <c r="J3892" s="2" t="s">
        <v>18700</v>
      </c>
      <c r="K3892" s="2">
        <v>7.1551099999999995E-4</v>
      </c>
      <c r="L3892" s="2" t="s">
        <v>1178</v>
      </c>
      <c r="M3892" s="4" t="s">
        <v>18701</v>
      </c>
    </row>
    <row r="3893" spans="1:13">
      <c r="A3893" s="2">
        <v>11711</v>
      </c>
      <c r="B3893" s="2" t="s">
        <v>18702</v>
      </c>
      <c r="C3893" s="2">
        <v>12</v>
      </c>
      <c r="D3893" s="2">
        <v>556</v>
      </c>
      <c r="E3893" s="2">
        <v>200</v>
      </c>
      <c r="F3893" s="2">
        <v>32441</v>
      </c>
      <c r="G3893" s="2">
        <v>3.5008273380000001</v>
      </c>
      <c r="H3893" s="2">
        <v>2.7800999999999998E-4</v>
      </c>
      <c r="I3893" s="2" t="s">
        <v>18703</v>
      </c>
      <c r="J3893" s="2" t="s">
        <v>18704</v>
      </c>
      <c r="K3893" s="2">
        <v>7.1551099999999995E-4</v>
      </c>
      <c r="L3893" s="2" t="s">
        <v>1178</v>
      </c>
      <c r="M3893" s="4" t="s">
        <v>18705</v>
      </c>
    </row>
    <row r="3894" spans="1:13">
      <c r="A3894" s="2">
        <v>1194</v>
      </c>
      <c r="B3894" s="2" t="s">
        <v>18706</v>
      </c>
      <c r="C3894" s="2">
        <v>12</v>
      </c>
      <c r="D3894" s="2">
        <v>556</v>
      </c>
      <c r="E3894" s="2">
        <v>200</v>
      </c>
      <c r="F3894" s="2">
        <v>32441</v>
      </c>
      <c r="G3894" s="2">
        <v>3.5008273380000001</v>
      </c>
      <c r="H3894" s="2">
        <v>2.7800999999999998E-4</v>
      </c>
      <c r="I3894" s="2" t="s">
        <v>18707</v>
      </c>
      <c r="J3894" s="2" t="s">
        <v>18708</v>
      </c>
      <c r="K3894" s="2">
        <v>7.1551099999999995E-4</v>
      </c>
      <c r="L3894" s="2" t="s">
        <v>1178</v>
      </c>
      <c r="M3894" s="4" t="s">
        <v>18709</v>
      </c>
    </row>
    <row r="3895" spans="1:13">
      <c r="A3895" s="2">
        <v>12311</v>
      </c>
      <c r="B3895" s="2" t="s">
        <v>18710</v>
      </c>
      <c r="C3895" s="2">
        <v>12</v>
      </c>
      <c r="D3895" s="2">
        <v>556</v>
      </c>
      <c r="E3895" s="2">
        <v>200</v>
      </c>
      <c r="F3895" s="2">
        <v>32441</v>
      </c>
      <c r="G3895" s="2">
        <v>3.5008273380000001</v>
      </c>
      <c r="H3895" s="2">
        <v>2.7800999999999998E-4</v>
      </c>
      <c r="I3895" s="2" t="s">
        <v>18711</v>
      </c>
      <c r="J3895" s="2" t="s">
        <v>18712</v>
      </c>
      <c r="K3895" s="2">
        <v>7.1551099999999995E-4</v>
      </c>
      <c r="L3895" s="2" t="s">
        <v>1178</v>
      </c>
      <c r="M3895" s="4" t="s">
        <v>18713</v>
      </c>
    </row>
    <row r="3896" spans="1:13">
      <c r="A3896" s="2">
        <v>1239</v>
      </c>
      <c r="B3896" s="2" t="s">
        <v>18714</v>
      </c>
      <c r="C3896" s="2">
        <v>12</v>
      </c>
      <c r="D3896" s="2">
        <v>556</v>
      </c>
      <c r="E3896" s="2">
        <v>200</v>
      </c>
      <c r="F3896" s="2">
        <v>32441</v>
      </c>
      <c r="G3896" s="2">
        <v>3.5008273380000001</v>
      </c>
      <c r="H3896" s="2">
        <v>2.7800999999999998E-4</v>
      </c>
      <c r="I3896" s="2" t="s">
        <v>18715</v>
      </c>
      <c r="J3896" s="2" t="s">
        <v>18716</v>
      </c>
      <c r="K3896" s="2">
        <v>7.1551099999999995E-4</v>
      </c>
      <c r="L3896" s="2" t="s">
        <v>1178</v>
      </c>
      <c r="M3896" s="4" t="s">
        <v>18717</v>
      </c>
    </row>
    <row r="3897" spans="1:13">
      <c r="A3897" s="2">
        <v>1326</v>
      </c>
      <c r="B3897" s="2" t="s">
        <v>18718</v>
      </c>
      <c r="C3897" s="2">
        <v>12</v>
      </c>
      <c r="D3897" s="2">
        <v>556</v>
      </c>
      <c r="E3897" s="2">
        <v>200</v>
      </c>
      <c r="F3897" s="2">
        <v>32441</v>
      </c>
      <c r="G3897" s="2">
        <v>3.5008273380000001</v>
      </c>
      <c r="H3897" s="2">
        <v>2.7800999999999998E-4</v>
      </c>
      <c r="I3897" s="2" t="s">
        <v>18719</v>
      </c>
      <c r="J3897" s="2" t="s">
        <v>18720</v>
      </c>
      <c r="K3897" s="2">
        <v>7.1551099999999995E-4</v>
      </c>
      <c r="L3897" s="2" t="s">
        <v>1178</v>
      </c>
      <c r="M3897" s="4" t="s">
        <v>18721</v>
      </c>
    </row>
    <row r="3898" spans="1:13">
      <c r="A3898" s="2">
        <v>13311</v>
      </c>
      <c r="B3898" s="2" t="s">
        <v>18722</v>
      </c>
      <c r="C3898" s="2">
        <v>12</v>
      </c>
      <c r="D3898" s="2">
        <v>556</v>
      </c>
      <c r="E3898" s="2">
        <v>200</v>
      </c>
      <c r="F3898" s="2">
        <v>32441</v>
      </c>
      <c r="G3898" s="2">
        <v>3.5008273380000001</v>
      </c>
      <c r="H3898" s="2">
        <v>2.7800999999999998E-4</v>
      </c>
      <c r="I3898" s="2" t="s">
        <v>18723</v>
      </c>
      <c r="J3898" s="2" t="s">
        <v>18724</v>
      </c>
      <c r="K3898" s="2">
        <v>7.1551099999999995E-4</v>
      </c>
      <c r="L3898" s="2" t="s">
        <v>1178</v>
      </c>
      <c r="M3898" s="4" t="s">
        <v>18725</v>
      </c>
    </row>
    <row r="3899" spans="1:13">
      <c r="A3899" s="2">
        <v>1348</v>
      </c>
      <c r="B3899" s="2" t="s">
        <v>18726</v>
      </c>
      <c r="C3899" s="2">
        <v>12</v>
      </c>
      <c r="D3899" s="2">
        <v>556</v>
      </c>
      <c r="E3899" s="2">
        <v>200</v>
      </c>
      <c r="F3899" s="2">
        <v>32441</v>
      </c>
      <c r="G3899" s="2">
        <v>3.5008273380000001</v>
      </c>
      <c r="H3899" s="2">
        <v>2.7800999999999998E-4</v>
      </c>
      <c r="I3899" s="2" t="s">
        <v>18727</v>
      </c>
      <c r="J3899" s="2" t="s">
        <v>18728</v>
      </c>
      <c r="K3899" s="2">
        <v>7.1551099999999995E-4</v>
      </c>
      <c r="L3899" s="2" t="s">
        <v>1178</v>
      </c>
      <c r="M3899" s="4" t="s">
        <v>18729</v>
      </c>
    </row>
    <row r="3900" spans="1:13">
      <c r="A3900" s="2">
        <v>1367</v>
      </c>
      <c r="B3900" s="2" t="s">
        <v>18730</v>
      </c>
      <c r="C3900" s="2">
        <v>12</v>
      </c>
      <c r="D3900" s="2">
        <v>556</v>
      </c>
      <c r="E3900" s="2">
        <v>200</v>
      </c>
      <c r="F3900" s="2">
        <v>32441</v>
      </c>
      <c r="G3900" s="2">
        <v>3.5008273380000001</v>
      </c>
      <c r="H3900" s="2">
        <v>2.7800999999999998E-4</v>
      </c>
      <c r="I3900" s="2" t="s">
        <v>18731</v>
      </c>
      <c r="J3900" s="2" t="s">
        <v>18732</v>
      </c>
      <c r="K3900" s="2">
        <v>7.1551099999999995E-4</v>
      </c>
      <c r="L3900" s="2" t="s">
        <v>1178</v>
      </c>
      <c r="M3900" s="4" t="s">
        <v>18733</v>
      </c>
    </row>
    <row r="3901" spans="1:13">
      <c r="A3901" s="2">
        <v>13841</v>
      </c>
      <c r="B3901" s="2" t="s">
        <v>18734</v>
      </c>
      <c r="C3901" s="2">
        <v>12</v>
      </c>
      <c r="D3901" s="2">
        <v>556</v>
      </c>
      <c r="E3901" s="2">
        <v>200</v>
      </c>
      <c r="F3901" s="2">
        <v>32441</v>
      </c>
      <c r="G3901" s="2">
        <v>3.5008273380000001</v>
      </c>
      <c r="H3901" s="2">
        <v>2.7800999999999998E-4</v>
      </c>
      <c r="I3901" s="2" t="s">
        <v>18735</v>
      </c>
      <c r="J3901" s="2" t="s">
        <v>18736</v>
      </c>
      <c r="K3901" s="2">
        <v>7.1551099999999995E-4</v>
      </c>
      <c r="L3901" s="2" t="s">
        <v>1178</v>
      </c>
      <c r="M3901" s="4" t="s">
        <v>18737</v>
      </c>
    </row>
    <row r="3902" spans="1:13">
      <c r="A3902" s="2">
        <v>13891</v>
      </c>
      <c r="B3902" s="2" t="s">
        <v>2457</v>
      </c>
      <c r="C3902" s="2">
        <v>12</v>
      </c>
      <c r="D3902" s="2">
        <v>556</v>
      </c>
      <c r="E3902" s="2">
        <v>200</v>
      </c>
      <c r="F3902" s="2">
        <v>32441</v>
      </c>
      <c r="G3902" s="2">
        <v>3.5008273380000001</v>
      </c>
      <c r="H3902" s="2">
        <v>2.7800999999999998E-4</v>
      </c>
      <c r="I3902" s="2" t="s">
        <v>18738</v>
      </c>
      <c r="J3902" s="2" t="s">
        <v>18739</v>
      </c>
      <c r="K3902" s="2">
        <v>7.1551099999999995E-4</v>
      </c>
      <c r="L3902" s="2" t="s">
        <v>1178</v>
      </c>
      <c r="M3902" s="4" t="s">
        <v>3252</v>
      </c>
    </row>
    <row r="3903" spans="1:13">
      <c r="A3903" s="2">
        <v>1393</v>
      </c>
      <c r="B3903" s="2" t="s">
        <v>2460</v>
      </c>
      <c r="C3903" s="2">
        <v>12</v>
      </c>
      <c r="D3903" s="2">
        <v>556</v>
      </c>
      <c r="E3903" s="2">
        <v>200</v>
      </c>
      <c r="F3903" s="2">
        <v>32441</v>
      </c>
      <c r="G3903" s="2">
        <v>3.5008273380000001</v>
      </c>
      <c r="H3903" s="2">
        <v>2.7800999999999998E-4</v>
      </c>
      <c r="I3903" s="2" t="s">
        <v>18740</v>
      </c>
      <c r="J3903" s="2" t="s">
        <v>18741</v>
      </c>
      <c r="K3903" s="2">
        <v>7.1551099999999995E-4</v>
      </c>
      <c r="L3903" s="2" t="s">
        <v>1178</v>
      </c>
      <c r="M3903" s="4" t="s">
        <v>18742</v>
      </c>
    </row>
    <row r="3904" spans="1:13">
      <c r="A3904" s="2">
        <v>1413</v>
      </c>
      <c r="B3904" s="2" t="s">
        <v>18743</v>
      </c>
      <c r="C3904" s="2">
        <v>12</v>
      </c>
      <c r="D3904" s="2">
        <v>556</v>
      </c>
      <c r="E3904" s="2">
        <v>200</v>
      </c>
      <c r="F3904" s="2">
        <v>32441</v>
      </c>
      <c r="G3904" s="2">
        <v>3.5008273380000001</v>
      </c>
      <c r="H3904" s="2">
        <v>2.7800999999999998E-4</v>
      </c>
      <c r="I3904" s="2" t="s">
        <v>18744</v>
      </c>
      <c r="J3904" s="2" t="s">
        <v>18745</v>
      </c>
      <c r="K3904" s="2">
        <v>7.1551099999999995E-4</v>
      </c>
      <c r="L3904" s="2" t="s">
        <v>1178</v>
      </c>
      <c r="M3904" s="4" t="s">
        <v>18746</v>
      </c>
    </row>
    <row r="3905" spans="1:13">
      <c r="A3905" s="2">
        <v>1457</v>
      </c>
      <c r="B3905" s="2" t="s">
        <v>18747</v>
      </c>
      <c r="C3905" s="2">
        <v>12</v>
      </c>
      <c r="D3905" s="2">
        <v>556</v>
      </c>
      <c r="E3905" s="2">
        <v>200</v>
      </c>
      <c r="F3905" s="2">
        <v>32441</v>
      </c>
      <c r="G3905" s="2">
        <v>3.5008273380000001</v>
      </c>
      <c r="H3905" s="2">
        <v>2.7800999999999998E-4</v>
      </c>
      <c r="I3905" s="2" t="s">
        <v>18748</v>
      </c>
      <c r="J3905" s="2" t="s">
        <v>18749</v>
      </c>
      <c r="K3905" s="2">
        <v>7.1551099999999995E-4</v>
      </c>
      <c r="L3905" s="2" t="s">
        <v>1178</v>
      </c>
      <c r="M3905" s="4" t="s">
        <v>18750</v>
      </c>
    </row>
    <row r="3906" spans="1:13">
      <c r="A3906" s="2">
        <v>1471</v>
      </c>
      <c r="B3906" s="2" t="s">
        <v>18751</v>
      </c>
      <c r="C3906" s="2">
        <v>12</v>
      </c>
      <c r="D3906" s="2">
        <v>556</v>
      </c>
      <c r="E3906" s="2">
        <v>200</v>
      </c>
      <c r="F3906" s="2">
        <v>32441</v>
      </c>
      <c r="G3906" s="2">
        <v>3.5008273380000001</v>
      </c>
      <c r="H3906" s="2">
        <v>2.7800999999999998E-4</v>
      </c>
      <c r="I3906" s="2" t="s">
        <v>18752</v>
      </c>
      <c r="J3906" s="2" t="s">
        <v>18753</v>
      </c>
      <c r="K3906" s="2">
        <v>7.1551099999999995E-4</v>
      </c>
      <c r="L3906" s="2" t="s">
        <v>1178</v>
      </c>
      <c r="M3906" s="4" t="s">
        <v>18754</v>
      </c>
    </row>
    <row r="3907" spans="1:13">
      <c r="A3907" s="2">
        <v>14831</v>
      </c>
      <c r="B3907" s="2" t="s">
        <v>18755</v>
      </c>
      <c r="C3907" s="2">
        <v>12</v>
      </c>
      <c r="D3907" s="2">
        <v>556</v>
      </c>
      <c r="E3907" s="2">
        <v>200</v>
      </c>
      <c r="F3907" s="2">
        <v>32441</v>
      </c>
      <c r="G3907" s="2">
        <v>3.5008273380000001</v>
      </c>
      <c r="H3907" s="2">
        <v>2.7800999999999998E-4</v>
      </c>
      <c r="I3907" s="2" t="s">
        <v>18756</v>
      </c>
      <c r="J3907" s="2" t="s">
        <v>18757</v>
      </c>
      <c r="K3907" s="2">
        <v>7.1551099999999995E-4</v>
      </c>
      <c r="L3907" s="2" t="s">
        <v>1178</v>
      </c>
      <c r="M3907" s="4" t="s">
        <v>18758</v>
      </c>
    </row>
    <row r="3908" spans="1:13">
      <c r="A3908" s="2">
        <v>1514</v>
      </c>
      <c r="B3908" s="2" t="s">
        <v>1689</v>
      </c>
      <c r="C3908" s="2">
        <v>12</v>
      </c>
      <c r="D3908" s="2">
        <v>556</v>
      </c>
      <c r="E3908" s="2">
        <v>199</v>
      </c>
      <c r="F3908" s="2">
        <v>32441</v>
      </c>
      <c r="G3908" s="2">
        <v>3.5184194350000002</v>
      </c>
      <c r="H3908" s="2">
        <v>2.66257E-4</v>
      </c>
      <c r="I3908" s="2" t="s">
        <v>18759</v>
      </c>
      <c r="J3908" s="2" t="s">
        <v>18760</v>
      </c>
      <c r="K3908" s="2">
        <v>7.1551099999999995E-4</v>
      </c>
      <c r="L3908" s="2" t="s">
        <v>1178</v>
      </c>
      <c r="M3908" s="4" t="s">
        <v>18761</v>
      </c>
    </row>
    <row r="3909" spans="1:13">
      <c r="A3909" s="2">
        <v>1543</v>
      </c>
      <c r="B3909" s="2" t="s">
        <v>18762</v>
      </c>
      <c r="C3909" s="2">
        <v>12</v>
      </c>
      <c r="D3909" s="2">
        <v>556</v>
      </c>
      <c r="E3909" s="2">
        <v>200</v>
      </c>
      <c r="F3909" s="2">
        <v>32441</v>
      </c>
      <c r="G3909" s="2">
        <v>3.5008273380000001</v>
      </c>
      <c r="H3909" s="2">
        <v>2.7800999999999998E-4</v>
      </c>
      <c r="I3909" s="2" t="s">
        <v>18763</v>
      </c>
      <c r="J3909" s="2" t="s">
        <v>18764</v>
      </c>
      <c r="K3909" s="2">
        <v>7.1551099999999995E-4</v>
      </c>
      <c r="L3909" s="2" t="s">
        <v>1178</v>
      </c>
      <c r="M3909" s="4" t="s">
        <v>18765</v>
      </c>
    </row>
    <row r="3910" spans="1:13">
      <c r="A3910" s="2">
        <v>1545</v>
      </c>
      <c r="B3910" s="2" t="s">
        <v>18766</v>
      </c>
      <c r="C3910" s="2">
        <v>12</v>
      </c>
      <c r="D3910" s="2">
        <v>556</v>
      </c>
      <c r="E3910" s="2">
        <v>200</v>
      </c>
      <c r="F3910" s="2">
        <v>32441</v>
      </c>
      <c r="G3910" s="2">
        <v>3.5008273380000001</v>
      </c>
      <c r="H3910" s="2">
        <v>2.7800999999999998E-4</v>
      </c>
      <c r="I3910" s="2" t="s">
        <v>18767</v>
      </c>
      <c r="J3910" s="2" t="s">
        <v>18768</v>
      </c>
      <c r="K3910" s="2">
        <v>7.1551099999999995E-4</v>
      </c>
      <c r="L3910" s="2" t="s">
        <v>1178</v>
      </c>
      <c r="M3910" s="4" t="s">
        <v>18769</v>
      </c>
    </row>
    <row r="3911" spans="1:13">
      <c r="A3911" s="2">
        <v>1552</v>
      </c>
      <c r="B3911" s="2" t="s">
        <v>18770</v>
      </c>
      <c r="C3911" s="2">
        <v>12</v>
      </c>
      <c r="D3911" s="2">
        <v>556</v>
      </c>
      <c r="E3911" s="2">
        <v>200</v>
      </c>
      <c r="F3911" s="2">
        <v>32441</v>
      </c>
      <c r="G3911" s="2">
        <v>3.5008273380000001</v>
      </c>
      <c r="H3911" s="2">
        <v>2.7800999999999998E-4</v>
      </c>
      <c r="I3911" s="2" t="s">
        <v>18771</v>
      </c>
      <c r="J3911" s="2" t="s">
        <v>18772</v>
      </c>
      <c r="K3911" s="2">
        <v>7.1551099999999995E-4</v>
      </c>
      <c r="L3911" s="2" t="s">
        <v>1178</v>
      </c>
      <c r="M3911" s="4" t="s">
        <v>18773</v>
      </c>
    </row>
    <row r="3912" spans="1:13">
      <c r="A3912" s="2">
        <v>1654</v>
      </c>
      <c r="B3912" s="2" t="s">
        <v>1599</v>
      </c>
      <c r="C3912" s="2">
        <v>12</v>
      </c>
      <c r="D3912" s="2">
        <v>556</v>
      </c>
      <c r="E3912" s="2">
        <v>200</v>
      </c>
      <c r="F3912" s="2">
        <v>32441</v>
      </c>
      <c r="G3912" s="2">
        <v>3.5008273380000001</v>
      </c>
      <c r="H3912" s="2">
        <v>2.7800999999999998E-4</v>
      </c>
      <c r="I3912" s="2" t="s">
        <v>18774</v>
      </c>
      <c r="J3912" s="2" t="s">
        <v>18775</v>
      </c>
      <c r="K3912" s="2">
        <v>7.1551099999999995E-4</v>
      </c>
      <c r="L3912" s="2" t="s">
        <v>1178</v>
      </c>
      <c r="M3912" s="4" t="s">
        <v>18776</v>
      </c>
    </row>
    <row r="3913" spans="1:13">
      <c r="A3913" s="2">
        <v>16582</v>
      </c>
      <c r="B3913" s="2" t="s">
        <v>18777</v>
      </c>
      <c r="C3913" s="2">
        <v>12</v>
      </c>
      <c r="D3913" s="2">
        <v>556</v>
      </c>
      <c r="E3913" s="2">
        <v>200</v>
      </c>
      <c r="F3913" s="2">
        <v>32441</v>
      </c>
      <c r="G3913" s="2">
        <v>3.5008273380000001</v>
      </c>
      <c r="H3913" s="2">
        <v>2.7800999999999998E-4</v>
      </c>
      <c r="I3913" s="2" t="s">
        <v>18778</v>
      </c>
      <c r="J3913" s="2" t="s">
        <v>18779</v>
      </c>
      <c r="K3913" s="2">
        <v>7.1551099999999995E-4</v>
      </c>
      <c r="L3913" s="2" t="s">
        <v>1178</v>
      </c>
      <c r="M3913" s="4" t="s">
        <v>18780</v>
      </c>
    </row>
    <row r="3914" spans="1:13">
      <c r="A3914" s="2">
        <v>1784</v>
      </c>
      <c r="B3914" s="2" t="s">
        <v>18781</v>
      </c>
      <c r="C3914" s="2">
        <v>12</v>
      </c>
      <c r="D3914" s="2">
        <v>556</v>
      </c>
      <c r="E3914" s="2">
        <v>200</v>
      </c>
      <c r="F3914" s="2">
        <v>32441</v>
      </c>
      <c r="G3914" s="2">
        <v>3.5008273380000001</v>
      </c>
      <c r="H3914" s="2">
        <v>2.7800999999999998E-4</v>
      </c>
      <c r="I3914" s="2" t="s">
        <v>18782</v>
      </c>
      <c r="J3914" s="2" t="s">
        <v>18783</v>
      </c>
      <c r="K3914" s="2">
        <v>7.1551099999999995E-4</v>
      </c>
      <c r="L3914" s="2" t="s">
        <v>1178</v>
      </c>
      <c r="M3914" s="4" t="s">
        <v>18784</v>
      </c>
    </row>
    <row r="3915" spans="1:13">
      <c r="A3915" s="2">
        <v>1785</v>
      </c>
      <c r="B3915" s="2" t="s">
        <v>18785</v>
      </c>
      <c r="C3915" s="2">
        <v>12</v>
      </c>
      <c r="D3915" s="2">
        <v>556</v>
      </c>
      <c r="E3915" s="2">
        <v>200</v>
      </c>
      <c r="F3915" s="2">
        <v>32441</v>
      </c>
      <c r="G3915" s="2">
        <v>3.5008273380000001</v>
      </c>
      <c r="H3915" s="2">
        <v>2.7800999999999998E-4</v>
      </c>
      <c r="I3915" s="2" t="s">
        <v>18786</v>
      </c>
      <c r="J3915" s="2" t="s">
        <v>18787</v>
      </c>
      <c r="K3915" s="2">
        <v>7.1551099999999995E-4</v>
      </c>
      <c r="L3915" s="2" t="s">
        <v>1178</v>
      </c>
      <c r="M3915" s="4" t="s">
        <v>18788</v>
      </c>
    </row>
    <row r="3916" spans="1:13">
      <c r="A3916" s="2">
        <v>18082</v>
      </c>
      <c r="B3916" s="2" t="s">
        <v>18789</v>
      </c>
      <c r="C3916" s="2">
        <v>12</v>
      </c>
      <c r="D3916" s="2">
        <v>556</v>
      </c>
      <c r="E3916" s="2">
        <v>200</v>
      </c>
      <c r="F3916" s="2">
        <v>32441</v>
      </c>
      <c r="G3916" s="2">
        <v>3.5008273380000001</v>
      </c>
      <c r="H3916" s="2">
        <v>2.7800999999999998E-4</v>
      </c>
      <c r="I3916" s="2" t="s">
        <v>18790</v>
      </c>
      <c r="J3916" s="2" t="s">
        <v>18791</v>
      </c>
      <c r="K3916" s="2">
        <v>7.1551099999999995E-4</v>
      </c>
      <c r="L3916" s="2" t="s">
        <v>1178</v>
      </c>
      <c r="M3916" s="4" t="s">
        <v>18792</v>
      </c>
    </row>
    <row r="3917" spans="1:13">
      <c r="A3917" s="2">
        <v>1811</v>
      </c>
      <c r="B3917" s="2" t="s">
        <v>18793</v>
      </c>
      <c r="C3917" s="2">
        <v>12</v>
      </c>
      <c r="D3917" s="2">
        <v>556</v>
      </c>
      <c r="E3917" s="2">
        <v>200</v>
      </c>
      <c r="F3917" s="2">
        <v>32441</v>
      </c>
      <c r="G3917" s="2">
        <v>3.5008273380000001</v>
      </c>
      <c r="H3917" s="2">
        <v>2.7800999999999998E-4</v>
      </c>
      <c r="I3917" s="2" t="s">
        <v>18794</v>
      </c>
      <c r="J3917" s="2" t="s">
        <v>18795</v>
      </c>
      <c r="K3917" s="2">
        <v>7.1551099999999995E-4</v>
      </c>
      <c r="L3917" s="2" t="s">
        <v>1178</v>
      </c>
      <c r="M3917" s="4" t="s">
        <v>18796</v>
      </c>
    </row>
    <row r="3918" spans="1:13">
      <c r="A3918" s="2">
        <v>1835</v>
      </c>
      <c r="B3918" s="2" t="s">
        <v>18797</v>
      </c>
      <c r="C3918" s="2">
        <v>12</v>
      </c>
      <c r="D3918" s="2">
        <v>556</v>
      </c>
      <c r="E3918" s="2">
        <v>200</v>
      </c>
      <c r="F3918" s="2">
        <v>32441</v>
      </c>
      <c r="G3918" s="2">
        <v>3.5008273380000001</v>
      </c>
      <c r="H3918" s="2">
        <v>2.7800999999999998E-4</v>
      </c>
      <c r="I3918" s="2" t="s">
        <v>18798</v>
      </c>
      <c r="J3918" s="2" t="s">
        <v>18799</v>
      </c>
      <c r="K3918" s="2">
        <v>7.1551099999999995E-4</v>
      </c>
      <c r="L3918" s="2" t="s">
        <v>1178</v>
      </c>
      <c r="M3918" s="4" t="s">
        <v>18800</v>
      </c>
    </row>
    <row r="3919" spans="1:13">
      <c r="A3919" s="2">
        <v>1837</v>
      </c>
      <c r="B3919" s="2" t="s">
        <v>18801</v>
      </c>
      <c r="C3919" s="2">
        <v>12</v>
      </c>
      <c r="D3919" s="2">
        <v>556</v>
      </c>
      <c r="E3919" s="2">
        <v>200</v>
      </c>
      <c r="F3919" s="2">
        <v>32441</v>
      </c>
      <c r="G3919" s="2">
        <v>3.5008273380000001</v>
      </c>
      <c r="H3919" s="2">
        <v>2.7800999999999998E-4</v>
      </c>
      <c r="I3919" s="2" t="s">
        <v>18802</v>
      </c>
      <c r="J3919" s="2" t="s">
        <v>18803</v>
      </c>
      <c r="K3919" s="2">
        <v>7.1551099999999995E-4</v>
      </c>
      <c r="L3919" s="2" t="s">
        <v>1178</v>
      </c>
      <c r="M3919" s="4" t="s">
        <v>18804</v>
      </c>
    </row>
    <row r="3920" spans="1:13">
      <c r="A3920" s="2">
        <v>1838</v>
      </c>
      <c r="B3920" s="2" t="s">
        <v>18805</v>
      </c>
      <c r="C3920" s="2">
        <v>12</v>
      </c>
      <c r="D3920" s="2">
        <v>556</v>
      </c>
      <c r="E3920" s="2">
        <v>200</v>
      </c>
      <c r="F3920" s="2">
        <v>32441</v>
      </c>
      <c r="G3920" s="2">
        <v>3.5008273380000001</v>
      </c>
      <c r="H3920" s="2">
        <v>2.7800999999999998E-4</v>
      </c>
      <c r="I3920" s="2" t="s">
        <v>18806</v>
      </c>
      <c r="J3920" s="2" t="s">
        <v>18807</v>
      </c>
      <c r="K3920" s="2">
        <v>7.1551099999999995E-4</v>
      </c>
      <c r="L3920" s="2" t="s">
        <v>1178</v>
      </c>
      <c r="M3920" s="4" t="s">
        <v>18808</v>
      </c>
    </row>
    <row r="3921" spans="1:13">
      <c r="A3921" s="2">
        <v>18571</v>
      </c>
      <c r="B3921" s="2" t="s">
        <v>18809</v>
      </c>
      <c r="C3921" s="2">
        <v>12</v>
      </c>
      <c r="D3921" s="2">
        <v>556</v>
      </c>
      <c r="E3921" s="2">
        <v>200</v>
      </c>
      <c r="F3921" s="2">
        <v>32441</v>
      </c>
      <c r="G3921" s="2">
        <v>3.5008273380000001</v>
      </c>
      <c r="H3921" s="2">
        <v>2.7800999999999998E-4</v>
      </c>
      <c r="I3921" s="2" t="s">
        <v>18810</v>
      </c>
      <c r="J3921" s="2" t="s">
        <v>18811</v>
      </c>
      <c r="K3921" s="2">
        <v>7.1551099999999995E-4</v>
      </c>
      <c r="L3921" s="2" t="s">
        <v>1178</v>
      </c>
      <c r="M3921" s="4" t="s">
        <v>18812</v>
      </c>
    </row>
    <row r="3922" spans="1:13">
      <c r="A3922" s="2">
        <v>1875</v>
      </c>
      <c r="B3922" s="2" t="s">
        <v>18813</v>
      </c>
      <c r="C3922" s="2">
        <v>12</v>
      </c>
      <c r="D3922" s="2">
        <v>556</v>
      </c>
      <c r="E3922" s="2">
        <v>200</v>
      </c>
      <c r="F3922" s="2">
        <v>32441</v>
      </c>
      <c r="G3922" s="2">
        <v>3.5008273380000001</v>
      </c>
      <c r="H3922" s="2">
        <v>2.7800999999999998E-4</v>
      </c>
      <c r="I3922" s="2" t="s">
        <v>18814</v>
      </c>
      <c r="J3922" s="2" t="s">
        <v>18815</v>
      </c>
      <c r="K3922" s="2">
        <v>7.1551099999999995E-4</v>
      </c>
      <c r="L3922" s="2" t="s">
        <v>1178</v>
      </c>
      <c r="M3922" s="4" t="s">
        <v>18816</v>
      </c>
    </row>
    <row r="3923" spans="1:13">
      <c r="A3923" s="2">
        <v>18811</v>
      </c>
      <c r="B3923" s="2" t="s">
        <v>18817</v>
      </c>
      <c r="C3923" s="2">
        <v>12</v>
      </c>
      <c r="D3923" s="2">
        <v>556</v>
      </c>
      <c r="E3923" s="2">
        <v>200</v>
      </c>
      <c r="F3923" s="2">
        <v>32441</v>
      </c>
      <c r="G3923" s="2">
        <v>3.5008273380000001</v>
      </c>
      <c r="H3923" s="2">
        <v>2.7800999999999998E-4</v>
      </c>
      <c r="I3923" s="2" t="s">
        <v>18818</v>
      </c>
      <c r="J3923" s="2" t="s">
        <v>18819</v>
      </c>
      <c r="K3923" s="2">
        <v>7.1551099999999995E-4</v>
      </c>
      <c r="L3923" s="2" t="s">
        <v>1178</v>
      </c>
      <c r="M3923" s="4" t="s">
        <v>18820</v>
      </c>
    </row>
    <row r="3924" spans="1:13">
      <c r="A3924" s="2">
        <v>19091</v>
      </c>
      <c r="B3924" s="2" t="s">
        <v>18821</v>
      </c>
      <c r="C3924" s="2">
        <v>12</v>
      </c>
      <c r="D3924" s="2">
        <v>556</v>
      </c>
      <c r="E3924" s="2">
        <v>200</v>
      </c>
      <c r="F3924" s="2">
        <v>32441</v>
      </c>
      <c r="G3924" s="2">
        <v>3.5008273380000001</v>
      </c>
      <c r="H3924" s="2">
        <v>2.7800999999999998E-4</v>
      </c>
      <c r="I3924" s="2" t="s">
        <v>18822</v>
      </c>
      <c r="J3924" s="2" t="s">
        <v>18823</v>
      </c>
      <c r="K3924" s="2">
        <v>7.1551099999999995E-4</v>
      </c>
      <c r="L3924" s="2" t="s">
        <v>1178</v>
      </c>
      <c r="M3924" s="4" t="s">
        <v>18824</v>
      </c>
    </row>
    <row r="3925" spans="1:13">
      <c r="A3925" s="2">
        <v>20121</v>
      </c>
      <c r="B3925" s="2" t="s">
        <v>18825</v>
      </c>
      <c r="C3925" s="2">
        <v>12</v>
      </c>
      <c r="D3925" s="2">
        <v>556</v>
      </c>
      <c r="E3925" s="2">
        <v>200</v>
      </c>
      <c r="F3925" s="2">
        <v>32441</v>
      </c>
      <c r="G3925" s="2">
        <v>3.5008273380000001</v>
      </c>
      <c r="H3925" s="2">
        <v>2.7800999999999998E-4</v>
      </c>
      <c r="I3925" s="2" t="s">
        <v>18826</v>
      </c>
      <c r="J3925" s="2" t="s">
        <v>18827</v>
      </c>
      <c r="K3925" s="2">
        <v>7.1551099999999995E-4</v>
      </c>
      <c r="L3925" s="2" t="s">
        <v>1178</v>
      </c>
      <c r="M3925" s="4" t="s">
        <v>18828</v>
      </c>
    </row>
    <row r="3926" spans="1:13">
      <c r="A3926" s="2">
        <v>2016</v>
      </c>
      <c r="B3926" s="2" t="s">
        <v>18829</v>
      </c>
      <c r="C3926" s="2">
        <v>12</v>
      </c>
      <c r="D3926" s="2">
        <v>556</v>
      </c>
      <c r="E3926" s="2">
        <v>200</v>
      </c>
      <c r="F3926" s="2">
        <v>32441</v>
      </c>
      <c r="G3926" s="2">
        <v>3.5008273380000001</v>
      </c>
      <c r="H3926" s="2">
        <v>2.7800999999999998E-4</v>
      </c>
      <c r="I3926" s="2" t="s">
        <v>18830</v>
      </c>
      <c r="J3926" s="2" t="s">
        <v>18831</v>
      </c>
      <c r="K3926" s="2">
        <v>7.1551099999999995E-4</v>
      </c>
      <c r="L3926" s="2" t="s">
        <v>1178</v>
      </c>
      <c r="M3926" s="4" t="s">
        <v>18832</v>
      </c>
    </row>
    <row r="3927" spans="1:13">
      <c r="A3927" s="2">
        <v>2033</v>
      </c>
      <c r="B3927" s="2" t="s">
        <v>18833</v>
      </c>
      <c r="C3927" s="2">
        <v>12</v>
      </c>
      <c r="D3927" s="2">
        <v>556</v>
      </c>
      <c r="E3927" s="2">
        <v>200</v>
      </c>
      <c r="F3927" s="2">
        <v>32441</v>
      </c>
      <c r="G3927" s="2">
        <v>3.5008273380000001</v>
      </c>
      <c r="H3927" s="2">
        <v>2.7800999999999998E-4</v>
      </c>
      <c r="I3927" s="2" t="s">
        <v>18834</v>
      </c>
      <c r="J3927" s="2" t="s">
        <v>18835</v>
      </c>
      <c r="K3927" s="2">
        <v>7.1551099999999995E-4</v>
      </c>
      <c r="L3927" s="2" t="s">
        <v>1178</v>
      </c>
      <c r="M3927" s="4" t="s">
        <v>18836</v>
      </c>
    </row>
    <row r="3928" spans="1:13">
      <c r="A3928" s="2">
        <v>2038</v>
      </c>
      <c r="B3928" s="2" t="s">
        <v>18837</v>
      </c>
      <c r="C3928" s="2">
        <v>12</v>
      </c>
      <c r="D3928" s="2">
        <v>556</v>
      </c>
      <c r="E3928" s="2">
        <v>200</v>
      </c>
      <c r="F3928" s="2">
        <v>32441</v>
      </c>
      <c r="G3928" s="2">
        <v>3.5008273380000001</v>
      </c>
      <c r="H3928" s="2">
        <v>2.7800999999999998E-4</v>
      </c>
      <c r="I3928" s="2" t="s">
        <v>18838</v>
      </c>
      <c r="J3928" s="2" t="s">
        <v>18839</v>
      </c>
      <c r="K3928" s="2">
        <v>7.1551099999999995E-4</v>
      </c>
      <c r="L3928" s="2" t="s">
        <v>1178</v>
      </c>
      <c r="M3928" s="4" t="s">
        <v>18840</v>
      </c>
    </row>
    <row r="3929" spans="1:13">
      <c r="A3929" s="2">
        <v>20581</v>
      </c>
      <c r="B3929" s="2" t="s">
        <v>18841</v>
      </c>
      <c r="C3929" s="2">
        <v>12</v>
      </c>
      <c r="D3929" s="2">
        <v>556</v>
      </c>
      <c r="E3929" s="2">
        <v>200</v>
      </c>
      <c r="F3929" s="2">
        <v>32441</v>
      </c>
      <c r="G3929" s="2">
        <v>3.5008273380000001</v>
      </c>
      <c r="H3929" s="2">
        <v>2.7800999999999998E-4</v>
      </c>
      <c r="I3929" s="2" t="s">
        <v>18842</v>
      </c>
      <c r="J3929" s="2" t="s">
        <v>18843</v>
      </c>
      <c r="K3929" s="2">
        <v>7.1551099999999995E-4</v>
      </c>
      <c r="L3929" s="2" t="s">
        <v>1178</v>
      </c>
      <c r="M3929" s="4" t="s">
        <v>18844</v>
      </c>
    </row>
    <row r="3930" spans="1:13">
      <c r="A3930" s="2">
        <v>2067</v>
      </c>
      <c r="B3930" s="2" t="s">
        <v>18845</v>
      </c>
      <c r="C3930" s="2">
        <v>12</v>
      </c>
      <c r="D3930" s="2">
        <v>556</v>
      </c>
      <c r="E3930" s="2">
        <v>200</v>
      </c>
      <c r="F3930" s="2">
        <v>32441</v>
      </c>
      <c r="G3930" s="2">
        <v>3.5008273380000001</v>
      </c>
      <c r="H3930" s="2">
        <v>2.7800999999999998E-4</v>
      </c>
      <c r="I3930" s="2" t="s">
        <v>18846</v>
      </c>
      <c r="J3930" s="2" t="s">
        <v>18847</v>
      </c>
      <c r="K3930" s="2">
        <v>7.1551099999999995E-4</v>
      </c>
      <c r="L3930" s="2" t="s">
        <v>1178</v>
      </c>
      <c r="M3930" s="4" t="s">
        <v>18848</v>
      </c>
    </row>
    <row r="3931" spans="1:13">
      <c r="A3931" s="2">
        <v>2075</v>
      </c>
      <c r="B3931" s="2" t="s">
        <v>18849</v>
      </c>
      <c r="C3931" s="2">
        <v>12</v>
      </c>
      <c r="D3931" s="2">
        <v>556</v>
      </c>
      <c r="E3931" s="2">
        <v>200</v>
      </c>
      <c r="F3931" s="2">
        <v>32441</v>
      </c>
      <c r="G3931" s="2">
        <v>3.5008273380000001</v>
      </c>
      <c r="H3931" s="2">
        <v>2.7800999999999998E-4</v>
      </c>
      <c r="I3931" s="2" t="s">
        <v>18850</v>
      </c>
      <c r="J3931" s="2" t="s">
        <v>18851</v>
      </c>
      <c r="K3931" s="2">
        <v>7.1551099999999995E-4</v>
      </c>
      <c r="L3931" s="2" t="s">
        <v>1178</v>
      </c>
      <c r="M3931" s="4" t="s">
        <v>18852</v>
      </c>
    </row>
    <row r="3932" spans="1:13">
      <c r="A3932" s="2">
        <v>2080</v>
      </c>
      <c r="B3932" s="2" t="s">
        <v>18853</v>
      </c>
      <c r="C3932" s="2">
        <v>12</v>
      </c>
      <c r="D3932" s="2">
        <v>556</v>
      </c>
      <c r="E3932" s="2">
        <v>200</v>
      </c>
      <c r="F3932" s="2">
        <v>32441</v>
      </c>
      <c r="G3932" s="2">
        <v>3.5008273380000001</v>
      </c>
      <c r="H3932" s="2">
        <v>2.7800999999999998E-4</v>
      </c>
      <c r="I3932" s="2" t="s">
        <v>18854</v>
      </c>
      <c r="J3932" s="2" t="s">
        <v>18855</v>
      </c>
      <c r="K3932" s="2">
        <v>7.1551099999999995E-4</v>
      </c>
      <c r="L3932" s="2" t="s">
        <v>1178</v>
      </c>
      <c r="M3932" s="4" t="s">
        <v>18856</v>
      </c>
    </row>
    <row r="3933" spans="1:13">
      <c r="A3933" s="2">
        <v>20861</v>
      </c>
      <c r="B3933" s="2" t="s">
        <v>1175</v>
      </c>
      <c r="C3933" s="2">
        <v>12</v>
      </c>
      <c r="D3933" s="2">
        <v>556</v>
      </c>
      <c r="E3933" s="2">
        <v>200</v>
      </c>
      <c r="F3933" s="2">
        <v>32441</v>
      </c>
      <c r="G3933" s="2">
        <v>3.5008273380000001</v>
      </c>
      <c r="H3933" s="2">
        <v>2.7800999999999998E-4</v>
      </c>
      <c r="I3933" s="2" t="s">
        <v>18857</v>
      </c>
      <c r="J3933" s="2" t="s">
        <v>18858</v>
      </c>
      <c r="K3933" s="2">
        <v>7.1551099999999995E-4</v>
      </c>
      <c r="L3933" s="2" t="s">
        <v>1178</v>
      </c>
      <c r="M3933" s="4" t="s">
        <v>18859</v>
      </c>
    </row>
    <row r="3934" spans="1:13">
      <c r="A3934" s="2">
        <v>2091</v>
      </c>
      <c r="B3934" s="2" t="s">
        <v>18860</v>
      </c>
      <c r="C3934" s="2">
        <v>12</v>
      </c>
      <c r="D3934" s="2">
        <v>556</v>
      </c>
      <c r="E3934" s="2">
        <v>200</v>
      </c>
      <c r="F3934" s="2">
        <v>32441</v>
      </c>
      <c r="G3934" s="2">
        <v>3.5008273380000001</v>
      </c>
      <c r="H3934" s="2">
        <v>2.7800999999999998E-4</v>
      </c>
      <c r="I3934" s="2" t="s">
        <v>18861</v>
      </c>
      <c r="J3934" s="2" t="s">
        <v>18862</v>
      </c>
      <c r="K3934" s="2">
        <v>7.1551099999999995E-4</v>
      </c>
      <c r="L3934" s="2" t="s">
        <v>1178</v>
      </c>
      <c r="M3934" s="4" t="s">
        <v>18863</v>
      </c>
    </row>
    <row r="3935" spans="1:13">
      <c r="A3935" s="2">
        <v>20921</v>
      </c>
      <c r="B3935" s="2" t="s">
        <v>18864</v>
      </c>
      <c r="C3935" s="2">
        <v>12</v>
      </c>
      <c r="D3935" s="2">
        <v>556</v>
      </c>
      <c r="E3935" s="2">
        <v>200</v>
      </c>
      <c r="F3935" s="2">
        <v>32441</v>
      </c>
      <c r="G3935" s="2">
        <v>3.5008273380000001</v>
      </c>
      <c r="H3935" s="2">
        <v>2.7800999999999998E-4</v>
      </c>
      <c r="I3935" s="2" t="s">
        <v>18865</v>
      </c>
      <c r="J3935" s="2" t="s">
        <v>18866</v>
      </c>
      <c r="K3935" s="2">
        <v>7.1551099999999995E-4</v>
      </c>
      <c r="L3935" s="2" t="s">
        <v>1178</v>
      </c>
      <c r="M3935" s="4" t="s">
        <v>18867</v>
      </c>
    </row>
    <row r="3936" spans="1:13">
      <c r="A3936" s="2">
        <v>2116</v>
      </c>
      <c r="B3936" s="2" t="s">
        <v>3204</v>
      </c>
      <c r="C3936" s="2">
        <v>12</v>
      </c>
      <c r="D3936" s="2">
        <v>556</v>
      </c>
      <c r="E3936" s="2">
        <v>200</v>
      </c>
      <c r="F3936" s="2">
        <v>32441</v>
      </c>
      <c r="G3936" s="2">
        <v>3.5008273380000001</v>
      </c>
      <c r="H3936" s="2">
        <v>2.7800999999999998E-4</v>
      </c>
      <c r="I3936" s="2" t="s">
        <v>18868</v>
      </c>
      <c r="J3936" s="2" t="s">
        <v>18869</v>
      </c>
      <c r="K3936" s="2">
        <v>7.1551099999999995E-4</v>
      </c>
      <c r="L3936" s="2" t="s">
        <v>1178</v>
      </c>
      <c r="M3936" s="4" t="s">
        <v>3207</v>
      </c>
    </row>
    <row r="3937" spans="1:13">
      <c r="A3937" s="2">
        <v>2130</v>
      </c>
      <c r="B3937" s="2" t="s">
        <v>2199</v>
      </c>
      <c r="C3937" s="2">
        <v>12</v>
      </c>
      <c r="D3937" s="2">
        <v>556</v>
      </c>
      <c r="E3937" s="2">
        <v>200</v>
      </c>
      <c r="F3937" s="2">
        <v>32441</v>
      </c>
      <c r="G3937" s="2">
        <v>3.5008273380000001</v>
      </c>
      <c r="H3937" s="2">
        <v>2.7800999999999998E-4</v>
      </c>
      <c r="I3937" s="2" t="s">
        <v>18870</v>
      </c>
      <c r="J3937" s="2" t="s">
        <v>18871</v>
      </c>
      <c r="K3937" s="2">
        <v>7.1551099999999995E-4</v>
      </c>
      <c r="L3937" s="2" t="s">
        <v>1178</v>
      </c>
      <c r="M3937" s="4" t="s">
        <v>18872</v>
      </c>
    </row>
    <row r="3938" spans="1:13">
      <c r="A3938" s="2">
        <v>21321</v>
      </c>
      <c r="B3938" s="2" t="s">
        <v>18873</v>
      </c>
      <c r="C3938" s="2">
        <v>12</v>
      </c>
      <c r="D3938" s="2">
        <v>556</v>
      </c>
      <c r="E3938" s="2">
        <v>200</v>
      </c>
      <c r="F3938" s="2">
        <v>32441</v>
      </c>
      <c r="G3938" s="2">
        <v>3.5008273380000001</v>
      </c>
      <c r="H3938" s="2">
        <v>2.7800999999999998E-4</v>
      </c>
      <c r="I3938" s="2" t="s">
        <v>18874</v>
      </c>
      <c r="J3938" s="2" t="s">
        <v>18875</v>
      </c>
      <c r="K3938" s="2">
        <v>7.1551099999999995E-4</v>
      </c>
      <c r="L3938" s="2" t="s">
        <v>1178</v>
      </c>
      <c r="M3938" s="4" t="s">
        <v>18876</v>
      </c>
    </row>
    <row r="3939" spans="1:13">
      <c r="A3939" s="2">
        <v>2146</v>
      </c>
      <c r="B3939" s="2" t="s">
        <v>18877</v>
      </c>
      <c r="C3939" s="2">
        <v>12</v>
      </c>
      <c r="D3939" s="2">
        <v>556</v>
      </c>
      <c r="E3939" s="2">
        <v>200</v>
      </c>
      <c r="F3939" s="2">
        <v>32441</v>
      </c>
      <c r="G3939" s="2">
        <v>3.5008273380000001</v>
      </c>
      <c r="H3939" s="2">
        <v>2.7800999999999998E-4</v>
      </c>
      <c r="I3939" s="2" t="s">
        <v>18878</v>
      </c>
      <c r="J3939" s="2" t="s">
        <v>18879</v>
      </c>
      <c r="K3939" s="2">
        <v>7.1551099999999995E-4</v>
      </c>
      <c r="L3939" s="2" t="s">
        <v>1178</v>
      </c>
      <c r="M3939" s="4" t="s">
        <v>18880</v>
      </c>
    </row>
    <row r="3940" spans="1:13">
      <c r="A3940" s="2">
        <v>2165</v>
      </c>
      <c r="B3940" s="2" t="s">
        <v>2535</v>
      </c>
      <c r="C3940" s="2">
        <v>12</v>
      </c>
      <c r="D3940" s="2">
        <v>556</v>
      </c>
      <c r="E3940" s="2">
        <v>200</v>
      </c>
      <c r="F3940" s="2">
        <v>32441</v>
      </c>
      <c r="G3940" s="2">
        <v>3.5008273380000001</v>
      </c>
      <c r="H3940" s="2">
        <v>2.7800999999999998E-4</v>
      </c>
      <c r="I3940" s="2" t="s">
        <v>18881</v>
      </c>
      <c r="J3940" s="2" t="s">
        <v>18882</v>
      </c>
      <c r="K3940" s="2">
        <v>7.1551099999999995E-4</v>
      </c>
      <c r="L3940" s="2" t="s">
        <v>1178</v>
      </c>
      <c r="M3940" s="4" t="s">
        <v>18883</v>
      </c>
    </row>
    <row r="3941" spans="1:13">
      <c r="A3941" s="2">
        <v>2187</v>
      </c>
      <c r="B3941" s="2" t="s">
        <v>18884</v>
      </c>
      <c r="C3941" s="2">
        <v>12</v>
      </c>
      <c r="D3941" s="2">
        <v>556</v>
      </c>
      <c r="E3941" s="2">
        <v>200</v>
      </c>
      <c r="F3941" s="2">
        <v>32441</v>
      </c>
      <c r="G3941" s="2">
        <v>3.5008273380000001</v>
      </c>
      <c r="H3941" s="2">
        <v>2.7800999999999998E-4</v>
      </c>
      <c r="I3941" s="2" t="s">
        <v>18885</v>
      </c>
      <c r="J3941" s="2" t="s">
        <v>18886</v>
      </c>
      <c r="K3941" s="2">
        <v>7.1551099999999995E-4</v>
      </c>
      <c r="L3941" s="2" t="s">
        <v>1178</v>
      </c>
      <c r="M3941" s="4" t="s">
        <v>18887</v>
      </c>
    </row>
    <row r="3942" spans="1:13">
      <c r="A3942" s="2">
        <v>2214</v>
      </c>
      <c r="B3942" s="2" t="s">
        <v>18888</v>
      </c>
      <c r="C3942" s="2">
        <v>12</v>
      </c>
      <c r="D3942" s="2">
        <v>556</v>
      </c>
      <c r="E3942" s="2">
        <v>200</v>
      </c>
      <c r="F3942" s="2">
        <v>32441</v>
      </c>
      <c r="G3942" s="2">
        <v>3.5008273380000001</v>
      </c>
      <c r="H3942" s="2">
        <v>2.7800999999999998E-4</v>
      </c>
      <c r="I3942" s="2" t="s">
        <v>18889</v>
      </c>
      <c r="J3942" s="2" t="s">
        <v>18890</v>
      </c>
      <c r="K3942" s="2">
        <v>7.1551099999999995E-4</v>
      </c>
      <c r="L3942" s="2" t="s">
        <v>1178</v>
      </c>
      <c r="M3942" s="4" t="s">
        <v>18891</v>
      </c>
    </row>
    <row r="3943" spans="1:13">
      <c r="A3943" s="2">
        <v>22551</v>
      </c>
      <c r="B3943" s="2" t="s">
        <v>18892</v>
      </c>
      <c r="C3943" s="2">
        <v>12</v>
      </c>
      <c r="D3943" s="2">
        <v>556</v>
      </c>
      <c r="E3943" s="2">
        <v>200</v>
      </c>
      <c r="F3943" s="2">
        <v>32441</v>
      </c>
      <c r="G3943" s="2">
        <v>3.5008273380000001</v>
      </c>
      <c r="H3943" s="2">
        <v>2.7800999999999998E-4</v>
      </c>
      <c r="I3943" s="2" t="s">
        <v>18893</v>
      </c>
      <c r="J3943" s="2" t="s">
        <v>18894</v>
      </c>
      <c r="K3943" s="2">
        <v>7.1551099999999995E-4</v>
      </c>
      <c r="L3943" s="2" t="s">
        <v>1178</v>
      </c>
      <c r="M3943" s="4" t="s">
        <v>18895</v>
      </c>
    </row>
    <row r="3944" spans="1:13">
      <c r="A3944" s="2">
        <v>2322</v>
      </c>
      <c r="B3944" s="2" t="s">
        <v>18896</v>
      </c>
      <c r="C3944" s="2">
        <v>12</v>
      </c>
      <c r="D3944" s="2">
        <v>556</v>
      </c>
      <c r="E3944" s="2">
        <v>200</v>
      </c>
      <c r="F3944" s="2">
        <v>32441</v>
      </c>
      <c r="G3944" s="2">
        <v>3.5008273380000001</v>
      </c>
      <c r="H3944" s="2">
        <v>2.7800999999999998E-4</v>
      </c>
      <c r="I3944" s="2" t="s">
        <v>18897</v>
      </c>
      <c r="J3944" s="2" t="s">
        <v>18898</v>
      </c>
      <c r="K3944" s="2">
        <v>7.1551099999999995E-4</v>
      </c>
      <c r="L3944" s="2" t="s">
        <v>1178</v>
      </c>
      <c r="M3944" s="4" t="s">
        <v>18899</v>
      </c>
    </row>
    <row r="3945" spans="1:13">
      <c r="A3945" s="2">
        <v>23271</v>
      </c>
      <c r="B3945" s="2" t="s">
        <v>18900</v>
      </c>
      <c r="C3945" s="2">
        <v>12</v>
      </c>
      <c r="D3945" s="2">
        <v>556</v>
      </c>
      <c r="E3945" s="2">
        <v>200</v>
      </c>
      <c r="F3945" s="2">
        <v>32441</v>
      </c>
      <c r="G3945" s="2">
        <v>3.5008273380000001</v>
      </c>
      <c r="H3945" s="2">
        <v>2.7800999999999998E-4</v>
      </c>
      <c r="I3945" s="2" t="s">
        <v>18901</v>
      </c>
      <c r="J3945" s="2" t="s">
        <v>18902</v>
      </c>
      <c r="K3945" s="2">
        <v>7.1551099999999995E-4</v>
      </c>
      <c r="L3945" s="2" t="s">
        <v>1178</v>
      </c>
      <c r="M3945" s="4" t="s">
        <v>18903</v>
      </c>
    </row>
    <row r="3946" spans="1:13">
      <c r="A3946" s="2">
        <v>2338</v>
      </c>
      <c r="B3946" s="2" t="s">
        <v>18904</v>
      </c>
      <c r="C3946" s="2">
        <v>12</v>
      </c>
      <c r="D3946" s="2">
        <v>556</v>
      </c>
      <c r="E3946" s="2">
        <v>200</v>
      </c>
      <c r="F3946" s="2">
        <v>32441</v>
      </c>
      <c r="G3946" s="2">
        <v>3.5008273380000001</v>
      </c>
      <c r="H3946" s="2">
        <v>2.7800999999999998E-4</v>
      </c>
      <c r="I3946" s="2" t="s">
        <v>18905</v>
      </c>
      <c r="J3946" s="2" t="s">
        <v>18906</v>
      </c>
      <c r="K3946" s="2">
        <v>7.1551099999999995E-4</v>
      </c>
      <c r="L3946" s="2" t="s">
        <v>1178</v>
      </c>
      <c r="M3946" s="4" t="s">
        <v>18907</v>
      </c>
    </row>
    <row r="3947" spans="1:13">
      <c r="A3947" s="2">
        <v>2391</v>
      </c>
      <c r="B3947" s="2" t="s">
        <v>18908</v>
      </c>
      <c r="C3947" s="2">
        <v>12</v>
      </c>
      <c r="D3947" s="2">
        <v>556</v>
      </c>
      <c r="E3947" s="2">
        <v>200</v>
      </c>
      <c r="F3947" s="2">
        <v>32441</v>
      </c>
      <c r="G3947" s="2">
        <v>3.5008273380000001</v>
      </c>
      <c r="H3947" s="2">
        <v>2.7800999999999998E-4</v>
      </c>
      <c r="I3947" s="2" t="s">
        <v>18909</v>
      </c>
      <c r="J3947" s="2" t="s">
        <v>18910</v>
      </c>
      <c r="K3947" s="2">
        <v>7.1551099999999995E-4</v>
      </c>
      <c r="L3947" s="2" t="s">
        <v>1178</v>
      </c>
      <c r="M3947" s="4" t="s">
        <v>18911</v>
      </c>
    </row>
    <row r="3948" spans="1:13">
      <c r="A3948" s="2">
        <v>2446</v>
      </c>
      <c r="B3948" s="2" t="s">
        <v>18912</v>
      </c>
      <c r="C3948" s="2">
        <v>12</v>
      </c>
      <c r="D3948" s="2">
        <v>556</v>
      </c>
      <c r="E3948" s="2">
        <v>199</v>
      </c>
      <c r="F3948" s="2">
        <v>32441</v>
      </c>
      <c r="G3948" s="2">
        <v>3.5184194350000002</v>
      </c>
      <c r="H3948" s="2">
        <v>2.66257E-4</v>
      </c>
      <c r="I3948" s="2" t="s">
        <v>18913</v>
      </c>
      <c r="J3948" s="2" t="s">
        <v>18914</v>
      </c>
      <c r="K3948" s="2">
        <v>7.1551099999999995E-4</v>
      </c>
      <c r="L3948" s="2" t="s">
        <v>1178</v>
      </c>
      <c r="M3948" s="4" t="s">
        <v>18915</v>
      </c>
    </row>
    <row r="3949" spans="1:13">
      <c r="A3949" s="2">
        <v>2454</v>
      </c>
      <c r="B3949" s="2" t="s">
        <v>18916</v>
      </c>
      <c r="C3949" s="2">
        <v>12</v>
      </c>
      <c r="D3949" s="2">
        <v>556</v>
      </c>
      <c r="E3949" s="2">
        <v>200</v>
      </c>
      <c r="F3949" s="2">
        <v>32441</v>
      </c>
      <c r="G3949" s="2">
        <v>3.5008273380000001</v>
      </c>
      <c r="H3949" s="2">
        <v>2.7800999999999998E-4</v>
      </c>
      <c r="I3949" s="2" t="s">
        <v>18917</v>
      </c>
      <c r="J3949" s="2" t="s">
        <v>18918</v>
      </c>
      <c r="K3949" s="2">
        <v>7.1551099999999995E-4</v>
      </c>
      <c r="L3949" s="2" t="s">
        <v>1178</v>
      </c>
      <c r="M3949" s="4" t="s">
        <v>18919</v>
      </c>
    </row>
    <row r="3950" spans="1:13">
      <c r="A3950" s="2">
        <v>25511</v>
      </c>
      <c r="B3950" s="2" t="s">
        <v>18920</v>
      </c>
      <c r="C3950" s="2">
        <v>12</v>
      </c>
      <c r="D3950" s="2">
        <v>556</v>
      </c>
      <c r="E3950" s="2">
        <v>200</v>
      </c>
      <c r="F3950" s="2">
        <v>32441</v>
      </c>
      <c r="G3950" s="2">
        <v>3.5008273380000001</v>
      </c>
      <c r="H3950" s="2">
        <v>2.7800999999999998E-4</v>
      </c>
      <c r="I3950" s="2" t="s">
        <v>18921</v>
      </c>
      <c r="J3950" s="2" t="s">
        <v>18922</v>
      </c>
      <c r="K3950" s="2">
        <v>7.1551099999999995E-4</v>
      </c>
      <c r="L3950" s="2" t="s">
        <v>1178</v>
      </c>
      <c r="M3950" s="4" t="s">
        <v>18923</v>
      </c>
    </row>
    <row r="3951" spans="1:13">
      <c r="A3951" s="2">
        <v>2554</v>
      </c>
      <c r="B3951" s="2" t="s">
        <v>18924</v>
      </c>
      <c r="C3951" s="2">
        <v>12</v>
      </c>
      <c r="D3951" s="2">
        <v>556</v>
      </c>
      <c r="E3951" s="2">
        <v>200</v>
      </c>
      <c r="F3951" s="2">
        <v>32441</v>
      </c>
      <c r="G3951" s="2">
        <v>3.5008273380000001</v>
      </c>
      <c r="H3951" s="2">
        <v>2.7800999999999998E-4</v>
      </c>
      <c r="I3951" s="2" t="s">
        <v>18925</v>
      </c>
      <c r="J3951" s="2" t="s">
        <v>18926</v>
      </c>
      <c r="K3951" s="2">
        <v>7.1551099999999995E-4</v>
      </c>
      <c r="L3951" s="2" t="s">
        <v>1178</v>
      </c>
      <c r="M3951" s="4" t="s">
        <v>18927</v>
      </c>
    </row>
    <row r="3952" spans="1:13">
      <c r="A3952" s="2">
        <v>25601</v>
      </c>
      <c r="B3952" s="2" t="s">
        <v>18928</v>
      </c>
      <c r="C3952" s="2">
        <v>12</v>
      </c>
      <c r="D3952" s="2">
        <v>556</v>
      </c>
      <c r="E3952" s="2">
        <v>199</v>
      </c>
      <c r="F3952" s="2">
        <v>32441</v>
      </c>
      <c r="G3952" s="2">
        <v>3.5184194350000002</v>
      </c>
      <c r="H3952" s="2">
        <v>2.66257E-4</v>
      </c>
      <c r="I3952" s="2" t="s">
        <v>18929</v>
      </c>
      <c r="J3952" s="2" t="s">
        <v>18930</v>
      </c>
      <c r="K3952" s="2">
        <v>7.1551099999999995E-4</v>
      </c>
      <c r="L3952" s="2" t="s">
        <v>1178</v>
      </c>
      <c r="M3952" s="4" t="s">
        <v>18931</v>
      </c>
    </row>
    <row r="3953" spans="1:13">
      <c r="A3953" s="2">
        <v>2573</v>
      </c>
      <c r="B3953" s="2" t="s">
        <v>18932</v>
      </c>
      <c r="C3953" s="2">
        <v>12</v>
      </c>
      <c r="D3953" s="2">
        <v>556</v>
      </c>
      <c r="E3953" s="2">
        <v>200</v>
      </c>
      <c r="F3953" s="2">
        <v>32441</v>
      </c>
      <c r="G3953" s="2">
        <v>3.5008273380000001</v>
      </c>
      <c r="H3953" s="2">
        <v>2.7800999999999998E-4</v>
      </c>
      <c r="I3953" s="2" t="s">
        <v>18933</v>
      </c>
      <c r="J3953" s="2" t="s">
        <v>18934</v>
      </c>
      <c r="K3953" s="2">
        <v>7.1551099999999995E-4</v>
      </c>
      <c r="L3953" s="2" t="s">
        <v>1178</v>
      </c>
      <c r="M3953" s="4" t="s">
        <v>18935</v>
      </c>
    </row>
    <row r="3954" spans="1:13">
      <c r="A3954" s="2">
        <v>2586</v>
      </c>
      <c r="B3954" s="2" t="s">
        <v>18936</v>
      </c>
      <c r="C3954" s="2">
        <v>12</v>
      </c>
      <c r="D3954" s="2">
        <v>556</v>
      </c>
      <c r="E3954" s="2">
        <v>199</v>
      </c>
      <c r="F3954" s="2">
        <v>32441</v>
      </c>
      <c r="G3954" s="2">
        <v>3.5184194350000002</v>
      </c>
      <c r="H3954" s="2">
        <v>2.66257E-4</v>
      </c>
      <c r="I3954" s="2" t="s">
        <v>18937</v>
      </c>
      <c r="J3954" s="2" t="s">
        <v>18938</v>
      </c>
      <c r="K3954" s="2">
        <v>7.1551099999999995E-4</v>
      </c>
      <c r="L3954" s="2" t="s">
        <v>1178</v>
      </c>
      <c r="M3954" s="4" t="s">
        <v>18939</v>
      </c>
    </row>
    <row r="3955" spans="1:13">
      <c r="A3955" s="2">
        <v>26261</v>
      </c>
      <c r="B3955" s="2" t="s">
        <v>18940</v>
      </c>
      <c r="C3955" s="2">
        <v>12</v>
      </c>
      <c r="D3955" s="2">
        <v>556</v>
      </c>
      <c r="E3955" s="2">
        <v>200</v>
      </c>
      <c r="F3955" s="2">
        <v>32441</v>
      </c>
      <c r="G3955" s="2">
        <v>3.5008273380000001</v>
      </c>
      <c r="H3955" s="2">
        <v>2.7800999999999998E-4</v>
      </c>
      <c r="I3955" s="2" t="s">
        <v>18941</v>
      </c>
      <c r="J3955" s="2" t="s">
        <v>18942</v>
      </c>
      <c r="K3955" s="2">
        <v>7.1551099999999995E-4</v>
      </c>
      <c r="L3955" s="2" t="s">
        <v>1178</v>
      </c>
      <c r="M3955" s="4" t="s">
        <v>18943</v>
      </c>
    </row>
    <row r="3956" spans="1:13">
      <c r="A3956" s="2">
        <v>2651</v>
      </c>
      <c r="B3956" s="2" t="s">
        <v>18944</v>
      </c>
      <c r="C3956" s="2">
        <v>12</v>
      </c>
      <c r="D3956" s="2">
        <v>556</v>
      </c>
      <c r="E3956" s="2">
        <v>200</v>
      </c>
      <c r="F3956" s="2">
        <v>32441</v>
      </c>
      <c r="G3956" s="2">
        <v>3.5008273380000001</v>
      </c>
      <c r="H3956" s="2">
        <v>2.7800999999999998E-4</v>
      </c>
      <c r="I3956" s="2" t="s">
        <v>18945</v>
      </c>
      <c r="J3956" s="2" t="s">
        <v>18946</v>
      </c>
      <c r="K3956" s="2">
        <v>7.1551099999999995E-4</v>
      </c>
      <c r="L3956" s="2" t="s">
        <v>1178</v>
      </c>
      <c r="M3956" s="4" t="s">
        <v>18947</v>
      </c>
    </row>
    <row r="3957" spans="1:13">
      <c r="A3957" s="2">
        <v>2689</v>
      </c>
      <c r="B3957" s="2" t="s">
        <v>18948</v>
      </c>
      <c r="C3957" s="2">
        <v>12</v>
      </c>
      <c r="D3957" s="2">
        <v>556</v>
      </c>
      <c r="E3957" s="2">
        <v>200</v>
      </c>
      <c r="F3957" s="2">
        <v>32441</v>
      </c>
      <c r="G3957" s="2">
        <v>3.5008273380000001</v>
      </c>
      <c r="H3957" s="2">
        <v>2.7800999999999998E-4</v>
      </c>
      <c r="I3957" s="2" t="s">
        <v>18949</v>
      </c>
      <c r="J3957" s="2" t="s">
        <v>18950</v>
      </c>
      <c r="K3957" s="2">
        <v>7.1551099999999995E-4</v>
      </c>
      <c r="L3957" s="2" t="s">
        <v>1178</v>
      </c>
      <c r="M3957" s="4" t="s">
        <v>18951</v>
      </c>
    </row>
    <row r="3958" spans="1:13">
      <c r="A3958" s="2">
        <v>2845</v>
      </c>
      <c r="B3958" s="2" t="s">
        <v>18952</v>
      </c>
      <c r="C3958" s="2">
        <v>12</v>
      </c>
      <c r="D3958" s="2">
        <v>556</v>
      </c>
      <c r="E3958" s="2">
        <v>200</v>
      </c>
      <c r="F3958" s="2">
        <v>32441</v>
      </c>
      <c r="G3958" s="2">
        <v>3.5008273380000001</v>
      </c>
      <c r="H3958" s="2">
        <v>2.7800999999999998E-4</v>
      </c>
      <c r="I3958" s="2" t="s">
        <v>18953</v>
      </c>
      <c r="J3958" s="2" t="s">
        <v>18954</v>
      </c>
      <c r="K3958" s="2">
        <v>7.1551099999999995E-4</v>
      </c>
      <c r="L3958" s="2" t="s">
        <v>1178</v>
      </c>
      <c r="M3958" s="4" t="s">
        <v>18955</v>
      </c>
    </row>
    <row r="3959" spans="1:13">
      <c r="A3959" s="2">
        <v>28631</v>
      </c>
      <c r="B3959" s="2" t="s">
        <v>18956</v>
      </c>
      <c r="C3959" s="2">
        <v>12</v>
      </c>
      <c r="D3959" s="2">
        <v>556</v>
      </c>
      <c r="E3959" s="2">
        <v>200</v>
      </c>
      <c r="F3959" s="2">
        <v>32441</v>
      </c>
      <c r="G3959" s="2">
        <v>3.5008273380000001</v>
      </c>
      <c r="H3959" s="2">
        <v>2.7800999999999998E-4</v>
      </c>
      <c r="I3959" s="2" t="s">
        <v>18957</v>
      </c>
      <c r="J3959" s="2" t="s">
        <v>18958</v>
      </c>
      <c r="K3959" s="2">
        <v>7.1551099999999995E-4</v>
      </c>
      <c r="L3959" s="2" t="s">
        <v>1178</v>
      </c>
      <c r="M3959" s="4" t="s">
        <v>18959</v>
      </c>
    </row>
    <row r="3960" spans="1:13">
      <c r="A3960" s="2">
        <v>28641</v>
      </c>
      <c r="B3960" s="2" t="s">
        <v>18960</v>
      </c>
      <c r="C3960" s="2">
        <v>12</v>
      </c>
      <c r="D3960" s="2">
        <v>556</v>
      </c>
      <c r="E3960" s="2">
        <v>200</v>
      </c>
      <c r="F3960" s="2">
        <v>32441</v>
      </c>
      <c r="G3960" s="2">
        <v>3.5008273380000001</v>
      </c>
      <c r="H3960" s="2">
        <v>2.7800999999999998E-4</v>
      </c>
      <c r="I3960" s="2" t="s">
        <v>18961</v>
      </c>
      <c r="J3960" s="2" t="s">
        <v>18962</v>
      </c>
      <c r="K3960" s="2">
        <v>7.1551099999999995E-4</v>
      </c>
      <c r="L3960" s="2" t="s">
        <v>1178</v>
      </c>
      <c r="M3960" s="4" t="s">
        <v>18963</v>
      </c>
    </row>
    <row r="3961" spans="1:13">
      <c r="A3961" s="2">
        <v>29111</v>
      </c>
      <c r="B3961" s="2" t="s">
        <v>18964</v>
      </c>
      <c r="C3961" s="2">
        <v>12</v>
      </c>
      <c r="D3961" s="2">
        <v>556</v>
      </c>
      <c r="E3961" s="2">
        <v>200</v>
      </c>
      <c r="F3961" s="2">
        <v>32441</v>
      </c>
      <c r="G3961" s="2">
        <v>3.5008273380000001</v>
      </c>
      <c r="H3961" s="2">
        <v>2.7800999999999998E-4</v>
      </c>
      <c r="I3961" s="2" t="s">
        <v>18965</v>
      </c>
      <c r="J3961" s="2" t="s">
        <v>18966</v>
      </c>
      <c r="K3961" s="2">
        <v>7.1551099999999995E-4</v>
      </c>
      <c r="L3961" s="2" t="s">
        <v>1178</v>
      </c>
      <c r="M3961" s="4" t="s">
        <v>18967</v>
      </c>
    </row>
    <row r="3962" spans="1:13">
      <c r="A3962" s="2">
        <v>29371</v>
      </c>
      <c r="B3962" s="2" t="s">
        <v>18968</v>
      </c>
      <c r="C3962" s="2">
        <v>12</v>
      </c>
      <c r="D3962" s="2">
        <v>556</v>
      </c>
      <c r="E3962" s="2">
        <v>200</v>
      </c>
      <c r="F3962" s="2">
        <v>32441</v>
      </c>
      <c r="G3962" s="2">
        <v>3.5008273380000001</v>
      </c>
      <c r="H3962" s="2">
        <v>2.7800999999999998E-4</v>
      </c>
      <c r="I3962" s="2" t="s">
        <v>18969</v>
      </c>
      <c r="J3962" s="2" t="s">
        <v>18970</v>
      </c>
      <c r="K3962" s="2">
        <v>7.1551099999999995E-4</v>
      </c>
      <c r="L3962" s="2" t="s">
        <v>1178</v>
      </c>
      <c r="M3962" s="4" t="s">
        <v>18971</v>
      </c>
    </row>
    <row r="3963" spans="1:13">
      <c r="A3963" s="2">
        <v>2945</v>
      </c>
      <c r="B3963" s="2" t="s">
        <v>18972</v>
      </c>
      <c r="C3963" s="2">
        <v>12</v>
      </c>
      <c r="D3963" s="2">
        <v>556</v>
      </c>
      <c r="E3963" s="2">
        <v>200</v>
      </c>
      <c r="F3963" s="2">
        <v>32441</v>
      </c>
      <c r="G3963" s="2">
        <v>3.5008273380000001</v>
      </c>
      <c r="H3963" s="2">
        <v>2.7800999999999998E-4</v>
      </c>
      <c r="I3963" s="2" t="s">
        <v>18973</v>
      </c>
      <c r="J3963" s="2" t="s">
        <v>18974</v>
      </c>
      <c r="K3963" s="2">
        <v>7.1551099999999995E-4</v>
      </c>
      <c r="L3963" s="2" t="s">
        <v>1178</v>
      </c>
      <c r="M3963" s="4" t="s">
        <v>18975</v>
      </c>
    </row>
    <row r="3964" spans="1:13">
      <c r="A3964" s="2">
        <v>29731</v>
      </c>
      <c r="B3964" s="2" t="s">
        <v>18976</v>
      </c>
      <c r="C3964" s="2">
        <v>12</v>
      </c>
      <c r="D3964" s="2">
        <v>556</v>
      </c>
      <c r="E3964" s="2">
        <v>200</v>
      </c>
      <c r="F3964" s="2">
        <v>32441</v>
      </c>
      <c r="G3964" s="2">
        <v>3.5008273380000001</v>
      </c>
      <c r="H3964" s="2">
        <v>2.7800999999999998E-4</v>
      </c>
      <c r="I3964" s="2" t="s">
        <v>18977</v>
      </c>
      <c r="J3964" s="2" t="s">
        <v>18978</v>
      </c>
      <c r="K3964" s="2">
        <v>7.1551099999999995E-4</v>
      </c>
      <c r="L3964" s="2" t="s">
        <v>1178</v>
      </c>
      <c r="M3964" s="4" t="s">
        <v>18979</v>
      </c>
    </row>
    <row r="3965" spans="1:13">
      <c r="A3965" s="2">
        <v>3001</v>
      </c>
      <c r="B3965" s="2" t="s">
        <v>18980</v>
      </c>
      <c r="C3965" s="2">
        <v>12</v>
      </c>
      <c r="D3965" s="2">
        <v>556</v>
      </c>
      <c r="E3965" s="2">
        <v>200</v>
      </c>
      <c r="F3965" s="2">
        <v>32441</v>
      </c>
      <c r="G3965" s="2">
        <v>3.5008273380000001</v>
      </c>
      <c r="H3965" s="2">
        <v>2.7800999999999998E-4</v>
      </c>
      <c r="I3965" s="2" t="s">
        <v>18981</v>
      </c>
      <c r="J3965" s="2" t="s">
        <v>18982</v>
      </c>
      <c r="K3965" s="2">
        <v>7.1551099999999995E-4</v>
      </c>
      <c r="L3965" s="2" t="s">
        <v>1178</v>
      </c>
      <c r="M3965" s="4" t="s">
        <v>18983</v>
      </c>
    </row>
    <row r="3966" spans="1:13">
      <c r="A3966" s="2">
        <v>3018</v>
      </c>
      <c r="B3966" s="2" t="s">
        <v>18984</v>
      </c>
      <c r="C3966" s="2">
        <v>12</v>
      </c>
      <c r="D3966" s="2">
        <v>556</v>
      </c>
      <c r="E3966" s="2">
        <v>200</v>
      </c>
      <c r="F3966" s="2">
        <v>32441</v>
      </c>
      <c r="G3966" s="2">
        <v>3.5008273380000001</v>
      </c>
      <c r="H3966" s="2">
        <v>2.7800999999999998E-4</v>
      </c>
      <c r="I3966" s="2" t="s">
        <v>18985</v>
      </c>
      <c r="J3966" s="2" t="s">
        <v>18986</v>
      </c>
      <c r="K3966" s="2">
        <v>7.1551099999999995E-4</v>
      </c>
      <c r="L3966" s="2" t="s">
        <v>1178</v>
      </c>
      <c r="M3966" s="4" t="s">
        <v>18987</v>
      </c>
    </row>
    <row r="3967" spans="1:13">
      <c r="A3967" s="2">
        <v>3026</v>
      </c>
      <c r="B3967" s="2" t="s">
        <v>18988</v>
      </c>
      <c r="C3967" s="2">
        <v>12</v>
      </c>
      <c r="D3967" s="2">
        <v>556</v>
      </c>
      <c r="E3967" s="2">
        <v>200</v>
      </c>
      <c r="F3967" s="2">
        <v>32441</v>
      </c>
      <c r="G3967" s="2">
        <v>3.5008273380000001</v>
      </c>
      <c r="H3967" s="2">
        <v>2.7800999999999998E-4</v>
      </c>
      <c r="I3967" s="2" t="s">
        <v>18989</v>
      </c>
      <c r="J3967" s="2" t="s">
        <v>18990</v>
      </c>
      <c r="K3967" s="2">
        <v>7.1551099999999995E-4</v>
      </c>
      <c r="L3967" s="2" t="s">
        <v>1178</v>
      </c>
      <c r="M3967" s="4" t="s">
        <v>18991</v>
      </c>
    </row>
    <row r="3968" spans="1:13">
      <c r="A3968" s="2">
        <v>3046</v>
      </c>
      <c r="B3968" s="2" t="s">
        <v>18992</v>
      </c>
      <c r="C3968" s="2">
        <v>12</v>
      </c>
      <c r="D3968" s="2">
        <v>556</v>
      </c>
      <c r="E3968" s="2">
        <v>200</v>
      </c>
      <c r="F3968" s="2">
        <v>32441</v>
      </c>
      <c r="G3968" s="2">
        <v>3.5008273380000001</v>
      </c>
      <c r="H3968" s="2">
        <v>2.7800999999999998E-4</v>
      </c>
      <c r="I3968" s="2" t="s">
        <v>18993</v>
      </c>
      <c r="J3968" s="2" t="s">
        <v>18994</v>
      </c>
      <c r="K3968" s="2">
        <v>7.1551099999999995E-4</v>
      </c>
      <c r="L3968" s="2" t="s">
        <v>1178</v>
      </c>
      <c r="M3968" s="4" t="s">
        <v>18995</v>
      </c>
    </row>
    <row r="3969" spans="1:13">
      <c r="A3969" s="2">
        <v>3055</v>
      </c>
      <c r="B3969" s="2" t="s">
        <v>18996</v>
      </c>
      <c r="C3969" s="2">
        <v>12</v>
      </c>
      <c r="D3969" s="2">
        <v>556</v>
      </c>
      <c r="E3969" s="2">
        <v>200</v>
      </c>
      <c r="F3969" s="2">
        <v>32441</v>
      </c>
      <c r="G3969" s="2">
        <v>3.5008273380000001</v>
      </c>
      <c r="H3969" s="2">
        <v>2.7800999999999998E-4</v>
      </c>
      <c r="I3969" s="2" t="s">
        <v>18997</v>
      </c>
      <c r="J3969" s="2" t="s">
        <v>18998</v>
      </c>
      <c r="K3969" s="2">
        <v>7.1551099999999995E-4</v>
      </c>
      <c r="L3969" s="2" t="s">
        <v>1178</v>
      </c>
      <c r="M3969" s="4" t="s">
        <v>18999</v>
      </c>
    </row>
    <row r="3970" spans="1:13">
      <c r="A3970" s="2">
        <v>3090</v>
      </c>
      <c r="B3970" s="2" t="s">
        <v>19000</v>
      </c>
      <c r="C3970" s="2">
        <v>12</v>
      </c>
      <c r="D3970" s="2">
        <v>556</v>
      </c>
      <c r="E3970" s="2">
        <v>200</v>
      </c>
      <c r="F3970" s="2">
        <v>32441</v>
      </c>
      <c r="G3970" s="2">
        <v>3.5008273380000001</v>
      </c>
      <c r="H3970" s="2">
        <v>2.7800999999999998E-4</v>
      </c>
      <c r="I3970" s="2" t="s">
        <v>19001</v>
      </c>
      <c r="J3970" s="2" t="s">
        <v>19002</v>
      </c>
      <c r="K3970" s="2">
        <v>7.1551099999999995E-4</v>
      </c>
      <c r="L3970" s="2" t="s">
        <v>1178</v>
      </c>
      <c r="M3970" s="4" t="s">
        <v>19003</v>
      </c>
    </row>
    <row r="3971" spans="1:13">
      <c r="A3971" s="2">
        <v>30931</v>
      </c>
      <c r="B3971" s="2" t="s">
        <v>19004</v>
      </c>
      <c r="C3971" s="2">
        <v>12</v>
      </c>
      <c r="D3971" s="2">
        <v>556</v>
      </c>
      <c r="E3971" s="2">
        <v>200</v>
      </c>
      <c r="F3971" s="2">
        <v>32441</v>
      </c>
      <c r="G3971" s="2">
        <v>3.5008273380000001</v>
      </c>
      <c r="H3971" s="2">
        <v>2.7800999999999998E-4</v>
      </c>
      <c r="I3971" s="2" t="s">
        <v>19005</v>
      </c>
      <c r="J3971" s="2" t="s">
        <v>19006</v>
      </c>
      <c r="K3971" s="2">
        <v>7.1551099999999995E-4</v>
      </c>
      <c r="L3971" s="2" t="s">
        <v>1178</v>
      </c>
      <c r="M3971" s="4" t="s">
        <v>19007</v>
      </c>
    </row>
    <row r="3972" spans="1:13">
      <c r="A3972" s="2">
        <v>31111</v>
      </c>
      <c r="B3972" s="2" t="s">
        <v>19008</v>
      </c>
      <c r="C3972" s="2">
        <v>12</v>
      </c>
      <c r="D3972" s="2">
        <v>556</v>
      </c>
      <c r="E3972" s="2">
        <v>200</v>
      </c>
      <c r="F3972" s="2">
        <v>32441</v>
      </c>
      <c r="G3972" s="2">
        <v>3.5008273380000001</v>
      </c>
      <c r="H3972" s="2">
        <v>2.7800999999999998E-4</v>
      </c>
      <c r="I3972" s="2" t="s">
        <v>19009</v>
      </c>
      <c r="J3972" s="2" t="s">
        <v>19010</v>
      </c>
      <c r="K3972" s="2">
        <v>7.1551099999999995E-4</v>
      </c>
      <c r="L3972" s="2" t="s">
        <v>1178</v>
      </c>
      <c r="M3972" s="4" t="s">
        <v>19011</v>
      </c>
    </row>
    <row r="3973" spans="1:13">
      <c r="A3973" s="2">
        <v>3116</v>
      </c>
      <c r="B3973" s="2" t="s">
        <v>19012</v>
      </c>
      <c r="C3973" s="2">
        <v>12</v>
      </c>
      <c r="D3973" s="2">
        <v>556</v>
      </c>
      <c r="E3973" s="2">
        <v>200</v>
      </c>
      <c r="F3973" s="2">
        <v>32441</v>
      </c>
      <c r="G3973" s="2">
        <v>3.5008273380000001</v>
      </c>
      <c r="H3973" s="2">
        <v>2.7800999999999998E-4</v>
      </c>
      <c r="I3973" s="2" t="s">
        <v>19013</v>
      </c>
      <c r="J3973" s="2" t="s">
        <v>19014</v>
      </c>
      <c r="K3973" s="2">
        <v>7.1551099999999995E-4</v>
      </c>
      <c r="L3973" s="2" t="s">
        <v>1178</v>
      </c>
      <c r="M3973" s="4" t="s">
        <v>19015</v>
      </c>
    </row>
    <row r="3974" spans="1:13">
      <c r="A3974" s="2">
        <v>3164</v>
      </c>
      <c r="B3974" s="2" t="s">
        <v>19016</v>
      </c>
      <c r="C3974" s="2">
        <v>12</v>
      </c>
      <c r="D3974" s="2">
        <v>556</v>
      </c>
      <c r="E3974" s="2">
        <v>200</v>
      </c>
      <c r="F3974" s="2">
        <v>32441</v>
      </c>
      <c r="G3974" s="2">
        <v>3.5008273380000001</v>
      </c>
      <c r="H3974" s="2">
        <v>2.7800999999999998E-4</v>
      </c>
      <c r="I3974" s="2" t="s">
        <v>19017</v>
      </c>
      <c r="J3974" s="2" t="s">
        <v>19018</v>
      </c>
      <c r="K3974" s="2">
        <v>7.1551099999999995E-4</v>
      </c>
      <c r="L3974" s="2" t="s">
        <v>1178</v>
      </c>
      <c r="M3974" s="4" t="s">
        <v>19019</v>
      </c>
    </row>
    <row r="3975" spans="1:13">
      <c r="A3975" s="2">
        <v>3219</v>
      </c>
      <c r="B3975" s="2" t="s">
        <v>3126</v>
      </c>
      <c r="C3975" s="2">
        <v>12</v>
      </c>
      <c r="D3975" s="2">
        <v>556</v>
      </c>
      <c r="E3975" s="2">
        <v>200</v>
      </c>
      <c r="F3975" s="2">
        <v>32441</v>
      </c>
      <c r="G3975" s="2">
        <v>3.5008273380000001</v>
      </c>
      <c r="H3975" s="2">
        <v>2.7800999999999998E-4</v>
      </c>
      <c r="I3975" s="2" t="s">
        <v>19020</v>
      </c>
      <c r="J3975" s="2" t="s">
        <v>19021</v>
      </c>
      <c r="K3975" s="2">
        <v>7.1551099999999995E-4</v>
      </c>
      <c r="L3975" s="2" t="s">
        <v>1178</v>
      </c>
      <c r="M3975" s="4" t="s">
        <v>3129</v>
      </c>
    </row>
    <row r="3976" spans="1:13">
      <c r="A3976" s="2">
        <v>3227</v>
      </c>
      <c r="B3976" s="2" t="s">
        <v>2235</v>
      </c>
      <c r="C3976" s="2">
        <v>12</v>
      </c>
      <c r="D3976" s="2">
        <v>556</v>
      </c>
      <c r="E3976" s="2">
        <v>200</v>
      </c>
      <c r="F3976" s="2">
        <v>32441</v>
      </c>
      <c r="G3976" s="2">
        <v>3.5008273380000001</v>
      </c>
      <c r="H3976" s="2">
        <v>2.7800999999999998E-4</v>
      </c>
      <c r="I3976" s="2" t="s">
        <v>19022</v>
      </c>
      <c r="J3976" s="2" t="s">
        <v>19023</v>
      </c>
      <c r="K3976" s="2">
        <v>7.1551099999999995E-4</v>
      </c>
      <c r="L3976" s="2" t="s">
        <v>1178</v>
      </c>
      <c r="M3976" s="4" t="s">
        <v>19024</v>
      </c>
    </row>
    <row r="3977" spans="1:13">
      <c r="A3977" s="2">
        <v>3313</v>
      </c>
      <c r="B3977" s="2" t="s">
        <v>19025</v>
      </c>
      <c r="C3977" s="2">
        <v>12</v>
      </c>
      <c r="D3977" s="2">
        <v>556</v>
      </c>
      <c r="E3977" s="2">
        <v>200</v>
      </c>
      <c r="F3977" s="2">
        <v>32441</v>
      </c>
      <c r="G3977" s="2">
        <v>3.5008273380000001</v>
      </c>
      <c r="H3977" s="2">
        <v>2.7800999999999998E-4</v>
      </c>
      <c r="I3977" s="2" t="s">
        <v>19026</v>
      </c>
      <c r="J3977" s="2" t="s">
        <v>19027</v>
      </c>
      <c r="K3977" s="2">
        <v>7.1551099999999995E-4</v>
      </c>
      <c r="L3977" s="2" t="s">
        <v>1178</v>
      </c>
      <c r="M3977" s="4" t="s">
        <v>19028</v>
      </c>
    </row>
    <row r="3978" spans="1:13">
      <c r="A3978" s="2">
        <v>3322</v>
      </c>
      <c r="B3978" s="2" t="s">
        <v>19029</v>
      </c>
      <c r="C3978" s="2">
        <v>12</v>
      </c>
      <c r="D3978" s="2">
        <v>556</v>
      </c>
      <c r="E3978" s="2">
        <v>200</v>
      </c>
      <c r="F3978" s="2">
        <v>32441</v>
      </c>
      <c r="G3978" s="2">
        <v>3.5008273380000001</v>
      </c>
      <c r="H3978" s="2">
        <v>2.7800999999999998E-4</v>
      </c>
      <c r="I3978" s="2" t="s">
        <v>19030</v>
      </c>
      <c r="J3978" s="2" t="s">
        <v>19031</v>
      </c>
      <c r="K3978" s="2">
        <v>7.1551099999999995E-4</v>
      </c>
      <c r="L3978" s="2" t="s">
        <v>1178</v>
      </c>
      <c r="M3978" s="4" t="s">
        <v>19032</v>
      </c>
    </row>
    <row r="3979" spans="1:13">
      <c r="A3979" s="2">
        <v>3333</v>
      </c>
      <c r="B3979" s="2" t="s">
        <v>19033</v>
      </c>
      <c r="C3979" s="2">
        <v>12</v>
      </c>
      <c r="D3979" s="2">
        <v>556</v>
      </c>
      <c r="E3979" s="2">
        <v>200</v>
      </c>
      <c r="F3979" s="2">
        <v>32441</v>
      </c>
      <c r="G3979" s="2">
        <v>3.5008273380000001</v>
      </c>
      <c r="H3979" s="2">
        <v>2.7800999999999998E-4</v>
      </c>
      <c r="I3979" s="2" t="s">
        <v>19034</v>
      </c>
      <c r="J3979" s="2" t="s">
        <v>19035</v>
      </c>
      <c r="K3979" s="2">
        <v>7.1551099999999995E-4</v>
      </c>
      <c r="L3979" s="2" t="s">
        <v>1178</v>
      </c>
      <c r="M3979" s="4" t="s">
        <v>19036</v>
      </c>
    </row>
    <row r="3980" spans="1:13">
      <c r="A3980" s="2">
        <v>3336</v>
      </c>
      <c r="B3980" s="2" t="s">
        <v>19037</v>
      </c>
      <c r="C3980" s="2">
        <v>12</v>
      </c>
      <c r="D3980" s="2">
        <v>556</v>
      </c>
      <c r="E3980" s="2">
        <v>198</v>
      </c>
      <c r="F3980" s="2">
        <v>32441</v>
      </c>
      <c r="G3980" s="2">
        <v>3.5361892300000002</v>
      </c>
      <c r="H3980" s="2">
        <v>2.5493E-4</v>
      </c>
      <c r="I3980" s="2" t="s">
        <v>19038</v>
      </c>
      <c r="J3980" s="2" t="s">
        <v>19039</v>
      </c>
      <c r="K3980" s="2">
        <v>7.1551099999999995E-4</v>
      </c>
      <c r="L3980" s="2" t="s">
        <v>1178</v>
      </c>
      <c r="M3980" s="4" t="s">
        <v>19040</v>
      </c>
    </row>
    <row r="3981" spans="1:13">
      <c r="A3981" s="2">
        <v>3349</v>
      </c>
      <c r="B3981" s="2" t="s">
        <v>19041</v>
      </c>
      <c r="C3981" s="2">
        <v>12</v>
      </c>
      <c r="D3981" s="2">
        <v>556</v>
      </c>
      <c r="E3981" s="2">
        <v>200</v>
      </c>
      <c r="F3981" s="2">
        <v>32441</v>
      </c>
      <c r="G3981" s="2">
        <v>3.5008273380000001</v>
      </c>
      <c r="H3981" s="2">
        <v>2.7800999999999998E-4</v>
      </c>
      <c r="I3981" s="2" t="s">
        <v>19042</v>
      </c>
      <c r="J3981" s="2" t="s">
        <v>19043</v>
      </c>
      <c r="K3981" s="2">
        <v>7.1551099999999995E-4</v>
      </c>
      <c r="L3981" s="2" t="s">
        <v>1178</v>
      </c>
      <c r="M3981" s="4" t="s">
        <v>19044</v>
      </c>
    </row>
    <row r="3982" spans="1:13">
      <c r="A3982" s="2">
        <v>33541</v>
      </c>
      <c r="B3982" s="2" t="s">
        <v>19045</v>
      </c>
      <c r="C3982" s="2">
        <v>12</v>
      </c>
      <c r="D3982" s="2">
        <v>556</v>
      </c>
      <c r="E3982" s="2">
        <v>199</v>
      </c>
      <c r="F3982" s="2">
        <v>32441</v>
      </c>
      <c r="G3982" s="2">
        <v>3.5184194350000002</v>
      </c>
      <c r="H3982" s="2">
        <v>2.66257E-4</v>
      </c>
      <c r="I3982" s="2" t="s">
        <v>19046</v>
      </c>
      <c r="J3982" s="2" t="s">
        <v>19047</v>
      </c>
      <c r="K3982" s="2">
        <v>7.1551099999999995E-4</v>
      </c>
      <c r="L3982" s="2" t="s">
        <v>1178</v>
      </c>
      <c r="M3982" s="4" t="s">
        <v>19048</v>
      </c>
    </row>
    <row r="3983" spans="1:13">
      <c r="A3983" s="2">
        <v>3393</v>
      </c>
      <c r="B3983" s="2" t="s">
        <v>19049</v>
      </c>
      <c r="C3983" s="2">
        <v>12</v>
      </c>
      <c r="D3983" s="2">
        <v>556</v>
      </c>
      <c r="E3983" s="2">
        <v>200</v>
      </c>
      <c r="F3983" s="2">
        <v>32441</v>
      </c>
      <c r="G3983" s="2">
        <v>3.5008273380000001</v>
      </c>
      <c r="H3983" s="2">
        <v>2.7800999999999998E-4</v>
      </c>
      <c r="I3983" s="2" t="s">
        <v>19050</v>
      </c>
      <c r="J3983" s="2" t="s">
        <v>19051</v>
      </c>
      <c r="K3983" s="2">
        <v>7.1551099999999995E-4</v>
      </c>
      <c r="L3983" s="2" t="s">
        <v>1178</v>
      </c>
      <c r="M3983" s="4" t="s">
        <v>19052</v>
      </c>
    </row>
    <row r="3984" spans="1:13">
      <c r="A3984" s="2">
        <v>3432</v>
      </c>
      <c r="B3984" s="2" t="s">
        <v>19053</v>
      </c>
      <c r="C3984" s="2">
        <v>12</v>
      </c>
      <c r="D3984" s="2">
        <v>556</v>
      </c>
      <c r="E3984" s="2">
        <v>199</v>
      </c>
      <c r="F3984" s="2">
        <v>32441</v>
      </c>
      <c r="G3984" s="2">
        <v>3.5184194350000002</v>
      </c>
      <c r="H3984" s="2">
        <v>2.66257E-4</v>
      </c>
      <c r="I3984" s="2" t="s">
        <v>19054</v>
      </c>
      <c r="J3984" s="2" t="s">
        <v>19055</v>
      </c>
      <c r="K3984" s="2">
        <v>7.1551099999999995E-4</v>
      </c>
      <c r="L3984" s="2" t="s">
        <v>1178</v>
      </c>
      <c r="M3984" s="4" t="s">
        <v>19056</v>
      </c>
    </row>
    <row r="3985" spans="1:13">
      <c r="A3985" s="2">
        <v>3485</v>
      </c>
      <c r="B3985" s="2" t="s">
        <v>19057</v>
      </c>
      <c r="C3985" s="2">
        <v>12</v>
      </c>
      <c r="D3985" s="2">
        <v>556</v>
      </c>
      <c r="E3985" s="2">
        <v>200</v>
      </c>
      <c r="F3985" s="2">
        <v>32441</v>
      </c>
      <c r="G3985" s="2">
        <v>3.5008273380000001</v>
      </c>
      <c r="H3985" s="2">
        <v>2.7800999999999998E-4</v>
      </c>
      <c r="I3985" s="2" t="s">
        <v>19058</v>
      </c>
      <c r="J3985" s="2" t="s">
        <v>19059</v>
      </c>
      <c r="K3985" s="2">
        <v>7.1551099999999995E-4</v>
      </c>
      <c r="L3985" s="2" t="s">
        <v>1178</v>
      </c>
      <c r="M3985" s="4" t="s">
        <v>19060</v>
      </c>
    </row>
    <row r="3986" spans="1:13">
      <c r="A3986" s="2">
        <v>34871</v>
      </c>
      <c r="B3986" s="2" t="s">
        <v>19061</v>
      </c>
      <c r="C3986" s="2">
        <v>12</v>
      </c>
      <c r="D3986" s="2">
        <v>556</v>
      </c>
      <c r="E3986" s="2">
        <v>200</v>
      </c>
      <c r="F3986" s="2">
        <v>32441</v>
      </c>
      <c r="G3986" s="2">
        <v>3.5008273380000001</v>
      </c>
      <c r="H3986" s="2">
        <v>2.7800999999999998E-4</v>
      </c>
      <c r="I3986" s="2" t="s">
        <v>19062</v>
      </c>
      <c r="J3986" s="2" t="s">
        <v>19063</v>
      </c>
      <c r="K3986" s="2">
        <v>7.1551099999999995E-4</v>
      </c>
      <c r="L3986" s="2" t="s">
        <v>1178</v>
      </c>
      <c r="M3986" s="4" t="s">
        <v>19064</v>
      </c>
    </row>
    <row r="3987" spans="1:13">
      <c r="A3987" s="2">
        <v>35101</v>
      </c>
      <c r="B3987" s="2" t="s">
        <v>19065</v>
      </c>
      <c r="C3987" s="2">
        <v>12</v>
      </c>
      <c r="D3987" s="2">
        <v>556</v>
      </c>
      <c r="E3987" s="2">
        <v>200</v>
      </c>
      <c r="F3987" s="2">
        <v>32441</v>
      </c>
      <c r="G3987" s="2">
        <v>3.5008273380000001</v>
      </c>
      <c r="H3987" s="2">
        <v>2.7800999999999998E-4</v>
      </c>
      <c r="I3987" s="2" t="s">
        <v>19066</v>
      </c>
      <c r="J3987" s="2" t="s">
        <v>19067</v>
      </c>
      <c r="K3987" s="2">
        <v>7.1551099999999995E-4</v>
      </c>
      <c r="L3987" s="2" t="s">
        <v>1178</v>
      </c>
      <c r="M3987" s="4" t="s">
        <v>19068</v>
      </c>
    </row>
    <row r="3988" spans="1:13">
      <c r="A3988" s="2">
        <v>3523</v>
      </c>
      <c r="B3988" s="2" t="s">
        <v>19069</v>
      </c>
      <c r="C3988" s="2">
        <v>12</v>
      </c>
      <c r="D3988" s="2">
        <v>556</v>
      </c>
      <c r="E3988" s="2">
        <v>200</v>
      </c>
      <c r="F3988" s="2">
        <v>32441</v>
      </c>
      <c r="G3988" s="2">
        <v>3.5008273380000001</v>
      </c>
      <c r="H3988" s="2">
        <v>2.7800999999999998E-4</v>
      </c>
      <c r="I3988" s="2" t="s">
        <v>19070</v>
      </c>
      <c r="J3988" s="2" t="s">
        <v>19071</v>
      </c>
      <c r="K3988" s="2">
        <v>7.1551099999999995E-4</v>
      </c>
      <c r="L3988" s="2" t="s">
        <v>1178</v>
      </c>
      <c r="M3988" s="4" t="s">
        <v>19072</v>
      </c>
    </row>
    <row r="3989" spans="1:13">
      <c r="A3989" s="2">
        <v>3544</v>
      </c>
      <c r="B3989" s="2" t="s">
        <v>19073</v>
      </c>
      <c r="C3989" s="2">
        <v>12</v>
      </c>
      <c r="D3989" s="2">
        <v>556</v>
      </c>
      <c r="E3989" s="2">
        <v>200</v>
      </c>
      <c r="F3989" s="2">
        <v>32441</v>
      </c>
      <c r="G3989" s="2">
        <v>3.5008273380000001</v>
      </c>
      <c r="H3989" s="2">
        <v>2.7800999999999998E-4</v>
      </c>
      <c r="I3989" s="2" t="s">
        <v>19074</v>
      </c>
      <c r="J3989" s="2" t="s">
        <v>19075</v>
      </c>
      <c r="K3989" s="2">
        <v>7.1551099999999995E-4</v>
      </c>
      <c r="L3989" s="2" t="s">
        <v>1178</v>
      </c>
      <c r="M3989" s="4" t="s">
        <v>19076</v>
      </c>
    </row>
    <row r="3990" spans="1:13">
      <c r="A3990" s="2">
        <v>35531</v>
      </c>
      <c r="B3990" s="2" t="s">
        <v>19077</v>
      </c>
      <c r="C3990" s="2">
        <v>12</v>
      </c>
      <c r="D3990" s="2">
        <v>556</v>
      </c>
      <c r="E3990" s="2">
        <v>200</v>
      </c>
      <c r="F3990" s="2">
        <v>32441</v>
      </c>
      <c r="G3990" s="2">
        <v>3.5008273380000001</v>
      </c>
      <c r="H3990" s="2">
        <v>2.7800999999999998E-4</v>
      </c>
      <c r="I3990" s="2" t="s">
        <v>19078</v>
      </c>
      <c r="J3990" s="2" t="s">
        <v>19079</v>
      </c>
      <c r="K3990" s="2">
        <v>7.1551099999999995E-4</v>
      </c>
      <c r="L3990" s="2" t="s">
        <v>1178</v>
      </c>
      <c r="M3990" s="4" t="s">
        <v>19080</v>
      </c>
    </row>
    <row r="3991" spans="1:13">
      <c r="A3991" s="2">
        <v>3568</v>
      </c>
      <c r="B3991" s="2" t="s">
        <v>19081</v>
      </c>
      <c r="C3991" s="2">
        <v>12</v>
      </c>
      <c r="D3991" s="2">
        <v>556</v>
      </c>
      <c r="E3991" s="2">
        <v>200</v>
      </c>
      <c r="F3991" s="2">
        <v>32441</v>
      </c>
      <c r="G3991" s="2">
        <v>3.5008273380000001</v>
      </c>
      <c r="H3991" s="2">
        <v>2.7800999999999998E-4</v>
      </c>
      <c r="I3991" s="2" t="s">
        <v>19082</v>
      </c>
      <c r="J3991" s="2" t="s">
        <v>19083</v>
      </c>
      <c r="K3991" s="2">
        <v>7.1551099999999995E-4</v>
      </c>
      <c r="L3991" s="2" t="s">
        <v>1178</v>
      </c>
      <c r="M3991" s="4" t="s">
        <v>19084</v>
      </c>
    </row>
    <row r="3992" spans="1:13">
      <c r="A3992" s="2">
        <v>35711</v>
      </c>
      <c r="B3992" s="2" t="s">
        <v>19085</v>
      </c>
      <c r="C3992" s="2">
        <v>12</v>
      </c>
      <c r="D3992" s="2">
        <v>556</v>
      </c>
      <c r="E3992" s="2">
        <v>200</v>
      </c>
      <c r="F3992" s="2">
        <v>32441</v>
      </c>
      <c r="G3992" s="2">
        <v>3.5008273380000001</v>
      </c>
      <c r="H3992" s="2">
        <v>2.7800999999999998E-4</v>
      </c>
      <c r="I3992" s="2" t="s">
        <v>19086</v>
      </c>
      <c r="J3992" s="2" t="s">
        <v>19087</v>
      </c>
      <c r="K3992" s="2">
        <v>7.1551099999999995E-4</v>
      </c>
      <c r="L3992" s="2" t="s">
        <v>1178</v>
      </c>
      <c r="M3992" s="4" t="s">
        <v>19088</v>
      </c>
    </row>
    <row r="3993" spans="1:13">
      <c r="A3993" s="2">
        <v>3572</v>
      </c>
      <c r="B3993" s="2" t="s">
        <v>19089</v>
      </c>
      <c r="C3993" s="2">
        <v>12</v>
      </c>
      <c r="D3993" s="2">
        <v>556</v>
      </c>
      <c r="E3993" s="2">
        <v>200</v>
      </c>
      <c r="F3993" s="2">
        <v>32441</v>
      </c>
      <c r="G3993" s="2">
        <v>3.5008273380000001</v>
      </c>
      <c r="H3993" s="2">
        <v>2.7800999999999998E-4</v>
      </c>
      <c r="I3993" s="2" t="s">
        <v>19090</v>
      </c>
      <c r="J3993" s="2" t="s">
        <v>19091</v>
      </c>
      <c r="K3993" s="2">
        <v>7.1551099999999995E-4</v>
      </c>
      <c r="L3993" s="2" t="s">
        <v>1178</v>
      </c>
      <c r="M3993" s="4" t="s">
        <v>19092</v>
      </c>
    </row>
    <row r="3994" spans="1:13">
      <c r="A3994" s="2">
        <v>35861</v>
      </c>
      <c r="B3994" s="2" t="s">
        <v>19093</v>
      </c>
      <c r="C3994" s="2">
        <v>12</v>
      </c>
      <c r="D3994" s="2">
        <v>556</v>
      </c>
      <c r="E3994" s="2">
        <v>199</v>
      </c>
      <c r="F3994" s="2">
        <v>32441</v>
      </c>
      <c r="G3994" s="2">
        <v>3.5184194350000002</v>
      </c>
      <c r="H3994" s="2">
        <v>2.66257E-4</v>
      </c>
      <c r="I3994" s="2" t="s">
        <v>19094</v>
      </c>
      <c r="J3994" s="2" t="s">
        <v>19095</v>
      </c>
      <c r="K3994" s="2">
        <v>7.1551099999999995E-4</v>
      </c>
      <c r="L3994" s="2" t="s">
        <v>1178</v>
      </c>
      <c r="M3994" s="4" t="s">
        <v>19096</v>
      </c>
    </row>
    <row r="3995" spans="1:13">
      <c r="A3995" s="2">
        <v>3672</v>
      </c>
      <c r="B3995" s="2" t="s">
        <v>19097</v>
      </c>
      <c r="C3995" s="2">
        <v>12</v>
      </c>
      <c r="D3995" s="2">
        <v>556</v>
      </c>
      <c r="E3995" s="2">
        <v>200</v>
      </c>
      <c r="F3995" s="2">
        <v>32441</v>
      </c>
      <c r="G3995" s="2">
        <v>3.5008273380000001</v>
      </c>
      <c r="H3995" s="2">
        <v>2.7800999999999998E-4</v>
      </c>
      <c r="I3995" s="2" t="s">
        <v>19098</v>
      </c>
      <c r="J3995" s="2" t="s">
        <v>19099</v>
      </c>
      <c r="K3995" s="2">
        <v>7.1551099999999995E-4</v>
      </c>
      <c r="L3995" s="2" t="s">
        <v>1178</v>
      </c>
      <c r="M3995" s="4" t="s">
        <v>19100</v>
      </c>
    </row>
    <row r="3996" spans="1:13">
      <c r="A3996" s="2">
        <v>3692</v>
      </c>
      <c r="B3996" s="2" t="s">
        <v>19101</v>
      </c>
      <c r="C3996" s="2">
        <v>12</v>
      </c>
      <c r="D3996" s="2">
        <v>556</v>
      </c>
      <c r="E3996" s="2">
        <v>200</v>
      </c>
      <c r="F3996" s="2">
        <v>32441</v>
      </c>
      <c r="G3996" s="2">
        <v>3.5008273380000001</v>
      </c>
      <c r="H3996" s="2">
        <v>2.7800999999999998E-4</v>
      </c>
      <c r="I3996" s="2" t="s">
        <v>19102</v>
      </c>
      <c r="J3996" s="2" t="s">
        <v>19103</v>
      </c>
      <c r="K3996" s="2">
        <v>7.1551099999999995E-4</v>
      </c>
      <c r="L3996" s="2" t="s">
        <v>1178</v>
      </c>
      <c r="M3996" s="4" t="s">
        <v>19104</v>
      </c>
    </row>
    <row r="3997" spans="1:13">
      <c r="A3997" s="2">
        <v>3697</v>
      </c>
      <c r="B3997" s="2" t="s">
        <v>19105</v>
      </c>
      <c r="C3997" s="2">
        <v>12</v>
      </c>
      <c r="D3997" s="2">
        <v>556</v>
      </c>
      <c r="E3997" s="2">
        <v>200</v>
      </c>
      <c r="F3997" s="2">
        <v>32441</v>
      </c>
      <c r="G3997" s="2">
        <v>3.5008273380000001</v>
      </c>
      <c r="H3997" s="2">
        <v>2.7800999999999998E-4</v>
      </c>
      <c r="I3997" s="2" t="s">
        <v>19106</v>
      </c>
      <c r="J3997" s="2" t="s">
        <v>19107</v>
      </c>
      <c r="K3997" s="2">
        <v>7.1551099999999995E-4</v>
      </c>
      <c r="L3997" s="2" t="s">
        <v>1178</v>
      </c>
      <c r="M3997" s="4" t="s">
        <v>19108</v>
      </c>
    </row>
    <row r="3998" spans="1:13">
      <c r="A3998" s="2">
        <v>3698</v>
      </c>
      <c r="B3998" s="2" t="s">
        <v>19109</v>
      </c>
      <c r="C3998" s="2">
        <v>12</v>
      </c>
      <c r="D3998" s="2">
        <v>556</v>
      </c>
      <c r="E3998" s="2">
        <v>200</v>
      </c>
      <c r="F3998" s="2">
        <v>32441</v>
      </c>
      <c r="G3998" s="2">
        <v>3.5008273380000001</v>
      </c>
      <c r="H3998" s="2">
        <v>2.7800999999999998E-4</v>
      </c>
      <c r="I3998" s="2" t="s">
        <v>19110</v>
      </c>
      <c r="J3998" s="2" t="s">
        <v>19111</v>
      </c>
      <c r="K3998" s="2">
        <v>7.1551099999999995E-4</v>
      </c>
      <c r="L3998" s="2" t="s">
        <v>1178</v>
      </c>
      <c r="M3998" s="4" t="s">
        <v>19112</v>
      </c>
    </row>
    <row r="3999" spans="1:13">
      <c r="A3999" s="2">
        <v>3701</v>
      </c>
      <c r="B3999" s="2" t="s">
        <v>1611</v>
      </c>
      <c r="C3999" s="2">
        <v>12</v>
      </c>
      <c r="D3999" s="2">
        <v>556</v>
      </c>
      <c r="E3999" s="2">
        <v>200</v>
      </c>
      <c r="F3999" s="2">
        <v>32441</v>
      </c>
      <c r="G3999" s="2">
        <v>3.5008273380000001</v>
      </c>
      <c r="H3999" s="2">
        <v>2.7800999999999998E-4</v>
      </c>
      <c r="I3999" s="2" t="s">
        <v>19113</v>
      </c>
      <c r="J3999" s="2" t="s">
        <v>19114</v>
      </c>
      <c r="K3999" s="2">
        <v>7.1551099999999995E-4</v>
      </c>
      <c r="L3999" s="2" t="s">
        <v>1178</v>
      </c>
      <c r="M3999" s="4" t="s">
        <v>19115</v>
      </c>
    </row>
    <row r="4000" spans="1:13">
      <c r="A4000" s="2">
        <v>3710</v>
      </c>
      <c r="B4000" s="2" t="s">
        <v>19116</v>
      </c>
      <c r="C4000" s="2">
        <v>12</v>
      </c>
      <c r="D4000" s="2">
        <v>556</v>
      </c>
      <c r="E4000" s="2">
        <v>200</v>
      </c>
      <c r="F4000" s="2">
        <v>32441</v>
      </c>
      <c r="G4000" s="2">
        <v>3.5008273380000001</v>
      </c>
      <c r="H4000" s="2">
        <v>2.7800999999999998E-4</v>
      </c>
      <c r="I4000" s="2" t="s">
        <v>19117</v>
      </c>
      <c r="J4000" s="2" t="s">
        <v>19118</v>
      </c>
      <c r="K4000" s="2">
        <v>7.1551099999999995E-4</v>
      </c>
      <c r="L4000" s="2" t="s">
        <v>1178</v>
      </c>
      <c r="M4000" s="4" t="s">
        <v>19119</v>
      </c>
    </row>
    <row r="4001" spans="1:13">
      <c r="A4001" s="2">
        <v>3713</v>
      </c>
      <c r="B4001" s="2" t="s">
        <v>1329</v>
      </c>
      <c r="C4001" s="2">
        <v>12</v>
      </c>
      <c r="D4001" s="2">
        <v>556</v>
      </c>
      <c r="E4001" s="2">
        <v>200</v>
      </c>
      <c r="F4001" s="2">
        <v>32441</v>
      </c>
      <c r="G4001" s="2">
        <v>3.5008273380000001</v>
      </c>
      <c r="H4001" s="2">
        <v>2.7800999999999998E-4</v>
      </c>
      <c r="I4001" s="2" t="s">
        <v>19120</v>
      </c>
      <c r="J4001" s="2" t="s">
        <v>19121</v>
      </c>
      <c r="K4001" s="2">
        <v>7.1551099999999995E-4</v>
      </c>
      <c r="L4001" s="2" t="s">
        <v>1178</v>
      </c>
      <c r="M4001" s="4" t="s">
        <v>3481</v>
      </c>
    </row>
    <row r="4002" spans="1:13">
      <c r="A4002" s="2">
        <v>3781</v>
      </c>
      <c r="B4002" s="2" t="s">
        <v>19122</v>
      </c>
      <c r="C4002" s="2">
        <v>12</v>
      </c>
      <c r="D4002" s="2">
        <v>556</v>
      </c>
      <c r="E4002" s="2">
        <v>200</v>
      </c>
      <c r="F4002" s="2">
        <v>32441</v>
      </c>
      <c r="G4002" s="2">
        <v>3.5008273380000001</v>
      </c>
      <c r="H4002" s="2">
        <v>2.7800999999999998E-4</v>
      </c>
      <c r="I4002" s="2" t="s">
        <v>19123</v>
      </c>
      <c r="J4002" s="2" t="s">
        <v>19124</v>
      </c>
      <c r="K4002" s="2">
        <v>7.1551099999999995E-4</v>
      </c>
      <c r="L4002" s="2" t="s">
        <v>1178</v>
      </c>
      <c r="M4002" s="4" t="s">
        <v>19125</v>
      </c>
    </row>
    <row r="4003" spans="1:13">
      <c r="A4003" s="2">
        <v>3810</v>
      </c>
      <c r="B4003" s="2" t="s">
        <v>1752</v>
      </c>
      <c r="C4003" s="2">
        <v>12</v>
      </c>
      <c r="D4003" s="2">
        <v>556</v>
      </c>
      <c r="E4003" s="2">
        <v>200</v>
      </c>
      <c r="F4003" s="2">
        <v>32441</v>
      </c>
      <c r="G4003" s="2">
        <v>3.5008273380000001</v>
      </c>
      <c r="H4003" s="2">
        <v>2.7800999999999998E-4</v>
      </c>
      <c r="I4003" s="2" t="s">
        <v>19126</v>
      </c>
      <c r="J4003" s="2" t="s">
        <v>19127</v>
      </c>
      <c r="K4003" s="2">
        <v>7.1551099999999995E-4</v>
      </c>
      <c r="L4003" s="2" t="s">
        <v>1178</v>
      </c>
      <c r="M4003" s="4" t="s">
        <v>19128</v>
      </c>
    </row>
    <row r="4004" spans="1:13">
      <c r="A4004" s="2">
        <v>38671</v>
      </c>
      <c r="B4004" s="2" t="s">
        <v>1305</v>
      </c>
      <c r="C4004" s="2">
        <v>12</v>
      </c>
      <c r="D4004" s="2">
        <v>556</v>
      </c>
      <c r="E4004" s="2">
        <v>200</v>
      </c>
      <c r="F4004" s="2">
        <v>32441</v>
      </c>
      <c r="G4004" s="2">
        <v>3.5008273380000001</v>
      </c>
      <c r="H4004" s="2">
        <v>2.7800999999999998E-4</v>
      </c>
      <c r="I4004" s="2" t="s">
        <v>19129</v>
      </c>
      <c r="J4004" s="2" t="s">
        <v>19130</v>
      </c>
      <c r="K4004" s="2">
        <v>7.1551099999999995E-4</v>
      </c>
      <c r="L4004" s="2" t="s">
        <v>1178</v>
      </c>
      <c r="M4004" s="4" t="s">
        <v>19131</v>
      </c>
    </row>
    <row r="4005" spans="1:13">
      <c r="A4005" s="2">
        <v>38891</v>
      </c>
      <c r="B4005" s="2" t="s">
        <v>3486</v>
      </c>
      <c r="C4005" s="2">
        <v>12</v>
      </c>
      <c r="D4005" s="2">
        <v>556</v>
      </c>
      <c r="E4005" s="2">
        <v>200</v>
      </c>
      <c r="F4005" s="2">
        <v>32441</v>
      </c>
      <c r="G4005" s="2">
        <v>3.5008273380000001</v>
      </c>
      <c r="H4005" s="2">
        <v>2.7800999999999998E-4</v>
      </c>
      <c r="I4005" s="2" t="s">
        <v>19132</v>
      </c>
      <c r="J4005" s="2" t="s">
        <v>19133</v>
      </c>
      <c r="K4005" s="2">
        <v>7.1551099999999995E-4</v>
      </c>
      <c r="L4005" s="2" t="s">
        <v>1178</v>
      </c>
      <c r="M4005" s="4" t="s">
        <v>3489</v>
      </c>
    </row>
    <row r="4006" spans="1:13">
      <c r="A4006" s="2">
        <v>3956</v>
      </c>
      <c r="B4006" s="2" t="s">
        <v>19134</v>
      </c>
      <c r="C4006" s="2">
        <v>12</v>
      </c>
      <c r="D4006" s="2">
        <v>556</v>
      </c>
      <c r="E4006" s="2">
        <v>200</v>
      </c>
      <c r="F4006" s="2">
        <v>32441</v>
      </c>
      <c r="G4006" s="2">
        <v>3.5008273380000001</v>
      </c>
      <c r="H4006" s="2">
        <v>2.7800999999999998E-4</v>
      </c>
      <c r="I4006" s="2" t="s">
        <v>19135</v>
      </c>
      <c r="J4006" s="2" t="s">
        <v>19136</v>
      </c>
      <c r="K4006" s="2">
        <v>7.1551099999999995E-4</v>
      </c>
      <c r="L4006" s="2" t="s">
        <v>1178</v>
      </c>
      <c r="M4006" s="4" t="s">
        <v>19137</v>
      </c>
    </row>
    <row r="4007" spans="1:13">
      <c r="A4007" s="2">
        <v>3992</v>
      </c>
      <c r="B4007" s="2" t="s">
        <v>1755</v>
      </c>
      <c r="C4007" s="2">
        <v>12</v>
      </c>
      <c r="D4007" s="2">
        <v>556</v>
      </c>
      <c r="E4007" s="2">
        <v>200</v>
      </c>
      <c r="F4007" s="2">
        <v>32441</v>
      </c>
      <c r="G4007" s="2">
        <v>3.5008273380000001</v>
      </c>
      <c r="H4007" s="2">
        <v>2.7800999999999998E-4</v>
      </c>
      <c r="I4007" s="2" t="s">
        <v>19138</v>
      </c>
      <c r="J4007" s="2" t="s">
        <v>19139</v>
      </c>
      <c r="K4007" s="2">
        <v>7.1551099999999995E-4</v>
      </c>
      <c r="L4007" s="2" t="s">
        <v>1178</v>
      </c>
      <c r="M4007" s="4" t="s">
        <v>19140</v>
      </c>
    </row>
    <row r="4008" spans="1:13">
      <c r="A4008" s="2">
        <v>40421</v>
      </c>
      <c r="B4008" s="2" t="s">
        <v>19141</v>
      </c>
      <c r="C4008" s="2">
        <v>12</v>
      </c>
      <c r="D4008" s="2">
        <v>556</v>
      </c>
      <c r="E4008" s="2">
        <v>200</v>
      </c>
      <c r="F4008" s="2">
        <v>32441</v>
      </c>
      <c r="G4008" s="2">
        <v>3.5008273380000001</v>
      </c>
      <c r="H4008" s="2">
        <v>2.7800999999999998E-4</v>
      </c>
      <c r="I4008" s="2" t="s">
        <v>19142</v>
      </c>
      <c r="J4008" s="2" t="s">
        <v>19143</v>
      </c>
      <c r="K4008" s="2">
        <v>7.1551099999999995E-4</v>
      </c>
      <c r="L4008" s="2" t="s">
        <v>1178</v>
      </c>
      <c r="M4008" s="4" t="s">
        <v>19144</v>
      </c>
    </row>
    <row r="4009" spans="1:13">
      <c r="A4009" s="2">
        <v>40611</v>
      </c>
      <c r="B4009" s="2" t="s">
        <v>2691</v>
      </c>
      <c r="C4009" s="2">
        <v>12</v>
      </c>
      <c r="D4009" s="2">
        <v>556</v>
      </c>
      <c r="E4009" s="2">
        <v>199</v>
      </c>
      <c r="F4009" s="2">
        <v>32441</v>
      </c>
      <c r="G4009" s="2">
        <v>3.5184194350000002</v>
      </c>
      <c r="H4009" s="2">
        <v>2.66257E-4</v>
      </c>
      <c r="I4009" s="2" t="s">
        <v>19145</v>
      </c>
      <c r="J4009" s="2" t="s">
        <v>19146</v>
      </c>
      <c r="K4009" s="2">
        <v>7.1551099999999995E-4</v>
      </c>
      <c r="L4009" s="2" t="s">
        <v>1178</v>
      </c>
      <c r="M4009" s="4" t="s">
        <v>19147</v>
      </c>
    </row>
    <row r="4010" spans="1:13">
      <c r="A4010" s="2">
        <v>40651</v>
      </c>
      <c r="B4010" s="2" t="s">
        <v>19148</v>
      </c>
      <c r="C4010" s="2">
        <v>12</v>
      </c>
      <c r="D4010" s="2">
        <v>556</v>
      </c>
      <c r="E4010" s="2">
        <v>200</v>
      </c>
      <c r="F4010" s="2">
        <v>32441</v>
      </c>
      <c r="G4010" s="2">
        <v>3.5008273380000001</v>
      </c>
      <c r="H4010" s="2">
        <v>2.7800999999999998E-4</v>
      </c>
      <c r="I4010" s="2" t="s">
        <v>19149</v>
      </c>
      <c r="J4010" s="2" t="s">
        <v>19150</v>
      </c>
      <c r="K4010" s="2">
        <v>7.1551099999999995E-4</v>
      </c>
      <c r="L4010" s="2" t="s">
        <v>1178</v>
      </c>
      <c r="M4010" s="4" t="s">
        <v>19151</v>
      </c>
    </row>
    <row r="4011" spans="1:13">
      <c r="A4011" s="2">
        <v>4089</v>
      </c>
      <c r="B4011" s="2" t="s">
        <v>2292</v>
      </c>
      <c r="C4011" s="2">
        <v>11</v>
      </c>
      <c r="D4011" s="2">
        <v>556</v>
      </c>
      <c r="E4011" s="2">
        <v>170</v>
      </c>
      <c r="F4011" s="2">
        <v>32441</v>
      </c>
      <c r="G4011" s="2">
        <v>3.775402031</v>
      </c>
      <c r="H4011" s="2">
        <v>2.6982800000000001E-4</v>
      </c>
      <c r="I4011" s="2" t="s">
        <v>19152</v>
      </c>
      <c r="J4011" s="2" t="s">
        <v>19153</v>
      </c>
      <c r="K4011" s="2">
        <v>7.1551099999999995E-4</v>
      </c>
      <c r="L4011" s="2" t="s">
        <v>1178</v>
      </c>
      <c r="M4011" s="4" t="s">
        <v>19154</v>
      </c>
    </row>
    <row r="4012" spans="1:13">
      <c r="A4012" s="2">
        <v>4148</v>
      </c>
      <c r="B4012" s="2" t="s">
        <v>19155</v>
      </c>
      <c r="C4012" s="2">
        <v>12</v>
      </c>
      <c r="D4012" s="2">
        <v>556</v>
      </c>
      <c r="E4012" s="2">
        <v>200</v>
      </c>
      <c r="F4012" s="2">
        <v>32441</v>
      </c>
      <c r="G4012" s="2">
        <v>3.5008273380000001</v>
      </c>
      <c r="H4012" s="2">
        <v>2.7800999999999998E-4</v>
      </c>
      <c r="I4012" s="2" t="s">
        <v>19156</v>
      </c>
      <c r="J4012" s="2" t="s">
        <v>19157</v>
      </c>
      <c r="K4012" s="2">
        <v>7.1551099999999995E-4</v>
      </c>
      <c r="L4012" s="2" t="s">
        <v>1178</v>
      </c>
      <c r="M4012" s="4" t="s">
        <v>19158</v>
      </c>
    </row>
    <row r="4013" spans="1:13">
      <c r="A4013" s="2">
        <v>4169</v>
      </c>
      <c r="B4013" s="2" t="s">
        <v>19159</v>
      </c>
      <c r="C4013" s="2">
        <v>11</v>
      </c>
      <c r="D4013" s="2">
        <v>556</v>
      </c>
      <c r="E4013" s="2">
        <v>169</v>
      </c>
      <c r="F4013" s="2">
        <v>32441</v>
      </c>
      <c r="G4013" s="2">
        <v>3.7977416879999999</v>
      </c>
      <c r="H4013" s="2">
        <v>2.5725900000000002E-4</v>
      </c>
      <c r="I4013" s="2" t="s">
        <v>19160</v>
      </c>
      <c r="J4013" s="2" t="s">
        <v>19161</v>
      </c>
      <c r="K4013" s="2">
        <v>7.1551099999999995E-4</v>
      </c>
      <c r="L4013" s="2" t="s">
        <v>1178</v>
      </c>
      <c r="M4013" s="4" t="s">
        <v>19162</v>
      </c>
    </row>
    <row r="4014" spans="1:13">
      <c r="A4014" s="2">
        <v>4187</v>
      </c>
      <c r="B4014" s="2" t="s">
        <v>19163</v>
      </c>
      <c r="C4014" s="2">
        <v>12</v>
      </c>
      <c r="D4014" s="2">
        <v>556</v>
      </c>
      <c r="E4014" s="2">
        <v>200</v>
      </c>
      <c r="F4014" s="2">
        <v>32441</v>
      </c>
      <c r="G4014" s="2">
        <v>3.5008273380000001</v>
      </c>
      <c r="H4014" s="2">
        <v>2.7800999999999998E-4</v>
      </c>
      <c r="I4014" s="2" t="s">
        <v>19164</v>
      </c>
      <c r="J4014" s="2" t="s">
        <v>19165</v>
      </c>
      <c r="K4014" s="2">
        <v>7.1551099999999995E-4</v>
      </c>
      <c r="L4014" s="2" t="s">
        <v>1178</v>
      </c>
      <c r="M4014" s="4" t="s">
        <v>19166</v>
      </c>
    </row>
    <row r="4015" spans="1:13">
      <c r="A4015" s="2">
        <v>4212</v>
      </c>
      <c r="B4015" s="2" t="s">
        <v>19167</v>
      </c>
      <c r="C4015" s="2">
        <v>12</v>
      </c>
      <c r="D4015" s="2">
        <v>556</v>
      </c>
      <c r="E4015" s="2">
        <v>200</v>
      </c>
      <c r="F4015" s="2">
        <v>32441</v>
      </c>
      <c r="G4015" s="2">
        <v>3.5008273380000001</v>
      </c>
      <c r="H4015" s="2">
        <v>2.7800999999999998E-4</v>
      </c>
      <c r="I4015" s="2" t="s">
        <v>19168</v>
      </c>
      <c r="J4015" s="2" t="s">
        <v>19169</v>
      </c>
      <c r="K4015" s="2">
        <v>7.1551099999999995E-4</v>
      </c>
      <c r="L4015" s="2" t="s">
        <v>1178</v>
      </c>
      <c r="M4015" s="4" t="s">
        <v>19170</v>
      </c>
    </row>
    <row r="4016" spans="1:13">
      <c r="A4016" s="2">
        <v>4302</v>
      </c>
      <c r="B4016" s="2" t="s">
        <v>19171</v>
      </c>
      <c r="C4016" s="2">
        <v>12</v>
      </c>
      <c r="D4016" s="2">
        <v>556</v>
      </c>
      <c r="E4016" s="2">
        <v>200</v>
      </c>
      <c r="F4016" s="2">
        <v>32441</v>
      </c>
      <c r="G4016" s="2">
        <v>3.5008273380000001</v>
      </c>
      <c r="H4016" s="2">
        <v>2.7800999999999998E-4</v>
      </c>
      <c r="I4016" s="2" t="s">
        <v>19172</v>
      </c>
      <c r="J4016" s="2" t="s">
        <v>19173</v>
      </c>
      <c r="K4016" s="2">
        <v>7.1551099999999995E-4</v>
      </c>
      <c r="L4016" s="2" t="s">
        <v>1178</v>
      </c>
      <c r="M4016" s="4" t="s">
        <v>19174</v>
      </c>
    </row>
    <row r="4017" spans="1:13">
      <c r="A4017" s="2">
        <v>43061</v>
      </c>
      <c r="B4017" s="2" t="s">
        <v>19175</v>
      </c>
      <c r="C4017" s="2">
        <v>12</v>
      </c>
      <c r="D4017" s="2">
        <v>556</v>
      </c>
      <c r="E4017" s="2">
        <v>200</v>
      </c>
      <c r="F4017" s="2">
        <v>32441</v>
      </c>
      <c r="G4017" s="2">
        <v>3.5008273380000001</v>
      </c>
      <c r="H4017" s="2">
        <v>2.7800999999999998E-4</v>
      </c>
      <c r="I4017" s="2" t="s">
        <v>19176</v>
      </c>
      <c r="J4017" s="2" t="s">
        <v>19177</v>
      </c>
      <c r="K4017" s="2">
        <v>7.1551099999999995E-4</v>
      </c>
      <c r="L4017" s="2" t="s">
        <v>1178</v>
      </c>
      <c r="M4017" s="4" t="s">
        <v>19178</v>
      </c>
    </row>
    <row r="4018" spans="1:13">
      <c r="A4018" s="2">
        <v>43521</v>
      </c>
      <c r="B4018" s="2" t="s">
        <v>1977</v>
      </c>
      <c r="C4018" s="2">
        <v>12</v>
      </c>
      <c r="D4018" s="2">
        <v>556</v>
      </c>
      <c r="E4018" s="2">
        <v>200</v>
      </c>
      <c r="F4018" s="2">
        <v>32441</v>
      </c>
      <c r="G4018" s="2">
        <v>3.5008273380000001</v>
      </c>
      <c r="H4018" s="2">
        <v>2.7800999999999998E-4</v>
      </c>
      <c r="I4018" s="2" t="s">
        <v>19179</v>
      </c>
      <c r="J4018" s="2" t="s">
        <v>19180</v>
      </c>
      <c r="K4018" s="2">
        <v>7.1551099999999995E-4</v>
      </c>
      <c r="L4018" s="2" t="s">
        <v>1178</v>
      </c>
      <c r="M4018" s="4" t="s">
        <v>19181</v>
      </c>
    </row>
    <row r="4019" spans="1:13">
      <c r="A4019" s="2">
        <v>4361</v>
      </c>
      <c r="B4019" s="2" t="s">
        <v>19182</v>
      </c>
      <c r="C4019" s="2">
        <v>12</v>
      </c>
      <c r="D4019" s="2">
        <v>556</v>
      </c>
      <c r="E4019" s="2">
        <v>200</v>
      </c>
      <c r="F4019" s="2">
        <v>32441</v>
      </c>
      <c r="G4019" s="2">
        <v>3.5008273380000001</v>
      </c>
      <c r="H4019" s="2">
        <v>2.7800999999999998E-4</v>
      </c>
      <c r="I4019" s="2" t="s">
        <v>19183</v>
      </c>
      <c r="J4019" s="2" t="s">
        <v>19184</v>
      </c>
      <c r="K4019" s="2">
        <v>7.1551099999999995E-4</v>
      </c>
      <c r="L4019" s="2" t="s">
        <v>1178</v>
      </c>
      <c r="M4019" s="4" t="s">
        <v>19185</v>
      </c>
    </row>
    <row r="4020" spans="1:13">
      <c r="A4020" s="2">
        <v>43921</v>
      </c>
      <c r="B4020" s="2" t="s">
        <v>19186</v>
      </c>
      <c r="C4020" s="2">
        <v>12</v>
      </c>
      <c r="D4020" s="2">
        <v>556</v>
      </c>
      <c r="E4020" s="2">
        <v>200</v>
      </c>
      <c r="F4020" s="2">
        <v>32441</v>
      </c>
      <c r="G4020" s="2">
        <v>3.5008273380000001</v>
      </c>
      <c r="H4020" s="2">
        <v>2.7800999999999998E-4</v>
      </c>
      <c r="I4020" s="2" t="s">
        <v>19187</v>
      </c>
      <c r="J4020" s="2" t="s">
        <v>19188</v>
      </c>
      <c r="K4020" s="2">
        <v>7.1551099999999995E-4</v>
      </c>
      <c r="L4020" s="2" t="s">
        <v>1178</v>
      </c>
      <c r="M4020" s="4" t="s">
        <v>19189</v>
      </c>
    </row>
    <row r="4021" spans="1:13">
      <c r="A4021" s="2">
        <v>43971</v>
      </c>
      <c r="B4021" s="2" t="s">
        <v>1761</v>
      </c>
      <c r="C4021" s="2">
        <v>12</v>
      </c>
      <c r="D4021" s="2">
        <v>556</v>
      </c>
      <c r="E4021" s="2">
        <v>200</v>
      </c>
      <c r="F4021" s="2">
        <v>32441</v>
      </c>
      <c r="G4021" s="2">
        <v>3.5008273380000001</v>
      </c>
      <c r="H4021" s="2">
        <v>2.7800999999999998E-4</v>
      </c>
      <c r="I4021" s="2" t="s">
        <v>19190</v>
      </c>
      <c r="J4021" s="2" t="s">
        <v>19191</v>
      </c>
      <c r="K4021" s="2">
        <v>7.1551099999999995E-4</v>
      </c>
      <c r="L4021" s="2" t="s">
        <v>1178</v>
      </c>
      <c r="M4021" s="4" t="s">
        <v>19192</v>
      </c>
    </row>
    <row r="4022" spans="1:13">
      <c r="A4022" s="2">
        <v>4412</v>
      </c>
      <c r="B4022" s="2" t="s">
        <v>19193</v>
      </c>
      <c r="C4022" s="2">
        <v>12</v>
      </c>
      <c r="D4022" s="2">
        <v>556</v>
      </c>
      <c r="E4022" s="2">
        <v>200</v>
      </c>
      <c r="F4022" s="2">
        <v>32441</v>
      </c>
      <c r="G4022" s="2">
        <v>3.5008273380000001</v>
      </c>
      <c r="H4022" s="2">
        <v>2.7800999999999998E-4</v>
      </c>
      <c r="I4022" s="2" t="s">
        <v>19194</v>
      </c>
      <c r="J4022" s="2" t="s">
        <v>19195</v>
      </c>
      <c r="K4022" s="2">
        <v>7.1551099999999995E-4</v>
      </c>
      <c r="L4022" s="2" t="s">
        <v>1178</v>
      </c>
      <c r="M4022" s="4" t="s">
        <v>19196</v>
      </c>
    </row>
    <row r="4023" spans="1:13">
      <c r="A4023" s="2">
        <v>44151</v>
      </c>
      <c r="B4023" s="2" t="s">
        <v>19197</v>
      </c>
      <c r="C4023" s="2">
        <v>12</v>
      </c>
      <c r="D4023" s="2">
        <v>556</v>
      </c>
      <c r="E4023" s="2">
        <v>200</v>
      </c>
      <c r="F4023" s="2">
        <v>32441</v>
      </c>
      <c r="G4023" s="2">
        <v>3.5008273380000001</v>
      </c>
      <c r="H4023" s="2">
        <v>2.7800999999999998E-4</v>
      </c>
      <c r="I4023" s="2" t="s">
        <v>19198</v>
      </c>
      <c r="J4023" s="2" t="s">
        <v>19199</v>
      </c>
      <c r="K4023" s="2">
        <v>7.1551099999999995E-4</v>
      </c>
      <c r="L4023" s="2" t="s">
        <v>1178</v>
      </c>
      <c r="M4023" s="4" t="s">
        <v>19200</v>
      </c>
    </row>
    <row r="4024" spans="1:13">
      <c r="A4024" s="2">
        <v>44161</v>
      </c>
      <c r="B4024" s="2" t="s">
        <v>19201</v>
      </c>
      <c r="C4024" s="2">
        <v>12</v>
      </c>
      <c r="D4024" s="2">
        <v>556</v>
      </c>
      <c r="E4024" s="2">
        <v>200</v>
      </c>
      <c r="F4024" s="2">
        <v>32441</v>
      </c>
      <c r="G4024" s="2">
        <v>3.5008273380000001</v>
      </c>
      <c r="H4024" s="2">
        <v>2.7800999999999998E-4</v>
      </c>
      <c r="I4024" s="2" t="s">
        <v>19202</v>
      </c>
      <c r="J4024" s="2" t="s">
        <v>19203</v>
      </c>
      <c r="K4024" s="2">
        <v>7.1551099999999995E-4</v>
      </c>
      <c r="L4024" s="2" t="s">
        <v>1178</v>
      </c>
      <c r="M4024" s="4" t="s">
        <v>19204</v>
      </c>
    </row>
    <row r="4025" spans="1:13">
      <c r="A4025" s="2">
        <v>4436</v>
      </c>
      <c r="B4025" s="2" t="s">
        <v>19205</v>
      </c>
      <c r="C4025" s="2">
        <v>12</v>
      </c>
      <c r="D4025" s="2">
        <v>556</v>
      </c>
      <c r="E4025" s="2">
        <v>200</v>
      </c>
      <c r="F4025" s="2">
        <v>32441</v>
      </c>
      <c r="G4025" s="2">
        <v>3.5008273380000001</v>
      </c>
      <c r="H4025" s="2">
        <v>2.7800999999999998E-4</v>
      </c>
      <c r="I4025" s="2" t="s">
        <v>19206</v>
      </c>
      <c r="J4025" s="2" t="s">
        <v>19207</v>
      </c>
      <c r="K4025" s="2">
        <v>7.1551099999999995E-4</v>
      </c>
      <c r="L4025" s="2" t="s">
        <v>1178</v>
      </c>
      <c r="M4025" s="4" t="s">
        <v>19208</v>
      </c>
    </row>
    <row r="4026" spans="1:13">
      <c r="A4026" s="2">
        <v>4441</v>
      </c>
      <c r="B4026" s="2" t="s">
        <v>19209</v>
      </c>
      <c r="C4026" s="2">
        <v>12</v>
      </c>
      <c r="D4026" s="2">
        <v>556</v>
      </c>
      <c r="E4026" s="2">
        <v>200</v>
      </c>
      <c r="F4026" s="2">
        <v>32441</v>
      </c>
      <c r="G4026" s="2">
        <v>3.5008273380000001</v>
      </c>
      <c r="H4026" s="2">
        <v>2.7800999999999998E-4</v>
      </c>
      <c r="I4026" s="2" t="s">
        <v>19210</v>
      </c>
      <c r="J4026" s="2" t="s">
        <v>19211</v>
      </c>
      <c r="K4026" s="2">
        <v>7.1551099999999995E-4</v>
      </c>
      <c r="L4026" s="2" t="s">
        <v>1178</v>
      </c>
      <c r="M4026" s="4" t="s">
        <v>19212</v>
      </c>
    </row>
    <row r="4027" spans="1:13">
      <c r="A4027" s="2">
        <v>45031</v>
      </c>
      <c r="B4027" s="2" t="s">
        <v>19213</v>
      </c>
      <c r="C4027" s="2">
        <v>12</v>
      </c>
      <c r="D4027" s="2">
        <v>556</v>
      </c>
      <c r="E4027" s="2">
        <v>200</v>
      </c>
      <c r="F4027" s="2">
        <v>32441</v>
      </c>
      <c r="G4027" s="2">
        <v>3.5008273380000001</v>
      </c>
      <c r="H4027" s="2">
        <v>2.7800999999999998E-4</v>
      </c>
      <c r="I4027" s="2" t="s">
        <v>19214</v>
      </c>
      <c r="J4027" s="2" t="s">
        <v>19215</v>
      </c>
      <c r="K4027" s="2">
        <v>7.1551099999999995E-4</v>
      </c>
      <c r="L4027" s="2" t="s">
        <v>1178</v>
      </c>
      <c r="M4027" s="4" t="s">
        <v>19216</v>
      </c>
    </row>
    <row r="4028" spans="1:13">
      <c r="A4028" s="2">
        <v>4533</v>
      </c>
      <c r="B4028" s="2" t="s">
        <v>19217</v>
      </c>
      <c r="C4028" s="2">
        <v>12</v>
      </c>
      <c r="D4028" s="2">
        <v>556</v>
      </c>
      <c r="E4028" s="2">
        <v>200</v>
      </c>
      <c r="F4028" s="2">
        <v>32441</v>
      </c>
      <c r="G4028" s="2">
        <v>3.5008273380000001</v>
      </c>
      <c r="H4028" s="2">
        <v>2.7800999999999998E-4</v>
      </c>
      <c r="I4028" s="2" t="s">
        <v>19218</v>
      </c>
      <c r="J4028" s="2" t="s">
        <v>19219</v>
      </c>
      <c r="K4028" s="2">
        <v>7.1551099999999995E-4</v>
      </c>
      <c r="L4028" s="2" t="s">
        <v>1178</v>
      </c>
      <c r="M4028" s="4" t="s">
        <v>19220</v>
      </c>
    </row>
    <row r="4029" spans="1:13">
      <c r="A4029" s="2">
        <v>4540</v>
      </c>
      <c r="B4029" s="2" t="s">
        <v>19221</v>
      </c>
      <c r="C4029" s="2">
        <v>12</v>
      </c>
      <c r="D4029" s="2">
        <v>556</v>
      </c>
      <c r="E4029" s="2">
        <v>200</v>
      </c>
      <c r="F4029" s="2">
        <v>32441</v>
      </c>
      <c r="G4029" s="2">
        <v>3.5008273380000001</v>
      </c>
      <c r="H4029" s="2">
        <v>2.7800999999999998E-4</v>
      </c>
      <c r="I4029" s="2" t="s">
        <v>19222</v>
      </c>
      <c r="J4029" s="2" t="s">
        <v>19223</v>
      </c>
      <c r="K4029" s="2">
        <v>7.1551099999999995E-4</v>
      </c>
      <c r="L4029" s="2" t="s">
        <v>1178</v>
      </c>
      <c r="M4029" s="4" t="s">
        <v>19224</v>
      </c>
    </row>
    <row r="4030" spans="1:13">
      <c r="A4030" s="2">
        <v>4550</v>
      </c>
      <c r="B4030" s="2" t="s">
        <v>19225</v>
      </c>
      <c r="C4030" s="2">
        <v>12</v>
      </c>
      <c r="D4030" s="2">
        <v>556</v>
      </c>
      <c r="E4030" s="2">
        <v>200</v>
      </c>
      <c r="F4030" s="2">
        <v>32441</v>
      </c>
      <c r="G4030" s="2">
        <v>3.5008273380000001</v>
      </c>
      <c r="H4030" s="2">
        <v>2.7800999999999998E-4</v>
      </c>
      <c r="I4030" s="2" t="s">
        <v>19226</v>
      </c>
      <c r="J4030" s="2" t="s">
        <v>19227</v>
      </c>
      <c r="K4030" s="2">
        <v>7.1551099999999995E-4</v>
      </c>
      <c r="L4030" s="2" t="s">
        <v>1178</v>
      </c>
      <c r="M4030" s="4" t="s">
        <v>19228</v>
      </c>
    </row>
    <row r="4031" spans="1:13">
      <c r="A4031" s="2">
        <v>4566</v>
      </c>
      <c r="B4031" s="2" t="s">
        <v>19229</v>
      </c>
      <c r="C4031" s="2">
        <v>12</v>
      </c>
      <c r="D4031" s="2">
        <v>556</v>
      </c>
      <c r="E4031" s="2">
        <v>200</v>
      </c>
      <c r="F4031" s="2">
        <v>32441</v>
      </c>
      <c r="G4031" s="2">
        <v>3.5008273380000001</v>
      </c>
      <c r="H4031" s="2">
        <v>2.7800999999999998E-4</v>
      </c>
      <c r="I4031" s="2" t="s">
        <v>19230</v>
      </c>
      <c r="J4031" s="2" t="s">
        <v>19231</v>
      </c>
      <c r="K4031" s="2">
        <v>7.1551099999999995E-4</v>
      </c>
      <c r="L4031" s="2" t="s">
        <v>1178</v>
      </c>
      <c r="M4031" s="4" t="s">
        <v>19232</v>
      </c>
    </row>
    <row r="4032" spans="1:13">
      <c r="A4032" s="2">
        <v>4587</v>
      </c>
      <c r="B4032" s="2" t="s">
        <v>19233</v>
      </c>
      <c r="C4032" s="2">
        <v>12</v>
      </c>
      <c r="D4032" s="2">
        <v>556</v>
      </c>
      <c r="E4032" s="2">
        <v>200</v>
      </c>
      <c r="F4032" s="2">
        <v>32441</v>
      </c>
      <c r="G4032" s="2">
        <v>3.5008273380000001</v>
      </c>
      <c r="H4032" s="2">
        <v>2.7800999999999998E-4</v>
      </c>
      <c r="I4032" s="2" t="s">
        <v>19234</v>
      </c>
      <c r="J4032" s="2" t="s">
        <v>19235</v>
      </c>
      <c r="K4032" s="2">
        <v>7.1551099999999995E-4</v>
      </c>
      <c r="L4032" s="2" t="s">
        <v>1178</v>
      </c>
      <c r="M4032" s="4" t="s">
        <v>19236</v>
      </c>
    </row>
    <row r="4033" spans="1:13">
      <c r="A4033" s="2">
        <v>4609</v>
      </c>
      <c r="B4033" s="2" t="s">
        <v>19237</v>
      </c>
      <c r="C4033" s="2">
        <v>12</v>
      </c>
      <c r="D4033" s="2">
        <v>556</v>
      </c>
      <c r="E4033" s="2">
        <v>200</v>
      </c>
      <c r="F4033" s="2">
        <v>32441</v>
      </c>
      <c r="G4033" s="2">
        <v>3.5008273380000001</v>
      </c>
      <c r="H4033" s="2">
        <v>2.7800999999999998E-4</v>
      </c>
      <c r="I4033" s="2" t="s">
        <v>19238</v>
      </c>
      <c r="J4033" s="2" t="s">
        <v>19239</v>
      </c>
      <c r="K4033" s="2">
        <v>7.1551099999999995E-4</v>
      </c>
      <c r="L4033" s="2" t="s">
        <v>1178</v>
      </c>
      <c r="M4033" s="4" t="s">
        <v>19240</v>
      </c>
    </row>
    <row r="4034" spans="1:13">
      <c r="A4034" s="2">
        <v>46251</v>
      </c>
      <c r="B4034" s="2" t="s">
        <v>2715</v>
      </c>
      <c r="C4034" s="2">
        <v>12</v>
      </c>
      <c r="D4034" s="2">
        <v>556</v>
      </c>
      <c r="E4034" s="2">
        <v>200</v>
      </c>
      <c r="F4034" s="2">
        <v>32441</v>
      </c>
      <c r="G4034" s="2">
        <v>3.5008273380000001</v>
      </c>
      <c r="H4034" s="2">
        <v>2.7800999999999998E-4</v>
      </c>
      <c r="I4034" s="2" t="s">
        <v>19241</v>
      </c>
      <c r="J4034" s="2" t="s">
        <v>19242</v>
      </c>
      <c r="K4034" s="2">
        <v>7.1551099999999995E-4</v>
      </c>
      <c r="L4034" s="2" t="s">
        <v>1178</v>
      </c>
      <c r="M4034" s="4" t="s">
        <v>19243</v>
      </c>
    </row>
    <row r="4035" spans="1:13">
      <c r="A4035" s="2">
        <v>4631</v>
      </c>
      <c r="B4035" s="2" t="s">
        <v>19244</v>
      </c>
      <c r="C4035" s="2">
        <v>12</v>
      </c>
      <c r="D4035" s="2">
        <v>556</v>
      </c>
      <c r="E4035" s="2">
        <v>200</v>
      </c>
      <c r="F4035" s="2">
        <v>32441</v>
      </c>
      <c r="G4035" s="2">
        <v>3.5008273380000001</v>
      </c>
      <c r="H4035" s="2">
        <v>2.7800999999999998E-4</v>
      </c>
      <c r="I4035" s="2" t="s">
        <v>19245</v>
      </c>
      <c r="J4035" s="2" t="s">
        <v>19246</v>
      </c>
      <c r="K4035" s="2">
        <v>7.1551099999999995E-4</v>
      </c>
      <c r="L4035" s="2" t="s">
        <v>1178</v>
      </c>
      <c r="M4035" s="4" t="s">
        <v>19247</v>
      </c>
    </row>
    <row r="4036" spans="1:13">
      <c r="A4036" s="2">
        <v>4641</v>
      </c>
      <c r="B4036" s="2" t="s">
        <v>19248</v>
      </c>
      <c r="C4036" s="2">
        <v>12</v>
      </c>
      <c r="D4036" s="2">
        <v>556</v>
      </c>
      <c r="E4036" s="2">
        <v>200</v>
      </c>
      <c r="F4036" s="2">
        <v>32441</v>
      </c>
      <c r="G4036" s="2">
        <v>3.5008273380000001</v>
      </c>
      <c r="H4036" s="2">
        <v>2.7800999999999998E-4</v>
      </c>
      <c r="I4036" s="2" t="s">
        <v>19249</v>
      </c>
      <c r="J4036" s="2" t="s">
        <v>19250</v>
      </c>
      <c r="K4036" s="2">
        <v>7.1551099999999995E-4</v>
      </c>
      <c r="L4036" s="2" t="s">
        <v>1178</v>
      </c>
      <c r="M4036" s="4" t="s">
        <v>19251</v>
      </c>
    </row>
    <row r="4037" spans="1:13">
      <c r="A4037" s="2">
        <v>4642</v>
      </c>
      <c r="B4037" s="2" t="s">
        <v>19252</v>
      </c>
      <c r="C4037" s="2">
        <v>12</v>
      </c>
      <c r="D4037" s="2">
        <v>556</v>
      </c>
      <c r="E4037" s="2">
        <v>200</v>
      </c>
      <c r="F4037" s="2">
        <v>32441</v>
      </c>
      <c r="G4037" s="2">
        <v>3.5008273380000001</v>
      </c>
      <c r="H4037" s="2">
        <v>2.7800999999999998E-4</v>
      </c>
      <c r="I4037" s="2" t="s">
        <v>19253</v>
      </c>
      <c r="J4037" s="2" t="s">
        <v>19254</v>
      </c>
      <c r="K4037" s="2">
        <v>7.1551099999999995E-4</v>
      </c>
      <c r="L4037" s="2" t="s">
        <v>1178</v>
      </c>
      <c r="M4037" s="4" t="s">
        <v>19255</v>
      </c>
    </row>
    <row r="4038" spans="1:13">
      <c r="A4038" s="2">
        <v>4647</v>
      </c>
      <c r="B4038" s="2" t="s">
        <v>19256</v>
      </c>
      <c r="C4038" s="2">
        <v>12</v>
      </c>
      <c r="D4038" s="2">
        <v>556</v>
      </c>
      <c r="E4038" s="2">
        <v>200</v>
      </c>
      <c r="F4038" s="2">
        <v>32441</v>
      </c>
      <c r="G4038" s="2">
        <v>3.5008273380000001</v>
      </c>
      <c r="H4038" s="2">
        <v>2.7800999999999998E-4</v>
      </c>
      <c r="I4038" s="2" t="s">
        <v>19257</v>
      </c>
      <c r="J4038" s="2" t="s">
        <v>19258</v>
      </c>
      <c r="K4038" s="2">
        <v>7.1551099999999995E-4</v>
      </c>
      <c r="L4038" s="2" t="s">
        <v>1178</v>
      </c>
      <c r="M4038" s="4" t="s">
        <v>19259</v>
      </c>
    </row>
    <row r="4039" spans="1:13">
      <c r="A4039" s="2">
        <v>47391</v>
      </c>
      <c r="B4039" s="2" t="s">
        <v>19260</v>
      </c>
      <c r="C4039" s="2">
        <v>12</v>
      </c>
      <c r="D4039" s="2">
        <v>556</v>
      </c>
      <c r="E4039" s="2">
        <v>200</v>
      </c>
      <c r="F4039" s="2">
        <v>32441</v>
      </c>
      <c r="G4039" s="2">
        <v>3.5008273380000001</v>
      </c>
      <c r="H4039" s="2">
        <v>2.7800999999999998E-4</v>
      </c>
      <c r="I4039" s="2" t="s">
        <v>19261</v>
      </c>
      <c r="J4039" s="2" t="s">
        <v>19262</v>
      </c>
      <c r="K4039" s="2">
        <v>7.1551099999999995E-4</v>
      </c>
      <c r="L4039" s="2" t="s">
        <v>1178</v>
      </c>
      <c r="M4039" s="4" t="s">
        <v>19263</v>
      </c>
    </row>
    <row r="4040" spans="1:13">
      <c r="A4040" s="2">
        <v>4763</v>
      </c>
      <c r="B4040" s="2" t="s">
        <v>19264</v>
      </c>
      <c r="C4040" s="2">
        <v>12</v>
      </c>
      <c r="D4040" s="2">
        <v>556</v>
      </c>
      <c r="E4040" s="2">
        <v>200</v>
      </c>
      <c r="F4040" s="2">
        <v>32441</v>
      </c>
      <c r="G4040" s="2">
        <v>3.5008273380000001</v>
      </c>
      <c r="H4040" s="2">
        <v>2.7800999999999998E-4</v>
      </c>
      <c r="I4040" s="2" t="s">
        <v>19265</v>
      </c>
      <c r="J4040" s="2" t="s">
        <v>19266</v>
      </c>
      <c r="K4040" s="2">
        <v>7.1551099999999995E-4</v>
      </c>
      <c r="L4040" s="2" t="s">
        <v>1178</v>
      </c>
      <c r="M4040" s="4" t="s">
        <v>19267</v>
      </c>
    </row>
    <row r="4041" spans="1:13">
      <c r="A4041" s="2">
        <v>4764</v>
      </c>
      <c r="B4041" s="2" t="s">
        <v>19268</v>
      </c>
      <c r="C4041" s="2">
        <v>12</v>
      </c>
      <c r="D4041" s="2">
        <v>556</v>
      </c>
      <c r="E4041" s="2">
        <v>200</v>
      </c>
      <c r="F4041" s="2">
        <v>32441</v>
      </c>
      <c r="G4041" s="2">
        <v>3.5008273380000001</v>
      </c>
      <c r="H4041" s="2">
        <v>2.7800999999999998E-4</v>
      </c>
      <c r="I4041" s="2" t="s">
        <v>19269</v>
      </c>
      <c r="J4041" s="2" t="s">
        <v>19270</v>
      </c>
      <c r="K4041" s="2">
        <v>7.1551099999999995E-4</v>
      </c>
      <c r="L4041" s="2" t="s">
        <v>1178</v>
      </c>
      <c r="M4041" s="4" t="s">
        <v>19271</v>
      </c>
    </row>
    <row r="4042" spans="1:13">
      <c r="A4042" s="2">
        <v>4780</v>
      </c>
      <c r="B4042" s="2" t="s">
        <v>19272</v>
      </c>
      <c r="C4042" s="2">
        <v>12</v>
      </c>
      <c r="D4042" s="2">
        <v>556</v>
      </c>
      <c r="E4042" s="2">
        <v>200</v>
      </c>
      <c r="F4042" s="2">
        <v>32441</v>
      </c>
      <c r="G4042" s="2">
        <v>3.5008273380000001</v>
      </c>
      <c r="H4042" s="2">
        <v>2.7800999999999998E-4</v>
      </c>
      <c r="I4042" s="2" t="s">
        <v>19273</v>
      </c>
      <c r="J4042" s="2" t="s">
        <v>19274</v>
      </c>
      <c r="K4042" s="2">
        <v>7.1551099999999995E-4</v>
      </c>
      <c r="L4042" s="2" t="s">
        <v>1178</v>
      </c>
      <c r="M4042" s="4" t="s">
        <v>19275</v>
      </c>
    </row>
    <row r="4043" spans="1:13">
      <c r="A4043" s="2">
        <v>4867</v>
      </c>
      <c r="B4043" s="2" t="s">
        <v>19276</v>
      </c>
      <c r="C4043" s="2">
        <v>12</v>
      </c>
      <c r="D4043" s="2">
        <v>556</v>
      </c>
      <c r="E4043" s="2">
        <v>200</v>
      </c>
      <c r="F4043" s="2">
        <v>32441</v>
      </c>
      <c r="G4043" s="2">
        <v>3.5008273380000001</v>
      </c>
      <c r="H4043" s="2">
        <v>2.7800999999999998E-4</v>
      </c>
      <c r="I4043" s="2" t="s">
        <v>19277</v>
      </c>
      <c r="J4043" s="2" t="s">
        <v>19278</v>
      </c>
      <c r="K4043" s="2">
        <v>7.1551099999999995E-4</v>
      </c>
      <c r="L4043" s="2" t="s">
        <v>1178</v>
      </c>
      <c r="M4043" s="4" t="s">
        <v>19279</v>
      </c>
    </row>
    <row r="4044" spans="1:13">
      <c r="A4044" s="2">
        <v>2526</v>
      </c>
      <c r="B4044" s="2" t="s">
        <v>19280</v>
      </c>
      <c r="C4044" s="2">
        <v>11</v>
      </c>
      <c r="D4044" s="2">
        <v>556</v>
      </c>
      <c r="E4044" s="2">
        <v>171</v>
      </c>
      <c r="F4044" s="2">
        <v>32441</v>
      </c>
      <c r="G4044" s="2">
        <v>3.7533236570000001</v>
      </c>
      <c r="H4044" s="2">
        <v>2.82911E-4</v>
      </c>
      <c r="I4044" s="2" t="s">
        <v>19281</v>
      </c>
      <c r="J4044" s="2" t="s">
        <v>19282</v>
      </c>
      <c r="K4044" s="2">
        <v>7.2735900000000001E-4</v>
      </c>
      <c r="L4044" s="2" t="s">
        <v>1178</v>
      </c>
      <c r="M4044" s="4" t="s">
        <v>19283</v>
      </c>
    </row>
    <row r="4045" spans="1:13">
      <c r="A4045" s="2">
        <v>3927</v>
      </c>
      <c r="B4045" s="2" t="s">
        <v>19284</v>
      </c>
      <c r="C4045" s="2">
        <v>11</v>
      </c>
      <c r="D4045" s="2">
        <v>556</v>
      </c>
      <c r="E4045" s="2">
        <v>171</v>
      </c>
      <c r="F4045" s="2">
        <v>32441</v>
      </c>
      <c r="G4045" s="2">
        <v>3.7533236570000001</v>
      </c>
      <c r="H4045" s="2">
        <v>2.82911E-4</v>
      </c>
      <c r="I4045" s="2" t="s">
        <v>19285</v>
      </c>
      <c r="J4045" s="2" t="s">
        <v>19286</v>
      </c>
      <c r="K4045" s="2">
        <v>7.2735900000000001E-4</v>
      </c>
      <c r="L4045" s="2" t="s">
        <v>1178</v>
      </c>
      <c r="M4045" s="4" t="s">
        <v>19287</v>
      </c>
    </row>
    <row r="4046" spans="1:13">
      <c r="A4046" s="2">
        <v>2469</v>
      </c>
      <c r="B4046" s="2" t="s">
        <v>19288</v>
      </c>
      <c r="C4046" s="2">
        <v>10</v>
      </c>
      <c r="D4046" s="2">
        <v>556</v>
      </c>
      <c r="E4046" s="2">
        <v>143</v>
      </c>
      <c r="F4046" s="2">
        <v>32441</v>
      </c>
      <c r="G4046" s="2">
        <v>4.0802183430000003</v>
      </c>
      <c r="H4046" s="2">
        <v>2.8447200000000002E-4</v>
      </c>
      <c r="I4046" s="2" t="s">
        <v>19289</v>
      </c>
      <c r="J4046" s="2" t="s">
        <v>19290</v>
      </c>
      <c r="K4046" s="2">
        <v>7.3098599999999998E-4</v>
      </c>
      <c r="L4046" s="2" t="s">
        <v>1178</v>
      </c>
      <c r="M4046" s="4" t="s">
        <v>19291</v>
      </c>
    </row>
    <row r="4047" spans="1:13">
      <c r="A4047" s="2">
        <v>2812</v>
      </c>
      <c r="B4047" s="2" t="s">
        <v>19292</v>
      </c>
      <c r="C4047" s="2">
        <v>11</v>
      </c>
      <c r="D4047" s="2">
        <v>556</v>
      </c>
      <c r="E4047" s="2">
        <v>172</v>
      </c>
      <c r="F4047" s="2">
        <v>32441</v>
      </c>
      <c r="G4047" s="2">
        <v>3.7315020080000001</v>
      </c>
      <c r="H4047" s="2">
        <v>2.9652600000000003E-4</v>
      </c>
      <c r="I4047" s="2" t="s">
        <v>19293</v>
      </c>
      <c r="J4047" s="2" t="s">
        <v>19294</v>
      </c>
      <c r="K4047" s="2">
        <v>7.6155600000000004E-4</v>
      </c>
      <c r="L4047" s="2" t="s">
        <v>1178</v>
      </c>
      <c r="M4047" s="4" t="s">
        <v>19295</v>
      </c>
    </row>
    <row r="4048" spans="1:13">
      <c r="A4048" s="2">
        <v>2421</v>
      </c>
      <c r="B4048" s="2" t="s">
        <v>19296</v>
      </c>
      <c r="C4048" s="2">
        <v>11</v>
      </c>
      <c r="D4048" s="2">
        <v>556</v>
      </c>
      <c r="E4048" s="2">
        <v>173</v>
      </c>
      <c r="F4048" s="2">
        <v>32441</v>
      </c>
      <c r="G4048" s="2">
        <v>3.7099326320000001</v>
      </c>
      <c r="H4048" s="2">
        <v>3.1068699999999997E-4</v>
      </c>
      <c r="I4048" s="2" t="s">
        <v>19297</v>
      </c>
      <c r="J4048" s="2" t="s">
        <v>19298</v>
      </c>
      <c r="K4048" s="2">
        <v>7.9666800000000005E-4</v>
      </c>
      <c r="L4048" s="2" t="s">
        <v>1178</v>
      </c>
      <c r="M4048" s="4" t="s">
        <v>19299</v>
      </c>
    </row>
    <row r="4049" spans="1:13">
      <c r="A4049" s="2">
        <v>2653</v>
      </c>
      <c r="B4049" s="2" t="s">
        <v>19300</v>
      </c>
      <c r="C4049" s="2">
        <v>11</v>
      </c>
      <c r="D4049" s="2">
        <v>556</v>
      </c>
      <c r="E4049" s="2">
        <v>173</v>
      </c>
      <c r="F4049" s="2">
        <v>32441</v>
      </c>
      <c r="G4049" s="2">
        <v>3.7099326320000001</v>
      </c>
      <c r="H4049" s="2">
        <v>3.1068699999999997E-4</v>
      </c>
      <c r="I4049" s="2" t="s">
        <v>19301</v>
      </c>
      <c r="J4049" s="2" t="s">
        <v>19302</v>
      </c>
      <c r="K4049" s="2">
        <v>7.9666800000000005E-4</v>
      </c>
      <c r="L4049" s="2" t="s">
        <v>1178</v>
      </c>
      <c r="M4049" s="4" t="s">
        <v>19303</v>
      </c>
    </row>
    <row r="4050" spans="1:13">
      <c r="A4050" s="2">
        <v>41231</v>
      </c>
      <c r="B4050" s="2" t="s">
        <v>19304</v>
      </c>
      <c r="C4050" s="2">
        <v>11</v>
      </c>
      <c r="D4050" s="2">
        <v>556</v>
      </c>
      <c r="E4050" s="2">
        <v>173</v>
      </c>
      <c r="F4050" s="2">
        <v>32441</v>
      </c>
      <c r="G4050" s="2">
        <v>3.7099326320000001</v>
      </c>
      <c r="H4050" s="2">
        <v>3.1068699999999997E-4</v>
      </c>
      <c r="I4050" s="2" t="s">
        <v>19305</v>
      </c>
      <c r="J4050" s="2" t="s">
        <v>19306</v>
      </c>
      <c r="K4050" s="2">
        <v>7.9666800000000005E-4</v>
      </c>
      <c r="L4050" s="2" t="s">
        <v>1178</v>
      </c>
      <c r="M4050" s="4" t="s">
        <v>19307</v>
      </c>
    </row>
    <row r="4051" spans="1:13">
      <c r="A4051" s="2">
        <v>3883</v>
      </c>
      <c r="B4051" s="2" t="s">
        <v>19308</v>
      </c>
      <c r="C4051" s="2">
        <v>11</v>
      </c>
      <c r="D4051" s="2">
        <v>556</v>
      </c>
      <c r="E4051" s="2">
        <v>174</v>
      </c>
      <c r="F4051" s="2">
        <v>32441</v>
      </c>
      <c r="G4051" s="2">
        <v>3.6886111800000001</v>
      </c>
      <c r="H4051" s="2">
        <v>3.25414E-4</v>
      </c>
      <c r="I4051" s="2" t="s">
        <v>19309</v>
      </c>
      <c r="J4051" s="2" t="s">
        <v>19310</v>
      </c>
      <c r="K4051" s="2">
        <v>8.3399199999999998E-4</v>
      </c>
      <c r="L4051" s="2" t="s">
        <v>1178</v>
      </c>
      <c r="M4051" s="4" t="s">
        <v>19311</v>
      </c>
    </row>
    <row r="4052" spans="1:13">
      <c r="A4052" s="2">
        <v>2418</v>
      </c>
      <c r="B4052" s="2" t="s">
        <v>3455</v>
      </c>
      <c r="C4052" s="2">
        <v>11</v>
      </c>
      <c r="D4052" s="2">
        <v>556</v>
      </c>
      <c r="E4052" s="2">
        <v>175</v>
      </c>
      <c r="F4052" s="2">
        <v>32441</v>
      </c>
      <c r="G4052" s="2">
        <v>3.6675334020000001</v>
      </c>
      <c r="H4052" s="2">
        <v>3.4072399999999999E-4</v>
      </c>
      <c r="I4052" s="2" t="s">
        <v>19312</v>
      </c>
      <c r="J4052" s="2" t="s">
        <v>19313</v>
      </c>
      <c r="K4052" s="2">
        <v>8.7231199999999998E-4</v>
      </c>
      <c r="L4052" s="2" t="s">
        <v>1178</v>
      </c>
      <c r="M4052" s="4" t="s">
        <v>3458</v>
      </c>
    </row>
    <row r="4053" spans="1:13">
      <c r="A4053" s="2">
        <v>3579</v>
      </c>
      <c r="B4053" s="2" t="s">
        <v>19314</v>
      </c>
      <c r="C4053" s="2">
        <v>11</v>
      </c>
      <c r="D4053" s="2">
        <v>556</v>
      </c>
      <c r="E4053" s="2">
        <v>175</v>
      </c>
      <c r="F4053" s="2">
        <v>32441</v>
      </c>
      <c r="G4053" s="2">
        <v>3.6675334020000001</v>
      </c>
      <c r="H4053" s="2">
        <v>3.4072399999999999E-4</v>
      </c>
      <c r="I4053" s="2" t="s">
        <v>19315</v>
      </c>
      <c r="J4053" s="2" t="s">
        <v>19316</v>
      </c>
      <c r="K4053" s="2">
        <v>8.7231199999999998E-4</v>
      </c>
      <c r="L4053" s="2" t="s">
        <v>1178</v>
      </c>
      <c r="M4053" s="4" t="s">
        <v>19317</v>
      </c>
    </row>
    <row r="4054" spans="1:13">
      <c r="A4054" s="2">
        <v>2814</v>
      </c>
      <c r="B4054" s="2" t="s">
        <v>19318</v>
      </c>
      <c r="C4054" s="2">
        <v>10</v>
      </c>
      <c r="D4054" s="2">
        <v>556</v>
      </c>
      <c r="E4054" s="2">
        <v>147</v>
      </c>
      <c r="F4054" s="2">
        <v>32441</v>
      </c>
      <c r="G4054" s="2">
        <v>3.9691919929999999</v>
      </c>
      <c r="H4054" s="2">
        <v>3.49663E-4</v>
      </c>
      <c r="I4054" s="2" t="s">
        <v>19319</v>
      </c>
      <c r="J4054" s="2" t="s">
        <v>19320</v>
      </c>
      <c r="K4054" s="2">
        <v>8.9472499999999997E-4</v>
      </c>
      <c r="L4054" s="2" t="s">
        <v>1178</v>
      </c>
      <c r="M4054" s="4" t="s">
        <v>19321</v>
      </c>
    </row>
    <row r="4055" spans="1:13">
      <c r="A4055" s="2">
        <v>28061</v>
      </c>
      <c r="B4055" s="2" t="s">
        <v>19322</v>
      </c>
      <c r="C4055" s="2">
        <v>10</v>
      </c>
      <c r="D4055" s="2">
        <v>556</v>
      </c>
      <c r="E4055" s="2">
        <v>148</v>
      </c>
      <c r="F4055" s="2">
        <v>32441</v>
      </c>
      <c r="G4055" s="2">
        <v>3.9423731289999999</v>
      </c>
      <c r="H4055" s="2">
        <v>3.6777400000000002E-4</v>
      </c>
      <c r="I4055" s="2" t="s">
        <v>19323</v>
      </c>
      <c r="J4055" s="2" t="s">
        <v>19324</v>
      </c>
      <c r="K4055" s="2">
        <v>9.4057400000000001E-4</v>
      </c>
      <c r="L4055" s="2" t="s">
        <v>1178</v>
      </c>
      <c r="M4055" s="4" t="s">
        <v>19325</v>
      </c>
    </row>
    <row r="4056" spans="1:13">
      <c r="A4056" s="2">
        <v>28041</v>
      </c>
      <c r="B4056" s="2" t="s">
        <v>19326</v>
      </c>
      <c r="C4056" s="2">
        <v>10</v>
      </c>
      <c r="D4056" s="2">
        <v>556</v>
      </c>
      <c r="E4056" s="2">
        <v>149</v>
      </c>
      <c r="F4056" s="2">
        <v>32441</v>
      </c>
      <c r="G4056" s="2">
        <v>3.915914248</v>
      </c>
      <c r="H4056" s="2">
        <v>3.8665900000000003E-4</v>
      </c>
      <c r="I4056" s="2" t="s">
        <v>19327</v>
      </c>
      <c r="J4056" s="2" t="s">
        <v>19328</v>
      </c>
      <c r="K4056" s="2">
        <v>9.883540000000001E-4</v>
      </c>
      <c r="L4056" s="2" t="s">
        <v>1178</v>
      </c>
      <c r="M4056" s="4" t="s">
        <v>19329</v>
      </c>
    </row>
    <row r="4057" spans="1:13">
      <c r="A4057" s="2">
        <v>3929</v>
      </c>
      <c r="B4057" s="2" t="s">
        <v>19330</v>
      </c>
      <c r="C4057" s="2">
        <v>11</v>
      </c>
      <c r="D4057" s="2">
        <v>556</v>
      </c>
      <c r="E4057" s="2">
        <v>181</v>
      </c>
      <c r="F4057" s="2">
        <v>32441</v>
      </c>
      <c r="G4057" s="2">
        <v>3.5459577090000001</v>
      </c>
      <c r="H4057" s="2">
        <v>4.4587199999999999E-4</v>
      </c>
      <c r="I4057" s="2" t="s">
        <v>19331</v>
      </c>
      <c r="J4057" s="2" t="s">
        <v>19332</v>
      </c>
      <c r="K4057" s="2">
        <v>1.139113E-3</v>
      </c>
      <c r="L4057" s="2" t="s">
        <v>1178</v>
      </c>
      <c r="M4057" s="4" t="s">
        <v>19333</v>
      </c>
    </row>
    <row r="4058" spans="1:13">
      <c r="A4058" s="2">
        <v>2422</v>
      </c>
      <c r="B4058" s="2" t="s">
        <v>19334</v>
      </c>
      <c r="C4058" s="2">
        <v>10</v>
      </c>
      <c r="D4058" s="2">
        <v>556</v>
      </c>
      <c r="E4058" s="2">
        <v>152</v>
      </c>
      <c r="F4058" s="2">
        <v>32441</v>
      </c>
      <c r="G4058" s="2">
        <v>3.8386264670000001</v>
      </c>
      <c r="H4058" s="2">
        <v>4.4822299999999998E-4</v>
      </c>
      <c r="I4058" s="2" t="s">
        <v>19335</v>
      </c>
      <c r="J4058" s="2" t="s">
        <v>19336</v>
      </c>
      <c r="K4058" s="2">
        <v>1.144518E-3</v>
      </c>
      <c r="L4058" s="2" t="s">
        <v>1178</v>
      </c>
      <c r="M4058" s="4" t="s">
        <v>19337</v>
      </c>
    </row>
    <row r="4059" spans="1:13">
      <c r="A4059" s="2">
        <v>24202</v>
      </c>
      <c r="B4059" s="2" t="s">
        <v>19338</v>
      </c>
      <c r="C4059" s="2">
        <v>11</v>
      </c>
      <c r="D4059" s="2">
        <v>556</v>
      </c>
      <c r="E4059" s="2">
        <v>183</v>
      </c>
      <c r="F4059" s="2">
        <v>32441</v>
      </c>
      <c r="G4059" s="2">
        <v>3.507204073</v>
      </c>
      <c r="H4059" s="2">
        <v>4.86455E-4</v>
      </c>
      <c r="I4059" s="2" t="s">
        <v>19339</v>
      </c>
      <c r="J4059" s="2" t="s">
        <v>19340</v>
      </c>
      <c r="K4059" s="2">
        <v>1.241493E-3</v>
      </c>
      <c r="L4059" s="2" t="s">
        <v>1178</v>
      </c>
      <c r="M4059" s="4" t="s">
        <v>19341</v>
      </c>
    </row>
    <row r="4060" spans="1:13">
      <c r="A4060" s="2">
        <v>40701</v>
      </c>
      <c r="B4060" s="2" t="s">
        <v>19342</v>
      </c>
      <c r="C4060" s="2">
        <v>10</v>
      </c>
      <c r="D4060" s="2">
        <v>556</v>
      </c>
      <c r="E4060" s="2">
        <v>155</v>
      </c>
      <c r="F4060" s="2">
        <v>32441</v>
      </c>
      <c r="G4060" s="2">
        <v>3.7643304710000001</v>
      </c>
      <c r="H4060" s="2">
        <v>5.1771499999999997E-4</v>
      </c>
      <c r="I4060" s="2" t="s">
        <v>19343</v>
      </c>
      <c r="J4060" s="2" t="s">
        <v>19344</v>
      </c>
      <c r="K4060" s="2">
        <v>1.32058E-3</v>
      </c>
      <c r="L4060" s="2" t="s">
        <v>1178</v>
      </c>
      <c r="M4060" s="4" t="s">
        <v>19345</v>
      </c>
    </row>
    <row r="4061" spans="1:13">
      <c r="A4061" s="2">
        <v>26572</v>
      </c>
      <c r="B4061" s="2" t="s">
        <v>19346</v>
      </c>
      <c r="C4061" s="2">
        <v>10</v>
      </c>
      <c r="D4061" s="2">
        <v>556</v>
      </c>
      <c r="E4061" s="2">
        <v>156</v>
      </c>
      <c r="F4061" s="2">
        <v>32441</v>
      </c>
      <c r="G4061" s="2">
        <v>3.740200148</v>
      </c>
      <c r="H4061" s="2">
        <v>5.4277299999999998E-4</v>
      </c>
      <c r="I4061" s="2" t="s">
        <v>19347</v>
      </c>
      <c r="J4061" s="2" t="s">
        <v>19348</v>
      </c>
      <c r="K4061" s="2">
        <v>1.383773E-3</v>
      </c>
      <c r="L4061" s="2" t="s">
        <v>1178</v>
      </c>
      <c r="M4061" s="4" t="s">
        <v>19349</v>
      </c>
    </row>
    <row r="4062" spans="1:13">
      <c r="A4062" s="2">
        <v>2774</v>
      </c>
      <c r="B4062" s="2" t="s">
        <v>19350</v>
      </c>
      <c r="C4062" s="2">
        <v>9</v>
      </c>
      <c r="D4062" s="2">
        <v>556</v>
      </c>
      <c r="E4062" s="2">
        <v>128</v>
      </c>
      <c r="F4062" s="2">
        <v>32441</v>
      </c>
      <c r="G4062" s="2">
        <v>4.1025320369999996</v>
      </c>
      <c r="H4062" s="2">
        <v>5.4642500000000001E-4</v>
      </c>
      <c r="I4062" s="2" t="s">
        <v>19351</v>
      </c>
      <c r="J4062" s="2" t="s">
        <v>19352</v>
      </c>
      <c r="K4062" s="2">
        <v>1.392356E-3</v>
      </c>
      <c r="L4062" s="2" t="s">
        <v>1178</v>
      </c>
      <c r="M4062" s="4" t="s">
        <v>19353</v>
      </c>
    </row>
    <row r="4063" spans="1:13">
      <c r="A4063" s="2">
        <v>2656</v>
      </c>
      <c r="B4063" s="2" t="s">
        <v>1533</v>
      </c>
      <c r="C4063" s="2">
        <v>10</v>
      </c>
      <c r="D4063" s="2">
        <v>556</v>
      </c>
      <c r="E4063" s="2">
        <v>157</v>
      </c>
      <c r="F4063" s="2">
        <v>32441</v>
      </c>
      <c r="G4063" s="2">
        <v>3.7163772169999998</v>
      </c>
      <c r="H4063" s="2">
        <v>5.6882700000000005E-4</v>
      </c>
      <c r="I4063" s="2" t="s">
        <v>19354</v>
      </c>
      <c r="J4063" s="2" t="s">
        <v>19355</v>
      </c>
      <c r="K4063" s="2">
        <v>1.448679E-3</v>
      </c>
      <c r="L4063" s="2" t="s">
        <v>1178</v>
      </c>
      <c r="M4063" s="4" t="s">
        <v>19356</v>
      </c>
    </row>
    <row r="4064" spans="1:13">
      <c r="A4064" s="2">
        <v>2099</v>
      </c>
      <c r="B4064" s="2" t="s">
        <v>19357</v>
      </c>
      <c r="C4064" s="2">
        <v>11</v>
      </c>
      <c r="D4064" s="2">
        <v>556</v>
      </c>
      <c r="E4064" s="2">
        <v>188</v>
      </c>
      <c r="F4064" s="2">
        <v>32441</v>
      </c>
      <c r="G4064" s="2">
        <v>3.413927369</v>
      </c>
      <c r="H4064" s="2">
        <v>6.0161999999999998E-4</v>
      </c>
      <c r="I4064" s="2" t="s">
        <v>19358</v>
      </c>
      <c r="J4064" s="2" t="s">
        <v>19359</v>
      </c>
      <c r="K4064" s="2">
        <v>1.531396E-3</v>
      </c>
      <c r="L4064" s="2" t="s">
        <v>1178</v>
      </c>
      <c r="M4064" s="4" t="s">
        <v>19360</v>
      </c>
    </row>
    <row r="4065" spans="1:13">
      <c r="A4065" s="2">
        <v>1747</v>
      </c>
      <c r="B4065" s="2" t="s">
        <v>19361</v>
      </c>
      <c r="C4065" s="2">
        <v>11</v>
      </c>
      <c r="D4065" s="2">
        <v>556</v>
      </c>
      <c r="E4065" s="2">
        <v>189</v>
      </c>
      <c r="F4065" s="2">
        <v>32441</v>
      </c>
      <c r="G4065" s="2">
        <v>3.3958642609999998</v>
      </c>
      <c r="H4065" s="2">
        <v>6.2718300000000002E-4</v>
      </c>
      <c r="I4065" s="2" t="s">
        <v>19362</v>
      </c>
      <c r="J4065" s="2" t="s">
        <v>19363</v>
      </c>
      <c r="K4065" s="2">
        <v>1.595632E-3</v>
      </c>
      <c r="L4065" s="2" t="s">
        <v>1178</v>
      </c>
      <c r="M4065" s="4" t="s">
        <v>19364</v>
      </c>
    </row>
    <row r="4066" spans="1:13">
      <c r="A4066" s="2">
        <v>4030</v>
      </c>
      <c r="B4066" s="2" t="s">
        <v>19365</v>
      </c>
      <c r="C4066" s="2">
        <v>10</v>
      </c>
      <c r="D4066" s="2">
        <v>556</v>
      </c>
      <c r="E4066" s="2">
        <v>160</v>
      </c>
      <c r="F4066" s="2">
        <v>32441</v>
      </c>
      <c r="G4066" s="2">
        <v>3.6466951440000002</v>
      </c>
      <c r="H4066" s="2">
        <v>6.5326800000000003E-4</v>
      </c>
      <c r="I4066" s="2" t="s">
        <v>19366</v>
      </c>
      <c r="J4066" s="2" t="s">
        <v>19367</v>
      </c>
      <c r="K4066" s="2">
        <v>1.6611289999999999E-3</v>
      </c>
      <c r="L4066" s="2" t="s">
        <v>1178</v>
      </c>
      <c r="M4066" s="4" t="s">
        <v>19368</v>
      </c>
    </row>
    <row r="4067" spans="1:13">
      <c r="A4067" s="2">
        <v>2414</v>
      </c>
      <c r="B4067" s="2" t="s">
        <v>19369</v>
      </c>
      <c r="C4067" s="2">
        <v>10</v>
      </c>
      <c r="D4067" s="2">
        <v>556</v>
      </c>
      <c r="E4067" s="2">
        <v>163</v>
      </c>
      <c r="F4067" s="2">
        <v>32441</v>
      </c>
      <c r="G4067" s="2">
        <v>3.5795780549999998</v>
      </c>
      <c r="H4067" s="2">
        <v>7.4779700000000002E-4</v>
      </c>
      <c r="I4067" s="2" t="s">
        <v>19370</v>
      </c>
      <c r="J4067" s="2" t="s">
        <v>19371</v>
      </c>
      <c r="K4067" s="2">
        <v>1.900505E-3</v>
      </c>
      <c r="L4067" s="2" t="s">
        <v>1178</v>
      </c>
      <c r="M4067" s="4" t="s">
        <v>19372</v>
      </c>
    </row>
    <row r="4068" spans="1:13">
      <c r="A4068" s="2">
        <v>2285</v>
      </c>
      <c r="B4068" s="2" t="s">
        <v>19373</v>
      </c>
      <c r="C4068" s="2">
        <v>11</v>
      </c>
      <c r="D4068" s="2">
        <v>556</v>
      </c>
      <c r="E4068" s="2">
        <v>194</v>
      </c>
      <c r="F4068" s="2">
        <v>32441</v>
      </c>
      <c r="G4068" s="2">
        <v>3.3083419859999998</v>
      </c>
      <c r="H4068" s="2">
        <v>7.6896699999999996E-4</v>
      </c>
      <c r="I4068" s="2" t="s">
        <v>19374</v>
      </c>
      <c r="J4068" s="2" t="s">
        <v>19375</v>
      </c>
      <c r="K4068" s="2">
        <v>1.952271E-3</v>
      </c>
      <c r="L4068" s="2" t="s">
        <v>1178</v>
      </c>
      <c r="M4068" s="4" t="s">
        <v>19376</v>
      </c>
    </row>
    <row r="4069" spans="1:13">
      <c r="A4069" s="2">
        <v>22911</v>
      </c>
      <c r="B4069" s="2" t="s">
        <v>19377</v>
      </c>
      <c r="C4069" s="2">
        <v>11</v>
      </c>
      <c r="D4069" s="2">
        <v>556</v>
      </c>
      <c r="E4069" s="2">
        <v>194</v>
      </c>
      <c r="F4069" s="2">
        <v>32441</v>
      </c>
      <c r="G4069" s="2">
        <v>3.3083419859999998</v>
      </c>
      <c r="H4069" s="2">
        <v>7.6896699999999996E-4</v>
      </c>
      <c r="I4069" s="2" t="s">
        <v>19378</v>
      </c>
      <c r="J4069" s="2" t="s">
        <v>19379</v>
      </c>
      <c r="K4069" s="2">
        <v>1.952271E-3</v>
      </c>
      <c r="L4069" s="2" t="s">
        <v>1178</v>
      </c>
      <c r="M4069" s="4" t="s">
        <v>19380</v>
      </c>
    </row>
    <row r="4070" spans="1:13">
      <c r="A4070" s="2">
        <v>24301</v>
      </c>
      <c r="B4070" s="2" t="s">
        <v>3235</v>
      </c>
      <c r="C4070" s="2">
        <v>10</v>
      </c>
      <c r="D4070" s="2">
        <v>556</v>
      </c>
      <c r="E4070" s="2">
        <v>164</v>
      </c>
      <c r="F4070" s="2">
        <v>32441</v>
      </c>
      <c r="G4070" s="2">
        <v>3.5577513600000001</v>
      </c>
      <c r="H4070" s="2">
        <v>7.81702E-4</v>
      </c>
      <c r="I4070" s="2" t="s">
        <v>19381</v>
      </c>
      <c r="J4070" s="2" t="s">
        <v>19382</v>
      </c>
      <c r="K4070" s="2">
        <v>1.98357E-3</v>
      </c>
      <c r="L4070" s="2" t="s">
        <v>1178</v>
      </c>
      <c r="M4070" s="4" t="s">
        <v>3238</v>
      </c>
    </row>
    <row r="4071" spans="1:13">
      <c r="A4071" s="2">
        <v>2097</v>
      </c>
      <c r="B4071" s="2" t="s">
        <v>19383</v>
      </c>
      <c r="C4071" s="2">
        <v>11</v>
      </c>
      <c r="D4071" s="2">
        <v>556</v>
      </c>
      <c r="E4071" s="2">
        <v>195</v>
      </c>
      <c r="F4071" s="2">
        <v>32441</v>
      </c>
      <c r="G4071" s="2">
        <v>3.2913761300000002</v>
      </c>
      <c r="H4071" s="2">
        <v>8.0029400000000001E-4</v>
      </c>
      <c r="I4071" s="2" t="s">
        <v>19384</v>
      </c>
      <c r="J4071" s="2" t="s">
        <v>19385</v>
      </c>
      <c r="K4071" s="2">
        <v>2.0286330000000002E-3</v>
      </c>
      <c r="L4071" s="2" t="s">
        <v>1178</v>
      </c>
      <c r="M4071" s="4" t="s">
        <v>19386</v>
      </c>
    </row>
    <row r="4072" spans="1:13">
      <c r="A4072" s="2">
        <v>3792</v>
      </c>
      <c r="B4072" s="2" t="s">
        <v>19387</v>
      </c>
      <c r="C4072" s="2">
        <v>11</v>
      </c>
      <c r="D4072" s="2">
        <v>556</v>
      </c>
      <c r="E4072" s="2">
        <v>195</v>
      </c>
      <c r="F4072" s="2">
        <v>32441</v>
      </c>
      <c r="G4072" s="2">
        <v>3.2913761300000002</v>
      </c>
      <c r="H4072" s="2">
        <v>8.0029400000000001E-4</v>
      </c>
      <c r="I4072" s="2" t="s">
        <v>19388</v>
      </c>
      <c r="J4072" s="2" t="s">
        <v>19389</v>
      </c>
      <c r="K4072" s="2">
        <v>2.0286330000000002E-3</v>
      </c>
      <c r="L4072" s="2" t="s">
        <v>1178</v>
      </c>
      <c r="M4072" s="4" t="s">
        <v>19390</v>
      </c>
    </row>
    <row r="4073" spans="1:13">
      <c r="A4073" s="2">
        <v>3659</v>
      </c>
      <c r="B4073" s="2" t="s">
        <v>19391</v>
      </c>
      <c r="C4073" s="2">
        <v>10</v>
      </c>
      <c r="D4073" s="2">
        <v>556</v>
      </c>
      <c r="E4073" s="2">
        <v>165</v>
      </c>
      <c r="F4073" s="2">
        <v>32441</v>
      </c>
      <c r="G4073" s="2">
        <v>3.5361892300000002</v>
      </c>
      <c r="H4073" s="2">
        <v>8.1686200000000001E-4</v>
      </c>
      <c r="I4073" s="2" t="s">
        <v>19392</v>
      </c>
      <c r="J4073" s="2" t="s">
        <v>19393</v>
      </c>
      <c r="K4073" s="2">
        <v>2.0695539999999999E-3</v>
      </c>
      <c r="L4073" s="2" t="s">
        <v>1178</v>
      </c>
      <c r="M4073" s="4" t="s">
        <v>19394</v>
      </c>
    </row>
    <row r="4074" spans="1:13">
      <c r="A4074" s="2">
        <v>3177</v>
      </c>
      <c r="B4074" s="2" t="s">
        <v>19395</v>
      </c>
      <c r="C4074" s="2">
        <v>11</v>
      </c>
      <c r="D4074" s="2">
        <v>556</v>
      </c>
      <c r="E4074" s="2">
        <v>196</v>
      </c>
      <c r="F4074" s="2">
        <v>32441</v>
      </c>
      <c r="G4074" s="2">
        <v>3.2745833950000001</v>
      </c>
      <c r="H4074" s="2">
        <v>8.3267200000000001E-4</v>
      </c>
      <c r="I4074" s="2" t="s">
        <v>19396</v>
      </c>
      <c r="J4074" s="2" t="s">
        <v>19397</v>
      </c>
      <c r="K4074" s="2">
        <v>2.1085140000000001E-3</v>
      </c>
      <c r="L4074" s="2" t="s">
        <v>1178</v>
      </c>
      <c r="M4074" s="4" t="s">
        <v>19398</v>
      </c>
    </row>
    <row r="4075" spans="1:13">
      <c r="A4075" s="2">
        <v>2703</v>
      </c>
      <c r="B4075" s="2" t="s">
        <v>19399</v>
      </c>
      <c r="C4075" s="2">
        <v>9</v>
      </c>
      <c r="D4075" s="2">
        <v>556</v>
      </c>
      <c r="E4075" s="2">
        <v>137</v>
      </c>
      <c r="F4075" s="2">
        <v>32441</v>
      </c>
      <c r="G4075" s="2">
        <v>3.8330226330000001</v>
      </c>
      <c r="H4075" s="2">
        <v>8.6292400000000005E-4</v>
      </c>
      <c r="I4075" s="2" t="s">
        <v>19400</v>
      </c>
      <c r="J4075" s="2" t="s">
        <v>19401</v>
      </c>
      <c r="K4075" s="2">
        <v>2.1839810000000002E-3</v>
      </c>
      <c r="L4075" s="2" t="s">
        <v>1178</v>
      </c>
      <c r="M4075" s="4" t="s">
        <v>19402</v>
      </c>
    </row>
    <row r="4076" spans="1:13">
      <c r="A4076" s="2">
        <v>29831</v>
      </c>
      <c r="B4076" s="2" t="s">
        <v>19403</v>
      </c>
      <c r="C4076" s="2">
        <v>11</v>
      </c>
      <c r="D4076" s="2">
        <v>556</v>
      </c>
      <c r="E4076" s="2">
        <v>197</v>
      </c>
      <c r="F4076" s="2">
        <v>32441</v>
      </c>
      <c r="G4076" s="2">
        <v>3.2579611439999998</v>
      </c>
      <c r="H4076" s="2">
        <v>8.6612899999999999E-4</v>
      </c>
      <c r="I4076" s="2" t="s">
        <v>19404</v>
      </c>
      <c r="J4076" s="2" t="s">
        <v>19405</v>
      </c>
      <c r="K4076" s="2">
        <v>2.1898180000000001E-3</v>
      </c>
      <c r="L4076" s="2" t="s">
        <v>1178</v>
      </c>
      <c r="M4076" s="4" t="s">
        <v>19406</v>
      </c>
    </row>
    <row r="4077" spans="1:13">
      <c r="A4077" s="2">
        <v>29841</v>
      </c>
      <c r="B4077" s="2" t="s">
        <v>19407</v>
      </c>
      <c r="C4077" s="2">
        <v>11</v>
      </c>
      <c r="D4077" s="2">
        <v>556</v>
      </c>
      <c r="E4077" s="2">
        <v>197</v>
      </c>
      <c r="F4077" s="2">
        <v>32441</v>
      </c>
      <c r="G4077" s="2">
        <v>3.2579611439999998</v>
      </c>
      <c r="H4077" s="2">
        <v>8.6612899999999999E-4</v>
      </c>
      <c r="I4077" s="2" t="s">
        <v>19408</v>
      </c>
      <c r="J4077" s="2" t="s">
        <v>19409</v>
      </c>
      <c r="K4077" s="2">
        <v>2.1898180000000001E-3</v>
      </c>
      <c r="L4077" s="2" t="s">
        <v>1178</v>
      </c>
      <c r="M4077" s="4" t="s">
        <v>19410</v>
      </c>
    </row>
    <row r="4078" spans="1:13">
      <c r="A4078" s="2">
        <v>3</v>
      </c>
      <c r="B4078" s="2" t="s">
        <v>1638</v>
      </c>
      <c r="C4078" s="2">
        <v>11</v>
      </c>
      <c r="D4078" s="2">
        <v>556</v>
      </c>
      <c r="E4078" s="2">
        <v>200</v>
      </c>
      <c r="F4078" s="2">
        <v>32441</v>
      </c>
      <c r="G4078" s="2">
        <v>3.2090917270000001</v>
      </c>
      <c r="H4078" s="2">
        <v>9.7324300000000005E-4</v>
      </c>
      <c r="I4078" s="2" t="s">
        <v>19411</v>
      </c>
      <c r="J4078" s="2" t="s">
        <v>19412</v>
      </c>
      <c r="K4078" s="2">
        <v>2.2002969999999999E-3</v>
      </c>
      <c r="L4078" s="2" t="s">
        <v>1178</v>
      </c>
      <c r="M4078" s="4" t="s">
        <v>19413</v>
      </c>
    </row>
    <row r="4079" spans="1:13">
      <c r="A4079" s="2">
        <v>2311</v>
      </c>
      <c r="B4079" s="2" t="s">
        <v>1290</v>
      </c>
      <c r="C4079" s="2">
        <v>11</v>
      </c>
      <c r="D4079" s="2">
        <v>556</v>
      </c>
      <c r="E4079" s="2">
        <v>200</v>
      </c>
      <c r="F4079" s="2">
        <v>32441</v>
      </c>
      <c r="G4079" s="2">
        <v>3.2090917270000001</v>
      </c>
      <c r="H4079" s="2">
        <v>9.7324300000000005E-4</v>
      </c>
      <c r="I4079" s="2" t="s">
        <v>19414</v>
      </c>
      <c r="J4079" s="2" t="s">
        <v>19415</v>
      </c>
      <c r="K4079" s="2">
        <v>2.2002969999999999E-3</v>
      </c>
      <c r="L4079" s="2" t="s">
        <v>1178</v>
      </c>
      <c r="M4079" s="4" t="s">
        <v>19416</v>
      </c>
    </row>
    <row r="4080" spans="1:13">
      <c r="A4080" s="2">
        <v>491</v>
      </c>
      <c r="B4080" s="2" t="s">
        <v>1548</v>
      </c>
      <c r="C4080" s="2">
        <v>11</v>
      </c>
      <c r="D4080" s="2">
        <v>556</v>
      </c>
      <c r="E4080" s="2">
        <v>200</v>
      </c>
      <c r="F4080" s="2">
        <v>32441</v>
      </c>
      <c r="G4080" s="2">
        <v>3.2090917270000001</v>
      </c>
      <c r="H4080" s="2">
        <v>9.7324300000000005E-4</v>
      </c>
      <c r="I4080" s="2" t="s">
        <v>19417</v>
      </c>
      <c r="J4080" s="2" t="s">
        <v>19418</v>
      </c>
      <c r="K4080" s="2">
        <v>2.2002969999999999E-3</v>
      </c>
      <c r="L4080" s="2" t="s">
        <v>1178</v>
      </c>
      <c r="M4080" s="4" t="s">
        <v>19419</v>
      </c>
    </row>
    <row r="4081" spans="1:13">
      <c r="A4081" s="2">
        <v>634</v>
      </c>
      <c r="B4081" s="2" t="s">
        <v>19420</v>
      </c>
      <c r="C4081" s="2">
        <v>11</v>
      </c>
      <c r="D4081" s="2">
        <v>556</v>
      </c>
      <c r="E4081" s="2">
        <v>200</v>
      </c>
      <c r="F4081" s="2">
        <v>32441</v>
      </c>
      <c r="G4081" s="2">
        <v>3.2090917270000001</v>
      </c>
      <c r="H4081" s="2">
        <v>9.7324300000000005E-4</v>
      </c>
      <c r="I4081" s="2" t="s">
        <v>19421</v>
      </c>
      <c r="J4081" s="2" t="s">
        <v>19422</v>
      </c>
      <c r="K4081" s="2">
        <v>2.2002969999999999E-3</v>
      </c>
      <c r="L4081" s="2" t="s">
        <v>1178</v>
      </c>
      <c r="M4081" s="4" t="s">
        <v>19423</v>
      </c>
    </row>
    <row r="4082" spans="1:13">
      <c r="A4082" s="2">
        <v>117</v>
      </c>
      <c r="B4082" s="2" t="s">
        <v>19424</v>
      </c>
      <c r="C4082" s="2">
        <v>11</v>
      </c>
      <c r="D4082" s="2">
        <v>556</v>
      </c>
      <c r="E4082" s="2">
        <v>200</v>
      </c>
      <c r="F4082" s="2">
        <v>32441</v>
      </c>
      <c r="G4082" s="2">
        <v>3.2090917270000001</v>
      </c>
      <c r="H4082" s="2">
        <v>9.7324300000000005E-4</v>
      </c>
      <c r="I4082" s="2" t="s">
        <v>19425</v>
      </c>
      <c r="J4082" s="2" t="s">
        <v>19426</v>
      </c>
      <c r="K4082" s="2">
        <v>2.2002969999999999E-3</v>
      </c>
      <c r="L4082" s="2" t="s">
        <v>1178</v>
      </c>
      <c r="M4082" s="4" t="s">
        <v>19427</v>
      </c>
    </row>
    <row r="4083" spans="1:13">
      <c r="A4083" s="2">
        <v>121</v>
      </c>
      <c r="B4083" s="2" t="s">
        <v>19428</v>
      </c>
      <c r="C4083" s="2">
        <v>11</v>
      </c>
      <c r="D4083" s="2">
        <v>556</v>
      </c>
      <c r="E4083" s="2">
        <v>200</v>
      </c>
      <c r="F4083" s="2">
        <v>32441</v>
      </c>
      <c r="G4083" s="2">
        <v>3.2090917270000001</v>
      </c>
      <c r="H4083" s="2">
        <v>9.7324300000000005E-4</v>
      </c>
      <c r="I4083" s="2" t="s">
        <v>19429</v>
      </c>
      <c r="J4083" s="2" t="s">
        <v>19430</v>
      </c>
      <c r="K4083" s="2">
        <v>2.2002969999999999E-3</v>
      </c>
      <c r="L4083" s="2" t="s">
        <v>1178</v>
      </c>
      <c r="M4083" s="4" t="s">
        <v>19431</v>
      </c>
    </row>
    <row r="4084" spans="1:13">
      <c r="A4084" s="2">
        <v>1351</v>
      </c>
      <c r="B4084" s="2" t="s">
        <v>3314</v>
      </c>
      <c r="C4084" s="2">
        <v>11</v>
      </c>
      <c r="D4084" s="2">
        <v>556</v>
      </c>
      <c r="E4084" s="2">
        <v>200</v>
      </c>
      <c r="F4084" s="2">
        <v>32441</v>
      </c>
      <c r="G4084" s="2">
        <v>3.2090917270000001</v>
      </c>
      <c r="H4084" s="2">
        <v>9.7324300000000005E-4</v>
      </c>
      <c r="I4084" s="2" t="s">
        <v>19432</v>
      </c>
      <c r="J4084" s="2" t="s">
        <v>19433</v>
      </c>
      <c r="K4084" s="2">
        <v>2.2002969999999999E-3</v>
      </c>
      <c r="L4084" s="2" t="s">
        <v>1178</v>
      </c>
      <c r="M4084" s="4" t="s">
        <v>3317</v>
      </c>
    </row>
    <row r="4085" spans="1:13">
      <c r="A4085" s="2">
        <v>142</v>
      </c>
      <c r="B4085" s="2" t="s">
        <v>19434</v>
      </c>
      <c r="C4085" s="2">
        <v>11</v>
      </c>
      <c r="D4085" s="2">
        <v>556</v>
      </c>
      <c r="E4085" s="2">
        <v>200</v>
      </c>
      <c r="F4085" s="2">
        <v>32441</v>
      </c>
      <c r="G4085" s="2">
        <v>3.2090917270000001</v>
      </c>
      <c r="H4085" s="2">
        <v>9.7324300000000005E-4</v>
      </c>
      <c r="I4085" s="2" t="s">
        <v>19435</v>
      </c>
      <c r="J4085" s="2" t="s">
        <v>19436</v>
      </c>
      <c r="K4085" s="2">
        <v>2.2002969999999999E-3</v>
      </c>
      <c r="L4085" s="2" t="s">
        <v>1178</v>
      </c>
      <c r="M4085" s="4" t="s">
        <v>19437</v>
      </c>
    </row>
    <row r="4086" spans="1:13">
      <c r="A4086" s="2">
        <v>144</v>
      </c>
      <c r="B4086" s="2" t="s">
        <v>19438</v>
      </c>
      <c r="C4086" s="2">
        <v>11</v>
      </c>
      <c r="D4086" s="2">
        <v>556</v>
      </c>
      <c r="E4086" s="2">
        <v>200</v>
      </c>
      <c r="F4086" s="2">
        <v>32441</v>
      </c>
      <c r="G4086" s="2">
        <v>3.2090917270000001</v>
      </c>
      <c r="H4086" s="2">
        <v>9.7324300000000005E-4</v>
      </c>
      <c r="I4086" s="2" t="s">
        <v>19439</v>
      </c>
      <c r="J4086" s="2" t="s">
        <v>19440</v>
      </c>
      <c r="K4086" s="2">
        <v>2.2002969999999999E-3</v>
      </c>
      <c r="L4086" s="2" t="s">
        <v>1178</v>
      </c>
      <c r="M4086" s="4" t="s">
        <v>19441</v>
      </c>
    </row>
    <row r="4087" spans="1:13">
      <c r="A4087" s="2">
        <v>1803</v>
      </c>
      <c r="B4087" s="2" t="s">
        <v>19442</v>
      </c>
      <c r="C4087" s="2">
        <v>11</v>
      </c>
      <c r="D4087" s="2">
        <v>556</v>
      </c>
      <c r="E4087" s="2">
        <v>200</v>
      </c>
      <c r="F4087" s="2">
        <v>32441</v>
      </c>
      <c r="G4087" s="2">
        <v>3.2090917270000001</v>
      </c>
      <c r="H4087" s="2">
        <v>9.7324300000000005E-4</v>
      </c>
      <c r="I4087" s="2" t="s">
        <v>19443</v>
      </c>
      <c r="J4087" s="2" t="s">
        <v>19444</v>
      </c>
      <c r="K4087" s="2">
        <v>2.2002969999999999E-3</v>
      </c>
      <c r="L4087" s="2" t="s">
        <v>1178</v>
      </c>
      <c r="M4087" s="4" t="s">
        <v>19445</v>
      </c>
    </row>
    <row r="4088" spans="1:13">
      <c r="A4088" s="2">
        <v>1852</v>
      </c>
      <c r="B4088" s="2" t="s">
        <v>19446</v>
      </c>
      <c r="C4088" s="2">
        <v>11</v>
      </c>
      <c r="D4088" s="2">
        <v>556</v>
      </c>
      <c r="E4088" s="2">
        <v>200</v>
      </c>
      <c r="F4088" s="2">
        <v>32441</v>
      </c>
      <c r="G4088" s="2">
        <v>3.2090917270000001</v>
      </c>
      <c r="H4088" s="2">
        <v>9.7324300000000005E-4</v>
      </c>
      <c r="I4088" s="2" t="s">
        <v>19447</v>
      </c>
      <c r="J4088" s="2" t="s">
        <v>19448</v>
      </c>
      <c r="K4088" s="2">
        <v>2.2002969999999999E-3</v>
      </c>
      <c r="L4088" s="2" t="s">
        <v>1178</v>
      </c>
      <c r="M4088" s="4" t="s">
        <v>19449</v>
      </c>
    </row>
    <row r="4089" spans="1:13">
      <c r="A4089" s="2">
        <v>198</v>
      </c>
      <c r="B4089" s="2" t="s">
        <v>19450</v>
      </c>
      <c r="C4089" s="2">
        <v>11</v>
      </c>
      <c r="D4089" s="2">
        <v>556</v>
      </c>
      <c r="E4089" s="2">
        <v>200</v>
      </c>
      <c r="F4089" s="2">
        <v>32441</v>
      </c>
      <c r="G4089" s="2">
        <v>3.2090917270000001</v>
      </c>
      <c r="H4089" s="2">
        <v>9.7324300000000005E-4</v>
      </c>
      <c r="I4089" s="2" t="s">
        <v>19451</v>
      </c>
      <c r="J4089" s="2" t="s">
        <v>19452</v>
      </c>
      <c r="K4089" s="2">
        <v>2.2002969999999999E-3</v>
      </c>
      <c r="L4089" s="2" t="s">
        <v>1178</v>
      </c>
      <c r="M4089" s="4" t="s">
        <v>19453</v>
      </c>
    </row>
    <row r="4090" spans="1:13">
      <c r="A4090" s="2">
        <v>2147</v>
      </c>
      <c r="B4090" s="2" t="s">
        <v>19454</v>
      </c>
      <c r="C4090" s="2">
        <v>11</v>
      </c>
      <c r="D4090" s="2">
        <v>556</v>
      </c>
      <c r="E4090" s="2">
        <v>200</v>
      </c>
      <c r="F4090" s="2">
        <v>32441</v>
      </c>
      <c r="G4090" s="2">
        <v>3.2090917270000001</v>
      </c>
      <c r="H4090" s="2">
        <v>9.7324300000000005E-4</v>
      </c>
      <c r="I4090" s="2" t="s">
        <v>19455</v>
      </c>
      <c r="J4090" s="2" t="s">
        <v>19456</v>
      </c>
      <c r="K4090" s="2">
        <v>2.2002969999999999E-3</v>
      </c>
      <c r="L4090" s="2" t="s">
        <v>1178</v>
      </c>
      <c r="M4090" s="4" t="s">
        <v>19457</v>
      </c>
    </row>
    <row r="4091" spans="1:13">
      <c r="A4091" s="2">
        <v>2354</v>
      </c>
      <c r="B4091" s="2" t="s">
        <v>1554</v>
      </c>
      <c r="C4091" s="2">
        <v>11</v>
      </c>
      <c r="D4091" s="2">
        <v>556</v>
      </c>
      <c r="E4091" s="2">
        <v>200</v>
      </c>
      <c r="F4091" s="2">
        <v>32441</v>
      </c>
      <c r="G4091" s="2">
        <v>3.2090917270000001</v>
      </c>
      <c r="H4091" s="2">
        <v>9.7324300000000005E-4</v>
      </c>
      <c r="I4091" s="2" t="s">
        <v>19458</v>
      </c>
      <c r="J4091" s="2" t="s">
        <v>19459</v>
      </c>
      <c r="K4091" s="2">
        <v>2.2002969999999999E-3</v>
      </c>
      <c r="L4091" s="2" t="s">
        <v>1178</v>
      </c>
      <c r="M4091" s="4" t="s">
        <v>19460</v>
      </c>
    </row>
    <row r="4092" spans="1:13">
      <c r="A4092" s="2">
        <v>244</v>
      </c>
      <c r="B4092" s="2" t="s">
        <v>19461</v>
      </c>
      <c r="C4092" s="2">
        <v>11</v>
      </c>
      <c r="D4092" s="2">
        <v>556</v>
      </c>
      <c r="E4092" s="2">
        <v>200</v>
      </c>
      <c r="F4092" s="2">
        <v>32441</v>
      </c>
      <c r="G4092" s="2">
        <v>3.2090917270000001</v>
      </c>
      <c r="H4092" s="2">
        <v>9.7324300000000005E-4</v>
      </c>
      <c r="I4092" s="2" t="s">
        <v>19462</v>
      </c>
      <c r="J4092" s="2" t="s">
        <v>19463</v>
      </c>
      <c r="K4092" s="2">
        <v>2.2002969999999999E-3</v>
      </c>
      <c r="L4092" s="2" t="s">
        <v>1178</v>
      </c>
      <c r="M4092" s="4" t="s">
        <v>19464</v>
      </c>
    </row>
    <row r="4093" spans="1:13">
      <c r="A4093" s="2">
        <v>262</v>
      </c>
      <c r="B4093" s="2" t="s">
        <v>19465</v>
      </c>
      <c r="C4093" s="2">
        <v>11</v>
      </c>
      <c r="D4093" s="2">
        <v>556</v>
      </c>
      <c r="E4093" s="2">
        <v>200</v>
      </c>
      <c r="F4093" s="2">
        <v>32441</v>
      </c>
      <c r="G4093" s="2">
        <v>3.2090917270000001</v>
      </c>
      <c r="H4093" s="2">
        <v>9.7324300000000005E-4</v>
      </c>
      <c r="I4093" s="2" t="s">
        <v>19466</v>
      </c>
      <c r="J4093" s="2" t="s">
        <v>19467</v>
      </c>
      <c r="K4093" s="2">
        <v>2.2002969999999999E-3</v>
      </c>
      <c r="L4093" s="2" t="s">
        <v>1178</v>
      </c>
      <c r="M4093" s="4" t="s">
        <v>19468</v>
      </c>
    </row>
    <row r="4094" spans="1:13">
      <c r="A4094" s="2">
        <v>2852</v>
      </c>
      <c r="B4094" s="2" t="s">
        <v>19469</v>
      </c>
      <c r="C4094" s="2">
        <v>11</v>
      </c>
      <c r="D4094" s="2">
        <v>556</v>
      </c>
      <c r="E4094" s="2">
        <v>200</v>
      </c>
      <c r="F4094" s="2">
        <v>32441</v>
      </c>
      <c r="G4094" s="2">
        <v>3.2090917270000001</v>
      </c>
      <c r="H4094" s="2">
        <v>9.7324300000000005E-4</v>
      </c>
      <c r="I4094" s="2" t="s">
        <v>19470</v>
      </c>
      <c r="J4094" s="2" t="s">
        <v>19471</v>
      </c>
      <c r="K4094" s="2">
        <v>2.2002969999999999E-3</v>
      </c>
      <c r="L4094" s="2" t="s">
        <v>1178</v>
      </c>
      <c r="M4094" s="4" t="s">
        <v>19472</v>
      </c>
    </row>
    <row r="4095" spans="1:13">
      <c r="A4095" s="2">
        <v>2876</v>
      </c>
      <c r="B4095" s="2" t="s">
        <v>3243</v>
      </c>
      <c r="C4095" s="2">
        <v>11</v>
      </c>
      <c r="D4095" s="2">
        <v>556</v>
      </c>
      <c r="E4095" s="2">
        <v>200</v>
      </c>
      <c r="F4095" s="2">
        <v>32441</v>
      </c>
      <c r="G4095" s="2">
        <v>3.2090917270000001</v>
      </c>
      <c r="H4095" s="2">
        <v>9.7324300000000005E-4</v>
      </c>
      <c r="I4095" s="2" t="s">
        <v>19473</v>
      </c>
      <c r="J4095" s="2" t="s">
        <v>19474</v>
      </c>
      <c r="K4095" s="2">
        <v>2.2002969999999999E-3</v>
      </c>
      <c r="L4095" s="2" t="s">
        <v>1178</v>
      </c>
      <c r="M4095" s="4" t="s">
        <v>3246</v>
      </c>
    </row>
    <row r="4096" spans="1:13">
      <c r="A4096" s="2">
        <v>3122</v>
      </c>
      <c r="B4096" s="2" t="s">
        <v>1815</v>
      </c>
      <c r="C4096" s="2">
        <v>11</v>
      </c>
      <c r="D4096" s="2">
        <v>556</v>
      </c>
      <c r="E4096" s="2">
        <v>200</v>
      </c>
      <c r="F4096" s="2">
        <v>32441</v>
      </c>
      <c r="G4096" s="2">
        <v>3.2090917270000001</v>
      </c>
      <c r="H4096" s="2">
        <v>9.7324300000000005E-4</v>
      </c>
      <c r="I4096" s="2" t="s">
        <v>19475</v>
      </c>
      <c r="J4096" s="2" t="s">
        <v>19476</v>
      </c>
      <c r="K4096" s="2">
        <v>2.2002969999999999E-3</v>
      </c>
      <c r="L4096" s="2" t="s">
        <v>1178</v>
      </c>
      <c r="M4096" s="4" t="s">
        <v>19477</v>
      </c>
    </row>
    <row r="4097" spans="1:13">
      <c r="A4097" s="2">
        <v>3308</v>
      </c>
      <c r="B4097" s="2" t="s">
        <v>19478</v>
      </c>
      <c r="C4097" s="2">
        <v>11</v>
      </c>
      <c r="D4097" s="2">
        <v>556</v>
      </c>
      <c r="E4097" s="2">
        <v>200</v>
      </c>
      <c r="F4097" s="2">
        <v>32441</v>
      </c>
      <c r="G4097" s="2">
        <v>3.2090917270000001</v>
      </c>
      <c r="H4097" s="2">
        <v>9.7324300000000005E-4</v>
      </c>
      <c r="I4097" s="2" t="s">
        <v>19479</v>
      </c>
      <c r="J4097" s="2" t="s">
        <v>19480</v>
      </c>
      <c r="K4097" s="2">
        <v>2.2002969999999999E-3</v>
      </c>
      <c r="L4097" s="2" t="s">
        <v>1178</v>
      </c>
      <c r="M4097" s="4" t="s">
        <v>19481</v>
      </c>
    </row>
    <row r="4098" spans="1:13">
      <c r="A4098" s="2">
        <v>346</v>
      </c>
      <c r="B4098" s="2" t="s">
        <v>19482</v>
      </c>
      <c r="C4098" s="2">
        <v>11</v>
      </c>
      <c r="D4098" s="2">
        <v>556</v>
      </c>
      <c r="E4098" s="2">
        <v>200</v>
      </c>
      <c r="F4098" s="2">
        <v>32441</v>
      </c>
      <c r="G4098" s="2">
        <v>3.2090917270000001</v>
      </c>
      <c r="H4098" s="2">
        <v>9.7324300000000005E-4</v>
      </c>
      <c r="I4098" s="2" t="s">
        <v>19483</v>
      </c>
      <c r="J4098" s="2" t="s">
        <v>19484</v>
      </c>
      <c r="K4098" s="2">
        <v>2.2002969999999999E-3</v>
      </c>
      <c r="L4098" s="2" t="s">
        <v>1178</v>
      </c>
      <c r="M4098" s="4" t="s">
        <v>19485</v>
      </c>
    </row>
    <row r="4099" spans="1:13">
      <c r="A4099" s="2">
        <v>380</v>
      </c>
      <c r="B4099" s="2" t="s">
        <v>19486</v>
      </c>
      <c r="C4099" s="2">
        <v>11</v>
      </c>
      <c r="D4099" s="2">
        <v>556</v>
      </c>
      <c r="E4099" s="2">
        <v>200</v>
      </c>
      <c r="F4099" s="2">
        <v>32441</v>
      </c>
      <c r="G4099" s="2">
        <v>3.2090917270000001</v>
      </c>
      <c r="H4099" s="2">
        <v>9.7324300000000005E-4</v>
      </c>
      <c r="I4099" s="2" t="s">
        <v>19487</v>
      </c>
      <c r="J4099" s="2" t="s">
        <v>19488</v>
      </c>
      <c r="K4099" s="2">
        <v>2.2002969999999999E-3</v>
      </c>
      <c r="L4099" s="2" t="s">
        <v>1178</v>
      </c>
      <c r="M4099" s="4" t="s">
        <v>19489</v>
      </c>
    </row>
    <row r="4100" spans="1:13">
      <c r="A4100" s="2">
        <v>38810</v>
      </c>
      <c r="B4100" s="2" t="s">
        <v>3341</v>
      </c>
      <c r="C4100" s="2">
        <v>11</v>
      </c>
      <c r="D4100" s="2">
        <v>556</v>
      </c>
      <c r="E4100" s="2">
        <v>200</v>
      </c>
      <c r="F4100" s="2">
        <v>32441</v>
      </c>
      <c r="G4100" s="2">
        <v>3.2090917270000001</v>
      </c>
      <c r="H4100" s="2">
        <v>9.7324300000000005E-4</v>
      </c>
      <c r="I4100" s="2" t="s">
        <v>19490</v>
      </c>
      <c r="J4100" s="2" t="s">
        <v>19491</v>
      </c>
      <c r="K4100" s="2">
        <v>2.2002969999999999E-3</v>
      </c>
      <c r="L4100" s="2" t="s">
        <v>1178</v>
      </c>
      <c r="M4100" s="4" t="s">
        <v>3344</v>
      </c>
    </row>
    <row r="4101" spans="1:13">
      <c r="A4101" s="2">
        <v>41010</v>
      </c>
      <c r="B4101" s="2" t="s">
        <v>19492</v>
      </c>
      <c r="C4101" s="2">
        <v>11</v>
      </c>
      <c r="D4101" s="2">
        <v>556</v>
      </c>
      <c r="E4101" s="2">
        <v>200</v>
      </c>
      <c r="F4101" s="2">
        <v>32441</v>
      </c>
      <c r="G4101" s="2">
        <v>3.2090917270000001</v>
      </c>
      <c r="H4101" s="2">
        <v>9.7324300000000005E-4</v>
      </c>
      <c r="I4101" s="2" t="s">
        <v>19493</v>
      </c>
      <c r="J4101" s="2" t="s">
        <v>19494</v>
      </c>
      <c r="K4101" s="2">
        <v>2.2002969999999999E-3</v>
      </c>
      <c r="L4101" s="2" t="s">
        <v>1178</v>
      </c>
      <c r="M4101" s="4" t="s">
        <v>19495</v>
      </c>
    </row>
    <row r="4102" spans="1:13">
      <c r="A4102" s="2">
        <v>4113</v>
      </c>
      <c r="B4102" s="2" t="s">
        <v>19496</v>
      </c>
      <c r="C4102" s="2">
        <v>11</v>
      </c>
      <c r="D4102" s="2">
        <v>556</v>
      </c>
      <c r="E4102" s="2">
        <v>200</v>
      </c>
      <c r="F4102" s="2">
        <v>32441</v>
      </c>
      <c r="G4102" s="2">
        <v>3.2090917270000001</v>
      </c>
      <c r="H4102" s="2">
        <v>9.7324300000000005E-4</v>
      </c>
      <c r="I4102" s="2" t="s">
        <v>19497</v>
      </c>
      <c r="J4102" s="2" t="s">
        <v>19498</v>
      </c>
      <c r="K4102" s="2">
        <v>2.2002969999999999E-3</v>
      </c>
      <c r="L4102" s="2" t="s">
        <v>1178</v>
      </c>
      <c r="M4102" s="4" t="s">
        <v>19499</v>
      </c>
    </row>
    <row r="4103" spans="1:13">
      <c r="A4103" s="2">
        <v>4224</v>
      </c>
      <c r="B4103" s="2" t="s">
        <v>19500</v>
      </c>
      <c r="C4103" s="2">
        <v>11</v>
      </c>
      <c r="D4103" s="2">
        <v>556</v>
      </c>
      <c r="E4103" s="2">
        <v>200</v>
      </c>
      <c r="F4103" s="2">
        <v>32441</v>
      </c>
      <c r="G4103" s="2">
        <v>3.2090917270000001</v>
      </c>
      <c r="H4103" s="2">
        <v>9.7324300000000005E-4</v>
      </c>
      <c r="I4103" s="2" t="s">
        <v>19501</v>
      </c>
      <c r="J4103" s="2" t="s">
        <v>19502</v>
      </c>
      <c r="K4103" s="2">
        <v>2.2002969999999999E-3</v>
      </c>
      <c r="L4103" s="2" t="s">
        <v>1178</v>
      </c>
      <c r="M4103" s="4" t="s">
        <v>19503</v>
      </c>
    </row>
    <row r="4104" spans="1:13">
      <c r="A4104" s="2">
        <v>430</v>
      </c>
      <c r="B4104" s="2" t="s">
        <v>19504</v>
      </c>
      <c r="C4104" s="2">
        <v>11</v>
      </c>
      <c r="D4104" s="2">
        <v>556</v>
      </c>
      <c r="E4104" s="2">
        <v>200</v>
      </c>
      <c r="F4104" s="2">
        <v>32441</v>
      </c>
      <c r="G4104" s="2">
        <v>3.2090917270000001</v>
      </c>
      <c r="H4104" s="2">
        <v>9.7324300000000005E-4</v>
      </c>
      <c r="I4104" s="2" t="s">
        <v>19505</v>
      </c>
      <c r="J4104" s="2" t="s">
        <v>19506</v>
      </c>
      <c r="K4104" s="2">
        <v>2.2002969999999999E-3</v>
      </c>
      <c r="L4104" s="2" t="s">
        <v>1178</v>
      </c>
      <c r="M4104" s="4" t="s">
        <v>19507</v>
      </c>
    </row>
    <row r="4105" spans="1:13">
      <c r="A4105" s="2">
        <v>456</v>
      </c>
      <c r="B4105" s="2" t="s">
        <v>19508</v>
      </c>
      <c r="C4105" s="2">
        <v>11</v>
      </c>
      <c r="D4105" s="2">
        <v>556</v>
      </c>
      <c r="E4105" s="2">
        <v>200</v>
      </c>
      <c r="F4105" s="2">
        <v>32441</v>
      </c>
      <c r="G4105" s="2">
        <v>3.2090917270000001</v>
      </c>
      <c r="H4105" s="2">
        <v>9.7324300000000005E-4</v>
      </c>
      <c r="I4105" s="2" t="s">
        <v>19509</v>
      </c>
      <c r="J4105" s="2" t="s">
        <v>19510</v>
      </c>
      <c r="K4105" s="2">
        <v>2.2002969999999999E-3</v>
      </c>
      <c r="L4105" s="2" t="s">
        <v>1178</v>
      </c>
      <c r="M4105" s="4" t="s">
        <v>19511</v>
      </c>
    </row>
    <row r="4106" spans="1:13">
      <c r="A4106" s="2">
        <v>459</v>
      </c>
      <c r="B4106" s="2" t="s">
        <v>2034</v>
      </c>
      <c r="C4106" s="2">
        <v>11</v>
      </c>
      <c r="D4106" s="2">
        <v>556</v>
      </c>
      <c r="E4106" s="2">
        <v>199</v>
      </c>
      <c r="F4106" s="2">
        <v>32441</v>
      </c>
      <c r="G4106" s="2">
        <v>3.2252178159999998</v>
      </c>
      <c r="H4106" s="2">
        <v>9.3638599999999999E-4</v>
      </c>
      <c r="I4106" s="2" t="s">
        <v>19512</v>
      </c>
      <c r="J4106" s="2" t="s">
        <v>19513</v>
      </c>
      <c r="K4106" s="2">
        <v>2.2002969999999999E-3</v>
      </c>
      <c r="L4106" s="2" t="s">
        <v>1178</v>
      </c>
      <c r="M4106" s="4" t="s">
        <v>19514</v>
      </c>
    </row>
    <row r="4107" spans="1:13">
      <c r="A4107" s="2">
        <v>4601</v>
      </c>
      <c r="B4107" s="2" t="s">
        <v>19515</v>
      </c>
      <c r="C4107" s="2">
        <v>11</v>
      </c>
      <c r="D4107" s="2">
        <v>556</v>
      </c>
      <c r="E4107" s="2">
        <v>200</v>
      </c>
      <c r="F4107" s="2">
        <v>32441</v>
      </c>
      <c r="G4107" s="2">
        <v>3.2090917270000001</v>
      </c>
      <c r="H4107" s="2">
        <v>9.7324300000000005E-4</v>
      </c>
      <c r="I4107" s="2" t="s">
        <v>19516</v>
      </c>
      <c r="J4107" s="2" t="s">
        <v>19517</v>
      </c>
      <c r="K4107" s="2">
        <v>2.2002969999999999E-3</v>
      </c>
      <c r="L4107" s="2" t="s">
        <v>1178</v>
      </c>
      <c r="M4107" s="4" t="s">
        <v>19518</v>
      </c>
    </row>
    <row r="4108" spans="1:13">
      <c r="A4108" s="2">
        <v>46810</v>
      </c>
      <c r="B4108" s="2" t="s">
        <v>19519</v>
      </c>
      <c r="C4108" s="2">
        <v>11</v>
      </c>
      <c r="D4108" s="2">
        <v>556</v>
      </c>
      <c r="E4108" s="2">
        <v>200</v>
      </c>
      <c r="F4108" s="2">
        <v>32441</v>
      </c>
      <c r="G4108" s="2">
        <v>3.2090917270000001</v>
      </c>
      <c r="H4108" s="2">
        <v>9.7324300000000005E-4</v>
      </c>
      <c r="I4108" s="2" t="s">
        <v>19520</v>
      </c>
      <c r="J4108" s="2" t="s">
        <v>19521</v>
      </c>
      <c r="K4108" s="2">
        <v>2.2002969999999999E-3</v>
      </c>
      <c r="L4108" s="2" t="s">
        <v>1178</v>
      </c>
      <c r="M4108" s="4" t="s">
        <v>19522</v>
      </c>
    </row>
    <row r="4109" spans="1:13">
      <c r="A4109" s="2">
        <v>4743</v>
      </c>
      <c r="B4109" s="2" t="s">
        <v>19523</v>
      </c>
      <c r="C4109" s="2">
        <v>11</v>
      </c>
      <c r="D4109" s="2">
        <v>556</v>
      </c>
      <c r="E4109" s="2">
        <v>200</v>
      </c>
      <c r="F4109" s="2">
        <v>32441</v>
      </c>
      <c r="G4109" s="2">
        <v>3.2090917270000001</v>
      </c>
      <c r="H4109" s="2">
        <v>9.7324300000000005E-4</v>
      </c>
      <c r="I4109" s="2" t="s">
        <v>19524</v>
      </c>
      <c r="J4109" s="2" t="s">
        <v>19525</v>
      </c>
      <c r="K4109" s="2">
        <v>2.2002969999999999E-3</v>
      </c>
      <c r="L4109" s="2" t="s">
        <v>1178</v>
      </c>
      <c r="M4109" s="4" t="s">
        <v>19526</v>
      </c>
    </row>
    <row r="4110" spans="1:13">
      <c r="A4110" s="2">
        <v>5021</v>
      </c>
      <c r="B4110" s="2" t="s">
        <v>19527</v>
      </c>
      <c r="C4110" s="2">
        <v>11</v>
      </c>
      <c r="D4110" s="2">
        <v>556</v>
      </c>
      <c r="E4110" s="2">
        <v>200</v>
      </c>
      <c r="F4110" s="2">
        <v>32441</v>
      </c>
      <c r="G4110" s="2">
        <v>3.2090917270000001</v>
      </c>
      <c r="H4110" s="2">
        <v>9.7324300000000005E-4</v>
      </c>
      <c r="I4110" s="2" t="s">
        <v>19528</v>
      </c>
      <c r="J4110" s="2" t="s">
        <v>19529</v>
      </c>
      <c r="K4110" s="2">
        <v>2.2002969999999999E-3</v>
      </c>
      <c r="L4110" s="2" t="s">
        <v>1178</v>
      </c>
      <c r="M4110" s="4" t="s">
        <v>19530</v>
      </c>
    </row>
    <row r="4111" spans="1:13">
      <c r="A4111" s="2">
        <v>5333</v>
      </c>
      <c r="B4111" s="2" t="s">
        <v>19531</v>
      </c>
      <c r="C4111" s="2">
        <v>11</v>
      </c>
      <c r="D4111" s="2">
        <v>556</v>
      </c>
      <c r="E4111" s="2">
        <v>200</v>
      </c>
      <c r="F4111" s="2">
        <v>32441</v>
      </c>
      <c r="G4111" s="2">
        <v>3.2090917270000001</v>
      </c>
      <c r="H4111" s="2">
        <v>9.7324300000000005E-4</v>
      </c>
      <c r="I4111" s="2" t="s">
        <v>19532</v>
      </c>
      <c r="J4111" s="2" t="s">
        <v>19533</v>
      </c>
      <c r="K4111" s="2">
        <v>2.2002969999999999E-3</v>
      </c>
      <c r="L4111" s="2" t="s">
        <v>1178</v>
      </c>
      <c r="M4111" s="4" t="s">
        <v>19534</v>
      </c>
    </row>
    <row r="4112" spans="1:13">
      <c r="A4112" s="2">
        <v>535</v>
      </c>
      <c r="B4112" s="2" t="s">
        <v>19535</v>
      </c>
      <c r="C4112" s="2">
        <v>11</v>
      </c>
      <c r="D4112" s="2">
        <v>556</v>
      </c>
      <c r="E4112" s="2">
        <v>200</v>
      </c>
      <c r="F4112" s="2">
        <v>32441</v>
      </c>
      <c r="G4112" s="2">
        <v>3.2090917270000001</v>
      </c>
      <c r="H4112" s="2">
        <v>9.7324300000000005E-4</v>
      </c>
      <c r="I4112" s="2" t="s">
        <v>19536</v>
      </c>
      <c r="J4112" s="2" t="s">
        <v>19537</v>
      </c>
      <c r="K4112" s="2">
        <v>2.2002969999999999E-3</v>
      </c>
      <c r="L4112" s="2" t="s">
        <v>1178</v>
      </c>
      <c r="M4112" s="4" t="s">
        <v>19538</v>
      </c>
    </row>
    <row r="4113" spans="1:13">
      <c r="A4113" s="2">
        <v>5572</v>
      </c>
      <c r="B4113" s="2" t="s">
        <v>19539</v>
      </c>
      <c r="C4113" s="2">
        <v>11</v>
      </c>
      <c r="D4113" s="2">
        <v>556</v>
      </c>
      <c r="E4113" s="2">
        <v>200</v>
      </c>
      <c r="F4113" s="2">
        <v>32441</v>
      </c>
      <c r="G4113" s="2">
        <v>3.2090917270000001</v>
      </c>
      <c r="H4113" s="2">
        <v>9.7324300000000005E-4</v>
      </c>
      <c r="I4113" s="2" t="s">
        <v>19540</v>
      </c>
      <c r="J4113" s="2" t="s">
        <v>19541</v>
      </c>
      <c r="K4113" s="2">
        <v>2.2002969999999999E-3</v>
      </c>
      <c r="L4113" s="2" t="s">
        <v>1178</v>
      </c>
      <c r="M4113" s="4" t="s">
        <v>19542</v>
      </c>
    </row>
    <row r="4114" spans="1:13">
      <c r="A4114" s="2">
        <v>5681</v>
      </c>
      <c r="B4114" s="2" t="s">
        <v>19543</v>
      </c>
      <c r="C4114" s="2">
        <v>11</v>
      </c>
      <c r="D4114" s="2">
        <v>556</v>
      </c>
      <c r="E4114" s="2">
        <v>200</v>
      </c>
      <c r="F4114" s="2">
        <v>32441</v>
      </c>
      <c r="G4114" s="2">
        <v>3.2090917270000001</v>
      </c>
      <c r="H4114" s="2">
        <v>9.7324300000000005E-4</v>
      </c>
      <c r="I4114" s="2" t="s">
        <v>19544</v>
      </c>
      <c r="J4114" s="2" t="s">
        <v>19545</v>
      </c>
      <c r="K4114" s="2">
        <v>2.2002969999999999E-3</v>
      </c>
      <c r="L4114" s="2" t="s">
        <v>1178</v>
      </c>
      <c r="M4114" s="4" t="s">
        <v>19546</v>
      </c>
    </row>
    <row r="4115" spans="1:13">
      <c r="A4115" s="2">
        <v>578</v>
      </c>
      <c r="B4115" s="2" t="s">
        <v>19547</v>
      </c>
      <c r="C4115" s="2">
        <v>11</v>
      </c>
      <c r="D4115" s="2">
        <v>556</v>
      </c>
      <c r="E4115" s="2">
        <v>200</v>
      </c>
      <c r="F4115" s="2">
        <v>32441</v>
      </c>
      <c r="G4115" s="2">
        <v>3.2090917270000001</v>
      </c>
      <c r="H4115" s="2">
        <v>9.7324300000000005E-4</v>
      </c>
      <c r="I4115" s="2" t="s">
        <v>19548</v>
      </c>
      <c r="J4115" s="2" t="s">
        <v>19549</v>
      </c>
      <c r="K4115" s="2">
        <v>2.2002969999999999E-3</v>
      </c>
      <c r="L4115" s="2" t="s">
        <v>1178</v>
      </c>
      <c r="M4115" s="4" t="s">
        <v>19550</v>
      </c>
    </row>
    <row r="4116" spans="1:13">
      <c r="A4116" s="2">
        <v>608</v>
      </c>
      <c r="B4116" s="2" t="s">
        <v>19551</v>
      </c>
      <c r="C4116" s="2">
        <v>11</v>
      </c>
      <c r="D4116" s="2">
        <v>556</v>
      </c>
      <c r="E4116" s="2">
        <v>199</v>
      </c>
      <c r="F4116" s="2">
        <v>32441</v>
      </c>
      <c r="G4116" s="2">
        <v>3.2252178159999998</v>
      </c>
      <c r="H4116" s="2">
        <v>9.3638599999999999E-4</v>
      </c>
      <c r="I4116" s="2" t="s">
        <v>19552</v>
      </c>
      <c r="J4116" s="2" t="s">
        <v>19553</v>
      </c>
      <c r="K4116" s="2">
        <v>2.2002969999999999E-3</v>
      </c>
      <c r="L4116" s="2" t="s">
        <v>1178</v>
      </c>
      <c r="M4116" s="4" t="s">
        <v>19554</v>
      </c>
    </row>
    <row r="4117" spans="1:13">
      <c r="A4117" s="2">
        <v>638</v>
      </c>
      <c r="B4117" s="2" t="s">
        <v>19555</v>
      </c>
      <c r="C4117" s="2">
        <v>11</v>
      </c>
      <c r="D4117" s="2">
        <v>556</v>
      </c>
      <c r="E4117" s="2">
        <v>200</v>
      </c>
      <c r="F4117" s="2">
        <v>32441</v>
      </c>
      <c r="G4117" s="2">
        <v>3.2090917270000001</v>
      </c>
      <c r="H4117" s="2">
        <v>9.7324300000000005E-4</v>
      </c>
      <c r="I4117" s="2" t="s">
        <v>19556</v>
      </c>
      <c r="J4117" s="2" t="s">
        <v>19557</v>
      </c>
      <c r="K4117" s="2">
        <v>2.2002969999999999E-3</v>
      </c>
      <c r="L4117" s="2" t="s">
        <v>1178</v>
      </c>
      <c r="M4117" s="4" t="s">
        <v>19558</v>
      </c>
    </row>
    <row r="4118" spans="1:13">
      <c r="A4118" s="2">
        <v>649</v>
      </c>
      <c r="B4118" s="2" t="s">
        <v>19559</v>
      </c>
      <c r="C4118" s="2">
        <v>11</v>
      </c>
      <c r="D4118" s="2">
        <v>556</v>
      </c>
      <c r="E4118" s="2">
        <v>200</v>
      </c>
      <c r="F4118" s="2">
        <v>32441</v>
      </c>
      <c r="G4118" s="2">
        <v>3.2090917270000001</v>
      </c>
      <c r="H4118" s="2">
        <v>9.7324300000000005E-4</v>
      </c>
      <c r="I4118" s="2" t="s">
        <v>19560</v>
      </c>
      <c r="J4118" s="2" t="s">
        <v>19561</v>
      </c>
      <c r="K4118" s="2">
        <v>2.2002969999999999E-3</v>
      </c>
      <c r="L4118" s="2" t="s">
        <v>1178</v>
      </c>
      <c r="M4118" s="4" t="s">
        <v>19562</v>
      </c>
    </row>
    <row r="4119" spans="1:13">
      <c r="A4119" s="2">
        <v>6521</v>
      </c>
      <c r="B4119" s="2" t="s">
        <v>19563</v>
      </c>
      <c r="C4119" s="2">
        <v>11</v>
      </c>
      <c r="D4119" s="2">
        <v>556</v>
      </c>
      <c r="E4119" s="2">
        <v>199</v>
      </c>
      <c r="F4119" s="2">
        <v>32441</v>
      </c>
      <c r="G4119" s="2">
        <v>3.2252178159999998</v>
      </c>
      <c r="H4119" s="2">
        <v>9.3638599999999999E-4</v>
      </c>
      <c r="I4119" s="2" t="s">
        <v>19564</v>
      </c>
      <c r="J4119" s="2" t="s">
        <v>19565</v>
      </c>
      <c r="K4119" s="2">
        <v>2.2002969999999999E-3</v>
      </c>
      <c r="L4119" s="2" t="s">
        <v>1178</v>
      </c>
      <c r="M4119" s="4" t="s">
        <v>19566</v>
      </c>
    </row>
    <row r="4120" spans="1:13">
      <c r="A4120" s="2">
        <v>6572</v>
      </c>
      <c r="B4120" s="2" t="s">
        <v>19567</v>
      </c>
      <c r="C4120" s="2">
        <v>11</v>
      </c>
      <c r="D4120" s="2">
        <v>556</v>
      </c>
      <c r="E4120" s="2">
        <v>200</v>
      </c>
      <c r="F4120" s="2">
        <v>32441</v>
      </c>
      <c r="G4120" s="2">
        <v>3.2090917270000001</v>
      </c>
      <c r="H4120" s="2">
        <v>9.7324300000000005E-4</v>
      </c>
      <c r="I4120" s="2" t="s">
        <v>19568</v>
      </c>
      <c r="J4120" s="2" t="s">
        <v>19569</v>
      </c>
      <c r="K4120" s="2">
        <v>2.2002969999999999E-3</v>
      </c>
      <c r="L4120" s="2" t="s">
        <v>1178</v>
      </c>
      <c r="M4120" s="4" t="s">
        <v>19570</v>
      </c>
    </row>
    <row r="4121" spans="1:13">
      <c r="A4121" s="2">
        <v>667</v>
      </c>
      <c r="B4121" s="2" t="s">
        <v>19571</v>
      </c>
      <c r="C4121" s="2">
        <v>11</v>
      </c>
      <c r="D4121" s="2">
        <v>556</v>
      </c>
      <c r="E4121" s="2">
        <v>200</v>
      </c>
      <c r="F4121" s="2">
        <v>32441</v>
      </c>
      <c r="G4121" s="2">
        <v>3.2090917270000001</v>
      </c>
      <c r="H4121" s="2">
        <v>9.7324300000000005E-4</v>
      </c>
      <c r="I4121" s="2" t="s">
        <v>19572</v>
      </c>
      <c r="J4121" s="2" t="s">
        <v>19573</v>
      </c>
      <c r="K4121" s="2">
        <v>2.2002969999999999E-3</v>
      </c>
      <c r="L4121" s="2" t="s">
        <v>1178</v>
      </c>
      <c r="M4121" s="4" t="s">
        <v>19574</v>
      </c>
    </row>
    <row r="4122" spans="1:13">
      <c r="A4122" s="2">
        <v>6791</v>
      </c>
      <c r="B4122" s="2" t="s">
        <v>19575</v>
      </c>
      <c r="C4122" s="2">
        <v>11</v>
      </c>
      <c r="D4122" s="2">
        <v>556</v>
      </c>
      <c r="E4122" s="2">
        <v>200</v>
      </c>
      <c r="F4122" s="2">
        <v>32441</v>
      </c>
      <c r="G4122" s="2">
        <v>3.2090917270000001</v>
      </c>
      <c r="H4122" s="2">
        <v>9.7324300000000005E-4</v>
      </c>
      <c r="I4122" s="2" t="s">
        <v>19576</v>
      </c>
      <c r="J4122" s="2" t="s">
        <v>19577</v>
      </c>
      <c r="K4122" s="2">
        <v>2.2002969999999999E-3</v>
      </c>
      <c r="L4122" s="2" t="s">
        <v>1178</v>
      </c>
      <c r="M4122" s="4" t="s">
        <v>19578</v>
      </c>
    </row>
    <row r="4123" spans="1:13">
      <c r="A4123" s="2">
        <v>6811</v>
      </c>
      <c r="B4123" s="2" t="s">
        <v>19579</v>
      </c>
      <c r="C4123" s="2">
        <v>11</v>
      </c>
      <c r="D4123" s="2">
        <v>556</v>
      </c>
      <c r="E4123" s="2">
        <v>200</v>
      </c>
      <c r="F4123" s="2">
        <v>32441</v>
      </c>
      <c r="G4123" s="2">
        <v>3.2090917270000001</v>
      </c>
      <c r="H4123" s="2">
        <v>9.7324300000000005E-4</v>
      </c>
      <c r="I4123" s="2" t="s">
        <v>19580</v>
      </c>
      <c r="J4123" s="2" t="s">
        <v>19581</v>
      </c>
      <c r="K4123" s="2">
        <v>2.2002969999999999E-3</v>
      </c>
      <c r="L4123" s="2" t="s">
        <v>1178</v>
      </c>
      <c r="M4123" s="4" t="s">
        <v>19582</v>
      </c>
    </row>
    <row r="4124" spans="1:13">
      <c r="A4124" s="2">
        <v>6831</v>
      </c>
      <c r="B4124" s="2" t="s">
        <v>19583</v>
      </c>
      <c r="C4124" s="2">
        <v>11</v>
      </c>
      <c r="D4124" s="2">
        <v>556</v>
      </c>
      <c r="E4124" s="2">
        <v>200</v>
      </c>
      <c r="F4124" s="2">
        <v>32441</v>
      </c>
      <c r="G4124" s="2">
        <v>3.2090917270000001</v>
      </c>
      <c r="H4124" s="2">
        <v>9.7324300000000005E-4</v>
      </c>
      <c r="I4124" s="2" t="s">
        <v>19584</v>
      </c>
      <c r="J4124" s="2" t="s">
        <v>19585</v>
      </c>
      <c r="K4124" s="2">
        <v>2.2002969999999999E-3</v>
      </c>
      <c r="L4124" s="2" t="s">
        <v>1178</v>
      </c>
      <c r="M4124" s="4" t="s">
        <v>19586</v>
      </c>
    </row>
    <row r="4125" spans="1:13">
      <c r="A4125" s="2">
        <v>699</v>
      </c>
      <c r="B4125" s="2" t="s">
        <v>19587</v>
      </c>
      <c r="C4125" s="2">
        <v>11</v>
      </c>
      <c r="D4125" s="2">
        <v>556</v>
      </c>
      <c r="E4125" s="2">
        <v>200</v>
      </c>
      <c r="F4125" s="2">
        <v>32441</v>
      </c>
      <c r="G4125" s="2">
        <v>3.2090917270000001</v>
      </c>
      <c r="H4125" s="2">
        <v>9.7324300000000005E-4</v>
      </c>
      <c r="I4125" s="2" t="s">
        <v>19588</v>
      </c>
      <c r="J4125" s="2" t="s">
        <v>19589</v>
      </c>
      <c r="K4125" s="2">
        <v>2.2002969999999999E-3</v>
      </c>
      <c r="L4125" s="2" t="s">
        <v>1178</v>
      </c>
      <c r="M4125" s="4" t="s">
        <v>19590</v>
      </c>
    </row>
    <row r="4126" spans="1:13">
      <c r="A4126" s="2">
        <v>7071</v>
      </c>
      <c r="B4126" s="2" t="s">
        <v>1470</v>
      </c>
      <c r="C4126" s="2">
        <v>11</v>
      </c>
      <c r="D4126" s="2">
        <v>556</v>
      </c>
      <c r="E4126" s="2">
        <v>199</v>
      </c>
      <c r="F4126" s="2">
        <v>32441</v>
      </c>
      <c r="G4126" s="2">
        <v>3.2252178159999998</v>
      </c>
      <c r="H4126" s="2">
        <v>9.3638599999999999E-4</v>
      </c>
      <c r="I4126" s="2" t="s">
        <v>19591</v>
      </c>
      <c r="J4126" s="2" t="s">
        <v>19592</v>
      </c>
      <c r="K4126" s="2">
        <v>2.2002969999999999E-3</v>
      </c>
      <c r="L4126" s="2" t="s">
        <v>1178</v>
      </c>
      <c r="M4126" s="4" t="s">
        <v>19593</v>
      </c>
    </row>
    <row r="4127" spans="1:13">
      <c r="A4127" s="2">
        <v>708</v>
      </c>
      <c r="B4127" s="2" t="s">
        <v>19594</v>
      </c>
      <c r="C4127" s="2">
        <v>11</v>
      </c>
      <c r="D4127" s="2">
        <v>556</v>
      </c>
      <c r="E4127" s="2">
        <v>200</v>
      </c>
      <c r="F4127" s="2">
        <v>32441</v>
      </c>
      <c r="G4127" s="2">
        <v>3.2090917270000001</v>
      </c>
      <c r="H4127" s="2">
        <v>9.7324300000000005E-4</v>
      </c>
      <c r="I4127" s="2" t="s">
        <v>19595</v>
      </c>
      <c r="J4127" s="2" t="s">
        <v>19596</v>
      </c>
      <c r="K4127" s="2">
        <v>2.2002969999999999E-3</v>
      </c>
      <c r="L4127" s="2" t="s">
        <v>1178</v>
      </c>
      <c r="M4127" s="4" t="s">
        <v>19597</v>
      </c>
    </row>
    <row r="4128" spans="1:13">
      <c r="A4128" s="2">
        <v>7491</v>
      </c>
      <c r="B4128" s="2" t="s">
        <v>19598</v>
      </c>
      <c r="C4128" s="2">
        <v>11</v>
      </c>
      <c r="D4128" s="2">
        <v>556</v>
      </c>
      <c r="E4128" s="2">
        <v>200</v>
      </c>
      <c r="F4128" s="2">
        <v>32441</v>
      </c>
      <c r="G4128" s="2">
        <v>3.2090917270000001</v>
      </c>
      <c r="H4128" s="2">
        <v>9.7324300000000005E-4</v>
      </c>
      <c r="I4128" s="2" t="s">
        <v>19599</v>
      </c>
      <c r="J4128" s="2" t="s">
        <v>19600</v>
      </c>
      <c r="K4128" s="2">
        <v>2.2002969999999999E-3</v>
      </c>
      <c r="L4128" s="2" t="s">
        <v>1178</v>
      </c>
      <c r="M4128" s="4" t="s">
        <v>19601</v>
      </c>
    </row>
    <row r="4129" spans="1:13">
      <c r="A4129" s="2">
        <v>753</v>
      </c>
      <c r="B4129" s="2" t="s">
        <v>2391</v>
      </c>
      <c r="C4129" s="2">
        <v>11</v>
      </c>
      <c r="D4129" s="2">
        <v>556</v>
      </c>
      <c r="E4129" s="2">
        <v>200</v>
      </c>
      <c r="F4129" s="2">
        <v>32441</v>
      </c>
      <c r="G4129" s="2">
        <v>3.2090917270000001</v>
      </c>
      <c r="H4129" s="2">
        <v>9.7324300000000005E-4</v>
      </c>
      <c r="I4129" s="2" t="s">
        <v>19602</v>
      </c>
      <c r="J4129" s="2" t="s">
        <v>19603</v>
      </c>
      <c r="K4129" s="2">
        <v>2.2002969999999999E-3</v>
      </c>
      <c r="L4129" s="2" t="s">
        <v>1178</v>
      </c>
      <c r="M4129" s="4" t="s">
        <v>19604</v>
      </c>
    </row>
    <row r="4130" spans="1:13">
      <c r="A4130" s="2">
        <v>7711</v>
      </c>
      <c r="B4130" s="2" t="s">
        <v>19605</v>
      </c>
      <c r="C4130" s="2">
        <v>11</v>
      </c>
      <c r="D4130" s="2">
        <v>556</v>
      </c>
      <c r="E4130" s="2">
        <v>200</v>
      </c>
      <c r="F4130" s="2">
        <v>32441</v>
      </c>
      <c r="G4130" s="2">
        <v>3.2090917270000001</v>
      </c>
      <c r="H4130" s="2">
        <v>9.7324300000000005E-4</v>
      </c>
      <c r="I4130" s="2" t="s">
        <v>19606</v>
      </c>
      <c r="J4130" s="2" t="s">
        <v>19607</v>
      </c>
      <c r="K4130" s="2">
        <v>2.2002969999999999E-3</v>
      </c>
      <c r="L4130" s="2" t="s">
        <v>1178</v>
      </c>
      <c r="M4130" s="4" t="s">
        <v>19608</v>
      </c>
    </row>
    <row r="4131" spans="1:13">
      <c r="A4131" s="2">
        <v>772</v>
      </c>
      <c r="B4131" s="2" t="s">
        <v>19609</v>
      </c>
      <c r="C4131" s="2">
        <v>11</v>
      </c>
      <c r="D4131" s="2">
        <v>556</v>
      </c>
      <c r="E4131" s="2">
        <v>200</v>
      </c>
      <c r="F4131" s="2">
        <v>32441</v>
      </c>
      <c r="G4131" s="2">
        <v>3.2090917270000001</v>
      </c>
      <c r="H4131" s="2">
        <v>9.7324300000000005E-4</v>
      </c>
      <c r="I4131" s="2" t="s">
        <v>19610</v>
      </c>
      <c r="J4131" s="2" t="s">
        <v>19611</v>
      </c>
      <c r="K4131" s="2">
        <v>2.2002969999999999E-3</v>
      </c>
      <c r="L4131" s="2" t="s">
        <v>1178</v>
      </c>
      <c r="M4131" s="4" t="s">
        <v>19612</v>
      </c>
    </row>
    <row r="4132" spans="1:13">
      <c r="A4132" s="2">
        <v>775</v>
      </c>
      <c r="B4132" s="2" t="s">
        <v>19613</v>
      </c>
      <c r="C4132" s="2">
        <v>11</v>
      </c>
      <c r="D4132" s="2">
        <v>556</v>
      </c>
      <c r="E4132" s="2">
        <v>200</v>
      </c>
      <c r="F4132" s="2">
        <v>32441</v>
      </c>
      <c r="G4132" s="2">
        <v>3.2090917270000001</v>
      </c>
      <c r="H4132" s="2">
        <v>9.7324300000000005E-4</v>
      </c>
      <c r="I4132" s="2" t="s">
        <v>19614</v>
      </c>
      <c r="J4132" s="2" t="s">
        <v>19615</v>
      </c>
      <c r="K4132" s="2">
        <v>2.2002969999999999E-3</v>
      </c>
      <c r="L4132" s="2" t="s">
        <v>1178</v>
      </c>
      <c r="M4132" s="4" t="s">
        <v>19616</v>
      </c>
    </row>
    <row r="4133" spans="1:13">
      <c r="A4133" s="2">
        <v>7811</v>
      </c>
      <c r="B4133" s="2" t="s">
        <v>19617</v>
      </c>
      <c r="C4133" s="2">
        <v>11</v>
      </c>
      <c r="D4133" s="2">
        <v>556</v>
      </c>
      <c r="E4133" s="2">
        <v>200</v>
      </c>
      <c r="F4133" s="2">
        <v>32441</v>
      </c>
      <c r="G4133" s="2">
        <v>3.2090917270000001</v>
      </c>
      <c r="H4133" s="2">
        <v>9.7324300000000005E-4</v>
      </c>
      <c r="I4133" s="2" t="s">
        <v>19618</v>
      </c>
      <c r="J4133" s="2" t="s">
        <v>19619</v>
      </c>
      <c r="K4133" s="2">
        <v>2.2002969999999999E-3</v>
      </c>
      <c r="L4133" s="2" t="s">
        <v>1178</v>
      </c>
      <c r="M4133" s="4" t="s">
        <v>19620</v>
      </c>
    </row>
    <row r="4134" spans="1:13">
      <c r="A4134" s="2">
        <v>7921</v>
      </c>
      <c r="B4134" s="2" t="s">
        <v>19621</v>
      </c>
      <c r="C4134" s="2">
        <v>11</v>
      </c>
      <c r="D4134" s="2">
        <v>556</v>
      </c>
      <c r="E4134" s="2">
        <v>200</v>
      </c>
      <c r="F4134" s="2">
        <v>32441</v>
      </c>
      <c r="G4134" s="2">
        <v>3.2090917270000001</v>
      </c>
      <c r="H4134" s="2">
        <v>9.7324300000000005E-4</v>
      </c>
      <c r="I4134" s="2" t="s">
        <v>19622</v>
      </c>
      <c r="J4134" s="2" t="s">
        <v>19623</v>
      </c>
      <c r="K4134" s="2">
        <v>2.2002969999999999E-3</v>
      </c>
      <c r="L4134" s="2" t="s">
        <v>1178</v>
      </c>
      <c r="M4134" s="4" t="s">
        <v>19624</v>
      </c>
    </row>
    <row r="4135" spans="1:13">
      <c r="A4135" s="2">
        <v>8081</v>
      </c>
      <c r="B4135" s="2" t="s">
        <v>19625</v>
      </c>
      <c r="C4135" s="2">
        <v>11</v>
      </c>
      <c r="D4135" s="2">
        <v>556</v>
      </c>
      <c r="E4135" s="2">
        <v>199</v>
      </c>
      <c r="F4135" s="2">
        <v>32441</v>
      </c>
      <c r="G4135" s="2">
        <v>3.2252178159999998</v>
      </c>
      <c r="H4135" s="2">
        <v>9.3638599999999999E-4</v>
      </c>
      <c r="I4135" s="2" t="s">
        <v>19626</v>
      </c>
      <c r="J4135" s="2" t="s">
        <v>19627</v>
      </c>
      <c r="K4135" s="2">
        <v>2.2002969999999999E-3</v>
      </c>
      <c r="L4135" s="2" t="s">
        <v>1178</v>
      </c>
      <c r="M4135" s="4" t="s">
        <v>19628</v>
      </c>
    </row>
    <row r="4136" spans="1:13">
      <c r="A4136" s="2">
        <v>8131</v>
      </c>
      <c r="B4136" s="2" t="s">
        <v>19629</v>
      </c>
      <c r="C4136" s="2">
        <v>11</v>
      </c>
      <c r="D4136" s="2">
        <v>556</v>
      </c>
      <c r="E4136" s="2">
        <v>200</v>
      </c>
      <c r="F4136" s="2">
        <v>32441</v>
      </c>
      <c r="G4136" s="2">
        <v>3.2090917270000001</v>
      </c>
      <c r="H4136" s="2">
        <v>9.7324300000000005E-4</v>
      </c>
      <c r="I4136" s="2" t="s">
        <v>19630</v>
      </c>
      <c r="J4136" s="2" t="s">
        <v>19631</v>
      </c>
      <c r="K4136" s="2">
        <v>2.2002969999999999E-3</v>
      </c>
      <c r="L4136" s="2" t="s">
        <v>1178</v>
      </c>
      <c r="M4136" s="4" t="s">
        <v>19632</v>
      </c>
    </row>
    <row r="4137" spans="1:13">
      <c r="A4137" s="2">
        <v>873</v>
      </c>
      <c r="B4137" s="2" t="s">
        <v>19633</v>
      </c>
      <c r="C4137" s="2">
        <v>11</v>
      </c>
      <c r="D4137" s="2">
        <v>556</v>
      </c>
      <c r="E4137" s="2">
        <v>200</v>
      </c>
      <c r="F4137" s="2">
        <v>32441</v>
      </c>
      <c r="G4137" s="2">
        <v>3.2090917270000001</v>
      </c>
      <c r="H4137" s="2">
        <v>9.7324300000000005E-4</v>
      </c>
      <c r="I4137" s="2" t="s">
        <v>19634</v>
      </c>
      <c r="J4137" s="2" t="s">
        <v>19635</v>
      </c>
      <c r="K4137" s="2">
        <v>2.2002969999999999E-3</v>
      </c>
      <c r="L4137" s="2" t="s">
        <v>1178</v>
      </c>
      <c r="M4137" s="4" t="s">
        <v>19636</v>
      </c>
    </row>
    <row r="4138" spans="1:13">
      <c r="A4138" s="2">
        <v>879</v>
      </c>
      <c r="B4138" s="2" t="s">
        <v>19637</v>
      </c>
      <c r="C4138" s="2">
        <v>11</v>
      </c>
      <c r="D4138" s="2">
        <v>556</v>
      </c>
      <c r="E4138" s="2">
        <v>200</v>
      </c>
      <c r="F4138" s="2">
        <v>32441</v>
      </c>
      <c r="G4138" s="2">
        <v>3.2090917270000001</v>
      </c>
      <c r="H4138" s="2">
        <v>9.7324300000000005E-4</v>
      </c>
      <c r="I4138" s="2" t="s">
        <v>19638</v>
      </c>
      <c r="J4138" s="2" t="s">
        <v>19639</v>
      </c>
      <c r="K4138" s="2">
        <v>2.2002969999999999E-3</v>
      </c>
      <c r="L4138" s="2" t="s">
        <v>1178</v>
      </c>
      <c r="M4138" s="4" t="s">
        <v>19640</v>
      </c>
    </row>
    <row r="4139" spans="1:13">
      <c r="A4139" s="2">
        <v>928</v>
      </c>
      <c r="B4139" s="2" t="s">
        <v>19641</v>
      </c>
      <c r="C4139" s="2">
        <v>11</v>
      </c>
      <c r="D4139" s="2">
        <v>556</v>
      </c>
      <c r="E4139" s="2">
        <v>200</v>
      </c>
      <c r="F4139" s="2">
        <v>32441</v>
      </c>
      <c r="G4139" s="2">
        <v>3.2090917270000001</v>
      </c>
      <c r="H4139" s="2">
        <v>9.7324300000000005E-4</v>
      </c>
      <c r="I4139" s="2" t="s">
        <v>19642</v>
      </c>
      <c r="J4139" s="2" t="s">
        <v>19643</v>
      </c>
      <c r="K4139" s="2">
        <v>2.2002969999999999E-3</v>
      </c>
      <c r="L4139" s="2" t="s">
        <v>1178</v>
      </c>
      <c r="M4139" s="4" t="s">
        <v>19644</v>
      </c>
    </row>
    <row r="4140" spans="1:13">
      <c r="A4140" s="2">
        <v>1015</v>
      </c>
      <c r="B4140" s="2" t="s">
        <v>3172</v>
      </c>
      <c r="C4140" s="2">
        <v>11</v>
      </c>
      <c r="D4140" s="2">
        <v>556</v>
      </c>
      <c r="E4140" s="2">
        <v>200</v>
      </c>
      <c r="F4140" s="2">
        <v>32441</v>
      </c>
      <c r="G4140" s="2">
        <v>3.2090917270000001</v>
      </c>
      <c r="H4140" s="2">
        <v>9.7324300000000005E-4</v>
      </c>
      <c r="I4140" s="2" t="s">
        <v>19645</v>
      </c>
      <c r="J4140" s="2" t="s">
        <v>19646</v>
      </c>
      <c r="K4140" s="2">
        <v>2.2002969999999999E-3</v>
      </c>
      <c r="L4140" s="2" t="s">
        <v>1178</v>
      </c>
      <c r="M4140" s="4" t="s">
        <v>3175</v>
      </c>
    </row>
    <row r="4141" spans="1:13">
      <c r="A4141" s="2">
        <v>10341</v>
      </c>
      <c r="B4141" s="2" t="s">
        <v>19647</v>
      </c>
      <c r="C4141" s="2">
        <v>11</v>
      </c>
      <c r="D4141" s="2">
        <v>556</v>
      </c>
      <c r="E4141" s="2">
        <v>200</v>
      </c>
      <c r="F4141" s="2">
        <v>32441</v>
      </c>
      <c r="G4141" s="2">
        <v>3.2090917270000001</v>
      </c>
      <c r="H4141" s="2">
        <v>9.7324300000000005E-4</v>
      </c>
      <c r="I4141" s="2" t="s">
        <v>19648</v>
      </c>
      <c r="J4141" s="2" t="s">
        <v>19649</v>
      </c>
      <c r="K4141" s="2">
        <v>2.2002969999999999E-3</v>
      </c>
      <c r="L4141" s="2" t="s">
        <v>1178</v>
      </c>
      <c r="M4141" s="4" t="s">
        <v>19650</v>
      </c>
    </row>
    <row r="4142" spans="1:13">
      <c r="A4142" s="2">
        <v>1094</v>
      </c>
      <c r="B4142" s="2" t="s">
        <v>19651</v>
      </c>
      <c r="C4142" s="2">
        <v>11</v>
      </c>
      <c r="D4142" s="2">
        <v>556</v>
      </c>
      <c r="E4142" s="2">
        <v>200</v>
      </c>
      <c r="F4142" s="2">
        <v>32441</v>
      </c>
      <c r="G4142" s="2">
        <v>3.2090917270000001</v>
      </c>
      <c r="H4142" s="2">
        <v>9.7324300000000005E-4</v>
      </c>
      <c r="I4142" s="2" t="s">
        <v>19652</v>
      </c>
      <c r="J4142" s="2" t="s">
        <v>19653</v>
      </c>
      <c r="K4142" s="2">
        <v>2.2002969999999999E-3</v>
      </c>
      <c r="L4142" s="2" t="s">
        <v>1178</v>
      </c>
      <c r="M4142" s="4" t="s">
        <v>19654</v>
      </c>
    </row>
    <row r="4143" spans="1:13">
      <c r="A4143" s="2">
        <v>1095</v>
      </c>
      <c r="B4143" s="2" t="s">
        <v>19655</v>
      </c>
      <c r="C4143" s="2">
        <v>11</v>
      </c>
      <c r="D4143" s="2">
        <v>556</v>
      </c>
      <c r="E4143" s="2">
        <v>200</v>
      </c>
      <c r="F4143" s="2">
        <v>32441</v>
      </c>
      <c r="G4143" s="2">
        <v>3.2090917270000001</v>
      </c>
      <c r="H4143" s="2">
        <v>9.7324300000000005E-4</v>
      </c>
      <c r="I4143" s="2" t="s">
        <v>19656</v>
      </c>
      <c r="J4143" s="2" t="s">
        <v>19657</v>
      </c>
      <c r="K4143" s="2">
        <v>2.2002969999999999E-3</v>
      </c>
      <c r="L4143" s="2" t="s">
        <v>1178</v>
      </c>
      <c r="M4143" s="4" t="s">
        <v>19658</v>
      </c>
    </row>
    <row r="4144" spans="1:13">
      <c r="A4144" s="2">
        <v>1123</v>
      </c>
      <c r="B4144" s="2" t="s">
        <v>2412</v>
      </c>
      <c r="C4144" s="2">
        <v>11</v>
      </c>
      <c r="D4144" s="2">
        <v>556</v>
      </c>
      <c r="E4144" s="2">
        <v>200</v>
      </c>
      <c r="F4144" s="2">
        <v>32441</v>
      </c>
      <c r="G4144" s="2">
        <v>3.2090917270000001</v>
      </c>
      <c r="H4144" s="2">
        <v>9.7324300000000005E-4</v>
      </c>
      <c r="I4144" s="2" t="s">
        <v>19659</v>
      </c>
      <c r="J4144" s="2" t="s">
        <v>19660</v>
      </c>
      <c r="K4144" s="2">
        <v>2.2002969999999999E-3</v>
      </c>
      <c r="L4144" s="2" t="s">
        <v>1178</v>
      </c>
      <c r="M4144" s="4" t="s">
        <v>19661</v>
      </c>
    </row>
    <row r="4145" spans="1:13">
      <c r="A4145" s="2">
        <v>1126</v>
      </c>
      <c r="B4145" s="2" t="s">
        <v>19662</v>
      </c>
      <c r="C4145" s="2">
        <v>11</v>
      </c>
      <c r="D4145" s="2">
        <v>556</v>
      </c>
      <c r="E4145" s="2">
        <v>200</v>
      </c>
      <c r="F4145" s="2">
        <v>32441</v>
      </c>
      <c r="G4145" s="2">
        <v>3.2090917270000001</v>
      </c>
      <c r="H4145" s="2">
        <v>9.7324300000000005E-4</v>
      </c>
      <c r="I4145" s="2" t="s">
        <v>19663</v>
      </c>
      <c r="J4145" s="2" t="s">
        <v>19664</v>
      </c>
      <c r="K4145" s="2">
        <v>2.2002969999999999E-3</v>
      </c>
      <c r="L4145" s="2" t="s">
        <v>1178</v>
      </c>
      <c r="M4145" s="4" t="s">
        <v>19665</v>
      </c>
    </row>
    <row r="4146" spans="1:13">
      <c r="A4146" s="2">
        <v>1154</v>
      </c>
      <c r="B4146" s="2" t="s">
        <v>1869</v>
      </c>
      <c r="C4146" s="2">
        <v>11</v>
      </c>
      <c r="D4146" s="2">
        <v>556</v>
      </c>
      <c r="E4146" s="2">
        <v>200</v>
      </c>
      <c r="F4146" s="2">
        <v>32441</v>
      </c>
      <c r="G4146" s="2">
        <v>3.2090917270000001</v>
      </c>
      <c r="H4146" s="2">
        <v>9.7324300000000005E-4</v>
      </c>
      <c r="I4146" s="2" t="s">
        <v>19666</v>
      </c>
      <c r="J4146" s="2" t="s">
        <v>19667</v>
      </c>
      <c r="K4146" s="2">
        <v>2.2002969999999999E-3</v>
      </c>
      <c r="L4146" s="2" t="s">
        <v>1178</v>
      </c>
      <c r="M4146" s="4" t="s">
        <v>19668</v>
      </c>
    </row>
    <row r="4147" spans="1:13">
      <c r="A4147" s="2">
        <v>1158</v>
      </c>
      <c r="B4147" s="2" t="s">
        <v>19669</v>
      </c>
      <c r="C4147" s="2">
        <v>11</v>
      </c>
      <c r="D4147" s="2">
        <v>556</v>
      </c>
      <c r="E4147" s="2">
        <v>200</v>
      </c>
      <c r="F4147" s="2">
        <v>32441</v>
      </c>
      <c r="G4147" s="2">
        <v>3.2090917270000001</v>
      </c>
      <c r="H4147" s="2">
        <v>9.7324300000000005E-4</v>
      </c>
      <c r="I4147" s="2" t="s">
        <v>19670</v>
      </c>
      <c r="J4147" s="2" t="s">
        <v>19671</v>
      </c>
      <c r="K4147" s="2">
        <v>2.2002969999999999E-3</v>
      </c>
      <c r="L4147" s="2" t="s">
        <v>1178</v>
      </c>
      <c r="M4147" s="4" t="s">
        <v>19672</v>
      </c>
    </row>
    <row r="4148" spans="1:13">
      <c r="A4148" s="2">
        <v>1166</v>
      </c>
      <c r="B4148" s="2" t="s">
        <v>19673</v>
      </c>
      <c r="C4148" s="2">
        <v>11</v>
      </c>
      <c r="D4148" s="2">
        <v>556</v>
      </c>
      <c r="E4148" s="2">
        <v>200</v>
      </c>
      <c r="F4148" s="2">
        <v>32441</v>
      </c>
      <c r="G4148" s="2">
        <v>3.2090917270000001</v>
      </c>
      <c r="H4148" s="2">
        <v>9.7324300000000005E-4</v>
      </c>
      <c r="I4148" s="2" t="s">
        <v>19674</v>
      </c>
      <c r="J4148" s="2" t="s">
        <v>19675</v>
      </c>
      <c r="K4148" s="2">
        <v>2.2002969999999999E-3</v>
      </c>
      <c r="L4148" s="2" t="s">
        <v>1178</v>
      </c>
      <c r="M4148" s="4" t="s">
        <v>19676</v>
      </c>
    </row>
    <row r="4149" spans="1:13">
      <c r="A4149" s="2">
        <v>11701</v>
      </c>
      <c r="B4149" s="2" t="s">
        <v>19677</v>
      </c>
      <c r="C4149" s="2">
        <v>11</v>
      </c>
      <c r="D4149" s="2">
        <v>556</v>
      </c>
      <c r="E4149" s="2">
        <v>200</v>
      </c>
      <c r="F4149" s="2">
        <v>32441</v>
      </c>
      <c r="G4149" s="2">
        <v>3.2090917270000001</v>
      </c>
      <c r="H4149" s="2">
        <v>9.7324300000000005E-4</v>
      </c>
      <c r="I4149" s="2" t="s">
        <v>19678</v>
      </c>
      <c r="J4149" s="2" t="s">
        <v>19679</v>
      </c>
      <c r="K4149" s="2">
        <v>2.2002969999999999E-3</v>
      </c>
      <c r="L4149" s="2" t="s">
        <v>1178</v>
      </c>
      <c r="M4149" s="4" t="s">
        <v>19680</v>
      </c>
    </row>
    <row r="4150" spans="1:13">
      <c r="A4150" s="2">
        <v>12411</v>
      </c>
      <c r="B4150" s="2" t="s">
        <v>19681</v>
      </c>
      <c r="C4150" s="2">
        <v>11</v>
      </c>
      <c r="D4150" s="2">
        <v>556</v>
      </c>
      <c r="E4150" s="2">
        <v>200</v>
      </c>
      <c r="F4150" s="2">
        <v>32441</v>
      </c>
      <c r="G4150" s="2">
        <v>3.2090917270000001</v>
      </c>
      <c r="H4150" s="2">
        <v>9.7324300000000005E-4</v>
      </c>
      <c r="I4150" s="2" t="s">
        <v>19682</v>
      </c>
      <c r="J4150" s="2" t="s">
        <v>19683</v>
      </c>
      <c r="K4150" s="2">
        <v>2.2002969999999999E-3</v>
      </c>
      <c r="L4150" s="2" t="s">
        <v>1178</v>
      </c>
      <c r="M4150" s="4" t="s">
        <v>19684</v>
      </c>
    </row>
    <row r="4151" spans="1:13">
      <c r="A4151" s="2">
        <v>1327</v>
      </c>
      <c r="B4151" s="2" t="s">
        <v>2442</v>
      </c>
      <c r="C4151" s="2">
        <v>11</v>
      </c>
      <c r="D4151" s="2">
        <v>556</v>
      </c>
      <c r="E4151" s="2">
        <v>200</v>
      </c>
      <c r="F4151" s="2">
        <v>32441</v>
      </c>
      <c r="G4151" s="2">
        <v>3.2090917270000001</v>
      </c>
      <c r="H4151" s="2">
        <v>9.7324300000000005E-4</v>
      </c>
      <c r="I4151" s="2" t="s">
        <v>19685</v>
      </c>
      <c r="J4151" s="2" t="s">
        <v>19686</v>
      </c>
      <c r="K4151" s="2">
        <v>2.2002969999999999E-3</v>
      </c>
      <c r="L4151" s="2" t="s">
        <v>1178</v>
      </c>
      <c r="M4151" s="4" t="s">
        <v>19687</v>
      </c>
    </row>
    <row r="4152" spans="1:13">
      <c r="A4152" s="2">
        <v>13541</v>
      </c>
      <c r="B4152" s="2" t="s">
        <v>2451</v>
      </c>
      <c r="C4152" s="2">
        <v>11</v>
      </c>
      <c r="D4152" s="2">
        <v>556</v>
      </c>
      <c r="E4152" s="2">
        <v>200</v>
      </c>
      <c r="F4152" s="2">
        <v>32441</v>
      </c>
      <c r="G4152" s="2">
        <v>3.2090917270000001</v>
      </c>
      <c r="H4152" s="2">
        <v>9.7324300000000005E-4</v>
      </c>
      <c r="I4152" s="2" t="s">
        <v>19688</v>
      </c>
      <c r="J4152" s="2" t="s">
        <v>19689</v>
      </c>
      <c r="K4152" s="2">
        <v>2.2002969999999999E-3</v>
      </c>
      <c r="L4152" s="2" t="s">
        <v>1178</v>
      </c>
      <c r="M4152" s="4" t="s">
        <v>19690</v>
      </c>
    </row>
    <row r="4153" spans="1:13">
      <c r="A4153" s="2">
        <v>1370</v>
      </c>
      <c r="B4153" s="2" t="s">
        <v>19691</v>
      </c>
      <c r="C4153" s="2">
        <v>11</v>
      </c>
      <c r="D4153" s="2">
        <v>556</v>
      </c>
      <c r="E4153" s="2">
        <v>200</v>
      </c>
      <c r="F4153" s="2">
        <v>32441</v>
      </c>
      <c r="G4153" s="2">
        <v>3.2090917270000001</v>
      </c>
      <c r="H4153" s="2">
        <v>9.7324300000000005E-4</v>
      </c>
      <c r="I4153" s="2" t="s">
        <v>19692</v>
      </c>
      <c r="J4153" s="2" t="s">
        <v>19693</v>
      </c>
      <c r="K4153" s="2">
        <v>2.2002969999999999E-3</v>
      </c>
      <c r="L4153" s="2" t="s">
        <v>1178</v>
      </c>
      <c r="M4153" s="4" t="s">
        <v>19694</v>
      </c>
    </row>
    <row r="4154" spans="1:13">
      <c r="A4154" s="2">
        <v>1373</v>
      </c>
      <c r="B4154" s="2" t="s">
        <v>19695</v>
      </c>
      <c r="C4154" s="2">
        <v>11</v>
      </c>
      <c r="D4154" s="2">
        <v>556</v>
      </c>
      <c r="E4154" s="2">
        <v>200</v>
      </c>
      <c r="F4154" s="2">
        <v>32441</v>
      </c>
      <c r="G4154" s="2">
        <v>3.2090917270000001</v>
      </c>
      <c r="H4154" s="2">
        <v>9.7324300000000005E-4</v>
      </c>
      <c r="I4154" s="2" t="s">
        <v>19696</v>
      </c>
      <c r="J4154" s="2" t="s">
        <v>19697</v>
      </c>
      <c r="K4154" s="2">
        <v>2.2002969999999999E-3</v>
      </c>
      <c r="L4154" s="2" t="s">
        <v>1178</v>
      </c>
      <c r="M4154" s="4" t="s">
        <v>19698</v>
      </c>
    </row>
    <row r="4155" spans="1:13">
      <c r="A4155" s="2">
        <v>1404</v>
      </c>
      <c r="B4155" s="2" t="s">
        <v>19699</v>
      </c>
      <c r="C4155" s="2">
        <v>11</v>
      </c>
      <c r="D4155" s="2">
        <v>556</v>
      </c>
      <c r="E4155" s="2">
        <v>200</v>
      </c>
      <c r="F4155" s="2">
        <v>32441</v>
      </c>
      <c r="G4155" s="2">
        <v>3.2090917270000001</v>
      </c>
      <c r="H4155" s="2">
        <v>9.7324300000000005E-4</v>
      </c>
      <c r="I4155" s="2" t="s">
        <v>19700</v>
      </c>
      <c r="J4155" s="2" t="s">
        <v>19701</v>
      </c>
      <c r="K4155" s="2">
        <v>2.2002969999999999E-3</v>
      </c>
      <c r="L4155" s="2" t="s">
        <v>1178</v>
      </c>
      <c r="M4155" s="4" t="s">
        <v>19702</v>
      </c>
    </row>
    <row r="4156" spans="1:13">
      <c r="A4156" s="2">
        <v>1408</v>
      </c>
      <c r="B4156" s="2" t="s">
        <v>19703</v>
      </c>
      <c r="C4156" s="2">
        <v>11</v>
      </c>
      <c r="D4156" s="2">
        <v>556</v>
      </c>
      <c r="E4156" s="2">
        <v>200</v>
      </c>
      <c r="F4156" s="2">
        <v>32441</v>
      </c>
      <c r="G4156" s="2">
        <v>3.2090917270000001</v>
      </c>
      <c r="H4156" s="2">
        <v>9.7324300000000005E-4</v>
      </c>
      <c r="I4156" s="2" t="s">
        <v>19704</v>
      </c>
      <c r="J4156" s="2" t="s">
        <v>19705</v>
      </c>
      <c r="K4156" s="2">
        <v>2.2002969999999999E-3</v>
      </c>
      <c r="L4156" s="2" t="s">
        <v>1178</v>
      </c>
      <c r="M4156" s="4" t="s">
        <v>19706</v>
      </c>
    </row>
    <row r="4157" spans="1:13">
      <c r="A4157" s="2">
        <v>14771</v>
      </c>
      <c r="B4157" s="2" t="s">
        <v>19707</v>
      </c>
      <c r="C4157" s="2">
        <v>11</v>
      </c>
      <c r="D4157" s="2">
        <v>556</v>
      </c>
      <c r="E4157" s="2">
        <v>200</v>
      </c>
      <c r="F4157" s="2">
        <v>32441</v>
      </c>
      <c r="G4157" s="2">
        <v>3.2090917270000001</v>
      </c>
      <c r="H4157" s="2">
        <v>9.7324300000000005E-4</v>
      </c>
      <c r="I4157" s="2" t="s">
        <v>19708</v>
      </c>
      <c r="J4157" s="2" t="s">
        <v>19709</v>
      </c>
      <c r="K4157" s="2">
        <v>2.2002969999999999E-3</v>
      </c>
      <c r="L4157" s="2" t="s">
        <v>1178</v>
      </c>
      <c r="M4157" s="4" t="s">
        <v>19710</v>
      </c>
    </row>
    <row r="4158" spans="1:13">
      <c r="A4158" s="2">
        <v>14791</v>
      </c>
      <c r="B4158" s="2" t="s">
        <v>19711</v>
      </c>
      <c r="C4158" s="2">
        <v>11</v>
      </c>
      <c r="D4158" s="2">
        <v>556</v>
      </c>
      <c r="E4158" s="2">
        <v>200</v>
      </c>
      <c r="F4158" s="2">
        <v>32441</v>
      </c>
      <c r="G4158" s="2">
        <v>3.2090917270000001</v>
      </c>
      <c r="H4158" s="2">
        <v>9.7324300000000005E-4</v>
      </c>
      <c r="I4158" s="2" t="s">
        <v>19712</v>
      </c>
      <c r="J4158" s="2" t="s">
        <v>19713</v>
      </c>
      <c r="K4158" s="2">
        <v>2.2002969999999999E-3</v>
      </c>
      <c r="L4158" s="2" t="s">
        <v>1178</v>
      </c>
      <c r="M4158" s="4" t="s">
        <v>19714</v>
      </c>
    </row>
    <row r="4159" spans="1:13">
      <c r="A4159" s="2">
        <v>1484</v>
      </c>
      <c r="B4159" s="2" t="s">
        <v>19715</v>
      </c>
      <c r="C4159" s="2">
        <v>11</v>
      </c>
      <c r="D4159" s="2">
        <v>556</v>
      </c>
      <c r="E4159" s="2">
        <v>200</v>
      </c>
      <c r="F4159" s="2">
        <v>32441</v>
      </c>
      <c r="G4159" s="2">
        <v>3.2090917270000001</v>
      </c>
      <c r="H4159" s="2">
        <v>9.7324300000000005E-4</v>
      </c>
      <c r="I4159" s="2" t="s">
        <v>19716</v>
      </c>
      <c r="J4159" s="2" t="s">
        <v>19717</v>
      </c>
      <c r="K4159" s="2">
        <v>2.2002969999999999E-3</v>
      </c>
      <c r="L4159" s="2" t="s">
        <v>1178</v>
      </c>
      <c r="M4159" s="4" t="s">
        <v>19718</v>
      </c>
    </row>
    <row r="4160" spans="1:13">
      <c r="A4160" s="2">
        <v>15031</v>
      </c>
      <c r="B4160" s="2" t="s">
        <v>19719</v>
      </c>
      <c r="C4160" s="2">
        <v>11</v>
      </c>
      <c r="D4160" s="2">
        <v>556</v>
      </c>
      <c r="E4160" s="2">
        <v>200</v>
      </c>
      <c r="F4160" s="2">
        <v>32441</v>
      </c>
      <c r="G4160" s="2">
        <v>3.2090917270000001</v>
      </c>
      <c r="H4160" s="2">
        <v>9.7324300000000005E-4</v>
      </c>
      <c r="I4160" s="2" t="s">
        <v>19720</v>
      </c>
      <c r="J4160" s="2" t="s">
        <v>19721</v>
      </c>
      <c r="K4160" s="2">
        <v>2.2002969999999999E-3</v>
      </c>
      <c r="L4160" s="2" t="s">
        <v>1178</v>
      </c>
      <c r="M4160" s="4" t="s">
        <v>19722</v>
      </c>
    </row>
    <row r="4161" spans="1:13">
      <c r="A4161" s="2">
        <v>15051</v>
      </c>
      <c r="B4161" s="2" t="s">
        <v>1374</v>
      </c>
      <c r="C4161" s="2">
        <v>11</v>
      </c>
      <c r="D4161" s="2">
        <v>556</v>
      </c>
      <c r="E4161" s="2">
        <v>200</v>
      </c>
      <c r="F4161" s="2">
        <v>32441</v>
      </c>
      <c r="G4161" s="2">
        <v>3.2090917270000001</v>
      </c>
      <c r="H4161" s="2">
        <v>9.7324300000000005E-4</v>
      </c>
      <c r="I4161" s="2" t="s">
        <v>19723</v>
      </c>
      <c r="J4161" s="2" t="s">
        <v>19724</v>
      </c>
      <c r="K4161" s="2">
        <v>2.2002969999999999E-3</v>
      </c>
      <c r="L4161" s="2" t="s">
        <v>1178</v>
      </c>
      <c r="M4161" s="4" t="s">
        <v>19725</v>
      </c>
    </row>
    <row r="4162" spans="1:13">
      <c r="A4162" s="2">
        <v>1511</v>
      </c>
      <c r="B4162" s="2" t="s">
        <v>19726</v>
      </c>
      <c r="C4162" s="2">
        <v>11</v>
      </c>
      <c r="D4162" s="2">
        <v>556</v>
      </c>
      <c r="E4162" s="2">
        <v>200</v>
      </c>
      <c r="F4162" s="2">
        <v>32441</v>
      </c>
      <c r="G4162" s="2">
        <v>3.2090917270000001</v>
      </c>
      <c r="H4162" s="2">
        <v>9.7324300000000005E-4</v>
      </c>
      <c r="I4162" s="2" t="s">
        <v>19727</v>
      </c>
      <c r="J4162" s="2" t="s">
        <v>19728</v>
      </c>
      <c r="K4162" s="2">
        <v>2.2002969999999999E-3</v>
      </c>
      <c r="L4162" s="2" t="s">
        <v>1178</v>
      </c>
      <c r="M4162" s="4" t="s">
        <v>19729</v>
      </c>
    </row>
    <row r="4163" spans="1:13">
      <c r="A4163" s="2">
        <v>1515</v>
      </c>
      <c r="B4163" s="2" t="s">
        <v>3388</v>
      </c>
      <c r="C4163" s="2">
        <v>11</v>
      </c>
      <c r="D4163" s="2">
        <v>556</v>
      </c>
      <c r="E4163" s="2">
        <v>200</v>
      </c>
      <c r="F4163" s="2">
        <v>32441</v>
      </c>
      <c r="G4163" s="2">
        <v>3.2090917270000001</v>
      </c>
      <c r="H4163" s="2">
        <v>9.7324300000000005E-4</v>
      </c>
      <c r="I4163" s="2" t="s">
        <v>19730</v>
      </c>
      <c r="J4163" s="2" t="s">
        <v>19731</v>
      </c>
      <c r="K4163" s="2">
        <v>2.2002969999999999E-3</v>
      </c>
      <c r="L4163" s="2" t="s">
        <v>1178</v>
      </c>
      <c r="M4163" s="4" t="s">
        <v>3391</v>
      </c>
    </row>
    <row r="4164" spans="1:13">
      <c r="A4164" s="2">
        <v>15411</v>
      </c>
      <c r="B4164" s="2" t="s">
        <v>19732</v>
      </c>
      <c r="C4164" s="2">
        <v>11</v>
      </c>
      <c r="D4164" s="2">
        <v>556</v>
      </c>
      <c r="E4164" s="2">
        <v>200</v>
      </c>
      <c r="F4164" s="2">
        <v>32441</v>
      </c>
      <c r="G4164" s="2">
        <v>3.2090917270000001</v>
      </c>
      <c r="H4164" s="2">
        <v>9.7324300000000005E-4</v>
      </c>
      <c r="I4164" s="2" t="s">
        <v>19733</v>
      </c>
      <c r="J4164" s="2" t="s">
        <v>19734</v>
      </c>
      <c r="K4164" s="2">
        <v>2.2002969999999999E-3</v>
      </c>
      <c r="L4164" s="2" t="s">
        <v>1178</v>
      </c>
      <c r="M4164" s="4" t="s">
        <v>19735</v>
      </c>
    </row>
    <row r="4165" spans="1:13">
      <c r="A4165" s="2">
        <v>15531</v>
      </c>
      <c r="B4165" s="2" t="s">
        <v>19736</v>
      </c>
      <c r="C4165" s="2">
        <v>11</v>
      </c>
      <c r="D4165" s="2">
        <v>556</v>
      </c>
      <c r="E4165" s="2">
        <v>200</v>
      </c>
      <c r="F4165" s="2">
        <v>32441</v>
      </c>
      <c r="G4165" s="2">
        <v>3.2090917270000001</v>
      </c>
      <c r="H4165" s="2">
        <v>9.7324300000000005E-4</v>
      </c>
      <c r="I4165" s="2" t="s">
        <v>19737</v>
      </c>
      <c r="J4165" s="2" t="s">
        <v>19738</v>
      </c>
      <c r="K4165" s="2">
        <v>2.2002969999999999E-3</v>
      </c>
      <c r="L4165" s="2" t="s">
        <v>1178</v>
      </c>
      <c r="M4165" s="4" t="s">
        <v>19739</v>
      </c>
    </row>
    <row r="4166" spans="1:13">
      <c r="A4166" s="2">
        <v>1558</v>
      </c>
      <c r="B4166" s="2" t="s">
        <v>19740</v>
      </c>
      <c r="C4166" s="2">
        <v>11</v>
      </c>
      <c r="D4166" s="2">
        <v>556</v>
      </c>
      <c r="E4166" s="2">
        <v>200</v>
      </c>
      <c r="F4166" s="2">
        <v>32441</v>
      </c>
      <c r="G4166" s="2">
        <v>3.2090917270000001</v>
      </c>
      <c r="H4166" s="2">
        <v>9.7324300000000005E-4</v>
      </c>
      <c r="I4166" s="2" t="s">
        <v>19741</v>
      </c>
      <c r="J4166" s="2" t="s">
        <v>19742</v>
      </c>
      <c r="K4166" s="2">
        <v>2.2002969999999999E-3</v>
      </c>
      <c r="L4166" s="2" t="s">
        <v>1178</v>
      </c>
      <c r="M4166" s="4" t="s">
        <v>19743</v>
      </c>
    </row>
    <row r="4167" spans="1:13">
      <c r="A4167" s="2">
        <v>1560</v>
      </c>
      <c r="B4167" s="2" t="s">
        <v>19744</v>
      </c>
      <c r="C4167" s="2">
        <v>11</v>
      </c>
      <c r="D4167" s="2">
        <v>556</v>
      </c>
      <c r="E4167" s="2">
        <v>200</v>
      </c>
      <c r="F4167" s="2">
        <v>32441</v>
      </c>
      <c r="G4167" s="2">
        <v>3.2090917270000001</v>
      </c>
      <c r="H4167" s="2">
        <v>9.7324300000000005E-4</v>
      </c>
      <c r="I4167" s="2" t="s">
        <v>19745</v>
      </c>
      <c r="J4167" s="2" t="s">
        <v>19746</v>
      </c>
      <c r="K4167" s="2">
        <v>2.2002969999999999E-3</v>
      </c>
      <c r="L4167" s="2" t="s">
        <v>1178</v>
      </c>
      <c r="M4167" s="4" t="s">
        <v>19747</v>
      </c>
    </row>
    <row r="4168" spans="1:13">
      <c r="A4168" s="2">
        <v>15711</v>
      </c>
      <c r="B4168" s="2" t="s">
        <v>19748</v>
      </c>
      <c r="C4168" s="2">
        <v>11</v>
      </c>
      <c r="D4168" s="2">
        <v>556</v>
      </c>
      <c r="E4168" s="2">
        <v>200</v>
      </c>
      <c r="F4168" s="2">
        <v>32441</v>
      </c>
      <c r="G4168" s="2">
        <v>3.2090917270000001</v>
      </c>
      <c r="H4168" s="2">
        <v>9.7324300000000005E-4</v>
      </c>
      <c r="I4168" s="2" t="s">
        <v>19749</v>
      </c>
      <c r="J4168" s="2" t="s">
        <v>19750</v>
      </c>
      <c r="K4168" s="2">
        <v>2.2002969999999999E-3</v>
      </c>
      <c r="L4168" s="2" t="s">
        <v>1178</v>
      </c>
      <c r="M4168" s="4" t="s">
        <v>19751</v>
      </c>
    </row>
    <row r="4169" spans="1:13">
      <c r="A4169" s="2">
        <v>15751</v>
      </c>
      <c r="B4169" s="2" t="s">
        <v>3261</v>
      </c>
      <c r="C4169" s="2">
        <v>11</v>
      </c>
      <c r="D4169" s="2">
        <v>556</v>
      </c>
      <c r="E4169" s="2">
        <v>200</v>
      </c>
      <c r="F4169" s="2">
        <v>32441</v>
      </c>
      <c r="G4169" s="2">
        <v>3.2090917270000001</v>
      </c>
      <c r="H4169" s="2">
        <v>9.7324300000000005E-4</v>
      </c>
      <c r="I4169" s="2" t="s">
        <v>19752</v>
      </c>
      <c r="J4169" s="2" t="s">
        <v>19753</v>
      </c>
      <c r="K4169" s="2">
        <v>2.2002969999999999E-3</v>
      </c>
      <c r="L4169" s="2" t="s">
        <v>1178</v>
      </c>
      <c r="M4169" s="4" t="s">
        <v>3264</v>
      </c>
    </row>
    <row r="4170" spans="1:13">
      <c r="A4170" s="2">
        <v>16071</v>
      </c>
      <c r="B4170" s="2" t="s">
        <v>2487</v>
      </c>
      <c r="C4170" s="2">
        <v>11</v>
      </c>
      <c r="D4170" s="2">
        <v>556</v>
      </c>
      <c r="E4170" s="2">
        <v>200</v>
      </c>
      <c r="F4170" s="2">
        <v>32441</v>
      </c>
      <c r="G4170" s="2">
        <v>3.2090917270000001</v>
      </c>
      <c r="H4170" s="2">
        <v>9.7324300000000005E-4</v>
      </c>
      <c r="I4170" s="2" t="s">
        <v>19754</v>
      </c>
      <c r="J4170" s="2" t="s">
        <v>19755</v>
      </c>
      <c r="K4170" s="2">
        <v>2.2002969999999999E-3</v>
      </c>
      <c r="L4170" s="2" t="s">
        <v>1178</v>
      </c>
      <c r="M4170" s="4" t="s">
        <v>19756</v>
      </c>
    </row>
    <row r="4171" spans="1:13">
      <c r="A4171" s="2">
        <v>1613</v>
      </c>
      <c r="B4171" s="2" t="s">
        <v>19757</v>
      </c>
      <c r="C4171" s="2">
        <v>11</v>
      </c>
      <c r="D4171" s="2">
        <v>556</v>
      </c>
      <c r="E4171" s="2">
        <v>200</v>
      </c>
      <c r="F4171" s="2">
        <v>32441</v>
      </c>
      <c r="G4171" s="2">
        <v>3.2090917270000001</v>
      </c>
      <c r="H4171" s="2">
        <v>9.7324300000000005E-4</v>
      </c>
      <c r="I4171" s="2" t="s">
        <v>19758</v>
      </c>
      <c r="J4171" s="2" t="s">
        <v>19759</v>
      </c>
      <c r="K4171" s="2">
        <v>2.2002969999999999E-3</v>
      </c>
      <c r="L4171" s="2" t="s">
        <v>1178</v>
      </c>
      <c r="M4171" s="4" t="s">
        <v>19760</v>
      </c>
    </row>
    <row r="4172" spans="1:13">
      <c r="A4172" s="2">
        <v>1625</v>
      </c>
      <c r="B4172" s="2" t="s">
        <v>19761</v>
      </c>
      <c r="C4172" s="2">
        <v>11</v>
      </c>
      <c r="D4172" s="2">
        <v>556</v>
      </c>
      <c r="E4172" s="2">
        <v>199</v>
      </c>
      <c r="F4172" s="2">
        <v>32441</v>
      </c>
      <c r="G4172" s="2">
        <v>3.2252178159999998</v>
      </c>
      <c r="H4172" s="2">
        <v>9.3638599999999999E-4</v>
      </c>
      <c r="I4172" s="2" t="s">
        <v>19762</v>
      </c>
      <c r="J4172" s="2" t="s">
        <v>19763</v>
      </c>
      <c r="K4172" s="2">
        <v>2.2002969999999999E-3</v>
      </c>
      <c r="L4172" s="2" t="s">
        <v>1178</v>
      </c>
      <c r="M4172" s="4" t="s">
        <v>19764</v>
      </c>
    </row>
    <row r="4173" spans="1:13">
      <c r="A4173" s="2">
        <v>1627</v>
      </c>
      <c r="B4173" s="2" t="s">
        <v>19765</v>
      </c>
      <c r="C4173" s="2">
        <v>11</v>
      </c>
      <c r="D4173" s="2">
        <v>556</v>
      </c>
      <c r="E4173" s="2">
        <v>200</v>
      </c>
      <c r="F4173" s="2">
        <v>32441</v>
      </c>
      <c r="G4173" s="2">
        <v>3.2090917270000001</v>
      </c>
      <c r="H4173" s="2">
        <v>9.7324300000000005E-4</v>
      </c>
      <c r="I4173" s="2" t="s">
        <v>19766</v>
      </c>
      <c r="J4173" s="2" t="s">
        <v>19767</v>
      </c>
      <c r="K4173" s="2">
        <v>2.2002969999999999E-3</v>
      </c>
      <c r="L4173" s="2" t="s">
        <v>1178</v>
      </c>
      <c r="M4173" s="4" t="s">
        <v>19768</v>
      </c>
    </row>
    <row r="4174" spans="1:13">
      <c r="A4174" s="2">
        <v>16732</v>
      </c>
      <c r="B4174" s="2" t="s">
        <v>19769</v>
      </c>
      <c r="C4174" s="2">
        <v>11</v>
      </c>
      <c r="D4174" s="2">
        <v>556</v>
      </c>
      <c r="E4174" s="2">
        <v>200</v>
      </c>
      <c r="F4174" s="2">
        <v>32441</v>
      </c>
      <c r="G4174" s="2">
        <v>3.2090917270000001</v>
      </c>
      <c r="H4174" s="2">
        <v>9.7324300000000005E-4</v>
      </c>
      <c r="I4174" s="2" t="s">
        <v>19770</v>
      </c>
      <c r="J4174" s="2" t="s">
        <v>19771</v>
      </c>
      <c r="K4174" s="2">
        <v>2.2002969999999999E-3</v>
      </c>
      <c r="L4174" s="2" t="s">
        <v>1178</v>
      </c>
      <c r="M4174" s="4" t="s">
        <v>19772</v>
      </c>
    </row>
    <row r="4175" spans="1:13">
      <c r="A4175" s="2">
        <v>16752</v>
      </c>
      <c r="B4175" s="2" t="s">
        <v>19773</v>
      </c>
      <c r="C4175" s="2">
        <v>11</v>
      </c>
      <c r="D4175" s="2">
        <v>556</v>
      </c>
      <c r="E4175" s="2">
        <v>200</v>
      </c>
      <c r="F4175" s="2">
        <v>32441</v>
      </c>
      <c r="G4175" s="2">
        <v>3.2090917270000001</v>
      </c>
      <c r="H4175" s="2">
        <v>9.7324300000000005E-4</v>
      </c>
      <c r="I4175" s="2" t="s">
        <v>19774</v>
      </c>
      <c r="J4175" s="2" t="s">
        <v>19775</v>
      </c>
      <c r="K4175" s="2">
        <v>2.2002969999999999E-3</v>
      </c>
      <c r="L4175" s="2" t="s">
        <v>1178</v>
      </c>
      <c r="M4175" s="4" t="s">
        <v>19776</v>
      </c>
    </row>
    <row r="4176" spans="1:13">
      <c r="A4176" s="2">
        <v>17291</v>
      </c>
      <c r="B4176" s="2" t="s">
        <v>19777</v>
      </c>
      <c r="C4176" s="2">
        <v>11</v>
      </c>
      <c r="D4176" s="2">
        <v>556</v>
      </c>
      <c r="E4176" s="2">
        <v>200</v>
      </c>
      <c r="F4176" s="2">
        <v>32441</v>
      </c>
      <c r="G4176" s="2">
        <v>3.2090917270000001</v>
      </c>
      <c r="H4176" s="2">
        <v>9.7324300000000005E-4</v>
      </c>
      <c r="I4176" s="2" t="s">
        <v>19778</v>
      </c>
      <c r="J4176" s="2" t="s">
        <v>19779</v>
      </c>
      <c r="K4176" s="2">
        <v>2.2002969999999999E-3</v>
      </c>
      <c r="L4176" s="2" t="s">
        <v>1178</v>
      </c>
      <c r="M4176" s="4" t="s">
        <v>19780</v>
      </c>
    </row>
    <row r="4177" spans="1:13">
      <c r="A4177" s="2">
        <v>1730</v>
      </c>
      <c r="B4177" s="2" t="s">
        <v>1704</v>
      </c>
      <c r="C4177" s="2">
        <v>11</v>
      </c>
      <c r="D4177" s="2">
        <v>556</v>
      </c>
      <c r="E4177" s="2">
        <v>200</v>
      </c>
      <c r="F4177" s="2">
        <v>32441</v>
      </c>
      <c r="G4177" s="2">
        <v>3.2090917270000001</v>
      </c>
      <c r="H4177" s="2">
        <v>9.7324300000000005E-4</v>
      </c>
      <c r="I4177" s="2" t="s">
        <v>19781</v>
      </c>
      <c r="J4177" s="2" t="s">
        <v>19782</v>
      </c>
      <c r="K4177" s="2">
        <v>2.2002969999999999E-3</v>
      </c>
      <c r="L4177" s="2" t="s">
        <v>1178</v>
      </c>
      <c r="M4177" s="4" t="s">
        <v>19783</v>
      </c>
    </row>
    <row r="4178" spans="1:13">
      <c r="A4178" s="2">
        <v>17311</v>
      </c>
      <c r="B4178" s="2" t="s">
        <v>19784</v>
      </c>
      <c r="C4178" s="2">
        <v>11</v>
      </c>
      <c r="D4178" s="2">
        <v>556</v>
      </c>
      <c r="E4178" s="2">
        <v>200</v>
      </c>
      <c r="F4178" s="2">
        <v>32441</v>
      </c>
      <c r="G4178" s="2">
        <v>3.2090917270000001</v>
      </c>
      <c r="H4178" s="2">
        <v>9.7324300000000005E-4</v>
      </c>
      <c r="I4178" s="2" t="s">
        <v>19785</v>
      </c>
      <c r="J4178" s="2" t="s">
        <v>19786</v>
      </c>
      <c r="K4178" s="2">
        <v>2.2002969999999999E-3</v>
      </c>
      <c r="L4178" s="2" t="s">
        <v>1178</v>
      </c>
      <c r="M4178" s="4" t="s">
        <v>19787</v>
      </c>
    </row>
    <row r="4179" spans="1:13">
      <c r="A4179" s="2">
        <v>17721</v>
      </c>
      <c r="B4179" s="2" t="s">
        <v>19788</v>
      </c>
      <c r="C4179" s="2">
        <v>11</v>
      </c>
      <c r="D4179" s="2">
        <v>556</v>
      </c>
      <c r="E4179" s="2">
        <v>200</v>
      </c>
      <c r="F4179" s="2">
        <v>32441</v>
      </c>
      <c r="G4179" s="2">
        <v>3.2090917270000001</v>
      </c>
      <c r="H4179" s="2">
        <v>9.7324300000000005E-4</v>
      </c>
      <c r="I4179" s="2" t="s">
        <v>19789</v>
      </c>
      <c r="J4179" s="2" t="s">
        <v>19790</v>
      </c>
      <c r="K4179" s="2">
        <v>2.2002969999999999E-3</v>
      </c>
      <c r="L4179" s="2" t="s">
        <v>1178</v>
      </c>
      <c r="M4179" s="4" t="s">
        <v>19791</v>
      </c>
    </row>
    <row r="4180" spans="1:13">
      <c r="A4180" s="2">
        <v>1816</v>
      </c>
      <c r="B4180" s="2" t="s">
        <v>19792</v>
      </c>
      <c r="C4180" s="2">
        <v>11</v>
      </c>
      <c r="D4180" s="2">
        <v>556</v>
      </c>
      <c r="E4180" s="2">
        <v>200</v>
      </c>
      <c r="F4180" s="2">
        <v>32441</v>
      </c>
      <c r="G4180" s="2">
        <v>3.2090917270000001</v>
      </c>
      <c r="H4180" s="2">
        <v>9.7324300000000005E-4</v>
      </c>
      <c r="I4180" s="2" t="s">
        <v>19793</v>
      </c>
      <c r="J4180" s="2" t="s">
        <v>19794</v>
      </c>
      <c r="K4180" s="2">
        <v>2.2002969999999999E-3</v>
      </c>
      <c r="L4180" s="2" t="s">
        <v>1178</v>
      </c>
      <c r="M4180" s="4" t="s">
        <v>19795</v>
      </c>
    </row>
    <row r="4181" spans="1:13">
      <c r="A4181" s="2">
        <v>1843</v>
      </c>
      <c r="B4181" s="2" t="s">
        <v>19796</v>
      </c>
      <c r="C4181" s="2">
        <v>11</v>
      </c>
      <c r="D4181" s="2">
        <v>556</v>
      </c>
      <c r="E4181" s="2">
        <v>200</v>
      </c>
      <c r="F4181" s="2">
        <v>32441</v>
      </c>
      <c r="G4181" s="2">
        <v>3.2090917270000001</v>
      </c>
      <c r="H4181" s="2">
        <v>9.7324300000000005E-4</v>
      </c>
      <c r="I4181" s="2" t="s">
        <v>19797</v>
      </c>
      <c r="J4181" s="2" t="s">
        <v>19798</v>
      </c>
      <c r="K4181" s="2">
        <v>2.2002969999999999E-3</v>
      </c>
      <c r="L4181" s="2" t="s">
        <v>1178</v>
      </c>
      <c r="M4181" s="4" t="s">
        <v>19799</v>
      </c>
    </row>
    <row r="4182" spans="1:13">
      <c r="A4182" s="2">
        <v>1849</v>
      </c>
      <c r="B4182" s="2" t="s">
        <v>19800</v>
      </c>
      <c r="C4182" s="2">
        <v>11</v>
      </c>
      <c r="D4182" s="2">
        <v>556</v>
      </c>
      <c r="E4182" s="2">
        <v>200</v>
      </c>
      <c r="F4182" s="2">
        <v>32441</v>
      </c>
      <c r="G4182" s="2">
        <v>3.2090917270000001</v>
      </c>
      <c r="H4182" s="2">
        <v>9.7324300000000005E-4</v>
      </c>
      <c r="I4182" s="2" t="s">
        <v>19801</v>
      </c>
      <c r="J4182" s="2" t="s">
        <v>19802</v>
      </c>
      <c r="K4182" s="2">
        <v>2.2002969999999999E-3</v>
      </c>
      <c r="L4182" s="2" t="s">
        <v>1178</v>
      </c>
      <c r="M4182" s="4" t="s">
        <v>19803</v>
      </c>
    </row>
    <row r="4183" spans="1:13">
      <c r="A4183" s="2">
        <v>18611</v>
      </c>
      <c r="B4183" s="2" t="s">
        <v>19804</v>
      </c>
      <c r="C4183" s="2">
        <v>11</v>
      </c>
      <c r="D4183" s="2">
        <v>556</v>
      </c>
      <c r="E4183" s="2">
        <v>200</v>
      </c>
      <c r="F4183" s="2">
        <v>32441</v>
      </c>
      <c r="G4183" s="2">
        <v>3.2090917270000001</v>
      </c>
      <c r="H4183" s="2">
        <v>9.7324300000000005E-4</v>
      </c>
      <c r="I4183" s="2" t="s">
        <v>19805</v>
      </c>
      <c r="J4183" s="2" t="s">
        <v>19806</v>
      </c>
      <c r="K4183" s="2">
        <v>2.2002969999999999E-3</v>
      </c>
      <c r="L4183" s="2" t="s">
        <v>1178</v>
      </c>
      <c r="M4183" s="4" t="s">
        <v>19807</v>
      </c>
    </row>
    <row r="4184" spans="1:13">
      <c r="A4184" s="2">
        <v>1873</v>
      </c>
      <c r="B4184" s="2" t="s">
        <v>19808</v>
      </c>
      <c r="C4184" s="2">
        <v>11</v>
      </c>
      <c r="D4184" s="2">
        <v>556</v>
      </c>
      <c r="E4184" s="2">
        <v>200</v>
      </c>
      <c r="F4184" s="2">
        <v>32441</v>
      </c>
      <c r="G4184" s="2">
        <v>3.2090917270000001</v>
      </c>
      <c r="H4184" s="2">
        <v>9.7324300000000005E-4</v>
      </c>
      <c r="I4184" s="2" t="s">
        <v>19809</v>
      </c>
      <c r="J4184" s="2" t="s">
        <v>19810</v>
      </c>
      <c r="K4184" s="2">
        <v>2.2002969999999999E-3</v>
      </c>
      <c r="L4184" s="2" t="s">
        <v>1178</v>
      </c>
      <c r="M4184" s="4" t="s">
        <v>19811</v>
      </c>
    </row>
    <row r="4185" spans="1:13">
      <c r="A4185" s="2">
        <v>18891</v>
      </c>
      <c r="B4185" s="2" t="s">
        <v>19812</v>
      </c>
      <c r="C4185" s="2">
        <v>11</v>
      </c>
      <c r="D4185" s="2">
        <v>556</v>
      </c>
      <c r="E4185" s="2">
        <v>200</v>
      </c>
      <c r="F4185" s="2">
        <v>32441</v>
      </c>
      <c r="G4185" s="2">
        <v>3.2090917270000001</v>
      </c>
      <c r="H4185" s="2">
        <v>9.7324300000000005E-4</v>
      </c>
      <c r="I4185" s="2" t="s">
        <v>19813</v>
      </c>
      <c r="J4185" s="2" t="s">
        <v>19814</v>
      </c>
      <c r="K4185" s="2">
        <v>2.2002969999999999E-3</v>
      </c>
      <c r="L4185" s="2" t="s">
        <v>1178</v>
      </c>
      <c r="M4185" s="4" t="s">
        <v>19815</v>
      </c>
    </row>
    <row r="4186" spans="1:13">
      <c r="A4186" s="2">
        <v>18911</v>
      </c>
      <c r="B4186" s="2" t="s">
        <v>19816</v>
      </c>
      <c r="C4186" s="2">
        <v>11</v>
      </c>
      <c r="D4186" s="2">
        <v>556</v>
      </c>
      <c r="E4186" s="2">
        <v>199</v>
      </c>
      <c r="F4186" s="2">
        <v>32441</v>
      </c>
      <c r="G4186" s="2">
        <v>3.2252178159999998</v>
      </c>
      <c r="H4186" s="2">
        <v>9.3638599999999999E-4</v>
      </c>
      <c r="I4186" s="2" t="s">
        <v>19817</v>
      </c>
      <c r="J4186" s="2" t="s">
        <v>19818</v>
      </c>
      <c r="K4186" s="2">
        <v>2.2002969999999999E-3</v>
      </c>
      <c r="L4186" s="2" t="s">
        <v>1178</v>
      </c>
      <c r="M4186" s="4" t="s">
        <v>19819</v>
      </c>
    </row>
    <row r="4187" spans="1:13">
      <c r="A4187" s="2">
        <v>1956</v>
      </c>
      <c r="B4187" s="2" t="s">
        <v>19820</v>
      </c>
      <c r="C4187" s="2">
        <v>11</v>
      </c>
      <c r="D4187" s="2">
        <v>556</v>
      </c>
      <c r="E4187" s="2">
        <v>200</v>
      </c>
      <c r="F4187" s="2">
        <v>32441</v>
      </c>
      <c r="G4187" s="2">
        <v>3.2090917270000001</v>
      </c>
      <c r="H4187" s="2">
        <v>9.7324300000000005E-4</v>
      </c>
      <c r="I4187" s="2" t="s">
        <v>19821</v>
      </c>
      <c r="J4187" s="2" t="s">
        <v>19822</v>
      </c>
      <c r="K4187" s="2">
        <v>2.2002969999999999E-3</v>
      </c>
      <c r="L4187" s="2" t="s">
        <v>1178</v>
      </c>
      <c r="M4187" s="4" t="s">
        <v>19823</v>
      </c>
    </row>
    <row r="4188" spans="1:13">
      <c r="A4188" s="2">
        <v>1992</v>
      </c>
      <c r="B4188" s="2" t="s">
        <v>3424</v>
      </c>
      <c r="C4188" s="2">
        <v>11</v>
      </c>
      <c r="D4188" s="2">
        <v>556</v>
      </c>
      <c r="E4188" s="2">
        <v>199</v>
      </c>
      <c r="F4188" s="2">
        <v>32441</v>
      </c>
      <c r="G4188" s="2">
        <v>3.2252178159999998</v>
      </c>
      <c r="H4188" s="2">
        <v>9.3638599999999999E-4</v>
      </c>
      <c r="I4188" s="2" t="s">
        <v>19824</v>
      </c>
      <c r="J4188" s="2" t="s">
        <v>19825</v>
      </c>
      <c r="K4188" s="2">
        <v>2.2002969999999999E-3</v>
      </c>
      <c r="L4188" s="2" t="s">
        <v>1178</v>
      </c>
      <c r="M4188" s="4" t="s">
        <v>3427</v>
      </c>
    </row>
    <row r="4189" spans="1:13">
      <c r="A4189" s="2">
        <v>2023</v>
      </c>
      <c r="B4189" s="2" t="s">
        <v>19826</v>
      </c>
      <c r="C4189" s="2">
        <v>11</v>
      </c>
      <c r="D4189" s="2">
        <v>556</v>
      </c>
      <c r="E4189" s="2">
        <v>200</v>
      </c>
      <c r="F4189" s="2">
        <v>32441</v>
      </c>
      <c r="G4189" s="2">
        <v>3.2090917270000001</v>
      </c>
      <c r="H4189" s="2">
        <v>9.7324300000000005E-4</v>
      </c>
      <c r="I4189" s="2" t="s">
        <v>19827</v>
      </c>
      <c r="J4189" s="2" t="s">
        <v>19828</v>
      </c>
      <c r="K4189" s="2">
        <v>2.2002969999999999E-3</v>
      </c>
      <c r="L4189" s="2" t="s">
        <v>1178</v>
      </c>
      <c r="M4189" s="4" t="s">
        <v>19829</v>
      </c>
    </row>
    <row r="4190" spans="1:13">
      <c r="A4190" s="2">
        <v>20301</v>
      </c>
      <c r="B4190" s="2" t="s">
        <v>19830</v>
      </c>
      <c r="C4190" s="2">
        <v>11</v>
      </c>
      <c r="D4190" s="2">
        <v>556</v>
      </c>
      <c r="E4190" s="2">
        <v>199</v>
      </c>
      <c r="F4190" s="2">
        <v>32441</v>
      </c>
      <c r="G4190" s="2">
        <v>3.2252178159999998</v>
      </c>
      <c r="H4190" s="2">
        <v>9.3638599999999999E-4</v>
      </c>
      <c r="I4190" s="2" t="s">
        <v>19831</v>
      </c>
      <c r="J4190" s="2" t="s">
        <v>19832</v>
      </c>
      <c r="K4190" s="2">
        <v>2.2002969999999999E-3</v>
      </c>
      <c r="L4190" s="2" t="s">
        <v>1178</v>
      </c>
      <c r="M4190" s="4" t="s">
        <v>19833</v>
      </c>
    </row>
    <row r="4191" spans="1:13">
      <c r="A4191" s="2">
        <v>2090</v>
      </c>
      <c r="B4191" s="2" t="s">
        <v>19834</v>
      </c>
      <c r="C4191" s="2">
        <v>11</v>
      </c>
      <c r="D4191" s="2">
        <v>556</v>
      </c>
      <c r="E4191" s="2">
        <v>199</v>
      </c>
      <c r="F4191" s="2">
        <v>32441</v>
      </c>
      <c r="G4191" s="2">
        <v>3.2252178159999998</v>
      </c>
      <c r="H4191" s="2">
        <v>9.3638599999999999E-4</v>
      </c>
      <c r="I4191" s="2" t="s">
        <v>19835</v>
      </c>
      <c r="J4191" s="2" t="s">
        <v>19836</v>
      </c>
      <c r="K4191" s="2">
        <v>2.2002969999999999E-3</v>
      </c>
      <c r="L4191" s="2" t="s">
        <v>1178</v>
      </c>
      <c r="M4191" s="4" t="s">
        <v>19837</v>
      </c>
    </row>
    <row r="4192" spans="1:13">
      <c r="A4192" s="2">
        <v>2114</v>
      </c>
      <c r="B4192" s="2" t="s">
        <v>19838</v>
      </c>
      <c r="C4192" s="2">
        <v>11</v>
      </c>
      <c r="D4192" s="2">
        <v>556</v>
      </c>
      <c r="E4192" s="2">
        <v>200</v>
      </c>
      <c r="F4192" s="2">
        <v>32441</v>
      </c>
      <c r="G4192" s="2">
        <v>3.2090917270000001</v>
      </c>
      <c r="H4192" s="2">
        <v>9.7324300000000005E-4</v>
      </c>
      <c r="I4192" s="2" t="s">
        <v>19839</v>
      </c>
      <c r="J4192" s="2" t="s">
        <v>19840</v>
      </c>
      <c r="K4192" s="2">
        <v>2.2002969999999999E-3</v>
      </c>
      <c r="L4192" s="2" t="s">
        <v>1178</v>
      </c>
      <c r="M4192" s="4" t="s">
        <v>19841</v>
      </c>
    </row>
    <row r="4193" spans="1:13">
      <c r="A4193" s="2">
        <v>2136</v>
      </c>
      <c r="B4193" s="2" t="s">
        <v>2523</v>
      </c>
      <c r="C4193" s="2">
        <v>11</v>
      </c>
      <c r="D4193" s="2">
        <v>556</v>
      </c>
      <c r="E4193" s="2">
        <v>198</v>
      </c>
      <c r="F4193" s="2">
        <v>32441</v>
      </c>
      <c r="G4193" s="2">
        <v>3.2415067949999998</v>
      </c>
      <c r="H4193" s="2">
        <v>9.0069100000000001E-4</v>
      </c>
      <c r="I4193" s="2" t="s">
        <v>19842</v>
      </c>
      <c r="J4193" s="2" t="s">
        <v>19843</v>
      </c>
      <c r="K4193" s="2">
        <v>2.2002969999999999E-3</v>
      </c>
      <c r="L4193" s="2" t="s">
        <v>1178</v>
      </c>
      <c r="M4193" s="4" t="s">
        <v>19844</v>
      </c>
    </row>
    <row r="4194" spans="1:13">
      <c r="A4194" s="2">
        <v>2141</v>
      </c>
      <c r="B4194" s="2" t="s">
        <v>1500</v>
      </c>
      <c r="C4194" s="2">
        <v>11</v>
      </c>
      <c r="D4194" s="2">
        <v>556</v>
      </c>
      <c r="E4194" s="2">
        <v>200</v>
      </c>
      <c r="F4194" s="2">
        <v>32441</v>
      </c>
      <c r="G4194" s="2">
        <v>3.2090917270000001</v>
      </c>
      <c r="H4194" s="2">
        <v>9.7324300000000005E-4</v>
      </c>
      <c r="I4194" s="2" t="s">
        <v>19845</v>
      </c>
      <c r="J4194" s="2" t="s">
        <v>19846</v>
      </c>
      <c r="K4194" s="2">
        <v>2.2002969999999999E-3</v>
      </c>
      <c r="L4194" s="2" t="s">
        <v>1178</v>
      </c>
      <c r="M4194" s="4" t="s">
        <v>19847</v>
      </c>
    </row>
    <row r="4195" spans="1:13">
      <c r="A4195" s="2">
        <v>2163</v>
      </c>
      <c r="B4195" s="2" t="s">
        <v>19848</v>
      </c>
      <c r="C4195" s="2">
        <v>11</v>
      </c>
      <c r="D4195" s="2">
        <v>556</v>
      </c>
      <c r="E4195" s="2">
        <v>200</v>
      </c>
      <c r="F4195" s="2">
        <v>32441</v>
      </c>
      <c r="G4195" s="2">
        <v>3.2090917270000001</v>
      </c>
      <c r="H4195" s="2">
        <v>9.7324300000000005E-4</v>
      </c>
      <c r="I4195" s="2" t="s">
        <v>19849</v>
      </c>
      <c r="J4195" s="2" t="s">
        <v>19850</v>
      </c>
      <c r="K4195" s="2">
        <v>2.2002969999999999E-3</v>
      </c>
      <c r="L4195" s="2" t="s">
        <v>1178</v>
      </c>
      <c r="M4195" s="4" t="s">
        <v>19851</v>
      </c>
    </row>
    <row r="4196" spans="1:13">
      <c r="A4196" s="2">
        <v>2224</v>
      </c>
      <c r="B4196" s="2" t="s">
        <v>19852</v>
      </c>
      <c r="C4196" s="2">
        <v>11</v>
      </c>
      <c r="D4196" s="2">
        <v>556</v>
      </c>
      <c r="E4196" s="2">
        <v>200</v>
      </c>
      <c r="F4196" s="2">
        <v>32441</v>
      </c>
      <c r="G4196" s="2">
        <v>3.2090917270000001</v>
      </c>
      <c r="H4196" s="2">
        <v>9.7324300000000005E-4</v>
      </c>
      <c r="I4196" s="2" t="s">
        <v>19853</v>
      </c>
      <c r="J4196" s="2" t="s">
        <v>19854</v>
      </c>
      <c r="K4196" s="2">
        <v>2.2002969999999999E-3</v>
      </c>
      <c r="L4196" s="2" t="s">
        <v>1178</v>
      </c>
      <c r="M4196" s="4" t="s">
        <v>19855</v>
      </c>
    </row>
    <row r="4197" spans="1:13">
      <c r="A4197" s="2">
        <v>22251</v>
      </c>
      <c r="B4197" s="2" t="s">
        <v>19856</v>
      </c>
      <c r="C4197" s="2">
        <v>11</v>
      </c>
      <c r="D4197" s="2">
        <v>556</v>
      </c>
      <c r="E4197" s="2">
        <v>200</v>
      </c>
      <c r="F4197" s="2">
        <v>32441</v>
      </c>
      <c r="G4197" s="2">
        <v>3.2090917270000001</v>
      </c>
      <c r="H4197" s="2">
        <v>9.7324300000000005E-4</v>
      </c>
      <c r="I4197" s="2" t="s">
        <v>19857</v>
      </c>
      <c r="J4197" s="2" t="s">
        <v>19858</v>
      </c>
      <c r="K4197" s="2">
        <v>2.2002969999999999E-3</v>
      </c>
      <c r="L4197" s="2" t="s">
        <v>1178</v>
      </c>
      <c r="M4197" s="4" t="s">
        <v>19859</v>
      </c>
    </row>
    <row r="4198" spans="1:13">
      <c r="A4198" s="2">
        <v>2226</v>
      </c>
      <c r="B4198" s="2" t="s">
        <v>19860</v>
      </c>
      <c r="C4198" s="2">
        <v>11</v>
      </c>
      <c r="D4198" s="2">
        <v>556</v>
      </c>
      <c r="E4198" s="2">
        <v>200</v>
      </c>
      <c r="F4198" s="2">
        <v>32441</v>
      </c>
      <c r="G4198" s="2">
        <v>3.2090917270000001</v>
      </c>
      <c r="H4198" s="2">
        <v>9.7324300000000005E-4</v>
      </c>
      <c r="I4198" s="2" t="s">
        <v>19861</v>
      </c>
      <c r="J4198" s="2" t="s">
        <v>19862</v>
      </c>
      <c r="K4198" s="2">
        <v>2.2002969999999999E-3</v>
      </c>
      <c r="L4198" s="2" t="s">
        <v>1178</v>
      </c>
      <c r="M4198" s="4" t="s">
        <v>19863</v>
      </c>
    </row>
    <row r="4199" spans="1:13">
      <c r="A4199" s="2">
        <v>2252</v>
      </c>
      <c r="B4199" s="2" t="s">
        <v>2544</v>
      </c>
      <c r="C4199" s="2">
        <v>11</v>
      </c>
      <c r="D4199" s="2">
        <v>556</v>
      </c>
      <c r="E4199" s="2">
        <v>200</v>
      </c>
      <c r="F4199" s="2">
        <v>32441</v>
      </c>
      <c r="G4199" s="2">
        <v>3.2090917270000001</v>
      </c>
      <c r="H4199" s="2">
        <v>9.7324300000000005E-4</v>
      </c>
      <c r="I4199" s="2" t="s">
        <v>19864</v>
      </c>
      <c r="J4199" s="2" t="s">
        <v>19865</v>
      </c>
      <c r="K4199" s="2">
        <v>2.2002969999999999E-3</v>
      </c>
      <c r="L4199" s="2" t="s">
        <v>1178</v>
      </c>
      <c r="M4199" s="4" t="s">
        <v>19866</v>
      </c>
    </row>
    <row r="4200" spans="1:13">
      <c r="A4200" s="2">
        <v>23891</v>
      </c>
      <c r="B4200" s="2" t="s">
        <v>19867</v>
      </c>
      <c r="C4200" s="2">
        <v>11</v>
      </c>
      <c r="D4200" s="2">
        <v>556</v>
      </c>
      <c r="E4200" s="2">
        <v>200</v>
      </c>
      <c r="F4200" s="2">
        <v>32441</v>
      </c>
      <c r="G4200" s="2">
        <v>3.2090917270000001</v>
      </c>
      <c r="H4200" s="2">
        <v>9.7324300000000005E-4</v>
      </c>
      <c r="I4200" s="2" t="s">
        <v>19868</v>
      </c>
      <c r="J4200" s="2" t="s">
        <v>19869</v>
      </c>
      <c r="K4200" s="2">
        <v>2.2002969999999999E-3</v>
      </c>
      <c r="L4200" s="2" t="s">
        <v>1178</v>
      </c>
      <c r="M4200" s="4" t="s">
        <v>19870</v>
      </c>
    </row>
    <row r="4201" spans="1:13">
      <c r="A4201" s="2">
        <v>24151</v>
      </c>
      <c r="B4201" s="2" t="s">
        <v>19871</v>
      </c>
      <c r="C4201" s="2">
        <v>11</v>
      </c>
      <c r="D4201" s="2">
        <v>556</v>
      </c>
      <c r="E4201" s="2">
        <v>200</v>
      </c>
      <c r="F4201" s="2">
        <v>32441</v>
      </c>
      <c r="G4201" s="2">
        <v>3.2090917270000001</v>
      </c>
      <c r="H4201" s="2">
        <v>9.7324300000000005E-4</v>
      </c>
      <c r="I4201" s="2" t="s">
        <v>19872</v>
      </c>
      <c r="J4201" s="2" t="s">
        <v>19873</v>
      </c>
      <c r="K4201" s="2">
        <v>2.2002969999999999E-3</v>
      </c>
      <c r="L4201" s="2" t="s">
        <v>1178</v>
      </c>
      <c r="M4201" s="4" t="s">
        <v>19874</v>
      </c>
    </row>
    <row r="4202" spans="1:13">
      <c r="A4202" s="2">
        <v>2477</v>
      </c>
      <c r="B4202" s="2" t="s">
        <v>19875</v>
      </c>
      <c r="C4202" s="2">
        <v>11</v>
      </c>
      <c r="D4202" s="2">
        <v>556</v>
      </c>
      <c r="E4202" s="2">
        <v>200</v>
      </c>
      <c r="F4202" s="2">
        <v>32441</v>
      </c>
      <c r="G4202" s="2">
        <v>3.2090917270000001</v>
      </c>
      <c r="H4202" s="2">
        <v>9.7324300000000005E-4</v>
      </c>
      <c r="I4202" s="2" t="s">
        <v>19876</v>
      </c>
      <c r="J4202" s="2" t="s">
        <v>19877</v>
      </c>
      <c r="K4202" s="2">
        <v>2.2002969999999999E-3</v>
      </c>
      <c r="L4202" s="2" t="s">
        <v>1178</v>
      </c>
      <c r="M4202" s="4" t="s">
        <v>19878</v>
      </c>
    </row>
    <row r="4203" spans="1:13">
      <c r="A4203" s="2">
        <v>24921</v>
      </c>
      <c r="B4203" s="2" t="s">
        <v>19879</v>
      </c>
      <c r="C4203" s="2">
        <v>11</v>
      </c>
      <c r="D4203" s="2">
        <v>556</v>
      </c>
      <c r="E4203" s="2">
        <v>200</v>
      </c>
      <c r="F4203" s="2">
        <v>32441</v>
      </c>
      <c r="G4203" s="2">
        <v>3.2090917270000001</v>
      </c>
      <c r="H4203" s="2">
        <v>9.7324300000000005E-4</v>
      </c>
      <c r="I4203" s="2" t="s">
        <v>19880</v>
      </c>
      <c r="J4203" s="2" t="s">
        <v>19881</v>
      </c>
      <c r="K4203" s="2">
        <v>2.2002969999999999E-3</v>
      </c>
      <c r="L4203" s="2" t="s">
        <v>1178</v>
      </c>
      <c r="M4203" s="4" t="s">
        <v>19882</v>
      </c>
    </row>
    <row r="4204" spans="1:13">
      <c r="A4204" s="2">
        <v>2559</v>
      </c>
      <c r="B4204" s="2" t="s">
        <v>19883</v>
      </c>
      <c r="C4204" s="2">
        <v>11</v>
      </c>
      <c r="D4204" s="2">
        <v>556</v>
      </c>
      <c r="E4204" s="2">
        <v>198</v>
      </c>
      <c r="F4204" s="2">
        <v>32441</v>
      </c>
      <c r="G4204" s="2">
        <v>3.2415067949999998</v>
      </c>
      <c r="H4204" s="2">
        <v>9.0069100000000001E-4</v>
      </c>
      <c r="I4204" s="2" t="s">
        <v>19884</v>
      </c>
      <c r="J4204" s="2" t="s">
        <v>19885</v>
      </c>
      <c r="K4204" s="2">
        <v>2.2002969999999999E-3</v>
      </c>
      <c r="L4204" s="2" t="s">
        <v>1178</v>
      </c>
      <c r="M4204" s="4" t="s">
        <v>19886</v>
      </c>
    </row>
    <row r="4205" spans="1:13">
      <c r="A4205" s="2">
        <v>2594</v>
      </c>
      <c r="B4205" s="2" t="s">
        <v>19887</v>
      </c>
      <c r="C4205" s="2">
        <v>11</v>
      </c>
      <c r="D4205" s="2">
        <v>556</v>
      </c>
      <c r="E4205" s="2">
        <v>200</v>
      </c>
      <c r="F4205" s="2">
        <v>32441</v>
      </c>
      <c r="G4205" s="2">
        <v>3.2090917270000001</v>
      </c>
      <c r="H4205" s="2">
        <v>9.7324300000000005E-4</v>
      </c>
      <c r="I4205" s="2" t="s">
        <v>19888</v>
      </c>
      <c r="J4205" s="2" t="s">
        <v>19889</v>
      </c>
      <c r="K4205" s="2">
        <v>2.2002969999999999E-3</v>
      </c>
      <c r="L4205" s="2" t="s">
        <v>1178</v>
      </c>
      <c r="M4205" s="4" t="s">
        <v>19890</v>
      </c>
    </row>
    <row r="4206" spans="1:13">
      <c r="A4206" s="2">
        <v>26161</v>
      </c>
      <c r="B4206" s="2" t="s">
        <v>2583</v>
      </c>
      <c r="C4206" s="2">
        <v>11</v>
      </c>
      <c r="D4206" s="2">
        <v>556</v>
      </c>
      <c r="E4206" s="2">
        <v>200</v>
      </c>
      <c r="F4206" s="2">
        <v>32441</v>
      </c>
      <c r="G4206" s="2">
        <v>3.2090917270000001</v>
      </c>
      <c r="H4206" s="2">
        <v>9.7324300000000005E-4</v>
      </c>
      <c r="I4206" s="2" t="s">
        <v>19891</v>
      </c>
      <c r="J4206" s="2" t="s">
        <v>19892</v>
      </c>
      <c r="K4206" s="2">
        <v>2.2002969999999999E-3</v>
      </c>
      <c r="L4206" s="2" t="s">
        <v>1178</v>
      </c>
      <c r="M4206" s="4" t="s">
        <v>19893</v>
      </c>
    </row>
    <row r="4207" spans="1:13">
      <c r="A4207" s="2">
        <v>2617</v>
      </c>
      <c r="B4207" s="2" t="s">
        <v>2586</v>
      </c>
      <c r="C4207" s="2">
        <v>11</v>
      </c>
      <c r="D4207" s="2">
        <v>556</v>
      </c>
      <c r="E4207" s="2">
        <v>200</v>
      </c>
      <c r="F4207" s="2">
        <v>32441</v>
      </c>
      <c r="G4207" s="2">
        <v>3.2090917270000001</v>
      </c>
      <c r="H4207" s="2">
        <v>9.7324300000000005E-4</v>
      </c>
      <c r="I4207" s="2" t="s">
        <v>19894</v>
      </c>
      <c r="J4207" s="2" t="s">
        <v>19895</v>
      </c>
      <c r="K4207" s="2">
        <v>2.2002969999999999E-3</v>
      </c>
      <c r="L4207" s="2" t="s">
        <v>1178</v>
      </c>
      <c r="M4207" s="4" t="s">
        <v>19896</v>
      </c>
    </row>
    <row r="4208" spans="1:13">
      <c r="A4208" s="2">
        <v>2622</v>
      </c>
      <c r="B4208" s="2" t="s">
        <v>19897</v>
      </c>
      <c r="C4208" s="2">
        <v>11</v>
      </c>
      <c r="D4208" s="2">
        <v>556</v>
      </c>
      <c r="E4208" s="2">
        <v>200</v>
      </c>
      <c r="F4208" s="2">
        <v>32441</v>
      </c>
      <c r="G4208" s="2">
        <v>3.2090917270000001</v>
      </c>
      <c r="H4208" s="2">
        <v>9.7324300000000005E-4</v>
      </c>
      <c r="I4208" s="2" t="s">
        <v>19898</v>
      </c>
      <c r="J4208" s="2" t="s">
        <v>19899</v>
      </c>
      <c r="K4208" s="2">
        <v>2.2002969999999999E-3</v>
      </c>
      <c r="L4208" s="2" t="s">
        <v>1178</v>
      </c>
      <c r="M4208" s="4" t="s">
        <v>19900</v>
      </c>
    </row>
    <row r="4209" spans="1:13">
      <c r="A4209" s="2">
        <v>2818</v>
      </c>
      <c r="B4209" s="2" t="s">
        <v>19901</v>
      </c>
      <c r="C4209" s="2">
        <v>10</v>
      </c>
      <c r="D4209" s="2">
        <v>556</v>
      </c>
      <c r="E4209" s="2">
        <v>168</v>
      </c>
      <c r="F4209" s="2">
        <v>32441</v>
      </c>
      <c r="G4209" s="2">
        <v>3.473042994</v>
      </c>
      <c r="H4209" s="2">
        <v>9.3022199999999997E-4</v>
      </c>
      <c r="I4209" s="2" t="s">
        <v>19902</v>
      </c>
      <c r="J4209" s="2" t="s">
        <v>19903</v>
      </c>
      <c r="K4209" s="2">
        <v>2.2002969999999999E-3</v>
      </c>
      <c r="L4209" s="2" t="s">
        <v>1178</v>
      </c>
      <c r="M4209" s="4" t="s">
        <v>19904</v>
      </c>
    </row>
    <row r="4210" spans="1:13">
      <c r="A4210" s="2">
        <v>2844</v>
      </c>
      <c r="B4210" s="2" t="s">
        <v>19905</v>
      </c>
      <c r="C4210" s="2">
        <v>11</v>
      </c>
      <c r="D4210" s="2">
        <v>556</v>
      </c>
      <c r="E4210" s="2">
        <v>200</v>
      </c>
      <c r="F4210" s="2">
        <v>32441</v>
      </c>
      <c r="G4210" s="2">
        <v>3.2090917270000001</v>
      </c>
      <c r="H4210" s="2">
        <v>9.7324300000000005E-4</v>
      </c>
      <c r="I4210" s="2" t="s">
        <v>19906</v>
      </c>
      <c r="J4210" s="2" t="s">
        <v>19907</v>
      </c>
      <c r="K4210" s="2">
        <v>2.2002969999999999E-3</v>
      </c>
      <c r="L4210" s="2" t="s">
        <v>1178</v>
      </c>
      <c r="M4210" s="4" t="s">
        <v>19908</v>
      </c>
    </row>
    <row r="4211" spans="1:13">
      <c r="A4211" s="2">
        <v>2846</v>
      </c>
      <c r="B4211" s="2" t="s">
        <v>19909</v>
      </c>
      <c r="C4211" s="2">
        <v>11</v>
      </c>
      <c r="D4211" s="2">
        <v>556</v>
      </c>
      <c r="E4211" s="2">
        <v>200</v>
      </c>
      <c r="F4211" s="2">
        <v>32441</v>
      </c>
      <c r="G4211" s="2">
        <v>3.2090917270000001</v>
      </c>
      <c r="H4211" s="2">
        <v>9.7324300000000005E-4</v>
      </c>
      <c r="I4211" s="2" t="s">
        <v>19910</v>
      </c>
      <c r="J4211" s="2" t="s">
        <v>19911</v>
      </c>
      <c r="K4211" s="2">
        <v>2.2002969999999999E-3</v>
      </c>
      <c r="L4211" s="2" t="s">
        <v>1178</v>
      </c>
      <c r="M4211" s="4" t="s">
        <v>19912</v>
      </c>
    </row>
    <row r="4212" spans="1:13">
      <c r="A4212" s="2">
        <v>2862</v>
      </c>
      <c r="B4212" s="2" t="s">
        <v>19913</v>
      </c>
      <c r="C4212" s="2">
        <v>11</v>
      </c>
      <c r="D4212" s="2">
        <v>556</v>
      </c>
      <c r="E4212" s="2">
        <v>200</v>
      </c>
      <c r="F4212" s="2">
        <v>32441</v>
      </c>
      <c r="G4212" s="2">
        <v>3.2090917270000001</v>
      </c>
      <c r="H4212" s="2">
        <v>9.7324300000000005E-4</v>
      </c>
      <c r="I4212" s="2" t="s">
        <v>19914</v>
      </c>
      <c r="J4212" s="2" t="s">
        <v>19915</v>
      </c>
      <c r="K4212" s="2">
        <v>2.2002969999999999E-3</v>
      </c>
      <c r="L4212" s="2" t="s">
        <v>1178</v>
      </c>
      <c r="M4212" s="4" t="s">
        <v>19916</v>
      </c>
    </row>
    <row r="4213" spans="1:13">
      <c r="A4213" s="2">
        <v>2868</v>
      </c>
      <c r="B4213" s="2" t="s">
        <v>19917</v>
      </c>
      <c r="C4213" s="2">
        <v>11</v>
      </c>
      <c r="D4213" s="2">
        <v>556</v>
      </c>
      <c r="E4213" s="2">
        <v>200</v>
      </c>
      <c r="F4213" s="2">
        <v>32441</v>
      </c>
      <c r="G4213" s="2">
        <v>3.2090917270000001</v>
      </c>
      <c r="H4213" s="2">
        <v>9.7324300000000005E-4</v>
      </c>
      <c r="I4213" s="2" t="s">
        <v>19918</v>
      </c>
      <c r="J4213" s="2" t="s">
        <v>19919</v>
      </c>
      <c r="K4213" s="2">
        <v>2.2002969999999999E-3</v>
      </c>
      <c r="L4213" s="2" t="s">
        <v>1178</v>
      </c>
      <c r="M4213" s="4" t="s">
        <v>19920</v>
      </c>
    </row>
    <row r="4214" spans="1:13">
      <c r="A4214" s="2">
        <v>28722</v>
      </c>
      <c r="B4214" s="2" t="s">
        <v>19921</v>
      </c>
      <c r="C4214" s="2">
        <v>11</v>
      </c>
      <c r="D4214" s="2">
        <v>556</v>
      </c>
      <c r="E4214" s="2">
        <v>200</v>
      </c>
      <c r="F4214" s="2">
        <v>32441</v>
      </c>
      <c r="G4214" s="2">
        <v>3.2090917270000001</v>
      </c>
      <c r="H4214" s="2">
        <v>9.7324300000000005E-4</v>
      </c>
      <c r="I4214" s="2" t="s">
        <v>19922</v>
      </c>
      <c r="J4214" s="2" t="s">
        <v>19923</v>
      </c>
      <c r="K4214" s="2">
        <v>2.2002969999999999E-3</v>
      </c>
      <c r="L4214" s="2" t="s">
        <v>1178</v>
      </c>
      <c r="M4214" s="4" t="s">
        <v>19924</v>
      </c>
    </row>
    <row r="4215" spans="1:13">
      <c r="A4215" s="2">
        <v>2905</v>
      </c>
      <c r="B4215" s="2" t="s">
        <v>19925</v>
      </c>
      <c r="C4215" s="2">
        <v>11</v>
      </c>
      <c r="D4215" s="2">
        <v>556</v>
      </c>
      <c r="E4215" s="2">
        <v>198</v>
      </c>
      <c r="F4215" s="2">
        <v>32441</v>
      </c>
      <c r="G4215" s="2">
        <v>3.2415067949999998</v>
      </c>
      <c r="H4215" s="2">
        <v>9.0069100000000001E-4</v>
      </c>
      <c r="I4215" s="2" t="s">
        <v>19926</v>
      </c>
      <c r="J4215" s="2" t="s">
        <v>19927</v>
      </c>
      <c r="K4215" s="2">
        <v>2.2002969999999999E-3</v>
      </c>
      <c r="L4215" s="2" t="s">
        <v>1178</v>
      </c>
      <c r="M4215" s="4" t="s">
        <v>19928</v>
      </c>
    </row>
    <row r="4216" spans="1:13">
      <c r="A4216" s="2">
        <v>2915</v>
      </c>
      <c r="B4216" s="2" t="s">
        <v>19929</v>
      </c>
      <c r="C4216" s="2">
        <v>11</v>
      </c>
      <c r="D4216" s="2">
        <v>556</v>
      </c>
      <c r="E4216" s="2">
        <v>200</v>
      </c>
      <c r="F4216" s="2">
        <v>32441</v>
      </c>
      <c r="G4216" s="2">
        <v>3.2090917270000001</v>
      </c>
      <c r="H4216" s="2">
        <v>9.7324300000000005E-4</v>
      </c>
      <c r="I4216" s="2" t="s">
        <v>19930</v>
      </c>
      <c r="J4216" s="2" t="s">
        <v>19931</v>
      </c>
      <c r="K4216" s="2">
        <v>2.2002969999999999E-3</v>
      </c>
      <c r="L4216" s="2" t="s">
        <v>1178</v>
      </c>
      <c r="M4216" s="4" t="s">
        <v>19932</v>
      </c>
    </row>
    <row r="4217" spans="1:13">
      <c r="A4217" s="2">
        <v>2935</v>
      </c>
      <c r="B4217" s="2" t="s">
        <v>19933</v>
      </c>
      <c r="C4217" s="2">
        <v>11</v>
      </c>
      <c r="D4217" s="2">
        <v>556</v>
      </c>
      <c r="E4217" s="2">
        <v>200</v>
      </c>
      <c r="F4217" s="2">
        <v>32441</v>
      </c>
      <c r="G4217" s="2">
        <v>3.2090917270000001</v>
      </c>
      <c r="H4217" s="2">
        <v>9.7324300000000005E-4</v>
      </c>
      <c r="I4217" s="2" t="s">
        <v>19934</v>
      </c>
      <c r="J4217" s="2" t="s">
        <v>19935</v>
      </c>
      <c r="K4217" s="2">
        <v>2.2002969999999999E-3</v>
      </c>
      <c r="L4217" s="2" t="s">
        <v>1178</v>
      </c>
      <c r="M4217" s="4" t="s">
        <v>19936</v>
      </c>
    </row>
    <row r="4218" spans="1:13">
      <c r="A4218" s="2">
        <v>2939</v>
      </c>
      <c r="B4218" s="2" t="s">
        <v>19937</v>
      </c>
      <c r="C4218" s="2">
        <v>11</v>
      </c>
      <c r="D4218" s="2">
        <v>556</v>
      </c>
      <c r="E4218" s="2">
        <v>200</v>
      </c>
      <c r="F4218" s="2">
        <v>32441</v>
      </c>
      <c r="G4218" s="2">
        <v>3.2090917270000001</v>
      </c>
      <c r="H4218" s="2">
        <v>9.7324300000000005E-4</v>
      </c>
      <c r="I4218" s="2" t="s">
        <v>19938</v>
      </c>
      <c r="J4218" s="2" t="s">
        <v>19939</v>
      </c>
      <c r="K4218" s="2">
        <v>2.2002969999999999E-3</v>
      </c>
      <c r="L4218" s="2" t="s">
        <v>1178</v>
      </c>
      <c r="M4218" s="4" t="s">
        <v>19940</v>
      </c>
    </row>
    <row r="4219" spans="1:13">
      <c r="A4219" s="2">
        <v>2940</v>
      </c>
      <c r="B4219" s="2" t="s">
        <v>2595</v>
      </c>
      <c r="C4219" s="2">
        <v>11</v>
      </c>
      <c r="D4219" s="2">
        <v>556</v>
      </c>
      <c r="E4219" s="2">
        <v>200</v>
      </c>
      <c r="F4219" s="2">
        <v>32441</v>
      </c>
      <c r="G4219" s="2">
        <v>3.2090917270000001</v>
      </c>
      <c r="H4219" s="2">
        <v>9.7324300000000005E-4</v>
      </c>
      <c r="I4219" s="2" t="s">
        <v>19941</v>
      </c>
      <c r="J4219" s="2" t="s">
        <v>19942</v>
      </c>
      <c r="K4219" s="2">
        <v>2.2002969999999999E-3</v>
      </c>
      <c r="L4219" s="2" t="s">
        <v>1178</v>
      </c>
      <c r="M4219" s="4" t="s">
        <v>19943</v>
      </c>
    </row>
    <row r="4220" spans="1:13">
      <c r="A4220" s="2">
        <v>2941</v>
      </c>
      <c r="B4220" s="2" t="s">
        <v>19944</v>
      </c>
      <c r="C4220" s="2">
        <v>11</v>
      </c>
      <c r="D4220" s="2">
        <v>556</v>
      </c>
      <c r="E4220" s="2">
        <v>200</v>
      </c>
      <c r="F4220" s="2">
        <v>32441</v>
      </c>
      <c r="G4220" s="2">
        <v>3.2090917270000001</v>
      </c>
      <c r="H4220" s="2">
        <v>9.7324300000000005E-4</v>
      </c>
      <c r="I4220" s="2" t="s">
        <v>19945</v>
      </c>
      <c r="J4220" s="2" t="s">
        <v>19946</v>
      </c>
      <c r="K4220" s="2">
        <v>2.2002969999999999E-3</v>
      </c>
      <c r="L4220" s="2" t="s">
        <v>1178</v>
      </c>
      <c r="M4220" s="4" t="s">
        <v>19947</v>
      </c>
    </row>
    <row r="4221" spans="1:13">
      <c r="A4221" s="2">
        <v>2943</v>
      </c>
      <c r="B4221" s="2" t="s">
        <v>19948</v>
      </c>
      <c r="C4221" s="2">
        <v>11</v>
      </c>
      <c r="D4221" s="2">
        <v>556</v>
      </c>
      <c r="E4221" s="2">
        <v>200</v>
      </c>
      <c r="F4221" s="2">
        <v>32441</v>
      </c>
      <c r="G4221" s="2">
        <v>3.2090917270000001</v>
      </c>
      <c r="H4221" s="2">
        <v>9.7324300000000005E-4</v>
      </c>
      <c r="I4221" s="2" t="s">
        <v>19949</v>
      </c>
      <c r="J4221" s="2" t="s">
        <v>19950</v>
      </c>
      <c r="K4221" s="2">
        <v>2.2002969999999999E-3</v>
      </c>
      <c r="L4221" s="2" t="s">
        <v>1178</v>
      </c>
      <c r="M4221" s="4" t="s">
        <v>19951</v>
      </c>
    </row>
    <row r="4222" spans="1:13">
      <c r="A4222" s="2">
        <v>3008</v>
      </c>
      <c r="B4222" s="2" t="s">
        <v>19952</v>
      </c>
      <c r="C4222" s="2">
        <v>11</v>
      </c>
      <c r="D4222" s="2">
        <v>556</v>
      </c>
      <c r="E4222" s="2">
        <v>200</v>
      </c>
      <c r="F4222" s="2">
        <v>32441</v>
      </c>
      <c r="G4222" s="2">
        <v>3.2090917270000001</v>
      </c>
      <c r="H4222" s="2">
        <v>9.7324300000000005E-4</v>
      </c>
      <c r="I4222" s="2" t="s">
        <v>19953</v>
      </c>
      <c r="J4222" s="2" t="s">
        <v>19954</v>
      </c>
      <c r="K4222" s="2">
        <v>2.2002969999999999E-3</v>
      </c>
      <c r="L4222" s="2" t="s">
        <v>1178</v>
      </c>
      <c r="M4222" s="4" t="s">
        <v>19955</v>
      </c>
    </row>
    <row r="4223" spans="1:13">
      <c r="A4223" s="2">
        <v>3069</v>
      </c>
      <c r="B4223" s="2" t="s">
        <v>19956</v>
      </c>
      <c r="C4223" s="2">
        <v>11</v>
      </c>
      <c r="D4223" s="2">
        <v>556</v>
      </c>
      <c r="E4223" s="2">
        <v>198</v>
      </c>
      <c r="F4223" s="2">
        <v>32441</v>
      </c>
      <c r="G4223" s="2">
        <v>3.2415067949999998</v>
      </c>
      <c r="H4223" s="2">
        <v>9.0069100000000001E-4</v>
      </c>
      <c r="I4223" s="2" t="s">
        <v>19957</v>
      </c>
      <c r="J4223" s="2" t="s">
        <v>19958</v>
      </c>
      <c r="K4223" s="2">
        <v>2.2002969999999999E-3</v>
      </c>
      <c r="L4223" s="2" t="s">
        <v>1178</v>
      </c>
      <c r="M4223" s="4" t="s">
        <v>19959</v>
      </c>
    </row>
    <row r="4224" spans="1:13">
      <c r="A4224" s="2">
        <v>3148</v>
      </c>
      <c r="B4224" s="2" t="s">
        <v>19960</v>
      </c>
      <c r="C4224" s="2">
        <v>11</v>
      </c>
      <c r="D4224" s="2">
        <v>556</v>
      </c>
      <c r="E4224" s="2">
        <v>200</v>
      </c>
      <c r="F4224" s="2">
        <v>32441</v>
      </c>
      <c r="G4224" s="2">
        <v>3.2090917270000001</v>
      </c>
      <c r="H4224" s="2">
        <v>9.7324300000000005E-4</v>
      </c>
      <c r="I4224" s="2" t="s">
        <v>19961</v>
      </c>
      <c r="J4224" s="2" t="s">
        <v>19962</v>
      </c>
      <c r="K4224" s="2">
        <v>2.2002969999999999E-3</v>
      </c>
      <c r="L4224" s="2" t="s">
        <v>1178</v>
      </c>
      <c r="M4224" s="4" t="s">
        <v>19963</v>
      </c>
    </row>
    <row r="4225" spans="1:13">
      <c r="A4225" s="2">
        <v>3162</v>
      </c>
      <c r="B4225" s="2" t="s">
        <v>19964</v>
      </c>
      <c r="C4225" s="2">
        <v>11</v>
      </c>
      <c r="D4225" s="2">
        <v>556</v>
      </c>
      <c r="E4225" s="2">
        <v>200</v>
      </c>
      <c r="F4225" s="2">
        <v>32441</v>
      </c>
      <c r="G4225" s="2">
        <v>3.2090917270000001</v>
      </c>
      <c r="H4225" s="2">
        <v>9.7324300000000005E-4</v>
      </c>
      <c r="I4225" s="2" t="s">
        <v>19965</v>
      </c>
      <c r="J4225" s="2" t="s">
        <v>19966</v>
      </c>
      <c r="K4225" s="2">
        <v>2.2002969999999999E-3</v>
      </c>
      <c r="L4225" s="2" t="s">
        <v>1178</v>
      </c>
      <c r="M4225" s="4" t="s">
        <v>19967</v>
      </c>
    </row>
    <row r="4226" spans="1:13">
      <c r="A4226" s="2">
        <v>3221</v>
      </c>
      <c r="B4226" s="2" t="s">
        <v>3122</v>
      </c>
      <c r="C4226" s="2">
        <v>11</v>
      </c>
      <c r="D4226" s="2">
        <v>556</v>
      </c>
      <c r="E4226" s="2">
        <v>200</v>
      </c>
      <c r="F4226" s="2">
        <v>32441</v>
      </c>
      <c r="G4226" s="2">
        <v>3.2090917270000001</v>
      </c>
      <c r="H4226" s="2">
        <v>9.7324300000000005E-4</v>
      </c>
      <c r="I4226" s="2" t="s">
        <v>19968</v>
      </c>
      <c r="J4226" s="2" t="s">
        <v>19969</v>
      </c>
      <c r="K4226" s="2">
        <v>2.2002969999999999E-3</v>
      </c>
      <c r="L4226" s="2" t="s">
        <v>1178</v>
      </c>
      <c r="M4226" s="4" t="s">
        <v>3125</v>
      </c>
    </row>
    <row r="4227" spans="1:13">
      <c r="A4227" s="2">
        <v>3229</v>
      </c>
      <c r="B4227" s="2" t="s">
        <v>2628</v>
      </c>
      <c r="C4227" s="2">
        <v>11</v>
      </c>
      <c r="D4227" s="2">
        <v>556</v>
      </c>
      <c r="E4227" s="2">
        <v>200</v>
      </c>
      <c r="F4227" s="2">
        <v>32441</v>
      </c>
      <c r="G4227" s="2">
        <v>3.2090917270000001</v>
      </c>
      <c r="H4227" s="2">
        <v>9.7324300000000005E-4</v>
      </c>
      <c r="I4227" s="2" t="s">
        <v>19970</v>
      </c>
      <c r="J4227" s="2" t="s">
        <v>19971</v>
      </c>
      <c r="K4227" s="2">
        <v>2.2002969999999999E-3</v>
      </c>
      <c r="L4227" s="2" t="s">
        <v>1178</v>
      </c>
      <c r="M4227" s="4" t="s">
        <v>19972</v>
      </c>
    </row>
    <row r="4228" spans="1:13">
      <c r="A4228" s="2">
        <v>3311</v>
      </c>
      <c r="B4228" s="2" t="s">
        <v>19973</v>
      </c>
      <c r="C4228" s="2">
        <v>11</v>
      </c>
      <c r="D4228" s="2">
        <v>556</v>
      </c>
      <c r="E4228" s="2">
        <v>200</v>
      </c>
      <c r="F4228" s="2">
        <v>32441</v>
      </c>
      <c r="G4228" s="2">
        <v>3.2090917270000001</v>
      </c>
      <c r="H4228" s="2">
        <v>9.7324300000000005E-4</v>
      </c>
      <c r="I4228" s="2" t="s">
        <v>19974</v>
      </c>
      <c r="J4228" s="2" t="s">
        <v>19975</v>
      </c>
      <c r="K4228" s="2">
        <v>2.2002969999999999E-3</v>
      </c>
      <c r="L4228" s="2" t="s">
        <v>1178</v>
      </c>
      <c r="M4228" s="4" t="s">
        <v>19976</v>
      </c>
    </row>
    <row r="4229" spans="1:13">
      <c r="A4229" s="2">
        <v>3339</v>
      </c>
      <c r="B4229" s="2" t="s">
        <v>19977</v>
      </c>
      <c r="C4229" s="2">
        <v>11</v>
      </c>
      <c r="D4229" s="2">
        <v>556</v>
      </c>
      <c r="E4229" s="2">
        <v>200</v>
      </c>
      <c r="F4229" s="2">
        <v>32441</v>
      </c>
      <c r="G4229" s="2">
        <v>3.2090917270000001</v>
      </c>
      <c r="H4229" s="2">
        <v>9.7324300000000005E-4</v>
      </c>
      <c r="I4229" s="2" t="s">
        <v>19978</v>
      </c>
      <c r="J4229" s="2" t="s">
        <v>19979</v>
      </c>
      <c r="K4229" s="2">
        <v>2.2002969999999999E-3</v>
      </c>
      <c r="L4229" s="2" t="s">
        <v>1178</v>
      </c>
      <c r="M4229" s="4" t="s">
        <v>19980</v>
      </c>
    </row>
    <row r="4230" spans="1:13">
      <c r="A4230" s="2">
        <v>3341</v>
      </c>
      <c r="B4230" s="2" t="s">
        <v>19981</v>
      </c>
      <c r="C4230" s="2">
        <v>11</v>
      </c>
      <c r="D4230" s="2">
        <v>556</v>
      </c>
      <c r="E4230" s="2">
        <v>200</v>
      </c>
      <c r="F4230" s="2">
        <v>32441</v>
      </c>
      <c r="G4230" s="2">
        <v>3.2090917270000001</v>
      </c>
      <c r="H4230" s="2">
        <v>9.7324300000000005E-4</v>
      </c>
      <c r="I4230" s="2" t="s">
        <v>19982</v>
      </c>
      <c r="J4230" s="2" t="s">
        <v>19983</v>
      </c>
      <c r="K4230" s="2">
        <v>2.2002969999999999E-3</v>
      </c>
      <c r="L4230" s="2" t="s">
        <v>1178</v>
      </c>
      <c r="M4230" s="4" t="s">
        <v>19984</v>
      </c>
    </row>
    <row r="4231" spans="1:13">
      <c r="A4231" s="2">
        <v>33521</v>
      </c>
      <c r="B4231" s="2" t="s">
        <v>19985</v>
      </c>
      <c r="C4231" s="2">
        <v>11</v>
      </c>
      <c r="D4231" s="2">
        <v>556</v>
      </c>
      <c r="E4231" s="2">
        <v>200</v>
      </c>
      <c r="F4231" s="2">
        <v>32441</v>
      </c>
      <c r="G4231" s="2">
        <v>3.2090917270000001</v>
      </c>
      <c r="H4231" s="2">
        <v>9.7324300000000005E-4</v>
      </c>
      <c r="I4231" s="2" t="s">
        <v>19986</v>
      </c>
      <c r="J4231" s="2" t="s">
        <v>19987</v>
      </c>
      <c r="K4231" s="2">
        <v>2.2002969999999999E-3</v>
      </c>
      <c r="L4231" s="2" t="s">
        <v>1178</v>
      </c>
      <c r="M4231" s="4" t="s">
        <v>19988</v>
      </c>
    </row>
    <row r="4232" spans="1:13">
      <c r="A4232" s="2">
        <v>3368</v>
      </c>
      <c r="B4232" s="2" t="s">
        <v>19989</v>
      </c>
      <c r="C4232" s="2">
        <v>11</v>
      </c>
      <c r="D4232" s="2">
        <v>556</v>
      </c>
      <c r="E4232" s="2">
        <v>200</v>
      </c>
      <c r="F4232" s="2">
        <v>32441</v>
      </c>
      <c r="G4232" s="2">
        <v>3.2090917270000001</v>
      </c>
      <c r="H4232" s="2">
        <v>9.7324300000000005E-4</v>
      </c>
      <c r="I4232" s="2" t="s">
        <v>19990</v>
      </c>
      <c r="J4232" s="2" t="s">
        <v>19991</v>
      </c>
      <c r="K4232" s="2">
        <v>2.2002969999999999E-3</v>
      </c>
      <c r="L4232" s="2" t="s">
        <v>1178</v>
      </c>
      <c r="M4232" s="4" t="s">
        <v>19992</v>
      </c>
    </row>
    <row r="4233" spans="1:13">
      <c r="A4233" s="2">
        <v>33861</v>
      </c>
      <c r="B4233" s="2" t="s">
        <v>19993</v>
      </c>
      <c r="C4233" s="2">
        <v>11</v>
      </c>
      <c r="D4233" s="2">
        <v>556</v>
      </c>
      <c r="E4233" s="2">
        <v>199</v>
      </c>
      <c r="F4233" s="2">
        <v>32441</v>
      </c>
      <c r="G4233" s="2">
        <v>3.2252178159999998</v>
      </c>
      <c r="H4233" s="2">
        <v>9.3638599999999999E-4</v>
      </c>
      <c r="I4233" s="2" t="s">
        <v>19994</v>
      </c>
      <c r="J4233" s="2" t="s">
        <v>19995</v>
      </c>
      <c r="K4233" s="2">
        <v>2.2002969999999999E-3</v>
      </c>
      <c r="L4233" s="2" t="s">
        <v>1178</v>
      </c>
      <c r="M4233" s="4" t="s">
        <v>19996</v>
      </c>
    </row>
    <row r="4234" spans="1:13">
      <c r="A4234" s="2">
        <v>33881</v>
      </c>
      <c r="B4234" s="2" t="s">
        <v>19997</v>
      </c>
      <c r="C4234" s="2">
        <v>11</v>
      </c>
      <c r="D4234" s="2">
        <v>556</v>
      </c>
      <c r="E4234" s="2">
        <v>200</v>
      </c>
      <c r="F4234" s="2">
        <v>32441</v>
      </c>
      <c r="G4234" s="2">
        <v>3.2090917270000001</v>
      </c>
      <c r="H4234" s="2">
        <v>9.7324300000000005E-4</v>
      </c>
      <c r="I4234" s="2" t="s">
        <v>19998</v>
      </c>
      <c r="J4234" s="2" t="s">
        <v>19999</v>
      </c>
      <c r="K4234" s="2">
        <v>2.2002969999999999E-3</v>
      </c>
      <c r="L4234" s="2" t="s">
        <v>1178</v>
      </c>
      <c r="M4234" s="4" t="s">
        <v>20000</v>
      </c>
    </row>
    <row r="4235" spans="1:13">
      <c r="A4235" s="2">
        <v>34051</v>
      </c>
      <c r="B4235" s="2" t="s">
        <v>20001</v>
      </c>
      <c r="C4235" s="2">
        <v>11</v>
      </c>
      <c r="D4235" s="2">
        <v>556</v>
      </c>
      <c r="E4235" s="2">
        <v>200</v>
      </c>
      <c r="F4235" s="2">
        <v>32441</v>
      </c>
      <c r="G4235" s="2">
        <v>3.2090917270000001</v>
      </c>
      <c r="H4235" s="2">
        <v>9.7324300000000005E-4</v>
      </c>
      <c r="I4235" s="2" t="s">
        <v>20002</v>
      </c>
      <c r="J4235" s="2" t="s">
        <v>20003</v>
      </c>
      <c r="K4235" s="2">
        <v>2.2002969999999999E-3</v>
      </c>
      <c r="L4235" s="2" t="s">
        <v>1178</v>
      </c>
      <c r="M4235" s="4" t="s">
        <v>20004</v>
      </c>
    </row>
    <row r="4236" spans="1:13">
      <c r="A4236" s="2">
        <v>3406</v>
      </c>
      <c r="B4236" s="2" t="s">
        <v>20005</v>
      </c>
      <c r="C4236" s="2">
        <v>11</v>
      </c>
      <c r="D4236" s="2">
        <v>556</v>
      </c>
      <c r="E4236" s="2">
        <v>200</v>
      </c>
      <c r="F4236" s="2">
        <v>32441</v>
      </c>
      <c r="G4236" s="2">
        <v>3.2090917270000001</v>
      </c>
      <c r="H4236" s="2">
        <v>9.7324300000000005E-4</v>
      </c>
      <c r="I4236" s="2" t="s">
        <v>20006</v>
      </c>
      <c r="J4236" s="2" t="s">
        <v>20007</v>
      </c>
      <c r="K4236" s="2">
        <v>2.2002969999999999E-3</v>
      </c>
      <c r="L4236" s="2" t="s">
        <v>1178</v>
      </c>
      <c r="M4236" s="4" t="s">
        <v>20008</v>
      </c>
    </row>
    <row r="4237" spans="1:13">
      <c r="A4237" s="2">
        <v>34371</v>
      </c>
      <c r="B4237" s="2" t="s">
        <v>20009</v>
      </c>
      <c r="C4237" s="2">
        <v>11</v>
      </c>
      <c r="D4237" s="2">
        <v>556</v>
      </c>
      <c r="E4237" s="2">
        <v>199</v>
      </c>
      <c r="F4237" s="2">
        <v>32441</v>
      </c>
      <c r="G4237" s="2">
        <v>3.2252178159999998</v>
      </c>
      <c r="H4237" s="2">
        <v>9.3638599999999999E-4</v>
      </c>
      <c r="I4237" s="2" t="s">
        <v>20010</v>
      </c>
      <c r="J4237" s="2" t="s">
        <v>20011</v>
      </c>
      <c r="K4237" s="2">
        <v>2.2002969999999999E-3</v>
      </c>
      <c r="L4237" s="2" t="s">
        <v>1178</v>
      </c>
      <c r="M4237" s="4" t="s">
        <v>20012</v>
      </c>
    </row>
    <row r="4238" spans="1:13">
      <c r="A4238" s="2">
        <v>34591</v>
      </c>
      <c r="B4238" s="2" t="s">
        <v>20013</v>
      </c>
      <c r="C4238" s="2">
        <v>11</v>
      </c>
      <c r="D4238" s="2">
        <v>556</v>
      </c>
      <c r="E4238" s="2">
        <v>200</v>
      </c>
      <c r="F4238" s="2">
        <v>32441</v>
      </c>
      <c r="G4238" s="2">
        <v>3.2090917270000001</v>
      </c>
      <c r="H4238" s="2">
        <v>9.7324300000000005E-4</v>
      </c>
      <c r="I4238" s="2" t="s">
        <v>20014</v>
      </c>
      <c r="J4238" s="2" t="s">
        <v>20015</v>
      </c>
      <c r="K4238" s="2">
        <v>2.2002969999999999E-3</v>
      </c>
      <c r="L4238" s="2" t="s">
        <v>1178</v>
      </c>
      <c r="M4238" s="4" t="s">
        <v>20016</v>
      </c>
    </row>
    <row r="4239" spans="1:13">
      <c r="A4239" s="2">
        <v>3519</v>
      </c>
      <c r="B4239" s="2" t="s">
        <v>20017</v>
      </c>
      <c r="C4239" s="2">
        <v>11</v>
      </c>
      <c r="D4239" s="2">
        <v>556</v>
      </c>
      <c r="E4239" s="2">
        <v>199</v>
      </c>
      <c r="F4239" s="2">
        <v>32441</v>
      </c>
      <c r="G4239" s="2">
        <v>3.2252178159999998</v>
      </c>
      <c r="H4239" s="2">
        <v>9.3638599999999999E-4</v>
      </c>
      <c r="I4239" s="2" t="s">
        <v>20018</v>
      </c>
      <c r="J4239" s="2" t="s">
        <v>20019</v>
      </c>
      <c r="K4239" s="2">
        <v>2.2002969999999999E-3</v>
      </c>
      <c r="L4239" s="2" t="s">
        <v>1178</v>
      </c>
      <c r="M4239" s="4" t="s">
        <v>20020</v>
      </c>
    </row>
    <row r="4240" spans="1:13">
      <c r="A4240" s="2">
        <v>3520</v>
      </c>
      <c r="B4240" s="2" t="s">
        <v>20021</v>
      </c>
      <c r="C4240" s="2">
        <v>11</v>
      </c>
      <c r="D4240" s="2">
        <v>556</v>
      </c>
      <c r="E4240" s="2">
        <v>200</v>
      </c>
      <c r="F4240" s="2">
        <v>32441</v>
      </c>
      <c r="G4240" s="2">
        <v>3.2090917270000001</v>
      </c>
      <c r="H4240" s="2">
        <v>9.7324300000000005E-4</v>
      </c>
      <c r="I4240" s="2" t="s">
        <v>20022</v>
      </c>
      <c r="J4240" s="2" t="s">
        <v>20023</v>
      </c>
      <c r="K4240" s="2">
        <v>2.2002969999999999E-3</v>
      </c>
      <c r="L4240" s="2" t="s">
        <v>1178</v>
      </c>
      <c r="M4240" s="4" t="s">
        <v>20024</v>
      </c>
    </row>
    <row r="4241" spans="1:13">
      <c r="A4241" s="2">
        <v>3524</v>
      </c>
      <c r="B4241" s="2" t="s">
        <v>20025</v>
      </c>
      <c r="C4241" s="2">
        <v>11</v>
      </c>
      <c r="D4241" s="2">
        <v>556</v>
      </c>
      <c r="E4241" s="2">
        <v>200</v>
      </c>
      <c r="F4241" s="2">
        <v>32441</v>
      </c>
      <c r="G4241" s="2">
        <v>3.2090917270000001</v>
      </c>
      <c r="H4241" s="2">
        <v>9.7324300000000005E-4</v>
      </c>
      <c r="I4241" s="2" t="s">
        <v>20026</v>
      </c>
      <c r="J4241" s="2" t="s">
        <v>20027</v>
      </c>
      <c r="K4241" s="2">
        <v>2.2002969999999999E-3</v>
      </c>
      <c r="L4241" s="2" t="s">
        <v>1178</v>
      </c>
      <c r="M4241" s="4" t="s">
        <v>20028</v>
      </c>
    </row>
    <row r="4242" spans="1:13">
      <c r="A4242" s="2">
        <v>35271</v>
      </c>
      <c r="B4242" s="2" t="s">
        <v>20029</v>
      </c>
      <c r="C4242" s="2">
        <v>11</v>
      </c>
      <c r="D4242" s="2">
        <v>556</v>
      </c>
      <c r="E4242" s="2">
        <v>200</v>
      </c>
      <c r="F4242" s="2">
        <v>32441</v>
      </c>
      <c r="G4242" s="2">
        <v>3.2090917270000001</v>
      </c>
      <c r="H4242" s="2">
        <v>9.7324300000000005E-4</v>
      </c>
      <c r="I4242" s="2" t="s">
        <v>20030</v>
      </c>
      <c r="J4242" s="2" t="s">
        <v>20031</v>
      </c>
      <c r="K4242" s="2">
        <v>2.2002969999999999E-3</v>
      </c>
      <c r="L4242" s="2" t="s">
        <v>1178</v>
      </c>
      <c r="M4242" s="4" t="s">
        <v>20032</v>
      </c>
    </row>
    <row r="4243" spans="1:13">
      <c r="A4243" s="2">
        <v>3533</v>
      </c>
      <c r="B4243" s="2" t="s">
        <v>2247</v>
      </c>
      <c r="C4243" s="2">
        <v>11</v>
      </c>
      <c r="D4243" s="2">
        <v>556</v>
      </c>
      <c r="E4243" s="2">
        <v>200</v>
      </c>
      <c r="F4243" s="2">
        <v>32441</v>
      </c>
      <c r="G4243" s="2">
        <v>3.2090917270000001</v>
      </c>
      <c r="H4243" s="2">
        <v>9.7324300000000005E-4</v>
      </c>
      <c r="I4243" s="2" t="s">
        <v>20033</v>
      </c>
      <c r="J4243" s="2" t="s">
        <v>20034</v>
      </c>
      <c r="K4243" s="2">
        <v>2.2002969999999999E-3</v>
      </c>
      <c r="L4243" s="2" t="s">
        <v>1178</v>
      </c>
      <c r="M4243" s="4" t="s">
        <v>20035</v>
      </c>
    </row>
    <row r="4244" spans="1:13">
      <c r="A4244" s="2">
        <v>3545</v>
      </c>
      <c r="B4244" s="2" t="s">
        <v>20036</v>
      </c>
      <c r="C4244" s="2">
        <v>11</v>
      </c>
      <c r="D4244" s="2">
        <v>556</v>
      </c>
      <c r="E4244" s="2">
        <v>200</v>
      </c>
      <c r="F4244" s="2">
        <v>32441</v>
      </c>
      <c r="G4244" s="2">
        <v>3.2090917270000001</v>
      </c>
      <c r="H4244" s="2">
        <v>9.7324300000000005E-4</v>
      </c>
      <c r="I4244" s="2" t="s">
        <v>20037</v>
      </c>
      <c r="J4244" s="2" t="s">
        <v>20038</v>
      </c>
      <c r="K4244" s="2">
        <v>2.2002969999999999E-3</v>
      </c>
      <c r="L4244" s="2" t="s">
        <v>1178</v>
      </c>
      <c r="M4244" s="4" t="s">
        <v>20039</v>
      </c>
    </row>
    <row r="4245" spans="1:13">
      <c r="A4245" s="2">
        <v>3559</v>
      </c>
      <c r="B4245" s="2" t="s">
        <v>20040</v>
      </c>
      <c r="C4245" s="2">
        <v>11</v>
      </c>
      <c r="D4245" s="2">
        <v>556</v>
      </c>
      <c r="E4245" s="2">
        <v>200</v>
      </c>
      <c r="F4245" s="2">
        <v>32441</v>
      </c>
      <c r="G4245" s="2">
        <v>3.2090917270000001</v>
      </c>
      <c r="H4245" s="2">
        <v>9.7324300000000005E-4</v>
      </c>
      <c r="I4245" s="2" t="s">
        <v>20041</v>
      </c>
      <c r="J4245" s="2" t="s">
        <v>20042</v>
      </c>
      <c r="K4245" s="2">
        <v>2.2002969999999999E-3</v>
      </c>
      <c r="L4245" s="2" t="s">
        <v>1178</v>
      </c>
      <c r="M4245" s="4" t="s">
        <v>20043</v>
      </c>
    </row>
    <row r="4246" spans="1:13">
      <c r="A4246" s="2">
        <v>3565</v>
      </c>
      <c r="B4246" s="2" t="s">
        <v>20044</v>
      </c>
      <c r="C4246" s="2">
        <v>11</v>
      </c>
      <c r="D4246" s="2">
        <v>556</v>
      </c>
      <c r="E4246" s="2">
        <v>199</v>
      </c>
      <c r="F4246" s="2">
        <v>32441</v>
      </c>
      <c r="G4246" s="2">
        <v>3.2252178159999998</v>
      </c>
      <c r="H4246" s="2">
        <v>9.3638599999999999E-4</v>
      </c>
      <c r="I4246" s="2" t="s">
        <v>20045</v>
      </c>
      <c r="J4246" s="2" t="s">
        <v>20046</v>
      </c>
      <c r="K4246" s="2">
        <v>2.2002969999999999E-3</v>
      </c>
      <c r="L4246" s="2" t="s">
        <v>1178</v>
      </c>
      <c r="M4246" s="4" t="s">
        <v>20047</v>
      </c>
    </row>
    <row r="4247" spans="1:13">
      <c r="A4247" s="2">
        <v>3598</v>
      </c>
      <c r="B4247" s="2" t="s">
        <v>20048</v>
      </c>
      <c r="C4247" s="2">
        <v>11</v>
      </c>
      <c r="D4247" s="2">
        <v>556</v>
      </c>
      <c r="E4247" s="2">
        <v>200</v>
      </c>
      <c r="F4247" s="2">
        <v>32441</v>
      </c>
      <c r="G4247" s="2">
        <v>3.2090917270000001</v>
      </c>
      <c r="H4247" s="2">
        <v>9.7324300000000005E-4</v>
      </c>
      <c r="I4247" s="2" t="s">
        <v>20049</v>
      </c>
      <c r="J4247" s="2" t="s">
        <v>20050</v>
      </c>
      <c r="K4247" s="2">
        <v>2.2002969999999999E-3</v>
      </c>
      <c r="L4247" s="2" t="s">
        <v>1178</v>
      </c>
      <c r="M4247" s="4" t="s">
        <v>20051</v>
      </c>
    </row>
    <row r="4248" spans="1:13">
      <c r="A4248" s="2">
        <v>36101</v>
      </c>
      <c r="B4248" s="2" t="s">
        <v>20052</v>
      </c>
      <c r="C4248" s="2">
        <v>11</v>
      </c>
      <c r="D4248" s="2">
        <v>556</v>
      </c>
      <c r="E4248" s="2">
        <v>200</v>
      </c>
      <c r="F4248" s="2">
        <v>32441</v>
      </c>
      <c r="G4248" s="2">
        <v>3.2090917270000001</v>
      </c>
      <c r="H4248" s="2">
        <v>9.7324300000000005E-4</v>
      </c>
      <c r="I4248" s="2" t="s">
        <v>20053</v>
      </c>
      <c r="J4248" s="2" t="s">
        <v>20054</v>
      </c>
      <c r="K4248" s="2">
        <v>2.2002969999999999E-3</v>
      </c>
      <c r="L4248" s="2" t="s">
        <v>1178</v>
      </c>
      <c r="M4248" s="4" t="s">
        <v>20055</v>
      </c>
    </row>
    <row r="4249" spans="1:13">
      <c r="A4249" s="2">
        <v>3684</v>
      </c>
      <c r="B4249" s="2" t="s">
        <v>20056</v>
      </c>
      <c r="C4249" s="2">
        <v>11</v>
      </c>
      <c r="D4249" s="2">
        <v>556</v>
      </c>
      <c r="E4249" s="2">
        <v>200</v>
      </c>
      <c r="F4249" s="2">
        <v>32441</v>
      </c>
      <c r="G4249" s="2">
        <v>3.2090917270000001</v>
      </c>
      <c r="H4249" s="2">
        <v>9.7324300000000005E-4</v>
      </c>
      <c r="I4249" s="2" t="s">
        <v>20057</v>
      </c>
      <c r="J4249" s="2" t="s">
        <v>20058</v>
      </c>
      <c r="K4249" s="2">
        <v>2.2002969999999999E-3</v>
      </c>
      <c r="L4249" s="2" t="s">
        <v>1178</v>
      </c>
      <c r="M4249" s="4" t="s">
        <v>20059</v>
      </c>
    </row>
    <row r="4250" spans="1:13">
      <c r="A4250" s="2">
        <v>3690</v>
      </c>
      <c r="B4250" s="2" t="s">
        <v>20060</v>
      </c>
      <c r="C4250" s="2">
        <v>11</v>
      </c>
      <c r="D4250" s="2">
        <v>556</v>
      </c>
      <c r="E4250" s="2">
        <v>198</v>
      </c>
      <c r="F4250" s="2">
        <v>32441</v>
      </c>
      <c r="G4250" s="2">
        <v>3.2415067949999998</v>
      </c>
      <c r="H4250" s="2">
        <v>9.0069100000000001E-4</v>
      </c>
      <c r="I4250" s="2" t="s">
        <v>20061</v>
      </c>
      <c r="J4250" s="2" t="s">
        <v>20062</v>
      </c>
      <c r="K4250" s="2">
        <v>2.2002969999999999E-3</v>
      </c>
      <c r="L4250" s="2" t="s">
        <v>1178</v>
      </c>
      <c r="M4250" s="4" t="s">
        <v>20063</v>
      </c>
    </row>
    <row r="4251" spans="1:13">
      <c r="A4251" s="2">
        <v>3705</v>
      </c>
      <c r="B4251" s="2" t="s">
        <v>20064</v>
      </c>
      <c r="C4251" s="2">
        <v>11</v>
      </c>
      <c r="D4251" s="2">
        <v>556</v>
      </c>
      <c r="E4251" s="2">
        <v>200</v>
      </c>
      <c r="F4251" s="2">
        <v>32441</v>
      </c>
      <c r="G4251" s="2">
        <v>3.2090917270000001</v>
      </c>
      <c r="H4251" s="2">
        <v>9.7324300000000005E-4</v>
      </c>
      <c r="I4251" s="2" t="s">
        <v>20065</v>
      </c>
      <c r="J4251" s="2" t="s">
        <v>20066</v>
      </c>
      <c r="K4251" s="2">
        <v>2.2002969999999999E-3</v>
      </c>
      <c r="L4251" s="2" t="s">
        <v>1178</v>
      </c>
      <c r="M4251" s="4" t="s">
        <v>20067</v>
      </c>
    </row>
    <row r="4252" spans="1:13">
      <c r="A4252" s="2">
        <v>3715</v>
      </c>
      <c r="B4252" s="2" t="s">
        <v>20068</v>
      </c>
      <c r="C4252" s="2">
        <v>11</v>
      </c>
      <c r="D4252" s="2">
        <v>556</v>
      </c>
      <c r="E4252" s="2">
        <v>200</v>
      </c>
      <c r="F4252" s="2">
        <v>32441</v>
      </c>
      <c r="G4252" s="2">
        <v>3.2090917270000001</v>
      </c>
      <c r="H4252" s="2">
        <v>9.7324300000000005E-4</v>
      </c>
      <c r="I4252" s="2" t="s">
        <v>20069</v>
      </c>
      <c r="J4252" s="2" t="s">
        <v>20070</v>
      </c>
      <c r="K4252" s="2">
        <v>2.2002969999999999E-3</v>
      </c>
      <c r="L4252" s="2" t="s">
        <v>1178</v>
      </c>
      <c r="M4252" s="4" t="s">
        <v>20071</v>
      </c>
    </row>
    <row r="4253" spans="1:13">
      <c r="A4253" s="2">
        <v>3716</v>
      </c>
      <c r="B4253" s="2" t="s">
        <v>20072</v>
      </c>
      <c r="C4253" s="2">
        <v>11</v>
      </c>
      <c r="D4253" s="2">
        <v>556</v>
      </c>
      <c r="E4253" s="2">
        <v>200</v>
      </c>
      <c r="F4253" s="2">
        <v>32441</v>
      </c>
      <c r="G4253" s="2">
        <v>3.2090917270000001</v>
      </c>
      <c r="H4253" s="2">
        <v>9.7324300000000005E-4</v>
      </c>
      <c r="I4253" s="2" t="s">
        <v>20073</v>
      </c>
      <c r="J4253" s="2" t="s">
        <v>20074</v>
      </c>
      <c r="K4253" s="2">
        <v>2.2002969999999999E-3</v>
      </c>
      <c r="L4253" s="2" t="s">
        <v>1178</v>
      </c>
      <c r="M4253" s="4" t="s">
        <v>20075</v>
      </c>
    </row>
    <row r="4254" spans="1:13">
      <c r="A4254" s="2">
        <v>3731</v>
      </c>
      <c r="B4254" s="2" t="s">
        <v>20076</v>
      </c>
      <c r="C4254" s="2">
        <v>11</v>
      </c>
      <c r="D4254" s="2">
        <v>556</v>
      </c>
      <c r="E4254" s="2">
        <v>200</v>
      </c>
      <c r="F4254" s="2">
        <v>32441</v>
      </c>
      <c r="G4254" s="2">
        <v>3.2090917270000001</v>
      </c>
      <c r="H4254" s="2">
        <v>9.7324300000000005E-4</v>
      </c>
      <c r="I4254" s="2" t="s">
        <v>20077</v>
      </c>
      <c r="J4254" s="2" t="s">
        <v>20078</v>
      </c>
      <c r="K4254" s="2">
        <v>2.2002969999999999E-3</v>
      </c>
      <c r="L4254" s="2" t="s">
        <v>1178</v>
      </c>
      <c r="M4254" s="4" t="s">
        <v>20079</v>
      </c>
    </row>
    <row r="4255" spans="1:13">
      <c r="A4255" s="2">
        <v>3737</v>
      </c>
      <c r="B4255" s="2" t="s">
        <v>20080</v>
      </c>
      <c r="C4255" s="2">
        <v>11</v>
      </c>
      <c r="D4255" s="2">
        <v>556</v>
      </c>
      <c r="E4255" s="2">
        <v>200</v>
      </c>
      <c r="F4255" s="2">
        <v>32441</v>
      </c>
      <c r="G4255" s="2">
        <v>3.2090917270000001</v>
      </c>
      <c r="H4255" s="2">
        <v>9.7324300000000005E-4</v>
      </c>
      <c r="I4255" s="2" t="s">
        <v>20081</v>
      </c>
      <c r="J4255" s="2" t="s">
        <v>20082</v>
      </c>
      <c r="K4255" s="2">
        <v>2.2002969999999999E-3</v>
      </c>
      <c r="L4255" s="2" t="s">
        <v>1178</v>
      </c>
      <c r="M4255" s="4" t="s">
        <v>20083</v>
      </c>
    </row>
    <row r="4256" spans="1:13">
      <c r="A4256" s="2">
        <v>37411</v>
      </c>
      <c r="B4256" s="2" t="s">
        <v>20084</v>
      </c>
      <c r="C4256" s="2">
        <v>11</v>
      </c>
      <c r="D4256" s="2">
        <v>556</v>
      </c>
      <c r="E4256" s="2">
        <v>200</v>
      </c>
      <c r="F4256" s="2">
        <v>32441</v>
      </c>
      <c r="G4256" s="2">
        <v>3.2090917270000001</v>
      </c>
      <c r="H4256" s="2">
        <v>9.7324300000000005E-4</v>
      </c>
      <c r="I4256" s="2" t="s">
        <v>20085</v>
      </c>
      <c r="J4256" s="2" t="s">
        <v>20086</v>
      </c>
      <c r="K4256" s="2">
        <v>2.2002969999999999E-3</v>
      </c>
      <c r="L4256" s="2" t="s">
        <v>1178</v>
      </c>
      <c r="M4256" s="4" t="s">
        <v>20087</v>
      </c>
    </row>
    <row r="4257" spans="1:13">
      <c r="A4257" s="2">
        <v>37421</v>
      </c>
      <c r="B4257" s="2" t="s">
        <v>20088</v>
      </c>
      <c r="C4257" s="2">
        <v>11</v>
      </c>
      <c r="D4257" s="2">
        <v>556</v>
      </c>
      <c r="E4257" s="2">
        <v>200</v>
      </c>
      <c r="F4257" s="2">
        <v>32441</v>
      </c>
      <c r="G4257" s="2">
        <v>3.2090917270000001</v>
      </c>
      <c r="H4257" s="2">
        <v>9.7324300000000005E-4</v>
      </c>
      <c r="I4257" s="2" t="s">
        <v>20089</v>
      </c>
      <c r="J4257" s="2" t="s">
        <v>20090</v>
      </c>
      <c r="K4257" s="2">
        <v>2.2002969999999999E-3</v>
      </c>
      <c r="L4257" s="2" t="s">
        <v>1178</v>
      </c>
      <c r="M4257" s="4" t="s">
        <v>20091</v>
      </c>
    </row>
    <row r="4258" spans="1:13">
      <c r="A4258" s="2">
        <v>3747</v>
      </c>
      <c r="B4258" s="2" t="s">
        <v>2658</v>
      </c>
      <c r="C4258" s="2">
        <v>11</v>
      </c>
      <c r="D4258" s="2">
        <v>556</v>
      </c>
      <c r="E4258" s="2">
        <v>200</v>
      </c>
      <c r="F4258" s="2">
        <v>32441</v>
      </c>
      <c r="G4258" s="2">
        <v>3.2090917270000001</v>
      </c>
      <c r="H4258" s="2">
        <v>9.7324300000000005E-4</v>
      </c>
      <c r="I4258" s="2" t="s">
        <v>20092</v>
      </c>
      <c r="J4258" s="2" t="s">
        <v>20093</v>
      </c>
      <c r="K4258" s="2">
        <v>2.2002969999999999E-3</v>
      </c>
      <c r="L4258" s="2" t="s">
        <v>1178</v>
      </c>
      <c r="M4258" s="4" t="s">
        <v>20094</v>
      </c>
    </row>
    <row r="4259" spans="1:13">
      <c r="A4259" s="2">
        <v>3748</v>
      </c>
      <c r="B4259" s="2" t="s">
        <v>20095</v>
      </c>
      <c r="C4259" s="2">
        <v>11</v>
      </c>
      <c r="D4259" s="2">
        <v>556</v>
      </c>
      <c r="E4259" s="2">
        <v>200</v>
      </c>
      <c r="F4259" s="2">
        <v>32441</v>
      </c>
      <c r="G4259" s="2">
        <v>3.2090917270000001</v>
      </c>
      <c r="H4259" s="2">
        <v>9.7324300000000005E-4</v>
      </c>
      <c r="I4259" s="2" t="s">
        <v>20096</v>
      </c>
      <c r="J4259" s="2" t="s">
        <v>20097</v>
      </c>
      <c r="K4259" s="2">
        <v>2.2002969999999999E-3</v>
      </c>
      <c r="L4259" s="2" t="s">
        <v>1178</v>
      </c>
      <c r="M4259" s="4" t="s">
        <v>20098</v>
      </c>
    </row>
    <row r="4260" spans="1:13">
      <c r="A4260" s="2">
        <v>3757</v>
      </c>
      <c r="B4260" s="2" t="s">
        <v>20099</v>
      </c>
      <c r="C4260" s="2">
        <v>11</v>
      </c>
      <c r="D4260" s="2">
        <v>556</v>
      </c>
      <c r="E4260" s="2">
        <v>200</v>
      </c>
      <c r="F4260" s="2">
        <v>32441</v>
      </c>
      <c r="G4260" s="2">
        <v>3.2090917270000001</v>
      </c>
      <c r="H4260" s="2">
        <v>9.7324300000000005E-4</v>
      </c>
      <c r="I4260" s="2" t="s">
        <v>20100</v>
      </c>
      <c r="J4260" s="2" t="s">
        <v>20101</v>
      </c>
      <c r="K4260" s="2">
        <v>2.2002969999999999E-3</v>
      </c>
      <c r="L4260" s="2" t="s">
        <v>1178</v>
      </c>
      <c r="M4260" s="4" t="s">
        <v>20102</v>
      </c>
    </row>
    <row r="4261" spans="1:13">
      <c r="A4261" s="2">
        <v>37611</v>
      </c>
      <c r="B4261" s="2" t="s">
        <v>20103</v>
      </c>
      <c r="C4261" s="2">
        <v>11</v>
      </c>
      <c r="D4261" s="2">
        <v>556</v>
      </c>
      <c r="E4261" s="2">
        <v>200</v>
      </c>
      <c r="F4261" s="2">
        <v>32441</v>
      </c>
      <c r="G4261" s="2">
        <v>3.2090917270000001</v>
      </c>
      <c r="H4261" s="2">
        <v>9.7324300000000005E-4</v>
      </c>
      <c r="I4261" s="2" t="s">
        <v>20104</v>
      </c>
      <c r="J4261" s="2" t="s">
        <v>20105</v>
      </c>
      <c r="K4261" s="2">
        <v>2.2002969999999999E-3</v>
      </c>
      <c r="L4261" s="2" t="s">
        <v>1178</v>
      </c>
      <c r="M4261" s="4" t="s">
        <v>20106</v>
      </c>
    </row>
    <row r="4262" spans="1:13">
      <c r="A4262" s="2">
        <v>3767</v>
      </c>
      <c r="B4262" s="2" t="s">
        <v>20107</v>
      </c>
      <c r="C4262" s="2">
        <v>11</v>
      </c>
      <c r="D4262" s="2">
        <v>556</v>
      </c>
      <c r="E4262" s="2">
        <v>200</v>
      </c>
      <c r="F4262" s="2">
        <v>32441</v>
      </c>
      <c r="G4262" s="2">
        <v>3.2090917270000001</v>
      </c>
      <c r="H4262" s="2">
        <v>9.7324300000000005E-4</v>
      </c>
      <c r="I4262" s="2" t="s">
        <v>20108</v>
      </c>
      <c r="J4262" s="2" t="s">
        <v>20109</v>
      </c>
      <c r="K4262" s="2">
        <v>2.2002969999999999E-3</v>
      </c>
      <c r="L4262" s="2" t="s">
        <v>1178</v>
      </c>
      <c r="M4262" s="4" t="s">
        <v>20110</v>
      </c>
    </row>
    <row r="4263" spans="1:13">
      <c r="A4263" s="2">
        <v>3777</v>
      </c>
      <c r="B4263" s="2" t="s">
        <v>20111</v>
      </c>
      <c r="C4263" s="2">
        <v>11</v>
      </c>
      <c r="D4263" s="2">
        <v>556</v>
      </c>
      <c r="E4263" s="2">
        <v>200</v>
      </c>
      <c r="F4263" s="2">
        <v>32441</v>
      </c>
      <c r="G4263" s="2">
        <v>3.2090917270000001</v>
      </c>
      <c r="H4263" s="2">
        <v>9.7324300000000005E-4</v>
      </c>
      <c r="I4263" s="2" t="s">
        <v>20112</v>
      </c>
      <c r="J4263" s="2" t="s">
        <v>20113</v>
      </c>
      <c r="K4263" s="2">
        <v>2.2002969999999999E-3</v>
      </c>
      <c r="L4263" s="2" t="s">
        <v>1178</v>
      </c>
      <c r="M4263" s="4" t="s">
        <v>20114</v>
      </c>
    </row>
    <row r="4264" spans="1:13">
      <c r="A4264" s="2">
        <v>3779</v>
      </c>
      <c r="B4264" s="2" t="s">
        <v>20115</v>
      </c>
      <c r="C4264" s="2">
        <v>11</v>
      </c>
      <c r="D4264" s="2">
        <v>556</v>
      </c>
      <c r="E4264" s="2">
        <v>200</v>
      </c>
      <c r="F4264" s="2">
        <v>32441</v>
      </c>
      <c r="G4264" s="2">
        <v>3.2090917270000001</v>
      </c>
      <c r="H4264" s="2">
        <v>9.7324300000000005E-4</v>
      </c>
      <c r="I4264" s="2" t="s">
        <v>20116</v>
      </c>
      <c r="J4264" s="2" t="s">
        <v>20117</v>
      </c>
      <c r="K4264" s="2">
        <v>2.2002969999999999E-3</v>
      </c>
      <c r="L4264" s="2" t="s">
        <v>1178</v>
      </c>
      <c r="M4264" s="4" t="s">
        <v>20118</v>
      </c>
    </row>
    <row r="4265" spans="1:13">
      <c r="A4265" s="2">
        <v>3798</v>
      </c>
      <c r="B4265" s="2" t="s">
        <v>20119</v>
      </c>
      <c r="C4265" s="2">
        <v>11</v>
      </c>
      <c r="D4265" s="2">
        <v>556</v>
      </c>
      <c r="E4265" s="2">
        <v>200</v>
      </c>
      <c r="F4265" s="2">
        <v>32441</v>
      </c>
      <c r="G4265" s="2">
        <v>3.2090917270000001</v>
      </c>
      <c r="H4265" s="2">
        <v>9.7324300000000005E-4</v>
      </c>
      <c r="I4265" s="2" t="s">
        <v>20120</v>
      </c>
      <c r="J4265" s="2" t="s">
        <v>20121</v>
      </c>
      <c r="K4265" s="2">
        <v>2.2002969999999999E-3</v>
      </c>
      <c r="L4265" s="2" t="s">
        <v>1178</v>
      </c>
      <c r="M4265" s="4" t="s">
        <v>20122</v>
      </c>
    </row>
    <row r="4266" spans="1:13">
      <c r="A4266" s="2">
        <v>38691</v>
      </c>
      <c r="B4266" s="2" t="s">
        <v>1392</v>
      </c>
      <c r="C4266" s="2">
        <v>11</v>
      </c>
      <c r="D4266" s="2">
        <v>556</v>
      </c>
      <c r="E4266" s="2">
        <v>200</v>
      </c>
      <c r="F4266" s="2">
        <v>32441</v>
      </c>
      <c r="G4266" s="2">
        <v>3.2090917270000001</v>
      </c>
      <c r="H4266" s="2">
        <v>9.7324300000000005E-4</v>
      </c>
      <c r="I4266" s="2" t="s">
        <v>20123</v>
      </c>
      <c r="J4266" s="2" t="s">
        <v>20124</v>
      </c>
      <c r="K4266" s="2">
        <v>2.2002969999999999E-3</v>
      </c>
      <c r="L4266" s="2" t="s">
        <v>1178</v>
      </c>
      <c r="M4266" s="4" t="s">
        <v>20125</v>
      </c>
    </row>
    <row r="4267" spans="1:13">
      <c r="A4267" s="2">
        <v>3905</v>
      </c>
      <c r="B4267" s="2" t="s">
        <v>20126</v>
      </c>
      <c r="C4267" s="2">
        <v>11</v>
      </c>
      <c r="D4267" s="2">
        <v>556</v>
      </c>
      <c r="E4267" s="2">
        <v>200</v>
      </c>
      <c r="F4267" s="2">
        <v>32441</v>
      </c>
      <c r="G4267" s="2">
        <v>3.2090917270000001</v>
      </c>
      <c r="H4267" s="2">
        <v>9.7324300000000005E-4</v>
      </c>
      <c r="I4267" s="2" t="s">
        <v>20127</v>
      </c>
      <c r="J4267" s="2" t="s">
        <v>20128</v>
      </c>
      <c r="K4267" s="2">
        <v>2.2002969999999999E-3</v>
      </c>
      <c r="L4267" s="2" t="s">
        <v>1178</v>
      </c>
      <c r="M4267" s="4" t="s">
        <v>20129</v>
      </c>
    </row>
    <row r="4268" spans="1:13">
      <c r="A4268" s="2">
        <v>3920</v>
      </c>
      <c r="B4268" s="2" t="s">
        <v>20130</v>
      </c>
      <c r="C4268" s="2">
        <v>11</v>
      </c>
      <c r="D4268" s="2">
        <v>556</v>
      </c>
      <c r="E4268" s="2">
        <v>200</v>
      </c>
      <c r="F4268" s="2">
        <v>32441</v>
      </c>
      <c r="G4268" s="2">
        <v>3.2090917270000001</v>
      </c>
      <c r="H4268" s="2">
        <v>9.7324300000000005E-4</v>
      </c>
      <c r="I4268" s="2" t="s">
        <v>20131</v>
      </c>
      <c r="J4268" s="2" t="s">
        <v>20132</v>
      </c>
      <c r="K4268" s="2">
        <v>2.2002969999999999E-3</v>
      </c>
      <c r="L4268" s="2" t="s">
        <v>1178</v>
      </c>
      <c r="M4268" s="4" t="s">
        <v>20133</v>
      </c>
    </row>
    <row r="4269" spans="1:13">
      <c r="A4269" s="2">
        <v>39541</v>
      </c>
      <c r="B4269" s="2" t="s">
        <v>20134</v>
      </c>
      <c r="C4269" s="2">
        <v>11</v>
      </c>
      <c r="D4269" s="2">
        <v>556</v>
      </c>
      <c r="E4269" s="2">
        <v>199</v>
      </c>
      <c r="F4269" s="2">
        <v>32441</v>
      </c>
      <c r="G4269" s="2">
        <v>3.2252178159999998</v>
      </c>
      <c r="H4269" s="2">
        <v>9.3638599999999999E-4</v>
      </c>
      <c r="I4269" s="2" t="s">
        <v>20135</v>
      </c>
      <c r="J4269" s="2" t="s">
        <v>20136</v>
      </c>
      <c r="K4269" s="2">
        <v>2.2002969999999999E-3</v>
      </c>
      <c r="L4269" s="2" t="s">
        <v>1178</v>
      </c>
      <c r="M4269" s="4" t="s">
        <v>20137</v>
      </c>
    </row>
    <row r="4270" spans="1:13">
      <c r="A4270" s="2">
        <v>3955</v>
      </c>
      <c r="B4270" s="2" t="s">
        <v>20138</v>
      </c>
      <c r="C4270" s="2">
        <v>11</v>
      </c>
      <c r="D4270" s="2">
        <v>556</v>
      </c>
      <c r="E4270" s="2">
        <v>200</v>
      </c>
      <c r="F4270" s="2">
        <v>32441</v>
      </c>
      <c r="G4270" s="2">
        <v>3.2090917270000001</v>
      </c>
      <c r="H4270" s="2">
        <v>9.7324300000000005E-4</v>
      </c>
      <c r="I4270" s="2" t="s">
        <v>20139</v>
      </c>
      <c r="J4270" s="2" t="s">
        <v>20140</v>
      </c>
      <c r="K4270" s="2">
        <v>2.2002969999999999E-3</v>
      </c>
      <c r="L4270" s="2" t="s">
        <v>1178</v>
      </c>
      <c r="M4270" s="4" t="s">
        <v>20141</v>
      </c>
    </row>
    <row r="4271" spans="1:13">
      <c r="A4271" s="2">
        <v>3957</v>
      </c>
      <c r="B4271" s="2" t="s">
        <v>20142</v>
      </c>
      <c r="C4271" s="2">
        <v>11</v>
      </c>
      <c r="D4271" s="2">
        <v>556</v>
      </c>
      <c r="E4271" s="2">
        <v>200</v>
      </c>
      <c r="F4271" s="2">
        <v>32441</v>
      </c>
      <c r="G4271" s="2">
        <v>3.2090917270000001</v>
      </c>
      <c r="H4271" s="2">
        <v>9.7324300000000005E-4</v>
      </c>
      <c r="I4271" s="2" t="s">
        <v>20143</v>
      </c>
      <c r="J4271" s="2" t="s">
        <v>20144</v>
      </c>
      <c r="K4271" s="2">
        <v>2.2002969999999999E-3</v>
      </c>
      <c r="L4271" s="2" t="s">
        <v>1178</v>
      </c>
      <c r="M4271" s="4" t="s">
        <v>20145</v>
      </c>
    </row>
    <row r="4272" spans="1:13">
      <c r="A4272" s="2">
        <v>39851</v>
      </c>
      <c r="B4272" s="2" t="s">
        <v>20146</v>
      </c>
      <c r="C4272" s="2">
        <v>11</v>
      </c>
      <c r="D4272" s="2">
        <v>556</v>
      </c>
      <c r="E4272" s="2">
        <v>200</v>
      </c>
      <c r="F4272" s="2">
        <v>32441</v>
      </c>
      <c r="G4272" s="2">
        <v>3.2090917270000001</v>
      </c>
      <c r="H4272" s="2">
        <v>9.7324300000000005E-4</v>
      </c>
      <c r="I4272" s="2" t="s">
        <v>20147</v>
      </c>
      <c r="J4272" s="2" t="s">
        <v>20148</v>
      </c>
      <c r="K4272" s="2">
        <v>2.2002969999999999E-3</v>
      </c>
      <c r="L4272" s="2" t="s">
        <v>1178</v>
      </c>
      <c r="M4272" s="4" t="s">
        <v>20149</v>
      </c>
    </row>
    <row r="4273" spans="1:13">
      <c r="A4273" s="2">
        <v>3995</v>
      </c>
      <c r="B4273" s="2" t="s">
        <v>20150</v>
      </c>
      <c r="C4273" s="2">
        <v>11</v>
      </c>
      <c r="D4273" s="2">
        <v>556</v>
      </c>
      <c r="E4273" s="2">
        <v>200</v>
      </c>
      <c r="F4273" s="2">
        <v>32441</v>
      </c>
      <c r="G4273" s="2">
        <v>3.2090917270000001</v>
      </c>
      <c r="H4273" s="2">
        <v>9.7324300000000005E-4</v>
      </c>
      <c r="I4273" s="2" t="s">
        <v>20151</v>
      </c>
      <c r="J4273" s="2" t="s">
        <v>20152</v>
      </c>
      <c r="K4273" s="2">
        <v>2.2002969999999999E-3</v>
      </c>
      <c r="L4273" s="2" t="s">
        <v>1178</v>
      </c>
      <c r="M4273" s="4" t="s">
        <v>20153</v>
      </c>
    </row>
    <row r="4274" spans="1:13">
      <c r="A4274" s="2">
        <v>4001</v>
      </c>
      <c r="B4274" s="2" t="s">
        <v>3502</v>
      </c>
      <c r="C4274" s="2">
        <v>11</v>
      </c>
      <c r="D4274" s="2">
        <v>556</v>
      </c>
      <c r="E4274" s="2">
        <v>199</v>
      </c>
      <c r="F4274" s="2">
        <v>32441</v>
      </c>
      <c r="G4274" s="2">
        <v>3.2252178159999998</v>
      </c>
      <c r="H4274" s="2">
        <v>9.3638599999999999E-4</v>
      </c>
      <c r="I4274" s="2" t="s">
        <v>20154</v>
      </c>
      <c r="J4274" s="2" t="s">
        <v>20155</v>
      </c>
      <c r="K4274" s="2">
        <v>2.2002969999999999E-3</v>
      </c>
      <c r="L4274" s="2" t="s">
        <v>1178</v>
      </c>
      <c r="M4274" s="4" t="s">
        <v>3505</v>
      </c>
    </row>
    <row r="4275" spans="1:13">
      <c r="A4275" s="2">
        <v>40501</v>
      </c>
      <c r="B4275" s="2" t="s">
        <v>20156</v>
      </c>
      <c r="C4275" s="2">
        <v>11</v>
      </c>
      <c r="D4275" s="2">
        <v>556</v>
      </c>
      <c r="E4275" s="2">
        <v>199</v>
      </c>
      <c r="F4275" s="2">
        <v>32441</v>
      </c>
      <c r="G4275" s="2">
        <v>3.2252178159999998</v>
      </c>
      <c r="H4275" s="2">
        <v>9.3638599999999999E-4</v>
      </c>
      <c r="I4275" s="2" t="s">
        <v>20157</v>
      </c>
      <c r="J4275" s="2" t="s">
        <v>20158</v>
      </c>
      <c r="K4275" s="2">
        <v>2.2002969999999999E-3</v>
      </c>
      <c r="L4275" s="2" t="s">
        <v>1178</v>
      </c>
      <c r="M4275" s="4" t="s">
        <v>20159</v>
      </c>
    </row>
    <row r="4276" spans="1:13">
      <c r="A4276" s="2">
        <v>42181</v>
      </c>
      <c r="B4276" s="2" t="s">
        <v>20160</v>
      </c>
      <c r="C4276" s="2">
        <v>11</v>
      </c>
      <c r="D4276" s="2">
        <v>556</v>
      </c>
      <c r="E4276" s="2">
        <v>200</v>
      </c>
      <c r="F4276" s="2">
        <v>32441</v>
      </c>
      <c r="G4276" s="2">
        <v>3.2090917270000001</v>
      </c>
      <c r="H4276" s="2">
        <v>9.7324300000000005E-4</v>
      </c>
      <c r="I4276" s="2" t="s">
        <v>20161</v>
      </c>
      <c r="J4276" s="2" t="s">
        <v>20162</v>
      </c>
      <c r="K4276" s="2">
        <v>2.2002969999999999E-3</v>
      </c>
      <c r="L4276" s="2" t="s">
        <v>1178</v>
      </c>
      <c r="M4276" s="4" t="s">
        <v>20163</v>
      </c>
    </row>
    <row r="4277" spans="1:13">
      <c r="A4277" s="2">
        <v>4249</v>
      </c>
      <c r="B4277" s="2" t="s">
        <v>20164</v>
      </c>
      <c r="C4277" s="2">
        <v>11</v>
      </c>
      <c r="D4277" s="2">
        <v>556</v>
      </c>
      <c r="E4277" s="2">
        <v>200</v>
      </c>
      <c r="F4277" s="2">
        <v>32441</v>
      </c>
      <c r="G4277" s="2">
        <v>3.2090917270000001</v>
      </c>
      <c r="H4277" s="2">
        <v>9.7324300000000005E-4</v>
      </c>
      <c r="I4277" s="2" t="s">
        <v>20165</v>
      </c>
      <c r="J4277" s="2" t="s">
        <v>20166</v>
      </c>
      <c r="K4277" s="2">
        <v>2.2002969999999999E-3</v>
      </c>
      <c r="L4277" s="2" t="s">
        <v>1178</v>
      </c>
      <c r="M4277" s="4" t="s">
        <v>20167</v>
      </c>
    </row>
    <row r="4278" spans="1:13">
      <c r="A4278" s="2">
        <v>42781</v>
      </c>
      <c r="B4278" s="2" t="s">
        <v>20168</v>
      </c>
      <c r="C4278" s="2">
        <v>11</v>
      </c>
      <c r="D4278" s="2">
        <v>556</v>
      </c>
      <c r="E4278" s="2">
        <v>200</v>
      </c>
      <c r="F4278" s="2">
        <v>32441</v>
      </c>
      <c r="G4278" s="2">
        <v>3.2090917270000001</v>
      </c>
      <c r="H4278" s="2">
        <v>9.7324300000000005E-4</v>
      </c>
      <c r="I4278" s="2" t="s">
        <v>20169</v>
      </c>
      <c r="J4278" s="2" t="s">
        <v>20170</v>
      </c>
      <c r="K4278" s="2">
        <v>2.2002969999999999E-3</v>
      </c>
      <c r="L4278" s="2" t="s">
        <v>1178</v>
      </c>
      <c r="M4278" s="4" t="s">
        <v>20171</v>
      </c>
    </row>
    <row r="4279" spans="1:13">
      <c r="A4279" s="2">
        <v>4281</v>
      </c>
      <c r="B4279" s="2" t="s">
        <v>20172</v>
      </c>
      <c r="C4279" s="2">
        <v>11</v>
      </c>
      <c r="D4279" s="2">
        <v>556</v>
      </c>
      <c r="E4279" s="2">
        <v>200</v>
      </c>
      <c r="F4279" s="2">
        <v>32441</v>
      </c>
      <c r="G4279" s="2">
        <v>3.2090917270000001</v>
      </c>
      <c r="H4279" s="2">
        <v>9.7324300000000005E-4</v>
      </c>
      <c r="I4279" s="2" t="s">
        <v>20173</v>
      </c>
      <c r="J4279" s="2" t="s">
        <v>20174</v>
      </c>
      <c r="K4279" s="2">
        <v>2.2002969999999999E-3</v>
      </c>
      <c r="L4279" s="2" t="s">
        <v>1178</v>
      </c>
      <c r="M4279" s="4" t="s">
        <v>20175</v>
      </c>
    </row>
    <row r="4280" spans="1:13">
      <c r="A4280" s="2">
        <v>4291</v>
      </c>
      <c r="B4280" s="2" t="s">
        <v>20176</v>
      </c>
      <c r="C4280" s="2">
        <v>11</v>
      </c>
      <c r="D4280" s="2">
        <v>556</v>
      </c>
      <c r="E4280" s="2">
        <v>200</v>
      </c>
      <c r="F4280" s="2">
        <v>32441</v>
      </c>
      <c r="G4280" s="2">
        <v>3.2090917270000001</v>
      </c>
      <c r="H4280" s="2">
        <v>9.7324300000000005E-4</v>
      </c>
      <c r="I4280" s="2" t="s">
        <v>20177</v>
      </c>
      <c r="J4280" s="2" t="s">
        <v>20178</v>
      </c>
      <c r="K4280" s="2">
        <v>2.2002969999999999E-3</v>
      </c>
      <c r="L4280" s="2" t="s">
        <v>1178</v>
      </c>
      <c r="M4280" s="4" t="s">
        <v>20179</v>
      </c>
    </row>
    <row r="4281" spans="1:13">
      <c r="A4281" s="2">
        <v>4333</v>
      </c>
      <c r="B4281" s="2" t="s">
        <v>1974</v>
      </c>
      <c r="C4281" s="2">
        <v>11</v>
      </c>
      <c r="D4281" s="2">
        <v>556</v>
      </c>
      <c r="E4281" s="2">
        <v>200</v>
      </c>
      <c r="F4281" s="2">
        <v>32441</v>
      </c>
      <c r="G4281" s="2">
        <v>3.2090917270000001</v>
      </c>
      <c r="H4281" s="2">
        <v>9.7324300000000005E-4</v>
      </c>
      <c r="I4281" s="2" t="s">
        <v>20180</v>
      </c>
      <c r="J4281" s="2" t="s">
        <v>20181</v>
      </c>
      <c r="K4281" s="2">
        <v>2.2002969999999999E-3</v>
      </c>
      <c r="L4281" s="2" t="s">
        <v>1178</v>
      </c>
      <c r="M4281" s="4" t="s">
        <v>20182</v>
      </c>
    </row>
    <row r="4282" spans="1:13">
      <c r="A4282" s="2">
        <v>4341</v>
      </c>
      <c r="B4282" s="2" t="s">
        <v>20183</v>
      </c>
      <c r="C4282" s="2">
        <v>11</v>
      </c>
      <c r="D4282" s="2">
        <v>556</v>
      </c>
      <c r="E4282" s="2">
        <v>200</v>
      </c>
      <c r="F4282" s="2">
        <v>32441</v>
      </c>
      <c r="G4282" s="2">
        <v>3.2090917270000001</v>
      </c>
      <c r="H4282" s="2">
        <v>9.7324300000000005E-4</v>
      </c>
      <c r="I4282" s="2" t="s">
        <v>20184</v>
      </c>
      <c r="J4282" s="2" t="s">
        <v>20185</v>
      </c>
      <c r="K4282" s="2">
        <v>2.2002969999999999E-3</v>
      </c>
      <c r="L4282" s="2" t="s">
        <v>1178</v>
      </c>
      <c r="M4282" s="4" t="s">
        <v>20186</v>
      </c>
    </row>
    <row r="4283" spans="1:13">
      <c r="A4283" s="2">
        <v>4360</v>
      </c>
      <c r="B4283" s="2" t="s">
        <v>20187</v>
      </c>
      <c r="C4283" s="2">
        <v>11</v>
      </c>
      <c r="D4283" s="2">
        <v>556</v>
      </c>
      <c r="E4283" s="2">
        <v>200</v>
      </c>
      <c r="F4283" s="2">
        <v>32441</v>
      </c>
      <c r="G4283" s="2">
        <v>3.2090917270000001</v>
      </c>
      <c r="H4283" s="2">
        <v>9.7324300000000005E-4</v>
      </c>
      <c r="I4283" s="2" t="s">
        <v>20188</v>
      </c>
      <c r="J4283" s="2" t="s">
        <v>20189</v>
      </c>
      <c r="K4283" s="2">
        <v>2.2002969999999999E-3</v>
      </c>
      <c r="L4283" s="2" t="s">
        <v>1178</v>
      </c>
      <c r="M4283" s="4" t="s">
        <v>20190</v>
      </c>
    </row>
    <row r="4284" spans="1:13">
      <c r="A4284" s="2">
        <v>4370</v>
      </c>
      <c r="B4284" s="2" t="s">
        <v>20191</v>
      </c>
      <c r="C4284" s="2">
        <v>11</v>
      </c>
      <c r="D4284" s="2">
        <v>556</v>
      </c>
      <c r="E4284" s="2">
        <v>199</v>
      </c>
      <c r="F4284" s="2">
        <v>32441</v>
      </c>
      <c r="G4284" s="2">
        <v>3.2252178159999998</v>
      </c>
      <c r="H4284" s="2">
        <v>9.3638599999999999E-4</v>
      </c>
      <c r="I4284" s="2" t="s">
        <v>20192</v>
      </c>
      <c r="J4284" s="2" t="s">
        <v>20193</v>
      </c>
      <c r="K4284" s="2">
        <v>2.2002969999999999E-3</v>
      </c>
      <c r="L4284" s="2" t="s">
        <v>1178</v>
      </c>
      <c r="M4284" s="4" t="s">
        <v>20194</v>
      </c>
    </row>
    <row r="4285" spans="1:13">
      <c r="A4285" s="2">
        <v>43991</v>
      </c>
      <c r="B4285" s="2" t="s">
        <v>20195</v>
      </c>
      <c r="C4285" s="2">
        <v>11</v>
      </c>
      <c r="D4285" s="2">
        <v>556</v>
      </c>
      <c r="E4285" s="2">
        <v>200</v>
      </c>
      <c r="F4285" s="2">
        <v>32441</v>
      </c>
      <c r="G4285" s="2">
        <v>3.2090917270000001</v>
      </c>
      <c r="H4285" s="2">
        <v>9.7324300000000005E-4</v>
      </c>
      <c r="I4285" s="2" t="s">
        <v>20196</v>
      </c>
      <c r="J4285" s="2" t="s">
        <v>20197</v>
      </c>
      <c r="K4285" s="2">
        <v>2.2002969999999999E-3</v>
      </c>
      <c r="L4285" s="2" t="s">
        <v>1178</v>
      </c>
      <c r="M4285" s="4" t="s">
        <v>20198</v>
      </c>
    </row>
    <row r="4286" spans="1:13">
      <c r="A4286" s="2">
        <v>44061</v>
      </c>
      <c r="B4286" s="2" t="s">
        <v>20199</v>
      </c>
      <c r="C4286" s="2">
        <v>11</v>
      </c>
      <c r="D4286" s="2">
        <v>556</v>
      </c>
      <c r="E4286" s="2">
        <v>200</v>
      </c>
      <c r="F4286" s="2">
        <v>32441</v>
      </c>
      <c r="G4286" s="2">
        <v>3.2090917270000001</v>
      </c>
      <c r="H4286" s="2">
        <v>9.7324300000000005E-4</v>
      </c>
      <c r="I4286" s="2" t="s">
        <v>20200</v>
      </c>
      <c r="J4286" s="2" t="s">
        <v>20201</v>
      </c>
      <c r="K4286" s="2">
        <v>2.2002969999999999E-3</v>
      </c>
      <c r="L4286" s="2" t="s">
        <v>1178</v>
      </c>
      <c r="M4286" s="4" t="s">
        <v>20202</v>
      </c>
    </row>
    <row r="4287" spans="1:13">
      <c r="A4287" s="2">
        <v>4418</v>
      </c>
      <c r="B4287" s="2" t="s">
        <v>20203</v>
      </c>
      <c r="C4287" s="2">
        <v>11</v>
      </c>
      <c r="D4287" s="2">
        <v>556</v>
      </c>
      <c r="E4287" s="2">
        <v>199</v>
      </c>
      <c r="F4287" s="2">
        <v>32441</v>
      </c>
      <c r="G4287" s="2">
        <v>3.2252178159999998</v>
      </c>
      <c r="H4287" s="2">
        <v>9.3638599999999999E-4</v>
      </c>
      <c r="I4287" s="2" t="s">
        <v>20204</v>
      </c>
      <c r="J4287" s="2" t="s">
        <v>20205</v>
      </c>
      <c r="K4287" s="2">
        <v>2.2002969999999999E-3</v>
      </c>
      <c r="L4287" s="2" t="s">
        <v>1178</v>
      </c>
      <c r="M4287" s="4" t="s">
        <v>20206</v>
      </c>
    </row>
    <row r="4288" spans="1:13">
      <c r="A4288" s="2">
        <v>4483</v>
      </c>
      <c r="B4288" s="2" t="s">
        <v>3227</v>
      </c>
      <c r="C4288" s="2">
        <v>11</v>
      </c>
      <c r="D4288" s="2">
        <v>556</v>
      </c>
      <c r="E4288" s="2">
        <v>200</v>
      </c>
      <c r="F4288" s="2">
        <v>32441</v>
      </c>
      <c r="G4288" s="2">
        <v>3.2090917270000001</v>
      </c>
      <c r="H4288" s="2">
        <v>9.7324300000000005E-4</v>
      </c>
      <c r="I4288" s="2" t="s">
        <v>20207</v>
      </c>
      <c r="J4288" s="2" t="s">
        <v>20208</v>
      </c>
      <c r="K4288" s="2">
        <v>2.2002969999999999E-3</v>
      </c>
      <c r="L4288" s="2" t="s">
        <v>1178</v>
      </c>
      <c r="M4288" s="4" t="s">
        <v>3230</v>
      </c>
    </row>
    <row r="4289" spans="1:13">
      <c r="A4289" s="2">
        <v>4539</v>
      </c>
      <c r="B4289" s="2" t="s">
        <v>20209</v>
      </c>
      <c r="C4289" s="2">
        <v>11</v>
      </c>
      <c r="D4289" s="2">
        <v>556</v>
      </c>
      <c r="E4289" s="2">
        <v>200</v>
      </c>
      <c r="F4289" s="2">
        <v>32441</v>
      </c>
      <c r="G4289" s="2">
        <v>3.2090917270000001</v>
      </c>
      <c r="H4289" s="2">
        <v>9.7324300000000005E-4</v>
      </c>
      <c r="I4289" s="2" t="s">
        <v>20210</v>
      </c>
      <c r="J4289" s="2" t="s">
        <v>20211</v>
      </c>
      <c r="K4289" s="2">
        <v>2.2002969999999999E-3</v>
      </c>
      <c r="L4289" s="2" t="s">
        <v>1178</v>
      </c>
      <c r="M4289" s="4" t="s">
        <v>20212</v>
      </c>
    </row>
    <row r="4290" spans="1:13">
      <c r="A4290" s="2">
        <v>4586</v>
      </c>
      <c r="B4290" s="2" t="s">
        <v>20213</v>
      </c>
      <c r="C4290" s="2">
        <v>11</v>
      </c>
      <c r="D4290" s="2">
        <v>556</v>
      </c>
      <c r="E4290" s="2">
        <v>199</v>
      </c>
      <c r="F4290" s="2">
        <v>32441</v>
      </c>
      <c r="G4290" s="2">
        <v>3.2252178159999998</v>
      </c>
      <c r="H4290" s="2">
        <v>9.3638599999999999E-4</v>
      </c>
      <c r="I4290" s="2" t="s">
        <v>20214</v>
      </c>
      <c r="J4290" s="2" t="s">
        <v>20215</v>
      </c>
      <c r="K4290" s="2">
        <v>2.2002969999999999E-3</v>
      </c>
      <c r="L4290" s="2" t="s">
        <v>1178</v>
      </c>
      <c r="M4290" s="4" t="s">
        <v>20216</v>
      </c>
    </row>
    <row r="4291" spans="1:13">
      <c r="A4291" s="2">
        <v>4591</v>
      </c>
      <c r="B4291" s="2" t="s">
        <v>20217</v>
      </c>
      <c r="C4291" s="2">
        <v>11</v>
      </c>
      <c r="D4291" s="2">
        <v>556</v>
      </c>
      <c r="E4291" s="2">
        <v>200</v>
      </c>
      <c r="F4291" s="2">
        <v>32441</v>
      </c>
      <c r="G4291" s="2">
        <v>3.2090917270000001</v>
      </c>
      <c r="H4291" s="2">
        <v>9.7324300000000005E-4</v>
      </c>
      <c r="I4291" s="2" t="s">
        <v>20218</v>
      </c>
      <c r="J4291" s="2" t="s">
        <v>20219</v>
      </c>
      <c r="K4291" s="2">
        <v>2.2002969999999999E-3</v>
      </c>
      <c r="L4291" s="2" t="s">
        <v>1178</v>
      </c>
      <c r="M4291" s="4" t="s">
        <v>20220</v>
      </c>
    </row>
    <row r="4292" spans="1:13">
      <c r="A4292" s="2">
        <v>4592</v>
      </c>
      <c r="B4292" s="2" t="s">
        <v>20221</v>
      </c>
      <c r="C4292" s="2">
        <v>11</v>
      </c>
      <c r="D4292" s="2">
        <v>556</v>
      </c>
      <c r="E4292" s="2">
        <v>200</v>
      </c>
      <c r="F4292" s="2">
        <v>32441</v>
      </c>
      <c r="G4292" s="2">
        <v>3.2090917270000001</v>
      </c>
      <c r="H4292" s="2">
        <v>9.7324300000000005E-4</v>
      </c>
      <c r="I4292" s="2" t="s">
        <v>20222</v>
      </c>
      <c r="J4292" s="2" t="s">
        <v>20223</v>
      </c>
      <c r="K4292" s="2">
        <v>2.2002969999999999E-3</v>
      </c>
      <c r="L4292" s="2" t="s">
        <v>1178</v>
      </c>
      <c r="M4292" s="4" t="s">
        <v>20224</v>
      </c>
    </row>
    <row r="4293" spans="1:13">
      <c r="A4293" s="2">
        <v>4611</v>
      </c>
      <c r="B4293" s="2" t="s">
        <v>20225</v>
      </c>
      <c r="C4293" s="2">
        <v>11</v>
      </c>
      <c r="D4293" s="2">
        <v>556</v>
      </c>
      <c r="E4293" s="2">
        <v>200</v>
      </c>
      <c r="F4293" s="2">
        <v>32441</v>
      </c>
      <c r="G4293" s="2">
        <v>3.2090917270000001</v>
      </c>
      <c r="H4293" s="2">
        <v>9.7324300000000005E-4</v>
      </c>
      <c r="I4293" s="2" t="s">
        <v>20226</v>
      </c>
      <c r="J4293" s="2" t="s">
        <v>20227</v>
      </c>
      <c r="K4293" s="2">
        <v>2.2002969999999999E-3</v>
      </c>
      <c r="L4293" s="2" t="s">
        <v>1178</v>
      </c>
      <c r="M4293" s="4" t="s">
        <v>20228</v>
      </c>
    </row>
    <row r="4294" spans="1:13">
      <c r="A4294" s="2">
        <v>4640</v>
      </c>
      <c r="B4294" s="2" t="s">
        <v>20229</v>
      </c>
      <c r="C4294" s="2">
        <v>11</v>
      </c>
      <c r="D4294" s="2">
        <v>556</v>
      </c>
      <c r="E4294" s="2">
        <v>200</v>
      </c>
      <c r="F4294" s="2">
        <v>32441</v>
      </c>
      <c r="G4294" s="2">
        <v>3.2090917270000001</v>
      </c>
      <c r="H4294" s="2">
        <v>9.7324300000000005E-4</v>
      </c>
      <c r="I4294" s="2" t="s">
        <v>20230</v>
      </c>
      <c r="J4294" s="2" t="s">
        <v>20231</v>
      </c>
      <c r="K4294" s="2">
        <v>2.2002969999999999E-3</v>
      </c>
      <c r="L4294" s="2" t="s">
        <v>1178</v>
      </c>
      <c r="M4294" s="4" t="s">
        <v>20232</v>
      </c>
    </row>
    <row r="4295" spans="1:13">
      <c r="A4295" s="2">
        <v>46431</v>
      </c>
      <c r="B4295" s="2" t="s">
        <v>20233</v>
      </c>
      <c r="C4295" s="2">
        <v>11</v>
      </c>
      <c r="D4295" s="2">
        <v>556</v>
      </c>
      <c r="E4295" s="2">
        <v>200</v>
      </c>
      <c r="F4295" s="2">
        <v>32441</v>
      </c>
      <c r="G4295" s="2">
        <v>3.2090917270000001</v>
      </c>
      <c r="H4295" s="2">
        <v>9.7324300000000005E-4</v>
      </c>
      <c r="I4295" s="2" t="s">
        <v>20234</v>
      </c>
      <c r="J4295" s="2" t="s">
        <v>20235</v>
      </c>
      <c r="K4295" s="2">
        <v>2.2002969999999999E-3</v>
      </c>
      <c r="L4295" s="2" t="s">
        <v>1178</v>
      </c>
      <c r="M4295" s="4" t="s">
        <v>20236</v>
      </c>
    </row>
    <row r="4296" spans="1:13">
      <c r="A4296" s="2">
        <v>4696</v>
      </c>
      <c r="B4296" s="2" t="s">
        <v>20237</v>
      </c>
      <c r="C4296" s="2">
        <v>11</v>
      </c>
      <c r="D4296" s="2">
        <v>556</v>
      </c>
      <c r="E4296" s="2">
        <v>200</v>
      </c>
      <c r="F4296" s="2">
        <v>32441</v>
      </c>
      <c r="G4296" s="2">
        <v>3.2090917270000001</v>
      </c>
      <c r="H4296" s="2">
        <v>9.7324300000000005E-4</v>
      </c>
      <c r="I4296" s="2" t="s">
        <v>20238</v>
      </c>
      <c r="J4296" s="2" t="s">
        <v>20239</v>
      </c>
      <c r="K4296" s="2">
        <v>2.2002969999999999E-3</v>
      </c>
      <c r="L4296" s="2" t="s">
        <v>1178</v>
      </c>
      <c r="M4296" s="4" t="s">
        <v>20240</v>
      </c>
    </row>
    <row r="4297" spans="1:13">
      <c r="A4297" s="2">
        <v>4700</v>
      </c>
      <c r="B4297" s="2" t="s">
        <v>20241</v>
      </c>
      <c r="C4297" s="2">
        <v>11</v>
      </c>
      <c r="D4297" s="2">
        <v>556</v>
      </c>
      <c r="E4297" s="2">
        <v>200</v>
      </c>
      <c r="F4297" s="2">
        <v>32441</v>
      </c>
      <c r="G4297" s="2">
        <v>3.2090917270000001</v>
      </c>
      <c r="H4297" s="2">
        <v>9.7324300000000005E-4</v>
      </c>
      <c r="I4297" s="2" t="s">
        <v>20242</v>
      </c>
      <c r="J4297" s="2" t="s">
        <v>20243</v>
      </c>
      <c r="K4297" s="2">
        <v>2.2002969999999999E-3</v>
      </c>
      <c r="L4297" s="2" t="s">
        <v>1178</v>
      </c>
      <c r="M4297" s="4" t="s">
        <v>20244</v>
      </c>
    </row>
    <row r="4298" spans="1:13">
      <c r="A4298" s="2">
        <v>47111</v>
      </c>
      <c r="B4298" s="2" t="s">
        <v>1770</v>
      </c>
      <c r="C4298" s="2">
        <v>11</v>
      </c>
      <c r="D4298" s="2">
        <v>556</v>
      </c>
      <c r="E4298" s="2">
        <v>200</v>
      </c>
      <c r="F4298" s="2">
        <v>32441</v>
      </c>
      <c r="G4298" s="2">
        <v>3.2090917270000001</v>
      </c>
      <c r="H4298" s="2">
        <v>9.7324300000000005E-4</v>
      </c>
      <c r="I4298" s="2" t="s">
        <v>20245</v>
      </c>
      <c r="J4298" s="2" t="s">
        <v>20246</v>
      </c>
      <c r="K4298" s="2">
        <v>2.2002969999999999E-3</v>
      </c>
      <c r="L4298" s="2" t="s">
        <v>1178</v>
      </c>
      <c r="M4298" s="4" t="s">
        <v>20247</v>
      </c>
    </row>
    <row r="4299" spans="1:13">
      <c r="A4299" s="2">
        <v>47251</v>
      </c>
      <c r="B4299" s="2" t="s">
        <v>20248</v>
      </c>
      <c r="C4299" s="2">
        <v>11</v>
      </c>
      <c r="D4299" s="2">
        <v>556</v>
      </c>
      <c r="E4299" s="2">
        <v>198</v>
      </c>
      <c r="F4299" s="2">
        <v>32441</v>
      </c>
      <c r="G4299" s="2">
        <v>3.2415067949999998</v>
      </c>
      <c r="H4299" s="2">
        <v>9.0069100000000001E-4</v>
      </c>
      <c r="I4299" s="2" t="s">
        <v>20249</v>
      </c>
      <c r="J4299" s="2" t="s">
        <v>20250</v>
      </c>
      <c r="K4299" s="2">
        <v>2.2002969999999999E-3</v>
      </c>
      <c r="L4299" s="2" t="s">
        <v>1178</v>
      </c>
      <c r="M4299" s="4" t="s">
        <v>20251</v>
      </c>
    </row>
    <row r="4300" spans="1:13">
      <c r="A4300" s="2">
        <v>4733</v>
      </c>
      <c r="B4300" s="2" t="s">
        <v>20252</v>
      </c>
      <c r="C4300" s="2">
        <v>11</v>
      </c>
      <c r="D4300" s="2">
        <v>556</v>
      </c>
      <c r="E4300" s="2">
        <v>200</v>
      </c>
      <c r="F4300" s="2">
        <v>32441</v>
      </c>
      <c r="G4300" s="2">
        <v>3.2090917270000001</v>
      </c>
      <c r="H4300" s="2">
        <v>9.7324300000000005E-4</v>
      </c>
      <c r="I4300" s="2" t="s">
        <v>20253</v>
      </c>
      <c r="J4300" s="2" t="s">
        <v>20254</v>
      </c>
      <c r="K4300" s="2">
        <v>2.2002969999999999E-3</v>
      </c>
      <c r="L4300" s="2" t="s">
        <v>1178</v>
      </c>
      <c r="M4300" s="4" t="s">
        <v>20255</v>
      </c>
    </row>
    <row r="4301" spans="1:13">
      <c r="A4301" s="2">
        <v>4736</v>
      </c>
      <c r="B4301" s="2" t="s">
        <v>20256</v>
      </c>
      <c r="C4301" s="2">
        <v>11</v>
      </c>
      <c r="D4301" s="2">
        <v>556</v>
      </c>
      <c r="E4301" s="2">
        <v>200</v>
      </c>
      <c r="F4301" s="2">
        <v>32441</v>
      </c>
      <c r="G4301" s="2">
        <v>3.2090917270000001</v>
      </c>
      <c r="H4301" s="2">
        <v>9.7324300000000005E-4</v>
      </c>
      <c r="I4301" s="2" t="s">
        <v>20257</v>
      </c>
      <c r="J4301" s="2" t="s">
        <v>20258</v>
      </c>
      <c r="K4301" s="2">
        <v>2.2002969999999999E-3</v>
      </c>
      <c r="L4301" s="2" t="s">
        <v>1178</v>
      </c>
      <c r="M4301" s="4" t="s">
        <v>20259</v>
      </c>
    </row>
    <row r="4302" spans="1:13">
      <c r="A4302" s="2">
        <v>4810</v>
      </c>
      <c r="B4302" s="2" t="s">
        <v>2736</v>
      </c>
      <c r="C4302" s="2">
        <v>11</v>
      </c>
      <c r="D4302" s="2">
        <v>556</v>
      </c>
      <c r="E4302" s="2">
        <v>200</v>
      </c>
      <c r="F4302" s="2">
        <v>32441</v>
      </c>
      <c r="G4302" s="2">
        <v>3.2090917270000001</v>
      </c>
      <c r="H4302" s="2">
        <v>9.7324300000000005E-4</v>
      </c>
      <c r="I4302" s="2" t="s">
        <v>20260</v>
      </c>
      <c r="J4302" s="2" t="s">
        <v>20261</v>
      </c>
      <c r="K4302" s="2">
        <v>2.2002969999999999E-3</v>
      </c>
      <c r="L4302" s="2" t="s">
        <v>1178</v>
      </c>
      <c r="M4302" s="4" t="s">
        <v>20262</v>
      </c>
    </row>
    <row r="4303" spans="1:13">
      <c r="A4303" s="2">
        <v>4821</v>
      </c>
      <c r="B4303" s="2" t="s">
        <v>20263</v>
      </c>
      <c r="C4303" s="2">
        <v>11</v>
      </c>
      <c r="D4303" s="2">
        <v>556</v>
      </c>
      <c r="E4303" s="2">
        <v>200</v>
      </c>
      <c r="F4303" s="2">
        <v>32441</v>
      </c>
      <c r="G4303" s="2">
        <v>3.2090917270000001</v>
      </c>
      <c r="H4303" s="2">
        <v>9.7324300000000005E-4</v>
      </c>
      <c r="I4303" s="2" t="s">
        <v>20264</v>
      </c>
      <c r="J4303" s="2" t="s">
        <v>20265</v>
      </c>
      <c r="K4303" s="2">
        <v>2.2002969999999999E-3</v>
      </c>
      <c r="L4303" s="2" t="s">
        <v>1178</v>
      </c>
      <c r="M4303" s="4" t="s">
        <v>20266</v>
      </c>
    </row>
    <row r="4304" spans="1:13">
      <c r="A4304" s="2">
        <v>4827</v>
      </c>
      <c r="B4304" s="2" t="s">
        <v>20267</v>
      </c>
      <c r="C4304" s="2">
        <v>11</v>
      </c>
      <c r="D4304" s="2">
        <v>556</v>
      </c>
      <c r="E4304" s="2">
        <v>198</v>
      </c>
      <c r="F4304" s="2">
        <v>32441</v>
      </c>
      <c r="G4304" s="2">
        <v>3.2415067949999998</v>
      </c>
      <c r="H4304" s="2">
        <v>9.0069100000000001E-4</v>
      </c>
      <c r="I4304" s="2" t="s">
        <v>20268</v>
      </c>
      <c r="J4304" s="2" t="s">
        <v>20269</v>
      </c>
      <c r="K4304" s="2">
        <v>2.2002969999999999E-3</v>
      </c>
      <c r="L4304" s="2" t="s">
        <v>1178</v>
      </c>
      <c r="M4304" s="4" t="s">
        <v>20270</v>
      </c>
    </row>
    <row r="4305" spans="1:13">
      <c r="A4305" s="2">
        <v>4863</v>
      </c>
      <c r="B4305" s="2" t="s">
        <v>20271</v>
      </c>
      <c r="C4305" s="2">
        <v>9</v>
      </c>
      <c r="D4305" s="2">
        <v>556</v>
      </c>
      <c r="E4305" s="2">
        <v>139</v>
      </c>
      <c r="F4305" s="2">
        <v>32441</v>
      </c>
      <c r="G4305" s="2">
        <v>3.777871228</v>
      </c>
      <c r="H4305" s="2">
        <v>9.5033200000000002E-4</v>
      </c>
      <c r="I4305" s="2" t="s">
        <v>20272</v>
      </c>
      <c r="J4305" s="2" t="s">
        <v>20273</v>
      </c>
      <c r="K4305" s="2">
        <v>2.2002969999999999E-3</v>
      </c>
      <c r="L4305" s="2" t="s">
        <v>1178</v>
      </c>
      <c r="M4305" s="4" t="s">
        <v>20274</v>
      </c>
    </row>
    <row r="4306" spans="1:13">
      <c r="A4306" s="2">
        <v>2167</v>
      </c>
      <c r="B4306" s="2" t="s">
        <v>20275</v>
      </c>
      <c r="C4306" s="2">
        <v>10</v>
      </c>
      <c r="D4306" s="2">
        <v>556</v>
      </c>
      <c r="E4306" s="2">
        <v>170</v>
      </c>
      <c r="F4306" s="2">
        <v>32441</v>
      </c>
      <c r="G4306" s="2">
        <v>3.4321836650000002</v>
      </c>
      <c r="H4306" s="2">
        <v>1.0127269999999999E-3</v>
      </c>
      <c r="I4306" s="2" t="s">
        <v>20276</v>
      </c>
      <c r="J4306" s="2" t="s">
        <v>20277</v>
      </c>
      <c r="K4306" s="2">
        <v>2.28744E-3</v>
      </c>
      <c r="L4306" s="2" t="s">
        <v>1178</v>
      </c>
      <c r="M4306" s="4" t="s">
        <v>20278</v>
      </c>
    </row>
    <row r="4307" spans="1:13">
      <c r="A4307" s="2">
        <v>28231</v>
      </c>
      <c r="B4307" s="2" t="s">
        <v>20279</v>
      </c>
      <c r="C4307" s="2">
        <v>10</v>
      </c>
      <c r="D4307" s="2">
        <v>556</v>
      </c>
      <c r="E4307" s="2">
        <v>170</v>
      </c>
      <c r="F4307" s="2">
        <v>32441</v>
      </c>
      <c r="G4307" s="2">
        <v>3.4321836650000002</v>
      </c>
      <c r="H4307" s="2">
        <v>1.0127269999999999E-3</v>
      </c>
      <c r="I4307" s="2" t="s">
        <v>20280</v>
      </c>
      <c r="J4307" s="2" t="s">
        <v>20281</v>
      </c>
      <c r="K4307" s="2">
        <v>2.28744E-3</v>
      </c>
      <c r="L4307" s="2" t="s">
        <v>1178</v>
      </c>
      <c r="M4307" s="4" t="s">
        <v>20282</v>
      </c>
    </row>
    <row r="4308" spans="1:13">
      <c r="A4308" s="2">
        <v>1751</v>
      </c>
      <c r="B4308" s="2" t="s">
        <v>20283</v>
      </c>
      <c r="C4308" s="2">
        <v>10</v>
      </c>
      <c r="D4308" s="2">
        <v>556</v>
      </c>
      <c r="E4308" s="2">
        <v>171</v>
      </c>
      <c r="F4308" s="2">
        <v>32441</v>
      </c>
      <c r="G4308" s="2">
        <v>3.4121124150000002</v>
      </c>
      <c r="H4308" s="2">
        <v>1.056172E-3</v>
      </c>
      <c r="I4308" s="2" t="s">
        <v>20284</v>
      </c>
      <c r="J4308" s="2" t="s">
        <v>20285</v>
      </c>
      <c r="K4308" s="2">
        <v>2.384462E-3</v>
      </c>
      <c r="L4308" s="2" t="s">
        <v>1178</v>
      </c>
      <c r="M4308" s="4" t="s">
        <v>20286</v>
      </c>
    </row>
    <row r="4309" spans="1:13">
      <c r="A4309" s="2">
        <v>17431</v>
      </c>
      <c r="B4309" s="2" t="s">
        <v>20287</v>
      </c>
      <c r="C4309" s="2">
        <v>10</v>
      </c>
      <c r="D4309" s="2">
        <v>556</v>
      </c>
      <c r="E4309" s="2">
        <v>173</v>
      </c>
      <c r="F4309" s="2">
        <v>32441</v>
      </c>
      <c r="G4309" s="2">
        <v>3.3726660289999999</v>
      </c>
      <c r="H4309" s="2">
        <v>1.1476380000000001E-3</v>
      </c>
      <c r="I4309" s="2" t="s">
        <v>20288</v>
      </c>
      <c r="J4309" s="2" t="s">
        <v>20289</v>
      </c>
      <c r="K4309" s="2">
        <v>2.58976E-3</v>
      </c>
      <c r="L4309" s="2" t="s">
        <v>1178</v>
      </c>
      <c r="M4309" s="4" t="s">
        <v>20290</v>
      </c>
    </row>
    <row r="4310" spans="1:13">
      <c r="A4310" s="2">
        <v>2277</v>
      </c>
      <c r="B4310" s="2" t="s">
        <v>20291</v>
      </c>
      <c r="C4310" s="2">
        <v>9</v>
      </c>
      <c r="D4310" s="2">
        <v>556</v>
      </c>
      <c r="E4310" s="2">
        <v>147</v>
      </c>
      <c r="F4310" s="2">
        <v>32441</v>
      </c>
      <c r="G4310" s="2">
        <v>3.5722727939999999</v>
      </c>
      <c r="H4310" s="2">
        <v>1.3746450000000001E-3</v>
      </c>
      <c r="I4310" s="2" t="s">
        <v>20292</v>
      </c>
      <c r="J4310" s="2" t="s">
        <v>20293</v>
      </c>
      <c r="K4310" s="2">
        <v>3.1005889999999999E-3</v>
      </c>
      <c r="L4310" s="2" t="s">
        <v>1178</v>
      </c>
      <c r="M4310" s="4" t="s">
        <v>20294</v>
      </c>
    </row>
    <row r="4311" spans="1:13">
      <c r="A4311" s="2">
        <v>4111</v>
      </c>
      <c r="B4311" s="2" t="s">
        <v>20295</v>
      </c>
      <c r="C4311" s="2">
        <v>10</v>
      </c>
      <c r="D4311" s="2">
        <v>556</v>
      </c>
      <c r="E4311" s="2">
        <v>178</v>
      </c>
      <c r="F4311" s="2">
        <v>32441</v>
      </c>
      <c r="G4311" s="2">
        <v>3.2779282190000001</v>
      </c>
      <c r="H4311" s="2">
        <v>1.404876E-3</v>
      </c>
      <c r="I4311" s="2" t="s">
        <v>20296</v>
      </c>
      <c r="J4311" s="2" t="s">
        <v>20297</v>
      </c>
      <c r="K4311" s="2">
        <v>3.16731E-3</v>
      </c>
      <c r="L4311" s="2" t="s">
        <v>1178</v>
      </c>
      <c r="M4311" s="4" t="s">
        <v>20298</v>
      </c>
    </row>
    <row r="4312" spans="1:13">
      <c r="A4312" s="2">
        <v>2279</v>
      </c>
      <c r="B4312" s="2" t="s">
        <v>20299</v>
      </c>
      <c r="C4312" s="2">
        <v>9</v>
      </c>
      <c r="D4312" s="2">
        <v>556</v>
      </c>
      <c r="E4312" s="2">
        <v>149</v>
      </c>
      <c r="F4312" s="2">
        <v>32441</v>
      </c>
      <c r="G4312" s="2">
        <v>3.524322824</v>
      </c>
      <c r="H4312" s="2">
        <v>1.5015580000000001E-3</v>
      </c>
      <c r="I4312" s="2" t="s">
        <v>20300</v>
      </c>
      <c r="J4312" s="2" t="s">
        <v>20301</v>
      </c>
      <c r="K4312" s="2">
        <v>3.380587E-3</v>
      </c>
      <c r="L4312" s="2" t="s">
        <v>1178</v>
      </c>
      <c r="M4312" s="4" t="s">
        <v>20302</v>
      </c>
    </row>
    <row r="4313" spans="1:13">
      <c r="A4313" s="2">
        <v>2521</v>
      </c>
      <c r="B4313" s="2" t="s">
        <v>20303</v>
      </c>
      <c r="C4313" s="2">
        <v>9</v>
      </c>
      <c r="D4313" s="2">
        <v>556</v>
      </c>
      <c r="E4313" s="2">
        <v>149</v>
      </c>
      <c r="F4313" s="2">
        <v>32441</v>
      </c>
      <c r="G4313" s="2">
        <v>3.524322824</v>
      </c>
      <c r="H4313" s="2">
        <v>1.5015580000000001E-3</v>
      </c>
      <c r="I4313" s="2" t="s">
        <v>20304</v>
      </c>
      <c r="J4313" s="2" t="s">
        <v>20305</v>
      </c>
      <c r="K4313" s="2">
        <v>3.380587E-3</v>
      </c>
      <c r="L4313" s="2" t="s">
        <v>1178</v>
      </c>
      <c r="M4313" s="4" t="s">
        <v>20306</v>
      </c>
    </row>
    <row r="4314" spans="1:13">
      <c r="A4314" s="2">
        <v>2719</v>
      </c>
      <c r="B4314" s="2" t="s">
        <v>20307</v>
      </c>
      <c r="C4314" s="2">
        <v>9</v>
      </c>
      <c r="D4314" s="2">
        <v>556</v>
      </c>
      <c r="E4314" s="2">
        <v>149</v>
      </c>
      <c r="F4314" s="2">
        <v>32441</v>
      </c>
      <c r="G4314" s="2">
        <v>3.524322824</v>
      </c>
      <c r="H4314" s="2">
        <v>1.5015580000000001E-3</v>
      </c>
      <c r="I4314" s="2" t="s">
        <v>20308</v>
      </c>
      <c r="J4314" s="2" t="s">
        <v>20309</v>
      </c>
      <c r="K4314" s="2">
        <v>3.380587E-3</v>
      </c>
      <c r="L4314" s="2" t="s">
        <v>1178</v>
      </c>
      <c r="M4314" s="4" t="s">
        <v>20310</v>
      </c>
    </row>
    <row r="4315" spans="1:13">
      <c r="A4315" s="2">
        <v>26971</v>
      </c>
      <c r="B4315" s="2" t="s">
        <v>20311</v>
      </c>
      <c r="C4315" s="2">
        <v>8</v>
      </c>
      <c r="D4315" s="2">
        <v>556</v>
      </c>
      <c r="E4315" s="2">
        <v>120</v>
      </c>
      <c r="F4315" s="2">
        <v>32441</v>
      </c>
      <c r="G4315" s="2">
        <v>3.8898081530000002</v>
      </c>
      <c r="H4315" s="2">
        <v>1.5120209999999999E-3</v>
      </c>
      <c r="I4315" s="2" t="s">
        <v>20312</v>
      </c>
      <c r="J4315" s="2" t="s">
        <v>20313</v>
      </c>
      <c r="K4315" s="2">
        <v>3.402572E-3</v>
      </c>
      <c r="L4315" s="2" t="s">
        <v>1178</v>
      </c>
      <c r="M4315" s="4" t="s">
        <v>20314</v>
      </c>
    </row>
    <row r="4316" spans="1:13">
      <c r="A4316" s="2">
        <v>1745</v>
      </c>
      <c r="B4316" s="2" t="s">
        <v>20315</v>
      </c>
      <c r="C4316" s="2">
        <v>10</v>
      </c>
      <c r="D4316" s="2">
        <v>556</v>
      </c>
      <c r="E4316" s="2">
        <v>182</v>
      </c>
      <c r="F4316" s="2">
        <v>32441</v>
      </c>
      <c r="G4316" s="2">
        <v>3.2058858410000002</v>
      </c>
      <c r="H4316" s="2">
        <v>1.6428269999999999E-3</v>
      </c>
      <c r="I4316" s="2" t="s">
        <v>20316</v>
      </c>
      <c r="J4316" s="2" t="s">
        <v>20317</v>
      </c>
      <c r="K4316" s="2">
        <v>3.6952230000000001E-3</v>
      </c>
      <c r="L4316" s="2" t="s">
        <v>1178</v>
      </c>
      <c r="M4316" s="4" t="s">
        <v>20318</v>
      </c>
    </row>
    <row r="4317" spans="1:13">
      <c r="A4317" s="2">
        <v>2751</v>
      </c>
      <c r="B4317" s="2" t="s">
        <v>20319</v>
      </c>
      <c r="C4317" s="2">
        <v>8</v>
      </c>
      <c r="D4317" s="2">
        <v>556</v>
      </c>
      <c r="E4317" s="2">
        <v>122</v>
      </c>
      <c r="F4317" s="2">
        <v>32441</v>
      </c>
      <c r="G4317" s="2">
        <v>3.826040807</v>
      </c>
      <c r="H4317" s="2">
        <v>1.668496E-3</v>
      </c>
      <c r="I4317" s="2" t="s">
        <v>20320</v>
      </c>
      <c r="J4317" s="2" t="s">
        <v>20321</v>
      </c>
      <c r="K4317" s="2">
        <v>3.7494989999999999E-3</v>
      </c>
      <c r="L4317" s="2" t="s">
        <v>1178</v>
      </c>
      <c r="M4317" s="4" t="s">
        <v>20322</v>
      </c>
    </row>
    <row r="4318" spans="1:13">
      <c r="A4318" s="2">
        <v>41071</v>
      </c>
      <c r="B4318" s="2" t="s">
        <v>20323</v>
      </c>
      <c r="C4318" s="2">
        <v>8</v>
      </c>
      <c r="D4318" s="2">
        <v>556</v>
      </c>
      <c r="E4318" s="2">
        <v>122</v>
      </c>
      <c r="F4318" s="2">
        <v>32441</v>
      </c>
      <c r="G4318" s="2">
        <v>3.826040807</v>
      </c>
      <c r="H4318" s="2">
        <v>1.668496E-3</v>
      </c>
      <c r="I4318" s="2" t="s">
        <v>20324</v>
      </c>
      <c r="J4318" s="2" t="s">
        <v>20325</v>
      </c>
      <c r="K4318" s="2">
        <v>3.7494989999999999E-3</v>
      </c>
      <c r="L4318" s="2" t="s">
        <v>1178</v>
      </c>
      <c r="M4318" s="4" t="s">
        <v>20326</v>
      </c>
    </row>
    <row r="4319" spans="1:13">
      <c r="A4319" s="2">
        <v>41711</v>
      </c>
      <c r="B4319" s="2" t="s">
        <v>20327</v>
      </c>
      <c r="C4319" s="2">
        <v>10</v>
      </c>
      <c r="D4319" s="2">
        <v>556</v>
      </c>
      <c r="E4319" s="2">
        <v>183</v>
      </c>
      <c r="F4319" s="2">
        <v>32441</v>
      </c>
      <c r="G4319" s="2">
        <v>3.188367339</v>
      </c>
      <c r="H4319" s="2">
        <v>1.7071460000000001E-3</v>
      </c>
      <c r="I4319" s="2" t="s">
        <v>20328</v>
      </c>
      <c r="J4319" s="2" t="s">
        <v>20329</v>
      </c>
      <c r="K4319" s="2">
        <v>3.8345850000000002E-3</v>
      </c>
      <c r="L4319" s="2" t="s">
        <v>1178</v>
      </c>
      <c r="M4319" s="4" t="s">
        <v>20330</v>
      </c>
    </row>
    <row r="4320" spans="1:13">
      <c r="A4320" s="2">
        <v>2406</v>
      </c>
      <c r="B4320" s="2" t="s">
        <v>20331</v>
      </c>
      <c r="C4320" s="2">
        <v>9</v>
      </c>
      <c r="D4320" s="2">
        <v>556</v>
      </c>
      <c r="E4320" s="2">
        <v>153</v>
      </c>
      <c r="F4320" s="2">
        <v>32441</v>
      </c>
      <c r="G4320" s="2">
        <v>3.4321836650000002</v>
      </c>
      <c r="H4320" s="2">
        <v>1.7836E-3</v>
      </c>
      <c r="I4320" s="2" t="s">
        <v>20332</v>
      </c>
      <c r="J4320" s="2" t="s">
        <v>20333</v>
      </c>
      <c r="K4320" s="2">
        <v>4.0044690000000001E-3</v>
      </c>
      <c r="L4320" s="2" t="s">
        <v>1178</v>
      </c>
      <c r="M4320" s="4" t="s">
        <v>20334</v>
      </c>
    </row>
    <row r="4321" spans="1:13">
      <c r="A4321" s="2">
        <v>2767</v>
      </c>
      <c r="B4321" s="2" t="s">
        <v>20335</v>
      </c>
      <c r="C4321" s="2">
        <v>8</v>
      </c>
      <c r="D4321" s="2">
        <v>556</v>
      </c>
      <c r="E4321" s="2">
        <v>124</v>
      </c>
      <c r="F4321" s="2">
        <v>32441</v>
      </c>
      <c r="G4321" s="2">
        <v>3.7643304710000001</v>
      </c>
      <c r="H4321" s="2">
        <v>1.8375069999999999E-3</v>
      </c>
      <c r="I4321" s="2" t="s">
        <v>20336</v>
      </c>
      <c r="J4321" s="2" t="s">
        <v>20337</v>
      </c>
      <c r="K4321" s="2">
        <v>4.1235990000000004E-3</v>
      </c>
      <c r="L4321" s="2" t="s">
        <v>1178</v>
      </c>
      <c r="M4321" s="4" t="s">
        <v>20338</v>
      </c>
    </row>
    <row r="4322" spans="1:13">
      <c r="A4322" s="2">
        <v>2476</v>
      </c>
      <c r="B4322" s="2" t="s">
        <v>20339</v>
      </c>
      <c r="C4322" s="2">
        <v>9</v>
      </c>
      <c r="D4322" s="2">
        <v>556</v>
      </c>
      <c r="E4322" s="2">
        <v>154</v>
      </c>
      <c r="F4322" s="2">
        <v>32441</v>
      </c>
      <c r="G4322" s="2">
        <v>3.4098967579999999</v>
      </c>
      <c r="H4322" s="2">
        <v>1.8603409999999999E-3</v>
      </c>
      <c r="I4322" s="2" t="s">
        <v>20340</v>
      </c>
      <c r="J4322" s="2" t="s">
        <v>20341</v>
      </c>
      <c r="K4322" s="2">
        <v>4.1729200000000001E-3</v>
      </c>
      <c r="L4322" s="2" t="s">
        <v>1178</v>
      </c>
      <c r="M4322" s="4" t="s">
        <v>20342</v>
      </c>
    </row>
    <row r="4323" spans="1:13">
      <c r="A4323" s="2">
        <v>3903</v>
      </c>
      <c r="B4323" s="2" t="s">
        <v>20343</v>
      </c>
      <c r="C4323" s="2">
        <v>10</v>
      </c>
      <c r="D4323" s="2">
        <v>556</v>
      </c>
      <c r="E4323" s="2">
        <v>187</v>
      </c>
      <c r="F4323" s="2">
        <v>32441</v>
      </c>
      <c r="G4323" s="2">
        <v>3.1201669679999999</v>
      </c>
      <c r="H4323" s="2">
        <v>1.9851180000000001E-3</v>
      </c>
      <c r="I4323" s="2" t="s">
        <v>20344</v>
      </c>
      <c r="J4323" s="2" t="s">
        <v>20345</v>
      </c>
      <c r="K4323" s="2">
        <v>4.450758E-3</v>
      </c>
      <c r="L4323" s="2" t="s">
        <v>1178</v>
      </c>
      <c r="M4323" s="4" t="s">
        <v>20346</v>
      </c>
    </row>
    <row r="4324" spans="1:13">
      <c r="A4324" s="2">
        <v>2816</v>
      </c>
      <c r="B4324" s="2" t="s">
        <v>1785</v>
      </c>
      <c r="C4324" s="2">
        <v>9</v>
      </c>
      <c r="D4324" s="2">
        <v>556</v>
      </c>
      <c r="E4324" s="2">
        <v>156</v>
      </c>
      <c r="F4324" s="2">
        <v>32441</v>
      </c>
      <c r="G4324" s="2">
        <v>3.3661801329999999</v>
      </c>
      <c r="H4324" s="2">
        <v>2.0217360000000001E-3</v>
      </c>
      <c r="I4324" s="2" t="s">
        <v>20347</v>
      </c>
      <c r="J4324" s="2" t="s">
        <v>20348</v>
      </c>
      <c r="K4324" s="2">
        <v>4.5286900000000001E-3</v>
      </c>
      <c r="L4324" s="2" t="s">
        <v>1178</v>
      </c>
      <c r="M4324" s="4" t="s">
        <v>20349</v>
      </c>
    </row>
    <row r="4325" spans="1:13">
      <c r="A4325" s="2">
        <v>4009</v>
      </c>
      <c r="B4325" s="2" t="s">
        <v>20350</v>
      </c>
      <c r="C4325" s="2">
        <v>9</v>
      </c>
      <c r="D4325" s="2">
        <v>556</v>
      </c>
      <c r="E4325" s="2">
        <v>156</v>
      </c>
      <c r="F4325" s="2">
        <v>32441</v>
      </c>
      <c r="G4325" s="2">
        <v>3.3661801329999999</v>
      </c>
      <c r="H4325" s="2">
        <v>2.0217360000000001E-3</v>
      </c>
      <c r="I4325" s="2" t="s">
        <v>20351</v>
      </c>
      <c r="J4325" s="2" t="s">
        <v>20352</v>
      </c>
      <c r="K4325" s="2">
        <v>4.5286900000000001E-3</v>
      </c>
      <c r="L4325" s="2" t="s">
        <v>1178</v>
      </c>
      <c r="M4325" s="4" t="s">
        <v>20353</v>
      </c>
    </row>
    <row r="4326" spans="1:13">
      <c r="A4326" s="2">
        <v>2442</v>
      </c>
      <c r="B4326" s="2" t="s">
        <v>20354</v>
      </c>
      <c r="C4326" s="2">
        <v>9</v>
      </c>
      <c r="D4326" s="2">
        <v>556</v>
      </c>
      <c r="E4326" s="2">
        <v>157</v>
      </c>
      <c r="F4326" s="2">
        <v>32441</v>
      </c>
      <c r="G4326" s="2">
        <v>3.3447394949999998</v>
      </c>
      <c r="H4326" s="2">
        <v>2.1065179999999999E-3</v>
      </c>
      <c r="I4326" s="2" t="s">
        <v>20355</v>
      </c>
      <c r="J4326" s="2" t="s">
        <v>20356</v>
      </c>
      <c r="K4326" s="2">
        <v>4.7142649999999996E-3</v>
      </c>
      <c r="L4326" s="2" t="s">
        <v>1178</v>
      </c>
      <c r="M4326" s="4" t="s">
        <v>20357</v>
      </c>
    </row>
    <row r="4327" spans="1:13">
      <c r="A4327" s="2">
        <v>41592</v>
      </c>
      <c r="B4327" s="2" t="s">
        <v>20358</v>
      </c>
      <c r="C4327" s="2">
        <v>9</v>
      </c>
      <c r="D4327" s="2">
        <v>556</v>
      </c>
      <c r="E4327" s="2">
        <v>157</v>
      </c>
      <c r="F4327" s="2">
        <v>32441</v>
      </c>
      <c r="G4327" s="2">
        <v>3.3447394949999998</v>
      </c>
      <c r="H4327" s="2">
        <v>2.1065179999999999E-3</v>
      </c>
      <c r="I4327" s="2" t="s">
        <v>20359</v>
      </c>
      <c r="J4327" s="2" t="s">
        <v>20360</v>
      </c>
      <c r="K4327" s="2">
        <v>4.7142649999999996E-3</v>
      </c>
      <c r="L4327" s="2" t="s">
        <v>1178</v>
      </c>
      <c r="M4327" s="4" t="s">
        <v>20361</v>
      </c>
    </row>
    <row r="4328" spans="1:13">
      <c r="A4328" s="2">
        <v>4662</v>
      </c>
      <c r="B4328" s="2" t="s">
        <v>20362</v>
      </c>
      <c r="C4328" s="2">
        <v>10</v>
      </c>
      <c r="D4328" s="2">
        <v>556</v>
      </c>
      <c r="E4328" s="2">
        <v>189</v>
      </c>
      <c r="F4328" s="2">
        <v>32441</v>
      </c>
      <c r="G4328" s="2">
        <v>3.0871493280000002</v>
      </c>
      <c r="H4328" s="2">
        <v>2.1371860000000001E-3</v>
      </c>
      <c r="I4328" s="2" t="s">
        <v>20363</v>
      </c>
      <c r="J4328" s="2" t="s">
        <v>20364</v>
      </c>
      <c r="K4328" s="2">
        <v>4.7807029999999999E-3</v>
      </c>
      <c r="L4328" s="2" t="s">
        <v>1178</v>
      </c>
      <c r="M4328" s="4" t="s">
        <v>20365</v>
      </c>
    </row>
    <row r="4329" spans="1:13">
      <c r="A4329" s="2">
        <v>2565</v>
      </c>
      <c r="B4329" s="2" t="s">
        <v>20366</v>
      </c>
      <c r="C4329" s="2">
        <v>9</v>
      </c>
      <c r="D4329" s="2">
        <v>556</v>
      </c>
      <c r="E4329" s="2">
        <v>158</v>
      </c>
      <c r="F4329" s="2">
        <v>32441</v>
      </c>
      <c r="G4329" s="2">
        <v>3.3235702580000002</v>
      </c>
      <c r="H4329" s="2">
        <v>2.1941080000000002E-3</v>
      </c>
      <c r="I4329" s="2" t="s">
        <v>20367</v>
      </c>
      <c r="J4329" s="2" t="s">
        <v>20368</v>
      </c>
      <c r="K4329" s="2">
        <v>4.9057789999999999E-3</v>
      </c>
      <c r="L4329" s="2" t="s">
        <v>1178</v>
      </c>
      <c r="M4329" s="4" t="s">
        <v>20369</v>
      </c>
    </row>
    <row r="4330" spans="1:13">
      <c r="A4330" s="2">
        <v>3305</v>
      </c>
      <c r="B4330" s="2" t="s">
        <v>20370</v>
      </c>
      <c r="C4330" s="2">
        <v>9</v>
      </c>
      <c r="D4330" s="2">
        <v>556</v>
      </c>
      <c r="E4330" s="2">
        <v>159</v>
      </c>
      <c r="F4330" s="2">
        <v>32441</v>
      </c>
      <c r="G4330" s="2">
        <v>3.3026673</v>
      </c>
      <c r="H4330" s="2">
        <v>2.2845719999999999E-3</v>
      </c>
      <c r="I4330" s="2" t="s">
        <v>20371</v>
      </c>
      <c r="J4330" s="2" t="s">
        <v>20372</v>
      </c>
      <c r="K4330" s="2">
        <v>5.105704E-3</v>
      </c>
      <c r="L4330" s="2" t="s">
        <v>1178</v>
      </c>
      <c r="M4330" s="4" t="s">
        <v>20373</v>
      </c>
    </row>
    <row r="4331" spans="1:13">
      <c r="A4331" s="2">
        <v>1755</v>
      </c>
      <c r="B4331" s="2" t="s">
        <v>20374</v>
      </c>
      <c r="C4331" s="2">
        <v>9</v>
      </c>
      <c r="D4331" s="2">
        <v>556</v>
      </c>
      <c r="E4331" s="2">
        <v>160</v>
      </c>
      <c r="F4331" s="2">
        <v>32441</v>
      </c>
      <c r="G4331" s="2">
        <v>3.2820256290000001</v>
      </c>
      <c r="H4331" s="2">
        <v>2.3779769999999999E-3</v>
      </c>
      <c r="I4331" s="2" t="s">
        <v>20375</v>
      </c>
      <c r="J4331" s="2" t="s">
        <v>20376</v>
      </c>
      <c r="K4331" s="2">
        <v>5.3071480000000002E-3</v>
      </c>
      <c r="L4331" s="2" t="s">
        <v>1178</v>
      </c>
      <c r="M4331" s="4" t="s">
        <v>20377</v>
      </c>
    </row>
    <row r="4332" spans="1:13">
      <c r="A4332" s="2">
        <v>2545</v>
      </c>
      <c r="B4332" s="2" t="s">
        <v>20378</v>
      </c>
      <c r="C4332" s="2">
        <v>9</v>
      </c>
      <c r="D4332" s="2">
        <v>556</v>
      </c>
      <c r="E4332" s="2">
        <v>160</v>
      </c>
      <c r="F4332" s="2">
        <v>32441</v>
      </c>
      <c r="G4332" s="2">
        <v>3.2820256290000001</v>
      </c>
      <c r="H4332" s="2">
        <v>2.3779769999999999E-3</v>
      </c>
      <c r="I4332" s="2" t="s">
        <v>20379</v>
      </c>
      <c r="J4332" s="2" t="s">
        <v>20380</v>
      </c>
      <c r="K4332" s="2">
        <v>5.3071480000000002E-3</v>
      </c>
      <c r="L4332" s="2" t="s">
        <v>1178</v>
      </c>
      <c r="M4332" s="4" t="s">
        <v>20381</v>
      </c>
    </row>
    <row r="4333" spans="1:13">
      <c r="A4333" s="2">
        <v>42201</v>
      </c>
      <c r="B4333" s="2" t="s">
        <v>20382</v>
      </c>
      <c r="C4333" s="2">
        <v>9</v>
      </c>
      <c r="D4333" s="2">
        <v>556</v>
      </c>
      <c r="E4333" s="2">
        <v>160</v>
      </c>
      <c r="F4333" s="2">
        <v>32441</v>
      </c>
      <c r="G4333" s="2">
        <v>3.2820256290000001</v>
      </c>
      <c r="H4333" s="2">
        <v>2.3779769999999999E-3</v>
      </c>
      <c r="I4333" s="2" t="s">
        <v>20383</v>
      </c>
      <c r="J4333" s="2" t="s">
        <v>20384</v>
      </c>
      <c r="K4333" s="2">
        <v>5.3071480000000002E-3</v>
      </c>
      <c r="L4333" s="2" t="s">
        <v>1178</v>
      </c>
      <c r="M4333" s="4" t="s">
        <v>20385</v>
      </c>
    </row>
    <row r="4334" spans="1:13">
      <c r="A4334" s="2">
        <v>3189</v>
      </c>
      <c r="B4334" s="2" t="s">
        <v>20386</v>
      </c>
      <c r="C4334" s="2">
        <v>10</v>
      </c>
      <c r="D4334" s="2">
        <v>556</v>
      </c>
      <c r="E4334" s="2">
        <v>195</v>
      </c>
      <c r="F4334" s="2">
        <v>32441</v>
      </c>
      <c r="G4334" s="2">
        <v>2.9921601180000001</v>
      </c>
      <c r="H4334" s="2">
        <v>2.6504340000000001E-3</v>
      </c>
      <c r="I4334" s="2" t="s">
        <v>20387</v>
      </c>
      <c r="J4334" s="2" t="s">
        <v>20388</v>
      </c>
      <c r="K4334" s="2">
        <v>5.9097999999999998E-3</v>
      </c>
      <c r="L4334" s="2" t="s">
        <v>1178</v>
      </c>
      <c r="M4334" s="4" t="s">
        <v>20389</v>
      </c>
    </row>
    <row r="4335" spans="1:13">
      <c r="A4335" s="2">
        <v>3664</v>
      </c>
      <c r="B4335" s="2" t="s">
        <v>20390</v>
      </c>
      <c r="C4335" s="2">
        <v>10</v>
      </c>
      <c r="D4335" s="2">
        <v>556</v>
      </c>
      <c r="E4335" s="2">
        <v>195</v>
      </c>
      <c r="F4335" s="2">
        <v>32441</v>
      </c>
      <c r="G4335" s="2">
        <v>2.9921601180000001</v>
      </c>
      <c r="H4335" s="2">
        <v>2.6504340000000001E-3</v>
      </c>
      <c r="I4335" s="2" t="s">
        <v>20391</v>
      </c>
      <c r="J4335" s="2" t="s">
        <v>20392</v>
      </c>
      <c r="K4335" s="2">
        <v>5.9097999999999998E-3</v>
      </c>
      <c r="L4335" s="2" t="s">
        <v>1178</v>
      </c>
      <c r="M4335" s="4" t="s">
        <v>20393</v>
      </c>
    </row>
    <row r="4336" spans="1:13">
      <c r="A4336" s="2">
        <v>2746</v>
      </c>
      <c r="B4336" s="2" t="s">
        <v>20394</v>
      </c>
      <c r="C4336" s="2">
        <v>7</v>
      </c>
      <c r="D4336" s="2">
        <v>556</v>
      </c>
      <c r="E4336" s="2">
        <v>103</v>
      </c>
      <c r="F4336" s="2">
        <v>32441</v>
      </c>
      <c r="G4336" s="2">
        <v>3.9653384090000001</v>
      </c>
      <c r="H4336" s="2">
        <v>2.656743E-3</v>
      </c>
      <c r="I4336" s="2" t="s">
        <v>20395</v>
      </c>
      <c r="J4336" s="2" t="s">
        <v>20396</v>
      </c>
      <c r="K4336" s="2">
        <v>5.9211589999999996E-3</v>
      </c>
      <c r="L4336" s="2" t="s">
        <v>1178</v>
      </c>
      <c r="M4336" s="4" t="s">
        <v>20397</v>
      </c>
    </row>
    <row r="4337" spans="1:13">
      <c r="A4337" s="2">
        <v>2041</v>
      </c>
      <c r="B4337" s="2" t="s">
        <v>20398</v>
      </c>
      <c r="C4337" s="2">
        <v>10</v>
      </c>
      <c r="D4337" s="2">
        <v>556</v>
      </c>
      <c r="E4337" s="2">
        <v>196</v>
      </c>
      <c r="F4337" s="2">
        <v>32441</v>
      </c>
      <c r="G4337" s="2">
        <v>2.9768939950000002</v>
      </c>
      <c r="H4337" s="2">
        <v>2.7448279999999999E-3</v>
      </c>
      <c r="I4337" s="2" t="s">
        <v>20399</v>
      </c>
      <c r="J4337" s="2" t="s">
        <v>20400</v>
      </c>
      <c r="K4337" s="2">
        <v>6.1118850000000001E-3</v>
      </c>
      <c r="L4337" s="2" t="s">
        <v>1178</v>
      </c>
      <c r="M4337" s="4" t="s">
        <v>20401</v>
      </c>
    </row>
    <row r="4338" spans="1:13">
      <c r="A4338" s="2">
        <v>4848</v>
      </c>
      <c r="B4338" s="2" t="s">
        <v>20402</v>
      </c>
      <c r="C4338" s="2">
        <v>10</v>
      </c>
      <c r="D4338" s="2">
        <v>556</v>
      </c>
      <c r="E4338" s="2">
        <v>196</v>
      </c>
      <c r="F4338" s="2">
        <v>32441</v>
      </c>
      <c r="G4338" s="2">
        <v>2.9768939950000002</v>
      </c>
      <c r="H4338" s="2">
        <v>2.7448279999999999E-3</v>
      </c>
      <c r="I4338" s="2" t="s">
        <v>20403</v>
      </c>
      <c r="J4338" s="2" t="s">
        <v>20404</v>
      </c>
      <c r="K4338" s="2">
        <v>6.1118850000000001E-3</v>
      </c>
      <c r="L4338" s="2" t="s">
        <v>1178</v>
      </c>
      <c r="M4338" s="4" t="s">
        <v>20405</v>
      </c>
    </row>
    <row r="4339" spans="1:13">
      <c r="A4339" s="2">
        <v>4096</v>
      </c>
      <c r="B4339" s="2" t="s">
        <v>20406</v>
      </c>
      <c r="C4339" s="2">
        <v>8</v>
      </c>
      <c r="D4339" s="2">
        <v>556</v>
      </c>
      <c r="E4339" s="2">
        <v>133</v>
      </c>
      <c r="F4339" s="2">
        <v>32441</v>
      </c>
      <c r="G4339" s="2">
        <v>3.5096013410000002</v>
      </c>
      <c r="H4339" s="2">
        <v>2.7720679999999999E-3</v>
      </c>
      <c r="I4339" s="2" t="s">
        <v>20407</v>
      </c>
      <c r="J4339" s="2" t="s">
        <v>20408</v>
      </c>
      <c r="K4339" s="2">
        <v>6.1697189999999997E-3</v>
      </c>
      <c r="L4339" s="2" t="s">
        <v>1178</v>
      </c>
      <c r="M4339" s="4" t="s">
        <v>20409</v>
      </c>
    </row>
    <row r="4340" spans="1:13">
      <c r="A4340" s="2">
        <v>24</v>
      </c>
      <c r="B4340" s="2" t="s">
        <v>20410</v>
      </c>
      <c r="C4340" s="2">
        <v>10</v>
      </c>
      <c r="D4340" s="2">
        <v>556</v>
      </c>
      <c r="E4340" s="2">
        <v>200</v>
      </c>
      <c r="F4340" s="2">
        <v>32441</v>
      </c>
      <c r="G4340" s="2">
        <v>2.917356115</v>
      </c>
      <c r="H4340" s="2">
        <v>3.1496330000000002E-3</v>
      </c>
      <c r="I4340" s="2" t="s">
        <v>20411</v>
      </c>
      <c r="J4340" s="2" t="s">
        <v>20412</v>
      </c>
      <c r="K4340" s="2">
        <v>6.222633E-3</v>
      </c>
      <c r="L4340" s="2" t="s">
        <v>1178</v>
      </c>
      <c r="M4340" s="4" t="s">
        <v>20413</v>
      </c>
    </row>
    <row r="4341" spans="1:13">
      <c r="A4341" s="2">
        <v>477</v>
      </c>
      <c r="B4341" s="2" t="s">
        <v>1644</v>
      </c>
      <c r="C4341" s="2">
        <v>10</v>
      </c>
      <c r="D4341" s="2">
        <v>556</v>
      </c>
      <c r="E4341" s="2">
        <v>200</v>
      </c>
      <c r="F4341" s="2">
        <v>32441</v>
      </c>
      <c r="G4341" s="2">
        <v>2.917356115</v>
      </c>
      <c r="H4341" s="2">
        <v>3.1496330000000002E-3</v>
      </c>
      <c r="I4341" s="2" t="s">
        <v>20414</v>
      </c>
      <c r="J4341" s="2" t="s">
        <v>20415</v>
      </c>
      <c r="K4341" s="2">
        <v>6.222633E-3</v>
      </c>
      <c r="L4341" s="2" t="s">
        <v>1178</v>
      </c>
      <c r="M4341" s="4" t="s">
        <v>20416</v>
      </c>
    </row>
    <row r="4342" spans="1:13">
      <c r="A4342" s="2">
        <v>76</v>
      </c>
      <c r="B4342" s="2" t="s">
        <v>20417</v>
      </c>
      <c r="C4342" s="2">
        <v>10</v>
      </c>
      <c r="D4342" s="2">
        <v>556</v>
      </c>
      <c r="E4342" s="2">
        <v>200</v>
      </c>
      <c r="F4342" s="2">
        <v>32441</v>
      </c>
      <c r="G4342" s="2">
        <v>2.917356115</v>
      </c>
      <c r="H4342" s="2">
        <v>3.1496330000000002E-3</v>
      </c>
      <c r="I4342" s="2" t="s">
        <v>20418</v>
      </c>
      <c r="J4342" s="2" t="s">
        <v>20419</v>
      </c>
      <c r="K4342" s="2">
        <v>6.222633E-3</v>
      </c>
      <c r="L4342" s="2" t="s">
        <v>1178</v>
      </c>
      <c r="M4342" s="4" t="s">
        <v>20420</v>
      </c>
    </row>
    <row r="4343" spans="1:13">
      <c r="A4343" s="2">
        <v>831</v>
      </c>
      <c r="B4343" s="2" t="s">
        <v>20421</v>
      </c>
      <c r="C4343" s="2">
        <v>10</v>
      </c>
      <c r="D4343" s="2">
        <v>556</v>
      </c>
      <c r="E4343" s="2">
        <v>200</v>
      </c>
      <c r="F4343" s="2">
        <v>32441</v>
      </c>
      <c r="G4343" s="2">
        <v>2.917356115</v>
      </c>
      <c r="H4343" s="2">
        <v>3.1496330000000002E-3</v>
      </c>
      <c r="I4343" s="2" t="s">
        <v>20422</v>
      </c>
      <c r="J4343" s="2" t="s">
        <v>20423</v>
      </c>
      <c r="K4343" s="2">
        <v>6.222633E-3</v>
      </c>
      <c r="L4343" s="2" t="s">
        <v>1178</v>
      </c>
      <c r="M4343" s="4" t="s">
        <v>20424</v>
      </c>
    </row>
    <row r="4344" spans="1:13">
      <c r="A4344" s="2">
        <v>84</v>
      </c>
      <c r="B4344" s="2" t="s">
        <v>20425</v>
      </c>
      <c r="C4344" s="2">
        <v>10</v>
      </c>
      <c r="D4344" s="2">
        <v>556</v>
      </c>
      <c r="E4344" s="2">
        <v>200</v>
      </c>
      <c r="F4344" s="2">
        <v>32441</v>
      </c>
      <c r="G4344" s="2">
        <v>2.917356115</v>
      </c>
      <c r="H4344" s="2">
        <v>3.1496330000000002E-3</v>
      </c>
      <c r="I4344" s="2" t="s">
        <v>20426</v>
      </c>
      <c r="J4344" s="2" t="s">
        <v>20427</v>
      </c>
      <c r="K4344" s="2">
        <v>6.222633E-3</v>
      </c>
      <c r="L4344" s="2" t="s">
        <v>1178</v>
      </c>
      <c r="M4344" s="4" t="s">
        <v>20428</v>
      </c>
    </row>
    <row r="4345" spans="1:13">
      <c r="A4345" s="2">
        <v>853</v>
      </c>
      <c r="B4345" s="2" t="s">
        <v>20429</v>
      </c>
      <c r="C4345" s="2">
        <v>10</v>
      </c>
      <c r="D4345" s="2">
        <v>556</v>
      </c>
      <c r="E4345" s="2">
        <v>200</v>
      </c>
      <c r="F4345" s="2">
        <v>32441</v>
      </c>
      <c r="G4345" s="2">
        <v>2.917356115</v>
      </c>
      <c r="H4345" s="2">
        <v>3.1496330000000002E-3</v>
      </c>
      <c r="I4345" s="2" t="s">
        <v>20430</v>
      </c>
      <c r="J4345" s="2" t="s">
        <v>20431</v>
      </c>
      <c r="K4345" s="2">
        <v>6.222633E-3</v>
      </c>
      <c r="L4345" s="2" t="s">
        <v>1178</v>
      </c>
      <c r="M4345" s="4" t="s">
        <v>20432</v>
      </c>
    </row>
    <row r="4346" spans="1:13">
      <c r="A4346" s="2">
        <v>1053</v>
      </c>
      <c r="B4346" s="2" t="s">
        <v>20433</v>
      </c>
      <c r="C4346" s="2">
        <v>10</v>
      </c>
      <c r="D4346" s="2">
        <v>556</v>
      </c>
      <c r="E4346" s="2">
        <v>200</v>
      </c>
      <c r="F4346" s="2">
        <v>32441</v>
      </c>
      <c r="G4346" s="2">
        <v>2.917356115</v>
      </c>
      <c r="H4346" s="2">
        <v>3.1496330000000002E-3</v>
      </c>
      <c r="I4346" s="2" t="s">
        <v>20434</v>
      </c>
      <c r="J4346" s="2" t="s">
        <v>20435</v>
      </c>
      <c r="K4346" s="2">
        <v>6.222633E-3</v>
      </c>
      <c r="L4346" s="2" t="s">
        <v>1178</v>
      </c>
      <c r="M4346" s="4" t="s">
        <v>20436</v>
      </c>
    </row>
    <row r="4347" spans="1:13">
      <c r="A4347" s="2">
        <v>1208</v>
      </c>
      <c r="B4347" s="2" t="s">
        <v>20437</v>
      </c>
      <c r="C4347" s="2">
        <v>10</v>
      </c>
      <c r="D4347" s="2">
        <v>556</v>
      </c>
      <c r="E4347" s="2">
        <v>200</v>
      </c>
      <c r="F4347" s="2">
        <v>32441</v>
      </c>
      <c r="G4347" s="2">
        <v>2.917356115</v>
      </c>
      <c r="H4347" s="2">
        <v>3.1496330000000002E-3</v>
      </c>
      <c r="I4347" s="2" t="s">
        <v>20438</v>
      </c>
      <c r="J4347" s="2" t="s">
        <v>20439</v>
      </c>
      <c r="K4347" s="2">
        <v>6.222633E-3</v>
      </c>
      <c r="L4347" s="2" t="s">
        <v>1178</v>
      </c>
      <c r="M4347" s="4" t="s">
        <v>20440</v>
      </c>
    </row>
    <row r="4348" spans="1:13">
      <c r="A4348" s="2">
        <v>1232</v>
      </c>
      <c r="B4348" s="2" t="s">
        <v>2313</v>
      </c>
      <c r="C4348" s="2">
        <v>10</v>
      </c>
      <c r="D4348" s="2">
        <v>556</v>
      </c>
      <c r="E4348" s="2">
        <v>200</v>
      </c>
      <c r="F4348" s="2">
        <v>32441</v>
      </c>
      <c r="G4348" s="2">
        <v>2.917356115</v>
      </c>
      <c r="H4348" s="2">
        <v>3.1496330000000002E-3</v>
      </c>
      <c r="I4348" s="2" t="s">
        <v>20441</v>
      </c>
      <c r="J4348" s="2" t="s">
        <v>20442</v>
      </c>
      <c r="K4348" s="2">
        <v>6.222633E-3</v>
      </c>
      <c r="L4348" s="2" t="s">
        <v>1178</v>
      </c>
      <c r="M4348" s="4" t="s">
        <v>20443</v>
      </c>
    </row>
    <row r="4349" spans="1:13">
      <c r="A4349" s="2">
        <v>12710</v>
      </c>
      <c r="B4349" s="2" t="s">
        <v>20444</v>
      </c>
      <c r="C4349" s="2">
        <v>10</v>
      </c>
      <c r="D4349" s="2">
        <v>556</v>
      </c>
      <c r="E4349" s="2">
        <v>200</v>
      </c>
      <c r="F4349" s="2">
        <v>32441</v>
      </c>
      <c r="G4349" s="2">
        <v>2.917356115</v>
      </c>
      <c r="H4349" s="2">
        <v>3.1496330000000002E-3</v>
      </c>
      <c r="I4349" s="2" t="s">
        <v>20445</v>
      </c>
      <c r="J4349" s="2" t="s">
        <v>20446</v>
      </c>
      <c r="K4349" s="2">
        <v>6.222633E-3</v>
      </c>
      <c r="L4349" s="2" t="s">
        <v>1178</v>
      </c>
      <c r="M4349" s="4" t="s">
        <v>20447</v>
      </c>
    </row>
    <row r="4350" spans="1:13">
      <c r="A4350" s="2">
        <v>1492</v>
      </c>
      <c r="B4350" s="2" t="s">
        <v>20448</v>
      </c>
      <c r="C4350" s="2">
        <v>10</v>
      </c>
      <c r="D4350" s="2">
        <v>556</v>
      </c>
      <c r="E4350" s="2">
        <v>200</v>
      </c>
      <c r="F4350" s="2">
        <v>32441</v>
      </c>
      <c r="G4350" s="2">
        <v>2.917356115</v>
      </c>
      <c r="H4350" s="2">
        <v>3.1496330000000002E-3</v>
      </c>
      <c r="I4350" s="2" t="s">
        <v>20449</v>
      </c>
      <c r="J4350" s="2" t="s">
        <v>20450</v>
      </c>
      <c r="K4350" s="2">
        <v>6.222633E-3</v>
      </c>
      <c r="L4350" s="2" t="s">
        <v>1178</v>
      </c>
      <c r="M4350" s="4" t="s">
        <v>20451</v>
      </c>
    </row>
    <row r="4351" spans="1:13">
      <c r="A4351" s="2">
        <v>18110</v>
      </c>
      <c r="B4351" s="2" t="s">
        <v>20452</v>
      </c>
      <c r="C4351" s="2">
        <v>10</v>
      </c>
      <c r="D4351" s="2">
        <v>556</v>
      </c>
      <c r="E4351" s="2">
        <v>200</v>
      </c>
      <c r="F4351" s="2">
        <v>32441</v>
      </c>
      <c r="G4351" s="2">
        <v>2.917356115</v>
      </c>
      <c r="H4351" s="2">
        <v>3.1496330000000002E-3</v>
      </c>
      <c r="I4351" s="2" t="s">
        <v>20453</v>
      </c>
      <c r="J4351" s="2" t="s">
        <v>20454</v>
      </c>
      <c r="K4351" s="2">
        <v>6.222633E-3</v>
      </c>
      <c r="L4351" s="2" t="s">
        <v>1178</v>
      </c>
      <c r="M4351" s="4" t="s">
        <v>20455</v>
      </c>
    </row>
    <row r="4352" spans="1:13">
      <c r="A4352" s="2">
        <v>218</v>
      </c>
      <c r="B4352" s="2" t="s">
        <v>20456</v>
      </c>
      <c r="C4352" s="2">
        <v>10</v>
      </c>
      <c r="D4352" s="2">
        <v>556</v>
      </c>
      <c r="E4352" s="2">
        <v>200</v>
      </c>
      <c r="F4352" s="2">
        <v>32441</v>
      </c>
      <c r="G4352" s="2">
        <v>2.917356115</v>
      </c>
      <c r="H4352" s="2">
        <v>3.1496330000000002E-3</v>
      </c>
      <c r="I4352" s="2" t="s">
        <v>20457</v>
      </c>
      <c r="J4352" s="2" t="s">
        <v>20458</v>
      </c>
      <c r="K4352" s="2">
        <v>6.222633E-3</v>
      </c>
      <c r="L4352" s="2" t="s">
        <v>1178</v>
      </c>
      <c r="M4352" s="4" t="s">
        <v>20459</v>
      </c>
    </row>
    <row r="4353" spans="1:13">
      <c r="A4353" s="2">
        <v>2195</v>
      </c>
      <c r="B4353" s="2" t="s">
        <v>20460</v>
      </c>
      <c r="C4353" s="2">
        <v>10</v>
      </c>
      <c r="D4353" s="2">
        <v>556</v>
      </c>
      <c r="E4353" s="2">
        <v>200</v>
      </c>
      <c r="F4353" s="2">
        <v>32441</v>
      </c>
      <c r="G4353" s="2">
        <v>2.917356115</v>
      </c>
      <c r="H4353" s="2">
        <v>3.1496330000000002E-3</v>
      </c>
      <c r="I4353" s="2" t="s">
        <v>20461</v>
      </c>
      <c r="J4353" s="2" t="s">
        <v>20462</v>
      </c>
      <c r="K4353" s="2">
        <v>6.222633E-3</v>
      </c>
      <c r="L4353" s="2" t="s">
        <v>1178</v>
      </c>
      <c r="M4353" s="4" t="s">
        <v>20463</v>
      </c>
    </row>
    <row r="4354" spans="1:13">
      <c r="A4354" s="2">
        <v>241</v>
      </c>
      <c r="B4354" s="2" t="s">
        <v>20464</v>
      </c>
      <c r="C4354" s="2">
        <v>10</v>
      </c>
      <c r="D4354" s="2">
        <v>556</v>
      </c>
      <c r="E4354" s="2">
        <v>200</v>
      </c>
      <c r="F4354" s="2">
        <v>32441</v>
      </c>
      <c r="G4354" s="2">
        <v>2.917356115</v>
      </c>
      <c r="H4354" s="2">
        <v>3.1496330000000002E-3</v>
      </c>
      <c r="I4354" s="2" t="s">
        <v>20465</v>
      </c>
      <c r="J4354" s="2" t="s">
        <v>20466</v>
      </c>
      <c r="K4354" s="2">
        <v>6.222633E-3</v>
      </c>
      <c r="L4354" s="2" t="s">
        <v>1178</v>
      </c>
      <c r="M4354" s="4" t="s">
        <v>20467</v>
      </c>
    </row>
    <row r="4355" spans="1:13">
      <c r="A4355" s="2">
        <v>248</v>
      </c>
      <c r="B4355" s="2" t="s">
        <v>20468</v>
      </c>
      <c r="C4355" s="2">
        <v>10</v>
      </c>
      <c r="D4355" s="2">
        <v>556</v>
      </c>
      <c r="E4355" s="2">
        <v>200</v>
      </c>
      <c r="F4355" s="2">
        <v>32441</v>
      </c>
      <c r="G4355" s="2">
        <v>2.917356115</v>
      </c>
      <c r="H4355" s="2">
        <v>3.1496330000000002E-3</v>
      </c>
      <c r="I4355" s="2" t="s">
        <v>20469</v>
      </c>
      <c r="J4355" s="2" t="s">
        <v>20470</v>
      </c>
      <c r="K4355" s="2">
        <v>6.222633E-3</v>
      </c>
      <c r="L4355" s="2" t="s">
        <v>1178</v>
      </c>
      <c r="M4355" s="4" t="s">
        <v>20471</v>
      </c>
    </row>
    <row r="4356" spans="1:13">
      <c r="A4356" s="2">
        <v>2523</v>
      </c>
      <c r="B4356" s="2" t="s">
        <v>20472</v>
      </c>
      <c r="C4356" s="2">
        <v>10</v>
      </c>
      <c r="D4356" s="2">
        <v>556</v>
      </c>
      <c r="E4356" s="2">
        <v>200</v>
      </c>
      <c r="F4356" s="2">
        <v>32441</v>
      </c>
      <c r="G4356" s="2">
        <v>2.917356115</v>
      </c>
      <c r="H4356" s="2">
        <v>3.1496330000000002E-3</v>
      </c>
      <c r="I4356" s="2" t="s">
        <v>20473</v>
      </c>
      <c r="J4356" s="2" t="s">
        <v>20474</v>
      </c>
      <c r="K4356" s="2">
        <v>6.222633E-3</v>
      </c>
      <c r="L4356" s="2" t="s">
        <v>1178</v>
      </c>
      <c r="M4356" s="4" t="s">
        <v>20475</v>
      </c>
    </row>
    <row r="4357" spans="1:13">
      <c r="A4357" s="2">
        <v>2548</v>
      </c>
      <c r="B4357" s="2" t="s">
        <v>20476</v>
      </c>
      <c r="C4357" s="2">
        <v>10</v>
      </c>
      <c r="D4357" s="2">
        <v>556</v>
      </c>
      <c r="E4357" s="2">
        <v>200</v>
      </c>
      <c r="F4357" s="2">
        <v>32441</v>
      </c>
      <c r="G4357" s="2">
        <v>2.917356115</v>
      </c>
      <c r="H4357" s="2">
        <v>3.1496330000000002E-3</v>
      </c>
      <c r="I4357" s="2" t="s">
        <v>20477</v>
      </c>
      <c r="J4357" s="2" t="s">
        <v>20478</v>
      </c>
      <c r="K4357" s="2">
        <v>6.222633E-3</v>
      </c>
      <c r="L4357" s="2" t="s">
        <v>1178</v>
      </c>
      <c r="M4357" s="4" t="s">
        <v>20479</v>
      </c>
    </row>
    <row r="4358" spans="1:13">
      <c r="A4358" s="2">
        <v>2959</v>
      </c>
      <c r="B4358" s="2" t="s">
        <v>20480</v>
      </c>
      <c r="C4358" s="2">
        <v>10</v>
      </c>
      <c r="D4358" s="2">
        <v>556</v>
      </c>
      <c r="E4358" s="2">
        <v>200</v>
      </c>
      <c r="F4358" s="2">
        <v>32441</v>
      </c>
      <c r="G4358" s="2">
        <v>2.917356115</v>
      </c>
      <c r="H4358" s="2">
        <v>3.1496330000000002E-3</v>
      </c>
      <c r="I4358" s="2" t="s">
        <v>20481</v>
      </c>
      <c r="J4358" s="2" t="s">
        <v>20482</v>
      </c>
      <c r="K4358" s="2">
        <v>6.222633E-3</v>
      </c>
      <c r="L4358" s="2" t="s">
        <v>1178</v>
      </c>
      <c r="M4358" s="4" t="s">
        <v>20483</v>
      </c>
    </row>
    <row r="4359" spans="1:13">
      <c r="A4359" s="2">
        <v>297</v>
      </c>
      <c r="B4359" s="2" t="s">
        <v>20484</v>
      </c>
      <c r="C4359" s="2">
        <v>10</v>
      </c>
      <c r="D4359" s="2">
        <v>556</v>
      </c>
      <c r="E4359" s="2">
        <v>200</v>
      </c>
      <c r="F4359" s="2">
        <v>32441</v>
      </c>
      <c r="G4359" s="2">
        <v>2.917356115</v>
      </c>
      <c r="H4359" s="2">
        <v>3.1496330000000002E-3</v>
      </c>
      <c r="I4359" s="2" t="s">
        <v>20485</v>
      </c>
      <c r="J4359" s="2" t="s">
        <v>20486</v>
      </c>
      <c r="K4359" s="2">
        <v>6.222633E-3</v>
      </c>
      <c r="L4359" s="2" t="s">
        <v>1178</v>
      </c>
      <c r="M4359" s="4" t="s">
        <v>20487</v>
      </c>
    </row>
    <row r="4360" spans="1:13">
      <c r="A4360" s="2">
        <v>2991</v>
      </c>
      <c r="B4360" s="2" t="s">
        <v>20488</v>
      </c>
      <c r="C4360" s="2">
        <v>10</v>
      </c>
      <c r="D4360" s="2">
        <v>556</v>
      </c>
      <c r="E4360" s="2">
        <v>200</v>
      </c>
      <c r="F4360" s="2">
        <v>32441</v>
      </c>
      <c r="G4360" s="2">
        <v>2.917356115</v>
      </c>
      <c r="H4360" s="2">
        <v>3.1496330000000002E-3</v>
      </c>
      <c r="I4360" s="2" t="s">
        <v>20489</v>
      </c>
      <c r="J4360" s="2" t="s">
        <v>20490</v>
      </c>
      <c r="K4360" s="2">
        <v>6.222633E-3</v>
      </c>
      <c r="L4360" s="2" t="s">
        <v>1178</v>
      </c>
      <c r="M4360" s="4" t="s">
        <v>20491</v>
      </c>
    </row>
    <row r="4361" spans="1:13">
      <c r="A4361" s="2">
        <v>3202</v>
      </c>
      <c r="B4361" s="2" t="s">
        <v>1557</v>
      </c>
      <c r="C4361" s="2">
        <v>10</v>
      </c>
      <c r="D4361" s="2">
        <v>556</v>
      </c>
      <c r="E4361" s="2">
        <v>200</v>
      </c>
      <c r="F4361" s="2">
        <v>32441</v>
      </c>
      <c r="G4361" s="2">
        <v>2.917356115</v>
      </c>
      <c r="H4361" s="2">
        <v>3.1496330000000002E-3</v>
      </c>
      <c r="I4361" s="2" t="s">
        <v>20492</v>
      </c>
      <c r="J4361" s="2" t="s">
        <v>20493</v>
      </c>
      <c r="K4361" s="2">
        <v>6.222633E-3</v>
      </c>
      <c r="L4361" s="2" t="s">
        <v>1178</v>
      </c>
      <c r="M4361" s="4" t="s">
        <v>20494</v>
      </c>
    </row>
    <row r="4362" spans="1:13">
      <c r="A4362" s="2">
        <v>343</v>
      </c>
      <c r="B4362" s="2" t="s">
        <v>20495</v>
      </c>
      <c r="C4362" s="2">
        <v>10</v>
      </c>
      <c r="D4362" s="2">
        <v>556</v>
      </c>
      <c r="E4362" s="2">
        <v>200</v>
      </c>
      <c r="F4362" s="2">
        <v>32441</v>
      </c>
      <c r="G4362" s="2">
        <v>2.917356115</v>
      </c>
      <c r="H4362" s="2">
        <v>3.1496330000000002E-3</v>
      </c>
      <c r="I4362" s="2" t="s">
        <v>20496</v>
      </c>
      <c r="J4362" s="2" t="s">
        <v>20497</v>
      </c>
      <c r="K4362" s="2">
        <v>6.222633E-3</v>
      </c>
      <c r="L4362" s="2" t="s">
        <v>1178</v>
      </c>
      <c r="M4362" s="4" t="s">
        <v>20498</v>
      </c>
    </row>
    <row r="4363" spans="1:13">
      <c r="A4363" s="2">
        <v>372</v>
      </c>
      <c r="B4363" s="2" t="s">
        <v>20499</v>
      </c>
      <c r="C4363" s="2">
        <v>10</v>
      </c>
      <c r="D4363" s="2">
        <v>556</v>
      </c>
      <c r="E4363" s="2">
        <v>200</v>
      </c>
      <c r="F4363" s="2">
        <v>32441</v>
      </c>
      <c r="G4363" s="2">
        <v>2.917356115</v>
      </c>
      <c r="H4363" s="2">
        <v>3.1496330000000002E-3</v>
      </c>
      <c r="I4363" s="2" t="s">
        <v>20500</v>
      </c>
      <c r="J4363" s="2" t="s">
        <v>20501</v>
      </c>
      <c r="K4363" s="2">
        <v>6.222633E-3</v>
      </c>
      <c r="L4363" s="2" t="s">
        <v>1178</v>
      </c>
      <c r="M4363" s="4" t="s">
        <v>20502</v>
      </c>
    </row>
    <row r="4364" spans="1:13">
      <c r="A4364" s="2">
        <v>3934</v>
      </c>
      <c r="B4364" s="2" t="s">
        <v>20503</v>
      </c>
      <c r="C4364" s="2">
        <v>10</v>
      </c>
      <c r="D4364" s="2">
        <v>556</v>
      </c>
      <c r="E4364" s="2">
        <v>200</v>
      </c>
      <c r="F4364" s="2">
        <v>32441</v>
      </c>
      <c r="G4364" s="2">
        <v>2.917356115</v>
      </c>
      <c r="H4364" s="2">
        <v>3.1496330000000002E-3</v>
      </c>
      <c r="I4364" s="2" t="s">
        <v>20504</v>
      </c>
      <c r="J4364" s="2" t="s">
        <v>20505</v>
      </c>
      <c r="K4364" s="2">
        <v>6.222633E-3</v>
      </c>
      <c r="L4364" s="2" t="s">
        <v>1178</v>
      </c>
      <c r="M4364" s="4" t="s">
        <v>20506</v>
      </c>
    </row>
    <row r="4365" spans="1:13">
      <c r="A4365" s="2">
        <v>4155</v>
      </c>
      <c r="B4365" s="2" t="s">
        <v>20507</v>
      </c>
      <c r="C4365" s="2">
        <v>10</v>
      </c>
      <c r="D4365" s="2">
        <v>556</v>
      </c>
      <c r="E4365" s="2">
        <v>200</v>
      </c>
      <c r="F4365" s="2">
        <v>32441</v>
      </c>
      <c r="G4365" s="2">
        <v>2.917356115</v>
      </c>
      <c r="H4365" s="2">
        <v>3.1496330000000002E-3</v>
      </c>
      <c r="I4365" s="2" t="s">
        <v>20508</v>
      </c>
      <c r="J4365" s="2" t="s">
        <v>20509</v>
      </c>
      <c r="K4365" s="2">
        <v>6.222633E-3</v>
      </c>
      <c r="L4365" s="2" t="s">
        <v>1178</v>
      </c>
      <c r="M4365" s="4" t="s">
        <v>20510</v>
      </c>
    </row>
    <row r="4366" spans="1:13">
      <c r="A4366" s="2">
        <v>429</v>
      </c>
      <c r="B4366" s="2" t="s">
        <v>20511</v>
      </c>
      <c r="C4366" s="2">
        <v>10</v>
      </c>
      <c r="D4366" s="2">
        <v>556</v>
      </c>
      <c r="E4366" s="2">
        <v>200</v>
      </c>
      <c r="F4366" s="2">
        <v>32441</v>
      </c>
      <c r="G4366" s="2">
        <v>2.917356115</v>
      </c>
      <c r="H4366" s="2">
        <v>3.1496330000000002E-3</v>
      </c>
      <c r="I4366" s="2" t="s">
        <v>20512</v>
      </c>
      <c r="J4366" s="2" t="s">
        <v>20513</v>
      </c>
      <c r="K4366" s="2">
        <v>6.222633E-3</v>
      </c>
      <c r="L4366" s="2" t="s">
        <v>1178</v>
      </c>
      <c r="M4366" s="4" t="s">
        <v>20514</v>
      </c>
    </row>
    <row r="4367" spans="1:13">
      <c r="A4367" s="2">
        <v>4472</v>
      </c>
      <c r="B4367" s="2" t="s">
        <v>20515</v>
      </c>
      <c r="C4367" s="2">
        <v>10</v>
      </c>
      <c r="D4367" s="2">
        <v>556</v>
      </c>
      <c r="E4367" s="2">
        <v>200</v>
      </c>
      <c r="F4367" s="2">
        <v>32441</v>
      </c>
      <c r="G4367" s="2">
        <v>2.917356115</v>
      </c>
      <c r="H4367" s="2">
        <v>3.1496330000000002E-3</v>
      </c>
      <c r="I4367" s="2" t="s">
        <v>20516</v>
      </c>
      <c r="J4367" s="2" t="s">
        <v>20517</v>
      </c>
      <c r="K4367" s="2">
        <v>6.222633E-3</v>
      </c>
      <c r="L4367" s="2" t="s">
        <v>1178</v>
      </c>
      <c r="M4367" s="4" t="s">
        <v>20518</v>
      </c>
    </row>
    <row r="4368" spans="1:13">
      <c r="A4368" s="2">
        <v>470</v>
      </c>
      <c r="B4368" s="2" t="s">
        <v>20519</v>
      </c>
      <c r="C4368" s="2">
        <v>10</v>
      </c>
      <c r="D4368" s="2">
        <v>556</v>
      </c>
      <c r="E4368" s="2">
        <v>200</v>
      </c>
      <c r="F4368" s="2">
        <v>32441</v>
      </c>
      <c r="G4368" s="2">
        <v>2.917356115</v>
      </c>
      <c r="H4368" s="2">
        <v>3.1496330000000002E-3</v>
      </c>
      <c r="I4368" s="2" t="s">
        <v>20520</v>
      </c>
      <c r="J4368" s="2" t="s">
        <v>20521</v>
      </c>
      <c r="K4368" s="2">
        <v>6.222633E-3</v>
      </c>
      <c r="L4368" s="2" t="s">
        <v>1178</v>
      </c>
      <c r="M4368" s="4" t="s">
        <v>20522</v>
      </c>
    </row>
    <row r="4369" spans="1:13">
      <c r="A4369" s="2">
        <v>4823</v>
      </c>
      <c r="B4369" s="2" t="s">
        <v>20523</v>
      </c>
      <c r="C4369" s="2">
        <v>10</v>
      </c>
      <c r="D4369" s="2">
        <v>556</v>
      </c>
      <c r="E4369" s="2">
        <v>200</v>
      </c>
      <c r="F4369" s="2">
        <v>32441</v>
      </c>
      <c r="G4369" s="2">
        <v>2.917356115</v>
      </c>
      <c r="H4369" s="2">
        <v>3.1496330000000002E-3</v>
      </c>
      <c r="I4369" s="2" t="s">
        <v>20524</v>
      </c>
      <c r="J4369" s="2" t="s">
        <v>20525</v>
      </c>
      <c r="K4369" s="2">
        <v>6.222633E-3</v>
      </c>
      <c r="L4369" s="2" t="s">
        <v>1178</v>
      </c>
      <c r="M4369" s="4" t="s">
        <v>20526</v>
      </c>
    </row>
    <row r="4370" spans="1:13">
      <c r="A4370" s="2">
        <v>5051</v>
      </c>
      <c r="B4370" s="2" t="s">
        <v>20527</v>
      </c>
      <c r="C4370" s="2">
        <v>10</v>
      </c>
      <c r="D4370" s="2">
        <v>556</v>
      </c>
      <c r="E4370" s="2">
        <v>200</v>
      </c>
      <c r="F4370" s="2">
        <v>32441</v>
      </c>
      <c r="G4370" s="2">
        <v>2.917356115</v>
      </c>
      <c r="H4370" s="2">
        <v>3.1496330000000002E-3</v>
      </c>
      <c r="I4370" s="2" t="s">
        <v>20528</v>
      </c>
      <c r="J4370" s="2" t="s">
        <v>20529</v>
      </c>
      <c r="K4370" s="2">
        <v>6.222633E-3</v>
      </c>
      <c r="L4370" s="2" t="s">
        <v>1178</v>
      </c>
      <c r="M4370" s="4" t="s">
        <v>20530</v>
      </c>
    </row>
    <row r="4371" spans="1:13">
      <c r="A4371" s="2">
        <v>5182</v>
      </c>
      <c r="B4371" s="2" t="s">
        <v>20531</v>
      </c>
      <c r="C4371" s="2">
        <v>10</v>
      </c>
      <c r="D4371" s="2">
        <v>556</v>
      </c>
      <c r="E4371" s="2">
        <v>200</v>
      </c>
      <c r="F4371" s="2">
        <v>32441</v>
      </c>
      <c r="G4371" s="2">
        <v>2.917356115</v>
      </c>
      <c r="H4371" s="2">
        <v>3.1496330000000002E-3</v>
      </c>
      <c r="I4371" s="2" t="s">
        <v>20532</v>
      </c>
      <c r="J4371" s="2" t="s">
        <v>20533</v>
      </c>
      <c r="K4371" s="2">
        <v>6.222633E-3</v>
      </c>
      <c r="L4371" s="2" t="s">
        <v>1178</v>
      </c>
      <c r="M4371" s="4" t="s">
        <v>20534</v>
      </c>
    </row>
    <row r="4372" spans="1:13">
      <c r="A4372" s="2">
        <v>525</v>
      </c>
      <c r="B4372" s="2" t="s">
        <v>20535</v>
      </c>
      <c r="C4372" s="2">
        <v>10</v>
      </c>
      <c r="D4372" s="2">
        <v>556</v>
      </c>
      <c r="E4372" s="2">
        <v>200</v>
      </c>
      <c r="F4372" s="2">
        <v>32441</v>
      </c>
      <c r="G4372" s="2">
        <v>2.917356115</v>
      </c>
      <c r="H4372" s="2">
        <v>3.1496330000000002E-3</v>
      </c>
      <c r="I4372" s="2" t="s">
        <v>20536</v>
      </c>
      <c r="J4372" s="2" t="s">
        <v>20537</v>
      </c>
      <c r="K4372" s="2">
        <v>6.222633E-3</v>
      </c>
      <c r="L4372" s="2" t="s">
        <v>1178</v>
      </c>
      <c r="M4372" s="4" t="s">
        <v>20538</v>
      </c>
    </row>
    <row r="4373" spans="1:13">
      <c r="A4373" s="2">
        <v>537</v>
      </c>
      <c r="B4373" s="2" t="s">
        <v>20539</v>
      </c>
      <c r="C4373" s="2">
        <v>10</v>
      </c>
      <c r="D4373" s="2">
        <v>556</v>
      </c>
      <c r="E4373" s="2">
        <v>200</v>
      </c>
      <c r="F4373" s="2">
        <v>32441</v>
      </c>
      <c r="G4373" s="2">
        <v>2.917356115</v>
      </c>
      <c r="H4373" s="2">
        <v>3.1496330000000002E-3</v>
      </c>
      <c r="I4373" s="2" t="s">
        <v>20540</v>
      </c>
      <c r="J4373" s="2" t="s">
        <v>20541</v>
      </c>
      <c r="K4373" s="2">
        <v>6.222633E-3</v>
      </c>
      <c r="L4373" s="2" t="s">
        <v>1178</v>
      </c>
      <c r="M4373" s="4" t="s">
        <v>20542</v>
      </c>
    </row>
    <row r="4374" spans="1:13">
      <c r="A4374" s="2">
        <v>5621</v>
      </c>
      <c r="B4374" s="2" t="s">
        <v>20543</v>
      </c>
      <c r="C4374" s="2">
        <v>10</v>
      </c>
      <c r="D4374" s="2">
        <v>556</v>
      </c>
      <c r="E4374" s="2">
        <v>200</v>
      </c>
      <c r="F4374" s="2">
        <v>32441</v>
      </c>
      <c r="G4374" s="2">
        <v>2.917356115</v>
      </c>
      <c r="H4374" s="2">
        <v>3.1496330000000002E-3</v>
      </c>
      <c r="I4374" s="2" t="s">
        <v>20544</v>
      </c>
      <c r="J4374" s="2" t="s">
        <v>20545</v>
      </c>
      <c r="K4374" s="2">
        <v>6.222633E-3</v>
      </c>
      <c r="L4374" s="2" t="s">
        <v>1178</v>
      </c>
      <c r="M4374" s="4" t="s">
        <v>20546</v>
      </c>
    </row>
    <row r="4375" spans="1:13">
      <c r="A4375" s="2">
        <v>567</v>
      </c>
      <c r="B4375" s="2" t="s">
        <v>20547</v>
      </c>
      <c r="C4375" s="2">
        <v>10</v>
      </c>
      <c r="D4375" s="2">
        <v>556</v>
      </c>
      <c r="E4375" s="2">
        <v>200</v>
      </c>
      <c r="F4375" s="2">
        <v>32441</v>
      </c>
      <c r="G4375" s="2">
        <v>2.917356115</v>
      </c>
      <c r="H4375" s="2">
        <v>3.1496330000000002E-3</v>
      </c>
      <c r="I4375" s="2" t="s">
        <v>20548</v>
      </c>
      <c r="J4375" s="2" t="s">
        <v>20549</v>
      </c>
      <c r="K4375" s="2">
        <v>6.222633E-3</v>
      </c>
      <c r="L4375" s="2" t="s">
        <v>1178</v>
      </c>
      <c r="M4375" s="4" t="s">
        <v>20550</v>
      </c>
    </row>
    <row r="4376" spans="1:13">
      <c r="A4376" s="2">
        <v>590</v>
      </c>
      <c r="B4376" s="2" t="s">
        <v>20551</v>
      </c>
      <c r="C4376" s="2">
        <v>10</v>
      </c>
      <c r="D4376" s="2">
        <v>556</v>
      </c>
      <c r="E4376" s="2">
        <v>200</v>
      </c>
      <c r="F4376" s="2">
        <v>32441</v>
      </c>
      <c r="G4376" s="2">
        <v>2.917356115</v>
      </c>
      <c r="H4376" s="2">
        <v>3.1496330000000002E-3</v>
      </c>
      <c r="I4376" s="2" t="s">
        <v>20552</v>
      </c>
      <c r="J4376" s="2" t="s">
        <v>20553</v>
      </c>
      <c r="K4376" s="2">
        <v>6.222633E-3</v>
      </c>
      <c r="L4376" s="2" t="s">
        <v>1178</v>
      </c>
      <c r="M4376" s="4" t="s">
        <v>20554</v>
      </c>
    </row>
    <row r="4377" spans="1:13">
      <c r="A4377" s="2">
        <v>5913</v>
      </c>
      <c r="B4377" s="2" t="s">
        <v>20555</v>
      </c>
      <c r="C4377" s="2">
        <v>10</v>
      </c>
      <c r="D4377" s="2">
        <v>556</v>
      </c>
      <c r="E4377" s="2">
        <v>200</v>
      </c>
      <c r="F4377" s="2">
        <v>32441</v>
      </c>
      <c r="G4377" s="2">
        <v>2.917356115</v>
      </c>
      <c r="H4377" s="2">
        <v>3.1496330000000002E-3</v>
      </c>
      <c r="I4377" s="2" t="s">
        <v>20556</v>
      </c>
      <c r="J4377" s="2" t="s">
        <v>20557</v>
      </c>
      <c r="K4377" s="2">
        <v>6.222633E-3</v>
      </c>
      <c r="L4377" s="2" t="s">
        <v>1178</v>
      </c>
      <c r="M4377" s="4" t="s">
        <v>20558</v>
      </c>
    </row>
    <row r="4378" spans="1:13">
      <c r="A4378" s="2">
        <v>595</v>
      </c>
      <c r="B4378" s="2" t="s">
        <v>20559</v>
      </c>
      <c r="C4378" s="2">
        <v>10</v>
      </c>
      <c r="D4378" s="2">
        <v>556</v>
      </c>
      <c r="E4378" s="2">
        <v>200</v>
      </c>
      <c r="F4378" s="2">
        <v>32441</v>
      </c>
      <c r="G4378" s="2">
        <v>2.917356115</v>
      </c>
      <c r="H4378" s="2">
        <v>3.1496330000000002E-3</v>
      </c>
      <c r="I4378" s="2" t="s">
        <v>20560</v>
      </c>
      <c r="J4378" s="2" t="s">
        <v>20561</v>
      </c>
      <c r="K4378" s="2">
        <v>6.222633E-3</v>
      </c>
      <c r="L4378" s="2" t="s">
        <v>1178</v>
      </c>
      <c r="M4378" s="4" t="s">
        <v>20562</v>
      </c>
    </row>
    <row r="4379" spans="1:13">
      <c r="A4379" s="2">
        <v>600</v>
      </c>
      <c r="B4379" s="2" t="s">
        <v>20563</v>
      </c>
      <c r="C4379" s="2">
        <v>10</v>
      </c>
      <c r="D4379" s="2">
        <v>556</v>
      </c>
      <c r="E4379" s="2">
        <v>200</v>
      </c>
      <c r="F4379" s="2">
        <v>32441</v>
      </c>
      <c r="G4379" s="2">
        <v>2.917356115</v>
      </c>
      <c r="H4379" s="2">
        <v>3.1496330000000002E-3</v>
      </c>
      <c r="I4379" s="2" t="s">
        <v>20564</v>
      </c>
      <c r="J4379" s="2" t="s">
        <v>20565</v>
      </c>
      <c r="K4379" s="2">
        <v>6.222633E-3</v>
      </c>
      <c r="L4379" s="2" t="s">
        <v>1178</v>
      </c>
      <c r="M4379" s="4" t="s">
        <v>20566</v>
      </c>
    </row>
    <row r="4380" spans="1:13">
      <c r="A4380" s="2">
        <v>610</v>
      </c>
      <c r="B4380" s="2" t="s">
        <v>1566</v>
      </c>
      <c r="C4380" s="2">
        <v>10</v>
      </c>
      <c r="D4380" s="2">
        <v>556</v>
      </c>
      <c r="E4380" s="2">
        <v>200</v>
      </c>
      <c r="F4380" s="2">
        <v>32441</v>
      </c>
      <c r="G4380" s="2">
        <v>2.917356115</v>
      </c>
      <c r="H4380" s="2">
        <v>3.1496330000000002E-3</v>
      </c>
      <c r="I4380" s="2" t="s">
        <v>20567</v>
      </c>
      <c r="J4380" s="2" t="s">
        <v>20568</v>
      </c>
      <c r="K4380" s="2">
        <v>6.222633E-3</v>
      </c>
      <c r="L4380" s="2" t="s">
        <v>1178</v>
      </c>
      <c r="M4380" s="4" t="s">
        <v>20569</v>
      </c>
    </row>
    <row r="4381" spans="1:13">
      <c r="A4381" s="2">
        <v>614</v>
      </c>
      <c r="B4381" s="2" t="s">
        <v>1659</v>
      </c>
      <c r="C4381" s="2">
        <v>10</v>
      </c>
      <c r="D4381" s="2">
        <v>556</v>
      </c>
      <c r="E4381" s="2">
        <v>200</v>
      </c>
      <c r="F4381" s="2">
        <v>32441</v>
      </c>
      <c r="G4381" s="2">
        <v>2.917356115</v>
      </c>
      <c r="H4381" s="2">
        <v>3.1496330000000002E-3</v>
      </c>
      <c r="I4381" s="2" t="s">
        <v>20570</v>
      </c>
      <c r="J4381" s="2" t="s">
        <v>20571</v>
      </c>
      <c r="K4381" s="2">
        <v>6.222633E-3</v>
      </c>
      <c r="L4381" s="2" t="s">
        <v>1178</v>
      </c>
      <c r="M4381" s="4" t="s">
        <v>20572</v>
      </c>
    </row>
    <row r="4382" spans="1:13">
      <c r="A4382" s="2">
        <v>6201</v>
      </c>
      <c r="B4382" s="2" t="s">
        <v>20573</v>
      </c>
      <c r="C4382" s="2">
        <v>10</v>
      </c>
      <c r="D4382" s="2">
        <v>556</v>
      </c>
      <c r="E4382" s="2">
        <v>200</v>
      </c>
      <c r="F4382" s="2">
        <v>32441</v>
      </c>
      <c r="G4382" s="2">
        <v>2.917356115</v>
      </c>
      <c r="H4382" s="2">
        <v>3.1496330000000002E-3</v>
      </c>
      <c r="I4382" s="2" t="s">
        <v>20574</v>
      </c>
      <c r="J4382" s="2" t="s">
        <v>20575</v>
      </c>
      <c r="K4382" s="2">
        <v>6.222633E-3</v>
      </c>
      <c r="L4382" s="2" t="s">
        <v>1178</v>
      </c>
      <c r="M4382" s="4" t="s">
        <v>20576</v>
      </c>
    </row>
    <row r="4383" spans="1:13">
      <c r="A4383" s="2">
        <v>6301</v>
      </c>
      <c r="B4383" s="2" t="s">
        <v>20577</v>
      </c>
      <c r="C4383" s="2">
        <v>10</v>
      </c>
      <c r="D4383" s="2">
        <v>556</v>
      </c>
      <c r="E4383" s="2">
        <v>200</v>
      </c>
      <c r="F4383" s="2">
        <v>32441</v>
      </c>
      <c r="G4383" s="2">
        <v>2.917356115</v>
      </c>
      <c r="H4383" s="2">
        <v>3.1496330000000002E-3</v>
      </c>
      <c r="I4383" s="2" t="s">
        <v>20578</v>
      </c>
      <c r="J4383" s="2" t="s">
        <v>20579</v>
      </c>
      <c r="K4383" s="2">
        <v>6.222633E-3</v>
      </c>
      <c r="L4383" s="2" t="s">
        <v>1178</v>
      </c>
      <c r="M4383" s="4" t="s">
        <v>20580</v>
      </c>
    </row>
    <row r="4384" spans="1:13">
      <c r="A4384" s="2">
        <v>6361</v>
      </c>
      <c r="B4384" s="2" t="s">
        <v>20581</v>
      </c>
      <c r="C4384" s="2">
        <v>10</v>
      </c>
      <c r="D4384" s="2">
        <v>556</v>
      </c>
      <c r="E4384" s="2">
        <v>200</v>
      </c>
      <c r="F4384" s="2">
        <v>32441</v>
      </c>
      <c r="G4384" s="2">
        <v>2.917356115</v>
      </c>
      <c r="H4384" s="2">
        <v>3.1496330000000002E-3</v>
      </c>
      <c r="I4384" s="2" t="s">
        <v>20582</v>
      </c>
      <c r="J4384" s="2" t="s">
        <v>20583</v>
      </c>
      <c r="K4384" s="2">
        <v>6.222633E-3</v>
      </c>
      <c r="L4384" s="2" t="s">
        <v>1178</v>
      </c>
      <c r="M4384" s="4" t="s">
        <v>20584</v>
      </c>
    </row>
    <row r="4385" spans="1:13">
      <c r="A4385" s="2">
        <v>641</v>
      </c>
      <c r="B4385" s="2" t="s">
        <v>20585</v>
      </c>
      <c r="C4385" s="2">
        <v>10</v>
      </c>
      <c r="D4385" s="2">
        <v>556</v>
      </c>
      <c r="E4385" s="2">
        <v>200</v>
      </c>
      <c r="F4385" s="2">
        <v>32441</v>
      </c>
      <c r="G4385" s="2">
        <v>2.917356115</v>
      </c>
      <c r="H4385" s="2">
        <v>3.1496330000000002E-3</v>
      </c>
      <c r="I4385" s="2" t="s">
        <v>20586</v>
      </c>
      <c r="J4385" s="2" t="s">
        <v>20587</v>
      </c>
      <c r="K4385" s="2">
        <v>6.222633E-3</v>
      </c>
      <c r="L4385" s="2" t="s">
        <v>1178</v>
      </c>
      <c r="M4385" s="4" t="s">
        <v>20588</v>
      </c>
    </row>
    <row r="4386" spans="1:13">
      <c r="A4386" s="2">
        <v>6451</v>
      </c>
      <c r="B4386" s="2" t="s">
        <v>2064</v>
      </c>
      <c r="C4386" s="2">
        <v>10</v>
      </c>
      <c r="D4386" s="2">
        <v>556</v>
      </c>
      <c r="E4386" s="2">
        <v>200</v>
      </c>
      <c r="F4386" s="2">
        <v>32441</v>
      </c>
      <c r="G4386" s="2">
        <v>2.917356115</v>
      </c>
      <c r="H4386" s="2">
        <v>3.1496330000000002E-3</v>
      </c>
      <c r="I4386" s="2" t="s">
        <v>20589</v>
      </c>
      <c r="J4386" s="2" t="s">
        <v>20590</v>
      </c>
      <c r="K4386" s="2">
        <v>6.222633E-3</v>
      </c>
      <c r="L4386" s="2" t="s">
        <v>1178</v>
      </c>
      <c r="M4386" s="4" t="s">
        <v>20591</v>
      </c>
    </row>
    <row r="4387" spans="1:13">
      <c r="A4387" s="2">
        <v>646</v>
      </c>
      <c r="B4387" s="2" t="s">
        <v>20592</v>
      </c>
      <c r="C4387" s="2">
        <v>10</v>
      </c>
      <c r="D4387" s="2">
        <v>556</v>
      </c>
      <c r="E4387" s="2">
        <v>200</v>
      </c>
      <c r="F4387" s="2">
        <v>32441</v>
      </c>
      <c r="G4387" s="2">
        <v>2.917356115</v>
      </c>
      <c r="H4387" s="2">
        <v>3.1496330000000002E-3</v>
      </c>
      <c r="I4387" s="2" t="s">
        <v>20593</v>
      </c>
      <c r="J4387" s="2" t="s">
        <v>20594</v>
      </c>
      <c r="K4387" s="2">
        <v>6.222633E-3</v>
      </c>
      <c r="L4387" s="2" t="s">
        <v>1178</v>
      </c>
      <c r="M4387" s="4" t="s">
        <v>20595</v>
      </c>
    </row>
    <row r="4388" spans="1:13">
      <c r="A4388" s="2">
        <v>6591</v>
      </c>
      <c r="B4388" s="2" t="s">
        <v>20596</v>
      </c>
      <c r="C4388" s="2">
        <v>10</v>
      </c>
      <c r="D4388" s="2">
        <v>556</v>
      </c>
      <c r="E4388" s="2">
        <v>200</v>
      </c>
      <c r="F4388" s="2">
        <v>32441</v>
      </c>
      <c r="G4388" s="2">
        <v>2.917356115</v>
      </c>
      <c r="H4388" s="2">
        <v>3.1496330000000002E-3</v>
      </c>
      <c r="I4388" s="2" t="s">
        <v>20597</v>
      </c>
      <c r="J4388" s="2" t="s">
        <v>20598</v>
      </c>
      <c r="K4388" s="2">
        <v>6.222633E-3</v>
      </c>
      <c r="L4388" s="2" t="s">
        <v>1178</v>
      </c>
      <c r="M4388" s="4" t="s">
        <v>20599</v>
      </c>
    </row>
    <row r="4389" spans="1:13">
      <c r="A4389" s="2">
        <v>6621</v>
      </c>
      <c r="B4389" s="2" t="s">
        <v>20600</v>
      </c>
      <c r="C4389" s="2">
        <v>10</v>
      </c>
      <c r="D4389" s="2">
        <v>556</v>
      </c>
      <c r="E4389" s="2">
        <v>200</v>
      </c>
      <c r="F4389" s="2">
        <v>32441</v>
      </c>
      <c r="G4389" s="2">
        <v>2.917356115</v>
      </c>
      <c r="H4389" s="2">
        <v>3.1496330000000002E-3</v>
      </c>
      <c r="I4389" s="2" t="s">
        <v>20601</v>
      </c>
      <c r="J4389" s="2" t="s">
        <v>20602</v>
      </c>
      <c r="K4389" s="2">
        <v>6.222633E-3</v>
      </c>
      <c r="L4389" s="2" t="s">
        <v>1178</v>
      </c>
      <c r="M4389" s="4" t="s">
        <v>20603</v>
      </c>
    </row>
    <row r="4390" spans="1:13">
      <c r="A4390" s="2">
        <v>7001</v>
      </c>
      <c r="B4390" s="2" t="s">
        <v>20604</v>
      </c>
      <c r="C4390" s="2">
        <v>10</v>
      </c>
      <c r="D4390" s="2">
        <v>556</v>
      </c>
      <c r="E4390" s="2">
        <v>200</v>
      </c>
      <c r="F4390" s="2">
        <v>32441</v>
      </c>
      <c r="G4390" s="2">
        <v>2.917356115</v>
      </c>
      <c r="H4390" s="2">
        <v>3.1496330000000002E-3</v>
      </c>
      <c r="I4390" s="2" t="s">
        <v>20605</v>
      </c>
      <c r="J4390" s="2" t="s">
        <v>20606</v>
      </c>
      <c r="K4390" s="2">
        <v>6.222633E-3</v>
      </c>
      <c r="L4390" s="2" t="s">
        <v>1178</v>
      </c>
      <c r="M4390" s="4" t="s">
        <v>20607</v>
      </c>
    </row>
    <row r="4391" spans="1:13">
      <c r="A4391" s="2">
        <v>7101</v>
      </c>
      <c r="B4391" s="2" t="s">
        <v>20608</v>
      </c>
      <c r="C4391" s="2">
        <v>10</v>
      </c>
      <c r="D4391" s="2">
        <v>556</v>
      </c>
      <c r="E4391" s="2">
        <v>200</v>
      </c>
      <c r="F4391" s="2">
        <v>32441</v>
      </c>
      <c r="G4391" s="2">
        <v>2.917356115</v>
      </c>
      <c r="H4391" s="2">
        <v>3.1496330000000002E-3</v>
      </c>
      <c r="I4391" s="2" t="s">
        <v>20609</v>
      </c>
      <c r="J4391" s="2" t="s">
        <v>20610</v>
      </c>
      <c r="K4391" s="2">
        <v>6.222633E-3</v>
      </c>
      <c r="L4391" s="2" t="s">
        <v>1178</v>
      </c>
      <c r="M4391" s="4" t="s">
        <v>20611</v>
      </c>
    </row>
    <row r="4392" spans="1:13">
      <c r="A4392" s="2">
        <v>718</v>
      </c>
      <c r="B4392" s="2" t="s">
        <v>20612</v>
      </c>
      <c r="C4392" s="2">
        <v>10</v>
      </c>
      <c r="D4392" s="2">
        <v>556</v>
      </c>
      <c r="E4392" s="2">
        <v>200</v>
      </c>
      <c r="F4392" s="2">
        <v>32441</v>
      </c>
      <c r="G4392" s="2">
        <v>2.917356115</v>
      </c>
      <c r="H4392" s="2">
        <v>3.1496330000000002E-3</v>
      </c>
      <c r="I4392" s="2" t="s">
        <v>20613</v>
      </c>
      <c r="J4392" s="2" t="s">
        <v>20614</v>
      </c>
      <c r="K4392" s="2">
        <v>6.222633E-3</v>
      </c>
      <c r="L4392" s="2" t="s">
        <v>1178</v>
      </c>
      <c r="M4392" s="4" t="s">
        <v>20615</v>
      </c>
    </row>
    <row r="4393" spans="1:13">
      <c r="A4393" s="2">
        <v>7251</v>
      </c>
      <c r="B4393" s="2" t="s">
        <v>2079</v>
      </c>
      <c r="C4393" s="2">
        <v>10</v>
      </c>
      <c r="D4393" s="2">
        <v>556</v>
      </c>
      <c r="E4393" s="2">
        <v>200</v>
      </c>
      <c r="F4393" s="2">
        <v>32441</v>
      </c>
      <c r="G4393" s="2">
        <v>2.917356115</v>
      </c>
      <c r="H4393" s="2">
        <v>3.1496330000000002E-3</v>
      </c>
      <c r="I4393" s="2" t="s">
        <v>20616</v>
      </c>
      <c r="J4393" s="2" t="s">
        <v>20617</v>
      </c>
      <c r="K4393" s="2">
        <v>6.222633E-3</v>
      </c>
      <c r="L4393" s="2" t="s">
        <v>1178</v>
      </c>
      <c r="M4393" s="4" t="s">
        <v>20618</v>
      </c>
    </row>
    <row r="4394" spans="1:13">
      <c r="A4394" s="2">
        <v>726</v>
      </c>
      <c r="B4394" s="2" t="s">
        <v>20619</v>
      </c>
      <c r="C4394" s="2">
        <v>10</v>
      </c>
      <c r="D4394" s="2">
        <v>556</v>
      </c>
      <c r="E4394" s="2">
        <v>200</v>
      </c>
      <c r="F4394" s="2">
        <v>32441</v>
      </c>
      <c r="G4394" s="2">
        <v>2.917356115</v>
      </c>
      <c r="H4394" s="2">
        <v>3.1496330000000002E-3</v>
      </c>
      <c r="I4394" s="2" t="s">
        <v>20620</v>
      </c>
      <c r="J4394" s="2" t="s">
        <v>20621</v>
      </c>
      <c r="K4394" s="2">
        <v>6.222633E-3</v>
      </c>
      <c r="L4394" s="2" t="s">
        <v>1178</v>
      </c>
      <c r="M4394" s="4" t="s">
        <v>20622</v>
      </c>
    </row>
    <row r="4395" spans="1:13">
      <c r="A4395" s="2">
        <v>7271</v>
      </c>
      <c r="B4395" s="2" t="s">
        <v>20623</v>
      </c>
      <c r="C4395" s="2">
        <v>10</v>
      </c>
      <c r="D4395" s="2">
        <v>556</v>
      </c>
      <c r="E4395" s="2">
        <v>200</v>
      </c>
      <c r="F4395" s="2">
        <v>32441</v>
      </c>
      <c r="G4395" s="2">
        <v>2.917356115</v>
      </c>
      <c r="H4395" s="2">
        <v>3.1496330000000002E-3</v>
      </c>
      <c r="I4395" s="2" t="s">
        <v>20624</v>
      </c>
      <c r="J4395" s="2" t="s">
        <v>20625</v>
      </c>
      <c r="K4395" s="2">
        <v>6.222633E-3</v>
      </c>
      <c r="L4395" s="2" t="s">
        <v>1178</v>
      </c>
      <c r="M4395" s="4" t="s">
        <v>20626</v>
      </c>
    </row>
    <row r="4396" spans="1:13">
      <c r="A4396" s="2">
        <v>728</v>
      </c>
      <c r="B4396" s="2" t="s">
        <v>20627</v>
      </c>
      <c r="C4396" s="2">
        <v>10</v>
      </c>
      <c r="D4396" s="2">
        <v>556</v>
      </c>
      <c r="E4396" s="2">
        <v>200</v>
      </c>
      <c r="F4396" s="2">
        <v>32441</v>
      </c>
      <c r="G4396" s="2">
        <v>2.917356115</v>
      </c>
      <c r="H4396" s="2">
        <v>3.1496330000000002E-3</v>
      </c>
      <c r="I4396" s="2" t="s">
        <v>20628</v>
      </c>
      <c r="J4396" s="2" t="s">
        <v>20629</v>
      </c>
      <c r="K4396" s="2">
        <v>6.222633E-3</v>
      </c>
      <c r="L4396" s="2" t="s">
        <v>1178</v>
      </c>
      <c r="M4396" s="4" t="s">
        <v>20630</v>
      </c>
    </row>
    <row r="4397" spans="1:13">
      <c r="A4397" s="2">
        <v>735</v>
      </c>
      <c r="B4397" s="2" t="s">
        <v>2385</v>
      </c>
      <c r="C4397" s="2">
        <v>10</v>
      </c>
      <c r="D4397" s="2">
        <v>556</v>
      </c>
      <c r="E4397" s="2">
        <v>200</v>
      </c>
      <c r="F4397" s="2">
        <v>32441</v>
      </c>
      <c r="G4397" s="2">
        <v>2.917356115</v>
      </c>
      <c r="H4397" s="2">
        <v>3.1496330000000002E-3</v>
      </c>
      <c r="I4397" s="2" t="s">
        <v>20631</v>
      </c>
      <c r="J4397" s="2" t="s">
        <v>20632</v>
      </c>
      <c r="K4397" s="2">
        <v>6.222633E-3</v>
      </c>
      <c r="L4397" s="2" t="s">
        <v>1178</v>
      </c>
      <c r="M4397" s="4" t="s">
        <v>20633</v>
      </c>
    </row>
    <row r="4398" spans="1:13">
      <c r="A4398" s="2">
        <v>741</v>
      </c>
      <c r="B4398" s="2" t="s">
        <v>1662</v>
      </c>
      <c r="C4398" s="2">
        <v>10</v>
      </c>
      <c r="D4398" s="2">
        <v>556</v>
      </c>
      <c r="E4398" s="2">
        <v>200</v>
      </c>
      <c r="F4398" s="2">
        <v>32441</v>
      </c>
      <c r="G4398" s="2">
        <v>2.917356115</v>
      </c>
      <c r="H4398" s="2">
        <v>3.1496330000000002E-3</v>
      </c>
      <c r="I4398" s="2" t="s">
        <v>20634</v>
      </c>
      <c r="J4398" s="2" t="s">
        <v>20635</v>
      </c>
      <c r="K4398" s="2">
        <v>6.222633E-3</v>
      </c>
      <c r="L4398" s="2" t="s">
        <v>1178</v>
      </c>
      <c r="M4398" s="4" t="s">
        <v>20636</v>
      </c>
    </row>
    <row r="4399" spans="1:13">
      <c r="A4399" s="2">
        <v>7541</v>
      </c>
      <c r="B4399" s="2" t="s">
        <v>3349</v>
      </c>
      <c r="C4399" s="2">
        <v>10</v>
      </c>
      <c r="D4399" s="2">
        <v>556</v>
      </c>
      <c r="E4399" s="2">
        <v>200</v>
      </c>
      <c r="F4399" s="2">
        <v>32441</v>
      </c>
      <c r="G4399" s="2">
        <v>2.917356115</v>
      </c>
      <c r="H4399" s="2">
        <v>3.1496330000000002E-3</v>
      </c>
      <c r="I4399" s="2" t="s">
        <v>20637</v>
      </c>
      <c r="J4399" s="2" t="s">
        <v>20638</v>
      </c>
      <c r="K4399" s="2">
        <v>6.222633E-3</v>
      </c>
      <c r="L4399" s="2" t="s">
        <v>1178</v>
      </c>
      <c r="M4399" s="4" t="s">
        <v>3352</v>
      </c>
    </row>
    <row r="4400" spans="1:13">
      <c r="A4400" s="2">
        <v>759</v>
      </c>
      <c r="B4400" s="2" t="s">
        <v>1665</v>
      </c>
      <c r="C4400" s="2">
        <v>10</v>
      </c>
      <c r="D4400" s="2">
        <v>556</v>
      </c>
      <c r="E4400" s="2">
        <v>200</v>
      </c>
      <c r="F4400" s="2">
        <v>32441</v>
      </c>
      <c r="G4400" s="2">
        <v>2.917356115</v>
      </c>
      <c r="H4400" s="2">
        <v>3.1496330000000002E-3</v>
      </c>
      <c r="I4400" s="2" t="s">
        <v>20639</v>
      </c>
      <c r="J4400" s="2" t="s">
        <v>20640</v>
      </c>
      <c r="K4400" s="2">
        <v>6.222633E-3</v>
      </c>
      <c r="L4400" s="2" t="s">
        <v>1178</v>
      </c>
      <c r="M4400" s="4" t="s">
        <v>20641</v>
      </c>
    </row>
    <row r="4401" spans="1:13">
      <c r="A4401" s="2">
        <v>7691</v>
      </c>
      <c r="B4401" s="2" t="s">
        <v>20642</v>
      </c>
      <c r="C4401" s="2">
        <v>10</v>
      </c>
      <c r="D4401" s="2">
        <v>556</v>
      </c>
      <c r="E4401" s="2">
        <v>200</v>
      </c>
      <c r="F4401" s="2">
        <v>32441</v>
      </c>
      <c r="G4401" s="2">
        <v>2.917356115</v>
      </c>
      <c r="H4401" s="2">
        <v>3.1496330000000002E-3</v>
      </c>
      <c r="I4401" s="2" t="s">
        <v>20643</v>
      </c>
      <c r="J4401" s="2" t="s">
        <v>20644</v>
      </c>
      <c r="K4401" s="2">
        <v>6.222633E-3</v>
      </c>
      <c r="L4401" s="2" t="s">
        <v>1178</v>
      </c>
      <c r="M4401" s="4" t="s">
        <v>20645</v>
      </c>
    </row>
    <row r="4402" spans="1:13">
      <c r="A4402" s="2">
        <v>791</v>
      </c>
      <c r="B4402" s="2" t="s">
        <v>20646</v>
      </c>
      <c r="C4402" s="2">
        <v>10</v>
      </c>
      <c r="D4402" s="2">
        <v>556</v>
      </c>
      <c r="E4402" s="2">
        <v>200</v>
      </c>
      <c r="F4402" s="2">
        <v>32441</v>
      </c>
      <c r="G4402" s="2">
        <v>2.917356115</v>
      </c>
      <c r="H4402" s="2">
        <v>3.1496330000000002E-3</v>
      </c>
      <c r="I4402" s="2" t="s">
        <v>20647</v>
      </c>
      <c r="J4402" s="2" t="s">
        <v>20648</v>
      </c>
      <c r="K4402" s="2">
        <v>6.222633E-3</v>
      </c>
      <c r="L4402" s="2" t="s">
        <v>1178</v>
      </c>
      <c r="M4402" s="4" t="s">
        <v>20649</v>
      </c>
    </row>
    <row r="4403" spans="1:13">
      <c r="A4403" s="2">
        <v>7931</v>
      </c>
      <c r="B4403" s="2" t="s">
        <v>20650</v>
      </c>
      <c r="C4403" s="2">
        <v>10</v>
      </c>
      <c r="D4403" s="2">
        <v>556</v>
      </c>
      <c r="E4403" s="2">
        <v>200</v>
      </c>
      <c r="F4403" s="2">
        <v>32441</v>
      </c>
      <c r="G4403" s="2">
        <v>2.917356115</v>
      </c>
      <c r="H4403" s="2">
        <v>3.1496330000000002E-3</v>
      </c>
      <c r="I4403" s="2" t="s">
        <v>20651</v>
      </c>
      <c r="J4403" s="2" t="s">
        <v>20652</v>
      </c>
      <c r="K4403" s="2">
        <v>6.222633E-3</v>
      </c>
      <c r="L4403" s="2" t="s">
        <v>1178</v>
      </c>
      <c r="M4403" s="4" t="s">
        <v>20653</v>
      </c>
    </row>
    <row r="4404" spans="1:13">
      <c r="A4404" s="2">
        <v>8091</v>
      </c>
      <c r="B4404" s="2" t="s">
        <v>20654</v>
      </c>
      <c r="C4404" s="2">
        <v>10</v>
      </c>
      <c r="D4404" s="2">
        <v>556</v>
      </c>
      <c r="E4404" s="2">
        <v>200</v>
      </c>
      <c r="F4404" s="2">
        <v>32441</v>
      </c>
      <c r="G4404" s="2">
        <v>2.917356115</v>
      </c>
      <c r="H4404" s="2">
        <v>3.1496330000000002E-3</v>
      </c>
      <c r="I4404" s="2" t="s">
        <v>20655</v>
      </c>
      <c r="J4404" s="2" t="s">
        <v>20656</v>
      </c>
      <c r="K4404" s="2">
        <v>6.222633E-3</v>
      </c>
      <c r="L4404" s="2" t="s">
        <v>1178</v>
      </c>
      <c r="M4404" s="4" t="s">
        <v>20657</v>
      </c>
    </row>
    <row r="4405" spans="1:13">
      <c r="A4405" s="2">
        <v>8172</v>
      </c>
      <c r="B4405" s="2" t="s">
        <v>20658</v>
      </c>
      <c r="C4405" s="2">
        <v>10</v>
      </c>
      <c r="D4405" s="2">
        <v>556</v>
      </c>
      <c r="E4405" s="2">
        <v>200</v>
      </c>
      <c r="F4405" s="2">
        <v>32441</v>
      </c>
      <c r="G4405" s="2">
        <v>2.917356115</v>
      </c>
      <c r="H4405" s="2">
        <v>3.1496330000000002E-3</v>
      </c>
      <c r="I4405" s="2" t="s">
        <v>20659</v>
      </c>
      <c r="J4405" s="2" t="s">
        <v>20660</v>
      </c>
      <c r="K4405" s="2">
        <v>6.222633E-3</v>
      </c>
      <c r="L4405" s="2" t="s">
        <v>1178</v>
      </c>
      <c r="M4405" s="4" t="s">
        <v>20661</v>
      </c>
    </row>
    <row r="4406" spans="1:13">
      <c r="A4406" s="2">
        <v>8211</v>
      </c>
      <c r="B4406" s="2" t="s">
        <v>20662</v>
      </c>
      <c r="C4406" s="2">
        <v>10</v>
      </c>
      <c r="D4406" s="2">
        <v>556</v>
      </c>
      <c r="E4406" s="2">
        <v>200</v>
      </c>
      <c r="F4406" s="2">
        <v>32441</v>
      </c>
      <c r="G4406" s="2">
        <v>2.917356115</v>
      </c>
      <c r="H4406" s="2">
        <v>3.1496330000000002E-3</v>
      </c>
      <c r="I4406" s="2" t="s">
        <v>20663</v>
      </c>
      <c r="J4406" s="2" t="s">
        <v>20664</v>
      </c>
      <c r="K4406" s="2">
        <v>6.222633E-3</v>
      </c>
      <c r="L4406" s="2" t="s">
        <v>1178</v>
      </c>
      <c r="M4406" s="4" t="s">
        <v>20665</v>
      </c>
    </row>
    <row r="4407" spans="1:13">
      <c r="A4407" s="2">
        <v>8291</v>
      </c>
      <c r="B4407" s="2" t="s">
        <v>20666</v>
      </c>
      <c r="C4407" s="2">
        <v>10</v>
      </c>
      <c r="D4407" s="2">
        <v>556</v>
      </c>
      <c r="E4407" s="2">
        <v>200</v>
      </c>
      <c r="F4407" s="2">
        <v>32441</v>
      </c>
      <c r="G4407" s="2">
        <v>2.917356115</v>
      </c>
      <c r="H4407" s="2">
        <v>3.1496330000000002E-3</v>
      </c>
      <c r="I4407" s="2" t="s">
        <v>20667</v>
      </c>
      <c r="J4407" s="2" t="s">
        <v>20668</v>
      </c>
      <c r="K4407" s="2">
        <v>6.222633E-3</v>
      </c>
      <c r="L4407" s="2" t="s">
        <v>1178</v>
      </c>
      <c r="M4407" s="4" t="s">
        <v>20669</v>
      </c>
    </row>
    <row r="4408" spans="1:13">
      <c r="A4408" s="2">
        <v>8471</v>
      </c>
      <c r="B4408" s="2" t="s">
        <v>20670</v>
      </c>
      <c r="C4408" s="2">
        <v>10</v>
      </c>
      <c r="D4408" s="2">
        <v>556</v>
      </c>
      <c r="E4408" s="2">
        <v>200</v>
      </c>
      <c r="F4408" s="2">
        <v>32441</v>
      </c>
      <c r="G4408" s="2">
        <v>2.917356115</v>
      </c>
      <c r="H4408" s="2">
        <v>3.1496330000000002E-3</v>
      </c>
      <c r="I4408" s="2" t="s">
        <v>20671</v>
      </c>
      <c r="J4408" s="2" t="s">
        <v>20672</v>
      </c>
      <c r="K4408" s="2">
        <v>6.222633E-3</v>
      </c>
      <c r="L4408" s="2" t="s">
        <v>1178</v>
      </c>
      <c r="M4408" s="4" t="s">
        <v>20673</v>
      </c>
    </row>
    <row r="4409" spans="1:13">
      <c r="A4409" s="2">
        <v>8511</v>
      </c>
      <c r="B4409" s="2" t="s">
        <v>20674</v>
      </c>
      <c r="C4409" s="2">
        <v>10</v>
      </c>
      <c r="D4409" s="2">
        <v>556</v>
      </c>
      <c r="E4409" s="2">
        <v>200</v>
      </c>
      <c r="F4409" s="2">
        <v>32441</v>
      </c>
      <c r="G4409" s="2">
        <v>2.917356115</v>
      </c>
      <c r="H4409" s="2">
        <v>3.1496330000000002E-3</v>
      </c>
      <c r="I4409" s="2" t="s">
        <v>20675</v>
      </c>
      <c r="J4409" s="2" t="s">
        <v>20676</v>
      </c>
      <c r="K4409" s="2">
        <v>6.222633E-3</v>
      </c>
      <c r="L4409" s="2" t="s">
        <v>1178</v>
      </c>
      <c r="M4409" s="4" t="s">
        <v>20677</v>
      </c>
    </row>
    <row r="4410" spans="1:13">
      <c r="A4410" s="2">
        <v>8781</v>
      </c>
      <c r="B4410" s="2" t="s">
        <v>20678</v>
      </c>
      <c r="C4410" s="2">
        <v>10</v>
      </c>
      <c r="D4410" s="2">
        <v>556</v>
      </c>
      <c r="E4410" s="2">
        <v>200</v>
      </c>
      <c r="F4410" s="2">
        <v>32441</v>
      </c>
      <c r="G4410" s="2">
        <v>2.917356115</v>
      </c>
      <c r="H4410" s="2">
        <v>3.1496330000000002E-3</v>
      </c>
      <c r="I4410" s="2" t="s">
        <v>20679</v>
      </c>
      <c r="J4410" s="2" t="s">
        <v>20680</v>
      </c>
      <c r="K4410" s="2">
        <v>6.222633E-3</v>
      </c>
      <c r="L4410" s="2" t="s">
        <v>1178</v>
      </c>
      <c r="M4410" s="4" t="s">
        <v>20681</v>
      </c>
    </row>
    <row r="4411" spans="1:13">
      <c r="A4411" s="2">
        <v>899</v>
      </c>
      <c r="B4411" s="2" t="s">
        <v>20682</v>
      </c>
      <c r="C4411" s="2">
        <v>10</v>
      </c>
      <c r="D4411" s="2">
        <v>556</v>
      </c>
      <c r="E4411" s="2">
        <v>200</v>
      </c>
      <c r="F4411" s="2">
        <v>32441</v>
      </c>
      <c r="G4411" s="2">
        <v>2.917356115</v>
      </c>
      <c r="H4411" s="2">
        <v>3.1496330000000002E-3</v>
      </c>
      <c r="I4411" s="2" t="s">
        <v>20683</v>
      </c>
      <c r="J4411" s="2" t="s">
        <v>20684</v>
      </c>
      <c r="K4411" s="2">
        <v>6.222633E-3</v>
      </c>
      <c r="L4411" s="2" t="s">
        <v>1178</v>
      </c>
      <c r="M4411" s="4" t="s">
        <v>20685</v>
      </c>
    </row>
    <row r="4412" spans="1:13">
      <c r="A4412" s="2">
        <v>918</v>
      </c>
      <c r="B4412" s="2" t="s">
        <v>20686</v>
      </c>
      <c r="C4412" s="2">
        <v>10</v>
      </c>
      <c r="D4412" s="2">
        <v>556</v>
      </c>
      <c r="E4412" s="2">
        <v>200</v>
      </c>
      <c r="F4412" s="2">
        <v>32441</v>
      </c>
      <c r="G4412" s="2">
        <v>2.917356115</v>
      </c>
      <c r="H4412" s="2">
        <v>3.1496330000000002E-3</v>
      </c>
      <c r="I4412" s="2" t="s">
        <v>20687</v>
      </c>
      <c r="J4412" s="2" t="s">
        <v>20688</v>
      </c>
      <c r="K4412" s="2">
        <v>6.222633E-3</v>
      </c>
      <c r="L4412" s="2" t="s">
        <v>1178</v>
      </c>
      <c r="M4412" s="4" t="s">
        <v>20689</v>
      </c>
    </row>
    <row r="4413" spans="1:13">
      <c r="A4413" s="2">
        <v>964</v>
      </c>
      <c r="B4413" s="2" t="s">
        <v>20690</v>
      </c>
      <c r="C4413" s="2">
        <v>10</v>
      </c>
      <c r="D4413" s="2">
        <v>556</v>
      </c>
      <c r="E4413" s="2">
        <v>200</v>
      </c>
      <c r="F4413" s="2">
        <v>32441</v>
      </c>
      <c r="G4413" s="2">
        <v>2.917356115</v>
      </c>
      <c r="H4413" s="2">
        <v>3.1496330000000002E-3</v>
      </c>
      <c r="I4413" s="2" t="s">
        <v>20691</v>
      </c>
      <c r="J4413" s="2" t="s">
        <v>20692</v>
      </c>
      <c r="K4413" s="2">
        <v>6.222633E-3</v>
      </c>
      <c r="L4413" s="2" t="s">
        <v>1178</v>
      </c>
      <c r="M4413" s="4" t="s">
        <v>20693</v>
      </c>
    </row>
    <row r="4414" spans="1:13">
      <c r="A4414" s="2">
        <v>970</v>
      </c>
      <c r="B4414" s="2" t="s">
        <v>1266</v>
      </c>
      <c r="C4414" s="2">
        <v>10</v>
      </c>
      <c r="D4414" s="2">
        <v>556</v>
      </c>
      <c r="E4414" s="2">
        <v>200</v>
      </c>
      <c r="F4414" s="2">
        <v>32441</v>
      </c>
      <c r="G4414" s="2">
        <v>2.917356115</v>
      </c>
      <c r="H4414" s="2">
        <v>3.1496330000000002E-3</v>
      </c>
      <c r="I4414" s="2" t="s">
        <v>20694</v>
      </c>
      <c r="J4414" s="2" t="s">
        <v>20695</v>
      </c>
      <c r="K4414" s="2">
        <v>6.222633E-3</v>
      </c>
      <c r="L4414" s="2" t="s">
        <v>1178</v>
      </c>
      <c r="M4414" s="4" t="s">
        <v>20696</v>
      </c>
    </row>
    <row r="4415" spans="1:13">
      <c r="A4415" s="2">
        <v>997</v>
      </c>
      <c r="B4415" s="2" t="s">
        <v>20697</v>
      </c>
      <c r="C4415" s="2">
        <v>10</v>
      </c>
      <c r="D4415" s="2">
        <v>556</v>
      </c>
      <c r="E4415" s="2">
        <v>200</v>
      </c>
      <c r="F4415" s="2">
        <v>32441</v>
      </c>
      <c r="G4415" s="2">
        <v>2.917356115</v>
      </c>
      <c r="H4415" s="2">
        <v>3.1496330000000002E-3</v>
      </c>
      <c r="I4415" s="2" t="s">
        <v>20698</v>
      </c>
      <c r="J4415" s="2" t="s">
        <v>20699</v>
      </c>
      <c r="K4415" s="2">
        <v>6.222633E-3</v>
      </c>
      <c r="L4415" s="2" t="s">
        <v>1178</v>
      </c>
      <c r="M4415" s="4" t="s">
        <v>20700</v>
      </c>
    </row>
    <row r="4416" spans="1:13">
      <c r="A4416" s="2">
        <v>999</v>
      </c>
      <c r="B4416" s="2" t="s">
        <v>20701</v>
      </c>
      <c r="C4416" s="2">
        <v>10</v>
      </c>
      <c r="D4416" s="2">
        <v>556</v>
      </c>
      <c r="E4416" s="2">
        <v>200</v>
      </c>
      <c r="F4416" s="2">
        <v>32441</v>
      </c>
      <c r="G4416" s="2">
        <v>2.917356115</v>
      </c>
      <c r="H4416" s="2">
        <v>3.1496330000000002E-3</v>
      </c>
      <c r="I4416" s="2" t="s">
        <v>20702</v>
      </c>
      <c r="J4416" s="2" t="s">
        <v>20703</v>
      </c>
      <c r="K4416" s="2">
        <v>6.222633E-3</v>
      </c>
      <c r="L4416" s="2" t="s">
        <v>1178</v>
      </c>
      <c r="M4416" s="4" t="s">
        <v>20704</v>
      </c>
    </row>
    <row r="4417" spans="1:13">
      <c r="A4417" s="2">
        <v>10001</v>
      </c>
      <c r="B4417" s="2" t="s">
        <v>20705</v>
      </c>
      <c r="C4417" s="2">
        <v>10</v>
      </c>
      <c r="D4417" s="2">
        <v>556</v>
      </c>
      <c r="E4417" s="2">
        <v>200</v>
      </c>
      <c r="F4417" s="2">
        <v>32441</v>
      </c>
      <c r="G4417" s="2">
        <v>2.917356115</v>
      </c>
      <c r="H4417" s="2">
        <v>3.1496330000000002E-3</v>
      </c>
      <c r="I4417" s="2" t="s">
        <v>20706</v>
      </c>
      <c r="J4417" s="2" t="s">
        <v>20707</v>
      </c>
      <c r="K4417" s="2">
        <v>6.222633E-3</v>
      </c>
      <c r="L4417" s="2" t="s">
        <v>1178</v>
      </c>
      <c r="M4417" s="4" t="s">
        <v>20708</v>
      </c>
    </row>
    <row r="4418" spans="1:13">
      <c r="A4418" s="2">
        <v>1005</v>
      </c>
      <c r="B4418" s="2" t="s">
        <v>2106</v>
      </c>
      <c r="C4418" s="2">
        <v>10</v>
      </c>
      <c r="D4418" s="2">
        <v>556</v>
      </c>
      <c r="E4418" s="2">
        <v>200</v>
      </c>
      <c r="F4418" s="2">
        <v>32441</v>
      </c>
      <c r="G4418" s="2">
        <v>2.917356115</v>
      </c>
      <c r="H4418" s="2">
        <v>3.1496330000000002E-3</v>
      </c>
      <c r="I4418" s="2" t="s">
        <v>20709</v>
      </c>
      <c r="J4418" s="2" t="s">
        <v>20710</v>
      </c>
      <c r="K4418" s="2">
        <v>6.222633E-3</v>
      </c>
      <c r="L4418" s="2" t="s">
        <v>1178</v>
      </c>
      <c r="M4418" s="4" t="s">
        <v>3167</v>
      </c>
    </row>
    <row r="4419" spans="1:13">
      <c r="A4419" s="2">
        <v>1009</v>
      </c>
      <c r="B4419" s="2" t="s">
        <v>3168</v>
      </c>
      <c r="C4419" s="2">
        <v>10</v>
      </c>
      <c r="D4419" s="2">
        <v>556</v>
      </c>
      <c r="E4419" s="2">
        <v>200</v>
      </c>
      <c r="F4419" s="2">
        <v>32441</v>
      </c>
      <c r="G4419" s="2">
        <v>2.917356115</v>
      </c>
      <c r="H4419" s="2">
        <v>3.1496330000000002E-3</v>
      </c>
      <c r="I4419" s="2" t="s">
        <v>20711</v>
      </c>
      <c r="J4419" s="2" t="s">
        <v>20712</v>
      </c>
      <c r="K4419" s="2">
        <v>6.222633E-3</v>
      </c>
      <c r="L4419" s="2" t="s">
        <v>1178</v>
      </c>
      <c r="M4419" s="4" t="s">
        <v>3171</v>
      </c>
    </row>
    <row r="4420" spans="1:13">
      <c r="A4420" s="2">
        <v>1013</v>
      </c>
      <c r="B4420" s="2" t="s">
        <v>2400</v>
      </c>
      <c r="C4420" s="2">
        <v>10</v>
      </c>
      <c r="D4420" s="2">
        <v>556</v>
      </c>
      <c r="E4420" s="2">
        <v>200</v>
      </c>
      <c r="F4420" s="2">
        <v>32441</v>
      </c>
      <c r="G4420" s="2">
        <v>2.917356115</v>
      </c>
      <c r="H4420" s="2">
        <v>3.1496330000000002E-3</v>
      </c>
      <c r="I4420" s="2" t="s">
        <v>20713</v>
      </c>
      <c r="J4420" s="2" t="s">
        <v>20714</v>
      </c>
      <c r="K4420" s="2">
        <v>6.222633E-3</v>
      </c>
      <c r="L4420" s="2" t="s">
        <v>1178</v>
      </c>
      <c r="M4420" s="4" t="s">
        <v>3363</v>
      </c>
    </row>
    <row r="4421" spans="1:13">
      <c r="A4421" s="2">
        <v>1045</v>
      </c>
      <c r="B4421" s="2" t="s">
        <v>20715</v>
      </c>
      <c r="C4421" s="2">
        <v>10</v>
      </c>
      <c r="D4421" s="2">
        <v>556</v>
      </c>
      <c r="E4421" s="2">
        <v>200</v>
      </c>
      <c r="F4421" s="2">
        <v>32441</v>
      </c>
      <c r="G4421" s="2">
        <v>2.917356115</v>
      </c>
      <c r="H4421" s="2">
        <v>3.1496330000000002E-3</v>
      </c>
      <c r="I4421" s="2" t="s">
        <v>20716</v>
      </c>
      <c r="J4421" s="2" t="s">
        <v>20717</v>
      </c>
      <c r="K4421" s="2">
        <v>6.222633E-3</v>
      </c>
      <c r="L4421" s="2" t="s">
        <v>1178</v>
      </c>
      <c r="M4421" s="4" t="s">
        <v>20718</v>
      </c>
    </row>
    <row r="4422" spans="1:13">
      <c r="A4422" s="2">
        <v>1054</v>
      </c>
      <c r="B4422" s="2" t="s">
        <v>20719</v>
      </c>
      <c r="C4422" s="2">
        <v>10</v>
      </c>
      <c r="D4422" s="2">
        <v>556</v>
      </c>
      <c r="E4422" s="2">
        <v>200</v>
      </c>
      <c r="F4422" s="2">
        <v>32441</v>
      </c>
      <c r="G4422" s="2">
        <v>2.917356115</v>
      </c>
      <c r="H4422" s="2">
        <v>3.1496330000000002E-3</v>
      </c>
      <c r="I4422" s="2" t="s">
        <v>20720</v>
      </c>
      <c r="J4422" s="2" t="s">
        <v>20721</v>
      </c>
      <c r="K4422" s="2">
        <v>6.222633E-3</v>
      </c>
      <c r="L4422" s="2" t="s">
        <v>1178</v>
      </c>
      <c r="M4422" s="4" t="s">
        <v>20722</v>
      </c>
    </row>
    <row r="4423" spans="1:13">
      <c r="A4423" s="2">
        <v>1059</v>
      </c>
      <c r="B4423" s="2" t="s">
        <v>20723</v>
      </c>
      <c r="C4423" s="2">
        <v>10</v>
      </c>
      <c r="D4423" s="2">
        <v>556</v>
      </c>
      <c r="E4423" s="2">
        <v>200</v>
      </c>
      <c r="F4423" s="2">
        <v>32441</v>
      </c>
      <c r="G4423" s="2">
        <v>2.917356115</v>
      </c>
      <c r="H4423" s="2">
        <v>3.1496330000000002E-3</v>
      </c>
      <c r="I4423" s="2" t="s">
        <v>20724</v>
      </c>
      <c r="J4423" s="2" t="s">
        <v>20725</v>
      </c>
      <c r="K4423" s="2">
        <v>6.222633E-3</v>
      </c>
      <c r="L4423" s="2" t="s">
        <v>1178</v>
      </c>
      <c r="M4423" s="4" t="s">
        <v>20726</v>
      </c>
    </row>
    <row r="4424" spans="1:13">
      <c r="A4424" s="2">
        <v>1063</v>
      </c>
      <c r="B4424" s="2" t="s">
        <v>20727</v>
      </c>
      <c r="C4424" s="2">
        <v>10</v>
      </c>
      <c r="D4424" s="2">
        <v>556</v>
      </c>
      <c r="E4424" s="2">
        <v>200</v>
      </c>
      <c r="F4424" s="2">
        <v>32441</v>
      </c>
      <c r="G4424" s="2">
        <v>2.917356115</v>
      </c>
      <c r="H4424" s="2">
        <v>3.1496330000000002E-3</v>
      </c>
      <c r="I4424" s="2" t="s">
        <v>20728</v>
      </c>
      <c r="J4424" s="2" t="s">
        <v>20729</v>
      </c>
      <c r="K4424" s="2">
        <v>6.222633E-3</v>
      </c>
      <c r="L4424" s="2" t="s">
        <v>1178</v>
      </c>
      <c r="M4424" s="4" t="s">
        <v>20730</v>
      </c>
    </row>
    <row r="4425" spans="1:13">
      <c r="A4425" s="2">
        <v>1080</v>
      </c>
      <c r="B4425" s="2" t="s">
        <v>20731</v>
      </c>
      <c r="C4425" s="2">
        <v>10</v>
      </c>
      <c r="D4425" s="2">
        <v>556</v>
      </c>
      <c r="E4425" s="2">
        <v>200</v>
      </c>
      <c r="F4425" s="2">
        <v>32441</v>
      </c>
      <c r="G4425" s="2">
        <v>2.917356115</v>
      </c>
      <c r="H4425" s="2">
        <v>3.1496330000000002E-3</v>
      </c>
      <c r="I4425" s="2" t="s">
        <v>20732</v>
      </c>
      <c r="J4425" s="2" t="s">
        <v>20733</v>
      </c>
      <c r="K4425" s="2">
        <v>6.222633E-3</v>
      </c>
      <c r="L4425" s="2" t="s">
        <v>1178</v>
      </c>
      <c r="M4425" s="4" t="s">
        <v>20734</v>
      </c>
    </row>
    <row r="4426" spans="1:13">
      <c r="A4426" s="2">
        <v>11461</v>
      </c>
      <c r="B4426" s="2" t="s">
        <v>2418</v>
      </c>
      <c r="C4426" s="2">
        <v>10</v>
      </c>
      <c r="D4426" s="2">
        <v>556</v>
      </c>
      <c r="E4426" s="2">
        <v>200</v>
      </c>
      <c r="F4426" s="2">
        <v>32441</v>
      </c>
      <c r="G4426" s="2">
        <v>2.917356115</v>
      </c>
      <c r="H4426" s="2">
        <v>3.1496330000000002E-3</v>
      </c>
      <c r="I4426" s="2" t="s">
        <v>20735</v>
      </c>
      <c r="J4426" s="2" t="s">
        <v>20736</v>
      </c>
      <c r="K4426" s="2">
        <v>6.222633E-3</v>
      </c>
      <c r="L4426" s="2" t="s">
        <v>1178</v>
      </c>
      <c r="M4426" s="4" t="s">
        <v>20737</v>
      </c>
    </row>
    <row r="4427" spans="1:13">
      <c r="A4427" s="2">
        <v>11901</v>
      </c>
      <c r="B4427" s="2" t="s">
        <v>20738</v>
      </c>
      <c r="C4427" s="2">
        <v>10</v>
      </c>
      <c r="D4427" s="2">
        <v>556</v>
      </c>
      <c r="E4427" s="2">
        <v>200</v>
      </c>
      <c r="F4427" s="2">
        <v>32441</v>
      </c>
      <c r="G4427" s="2">
        <v>2.917356115</v>
      </c>
      <c r="H4427" s="2">
        <v>3.1496330000000002E-3</v>
      </c>
      <c r="I4427" s="2" t="s">
        <v>20739</v>
      </c>
      <c r="J4427" s="2" t="s">
        <v>20740</v>
      </c>
      <c r="K4427" s="2">
        <v>6.222633E-3</v>
      </c>
      <c r="L4427" s="2" t="s">
        <v>1178</v>
      </c>
      <c r="M4427" s="4" t="s">
        <v>20741</v>
      </c>
    </row>
    <row r="4428" spans="1:13">
      <c r="A4428" s="2">
        <v>11951</v>
      </c>
      <c r="B4428" s="2" t="s">
        <v>20742</v>
      </c>
      <c r="C4428" s="2">
        <v>10</v>
      </c>
      <c r="D4428" s="2">
        <v>556</v>
      </c>
      <c r="E4428" s="2">
        <v>200</v>
      </c>
      <c r="F4428" s="2">
        <v>32441</v>
      </c>
      <c r="G4428" s="2">
        <v>2.917356115</v>
      </c>
      <c r="H4428" s="2">
        <v>3.1496330000000002E-3</v>
      </c>
      <c r="I4428" s="2" t="s">
        <v>20743</v>
      </c>
      <c r="J4428" s="2" t="s">
        <v>20744</v>
      </c>
      <c r="K4428" s="2">
        <v>6.222633E-3</v>
      </c>
      <c r="L4428" s="2" t="s">
        <v>1178</v>
      </c>
      <c r="M4428" s="4" t="s">
        <v>20745</v>
      </c>
    </row>
    <row r="4429" spans="1:13">
      <c r="A4429" s="2">
        <v>1197</v>
      </c>
      <c r="B4429" s="2" t="s">
        <v>20746</v>
      </c>
      <c r="C4429" s="2">
        <v>10</v>
      </c>
      <c r="D4429" s="2">
        <v>556</v>
      </c>
      <c r="E4429" s="2">
        <v>200</v>
      </c>
      <c r="F4429" s="2">
        <v>32441</v>
      </c>
      <c r="G4429" s="2">
        <v>2.917356115</v>
      </c>
      <c r="H4429" s="2">
        <v>3.1496330000000002E-3</v>
      </c>
      <c r="I4429" s="2" t="s">
        <v>20747</v>
      </c>
      <c r="J4429" s="2" t="s">
        <v>20748</v>
      </c>
      <c r="K4429" s="2">
        <v>6.222633E-3</v>
      </c>
      <c r="L4429" s="2" t="s">
        <v>1178</v>
      </c>
      <c r="M4429" s="4" t="s">
        <v>20749</v>
      </c>
    </row>
    <row r="4430" spans="1:13">
      <c r="A4430" s="2">
        <v>1210</v>
      </c>
      <c r="B4430" s="2" t="s">
        <v>20750</v>
      </c>
      <c r="C4430" s="2">
        <v>10</v>
      </c>
      <c r="D4430" s="2">
        <v>556</v>
      </c>
      <c r="E4430" s="2">
        <v>200</v>
      </c>
      <c r="F4430" s="2">
        <v>32441</v>
      </c>
      <c r="G4430" s="2">
        <v>2.917356115</v>
      </c>
      <c r="H4430" s="2">
        <v>3.1496330000000002E-3</v>
      </c>
      <c r="I4430" s="2" t="s">
        <v>20751</v>
      </c>
      <c r="J4430" s="2" t="s">
        <v>20752</v>
      </c>
      <c r="K4430" s="2">
        <v>6.222633E-3</v>
      </c>
      <c r="L4430" s="2" t="s">
        <v>1178</v>
      </c>
      <c r="M4430" s="4" t="s">
        <v>20753</v>
      </c>
    </row>
    <row r="4431" spans="1:13">
      <c r="A4431" s="2">
        <v>1211</v>
      </c>
      <c r="B4431" s="2" t="s">
        <v>20754</v>
      </c>
      <c r="C4431" s="2">
        <v>10</v>
      </c>
      <c r="D4431" s="2">
        <v>556</v>
      </c>
      <c r="E4431" s="2">
        <v>200</v>
      </c>
      <c r="F4431" s="2">
        <v>32441</v>
      </c>
      <c r="G4431" s="2">
        <v>2.917356115</v>
      </c>
      <c r="H4431" s="2">
        <v>3.1496330000000002E-3</v>
      </c>
      <c r="I4431" s="2" t="s">
        <v>20755</v>
      </c>
      <c r="J4431" s="2" t="s">
        <v>20756</v>
      </c>
      <c r="K4431" s="2">
        <v>6.222633E-3</v>
      </c>
      <c r="L4431" s="2" t="s">
        <v>1178</v>
      </c>
      <c r="M4431" s="4" t="s">
        <v>20757</v>
      </c>
    </row>
    <row r="4432" spans="1:13">
      <c r="A4432" s="2">
        <v>1215</v>
      </c>
      <c r="B4432" s="2" t="s">
        <v>20758</v>
      </c>
      <c r="C4432" s="2">
        <v>10</v>
      </c>
      <c r="D4432" s="2">
        <v>556</v>
      </c>
      <c r="E4432" s="2">
        <v>200</v>
      </c>
      <c r="F4432" s="2">
        <v>32441</v>
      </c>
      <c r="G4432" s="2">
        <v>2.917356115</v>
      </c>
      <c r="H4432" s="2">
        <v>3.1496330000000002E-3</v>
      </c>
      <c r="I4432" s="2" t="s">
        <v>20759</v>
      </c>
      <c r="J4432" s="2" t="s">
        <v>20760</v>
      </c>
      <c r="K4432" s="2">
        <v>6.222633E-3</v>
      </c>
      <c r="L4432" s="2" t="s">
        <v>1178</v>
      </c>
      <c r="M4432" s="4" t="s">
        <v>20761</v>
      </c>
    </row>
    <row r="4433" spans="1:13">
      <c r="A4433" s="2">
        <v>1300</v>
      </c>
      <c r="B4433" s="2" t="s">
        <v>20762</v>
      </c>
      <c r="C4433" s="2">
        <v>10</v>
      </c>
      <c r="D4433" s="2">
        <v>556</v>
      </c>
      <c r="E4433" s="2">
        <v>200</v>
      </c>
      <c r="F4433" s="2">
        <v>32441</v>
      </c>
      <c r="G4433" s="2">
        <v>2.917356115</v>
      </c>
      <c r="H4433" s="2">
        <v>3.1496330000000002E-3</v>
      </c>
      <c r="I4433" s="2" t="s">
        <v>20763</v>
      </c>
      <c r="J4433" s="2" t="s">
        <v>20764</v>
      </c>
      <c r="K4433" s="2">
        <v>6.222633E-3</v>
      </c>
      <c r="L4433" s="2" t="s">
        <v>1178</v>
      </c>
      <c r="M4433" s="4" t="s">
        <v>20765</v>
      </c>
    </row>
    <row r="4434" spans="1:13">
      <c r="A4434" s="2">
        <v>1313</v>
      </c>
      <c r="B4434" s="2" t="s">
        <v>20766</v>
      </c>
      <c r="C4434" s="2">
        <v>10</v>
      </c>
      <c r="D4434" s="2">
        <v>556</v>
      </c>
      <c r="E4434" s="2">
        <v>200</v>
      </c>
      <c r="F4434" s="2">
        <v>32441</v>
      </c>
      <c r="G4434" s="2">
        <v>2.917356115</v>
      </c>
      <c r="H4434" s="2">
        <v>3.1496330000000002E-3</v>
      </c>
      <c r="I4434" s="2" t="s">
        <v>20767</v>
      </c>
      <c r="J4434" s="2" t="s">
        <v>20768</v>
      </c>
      <c r="K4434" s="2">
        <v>6.222633E-3</v>
      </c>
      <c r="L4434" s="2" t="s">
        <v>1178</v>
      </c>
      <c r="M4434" s="4" t="s">
        <v>20769</v>
      </c>
    </row>
    <row r="4435" spans="1:13">
      <c r="A4435" s="2">
        <v>1315</v>
      </c>
      <c r="B4435" s="2" t="s">
        <v>20770</v>
      </c>
      <c r="C4435" s="2">
        <v>10</v>
      </c>
      <c r="D4435" s="2">
        <v>556</v>
      </c>
      <c r="E4435" s="2">
        <v>200</v>
      </c>
      <c r="F4435" s="2">
        <v>32441</v>
      </c>
      <c r="G4435" s="2">
        <v>2.917356115</v>
      </c>
      <c r="H4435" s="2">
        <v>3.1496330000000002E-3</v>
      </c>
      <c r="I4435" s="2" t="s">
        <v>20771</v>
      </c>
      <c r="J4435" s="2" t="s">
        <v>20772</v>
      </c>
      <c r="K4435" s="2">
        <v>6.222633E-3</v>
      </c>
      <c r="L4435" s="2" t="s">
        <v>1178</v>
      </c>
      <c r="M4435" s="4" t="s">
        <v>20773</v>
      </c>
    </row>
    <row r="4436" spans="1:13">
      <c r="A4436" s="2">
        <v>1323</v>
      </c>
      <c r="B4436" s="2" t="s">
        <v>20774</v>
      </c>
      <c r="C4436" s="2">
        <v>10</v>
      </c>
      <c r="D4436" s="2">
        <v>556</v>
      </c>
      <c r="E4436" s="2">
        <v>200</v>
      </c>
      <c r="F4436" s="2">
        <v>32441</v>
      </c>
      <c r="G4436" s="2">
        <v>2.917356115</v>
      </c>
      <c r="H4436" s="2">
        <v>3.1496330000000002E-3</v>
      </c>
      <c r="I4436" s="2" t="s">
        <v>20775</v>
      </c>
      <c r="J4436" s="2" t="s">
        <v>20776</v>
      </c>
      <c r="K4436" s="2">
        <v>6.222633E-3</v>
      </c>
      <c r="L4436" s="2" t="s">
        <v>1178</v>
      </c>
      <c r="M4436" s="4" t="s">
        <v>20777</v>
      </c>
    </row>
    <row r="4437" spans="1:13">
      <c r="A4437" s="2">
        <v>1328</v>
      </c>
      <c r="B4437" s="2" t="s">
        <v>20778</v>
      </c>
      <c r="C4437" s="2">
        <v>10</v>
      </c>
      <c r="D4437" s="2">
        <v>556</v>
      </c>
      <c r="E4437" s="2">
        <v>200</v>
      </c>
      <c r="F4437" s="2">
        <v>32441</v>
      </c>
      <c r="G4437" s="2">
        <v>2.917356115</v>
      </c>
      <c r="H4437" s="2">
        <v>3.1496330000000002E-3</v>
      </c>
      <c r="I4437" s="2" t="s">
        <v>20779</v>
      </c>
      <c r="J4437" s="2" t="s">
        <v>20780</v>
      </c>
      <c r="K4437" s="2">
        <v>6.222633E-3</v>
      </c>
      <c r="L4437" s="2" t="s">
        <v>1178</v>
      </c>
      <c r="M4437" s="4" t="s">
        <v>20781</v>
      </c>
    </row>
    <row r="4438" spans="1:13">
      <c r="A4438" s="2">
        <v>1359</v>
      </c>
      <c r="B4438" s="2" t="s">
        <v>20782</v>
      </c>
      <c r="C4438" s="2">
        <v>10</v>
      </c>
      <c r="D4438" s="2">
        <v>556</v>
      </c>
      <c r="E4438" s="2">
        <v>200</v>
      </c>
      <c r="F4438" s="2">
        <v>32441</v>
      </c>
      <c r="G4438" s="2">
        <v>2.917356115</v>
      </c>
      <c r="H4438" s="2">
        <v>3.1496330000000002E-3</v>
      </c>
      <c r="I4438" s="2" t="s">
        <v>20783</v>
      </c>
      <c r="J4438" s="2" t="s">
        <v>20784</v>
      </c>
      <c r="K4438" s="2">
        <v>6.222633E-3</v>
      </c>
      <c r="L4438" s="2" t="s">
        <v>1178</v>
      </c>
      <c r="M4438" s="4" t="s">
        <v>20785</v>
      </c>
    </row>
    <row r="4439" spans="1:13">
      <c r="A4439" s="2">
        <v>1361</v>
      </c>
      <c r="B4439" s="2" t="s">
        <v>20786</v>
      </c>
      <c r="C4439" s="2">
        <v>10</v>
      </c>
      <c r="D4439" s="2">
        <v>556</v>
      </c>
      <c r="E4439" s="2">
        <v>200</v>
      </c>
      <c r="F4439" s="2">
        <v>32441</v>
      </c>
      <c r="G4439" s="2">
        <v>2.917356115</v>
      </c>
      <c r="H4439" s="2">
        <v>3.1496330000000002E-3</v>
      </c>
      <c r="I4439" s="2" t="s">
        <v>20787</v>
      </c>
      <c r="J4439" s="2" t="s">
        <v>20788</v>
      </c>
      <c r="K4439" s="2">
        <v>6.222633E-3</v>
      </c>
      <c r="L4439" s="2" t="s">
        <v>1178</v>
      </c>
      <c r="M4439" s="4" t="s">
        <v>20789</v>
      </c>
    </row>
    <row r="4440" spans="1:13">
      <c r="A4440" s="2">
        <v>1365</v>
      </c>
      <c r="B4440" s="2" t="s">
        <v>20790</v>
      </c>
      <c r="C4440" s="2">
        <v>10</v>
      </c>
      <c r="D4440" s="2">
        <v>556</v>
      </c>
      <c r="E4440" s="2">
        <v>200</v>
      </c>
      <c r="F4440" s="2">
        <v>32441</v>
      </c>
      <c r="G4440" s="2">
        <v>2.917356115</v>
      </c>
      <c r="H4440" s="2">
        <v>3.1496330000000002E-3</v>
      </c>
      <c r="I4440" s="2" t="s">
        <v>20791</v>
      </c>
      <c r="J4440" s="2" t="s">
        <v>20792</v>
      </c>
      <c r="K4440" s="2">
        <v>6.222633E-3</v>
      </c>
      <c r="L4440" s="2" t="s">
        <v>1178</v>
      </c>
      <c r="M4440" s="4" t="s">
        <v>20793</v>
      </c>
    </row>
    <row r="4441" spans="1:13">
      <c r="A4441" s="2">
        <v>1366</v>
      </c>
      <c r="B4441" s="2" t="s">
        <v>20794</v>
      </c>
      <c r="C4441" s="2">
        <v>10</v>
      </c>
      <c r="D4441" s="2">
        <v>556</v>
      </c>
      <c r="E4441" s="2">
        <v>200</v>
      </c>
      <c r="F4441" s="2">
        <v>32441</v>
      </c>
      <c r="G4441" s="2">
        <v>2.917356115</v>
      </c>
      <c r="H4441" s="2">
        <v>3.1496330000000002E-3</v>
      </c>
      <c r="I4441" s="2" t="s">
        <v>20795</v>
      </c>
      <c r="J4441" s="2" t="s">
        <v>20796</v>
      </c>
      <c r="K4441" s="2">
        <v>6.222633E-3</v>
      </c>
      <c r="L4441" s="2" t="s">
        <v>1178</v>
      </c>
      <c r="M4441" s="4" t="s">
        <v>20797</v>
      </c>
    </row>
    <row r="4442" spans="1:13">
      <c r="A4442" s="2">
        <v>1379</v>
      </c>
      <c r="B4442" s="2" t="s">
        <v>20798</v>
      </c>
      <c r="C4442" s="2">
        <v>10</v>
      </c>
      <c r="D4442" s="2">
        <v>556</v>
      </c>
      <c r="E4442" s="2">
        <v>199</v>
      </c>
      <c r="F4442" s="2">
        <v>32441</v>
      </c>
      <c r="G4442" s="2">
        <v>2.9320161960000002</v>
      </c>
      <c r="H4442" s="2">
        <v>3.0442400000000001E-3</v>
      </c>
      <c r="I4442" s="2" t="s">
        <v>20799</v>
      </c>
      <c r="J4442" s="2" t="s">
        <v>20800</v>
      </c>
      <c r="K4442" s="2">
        <v>6.222633E-3</v>
      </c>
      <c r="L4442" s="2" t="s">
        <v>1178</v>
      </c>
      <c r="M4442" s="4" t="s">
        <v>20801</v>
      </c>
    </row>
    <row r="4443" spans="1:13">
      <c r="A4443" s="2">
        <v>1392</v>
      </c>
      <c r="B4443" s="2" t="s">
        <v>20802</v>
      </c>
      <c r="C4443" s="2">
        <v>10</v>
      </c>
      <c r="D4443" s="2">
        <v>556</v>
      </c>
      <c r="E4443" s="2">
        <v>200</v>
      </c>
      <c r="F4443" s="2">
        <v>32441</v>
      </c>
      <c r="G4443" s="2">
        <v>2.917356115</v>
      </c>
      <c r="H4443" s="2">
        <v>3.1496330000000002E-3</v>
      </c>
      <c r="I4443" s="2" t="s">
        <v>20803</v>
      </c>
      <c r="J4443" s="2" t="s">
        <v>20804</v>
      </c>
      <c r="K4443" s="2">
        <v>6.222633E-3</v>
      </c>
      <c r="L4443" s="2" t="s">
        <v>1178</v>
      </c>
      <c r="M4443" s="4" t="s">
        <v>20805</v>
      </c>
    </row>
    <row r="4444" spans="1:13">
      <c r="A4444" s="2">
        <v>13941</v>
      </c>
      <c r="B4444" s="2" t="s">
        <v>20806</v>
      </c>
      <c r="C4444" s="2">
        <v>10</v>
      </c>
      <c r="D4444" s="2">
        <v>556</v>
      </c>
      <c r="E4444" s="2">
        <v>200</v>
      </c>
      <c r="F4444" s="2">
        <v>32441</v>
      </c>
      <c r="G4444" s="2">
        <v>2.917356115</v>
      </c>
      <c r="H4444" s="2">
        <v>3.1496330000000002E-3</v>
      </c>
      <c r="I4444" s="2" t="s">
        <v>20807</v>
      </c>
      <c r="J4444" s="2" t="s">
        <v>20808</v>
      </c>
      <c r="K4444" s="2">
        <v>6.222633E-3</v>
      </c>
      <c r="L4444" s="2" t="s">
        <v>1178</v>
      </c>
      <c r="M4444" s="4" t="s">
        <v>20809</v>
      </c>
    </row>
    <row r="4445" spans="1:13">
      <c r="A4445" s="2">
        <v>14001</v>
      </c>
      <c r="B4445" s="2" t="s">
        <v>2130</v>
      </c>
      <c r="C4445" s="2">
        <v>10</v>
      </c>
      <c r="D4445" s="2">
        <v>556</v>
      </c>
      <c r="E4445" s="2">
        <v>200</v>
      </c>
      <c r="F4445" s="2">
        <v>32441</v>
      </c>
      <c r="G4445" s="2">
        <v>2.917356115</v>
      </c>
      <c r="H4445" s="2">
        <v>3.1496330000000002E-3</v>
      </c>
      <c r="I4445" s="2" t="s">
        <v>20810</v>
      </c>
      <c r="J4445" s="2" t="s">
        <v>20811</v>
      </c>
      <c r="K4445" s="2">
        <v>6.222633E-3</v>
      </c>
      <c r="L4445" s="2" t="s">
        <v>1178</v>
      </c>
      <c r="M4445" s="4" t="s">
        <v>20812</v>
      </c>
    </row>
    <row r="4446" spans="1:13">
      <c r="A4446" s="2">
        <v>14101</v>
      </c>
      <c r="B4446" s="2" t="s">
        <v>20813</v>
      </c>
      <c r="C4446" s="2">
        <v>10</v>
      </c>
      <c r="D4446" s="2">
        <v>556</v>
      </c>
      <c r="E4446" s="2">
        <v>200</v>
      </c>
      <c r="F4446" s="2">
        <v>32441</v>
      </c>
      <c r="G4446" s="2">
        <v>2.917356115</v>
      </c>
      <c r="H4446" s="2">
        <v>3.1496330000000002E-3</v>
      </c>
      <c r="I4446" s="2" t="s">
        <v>20814</v>
      </c>
      <c r="J4446" s="2" t="s">
        <v>20815</v>
      </c>
      <c r="K4446" s="2">
        <v>6.222633E-3</v>
      </c>
      <c r="L4446" s="2" t="s">
        <v>1178</v>
      </c>
      <c r="M4446" s="4" t="s">
        <v>20816</v>
      </c>
    </row>
    <row r="4447" spans="1:13">
      <c r="A4447" s="2">
        <v>14261</v>
      </c>
      <c r="B4447" s="2" t="s">
        <v>20817</v>
      </c>
      <c r="C4447" s="2">
        <v>10</v>
      </c>
      <c r="D4447" s="2">
        <v>556</v>
      </c>
      <c r="E4447" s="2">
        <v>200</v>
      </c>
      <c r="F4447" s="2">
        <v>32441</v>
      </c>
      <c r="G4447" s="2">
        <v>2.917356115</v>
      </c>
      <c r="H4447" s="2">
        <v>3.1496330000000002E-3</v>
      </c>
      <c r="I4447" s="2" t="s">
        <v>20818</v>
      </c>
      <c r="J4447" s="2" t="s">
        <v>20819</v>
      </c>
      <c r="K4447" s="2">
        <v>6.222633E-3</v>
      </c>
      <c r="L4447" s="2" t="s">
        <v>1178</v>
      </c>
      <c r="M4447" s="4" t="s">
        <v>20820</v>
      </c>
    </row>
    <row r="4448" spans="1:13">
      <c r="A4448" s="2">
        <v>1432</v>
      </c>
      <c r="B4448" s="2" t="s">
        <v>2139</v>
      </c>
      <c r="C4448" s="2">
        <v>10</v>
      </c>
      <c r="D4448" s="2">
        <v>556</v>
      </c>
      <c r="E4448" s="2">
        <v>200</v>
      </c>
      <c r="F4448" s="2">
        <v>32441</v>
      </c>
      <c r="G4448" s="2">
        <v>2.917356115</v>
      </c>
      <c r="H4448" s="2">
        <v>3.1496330000000002E-3</v>
      </c>
      <c r="I4448" s="2" t="s">
        <v>20821</v>
      </c>
      <c r="J4448" s="2" t="s">
        <v>20822</v>
      </c>
      <c r="K4448" s="2">
        <v>6.222633E-3</v>
      </c>
      <c r="L4448" s="2" t="s">
        <v>1178</v>
      </c>
      <c r="M4448" s="4" t="s">
        <v>20823</v>
      </c>
    </row>
    <row r="4449" spans="1:13">
      <c r="A4449" s="2">
        <v>14391</v>
      </c>
      <c r="B4449" s="2" t="s">
        <v>20824</v>
      </c>
      <c r="C4449" s="2">
        <v>10</v>
      </c>
      <c r="D4449" s="2">
        <v>556</v>
      </c>
      <c r="E4449" s="2">
        <v>200</v>
      </c>
      <c r="F4449" s="2">
        <v>32441</v>
      </c>
      <c r="G4449" s="2">
        <v>2.917356115</v>
      </c>
      <c r="H4449" s="2">
        <v>3.1496330000000002E-3</v>
      </c>
      <c r="I4449" s="2" t="s">
        <v>20825</v>
      </c>
      <c r="J4449" s="2" t="s">
        <v>20826</v>
      </c>
      <c r="K4449" s="2">
        <v>6.222633E-3</v>
      </c>
      <c r="L4449" s="2" t="s">
        <v>1178</v>
      </c>
      <c r="M4449" s="4" t="s">
        <v>20827</v>
      </c>
    </row>
    <row r="4450" spans="1:13">
      <c r="A4450" s="2">
        <v>14812</v>
      </c>
      <c r="B4450" s="2" t="s">
        <v>20828</v>
      </c>
      <c r="C4450" s="2">
        <v>10</v>
      </c>
      <c r="D4450" s="2">
        <v>556</v>
      </c>
      <c r="E4450" s="2">
        <v>200</v>
      </c>
      <c r="F4450" s="2">
        <v>32441</v>
      </c>
      <c r="G4450" s="2">
        <v>2.917356115</v>
      </c>
      <c r="H4450" s="2">
        <v>3.1496330000000002E-3</v>
      </c>
      <c r="I4450" s="2" t="s">
        <v>20829</v>
      </c>
      <c r="J4450" s="2" t="s">
        <v>20830</v>
      </c>
      <c r="K4450" s="2">
        <v>6.222633E-3</v>
      </c>
      <c r="L4450" s="2" t="s">
        <v>1178</v>
      </c>
      <c r="M4450" s="4" t="s">
        <v>20831</v>
      </c>
    </row>
    <row r="4451" spans="1:13">
      <c r="A4451" s="2">
        <v>14891</v>
      </c>
      <c r="B4451" s="2" t="s">
        <v>20832</v>
      </c>
      <c r="C4451" s="2">
        <v>10</v>
      </c>
      <c r="D4451" s="2">
        <v>556</v>
      </c>
      <c r="E4451" s="2">
        <v>200</v>
      </c>
      <c r="F4451" s="2">
        <v>32441</v>
      </c>
      <c r="G4451" s="2">
        <v>2.917356115</v>
      </c>
      <c r="H4451" s="2">
        <v>3.1496330000000002E-3</v>
      </c>
      <c r="I4451" s="2" t="s">
        <v>20833</v>
      </c>
      <c r="J4451" s="2" t="s">
        <v>20834</v>
      </c>
      <c r="K4451" s="2">
        <v>6.222633E-3</v>
      </c>
      <c r="L4451" s="2" t="s">
        <v>1178</v>
      </c>
      <c r="M4451" s="4" t="s">
        <v>20835</v>
      </c>
    </row>
    <row r="4452" spans="1:13">
      <c r="A4452" s="2">
        <v>14981</v>
      </c>
      <c r="B4452" s="2" t="s">
        <v>20836</v>
      </c>
      <c r="C4452" s="2">
        <v>10</v>
      </c>
      <c r="D4452" s="2">
        <v>556</v>
      </c>
      <c r="E4452" s="2">
        <v>200</v>
      </c>
      <c r="F4452" s="2">
        <v>32441</v>
      </c>
      <c r="G4452" s="2">
        <v>2.917356115</v>
      </c>
      <c r="H4452" s="2">
        <v>3.1496330000000002E-3</v>
      </c>
      <c r="I4452" s="2" t="s">
        <v>20837</v>
      </c>
      <c r="J4452" s="2" t="s">
        <v>20838</v>
      </c>
      <c r="K4452" s="2">
        <v>6.222633E-3</v>
      </c>
      <c r="L4452" s="2" t="s">
        <v>1178</v>
      </c>
      <c r="M4452" s="4" t="s">
        <v>20839</v>
      </c>
    </row>
    <row r="4453" spans="1:13">
      <c r="A4453" s="2">
        <v>1524</v>
      </c>
      <c r="B4453" s="2" t="s">
        <v>20840</v>
      </c>
      <c r="C4453" s="2">
        <v>10</v>
      </c>
      <c r="D4453" s="2">
        <v>556</v>
      </c>
      <c r="E4453" s="2">
        <v>200</v>
      </c>
      <c r="F4453" s="2">
        <v>32441</v>
      </c>
      <c r="G4453" s="2">
        <v>2.917356115</v>
      </c>
      <c r="H4453" s="2">
        <v>3.1496330000000002E-3</v>
      </c>
      <c r="I4453" s="2" t="s">
        <v>20841</v>
      </c>
      <c r="J4453" s="2" t="s">
        <v>20842</v>
      </c>
      <c r="K4453" s="2">
        <v>6.222633E-3</v>
      </c>
      <c r="L4453" s="2" t="s">
        <v>1178</v>
      </c>
      <c r="M4453" s="4" t="s">
        <v>20843</v>
      </c>
    </row>
    <row r="4454" spans="1:13">
      <c r="A4454" s="2">
        <v>1542</v>
      </c>
      <c r="B4454" s="2" t="s">
        <v>20844</v>
      </c>
      <c r="C4454" s="2">
        <v>10</v>
      </c>
      <c r="D4454" s="2">
        <v>556</v>
      </c>
      <c r="E4454" s="2">
        <v>199</v>
      </c>
      <c r="F4454" s="2">
        <v>32441</v>
      </c>
      <c r="G4454" s="2">
        <v>2.9320161960000002</v>
      </c>
      <c r="H4454" s="2">
        <v>3.0442400000000001E-3</v>
      </c>
      <c r="I4454" s="2" t="s">
        <v>20845</v>
      </c>
      <c r="J4454" s="2" t="s">
        <v>20846</v>
      </c>
      <c r="K4454" s="2">
        <v>6.222633E-3</v>
      </c>
      <c r="L4454" s="2" t="s">
        <v>1178</v>
      </c>
      <c r="M4454" s="4" t="s">
        <v>20847</v>
      </c>
    </row>
    <row r="4455" spans="1:13">
      <c r="A4455" s="2">
        <v>15541</v>
      </c>
      <c r="B4455" s="2" t="s">
        <v>20848</v>
      </c>
      <c r="C4455" s="2">
        <v>10</v>
      </c>
      <c r="D4455" s="2">
        <v>556</v>
      </c>
      <c r="E4455" s="2">
        <v>200</v>
      </c>
      <c r="F4455" s="2">
        <v>32441</v>
      </c>
      <c r="G4455" s="2">
        <v>2.917356115</v>
      </c>
      <c r="H4455" s="2">
        <v>3.1496330000000002E-3</v>
      </c>
      <c r="I4455" s="2" t="s">
        <v>20849</v>
      </c>
      <c r="J4455" s="2" t="s">
        <v>20850</v>
      </c>
      <c r="K4455" s="2">
        <v>6.222633E-3</v>
      </c>
      <c r="L4455" s="2" t="s">
        <v>1178</v>
      </c>
      <c r="M4455" s="4" t="s">
        <v>20851</v>
      </c>
    </row>
    <row r="4456" spans="1:13">
      <c r="A4456" s="2">
        <v>1564</v>
      </c>
      <c r="B4456" s="2" t="s">
        <v>20852</v>
      </c>
      <c r="C4456" s="2">
        <v>10</v>
      </c>
      <c r="D4456" s="2">
        <v>556</v>
      </c>
      <c r="E4456" s="2">
        <v>200</v>
      </c>
      <c r="F4456" s="2">
        <v>32441</v>
      </c>
      <c r="G4456" s="2">
        <v>2.917356115</v>
      </c>
      <c r="H4456" s="2">
        <v>3.1496330000000002E-3</v>
      </c>
      <c r="I4456" s="2" t="s">
        <v>20853</v>
      </c>
      <c r="J4456" s="2" t="s">
        <v>20854</v>
      </c>
      <c r="K4456" s="2">
        <v>6.222633E-3</v>
      </c>
      <c r="L4456" s="2" t="s">
        <v>1178</v>
      </c>
      <c r="M4456" s="4" t="s">
        <v>20855</v>
      </c>
    </row>
    <row r="4457" spans="1:13">
      <c r="A4457" s="2">
        <v>15731</v>
      </c>
      <c r="B4457" s="2" t="s">
        <v>3396</v>
      </c>
      <c r="C4457" s="2">
        <v>10</v>
      </c>
      <c r="D4457" s="2">
        <v>556</v>
      </c>
      <c r="E4457" s="2">
        <v>200</v>
      </c>
      <c r="F4457" s="2">
        <v>32441</v>
      </c>
      <c r="G4457" s="2">
        <v>2.917356115</v>
      </c>
      <c r="H4457" s="2">
        <v>3.1496330000000002E-3</v>
      </c>
      <c r="I4457" s="2" t="s">
        <v>20856</v>
      </c>
      <c r="J4457" s="2" t="s">
        <v>20857</v>
      </c>
      <c r="K4457" s="2">
        <v>6.222633E-3</v>
      </c>
      <c r="L4457" s="2" t="s">
        <v>1178</v>
      </c>
      <c r="M4457" s="4" t="s">
        <v>3399</v>
      </c>
    </row>
    <row r="4458" spans="1:13">
      <c r="A4458" s="2">
        <v>1605</v>
      </c>
      <c r="B4458" s="2" t="s">
        <v>20858</v>
      </c>
      <c r="C4458" s="2">
        <v>10</v>
      </c>
      <c r="D4458" s="2">
        <v>556</v>
      </c>
      <c r="E4458" s="2">
        <v>200</v>
      </c>
      <c r="F4458" s="2">
        <v>32441</v>
      </c>
      <c r="G4458" s="2">
        <v>2.917356115</v>
      </c>
      <c r="H4458" s="2">
        <v>3.1496330000000002E-3</v>
      </c>
      <c r="I4458" s="2" t="s">
        <v>20859</v>
      </c>
      <c r="J4458" s="2" t="s">
        <v>20860</v>
      </c>
      <c r="K4458" s="2">
        <v>6.222633E-3</v>
      </c>
      <c r="L4458" s="2" t="s">
        <v>1178</v>
      </c>
      <c r="M4458" s="4" t="s">
        <v>20861</v>
      </c>
    </row>
    <row r="4459" spans="1:13">
      <c r="A4459" s="2">
        <v>1626</v>
      </c>
      <c r="B4459" s="2" t="s">
        <v>20862</v>
      </c>
      <c r="C4459" s="2">
        <v>10</v>
      </c>
      <c r="D4459" s="2">
        <v>556</v>
      </c>
      <c r="E4459" s="2">
        <v>200</v>
      </c>
      <c r="F4459" s="2">
        <v>32441</v>
      </c>
      <c r="G4459" s="2">
        <v>2.917356115</v>
      </c>
      <c r="H4459" s="2">
        <v>3.1496330000000002E-3</v>
      </c>
      <c r="I4459" s="2" t="s">
        <v>20863</v>
      </c>
      <c r="J4459" s="2" t="s">
        <v>20864</v>
      </c>
      <c r="K4459" s="2">
        <v>6.222633E-3</v>
      </c>
      <c r="L4459" s="2" t="s">
        <v>1178</v>
      </c>
      <c r="M4459" s="4" t="s">
        <v>20865</v>
      </c>
    </row>
    <row r="4460" spans="1:13">
      <c r="A4460" s="2">
        <v>1671</v>
      </c>
      <c r="B4460" s="2" t="s">
        <v>20866</v>
      </c>
      <c r="C4460" s="2">
        <v>10</v>
      </c>
      <c r="D4460" s="2">
        <v>556</v>
      </c>
      <c r="E4460" s="2">
        <v>200</v>
      </c>
      <c r="F4460" s="2">
        <v>32441</v>
      </c>
      <c r="G4460" s="2">
        <v>2.917356115</v>
      </c>
      <c r="H4460" s="2">
        <v>3.1496330000000002E-3</v>
      </c>
      <c r="I4460" s="2" t="s">
        <v>20867</v>
      </c>
      <c r="J4460" s="2" t="s">
        <v>20868</v>
      </c>
      <c r="K4460" s="2">
        <v>6.222633E-3</v>
      </c>
      <c r="L4460" s="2" t="s">
        <v>1178</v>
      </c>
      <c r="M4460" s="4" t="s">
        <v>20869</v>
      </c>
    </row>
    <row r="4461" spans="1:13">
      <c r="A4461" s="2">
        <v>1694</v>
      </c>
      <c r="B4461" s="2" t="s">
        <v>20870</v>
      </c>
      <c r="C4461" s="2">
        <v>10</v>
      </c>
      <c r="D4461" s="2">
        <v>556</v>
      </c>
      <c r="E4461" s="2">
        <v>200</v>
      </c>
      <c r="F4461" s="2">
        <v>32441</v>
      </c>
      <c r="G4461" s="2">
        <v>2.917356115</v>
      </c>
      <c r="H4461" s="2">
        <v>3.1496330000000002E-3</v>
      </c>
      <c r="I4461" s="2" t="s">
        <v>20871</v>
      </c>
      <c r="J4461" s="2" t="s">
        <v>20872</v>
      </c>
      <c r="K4461" s="2">
        <v>6.222633E-3</v>
      </c>
      <c r="L4461" s="2" t="s">
        <v>1178</v>
      </c>
      <c r="M4461" s="4" t="s">
        <v>20873</v>
      </c>
    </row>
    <row r="4462" spans="1:13">
      <c r="A4462" s="2">
        <v>1699</v>
      </c>
      <c r="B4462" s="2" t="s">
        <v>1347</v>
      </c>
      <c r="C4462" s="2">
        <v>10</v>
      </c>
      <c r="D4462" s="2">
        <v>556</v>
      </c>
      <c r="E4462" s="2">
        <v>200</v>
      </c>
      <c r="F4462" s="2">
        <v>32441</v>
      </c>
      <c r="G4462" s="2">
        <v>2.917356115</v>
      </c>
      <c r="H4462" s="2">
        <v>3.1496330000000002E-3</v>
      </c>
      <c r="I4462" s="2" t="s">
        <v>20874</v>
      </c>
      <c r="J4462" s="2" t="s">
        <v>20875</v>
      </c>
      <c r="K4462" s="2">
        <v>6.222633E-3</v>
      </c>
      <c r="L4462" s="2" t="s">
        <v>1178</v>
      </c>
      <c r="M4462" s="4" t="s">
        <v>20876</v>
      </c>
    </row>
    <row r="4463" spans="1:13">
      <c r="A4463" s="2">
        <v>17231</v>
      </c>
      <c r="B4463" s="2" t="s">
        <v>20877</v>
      </c>
      <c r="C4463" s="2">
        <v>10</v>
      </c>
      <c r="D4463" s="2">
        <v>556</v>
      </c>
      <c r="E4463" s="2">
        <v>200</v>
      </c>
      <c r="F4463" s="2">
        <v>32441</v>
      </c>
      <c r="G4463" s="2">
        <v>2.917356115</v>
      </c>
      <c r="H4463" s="2">
        <v>3.1496330000000002E-3</v>
      </c>
      <c r="I4463" s="2" t="s">
        <v>20878</v>
      </c>
      <c r="J4463" s="2" t="s">
        <v>20879</v>
      </c>
      <c r="K4463" s="2">
        <v>6.222633E-3</v>
      </c>
      <c r="L4463" s="2" t="s">
        <v>1178</v>
      </c>
      <c r="M4463" s="4" t="s">
        <v>20880</v>
      </c>
    </row>
    <row r="4464" spans="1:13">
      <c r="A4464" s="2">
        <v>1736</v>
      </c>
      <c r="B4464" s="2" t="s">
        <v>20881</v>
      </c>
      <c r="C4464" s="2">
        <v>10</v>
      </c>
      <c r="D4464" s="2">
        <v>556</v>
      </c>
      <c r="E4464" s="2">
        <v>200</v>
      </c>
      <c r="F4464" s="2">
        <v>32441</v>
      </c>
      <c r="G4464" s="2">
        <v>2.917356115</v>
      </c>
      <c r="H4464" s="2">
        <v>3.1496330000000002E-3</v>
      </c>
      <c r="I4464" s="2" t="s">
        <v>20882</v>
      </c>
      <c r="J4464" s="2" t="s">
        <v>20883</v>
      </c>
      <c r="K4464" s="2">
        <v>6.222633E-3</v>
      </c>
      <c r="L4464" s="2" t="s">
        <v>1178</v>
      </c>
      <c r="M4464" s="4" t="s">
        <v>20884</v>
      </c>
    </row>
    <row r="4465" spans="1:13">
      <c r="A4465" s="2">
        <v>1764</v>
      </c>
      <c r="B4465" s="2" t="s">
        <v>20885</v>
      </c>
      <c r="C4465" s="2">
        <v>10</v>
      </c>
      <c r="D4465" s="2">
        <v>556</v>
      </c>
      <c r="E4465" s="2">
        <v>200</v>
      </c>
      <c r="F4465" s="2">
        <v>32441</v>
      </c>
      <c r="G4465" s="2">
        <v>2.917356115</v>
      </c>
      <c r="H4465" s="2">
        <v>3.1496330000000002E-3</v>
      </c>
      <c r="I4465" s="2" t="s">
        <v>20886</v>
      </c>
      <c r="J4465" s="2" t="s">
        <v>20887</v>
      </c>
      <c r="K4465" s="2">
        <v>6.222633E-3</v>
      </c>
      <c r="L4465" s="2" t="s">
        <v>1178</v>
      </c>
      <c r="M4465" s="4" t="s">
        <v>20888</v>
      </c>
    </row>
    <row r="4466" spans="1:13">
      <c r="A4466" s="2">
        <v>17671</v>
      </c>
      <c r="B4466" s="2" t="s">
        <v>3408</v>
      </c>
      <c r="C4466" s="2">
        <v>10</v>
      </c>
      <c r="D4466" s="2">
        <v>556</v>
      </c>
      <c r="E4466" s="2">
        <v>200</v>
      </c>
      <c r="F4466" s="2">
        <v>32441</v>
      </c>
      <c r="G4466" s="2">
        <v>2.917356115</v>
      </c>
      <c r="H4466" s="2">
        <v>3.1496330000000002E-3</v>
      </c>
      <c r="I4466" s="2" t="s">
        <v>20889</v>
      </c>
      <c r="J4466" s="2" t="s">
        <v>20890</v>
      </c>
      <c r="K4466" s="2">
        <v>6.222633E-3</v>
      </c>
      <c r="L4466" s="2" t="s">
        <v>1178</v>
      </c>
      <c r="M4466" s="4" t="s">
        <v>3411</v>
      </c>
    </row>
    <row r="4467" spans="1:13">
      <c r="A4467" s="2">
        <v>1779</v>
      </c>
      <c r="B4467" s="2" t="s">
        <v>20891</v>
      </c>
      <c r="C4467" s="2">
        <v>10</v>
      </c>
      <c r="D4467" s="2">
        <v>556</v>
      </c>
      <c r="E4467" s="2">
        <v>200</v>
      </c>
      <c r="F4467" s="2">
        <v>32441</v>
      </c>
      <c r="G4467" s="2">
        <v>2.917356115</v>
      </c>
      <c r="H4467" s="2">
        <v>3.1496330000000002E-3</v>
      </c>
      <c r="I4467" s="2" t="s">
        <v>20892</v>
      </c>
      <c r="J4467" s="2" t="s">
        <v>20893</v>
      </c>
      <c r="K4467" s="2">
        <v>6.222633E-3</v>
      </c>
      <c r="L4467" s="2" t="s">
        <v>1178</v>
      </c>
      <c r="M4467" s="4" t="s">
        <v>20894</v>
      </c>
    </row>
    <row r="4468" spans="1:13">
      <c r="A4468" s="2">
        <v>1788</v>
      </c>
      <c r="B4468" s="2" t="s">
        <v>20895</v>
      </c>
      <c r="C4468" s="2">
        <v>10</v>
      </c>
      <c r="D4468" s="2">
        <v>556</v>
      </c>
      <c r="E4468" s="2">
        <v>200</v>
      </c>
      <c r="F4468" s="2">
        <v>32441</v>
      </c>
      <c r="G4468" s="2">
        <v>2.917356115</v>
      </c>
      <c r="H4468" s="2">
        <v>3.1496330000000002E-3</v>
      </c>
      <c r="I4468" s="2" t="s">
        <v>20896</v>
      </c>
      <c r="J4468" s="2" t="s">
        <v>20897</v>
      </c>
      <c r="K4468" s="2">
        <v>6.222633E-3</v>
      </c>
      <c r="L4468" s="2" t="s">
        <v>1178</v>
      </c>
      <c r="M4468" s="4" t="s">
        <v>20898</v>
      </c>
    </row>
    <row r="4469" spans="1:13">
      <c r="A4469" s="2">
        <v>1794</v>
      </c>
      <c r="B4469" s="2" t="s">
        <v>20899</v>
      </c>
      <c r="C4469" s="2">
        <v>10</v>
      </c>
      <c r="D4469" s="2">
        <v>556</v>
      </c>
      <c r="E4469" s="2">
        <v>200</v>
      </c>
      <c r="F4469" s="2">
        <v>32441</v>
      </c>
      <c r="G4469" s="2">
        <v>2.917356115</v>
      </c>
      <c r="H4469" s="2">
        <v>3.1496330000000002E-3</v>
      </c>
      <c r="I4469" s="2" t="s">
        <v>20900</v>
      </c>
      <c r="J4469" s="2" t="s">
        <v>20901</v>
      </c>
      <c r="K4469" s="2">
        <v>6.222633E-3</v>
      </c>
      <c r="L4469" s="2" t="s">
        <v>1178</v>
      </c>
      <c r="M4469" s="4" t="s">
        <v>20902</v>
      </c>
    </row>
    <row r="4470" spans="1:13">
      <c r="A4470" s="2">
        <v>1795</v>
      </c>
      <c r="B4470" s="2" t="s">
        <v>20903</v>
      </c>
      <c r="C4470" s="2">
        <v>10</v>
      </c>
      <c r="D4470" s="2">
        <v>556</v>
      </c>
      <c r="E4470" s="2">
        <v>200</v>
      </c>
      <c r="F4470" s="2">
        <v>32441</v>
      </c>
      <c r="G4470" s="2">
        <v>2.917356115</v>
      </c>
      <c r="H4470" s="2">
        <v>3.1496330000000002E-3</v>
      </c>
      <c r="I4470" s="2" t="s">
        <v>20904</v>
      </c>
      <c r="J4470" s="2" t="s">
        <v>20905</v>
      </c>
      <c r="K4470" s="2">
        <v>6.222633E-3</v>
      </c>
      <c r="L4470" s="2" t="s">
        <v>1178</v>
      </c>
      <c r="M4470" s="4" t="s">
        <v>20906</v>
      </c>
    </row>
    <row r="4471" spans="1:13">
      <c r="A4471" s="2">
        <v>1798</v>
      </c>
      <c r="B4471" s="2" t="s">
        <v>20907</v>
      </c>
      <c r="C4471" s="2">
        <v>10</v>
      </c>
      <c r="D4471" s="2">
        <v>556</v>
      </c>
      <c r="E4471" s="2">
        <v>200</v>
      </c>
      <c r="F4471" s="2">
        <v>32441</v>
      </c>
      <c r="G4471" s="2">
        <v>2.917356115</v>
      </c>
      <c r="H4471" s="2">
        <v>3.1496330000000002E-3</v>
      </c>
      <c r="I4471" s="2" t="s">
        <v>20908</v>
      </c>
      <c r="J4471" s="2" t="s">
        <v>20909</v>
      </c>
      <c r="K4471" s="2">
        <v>6.222633E-3</v>
      </c>
      <c r="L4471" s="2" t="s">
        <v>1178</v>
      </c>
      <c r="M4471" s="4" t="s">
        <v>20910</v>
      </c>
    </row>
    <row r="4472" spans="1:13">
      <c r="A4472" s="2">
        <v>1800</v>
      </c>
      <c r="B4472" s="2" t="s">
        <v>20911</v>
      </c>
      <c r="C4472" s="2">
        <v>10</v>
      </c>
      <c r="D4472" s="2">
        <v>556</v>
      </c>
      <c r="E4472" s="2">
        <v>200</v>
      </c>
      <c r="F4472" s="2">
        <v>32441</v>
      </c>
      <c r="G4472" s="2">
        <v>2.917356115</v>
      </c>
      <c r="H4472" s="2">
        <v>3.1496330000000002E-3</v>
      </c>
      <c r="I4472" s="2" t="s">
        <v>20912</v>
      </c>
      <c r="J4472" s="2" t="s">
        <v>20913</v>
      </c>
      <c r="K4472" s="2">
        <v>6.222633E-3</v>
      </c>
      <c r="L4472" s="2" t="s">
        <v>1178</v>
      </c>
      <c r="M4472" s="4" t="s">
        <v>20914</v>
      </c>
    </row>
    <row r="4473" spans="1:13">
      <c r="A4473" s="2">
        <v>1830</v>
      </c>
      <c r="B4473" s="2" t="s">
        <v>20915</v>
      </c>
      <c r="C4473" s="2">
        <v>10</v>
      </c>
      <c r="D4473" s="2">
        <v>556</v>
      </c>
      <c r="E4473" s="2">
        <v>200</v>
      </c>
      <c r="F4473" s="2">
        <v>32441</v>
      </c>
      <c r="G4473" s="2">
        <v>2.917356115</v>
      </c>
      <c r="H4473" s="2">
        <v>3.1496330000000002E-3</v>
      </c>
      <c r="I4473" s="2" t="s">
        <v>20916</v>
      </c>
      <c r="J4473" s="2" t="s">
        <v>20917</v>
      </c>
      <c r="K4473" s="2">
        <v>6.222633E-3</v>
      </c>
      <c r="L4473" s="2" t="s">
        <v>1178</v>
      </c>
      <c r="M4473" s="4" t="s">
        <v>20918</v>
      </c>
    </row>
    <row r="4474" spans="1:13">
      <c r="A4474" s="2">
        <v>1842</v>
      </c>
      <c r="B4474" s="2" t="s">
        <v>20919</v>
      </c>
      <c r="C4474" s="2">
        <v>10</v>
      </c>
      <c r="D4474" s="2">
        <v>556</v>
      </c>
      <c r="E4474" s="2">
        <v>200</v>
      </c>
      <c r="F4474" s="2">
        <v>32441</v>
      </c>
      <c r="G4474" s="2">
        <v>2.917356115</v>
      </c>
      <c r="H4474" s="2">
        <v>3.1496330000000002E-3</v>
      </c>
      <c r="I4474" s="2" t="s">
        <v>20920</v>
      </c>
      <c r="J4474" s="2" t="s">
        <v>20921</v>
      </c>
      <c r="K4474" s="2">
        <v>6.222633E-3</v>
      </c>
      <c r="L4474" s="2" t="s">
        <v>1178</v>
      </c>
      <c r="M4474" s="4" t="s">
        <v>20922</v>
      </c>
    </row>
    <row r="4475" spans="1:13">
      <c r="A4475" s="2">
        <v>1856</v>
      </c>
      <c r="B4475" s="2" t="s">
        <v>20923</v>
      </c>
      <c r="C4475" s="2">
        <v>10</v>
      </c>
      <c r="D4475" s="2">
        <v>556</v>
      </c>
      <c r="E4475" s="2">
        <v>200</v>
      </c>
      <c r="F4475" s="2">
        <v>32441</v>
      </c>
      <c r="G4475" s="2">
        <v>2.917356115</v>
      </c>
      <c r="H4475" s="2">
        <v>3.1496330000000002E-3</v>
      </c>
      <c r="I4475" s="2" t="s">
        <v>20924</v>
      </c>
      <c r="J4475" s="2" t="s">
        <v>20925</v>
      </c>
      <c r="K4475" s="2">
        <v>6.222633E-3</v>
      </c>
      <c r="L4475" s="2" t="s">
        <v>1178</v>
      </c>
      <c r="M4475" s="4" t="s">
        <v>20926</v>
      </c>
    </row>
    <row r="4476" spans="1:13">
      <c r="A4476" s="2">
        <v>1860</v>
      </c>
      <c r="B4476" s="2" t="s">
        <v>20927</v>
      </c>
      <c r="C4476" s="2">
        <v>10</v>
      </c>
      <c r="D4476" s="2">
        <v>556</v>
      </c>
      <c r="E4476" s="2">
        <v>200</v>
      </c>
      <c r="F4476" s="2">
        <v>32441</v>
      </c>
      <c r="G4476" s="2">
        <v>2.917356115</v>
      </c>
      <c r="H4476" s="2">
        <v>3.1496330000000002E-3</v>
      </c>
      <c r="I4476" s="2" t="s">
        <v>20928</v>
      </c>
      <c r="J4476" s="2" t="s">
        <v>20929</v>
      </c>
      <c r="K4476" s="2">
        <v>6.222633E-3</v>
      </c>
      <c r="L4476" s="2" t="s">
        <v>1178</v>
      </c>
      <c r="M4476" s="4" t="s">
        <v>20930</v>
      </c>
    </row>
    <row r="4477" spans="1:13">
      <c r="A4477" s="2">
        <v>1868</v>
      </c>
      <c r="B4477" s="2" t="s">
        <v>20931</v>
      </c>
      <c r="C4477" s="2">
        <v>10</v>
      </c>
      <c r="D4477" s="2">
        <v>556</v>
      </c>
      <c r="E4477" s="2">
        <v>200</v>
      </c>
      <c r="F4477" s="2">
        <v>32441</v>
      </c>
      <c r="G4477" s="2">
        <v>2.917356115</v>
      </c>
      <c r="H4477" s="2">
        <v>3.1496330000000002E-3</v>
      </c>
      <c r="I4477" s="2" t="s">
        <v>20932</v>
      </c>
      <c r="J4477" s="2" t="s">
        <v>20933</v>
      </c>
      <c r="K4477" s="2">
        <v>6.222633E-3</v>
      </c>
      <c r="L4477" s="2" t="s">
        <v>1178</v>
      </c>
      <c r="M4477" s="4" t="s">
        <v>20934</v>
      </c>
    </row>
    <row r="4478" spans="1:13">
      <c r="A4478" s="2">
        <v>1907</v>
      </c>
      <c r="B4478" s="2" t="s">
        <v>20935</v>
      </c>
      <c r="C4478" s="2">
        <v>10</v>
      </c>
      <c r="D4478" s="2">
        <v>556</v>
      </c>
      <c r="E4478" s="2">
        <v>200</v>
      </c>
      <c r="F4478" s="2">
        <v>32441</v>
      </c>
      <c r="G4478" s="2">
        <v>2.917356115</v>
      </c>
      <c r="H4478" s="2">
        <v>3.1496330000000002E-3</v>
      </c>
      <c r="I4478" s="2" t="s">
        <v>20936</v>
      </c>
      <c r="J4478" s="2" t="s">
        <v>20937</v>
      </c>
      <c r="K4478" s="2">
        <v>6.222633E-3</v>
      </c>
      <c r="L4478" s="2" t="s">
        <v>1178</v>
      </c>
      <c r="M4478" s="4" t="s">
        <v>20938</v>
      </c>
    </row>
    <row r="4479" spans="1:13">
      <c r="A4479" s="2">
        <v>1924</v>
      </c>
      <c r="B4479" s="2" t="s">
        <v>20939</v>
      </c>
      <c r="C4479" s="2">
        <v>10</v>
      </c>
      <c r="D4479" s="2">
        <v>556</v>
      </c>
      <c r="E4479" s="2">
        <v>200</v>
      </c>
      <c r="F4479" s="2">
        <v>32441</v>
      </c>
      <c r="G4479" s="2">
        <v>2.917356115</v>
      </c>
      <c r="H4479" s="2">
        <v>3.1496330000000002E-3</v>
      </c>
      <c r="I4479" s="2" t="s">
        <v>20940</v>
      </c>
      <c r="J4479" s="2" t="s">
        <v>20941</v>
      </c>
      <c r="K4479" s="2">
        <v>6.222633E-3</v>
      </c>
      <c r="L4479" s="2" t="s">
        <v>1178</v>
      </c>
      <c r="M4479" s="4" t="s">
        <v>20942</v>
      </c>
    </row>
    <row r="4480" spans="1:13">
      <c r="A4480" s="2">
        <v>19671</v>
      </c>
      <c r="B4480" s="2" t="s">
        <v>20943</v>
      </c>
      <c r="C4480" s="2">
        <v>10</v>
      </c>
      <c r="D4480" s="2">
        <v>556</v>
      </c>
      <c r="E4480" s="2">
        <v>200</v>
      </c>
      <c r="F4480" s="2">
        <v>32441</v>
      </c>
      <c r="G4480" s="2">
        <v>2.917356115</v>
      </c>
      <c r="H4480" s="2">
        <v>3.1496330000000002E-3</v>
      </c>
      <c r="I4480" s="2" t="s">
        <v>20944</v>
      </c>
      <c r="J4480" s="2" t="s">
        <v>20945</v>
      </c>
      <c r="K4480" s="2">
        <v>6.222633E-3</v>
      </c>
      <c r="L4480" s="2" t="s">
        <v>1178</v>
      </c>
      <c r="M4480" s="4" t="s">
        <v>20946</v>
      </c>
    </row>
    <row r="4481" spans="1:13">
      <c r="A4481" s="2">
        <v>1988</v>
      </c>
      <c r="B4481" s="2" t="s">
        <v>20947</v>
      </c>
      <c r="C4481" s="2">
        <v>10</v>
      </c>
      <c r="D4481" s="2">
        <v>556</v>
      </c>
      <c r="E4481" s="2">
        <v>200</v>
      </c>
      <c r="F4481" s="2">
        <v>32441</v>
      </c>
      <c r="G4481" s="2">
        <v>2.917356115</v>
      </c>
      <c r="H4481" s="2">
        <v>3.1496330000000002E-3</v>
      </c>
      <c r="I4481" s="2" t="s">
        <v>20948</v>
      </c>
      <c r="J4481" s="2" t="s">
        <v>20949</v>
      </c>
      <c r="K4481" s="2">
        <v>6.222633E-3</v>
      </c>
      <c r="L4481" s="2" t="s">
        <v>1178</v>
      </c>
      <c r="M4481" s="4" t="s">
        <v>20950</v>
      </c>
    </row>
    <row r="4482" spans="1:13">
      <c r="A4482" s="2">
        <v>2000</v>
      </c>
      <c r="B4482" s="2" t="s">
        <v>20951</v>
      </c>
      <c r="C4482" s="2">
        <v>10</v>
      </c>
      <c r="D4482" s="2">
        <v>556</v>
      </c>
      <c r="E4482" s="2">
        <v>199</v>
      </c>
      <c r="F4482" s="2">
        <v>32441</v>
      </c>
      <c r="G4482" s="2">
        <v>2.9320161960000002</v>
      </c>
      <c r="H4482" s="2">
        <v>3.0442400000000001E-3</v>
      </c>
      <c r="I4482" s="2" t="s">
        <v>20952</v>
      </c>
      <c r="J4482" s="2" t="s">
        <v>20953</v>
      </c>
      <c r="K4482" s="2">
        <v>6.222633E-3</v>
      </c>
      <c r="L4482" s="2" t="s">
        <v>1178</v>
      </c>
      <c r="M4482" s="4" t="s">
        <v>20954</v>
      </c>
    </row>
    <row r="4483" spans="1:13">
      <c r="A4483" s="2">
        <v>2010</v>
      </c>
      <c r="B4483" s="2" t="s">
        <v>20955</v>
      </c>
      <c r="C4483" s="2">
        <v>10</v>
      </c>
      <c r="D4483" s="2">
        <v>556</v>
      </c>
      <c r="E4483" s="2">
        <v>200</v>
      </c>
      <c r="F4483" s="2">
        <v>32441</v>
      </c>
      <c r="G4483" s="2">
        <v>2.917356115</v>
      </c>
      <c r="H4483" s="2">
        <v>3.1496330000000002E-3</v>
      </c>
      <c r="I4483" s="2" t="s">
        <v>20956</v>
      </c>
      <c r="J4483" s="2" t="s">
        <v>20957</v>
      </c>
      <c r="K4483" s="2">
        <v>6.222633E-3</v>
      </c>
      <c r="L4483" s="2" t="s">
        <v>1178</v>
      </c>
      <c r="M4483" s="4" t="s">
        <v>20958</v>
      </c>
    </row>
    <row r="4484" spans="1:13">
      <c r="A4484" s="2">
        <v>2024</v>
      </c>
      <c r="B4484" s="2" t="s">
        <v>20959</v>
      </c>
      <c r="C4484" s="2">
        <v>10</v>
      </c>
      <c r="D4484" s="2">
        <v>556</v>
      </c>
      <c r="E4484" s="2">
        <v>200</v>
      </c>
      <c r="F4484" s="2">
        <v>32441</v>
      </c>
      <c r="G4484" s="2">
        <v>2.917356115</v>
      </c>
      <c r="H4484" s="2">
        <v>3.1496330000000002E-3</v>
      </c>
      <c r="I4484" s="2" t="s">
        <v>20960</v>
      </c>
      <c r="J4484" s="2" t="s">
        <v>20961</v>
      </c>
      <c r="K4484" s="2">
        <v>6.222633E-3</v>
      </c>
      <c r="L4484" s="2" t="s">
        <v>1178</v>
      </c>
      <c r="M4484" s="4" t="s">
        <v>20962</v>
      </c>
    </row>
    <row r="4485" spans="1:13">
      <c r="A4485" s="2">
        <v>20281</v>
      </c>
      <c r="B4485" s="2" t="s">
        <v>20963</v>
      </c>
      <c r="C4485" s="2">
        <v>10</v>
      </c>
      <c r="D4485" s="2">
        <v>556</v>
      </c>
      <c r="E4485" s="2">
        <v>200</v>
      </c>
      <c r="F4485" s="2">
        <v>32441</v>
      </c>
      <c r="G4485" s="2">
        <v>2.917356115</v>
      </c>
      <c r="H4485" s="2">
        <v>3.1496330000000002E-3</v>
      </c>
      <c r="I4485" s="2" t="s">
        <v>20964</v>
      </c>
      <c r="J4485" s="2" t="s">
        <v>20965</v>
      </c>
      <c r="K4485" s="2">
        <v>6.222633E-3</v>
      </c>
      <c r="L4485" s="2" t="s">
        <v>1178</v>
      </c>
      <c r="M4485" s="4" t="s">
        <v>20966</v>
      </c>
    </row>
    <row r="4486" spans="1:13">
      <c r="A4486" s="2">
        <v>20341</v>
      </c>
      <c r="B4486" s="2" t="s">
        <v>20967</v>
      </c>
      <c r="C4486" s="2">
        <v>10</v>
      </c>
      <c r="D4486" s="2">
        <v>556</v>
      </c>
      <c r="E4486" s="2">
        <v>200</v>
      </c>
      <c r="F4486" s="2">
        <v>32441</v>
      </c>
      <c r="G4486" s="2">
        <v>2.917356115</v>
      </c>
      <c r="H4486" s="2">
        <v>3.1496330000000002E-3</v>
      </c>
      <c r="I4486" s="2" t="s">
        <v>20968</v>
      </c>
      <c r="J4486" s="2" t="s">
        <v>20969</v>
      </c>
      <c r="K4486" s="2">
        <v>6.222633E-3</v>
      </c>
      <c r="L4486" s="2" t="s">
        <v>1178</v>
      </c>
      <c r="M4486" s="4" t="s">
        <v>20970</v>
      </c>
    </row>
    <row r="4487" spans="1:13">
      <c r="A4487" s="2">
        <v>20641</v>
      </c>
      <c r="B4487" s="2" t="s">
        <v>20971</v>
      </c>
      <c r="C4487" s="2">
        <v>10</v>
      </c>
      <c r="D4487" s="2">
        <v>556</v>
      </c>
      <c r="E4487" s="2">
        <v>198</v>
      </c>
      <c r="F4487" s="2">
        <v>32441</v>
      </c>
      <c r="G4487" s="2">
        <v>2.9468243589999998</v>
      </c>
      <c r="H4487" s="2">
        <v>2.9416780000000001E-3</v>
      </c>
      <c r="I4487" s="2" t="s">
        <v>20972</v>
      </c>
      <c r="J4487" s="2" t="s">
        <v>20973</v>
      </c>
      <c r="K4487" s="2">
        <v>6.222633E-3</v>
      </c>
      <c r="L4487" s="2" t="s">
        <v>1178</v>
      </c>
      <c r="M4487" s="4" t="s">
        <v>20974</v>
      </c>
    </row>
    <row r="4488" spans="1:13">
      <c r="A4488" s="2">
        <v>2127</v>
      </c>
      <c r="B4488" s="2" t="s">
        <v>20975</v>
      </c>
      <c r="C4488" s="2">
        <v>10</v>
      </c>
      <c r="D4488" s="2">
        <v>556</v>
      </c>
      <c r="E4488" s="2">
        <v>200</v>
      </c>
      <c r="F4488" s="2">
        <v>32441</v>
      </c>
      <c r="G4488" s="2">
        <v>2.917356115</v>
      </c>
      <c r="H4488" s="2">
        <v>3.1496330000000002E-3</v>
      </c>
      <c r="I4488" s="2" t="s">
        <v>20976</v>
      </c>
      <c r="J4488" s="2" t="s">
        <v>20977</v>
      </c>
      <c r="K4488" s="2">
        <v>6.222633E-3</v>
      </c>
      <c r="L4488" s="2" t="s">
        <v>1178</v>
      </c>
      <c r="M4488" s="4" t="s">
        <v>20978</v>
      </c>
    </row>
    <row r="4489" spans="1:13">
      <c r="A4489" s="2">
        <v>2128</v>
      </c>
      <c r="B4489" s="2" t="s">
        <v>20979</v>
      </c>
      <c r="C4489" s="2">
        <v>10</v>
      </c>
      <c r="D4489" s="2">
        <v>556</v>
      </c>
      <c r="E4489" s="2">
        <v>200</v>
      </c>
      <c r="F4489" s="2">
        <v>32441</v>
      </c>
      <c r="G4489" s="2">
        <v>2.917356115</v>
      </c>
      <c r="H4489" s="2">
        <v>3.1496330000000002E-3</v>
      </c>
      <c r="I4489" s="2" t="s">
        <v>20980</v>
      </c>
      <c r="J4489" s="2" t="s">
        <v>20981</v>
      </c>
      <c r="K4489" s="2">
        <v>6.222633E-3</v>
      </c>
      <c r="L4489" s="2" t="s">
        <v>1178</v>
      </c>
      <c r="M4489" s="4" t="s">
        <v>20982</v>
      </c>
    </row>
    <row r="4490" spans="1:13">
      <c r="A4490" s="2">
        <v>21431</v>
      </c>
      <c r="B4490" s="2" t="s">
        <v>2526</v>
      </c>
      <c r="C4490" s="2">
        <v>10</v>
      </c>
      <c r="D4490" s="2">
        <v>556</v>
      </c>
      <c r="E4490" s="2">
        <v>200</v>
      </c>
      <c r="F4490" s="2">
        <v>32441</v>
      </c>
      <c r="G4490" s="2">
        <v>2.917356115</v>
      </c>
      <c r="H4490" s="2">
        <v>3.1496330000000002E-3</v>
      </c>
      <c r="I4490" s="2" t="s">
        <v>20983</v>
      </c>
      <c r="J4490" s="2" t="s">
        <v>20984</v>
      </c>
      <c r="K4490" s="2">
        <v>6.222633E-3</v>
      </c>
      <c r="L4490" s="2" t="s">
        <v>1178</v>
      </c>
      <c r="M4490" s="4" t="s">
        <v>20985</v>
      </c>
    </row>
    <row r="4491" spans="1:13">
      <c r="A4491" s="2">
        <v>2198</v>
      </c>
      <c r="B4491" s="2" t="s">
        <v>20986</v>
      </c>
      <c r="C4491" s="2">
        <v>10</v>
      </c>
      <c r="D4491" s="2">
        <v>556</v>
      </c>
      <c r="E4491" s="2">
        <v>200</v>
      </c>
      <c r="F4491" s="2">
        <v>32441</v>
      </c>
      <c r="G4491" s="2">
        <v>2.917356115</v>
      </c>
      <c r="H4491" s="2">
        <v>3.1496330000000002E-3</v>
      </c>
      <c r="I4491" s="2" t="s">
        <v>20987</v>
      </c>
      <c r="J4491" s="2" t="s">
        <v>20988</v>
      </c>
      <c r="K4491" s="2">
        <v>6.222633E-3</v>
      </c>
      <c r="L4491" s="2" t="s">
        <v>1178</v>
      </c>
      <c r="M4491" s="4" t="s">
        <v>20989</v>
      </c>
    </row>
    <row r="4492" spans="1:13">
      <c r="A4492" s="2">
        <v>2203</v>
      </c>
      <c r="B4492" s="2" t="s">
        <v>20990</v>
      </c>
      <c r="C4492" s="2">
        <v>10</v>
      </c>
      <c r="D4492" s="2">
        <v>556</v>
      </c>
      <c r="E4492" s="2">
        <v>200</v>
      </c>
      <c r="F4492" s="2">
        <v>32441</v>
      </c>
      <c r="G4492" s="2">
        <v>2.917356115</v>
      </c>
      <c r="H4492" s="2">
        <v>3.1496330000000002E-3</v>
      </c>
      <c r="I4492" s="2" t="s">
        <v>20991</v>
      </c>
      <c r="J4492" s="2" t="s">
        <v>20992</v>
      </c>
      <c r="K4492" s="2">
        <v>6.222633E-3</v>
      </c>
      <c r="L4492" s="2" t="s">
        <v>1178</v>
      </c>
      <c r="M4492" s="4" t="s">
        <v>20993</v>
      </c>
    </row>
    <row r="4493" spans="1:13">
      <c r="A4493" s="2">
        <v>2228</v>
      </c>
      <c r="B4493" s="2" t="s">
        <v>1908</v>
      </c>
      <c r="C4493" s="2">
        <v>10</v>
      </c>
      <c r="D4493" s="2">
        <v>556</v>
      </c>
      <c r="E4493" s="2">
        <v>200</v>
      </c>
      <c r="F4493" s="2">
        <v>32441</v>
      </c>
      <c r="G4493" s="2">
        <v>2.917356115</v>
      </c>
      <c r="H4493" s="2">
        <v>3.1496330000000002E-3</v>
      </c>
      <c r="I4493" s="2" t="s">
        <v>20994</v>
      </c>
      <c r="J4493" s="2" t="s">
        <v>20995</v>
      </c>
      <c r="K4493" s="2">
        <v>6.222633E-3</v>
      </c>
      <c r="L4493" s="2" t="s">
        <v>1178</v>
      </c>
      <c r="M4493" s="4" t="s">
        <v>20996</v>
      </c>
    </row>
    <row r="4494" spans="1:13">
      <c r="A4494" s="2">
        <v>2230</v>
      </c>
      <c r="B4494" s="2" t="s">
        <v>20997</v>
      </c>
      <c r="C4494" s="2">
        <v>10</v>
      </c>
      <c r="D4494" s="2">
        <v>556</v>
      </c>
      <c r="E4494" s="2">
        <v>200</v>
      </c>
      <c r="F4494" s="2">
        <v>32441</v>
      </c>
      <c r="G4494" s="2">
        <v>2.917356115</v>
      </c>
      <c r="H4494" s="2">
        <v>3.1496330000000002E-3</v>
      </c>
      <c r="I4494" s="2" t="s">
        <v>20998</v>
      </c>
      <c r="J4494" s="2" t="s">
        <v>20999</v>
      </c>
      <c r="K4494" s="2">
        <v>6.222633E-3</v>
      </c>
      <c r="L4494" s="2" t="s">
        <v>1178</v>
      </c>
      <c r="M4494" s="4" t="s">
        <v>21000</v>
      </c>
    </row>
    <row r="4495" spans="1:13">
      <c r="A4495" s="2">
        <v>2235</v>
      </c>
      <c r="B4495" s="2" t="s">
        <v>21001</v>
      </c>
      <c r="C4495" s="2">
        <v>10</v>
      </c>
      <c r="D4495" s="2">
        <v>556</v>
      </c>
      <c r="E4495" s="2">
        <v>200</v>
      </c>
      <c r="F4495" s="2">
        <v>32441</v>
      </c>
      <c r="G4495" s="2">
        <v>2.917356115</v>
      </c>
      <c r="H4495" s="2">
        <v>3.1496330000000002E-3</v>
      </c>
      <c r="I4495" s="2" t="s">
        <v>21002</v>
      </c>
      <c r="J4495" s="2" t="s">
        <v>21003</v>
      </c>
      <c r="K4495" s="2">
        <v>6.222633E-3</v>
      </c>
      <c r="L4495" s="2" t="s">
        <v>1178</v>
      </c>
      <c r="M4495" s="4" t="s">
        <v>21004</v>
      </c>
    </row>
    <row r="4496" spans="1:13">
      <c r="A4496" s="2">
        <v>22481</v>
      </c>
      <c r="B4496" s="2" t="s">
        <v>21005</v>
      </c>
      <c r="C4496" s="2">
        <v>10</v>
      </c>
      <c r="D4496" s="2">
        <v>556</v>
      </c>
      <c r="E4496" s="2">
        <v>200</v>
      </c>
      <c r="F4496" s="2">
        <v>32441</v>
      </c>
      <c r="G4496" s="2">
        <v>2.917356115</v>
      </c>
      <c r="H4496" s="2">
        <v>3.1496330000000002E-3</v>
      </c>
      <c r="I4496" s="2" t="s">
        <v>21006</v>
      </c>
      <c r="J4496" s="2" t="s">
        <v>21007</v>
      </c>
      <c r="K4496" s="2">
        <v>6.222633E-3</v>
      </c>
      <c r="L4496" s="2" t="s">
        <v>1178</v>
      </c>
      <c r="M4496" s="4" t="s">
        <v>21008</v>
      </c>
    </row>
    <row r="4497" spans="1:13">
      <c r="A4497" s="2">
        <v>2256</v>
      </c>
      <c r="B4497" s="2" t="s">
        <v>2547</v>
      </c>
      <c r="C4497" s="2">
        <v>10</v>
      </c>
      <c r="D4497" s="2">
        <v>556</v>
      </c>
      <c r="E4497" s="2">
        <v>200</v>
      </c>
      <c r="F4497" s="2">
        <v>32441</v>
      </c>
      <c r="G4497" s="2">
        <v>2.917356115</v>
      </c>
      <c r="H4497" s="2">
        <v>3.1496330000000002E-3</v>
      </c>
      <c r="I4497" s="2" t="s">
        <v>21009</v>
      </c>
      <c r="J4497" s="2" t="s">
        <v>21010</v>
      </c>
      <c r="K4497" s="2">
        <v>6.222633E-3</v>
      </c>
      <c r="L4497" s="2" t="s">
        <v>1178</v>
      </c>
      <c r="M4497" s="4" t="s">
        <v>21011</v>
      </c>
    </row>
    <row r="4498" spans="1:13">
      <c r="A4498" s="2">
        <v>2272</v>
      </c>
      <c r="B4498" s="2" t="s">
        <v>21012</v>
      </c>
      <c r="C4498" s="2">
        <v>10</v>
      </c>
      <c r="D4498" s="2">
        <v>556</v>
      </c>
      <c r="E4498" s="2">
        <v>197</v>
      </c>
      <c r="F4498" s="2">
        <v>32441</v>
      </c>
      <c r="G4498" s="2">
        <v>2.9617828579999999</v>
      </c>
      <c r="H4498" s="2">
        <v>2.8418919999999999E-3</v>
      </c>
      <c r="I4498" s="2" t="s">
        <v>21013</v>
      </c>
      <c r="J4498" s="2" t="s">
        <v>21014</v>
      </c>
      <c r="K4498" s="2">
        <v>6.222633E-3</v>
      </c>
      <c r="L4498" s="2" t="s">
        <v>1178</v>
      </c>
      <c r="M4498" s="4" t="s">
        <v>21015</v>
      </c>
    </row>
    <row r="4499" spans="1:13">
      <c r="A4499" s="2">
        <v>22981</v>
      </c>
      <c r="B4499" s="2" t="s">
        <v>21016</v>
      </c>
      <c r="C4499" s="2">
        <v>10</v>
      </c>
      <c r="D4499" s="2">
        <v>556</v>
      </c>
      <c r="E4499" s="2">
        <v>200</v>
      </c>
      <c r="F4499" s="2">
        <v>32441</v>
      </c>
      <c r="G4499" s="2">
        <v>2.917356115</v>
      </c>
      <c r="H4499" s="2">
        <v>3.1496330000000002E-3</v>
      </c>
      <c r="I4499" s="2" t="s">
        <v>21017</v>
      </c>
      <c r="J4499" s="2" t="s">
        <v>21018</v>
      </c>
      <c r="K4499" s="2">
        <v>6.222633E-3</v>
      </c>
      <c r="L4499" s="2" t="s">
        <v>1178</v>
      </c>
      <c r="M4499" s="4" t="s">
        <v>21019</v>
      </c>
    </row>
    <row r="4500" spans="1:13">
      <c r="A4500" s="2">
        <v>2299</v>
      </c>
      <c r="B4500" s="2" t="s">
        <v>21020</v>
      </c>
      <c r="C4500" s="2">
        <v>10</v>
      </c>
      <c r="D4500" s="2">
        <v>556</v>
      </c>
      <c r="E4500" s="2">
        <v>200</v>
      </c>
      <c r="F4500" s="2">
        <v>32441</v>
      </c>
      <c r="G4500" s="2">
        <v>2.917356115</v>
      </c>
      <c r="H4500" s="2">
        <v>3.1496330000000002E-3</v>
      </c>
      <c r="I4500" s="2" t="s">
        <v>21021</v>
      </c>
      <c r="J4500" s="2" t="s">
        <v>21022</v>
      </c>
      <c r="K4500" s="2">
        <v>6.222633E-3</v>
      </c>
      <c r="L4500" s="2" t="s">
        <v>1178</v>
      </c>
      <c r="M4500" s="4" t="s">
        <v>21023</v>
      </c>
    </row>
    <row r="4501" spans="1:13">
      <c r="A4501" s="2">
        <v>23141</v>
      </c>
      <c r="B4501" s="2" t="s">
        <v>21024</v>
      </c>
      <c r="C4501" s="2">
        <v>10</v>
      </c>
      <c r="D4501" s="2">
        <v>556</v>
      </c>
      <c r="E4501" s="2">
        <v>200</v>
      </c>
      <c r="F4501" s="2">
        <v>32441</v>
      </c>
      <c r="G4501" s="2">
        <v>2.917356115</v>
      </c>
      <c r="H4501" s="2">
        <v>3.1496330000000002E-3</v>
      </c>
      <c r="I4501" s="2" t="s">
        <v>21025</v>
      </c>
      <c r="J4501" s="2" t="s">
        <v>21026</v>
      </c>
      <c r="K4501" s="2">
        <v>6.222633E-3</v>
      </c>
      <c r="L4501" s="2" t="s">
        <v>1178</v>
      </c>
      <c r="M4501" s="4" t="s">
        <v>21027</v>
      </c>
    </row>
    <row r="4502" spans="1:13">
      <c r="A4502" s="2">
        <v>2360</v>
      </c>
      <c r="B4502" s="2" t="s">
        <v>21028</v>
      </c>
      <c r="C4502" s="2">
        <v>10</v>
      </c>
      <c r="D4502" s="2">
        <v>556</v>
      </c>
      <c r="E4502" s="2">
        <v>200</v>
      </c>
      <c r="F4502" s="2">
        <v>32441</v>
      </c>
      <c r="G4502" s="2">
        <v>2.917356115</v>
      </c>
      <c r="H4502" s="2">
        <v>3.1496330000000002E-3</v>
      </c>
      <c r="I4502" s="2" t="s">
        <v>21029</v>
      </c>
      <c r="J4502" s="2" t="s">
        <v>21030</v>
      </c>
      <c r="K4502" s="2">
        <v>6.222633E-3</v>
      </c>
      <c r="L4502" s="2" t="s">
        <v>1178</v>
      </c>
      <c r="M4502" s="4" t="s">
        <v>21031</v>
      </c>
    </row>
    <row r="4503" spans="1:13">
      <c r="A4503" s="2">
        <v>2367</v>
      </c>
      <c r="B4503" s="2" t="s">
        <v>21032</v>
      </c>
      <c r="C4503" s="2">
        <v>10</v>
      </c>
      <c r="D4503" s="2">
        <v>556</v>
      </c>
      <c r="E4503" s="2">
        <v>200</v>
      </c>
      <c r="F4503" s="2">
        <v>32441</v>
      </c>
      <c r="G4503" s="2">
        <v>2.917356115</v>
      </c>
      <c r="H4503" s="2">
        <v>3.1496330000000002E-3</v>
      </c>
      <c r="I4503" s="2" t="s">
        <v>21033</v>
      </c>
      <c r="J4503" s="2" t="s">
        <v>21034</v>
      </c>
      <c r="K4503" s="2">
        <v>6.222633E-3</v>
      </c>
      <c r="L4503" s="2" t="s">
        <v>1178</v>
      </c>
      <c r="M4503" s="4" t="s">
        <v>21035</v>
      </c>
    </row>
    <row r="4504" spans="1:13">
      <c r="A4504" s="2">
        <v>2372</v>
      </c>
      <c r="B4504" s="2" t="s">
        <v>21036</v>
      </c>
      <c r="C4504" s="2">
        <v>10</v>
      </c>
      <c r="D4504" s="2">
        <v>556</v>
      </c>
      <c r="E4504" s="2">
        <v>200</v>
      </c>
      <c r="F4504" s="2">
        <v>32441</v>
      </c>
      <c r="G4504" s="2">
        <v>2.917356115</v>
      </c>
      <c r="H4504" s="2">
        <v>3.1496330000000002E-3</v>
      </c>
      <c r="I4504" s="2" t="s">
        <v>21037</v>
      </c>
      <c r="J4504" s="2" t="s">
        <v>21038</v>
      </c>
      <c r="K4504" s="2">
        <v>6.222633E-3</v>
      </c>
      <c r="L4504" s="2" t="s">
        <v>1178</v>
      </c>
      <c r="M4504" s="4" t="s">
        <v>21039</v>
      </c>
    </row>
    <row r="4505" spans="1:13">
      <c r="A4505" s="2">
        <v>2394</v>
      </c>
      <c r="B4505" s="2" t="s">
        <v>2565</v>
      </c>
      <c r="C4505" s="2">
        <v>10</v>
      </c>
      <c r="D4505" s="2">
        <v>556</v>
      </c>
      <c r="E4505" s="2">
        <v>199</v>
      </c>
      <c r="F4505" s="2">
        <v>32441</v>
      </c>
      <c r="G4505" s="2">
        <v>2.9320161960000002</v>
      </c>
      <c r="H4505" s="2">
        <v>3.0442400000000001E-3</v>
      </c>
      <c r="I4505" s="2" t="s">
        <v>21040</v>
      </c>
      <c r="J4505" s="2" t="s">
        <v>21041</v>
      </c>
      <c r="K4505" s="2">
        <v>6.222633E-3</v>
      </c>
      <c r="L4505" s="2" t="s">
        <v>1178</v>
      </c>
      <c r="M4505" s="4" t="s">
        <v>21042</v>
      </c>
    </row>
    <row r="4506" spans="1:13">
      <c r="A4506" s="2">
        <v>2395</v>
      </c>
      <c r="B4506" s="2" t="s">
        <v>21043</v>
      </c>
      <c r="C4506" s="2">
        <v>10</v>
      </c>
      <c r="D4506" s="2">
        <v>556</v>
      </c>
      <c r="E4506" s="2">
        <v>200</v>
      </c>
      <c r="F4506" s="2">
        <v>32441</v>
      </c>
      <c r="G4506" s="2">
        <v>2.917356115</v>
      </c>
      <c r="H4506" s="2">
        <v>3.1496330000000002E-3</v>
      </c>
      <c r="I4506" s="2" t="s">
        <v>21044</v>
      </c>
      <c r="J4506" s="2" t="s">
        <v>21045</v>
      </c>
      <c r="K4506" s="2">
        <v>6.222633E-3</v>
      </c>
      <c r="L4506" s="2" t="s">
        <v>1178</v>
      </c>
      <c r="M4506" s="4" t="s">
        <v>21046</v>
      </c>
    </row>
    <row r="4507" spans="1:13">
      <c r="A4507" s="2">
        <v>2400</v>
      </c>
      <c r="B4507" s="2" t="s">
        <v>21047</v>
      </c>
      <c r="C4507" s="2">
        <v>10</v>
      </c>
      <c r="D4507" s="2">
        <v>556</v>
      </c>
      <c r="E4507" s="2">
        <v>200</v>
      </c>
      <c r="F4507" s="2">
        <v>32441</v>
      </c>
      <c r="G4507" s="2">
        <v>2.917356115</v>
      </c>
      <c r="H4507" s="2">
        <v>3.1496330000000002E-3</v>
      </c>
      <c r="I4507" s="2" t="s">
        <v>21048</v>
      </c>
      <c r="J4507" s="2" t="s">
        <v>21049</v>
      </c>
      <c r="K4507" s="2">
        <v>6.222633E-3</v>
      </c>
      <c r="L4507" s="2" t="s">
        <v>1178</v>
      </c>
      <c r="M4507" s="4" t="s">
        <v>21050</v>
      </c>
    </row>
    <row r="4508" spans="1:13">
      <c r="A4508" s="2">
        <v>2404</v>
      </c>
      <c r="B4508" s="2" t="s">
        <v>21051</v>
      </c>
      <c r="C4508" s="2">
        <v>10</v>
      </c>
      <c r="D4508" s="2">
        <v>556</v>
      </c>
      <c r="E4508" s="2">
        <v>200</v>
      </c>
      <c r="F4508" s="2">
        <v>32441</v>
      </c>
      <c r="G4508" s="2">
        <v>2.917356115</v>
      </c>
      <c r="H4508" s="2">
        <v>3.1496330000000002E-3</v>
      </c>
      <c r="I4508" s="2" t="s">
        <v>21052</v>
      </c>
      <c r="J4508" s="2" t="s">
        <v>21053</v>
      </c>
      <c r="K4508" s="2">
        <v>6.222633E-3</v>
      </c>
      <c r="L4508" s="2" t="s">
        <v>1178</v>
      </c>
      <c r="M4508" s="4" t="s">
        <v>21054</v>
      </c>
    </row>
    <row r="4509" spans="1:13">
      <c r="A4509" s="2">
        <v>2445</v>
      </c>
      <c r="B4509" s="2" t="s">
        <v>21055</v>
      </c>
      <c r="C4509" s="2">
        <v>10</v>
      </c>
      <c r="D4509" s="2">
        <v>556</v>
      </c>
      <c r="E4509" s="2">
        <v>198</v>
      </c>
      <c r="F4509" s="2">
        <v>32441</v>
      </c>
      <c r="G4509" s="2">
        <v>2.9468243589999998</v>
      </c>
      <c r="H4509" s="2">
        <v>2.9416780000000001E-3</v>
      </c>
      <c r="I4509" s="2" t="s">
        <v>21056</v>
      </c>
      <c r="J4509" s="2" t="s">
        <v>21057</v>
      </c>
      <c r="K4509" s="2">
        <v>6.222633E-3</v>
      </c>
      <c r="L4509" s="2" t="s">
        <v>1178</v>
      </c>
      <c r="M4509" s="4" t="s">
        <v>21058</v>
      </c>
    </row>
    <row r="4510" spans="1:13">
      <c r="A4510" s="2">
        <v>24811</v>
      </c>
      <c r="B4510" s="2" t="s">
        <v>21059</v>
      </c>
      <c r="C4510" s="2">
        <v>10</v>
      </c>
      <c r="D4510" s="2">
        <v>556</v>
      </c>
      <c r="E4510" s="2">
        <v>200</v>
      </c>
      <c r="F4510" s="2">
        <v>32441</v>
      </c>
      <c r="G4510" s="2">
        <v>2.917356115</v>
      </c>
      <c r="H4510" s="2">
        <v>3.1496330000000002E-3</v>
      </c>
      <c r="I4510" s="2" t="s">
        <v>21060</v>
      </c>
      <c r="J4510" s="2" t="s">
        <v>21061</v>
      </c>
      <c r="K4510" s="2">
        <v>6.222633E-3</v>
      </c>
      <c r="L4510" s="2" t="s">
        <v>1178</v>
      </c>
      <c r="M4510" s="4" t="s">
        <v>21062</v>
      </c>
    </row>
    <row r="4511" spans="1:13">
      <c r="A4511" s="2">
        <v>25141</v>
      </c>
      <c r="B4511" s="2" t="s">
        <v>21063</v>
      </c>
      <c r="C4511" s="2">
        <v>10</v>
      </c>
      <c r="D4511" s="2">
        <v>556</v>
      </c>
      <c r="E4511" s="2">
        <v>200</v>
      </c>
      <c r="F4511" s="2">
        <v>32441</v>
      </c>
      <c r="G4511" s="2">
        <v>2.917356115</v>
      </c>
      <c r="H4511" s="2">
        <v>3.1496330000000002E-3</v>
      </c>
      <c r="I4511" s="2" t="s">
        <v>21064</v>
      </c>
      <c r="J4511" s="2" t="s">
        <v>21065</v>
      </c>
      <c r="K4511" s="2">
        <v>6.222633E-3</v>
      </c>
      <c r="L4511" s="2" t="s">
        <v>1178</v>
      </c>
      <c r="M4511" s="4" t="s">
        <v>21066</v>
      </c>
    </row>
    <row r="4512" spans="1:13">
      <c r="A4512" s="2">
        <v>2549</v>
      </c>
      <c r="B4512" s="2" t="s">
        <v>21067</v>
      </c>
      <c r="C4512" s="2">
        <v>10</v>
      </c>
      <c r="D4512" s="2">
        <v>556</v>
      </c>
      <c r="E4512" s="2">
        <v>200</v>
      </c>
      <c r="F4512" s="2">
        <v>32441</v>
      </c>
      <c r="G4512" s="2">
        <v>2.917356115</v>
      </c>
      <c r="H4512" s="2">
        <v>3.1496330000000002E-3</v>
      </c>
      <c r="I4512" s="2" t="s">
        <v>21068</v>
      </c>
      <c r="J4512" s="2" t="s">
        <v>21069</v>
      </c>
      <c r="K4512" s="2">
        <v>6.222633E-3</v>
      </c>
      <c r="L4512" s="2" t="s">
        <v>1178</v>
      </c>
      <c r="M4512" s="4" t="s">
        <v>21070</v>
      </c>
    </row>
    <row r="4513" spans="1:13">
      <c r="A4513" s="2">
        <v>25721</v>
      </c>
      <c r="B4513" s="2" t="s">
        <v>21071</v>
      </c>
      <c r="C4513" s="2">
        <v>10</v>
      </c>
      <c r="D4513" s="2">
        <v>556</v>
      </c>
      <c r="E4513" s="2">
        <v>200</v>
      </c>
      <c r="F4513" s="2">
        <v>32441</v>
      </c>
      <c r="G4513" s="2">
        <v>2.917356115</v>
      </c>
      <c r="H4513" s="2">
        <v>3.1496330000000002E-3</v>
      </c>
      <c r="I4513" s="2" t="s">
        <v>21072</v>
      </c>
      <c r="J4513" s="2" t="s">
        <v>21073</v>
      </c>
      <c r="K4513" s="2">
        <v>6.222633E-3</v>
      </c>
      <c r="L4513" s="2" t="s">
        <v>1178</v>
      </c>
      <c r="M4513" s="4" t="s">
        <v>21074</v>
      </c>
    </row>
    <row r="4514" spans="1:13">
      <c r="A4514" s="2">
        <v>2574</v>
      </c>
      <c r="B4514" s="2" t="s">
        <v>21075</v>
      </c>
      <c r="C4514" s="2">
        <v>10</v>
      </c>
      <c r="D4514" s="2">
        <v>556</v>
      </c>
      <c r="E4514" s="2">
        <v>200</v>
      </c>
      <c r="F4514" s="2">
        <v>32441</v>
      </c>
      <c r="G4514" s="2">
        <v>2.917356115</v>
      </c>
      <c r="H4514" s="2">
        <v>3.1496330000000002E-3</v>
      </c>
      <c r="I4514" s="2" t="s">
        <v>21076</v>
      </c>
      <c r="J4514" s="2" t="s">
        <v>21077</v>
      </c>
      <c r="K4514" s="2">
        <v>6.222633E-3</v>
      </c>
      <c r="L4514" s="2" t="s">
        <v>1178</v>
      </c>
      <c r="M4514" s="4" t="s">
        <v>21078</v>
      </c>
    </row>
    <row r="4515" spans="1:13">
      <c r="A4515" s="2">
        <v>2580</v>
      </c>
      <c r="B4515" s="2" t="s">
        <v>21079</v>
      </c>
      <c r="C4515" s="2">
        <v>10</v>
      </c>
      <c r="D4515" s="2">
        <v>556</v>
      </c>
      <c r="E4515" s="2">
        <v>200</v>
      </c>
      <c r="F4515" s="2">
        <v>32441</v>
      </c>
      <c r="G4515" s="2">
        <v>2.917356115</v>
      </c>
      <c r="H4515" s="2">
        <v>3.1496330000000002E-3</v>
      </c>
      <c r="I4515" s="2" t="s">
        <v>21080</v>
      </c>
      <c r="J4515" s="2" t="s">
        <v>21081</v>
      </c>
      <c r="K4515" s="2">
        <v>6.222633E-3</v>
      </c>
      <c r="L4515" s="2" t="s">
        <v>1178</v>
      </c>
      <c r="M4515" s="4" t="s">
        <v>21082</v>
      </c>
    </row>
    <row r="4516" spans="1:13">
      <c r="A4516" s="2">
        <v>2602</v>
      </c>
      <c r="B4516" s="2" t="s">
        <v>21083</v>
      </c>
      <c r="C4516" s="2">
        <v>10</v>
      </c>
      <c r="D4516" s="2">
        <v>556</v>
      </c>
      <c r="E4516" s="2">
        <v>200</v>
      </c>
      <c r="F4516" s="2">
        <v>32441</v>
      </c>
      <c r="G4516" s="2">
        <v>2.917356115</v>
      </c>
      <c r="H4516" s="2">
        <v>3.1496330000000002E-3</v>
      </c>
      <c r="I4516" s="2" t="s">
        <v>21084</v>
      </c>
      <c r="J4516" s="2" t="s">
        <v>21085</v>
      </c>
      <c r="K4516" s="2">
        <v>6.222633E-3</v>
      </c>
      <c r="L4516" s="2" t="s">
        <v>1178</v>
      </c>
      <c r="M4516" s="4" t="s">
        <v>21086</v>
      </c>
    </row>
    <row r="4517" spans="1:13">
      <c r="A4517" s="2">
        <v>2604</v>
      </c>
      <c r="B4517" s="2" t="s">
        <v>2577</v>
      </c>
      <c r="C4517" s="2">
        <v>10</v>
      </c>
      <c r="D4517" s="2">
        <v>556</v>
      </c>
      <c r="E4517" s="2">
        <v>200</v>
      </c>
      <c r="F4517" s="2">
        <v>32441</v>
      </c>
      <c r="G4517" s="2">
        <v>2.917356115</v>
      </c>
      <c r="H4517" s="2">
        <v>3.1496330000000002E-3</v>
      </c>
      <c r="I4517" s="2" t="s">
        <v>21087</v>
      </c>
      <c r="J4517" s="2" t="s">
        <v>21088</v>
      </c>
      <c r="K4517" s="2">
        <v>6.222633E-3</v>
      </c>
      <c r="L4517" s="2" t="s">
        <v>1178</v>
      </c>
      <c r="M4517" s="4" t="s">
        <v>21089</v>
      </c>
    </row>
    <row r="4518" spans="1:13">
      <c r="A4518" s="2">
        <v>2613</v>
      </c>
      <c r="B4518" s="2" t="s">
        <v>21090</v>
      </c>
      <c r="C4518" s="2">
        <v>10</v>
      </c>
      <c r="D4518" s="2">
        <v>556</v>
      </c>
      <c r="E4518" s="2">
        <v>200</v>
      </c>
      <c r="F4518" s="2">
        <v>32441</v>
      </c>
      <c r="G4518" s="2">
        <v>2.917356115</v>
      </c>
      <c r="H4518" s="2">
        <v>3.1496330000000002E-3</v>
      </c>
      <c r="I4518" s="2" t="s">
        <v>21091</v>
      </c>
      <c r="J4518" s="2" t="s">
        <v>21092</v>
      </c>
      <c r="K4518" s="2">
        <v>6.222633E-3</v>
      </c>
      <c r="L4518" s="2" t="s">
        <v>1178</v>
      </c>
      <c r="M4518" s="4" t="s">
        <v>21093</v>
      </c>
    </row>
    <row r="4519" spans="1:13">
      <c r="A4519" s="2">
        <v>2630</v>
      </c>
      <c r="B4519" s="2" t="s">
        <v>2589</v>
      </c>
      <c r="C4519" s="2">
        <v>10</v>
      </c>
      <c r="D4519" s="2">
        <v>556</v>
      </c>
      <c r="E4519" s="2">
        <v>200</v>
      </c>
      <c r="F4519" s="2">
        <v>32441</v>
      </c>
      <c r="G4519" s="2">
        <v>2.917356115</v>
      </c>
      <c r="H4519" s="2">
        <v>3.1496330000000002E-3</v>
      </c>
      <c r="I4519" s="2" t="s">
        <v>21094</v>
      </c>
      <c r="J4519" s="2" t="s">
        <v>21095</v>
      </c>
      <c r="K4519" s="2">
        <v>6.222633E-3</v>
      </c>
      <c r="L4519" s="2" t="s">
        <v>1178</v>
      </c>
      <c r="M4519" s="4" t="s">
        <v>21096</v>
      </c>
    </row>
    <row r="4520" spans="1:13">
      <c r="A4520" s="2">
        <v>2675</v>
      </c>
      <c r="B4520" s="2" t="s">
        <v>21097</v>
      </c>
      <c r="C4520" s="2">
        <v>9</v>
      </c>
      <c r="D4520" s="2">
        <v>556</v>
      </c>
      <c r="E4520" s="2">
        <v>166</v>
      </c>
      <c r="F4520" s="2">
        <v>32441</v>
      </c>
      <c r="G4520" s="2">
        <v>3.1633981969999998</v>
      </c>
      <c r="H4520" s="2">
        <v>3.0039569999999998E-3</v>
      </c>
      <c r="I4520" s="2" t="s">
        <v>21098</v>
      </c>
      <c r="J4520" s="2" t="s">
        <v>21099</v>
      </c>
      <c r="K4520" s="2">
        <v>6.222633E-3</v>
      </c>
      <c r="L4520" s="2" t="s">
        <v>1178</v>
      </c>
      <c r="M4520" s="4" t="s">
        <v>21100</v>
      </c>
    </row>
    <row r="4521" spans="1:13">
      <c r="A4521" s="2">
        <v>2800</v>
      </c>
      <c r="B4521" s="2" t="s">
        <v>1788</v>
      </c>
      <c r="C4521" s="2">
        <v>9</v>
      </c>
      <c r="D4521" s="2">
        <v>556</v>
      </c>
      <c r="E4521" s="2">
        <v>165</v>
      </c>
      <c r="F4521" s="2">
        <v>32441</v>
      </c>
      <c r="G4521" s="2">
        <v>3.1825703070000002</v>
      </c>
      <c r="H4521" s="2">
        <v>2.8914779999999998E-3</v>
      </c>
      <c r="I4521" s="2" t="s">
        <v>21101</v>
      </c>
      <c r="J4521" s="2" t="s">
        <v>21102</v>
      </c>
      <c r="K4521" s="2">
        <v>6.222633E-3</v>
      </c>
      <c r="L4521" s="2" t="s">
        <v>1178</v>
      </c>
      <c r="M4521" s="4" t="s">
        <v>21103</v>
      </c>
    </row>
    <row r="4522" spans="1:13">
      <c r="A4522" s="2">
        <v>2835</v>
      </c>
      <c r="B4522" s="2" t="s">
        <v>21104</v>
      </c>
      <c r="C4522" s="2">
        <v>10</v>
      </c>
      <c r="D4522" s="2">
        <v>556</v>
      </c>
      <c r="E4522" s="2">
        <v>200</v>
      </c>
      <c r="F4522" s="2">
        <v>32441</v>
      </c>
      <c r="G4522" s="2">
        <v>2.917356115</v>
      </c>
      <c r="H4522" s="2">
        <v>3.1496330000000002E-3</v>
      </c>
      <c r="I4522" s="2" t="s">
        <v>21105</v>
      </c>
      <c r="J4522" s="2" t="s">
        <v>21106</v>
      </c>
      <c r="K4522" s="2">
        <v>6.222633E-3</v>
      </c>
      <c r="L4522" s="2" t="s">
        <v>1178</v>
      </c>
      <c r="M4522" s="4" t="s">
        <v>21107</v>
      </c>
    </row>
    <row r="4523" spans="1:13">
      <c r="A4523" s="2">
        <v>28491</v>
      </c>
      <c r="B4523" s="2" t="s">
        <v>21108</v>
      </c>
      <c r="C4523" s="2">
        <v>10</v>
      </c>
      <c r="D4523" s="2">
        <v>556</v>
      </c>
      <c r="E4523" s="2">
        <v>200</v>
      </c>
      <c r="F4523" s="2">
        <v>32441</v>
      </c>
      <c r="G4523" s="2">
        <v>2.917356115</v>
      </c>
      <c r="H4523" s="2">
        <v>3.1496330000000002E-3</v>
      </c>
      <c r="I4523" s="2" t="s">
        <v>21109</v>
      </c>
      <c r="J4523" s="2" t="s">
        <v>21110</v>
      </c>
      <c r="K4523" s="2">
        <v>6.222633E-3</v>
      </c>
      <c r="L4523" s="2" t="s">
        <v>1178</v>
      </c>
      <c r="M4523" s="4" t="s">
        <v>21111</v>
      </c>
    </row>
    <row r="4524" spans="1:13">
      <c r="A4524" s="2">
        <v>28501</v>
      </c>
      <c r="B4524" s="2" t="s">
        <v>21112</v>
      </c>
      <c r="C4524" s="2">
        <v>10</v>
      </c>
      <c r="D4524" s="2">
        <v>556</v>
      </c>
      <c r="E4524" s="2">
        <v>200</v>
      </c>
      <c r="F4524" s="2">
        <v>32441</v>
      </c>
      <c r="G4524" s="2">
        <v>2.917356115</v>
      </c>
      <c r="H4524" s="2">
        <v>3.1496330000000002E-3</v>
      </c>
      <c r="I4524" s="2" t="s">
        <v>21113</v>
      </c>
      <c r="J4524" s="2" t="s">
        <v>21114</v>
      </c>
      <c r="K4524" s="2">
        <v>6.222633E-3</v>
      </c>
      <c r="L4524" s="2" t="s">
        <v>1178</v>
      </c>
      <c r="M4524" s="4" t="s">
        <v>21115</v>
      </c>
    </row>
    <row r="4525" spans="1:13">
      <c r="A4525" s="2">
        <v>2855</v>
      </c>
      <c r="B4525" s="2" t="s">
        <v>21116</v>
      </c>
      <c r="C4525" s="2">
        <v>10</v>
      </c>
      <c r="D4525" s="2">
        <v>556</v>
      </c>
      <c r="E4525" s="2">
        <v>200</v>
      </c>
      <c r="F4525" s="2">
        <v>32441</v>
      </c>
      <c r="G4525" s="2">
        <v>2.917356115</v>
      </c>
      <c r="H4525" s="2">
        <v>3.1496330000000002E-3</v>
      </c>
      <c r="I4525" s="2" t="s">
        <v>21117</v>
      </c>
      <c r="J4525" s="2" t="s">
        <v>21118</v>
      </c>
      <c r="K4525" s="2">
        <v>6.222633E-3</v>
      </c>
      <c r="L4525" s="2" t="s">
        <v>1178</v>
      </c>
      <c r="M4525" s="4" t="s">
        <v>21119</v>
      </c>
    </row>
    <row r="4526" spans="1:13">
      <c r="A4526" s="2">
        <v>2889</v>
      </c>
      <c r="B4526" s="2" t="s">
        <v>21120</v>
      </c>
      <c r="C4526" s="2">
        <v>9</v>
      </c>
      <c r="D4526" s="2">
        <v>556</v>
      </c>
      <c r="E4526" s="2">
        <v>166</v>
      </c>
      <c r="F4526" s="2">
        <v>32441</v>
      </c>
      <c r="G4526" s="2">
        <v>3.1633981969999998</v>
      </c>
      <c r="H4526" s="2">
        <v>3.0039569999999998E-3</v>
      </c>
      <c r="I4526" s="2" t="s">
        <v>21121</v>
      </c>
      <c r="J4526" s="2" t="s">
        <v>21122</v>
      </c>
      <c r="K4526" s="2">
        <v>6.222633E-3</v>
      </c>
      <c r="L4526" s="2" t="s">
        <v>1178</v>
      </c>
      <c r="M4526" s="4" t="s">
        <v>21123</v>
      </c>
    </row>
    <row r="4527" spans="1:13">
      <c r="A4527" s="2">
        <v>2904</v>
      </c>
      <c r="B4527" s="2" t="s">
        <v>21124</v>
      </c>
      <c r="C4527" s="2">
        <v>10</v>
      </c>
      <c r="D4527" s="2">
        <v>556</v>
      </c>
      <c r="E4527" s="2">
        <v>200</v>
      </c>
      <c r="F4527" s="2">
        <v>32441</v>
      </c>
      <c r="G4527" s="2">
        <v>2.917356115</v>
      </c>
      <c r="H4527" s="2">
        <v>3.1496330000000002E-3</v>
      </c>
      <c r="I4527" s="2" t="s">
        <v>21125</v>
      </c>
      <c r="J4527" s="2" t="s">
        <v>21126</v>
      </c>
      <c r="K4527" s="2">
        <v>6.222633E-3</v>
      </c>
      <c r="L4527" s="2" t="s">
        <v>1178</v>
      </c>
      <c r="M4527" s="4" t="s">
        <v>21127</v>
      </c>
    </row>
    <row r="4528" spans="1:13">
      <c r="A4528" s="2">
        <v>2946</v>
      </c>
      <c r="B4528" s="2" t="s">
        <v>21128</v>
      </c>
      <c r="C4528" s="2">
        <v>10</v>
      </c>
      <c r="D4528" s="2">
        <v>556</v>
      </c>
      <c r="E4528" s="2">
        <v>200</v>
      </c>
      <c r="F4528" s="2">
        <v>32441</v>
      </c>
      <c r="G4528" s="2">
        <v>2.917356115</v>
      </c>
      <c r="H4528" s="2">
        <v>3.1496330000000002E-3</v>
      </c>
      <c r="I4528" s="2" t="s">
        <v>21129</v>
      </c>
      <c r="J4528" s="2" t="s">
        <v>21130</v>
      </c>
      <c r="K4528" s="2">
        <v>6.222633E-3</v>
      </c>
      <c r="L4528" s="2" t="s">
        <v>1178</v>
      </c>
      <c r="M4528" s="4" t="s">
        <v>21131</v>
      </c>
    </row>
    <row r="4529" spans="1:13">
      <c r="A4529" s="2">
        <v>2957</v>
      </c>
      <c r="B4529" s="2" t="s">
        <v>1506</v>
      </c>
      <c r="C4529" s="2">
        <v>10</v>
      </c>
      <c r="D4529" s="2">
        <v>556</v>
      </c>
      <c r="E4529" s="2">
        <v>200</v>
      </c>
      <c r="F4529" s="2">
        <v>32441</v>
      </c>
      <c r="G4529" s="2">
        <v>2.917356115</v>
      </c>
      <c r="H4529" s="2">
        <v>3.1496330000000002E-3</v>
      </c>
      <c r="I4529" s="2" t="s">
        <v>21132</v>
      </c>
      <c r="J4529" s="2" t="s">
        <v>21133</v>
      </c>
      <c r="K4529" s="2">
        <v>6.222633E-3</v>
      </c>
      <c r="L4529" s="2" t="s">
        <v>1178</v>
      </c>
      <c r="M4529" s="4" t="s">
        <v>21134</v>
      </c>
    </row>
    <row r="4530" spans="1:13">
      <c r="A4530" s="2">
        <v>29811</v>
      </c>
      <c r="B4530" s="2" t="s">
        <v>21135</v>
      </c>
      <c r="C4530" s="2">
        <v>10</v>
      </c>
      <c r="D4530" s="2">
        <v>556</v>
      </c>
      <c r="E4530" s="2">
        <v>199</v>
      </c>
      <c r="F4530" s="2">
        <v>32441</v>
      </c>
      <c r="G4530" s="2">
        <v>2.9320161960000002</v>
      </c>
      <c r="H4530" s="2">
        <v>3.0442400000000001E-3</v>
      </c>
      <c r="I4530" s="2" t="s">
        <v>21136</v>
      </c>
      <c r="J4530" s="2" t="s">
        <v>21137</v>
      </c>
      <c r="K4530" s="2">
        <v>6.222633E-3</v>
      </c>
      <c r="L4530" s="2" t="s">
        <v>1178</v>
      </c>
      <c r="M4530" s="4" t="s">
        <v>21138</v>
      </c>
    </row>
    <row r="4531" spans="1:13">
      <c r="A4531" s="2">
        <v>2990</v>
      </c>
      <c r="B4531" s="2" t="s">
        <v>21139</v>
      </c>
      <c r="C4531" s="2">
        <v>10</v>
      </c>
      <c r="D4531" s="2">
        <v>556</v>
      </c>
      <c r="E4531" s="2">
        <v>200</v>
      </c>
      <c r="F4531" s="2">
        <v>32441</v>
      </c>
      <c r="G4531" s="2">
        <v>2.917356115</v>
      </c>
      <c r="H4531" s="2">
        <v>3.1496330000000002E-3</v>
      </c>
      <c r="I4531" s="2" t="s">
        <v>21140</v>
      </c>
      <c r="J4531" s="2" t="s">
        <v>21141</v>
      </c>
      <c r="K4531" s="2">
        <v>6.222633E-3</v>
      </c>
      <c r="L4531" s="2" t="s">
        <v>1178</v>
      </c>
      <c r="M4531" s="4" t="s">
        <v>21142</v>
      </c>
    </row>
    <row r="4532" spans="1:13">
      <c r="A4532" s="2">
        <v>3020</v>
      </c>
      <c r="B4532" s="2" t="s">
        <v>21143</v>
      </c>
      <c r="C4532" s="2">
        <v>10</v>
      </c>
      <c r="D4532" s="2">
        <v>556</v>
      </c>
      <c r="E4532" s="2">
        <v>200</v>
      </c>
      <c r="F4532" s="2">
        <v>32441</v>
      </c>
      <c r="G4532" s="2">
        <v>2.917356115</v>
      </c>
      <c r="H4532" s="2">
        <v>3.1496330000000002E-3</v>
      </c>
      <c r="I4532" s="2" t="s">
        <v>21144</v>
      </c>
      <c r="J4532" s="2" t="s">
        <v>21145</v>
      </c>
      <c r="K4532" s="2">
        <v>6.222633E-3</v>
      </c>
      <c r="L4532" s="2" t="s">
        <v>1178</v>
      </c>
      <c r="M4532" s="4" t="s">
        <v>21146</v>
      </c>
    </row>
    <row r="4533" spans="1:13">
      <c r="A4533" s="2">
        <v>3045</v>
      </c>
      <c r="B4533" s="2" t="s">
        <v>21147</v>
      </c>
      <c r="C4533" s="2">
        <v>10</v>
      </c>
      <c r="D4533" s="2">
        <v>556</v>
      </c>
      <c r="E4533" s="2">
        <v>200</v>
      </c>
      <c r="F4533" s="2">
        <v>32441</v>
      </c>
      <c r="G4533" s="2">
        <v>2.917356115</v>
      </c>
      <c r="H4533" s="2">
        <v>3.1496330000000002E-3</v>
      </c>
      <c r="I4533" s="2" t="s">
        <v>21148</v>
      </c>
      <c r="J4533" s="2" t="s">
        <v>21149</v>
      </c>
      <c r="K4533" s="2">
        <v>6.222633E-3</v>
      </c>
      <c r="L4533" s="2" t="s">
        <v>1178</v>
      </c>
      <c r="M4533" s="4" t="s">
        <v>21150</v>
      </c>
    </row>
    <row r="4534" spans="1:13">
      <c r="A4534" s="2">
        <v>3057</v>
      </c>
      <c r="B4534" s="2" t="s">
        <v>21151</v>
      </c>
      <c r="C4534" s="2">
        <v>10</v>
      </c>
      <c r="D4534" s="2">
        <v>556</v>
      </c>
      <c r="E4534" s="2">
        <v>200</v>
      </c>
      <c r="F4534" s="2">
        <v>32441</v>
      </c>
      <c r="G4534" s="2">
        <v>2.917356115</v>
      </c>
      <c r="H4534" s="2">
        <v>3.1496330000000002E-3</v>
      </c>
      <c r="I4534" s="2" t="s">
        <v>21152</v>
      </c>
      <c r="J4534" s="2" t="s">
        <v>21153</v>
      </c>
      <c r="K4534" s="2">
        <v>6.222633E-3</v>
      </c>
      <c r="L4534" s="2" t="s">
        <v>1178</v>
      </c>
      <c r="M4534" s="4" t="s">
        <v>21154</v>
      </c>
    </row>
    <row r="4535" spans="1:13">
      <c r="A4535" s="2">
        <v>3061</v>
      </c>
      <c r="B4535" s="2" t="s">
        <v>21155</v>
      </c>
      <c r="C4535" s="2">
        <v>10</v>
      </c>
      <c r="D4535" s="2">
        <v>556</v>
      </c>
      <c r="E4535" s="2">
        <v>200</v>
      </c>
      <c r="F4535" s="2">
        <v>32441</v>
      </c>
      <c r="G4535" s="2">
        <v>2.917356115</v>
      </c>
      <c r="H4535" s="2">
        <v>3.1496330000000002E-3</v>
      </c>
      <c r="I4535" s="2" t="s">
        <v>21156</v>
      </c>
      <c r="J4535" s="2" t="s">
        <v>21157</v>
      </c>
      <c r="K4535" s="2">
        <v>6.222633E-3</v>
      </c>
      <c r="L4535" s="2" t="s">
        <v>1178</v>
      </c>
      <c r="M4535" s="4" t="s">
        <v>21158</v>
      </c>
    </row>
    <row r="4536" spans="1:13">
      <c r="A4536" s="2">
        <v>3068</v>
      </c>
      <c r="B4536" s="2" t="s">
        <v>21159</v>
      </c>
      <c r="C4536" s="2">
        <v>10</v>
      </c>
      <c r="D4536" s="2">
        <v>556</v>
      </c>
      <c r="E4536" s="2">
        <v>200</v>
      </c>
      <c r="F4536" s="2">
        <v>32441</v>
      </c>
      <c r="G4536" s="2">
        <v>2.917356115</v>
      </c>
      <c r="H4536" s="2">
        <v>3.1496330000000002E-3</v>
      </c>
      <c r="I4536" s="2" t="s">
        <v>21160</v>
      </c>
      <c r="J4536" s="2" t="s">
        <v>21161</v>
      </c>
      <c r="K4536" s="2">
        <v>6.222633E-3</v>
      </c>
      <c r="L4536" s="2" t="s">
        <v>1178</v>
      </c>
      <c r="M4536" s="4" t="s">
        <v>21162</v>
      </c>
    </row>
    <row r="4537" spans="1:13">
      <c r="A4537" s="2">
        <v>3095</v>
      </c>
      <c r="B4537" s="2" t="s">
        <v>21163</v>
      </c>
      <c r="C4537" s="2">
        <v>10</v>
      </c>
      <c r="D4537" s="2">
        <v>556</v>
      </c>
      <c r="E4537" s="2">
        <v>200</v>
      </c>
      <c r="F4537" s="2">
        <v>32441</v>
      </c>
      <c r="G4537" s="2">
        <v>2.917356115</v>
      </c>
      <c r="H4537" s="2">
        <v>3.1496330000000002E-3</v>
      </c>
      <c r="I4537" s="2" t="s">
        <v>21164</v>
      </c>
      <c r="J4537" s="2" t="s">
        <v>21165</v>
      </c>
      <c r="K4537" s="2">
        <v>6.222633E-3</v>
      </c>
      <c r="L4537" s="2" t="s">
        <v>1178</v>
      </c>
      <c r="M4537" s="4" t="s">
        <v>21166</v>
      </c>
    </row>
    <row r="4538" spans="1:13">
      <c r="A4538" s="2">
        <v>3115</v>
      </c>
      <c r="B4538" s="2" t="s">
        <v>21167</v>
      </c>
      <c r="C4538" s="2">
        <v>10</v>
      </c>
      <c r="D4538" s="2">
        <v>556</v>
      </c>
      <c r="E4538" s="2">
        <v>200</v>
      </c>
      <c r="F4538" s="2">
        <v>32441</v>
      </c>
      <c r="G4538" s="2">
        <v>2.917356115</v>
      </c>
      <c r="H4538" s="2">
        <v>3.1496330000000002E-3</v>
      </c>
      <c r="I4538" s="2" t="s">
        <v>21168</v>
      </c>
      <c r="J4538" s="2" t="s">
        <v>21169</v>
      </c>
      <c r="K4538" s="2">
        <v>6.222633E-3</v>
      </c>
      <c r="L4538" s="2" t="s">
        <v>1178</v>
      </c>
      <c r="M4538" s="4" t="s">
        <v>21170</v>
      </c>
    </row>
    <row r="4539" spans="1:13">
      <c r="A4539" s="2">
        <v>3135</v>
      </c>
      <c r="B4539" s="2" t="s">
        <v>21171</v>
      </c>
      <c r="C4539" s="2">
        <v>10</v>
      </c>
      <c r="D4539" s="2">
        <v>556</v>
      </c>
      <c r="E4539" s="2">
        <v>200</v>
      </c>
      <c r="F4539" s="2">
        <v>32441</v>
      </c>
      <c r="G4539" s="2">
        <v>2.917356115</v>
      </c>
      <c r="H4539" s="2">
        <v>3.1496330000000002E-3</v>
      </c>
      <c r="I4539" s="2" t="s">
        <v>21172</v>
      </c>
      <c r="J4539" s="2" t="s">
        <v>21173</v>
      </c>
      <c r="K4539" s="2">
        <v>6.222633E-3</v>
      </c>
      <c r="L4539" s="2" t="s">
        <v>1178</v>
      </c>
      <c r="M4539" s="4" t="s">
        <v>21174</v>
      </c>
    </row>
    <row r="4540" spans="1:13">
      <c r="A4540" s="2">
        <v>3137</v>
      </c>
      <c r="B4540" s="2" t="s">
        <v>21175</v>
      </c>
      <c r="C4540" s="2">
        <v>10</v>
      </c>
      <c r="D4540" s="2">
        <v>556</v>
      </c>
      <c r="E4540" s="2">
        <v>200</v>
      </c>
      <c r="F4540" s="2">
        <v>32441</v>
      </c>
      <c r="G4540" s="2">
        <v>2.917356115</v>
      </c>
      <c r="H4540" s="2">
        <v>3.1496330000000002E-3</v>
      </c>
      <c r="I4540" s="2" t="s">
        <v>21176</v>
      </c>
      <c r="J4540" s="2" t="s">
        <v>21177</v>
      </c>
      <c r="K4540" s="2">
        <v>6.222633E-3</v>
      </c>
      <c r="L4540" s="2" t="s">
        <v>1178</v>
      </c>
      <c r="M4540" s="4" t="s">
        <v>21178</v>
      </c>
    </row>
    <row r="4541" spans="1:13">
      <c r="A4541" s="2">
        <v>3163</v>
      </c>
      <c r="B4541" s="2" t="s">
        <v>21179</v>
      </c>
      <c r="C4541" s="2">
        <v>10</v>
      </c>
      <c r="D4541" s="2">
        <v>556</v>
      </c>
      <c r="E4541" s="2">
        <v>200</v>
      </c>
      <c r="F4541" s="2">
        <v>32441</v>
      </c>
      <c r="G4541" s="2">
        <v>2.917356115</v>
      </c>
      <c r="H4541" s="2">
        <v>3.1496330000000002E-3</v>
      </c>
      <c r="I4541" s="2" t="s">
        <v>21180</v>
      </c>
      <c r="J4541" s="2" t="s">
        <v>21181</v>
      </c>
      <c r="K4541" s="2">
        <v>6.222633E-3</v>
      </c>
      <c r="L4541" s="2" t="s">
        <v>1178</v>
      </c>
      <c r="M4541" s="4" t="s">
        <v>21182</v>
      </c>
    </row>
    <row r="4542" spans="1:13">
      <c r="A4542" s="2">
        <v>3282</v>
      </c>
      <c r="B4542" s="2" t="s">
        <v>21183</v>
      </c>
      <c r="C4542" s="2">
        <v>10</v>
      </c>
      <c r="D4542" s="2">
        <v>556</v>
      </c>
      <c r="E4542" s="2">
        <v>200</v>
      </c>
      <c r="F4542" s="2">
        <v>32441</v>
      </c>
      <c r="G4542" s="2">
        <v>2.917356115</v>
      </c>
      <c r="H4542" s="2">
        <v>3.1496330000000002E-3</v>
      </c>
      <c r="I4542" s="2" t="s">
        <v>21184</v>
      </c>
      <c r="J4542" s="2" t="s">
        <v>21185</v>
      </c>
      <c r="K4542" s="2">
        <v>6.222633E-3</v>
      </c>
      <c r="L4542" s="2" t="s">
        <v>1178</v>
      </c>
      <c r="M4542" s="4" t="s">
        <v>21186</v>
      </c>
    </row>
    <row r="4543" spans="1:13">
      <c r="A4543" s="2">
        <v>32921</v>
      </c>
      <c r="B4543" s="2" t="s">
        <v>21187</v>
      </c>
      <c r="C4543" s="2">
        <v>10</v>
      </c>
      <c r="D4543" s="2">
        <v>556</v>
      </c>
      <c r="E4543" s="2">
        <v>200</v>
      </c>
      <c r="F4543" s="2">
        <v>32441</v>
      </c>
      <c r="G4543" s="2">
        <v>2.917356115</v>
      </c>
      <c r="H4543" s="2">
        <v>3.1496330000000002E-3</v>
      </c>
      <c r="I4543" s="2" t="s">
        <v>21188</v>
      </c>
      <c r="J4543" s="2" t="s">
        <v>21189</v>
      </c>
      <c r="K4543" s="2">
        <v>6.222633E-3</v>
      </c>
      <c r="L4543" s="2" t="s">
        <v>1178</v>
      </c>
      <c r="M4543" s="4" t="s">
        <v>21190</v>
      </c>
    </row>
    <row r="4544" spans="1:13">
      <c r="A4544" s="2">
        <v>3309</v>
      </c>
      <c r="B4544" s="2" t="s">
        <v>21191</v>
      </c>
      <c r="C4544" s="2">
        <v>10</v>
      </c>
      <c r="D4544" s="2">
        <v>556</v>
      </c>
      <c r="E4544" s="2">
        <v>200</v>
      </c>
      <c r="F4544" s="2">
        <v>32441</v>
      </c>
      <c r="G4544" s="2">
        <v>2.917356115</v>
      </c>
      <c r="H4544" s="2">
        <v>3.1496330000000002E-3</v>
      </c>
      <c r="I4544" s="2" t="s">
        <v>21192</v>
      </c>
      <c r="J4544" s="2" t="s">
        <v>21193</v>
      </c>
      <c r="K4544" s="2">
        <v>6.222633E-3</v>
      </c>
      <c r="L4544" s="2" t="s">
        <v>1178</v>
      </c>
      <c r="M4544" s="4" t="s">
        <v>21194</v>
      </c>
    </row>
    <row r="4545" spans="1:13">
      <c r="A4545" s="2">
        <v>33151</v>
      </c>
      <c r="B4545" s="2" t="s">
        <v>21195</v>
      </c>
      <c r="C4545" s="2">
        <v>10</v>
      </c>
      <c r="D4545" s="2">
        <v>556</v>
      </c>
      <c r="E4545" s="2">
        <v>200</v>
      </c>
      <c r="F4545" s="2">
        <v>32441</v>
      </c>
      <c r="G4545" s="2">
        <v>2.917356115</v>
      </c>
      <c r="H4545" s="2">
        <v>3.1496330000000002E-3</v>
      </c>
      <c r="I4545" s="2" t="s">
        <v>21196</v>
      </c>
      <c r="J4545" s="2" t="s">
        <v>21197</v>
      </c>
      <c r="K4545" s="2">
        <v>6.222633E-3</v>
      </c>
      <c r="L4545" s="2" t="s">
        <v>1178</v>
      </c>
      <c r="M4545" s="4" t="s">
        <v>21198</v>
      </c>
    </row>
    <row r="4546" spans="1:13">
      <c r="A4546" s="2">
        <v>33261</v>
      </c>
      <c r="B4546" s="2" t="s">
        <v>21199</v>
      </c>
      <c r="C4546" s="2">
        <v>10</v>
      </c>
      <c r="D4546" s="2">
        <v>556</v>
      </c>
      <c r="E4546" s="2">
        <v>200</v>
      </c>
      <c r="F4546" s="2">
        <v>32441</v>
      </c>
      <c r="G4546" s="2">
        <v>2.917356115</v>
      </c>
      <c r="H4546" s="2">
        <v>3.1496330000000002E-3</v>
      </c>
      <c r="I4546" s="2" t="s">
        <v>21200</v>
      </c>
      <c r="J4546" s="2" t="s">
        <v>21201</v>
      </c>
      <c r="K4546" s="2">
        <v>6.222633E-3</v>
      </c>
      <c r="L4546" s="2" t="s">
        <v>1178</v>
      </c>
      <c r="M4546" s="4" t="s">
        <v>21202</v>
      </c>
    </row>
    <row r="4547" spans="1:13">
      <c r="A4547" s="2">
        <v>3338</v>
      </c>
      <c r="B4547" s="2" t="s">
        <v>21203</v>
      </c>
      <c r="C4547" s="2">
        <v>10</v>
      </c>
      <c r="D4547" s="2">
        <v>556</v>
      </c>
      <c r="E4547" s="2">
        <v>199</v>
      </c>
      <c r="F4547" s="2">
        <v>32441</v>
      </c>
      <c r="G4547" s="2">
        <v>2.9320161960000002</v>
      </c>
      <c r="H4547" s="2">
        <v>3.0442400000000001E-3</v>
      </c>
      <c r="I4547" s="2" t="s">
        <v>21204</v>
      </c>
      <c r="J4547" s="2" t="s">
        <v>21205</v>
      </c>
      <c r="K4547" s="2">
        <v>6.222633E-3</v>
      </c>
      <c r="L4547" s="2" t="s">
        <v>1178</v>
      </c>
      <c r="M4547" s="4" t="s">
        <v>21206</v>
      </c>
    </row>
    <row r="4548" spans="1:13">
      <c r="A4548" s="2">
        <v>3343</v>
      </c>
      <c r="B4548" s="2" t="s">
        <v>21207</v>
      </c>
      <c r="C4548" s="2">
        <v>10</v>
      </c>
      <c r="D4548" s="2">
        <v>556</v>
      </c>
      <c r="E4548" s="2">
        <v>200</v>
      </c>
      <c r="F4548" s="2">
        <v>32441</v>
      </c>
      <c r="G4548" s="2">
        <v>2.917356115</v>
      </c>
      <c r="H4548" s="2">
        <v>3.1496330000000002E-3</v>
      </c>
      <c r="I4548" s="2" t="s">
        <v>21208</v>
      </c>
      <c r="J4548" s="2" t="s">
        <v>21209</v>
      </c>
      <c r="K4548" s="2">
        <v>6.222633E-3</v>
      </c>
      <c r="L4548" s="2" t="s">
        <v>1178</v>
      </c>
      <c r="M4548" s="4" t="s">
        <v>21210</v>
      </c>
    </row>
    <row r="4549" spans="1:13">
      <c r="A4549" s="2">
        <v>3370</v>
      </c>
      <c r="B4549" s="2" t="s">
        <v>21211</v>
      </c>
      <c r="C4549" s="2">
        <v>10</v>
      </c>
      <c r="D4549" s="2">
        <v>556</v>
      </c>
      <c r="E4549" s="2">
        <v>200</v>
      </c>
      <c r="F4549" s="2">
        <v>32441</v>
      </c>
      <c r="G4549" s="2">
        <v>2.917356115</v>
      </c>
      <c r="H4549" s="2">
        <v>3.1496330000000002E-3</v>
      </c>
      <c r="I4549" s="2" t="s">
        <v>21212</v>
      </c>
      <c r="J4549" s="2" t="s">
        <v>21213</v>
      </c>
      <c r="K4549" s="2">
        <v>6.222633E-3</v>
      </c>
      <c r="L4549" s="2" t="s">
        <v>1178</v>
      </c>
      <c r="M4549" s="4" t="s">
        <v>21214</v>
      </c>
    </row>
    <row r="4550" spans="1:13">
      <c r="A4550" s="2">
        <v>3414</v>
      </c>
      <c r="B4550" s="2" t="s">
        <v>21215</v>
      </c>
      <c r="C4550" s="2">
        <v>10</v>
      </c>
      <c r="D4550" s="2">
        <v>556</v>
      </c>
      <c r="E4550" s="2">
        <v>200</v>
      </c>
      <c r="F4550" s="2">
        <v>32441</v>
      </c>
      <c r="G4550" s="2">
        <v>2.917356115</v>
      </c>
      <c r="H4550" s="2">
        <v>3.1496330000000002E-3</v>
      </c>
      <c r="I4550" s="2" t="s">
        <v>21216</v>
      </c>
      <c r="J4550" s="2" t="s">
        <v>21217</v>
      </c>
      <c r="K4550" s="2">
        <v>6.222633E-3</v>
      </c>
      <c r="L4550" s="2" t="s">
        <v>1178</v>
      </c>
      <c r="M4550" s="4" t="s">
        <v>21218</v>
      </c>
    </row>
    <row r="4551" spans="1:13">
      <c r="A4551" s="2">
        <v>3420</v>
      </c>
      <c r="B4551" s="2" t="s">
        <v>21219</v>
      </c>
      <c r="C4551" s="2">
        <v>10</v>
      </c>
      <c r="D4551" s="2">
        <v>556</v>
      </c>
      <c r="E4551" s="2">
        <v>200</v>
      </c>
      <c r="F4551" s="2">
        <v>32441</v>
      </c>
      <c r="G4551" s="2">
        <v>2.917356115</v>
      </c>
      <c r="H4551" s="2">
        <v>3.1496330000000002E-3</v>
      </c>
      <c r="I4551" s="2" t="s">
        <v>21220</v>
      </c>
      <c r="J4551" s="2" t="s">
        <v>21221</v>
      </c>
      <c r="K4551" s="2">
        <v>6.222633E-3</v>
      </c>
      <c r="L4551" s="2" t="s">
        <v>1178</v>
      </c>
      <c r="M4551" s="4" t="s">
        <v>21222</v>
      </c>
    </row>
    <row r="4552" spans="1:13">
      <c r="A4552" s="2">
        <v>34271</v>
      </c>
      <c r="B4552" s="2" t="s">
        <v>21223</v>
      </c>
      <c r="C4552" s="2">
        <v>10</v>
      </c>
      <c r="D4552" s="2">
        <v>556</v>
      </c>
      <c r="E4552" s="2">
        <v>200</v>
      </c>
      <c r="F4552" s="2">
        <v>32441</v>
      </c>
      <c r="G4552" s="2">
        <v>2.917356115</v>
      </c>
      <c r="H4552" s="2">
        <v>3.1496330000000002E-3</v>
      </c>
      <c r="I4552" s="2" t="s">
        <v>21224</v>
      </c>
      <c r="J4552" s="2" t="s">
        <v>21225</v>
      </c>
      <c r="K4552" s="2">
        <v>6.222633E-3</v>
      </c>
      <c r="L4552" s="2" t="s">
        <v>1178</v>
      </c>
      <c r="M4552" s="4" t="s">
        <v>21226</v>
      </c>
    </row>
    <row r="4553" spans="1:13">
      <c r="A4553" s="2">
        <v>3443</v>
      </c>
      <c r="B4553" s="2" t="s">
        <v>21227</v>
      </c>
      <c r="C4553" s="2">
        <v>10</v>
      </c>
      <c r="D4553" s="2">
        <v>556</v>
      </c>
      <c r="E4553" s="2">
        <v>199</v>
      </c>
      <c r="F4553" s="2">
        <v>32441</v>
      </c>
      <c r="G4553" s="2">
        <v>2.9320161960000002</v>
      </c>
      <c r="H4553" s="2">
        <v>3.0442400000000001E-3</v>
      </c>
      <c r="I4553" s="2" t="s">
        <v>21228</v>
      </c>
      <c r="J4553" s="2" t="s">
        <v>21229</v>
      </c>
      <c r="K4553" s="2">
        <v>6.222633E-3</v>
      </c>
      <c r="L4553" s="2" t="s">
        <v>1178</v>
      </c>
      <c r="M4553" s="4" t="s">
        <v>21230</v>
      </c>
    </row>
    <row r="4554" spans="1:13">
      <c r="A4554" s="2">
        <v>3498</v>
      </c>
      <c r="B4554" s="2" t="s">
        <v>21231</v>
      </c>
      <c r="C4554" s="2">
        <v>10</v>
      </c>
      <c r="D4554" s="2">
        <v>556</v>
      </c>
      <c r="E4554" s="2">
        <v>197</v>
      </c>
      <c r="F4554" s="2">
        <v>32441</v>
      </c>
      <c r="G4554" s="2">
        <v>2.9617828579999999</v>
      </c>
      <c r="H4554" s="2">
        <v>2.8418919999999999E-3</v>
      </c>
      <c r="I4554" s="2" t="s">
        <v>21232</v>
      </c>
      <c r="J4554" s="2" t="s">
        <v>21233</v>
      </c>
      <c r="K4554" s="2">
        <v>6.222633E-3</v>
      </c>
      <c r="L4554" s="2" t="s">
        <v>1178</v>
      </c>
      <c r="M4554" s="4" t="s">
        <v>21234</v>
      </c>
    </row>
    <row r="4555" spans="1:13">
      <c r="A4555" s="2">
        <v>3501</v>
      </c>
      <c r="B4555" s="2" t="s">
        <v>21235</v>
      </c>
      <c r="C4555" s="2">
        <v>10</v>
      </c>
      <c r="D4555" s="2">
        <v>556</v>
      </c>
      <c r="E4555" s="2">
        <v>200</v>
      </c>
      <c r="F4555" s="2">
        <v>32441</v>
      </c>
      <c r="G4555" s="2">
        <v>2.917356115</v>
      </c>
      <c r="H4555" s="2">
        <v>3.1496330000000002E-3</v>
      </c>
      <c r="I4555" s="2" t="s">
        <v>21236</v>
      </c>
      <c r="J4555" s="2" t="s">
        <v>21237</v>
      </c>
      <c r="K4555" s="2">
        <v>6.222633E-3</v>
      </c>
      <c r="L4555" s="2" t="s">
        <v>1178</v>
      </c>
      <c r="M4555" s="4" t="s">
        <v>21238</v>
      </c>
    </row>
    <row r="4556" spans="1:13">
      <c r="A4556" s="2">
        <v>3511</v>
      </c>
      <c r="B4556" s="2" t="s">
        <v>21239</v>
      </c>
      <c r="C4556" s="2">
        <v>10</v>
      </c>
      <c r="D4556" s="2">
        <v>556</v>
      </c>
      <c r="E4556" s="2">
        <v>200</v>
      </c>
      <c r="F4556" s="2">
        <v>32441</v>
      </c>
      <c r="G4556" s="2">
        <v>2.917356115</v>
      </c>
      <c r="H4556" s="2">
        <v>3.1496330000000002E-3</v>
      </c>
      <c r="I4556" s="2" t="s">
        <v>21240</v>
      </c>
      <c r="J4556" s="2" t="s">
        <v>21241</v>
      </c>
      <c r="K4556" s="2">
        <v>6.222633E-3</v>
      </c>
      <c r="L4556" s="2" t="s">
        <v>1178</v>
      </c>
      <c r="M4556" s="4" t="s">
        <v>21242</v>
      </c>
    </row>
    <row r="4557" spans="1:13">
      <c r="A4557" s="2">
        <v>3525</v>
      </c>
      <c r="B4557" s="2" t="s">
        <v>21243</v>
      </c>
      <c r="C4557" s="2">
        <v>10</v>
      </c>
      <c r="D4557" s="2">
        <v>556</v>
      </c>
      <c r="E4557" s="2">
        <v>200</v>
      </c>
      <c r="F4557" s="2">
        <v>32441</v>
      </c>
      <c r="G4557" s="2">
        <v>2.917356115</v>
      </c>
      <c r="H4557" s="2">
        <v>3.1496330000000002E-3</v>
      </c>
      <c r="I4557" s="2" t="s">
        <v>21244</v>
      </c>
      <c r="J4557" s="2" t="s">
        <v>21245</v>
      </c>
      <c r="K4557" s="2">
        <v>6.222633E-3</v>
      </c>
      <c r="L4557" s="2" t="s">
        <v>1178</v>
      </c>
      <c r="M4557" s="4" t="s">
        <v>21246</v>
      </c>
    </row>
    <row r="4558" spans="1:13">
      <c r="A4558" s="2">
        <v>3575</v>
      </c>
      <c r="B4558" s="2" t="s">
        <v>21247</v>
      </c>
      <c r="C4558" s="2">
        <v>9</v>
      </c>
      <c r="D4558" s="2">
        <v>556</v>
      </c>
      <c r="E4558" s="2">
        <v>165</v>
      </c>
      <c r="F4558" s="2">
        <v>32441</v>
      </c>
      <c r="G4558" s="2">
        <v>3.1825703070000002</v>
      </c>
      <c r="H4558" s="2">
        <v>2.8914779999999998E-3</v>
      </c>
      <c r="I4558" s="2" t="s">
        <v>21248</v>
      </c>
      <c r="J4558" s="2" t="s">
        <v>21249</v>
      </c>
      <c r="K4558" s="2">
        <v>6.222633E-3</v>
      </c>
      <c r="L4558" s="2" t="s">
        <v>1178</v>
      </c>
      <c r="M4558" s="4" t="s">
        <v>21250</v>
      </c>
    </row>
    <row r="4559" spans="1:13">
      <c r="A4559" s="2">
        <v>3602</v>
      </c>
      <c r="B4559" s="2" t="s">
        <v>21251</v>
      </c>
      <c r="C4559" s="2">
        <v>10</v>
      </c>
      <c r="D4559" s="2">
        <v>556</v>
      </c>
      <c r="E4559" s="2">
        <v>200</v>
      </c>
      <c r="F4559" s="2">
        <v>32441</v>
      </c>
      <c r="G4559" s="2">
        <v>2.917356115</v>
      </c>
      <c r="H4559" s="2">
        <v>3.1496330000000002E-3</v>
      </c>
      <c r="I4559" s="2" t="s">
        <v>21252</v>
      </c>
      <c r="J4559" s="2" t="s">
        <v>21253</v>
      </c>
      <c r="K4559" s="2">
        <v>6.222633E-3</v>
      </c>
      <c r="L4559" s="2" t="s">
        <v>1178</v>
      </c>
      <c r="M4559" s="4" t="s">
        <v>21254</v>
      </c>
    </row>
    <row r="4560" spans="1:13">
      <c r="A4560" s="2">
        <v>3649</v>
      </c>
      <c r="B4560" s="2" t="s">
        <v>21255</v>
      </c>
      <c r="C4560" s="2">
        <v>10</v>
      </c>
      <c r="D4560" s="2">
        <v>556</v>
      </c>
      <c r="E4560" s="2">
        <v>199</v>
      </c>
      <c r="F4560" s="2">
        <v>32441</v>
      </c>
      <c r="G4560" s="2">
        <v>2.9320161960000002</v>
      </c>
      <c r="H4560" s="2">
        <v>3.0442400000000001E-3</v>
      </c>
      <c r="I4560" s="2" t="s">
        <v>21256</v>
      </c>
      <c r="J4560" s="2" t="s">
        <v>21257</v>
      </c>
      <c r="K4560" s="2">
        <v>6.222633E-3</v>
      </c>
      <c r="L4560" s="2" t="s">
        <v>1178</v>
      </c>
      <c r="M4560" s="4" t="s">
        <v>21258</v>
      </c>
    </row>
    <row r="4561" spans="1:13">
      <c r="A4561" s="2">
        <v>36561</v>
      </c>
      <c r="B4561" s="2" t="s">
        <v>21259</v>
      </c>
      <c r="C4561" s="2">
        <v>9</v>
      </c>
      <c r="D4561" s="2">
        <v>556</v>
      </c>
      <c r="E4561" s="2">
        <v>165</v>
      </c>
      <c r="F4561" s="2">
        <v>32441</v>
      </c>
      <c r="G4561" s="2">
        <v>3.1825703070000002</v>
      </c>
      <c r="H4561" s="2">
        <v>2.8914779999999998E-3</v>
      </c>
      <c r="I4561" s="2" t="s">
        <v>21260</v>
      </c>
      <c r="J4561" s="2" t="s">
        <v>21261</v>
      </c>
      <c r="K4561" s="2">
        <v>6.222633E-3</v>
      </c>
      <c r="L4561" s="2" t="s">
        <v>1178</v>
      </c>
      <c r="M4561" s="4" t="s">
        <v>21262</v>
      </c>
    </row>
    <row r="4562" spans="1:13">
      <c r="A4562" s="2">
        <v>36731</v>
      </c>
      <c r="B4562" s="2" t="s">
        <v>21263</v>
      </c>
      <c r="C4562" s="2">
        <v>10</v>
      </c>
      <c r="D4562" s="2">
        <v>556</v>
      </c>
      <c r="E4562" s="2">
        <v>200</v>
      </c>
      <c r="F4562" s="2">
        <v>32441</v>
      </c>
      <c r="G4562" s="2">
        <v>2.917356115</v>
      </c>
      <c r="H4562" s="2">
        <v>3.1496330000000002E-3</v>
      </c>
      <c r="I4562" s="2" t="s">
        <v>21264</v>
      </c>
      <c r="J4562" s="2" t="s">
        <v>21265</v>
      </c>
      <c r="K4562" s="2">
        <v>6.222633E-3</v>
      </c>
      <c r="L4562" s="2" t="s">
        <v>1178</v>
      </c>
      <c r="M4562" s="4" t="s">
        <v>21266</v>
      </c>
    </row>
    <row r="4563" spans="1:13">
      <c r="A4563" s="2">
        <v>36811</v>
      </c>
      <c r="B4563" s="2" t="s">
        <v>21267</v>
      </c>
      <c r="C4563" s="2">
        <v>10</v>
      </c>
      <c r="D4563" s="2">
        <v>556</v>
      </c>
      <c r="E4563" s="2">
        <v>200</v>
      </c>
      <c r="F4563" s="2">
        <v>32441</v>
      </c>
      <c r="G4563" s="2">
        <v>2.917356115</v>
      </c>
      <c r="H4563" s="2">
        <v>3.1496330000000002E-3</v>
      </c>
      <c r="I4563" s="2" t="s">
        <v>21268</v>
      </c>
      <c r="J4563" s="2" t="s">
        <v>21269</v>
      </c>
      <c r="K4563" s="2">
        <v>6.222633E-3</v>
      </c>
      <c r="L4563" s="2" t="s">
        <v>1178</v>
      </c>
      <c r="M4563" s="4" t="s">
        <v>21270</v>
      </c>
    </row>
    <row r="4564" spans="1:13">
      <c r="A4564" s="2">
        <v>3703</v>
      </c>
      <c r="B4564" s="2" t="s">
        <v>21271</v>
      </c>
      <c r="C4564" s="2">
        <v>10</v>
      </c>
      <c r="D4564" s="2">
        <v>556</v>
      </c>
      <c r="E4564" s="2">
        <v>200</v>
      </c>
      <c r="F4564" s="2">
        <v>32441</v>
      </c>
      <c r="G4564" s="2">
        <v>2.917356115</v>
      </c>
      <c r="H4564" s="2">
        <v>3.1496330000000002E-3</v>
      </c>
      <c r="I4564" s="2" t="s">
        <v>21272</v>
      </c>
      <c r="J4564" s="2" t="s">
        <v>21273</v>
      </c>
      <c r="K4564" s="2">
        <v>6.222633E-3</v>
      </c>
      <c r="L4564" s="2" t="s">
        <v>1178</v>
      </c>
      <c r="M4564" s="4" t="s">
        <v>21274</v>
      </c>
    </row>
    <row r="4565" spans="1:13">
      <c r="A4565" s="2">
        <v>3707</v>
      </c>
      <c r="B4565" s="2" t="s">
        <v>1743</v>
      </c>
      <c r="C4565" s="2">
        <v>10</v>
      </c>
      <c r="D4565" s="2">
        <v>556</v>
      </c>
      <c r="E4565" s="2">
        <v>200</v>
      </c>
      <c r="F4565" s="2">
        <v>32441</v>
      </c>
      <c r="G4565" s="2">
        <v>2.917356115</v>
      </c>
      <c r="H4565" s="2">
        <v>3.1496330000000002E-3</v>
      </c>
      <c r="I4565" s="2" t="s">
        <v>21275</v>
      </c>
      <c r="J4565" s="2" t="s">
        <v>21276</v>
      </c>
      <c r="K4565" s="2">
        <v>6.222633E-3</v>
      </c>
      <c r="L4565" s="2" t="s">
        <v>1178</v>
      </c>
      <c r="M4565" s="4" t="s">
        <v>3222</v>
      </c>
    </row>
    <row r="4566" spans="1:13">
      <c r="A4566" s="2">
        <v>3708</v>
      </c>
      <c r="B4566" s="2" t="s">
        <v>21277</v>
      </c>
      <c r="C4566" s="2">
        <v>10</v>
      </c>
      <c r="D4566" s="2">
        <v>556</v>
      </c>
      <c r="E4566" s="2">
        <v>200</v>
      </c>
      <c r="F4566" s="2">
        <v>32441</v>
      </c>
      <c r="G4566" s="2">
        <v>2.917356115</v>
      </c>
      <c r="H4566" s="2">
        <v>3.1496330000000002E-3</v>
      </c>
      <c r="I4566" s="2" t="s">
        <v>21278</v>
      </c>
      <c r="J4566" s="2" t="s">
        <v>21279</v>
      </c>
      <c r="K4566" s="2">
        <v>6.222633E-3</v>
      </c>
      <c r="L4566" s="2" t="s">
        <v>1178</v>
      </c>
      <c r="M4566" s="4" t="s">
        <v>21280</v>
      </c>
    </row>
    <row r="4567" spans="1:13">
      <c r="A4567" s="2">
        <v>3717</v>
      </c>
      <c r="B4567" s="2" t="s">
        <v>1962</v>
      </c>
      <c r="C4567" s="2">
        <v>10</v>
      </c>
      <c r="D4567" s="2">
        <v>556</v>
      </c>
      <c r="E4567" s="2">
        <v>200</v>
      </c>
      <c r="F4567" s="2">
        <v>32441</v>
      </c>
      <c r="G4567" s="2">
        <v>2.917356115</v>
      </c>
      <c r="H4567" s="2">
        <v>3.1496330000000002E-3</v>
      </c>
      <c r="I4567" s="2" t="s">
        <v>21281</v>
      </c>
      <c r="J4567" s="2" t="s">
        <v>21282</v>
      </c>
      <c r="K4567" s="2">
        <v>6.222633E-3</v>
      </c>
      <c r="L4567" s="2" t="s">
        <v>1178</v>
      </c>
      <c r="M4567" s="4" t="s">
        <v>21283</v>
      </c>
    </row>
    <row r="4568" spans="1:13">
      <c r="A4568" s="2">
        <v>3722</v>
      </c>
      <c r="B4568" s="2" t="s">
        <v>21284</v>
      </c>
      <c r="C4568" s="2">
        <v>10</v>
      </c>
      <c r="D4568" s="2">
        <v>556</v>
      </c>
      <c r="E4568" s="2">
        <v>200</v>
      </c>
      <c r="F4568" s="2">
        <v>32441</v>
      </c>
      <c r="G4568" s="2">
        <v>2.917356115</v>
      </c>
      <c r="H4568" s="2">
        <v>3.1496330000000002E-3</v>
      </c>
      <c r="I4568" s="2" t="s">
        <v>21285</v>
      </c>
      <c r="J4568" s="2" t="s">
        <v>21286</v>
      </c>
      <c r="K4568" s="2">
        <v>6.222633E-3</v>
      </c>
      <c r="L4568" s="2" t="s">
        <v>1178</v>
      </c>
      <c r="M4568" s="4" t="s">
        <v>21287</v>
      </c>
    </row>
    <row r="4569" spans="1:13">
      <c r="A4569" s="2">
        <v>3733</v>
      </c>
      <c r="B4569" s="2" t="s">
        <v>21288</v>
      </c>
      <c r="C4569" s="2">
        <v>10</v>
      </c>
      <c r="D4569" s="2">
        <v>556</v>
      </c>
      <c r="E4569" s="2">
        <v>200</v>
      </c>
      <c r="F4569" s="2">
        <v>32441</v>
      </c>
      <c r="G4569" s="2">
        <v>2.917356115</v>
      </c>
      <c r="H4569" s="2">
        <v>3.1496330000000002E-3</v>
      </c>
      <c r="I4569" s="2" t="s">
        <v>21289</v>
      </c>
      <c r="J4569" s="2" t="s">
        <v>21290</v>
      </c>
      <c r="K4569" s="2">
        <v>6.222633E-3</v>
      </c>
      <c r="L4569" s="2" t="s">
        <v>1178</v>
      </c>
      <c r="M4569" s="4" t="s">
        <v>21291</v>
      </c>
    </row>
    <row r="4570" spans="1:13">
      <c r="A4570" s="2">
        <v>3775</v>
      </c>
      <c r="B4570" s="2" t="s">
        <v>21292</v>
      </c>
      <c r="C4570" s="2">
        <v>10</v>
      </c>
      <c r="D4570" s="2">
        <v>556</v>
      </c>
      <c r="E4570" s="2">
        <v>200</v>
      </c>
      <c r="F4570" s="2">
        <v>32441</v>
      </c>
      <c r="G4570" s="2">
        <v>2.917356115</v>
      </c>
      <c r="H4570" s="2">
        <v>3.1496330000000002E-3</v>
      </c>
      <c r="I4570" s="2" t="s">
        <v>21293</v>
      </c>
      <c r="J4570" s="2" t="s">
        <v>21294</v>
      </c>
      <c r="K4570" s="2">
        <v>6.222633E-3</v>
      </c>
      <c r="L4570" s="2" t="s">
        <v>1178</v>
      </c>
      <c r="M4570" s="4" t="s">
        <v>21295</v>
      </c>
    </row>
    <row r="4571" spans="1:13">
      <c r="A4571" s="2">
        <v>3778</v>
      </c>
      <c r="B4571" s="2" t="s">
        <v>21296</v>
      </c>
      <c r="C4571" s="2">
        <v>10</v>
      </c>
      <c r="D4571" s="2">
        <v>556</v>
      </c>
      <c r="E4571" s="2">
        <v>200</v>
      </c>
      <c r="F4571" s="2">
        <v>32441</v>
      </c>
      <c r="G4571" s="2">
        <v>2.917356115</v>
      </c>
      <c r="H4571" s="2">
        <v>3.1496330000000002E-3</v>
      </c>
      <c r="I4571" s="2" t="s">
        <v>21297</v>
      </c>
      <c r="J4571" s="2" t="s">
        <v>21298</v>
      </c>
      <c r="K4571" s="2">
        <v>6.222633E-3</v>
      </c>
      <c r="L4571" s="2" t="s">
        <v>1178</v>
      </c>
      <c r="M4571" s="4" t="s">
        <v>21299</v>
      </c>
    </row>
    <row r="4572" spans="1:13">
      <c r="A4572" s="2">
        <v>3789</v>
      </c>
      <c r="B4572" s="2" t="s">
        <v>21300</v>
      </c>
      <c r="C4572" s="2">
        <v>10</v>
      </c>
      <c r="D4572" s="2">
        <v>556</v>
      </c>
      <c r="E4572" s="2">
        <v>198</v>
      </c>
      <c r="F4572" s="2">
        <v>32441</v>
      </c>
      <c r="G4572" s="2">
        <v>2.9468243589999998</v>
      </c>
      <c r="H4572" s="2">
        <v>2.9416780000000001E-3</v>
      </c>
      <c r="I4572" s="2" t="s">
        <v>21301</v>
      </c>
      <c r="J4572" s="2" t="s">
        <v>21302</v>
      </c>
      <c r="K4572" s="2">
        <v>6.222633E-3</v>
      </c>
      <c r="L4572" s="2" t="s">
        <v>1178</v>
      </c>
      <c r="M4572" s="4" t="s">
        <v>21303</v>
      </c>
    </row>
    <row r="4573" spans="1:13">
      <c r="A4573" s="2">
        <v>3806</v>
      </c>
      <c r="B4573" s="2" t="s">
        <v>21304</v>
      </c>
      <c r="C4573" s="2">
        <v>10</v>
      </c>
      <c r="D4573" s="2">
        <v>556</v>
      </c>
      <c r="E4573" s="2">
        <v>200</v>
      </c>
      <c r="F4573" s="2">
        <v>32441</v>
      </c>
      <c r="G4573" s="2">
        <v>2.917356115</v>
      </c>
      <c r="H4573" s="2">
        <v>3.1496330000000002E-3</v>
      </c>
      <c r="I4573" s="2" t="s">
        <v>21305</v>
      </c>
      <c r="J4573" s="2" t="s">
        <v>21306</v>
      </c>
      <c r="K4573" s="2">
        <v>6.222633E-3</v>
      </c>
      <c r="L4573" s="2" t="s">
        <v>1178</v>
      </c>
      <c r="M4573" s="4" t="s">
        <v>21307</v>
      </c>
    </row>
    <row r="4574" spans="1:13">
      <c r="A4574" s="2">
        <v>3817</v>
      </c>
      <c r="B4574" s="2" t="s">
        <v>21308</v>
      </c>
      <c r="C4574" s="2">
        <v>10</v>
      </c>
      <c r="D4574" s="2">
        <v>556</v>
      </c>
      <c r="E4574" s="2">
        <v>200</v>
      </c>
      <c r="F4574" s="2">
        <v>32441</v>
      </c>
      <c r="G4574" s="2">
        <v>2.917356115</v>
      </c>
      <c r="H4574" s="2">
        <v>3.1496330000000002E-3</v>
      </c>
      <c r="I4574" s="2" t="s">
        <v>21309</v>
      </c>
      <c r="J4574" s="2" t="s">
        <v>21310</v>
      </c>
      <c r="K4574" s="2">
        <v>6.222633E-3</v>
      </c>
      <c r="L4574" s="2" t="s">
        <v>1178</v>
      </c>
      <c r="M4574" s="4" t="s">
        <v>21311</v>
      </c>
    </row>
    <row r="4575" spans="1:13">
      <c r="A4575" s="2">
        <v>38241</v>
      </c>
      <c r="B4575" s="2" t="s">
        <v>21312</v>
      </c>
      <c r="C4575" s="2">
        <v>10</v>
      </c>
      <c r="D4575" s="2">
        <v>556</v>
      </c>
      <c r="E4575" s="2">
        <v>200</v>
      </c>
      <c r="F4575" s="2">
        <v>32441</v>
      </c>
      <c r="G4575" s="2">
        <v>2.917356115</v>
      </c>
      <c r="H4575" s="2">
        <v>3.1496330000000002E-3</v>
      </c>
      <c r="I4575" s="2" t="s">
        <v>21313</v>
      </c>
      <c r="J4575" s="2" t="s">
        <v>21314</v>
      </c>
      <c r="K4575" s="2">
        <v>6.222633E-3</v>
      </c>
      <c r="L4575" s="2" t="s">
        <v>1178</v>
      </c>
      <c r="M4575" s="4" t="s">
        <v>21315</v>
      </c>
    </row>
    <row r="4576" spans="1:13">
      <c r="A4576" s="2">
        <v>38321</v>
      </c>
      <c r="B4576" s="2" t="s">
        <v>21316</v>
      </c>
      <c r="C4576" s="2">
        <v>10</v>
      </c>
      <c r="D4576" s="2">
        <v>556</v>
      </c>
      <c r="E4576" s="2">
        <v>200</v>
      </c>
      <c r="F4576" s="2">
        <v>32441</v>
      </c>
      <c r="G4576" s="2">
        <v>2.917356115</v>
      </c>
      <c r="H4576" s="2">
        <v>3.1496330000000002E-3</v>
      </c>
      <c r="I4576" s="2" t="s">
        <v>21317</v>
      </c>
      <c r="J4576" s="2" t="s">
        <v>21318</v>
      </c>
      <c r="K4576" s="2">
        <v>6.222633E-3</v>
      </c>
      <c r="L4576" s="2" t="s">
        <v>1178</v>
      </c>
      <c r="M4576" s="4" t="s">
        <v>21319</v>
      </c>
    </row>
    <row r="4577" spans="1:13">
      <c r="A4577" s="2">
        <v>3840</v>
      </c>
      <c r="B4577" s="2" t="s">
        <v>21320</v>
      </c>
      <c r="C4577" s="2">
        <v>10</v>
      </c>
      <c r="D4577" s="2">
        <v>556</v>
      </c>
      <c r="E4577" s="2">
        <v>199</v>
      </c>
      <c r="F4577" s="2">
        <v>32441</v>
      </c>
      <c r="G4577" s="2">
        <v>2.9320161960000002</v>
      </c>
      <c r="H4577" s="2">
        <v>3.0442400000000001E-3</v>
      </c>
      <c r="I4577" s="2" t="s">
        <v>21321</v>
      </c>
      <c r="J4577" s="2" t="s">
        <v>21322</v>
      </c>
      <c r="K4577" s="2">
        <v>6.222633E-3</v>
      </c>
      <c r="L4577" s="2" t="s">
        <v>1178</v>
      </c>
      <c r="M4577" s="4" t="s">
        <v>21323</v>
      </c>
    </row>
    <row r="4578" spans="1:13">
      <c r="A4578" s="2">
        <v>38561</v>
      </c>
      <c r="B4578" s="2" t="s">
        <v>21324</v>
      </c>
      <c r="C4578" s="2">
        <v>10</v>
      </c>
      <c r="D4578" s="2">
        <v>556</v>
      </c>
      <c r="E4578" s="2">
        <v>200</v>
      </c>
      <c r="F4578" s="2">
        <v>32441</v>
      </c>
      <c r="G4578" s="2">
        <v>2.917356115</v>
      </c>
      <c r="H4578" s="2">
        <v>3.1496330000000002E-3</v>
      </c>
      <c r="I4578" s="2" t="s">
        <v>21325</v>
      </c>
      <c r="J4578" s="2" t="s">
        <v>21326</v>
      </c>
      <c r="K4578" s="2">
        <v>6.222633E-3</v>
      </c>
      <c r="L4578" s="2" t="s">
        <v>1178</v>
      </c>
      <c r="M4578" s="4" t="s">
        <v>21327</v>
      </c>
    </row>
    <row r="4579" spans="1:13">
      <c r="A4579" s="2">
        <v>38571</v>
      </c>
      <c r="B4579" s="2" t="s">
        <v>21328</v>
      </c>
      <c r="C4579" s="2">
        <v>10</v>
      </c>
      <c r="D4579" s="2">
        <v>556</v>
      </c>
      <c r="E4579" s="2">
        <v>200</v>
      </c>
      <c r="F4579" s="2">
        <v>32441</v>
      </c>
      <c r="G4579" s="2">
        <v>2.917356115</v>
      </c>
      <c r="H4579" s="2">
        <v>3.1496330000000002E-3</v>
      </c>
      <c r="I4579" s="2" t="s">
        <v>21329</v>
      </c>
      <c r="J4579" s="2" t="s">
        <v>21330</v>
      </c>
      <c r="K4579" s="2">
        <v>6.222633E-3</v>
      </c>
      <c r="L4579" s="2" t="s">
        <v>1178</v>
      </c>
      <c r="M4579" s="4" t="s">
        <v>21331</v>
      </c>
    </row>
    <row r="4580" spans="1:13">
      <c r="A4580" s="2">
        <v>38591</v>
      </c>
      <c r="B4580" s="2" t="s">
        <v>21332</v>
      </c>
      <c r="C4580" s="2">
        <v>10</v>
      </c>
      <c r="D4580" s="2">
        <v>556</v>
      </c>
      <c r="E4580" s="2">
        <v>200</v>
      </c>
      <c r="F4580" s="2">
        <v>32441</v>
      </c>
      <c r="G4580" s="2">
        <v>2.917356115</v>
      </c>
      <c r="H4580" s="2">
        <v>3.1496330000000002E-3</v>
      </c>
      <c r="I4580" s="2" t="s">
        <v>21333</v>
      </c>
      <c r="J4580" s="2" t="s">
        <v>21334</v>
      </c>
      <c r="K4580" s="2">
        <v>6.222633E-3</v>
      </c>
      <c r="L4580" s="2" t="s">
        <v>1178</v>
      </c>
      <c r="M4580" s="4" t="s">
        <v>21335</v>
      </c>
    </row>
    <row r="4581" spans="1:13">
      <c r="A4581" s="2">
        <v>38621</v>
      </c>
      <c r="B4581" s="2" t="s">
        <v>21336</v>
      </c>
      <c r="C4581" s="2">
        <v>10</v>
      </c>
      <c r="D4581" s="2">
        <v>556</v>
      </c>
      <c r="E4581" s="2">
        <v>200</v>
      </c>
      <c r="F4581" s="2">
        <v>32441</v>
      </c>
      <c r="G4581" s="2">
        <v>2.917356115</v>
      </c>
      <c r="H4581" s="2">
        <v>3.1496330000000002E-3</v>
      </c>
      <c r="I4581" s="2" t="s">
        <v>21337</v>
      </c>
      <c r="J4581" s="2" t="s">
        <v>21338</v>
      </c>
      <c r="K4581" s="2">
        <v>6.222633E-3</v>
      </c>
      <c r="L4581" s="2" t="s">
        <v>1178</v>
      </c>
      <c r="M4581" s="4" t="s">
        <v>21339</v>
      </c>
    </row>
    <row r="4582" spans="1:13">
      <c r="A4582" s="2">
        <v>38872</v>
      </c>
      <c r="B4582" s="2" t="s">
        <v>2256</v>
      </c>
      <c r="C4582" s="2">
        <v>10</v>
      </c>
      <c r="D4582" s="2">
        <v>556</v>
      </c>
      <c r="E4582" s="2">
        <v>200</v>
      </c>
      <c r="F4582" s="2">
        <v>32441</v>
      </c>
      <c r="G4582" s="2">
        <v>2.917356115</v>
      </c>
      <c r="H4582" s="2">
        <v>3.1496330000000002E-3</v>
      </c>
      <c r="I4582" s="2" t="s">
        <v>21340</v>
      </c>
      <c r="J4582" s="2" t="s">
        <v>21341</v>
      </c>
      <c r="K4582" s="2">
        <v>6.222633E-3</v>
      </c>
      <c r="L4582" s="2" t="s">
        <v>1178</v>
      </c>
      <c r="M4582" s="4" t="s">
        <v>21342</v>
      </c>
    </row>
    <row r="4583" spans="1:13">
      <c r="A4583" s="2">
        <v>39171</v>
      </c>
      <c r="B4583" s="2" t="s">
        <v>21343</v>
      </c>
      <c r="C4583" s="2">
        <v>10</v>
      </c>
      <c r="D4583" s="2">
        <v>556</v>
      </c>
      <c r="E4583" s="2">
        <v>200</v>
      </c>
      <c r="F4583" s="2">
        <v>32441</v>
      </c>
      <c r="G4583" s="2">
        <v>2.917356115</v>
      </c>
      <c r="H4583" s="2">
        <v>3.1496330000000002E-3</v>
      </c>
      <c r="I4583" s="2" t="s">
        <v>21344</v>
      </c>
      <c r="J4583" s="2" t="s">
        <v>21345</v>
      </c>
      <c r="K4583" s="2">
        <v>6.222633E-3</v>
      </c>
      <c r="L4583" s="2" t="s">
        <v>1178</v>
      </c>
      <c r="M4583" s="4" t="s">
        <v>21346</v>
      </c>
    </row>
    <row r="4584" spans="1:13">
      <c r="A4584" s="2">
        <v>3951</v>
      </c>
      <c r="B4584" s="2" t="s">
        <v>21347</v>
      </c>
      <c r="C4584" s="2">
        <v>10</v>
      </c>
      <c r="D4584" s="2">
        <v>556</v>
      </c>
      <c r="E4584" s="2">
        <v>200</v>
      </c>
      <c r="F4584" s="2">
        <v>32441</v>
      </c>
      <c r="G4584" s="2">
        <v>2.917356115</v>
      </c>
      <c r="H4584" s="2">
        <v>3.1496330000000002E-3</v>
      </c>
      <c r="I4584" s="2" t="s">
        <v>21348</v>
      </c>
      <c r="J4584" s="2" t="s">
        <v>21349</v>
      </c>
      <c r="K4584" s="2">
        <v>6.222633E-3</v>
      </c>
      <c r="L4584" s="2" t="s">
        <v>1178</v>
      </c>
      <c r="M4584" s="4" t="s">
        <v>21350</v>
      </c>
    </row>
    <row r="4585" spans="1:13">
      <c r="A4585" s="2">
        <v>40592</v>
      </c>
      <c r="B4585" s="2" t="s">
        <v>21351</v>
      </c>
      <c r="C4585" s="2">
        <v>10</v>
      </c>
      <c r="D4585" s="2">
        <v>556</v>
      </c>
      <c r="E4585" s="2">
        <v>200</v>
      </c>
      <c r="F4585" s="2">
        <v>32441</v>
      </c>
      <c r="G4585" s="2">
        <v>2.917356115</v>
      </c>
      <c r="H4585" s="2">
        <v>3.1496330000000002E-3</v>
      </c>
      <c r="I4585" s="2" t="s">
        <v>21352</v>
      </c>
      <c r="J4585" s="2" t="s">
        <v>21353</v>
      </c>
      <c r="K4585" s="2">
        <v>6.222633E-3</v>
      </c>
      <c r="L4585" s="2" t="s">
        <v>1178</v>
      </c>
      <c r="M4585" s="4" t="s">
        <v>21354</v>
      </c>
    </row>
    <row r="4586" spans="1:13">
      <c r="A4586" s="2">
        <v>4078</v>
      </c>
      <c r="B4586" s="2" t="s">
        <v>21355</v>
      </c>
      <c r="C4586" s="2">
        <v>9</v>
      </c>
      <c r="D4586" s="2">
        <v>556</v>
      </c>
      <c r="E4586" s="2">
        <v>166</v>
      </c>
      <c r="F4586" s="2">
        <v>32441</v>
      </c>
      <c r="G4586" s="2">
        <v>3.1633981969999998</v>
      </c>
      <c r="H4586" s="2">
        <v>3.0039569999999998E-3</v>
      </c>
      <c r="I4586" s="2" t="s">
        <v>21356</v>
      </c>
      <c r="J4586" s="2" t="s">
        <v>21357</v>
      </c>
      <c r="K4586" s="2">
        <v>6.222633E-3</v>
      </c>
      <c r="L4586" s="2" t="s">
        <v>1178</v>
      </c>
      <c r="M4586" s="4" t="s">
        <v>21358</v>
      </c>
    </row>
    <row r="4587" spans="1:13">
      <c r="A4587" s="2">
        <v>41831</v>
      </c>
      <c r="B4587" s="2" t="s">
        <v>21359</v>
      </c>
      <c r="C4587" s="2">
        <v>10</v>
      </c>
      <c r="D4587" s="2">
        <v>556</v>
      </c>
      <c r="E4587" s="2">
        <v>200</v>
      </c>
      <c r="F4587" s="2">
        <v>32441</v>
      </c>
      <c r="G4587" s="2">
        <v>2.917356115</v>
      </c>
      <c r="H4587" s="2">
        <v>3.1496330000000002E-3</v>
      </c>
      <c r="I4587" s="2" t="s">
        <v>21360</v>
      </c>
      <c r="J4587" s="2" t="s">
        <v>21361</v>
      </c>
      <c r="K4587" s="2">
        <v>6.222633E-3</v>
      </c>
      <c r="L4587" s="2" t="s">
        <v>1178</v>
      </c>
      <c r="M4587" s="4" t="s">
        <v>21362</v>
      </c>
    </row>
    <row r="4588" spans="1:13">
      <c r="A4588" s="2">
        <v>4186</v>
      </c>
      <c r="B4588" s="2" t="s">
        <v>21363</v>
      </c>
      <c r="C4588" s="2">
        <v>10</v>
      </c>
      <c r="D4588" s="2">
        <v>556</v>
      </c>
      <c r="E4588" s="2">
        <v>200</v>
      </c>
      <c r="F4588" s="2">
        <v>32441</v>
      </c>
      <c r="G4588" s="2">
        <v>2.917356115</v>
      </c>
      <c r="H4588" s="2">
        <v>3.1496330000000002E-3</v>
      </c>
      <c r="I4588" s="2" t="s">
        <v>21364</v>
      </c>
      <c r="J4588" s="2" t="s">
        <v>21365</v>
      </c>
      <c r="K4588" s="2">
        <v>6.222633E-3</v>
      </c>
      <c r="L4588" s="2" t="s">
        <v>1178</v>
      </c>
      <c r="M4588" s="4" t="s">
        <v>21366</v>
      </c>
    </row>
    <row r="4589" spans="1:13">
      <c r="A4589" s="2">
        <v>41932</v>
      </c>
      <c r="B4589" s="2" t="s">
        <v>21367</v>
      </c>
      <c r="C4589" s="2">
        <v>10</v>
      </c>
      <c r="D4589" s="2">
        <v>556</v>
      </c>
      <c r="E4589" s="2">
        <v>200</v>
      </c>
      <c r="F4589" s="2">
        <v>32441</v>
      </c>
      <c r="G4589" s="2">
        <v>2.917356115</v>
      </c>
      <c r="H4589" s="2">
        <v>3.1496330000000002E-3</v>
      </c>
      <c r="I4589" s="2" t="s">
        <v>21368</v>
      </c>
      <c r="J4589" s="2" t="s">
        <v>21369</v>
      </c>
      <c r="K4589" s="2">
        <v>6.222633E-3</v>
      </c>
      <c r="L4589" s="2" t="s">
        <v>1178</v>
      </c>
      <c r="M4589" s="4" t="s">
        <v>21370</v>
      </c>
    </row>
    <row r="4590" spans="1:13">
      <c r="A4590" s="2">
        <v>42091</v>
      </c>
      <c r="B4590" s="2" t="s">
        <v>21371</v>
      </c>
      <c r="C4590" s="2">
        <v>10</v>
      </c>
      <c r="D4590" s="2">
        <v>556</v>
      </c>
      <c r="E4590" s="2">
        <v>200</v>
      </c>
      <c r="F4590" s="2">
        <v>32441</v>
      </c>
      <c r="G4590" s="2">
        <v>2.917356115</v>
      </c>
      <c r="H4590" s="2">
        <v>3.1496330000000002E-3</v>
      </c>
      <c r="I4590" s="2" t="s">
        <v>21372</v>
      </c>
      <c r="J4590" s="2" t="s">
        <v>21373</v>
      </c>
      <c r="K4590" s="2">
        <v>6.222633E-3</v>
      </c>
      <c r="L4590" s="2" t="s">
        <v>1178</v>
      </c>
      <c r="M4590" s="4" t="s">
        <v>21374</v>
      </c>
    </row>
    <row r="4591" spans="1:13">
      <c r="A4591" s="2">
        <v>4211</v>
      </c>
      <c r="B4591" s="2" t="s">
        <v>21375</v>
      </c>
      <c r="C4591" s="2">
        <v>10</v>
      </c>
      <c r="D4591" s="2">
        <v>556</v>
      </c>
      <c r="E4591" s="2">
        <v>200</v>
      </c>
      <c r="F4591" s="2">
        <v>32441</v>
      </c>
      <c r="G4591" s="2">
        <v>2.917356115</v>
      </c>
      <c r="H4591" s="2">
        <v>3.1496330000000002E-3</v>
      </c>
      <c r="I4591" s="2" t="s">
        <v>21376</v>
      </c>
      <c r="J4591" s="2" t="s">
        <v>21377</v>
      </c>
      <c r="K4591" s="2">
        <v>6.222633E-3</v>
      </c>
      <c r="L4591" s="2" t="s">
        <v>1178</v>
      </c>
      <c r="M4591" s="4" t="s">
        <v>21378</v>
      </c>
    </row>
    <row r="4592" spans="1:13">
      <c r="A4592" s="2">
        <v>42691</v>
      </c>
      <c r="B4592" s="2" t="s">
        <v>21379</v>
      </c>
      <c r="C4592" s="2">
        <v>9</v>
      </c>
      <c r="D4592" s="2">
        <v>556</v>
      </c>
      <c r="E4592" s="2">
        <v>167</v>
      </c>
      <c r="F4592" s="2">
        <v>32441</v>
      </c>
      <c r="G4592" s="2">
        <v>3.1444556929999998</v>
      </c>
      <c r="H4592" s="2">
        <v>3.1198599999999999E-3</v>
      </c>
      <c r="I4592" s="2" t="s">
        <v>21380</v>
      </c>
      <c r="J4592" s="2" t="s">
        <v>21381</v>
      </c>
      <c r="K4592" s="2">
        <v>6.222633E-3</v>
      </c>
      <c r="L4592" s="2" t="s">
        <v>1178</v>
      </c>
      <c r="M4592" s="4" t="s">
        <v>21382</v>
      </c>
    </row>
    <row r="4593" spans="1:13">
      <c r="A4593" s="2">
        <v>4316</v>
      </c>
      <c r="B4593" s="2" t="s">
        <v>21383</v>
      </c>
      <c r="C4593" s="2">
        <v>10</v>
      </c>
      <c r="D4593" s="2">
        <v>556</v>
      </c>
      <c r="E4593" s="2">
        <v>198</v>
      </c>
      <c r="F4593" s="2">
        <v>32441</v>
      </c>
      <c r="G4593" s="2">
        <v>2.9468243589999998</v>
      </c>
      <c r="H4593" s="2">
        <v>2.9416780000000001E-3</v>
      </c>
      <c r="I4593" s="2" t="s">
        <v>21384</v>
      </c>
      <c r="J4593" s="2" t="s">
        <v>21385</v>
      </c>
      <c r="K4593" s="2">
        <v>6.222633E-3</v>
      </c>
      <c r="L4593" s="2" t="s">
        <v>1178</v>
      </c>
      <c r="M4593" s="4" t="s">
        <v>21386</v>
      </c>
    </row>
    <row r="4594" spans="1:13">
      <c r="A4594" s="2">
        <v>4335</v>
      </c>
      <c r="B4594" s="2" t="s">
        <v>21387</v>
      </c>
      <c r="C4594" s="2">
        <v>10</v>
      </c>
      <c r="D4594" s="2">
        <v>556</v>
      </c>
      <c r="E4594" s="2">
        <v>200</v>
      </c>
      <c r="F4594" s="2">
        <v>32441</v>
      </c>
      <c r="G4594" s="2">
        <v>2.917356115</v>
      </c>
      <c r="H4594" s="2">
        <v>3.1496330000000002E-3</v>
      </c>
      <c r="I4594" s="2" t="s">
        <v>21388</v>
      </c>
      <c r="J4594" s="2" t="s">
        <v>21389</v>
      </c>
      <c r="K4594" s="2">
        <v>6.222633E-3</v>
      </c>
      <c r="L4594" s="2" t="s">
        <v>1178</v>
      </c>
      <c r="M4594" s="4" t="s">
        <v>21390</v>
      </c>
    </row>
    <row r="4595" spans="1:13">
      <c r="A4595" s="2">
        <v>4357</v>
      </c>
      <c r="B4595" s="2" t="s">
        <v>21391</v>
      </c>
      <c r="C4595" s="2">
        <v>10</v>
      </c>
      <c r="D4595" s="2">
        <v>556</v>
      </c>
      <c r="E4595" s="2">
        <v>200</v>
      </c>
      <c r="F4595" s="2">
        <v>32441</v>
      </c>
      <c r="G4595" s="2">
        <v>2.917356115</v>
      </c>
      <c r="H4595" s="2">
        <v>3.1496330000000002E-3</v>
      </c>
      <c r="I4595" s="2" t="s">
        <v>21392</v>
      </c>
      <c r="J4595" s="2" t="s">
        <v>21393</v>
      </c>
      <c r="K4595" s="2">
        <v>6.222633E-3</v>
      </c>
      <c r="L4595" s="2" t="s">
        <v>1178</v>
      </c>
      <c r="M4595" s="4" t="s">
        <v>21394</v>
      </c>
    </row>
    <row r="4596" spans="1:13">
      <c r="A4596" s="2">
        <v>4378</v>
      </c>
      <c r="B4596" s="2" t="s">
        <v>21395</v>
      </c>
      <c r="C4596" s="2">
        <v>10</v>
      </c>
      <c r="D4596" s="2">
        <v>556</v>
      </c>
      <c r="E4596" s="2">
        <v>200</v>
      </c>
      <c r="F4596" s="2">
        <v>32441</v>
      </c>
      <c r="G4596" s="2">
        <v>2.917356115</v>
      </c>
      <c r="H4596" s="2">
        <v>3.1496330000000002E-3</v>
      </c>
      <c r="I4596" s="2" t="s">
        <v>21396</v>
      </c>
      <c r="J4596" s="2" t="s">
        <v>21397</v>
      </c>
      <c r="K4596" s="2">
        <v>6.222633E-3</v>
      </c>
      <c r="L4596" s="2" t="s">
        <v>1178</v>
      </c>
      <c r="M4596" s="4" t="s">
        <v>21398</v>
      </c>
    </row>
    <row r="4597" spans="1:13">
      <c r="A4597" s="2">
        <v>43811</v>
      </c>
      <c r="B4597" s="2" t="s">
        <v>21399</v>
      </c>
      <c r="C4597" s="2">
        <v>10</v>
      </c>
      <c r="D4597" s="2">
        <v>556</v>
      </c>
      <c r="E4597" s="2">
        <v>199</v>
      </c>
      <c r="F4597" s="2">
        <v>32441</v>
      </c>
      <c r="G4597" s="2">
        <v>2.9320161960000002</v>
      </c>
      <c r="H4597" s="2">
        <v>3.0442400000000001E-3</v>
      </c>
      <c r="I4597" s="2" t="s">
        <v>21400</v>
      </c>
      <c r="J4597" s="2" t="s">
        <v>21401</v>
      </c>
      <c r="K4597" s="2">
        <v>6.222633E-3</v>
      </c>
      <c r="L4597" s="2" t="s">
        <v>1178</v>
      </c>
      <c r="M4597" s="4" t="s">
        <v>21402</v>
      </c>
    </row>
    <row r="4598" spans="1:13">
      <c r="A4598" s="2">
        <v>43841</v>
      </c>
      <c r="B4598" s="2" t="s">
        <v>21403</v>
      </c>
      <c r="C4598" s="2">
        <v>10</v>
      </c>
      <c r="D4598" s="2">
        <v>556</v>
      </c>
      <c r="E4598" s="2">
        <v>200</v>
      </c>
      <c r="F4598" s="2">
        <v>32441</v>
      </c>
      <c r="G4598" s="2">
        <v>2.917356115</v>
      </c>
      <c r="H4598" s="2">
        <v>3.1496330000000002E-3</v>
      </c>
      <c r="I4598" s="2" t="s">
        <v>21404</v>
      </c>
      <c r="J4598" s="2" t="s">
        <v>21405</v>
      </c>
      <c r="K4598" s="2">
        <v>6.222633E-3</v>
      </c>
      <c r="L4598" s="2" t="s">
        <v>1178</v>
      </c>
      <c r="M4598" s="4" t="s">
        <v>21406</v>
      </c>
    </row>
    <row r="4599" spans="1:13">
      <c r="A4599" s="2">
        <v>4408</v>
      </c>
      <c r="B4599" s="2" t="s">
        <v>21407</v>
      </c>
      <c r="C4599" s="2">
        <v>10</v>
      </c>
      <c r="D4599" s="2">
        <v>556</v>
      </c>
      <c r="E4599" s="2">
        <v>200</v>
      </c>
      <c r="F4599" s="2">
        <v>32441</v>
      </c>
      <c r="G4599" s="2">
        <v>2.917356115</v>
      </c>
      <c r="H4599" s="2">
        <v>3.1496330000000002E-3</v>
      </c>
      <c r="I4599" s="2" t="s">
        <v>21408</v>
      </c>
      <c r="J4599" s="2" t="s">
        <v>21409</v>
      </c>
      <c r="K4599" s="2">
        <v>6.222633E-3</v>
      </c>
      <c r="L4599" s="2" t="s">
        <v>1178</v>
      </c>
      <c r="M4599" s="4" t="s">
        <v>21410</v>
      </c>
    </row>
    <row r="4600" spans="1:13">
      <c r="A4600" s="2">
        <v>44282</v>
      </c>
      <c r="B4600" s="2" t="s">
        <v>21411</v>
      </c>
      <c r="C4600" s="2">
        <v>10</v>
      </c>
      <c r="D4600" s="2">
        <v>556</v>
      </c>
      <c r="E4600" s="2">
        <v>200</v>
      </c>
      <c r="F4600" s="2">
        <v>32441</v>
      </c>
      <c r="G4600" s="2">
        <v>2.917356115</v>
      </c>
      <c r="H4600" s="2">
        <v>3.1496330000000002E-3</v>
      </c>
      <c r="I4600" s="2" t="s">
        <v>21412</v>
      </c>
      <c r="J4600" s="2" t="s">
        <v>21413</v>
      </c>
      <c r="K4600" s="2">
        <v>6.222633E-3</v>
      </c>
      <c r="L4600" s="2" t="s">
        <v>1178</v>
      </c>
      <c r="M4600" s="4" t="s">
        <v>21414</v>
      </c>
    </row>
    <row r="4601" spans="1:13">
      <c r="A4601" s="2">
        <v>44491</v>
      </c>
      <c r="B4601" s="2" t="s">
        <v>21415</v>
      </c>
      <c r="C4601" s="2">
        <v>10</v>
      </c>
      <c r="D4601" s="2">
        <v>556</v>
      </c>
      <c r="E4601" s="2">
        <v>200</v>
      </c>
      <c r="F4601" s="2">
        <v>32441</v>
      </c>
      <c r="G4601" s="2">
        <v>2.917356115</v>
      </c>
      <c r="H4601" s="2">
        <v>3.1496330000000002E-3</v>
      </c>
      <c r="I4601" s="2" t="s">
        <v>21416</v>
      </c>
      <c r="J4601" s="2" t="s">
        <v>21417</v>
      </c>
      <c r="K4601" s="2">
        <v>6.222633E-3</v>
      </c>
      <c r="L4601" s="2" t="s">
        <v>1178</v>
      </c>
      <c r="M4601" s="4" t="s">
        <v>21418</v>
      </c>
    </row>
    <row r="4602" spans="1:13">
      <c r="A4602" s="2">
        <v>4463</v>
      </c>
      <c r="B4602" s="2" t="s">
        <v>3184</v>
      </c>
      <c r="C4602" s="2">
        <v>10</v>
      </c>
      <c r="D4602" s="2">
        <v>556</v>
      </c>
      <c r="E4602" s="2">
        <v>200</v>
      </c>
      <c r="F4602" s="2">
        <v>32441</v>
      </c>
      <c r="G4602" s="2">
        <v>2.917356115</v>
      </c>
      <c r="H4602" s="2">
        <v>3.1496330000000002E-3</v>
      </c>
      <c r="I4602" s="2" t="s">
        <v>21419</v>
      </c>
      <c r="J4602" s="2" t="s">
        <v>21420</v>
      </c>
      <c r="K4602" s="2">
        <v>6.222633E-3</v>
      </c>
      <c r="L4602" s="2" t="s">
        <v>1178</v>
      </c>
      <c r="M4602" s="4" t="s">
        <v>3187</v>
      </c>
    </row>
    <row r="4603" spans="1:13">
      <c r="A4603" s="2">
        <v>4469</v>
      </c>
      <c r="B4603" s="2" t="s">
        <v>21421</v>
      </c>
      <c r="C4603" s="2">
        <v>10</v>
      </c>
      <c r="D4603" s="2">
        <v>556</v>
      </c>
      <c r="E4603" s="2">
        <v>200</v>
      </c>
      <c r="F4603" s="2">
        <v>32441</v>
      </c>
      <c r="G4603" s="2">
        <v>2.917356115</v>
      </c>
      <c r="H4603" s="2">
        <v>3.1496330000000002E-3</v>
      </c>
      <c r="I4603" s="2" t="s">
        <v>21422</v>
      </c>
      <c r="J4603" s="2" t="s">
        <v>21423</v>
      </c>
      <c r="K4603" s="2">
        <v>6.222633E-3</v>
      </c>
      <c r="L4603" s="2" t="s">
        <v>1178</v>
      </c>
      <c r="M4603" s="4" t="s">
        <v>21424</v>
      </c>
    </row>
    <row r="4604" spans="1:13">
      <c r="A4604" s="2">
        <v>4481</v>
      </c>
      <c r="B4604" s="2" t="s">
        <v>21425</v>
      </c>
      <c r="C4604" s="2">
        <v>10</v>
      </c>
      <c r="D4604" s="2">
        <v>556</v>
      </c>
      <c r="E4604" s="2">
        <v>200</v>
      </c>
      <c r="F4604" s="2">
        <v>32441</v>
      </c>
      <c r="G4604" s="2">
        <v>2.917356115</v>
      </c>
      <c r="H4604" s="2">
        <v>3.1496330000000002E-3</v>
      </c>
      <c r="I4604" s="2" t="s">
        <v>21426</v>
      </c>
      <c r="J4604" s="2" t="s">
        <v>21427</v>
      </c>
      <c r="K4604" s="2">
        <v>6.222633E-3</v>
      </c>
      <c r="L4604" s="2" t="s">
        <v>1178</v>
      </c>
      <c r="M4604" s="4" t="s">
        <v>21428</v>
      </c>
    </row>
    <row r="4605" spans="1:13">
      <c r="A4605" s="2">
        <v>4488</v>
      </c>
      <c r="B4605" s="2" t="s">
        <v>21429</v>
      </c>
      <c r="C4605" s="2">
        <v>10</v>
      </c>
      <c r="D4605" s="2">
        <v>556</v>
      </c>
      <c r="E4605" s="2">
        <v>200</v>
      </c>
      <c r="F4605" s="2">
        <v>32441</v>
      </c>
      <c r="G4605" s="2">
        <v>2.917356115</v>
      </c>
      <c r="H4605" s="2">
        <v>3.1496330000000002E-3</v>
      </c>
      <c r="I4605" s="2" t="s">
        <v>21430</v>
      </c>
      <c r="J4605" s="2" t="s">
        <v>21431</v>
      </c>
      <c r="K4605" s="2">
        <v>6.222633E-3</v>
      </c>
      <c r="L4605" s="2" t="s">
        <v>1178</v>
      </c>
      <c r="M4605" s="4" t="s">
        <v>21432</v>
      </c>
    </row>
    <row r="4606" spans="1:13">
      <c r="A4606" s="2">
        <v>45351</v>
      </c>
      <c r="B4606" s="2" t="s">
        <v>21433</v>
      </c>
      <c r="C4606" s="2">
        <v>10</v>
      </c>
      <c r="D4606" s="2">
        <v>556</v>
      </c>
      <c r="E4606" s="2">
        <v>200</v>
      </c>
      <c r="F4606" s="2">
        <v>32441</v>
      </c>
      <c r="G4606" s="2">
        <v>2.917356115</v>
      </c>
      <c r="H4606" s="2">
        <v>3.1496330000000002E-3</v>
      </c>
      <c r="I4606" s="2" t="s">
        <v>21434</v>
      </c>
      <c r="J4606" s="2" t="s">
        <v>21435</v>
      </c>
      <c r="K4606" s="2">
        <v>6.222633E-3</v>
      </c>
      <c r="L4606" s="2" t="s">
        <v>1178</v>
      </c>
      <c r="M4606" s="4" t="s">
        <v>21436</v>
      </c>
    </row>
    <row r="4607" spans="1:13">
      <c r="A4607" s="2">
        <v>4547</v>
      </c>
      <c r="B4607" s="2" t="s">
        <v>1182</v>
      </c>
      <c r="C4607" s="2">
        <v>10</v>
      </c>
      <c r="D4607" s="2">
        <v>556</v>
      </c>
      <c r="E4607" s="2">
        <v>200</v>
      </c>
      <c r="F4607" s="2">
        <v>32441</v>
      </c>
      <c r="G4607" s="2">
        <v>2.917356115</v>
      </c>
      <c r="H4607" s="2">
        <v>3.1496330000000002E-3</v>
      </c>
      <c r="I4607" s="2" t="s">
        <v>21437</v>
      </c>
      <c r="J4607" s="2" t="s">
        <v>21438</v>
      </c>
      <c r="K4607" s="2">
        <v>6.222633E-3</v>
      </c>
      <c r="L4607" s="2" t="s">
        <v>1178</v>
      </c>
      <c r="M4607" s="4" t="s">
        <v>21439</v>
      </c>
    </row>
    <row r="4608" spans="1:13">
      <c r="A4608" s="2">
        <v>4564</v>
      </c>
      <c r="B4608" s="2" t="s">
        <v>21440</v>
      </c>
      <c r="C4608" s="2">
        <v>10</v>
      </c>
      <c r="D4608" s="2">
        <v>556</v>
      </c>
      <c r="E4608" s="2">
        <v>200</v>
      </c>
      <c r="F4608" s="2">
        <v>32441</v>
      </c>
      <c r="G4608" s="2">
        <v>2.917356115</v>
      </c>
      <c r="H4608" s="2">
        <v>3.1496330000000002E-3</v>
      </c>
      <c r="I4608" s="2" t="s">
        <v>21441</v>
      </c>
      <c r="J4608" s="2" t="s">
        <v>21442</v>
      </c>
      <c r="K4608" s="2">
        <v>6.222633E-3</v>
      </c>
      <c r="L4608" s="2" t="s">
        <v>1178</v>
      </c>
      <c r="M4608" s="4" t="s">
        <v>21443</v>
      </c>
    </row>
    <row r="4609" spans="1:13">
      <c r="A4609" s="2">
        <v>4594</v>
      </c>
      <c r="B4609" s="2" t="s">
        <v>21444</v>
      </c>
      <c r="C4609" s="2">
        <v>10</v>
      </c>
      <c r="D4609" s="2">
        <v>556</v>
      </c>
      <c r="E4609" s="2">
        <v>200</v>
      </c>
      <c r="F4609" s="2">
        <v>32441</v>
      </c>
      <c r="G4609" s="2">
        <v>2.917356115</v>
      </c>
      <c r="H4609" s="2">
        <v>3.1496330000000002E-3</v>
      </c>
      <c r="I4609" s="2" t="s">
        <v>21445</v>
      </c>
      <c r="J4609" s="2" t="s">
        <v>21446</v>
      </c>
      <c r="K4609" s="2">
        <v>6.222633E-3</v>
      </c>
      <c r="L4609" s="2" t="s">
        <v>1178</v>
      </c>
      <c r="M4609" s="4" t="s">
        <v>21447</v>
      </c>
    </row>
    <row r="4610" spans="1:13">
      <c r="A4610" s="2">
        <v>4613</v>
      </c>
      <c r="B4610" s="2" t="s">
        <v>21448</v>
      </c>
      <c r="C4610" s="2">
        <v>10</v>
      </c>
      <c r="D4610" s="2">
        <v>556</v>
      </c>
      <c r="E4610" s="2">
        <v>200</v>
      </c>
      <c r="F4610" s="2">
        <v>32441</v>
      </c>
      <c r="G4610" s="2">
        <v>2.917356115</v>
      </c>
      <c r="H4610" s="2">
        <v>3.1496330000000002E-3</v>
      </c>
      <c r="I4610" s="2" t="s">
        <v>21449</v>
      </c>
      <c r="J4610" s="2" t="s">
        <v>21450</v>
      </c>
      <c r="K4610" s="2">
        <v>6.222633E-3</v>
      </c>
      <c r="L4610" s="2" t="s">
        <v>1178</v>
      </c>
      <c r="M4610" s="4" t="s">
        <v>21451</v>
      </c>
    </row>
    <row r="4611" spans="1:13">
      <c r="A4611" s="2">
        <v>4632</v>
      </c>
      <c r="B4611" s="2" t="s">
        <v>21452</v>
      </c>
      <c r="C4611" s="2">
        <v>10</v>
      </c>
      <c r="D4611" s="2">
        <v>556</v>
      </c>
      <c r="E4611" s="2">
        <v>200</v>
      </c>
      <c r="F4611" s="2">
        <v>32441</v>
      </c>
      <c r="G4611" s="2">
        <v>2.917356115</v>
      </c>
      <c r="H4611" s="2">
        <v>3.1496330000000002E-3</v>
      </c>
      <c r="I4611" s="2" t="s">
        <v>21453</v>
      </c>
      <c r="J4611" s="2" t="s">
        <v>21454</v>
      </c>
      <c r="K4611" s="2">
        <v>6.222633E-3</v>
      </c>
      <c r="L4611" s="2" t="s">
        <v>1178</v>
      </c>
      <c r="M4611" s="4" t="s">
        <v>21455</v>
      </c>
    </row>
    <row r="4612" spans="1:13">
      <c r="A4612" s="2">
        <v>4672</v>
      </c>
      <c r="B4612" s="2" t="s">
        <v>21456</v>
      </c>
      <c r="C4612" s="2">
        <v>10</v>
      </c>
      <c r="D4612" s="2">
        <v>556</v>
      </c>
      <c r="E4612" s="2">
        <v>200</v>
      </c>
      <c r="F4612" s="2">
        <v>32441</v>
      </c>
      <c r="G4612" s="2">
        <v>2.917356115</v>
      </c>
      <c r="H4612" s="2">
        <v>3.1496330000000002E-3</v>
      </c>
      <c r="I4612" s="2" t="s">
        <v>21457</v>
      </c>
      <c r="J4612" s="2" t="s">
        <v>21458</v>
      </c>
      <c r="K4612" s="2">
        <v>6.222633E-3</v>
      </c>
      <c r="L4612" s="2" t="s">
        <v>1178</v>
      </c>
      <c r="M4612" s="4" t="s">
        <v>21459</v>
      </c>
    </row>
    <row r="4613" spans="1:13">
      <c r="A4613" s="2">
        <v>4679</v>
      </c>
      <c r="B4613" s="2" t="s">
        <v>21460</v>
      </c>
      <c r="C4613" s="2">
        <v>10</v>
      </c>
      <c r="D4613" s="2">
        <v>556</v>
      </c>
      <c r="E4613" s="2">
        <v>200</v>
      </c>
      <c r="F4613" s="2">
        <v>32441</v>
      </c>
      <c r="G4613" s="2">
        <v>2.917356115</v>
      </c>
      <c r="H4613" s="2">
        <v>3.1496330000000002E-3</v>
      </c>
      <c r="I4613" s="2" t="s">
        <v>21461</v>
      </c>
      <c r="J4613" s="2" t="s">
        <v>21462</v>
      </c>
      <c r="K4613" s="2">
        <v>6.222633E-3</v>
      </c>
      <c r="L4613" s="2" t="s">
        <v>1178</v>
      </c>
      <c r="M4613" s="4" t="s">
        <v>21463</v>
      </c>
    </row>
    <row r="4614" spans="1:13">
      <c r="A4614" s="2">
        <v>4735</v>
      </c>
      <c r="B4614" s="2" t="s">
        <v>21464</v>
      </c>
      <c r="C4614" s="2">
        <v>10</v>
      </c>
      <c r="D4614" s="2">
        <v>556</v>
      </c>
      <c r="E4614" s="2">
        <v>200</v>
      </c>
      <c r="F4614" s="2">
        <v>32441</v>
      </c>
      <c r="G4614" s="2">
        <v>2.917356115</v>
      </c>
      <c r="H4614" s="2">
        <v>3.1496330000000002E-3</v>
      </c>
      <c r="I4614" s="2" t="s">
        <v>21465</v>
      </c>
      <c r="J4614" s="2" t="s">
        <v>21466</v>
      </c>
      <c r="K4614" s="2">
        <v>6.222633E-3</v>
      </c>
      <c r="L4614" s="2" t="s">
        <v>1178</v>
      </c>
      <c r="M4614" s="4" t="s">
        <v>21467</v>
      </c>
    </row>
    <row r="4615" spans="1:13">
      <c r="A4615" s="2">
        <v>47421</v>
      </c>
      <c r="B4615" s="2" t="s">
        <v>21468</v>
      </c>
      <c r="C4615" s="2">
        <v>10</v>
      </c>
      <c r="D4615" s="2">
        <v>556</v>
      </c>
      <c r="E4615" s="2">
        <v>200</v>
      </c>
      <c r="F4615" s="2">
        <v>32441</v>
      </c>
      <c r="G4615" s="2">
        <v>2.917356115</v>
      </c>
      <c r="H4615" s="2">
        <v>3.1496330000000002E-3</v>
      </c>
      <c r="I4615" s="2" t="s">
        <v>21469</v>
      </c>
      <c r="J4615" s="2" t="s">
        <v>21470</v>
      </c>
      <c r="K4615" s="2">
        <v>6.222633E-3</v>
      </c>
      <c r="L4615" s="2" t="s">
        <v>1178</v>
      </c>
      <c r="M4615" s="4" t="s">
        <v>21471</v>
      </c>
    </row>
    <row r="4616" spans="1:13">
      <c r="A4616" s="2">
        <v>4759</v>
      </c>
      <c r="B4616" s="2" t="s">
        <v>21472</v>
      </c>
      <c r="C4616" s="2">
        <v>10</v>
      </c>
      <c r="D4616" s="2">
        <v>556</v>
      </c>
      <c r="E4616" s="2">
        <v>197</v>
      </c>
      <c r="F4616" s="2">
        <v>32441</v>
      </c>
      <c r="G4616" s="2">
        <v>2.9617828579999999</v>
      </c>
      <c r="H4616" s="2">
        <v>2.8418919999999999E-3</v>
      </c>
      <c r="I4616" s="2" t="s">
        <v>21473</v>
      </c>
      <c r="J4616" s="2" t="s">
        <v>21474</v>
      </c>
      <c r="K4616" s="2">
        <v>6.222633E-3</v>
      </c>
      <c r="L4616" s="2" t="s">
        <v>1178</v>
      </c>
      <c r="M4616" s="4" t="s">
        <v>21475</v>
      </c>
    </row>
    <row r="4617" spans="1:13">
      <c r="A4617" s="2">
        <v>1753</v>
      </c>
      <c r="B4617" s="2" t="s">
        <v>21476</v>
      </c>
      <c r="C4617" s="2">
        <v>9</v>
      </c>
      <c r="D4617" s="2">
        <v>556</v>
      </c>
      <c r="E4617" s="2">
        <v>169</v>
      </c>
      <c r="F4617" s="2">
        <v>32441</v>
      </c>
      <c r="G4617" s="2">
        <v>3.1072432000000001</v>
      </c>
      <c r="H4617" s="2">
        <v>3.3622249999999999E-3</v>
      </c>
      <c r="I4617" s="2" t="s">
        <v>21477</v>
      </c>
      <c r="J4617" s="2" t="s">
        <v>21478</v>
      </c>
      <c r="K4617" s="2">
        <v>6.6399520000000002E-3</v>
      </c>
      <c r="L4617" s="2" t="s">
        <v>1178</v>
      </c>
      <c r="M4617" s="4" t="s">
        <v>21479</v>
      </c>
    </row>
    <row r="4618" spans="1:13">
      <c r="A4618" s="2">
        <v>41201</v>
      </c>
      <c r="B4618" s="2" t="s">
        <v>21480</v>
      </c>
      <c r="C4618" s="2">
        <v>9</v>
      </c>
      <c r="D4618" s="2">
        <v>556</v>
      </c>
      <c r="E4618" s="2">
        <v>171</v>
      </c>
      <c r="F4618" s="2">
        <v>32441</v>
      </c>
      <c r="G4618" s="2">
        <v>3.0709011739999998</v>
      </c>
      <c r="H4618" s="2">
        <v>3.6191539999999999E-3</v>
      </c>
      <c r="I4618" s="2" t="s">
        <v>21481</v>
      </c>
      <c r="J4618" s="2" t="s">
        <v>21482</v>
      </c>
      <c r="K4618" s="2">
        <v>7.1444560000000004E-3</v>
      </c>
      <c r="L4618" s="2" t="s">
        <v>1178</v>
      </c>
      <c r="M4618" s="4" t="s">
        <v>21483</v>
      </c>
    </row>
    <row r="4619" spans="1:13">
      <c r="A4619" s="2">
        <v>4263</v>
      </c>
      <c r="B4619" s="2" t="s">
        <v>21484</v>
      </c>
      <c r="C4619" s="2">
        <v>8</v>
      </c>
      <c r="D4619" s="2">
        <v>556</v>
      </c>
      <c r="E4619" s="2">
        <v>140</v>
      </c>
      <c r="F4619" s="2">
        <v>32441</v>
      </c>
      <c r="G4619" s="2">
        <v>3.3341212740000001</v>
      </c>
      <c r="H4619" s="2">
        <v>3.7270269999999999E-3</v>
      </c>
      <c r="I4619" s="2" t="s">
        <v>21485</v>
      </c>
      <c r="J4619" s="2" t="s">
        <v>21486</v>
      </c>
      <c r="K4619" s="2">
        <v>7.3544250000000004E-3</v>
      </c>
      <c r="L4619" s="2" t="s">
        <v>1178</v>
      </c>
      <c r="M4619" s="4" t="s">
        <v>21487</v>
      </c>
    </row>
    <row r="4620" spans="1:13">
      <c r="A4620" s="2">
        <v>2546</v>
      </c>
      <c r="B4620" s="2" t="s">
        <v>21488</v>
      </c>
      <c r="C4620" s="2">
        <v>9</v>
      </c>
      <c r="D4620" s="2">
        <v>556</v>
      </c>
      <c r="E4620" s="2">
        <v>174</v>
      </c>
      <c r="F4620" s="2">
        <v>32441</v>
      </c>
      <c r="G4620" s="2">
        <v>3.0179546020000001</v>
      </c>
      <c r="H4620" s="2">
        <v>4.0331459999999996E-3</v>
      </c>
      <c r="I4620" s="2" t="s">
        <v>21489</v>
      </c>
      <c r="J4620" s="2" t="s">
        <v>21490</v>
      </c>
      <c r="K4620" s="2">
        <v>7.9552570000000003E-3</v>
      </c>
      <c r="L4620" s="2" t="s">
        <v>1178</v>
      </c>
      <c r="M4620" s="4" t="s">
        <v>21491</v>
      </c>
    </row>
    <row r="4621" spans="1:13">
      <c r="A4621" s="2">
        <v>4079</v>
      </c>
      <c r="B4621" s="2" t="s">
        <v>21492</v>
      </c>
      <c r="C4621" s="2">
        <v>9</v>
      </c>
      <c r="D4621" s="2">
        <v>556</v>
      </c>
      <c r="E4621" s="2">
        <v>177</v>
      </c>
      <c r="F4621" s="2">
        <v>32441</v>
      </c>
      <c r="G4621" s="2">
        <v>2.9668028290000001</v>
      </c>
      <c r="H4621" s="2">
        <v>4.4832630000000004E-3</v>
      </c>
      <c r="I4621" s="2" t="s">
        <v>21493</v>
      </c>
      <c r="J4621" s="2" t="s">
        <v>21494</v>
      </c>
      <c r="K4621" s="2">
        <v>8.8395209999999995E-3</v>
      </c>
      <c r="L4621" s="2" t="s">
        <v>1178</v>
      </c>
      <c r="M4621" s="4" t="s">
        <v>21495</v>
      </c>
    </row>
    <row r="4622" spans="1:13">
      <c r="A4622" s="2">
        <v>2457</v>
      </c>
      <c r="B4622" s="2" t="s">
        <v>21496</v>
      </c>
      <c r="C4622" s="2">
        <v>8</v>
      </c>
      <c r="D4622" s="2">
        <v>556</v>
      </c>
      <c r="E4622" s="2">
        <v>145</v>
      </c>
      <c r="F4622" s="2">
        <v>32441</v>
      </c>
      <c r="G4622" s="2">
        <v>3.2191515750000002</v>
      </c>
      <c r="H4622" s="2">
        <v>4.5518750000000004E-3</v>
      </c>
      <c r="I4622" s="2" t="s">
        <v>21497</v>
      </c>
      <c r="J4622" s="2" t="s">
        <v>21498</v>
      </c>
      <c r="K4622" s="2">
        <v>8.9639190000000007E-3</v>
      </c>
      <c r="L4622" s="2" t="s">
        <v>1178</v>
      </c>
      <c r="M4622" s="4" t="s">
        <v>21499</v>
      </c>
    </row>
    <row r="4623" spans="1:13">
      <c r="A4623" s="2">
        <v>2660</v>
      </c>
      <c r="B4623" s="2" t="s">
        <v>21500</v>
      </c>
      <c r="C4623" s="2">
        <v>8</v>
      </c>
      <c r="D4623" s="2">
        <v>556</v>
      </c>
      <c r="E4623" s="2">
        <v>145</v>
      </c>
      <c r="F4623" s="2">
        <v>32441</v>
      </c>
      <c r="G4623" s="2">
        <v>3.2191515750000002</v>
      </c>
      <c r="H4623" s="2">
        <v>4.5518750000000004E-3</v>
      </c>
      <c r="I4623" s="2" t="s">
        <v>21501</v>
      </c>
      <c r="J4623" s="2" t="s">
        <v>21502</v>
      </c>
      <c r="K4623" s="2">
        <v>8.9639190000000007E-3</v>
      </c>
      <c r="L4623" s="2" t="s">
        <v>1178</v>
      </c>
      <c r="M4623" s="4" t="s">
        <v>21503</v>
      </c>
    </row>
    <row r="4624" spans="1:13">
      <c r="A4624" s="2">
        <v>2678</v>
      </c>
      <c r="B4624" s="2" t="s">
        <v>21504</v>
      </c>
      <c r="C4624" s="2">
        <v>8</v>
      </c>
      <c r="D4624" s="2">
        <v>556</v>
      </c>
      <c r="E4624" s="2">
        <v>145</v>
      </c>
      <c r="F4624" s="2">
        <v>32441</v>
      </c>
      <c r="G4624" s="2">
        <v>3.2191515750000002</v>
      </c>
      <c r="H4624" s="2">
        <v>4.5518750000000004E-3</v>
      </c>
      <c r="I4624" s="2" t="s">
        <v>21505</v>
      </c>
      <c r="J4624" s="2" t="s">
        <v>21506</v>
      </c>
      <c r="K4624" s="2">
        <v>8.9639190000000007E-3</v>
      </c>
      <c r="L4624" s="2" t="s">
        <v>1178</v>
      </c>
      <c r="M4624" s="4" t="s">
        <v>21507</v>
      </c>
    </row>
    <row r="4625" spans="1:13">
      <c r="A4625" s="2">
        <v>40101</v>
      </c>
      <c r="B4625" s="2" t="s">
        <v>21508</v>
      </c>
      <c r="C4625" s="2">
        <v>8</v>
      </c>
      <c r="D4625" s="2">
        <v>556</v>
      </c>
      <c r="E4625" s="2">
        <v>146</v>
      </c>
      <c r="F4625" s="2">
        <v>32441</v>
      </c>
      <c r="G4625" s="2">
        <v>3.1971025919999998</v>
      </c>
      <c r="H4625" s="2">
        <v>4.7324430000000002E-3</v>
      </c>
      <c r="I4625" s="2" t="s">
        <v>21509</v>
      </c>
      <c r="J4625" s="2" t="s">
        <v>21510</v>
      </c>
      <c r="K4625" s="2">
        <v>9.3157420000000001E-3</v>
      </c>
      <c r="L4625" s="2" t="s">
        <v>1178</v>
      </c>
      <c r="M4625" s="4" t="s">
        <v>21511</v>
      </c>
    </row>
    <row r="4626" spans="1:13">
      <c r="A4626" s="2">
        <v>2465</v>
      </c>
      <c r="B4626" s="2" t="s">
        <v>21512</v>
      </c>
      <c r="C4626" s="2">
        <v>8</v>
      </c>
      <c r="D4626" s="2">
        <v>556</v>
      </c>
      <c r="E4626" s="2">
        <v>147</v>
      </c>
      <c r="F4626" s="2">
        <v>32441</v>
      </c>
      <c r="G4626" s="2">
        <v>3.1753535949999998</v>
      </c>
      <c r="H4626" s="2">
        <v>4.9184529999999997E-3</v>
      </c>
      <c r="I4626" s="2" t="s">
        <v>21513</v>
      </c>
      <c r="J4626" s="2" t="s">
        <v>21514</v>
      </c>
      <c r="K4626" s="2">
        <v>9.6779899999999992E-3</v>
      </c>
      <c r="L4626" s="2" t="s">
        <v>1178</v>
      </c>
      <c r="M4626" s="4" t="s">
        <v>21515</v>
      </c>
    </row>
    <row r="4627" spans="1:13">
      <c r="A4627" s="2">
        <v>2799</v>
      </c>
      <c r="B4627" s="2" t="s">
        <v>21516</v>
      </c>
      <c r="C4627" s="2">
        <v>9</v>
      </c>
      <c r="D4627" s="2">
        <v>556</v>
      </c>
      <c r="E4627" s="2">
        <v>180</v>
      </c>
      <c r="F4627" s="2">
        <v>32441</v>
      </c>
      <c r="G4627" s="2">
        <v>2.917356115</v>
      </c>
      <c r="H4627" s="2">
        <v>4.9715749999999998E-3</v>
      </c>
      <c r="I4627" s="2" t="s">
        <v>21517</v>
      </c>
      <c r="J4627" s="2" t="s">
        <v>21518</v>
      </c>
      <c r="K4627" s="2">
        <v>9.7785679999999996E-3</v>
      </c>
      <c r="L4627" s="2" t="s">
        <v>1178</v>
      </c>
      <c r="M4627" s="4" t="s">
        <v>21519</v>
      </c>
    </row>
    <row r="4628" spans="1:13">
      <c r="A4628" s="2">
        <v>2178</v>
      </c>
      <c r="B4628" s="2" t="s">
        <v>21520</v>
      </c>
      <c r="C4628" s="2">
        <v>8</v>
      </c>
      <c r="D4628" s="2">
        <v>556</v>
      </c>
      <c r="E4628" s="2">
        <v>148</v>
      </c>
      <c r="F4628" s="2">
        <v>32441</v>
      </c>
      <c r="G4628" s="2">
        <v>3.1538985030000002</v>
      </c>
      <c r="H4628" s="2">
        <v>5.1100099999999999E-3</v>
      </c>
      <c r="I4628" s="2" t="s">
        <v>21521</v>
      </c>
      <c r="J4628" s="2" t="s">
        <v>21522</v>
      </c>
      <c r="K4628" s="2">
        <v>1.00468E-2</v>
      </c>
      <c r="L4628" s="2" t="s">
        <v>1178</v>
      </c>
      <c r="M4628" s="4" t="s">
        <v>21523</v>
      </c>
    </row>
    <row r="4629" spans="1:13">
      <c r="A4629" s="2">
        <v>28131</v>
      </c>
      <c r="B4629" s="2" t="s">
        <v>21524</v>
      </c>
      <c r="C4629" s="2">
        <v>9</v>
      </c>
      <c r="D4629" s="2">
        <v>556</v>
      </c>
      <c r="E4629" s="2">
        <v>181</v>
      </c>
      <c r="F4629" s="2">
        <v>32441</v>
      </c>
      <c r="G4629" s="2">
        <v>2.901238126</v>
      </c>
      <c r="H4629" s="2">
        <v>5.1431960000000001E-3</v>
      </c>
      <c r="I4629" s="2" t="s">
        <v>21525</v>
      </c>
      <c r="J4629" s="2" t="s">
        <v>21526</v>
      </c>
      <c r="K4629" s="2">
        <v>1.0107968E-2</v>
      </c>
      <c r="L4629" s="2" t="s">
        <v>1178</v>
      </c>
      <c r="M4629" s="4" t="s">
        <v>21527</v>
      </c>
    </row>
    <row r="4630" spans="1:13">
      <c r="A4630" s="2">
        <v>33071</v>
      </c>
      <c r="B4630" s="2" t="s">
        <v>21528</v>
      </c>
      <c r="C4630" s="2">
        <v>8</v>
      </c>
      <c r="D4630" s="2">
        <v>556</v>
      </c>
      <c r="E4630" s="2">
        <v>149</v>
      </c>
      <c r="F4630" s="2">
        <v>32441</v>
      </c>
      <c r="G4630" s="2">
        <v>3.1327313989999999</v>
      </c>
      <c r="H4630" s="2">
        <v>5.3072199999999996E-3</v>
      </c>
      <c r="I4630" s="2" t="s">
        <v>21529</v>
      </c>
      <c r="J4630" s="2" t="s">
        <v>21530</v>
      </c>
      <c r="K4630" s="2">
        <v>1.0426118999999999E-2</v>
      </c>
      <c r="L4630" s="2" t="s">
        <v>1178</v>
      </c>
      <c r="M4630" s="4" t="s">
        <v>21531</v>
      </c>
    </row>
    <row r="4631" spans="1:13">
      <c r="A4631" s="2">
        <v>26821</v>
      </c>
      <c r="B4631" s="2" t="s">
        <v>21532</v>
      </c>
      <c r="C4631" s="2">
        <v>9</v>
      </c>
      <c r="D4631" s="2">
        <v>556</v>
      </c>
      <c r="E4631" s="2">
        <v>182</v>
      </c>
      <c r="F4631" s="2">
        <v>32441</v>
      </c>
      <c r="G4631" s="2">
        <v>2.8852972569999999</v>
      </c>
      <c r="H4631" s="2">
        <v>5.3193750000000003E-3</v>
      </c>
      <c r="I4631" s="2" t="s">
        <v>21533</v>
      </c>
      <c r="J4631" s="2" t="s">
        <v>21534</v>
      </c>
      <c r="K4631" s="2">
        <v>1.0445785000000001E-2</v>
      </c>
      <c r="L4631" s="2" t="s">
        <v>1178</v>
      </c>
      <c r="M4631" s="4" t="s">
        <v>21535</v>
      </c>
    </row>
    <row r="4632" spans="1:13">
      <c r="A4632" s="2">
        <v>41011</v>
      </c>
      <c r="B4632" s="2" t="s">
        <v>21536</v>
      </c>
      <c r="C4632" s="2">
        <v>7</v>
      </c>
      <c r="D4632" s="2">
        <v>556</v>
      </c>
      <c r="E4632" s="2">
        <v>118</v>
      </c>
      <c r="F4632" s="2">
        <v>32441</v>
      </c>
      <c r="G4632" s="2">
        <v>3.4612699669999998</v>
      </c>
      <c r="H4632" s="2">
        <v>5.374612E-3</v>
      </c>
      <c r="I4632" s="2" t="s">
        <v>21537</v>
      </c>
      <c r="J4632" s="2" t="s">
        <v>21538</v>
      </c>
      <c r="K4632" s="2">
        <v>1.0550003000000001E-2</v>
      </c>
      <c r="L4632" s="2" t="s">
        <v>1178</v>
      </c>
      <c r="M4632" s="4" t="s">
        <v>21539</v>
      </c>
    </row>
    <row r="4633" spans="1:13">
      <c r="A4633" s="2">
        <v>41531</v>
      </c>
      <c r="B4633" s="2" t="s">
        <v>21540</v>
      </c>
      <c r="C4633" s="2">
        <v>8</v>
      </c>
      <c r="D4633" s="2">
        <v>556</v>
      </c>
      <c r="E4633" s="2">
        <v>150</v>
      </c>
      <c r="F4633" s="2">
        <v>32441</v>
      </c>
      <c r="G4633" s="2">
        <v>3.1118465230000001</v>
      </c>
      <c r="H4633" s="2">
        <v>5.5101890000000004E-3</v>
      </c>
      <c r="I4633" s="2" t="s">
        <v>21541</v>
      </c>
      <c r="J4633" s="2" t="s">
        <v>21542</v>
      </c>
      <c r="K4633" s="2">
        <v>1.0811776E-2</v>
      </c>
      <c r="L4633" s="2" t="s">
        <v>1178</v>
      </c>
      <c r="M4633" s="4" t="s">
        <v>21543</v>
      </c>
    </row>
    <row r="4634" spans="1:13">
      <c r="A4634" s="2">
        <v>4092</v>
      </c>
      <c r="B4634" s="2" t="s">
        <v>21544</v>
      </c>
      <c r="C4634" s="2">
        <v>8</v>
      </c>
      <c r="D4634" s="2">
        <v>556</v>
      </c>
      <c r="E4634" s="2">
        <v>151</v>
      </c>
      <c r="F4634" s="2">
        <v>32441</v>
      </c>
      <c r="G4634" s="2">
        <v>3.0912382680000001</v>
      </c>
      <c r="H4634" s="2">
        <v>5.7190219999999998E-3</v>
      </c>
      <c r="I4634" s="2" t="s">
        <v>21545</v>
      </c>
      <c r="J4634" s="2" t="s">
        <v>21546</v>
      </c>
      <c r="K4634" s="2">
        <v>1.1217019999999999E-2</v>
      </c>
      <c r="L4634" s="2" t="s">
        <v>1178</v>
      </c>
      <c r="M4634" s="4" t="s">
        <v>21547</v>
      </c>
    </row>
    <row r="4635" spans="1:13">
      <c r="A4635" s="2">
        <v>2185</v>
      </c>
      <c r="B4635" s="2" t="s">
        <v>21548</v>
      </c>
      <c r="C4635" s="2">
        <v>8</v>
      </c>
      <c r="D4635" s="2">
        <v>556</v>
      </c>
      <c r="E4635" s="2">
        <v>152</v>
      </c>
      <c r="F4635" s="2">
        <v>32441</v>
      </c>
      <c r="G4635" s="2">
        <v>3.0709011739999998</v>
      </c>
      <c r="H4635" s="2">
        <v>5.9338280000000004E-3</v>
      </c>
      <c r="I4635" s="2" t="s">
        <v>21549</v>
      </c>
      <c r="J4635" s="2" t="s">
        <v>21550</v>
      </c>
      <c r="K4635" s="2">
        <v>1.1633645999999999E-2</v>
      </c>
      <c r="L4635" s="2" t="s">
        <v>1178</v>
      </c>
      <c r="M4635" s="4" t="s">
        <v>21551</v>
      </c>
    </row>
    <row r="4636" spans="1:13">
      <c r="A4636" s="2">
        <v>4024</v>
      </c>
      <c r="B4636" s="2" t="s">
        <v>21552</v>
      </c>
      <c r="C4636" s="2">
        <v>8</v>
      </c>
      <c r="D4636" s="2">
        <v>556</v>
      </c>
      <c r="E4636" s="2">
        <v>153</v>
      </c>
      <c r="F4636" s="2">
        <v>32441</v>
      </c>
      <c r="G4636" s="2">
        <v>3.0508299239999999</v>
      </c>
      <c r="H4636" s="2">
        <v>6.1547119999999997E-3</v>
      </c>
      <c r="I4636" s="2" t="s">
        <v>21553</v>
      </c>
      <c r="J4636" s="2" t="s">
        <v>21554</v>
      </c>
      <c r="K4636" s="2">
        <v>1.2057E-2</v>
      </c>
      <c r="L4636" s="2" t="s">
        <v>1178</v>
      </c>
      <c r="M4636" s="4" t="s">
        <v>21555</v>
      </c>
    </row>
    <row r="4637" spans="1:13">
      <c r="A4637" s="2">
        <v>40251</v>
      </c>
      <c r="B4637" s="2" t="s">
        <v>21556</v>
      </c>
      <c r="C4637" s="2">
        <v>8</v>
      </c>
      <c r="D4637" s="2">
        <v>556</v>
      </c>
      <c r="E4637" s="2">
        <v>153</v>
      </c>
      <c r="F4637" s="2">
        <v>32441</v>
      </c>
      <c r="G4637" s="2">
        <v>3.0508299239999999</v>
      </c>
      <c r="H4637" s="2">
        <v>6.1547119999999997E-3</v>
      </c>
      <c r="I4637" s="2" t="s">
        <v>21557</v>
      </c>
      <c r="J4637" s="2" t="s">
        <v>21558</v>
      </c>
      <c r="K4637" s="2">
        <v>1.2057E-2</v>
      </c>
      <c r="L4637" s="2" t="s">
        <v>1178</v>
      </c>
      <c r="M4637" s="4" t="s">
        <v>21559</v>
      </c>
    </row>
    <row r="4638" spans="1:13">
      <c r="A4638" s="2">
        <v>4854</v>
      </c>
      <c r="B4638" s="2" t="s">
        <v>21560</v>
      </c>
      <c r="C4638" s="2">
        <v>9</v>
      </c>
      <c r="D4638" s="2">
        <v>556</v>
      </c>
      <c r="E4638" s="2">
        <v>188</v>
      </c>
      <c r="F4638" s="2">
        <v>32441</v>
      </c>
      <c r="G4638" s="2">
        <v>2.7932133019999998</v>
      </c>
      <c r="H4638" s="2">
        <v>6.4765939999999996E-3</v>
      </c>
      <c r="I4638" s="2" t="s">
        <v>21561</v>
      </c>
      <c r="J4638" s="2" t="s">
        <v>21562</v>
      </c>
      <c r="K4638" s="2">
        <v>1.2682462E-2</v>
      </c>
      <c r="L4638" s="2" t="s">
        <v>1178</v>
      </c>
      <c r="M4638" s="4" t="s">
        <v>21563</v>
      </c>
    </row>
    <row r="4639" spans="1:13">
      <c r="A4639" s="2">
        <v>2681</v>
      </c>
      <c r="B4639" s="2" t="s">
        <v>21564</v>
      </c>
      <c r="C4639" s="2">
        <v>8</v>
      </c>
      <c r="D4639" s="2">
        <v>556</v>
      </c>
      <c r="E4639" s="2">
        <v>156</v>
      </c>
      <c r="F4639" s="2">
        <v>32441</v>
      </c>
      <c r="G4639" s="2">
        <v>2.9921601180000001</v>
      </c>
      <c r="H4639" s="2">
        <v>6.8549149999999996E-3</v>
      </c>
      <c r="I4639" s="2" t="s">
        <v>21565</v>
      </c>
      <c r="J4639" s="2" t="s">
        <v>21566</v>
      </c>
      <c r="K4639" s="2">
        <v>1.3417896E-2</v>
      </c>
      <c r="L4639" s="2" t="s">
        <v>1178</v>
      </c>
      <c r="M4639" s="4" t="s">
        <v>21567</v>
      </c>
    </row>
    <row r="4640" spans="1:13">
      <c r="A4640" s="2">
        <v>2538</v>
      </c>
      <c r="B4640" s="2" t="s">
        <v>21568</v>
      </c>
      <c r="C4640" s="2">
        <v>8</v>
      </c>
      <c r="D4640" s="2">
        <v>556</v>
      </c>
      <c r="E4640" s="2">
        <v>157</v>
      </c>
      <c r="F4640" s="2">
        <v>32441</v>
      </c>
      <c r="G4640" s="2">
        <v>2.9731017729999998</v>
      </c>
      <c r="H4640" s="2">
        <v>7.1011909999999998E-3</v>
      </c>
      <c r="I4640" s="2" t="s">
        <v>21569</v>
      </c>
      <c r="J4640" s="2" t="s">
        <v>21570</v>
      </c>
      <c r="K4640" s="2">
        <v>1.3888800999999999E-2</v>
      </c>
      <c r="L4640" s="2" t="s">
        <v>1178</v>
      </c>
      <c r="M4640" s="4" t="s">
        <v>21571</v>
      </c>
    </row>
    <row r="4641" spans="1:13">
      <c r="A4641" s="2">
        <v>2819</v>
      </c>
      <c r="B4641" s="2" t="s">
        <v>21572</v>
      </c>
      <c r="C4641" s="2">
        <v>8</v>
      </c>
      <c r="D4641" s="2">
        <v>556</v>
      </c>
      <c r="E4641" s="2">
        <v>157</v>
      </c>
      <c r="F4641" s="2">
        <v>32441</v>
      </c>
      <c r="G4641" s="2">
        <v>2.9731017729999998</v>
      </c>
      <c r="H4641" s="2">
        <v>7.1011909999999998E-3</v>
      </c>
      <c r="I4641" s="2" t="s">
        <v>21573</v>
      </c>
      <c r="J4641" s="2" t="s">
        <v>21574</v>
      </c>
      <c r="K4641" s="2">
        <v>1.3888800999999999E-2</v>
      </c>
      <c r="L4641" s="2" t="s">
        <v>1178</v>
      </c>
      <c r="M4641" s="4" t="s">
        <v>21575</v>
      </c>
    </row>
    <row r="4642" spans="1:13">
      <c r="A4642" s="2">
        <v>2723</v>
      </c>
      <c r="B4642" s="2" t="s">
        <v>21576</v>
      </c>
      <c r="C4642" s="2">
        <v>7</v>
      </c>
      <c r="D4642" s="2">
        <v>556</v>
      </c>
      <c r="E4642" s="2">
        <v>125</v>
      </c>
      <c r="F4642" s="2">
        <v>32441</v>
      </c>
      <c r="G4642" s="2">
        <v>3.2674388489999999</v>
      </c>
      <c r="H4642" s="2">
        <v>7.1905650000000003E-3</v>
      </c>
      <c r="I4642" s="2" t="s">
        <v>21577</v>
      </c>
      <c r="J4642" s="2" t="s">
        <v>21578</v>
      </c>
      <c r="K4642" s="2">
        <v>1.4057959E-2</v>
      </c>
      <c r="L4642" s="2" t="s">
        <v>1178</v>
      </c>
      <c r="M4642" s="4" t="s">
        <v>21579</v>
      </c>
    </row>
    <row r="4643" spans="1:13">
      <c r="A4643" s="2">
        <v>34391</v>
      </c>
      <c r="B4643" s="2" t="s">
        <v>21580</v>
      </c>
      <c r="C4643" s="2">
        <v>9</v>
      </c>
      <c r="D4643" s="2">
        <v>556</v>
      </c>
      <c r="E4643" s="2">
        <v>192</v>
      </c>
      <c r="F4643" s="2">
        <v>32441</v>
      </c>
      <c r="G4643" s="2">
        <v>2.735021358</v>
      </c>
      <c r="H4643" s="2">
        <v>7.3493739999999997E-3</v>
      </c>
      <c r="I4643" s="2" t="s">
        <v>21581</v>
      </c>
      <c r="J4643" s="2" t="s">
        <v>21582</v>
      </c>
      <c r="K4643" s="2">
        <v>1.4362675E-2</v>
      </c>
      <c r="L4643" s="2" t="s">
        <v>1178</v>
      </c>
      <c r="M4643" s="4" t="s">
        <v>21583</v>
      </c>
    </row>
    <row r="4644" spans="1:13">
      <c r="A4644" s="2">
        <v>4840</v>
      </c>
      <c r="B4644" s="2" t="s">
        <v>21584</v>
      </c>
      <c r="C4644" s="2">
        <v>9</v>
      </c>
      <c r="D4644" s="2">
        <v>556</v>
      </c>
      <c r="E4644" s="2">
        <v>193</v>
      </c>
      <c r="F4644" s="2">
        <v>32441</v>
      </c>
      <c r="G4644" s="2">
        <v>2.720850263</v>
      </c>
      <c r="H4644" s="2">
        <v>7.5809789999999998E-3</v>
      </c>
      <c r="I4644" s="2" t="s">
        <v>21585</v>
      </c>
      <c r="J4644" s="2" t="s">
        <v>21586</v>
      </c>
      <c r="K4644" s="2">
        <v>1.4803418E-2</v>
      </c>
      <c r="L4644" s="2" t="s">
        <v>1178</v>
      </c>
      <c r="M4644" s="4" t="s">
        <v>21587</v>
      </c>
    </row>
    <row r="4645" spans="1:13">
      <c r="A4645" s="2">
        <v>4850</v>
      </c>
      <c r="B4645" s="2" t="s">
        <v>21588</v>
      </c>
      <c r="C4645" s="2">
        <v>9</v>
      </c>
      <c r="D4645" s="2">
        <v>556</v>
      </c>
      <c r="E4645" s="2">
        <v>193</v>
      </c>
      <c r="F4645" s="2">
        <v>32441</v>
      </c>
      <c r="G4645" s="2">
        <v>2.720850263</v>
      </c>
      <c r="H4645" s="2">
        <v>7.5809789999999998E-3</v>
      </c>
      <c r="I4645" s="2" t="s">
        <v>21589</v>
      </c>
      <c r="J4645" s="2" t="s">
        <v>21590</v>
      </c>
      <c r="K4645" s="2">
        <v>1.4803418E-2</v>
      </c>
      <c r="L4645" s="2" t="s">
        <v>1178</v>
      </c>
      <c r="M4645" s="4" t="s">
        <v>21591</v>
      </c>
    </row>
    <row r="4646" spans="1:13">
      <c r="A4646" s="2">
        <v>2667</v>
      </c>
      <c r="B4646" s="2" t="s">
        <v>1797</v>
      </c>
      <c r="C4646" s="2">
        <v>7</v>
      </c>
      <c r="D4646" s="2">
        <v>556</v>
      </c>
      <c r="E4646" s="2">
        <v>127</v>
      </c>
      <c r="F4646" s="2">
        <v>32441</v>
      </c>
      <c r="G4646" s="2">
        <v>3.2159831190000001</v>
      </c>
      <c r="H4646" s="2">
        <v>7.7841129999999996E-3</v>
      </c>
      <c r="I4646" s="2" t="s">
        <v>21592</v>
      </c>
      <c r="J4646" s="2" t="s">
        <v>21593</v>
      </c>
      <c r="K4646" s="2">
        <v>1.5193989999999999E-2</v>
      </c>
      <c r="L4646" s="2" t="s">
        <v>1178</v>
      </c>
      <c r="M4646" s="4" t="s">
        <v>21594</v>
      </c>
    </row>
    <row r="4647" spans="1:13">
      <c r="A4647" s="2">
        <v>26991</v>
      </c>
      <c r="B4647" s="2" t="s">
        <v>21595</v>
      </c>
      <c r="C4647" s="2">
        <v>8</v>
      </c>
      <c r="D4647" s="2">
        <v>556</v>
      </c>
      <c r="E4647" s="2">
        <v>160</v>
      </c>
      <c r="F4647" s="2">
        <v>32441</v>
      </c>
      <c r="G4647" s="2">
        <v>2.917356115</v>
      </c>
      <c r="H4647" s="2">
        <v>7.8801640000000003E-3</v>
      </c>
      <c r="I4647" s="2" t="s">
        <v>21596</v>
      </c>
      <c r="J4647" s="2" t="s">
        <v>21597</v>
      </c>
      <c r="K4647" s="2">
        <v>1.5375315000000001E-2</v>
      </c>
      <c r="L4647" s="2" t="s">
        <v>1178</v>
      </c>
      <c r="M4647" s="4" t="s">
        <v>21598</v>
      </c>
    </row>
    <row r="4648" spans="1:13">
      <c r="A4648" s="2">
        <v>2290</v>
      </c>
      <c r="B4648" s="2" t="s">
        <v>21599</v>
      </c>
      <c r="C4648" s="2">
        <v>9</v>
      </c>
      <c r="D4648" s="2">
        <v>556</v>
      </c>
      <c r="E4648" s="2">
        <v>195</v>
      </c>
      <c r="F4648" s="2">
        <v>32441</v>
      </c>
      <c r="G4648" s="2">
        <v>2.6929441060000001</v>
      </c>
      <c r="H4648" s="2">
        <v>8.0608559999999999E-3</v>
      </c>
      <c r="I4648" s="2" t="s">
        <v>21600</v>
      </c>
      <c r="J4648" s="2" t="s">
        <v>21601</v>
      </c>
      <c r="K4648" s="2">
        <v>1.5715283E-2</v>
      </c>
      <c r="L4648" s="2" t="s">
        <v>1178</v>
      </c>
      <c r="M4648" s="4" t="s">
        <v>21602</v>
      </c>
    </row>
    <row r="4649" spans="1:13">
      <c r="A4649" s="2">
        <v>34481</v>
      </c>
      <c r="B4649" s="2" t="s">
        <v>21603</v>
      </c>
      <c r="C4649" s="2">
        <v>9</v>
      </c>
      <c r="D4649" s="2">
        <v>556</v>
      </c>
      <c r="E4649" s="2">
        <v>195</v>
      </c>
      <c r="F4649" s="2">
        <v>32441</v>
      </c>
      <c r="G4649" s="2">
        <v>2.6929441060000001</v>
      </c>
      <c r="H4649" s="2">
        <v>8.0608559999999999E-3</v>
      </c>
      <c r="I4649" s="2" t="s">
        <v>21604</v>
      </c>
      <c r="J4649" s="2" t="s">
        <v>21605</v>
      </c>
      <c r="K4649" s="2">
        <v>1.5715283E-2</v>
      </c>
      <c r="L4649" s="2" t="s">
        <v>1178</v>
      </c>
      <c r="M4649" s="4" t="s">
        <v>21606</v>
      </c>
    </row>
    <row r="4650" spans="1:13">
      <c r="A4650" s="2">
        <v>4172</v>
      </c>
      <c r="B4650" s="2" t="s">
        <v>21607</v>
      </c>
      <c r="C4650" s="2">
        <v>8</v>
      </c>
      <c r="D4650" s="2">
        <v>556</v>
      </c>
      <c r="E4650" s="2">
        <v>161</v>
      </c>
      <c r="F4650" s="2">
        <v>32441</v>
      </c>
      <c r="G4650" s="2">
        <v>2.899235891</v>
      </c>
      <c r="H4650" s="2">
        <v>8.1535649999999998E-3</v>
      </c>
      <c r="I4650" s="2" t="s">
        <v>21608</v>
      </c>
      <c r="J4650" s="2" t="s">
        <v>21609</v>
      </c>
      <c r="K4650" s="2">
        <v>1.5889667999999999E-2</v>
      </c>
      <c r="L4650" s="2" t="s">
        <v>1178</v>
      </c>
      <c r="M4650" s="4" t="s">
        <v>21610</v>
      </c>
    </row>
    <row r="4651" spans="1:13">
      <c r="A4651" s="2">
        <v>32031</v>
      </c>
      <c r="B4651" s="2" t="s">
        <v>21611</v>
      </c>
      <c r="C4651" s="2">
        <v>9</v>
      </c>
      <c r="D4651" s="2">
        <v>556</v>
      </c>
      <c r="E4651" s="2">
        <v>196</v>
      </c>
      <c r="F4651" s="2">
        <v>32441</v>
      </c>
      <c r="G4651" s="2">
        <v>2.6792045959999999</v>
      </c>
      <c r="H4651" s="2">
        <v>8.3092940000000001E-3</v>
      </c>
      <c r="I4651" s="2" t="s">
        <v>21612</v>
      </c>
      <c r="J4651" s="2" t="s">
        <v>21613</v>
      </c>
      <c r="K4651" s="2">
        <v>1.6154380999999999E-2</v>
      </c>
      <c r="L4651" s="2" t="s">
        <v>1178</v>
      </c>
      <c r="M4651" s="4" t="s">
        <v>21614</v>
      </c>
    </row>
    <row r="4652" spans="1:13">
      <c r="A4652" s="2">
        <v>3214</v>
      </c>
      <c r="B4652" s="2" t="s">
        <v>21615</v>
      </c>
      <c r="C4652" s="2">
        <v>9</v>
      </c>
      <c r="D4652" s="2">
        <v>556</v>
      </c>
      <c r="E4652" s="2">
        <v>196</v>
      </c>
      <c r="F4652" s="2">
        <v>32441</v>
      </c>
      <c r="G4652" s="2">
        <v>2.6792045959999999</v>
      </c>
      <c r="H4652" s="2">
        <v>8.3092940000000001E-3</v>
      </c>
      <c r="I4652" s="2" t="s">
        <v>21616</v>
      </c>
      <c r="J4652" s="2" t="s">
        <v>21617</v>
      </c>
      <c r="K4652" s="2">
        <v>1.6154380999999999E-2</v>
      </c>
      <c r="L4652" s="2" t="s">
        <v>1178</v>
      </c>
      <c r="M4652" s="4" t="s">
        <v>21618</v>
      </c>
    </row>
    <row r="4653" spans="1:13">
      <c r="A4653" s="2">
        <v>3447</v>
      </c>
      <c r="B4653" s="2" t="s">
        <v>21619</v>
      </c>
      <c r="C4653" s="2">
        <v>9</v>
      </c>
      <c r="D4653" s="2">
        <v>556</v>
      </c>
      <c r="E4653" s="2">
        <v>196</v>
      </c>
      <c r="F4653" s="2">
        <v>32441</v>
      </c>
      <c r="G4653" s="2">
        <v>2.6792045959999999</v>
      </c>
      <c r="H4653" s="2">
        <v>8.3092940000000001E-3</v>
      </c>
      <c r="I4653" s="2" t="s">
        <v>21620</v>
      </c>
      <c r="J4653" s="2" t="s">
        <v>21621</v>
      </c>
      <c r="K4653" s="2">
        <v>1.6154380999999999E-2</v>
      </c>
      <c r="L4653" s="2" t="s">
        <v>1178</v>
      </c>
      <c r="M4653" s="4" t="s">
        <v>21622</v>
      </c>
    </row>
    <row r="4654" spans="1:13">
      <c r="A4654" s="2">
        <v>3689</v>
      </c>
      <c r="B4654" s="2" t="s">
        <v>21623</v>
      </c>
      <c r="C4654" s="2">
        <v>9</v>
      </c>
      <c r="D4654" s="2">
        <v>556</v>
      </c>
      <c r="E4654" s="2">
        <v>196</v>
      </c>
      <c r="F4654" s="2">
        <v>32441</v>
      </c>
      <c r="G4654" s="2">
        <v>2.6792045959999999</v>
      </c>
      <c r="H4654" s="2">
        <v>8.3092940000000001E-3</v>
      </c>
      <c r="I4654" s="2" t="s">
        <v>21624</v>
      </c>
      <c r="J4654" s="2" t="s">
        <v>21625</v>
      </c>
      <c r="K4654" s="2">
        <v>1.6154380999999999E-2</v>
      </c>
      <c r="L4654" s="2" t="s">
        <v>1178</v>
      </c>
      <c r="M4654" s="4" t="s">
        <v>21626</v>
      </c>
    </row>
    <row r="4655" spans="1:13">
      <c r="A4655" s="2">
        <v>39041</v>
      </c>
      <c r="B4655" s="2" t="s">
        <v>21627</v>
      </c>
      <c r="C4655" s="2">
        <v>9</v>
      </c>
      <c r="D4655" s="2">
        <v>556</v>
      </c>
      <c r="E4655" s="2">
        <v>196</v>
      </c>
      <c r="F4655" s="2">
        <v>32441</v>
      </c>
      <c r="G4655" s="2">
        <v>2.6792045959999999</v>
      </c>
      <c r="H4655" s="2">
        <v>8.3092940000000001E-3</v>
      </c>
      <c r="I4655" s="2" t="s">
        <v>21628</v>
      </c>
      <c r="J4655" s="2" t="s">
        <v>21629</v>
      </c>
      <c r="K4655" s="2">
        <v>1.6154380999999999E-2</v>
      </c>
      <c r="L4655" s="2" t="s">
        <v>1178</v>
      </c>
      <c r="M4655" s="4" t="s">
        <v>21630</v>
      </c>
    </row>
    <row r="4656" spans="1:13">
      <c r="A4656" s="2">
        <v>4650</v>
      </c>
      <c r="B4656" s="2" t="s">
        <v>21631</v>
      </c>
      <c r="C4656" s="2">
        <v>9</v>
      </c>
      <c r="D4656" s="2">
        <v>556</v>
      </c>
      <c r="E4656" s="2">
        <v>196</v>
      </c>
      <c r="F4656" s="2">
        <v>32441</v>
      </c>
      <c r="G4656" s="2">
        <v>2.6792045959999999</v>
      </c>
      <c r="H4656" s="2">
        <v>8.3092940000000001E-3</v>
      </c>
      <c r="I4656" s="2" t="s">
        <v>21632</v>
      </c>
      <c r="J4656" s="2" t="s">
        <v>21633</v>
      </c>
      <c r="K4656" s="2">
        <v>1.6154380999999999E-2</v>
      </c>
      <c r="L4656" s="2" t="s">
        <v>1178</v>
      </c>
      <c r="M4656" s="4" t="s">
        <v>21634</v>
      </c>
    </row>
    <row r="4657" spans="1:13">
      <c r="A4657" s="2">
        <v>5</v>
      </c>
      <c r="B4657" s="2" t="s">
        <v>21635</v>
      </c>
      <c r="C4657" s="2">
        <v>9</v>
      </c>
      <c r="D4657" s="2">
        <v>556</v>
      </c>
      <c r="E4657" s="2">
        <v>200</v>
      </c>
      <c r="F4657" s="2">
        <v>32441</v>
      </c>
      <c r="G4657" s="2">
        <v>2.625620504</v>
      </c>
      <c r="H4657" s="2">
        <v>9.3616380000000003E-3</v>
      </c>
      <c r="I4657" s="2" t="s">
        <v>21636</v>
      </c>
      <c r="J4657" s="2" t="s">
        <v>21637</v>
      </c>
      <c r="K4657" s="2">
        <v>1.6335925000000001E-2</v>
      </c>
      <c r="L4657" s="2" t="s">
        <v>1178</v>
      </c>
      <c r="M4657" s="4" t="s">
        <v>21638</v>
      </c>
    </row>
    <row r="4658" spans="1:13">
      <c r="A4658" s="2">
        <v>206</v>
      </c>
      <c r="B4658" s="2" t="s">
        <v>21639</v>
      </c>
      <c r="C4658" s="2">
        <v>9</v>
      </c>
      <c r="D4658" s="2">
        <v>556</v>
      </c>
      <c r="E4658" s="2">
        <v>200</v>
      </c>
      <c r="F4658" s="2">
        <v>32441</v>
      </c>
      <c r="G4658" s="2">
        <v>2.625620504</v>
      </c>
      <c r="H4658" s="2">
        <v>9.3616380000000003E-3</v>
      </c>
      <c r="I4658" s="2" t="s">
        <v>21640</v>
      </c>
      <c r="J4658" s="2" t="s">
        <v>21641</v>
      </c>
      <c r="K4658" s="2">
        <v>1.6335925000000001E-2</v>
      </c>
      <c r="L4658" s="2" t="s">
        <v>1178</v>
      </c>
      <c r="M4658" s="4" t="s">
        <v>21642</v>
      </c>
    </row>
    <row r="4659" spans="1:13">
      <c r="A4659" s="2">
        <v>26</v>
      </c>
      <c r="B4659" s="2" t="s">
        <v>21643</v>
      </c>
      <c r="C4659" s="2">
        <v>9</v>
      </c>
      <c r="D4659" s="2">
        <v>556</v>
      </c>
      <c r="E4659" s="2">
        <v>200</v>
      </c>
      <c r="F4659" s="2">
        <v>32441</v>
      </c>
      <c r="G4659" s="2">
        <v>2.625620504</v>
      </c>
      <c r="H4659" s="2">
        <v>9.3616380000000003E-3</v>
      </c>
      <c r="I4659" s="2" t="s">
        <v>21644</v>
      </c>
      <c r="J4659" s="2" t="s">
        <v>21645</v>
      </c>
      <c r="K4659" s="2">
        <v>1.6335925000000001E-2</v>
      </c>
      <c r="L4659" s="2" t="s">
        <v>1178</v>
      </c>
      <c r="M4659" s="4" t="s">
        <v>21646</v>
      </c>
    </row>
    <row r="4660" spans="1:13">
      <c r="A4660" s="2">
        <v>796</v>
      </c>
      <c r="B4660" s="2" t="s">
        <v>21647</v>
      </c>
      <c r="C4660" s="2">
        <v>9</v>
      </c>
      <c r="D4660" s="2">
        <v>556</v>
      </c>
      <c r="E4660" s="2">
        <v>200</v>
      </c>
      <c r="F4660" s="2">
        <v>32441</v>
      </c>
      <c r="G4660" s="2">
        <v>2.625620504</v>
      </c>
      <c r="H4660" s="2">
        <v>9.3616380000000003E-3</v>
      </c>
      <c r="I4660" s="2" t="s">
        <v>21648</v>
      </c>
      <c r="J4660" s="2" t="s">
        <v>21649</v>
      </c>
      <c r="K4660" s="2">
        <v>1.6335925000000001E-2</v>
      </c>
      <c r="L4660" s="2" t="s">
        <v>1178</v>
      </c>
      <c r="M4660" s="4" t="s">
        <v>21650</v>
      </c>
    </row>
    <row r="4661" spans="1:13">
      <c r="A4661" s="2">
        <v>819</v>
      </c>
      <c r="B4661" s="2" t="s">
        <v>21651</v>
      </c>
      <c r="C4661" s="2">
        <v>9</v>
      </c>
      <c r="D4661" s="2">
        <v>556</v>
      </c>
      <c r="E4661" s="2">
        <v>200</v>
      </c>
      <c r="F4661" s="2">
        <v>32441</v>
      </c>
      <c r="G4661" s="2">
        <v>2.625620504</v>
      </c>
      <c r="H4661" s="2">
        <v>9.3616380000000003E-3</v>
      </c>
      <c r="I4661" s="2" t="s">
        <v>21652</v>
      </c>
      <c r="J4661" s="2" t="s">
        <v>21653</v>
      </c>
      <c r="K4661" s="2">
        <v>1.6335925000000001E-2</v>
      </c>
      <c r="L4661" s="2" t="s">
        <v>1178</v>
      </c>
      <c r="M4661" s="4" t="s">
        <v>21654</v>
      </c>
    </row>
    <row r="4662" spans="1:13">
      <c r="A4662" s="2">
        <v>863</v>
      </c>
      <c r="B4662" s="2" t="s">
        <v>21655</v>
      </c>
      <c r="C4662" s="2">
        <v>9</v>
      </c>
      <c r="D4662" s="2">
        <v>556</v>
      </c>
      <c r="E4662" s="2">
        <v>200</v>
      </c>
      <c r="F4662" s="2">
        <v>32441</v>
      </c>
      <c r="G4662" s="2">
        <v>2.625620504</v>
      </c>
      <c r="H4662" s="2">
        <v>9.3616380000000003E-3</v>
      </c>
      <c r="I4662" s="2" t="s">
        <v>21656</v>
      </c>
      <c r="J4662" s="2" t="s">
        <v>21657</v>
      </c>
      <c r="K4662" s="2">
        <v>1.6335925000000001E-2</v>
      </c>
      <c r="L4662" s="2" t="s">
        <v>1178</v>
      </c>
      <c r="M4662" s="4" t="s">
        <v>21658</v>
      </c>
    </row>
    <row r="4663" spans="1:13">
      <c r="A4663" s="2">
        <v>88</v>
      </c>
      <c r="B4663" s="2" t="s">
        <v>21659</v>
      </c>
      <c r="C4663" s="2">
        <v>9</v>
      </c>
      <c r="D4663" s="2">
        <v>556</v>
      </c>
      <c r="E4663" s="2">
        <v>200</v>
      </c>
      <c r="F4663" s="2">
        <v>32441</v>
      </c>
      <c r="G4663" s="2">
        <v>2.625620504</v>
      </c>
      <c r="H4663" s="2">
        <v>9.3616380000000003E-3</v>
      </c>
      <c r="I4663" s="2" t="s">
        <v>21660</v>
      </c>
      <c r="J4663" s="2" t="s">
        <v>21661</v>
      </c>
      <c r="K4663" s="2">
        <v>1.6335925000000001E-2</v>
      </c>
      <c r="L4663" s="2" t="s">
        <v>1178</v>
      </c>
      <c r="M4663" s="4" t="s">
        <v>21662</v>
      </c>
    </row>
    <row r="4664" spans="1:13">
      <c r="A4664" s="2">
        <v>926</v>
      </c>
      <c r="B4664" s="2" t="s">
        <v>21663</v>
      </c>
      <c r="C4664" s="2">
        <v>9</v>
      </c>
      <c r="D4664" s="2">
        <v>556</v>
      </c>
      <c r="E4664" s="2">
        <v>200</v>
      </c>
      <c r="F4664" s="2">
        <v>32441</v>
      </c>
      <c r="G4664" s="2">
        <v>2.625620504</v>
      </c>
      <c r="H4664" s="2">
        <v>9.3616380000000003E-3</v>
      </c>
      <c r="I4664" s="2" t="s">
        <v>21664</v>
      </c>
      <c r="J4664" s="2" t="s">
        <v>21665</v>
      </c>
      <c r="K4664" s="2">
        <v>1.6335925000000001E-2</v>
      </c>
      <c r="L4664" s="2" t="s">
        <v>1178</v>
      </c>
      <c r="M4664" s="4" t="s">
        <v>21666</v>
      </c>
    </row>
    <row r="4665" spans="1:13">
      <c r="A4665" s="2">
        <v>954</v>
      </c>
      <c r="B4665" s="2" t="s">
        <v>21667</v>
      </c>
      <c r="C4665" s="2">
        <v>9</v>
      </c>
      <c r="D4665" s="2">
        <v>556</v>
      </c>
      <c r="E4665" s="2">
        <v>200</v>
      </c>
      <c r="F4665" s="2">
        <v>32441</v>
      </c>
      <c r="G4665" s="2">
        <v>2.625620504</v>
      </c>
      <c r="H4665" s="2">
        <v>9.3616380000000003E-3</v>
      </c>
      <c r="I4665" s="2" t="s">
        <v>21668</v>
      </c>
      <c r="J4665" s="2" t="s">
        <v>21669</v>
      </c>
      <c r="K4665" s="2">
        <v>1.6335925000000001E-2</v>
      </c>
      <c r="L4665" s="2" t="s">
        <v>1178</v>
      </c>
      <c r="M4665" s="4" t="s">
        <v>21670</v>
      </c>
    </row>
    <row r="4666" spans="1:13">
      <c r="A4666" s="2">
        <v>1222</v>
      </c>
      <c r="B4666" s="2" t="s">
        <v>21671</v>
      </c>
      <c r="C4666" s="2">
        <v>9</v>
      </c>
      <c r="D4666" s="2">
        <v>556</v>
      </c>
      <c r="E4666" s="2">
        <v>200</v>
      </c>
      <c r="F4666" s="2">
        <v>32441</v>
      </c>
      <c r="G4666" s="2">
        <v>2.625620504</v>
      </c>
      <c r="H4666" s="2">
        <v>9.3616380000000003E-3</v>
      </c>
      <c r="I4666" s="2" t="s">
        <v>21672</v>
      </c>
      <c r="J4666" s="2" t="s">
        <v>21673</v>
      </c>
      <c r="K4666" s="2">
        <v>1.6335925000000001E-2</v>
      </c>
      <c r="L4666" s="2" t="s">
        <v>1178</v>
      </c>
      <c r="M4666" s="4" t="s">
        <v>21674</v>
      </c>
    </row>
    <row r="4667" spans="1:13">
      <c r="A4667" s="2">
        <v>12810</v>
      </c>
      <c r="B4667" s="2" t="s">
        <v>21675</v>
      </c>
      <c r="C4667" s="2">
        <v>9</v>
      </c>
      <c r="D4667" s="2">
        <v>556</v>
      </c>
      <c r="E4667" s="2">
        <v>200</v>
      </c>
      <c r="F4667" s="2">
        <v>32441</v>
      </c>
      <c r="G4667" s="2">
        <v>2.625620504</v>
      </c>
      <c r="H4667" s="2">
        <v>9.3616380000000003E-3</v>
      </c>
      <c r="I4667" s="2" t="s">
        <v>21676</v>
      </c>
      <c r="J4667" s="2" t="s">
        <v>21677</v>
      </c>
      <c r="K4667" s="2">
        <v>1.6335925000000001E-2</v>
      </c>
      <c r="L4667" s="2" t="s">
        <v>1178</v>
      </c>
      <c r="M4667" s="4" t="s">
        <v>21678</v>
      </c>
    </row>
    <row r="4668" spans="1:13">
      <c r="A4668" s="2">
        <v>1302</v>
      </c>
      <c r="B4668" s="2" t="s">
        <v>21679</v>
      </c>
      <c r="C4668" s="2">
        <v>9</v>
      </c>
      <c r="D4668" s="2">
        <v>556</v>
      </c>
      <c r="E4668" s="2">
        <v>200</v>
      </c>
      <c r="F4668" s="2">
        <v>32441</v>
      </c>
      <c r="G4668" s="2">
        <v>2.625620504</v>
      </c>
      <c r="H4668" s="2">
        <v>9.3616380000000003E-3</v>
      </c>
      <c r="I4668" s="2" t="s">
        <v>21680</v>
      </c>
      <c r="J4668" s="2" t="s">
        <v>21681</v>
      </c>
      <c r="K4668" s="2">
        <v>1.6335925000000001E-2</v>
      </c>
      <c r="L4668" s="2" t="s">
        <v>1178</v>
      </c>
      <c r="M4668" s="4" t="s">
        <v>21682</v>
      </c>
    </row>
    <row r="4669" spans="1:13">
      <c r="A4669" s="2">
        <v>1621</v>
      </c>
      <c r="B4669" s="2" t="s">
        <v>21683</v>
      </c>
      <c r="C4669" s="2">
        <v>9</v>
      </c>
      <c r="D4669" s="2">
        <v>556</v>
      </c>
      <c r="E4669" s="2">
        <v>200</v>
      </c>
      <c r="F4669" s="2">
        <v>32441</v>
      </c>
      <c r="G4669" s="2">
        <v>2.625620504</v>
      </c>
      <c r="H4669" s="2">
        <v>9.3616380000000003E-3</v>
      </c>
      <c r="I4669" s="2" t="s">
        <v>21684</v>
      </c>
      <c r="J4669" s="2" t="s">
        <v>21685</v>
      </c>
      <c r="K4669" s="2">
        <v>1.6335925000000001E-2</v>
      </c>
      <c r="L4669" s="2" t="s">
        <v>1178</v>
      </c>
      <c r="M4669" s="4" t="s">
        <v>21686</v>
      </c>
    </row>
    <row r="4670" spans="1:13">
      <c r="A4670" s="2">
        <v>17810</v>
      </c>
      <c r="B4670" s="2" t="s">
        <v>21687</v>
      </c>
      <c r="C4670" s="2">
        <v>9</v>
      </c>
      <c r="D4670" s="2">
        <v>556</v>
      </c>
      <c r="E4670" s="2">
        <v>200</v>
      </c>
      <c r="F4670" s="2">
        <v>32441</v>
      </c>
      <c r="G4670" s="2">
        <v>2.625620504</v>
      </c>
      <c r="H4670" s="2">
        <v>9.3616380000000003E-3</v>
      </c>
      <c r="I4670" s="2" t="s">
        <v>21688</v>
      </c>
      <c r="J4670" s="2" t="s">
        <v>21689</v>
      </c>
      <c r="K4670" s="2">
        <v>1.6335925000000001E-2</v>
      </c>
      <c r="L4670" s="2" t="s">
        <v>1178</v>
      </c>
      <c r="M4670" s="4" t="s">
        <v>21690</v>
      </c>
    </row>
    <row r="4671" spans="1:13">
      <c r="A4671" s="2">
        <v>18710</v>
      </c>
      <c r="B4671" s="2" t="s">
        <v>21691</v>
      </c>
      <c r="C4671" s="2">
        <v>9</v>
      </c>
      <c r="D4671" s="2">
        <v>556</v>
      </c>
      <c r="E4671" s="2">
        <v>200</v>
      </c>
      <c r="F4671" s="2">
        <v>32441</v>
      </c>
      <c r="G4671" s="2">
        <v>2.625620504</v>
      </c>
      <c r="H4671" s="2">
        <v>9.3616380000000003E-3</v>
      </c>
      <c r="I4671" s="2" t="s">
        <v>21692</v>
      </c>
      <c r="J4671" s="2" t="s">
        <v>21693</v>
      </c>
      <c r="K4671" s="2">
        <v>1.6335925000000001E-2</v>
      </c>
      <c r="L4671" s="2" t="s">
        <v>1178</v>
      </c>
      <c r="M4671" s="4" t="s">
        <v>21694</v>
      </c>
    </row>
    <row r="4672" spans="1:13">
      <c r="A4672" s="2">
        <v>205</v>
      </c>
      <c r="B4672" s="2" t="s">
        <v>21695</v>
      </c>
      <c r="C4672" s="2">
        <v>9</v>
      </c>
      <c r="D4672" s="2">
        <v>556</v>
      </c>
      <c r="E4672" s="2">
        <v>200</v>
      </c>
      <c r="F4672" s="2">
        <v>32441</v>
      </c>
      <c r="G4672" s="2">
        <v>2.625620504</v>
      </c>
      <c r="H4672" s="2">
        <v>9.3616380000000003E-3</v>
      </c>
      <c r="I4672" s="2" t="s">
        <v>21696</v>
      </c>
      <c r="J4672" s="2" t="s">
        <v>21697</v>
      </c>
      <c r="K4672" s="2">
        <v>1.6335925000000001E-2</v>
      </c>
      <c r="L4672" s="2" t="s">
        <v>1178</v>
      </c>
      <c r="M4672" s="4" t="s">
        <v>21698</v>
      </c>
    </row>
    <row r="4673" spans="1:13">
      <c r="A4673" s="2">
        <v>253</v>
      </c>
      <c r="B4673" s="2" t="s">
        <v>21699</v>
      </c>
      <c r="C4673" s="2">
        <v>9</v>
      </c>
      <c r="D4673" s="2">
        <v>556</v>
      </c>
      <c r="E4673" s="2">
        <v>199</v>
      </c>
      <c r="F4673" s="2">
        <v>32441</v>
      </c>
      <c r="G4673" s="2">
        <v>2.6388145760000001</v>
      </c>
      <c r="H4673" s="2">
        <v>9.0895969999999996E-3</v>
      </c>
      <c r="I4673" s="2" t="s">
        <v>21700</v>
      </c>
      <c r="J4673" s="2" t="s">
        <v>21701</v>
      </c>
      <c r="K4673" s="2">
        <v>1.6335925000000001E-2</v>
      </c>
      <c r="L4673" s="2" t="s">
        <v>1178</v>
      </c>
      <c r="M4673" s="4" t="s">
        <v>21702</v>
      </c>
    </row>
    <row r="4674" spans="1:13">
      <c r="A4674" s="2">
        <v>2608</v>
      </c>
      <c r="B4674" s="2" t="s">
        <v>21703</v>
      </c>
      <c r="C4674" s="2">
        <v>9</v>
      </c>
      <c r="D4674" s="2">
        <v>556</v>
      </c>
      <c r="E4674" s="2">
        <v>200</v>
      </c>
      <c r="F4674" s="2">
        <v>32441</v>
      </c>
      <c r="G4674" s="2">
        <v>2.625620504</v>
      </c>
      <c r="H4674" s="2">
        <v>9.3616380000000003E-3</v>
      </c>
      <c r="I4674" s="2" t="s">
        <v>21704</v>
      </c>
      <c r="J4674" s="2" t="s">
        <v>21705</v>
      </c>
      <c r="K4674" s="2">
        <v>1.6335925000000001E-2</v>
      </c>
      <c r="L4674" s="2" t="s">
        <v>1178</v>
      </c>
      <c r="M4674" s="4" t="s">
        <v>21706</v>
      </c>
    </row>
    <row r="4675" spans="1:13">
      <c r="A4675" s="2">
        <v>261</v>
      </c>
      <c r="B4675" s="2" t="s">
        <v>21707</v>
      </c>
      <c r="C4675" s="2">
        <v>9</v>
      </c>
      <c r="D4675" s="2">
        <v>556</v>
      </c>
      <c r="E4675" s="2">
        <v>200</v>
      </c>
      <c r="F4675" s="2">
        <v>32441</v>
      </c>
      <c r="G4675" s="2">
        <v>2.625620504</v>
      </c>
      <c r="H4675" s="2">
        <v>9.3616380000000003E-3</v>
      </c>
      <c r="I4675" s="2" t="s">
        <v>21708</v>
      </c>
      <c r="J4675" s="2" t="s">
        <v>21709</v>
      </c>
      <c r="K4675" s="2">
        <v>1.6335925000000001E-2</v>
      </c>
      <c r="L4675" s="2" t="s">
        <v>1178</v>
      </c>
      <c r="M4675" s="4" t="s">
        <v>21710</v>
      </c>
    </row>
    <row r="4676" spans="1:13">
      <c r="A4676" s="2">
        <v>3072</v>
      </c>
      <c r="B4676" s="2" t="s">
        <v>21711</v>
      </c>
      <c r="C4676" s="2">
        <v>9</v>
      </c>
      <c r="D4676" s="2">
        <v>556</v>
      </c>
      <c r="E4676" s="2">
        <v>200</v>
      </c>
      <c r="F4676" s="2">
        <v>32441</v>
      </c>
      <c r="G4676" s="2">
        <v>2.625620504</v>
      </c>
      <c r="H4676" s="2">
        <v>9.3616380000000003E-3</v>
      </c>
      <c r="I4676" s="2" t="s">
        <v>21712</v>
      </c>
      <c r="J4676" s="2" t="s">
        <v>21713</v>
      </c>
      <c r="K4676" s="2">
        <v>1.6335925000000001E-2</v>
      </c>
      <c r="L4676" s="2" t="s">
        <v>1178</v>
      </c>
      <c r="M4676" s="4" t="s">
        <v>21714</v>
      </c>
    </row>
    <row r="4677" spans="1:13">
      <c r="A4677" s="2">
        <v>32410</v>
      </c>
      <c r="B4677" s="2" t="s">
        <v>1818</v>
      </c>
      <c r="C4677" s="2">
        <v>9</v>
      </c>
      <c r="D4677" s="2">
        <v>556</v>
      </c>
      <c r="E4677" s="2">
        <v>200</v>
      </c>
      <c r="F4677" s="2">
        <v>32441</v>
      </c>
      <c r="G4677" s="2">
        <v>2.625620504</v>
      </c>
      <c r="H4677" s="2">
        <v>9.3616380000000003E-3</v>
      </c>
      <c r="I4677" s="2" t="s">
        <v>21715</v>
      </c>
      <c r="J4677" s="2" t="s">
        <v>21716</v>
      </c>
      <c r="K4677" s="2">
        <v>1.6335925000000001E-2</v>
      </c>
      <c r="L4677" s="2" t="s">
        <v>1178</v>
      </c>
      <c r="M4677" s="4" t="s">
        <v>21717</v>
      </c>
    </row>
    <row r="4678" spans="1:13">
      <c r="A4678" s="2">
        <v>3331</v>
      </c>
      <c r="B4678" s="2" t="s">
        <v>2334</v>
      </c>
      <c r="C4678" s="2">
        <v>9</v>
      </c>
      <c r="D4678" s="2">
        <v>556</v>
      </c>
      <c r="E4678" s="2">
        <v>200</v>
      </c>
      <c r="F4678" s="2">
        <v>32441</v>
      </c>
      <c r="G4678" s="2">
        <v>2.625620504</v>
      </c>
      <c r="H4678" s="2">
        <v>9.3616380000000003E-3</v>
      </c>
      <c r="I4678" s="2" t="s">
        <v>21718</v>
      </c>
      <c r="J4678" s="2" t="s">
        <v>21719</v>
      </c>
      <c r="K4678" s="2">
        <v>1.6335925000000001E-2</v>
      </c>
      <c r="L4678" s="2" t="s">
        <v>1178</v>
      </c>
      <c r="M4678" s="4" t="s">
        <v>21720</v>
      </c>
    </row>
    <row r="4679" spans="1:13">
      <c r="A4679" s="2">
        <v>3455</v>
      </c>
      <c r="B4679" s="2" t="s">
        <v>21721</v>
      </c>
      <c r="C4679" s="2">
        <v>9</v>
      </c>
      <c r="D4679" s="2">
        <v>556</v>
      </c>
      <c r="E4679" s="2">
        <v>200</v>
      </c>
      <c r="F4679" s="2">
        <v>32441</v>
      </c>
      <c r="G4679" s="2">
        <v>2.625620504</v>
      </c>
      <c r="H4679" s="2">
        <v>9.3616380000000003E-3</v>
      </c>
      <c r="I4679" s="2" t="s">
        <v>21722</v>
      </c>
      <c r="J4679" s="2" t="s">
        <v>21723</v>
      </c>
      <c r="K4679" s="2">
        <v>1.6335925000000001E-2</v>
      </c>
      <c r="L4679" s="2" t="s">
        <v>1178</v>
      </c>
      <c r="M4679" s="4" t="s">
        <v>21724</v>
      </c>
    </row>
    <row r="4680" spans="1:13">
      <c r="A4680" s="2">
        <v>35310</v>
      </c>
      <c r="B4680" s="2" t="s">
        <v>21725</v>
      </c>
      <c r="C4680" s="2">
        <v>9</v>
      </c>
      <c r="D4680" s="2">
        <v>556</v>
      </c>
      <c r="E4680" s="2">
        <v>200</v>
      </c>
      <c r="F4680" s="2">
        <v>32441</v>
      </c>
      <c r="G4680" s="2">
        <v>2.625620504</v>
      </c>
      <c r="H4680" s="2">
        <v>9.3616380000000003E-3</v>
      </c>
      <c r="I4680" s="2" t="s">
        <v>21726</v>
      </c>
      <c r="J4680" s="2" t="s">
        <v>21727</v>
      </c>
      <c r="K4680" s="2">
        <v>1.6335925000000001E-2</v>
      </c>
      <c r="L4680" s="2" t="s">
        <v>1178</v>
      </c>
      <c r="M4680" s="4" t="s">
        <v>21728</v>
      </c>
    </row>
    <row r="4681" spans="1:13">
      <c r="A4681" s="2">
        <v>369</v>
      </c>
      <c r="B4681" s="2" t="s">
        <v>21729</v>
      </c>
      <c r="C4681" s="2">
        <v>9</v>
      </c>
      <c r="D4681" s="2">
        <v>556</v>
      </c>
      <c r="E4681" s="2">
        <v>200</v>
      </c>
      <c r="F4681" s="2">
        <v>32441</v>
      </c>
      <c r="G4681" s="2">
        <v>2.625620504</v>
      </c>
      <c r="H4681" s="2">
        <v>9.3616380000000003E-3</v>
      </c>
      <c r="I4681" s="2" t="s">
        <v>21730</v>
      </c>
      <c r="J4681" s="2" t="s">
        <v>21731</v>
      </c>
      <c r="K4681" s="2">
        <v>1.6335925000000001E-2</v>
      </c>
      <c r="L4681" s="2" t="s">
        <v>1178</v>
      </c>
      <c r="M4681" s="4" t="s">
        <v>21732</v>
      </c>
    </row>
    <row r="4682" spans="1:13">
      <c r="A4682" s="2">
        <v>37510</v>
      </c>
      <c r="B4682" s="2" t="s">
        <v>21733</v>
      </c>
      <c r="C4682" s="2">
        <v>9</v>
      </c>
      <c r="D4682" s="2">
        <v>556</v>
      </c>
      <c r="E4682" s="2">
        <v>200</v>
      </c>
      <c r="F4682" s="2">
        <v>32441</v>
      </c>
      <c r="G4682" s="2">
        <v>2.625620504</v>
      </c>
      <c r="H4682" s="2">
        <v>9.3616380000000003E-3</v>
      </c>
      <c r="I4682" s="2" t="s">
        <v>21734</v>
      </c>
      <c r="J4682" s="2" t="s">
        <v>21735</v>
      </c>
      <c r="K4682" s="2">
        <v>1.6335925000000001E-2</v>
      </c>
      <c r="L4682" s="2" t="s">
        <v>1178</v>
      </c>
      <c r="M4682" s="4" t="s">
        <v>21736</v>
      </c>
    </row>
    <row r="4683" spans="1:13">
      <c r="A4683" s="2">
        <v>381</v>
      </c>
      <c r="B4683" s="2" t="s">
        <v>21737</v>
      </c>
      <c r="C4683" s="2">
        <v>9</v>
      </c>
      <c r="D4683" s="2">
        <v>556</v>
      </c>
      <c r="E4683" s="2">
        <v>200</v>
      </c>
      <c r="F4683" s="2">
        <v>32441</v>
      </c>
      <c r="G4683" s="2">
        <v>2.625620504</v>
      </c>
      <c r="H4683" s="2">
        <v>9.3616380000000003E-3</v>
      </c>
      <c r="I4683" s="2" t="s">
        <v>21738</v>
      </c>
      <c r="J4683" s="2" t="s">
        <v>21739</v>
      </c>
      <c r="K4683" s="2">
        <v>1.6335925000000001E-2</v>
      </c>
      <c r="L4683" s="2" t="s">
        <v>1178</v>
      </c>
      <c r="M4683" s="4" t="s">
        <v>21740</v>
      </c>
    </row>
    <row r="4684" spans="1:13">
      <c r="A4684" s="2">
        <v>39110</v>
      </c>
      <c r="B4684" s="2" t="s">
        <v>21741</v>
      </c>
      <c r="C4684" s="2">
        <v>9</v>
      </c>
      <c r="D4684" s="2">
        <v>556</v>
      </c>
      <c r="E4684" s="2">
        <v>200</v>
      </c>
      <c r="F4684" s="2">
        <v>32441</v>
      </c>
      <c r="G4684" s="2">
        <v>2.625620504</v>
      </c>
      <c r="H4684" s="2">
        <v>9.3616380000000003E-3</v>
      </c>
      <c r="I4684" s="2" t="s">
        <v>21742</v>
      </c>
      <c r="J4684" s="2" t="s">
        <v>21743</v>
      </c>
      <c r="K4684" s="2">
        <v>1.6335925000000001E-2</v>
      </c>
      <c r="L4684" s="2" t="s">
        <v>1178</v>
      </c>
      <c r="M4684" s="4" t="s">
        <v>21744</v>
      </c>
    </row>
    <row r="4685" spans="1:13">
      <c r="A4685" s="2">
        <v>3944</v>
      </c>
      <c r="B4685" s="2" t="s">
        <v>21745</v>
      </c>
      <c r="C4685" s="2">
        <v>9</v>
      </c>
      <c r="D4685" s="2">
        <v>556</v>
      </c>
      <c r="E4685" s="2">
        <v>200</v>
      </c>
      <c r="F4685" s="2">
        <v>32441</v>
      </c>
      <c r="G4685" s="2">
        <v>2.625620504</v>
      </c>
      <c r="H4685" s="2">
        <v>9.3616380000000003E-3</v>
      </c>
      <c r="I4685" s="2" t="s">
        <v>21746</v>
      </c>
      <c r="J4685" s="2" t="s">
        <v>21747</v>
      </c>
      <c r="K4685" s="2">
        <v>1.6335925000000001E-2</v>
      </c>
      <c r="L4685" s="2" t="s">
        <v>1178</v>
      </c>
      <c r="M4685" s="4" t="s">
        <v>21748</v>
      </c>
    </row>
    <row r="4686" spans="1:13">
      <c r="A4686" s="2">
        <v>39510</v>
      </c>
      <c r="B4686" s="2" t="s">
        <v>21749</v>
      </c>
      <c r="C4686" s="2">
        <v>9</v>
      </c>
      <c r="D4686" s="2">
        <v>556</v>
      </c>
      <c r="E4686" s="2">
        <v>200</v>
      </c>
      <c r="F4686" s="2">
        <v>32441</v>
      </c>
      <c r="G4686" s="2">
        <v>2.625620504</v>
      </c>
      <c r="H4686" s="2">
        <v>9.3616380000000003E-3</v>
      </c>
      <c r="I4686" s="2" t="s">
        <v>21750</v>
      </c>
      <c r="J4686" s="2" t="s">
        <v>21751</v>
      </c>
      <c r="K4686" s="2">
        <v>1.6335925000000001E-2</v>
      </c>
      <c r="L4686" s="2" t="s">
        <v>1178</v>
      </c>
      <c r="M4686" s="4" t="s">
        <v>21752</v>
      </c>
    </row>
    <row r="4687" spans="1:13">
      <c r="A4687" s="2">
        <v>39610</v>
      </c>
      <c r="B4687" s="2" t="s">
        <v>21753</v>
      </c>
      <c r="C4687" s="2">
        <v>9</v>
      </c>
      <c r="D4687" s="2">
        <v>556</v>
      </c>
      <c r="E4687" s="2">
        <v>200</v>
      </c>
      <c r="F4687" s="2">
        <v>32441</v>
      </c>
      <c r="G4687" s="2">
        <v>2.625620504</v>
      </c>
      <c r="H4687" s="2">
        <v>9.3616380000000003E-3</v>
      </c>
      <c r="I4687" s="2" t="s">
        <v>21754</v>
      </c>
      <c r="J4687" s="2" t="s">
        <v>21755</v>
      </c>
      <c r="K4687" s="2">
        <v>1.6335925000000001E-2</v>
      </c>
      <c r="L4687" s="2" t="s">
        <v>1178</v>
      </c>
      <c r="M4687" s="4" t="s">
        <v>21756</v>
      </c>
    </row>
    <row r="4688" spans="1:13">
      <c r="A4688" s="2">
        <v>3979</v>
      </c>
      <c r="B4688" s="2" t="s">
        <v>21757</v>
      </c>
      <c r="C4688" s="2">
        <v>9</v>
      </c>
      <c r="D4688" s="2">
        <v>556</v>
      </c>
      <c r="E4688" s="2">
        <v>200</v>
      </c>
      <c r="F4688" s="2">
        <v>32441</v>
      </c>
      <c r="G4688" s="2">
        <v>2.625620504</v>
      </c>
      <c r="H4688" s="2">
        <v>9.3616380000000003E-3</v>
      </c>
      <c r="I4688" s="2" t="s">
        <v>21758</v>
      </c>
      <c r="J4688" s="2" t="s">
        <v>21759</v>
      </c>
      <c r="K4688" s="2">
        <v>1.6335925000000001E-2</v>
      </c>
      <c r="L4688" s="2" t="s">
        <v>1178</v>
      </c>
      <c r="M4688" s="4" t="s">
        <v>21760</v>
      </c>
    </row>
    <row r="4689" spans="1:13">
      <c r="A4689" s="2">
        <v>4661</v>
      </c>
      <c r="B4689" s="2" t="s">
        <v>21761</v>
      </c>
      <c r="C4689" s="2">
        <v>9</v>
      </c>
      <c r="D4689" s="2">
        <v>556</v>
      </c>
      <c r="E4689" s="2">
        <v>200</v>
      </c>
      <c r="F4689" s="2">
        <v>32441</v>
      </c>
      <c r="G4689" s="2">
        <v>2.625620504</v>
      </c>
      <c r="H4689" s="2">
        <v>9.3616380000000003E-3</v>
      </c>
      <c r="I4689" s="2" t="s">
        <v>21762</v>
      </c>
      <c r="J4689" s="2" t="s">
        <v>21763</v>
      </c>
      <c r="K4689" s="2">
        <v>1.6335925000000001E-2</v>
      </c>
      <c r="L4689" s="2" t="s">
        <v>1178</v>
      </c>
      <c r="M4689" s="4" t="s">
        <v>21764</v>
      </c>
    </row>
    <row r="4690" spans="1:13">
      <c r="A4690" s="2">
        <v>4851</v>
      </c>
      <c r="B4690" s="2" t="s">
        <v>21765</v>
      </c>
      <c r="C4690" s="2">
        <v>9</v>
      </c>
      <c r="D4690" s="2">
        <v>556</v>
      </c>
      <c r="E4690" s="2">
        <v>200</v>
      </c>
      <c r="F4690" s="2">
        <v>32441</v>
      </c>
      <c r="G4690" s="2">
        <v>2.625620504</v>
      </c>
      <c r="H4690" s="2">
        <v>9.3616380000000003E-3</v>
      </c>
      <c r="I4690" s="2" t="s">
        <v>21766</v>
      </c>
      <c r="J4690" s="2" t="s">
        <v>21767</v>
      </c>
      <c r="K4690" s="2">
        <v>1.6335925000000001E-2</v>
      </c>
      <c r="L4690" s="2" t="s">
        <v>1178</v>
      </c>
      <c r="M4690" s="4" t="s">
        <v>21768</v>
      </c>
    </row>
    <row r="4691" spans="1:13">
      <c r="A4691" s="2">
        <v>4891</v>
      </c>
      <c r="B4691" s="2" t="s">
        <v>21769</v>
      </c>
      <c r="C4691" s="2">
        <v>9</v>
      </c>
      <c r="D4691" s="2">
        <v>556</v>
      </c>
      <c r="E4691" s="2">
        <v>200</v>
      </c>
      <c r="F4691" s="2">
        <v>32441</v>
      </c>
      <c r="G4691" s="2">
        <v>2.625620504</v>
      </c>
      <c r="H4691" s="2">
        <v>9.3616380000000003E-3</v>
      </c>
      <c r="I4691" s="2" t="s">
        <v>21770</v>
      </c>
      <c r="J4691" s="2" t="s">
        <v>21771</v>
      </c>
      <c r="K4691" s="2">
        <v>1.6335925000000001E-2</v>
      </c>
      <c r="L4691" s="2" t="s">
        <v>1178</v>
      </c>
      <c r="M4691" s="4" t="s">
        <v>21772</v>
      </c>
    </row>
    <row r="4692" spans="1:13">
      <c r="A4692" s="2">
        <v>5012</v>
      </c>
      <c r="B4692" s="2" t="s">
        <v>2046</v>
      </c>
      <c r="C4692" s="2">
        <v>9</v>
      </c>
      <c r="D4692" s="2">
        <v>556</v>
      </c>
      <c r="E4692" s="2">
        <v>200</v>
      </c>
      <c r="F4692" s="2">
        <v>32441</v>
      </c>
      <c r="G4692" s="2">
        <v>2.625620504</v>
      </c>
      <c r="H4692" s="2">
        <v>9.3616380000000003E-3</v>
      </c>
      <c r="I4692" s="2" t="s">
        <v>21773</v>
      </c>
      <c r="J4692" s="2" t="s">
        <v>21774</v>
      </c>
      <c r="K4692" s="2">
        <v>1.6335925000000001E-2</v>
      </c>
      <c r="L4692" s="2" t="s">
        <v>1178</v>
      </c>
      <c r="M4692" s="4" t="s">
        <v>21775</v>
      </c>
    </row>
    <row r="4693" spans="1:13">
      <c r="A4693" s="2">
        <v>503</v>
      </c>
      <c r="B4693" s="2" t="s">
        <v>21776</v>
      </c>
      <c r="C4693" s="2">
        <v>9</v>
      </c>
      <c r="D4693" s="2">
        <v>556</v>
      </c>
      <c r="E4693" s="2">
        <v>200</v>
      </c>
      <c r="F4693" s="2">
        <v>32441</v>
      </c>
      <c r="G4693" s="2">
        <v>2.625620504</v>
      </c>
      <c r="H4693" s="2">
        <v>9.3616380000000003E-3</v>
      </c>
      <c r="I4693" s="2" t="s">
        <v>21777</v>
      </c>
      <c r="J4693" s="2" t="s">
        <v>21778</v>
      </c>
      <c r="K4693" s="2">
        <v>1.6335925000000001E-2</v>
      </c>
      <c r="L4693" s="2" t="s">
        <v>1178</v>
      </c>
      <c r="M4693" s="4" t="s">
        <v>21779</v>
      </c>
    </row>
    <row r="4694" spans="1:13">
      <c r="A4694" s="2">
        <v>504</v>
      </c>
      <c r="B4694" s="2" t="s">
        <v>21780</v>
      </c>
      <c r="C4694" s="2">
        <v>9</v>
      </c>
      <c r="D4694" s="2">
        <v>556</v>
      </c>
      <c r="E4694" s="2">
        <v>200</v>
      </c>
      <c r="F4694" s="2">
        <v>32441</v>
      </c>
      <c r="G4694" s="2">
        <v>2.625620504</v>
      </c>
      <c r="H4694" s="2">
        <v>9.3616380000000003E-3</v>
      </c>
      <c r="I4694" s="2" t="s">
        <v>21781</v>
      </c>
      <c r="J4694" s="2" t="s">
        <v>21782</v>
      </c>
      <c r="K4694" s="2">
        <v>1.6335925000000001E-2</v>
      </c>
      <c r="L4694" s="2" t="s">
        <v>1178</v>
      </c>
      <c r="M4694" s="4" t="s">
        <v>21783</v>
      </c>
    </row>
    <row r="4695" spans="1:13">
      <c r="A4695" s="2">
        <v>5163</v>
      </c>
      <c r="B4695" s="2" t="s">
        <v>21784</v>
      </c>
      <c r="C4695" s="2">
        <v>9</v>
      </c>
      <c r="D4695" s="2">
        <v>556</v>
      </c>
      <c r="E4695" s="2">
        <v>200</v>
      </c>
      <c r="F4695" s="2">
        <v>32441</v>
      </c>
      <c r="G4695" s="2">
        <v>2.625620504</v>
      </c>
      <c r="H4695" s="2">
        <v>9.3616380000000003E-3</v>
      </c>
      <c r="I4695" s="2" t="s">
        <v>21785</v>
      </c>
      <c r="J4695" s="2" t="s">
        <v>21786</v>
      </c>
      <c r="K4695" s="2">
        <v>1.6335925000000001E-2</v>
      </c>
      <c r="L4695" s="2" t="s">
        <v>1178</v>
      </c>
      <c r="M4695" s="4" t="s">
        <v>21787</v>
      </c>
    </row>
    <row r="4696" spans="1:13">
      <c r="A4696" s="2">
        <v>5192</v>
      </c>
      <c r="B4696" s="2" t="s">
        <v>21788</v>
      </c>
      <c r="C4696" s="2">
        <v>9</v>
      </c>
      <c r="D4696" s="2">
        <v>556</v>
      </c>
      <c r="E4696" s="2">
        <v>200</v>
      </c>
      <c r="F4696" s="2">
        <v>32441</v>
      </c>
      <c r="G4696" s="2">
        <v>2.625620504</v>
      </c>
      <c r="H4696" s="2">
        <v>9.3616380000000003E-3</v>
      </c>
      <c r="I4696" s="2" t="s">
        <v>21789</v>
      </c>
      <c r="J4696" s="2" t="s">
        <v>21790</v>
      </c>
      <c r="K4696" s="2">
        <v>1.6335925000000001E-2</v>
      </c>
      <c r="L4696" s="2" t="s">
        <v>1178</v>
      </c>
      <c r="M4696" s="4" t="s">
        <v>21791</v>
      </c>
    </row>
    <row r="4697" spans="1:13">
      <c r="A4697" s="2">
        <v>5261</v>
      </c>
      <c r="B4697" s="2" t="s">
        <v>21792</v>
      </c>
      <c r="C4697" s="2">
        <v>9</v>
      </c>
      <c r="D4697" s="2">
        <v>556</v>
      </c>
      <c r="E4697" s="2">
        <v>199</v>
      </c>
      <c r="F4697" s="2">
        <v>32441</v>
      </c>
      <c r="G4697" s="2">
        <v>2.6388145760000001</v>
      </c>
      <c r="H4697" s="2">
        <v>9.0895969999999996E-3</v>
      </c>
      <c r="I4697" s="2" t="s">
        <v>21793</v>
      </c>
      <c r="J4697" s="2" t="s">
        <v>21794</v>
      </c>
      <c r="K4697" s="2">
        <v>1.6335925000000001E-2</v>
      </c>
      <c r="L4697" s="2" t="s">
        <v>1178</v>
      </c>
      <c r="M4697" s="4" t="s">
        <v>21795</v>
      </c>
    </row>
    <row r="4698" spans="1:13">
      <c r="A4698" s="2">
        <v>5321</v>
      </c>
      <c r="B4698" s="2" t="s">
        <v>2349</v>
      </c>
      <c r="C4698" s="2">
        <v>9</v>
      </c>
      <c r="D4698" s="2">
        <v>556</v>
      </c>
      <c r="E4698" s="2">
        <v>200</v>
      </c>
      <c r="F4698" s="2">
        <v>32441</v>
      </c>
      <c r="G4698" s="2">
        <v>2.625620504</v>
      </c>
      <c r="H4698" s="2">
        <v>9.3616380000000003E-3</v>
      </c>
      <c r="I4698" s="2" t="s">
        <v>21796</v>
      </c>
      <c r="J4698" s="2" t="s">
        <v>21797</v>
      </c>
      <c r="K4698" s="2">
        <v>1.6335925000000001E-2</v>
      </c>
      <c r="L4698" s="2" t="s">
        <v>1178</v>
      </c>
      <c r="M4698" s="4" t="s">
        <v>21798</v>
      </c>
    </row>
    <row r="4699" spans="1:13">
      <c r="A4699" s="2">
        <v>5551</v>
      </c>
      <c r="B4699" s="2" t="s">
        <v>21799</v>
      </c>
      <c r="C4699" s="2">
        <v>9</v>
      </c>
      <c r="D4699" s="2">
        <v>556</v>
      </c>
      <c r="E4699" s="2">
        <v>200</v>
      </c>
      <c r="F4699" s="2">
        <v>32441</v>
      </c>
      <c r="G4699" s="2">
        <v>2.625620504</v>
      </c>
      <c r="H4699" s="2">
        <v>9.3616380000000003E-3</v>
      </c>
      <c r="I4699" s="2" t="s">
        <v>21800</v>
      </c>
      <c r="J4699" s="2" t="s">
        <v>21801</v>
      </c>
      <c r="K4699" s="2">
        <v>1.6335925000000001E-2</v>
      </c>
      <c r="L4699" s="2" t="s">
        <v>1178</v>
      </c>
      <c r="M4699" s="4" t="s">
        <v>21802</v>
      </c>
    </row>
    <row r="4700" spans="1:13">
      <c r="A4700" s="2">
        <v>585</v>
      </c>
      <c r="B4700" s="2" t="s">
        <v>21803</v>
      </c>
      <c r="C4700" s="2">
        <v>9</v>
      </c>
      <c r="D4700" s="2">
        <v>556</v>
      </c>
      <c r="E4700" s="2">
        <v>200</v>
      </c>
      <c r="F4700" s="2">
        <v>32441</v>
      </c>
      <c r="G4700" s="2">
        <v>2.625620504</v>
      </c>
      <c r="H4700" s="2">
        <v>9.3616380000000003E-3</v>
      </c>
      <c r="I4700" s="2" t="s">
        <v>21804</v>
      </c>
      <c r="J4700" s="2" t="s">
        <v>21805</v>
      </c>
      <c r="K4700" s="2">
        <v>1.6335925000000001E-2</v>
      </c>
      <c r="L4700" s="2" t="s">
        <v>1178</v>
      </c>
      <c r="M4700" s="4" t="s">
        <v>21806</v>
      </c>
    </row>
    <row r="4701" spans="1:13">
      <c r="A4701" s="2">
        <v>5881</v>
      </c>
      <c r="B4701" s="2" t="s">
        <v>21807</v>
      </c>
      <c r="C4701" s="2">
        <v>9</v>
      </c>
      <c r="D4701" s="2">
        <v>556</v>
      </c>
      <c r="E4701" s="2">
        <v>200</v>
      </c>
      <c r="F4701" s="2">
        <v>32441</v>
      </c>
      <c r="G4701" s="2">
        <v>2.625620504</v>
      </c>
      <c r="H4701" s="2">
        <v>9.3616380000000003E-3</v>
      </c>
      <c r="I4701" s="2" t="s">
        <v>21808</v>
      </c>
      <c r="J4701" s="2" t="s">
        <v>21809</v>
      </c>
      <c r="K4701" s="2">
        <v>1.6335925000000001E-2</v>
      </c>
      <c r="L4701" s="2" t="s">
        <v>1178</v>
      </c>
      <c r="M4701" s="4" t="s">
        <v>21810</v>
      </c>
    </row>
    <row r="4702" spans="1:13">
      <c r="A4702" s="2">
        <v>5892</v>
      </c>
      <c r="B4702" s="2" t="s">
        <v>21811</v>
      </c>
      <c r="C4702" s="2">
        <v>9</v>
      </c>
      <c r="D4702" s="2">
        <v>556</v>
      </c>
      <c r="E4702" s="2">
        <v>200</v>
      </c>
      <c r="F4702" s="2">
        <v>32441</v>
      </c>
      <c r="G4702" s="2">
        <v>2.625620504</v>
      </c>
      <c r="H4702" s="2">
        <v>9.3616380000000003E-3</v>
      </c>
      <c r="I4702" s="2" t="s">
        <v>21812</v>
      </c>
      <c r="J4702" s="2" t="s">
        <v>21813</v>
      </c>
      <c r="K4702" s="2">
        <v>1.6335925000000001E-2</v>
      </c>
      <c r="L4702" s="2" t="s">
        <v>1178</v>
      </c>
      <c r="M4702" s="4" t="s">
        <v>21814</v>
      </c>
    </row>
    <row r="4703" spans="1:13">
      <c r="A4703" s="2">
        <v>5981</v>
      </c>
      <c r="B4703" s="2" t="s">
        <v>21815</v>
      </c>
      <c r="C4703" s="2">
        <v>9</v>
      </c>
      <c r="D4703" s="2">
        <v>556</v>
      </c>
      <c r="E4703" s="2">
        <v>200</v>
      </c>
      <c r="F4703" s="2">
        <v>32441</v>
      </c>
      <c r="G4703" s="2">
        <v>2.625620504</v>
      </c>
      <c r="H4703" s="2">
        <v>9.3616380000000003E-3</v>
      </c>
      <c r="I4703" s="2" t="s">
        <v>21816</v>
      </c>
      <c r="J4703" s="2" t="s">
        <v>21817</v>
      </c>
      <c r="K4703" s="2">
        <v>1.6335925000000001E-2</v>
      </c>
      <c r="L4703" s="2" t="s">
        <v>1178</v>
      </c>
      <c r="M4703" s="4" t="s">
        <v>21818</v>
      </c>
    </row>
    <row r="4704" spans="1:13">
      <c r="A4704" s="2">
        <v>602</v>
      </c>
      <c r="B4704" s="2" t="s">
        <v>21819</v>
      </c>
      <c r="C4704" s="2">
        <v>9</v>
      </c>
      <c r="D4704" s="2">
        <v>556</v>
      </c>
      <c r="E4704" s="2">
        <v>200</v>
      </c>
      <c r="F4704" s="2">
        <v>32441</v>
      </c>
      <c r="G4704" s="2">
        <v>2.625620504</v>
      </c>
      <c r="H4704" s="2">
        <v>9.3616380000000003E-3</v>
      </c>
      <c r="I4704" s="2" t="s">
        <v>21820</v>
      </c>
      <c r="J4704" s="2" t="s">
        <v>21821</v>
      </c>
      <c r="K4704" s="2">
        <v>1.6335925000000001E-2</v>
      </c>
      <c r="L4704" s="2" t="s">
        <v>1178</v>
      </c>
      <c r="M4704" s="4" t="s">
        <v>21822</v>
      </c>
    </row>
    <row r="4705" spans="1:13">
      <c r="A4705" s="2">
        <v>6221</v>
      </c>
      <c r="B4705" s="2" t="s">
        <v>21823</v>
      </c>
      <c r="C4705" s="2">
        <v>9</v>
      </c>
      <c r="D4705" s="2">
        <v>556</v>
      </c>
      <c r="E4705" s="2">
        <v>200</v>
      </c>
      <c r="F4705" s="2">
        <v>32441</v>
      </c>
      <c r="G4705" s="2">
        <v>2.625620504</v>
      </c>
      <c r="H4705" s="2">
        <v>9.3616380000000003E-3</v>
      </c>
      <c r="I4705" s="2" t="s">
        <v>21824</v>
      </c>
      <c r="J4705" s="2" t="s">
        <v>21825</v>
      </c>
      <c r="K4705" s="2">
        <v>1.6335925000000001E-2</v>
      </c>
      <c r="L4705" s="2" t="s">
        <v>1178</v>
      </c>
      <c r="M4705" s="4" t="s">
        <v>21826</v>
      </c>
    </row>
    <row r="4706" spans="1:13">
      <c r="A4706" s="2">
        <v>6231</v>
      </c>
      <c r="B4706" s="2" t="s">
        <v>1569</v>
      </c>
      <c r="C4706" s="2">
        <v>9</v>
      </c>
      <c r="D4706" s="2">
        <v>556</v>
      </c>
      <c r="E4706" s="2">
        <v>200</v>
      </c>
      <c r="F4706" s="2">
        <v>32441</v>
      </c>
      <c r="G4706" s="2">
        <v>2.625620504</v>
      </c>
      <c r="H4706" s="2">
        <v>9.3616380000000003E-3</v>
      </c>
      <c r="I4706" s="2" t="s">
        <v>21827</v>
      </c>
      <c r="J4706" s="2" t="s">
        <v>21828</v>
      </c>
      <c r="K4706" s="2">
        <v>1.6335925000000001E-2</v>
      </c>
      <c r="L4706" s="2" t="s">
        <v>1178</v>
      </c>
      <c r="M4706" s="4" t="s">
        <v>21829</v>
      </c>
    </row>
    <row r="4707" spans="1:13">
      <c r="A4707" s="2">
        <v>626</v>
      </c>
      <c r="B4707" s="2" t="s">
        <v>21830</v>
      </c>
      <c r="C4707" s="2">
        <v>9</v>
      </c>
      <c r="D4707" s="2">
        <v>556</v>
      </c>
      <c r="E4707" s="2">
        <v>200</v>
      </c>
      <c r="F4707" s="2">
        <v>32441</v>
      </c>
      <c r="G4707" s="2">
        <v>2.625620504</v>
      </c>
      <c r="H4707" s="2">
        <v>9.3616380000000003E-3</v>
      </c>
      <c r="I4707" s="2" t="s">
        <v>21831</v>
      </c>
      <c r="J4707" s="2" t="s">
        <v>21832</v>
      </c>
      <c r="K4707" s="2">
        <v>1.6335925000000001E-2</v>
      </c>
      <c r="L4707" s="2" t="s">
        <v>1178</v>
      </c>
      <c r="M4707" s="4" t="s">
        <v>21833</v>
      </c>
    </row>
    <row r="4708" spans="1:13">
      <c r="A4708" s="2">
        <v>629</v>
      </c>
      <c r="B4708" s="2" t="s">
        <v>21834</v>
      </c>
      <c r="C4708" s="2">
        <v>9</v>
      </c>
      <c r="D4708" s="2">
        <v>556</v>
      </c>
      <c r="E4708" s="2">
        <v>200</v>
      </c>
      <c r="F4708" s="2">
        <v>32441</v>
      </c>
      <c r="G4708" s="2">
        <v>2.625620504</v>
      </c>
      <c r="H4708" s="2">
        <v>9.3616380000000003E-3</v>
      </c>
      <c r="I4708" s="2" t="s">
        <v>21835</v>
      </c>
      <c r="J4708" s="2" t="s">
        <v>21836</v>
      </c>
      <c r="K4708" s="2">
        <v>1.6335925000000001E-2</v>
      </c>
      <c r="L4708" s="2" t="s">
        <v>1178</v>
      </c>
      <c r="M4708" s="4" t="s">
        <v>21837</v>
      </c>
    </row>
    <row r="4709" spans="1:13">
      <c r="A4709" s="2">
        <v>6332</v>
      </c>
      <c r="B4709" s="2" t="s">
        <v>21838</v>
      </c>
      <c r="C4709" s="2">
        <v>9</v>
      </c>
      <c r="D4709" s="2">
        <v>556</v>
      </c>
      <c r="E4709" s="2">
        <v>200</v>
      </c>
      <c r="F4709" s="2">
        <v>32441</v>
      </c>
      <c r="G4709" s="2">
        <v>2.625620504</v>
      </c>
      <c r="H4709" s="2">
        <v>9.3616380000000003E-3</v>
      </c>
      <c r="I4709" s="2" t="s">
        <v>21839</v>
      </c>
      <c r="J4709" s="2" t="s">
        <v>21840</v>
      </c>
      <c r="K4709" s="2">
        <v>1.6335925000000001E-2</v>
      </c>
      <c r="L4709" s="2" t="s">
        <v>1178</v>
      </c>
      <c r="M4709" s="4" t="s">
        <v>21841</v>
      </c>
    </row>
    <row r="4710" spans="1:13">
      <c r="A4710" s="2">
        <v>640</v>
      </c>
      <c r="B4710" s="2" t="s">
        <v>21842</v>
      </c>
      <c r="C4710" s="2">
        <v>9</v>
      </c>
      <c r="D4710" s="2">
        <v>556</v>
      </c>
      <c r="E4710" s="2">
        <v>200</v>
      </c>
      <c r="F4710" s="2">
        <v>32441</v>
      </c>
      <c r="G4710" s="2">
        <v>2.625620504</v>
      </c>
      <c r="H4710" s="2">
        <v>9.3616380000000003E-3</v>
      </c>
      <c r="I4710" s="2" t="s">
        <v>21843</v>
      </c>
      <c r="J4710" s="2" t="s">
        <v>21844</v>
      </c>
      <c r="K4710" s="2">
        <v>1.6335925000000001E-2</v>
      </c>
      <c r="L4710" s="2" t="s">
        <v>1178</v>
      </c>
      <c r="M4710" s="4" t="s">
        <v>21845</v>
      </c>
    </row>
    <row r="4711" spans="1:13">
      <c r="A4711" s="2">
        <v>651</v>
      </c>
      <c r="B4711" s="2" t="s">
        <v>1467</v>
      </c>
      <c r="C4711" s="2">
        <v>9</v>
      </c>
      <c r="D4711" s="2">
        <v>556</v>
      </c>
      <c r="E4711" s="2">
        <v>200</v>
      </c>
      <c r="F4711" s="2">
        <v>32441</v>
      </c>
      <c r="G4711" s="2">
        <v>2.625620504</v>
      </c>
      <c r="H4711" s="2">
        <v>9.3616380000000003E-3</v>
      </c>
      <c r="I4711" s="2" t="s">
        <v>21846</v>
      </c>
      <c r="J4711" s="2" t="s">
        <v>21847</v>
      </c>
      <c r="K4711" s="2">
        <v>1.6335925000000001E-2</v>
      </c>
      <c r="L4711" s="2" t="s">
        <v>1178</v>
      </c>
      <c r="M4711" s="4" t="s">
        <v>21848</v>
      </c>
    </row>
    <row r="4712" spans="1:13">
      <c r="A4712" s="2">
        <v>6581</v>
      </c>
      <c r="B4712" s="2" t="s">
        <v>21849</v>
      </c>
      <c r="C4712" s="2">
        <v>9</v>
      </c>
      <c r="D4712" s="2">
        <v>556</v>
      </c>
      <c r="E4712" s="2">
        <v>200</v>
      </c>
      <c r="F4712" s="2">
        <v>32441</v>
      </c>
      <c r="G4712" s="2">
        <v>2.625620504</v>
      </c>
      <c r="H4712" s="2">
        <v>9.3616380000000003E-3</v>
      </c>
      <c r="I4712" s="2" t="s">
        <v>21850</v>
      </c>
      <c r="J4712" s="2" t="s">
        <v>21851</v>
      </c>
      <c r="K4712" s="2">
        <v>1.6335925000000001E-2</v>
      </c>
      <c r="L4712" s="2" t="s">
        <v>1178</v>
      </c>
      <c r="M4712" s="4" t="s">
        <v>21852</v>
      </c>
    </row>
    <row r="4713" spans="1:13">
      <c r="A4713" s="2">
        <v>6642</v>
      </c>
      <c r="B4713" s="2" t="s">
        <v>21853</v>
      </c>
      <c r="C4713" s="2">
        <v>9</v>
      </c>
      <c r="D4713" s="2">
        <v>556</v>
      </c>
      <c r="E4713" s="2">
        <v>200</v>
      </c>
      <c r="F4713" s="2">
        <v>32441</v>
      </c>
      <c r="G4713" s="2">
        <v>2.625620504</v>
      </c>
      <c r="H4713" s="2">
        <v>9.3616380000000003E-3</v>
      </c>
      <c r="I4713" s="2" t="s">
        <v>21854</v>
      </c>
      <c r="J4713" s="2" t="s">
        <v>21855</v>
      </c>
      <c r="K4713" s="2">
        <v>1.6335925000000001E-2</v>
      </c>
      <c r="L4713" s="2" t="s">
        <v>1178</v>
      </c>
      <c r="M4713" s="4" t="s">
        <v>21856</v>
      </c>
    </row>
    <row r="4714" spans="1:13">
      <c r="A4714" s="2">
        <v>6711</v>
      </c>
      <c r="B4714" s="2" t="s">
        <v>2370</v>
      </c>
      <c r="C4714" s="2">
        <v>9</v>
      </c>
      <c r="D4714" s="2">
        <v>556</v>
      </c>
      <c r="E4714" s="2">
        <v>200</v>
      </c>
      <c r="F4714" s="2">
        <v>32441</v>
      </c>
      <c r="G4714" s="2">
        <v>2.625620504</v>
      </c>
      <c r="H4714" s="2">
        <v>9.3616380000000003E-3</v>
      </c>
      <c r="I4714" s="2" t="s">
        <v>21857</v>
      </c>
      <c r="J4714" s="2" t="s">
        <v>21858</v>
      </c>
      <c r="K4714" s="2">
        <v>1.6335925000000001E-2</v>
      </c>
      <c r="L4714" s="2" t="s">
        <v>1178</v>
      </c>
      <c r="M4714" s="4" t="s">
        <v>21859</v>
      </c>
    </row>
    <row r="4715" spans="1:13">
      <c r="A4715" s="2">
        <v>672</v>
      </c>
      <c r="B4715" s="2" t="s">
        <v>21860</v>
      </c>
      <c r="C4715" s="2">
        <v>9</v>
      </c>
      <c r="D4715" s="2">
        <v>556</v>
      </c>
      <c r="E4715" s="2">
        <v>199</v>
      </c>
      <c r="F4715" s="2">
        <v>32441</v>
      </c>
      <c r="G4715" s="2">
        <v>2.6388145760000001</v>
      </c>
      <c r="H4715" s="2">
        <v>9.0895969999999996E-3</v>
      </c>
      <c r="I4715" s="2" t="s">
        <v>21861</v>
      </c>
      <c r="J4715" s="2" t="s">
        <v>21862</v>
      </c>
      <c r="K4715" s="2">
        <v>1.6335925000000001E-2</v>
      </c>
      <c r="L4715" s="2" t="s">
        <v>1178</v>
      </c>
      <c r="M4715" s="4" t="s">
        <v>21863</v>
      </c>
    </row>
    <row r="4716" spans="1:13">
      <c r="A4716" s="2">
        <v>6781</v>
      </c>
      <c r="B4716" s="2" t="s">
        <v>21864</v>
      </c>
      <c r="C4716" s="2">
        <v>9</v>
      </c>
      <c r="D4716" s="2">
        <v>556</v>
      </c>
      <c r="E4716" s="2">
        <v>200</v>
      </c>
      <c r="F4716" s="2">
        <v>32441</v>
      </c>
      <c r="G4716" s="2">
        <v>2.625620504</v>
      </c>
      <c r="H4716" s="2">
        <v>9.3616380000000003E-3</v>
      </c>
      <c r="I4716" s="2" t="s">
        <v>21865</v>
      </c>
      <c r="J4716" s="2" t="s">
        <v>21866</v>
      </c>
      <c r="K4716" s="2">
        <v>1.6335925000000001E-2</v>
      </c>
      <c r="L4716" s="2" t="s">
        <v>1178</v>
      </c>
      <c r="M4716" s="4" t="s">
        <v>21867</v>
      </c>
    </row>
    <row r="4717" spans="1:13">
      <c r="A4717" s="2">
        <v>686</v>
      </c>
      <c r="B4717" s="2" t="s">
        <v>1839</v>
      </c>
      <c r="C4717" s="2">
        <v>9</v>
      </c>
      <c r="D4717" s="2">
        <v>556</v>
      </c>
      <c r="E4717" s="2">
        <v>200</v>
      </c>
      <c r="F4717" s="2">
        <v>32441</v>
      </c>
      <c r="G4717" s="2">
        <v>2.625620504</v>
      </c>
      <c r="H4717" s="2">
        <v>9.3616380000000003E-3</v>
      </c>
      <c r="I4717" s="2" t="s">
        <v>21868</v>
      </c>
      <c r="J4717" s="2" t="s">
        <v>21869</v>
      </c>
      <c r="K4717" s="2">
        <v>1.6335925000000001E-2</v>
      </c>
      <c r="L4717" s="2" t="s">
        <v>1178</v>
      </c>
      <c r="M4717" s="4" t="s">
        <v>21870</v>
      </c>
    </row>
    <row r="4718" spans="1:13">
      <c r="A4718" s="2">
        <v>6972</v>
      </c>
      <c r="B4718" s="2" t="s">
        <v>21871</v>
      </c>
      <c r="C4718" s="2">
        <v>9</v>
      </c>
      <c r="D4718" s="2">
        <v>556</v>
      </c>
      <c r="E4718" s="2">
        <v>200</v>
      </c>
      <c r="F4718" s="2">
        <v>32441</v>
      </c>
      <c r="G4718" s="2">
        <v>2.625620504</v>
      </c>
      <c r="H4718" s="2">
        <v>9.3616380000000003E-3</v>
      </c>
      <c r="I4718" s="2" t="s">
        <v>21872</v>
      </c>
      <c r="J4718" s="2" t="s">
        <v>21873</v>
      </c>
      <c r="K4718" s="2">
        <v>1.6335925000000001E-2</v>
      </c>
      <c r="L4718" s="2" t="s">
        <v>1178</v>
      </c>
      <c r="M4718" s="4" t="s">
        <v>21874</v>
      </c>
    </row>
    <row r="4719" spans="1:13">
      <c r="A4719" s="2">
        <v>6981</v>
      </c>
      <c r="B4719" s="2" t="s">
        <v>21875</v>
      </c>
      <c r="C4719" s="2">
        <v>9</v>
      </c>
      <c r="D4719" s="2">
        <v>556</v>
      </c>
      <c r="E4719" s="2">
        <v>199</v>
      </c>
      <c r="F4719" s="2">
        <v>32441</v>
      </c>
      <c r="G4719" s="2">
        <v>2.6388145760000001</v>
      </c>
      <c r="H4719" s="2">
        <v>9.0895969999999996E-3</v>
      </c>
      <c r="I4719" s="2" t="s">
        <v>21876</v>
      </c>
      <c r="J4719" s="2" t="s">
        <v>21877</v>
      </c>
      <c r="K4719" s="2">
        <v>1.6335925000000001E-2</v>
      </c>
      <c r="L4719" s="2" t="s">
        <v>1178</v>
      </c>
      <c r="M4719" s="4" t="s">
        <v>21878</v>
      </c>
    </row>
    <row r="4720" spans="1:13">
      <c r="A4720" s="2">
        <v>720</v>
      </c>
      <c r="B4720" s="2" t="s">
        <v>21879</v>
      </c>
      <c r="C4720" s="2">
        <v>9</v>
      </c>
      <c r="D4720" s="2">
        <v>556</v>
      </c>
      <c r="E4720" s="2">
        <v>200</v>
      </c>
      <c r="F4720" s="2">
        <v>32441</v>
      </c>
      <c r="G4720" s="2">
        <v>2.625620504</v>
      </c>
      <c r="H4720" s="2">
        <v>9.3616380000000003E-3</v>
      </c>
      <c r="I4720" s="2" t="s">
        <v>21880</v>
      </c>
      <c r="J4720" s="2" t="s">
        <v>21881</v>
      </c>
      <c r="K4720" s="2">
        <v>1.6335925000000001E-2</v>
      </c>
      <c r="L4720" s="2" t="s">
        <v>1178</v>
      </c>
      <c r="M4720" s="4" t="s">
        <v>21882</v>
      </c>
    </row>
    <row r="4721" spans="1:13">
      <c r="A4721" s="2">
        <v>7501</v>
      </c>
      <c r="B4721" s="2" t="s">
        <v>21883</v>
      </c>
      <c r="C4721" s="2">
        <v>9</v>
      </c>
      <c r="D4721" s="2">
        <v>556</v>
      </c>
      <c r="E4721" s="2">
        <v>200</v>
      </c>
      <c r="F4721" s="2">
        <v>32441</v>
      </c>
      <c r="G4721" s="2">
        <v>2.625620504</v>
      </c>
      <c r="H4721" s="2">
        <v>9.3616380000000003E-3</v>
      </c>
      <c r="I4721" s="2" t="s">
        <v>21884</v>
      </c>
      <c r="J4721" s="2" t="s">
        <v>21885</v>
      </c>
      <c r="K4721" s="2">
        <v>1.6335925000000001E-2</v>
      </c>
      <c r="L4721" s="2" t="s">
        <v>1178</v>
      </c>
      <c r="M4721" s="4" t="s">
        <v>21886</v>
      </c>
    </row>
    <row r="4722" spans="1:13">
      <c r="A4722" s="2">
        <v>756</v>
      </c>
      <c r="B4722" s="2" t="s">
        <v>21887</v>
      </c>
      <c r="C4722" s="2">
        <v>9</v>
      </c>
      <c r="D4722" s="2">
        <v>556</v>
      </c>
      <c r="E4722" s="2">
        <v>200</v>
      </c>
      <c r="F4722" s="2">
        <v>32441</v>
      </c>
      <c r="G4722" s="2">
        <v>2.625620504</v>
      </c>
      <c r="H4722" s="2">
        <v>9.3616380000000003E-3</v>
      </c>
      <c r="I4722" s="2" t="s">
        <v>21888</v>
      </c>
      <c r="J4722" s="2" t="s">
        <v>21889</v>
      </c>
      <c r="K4722" s="2">
        <v>1.6335925000000001E-2</v>
      </c>
      <c r="L4722" s="2" t="s">
        <v>1178</v>
      </c>
      <c r="M4722" s="4" t="s">
        <v>21890</v>
      </c>
    </row>
    <row r="4723" spans="1:13">
      <c r="A4723" s="2">
        <v>7861</v>
      </c>
      <c r="B4723" s="2" t="s">
        <v>21891</v>
      </c>
      <c r="C4723" s="2">
        <v>9</v>
      </c>
      <c r="D4723" s="2">
        <v>556</v>
      </c>
      <c r="E4723" s="2">
        <v>200</v>
      </c>
      <c r="F4723" s="2">
        <v>32441</v>
      </c>
      <c r="G4723" s="2">
        <v>2.625620504</v>
      </c>
      <c r="H4723" s="2">
        <v>9.3616380000000003E-3</v>
      </c>
      <c r="I4723" s="2" t="s">
        <v>21892</v>
      </c>
      <c r="J4723" s="2" t="s">
        <v>21893</v>
      </c>
      <c r="K4723" s="2">
        <v>1.6335925000000001E-2</v>
      </c>
      <c r="L4723" s="2" t="s">
        <v>1178</v>
      </c>
      <c r="M4723" s="4" t="s">
        <v>21894</v>
      </c>
    </row>
    <row r="4724" spans="1:13">
      <c r="A4724" s="2">
        <v>849</v>
      </c>
      <c r="B4724" s="2" t="s">
        <v>21895</v>
      </c>
      <c r="C4724" s="2">
        <v>9</v>
      </c>
      <c r="D4724" s="2">
        <v>556</v>
      </c>
      <c r="E4724" s="2">
        <v>200</v>
      </c>
      <c r="F4724" s="2">
        <v>32441</v>
      </c>
      <c r="G4724" s="2">
        <v>2.625620504</v>
      </c>
      <c r="H4724" s="2">
        <v>9.3616380000000003E-3</v>
      </c>
      <c r="I4724" s="2" t="s">
        <v>21896</v>
      </c>
      <c r="J4724" s="2" t="s">
        <v>21897</v>
      </c>
      <c r="K4724" s="2">
        <v>1.6335925000000001E-2</v>
      </c>
      <c r="L4724" s="2" t="s">
        <v>1178</v>
      </c>
      <c r="M4724" s="4" t="s">
        <v>21898</v>
      </c>
    </row>
    <row r="4725" spans="1:13">
      <c r="A4725" s="2">
        <v>865</v>
      </c>
      <c r="B4725" s="2" t="s">
        <v>21899</v>
      </c>
      <c r="C4725" s="2">
        <v>9</v>
      </c>
      <c r="D4725" s="2">
        <v>556</v>
      </c>
      <c r="E4725" s="2">
        <v>200</v>
      </c>
      <c r="F4725" s="2">
        <v>32441</v>
      </c>
      <c r="G4725" s="2">
        <v>2.625620504</v>
      </c>
      <c r="H4725" s="2">
        <v>9.3616380000000003E-3</v>
      </c>
      <c r="I4725" s="2" t="s">
        <v>21900</v>
      </c>
      <c r="J4725" s="2" t="s">
        <v>21901</v>
      </c>
      <c r="K4725" s="2">
        <v>1.6335925000000001E-2</v>
      </c>
      <c r="L4725" s="2" t="s">
        <v>1178</v>
      </c>
      <c r="M4725" s="4" t="s">
        <v>21902</v>
      </c>
    </row>
    <row r="4726" spans="1:13">
      <c r="A4726" s="2">
        <v>871</v>
      </c>
      <c r="B4726" s="2" t="s">
        <v>21903</v>
      </c>
      <c r="C4726" s="2">
        <v>9</v>
      </c>
      <c r="D4726" s="2">
        <v>556</v>
      </c>
      <c r="E4726" s="2">
        <v>200</v>
      </c>
      <c r="F4726" s="2">
        <v>32441</v>
      </c>
      <c r="G4726" s="2">
        <v>2.625620504</v>
      </c>
      <c r="H4726" s="2">
        <v>9.3616380000000003E-3</v>
      </c>
      <c r="I4726" s="2" t="s">
        <v>21904</v>
      </c>
      <c r="J4726" s="2" t="s">
        <v>21905</v>
      </c>
      <c r="K4726" s="2">
        <v>1.6335925000000001E-2</v>
      </c>
      <c r="L4726" s="2" t="s">
        <v>1178</v>
      </c>
      <c r="M4726" s="4" t="s">
        <v>21906</v>
      </c>
    </row>
    <row r="4727" spans="1:13">
      <c r="A4727" s="2">
        <v>877</v>
      </c>
      <c r="B4727" s="2" t="s">
        <v>21907</v>
      </c>
      <c r="C4727" s="2">
        <v>9</v>
      </c>
      <c r="D4727" s="2">
        <v>556</v>
      </c>
      <c r="E4727" s="2">
        <v>200</v>
      </c>
      <c r="F4727" s="2">
        <v>32441</v>
      </c>
      <c r="G4727" s="2">
        <v>2.625620504</v>
      </c>
      <c r="H4727" s="2">
        <v>9.3616380000000003E-3</v>
      </c>
      <c r="I4727" s="2" t="s">
        <v>21908</v>
      </c>
      <c r="J4727" s="2" t="s">
        <v>21909</v>
      </c>
      <c r="K4727" s="2">
        <v>1.6335925000000001E-2</v>
      </c>
      <c r="L4727" s="2" t="s">
        <v>1178</v>
      </c>
      <c r="M4727" s="4" t="s">
        <v>21910</v>
      </c>
    </row>
    <row r="4728" spans="1:13">
      <c r="A4728" s="2">
        <v>896</v>
      </c>
      <c r="B4728" s="2" t="s">
        <v>21911</v>
      </c>
      <c r="C4728" s="2">
        <v>9</v>
      </c>
      <c r="D4728" s="2">
        <v>556</v>
      </c>
      <c r="E4728" s="2">
        <v>200</v>
      </c>
      <c r="F4728" s="2">
        <v>32441</v>
      </c>
      <c r="G4728" s="2">
        <v>2.625620504</v>
      </c>
      <c r="H4728" s="2">
        <v>9.3616380000000003E-3</v>
      </c>
      <c r="I4728" s="2" t="s">
        <v>21912</v>
      </c>
      <c r="J4728" s="2" t="s">
        <v>21913</v>
      </c>
      <c r="K4728" s="2">
        <v>1.6335925000000001E-2</v>
      </c>
      <c r="L4728" s="2" t="s">
        <v>1178</v>
      </c>
      <c r="M4728" s="4" t="s">
        <v>21914</v>
      </c>
    </row>
    <row r="4729" spans="1:13">
      <c r="A4729" s="2">
        <v>927</v>
      </c>
      <c r="B4729" s="2" t="s">
        <v>21915</v>
      </c>
      <c r="C4729" s="2">
        <v>9</v>
      </c>
      <c r="D4729" s="2">
        <v>556</v>
      </c>
      <c r="E4729" s="2">
        <v>200</v>
      </c>
      <c r="F4729" s="2">
        <v>32441</v>
      </c>
      <c r="G4729" s="2">
        <v>2.625620504</v>
      </c>
      <c r="H4729" s="2">
        <v>9.3616380000000003E-3</v>
      </c>
      <c r="I4729" s="2" t="s">
        <v>21916</v>
      </c>
      <c r="J4729" s="2" t="s">
        <v>21917</v>
      </c>
      <c r="K4729" s="2">
        <v>1.6335925000000001E-2</v>
      </c>
      <c r="L4729" s="2" t="s">
        <v>1178</v>
      </c>
      <c r="M4729" s="4" t="s">
        <v>21918</v>
      </c>
    </row>
    <row r="4730" spans="1:13">
      <c r="A4730" s="2">
        <v>936</v>
      </c>
      <c r="B4730" s="2" t="s">
        <v>21919</v>
      </c>
      <c r="C4730" s="2">
        <v>9</v>
      </c>
      <c r="D4730" s="2">
        <v>556</v>
      </c>
      <c r="E4730" s="2">
        <v>200</v>
      </c>
      <c r="F4730" s="2">
        <v>32441</v>
      </c>
      <c r="G4730" s="2">
        <v>2.625620504</v>
      </c>
      <c r="H4730" s="2">
        <v>9.3616380000000003E-3</v>
      </c>
      <c r="I4730" s="2" t="s">
        <v>21920</v>
      </c>
      <c r="J4730" s="2" t="s">
        <v>21921</v>
      </c>
      <c r="K4730" s="2">
        <v>1.6335925000000001E-2</v>
      </c>
      <c r="L4730" s="2" t="s">
        <v>1178</v>
      </c>
      <c r="M4730" s="4" t="s">
        <v>21922</v>
      </c>
    </row>
    <row r="4731" spans="1:13">
      <c r="A4731" s="2">
        <v>969</v>
      </c>
      <c r="B4731" s="2" t="s">
        <v>21923</v>
      </c>
      <c r="C4731" s="2">
        <v>9</v>
      </c>
      <c r="D4731" s="2">
        <v>556</v>
      </c>
      <c r="E4731" s="2">
        <v>200</v>
      </c>
      <c r="F4731" s="2">
        <v>32441</v>
      </c>
      <c r="G4731" s="2">
        <v>2.625620504</v>
      </c>
      <c r="H4731" s="2">
        <v>9.3616380000000003E-3</v>
      </c>
      <c r="I4731" s="2" t="s">
        <v>21924</v>
      </c>
      <c r="J4731" s="2" t="s">
        <v>21925</v>
      </c>
      <c r="K4731" s="2">
        <v>1.6335925000000001E-2</v>
      </c>
      <c r="L4731" s="2" t="s">
        <v>1178</v>
      </c>
      <c r="M4731" s="4" t="s">
        <v>21926</v>
      </c>
    </row>
    <row r="4732" spans="1:13">
      <c r="A4732" s="2">
        <v>10111</v>
      </c>
      <c r="B4732" s="2" t="s">
        <v>1371</v>
      </c>
      <c r="C4732" s="2">
        <v>9</v>
      </c>
      <c r="D4732" s="2">
        <v>556</v>
      </c>
      <c r="E4732" s="2">
        <v>200</v>
      </c>
      <c r="F4732" s="2">
        <v>32441</v>
      </c>
      <c r="G4732" s="2">
        <v>2.625620504</v>
      </c>
      <c r="H4732" s="2">
        <v>9.3616380000000003E-3</v>
      </c>
      <c r="I4732" s="2" t="s">
        <v>21927</v>
      </c>
      <c r="J4732" s="2" t="s">
        <v>21928</v>
      </c>
      <c r="K4732" s="2">
        <v>1.6335925000000001E-2</v>
      </c>
      <c r="L4732" s="2" t="s">
        <v>1178</v>
      </c>
      <c r="M4732" s="4" t="s">
        <v>21929</v>
      </c>
    </row>
    <row r="4733" spans="1:13">
      <c r="A4733" s="2">
        <v>10191</v>
      </c>
      <c r="B4733" s="2" t="s">
        <v>21930</v>
      </c>
      <c r="C4733" s="2">
        <v>9</v>
      </c>
      <c r="D4733" s="2">
        <v>556</v>
      </c>
      <c r="E4733" s="2">
        <v>200</v>
      </c>
      <c r="F4733" s="2">
        <v>32441</v>
      </c>
      <c r="G4733" s="2">
        <v>2.625620504</v>
      </c>
      <c r="H4733" s="2">
        <v>9.3616380000000003E-3</v>
      </c>
      <c r="I4733" s="2" t="s">
        <v>21931</v>
      </c>
      <c r="J4733" s="2" t="s">
        <v>21932</v>
      </c>
      <c r="K4733" s="2">
        <v>1.6335925000000001E-2</v>
      </c>
      <c r="L4733" s="2" t="s">
        <v>1178</v>
      </c>
      <c r="M4733" s="4" t="s">
        <v>21933</v>
      </c>
    </row>
    <row r="4734" spans="1:13">
      <c r="A4734" s="2">
        <v>10491</v>
      </c>
      <c r="B4734" s="2" t="s">
        <v>1419</v>
      </c>
      <c r="C4734" s="2">
        <v>9</v>
      </c>
      <c r="D4734" s="2">
        <v>556</v>
      </c>
      <c r="E4734" s="2">
        <v>200</v>
      </c>
      <c r="F4734" s="2">
        <v>32441</v>
      </c>
      <c r="G4734" s="2">
        <v>2.625620504</v>
      </c>
      <c r="H4734" s="2">
        <v>9.3616380000000003E-3</v>
      </c>
      <c r="I4734" s="2" t="s">
        <v>21934</v>
      </c>
      <c r="J4734" s="2" t="s">
        <v>21935</v>
      </c>
      <c r="K4734" s="2">
        <v>1.6335925000000001E-2</v>
      </c>
      <c r="L4734" s="2" t="s">
        <v>1178</v>
      </c>
      <c r="M4734" s="4" t="s">
        <v>21936</v>
      </c>
    </row>
    <row r="4735" spans="1:13">
      <c r="A4735" s="2">
        <v>1082</v>
      </c>
      <c r="B4735" s="2" t="s">
        <v>3364</v>
      </c>
      <c r="C4735" s="2">
        <v>9</v>
      </c>
      <c r="D4735" s="2">
        <v>556</v>
      </c>
      <c r="E4735" s="2">
        <v>200</v>
      </c>
      <c r="F4735" s="2">
        <v>32441</v>
      </c>
      <c r="G4735" s="2">
        <v>2.625620504</v>
      </c>
      <c r="H4735" s="2">
        <v>9.3616380000000003E-3</v>
      </c>
      <c r="I4735" s="2" t="s">
        <v>21937</v>
      </c>
      <c r="J4735" s="2" t="s">
        <v>21938</v>
      </c>
      <c r="K4735" s="2">
        <v>1.6335925000000001E-2</v>
      </c>
      <c r="L4735" s="2" t="s">
        <v>1178</v>
      </c>
      <c r="M4735" s="4" t="s">
        <v>3367</v>
      </c>
    </row>
    <row r="4736" spans="1:13">
      <c r="A4736" s="2">
        <v>1097</v>
      </c>
      <c r="B4736" s="2" t="s">
        <v>21939</v>
      </c>
      <c r="C4736" s="2">
        <v>9</v>
      </c>
      <c r="D4736" s="2">
        <v>556</v>
      </c>
      <c r="E4736" s="2">
        <v>200</v>
      </c>
      <c r="F4736" s="2">
        <v>32441</v>
      </c>
      <c r="G4736" s="2">
        <v>2.625620504</v>
      </c>
      <c r="H4736" s="2">
        <v>9.3616380000000003E-3</v>
      </c>
      <c r="I4736" s="2" t="s">
        <v>21940</v>
      </c>
      <c r="J4736" s="2" t="s">
        <v>21941</v>
      </c>
      <c r="K4736" s="2">
        <v>1.6335925000000001E-2</v>
      </c>
      <c r="L4736" s="2" t="s">
        <v>1178</v>
      </c>
      <c r="M4736" s="4" t="s">
        <v>21942</v>
      </c>
    </row>
    <row r="4737" spans="1:13">
      <c r="A4737" s="2">
        <v>1102</v>
      </c>
      <c r="B4737" s="2" t="s">
        <v>21943</v>
      </c>
      <c r="C4737" s="2">
        <v>9</v>
      </c>
      <c r="D4737" s="2">
        <v>556</v>
      </c>
      <c r="E4737" s="2">
        <v>200</v>
      </c>
      <c r="F4737" s="2">
        <v>32441</v>
      </c>
      <c r="G4737" s="2">
        <v>2.625620504</v>
      </c>
      <c r="H4737" s="2">
        <v>9.3616380000000003E-3</v>
      </c>
      <c r="I4737" s="2" t="s">
        <v>21944</v>
      </c>
      <c r="J4737" s="2" t="s">
        <v>21945</v>
      </c>
      <c r="K4737" s="2">
        <v>1.6335925000000001E-2</v>
      </c>
      <c r="L4737" s="2" t="s">
        <v>1178</v>
      </c>
      <c r="M4737" s="4" t="s">
        <v>21946</v>
      </c>
    </row>
    <row r="4738" spans="1:13">
      <c r="A4738" s="2">
        <v>1109</v>
      </c>
      <c r="B4738" s="2" t="s">
        <v>21947</v>
      </c>
      <c r="C4738" s="2">
        <v>9</v>
      </c>
      <c r="D4738" s="2">
        <v>556</v>
      </c>
      <c r="E4738" s="2">
        <v>200</v>
      </c>
      <c r="F4738" s="2">
        <v>32441</v>
      </c>
      <c r="G4738" s="2">
        <v>2.625620504</v>
      </c>
      <c r="H4738" s="2">
        <v>9.3616380000000003E-3</v>
      </c>
      <c r="I4738" s="2" t="s">
        <v>21948</v>
      </c>
      <c r="J4738" s="2" t="s">
        <v>21949</v>
      </c>
      <c r="K4738" s="2">
        <v>1.6335925000000001E-2</v>
      </c>
      <c r="L4738" s="2" t="s">
        <v>1178</v>
      </c>
      <c r="M4738" s="4" t="s">
        <v>21950</v>
      </c>
    </row>
    <row r="4739" spans="1:13">
      <c r="A4739" s="2">
        <v>1119</v>
      </c>
      <c r="B4739" s="2" t="s">
        <v>1863</v>
      </c>
      <c r="C4739" s="2">
        <v>9</v>
      </c>
      <c r="D4739" s="2">
        <v>556</v>
      </c>
      <c r="E4739" s="2">
        <v>200</v>
      </c>
      <c r="F4739" s="2">
        <v>32441</v>
      </c>
      <c r="G4739" s="2">
        <v>2.625620504</v>
      </c>
      <c r="H4739" s="2">
        <v>9.3616380000000003E-3</v>
      </c>
      <c r="I4739" s="2" t="s">
        <v>21951</v>
      </c>
      <c r="J4739" s="2" t="s">
        <v>21952</v>
      </c>
      <c r="K4739" s="2">
        <v>1.6335925000000001E-2</v>
      </c>
      <c r="L4739" s="2" t="s">
        <v>1178</v>
      </c>
      <c r="M4739" s="4" t="s">
        <v>21953</v>
      </c>
    </row>
    <row r="4740" spans="1:13">
      <c r="A4740" s="2">
        <v>1143</v>
      </c>
      <c r="B4740" s="2" t="s">
        <v>21954</v>
      </c>
      <c r="C4740" s="2">
        <v>9</v>
      </c>
      <c r="D4740" s="2">
        <v>556</v>
      </c>
      <c r="E4740" s="2">
        <v>200</v>
      </c>
      <c r="F4740" s="2">
        <v>32441</v>
      </c>
      <c r="G4740" s="2">
        <v>2.625620504</v>
      </c>
      <c r="H4740" s="2">
        <v>9.3616380000000003E-3</v>
      </c>
      <c r="I4740" s="2" t="s">
        <v>21955</v>
      </c>
      <c r="J4740" s="2" t="s">
        <v>21956</v>
      </c>
      <c r="K4740" s="2">
        <v>1.6335925000000001E-2</v>
      </c>
      <c r="L4740" s="2" t="s">
        <v>1178</v>
      </c>
      <c r="M4740" s="4" t="s">
        <v>21957</v>
      </c>
    </row>
    <row r="4741" spans="1:13">
      <c r="A4741" s="2">
        <v>11521</v>
      </c>
      <c r="B4741" s="2" t="s">
        <v>2112</v>
      </c>
      <c r="C4741" s="2">
        <v>9</v>
      </c>
      <c r="D4741" s="2">
        <v>556</v>
      </c>
      <c r="E4741" s="2">
        <v>200</v>
      </c>
      <c r="F4741" s="2">
        <v>32441</v>
      </c>
      <c r="G4741" s="2">
        <v>2.625620504</v>
      </c>
      <c r="H4741" s="2">
        <v>9.3616380000000003E-3</v>
      </c>
      <c r="I4741" s="2" t="s">
        <v>21958</v>
      </c>
      <c r="J4741" s="2" t="s">
        <v>21959</v>
      </c>
      <c r="K4741" s="2">
        <v>1.6335925000000001E-2</v>
      </c>
      <c r="L4741" s="2" t="s">
        <v>1178</v>
      </c>
      <c r="M4741" s="4" t="s">
        <v>21960</v>
      </c>
    </row>
    <row r="4742" spans="1:13">
      <c r="A4742" s="2">
        <v>1176</v>
      </c>
      <c r="B4742" s="2" t="s">
        <v>21961</v>
      </c>
      <c r="C4742" s="2">
        <v>9</v>
      </c>
      <c r="D4742" s="2">
        <v>556</v>
      </c>
      <c r="E4742" s="2">
        <v>200</v>
      </c>
      <c r="F4742" s="2">
        <v>32441</v>
      </c>
      <c r="G4742" s="2">
        <v>2.625620504</v>
      </c>
      <c r="H4742" s="2">
        <v>9.3616380000000003E-3</v>
      </c>
      <c r="I4742" s="2" t="s">
        <v>21962</v>
      </c>
      <c r="J4742" s="2" t="s">
        <v>21963</v>
      </c>
      <c r="K4742" s="2">
        <v>1.6335925000000001E-2</v>
      </c>
      <c r="L4742" s="2" t="s">
        <v>1178</v>
      </c>
      <c r="M4742" s="4" t="s">
        <v>21964</v>
      </c>
    </row>
    <row r="4743" spans="1:13">
      <c r="A4743" s="2">
        <v>11801</v>
      </c>
      <c r="B4743" s="2" t="s">
        <v>2424</v>
      </c>
      <c r="C4743" s="2">
        <v>9</v>
      </c>
      <c r="D4743" s="2">
        <v>556</v>
      </c>
      <c r="E4743" s="2">
        <v>200</v>
      </c>
      <c r="F4743" s="2">
        <v>32441</v>
      </c>
      <c r="G4743" s="2">
        <v>2.625620504</v>
      </c>
      <c r="H4743" s="2">
        <v>9.3616380000000003E-3</v>
      </c>
      <c r="I4743" s="2" t="s">
        <v>21965</v>
      </c>
      <c r="J4743" s="2" t="s">
        <v>21966</v>
      </c>
      <c r="K4743" s="2">
        <v>1.6335925000000001E-2</v>
      </c>
      <c r="L4743" s="2" t="s">
        <v>1178</v>
      </c>
      <c r="M4743" s="4" t="s">
        <v>21967</v>
      </c>
    </row>
    <row r="4744" spans="1:13">
      <c r="A4744" s="2">
        <v>1185</v>
      </c>
      <c r="B4744" s="2" t="s">
        <v>21968</v>
      </c>
      <c r="C4744" s="2">
        <v>9</v>
      </c>
      <c r="D4744" s="2">
        <v>556</v>
      </c>
      <c r="E4744" s="2">
        <v>200</v>
      </c>
      <c r="F4744" s="2">
        <v>32441</v>
      </c>
      <c r="G4744" s="2">
        <v>2.625620504</v>
      </c>
      <c r="H4744" s="2">
        <v>9.3616380000000003E-3</v>
      </c>
      <c r="I4744" s="2" t="s">
        <v>21969</v>
      </c>
      <c r="J4744" s="2" t="s">
        <v>21970</v>
      </c>
      <c r="K4744" s="2">
        <v>1.6335925000000001E-2</v>
      </c>
      <c r="L4744" s="2" t="s">
        <v>1178</v>
      </c>
      <c r="M4744" s="4" t="s">
        <v>21971</v>
      </c>
    </row>
    <row r="4745" spans="1:13">
      <c r="A4745" s="2">
        <v>1188</v>
      </c>
      <c r="B4745" s="2" t="s">
        <v>21972</v>
      </c>
      <c r="C4745" s="2">
        <v>9</v>
      </c>
      <c r="D4745" s="2">
        <v>556</v>
      </c>
      <c r="E4745" s="2">
        <v>200</v>
      </c>
      <c r="F4745" s="2">
        <v>32441</v>
      </c>
      <c r="G4745" s="2">
        <v>2.625620504</v>
      </c>
      <c r="H4745" s="2">
        <v>9.3616380000000003E-3</v>
      </c>
      <c r="I4745" s="2" t="s">
        <v>21973</v>
      </c>
      <c r="J4745" s="2" t="s">
        <v>21974</v>
      </c>
      <c r="K4745" s="2">
        <v>1.6335925000000001E-2</v>
      </c>
      <c r="L4745" s="2" t="s">
        <v>1178</v>
      </c>
      <c r="M4745" s="4" t="s">
        <v>21975</v>
      </c>
    </row>
    <row r="4746" spans="1:13">
      <c r="A4746" s="2">
        <v>1207</v>
      </c>
      <c r="B4746" s="2" t="s">
        <v>21976</v>
      </c>
      <c r="C4746" s="2">
        <v>9</v>
      </c>
      <c r="D4746" s="2">
        <v>556</v>
      </c>
      <c r="E4746" s="2">
        <v>200</v>
      </c>
      <c r="F4746" s="2">
        <v>32441</v>
      </c>
      <c r="G4746" s="2">
        <v>2.625620504</v>
      </c>
      <c r="H4746" s="2">
        <v>9.3616380000000003E-3</v>
      </c>
      <c r="I4746" s="2" t="s">
        <v>21977</v>
      </c>
      <c r="J4746" s="2" t="s">
        <v>21978</v>
      </c>
      <c r="K4746" s="2">
        <v>1.6335925000000001E-2</v>
      </c>
      <c r="L4746" s="2" t="s">
        <v>1178</v>
      </c>
      <c r="M4746" s="4" t="s">
        <v>21979</v>
      </c>
    </row>
    <row r="4747" spans="1:13">
      <c r="A4747" s="2">
        <v>1312</v>
      </c>
      <c r="B4747" s="2" t="s">
        <v>2439</v>
      </c>
      <c r="C4747" s="2">
        <v>9</v>
      </c>
      <c r="D4747" s="2">
        <v>556</v>
      </c>
      <c r="E4747" s="2">
        <v>200</v>
      </c>
      <c r="F4747" s="2">
        <v>32441</v>
      </c>
      <c r="G4747" s="2">
        <v>2.625620504</v>
      </c>
      <c r="H4747" s="2">
        <v>9.3616380000000003E-3</v>
      </c>
      <c r="I4747" s="2" t="s">
        <v>21980</v>
      </c>
      <c r="J4747" s="2" t="s">
        <v>21981</v>
      </c>
      <c r="K4747" s="2">
        <v>1.6335925000000001E-2</v>
      </c>
      <c r="L4747" s="2" t="s">
        <v>1178</v>
      </c>
      <c r="M4747" s="4" t="s">
        <v>21982</v>
      </c>
    </row>
    <row r="4748" spans="1:13">
      <c r="A4748" s="2">
        <v>1314</v>
      </c>
      <c r="B4748" s="2" t="s">
        <v>21983</v>
      </c>
      <c r="C4748" s="2">
        <v>9</v>
      </c>
      <c r="D4748" s="2">
        <v>556</v>
      </c>
      <c r="E4748" s="2">
        <v>200</v>
      </c>
      <c r="F4748" s="2">
        <v>32441</v>
      </c>
      <c r="G4748" s="2">
        <v>2.625620504</v>
      </c>
      <c r="H4748" s="2">
        <v>9.3616380000000003E-3</v>
      </c>
      <c r="I4748" s="2" t="s">
        <v>21984</v>
      </c>
      <c r="J4748" s="2" t="s">
        <v>21985</v>
      </c>
      <c r="K4748" s="2">
        <v>1.6335925000000001E-2</v>
      </c>
      <c r="L4748" s="2" t="s">
        <v>1178</v>
      </c>
      <c r="M4748" s="4" t="s">
        <v>21986</v>
      </c>
    </row>
    <row r="4749" spans="1:13">
      <c r="A4749" s="2">
        <v>13711</v>
      </c>
      <c r="B4749" s="2" t="s">
        <v>21987</v>
      </c>
      <c r="C4749" s="2">
        <v>9</v>
      </c>
      <c r="D4749" s="2">
        <v>556</v>
      </c>
      <c r="E4749" s="2">
        <v>200</v>
      </c>
      <c r="F4749" s="2">
        <v>32441</v>
      </c>
      <c r="G4749" s="2">
        <v>2.625620504</v>
      </c>
      <c r="H4749" s="2">
        <v>9.3616380000000003E-3</v>
      </c>
      <c r="I4749" s="2" t="s">
        <v>21988</v>
      </c>
      <c r="J4749" s="2" t="s">
        <v>21989</v>
      </c>
      <c r="K4749" s="2">
        <v>1.6335925000000001E-2</v>
      </c>
      <c r="L4749" s="2" t="s">
        <v>1178</v>
      </c>
      <c r="M4749" s="4" t="s">
        <v>21990</v>
      </c>
    </row>
    <row r="4750" spans="1:13">
      <c r="A4750" s="2">
        <v>1391</v>
      </c>
      <c r="B4750" s="2" t="s">
        <v>21991</v>
      </c>
      <c r="C4750" s="2">
        <v>9</v>
      </c>
      <c r="D4750" s="2">
        <v>556</v>
      </c>
      <c r="E4750" s="2">
        <v>200</v>
      </c>
      <c r="F4750" s="2">
        <v>32441</v>
      </c>
      <c r="G4750" s="2">
        <v>2.625620504</v>
      </c>
      <c r="H4750" s="2">
        <v>9.3616380000000003E-3</v>
      </c>
      <c r="I4750" s="2" t="s">
        <v>21992</v>
      </c>
      <c r="J4750" s="2" t="s">
        <v>21993</v>
      </c>
      <c r="K4750" s="2">
        <v>1.6335925000000001E-2</v>
      </c>
      <c r="L4750" s="2" t="s">
        <v>1178</v>
      </c>
      <c r="M4750" s="4" t="s">
        <v>21994</v>
      </c>
    </row>
    <row r="4751" spans="1:13">
      <c r="A4751" s="2">
        <v>1398</v>
      </c>
      <c r="B4751" s="2" t="s">
        <v>21995</v>
      </c>
      <c r="C4751" s="2">
        <v>9</v>
      </c>
      <c r="D4751" s="2">
        <v>556</v>
      </c>
      <c r="E4751" s="2">
        <v>200</v>
      </c>
      <c r="F4751" s="2">
        <v>32441</v>
      </c>
      <c r="G4751" s="2">
        <v>2.625620504</v>
      </c>
      <c r="H4751" s="2">
        <v>9.3616380000000003E-3</v>
      </c>
      <c r="I4751" s="2" t="s">
        <v>21996</v>
      </c>
      <c r="J4751" s="2" t="s">
        <v>21997</v>
      </c>
      <c r="K4751" s="2">
        <v>1.6335925000000001E-2</v>
      </c>
      <c r="L4751" s="2" t="s">
        <v>1178</v>
      </c>
      <c r="M4751" s="4" t="s">
        <v>21998</v>
      </c>
    </row>
    <row r="4752" spans="1:13">
      <c r="A4752" s="2">
        <v>1403</v>
      </c>
      <c r="B4752" s="2" t="s">
        <v>1209</v>
      </c>
      <c r="C4752" s="2">
        <v>9</v>
      </c>
      <c r="D4752" s="2">
        <v>556</v>
      </c>
      <c r="E4752" s="2">
        <v>200</v>
      </c>
      <c r="F4752" s="2">
        <v>32441</v>
      </c>
      <c r="G4752" s="2">
        <v>2.625620504</v>
      </c>
      <c r="H4752" s="2">
        <v>9.3616380000000003E-3</v>
      </c>
      <c r="I4752" s="2" t="s">
        <v>21999</v>
      </c>
      <c r="J4752" s="2" t="s">
        <v>22000</v>
      </c>
      <c r="K4752" s="2">
        <v>1.6335925000000001E-2</v>
      </c>
      <c r="L4752" s="2" t="s">
        <v>1178</v>
      </c>
      <c r="M4752" s="4" t="s">
        <v>22001</v>
      </c>
    </row>
    <row r="4753" spans="1:13">
      <c r="A4753" s="2">
        <v>14151</v>
      </c>
      <c r="B4753" s="2" t="s">
        <v>22002</v>
      </c>
      <c r="C4753" s="2">
        <v>9</v>
      </c>
      <c r="D4753" s="2">
        <v>556</v>
      </c>
      <c r="E4753" s="2">
        <v>200</v>
      </c>
      <c r="F4753" s="2">
        <v>32441</v>
      </c>
      <c r="G4753" s="2">
        <v>2.625620504</v>
      </c>
      <c r="H4753" s="2">
        <v>9.3616380000000003E-3</v>
      </c>
      <c r="I4753" s="2" t="s">
        <v>22003</v>
      </c>
      <c r="J4753" s="2" t="s">
        <v>22004</v>
      </c>
      <c r="K4753" s="2">
        <v>1.6335925000000001E-2</v>
      </c>
      <c r="L4753" s="2" t="s">
        <v>1178</v>
      </c>
      <c r="M4753" s="4" t="s">
        <v>22005</v>
      </c>
    </row>
    <row r="4754" spans="1:13">
      <c r="A4754" s="2">
        <v>14161</v>
      </c>
      <c r="B4754" s="2" t="s">
        <v>22006</v>
      </c>
      <c r="C4754" s="2">
        <v>9</v>
      </c>
      <c r="D4754" s="2">
        <v>556</v>
      </c>
      <c r="E4754" s="2">
        <v>200</v>
      </c>
      <c r="F4754" s="2">
        <v>32441</v>
      </c>
      <c r="G4754" s="2">
        <v>2.625620504</v>
      </c>
      <c r="H4754" s="2">
        <v>9.3616380000000003E-3</v>
      </c>
      <c r="I4754" s="2" t="s">
        <v>22007</v>
      </c>
      <c r="J4754" s="2" t="s">
        <v>22008</v>
      </c>
      <c r="K4754" s="2">
        <v>1.6335925000000001E-2</v>
      </c>
      <c r="L4754" s="2" t="s">
        <v>1178</v>
      </c>
      <c r="M4754" s="4" t="s">
        <v>22009</v>
      </c>
    </row>
    <row r="4755" spans="1:13">
      <c r="A4755" s="2">
        <v>1421</v>
      </c>
      <c r="B4755" s="2" t="s">
        <v>1884</v>
      </c>
      <c r="C4755" s="2">
        <v>9</v>
      </c>
      <c r="D4755" s="2">
        <v>556</v>
      </c>
      <c r="E4755" s="2">
        <v>200</v>
      </c>
      <c r="F4755" s="2">
        <v>32441</v>
      </c>
      <c r="G4755" s="2">
        <v>2.625620504</v>
      </c>
      <c r="H4755" s="2">
        <v>9.3616380000000003E-3</v>
      </c>
      <c r="I4755" s="2" t="s">
        <v>22010</v>
      </c>
      <c r="J4755" s="2" t="s">
        <v>22011</v>
      </c>
      <c r="K4755" s="2">
        <v>1.6335925000000001E-2</v>
      </c>
      <c r="L4755" s="2" t="s">
        <v>1178</v>
      </c>
      <c r="M4755" s="4" t="s">
        <v>22012</v>
      </c>
    </row>
    <row r="4756" spans="1:13">
      <c r="A4756" s="2">
        <v>1430</v>
      </c>
      <c r="B4756" s="2" t="s">
        <v>22013</v>
      </c>
      <c r="C4756" s="2">
        <v>9</v>
      </c>
      <c r="D4756" s="2">
        <v>556</v>
      </c>
      <c r="E4756" s="2">
        <v>200</v>
      </c>
      <c r="F4756" s="2">
        <v>32441</v>
      </c>
      <c r="G4756" s="2">
        <v>2.625620504</v>
      </c>
      <c r="H4756" s="2">
        <v>9.3616380000000003E-3</v>
      </c>
      <c r="I4756" s="2" t="s">
        <v>22014</v>
      </c>
      <c r="J4756" s="2" t="s">
        <v>22015</v>
      </c>
      <c r="K4756" s="2">
        <v>1.6335925000000001E-2</v>
      </c>
      <c r="L4756" s="2" t="s">
        <v>1178</v>
      </c>
      <c r="M4756" s="4" t="s">
        <v>22016</v>
      </c>
    </row>
    <row r="4757" spans="1:13">
      <c r="A4757" s="2">
        <v>14311</v>
      </c>
      <c r="B4757" s="2" t="s">
        <v>22017</v>
      </c>
      <c r="C4757" s="2">
        <v>9</v>
      </c>
      <c r="D4757" s="2">
        <v>556</v>
      </c>
      <c r="E4757" s="2">
        <v>200</v>
      </c>
      <c r="F4757" s="2">
        <v>32441</v>
      </c>
      <c r="G4757" s="2">
        <v>2.625620504</v>
      </c>
      <c r="H4757" s="2">
        <v>9.3616380000000003E-3</v>
      </c>
      <c r="I4757" s="2" t="s">
        <v>22018</v>
      </c>
      <c r="J4757" s="2" t="s">
        <v>22019</v>
      </c>
      <c r="K4757" s="2">
        <v>1.6335925000000001E-2</v>
      </c>
      <c r="L4757" s="2" t="s">
        <v>1178</v>
      </c>
      <c r="M4757" s="4" t="s">
        <v>22020</v>
      </c>
    </row>
    <row r="4758" spans="1:13">
      <c r="A4758" s="2">
        <v>14471</v>
      </c>
      <c r="B4758" s="2" t="s">
        <v>22021</v>
      </c>
      <c r="C4758" s="2">
        <v>9</v>
      </c>
      <c r="D4758" s="2">
        <v>556</v>
      </c>
      <c r="E4758" s="2">
        <v>200</v>
      </c>
      <c r="F4758" s="2">
        <v>32441</v>
      </c>
      <c r="G4758" s="2">
        <v>2.625620504</v>
      </c>
      <c r="H4758" s="2">
        <v>9.3616380000000003E-3</v>
      </c>
      <c r="I4758" s="2" t="s">
        <v>22022</v>
      </c>
      <c r="J4758" s="2" t="s">
        <v>22023</v>
      </c>
      <c r="K4758" s="2">
        <v>1.6335925000000001E-2</v>
      </c>
      <c r="L4758" s="2" t="s">
        <v>1178</v>
      </c>
      <c r="M4758" s="4" t="s">
        <v>22024</v>
      </c>
    </row>
    <row r="4759" spans="1:13">
      <c r="A4759" s="2">
        <v>1462</v>
      </c>
      <c r="B4759" s="2" t="s">
        <v>22025</v>
      </c>
      <c r="C4759" s="2">
        <v>9</v>
      </c>
      <c r="D4759" s="2">
        <v>556</v>
      </c>
      <c r="E4759" s="2">
        <v>200</v>
      </c>
      <c r="F4759" s="2">
        <v>32441</v>
      </c>
      <c r="G4759" s="2">
        <v>2.625620504</v>
      </c>
      <c r="H4759" s="2">
        <v>9.3616380000000003E-3</v>
      </c>
      <c r="I4759" s="2" t="s">
        <v>22026</v>
      </c>
      <c r="J4759" s="2" t="s">
        <v>22027</v>
      </c>
      <c r="K4759" s="2">
        <v>1.6335925000000001E-2</v>
      </c>
      <c r="L4759" s="2" t="s">
        <v>1178</v>
      </c>
      <c r="M4759" s="4" t="s">
        <v>22028</v>
      </c>
    </row>
    <row r="4760" spans="1:13">
      <c r="A4760" s="2">
        <v>14821</v>
      </c>
      <c r="B4760" s="2" t="s">
        <v>22029</v>
      </c>
      <c r="C4760" s="2">
        <v>9</v>
      </c>
      <c r="D4760" s="2">
        <v>556</v>
      </c>
      <c r="E4760" s="2">
        <v>200</v>
      </c>
      <c r="F4760" s="2">
        <v>32441</v>
      </c>
      <c r="G4760" s="2">
        <v>2.625620504</v>
      </c>
      <c r="H4760" s="2">
        <v>9.3616380000000003E-3</v>
      </c>
      <c r="I4760" s="2" t="s">
        <v>22030</v>
      </c>
      <c r="J4760" s="2" t="s">
        <v>22031</v>
      </c>
      <c r="K4760" s="2">
        <v>1.6335925000000001E-2</v>
      </c>
      <c r="L4760" s="2" t="s">
        <v>1178</v>
      </c>
      <c r="M4760" s="4" t="s">
        <v>22032</v>
      </c>
    </row>
    <row r="4761" spans="1:13">
      <c r="A4761" s="2">
        <v>1485</v>
      </c>
      <c r="B4761" s="2" t="s">
        <v>22033</v>
      </c>
      <c r="C4761" s="2">
        <v>9</v>
      </c>
      <c r="D4761" s="2">
        <v>556</v>
      </c>
      <c r="E4761" s="2">
        <v>200</v>
      </c>
      <c r="F4761" s="2">
        <v>32441</v>
      </c>
      <c r="G4761" s="2">
        <v>2.625620504</v>
      </c>
      <c r="H4761" s="2">
        <v>9.3616380000000003E-3</v>
      </c>
      <c r="I4761" s="2" t="s">
        <v>22034</v>
      </c>
      <c r="J4761" s="2" t="s">
        <v>22035</v>
      </c>
      <c r="K4761" s="2">
        <v>1.6335925000000001E-2</v>
      </c>
      <c r="L4761" s="2" t="s">
        <v>1178</v>
      </c>
      <c r="M4761" s="4" t="s">
        <v>22036</v>
      </c>
    </row>
    <row r="4762" spans="1:13">
      <c r="A4762" s="2">
        <v>1487</v>
      </c>
      <c r="B4762" s="2" t="s">
        <v>22037</v>
      </c>
      <c r="C4762" s="2">
        <v>9</v>
      </c>
      <c r="D4762" s="2">
        <v>556</v>
      </c>
      <c r="E4762" s="2">
        <v>200</v>
      </c>
      <c r="F4762" s="2">
        <v>32441</v>
      </c>
      <c r="G4762" s="2">
        <v>2.625620504</v>
      </c>
      <c r="H4762" s="2">
        <v>9.3616380000000003E-3</v>
      </c>
      <c r="I4762" s="2" t="s">
        <v>22038</v>
      </c>
      <c r="J4762" s="2" t="s">
        <v>22039</v>
      </c>
      <c r="K4762" s="2">
        <v>1.6335925000000001E-2</v>
      </c>
      <c r="L4762" s="2" t="s">
        <v>1178</v>
      </c>
      <c r="M4762" s="4" t="s">
        <v>22040</v>
      </c>
    </row>
    <row r="4763" spans="1:13">
      <c r="A4763" s="2">
        <v>1496</v>
      </c>
      <c r="B4763" s="2" t="s">
        <v>22041</v>
      </c>
      <c r="C4763" s="2">
        <v>9</v>
      </c>
      <c r="D4763" s="2">
        <v>556</v>
      </c>
      <c r="E4763" s="2">
        <v>200</v>
      </c>
      <c r="F4763" s="2">
        <v>32441</v>
      </c>
      <c r="G4763" s="2">
        <v>2.625620504</v>
      </c>
      <c r="H4763" s="2">
        <v>9.3616380000000003E-3</v>
      </c>
      <c r="I4763" s="2" t="s">
        <v>22042</v>
      </c>
      <c r="J4763" s="2" t="s">
        <v>22043</v>
      </c>
      <c r="K4763" s="2">
        <v>1.6335925000000001E-2</v>
      </c>
      <c r="L4763" s="2" t="s">
        <v>1178</v>
      </c>
      <c r="M4763" s="4" t="s">
        <v>22044</v>
      </c>
    </row>
    <row r="4764" spans="1:13">
      <c r="A4764" s="2">
        <v>15101</v>
      </c>
      <c r="B4764" s="2" t="s">
        <v>2148</v>
      </c>
      <c r="C4764" s="2">
        <v>9</v>
      </c>
      <c r="D4764" s="2">
        <v>556</v>
      </c>
      <c r="E4764" s="2">
        <v>200</v>
      </c>
      <c r="F4764" s="2">
        <v>32441</v>
      </c>
      <c r="G4764" s="2">
        <v>2.625620504</v>
      </c>
      <c r="H4764" s="2">
        <v>9.3616380000000003E-3</v>
      </c>
      <c r="I4764" s="2" t="s">
        <v>22045</v>
      </c>
      <c r="J4764" s="2" t="s">
        <v>22046</v>
      </c>
      <c r="K4764" s="2">
        <v>1.6335925000000001E-2</v>
      </c>
      <c r="L4764" s="2" t="s">
        <v>1178</v>
      </c>
      <c r="M4764" s="4" t="s">
        <v>22047</v>
      </c>
    </row>
    <row r="4765" spans="1:13">
      <c r="A4765" s="2">
        <v>1527</v>
      </c>
      <c r="B4765" s="2" t="s">
        <v>22048</v>
      </c>
      <c r="C4765" s="2">
        <v>9</v>
      </c>
      <c r="D4765" s="2">
        <v>556</v>
      </c>
      <c r="E4765" s="2">
        <v>200</v>
      </c>
      <c r="F4765" s="2">
        <v>32441</v>
      </c>
      <c r="G4765" s="2">
        <v>2.625620504</v>
      </c>
      <c r="H4765" s="2">
        <v>9.3616380000000003E-3</v>
      </c>
      <c r="I4765" s="2" t="s">
        <v>22049</v>
      </c>
      <c r="J4765" s="2" t="s">
        <v>22050</v>
      </c>
      <c r="K4765" s="2">
        <v>1.6335925000000001E-2</v>
      </c>
      <c r="L4765" s="2" t="s">
        <v>1178</v>
      </c>
      <c r="M4765" s="4" t="s">
        <v>22051</v>
      </c>
    </row>
    <row r="4766" spans="1:13">
      <c r="A4766" s="2">
        <v>15341</v>
      </c>
      <c r="B4766" s="2" t="s">
        <v>2481</v>
      </c>
      <c r="C4766" s="2">
        <v>9</v>
      </c>
      <c r="D4766" s="2">
        <v>556</v>
      </c>
      <c r="E4766" s="2">
        <v>200</v>
      </c>
      <c r="F4766" s="2">
        <v>32441</v>
      </c>
      <c r="G4766" s="2">
        <v>2.625620504</v>
      </c>
      <c r="H4766" s="2">
        <v>9.3616380000000003E-3</v>
      </c>
      <c r="I4766" s="2" t="s">
        <v>22052</v>
      </c>
      <c r="J4766" s="2" t="s">
        <v>22053</v>
      </c>
      <c r="K4766" s="2">
        <v>1.6335925000000001E-2</v>
      </c>
      <c r="L4766" s="2" t="s">
        <v>1178</v>
      </c>
      <c r="M4766" s="4" t="s">
        <v>22054</v>
      </c>
    </row>
    <row r="4767" spans="1:13">
      <c r="A4767" s="2">
        <v>1550</v>
      </c>
      <c r="B4767" s="2" t="s">
        <v>22055</v>
      </c>
      <c r="C4767" s="2">
        <v>9</v>
      </c>
      <c r="D4767" s="2">
        <v>556</v>
      </c>
      <c r="E4767" s="2">
        <v>200</v>
      </c>
      <c r="F4767" s="2">
        <v>32441</v>
      </c>
      <c r="G4767" s="2">
        <v>2.625620504</v>
      </c>
      <c r="H4767" s="2">
        <v>9.3616380000000003E-3</v>
      </c>
      <c r="I4767" s="2" t="s">
        <v>22056</v>
      </c>
      <c r="J4767" s="2" t="s">
        <v>22057</v>
      </c>
      <c r="K4767" s="2">
        <v>1.6335925000000001E-2</v>
      </c>
      <c r="L4767" s="2" t="s">
        <v>1178</v>
      </c>
      <c r="M4767" s="4" t="s">
        <v>22058</v>
      </c>
    </row>
    <row r="4768" spans="1:13">
      <c r="A4768" s="2">
        <v>1579</v>
      </c>
      <c r="B4768" s="2" t="s">
        <v>22059</v>
      </c>
      <c r="C4768" s="2">
        <v>9</v>
      </c>
      <c r="D4768" s="2">
        <v>556</v>
      </c>
      <c r="E4768" s="2">
        <v>200</v>
      </c>
      <c r="F4768" s="2">
        <v>32441</v>
      </c>
      <c r="G4768" s="2">
        <v>2.625620504</v>
      </c>
      <c r="H4768" s="2">
        <v>9.3616380000000003E-3</v>
      </c>
      <c r="I4768" s="2" t="s">
        <v>22060</v>
      </c>
      <c r="J4768" s="2" t="s">
        <v>22061</v>
      </c>
      <c r="K4768" s="2">
        <v>1.6335925000000001E-2</v>
      </c>
      <c r="L4768" s="2" t="s">
        <v>1178</v>
      </c>
      <c r="M4768" s="4" t="s">
        <v>22062</v>
      </c>
    </row>
    <row r="4769" spans="1:13">
      <c r="A4769" s="2">
        <v>1584</v>
      </c>
      <c r="B4769" s="2" t="s">
        <v>22063</v>
      </c>
      <c r="C4769" s="2">
        <v>9</v>
      </c>
      <c r="D4769" s="2">
        <v>556</v>
      </c>
      <c r="E4769" s="2">
        <v>200</v>
      </c>
      <c r="F4769" s="2">
        <v>32441</v>
      </c>
      <c r="G4769" s="2">
        <v>2.625620504</v>
      </c>
      <c r="H4769" s="2">
        <v>9.3616380000000003E-3</v>
      </c>
      <c r="I4769" s="2" t="s">
        <v>22064</v>
      </c>
      <c r="J4769" s="2" t="s">
        <v>22065</v>
      </c>
      <c r="K4769" s="2">
        <v>1.6335925000000001E-2</v>
      </c>
      <c r="L4769" s="2" t="s">
        <v>1178</v>
      </c>
      <c r="M4769" s="4" t="s">
        <v>22066</v>
      </c>
    </row>
    <row r="4770" spans="1:13">
      <c r="A4770" s="2">
        <v>16031</v>
      </c>
      <c r="B4770" s="2" t="s">
        <v>22067</v>
      </c>
      <c r="C4770" s="2">
        <v>9</v>
      </c>
      <c r="D4770" s="2">
        <v>556</v>
      </c>
      <c r="E4770" s="2">
        <v>200</v>
      </c>
      <c r="F4770" s="2">
        <v>32441</v>
      </c>
      <c r="G4770" s="2">
        <v>2.625620504</v>
      </c>
      <c r="H4770" s="2">
        <v>9.3616380000000003E-3</v>
      </c>
      <c r="I4770" s="2" t="s">
        <v>22068</v>
      </c>
      <c r="J4770" s="2" t="s">
        <v>22069</v>
      </c>
      <c r="K4770" s="2">
        <v>1.6335925000000001E-2</v>
      </c>
      <c r="L4770" s="2" t="s">
        <v>1178</v>
      </c>
      <c r="M4770" s="4" t="s">
        <v>22070</v>
      </c>
    </row>
    <row r="4771" spans="1:13">
      <c r="A4771" s="2">
        <v>1617</v>
      </c>
      <c r="B4771" s="2" t="s">
        <v>22071</v>
      </c>
      <c r="C4771" s="2">
        <v>9</v>
      </c>
      <c r="D4771" s="2">
        <v>556</v>
      </c>
      <c r="E4771" s="2">
        <v>200</v>
      </c>
      <c r="F4771" s="2">
        <v>32441</v>
      </c>
      <c r="G4771" s="2">
        <v>2.625620504</v>
      </c>
      <c r="H4771" s="2">
        <v>9.3616380000000003E-3</v>
      </c>
      <c r="I4771" s="2" t="s">
        <v>22072</v>
      </c>
      <c r="J4771" s="2" t="s">
        <v>22073</v>
      </c>
      <c r="K4771" s="2">
        <v>1.6335925000000001E-2</v>
      </c>
      <c r="L4771" s="2" t="s">
        <v>1178</v>
      </c>
      <c r="M4771" s="4" t="s">
        <v>22074</v>
      </c>
    </row>
    <row r="4772" spans="1:13">
      <c r="A4772" s="2">
        <v>1680</v>
      </c>
      <c r="B4772" s="2" t="s">
        <v>22075</v>
      </c>
      <c r="C4772" s="2">
        <v>9</v>
      </c>
      <c r="D4772" s="2">
        <v>556</v>
      </c>
      <c r="E4772" s="2">
        <v>200</v>
      </c>
      <c r="F4772" s="2">
        <v>32441</v>
      </c>
      <c r="G4772" s="2">
        <v>2.625620504</v>
      </c>
      <c r="H4772" s="2">
        <v>9.3616380000000003E-3</v>
      </c>
      <c r="I4772" s="2" t="s">
        <v>22076</v>
      </c>
      <c r="J4772" s="2" t="s">
        <v>22077</v>
      </c>
      <c r="K4772" s="2">
        <v>1.6335925000000001E-2</v>
      </c>
      <c r="L4772" s="2" t="s">
        <v>1178</v>
      </c>
      <c r="M4772" s="4" t="s">
        <v>22078</v>
      </c>
    </row>
    <row r="4773" spans="1:13">
      <c r="A4773" s="2">
        <v>1686</v>
      </c>
      <c r="B4773" s="2" t="s">
        <v>22079</v>
      </c>
      <c r="C4773" s="2">
        <v>9</v>
      </c>
      <c r="D4773" s="2">
        <v>556</v>
      </c>
      <c r="E4773" s="2">
        <v>200</v>
      </c>
      <c r="F4773" s="2">
        <v>32441</v>
      </c>
      <c r="G4773" s="2">
        <v>2.625620504</v>
      </c>
      <c r="H4773" s="2">
        <v>9.3616380000000003E-3</v>
      </c>
      <c r="I4773" s="2" t="s">
        <v>22080</v>
      </c>
      <c r="J4773" s="2" t="s">
        <v>22081</v>
      </c>
      <c r="K4773" s="2">
        <v>1.6335925000000001E-2</v>
      </c>
      <c r="L4773" s="2" t="s">
        <v>1178</v>
      </c>
      <c r="M4773" s="4" t="s">
        <v>22082</v>
      </c>
    </row>
    <row r="4774" spans="1:13">
      <c r="A4774" s="2">
        <v>1690</v>
      </c>
      <c r="B4774" s="2" t="s">
        <v>22083</v>
      </c>
      <c r="C4774" s="2">
        <v>9</v>
      </c>
      <c r="D4774" s="2">
        <v>556</v>
      </c>
      <c r="E4774" s="2">
        <v>200</v>
      </c>
      <c r="F4774" s="2">
        <v>32441</v>
      </c>
      <c r="G4774" s="2">
        <v>2.625620504</v>
      </c>
      <c r="H4774" s="2">
        <v>9.3616380000000003E-3</v>
      </c>
      <c r="I4774" s="2" t="s">
        <v>22084</v>
      </c>
      <c r="J4774" s="2" t="s">
        <v>22085</v>
      </c>
      <c r="K4774" s="2">
        <v>1.6335925000000001E-2</v>
      </c>
      <c r="L4774" s="2" t="s">
        <v>1178</v>
      </c>
      <c r="M4774" s="4" t="s">
        <v>22086</v>
      </c>
    </row>
    <row r="4775" spans="1:13">
      <c r="A4775" s="2">
        <v>1702</v>
      </c>
      <c r="B4775" s="2" t="s">
        <v>22087</v>
      </c>
      <c r="C4775" s="2">
        <v>9</v>
      </c>
      <c r="D4775" s="2">
        <v>556</v>
      </c>
      <c r="E4775" s="2">
        <v>200</v>
      </c>
      <c r="F4775" s="2">
        <v>32441</v>
      </c>
      <c r="G4775" s="2">
        <v>2.625620504</v>
      </c>
      <c r="H4775" s="2">
        <v>9.3616380000000003E-3</v>
      </c>
      <c r="I4775" s="2" t="s">
        <v>22088</v>
      </c>
      <c r="J4775" s="2" t="s">
        <v>22089</v>
      </c>
      <c r="K4775" s="2">
        <v>1.6335925000000001E-2</v>
      </c>
      <c r="L4775" s="2" t="s">
        <v>1178</v>
      </c>
      <c r="M4775" s="4" t="s">
        <v>22090</v>
      </c>
    </row>
    <row r="4776" spans="1:13">
      <c r="A4776" s="2">
        <v>1705</v>
      </c>
      <c r="B4776" s="2" t="s">
        <v>1422</v>
      </c>
      <c r="C4776" s="2">
        <v>9</v>
      </c>
      <c r="D4776" s="2">
        <v>556</v>
      </c>
      <c r="E4776" s="2">
        <v>200</v>
      </c>
      <c r="F4776" s="2">
        <v>32441</v>
      </c>
      <c r="G4776" s="2">
        <v>2.625620504</v>
      </c>
      <c r="H4776" s="2">
        <v>9.3616380000000003E-3</v>
      </c>
      <c r="I4776" s="2" t="s">
        <v>22091</v>
      </c>
      <c r="J4776" s="2" t="s">
        <v>22092</v>
      </c>
      <c r="K4776" s="2">
        <v>1.6335925000000001E-2</v>
      </c>
      <c r="L4776" s="2" t="s">
        <v>1178</v>
      </c>
      <c r="M4776" s="4" t="s">
        <v>22093</v>
      </c>
    </row>
    <row r="4777" spans="1:13">
      <c r="A4777" s="2">
        <v>17211</v>
      </c>
      <c r="B4777" s="2" t="s">
        <v>3404</v>
      </c>
      <c r="C4777" s="2">
        <v>9</v>
      </c>
      <c r="D4777" s="2">
        <v>556</v>
      </c>
      <c r="E4777" s="2">
        <v>200</v>
      </c>
      <c r="F4777" s="2">
        <v>32441</v>
      </c>
      <c r="G4777" s="2">
        <v>2.625620504</v>
      </c>
      <c r="H4777" s="2">
        <v>9.3616380000000003E-3</v>
      </c>
      <c r="I4777" s="2" t="s">
        <v>22094</v>
      </c>
      <c r="J4777" s="2" t="s">
        <v>22095</v>
      </c>
      <c r="K4777" s="2">
        <v>1.6335925000000001E-2</v>
      </c>
      <c r="L4777" s="2" t="s">
        <v>1178</v>
      </c>
      <c r="M4777" s="4" t="s">
        <v>3407</v>
      </c>
    </row>
    <row r="4778" spans="1:13">
      <c r="A4778" s="2">
        <v>17491</v>
      </c>
      <c r="B4778" s="2" t="s">
        <v>22096</v>
      </c>
      <c r="C4778" s="2">
        <v>8</v>
      </c>
      <c r="D4778" s="2">
        <v>556</v>
      </c>
      <c r="E4778" s="2">
        <v>162</v>
      </c>
      <c r="F4778" s="2">
        <v>32441</v>
      </c>
      <c r="G4778" s="2">
        <v>2.8813393729999999</v>
      </c>
      <c r="H4778" s="2">
        <v>8.4340179999999997E-3</v>
      </c>
      <c r="I4778" s="2" t="s">
        <v>22097</v>
      </c>
      <c r="J4778" s="2" t="s">
        <v>22098</v>
      </c>
      <c r="K4778" s="2">
        <v>1.6335925000000001E-2</v>
      </c>
      <c r="L4778" s="2" t="s">
        <v>1178</v>
      </c>
      <c r="M4778" s="4" t="s">
        <v>22099</v>
      </c>
    </row>
    <row r="4779" spans="1:13">
      <c r="A4779" s="2">
        <v>17711</v>
      </c>
      <c r="B4779" s="2" t="s">
        <v>22100</v>
      </c>
      <c r="C4779" s="2">
        <v>9</v>
      </c>
      <c r="D4779" s="2">
        <v>556</v>
      </c>
      <c r="E4779" s="2">
        <v>200</v>
      </c>
      <c r="F4779" s="2">
        <v>32441</v>
      </c>
      <c r="G4779" s="2">
        <v>2.625620504</v>
      </c>
      <c r="H4779" s="2">
        <v>9.3616380000000003E-3</v>
      </c>
      <c r="I4779" s="2" t="s">
        <v>22101</v>
      </c>
      <c r="J4779" s="2" t="s">
        <v>22102</v>
      </c>
      <c r="K4779" s="2">
        <v>1.6335925000000001E-2</v>
      </c>
      <c r="L4779" s="2" t="s">
        <v>1178</v>
      </c>
      <c r="M4779" s="4" t="s">
        <v>22103</v>
      </c>
    </row>
    <row r="4780" spans="1:13">
      <c r="A4780" s="2">
        <v>17761</v>
      </c>
      <c r="B4780" s="2" t="s">
        <v>22104</v>
      </c>
      <c r="C4780" s="2">
        <v>9</v>
      </c>
      <c r="D4780" s="2">
        <v>556</v>
      </c>
      <c r="E4780" s="2">
        <v>200</v>
      </c>
      <c r="F4780" s="2">
        <v>32441</v>
      </c>
      <c r="G4780" s="2">
        <v>2.625620504</v>
      </c>
      <c r="H4780" s="2">
        <v>9.3616380000000003E-3</v>
      </c>
      <c r="I4780" s="2" t="s">
        <v>22105</v>
      </c>
      <c r="J4780" s="2" t="s">
        <v>22106</v>
      </c>
      <c r="K4780" s="2">
        <v>1.6335925000000001E-2</v>
      </c>
      <c r="L4780" s="2" t="s">
        <v>1178</v>
      </c>
      <c r="M4780" s="4" t="s">
        <v>22107</v>
      </c>
    </row>
    <row r="4781" spans="1:13">
      <c r="A4781" s="2">
        <v>18461</v>
      </c>
      <c r="B4781" s="2" t="s">
        <v>22108</v>
      </c>
      <c r="C4781" s="2">
        <v>9</v>
      </c>
      <c r="D4781" s="2">
        <v>556</v>
      </c>
      <c r="E4781" s="2">
        <v>200</v>
      </c>
      <c r="F4781" s="2">
        <v>32441</v>
      </c>
      <c r="G4781" s="2">
        <v>2.625620504</v>
      </c>
      <c r="H4781" s="2">
        <v>9.3616380000000003E-3</v>
      </c>
      <c r="I4781" s="2" t="s">
        <v>22109</v>
      </c>
      <c r="J4781" s="2" t="s">
        <v>22110</v>
      </c>
      <c r="K4781" s="2">
        <v>1.6335925000000001E-2</v>
      </c>
      <c r="L4781" s="2" t="s">
        <v>1178</v>
      </c>
      <c r="M4781" s="4" t="s">
        <v>22111</v>
      </c>
    </row>
    <row r="4782" spans="1:13">
      <c r="A4782" s="2">
        <v>18621</v>
      </c>
      <c r="B4782" s="2" t="s">
        <v>22112</v>
      </c>
      <c r="C4782" s="2">
        <v>9</v>
      </c>
      <c r="D4782" s="2">
        <v>556</v>
      </c>
      <c r="E4782" s="2">
        <v>200</v>
      </c>
      <c r="F4782" s="2">
        <v>32441</v>
      </c>
      <c r="G4782" s="2">
        <v>2.625620504</v>
      </c>
      <c r="H4782" s="2">
        <v>9.3616380000000003E-3</v>
      </c>
      <c r="I4782" s="2" t="s">
        <v>22113</v>
      </c>
      <c r="J4782" s="2" t="s">
        <v>22114</v>
      </c>
      <c r="K4782" s="2">
        <v>1.6335925000000001E-2</v>
      </c>
      <c r="L4782" s="2" t="s">
        <v>1178</v>
      </c>
      <c r="M4782" s="4" t="s">
        <v>22115</v>
      </c>
    </row>
    <row r="4783" spans="1:13">
      <c r="A4783" s="2">
        <v>1864</v>
      </c>
      <c r="B4783" s="2" t="s">
        <v>22116</v>
      </c>
      <c r="C4783" s="2">
        <v>9</v>
      </c>
      <c r="D4783" s="2">
        <v>556</v>
      </c>
      <c r="E4783" s="2">
        <v>200</v>
      </c>
      <c r="F4783" s="2">
        <v>32441</v>
      </c>
      <c r="G4783" s="2">
        <v>2.625620504</v>
      </c>
      <c r="H4783" s="2">
        <v>9.3616380000000003E-3</v>
      </c>
      <c r="I4783" s="2" t="s">
        <v>22117</v>
      </c>
      <c r="J4783" s="2" t="s">
        <v>22118</v>
      </c>
      <c r="K4783" s="2">
        <v>1.6335925000000001E-2</v>
      </c>
      <c r="L4783" s="2" t="s">
        <v>1178</v>
      </c>
      <c r="M4783" s="4" t="s">
        <v>22119</v>
      </c>
    </row>
    <row r="4784" spans="1:13">
      <c r="A4784" s="2">
        <v>1869</v>
      </c>
      <c r="B4784" s="2" t="s">
        <v>1902</v>
      </c>
      <c r="C4784" s="2">
        <v>9</v>
      </c>
      <c r="D4784" s="2">
        <v>556</v>
      </c>
      <c r="E4784" s="2">
        <v>200</v>
      </c>
      <c r="F4784" s="2">
        <v>32441</v>
      </c>
      <c r="G4784" s="2">
        <v>2.625620504</v>
      </c>
      <c r="H4784" s="2">
        <v>9.3616380000000003E-3</v>
      </c>
      <c r="I4784" s="2" t="s">
        <v>22120</v>
      </c>
      <c r="J4784" s="2" t="s">
        <v>22121</v>
      </c>
      <c r="K4784" s="2">
        <v>1.6335925000000001E-2</v>
      </c>
      <c r="L4784" s="2" t="s">
        <v>1178</v>
      </c>
      <c r="M4784" s="4" t="s">
        <v>22122</v>
      </c>
    </row>
    <row r="4785" spans="1:13">
      <c r="A4785" s="2">
        <v>1913</v>
      </c>
      <c r="B4785" s="2" t="s">
        <v>22123</v>
      </c>
      <c r="C4785" s="2">
        <v>9</v>
      </c>
      <c r="D4785" s="2">
        <v>556</v>
      </c>
      <c r="E4785" s="2">
        <v>200</v>
      </c>
      <c r="F4785" s="2">
        <v>32441</v>
      </c>
      <c r="G4785" s="2">
        <v>2.625620504</v>
      </c>
      <c r="H4785" s="2">
        <v>9.3616380000000003E-3</v>
      </c>
      <c r="I4785" s="2" t="s">
        <v>22124</v>
      </c>
      <c r="J4785" s="2" t="s">
        <v>22125</v>
      </c>
      <c r="K4785" s="2">
        <v>1.6335925000000001E-2</v>
      </c>
      <c r="L4785" s="2" t="s">
        <v>1178</v>
      </c>
      <c r="M4785" s="4" t="s">
        <v>22126</v>
      </c>
    </row>
    <row r="4786" spans="1:13">
      <c r="A4786" s="2">
        <v>1915</v>
      </c>
      <c r="B4786" s="2" t="s">
        <v>3420</v>
      </c>
      <c r="C4786" s="2">
        <v>9</v>
      </c>
      <c r="D4786" s="2">
        <v>556</v>
      </c>
      <c r="E4786" s="2">
        <v>200</v>
      </c>
      <c r="F4786" s="2">
        <v>32441</v>
      </c>
      <c r="G4786" s="2">
        <v>2.625620504</v>
      </c>
      <c r="H4786" s="2">
        <v>9.3616380000000003E-3</v>
      </c>
      <c r="I4786" s="2" t="s">
        <v>22127</v>
      </c>
      <c r="J4786" s="2" t="s">
        <v>22128</v>
      </c>
      <c r="K4786" s="2">
        <v>1.6335925000000001E-2</v>
      </c>
      <c r="L4786" s="2" t="s">
        <v>1178</v>
      </c>
      <c r="M4786" s="4" t="s">
        <v>3423</v>
      </c>
    </row>
    <row r="4787" spans="1:13">
      <c r="A4787" s="2">
        <v>19181</v>
      </c>
      <c r="B4787" s="2" t="s">
        <v>22129</v>
      </c>
      <c r="C4787" s="2">
        <v>9</v>
      </c>
      <c r="D4787" s="2">
        <v>556</v>
      </c>
      <c r="E4787" s="2">
        <v>200</v>
      </c>
      <c r="F4787" s="2">
        <v>32441</v>
      </c>
      <c r="G4787" s="2">
        <v>2.625620504</v>
      </c>
      <c r="H4787" s="2">
        <v>9.3616380000000003E-3</v>
      </c>
      <c r="I4787" s="2" t="s">
        <v>22130</v>
      </c>
      <c r="J4787" s="2" t="s">
        <v>22131</v>
      </c>
      <c r="K4787" s="2">
        <v>1.6335925000000001E-2</v>
      </c>
      <c r="L4787" s="2" t="s">
        <v>1178</v>
      </c>
      <c r="M4787" s="4" t="s">
        <v>22132</v>
      </c>
    </row>
    <row r="4788" spans="1:13">
      <c r="A4788" s="2">
        <v>1922</v>
      </c>
      <c r="B4788" s="2" t="s">
        <v>22133</v>
      </c>
      <c r="C4788" s="2">
        <v>9</v>
      </c>
      <c r="D4788" s="2">
        <v>556</v>
      </c>
      <c r="E4788" s="2">
        <v>200</v>
      </c>
      <c r="F4788" s="2">
        <v>32441</v>
      </c>
      <c r="G4788" s="2">
        <v>2.625620504</v>
      </c>
      <c r="H4788" s="2">
        <v>9.3616380000000003E-3</v>
      </c>
      <c r="I4788" s="2" t="s">
        <v>22134</v>
      </c>
      <c r="J4788" s="2" t="s">
        <v>22135</v>
      </c>
      <c r="K4788" s="2">
        <v>1.6335925000000001E-2</v>
      </c>
      <c r="L4788" s="2" t="s">
        <v>1178</v>
      </c>
      <c r="M4788" s="4" t="s">
        <v>22136</v>
      </c>
    </row>
    <row r="4789" spans="1:13">
      <c r="A4789" s="2">
        <v>1930</v>
      </c>
      <c r="B4789" s="2" t="s">
        <v>22137</v>
      </c>
      <c r="C4789" s="2">
        <v>9</v>
      </c>
      <c r="D4789" s="2">
        <v>556</v>
      </c>
      <c r="E4789" s="2">
        <v>200</v>
      </c>
      <c r="F4789" s="2">
        <v>32441</v>
      </c>
      <c r="G4789" s="2">
        <v>2.625620504</v>
      </c>
      <c r="H4789" s="2">
        <v>9.3616380000000003E-3</v>
      </c>
      <c r="I4789" s="2" t="s">
        <v>22138</v>
      </c>
      <c r="J4789" s="2" t="s">
        <v>22139</v>
      </c>
      <c r="K4789" s="2">
        <v>1.6335925000000001E-2</v>
      </c>
      <c r="L4789" s="2" t="s">
        <v>1178</v>
      </c>
      <c r="M4789" s="4" t="s">
        <v>22140</v>
      </c>
    </row>
    <row r="4790" spans="1:13">
      <c r="A4790" s="2">
        <v>19311</v>
      </c>
      <c r="B4790" s="2" t="s">
        <v>22141</v>
      </c>
      <c r="C4790" s="2">
        <v>9</v>
      </c>
      <c r="D4790" s="2">
        <v>556</v>
      </c>
      <c r="E4790" s="2">
        <v>200</v>
      </c>
      <c r="F4790" s="2">
        <v>32441</v>
      </c>
      <c r="G4790" s="2">
        <v>2.625620504</v>
      </c>
      <c r="H4790" s="2">
        <v>9.3616380000000003E-3</v>
      </c>
      <c r="I4790" s="2" t="s">
        <v>22142</v>
      </c>
      <c r="J4790" s="2" t="s">
        <v>22143</v>
      </c>
      <c r="K4790" s="2">
        <v>1.6335925000000001E-2</v>
      </c>
      <c r="L4790" s="2" t="s">
        <v>1178</v>
      </c>
      <c r="M4790" s="4" t="s">
        <v>22144</v>
      </c>
    </row>
    <row r="4791" spans="1:13">
      <c r="A4791" s="2">
        <v>1939</v>
      </c>
      <c r="B4791" s="2" t="s">
        <v>22145</v>
      </c>
      <c r="C4791" s="2">
        <v>9</v>
      </c>
      <c r="D4791" s="2">
        <v>556</v>
      </c>
      <c r="E4791" s="2">
        <v>200</v>
      </c>
      <c r="F4791" s="2">
        <v>32441</v>
      </c>
      <c r="G4791" s="2">
        <v>2.625620504</v>
      </c>
      <c r="H4791" s="2">
        <v>9.3616380000000003E-3</v>
      </c>
      <c r="I4791" s="2" t="s">
        <v>22146</v>
      </c>
      <c r="J4791" s="2" t="s">
        <v>22147</v>
      </c>
      <c r="K4791" s="2">
        <v>1.6335925000000001E-2</v>
      </c>
      <c r="L4791" s="2" t="s">
        <v>1178</v>
      </c>
      <c r="M4791" s="4" t="s">
        <v>22148</v>
      </c>
    </row>
    <row r="4792" spans="1:13">
      <c r="A4792" s="2">
        <v>1940</v>
      </c>
      <c r="B4792" s="2" t="s">
        <v>22149</v>
      </c>
      <c r="C4792" s="2">
        <v>9</v>
      </c>
      <c r="D4792" s="2">
        <v>556</v>
      </c>
      <c r="E4792" s="2">
        <v>200</v>
      </c>
      <c r="F4792" s="2">
        <v>32441</v>
      </c>
      <c r="G4792" s="2">
        <v>2.625620504</v>
      </c>
      <c r="H4792" s="2">
        <v>9.3616380000000003E-3</v>
      </c>
      <c r="I4792" s="2" t="s">
        <v>22150</v>
      </c>
      <c r="J4792" s="2" t="s">
        <v>22151</v>
      </c>
      <c r="K4792" s="2">
        <v>1.6335925000000001E-2</v>
      </c>
      <c r="L4792" s="2" t="s">
        <v>1178</v>
      </c>
      <c r="M4792" s="4" t="s">
        <v>22152</v>
      </c>
    </row>
    <row r="4793" spans="1:13">
      <c r="A4793" s="2">
        <v>1950</v>
      </c>
      <c r="B4793" s="2" t="s">
        <v>2511</v>
      </c>
      <c r="C4793" s="2">
        <v>9</v>
      </c>
      <c r="D4793" s="2">
        <v>556</v>
      </c>
      <c r="E4793" s="2">
        <v>200</v>
      </c>
      <c r="F4793" s="2">
        <v>32441</v>
      </c>
      <c r="G4793" s="2">
        <v>2.625620504</v>
      </c>
      <c r="H4793" s="2">
        <v>9.3616380000000003E-3</v>
      </c>
      <c r="I4793" s="2" t="s">
        <v>22153</v>
      </c>
      <c r="J4793" s="2" t="s">
        <v>22154</v>
      </c>
      <c r="K4793" s="2">
        <v>1.6335925000000001E-2</v>
      </c>
      <c r="L4793" s="2" t="s">
        <v>1178</v>
      </c>
      <c r="M4793" s="4" t="s">
        <v>22155</v>
      </c>
    </row>
    <row r="4794" spans="1:13">
      <c r="A4794" s="2">
        <v>2017</v>
      </c>
      <c r="B4794" s="2" t="s">
        <v>3428</v>
      </c>
      <c r="C4794" s="2">
        <v>9</v>
      </c>
      <c r="D4794" s="2">
        <v>556</v>
      </c>
      <c r="E4794" s="2">
        <v>200</v>
      </c>
      <c r="F4794" s="2">
        <v>32441</v>
      </c>
      <c r="G4794" s="2">
        <v>2.625620504</v>
      </c>
      <c r="H4794" s="2">
        <v>9.3616380000000003E-3</v>
      </c>
      <c r="I4794" s="2" t="s">
        <v>22156</v>
      </c>
      <c r="J4794" s="2" t="s">
        <v>22157</v>
      </c>
      <c r="K4794" s="2">
        <v>1.6335925000000001E-2</v>
      </c>
      <c r="L4794" s="2" t="s">
        <v>1178</v>
      </c>
      <c r="M4794" s="4" t="s">
        <v>3431</v>
      </c>
    </row>
    <row r="4795" spans="1:13">
      <c r="A4795" s="2">
        <v>2046</v>
      </c>
      <c r="B4795" s="2" t="s">
        <v>22158</v>
      </c>
      <c r="C4795" s="2">
        <v>9</v>
      </c>
      <c r="D4795" s="2">
        <v>556</v>
      </c>
      <c r="E4795" s="2">
        <v>200</v>
      </c>
      <c r="F4795" s="2">
        <v>32441</v>
      </c>
      <c r="G4795" s="2">
        <v>2.625620504</v>
      </c>
      <c r="H4795" s="2">
        <v>9.3616380000000003E-3</v>
      </c>
      <c r="I4795" s="2" t="s">
        <v>22159</v>
      </c>
      <c r="J4795" s="2" t="s">
        <v>22160</v>
      </c>
      <c r="K4795" s="2">
        <v>1.6335925000000001E-2</v>
      </c>
      <c r="L4795" s="2" t="s">
        <v>1178</v>
      </c>
      <c r="M4795" s="4" t="s">
        <v>22161</v>
      </c>
    </row>
    <row r="4796" spans="1:13">
      <c r="A4796" s="2">
        <v>20571</v>
      </c>
      <c r="B4796" s="2" t="s">
        <v>22162</v>
      </c>
      <c r="C4796" s="2">
        <v>9</v>
      </c>
      <c r="D4796" s="2">
        <v>556</v>
      </c>
      <c r="E4796" s="2">
        <v>200</v>
      </c>
      <c r="F4796" s="2">
        <v>32441</v>
      </c>
      <c r="G4796" s="2">
        <v>2.625620504</v>
      </c>
      <c r="H4796" s="2">
        <v>9.3616380000000003E-3</v>
      </c>
      <c r="I4796" s="2" t="s">
        <v>22163</v>
      </c>
      <c r="J4796" s="2" t="s">
        <v>22164</v>
      </c>
      <c r="K4796" s="2">
        <v>1.6335925000000001E-2</v>
      </c>
      <c r="L4796" s="2" t="s">
        <v>1178</v>
      </c>
      <c r="M4796" s="4" t="s">
        <v>22165</v>
      </c>
    </row>
    <row r="4797" spans="1:13">
      <c r="A4797" s="2">
        <v>2071</v>
      </c>
      <c r="B4797" s="2" t="s">
        <v>22166</v>
      </c>
      <c r="C4797" s="2">
        <v>9</v>
      </c>
      <c r="D4797" s="2">
        <v>556</v>
      </c>
      <c r="E4797" s="2">
        <v>200</v>
      </c>
      <c r="F4797" s="2">
        <v>32441</v>
      </c>
      <c r="G4797" s="2">
        <v>2.625620504</v>
      </c>
      <c r="H4797" s="2">
        <v>9.3616380000000003E-3</v>
      </c>
      <c r="I4797" s="2" t="s">
        <v>22167</v>
      </c>
      <c r="J4797" s="2" t="s">
        <v>22168</v>
      </c>
      <c r="K4797" s="2">
        <v>1.6335925000000001E-2</v>
      </c>
      <c r="L4797" s="2" t="s">
        <v>1178</v>
      </c>
      <c r="M4797" s="4" t="s">
        <v>22169</v>
      </c>
    </row>
    <row r="4798" spans="1:13">
      <c r="A4798" s="2">
        <v>21221</v>
      </c>
      <c r="B4798" s="2" t="s">
        <v>22170</v>
      </c>
      <c r="C4798" s="2">
        <v>9</v>
      </c>
      <c r="D4798" s="2">
        <v>556</v>
      </c>
      <c r="E4798" s="2">
        <v>200</v>
      </c>
      <c r="F4798" s="2">
        <v>32441</v>
      </c>
      <c r="G4798" s="2">
        <v>2.625620504</v>
      </c>
      <c r="H4798" s="2">
        <v>9.3616380000000003E-3</v>
      </c>
      <c r="I4798" s="2" t="s">
        <v>22171</v>
      </c>
      <c r="J4798" s="2" t="s">
        <v>22172</v>
      </c>
      <c r="K4798" s="2">
        <v>1.6335925000000001E-2</v>
      </c>
      <c r="L4798" s="2" t="s">
        <v>1178</v>
      </c>
      <c r="M4798" s="4" t="s">
        <v>22173</v>
      </c>
    </row>
    <row r="4799" spans="1:13">
      <c r="A4799" s="2">
        <v>2125</v>
      </c>
      <c r="B4799" s="2" t="s">
        <v>22174</v>
      </c>
      <c r="C4799" s="2">
        <v>9</v>
      </c>
      <c r="D4799" s="2">
        <v>556</v>
      </c>
      <c r="E4799" s="2">
        <v>200</v>
      </c>
      <c r="F4799" s="2">
        <v>32441</v>
      </c>
      <c r="G4799" s="2">
        <v>2.625620504</v>
      </c>
      <c r="H4799" s="2">
        <v>9.3616380000000003E-3</v>
      </c>
      <c r="I4799" s="2" t="s">
        <v>22175</v>
      </c>
      <c r="J4799" s="2" t="s">
        <v>22176</v>
      </c>
      <c r="K4799" s="2">
        <v>1.6335925000000001E-2</v>
      </c>
      <c r="L4799" s="2" t="s">
        <v>1178</v>
      </c>
      <c r="M4799" s="4" t="s">
        <v>22177</v>
      </c>
    </row>
    <row r="4800" spans="1:13">
      <c r="A4800" s="2">
        <v>21371</v>
      </c>
      <c r="B4800" s="2" t="s">
        <v>22178</v>
      </c>
      <c r="C4800" s="2">
        <v>9</v>
      </c>
      <c r="D4800" s="2">
        <v>556</v>
      </c>
      <c r="E4800" s="2">
        <v>199</v>
      </c>
      <c r="F4800" s="2">
        <v>32441</v>
      </c>
      <c r="G4800" s="2">
        <v>2.6388145760000001</v>
      </c>
      <c r="H4800" s="2">
        <v>9.0895969999999996E-3</v>
      </c>
      <c r="I4800" s="2" t="s">
        <v>22179</v>
      </c>
      <c r="J4800" s="2" t="s">
        <v>22180</v>
      </c>
      <c r="K4800" s="2">
        <v>1.6335925000000001E-2</v>
      </c>
      <c r="L4800" s="2" t="s">
        <v>1178</v>
      </c>
      <c r="M4800" s="4" t="s">
        <v>22181</v>
      </c>
    </row>
    <row r="4801" spans="1:13">
      <c r="A4801" s="2">
        <v>2149</v>
      </c>
      <c r="B4801" s="2" t="s">
        <v>22182</v>
      </c>
      <c r="C4801" s="2">
        <v>9</v>
      </c>
      <c r="D4801" s="2">
        <v>556</v>
      </c>
      <c r="E4801" s="2">
        <v>200</v>
      </c>
      <c r="F4801" s="2">
        <v>32441</v>
      </c>
      <c r="G4801" s="2">
        <v>2.625620504</v>
      </c>
      <c r="H4801" s="2">
        <v>9.3616380000000003E-3</v>
      </c>
      <c r="I4801" s="2" t="s">
        <v>22183</v>
      </c>
      <c r="J4801" s="2" t="s">
        <v>22184</v>
      </c>
      <c r="K4801" s="2">
        <v>1.6335925000000001E-2</v>
      </c>
      <c r="L4801" s="2" t="s">
        <v>1178</v>
      </c>
      <c r="M4801" s="4" t="s">
        <v>22185</v>
      </c>
    </row>
    <row r="4802" spans="1:13">
      <c r="A4802" s="2">
        <v>2153</v>
      </c>
      <c r="B4802" s="2" t="s">
        <v>22186</v>
      </c>
      <c r="C4802" s="2">
        <v>9</v>
      </c>
      <c r="D4802" s="2">
        <v>556</v>
      </c>
      <c r="E4802" s="2">
        <v>198</v>
      </c>
      <c r="F4802" s="2">
        <v>32441</v>
      </c>
      <c r="G4802" s="2">
        <v>2.6521419229999998</v>
      </c>
      <c r="H4802" s="2">
        <v>8.823582E-3</v>
      </c>
      <c r="I4802" s="2" t="s">
        <v>22187</v>
      </c>
      <c r="J4802" s="2" t="s">
        <v>22188</v>
      </c>
      <c r="K4802" s="2">
        <v>1.6335925000000001E-2</v>
      </c>
      <c r="L4802" s="2" t="s">
        <v>1178</v>
      </c>
      <c r="M4802" s="4" t="s">
        <v>22189</v>
      </c>
    </row>
    <row r="4803" spans="1:13">
      <c r="A4803" s="2">
        <v>2158</v>
      </c>
      <c r="B4803" s="2" t="s">
        <v>22190</v>
      </c>
      <c r="C4803" s="2">
        <v>9</v>
      </c>
      <c r="D4803" s="2">
        <v>556</v>
      </c>
      <c r="E4803" s="2">
        <v>200</v>
      </c>
      <c r="F4803" s="2">
        <v>32441</v>
      </c>
      <c r="G4803" s="2">
        <v>2.625620504</v>
      </c>
      <c r="H4803" s="2">
        <v>9.3616380000000003E-3</v>
      </c>
      <c r="I4803" s="2" t="s">
        <v>22191</v>
      </c>
      <c r="J4803" s="2" t="s">
        <v>22192</v>
      </c>
      <c r="K4803" s="2">
        <v>1.6335925000000001E-2</v>
      </c>
      <c r="L4803" s="2" t="s">
        <v>1178</v>
      </c>
      <c r="M4803" s="4" t="s">
        <v>22193</v>
      </c>
    </row>
    <row r="4804" spans="1:13">
      <c r="A4804" s="2">
        <v>21661</v>
      </c>
      <c r="B4804" s="2" t="s">
        <v>22194</v>
      </c>
      <c r="C4804" s="2">
        <v>9</v>
      </c>
      <c r="D4804" s="2">
        <v>556</v>
      </c>
      <c r="E4804" s="2">
        <v>200</v>
      </c>
      <c r="F4804" s="2">
        <v>32441</v>
      </c>
      <c r="G4804" s="2">
        <v>2.625620504</v>
      </c>
      <c r="H4804" s="2">
        <v>9.3616380000000003E-3</v>
      </c>
      <c r="I4804" s="2" t="s">
        <v>22195</v>
      </c>
      <c r="J4804" s="2" t="s">
        <v>22196</v>
      </c>
      <c r="K4804" s="2">
        <v>1.6335925000000001E-2</v>
      </c>
      <c r="L4804" s="2" t="s">
        <v>1178</v>
      </c>
      <c r="M4804" s="4" t="s">
        <v>22197</v>
      </c>
    </row>
    <row r="4805" spans="1:13">
      <c r="A4805" s="2">
        <v>2175</v>
      </c>
      <c r="B4805" s="2" t="s">
        <v>1221</v>
      </c>
      <c r="C4805" s="2">
        <v>8</v>
      </c>
      <c r="D4805" s="2">
        <v>556</v>
      </c>
      <c r="E4805" s="2">
        <v>162</v>
      </c>
      <c r="F4805" s="2">
        <v>32441</v>
      </c>
      <c r="G4805" s="2">
        <v>2.8813393729999999</v>
      </c>
      <c r="H4805" s="2">
        <v>8.4340179999999997E-3</v>
      </c>
      <c r="I4805" s="2" t="s">
        <v>22198</v>
      </c>
      <c r="J4805" s="2" t="s">
        <v>22199</v>
      </c>
      <c r="K4805" s="2">
        <v>1.6335925000000001E-2</v>
      </c>
      <c r="L4805" s="2" t="s">
        <v>1178</v>
      </c>
      <c r="M4805" s="4" t="s">
        <v>22200</v>
      </c>
    </row>
    <row r="4806" spans="1:13">
      <c r="A4806" s="2">
        <v>2194</v>
      </c>
      <c r="B4806" s="2" t="s">
        <v>22201</v>
      </c>
      <c r="C4806" s="2">
        <v>9</v>
      </c>
      <c r="D4806" s="2">
        <v>556</v>
      </c>
      <c r="E4806" s="2">
        <v>200</v>
      </c>
      <c r="F4806" s="2">
        <v>32441</v>
      </c>
      <c r="G4806" s="2">
        <v>2.625620504</v>
      </c>
      <c r="H4806" s="2">
        <v>9.3616380000000003E-3</v>
      </c>
      <c r="I4806" s="2" t="s">
        <v>22202</v>
      </c>
      <c r="J4806" s="2" t="s">
        <v>22203</v>
      </c>
      <c r="K4806" s="2">
        <v>1.6335925000000001E-2</v>
      </c>
      <c r="L4806" s="2" t="s">
        <v>1178</v>
      </c>
      <c r="M4806" s="4" t="s">
        <v>22204</v>
      </c>
    </row>
    <row r="4807" spans="1:13">
      <c r="A4807" s="2">
        <v>2227</v>
      </c>
      <c r="B4807" s="2" t="s">
        <v>22205</v>
      </c>
      <c r="C4807" s="2">
        <v>9</v>
      </c>
      <c r="D4807" s="2">
        <v>556</v>
      </c>
      <c r="E4807" s="2">
        <v>200</v>
      </c>
      <c r="F4807" s="2">
        <v>32441</v>
      </c>
      <c r="G4807" s="2">
        <v>2.625620504</v>
      </c>
      <c r="H4807" s="2">
        <v>9.3616380000000003E-3</v>
      </c>
      <c r="I4807" s="2" t="s">
        <v>22206</v>
      </c>
      <c r="J4807" s="2" t="s">
        <v>22207</v>
      </c>
      <c r="K4807" s="2">
        <v>1.6335925000000001E-2</v>
      </c>
      <c r="L4807" s="2" t="s">
        <v>1178</v>
      </c>
      <c r="M4807" s="4" t="s">
        <v>22208</v>
      </c>
    </row>
    <row r="4808" spans="1:13">
      <c r="A4808" s="2">
        <v>22341</v>
      </c>
      <c r="B4808" s="2" t="s">
        <v>2538</v>
      </c>
      <c r="C4808" s="2">
        <v>9</v>
      </c>
      <c r="D4808" s="2">
        <v>556</v>
      </c>
      <c r="E4808" s="2">
        <v>200</v>
      </c>
      <c r="F4808" s="2">
        <v>32441</v>
      </c>
      <c r="G4808" s="2">
        <v>2.625620504</v>
      </c>
      <c r="H4808" s="2">
        <v>9.3616380000000003E-3</v>
      </c>
      <c r="I4808" s="2" t="s">
        <v>22209</v>
      </c>
      <c r="J4808" s="2" t="s">
        <v>22210</v>
      </c>
      <c r="K4808" s="2">
        <v>1.6335925000000001E-2</v>
      </c>
      <c r="L4808" s="2" t="s">
        <v>1178</v>
      </c>
      <c r="M4808" s="4" t="s">
        <v>22211</v>
      </c>
    </row>
    <row r="4809" spans="1:13">
      <c r="A4809" s="2">
        <v>2244</v>
      </c>
      <c r="B4809" s="2" t="s">
        <v>22212</v>
      </c>
      <c r="C4809" s="2">
        <v>9</v>
      </c>
      <c r="D4809" s="2">
        <v>556</v>
      </c>
      <c r="E4809" s="2">
        <v>200</v>
      </c>
      <c r="F4809" s="2">
        <v>32441</v>
      </c>
      <c r="G4809" s="2">
        <v>2.625620504</v>
      </c>
      <c r="H4809" s="2">
        <v>9.3616380000000003E-3</v>
      </c>
      <c r="I4809" s="2" t="s">
        <v>22213</v>
      </c>
      <c r="J4809" s="2" t="s">
        <v>22214</v>
      </c>
      <c r="K4809" s="2">
        <v>1.6335925000000001E-2</v>
      </c>
      <c r="L4809" s="2" t="s">
        <v>1178</v>
      </c>
      <c r="M4809" s="4" t="s">
        <v>22215</v>
      </c>
    </row>
    <row r="4810" spans="1:13">
      <c r="A4810" s="2">
        <v>2254</v>
      </c>
      <c r="B4810" s="2" t="s">
        <v>22216</v>
      </c>
      <c r="C4810" s="2">
        <v>9</v>
      </c>
      <c r="D4810" s="2">
        <v>556</v>
      </c>
      <c r="E4810" s="2">
        <v>200</v>
      </c>
      <c r="F4810" s="2">
        <v>32441</v>
      </c>
      <c r="G4810" s="2">
        <v>2.625620504</v>
      </c>
      <c r="H4810" s="2">
        <v>9.3616380000000003E-3</v>
      </c>
      <c r="I4810" s="2" t="s">
        <v>22217</v>
      </c>
      <c r="J4810" s="2" t="s">
        <v>22218</v>
      </c>
      <c r="K4810" s="2">
        <v>1.6335925000000001E-2</v>
      </c>
      <c r="L4810" s="2" t="s">
        <v>1178</v>
      </c>
      <c r="M4810" s="4" t="s">
        <v>22219</v>
      </c>
    </row>
    <row r="4811" spans="1:13">
      <c r="A4811" s="2">
        <v>2297</v>
      </c>
      <c r="B4811" s="2" t="s">
        <v>2553</v>
      </c>
      <c r="C4811" s="2">
        <v>9</v>
      </c>
      <c r="D4811" s="2">
        <v>556</v>
      </c>
      <c r="E4811" s="2">
        <v>200</v>
      </c>
      <c r="F4811" s="2">
        <v>32441</v>
      </c>
      <c r="G4811" s="2">
        <v>2.625620504</v>
      </c>
      <c r="H4811" s="2">
        <v>9.3616380000000003E-3</v>
      </c>
      <c r="I4811" s="2" t="s">
        <v>22220</v>
      </c>
      <c r="J4811" s="2" t="s">
        <v>22221</v>
      </c>
      <c r="K4811" s="2">
        <v>1.6335925000000001E-2</v>
      </c>
      <c r="L4811" s="2" t="s">
        <v>1178</v>
      </c>
      <c r="M4811" s="4" t="s">
        <v>22222</v>
      </c>
    </row>
    <row r="4812" spans="1:13">
      <c r="A4812" s="2">
        <v>2301</v>
      </c>
      <c r="B4812" s="2" t="s">
        <v>22223</v>
      </c>
      <c r="C4812" s="2">
        <v>9</v>
      </c>
      <c r="D4812" s="2">
        <v>556</v>
      </c>
      <c r="E4812" s="2">
        <v>200</v>
      </c>
      <c r="F4812" s="2">
        <v>32441</v>
      </c>
      <c r="G4812" s="2">
        <v>2.625620504</v>
      </c>
      <c r="H4812" s="2">
        <v>9.3616380000000003E-3</v>
      </c>
      <c r="I4812" s="2" t="s">
        <v>22224</v>
      </c>
      <c r="J4812" s="2" t="s">
        <v>22225</v>
      </c>
      <c r="K4812" s="2">
        <v>1.6335925000000001E-2</v>
      </c>
      <c r="L4812" s="2" t="s">
        <v>1178</v>
      </c>
      <c r="M4812" s="4" t="s">
        <v>22226</v>
      </c>
    </row>
    <row r="4813" spans="1:13">
      <c r="A4813" s="2">
        <v>2302</v>
      </c>
      <c r="B4813" s="2" t="s">
        <v>22227</v>
      </c>
      <c r="C4813" s="2">
        <v>9</v>
      </c>
      <c r="D4813" s="2">
        <v>556</v>
      </c>
      <c r="E4813" s="2">
        <v>200</v>
      </c>
      <c r="F4813" s="2">
        <v>32441</v>
      </c>
      <c r="G4813" s="2">
        <v>2.625620504</v>
      </c>
      <c r="H4813" s="2">
        <v>9.3616380000000003E-3</v>
      </c>
      <c r="I4813" s="2" t="s">
        <v>22228</v>
      </c>
      <c r="J4813" s="2" t="s">
        <v>22229</v>
      </c>
      <c r="K4813" s="2">
        <v>1.6335925000000001E-2</v>
      </c>
      <c r="L4813" s="2" t="s">
        <v>1178</v>
      </c>
      <c r="M4813" s="4" t="s">
        <v>22230</v>
      </c>
    </row>
    <row r="4814" spans="1:13">
      <c r="A4814" s="2">
        <v>2340</v>
      </c>
      <c r="B4814" s="2" t="s">
        <v>22231</v>
      </c>
      <c r="C4814" s="2">
        <v>9</v>
      </c>
      <c r="D4814" s="2">
        <v>556</v>
      </c>
      <c r="E4814" s="2">
        <v>200</v>
      </c>
      <c r="F4814" s="2">
        <v>32441</v>
      </c>
      <c r="G4814" s="2">
        <v>2.625620504</v>
      </c>
      <c r="H4814" s="2">
        <v>9.3616380000000003E-3</v>
      </c>
      <c r="I4814" s="2" t="s">
        <v>22232</v>
      </c>
      <c r="J4814" s="2" t="s">
        <v>22233</v>
      </c>
      <c r="K4814" s="2">
        <v>1.6335925000000001E-2</v>
      </c>
      <c r="L4814" s="2" t="s">
        <v>1178</v>
      </c>
      <c r="M4814" s="4" t="s">
        <v>22234</v>
      </c>
    </row>
    <row r="4815" spans="1:13">
      <c r="A4815" s="2">
        <v>23811</v>
      </c>
      <c r="B4815" s="2" t="s">
        <v>22235</v>
      </c>
      <c r="C4815" s="2">
        <v>9</v>
      </c>
      <c r="D4815" s="2">
        <v>556</v>
      </c>
      <c r="E4815" s="2">
        <v>200</v>
      </c>
      <c r="F4815" s="2">
        <v>32441</v>
      </c>
      <c r="G4815" s="2">
        <v>2.625620504</v>
      </c>
      <c r="H4815" s="2">
        <v>9.3616380000000003E-3</v>
      </c>
      <c r="I4815" s="2" t="s">
        <v>22236</v>
      </c>
      <c r="J4815" s="2" t="s">
        <v>22237</v>
      </c>
      <c r="K4815" s="2">
        <v>1.6335925000000001E-2</v>
      </c>
      <c r="L4815" s="2" t="s">
        <v>1178</v>
      </c>
      <c r="M4815" s="4" t="s">
        <v>22238</v>
      </c>
    </row>
    <row r="4816" spans="1:13">
      <c r="A4816" s="2">
        <v>2392</v>
      </c>
      <c r="B4816" s="2" t="s">
        <v>22239</v>
      </c>
      <c r="C4816" s="2">
        <v>9</v>
      </c>
      <c r="D4816" s="2">
        <v>556</v>
      </c>
      <c r="E4816" s="2">
        <v>200</v>
      </c>
      <c r="F4816" s="2">
        <v>32441</v>
      </c>
      <c r="G4816" s="2">
        <v>2.625620504</v>
      </c>
      <c r="H4816" s="2">
        <v>9.3616380000000003E-3</v>
      </c>
      <c r="I4816" s="2" t="s">
        <v>22240</v>
      </c>
      <c r="J4816" s="2" t="s">
        <v>22241</v>
      </c>
      <c r="K4816" s="2">
        <v>1.6335925000000001E-2</v>
      </c>
      <c r="L4816" s="2" t="s">
        <v>1178</v>
      </c>
      <c r="M4816" s="4" t="s">
        <v>22242</v>
      </c>
    </row>
    <row r="4817" spans="1:13">
      <c r="A4817" s="2">
        <v>2399</v>
      </c>
      <c r="B4817" s="2" t="s">
        <v>22243</v>
      </c>
      <c r="C4817" s="2">
        <v>9</v>
      </c>
      <c r="D4817" s="2">
        <v>556</v>
      </c>
      <c r="E4817" s="2">
        <v>200</v>
      </c>
      <c r="F4817" s="2">
        <v>32441</v>
      </c>
      <c r="G4817" s="2">
        <v>2.625620504</v>
      </c>
      <c r="H4817" s="2">
        <v>9.3616380000000003E-3</v>
      </c>
      <c r="I4817" s="2" t="s">
        <v>22244</v>
      </c>
      <c r="J4817" s="2" t="s">
        <v>22245</v>
      </c>
      <c r="K4817" s="2">
        <v>1.6335925000000001E-2</v>
      </c>
      <c r="L4817" s="2" t="s">
        <v>1178</v>
      </c>
      <c r="M4817" s="4" t="s">
        <v>22246</v>
      </c>
    </row>
    <row r="4818" spans="1:13">
      <c r="A4818" s="2">
        <v>24011</v>
      </c>
      <c r="B4818" s="2" t="s">
        <v>22247</v>
      </c>
      <c r="C4818" s="2">
        <v>9</v>
      </c>
      <c r="D4818" s="2">
        <v>556</v>
      </c>
      <c r="E4818" s="2">
        <v>200</v>
      </c>
      <c r="F4818" s="2">
        <v>32441</v>
      </c>
      <c r="G4818" s="2">
        <v>2.625620504</v>
      </c>
      <c r="H4818" s="2">
        <v>9.3616380000000003E-3</v>
      </c>
      <c r="I4818" s="2" t="s">
        <v>22248</v>
      </c>
      <c r="J4818" s="2" t="s">
        <v>22249</v>
      </c>
      <c r="K4818" s="2">
        <v>1.6335925000000001E-2</v>
      </c>
      <c r="L4818" s="2" t="s">
        <v>1178</v>
      </c>
      <c r="M4818" s="4" t="s">
        <v>22250</v>
      </c>
    </row>
    <row r="4819" spans="1:13">
      <c r="A4819" s="2">
        <v>2428</v>
      </c>
      <c r="B4819" s="2" t="s">
        <v>1311</v>
      </c>
      <c r="C4819" s="2">
        <v>8</v>
      </c>
      <c r="D4819" s="2">
        <v>556</v>
      </c>
      <c r="E4819" s="2">
        <v>164</v>
      </c>
      <c r="F4819" s="2">
        <v>32441</v>
      </c>
      <c r="G4819" s="2">
        <v>2.8462010879999999</v>
      </c>
      <c r="H4819" s="2">
        <v>9.0165169999999999E-3</v>
      </c>
      <c r="I4819" s="2" t="s">
        <v>22251</v>
      </c>
      <c r="J4819" s="2" t="s">
        <v>22252</v>
      </c>
      <c r="K4819" s="2">
        <v>1.6335925000000001E-2</v>
      </c>
      <c r="L4819" s="2" t="s">
        <v>1178</v>
      </c>
      <c r="M4819" s="4" t="s">
        <v>22253</v>
      </c>
    </row>
    <row r="4820" spans="1:13">
      <c r="A4820" s="2">
        <v>24791</v>
      </c>
      <c r="B4820" s="2" t="s">
        <v>22254</v>
      </c>
      <c r="C4820" s="2">
        <v>9</v>
      </c>
      <c r="D4820" s="2">
        <v>556</v>
      </c>
      <c r="E4820" s="2">
        <v>200</v>
      </c>
      <c r="F4820" s="2">
        <v>32441</v>
      </c>
      <c r="G4820" s="2">
        <v>2.625620504</v>
      </c>
      <c r="H4820" s="2">
        <v>9.3616380000000003E-3</v>
      </c>
      <c r="I4820" s="2" t="s">
        <v>22255</v>
      </c>
      <c r="J4820" s="2" t="s">
        <v>22256</v>
      </c>
      <c r="K4820" s="2">
        <v>1.6335925000000001E-2</v>
      </c>
      <c r="L4820" s="2" t="s">
        <v>1178</v>
      </c>
      <c r="M4820" s="4" t="s">
        <v>22257</v>
      </c>
    </row>
    <row r="4821" spans="1:13">
      <c r="A4821" s="2">
        <v>2579</v>
      </c>
      <c r="B4821" s="2" t="s">
        <v>22258</v>
      </c>
      <c r="C4821" s="2">
        <v>9</v>
      </c>
      <c r="D4821" s="2">
        <v>556</v>
      </c>
      <c r="E4821" s="2">
        <v>200</v>
      </c>
      <c r="F4821" s="2">
        <v>32441</v>
      </c>
      <c r="G4821" s="2">
        <v>2.625620504</v>
      </c>
      <c r="H4821" s="2">
        <v>9.3616380000000003E-3</v>
      </c>
      <c r="I4821" s="2" t="s">
        <v>22259</v>
      </c>
      <c r="J4821" s="2" t="s">
        <v>22260</v>
      </c>
      <c r="K4821" s="2">
        <v>1.6335925000000001E-2</v>
      </c>
      <c r="L4821" s="2" t="s">
        <v>1178</v>
      </c>
      <c r="M4821" s="4" t="s">
        <v>22261</v>
      </c>
    </row>
    <row r="4822" spans="1:13">
      <c r="A4822" s="2">
        <v>2582</v>
      </c>
      <c r="B4822" s="2" t="s">
        <v>22262</v>
      </c>
      <c r="C4822" s="2">
        <v>9</v>
      </c>
      <c r="D4822" s="2">
        <v>556</v>
      </c>
      <c r="E4822" s="2">
        <v>200</v>
      </c>
      <c r="F4822" s="2">
        <v>32441</v>
      </c>
      <c r="G4822" s="2">
        <v>2.625620504</v>
      </c>
      <c r="H4822" s="2">
        <v>9.3616380000000003E-3</v>
      </c>
      <c r="I4822" s="2" t="s">
        <v>22263</v>
      </c>
      <c r="J4822" s="2" t="s">
        <v>22264</v>
      </c>
      <c r="K4822" s="2">
        <v>1.6335925000000001E-2</v>
      </c>
      <c r="L4822" s="2" t="s">
        <v>1178</v>
      </c>
      <c r="M4822" s="4" t="s">
        <v>22265</v>
      </c>
    </row>
    <row r="4823" spans="1:13">
      <c r="A4823" s="2">
        <v>2601</v>
      </c>
      <c r="B4823" s="2" t="s">
        <v>22266</v>
      </c>
      <c r="C4823" s="2">
        <v>9</v>
      </c>
      <c r="D4823" s="2">
        <v>556</v>
      </c>
      <c r="E4823" s="2">
        <v>200</v>
      </c>
      <c r="F4823" s="2">
        <v>32441</v>
      </c>
      <c r="G4823" s="2">
        <v>2.625620504</v>
      </c>
      <c r="H4823" s="2">
        <v>9.3616380000000003E-3</v>
      </c>
      <c r="I4823" s="2" t="s">
        <v>22267</v>
      </c>
      <c r="J4823" s="2" t="s">
        <v>22268</v>
      </c>
      <c r="K4823" s="2">
        <v>1.6335925000000001E-2</v>
      </c>
      <c r="L4823" s="2" t="s">
        <v>1178</v>
      </c>
      <c r="M4823" s="4" t="s">
        <v>22269</v>
      </c>
    </row>
    <row r="4824" spans="1:13">
      <c r="A4824" s="2">
        <v>2606</v>
      </c>
      <c r="B4824" s="2" t="s">
        <v>22270</v>
      </c>
      <c r="C4824" s="2">
        <v>9</v>
      </c>
      <c r="D4824" s="2">
        <v>556</v>
      </c>
      <c r="E4824" s="2">
        <v>200</v>
      </c>
      <c r="F4824" s="2">
        <v>32441</v>
      </c>
      <c r="G4824" s="2">
        <v>2.625620504</v>
      </c>
      <c r="H4824" s="2">
        <v>9.3616380000000003E-3</v>
      </c>
      <c r="I4824" s="2" t="s">
        <v>22271</v>
      </c>
      <c r="J4824" s="2" t="s">
        <v>22272</v>
      </c>
      <c r="K4824" s="2">
        <v>1.6335925000000001E-2</v>
      </c>
      <c r="L4824" s="2" t="s">
        <v>1178</v>
      </c>
      <c r="M4824" s="4" t="s">
        <v>22273</v>
      </c>
    </row>
    <row r="4825" spans="1:13">
      <c r="A4825" s="2">
        <v>26381</v>
      </c>
      <c r="B4825" s="2" t="s">
        <v>22274</v>
      </c>
      <c r="C4825" s="2">
        <v>9</v>
      </c>
      <c r="D4825" s="2">
        <v>556</v>
      </c>
      <c r="E4825" s="2">
        <v>200</v>
      </c>
      <c r="F4825" s="2">
        <v>32441</v>
      </c>
      <c r="G4825" s="2">
        <v>2.625620504</v>
      </c>
      <c r="H4825" s="2">
        <v>9.3616380000000003E-3</v>
      </c>
      <c r="I4825" s="2" t="s">
        <v>22275</v>
      </c>
      <c r="J4825" s="2" t="s">
        <v>22276</v>
      </c>
      <c r="K4825" s="2">
        <v>1.6335925000000001E-2</v>
      </c>
      <c r="L4825" s="2" t="s">
        <v>1178</v>
      </c>
      <c r="M4825" s="4" t="s">
        <v>22277</v>
      </c>
    </row>
    <row r="4826" spans="1:13">
      <c r="A4826" s="2">
        <v>2674</v>
      </c>
      <c r="B4826" s="2" t="s">
        <v>22278</v>
      </c>
      <c r="C4826" s="2">
        <v>9</v>
      </c>
      <c r="D4826" s="2">
        <v>556</v>
      </c>
      <c r="E4826" s="2">
        <v>200</v>
      </c>
      <c r="F4826" s="2">
        <v>32441</v>
      </c>
      <c r="G4826" s="2">
        <v>2.625620504</v>
      </c>
      <c r="H4826" s="2">
        <v>9.3616380000000003E-3</v>
      </c>
      <c r="I4826" s="2" t="s">
        <v>22279</v>
      </c>
      <c r="J4826" s="2" t="s">
        <v>22280</v>
      </c>
      <c r="K4826" s="2">
        <v>1.6335925000000001E-2</v>
      </c>
      <c r="L4826" s="2" t="s">
        <v>1178</v>
      </c>
      <c r="M4826" s="4" t="s">
        <v>22281</v>
      </c>
    </row>
    <row r="4827" spans="1:13">
      <c r="A4827" s="2">
        <v>28261</v>
      </c>
      <c r="B4827" s="2" t="s">
        <v>22282</v>
      </c>
      <c r="C4827" s="2">
        <v>7</v>
      </c>
      <c r="D4827" s="2">
        <v>556</v>
      </c>
      <c r="E4827" s="2">
        <v>131</v>
      </c>
      <c r="F4827" s="2">
        <v>32441</v>
      </c>
      <c r="G4827" s="2">
        <v>3.117785161</v>
      </c>
      <c r="H4827" s="2">
        <v>9.0785870000000008E-3</v>
      </c>
      <c r="I4827" s="2" t="s">
        <v>22283</v>
      </c>
      <c r="J4827" s="2" t="s">
        <v>22284</v>
      </c>
      <c r="K4827" s="2">
        <v>1.6335925000000001E-2</v>
      </c>
      <c r="L4827" s="2" t="s">
        <v>1178</v>
      </c>
      <c r="M4827" s="4" t="s">
        <v>22285</v>
      </c>
    </row>
    <row r="4828" spans="1:13">
      <c r="A4828" s="2">
        <v>2857</v>
      </c>
      <c r="B4828" s="2" t="s">
        <v>1923</v>
      </c>
      <c r="C4828" s="2">
        <v>9</v>
      </c>
      <c r="D4828" s="2">
        <v>556</v>
      </c>
      <c r="E4828" s="2">
        <v>200</v>
      </c>
      <c r="F4828" s="2">
        <v>32441</v>
      </c>
      <c r="G4828" s="2">
        <v>2.625620504</v>
      </c>
      <c r="H4828" s="2">
        <v>9.3616380000000003E-3</v>
      </c>
      <c r="I4828" s="2" t="s">
        <v>22286</v>
      </c>
      <c r="J4828" s="2" t="s">
        <v>22287</v>
      </c>
      <c r="K4828" s="2">
        <v>1.6335925000000001E-2</v>
      </c>
      <c r="L4828" s="2" t="s">
        <v>1178</v>
      </c>
      <c r="M4828" s="4" t="s">
        <v>22288</v>
      </c>
    </row>
    <row r="4829" spans="1:13">
      <c r="A4829" s="2">
        <v>2866</v>
      </c>
      <c r="B4829" s="2" t="s">
        <v>22289</v>
      </c>
      <c r="C4829" s="2">
        <v>9</v>
      </c>
      <c r="D4829" s="2">
        <v>556</v>
      </c>
      <c r="E4829" s="2">
        <v>200</v>
      </c>
      <c r="F4829" s="2">
        <v>32441</v>
      </c>
      <c r="G4829" s="2">
        <v>2.625620504</v>
      </c>
      <c r="H4829" s="2">
        <v>9.3616380000000003E-3</v>
      </c>
      <c r="I4829" s="2" t="s">
        <v>22290</v>
      </c>
      <c r="J4829" s="2" t="s">
        <v>22291</v>
      </c>
      <c r="K4829" s="2">
        <v>1.6335925000000001E-2</v>
      </c>
      <c r="L4829" s="2" t="s">
        <v>1178</v>
      </c>
      <c r="M4829" s="4" t="s">
        <v>22292</v>
      </c>
    </row>
    <row r="4830" spans="1:13">
      <c r="A4830" s="2">
        <v>28702</v>
      </c>
      <c r="B4830" s="2" t="s">
        <v>22293</v>
      </c>
      <c r="C4830" s="2">
        <v>9</v>
      </c>
      <c r="D4830" s="2">
        <v>556</v>
      </c>
      <c r="E4830" s="2">
        <v>200</v>
      </c>
      <c r="F4830" s="2">
        <v>32441</v>
      </c>
      <c r="G4830" s="2">
        <v>2.625620504</v>
      </c>
      <c r="H4830" s="2">
        <v>9.3616380000000003E-3</v>
      </c>
      <c r="I4830" s="2" t="s">
        <v>22294</v>
      </c>
      <c r="J4830" s="2" t="s">
        <v>22295</v>
      </c>
      <c r="K4830" s="2">
        <v>1.6335925000000001E-2</v>
      </c>
      <c r="L4830" s="2" t="s">
        <v>1178</v>
      </c>
      <c r="M4830" s="4" t="s">
        <v>22296</v>
      </c>
    </row>
    <row r="4831" spans="1:13">
      <c r="A4831" s="2">
        <v>2875</v>
      </c>
      <c r="B4831" s="2" t="s">
        <v>22297</v>
      </c>
      <c r="C4831" s="2">
        <v>9</v>
      </c>
      <c r="D4831" s="2">
        <v>556</v>
      </c>
      <c r="E4831" s="2">
        <v>200</v>
      </c>
      <c r="F4831" s="2">
        <v>32441</v>
      </c>
      <c r="G4831" s="2">
        <v>2.625620504</v>
      </c>
      <c r="H4831" s="2">
        <v>9.3616380000000003E-3</v>
      </c>
      <c r="I4831" s="2" t="s">
        <v>22298</v>
      </c>
      <c r="J4831" s="2" t="s">
        <v>22299</v>
      </c>
      <c r="K4831" s="2">
        <v>1.6335925000000001E-2</v>
      </c>
      <c r="L4831" s="2" t="s">
        <v>1178</v>
      </c>
      <c r="M4831" s="4" t="s">
        <v>22300</v>
      </c>
    </row>
    <row r="4832" spans="1:13">
      <c r="A4832" s="2">
        <v>28862</v>
      </c>
      <c r="B4832" s="2" t="s">
        <v>22301</v>
      </c>
      <c r="C4832" s="2">
        <v>9</v>
      </c>
      <c r="D4832" s="2">
        <v>556</v>
      </c>
      <c r="E4832" s="2">
        <v>200</v>
      </c>
      <c r="F4832" s="2">
        <v>32441</v>
      </c>
      <c r="G4832" s="2">
        <v>2.625620504</v>
      </c>
      <c r="H4832" s="2">
        <v>9.3616380000000003E-3</v>
      </c>
      <c r="I4832" s="2" t="s">
        <v>22302</v>
      </c>
      <c r="J4832" s="2" t="s">
        <v>22303</v>
      </c>
      <c r="K4832" s="2">
        <v>1.6335925000000001E-2</v>
      </c>
      <c r="L4832" s="2" t="s">
        <v>1178</v>
      </c>
      <c r="M4832" s="4" t="s">
        <v>22304</v>
      </c>
    </row>
    <row r="4833" spans="1:13">
      <c r="A4833" s="2">
        <v>2908</v>
      </c>
      <c r="B4833" s="2" t="s">
        <v>22305</v>
      </c>
      <c r="C4833" s="2">
        <v>9</v>
      </c>
      <c r="D4833" s="2">
        <v>556</v>
      </c>
      <c r="E4833" s="2">
        <v>200</v>
      </c>
      <c r="F4833" s="2">
        <v>32441</v>
      </c>
      <c r="G4833" s="2">
        <v>2.625620504</v>
      </c>
      <c r="H4833" s="2">
        <v>9.3616380000000003E-3</v>
      </c>
      <c r="I4833" s="2" t="s">
        <v>22306</v>
      </c>
      <c r="J4833" s="2" t="s">
        <v>22307</v>
      </c>
      <c r="K4833" s="2">
        <v>1.6335925000000001E-2</v>
      </c>
      <c r="L4833" s="2" t="s">
        <v>1178</v>
      </c>
      <c r="M4833" s="4" t="s">
        <v>22308</v>
      </c>
    </row>
    <row r="4834" spans="1:13">
      <c r="A4834" s="2">
        <v>2909</v>
      </c>
      <c r="B4834" s="2" t="s">
        <v>22309</v>
      </c>
      <c r="C4834" s="2">
        <v>9</v>
      </c>
      <c r="D4834" s="2">
        <v>556</v>
      </c>
      <c r="E4834" s="2">
        <v>200</v>
      </c>
      <c r="F4834" s="2">
        <v>32441</v>
      </c>
      <c r="G4834" s="2">
        <v>2.625620504</v>
      </c>
      <c r="H4834" s="2">
        <v>9.3616380000000003E-3</v>
      </c>
      <c r="I4834" s="2" t="s">
        <v>22310</v>
      </c>
      <c r="J4834" s="2" t="s">
        <v>22311</v>
      </c>
      <c r="K4834" s="2">
        <v>1.6335925000000001E-2</v>
      </c>
      <c r="L4834" s="2" t="s">
        <v>1178</v>
      </c>
      <c r="M4834" s="4" t="s">
        <v>22312</v>
      </c>
    </row>
    <row r="4835" spans="1:13">
      <c r="A4835" s="2">
        <v>2914</v>
      </c>
      <c r="B4835" s="2" t="s">
        <v>22313</v>
      </c>
      <c r="C4835" s="2">
        <v>9</v>
      </c>
      <c r="D4835" s="2">
        <v>556</v>
      </c>
      <c r="E4835" s="2">
        <v>200</v>
      </c>
      <c r="F4835" s="2">
        <v>32441</v>
      </c>
      <c r="G4835" s="2">
        <v>2.625620504</v>
      </c>
      <c r="H4835" s="2">
        <v>9.3616380000000003E-3</v>
      </c>
      <c r="I4835" s="2" t="s">
        <v>22314</v>
      </c>
      <c r="J4835" s="2" t="s">
        <v>22315</v>
      </c>
      <c r="K4835" s="2">
        <v>1.6335925000000001E-2</v>
      </c>
      <c r="L4835" s="2" t="s">
        <v>1178</v>
      </c>
      <c r="M4835" s="4" t="s">
        <v>22316</v>
      </c>
    </row>
    <row r="4836" spans="1:13">
      <c r="A4836" s="2">
        <v>2920</v>
      </c>
      <c r="B4836" s="2" t="s">
        <v>22317</v>
      </c>
      <c r="C4836" s="2">
        <v>9</v>
      </c>
      <c r="D4836" s="2">
        <v>556</v>
      </c>
      <c r="E4836" s="2">
        <v>200</v>
      </c>
      <c r="F4836" s="2">
        <v>32441</v>
      </c>
      <c r="G4836" s="2">
        <v>2.625620504</v>
      </c>
      <c r="H4836" s="2">
        <v>9.3616380000000003E-3</v>
      </c>
      <c r="I4836" s="2" t="s">
        <v>22318</v>
      </c>
      <c r="J4836" s="2" t="s">
        <v>22319</v>
      </c>
      <c r="K4836" s="2">
        <v>1.6335925000000001E-2</v>
      </c>
      <c r="L4836" s="2" t="s">
        <v>1178</v>
      </c>
      <c r="M4836" s="4" t="s">
        <v>22320</v>
      </c>
    </row>
    <row r="4837" spans="1:13">
      <c r="A4837" s="2">
        <v>29341</v>
      </c>
      <c r="B4837" s="2" t="s">
        <v>22321</v>
      </c>
      <c r="C4837" s="2">
        <v>9</v>
      </c>
      <c r="D4837" s="2">
        <v>556</v>
      </c>
      <c r="E4837" s="2">
        <v>200</v>
      </c>
      <c r="F4837" s="2">
        <v>32441</v>
      </c>
      <c r="G4837" s="2">
        <v>2.625620504</v>
      </c>
      <c r="H4837" s="2">
        <v>9.3616380000000003E-3</v>
      </c>
      <c r="I4837" s="2" t="s">
        <v>22322</v>
      </c>
      <c r="J4837" s="2" t="s">
        <v>22323</v>
      </c>
      <c r="K4837" s="2">
        <v>1.6335925000000001E-2</v>
      </c>
      <c r="L4837" s="2" t="s">
        <v>1178</v>
      </c>
      <c r="M4837" s="4" t="s">
        <v>22324</v>
      </c>
    </row>
    <row r="4838" spans="1:13">
      <c r="A4838" s="2">
        <v>2998</v>
      </c>
      <c r="B4838" s="2" t="s">
        <v>22325</v>
      </c>
      <c r="C4838" s="2">
        <v>9</v>
      </c>
      <c r="D4838" s="2">
        <v>556</v>
      </c>
      <c r="E4838" s="2">
        <v>200</v>
      </c>
      <c r="F4838" s="2">
        <v>32441</v>
      </c>
      <c r="G4838" s="2">
        <v>2.625620504</v>
      </c>
      <c r="H4838" s="2">
        <v>9.3616380000000003E-3</v>
      </c>
      <c r="I4838" s="2" t="s">
        <v>22326</v>
      </c>
      <c r="J4838" s="2" t="s">
        <v>22327</v>
      </c>
      <c r="K4838" s="2">
        <v>1.6335925000000001E-2</v>
      </c>
      <c r="L4838" s="2" t="s">
        <v>1178</v>
      </c>
      <c r="M4838" s="4" t="s">
        <v>22328</v>
      </c>
    </row>
    <row r="4839" spans="1:13">
      <c r="A4839" s="2">
        <v>30211</v>
      </c>
      <c r="B4839" s="2" t="s">
        <v>22329</v>
      </c>
      <c r="C4839" s="2">
        <v>9</v>
      </c>
      <c r="D4839" s="2">
        <v>556</v>
      </c>
      <c r="E4839" s="2">
        <v>200</v>
      </c>
      <c r="F4839" s="2">
        <v>32441</v>
      </c>
      <c r="G4839" s="2">
        <v>2.625620504</v>
      </c>
      <c r="H4839" s="2">
        <v>9.3616380000000003E-3</v>
      </c>
      <c r="I4839" s="2" t="s">
        <v>22330</v>
      </c>
      <c r="J4839" s="2" t="s">
        <v>22331</v>
      </c>
      <c r="K4839" s="2">
        <v>1.6335925000000001E-2</v>
      </c>
      <c r="L4839" s="2" t="s">
        <v>1178</v>
      </c>
      <c r="M4839" s="4" t="s">
        <v>22332</v>
      </c>
    </row>
    <row r="4840" spans="1:13">
      <c r="A4840" s="2">
        <v>3024</v>
      </c>
      <c r="B4840" s="2" t="s">
        <v>1602</v>
      </c>
      <c r="C4840" s="2">
        <v>9</v>
      </c>
      <c r="D4840" s="2">
        <v>556</v>
      </c>
      <c r="E4840" s="2">
        <v>200</v>
      </c>
      <c r="F4840" s="2">
        <v>32441</v>
      </c>
      <c r="G4840" s="2">
        <v>2.625620504</v>
      </c>
      <c r="H4840" s="2">
        <v>9.3616380000000003E-3</v>
      </c>
      <c r="I4840" s="2" t="s">
        <v>22333</v>
      </c>
      <c r="J4840" s="2" t="s">
        <v>22334</v>
      </c>
      <c r="K4840" s="2">
        <v>1.6335925000000001E-2</v>
      </c>
      <c r="L4840" s="2" t="s">
        <v>1178</v>
      </c>
      <c r="M4840" s="4" t="s">
        <v>22335</v>
      </c>
    </row>
    <row r="4841" spans="1:13">
      <c r="A4841" s="2">
        <v>3028</v>
      </c>
      <c r="B4841" s="2" t="s">
        <v>22336</v>
      </c>
      <c r="C4841" s="2">
        <v>9</v>
      </c>
      <c r="D4841" s="2">
        <v>556</v>
      </c>
      <c r="E4841" s="2">
        <v>200</v>
      </c>
      <c r="F4841" s="2">
        <v>32441</v>
      </c>
      <c r="G4841" s="2">
        <v>2.625620504</v>
      </c>
      <c r="H4841" s="2">
        <v>9.3616380000000003E-3</v>
      </c>
      <c r="I4841" s="2" t="s">
        <v>22337</v>
      </c>
      <c r="J4841" s="2" t="s">
        <v>22338</v>
      </c>
      <c r="K4841" s="2">
        <v>1.6335925000000001E-2</v>
      </c>
      <c r="L4841" s="2" t="s">
        <v>1178</v>
      </c>
      <c r="M4841" s="4" t="s">
        <v>22339</v>
      </c>
    </row>
    <row r="4842" spans="1:13">
      <c r="A4842" s="2">
        <v>3031</v>
      </c>
      <c r="B4842" s="2" t="s">
        <v>22340</v>
      </c>
      <c r="C4842" s="2">
        <v>9</v>
      </c>
      <c r="D4842" s="2">
        <v>556</v>
      </c>
      <c r="E4842" s="2">
        <v>200</v>
      </c>
      <c r="F4842" s="2">
        <v>32441</v>
      </c>
      <c r="G4842" s="2">
        <v>2.625620504</v>
      </c>
      <c r="H4842" s="2">
        <v>9.3616380000000003E-3</v>
      </c>
      <c r="I4842" s="2" t="s">
        <v>22341</v>
      </c>
      <c r="J4842" s="2" t="s">
        <v>22342</v>
      </c>
      <c r="K4842" s="2">
        <v>1.6335925000000001E-2</v>
      </c>
      <c r="L4842" s="2" t="s">
        <v>1178</v>
      </c>
      <c r="M4842" s="4" t="s">
        <v>22343</v>
      </c>
    </row>
    <row r="4843" spans="1:13">
      <c r="A4843" s="2">
        <v>3044</v>
      </c>
      <c r="B4843" s="2" t="s">
        <v>22344</v>
      </c>
      <c r="C4843" s="2">
        <v>9</v>
      </c>
      <c r="D4843" s="2">
        <v>556</v>
      </c>
      <c r="E4843" s="2">
        <v>200</v>
      </c>
      <c r="F4843" s="2">
        <v>32441</v>
      </c>
      <c r="G4843" s="2">
        <v>2.625620504</v>
      </c>
      <c r="H4843" s="2">
        <v>9.3616380000000003E-3</v>
      </c>
      <c r="I4843" s="2" t="s">
        <v>22345</v>
      </c>
      <c r="J4843" s="2" t="s">
        <v>22346</v>
      </c>
      <c r="K4843" s="2">
        <v>1.6335925000000001E-2</v>
      </c>
      <c r="L4843" s="2" t="s">
        <v>1178</v>
      </c>
      <c r="M4843" s="4" t="s">
        <v>22347</v>
      </c>
    </row>
    <row r="4844" spans="1:13">
      <c r="A4844" s="2">
        <v>3074</v>
      </c>
      <c r="B4844" s="2" t="s">
        <v>22348</v>
      </c>
      <c r="C4844" s="2">
        <v>9</v>
      </c>
      <c r="D4844" s="2">
        <v>556</v>
      </c>
      <c r="E4844" s="2">
        <v>200</v>
      </c>
      <c r="F4844" s="2">
        <v>32441</v>
      </c>
      <c r="G4844" s="2">
        <v>2.625620504</v>
      </c>
      <c r="H4844" s="2">
        <v>9.3616380000000003E-3</v>
      </c>
      <c r="I4844" s="2" t="s">
        <v>22349</v>
      </c>
      <c r="J4844" s="2" t="s">
        <v>22350</v>
      </c>
      <c r="K4844" s="2">
        <v>1.6335925000000001E-2</v>
      </c>
      <c r="L4844" s="2" t="s">
        <v>1178</v>
      </c>
      <c r="M4844" s="4" t="s">
        <v>22351</v>
      </c>
    </row>
    <row r="4845" spans="1:13">
      <c r="A4845" s="2">
        <v>3080</v>
      </c>
      <c r="B4845" s="2" t="s">
        <v>22352</v>
      </c>
      <c r="C4845" s="2">
        <v>9</v>
      </c>
      <c r="D4845" s="2">
        <v>556</v>
      </c>
      <c r="E4845" s="2">
        <v>199</v>
      </c>
      <c r="F4845" s="2">
        <v>32441</v>
      </c>
      <c r="G4845" s="2">
        <v>2.6388145760000001</v>
      </c>
      <c r="H4845" s="2">
        <v>9.0895969999999996E-3</v>
      </c>
      <c r="I4845" s="2" t="s">
        <v>22353</v>
      </c>
      <c r="J4845" s="2" t="s">
        <v>22354</v>
      </c>
      <c r="K4845" s="2">
        <v>1.6335925000000001E-2</v>
      </c>
      <c r="L4845" s="2" t="s">
        <v>1178</v>
      </c>
      <c r="M4845" s="4" t="s">
        <v>22355</v>
      </c>
    </row>
    <row r="4846" spans="1:13">
      <c r="A4846" s="2">
        <v>3082</v>
      </c>
      <c r="B4846" s="2" t="s">
        <v>22356</v>
      </c>
      <c r="C4846" s="2">
        <v>9</v>
      </c>
      <c r="D4846" s="2">
        <v>556</v>
      </c>
      <c r="E4846" s="2">
        <v>200</v>
      </c>
      <c r="F4846" s="2">
        <v>32441</v>
      </c>
      <c r="G4846" s="2">
        <v>2.625620504</v>
      </c>
      <c r="H4846" s="2">
        <v>9.3616380000000003E-3</v>
      </c>
      <c r="I4846" s="2" t="s">
        <v>22357</v>
      </c>
      <c r="J4846" s="2" t="s">
        <v>22358</v>
      </c>
      <c r="K4846" s="2">
        <v>1.6335925000000001E-2</v>
      </c>
      <c r="L4846" s="2" t="s">
        <v>1178</v>
      </c>
      <c r="M4846" s="4" t="s">
        <v>22359</v>
      </c>
    </row>
    <row r="4847" spans="1:13">
      <c r="A4847" s="2">
        <v>3096</v>
      </c>
      <c r="B4847" s="2" t="s">
        <v>22360</v>
      </c>
      <c r="C4847" s="2">
        <v>9</v>
      </c>
      <c r="D4847" s="2">
        <v>556</v>
      </c>
      <c r="E4847" s="2">
        <v>200</v>
      </c>
      <c r="F4847" s="2">
        <v>32441</v>
      </c>
      <c r="G4847" s="2">
        <v>2.625620504</v>
      </c>
      <c r="H4847" s="2">
        <v>9.3616380000000003E-3</v>
      </c>
      <c r="I4847" s="2" t="s">
        <v>22361</v>
      </c>
      <c r="J4847" s="2" t="s">
        <v>22362</v>
      </c>
      <c r="K4847" s="2">
        <v>1.6335925000000001E-2</v>
      </c>
      <c r="L4847" s="2" t="s">
        <v>1178</v>
      </c>
      <c r="M4847" s="4" t="s">
        <v>22363</v>
      </c>
    </row>
    <row r="4848" spans="1:13">
      <c r="A4848" s="2">
        <v>31011</v>
      </c>
      <c r="B4848" s="2" t="s">
        <v>22364</v>
      </c>
      <c r="C4848" s="2">
        <v>9</v>
      </c>
      <c r="D4848" s="2">
        <v>556</v>
      </c>
      <c r="E4848" s="2">
        <v>200</v>
      </c>
      <c r="F4848" s="2">
        <v>32441</v>
      </c>
      <c r="G4848" s="2">
        <v>2.625620504</v>
      </c>
      <c r="H4848" s="2">
        <v>9.3616380000000003E-3</v>
      </c>
      <c r="I4848" s="2" t="s">
        <v>22365</v>
      </c>
      <c r="J4848" s="2" t="s">
        <v>22366</v>
      </c>
      <c r="K4848" s="2">
        <v>1.6335925000000001E-2</v>
      </c>
      <c r="L4848" s="2" t="s">
        <v>1178</v>
      </c>
      <c r="M4848" s="4" t="s">
        <v>22367</v>
      </c>
    </row>
    <row r="4849" spans="1:13">
      <c r="A4849" s="2">
        <v>3132</v>
      </c>
      <c r="B4849" s="2" t="s">
        <v>22368</v>
      </c>
      <c r="C4849" s="2">
        <v>9</v>
      </c>
      <c r="D4849" s="2">
        <v>556</v>
      </c>
      <c r="E4849" s="2">
        <v>200</v>
      </c>
      <c r="F4849" s="2">
        <v>32441</v>
      </c>
      <c r="G4849" s="2">
        <v>2.625620504</v>
      </c>
      <c r="H4849" s="2">
        <v>9.3616380000000003E-3</v>
      </c>
      <c r="I4849" s="2" t="s">
        <v>22369</v>
      </c>
      <c r="J4849" s="2" t="s">
        <v>22370</v>
      </c>
      <c r="K4849" s="2">
        <v>1.6335925000000001E-2</v>
      </c>
      <c r="L4849" s="2" t="s">
        <v>1178</v>
      </c>
      <c r="M4849" s="4" t="s">
        <v>22371</v>
      </c>
    </row>
    <row r="4850" spans="1:13">
      <c r="A4850" s="2">
        <v>3180</v>
      </c>
      <c r="B4850" s="2" t="s">
        <v>22372</v>
      </c>
      <c r="C4850" s="2">
        <v>9</v>
      </c>
      <c r="D4850" s="2">
        <v>556</v>
      </c>
      <c r="E4850" s="2">
        <v>199</v>
      </c>
      <c r="F4850" s="2">
        <v>32441</v>
      </c>
      <c r="G4850" s="2">
        <v>2.6388145760000001</v>
      </c>
      <c r="H4850" s="2">
        <v>9.0895969999999996E-3</v>
      </c>
      <c r="I4850" s="2" t="s">
        <v>22373</v>
      </c>
      <c r="J4850" s="2" t="s">
        <v>22374</v>
      </c>
      <c r="K4850" s="2">
        <v>1.6335925000000001E-2</v>
      </c>
      <c r="L4850" s="2" t="s">
        <v>1178</v>
      </c>
      <c r="M4850" s="4" t="s">
        <v>22375</v>
      </c>
    </row>
    <row r="4851" spans="1:13">
      <c r="A4851" s="2">
        <v>3193</v>
      </c>
      <c r="B4851" s="2" t="s">
        <v>22376</v>
      </c>
      <c r="C4851" s="2">
        <v>9</v>
      </c>
      <c r="D4851" s="2">
        <v>556</v>
      </c>
      <c r="E4851" s="2">
        <v>199</v>
      </c>
      <c r="F4851" s="2">
        <v>32441</v>
      </c>
      <c r="G4851" s="2">
        <v>2.6388145760000001</v>
      </c>
      <c r="H4851" s="2">
        <v>9.0895969999999996E-3</v>
      </c>
      <c r="I4851" s="2" t="s">
        <v>22377</v>
      </c>
      <c r="J4851" s="2" t="s">
        <v>22378</v>
      </c>
      <c r="K4851" s="2">
        <v>1.6335925000000001E-2</v>
      </c>
      <c r="L4851" s="2" t="s">
        <v>1178</v>
      </c>
      <c r="M4851" s="4" t="s">
        <v>22379</v>
      </c>
    </row>
    <row r="4852" spans="1:13">
      <c r="A4852" s="2">
        <v>3207</v>
      </c>
      <c r="B4852" s="2" t="s">
        <v>22380</v>
      </c>
      <c r="C4852" s="2">
        <v>9</v>
      </c>
      <c r="D4852" s="2">
        <v>556</v>
      </c>
      <c r="E4852" s="2">
        <v>198</v>
      </c>
      <c r="F4852" s="2">
        <v>32441</v>
      </c>
      <c r="G4852" s="2">
        <v>2.6521419229999998</v>
      </c>
      <c r="H4852" s="2">
        <v>8.823582E-3</v>
      </c>
      <c r="I4852" s="2" t="s">
        <v>22381</v>
      </c>
      <c r="J4852" s="2" t="s">
        <v>22382</v>
      </c>
      <c r="K4852" s="2">
        <v>1.6335925000000001E-2</v>
      </c>
      <c r="L4852" s="2" t="s">
        <v>1178</v>
      </c>
      <c r="M4852" s="4" t="s">
        <v>22383</v>
      </c>
    </row>
    <row r="4853" spans="1:13">
      <c r="A4853" s="2">
        <v>32651</v>
      </c>
      <c r="B4853" s="2" t="s">
        <v>22384</v>
      </c>
      <c r="C4853" s="2">
        <v>9</v>
      </c>
      <c r="D4853" s="2">
        <v>556</v>
      </c>
      <c r="E4853" s="2">
        <v>200</v>
      </c>
      <c r="F4853" s="2">
        <v>32441</v>
      </c>
      <c r="G4853" s="2">
        <v>2.625620504</v>
      </c>
      <c r="H4853" s="2">
        <v>9.3616380000000003E-3</v>
      </c>
      <c r="I4853" s="2" t="s">
        <v>22385</v>
      </c>
      <c r="J4853" s="2" t="s">
        <v>22386</v>
      </c>
      <c r="K4853" s="2">
        <v>1.6335925000000001E-2</v>
      </c>
      <c r="L4853" s="2" t="s">
        <v>1178</v>
      </c>
      <c r="M4853" s="4" t="s">
        <v>22387</v>
      </c>
    </row>
    <row r="4854" spans="1:13">
      <c r="A4854" s="2">
        <v>3269</v>
      </c>
      <c r="B4854" s="2" t="s">
        <v>2637</v>
      </c>
      <c r="C4854" s="2">
        <v>9</v>
      </c>
      <c r="D4854" s="2">
        <v>556</v>
      </c>
      <c r="E4854" s="2">
        <v>200</v>
      </c>
      <c r="F4854" s="2">
        <v>32441</v>
      </c>
      <c r="G4854" s="2">
        <v>2.625620504</v>
      </c>
      <c r="H4854" s="2">
        <v>9.3616380000000003E-3</v>
      </c>
      <c r="I4854" s="2" t="s">
        <v>22388</v>
      </c>
      <c r="J4854" s="2" t="s">
        <v>22389</v>
      </c>
      <c r="K4854" s="2">
        <v>1.6335925000000001E-2</v>
      </c>
      <c r="L4854" s="2" t="s">
        <v>1178</v>
      </c>
      <c r="M4854" s="4" t="s">
        <v>22390</v>
      </c>
    </row>
    <row r="4855" spans="1:13">
      <c r="A4855" s="2">
        <v>32701</v>
      </c>
      <c r="B4855" s="2" t="s">
        <v>22391</v>
      </c>
      <c r="C4855" s="2">
        <v>9</v>
      </c>
      <c r="D4855" s="2">
        <v>556</v>
      </c>
      <c r="E4855" s="2">
        <v>200</v>
      </c>
      <c r="F4855" s="2">
        <v>32441</v>
      </c>
      <c r="G4855" s="2">
        <v>2.625620504</v>
      </c>
      <c r="H4855" s="2">
        <v>9.3616380000000003E-3</v>
      </c>
      <c r="I4855" s="2" t="s">
        <v>22392</v>
      </c>
      <c r="J4855" s="2" t="s">
        <v>22393</v>
      </c>
      <c r="K4855" s="2">
        <v>1.6335925000000001E-2</v>
      </c>
      <c r="L4855" s="2" t="s">
        <v>1178</v>
      </c>
      <c r="M4855" s="4" t="s">
        <v>22394</v>
      </c>
    </row>
    <row r="4856" spans="1:13">
      <c r="A4856" s="2">
        <v>3285</v>
      </c>
      <c r="B4856" s="2" t="s">
        <v>22395</v>
      </c>
      <c r="C4856" s="2">
        <v>9</v>
      </c>
      <c r="D4856" s="2">
        <v>556</v>
      </c>
      <c r="E4856" s="2">
        <v>200</v>
      </c>
      <c r="F4856" s="2">
        <v>32441</v>
      </c>
      <c r="G4856" s="2">
        <v>2.625620504</v>
      </c>
      <c r="H4856" s="2">
        <v>9.3616380000000003E-3</v>
      </c>
      <c r="I4856" s="2" t="s">
        <v>22396</v>
      </c>
      <c r="J4856" s="2" t="s">
        <v>22397</v>
      </c>
      <c r="K4856" s="2">
        <v>1.6335925000000001E-2</v>
      </c>
      <c r="L4856" s="2" t="s">
        <v>1178</v>
      </c>
      <c r="M4856" s="4" t="s">
        <v>22398</v>
      </c>
    </row>
    <row r="4857" spans="1:13">
      <c r="A4857" s="2">
        <v>33161</v>
      </c>
      <c r="B4857" s="2" t="s">
        <v>22399</v>
      </c>
      <c r="C4857" s="2">
        <v>9</v>
      </c>
      <c r="D4857" s="2">
        <v>556</v>
      </c>
      <c r="E4857" s="2">
        <v>200</v>
      </c>
      <c r="F4857" s="2">
        <v>32441</v>
      </c>
      <c r="G4857" s="2">
        <v>2.625620504</v>
      </c>
      <c r="H4857" s="2">
        <v>9.3616380000000003E-3</v>
      </c>
      <c r="I4857" s="2" t="s">
        <v>22400</v>
      </c>
      <c r="J4857" s="2" t="s">
        <v>22401</v>
      </c>
      <c r="K4857" s="2">
        <v>1.6335925000000001E-2</v>
      </c>
      <c r="L4857" s="2" t="s">
        <v>1178</v>
      </c>
      <c r="M4857" s="4" t="s">
        <v>22402</v>
      </c>
    </row>
    <row r="4858" spans="1:13">
      <c r="A4858" s="2">
        <v>33181</v>
      </c>
      <c r="B4858" s="2" t="s">
        <v>22403</v>
      </c>
      <c r="C4858" s="2">
        <v>9</v>
      </c>
      <c r="D4858" s="2">
        <v>556</v>
      </c>
      <c r="E4858" s="2">
        <v>200</v>
      </c>
      <c r="F4858" s="2">
        <v>32441</v>
      </c>
      <c r="G4858" s="2">
        <v>2.625620504</v>
      </c>
      <c r="H4858" s="2">
        <v>9.3616380000000003E-3</v>
      </c>
      <c r="I4858" s="2" t="s">
        <v>22404</v>
      </c>
      <c r="J4858" s="2" t="s">
        <v>22405</v>
      </c>
      <c r="K4858" s="2">
        <v>1.6335925000000001E-2</v>
      </c>
      <c r="L4858" s="2" t="s">
        <v>1178</v>
      </c>
      <c r="M4858" s="4" t="s">
        <v>22406</v>
      </c>
    </row>
    <row r="4859" spans="1:13">
      <c r="A4859" s="2">
        <v>3383</v>
      </c>
      <c r="B4859" s="2" t="s">
        <v>22407</v>
      </c>
      <c r="C4859" s="2">
        <v>9</v>
      </c>
      <c r="D4859" s="2">
        <v>556</v>
      </c>
      <c r="E4859" s="2">
        <v>200</v>
      </c>
      <c r="F4859" s="2">
        <v>32441</v>
      </c>
      <c r="G4859" s="2">
        <v>2.625620504</v>
      </c>
      <c r="H4859" s="2">
        <v>9.3616380000000003E-3</v>
      </c>
      <c r="I4859" s="2" t="s">
        <v>22408</v>
      </c>
      <c r="J4859" s="2" t="s">
        <v>22409</v>
      </c>
      <c r="K4859" s="2">
        <v>1.6335925000000001E-2</v>
      </c>
      <c r="L4859" s="2" t="s">
        <v>1178</v>
      </c>
      <c r="M4859" s="4" t="s">
        <v>22410</v>
      </c>
    </row>
    <row r="4860" spans="1:13">
      <c r="A4860" s="2">
        <v>3397</v>
      </c>
      <c r="B4860" s="2" t="s">
        <v>22411</v>
      </c>
      <c r="C4860" s="2">
        <v>9</v>
      </c>
      <c r="D4860" s="2">
        <v>556</v>
      </c>
      <c r="E4860" s="2">
        <v>200</v>
      </c>
      <c r="F4860" s="2">
        <v>32441</v>
      </c>
      <c r="G4860" s="2">
        <v>2.625620504</v>
      </c>
      <c r="H4860" s="2">
        <v>9.3616380000000003E-3</v>
      </c>
      <c r="I4860" s="2" t="s">
        <v>22412</v>
      </c>
      <c r="J4860" s="2" t="s">
        <v>22413</v>
      </c>
      <c r="K4860" s="2">
        <v>1.6335925000000001E-2</v>
      </c>
      <c r="L4860" s="2" t="s">
        <v>1178</v>
      </c>
      <c r="M4860" s="4" t="s">
        <v>22414</v>
      </c>
    </row>
    <row r="4861" spans="1:13">
      <c r="A4861" s="2">
        <v>3425</v>
      </c>
      <c r="B4861" s="2" t="s">
        <v>22415</v>
      </c>
      <c r="C4861" s="2">
        <v>9</v>
      </c>
      <c r="D4861" s="2">
        <v>556</v>
      </c>
      <c r="E4861" s="2">
        <v>200</v>
      </c>
      <c r="F4861" s="2">
        <v>32441</v>
      </c>
      <c r="G4861" s="2">
        <v>2.625620504</v>
      </c>
      <c r="H4861" s="2">
        <v>9.3616380000000003E-3</v>
      </c>
      <c r="I4861" s="2" t="s">
        <v>22416</v>
      </c>
      <c r="J4861" s="2" t="s">
        <v>22417</v>
      </c>
      <c r="K4861" s="2">
        <v>1.6335925000000001E-2</v>
      </c>
      <c r="L4861" s="2" t="s">
        <v>1178</v>
      </c>
      <c r="M4861" s="4" t="s">
        <v>22418</v>
      </c>
    </row>
    <row r="4862" spans="1:13">
      <c r="A4862" s="2">
        <v>34351</v>
      </c>
      <c r="B4862" s="2" t="s">
        <v>1512</v>
      </c>
      <c r="C4862" s="2">
        <v>9</v>
      </c>
      <c r="D4862" s="2">
        <v>556</v>
      </c>
      <c r="E4862" s="2">
        <v>199</v>
      </c>
      <c r="F4862" s="2">
        <v>32441</v>
      </c>
      <c r="G4862" s="2">
        <v>2.6388145760000001</v>
      </c>
      <c r="H4862" s="2">
        <v>9.0895969999999996E-3</v>
      </c>
      <c r="I4862" s="2" t="s">
        <v>22419</v>
      </c>
      <c r="J4862" s="2" t="s">
        <v>22420</v>
      </c>
      <c r="K4862" s="2">
        <v>1.6335925000000001E-2</v>
      </c>
      <c r="L4862" s="2" t="s">
        <v>1178</v>
      </c>
      <c r="M4862" s="4" t="s">
        <v>22421</v>
      </c>
    </row>
    <row r="4863" spans="1:13">
      <c r="A4863" s="2">
        <v>34361</v>
      </c>
      <c r="B4863" s="2" t="s">
        <v>22422</v>
      </c>
      <c r="C4863" s="2">
        <v>9</v>
      </c>
      <c r="D4863" s="2">
        <v>556</v>
      </c>
      <c r="E4863" s="2">
        <v>200</v>
      </c>
      <c r="F4863" s="2">
        <v>32441</v>
      </c>
      <c r="G4863" s="2">
        <v>2.625620504</v>
      </c>
      <c r="H4863" s="2">
        <v>9.3616380000000003E-3</v>
      </c>
      <c r="I4863" s="2" t="s">
        <v>22423</v>
      </c>
      <c r="J4863" s="2" t="s">
        <v>22424</v>
      </c>
      <c r="K4863" s="2">
        <v>1.6335925000000001E-2</v>
      </c>
      <c r="L4863" s="2" t="s">
        <v>1178</v>
      </c>
      <c r="M4863" s="4" t="s">
        <v>22425</v>
      </c>
    </row>
    <row r="4864" spans="1:13">
      <c r="A4864" s="2">
        <v>3475</v>
      </c>
      <c r="B4864" s="2" t="s">
        <v>22426</v>
      </c>
      <c r="C4864" s="2">
        <v>9</v>
      </c>
      <c r="D4864" s="2">
        <v>556</v>
      </c>
      <c r="E4864" s="2">
        <v>200</v>
      </c>
      <c r="F4864" s="2">
        <v>32441</v>
      </c>
      <c r="G4864" s="2">
        <v>2.625620504</v>
      </c>
      <c r="H4864" s="2">
        <v>9.3616380000000003E-3</v>
      </c>
      <c r="I4864" s="2" t="s">
        <v>22427</v>
      </c>
      <c r="J4864" s="2" t="s">
        <v>22428</v>
      </c>
      <c r="K4864" s="2">
        <v>1.6335925000000001E-2</v>
      </c>
      <c r="L4864" s="2" t="s">
        <v>1178</v>
      </c>
      <c r="M4864" s="4" t="s">
        <v>22429</v>
      </c>
    </row>
    <row r="4865" spans="1:13">
      <c r="A4865" s="2">
        <v>34822</v>
      </c>
      <c r="B4865" s="2" t="s">
        <v>1953</v>
      </c>
      <c r="C4865" s="2">
        <v>9</v>
      </c>
      <c r="D4865" s="2">
        <v>556</v>
      </c>
      <c r="E4865" s="2">
        <v>200</v>
      </c>
      <c r="F4865" s="2">
        <v>32441</v>
      </c>
      <c r="G4865" s="2">
        <v>2.625620504</v>
      </c>
      <c r="H4865" s="2">
        <v>9.3616380000000003E-3</v>
      </c>
      <c r="I4865" s="2" t="s">
        <v>22430</v>
      </c>
      <c r="J4865" s="2" t="s">
        <v>22431</v>
      </c>
      <c r="K4865" s="2">
        <v>1.6335925000000001E-2</v>
      </c>
      <c r="L4865" s="2" t="s">
        <v>1178</v>
      </c>
      <c r="M4865" s="4" t="s">
        <v>22432</v>
      </c>
    </row>
    <row r="4866" spans="1:13">
      <c r="A4866" s="2">
        <v>3489</v>
      </c>
      <c r="B4866" s="2" t="s">
        <v>22433</v>
      </c>
      <c r="C4866" s="2">
        <v>9</v>
      </c>
      <c r="D4866" s="2">
        <v>556</v>
      </c>
      <c r="E4866" s="2">
        <v>200</v>
      </c>
      <c r="F4866" s="2">
        <v>32441</v>
      </c>
      <c r="G4866" s="2">
        <v>2.625620504</v>
      </c>
      <c r="H4866" s="2">
        <v>9.3616380000000003E-3</v>
      </c>
      <c r="I4866" s="2" t="s">
        <v>22434</v>
      </c>
      <c r="J4866" s="2" t="s">
        <v>22435</v>
      </c>
      <c r="K4866" s="2">
        <v>1.6335925000000001E-2</v>
      </c>
      <c r="L4866" s="2" t="s">
        <v>1178</v>
      </c>
      <c r="M4866" s="4" t="s">
        <v>22436</v>
      </c>
    </row>
    <row r="4867" spans="1:13">
      <c r="A4867" s="2">
        <v>3496</v>
      </c>
      <c r="B4867" s="2" t="s">
        <v>22437</v>
      </c>
      <c r="C4867" s="2">
        <v>9</v>
      </c>
      <c r="D4867" s="2">
        <v>556</v>
      </c>
      <c r="E4867" s="2">
        <v>200</v>
      </c>
      <c r="F4867" s="2">
        <v>32441</v>
      </c>
      <c r="G4867" s="2">
        <v>2.625620504</v>
      </c>
      <c r="H4867" s="2">
        <v>9.3616380000000003E-3</v>
      </c>
      <c r="I4867" s="2" t="s">
        <v>22438</v>
      </c>
      <c r="J4867" s="2" t="s">
        <v>22439</v>
      </c>
      <c r="K4867" s="2">
        <v>1.6335925000000001E-2</v>
      </c>
      <c r="L4867" s="2" t="s">
        <v>1178</v>
      </c>
      <c r="M4867" s="4" t="s">
        <v>22440</v>
      </c>
    </row>
    <row r="4868" spans="1:13">
      <c r="A4868" s="2">
        <v>3503</v>
      </c>
      <c r="B4868" s="2" t="s">
        <v>22441</v>
      </c>
      <c r="C4868" s="2">
        <v>9</v>
      </c>
      <c r="D4868" s="2">
        <v>556</v>
      </c>
      <c r="E4868" s="2">
        <v>200</v>
      </c>
      <c r="F4868" s="2">
        <v>32441</v>
      </c>
      <c r="G4868" s="2">
        <v>2.625620504</v>
      </c>
      <c r="H4868" s="2">
        <v>9.3616380000000003E-3</v>
      </c>
      <c r="I4868" s="2" t="s">
        <v>22442</v>
      </c>
      <c r="J4868" s="2" t="s">
        <v>22443</v>
      </c>
      <c r="K4868" s="2">
        <v>1.6335925000000001E-2</v>
      </c>
      <c r="L4868" s="2" t="s">
        <v>1178</v>
      </c>
      <c r="M4868" s="4" t="s">
        <v>22444</v>
      </c>
    </row>
    <row r="4869" spans="1:13">
      <c r="A4869" s="2">
        <v>35131</v>
      </c>
      <c r="B4869" s="2" t="s">
        <v>22445</v>
      </c>
      <c r="C4869" s="2">
        <v>9</v>
      </c>
      <c r="D4869" s="2">
        <v>556</v>
      </c>
      <c r="E4869" s="2">
        <v>200</v>
      </c>
      <c r="F4869" s="2">
        <v>32441</v>
      </c>
      <c r="G4869" s="2">
        <v>2.625620504</v>
      </c>
      <c r="H4869" s="2">
        <v>9.3616380000000003E-3</v>
      </c>
      <c r="I4869" s="2" t="s">
        <v>22446</v>
      </c>
      <c r="J4869" s="2" t="s">
        <v>22447</v>
      </c>
      <c r="K4869" s="2">
        <v>1.6335925000000001E-2</v>
      </c>
      <c r="L4869" s="2" t="s">
        <v>1178</v>
      </c>
      <c r="M4869" s="4" t="s">
        <v>22448</v>
      </c>
    </row>
    <row r="4870" spans="1:13">
      <c r="A4870" s="2">
        <v>3515</v>
      </c>
      <c r="B4870" s="2" t="s">
        <v>22449</v>
      </c>
      <c r="C4870" s="2">
        <v>9</v>
      </c>
      <c r="D4870" s="2">
        <v>556</v>
      </c>
      <c r="E4870" s="2">
        <v>200</v>
      </c>
      <c r="F4870" s="2">
        <v>32441</v>
      </c>
      <c r="G4870" s="2">
        <v>2.625620504</v>
      </c>
      <c r="H4870" s="2">
        <v>9.3616380000000003E-3</v>
      </c>
      <c r="I4870" s="2" t="s">
        <v>22450</v>
      </c>
      <c r="J4870" s="2" t="s">
        <v>22451</v>
      </c>
      <c r="K4870" s="2">
        <v>1.6335925000000001E-2</v>
      </c>
      <c r="L4870" s="2" t="s">
        <v>1178</v>
      </c>
      <c r="M4870" s="4" t="s">
        <v>22452</v>
      </c>
    </row>
    <row r="4871" spans="1:13">
      <c r="A4871" s="2">
        <v>3516</v>
      </c>
      <c r="B4871" s="2" t="s">
        <v>22453</v>
      </c>
      <c r="C4871" s="2">
        <v>9</v>
      </c>
      <c r="D4871" s="2">
        <v>556</v>
      </c>
      <c r="E4871" s="2">
        <v>200</v>
      </c>
      <c r="F4871" s="2">
        <v>32441</v>
      </c>
      <c r="G4871" s="2">
        <v>2.625620504</v>
      </c>
      <c r="H4871" s="2">
        <v>9.3616380000000003E-3</v>
      </c>
      <c r="I4871" s="2" t="s">
        <v>22454</v>
      </c>
      <c r="J4871" s="2" t="s">
        <v>22455</v>
      </c>
      <c r="K4871" s="2">
        <v>1.6335925000000001E-2</v>
      </c>
      <c r="L4871" s="2" t="s">
        <v>1178</v>
      </c>
      <c r="M4871" s="4" t="s">
        <v>22456</v>
      </c>
    </row>
    <row r="4872" spans="1:13">
      <c r="A4872" s="2">
        <v>35221</v>
      </c>
      <c r="B4872" s="2" t="s">
        <v>22457</v>
      </c>
      <c r="C4872" s="2">
        <v>9</v>
      </c>
      <c r="D4872" s="2">
        <v>556</v>
      </c>
      <c r="E4872" s="2">
        <v>200</v>
      </c>
      <c r="F4872" s="2">
        <v>32441</v>
      </c>
      <c r="G4872" s="2">
        <v>2.625620504</v>
      </c>
      <c r="H4872" s="2">
        <v>9.3616380000000003E-3</v>
      </c>
      <c r="I4872" s="2" t="s">
        <v>22458</v>
      </c>
      <c r="J4872" s="2" t="s">
        <v>22459</v>
      </c>
      <c r="K4872" s="2">
        <v>1.6335925000000001E-2</v>
      </c>
      <c r="L4872" s="2" t="s">
        <v>1178</v>
      </c>
      <c r="M4872" s="4" t="s">
        <v>22460</v>
      </c>
    </row>
    <row r="4873" spans="1:13">
      <c r="A4873" s="2">
        <v>35311</v>
      </c>
      <c r="B4873" s="2" t="s">
        <v>22461</v>
      </c>
      <c r="C4873" s="2">
        <v>9</v>
      </c>
      <c r="D4873" s="2">
        <v>556</v>
      </c>
      <c r="E4873" s="2">
        <v>200</v>
      </c>
      <c r="F4873" s="2">
        <v>32441</v>
      </c>
      <c r="G4873" s="2">
        <v>2.625620504</v>
      </c>
      <c r="H4873" s="2">
        <v>9.3616380000000003E-3</v>
      </c>
      <c r="I4873" s="2" t="s">
        <v>22462</v>
      </c>
      <c r="J4873" s="2" t="s">
        <v>22463</v>
      </c>
      <c r="K4873" s="2">
        <v>1.6335925000000001E-2</v>
      </c>
      <c r="L4873" s="2" t="s">
        <v>1178</v>
      </c>
      <c r="M4873" s="4" t="s">
        <v>22464</v>
      </c>
    </row>
    <row r="4874" spans="1:13">
      <c r="A4874" s="2">
        <v>3558</v>
      </c>
      <c r="B4874" s="2" t="s">
        <v>22465</v>
      </c>
      <c r="C4874" s="2">
        <v>9</v>
      </c>
      <c r="D4874" s="2">
        <v>556</v>
      </c>
      <c r="E4874" s="2">
        <v>200</v>
      </c>
      <c r="F4874" s="2">
        <v>32441</v>
      </c>
      <c r="G4874" s="2">
        <v>2.625620504</v>
      </c>
      <c r="H4874" s="2">
        <v>9.3616380000000003E-3</v>
      </c>
      <c r="I4874" s="2" t="s">
        <v>22466</v>
      </c>
      <c r="J4874" s="2" t="s">
        <v>22467</v>
      </c>
      <c r="K4874" s="2">
        <v>1.6335925000000001E-2</v>
      </c>
      <c r="L4874" s="2" t="s">
        <v>1178</v>
      </c>
      <c r="M4874" s="4" t="s">
        <v>22468</v>
      </c>
    </row>
    <row r="4875" spans="1:13">
      <c r="A4875" s="2">
        <v>3603</v>
      </c>
      <c r="B4875" s="2" t="s">
        <v>22469</v>
      </c>
      <c r="C4875" s="2">
        <v>9</v>
      </c>
      <c r="D4875" s="2">
        <v>556</v>
      </c>
      <c r="E4875" s="2">
        <v>200</v>
      </c>
      <c r="F4875" s="2">
        <v>32441</v>
      </c>
      <c r="G4875" s="2">
        <v>2.625620504</v>
      </c>
      <c r="H4875" s="2">
        <v>9.3616380000000003E-3</v>
      </c>
      <c r="I4875" s="2" t="s">
        <v>22470</v>
      </c>
      <c r="J4875" s="2" t="s">
        <v>22471</v>
      </c>
      <c r="K4875" s="2">
        <v>1.6335925000000001E-2</v>
      </c>
      <c r="L4875" s="2" t="s">
        <v>1178</v>
      </c>
      <c r="M4875" s="4" t="s">
        <v>22472</v>
      </c>
    </row>
    <row r="4876" spans="1:13">
      <c r="A4876" s="2">
        <v>3631</v>
      </c>
      <c r="B4876" s="2" t="s">
        <v>22473</v>
      </c>
      <c r="C4876" s="2">
        <v>9</v>
      </c>
      <c r="D4876" s="2">
        <v>556</v>
      </c>
      <c r="E4876" s="2">
        <v>200</v>
      </c>
      <c r="F4876" s="2">
        <v>32441</v>
      </c>
      <c r="G4876" s="2">
        <v>2.625620504</v>
      </c>
      <c r="H4876" s="2">
        <v>9.3616380000000003E-3</v>
      </c>
      <c r="I4876" s="2" t="s">
        <v>22474</v>
      </c>
      <c r="J4876" s="2" t="s">
        <v>22475</v>
      </c>
      <c r="K4876" s="2">
        <v>1.6335925000000001E-2</v>
      </c>
      <c r="L4876" s="2" t="s">
        <v>1178</v>
      </c>
      <c r="M4876" s="4" t="s">
        <v>22476</v>
      </c>
    </row>
    <row r="4877" spans="1:13">
      <c r="A4877" s="2">
        <v>36401</v>
      </c>
      <c r="B4877" s="2" t="s">
        <v>22477</v>
      </c>
      <c r="C4877" s="2">
        <v>9</v>
      </c>
      <c r="D4877" s="2">
        <v>556</v>
      </c>
      <c r="E4877" s="2">
        <v>200</v>
      </c>
      <c r="F4877" s="2">
        <v>32441</v>
      </c>
      <c r="G4877" s="2">
        <v>2.625620504</v>
      </c>
      <c r="H4877" s="2">
        <v>9.3616380000000003E-3</v>
      </c>
      <c r="I4877" s="2" t="s">
        <v>22478</v>
      </c>
      <c r="J4877" s="2" t="s">
        <v>22479</v>
      </c>
      <c r="K4877" s="2">
        <v>1.6335925000000001E-2</v>
      </c>
      <c r="L4877" s="2" t="s">
        <v>1178</v>
      </c>
      <c r="M4877" s="4" t="s">
        <v>22480</v>
      </c>
    </row>
    <row r="4878" spans="1:13">
      <c r="A4878" s="2">
        <v>36691</v>
      </c>
      <c r="B4878" s="2" t="s">
        <v>2652</v>
      </c>
      <c r="C4878" s="2">
        <v>9</v>
      </c>
      <c r="D4878" s="2">
        <v>556</v>
      </c>
      <c r="E4878" s="2">
        <v>200</v>
      </c>
      <c r="F4878" s="2">
        <v>32441</v>
      </c>
      <c r="G4878" s="2">
        <v>2.625620504</v>
      </c>
      <c r="H4878" s="2">
        <v>9.3616380000000003E-3</v>
      </c>
      <c r="I4878" s="2" t="s">
        <v>22481</v>
      </c>
      <c r="J4878" s="2" t="s">
        <v>22482</v>
      </c>
      <c r="K4878" s="2">
        <v>1.6335925000000001E-2</v>
      </c>
      <c r="L4878" s="2" t="s">
        <v>1178</v>
      </c>
      <c r="M4878" s="4" t="s">
        <v>22483</v>
      </c>
    </row>
    <row r="4879" spans="1:13">
      <c r="A4879" s="2">
        <v>3687</v>
      </c>
      <c r="B4879" s="2" t="s">
        <v>22484</v>
      </c>
      <c r="C4879" s="2">
        <v>9</v>
      </c>
      <c r="D4879" s="2">
        <v>556</v>
      </c>
      <c r="E4879" s="2">
        <v>198</v>
      </c>
      <c r="F4879" s="2">
        <v>32441</v>
      </c>
      <c r="G4879" s="2">
        <v>2.6521419229999998</v>
      </c>
      <c r="H4879" s="2">
        <v>8.823582E-3</v>
      </c>
      <c r="I4879" s="2" t="s">
        <v>22485</v>
      </c>
      <c r="J4879" s="2" t="s">
        <v>22486</v>
      </c>
      <c r="K4879" s="2">
        <v>1.6335925000000001E-2</v>
      </c>
      <c r="L4879" s="2" t="s">
        <v>1178</v>
      </c>
      <c r="M4879" s="4" t="s">
        <v>22487</v>
      </c>
    </row>
    <row r="4880" spans="1:13">
      <c r="A4880" s="2">
        <v>3696</v>
      </c>
      <c r="B4880" s="2" t="s">
        <v>22488</v>
      </c>
      <c r="C4880" s="2">
        <v>9</v>
      </c>
      <c r="D4880" s="2">
        <v>556</v>
      </c>
      <c r="E4880" s="2">
        <v>200</v>
      </c>
      <c r="F4880" s="2">
        <v>32441</v>
      </c>
      <c r="G4880" s="2">
        <v>2.625620504</v>
      </c>
      <c r="H4880" s="2">
        <v>9.3616380000000003E-3</v>
      </c>
      <c r="I4880" s="2" t="s">
        <v>22489</v>
      </c>
      <c r="J4880" s="2" t="s">
        <v>22490</v>
      </c>
      <c r="K4880" s="2">
        <v>1.6335925000000001E-2</v>
      </c>
      <c r="L4880" s="2" t="s">
        <v>1178</v>
      </c>
      <c r="M4880" s="4" t="s">
        <v>22491</v>
      </c>
    </row>
    <row r="4881" spans="1:13">
      <c r="A4881" s="2">
        <v>3700</v>
      </c>
      <c r="B4881" s="2" t="s">
        <v>2655</v>
      </c>
      <c r="C4881" s="2">
        <v>9</v>
      </c>
      <c r="D4881" s="2">
        <v>556</v>
      </c>
      <c r="E4881" s="2">
        <v>200</v>
      </c>
      <c r="F4881" s="2">
        <v>32441</v>
      </c>
      <c r="G4881" s="2">
        <v>2.625620504</v>
      </c>
      <c r="H4881" s="2">
        <v>9.3616380000000003E-3</v>
      </c>
      <c r="I4881" s="2" t="s">
        <v>22492</v>
      </c>
      <c r="J4881" s="2" t="s">
        <v>22493</v>
      </c>
      <c r="K4881" s="2">
        <v>1.6335925000000001E-2</v>
      </c>
      <c r="L4881" s="2" t="s">
        <v>1178</v>
      </c>
      <c r="M4881" s="4" t="s">
        <v>22494</v>
      </c>
    </row>
    <row r="4882" spans="1:13">
      <c r="A4882" s="2">
        <v>3709</v>
      </c>
      <c r="B4882" s="2" t="s">
        <v>22495</v>
      </c>
      <c r="C4882" s="2">
        <v>9</v>
      </c>
      <c r="D4882" s="2">
        <v>556</v>
      </c>
      <c r="E4882" s="2">
        <v>200</v>
      </c>
      <c r="F4882" s="2">
        <v>32441</v>
      </c>
      <c r="G4882" s="2">
        <v>2.625620504</v>
      </c>
      <c r="H4882" s="2">
        <v>9.3616380000000003E-3</v>
      </c>
      <c r="I4882" s="2" t="s">
        <v>22496</v>
      </c>
      <c r="J4882" s="2" t="s">
        <v>22497</v>
      </c>
      <c r="K4882" s="2">
        <v>1.6335925000000001E-2</v>
      </c>
      <c r="L4882" s="2" t="s">
        <v>1178</v>
      </c>
      <c r="M4882" s="4" t="s">
        <v>22498</v>
      </c>
    </row>
    <row r="4883" spans="1:13">
      <c r="A4883" s="2">
        <v>37181</v>
      </c>
      <c r="B4883" s="2" t="s">
        <v>22499</v>
      </c>
      <c r="C4883" s="2">
        <v>9</v>
      </c>
      <c r="D4883" s="2">
        <v>556</v>
      </c>
      <c r="E4883" s="2">
        <v>200</v>
      </c>
      <c r="F4883" s="2">
        <v>32441</v>
      </c>
      <c r="G4883" s="2">
        <v>2.625620504</v>
      </c>
      <c r="H4883" s="2">
        <v>9.3616380000000003E-3</v>
      </c>
      <c r="I4883" s="2" t="s">
        <v>22500</v>
      </c>
      <c r="J4883" s="2" t="s">
        <v>22501</v>
      </c>
      <c r="K4883" s="2">
        <v>1.6335925000000001E-2</v>
      </c>
      <c r="L4883" s="2" t="s">
        <v>1178</v>
      </c>
      <c r="M4883" s="4" t="s">
        <v>22502</v>
      </c>
    </row>
    <row r="4884" spans="1:13">
      <c r="A4884" s="2">
        <v>3728</v>
      </c>
      <c r="B4884" s="2" t="s">
        <v>22503</v>
      </c>
      <c r="C4884" s="2">
        <v>9</v>
      </c>
      <c r="D4884" s="2">
        <v>556</v>
      </c>
      <c r="E4884" s="2">
        <v>198</v>
      </c>
      <c r="F4884" s="2">
        <v>32441</v>
      </c>
      <c r="G4884" s="2">
        <v>2.6521419229999998</v>
      </c>
      <c r="H4884" s="2">
        <v>8.823582E-3</v>
      </c>
      <c r="I4884" s="2" t="s">
        <v>22504</v>
      </c>
      <c r="J4884" s="2" t="s">
        <v>22505</v>
      </c>
      <c r="K4884" s="2">
        <v>1.6335925000000001E-2</v>
      </c>
      <c r="L4884" s="2" t="s">
        <v>1178</v>
      </c>
      <c r="M4884" s="4" t="s">
        <v>22506</v>
      </c>
    </row>
    <row r="4885" spans="1:13">
      <c r="A4885" s="2">
        <v>3735</v>
      </c>
      <c r="B4885" s="2" t="s">
        <v>22507</v>
      </c>
      <c r="C4885" s="2">
        <v>9</v>
      </c>
      <c r="D4885" s="2">
        <v>556</v>
      </c>
      <c r="E4885" s="2">
        <v>200</v>
      </c>
      <c r="F4885" s="2">
        <v>32441</v>
      </c>
      <c r="G4885" s="2">
        <v>2.625620504</v>
      </c>
      <c r="H4885" s="2">
        <v>9.3616380000000003E-3</v>
      </c>
      <c r="I4885" s="2" t="s">
        <v>22508</v>
      </c>
      <c r="J4885" s="2" t="s">
        <v>22509</v>
      </c>
      <c r="K4885" s="2">
        <v>1.6335925000000001E-2</v>
      </c>
      <c r="L4885" s="2" t="s">
        <v>1178</v>
      </c>
      <c r="M4885" s="4" t="s">
        <v>22510</v>
      </c>
    </row>
    <row r="4886" spans="1:13">
      <c r="A4886" s="2">
        <v>3738</v>
      </c>
      <c r="B4886" s="2" t="s">
        <v>22511</v>
      </c>
      <c r="C4886" s="2">
        <v>9</v>
      </c>
      <c r="D4886" s="2">
        <v>556</v>
      </c>
      <c r="E4886" s="2">
        <v>199</v>
      </c>
      <c r="F4886" s="2">
        <v>32441</v>
      </c>
      <c r="G4886" s="2">
        <v>2.6388145760000001</v>
      </c>
      <c r="H4886" s="2">
        <v>9.0895969999999996E-3</v>
      </c>
      <c r="I4886" s="2" t="s">
        <v>22512</v>
      </c>
      <c r="J4886" s="2" t="s">
        <v>22513</v>
      </c>
      <c r="K4886" s="2">
        <v>1.6335925000000001E-2</v>
      </c>
      <c r="L4886" s="2" t="s">
        <v>1178</v>
      </c>
      <c r="M4886" s="4" t="s">
        <v>22514</v>
      </c>
    </row>
    <row r="4887" spans="1:13">
      <c r="A4887" s="2">
        <v>3752</v>
      </c>
      <c r="B4887" s="2" t="s">
        <v>22515</v>
      </c>
      <c r="C4887" s="2">
        <v>9</v>
      </c>
      <c r="D4887" s="2">
        <v>556</v>
      </c>
      <c r="E4887" s="2">
        <v>200</v>
      </c>
      <c r="F4887" s="2">
        <v>32441</v>
      </c>
      <c r="G4887" s="2">
        <v>2.625620504</v>
      </c>
      <c r="H4887" s="2">
        <v>9.3616380000000003E-3</v>
      </c>
      <c r="I4887" s="2" t="s">
        <v>22516</v>
      </c>
      <c r="J4887" s="2" t="s">
        <v>22517</v>
      </c>
      <c r="K4887" s="2">
        <v>1.6335925000000001E-2</v>
      </c>
      <c r="L4887" s="2" t="s">
        <v>1178</v>
      </c>
      <c r="M4887" s="4" t="s">
        <v>22518</v>
      </c>
    </row>
    <row r="4888" spans="1:13">
      <c r="A4888" s="2">
        <v>3754</v>
      </c>
      <c r="B4888" s="2" t="s">
        <v>22519</v>
      </c>
      <c r="C4888" s="2">
        <v>9</v>
      </c>
      <c r="D4888" s="2">
        <v>556</v>
      </c>
      <c r="E4888" s="2">
        <v>200</v>
      </c>
      <c r="F4888" s="2">
        <v>32441</v>
      </c>
      <c r="G4888" s="2">
        <v>2.625620504</v>
      </c>
      <c r="H4888" s="2">
        <v>9.3616380000000003E-3</v>
      </c>
      <c r="I4888" s="2" t="s">
        <v>22520</v>
      </c>
      <c r="J4888" s="2" t="s">
        <v>22521</v>
      </c>
      <c r="K4888" s="2">
        <v>1.6335925000000001E-2</v>
      </c>
      <c r="L4888" s="2" t="s">
        <v>1178</v>
      </c>
      <c r="M4888" s="4" t="s">
        <v>22522</v>
      </c>
    </row>
    <row r="4889" spans="1:13">
      <c r="A4889" s="2">
        <v>37622</v>
      </c>
      <c r="B4889" s="2" t="s">
        <v>22523</v>
      </c>
      <c r="C4889" s="2">
        <v>9</v>
      </c>
      <c r="D4889" s="2">
        <v>556</v>
      </c>
      <c r="E4889" s="2">
        <v>199</v>
      </c>
      <c r="F4889" s="2">
        <v>32441</v>
      </c>
      <c r="G4889" s="2">
        <v>2.6388145760000001</v>
      </c>
      <c r="H4889" s="2">
        <v>9.0895969999999996E-3</v>
      </c>
      <c r="I4889" s="2" t="s">
        <v>22524</v>
      </c>
      <c r="J4889" s="2" t="s">
        <v>22525</v>
      </c>
      <c r="K4889" s="2">
        <v>1.6335925000000001E-2</v>
      </c>
      <c r="L4889" s="2" t="s">
        <v>1178</v>
      </c>
      <c r="M4889" s="4" t="s">
        <v>22526</v>
      </c>
    </row>
    <row r="4890" spans="1:13">
      <c r="A4890" s="2">
        <v>37631</v>
      </c>
      <c r="B4890" s="2" t="s">
        <v>22527</v>
      </c>
      <c r="C4890" s="2">
        <v>9</v>
      </c>
      <c r="D4890" s="2">
        <v>556</v>
      </c>
      <c r="E4890" s="2">
        <v>199</v>
      </c>
      <c r="F4890" s="2">
        <v>32441</v>
      </c>
      <c r="G4890" s="2">
        <v>2.6388145760000001</v>
      </c>
      <c r="H4890" s="2">
        <v>9.0895969999999996E-3</v>
      </c>
      <c r="I4890" s="2" t="s">
        <v>22528</v>
      </c>
      <c r="J4890" s="2" t="s">
        <v>22529</v>
      </c>
      <c r="K4890" s="2">
        <v>1.6335925000000001E-2</v>
      </c>
      <c r="L4890" s="2" t="s">
        <v>1178</v>
      </c>
      <c r="M4890" s="4" t="s">
        <v>22530</v>
      </c>
    </row>
    <row r="4891" spans="1:13">
      <c r="A4891" s="2">
        <v>37651</v>
      </c>
      <c r="B4891" s="2" t="s">
        <v>22531</v>
      </c>
      <c r="C4891" s="2">
        <v>9</v>
      </c>
      <c r="D4891" s="2">
        <v>556</v>
      </c>
      <c r="E4891" s="2">
        <v>199</v>
      </c>
      <c r="F4891" s="2">
        <v>32441</v>
      </c>
      <c r="G4891" s="2">
        <v>2.6388145760000001</v>
      </c>
      <c r="H4891" s="2">
        <v>9.0895969999999996E-3</v>
      </c>
      <c r="I4891" s="2" t="s">
        <v>22532</v>
      </c>
      <c r="J4891" s="2" t="s">
        <v>22533</v>
      </c>
      <c r="K4891" s="2">
        <v>1.6335925000000001E-2</v>
      </c>
      <c r="L4891" s="2" t="s">
        <v>1178</v>
      </c>
      <c r="M4891" s="4" t="s">
        <v>22534</v>
      </c>
    </row>
    <row r="4892" spans="1:13">
      <c r="A4892" s="2">
        <v>37691</v>
      </c>
      <c r="B4892" s="2" t="s">
        <v>22535</v>
      </c>
      <c r="C4892" s="2">
        <v>9</v>
      </c>
      <c r="D4892" s="2">
        <v>556</v>
      </c>
      <c r="E4892" s="2">
        <v>199</v>
      </c>
      <c r="F4892" s="2">
        <v>32441</v>
      </c>
      <c r="G4892" s="2">
        <v>2.6388145760000001</v>
      </c>
      <c r="H4892" s="2">
        <v>9.0895969999999996E-3</v>
      </c>
      <c r="I4892" s="2" t="s">
        <v>22536</v>
      </c>
      <c r="J4892" s="2" t="s">
        <v>22537</v>
      </c>
      <c r="K4892" s="2">
        <v>1.6335925000000001E-2</v>
      </c>
      <c r="L4892" s="2" t="s">
        <v>1178</v>
      </c>
      <c r="M4892" s="4" t="s">
        <v>22538</v>
      </c>
    </row>
    <row r="4893" spans="1:13">
      <c r="A4893" s="2">
        <v>37721</v>
      </c>
      <c r="B4893" s="2" t="s">
        <v>22539</v>
      </c>
      <c r="C4893" s="2">
        <v>9</v>
      </c>
      <c r="D4893" s="2">
        <v>556</v>
      </c>
      <c r="E4893" s="2">
        <v>200</v>
      </c>
      <c r="F4893" s="2">
        <v>32441</v>
      </c>
      <c r="G4893" s="2">
        <v>2.625620504</v>
      </c>
      <c r="H4893" s="2">
        <v>9.3616380000000003E-3</v>
      </c>
      <c r="I4893" s="2" t="s">
        <v>22540</v>
      </c>
      <c r="J4893" s="2" t="s">
        <v>22541</v>
      </c>
      <c r="K4893" s="2">
        <v>1.6335925000000001E-2</v>
      </c>
      <c r="L4893" s="2" t="s">
        <v>1178</v>
      </c>
      <c r="M4893" s="4" t="s">
        <v>22542</v>
      </c>
    </row>
    <row r="4894" spans="1:13">
      <c r="A4894" s="2">
        <v>37801</v>
      </c>
      <c r="B4894" s="2" t="s">
        <v>22543</v>
      </c>
      <c r="C4894" s="2">
        <v>9</v>
      </c>
      <c r="D4894" s="2">
        <v>556</v>
      </c>
      <c r="E4894" s="2">
        <v>200</v>
      </c>
      <c r="F4894" s="2">
        <v>32441</v>
      </c>
      <c r="G4894" s="2">
        <v>2.625620504</v>
      </c>
      <c r="H4894" s="2">
        <v>9.3616380000000003E-3</v>
      </c>
      <c r="I4894" s="2" t="s">
        <v>22544</v>
      </c>
      <c r="J4894" s="2" t="s">
        <v>22545</v>
      </c>
      <c r="K4894" s="2">
        <v>1.6335925000000001E-2</v>
      </c>
      <c r="L4894" s="2" t="s">
        <v>1178</v>
      </c>
      <c r="M4894" s="4" t="s">
        <v>22546</v>
      </c>
    </row>
    <row r="4895" spans="1:13">
      <c r="A4895" s="2">
        <v>37841</v>
      </c>
      <c r="B4895" s="2" t="s">
        <v>22547</v>
      </c>
      <c r="C4895" s="2">
        <v>9</v>
      </c>
      <c r="D4895" s="2">
        <v>556</v>
      </c>
      <c r="E4895" s="2">
        <v>199</v>
      </c>
      <c r="F4895" s="2">
        <v>32441</v>
      </c>
      <c r="G4895" s="2">
        <v>2.6388145760000001</v>
      </c>
      <c r="H4895" s="2">
        <v>9.0895969999999996E-3</v>
      </c>
      <c r="I4895" s="2" t="s">
        <v>22548</v>
      </c>
      <c r="J4895" s="2" t="s">
        <v>22549</v>
      </c>
      <c r="K4895" s="2">
        <v>1.6335925000000001E-2</v>
      </c>
      <c r="L4895" s="2" t="s">
        <v>1178</v>
      </c>
      <c r="M4895" s="4" t="s">
        <v>22550</v>
      </c>
    </row>
    <row r="4896" spans="1:13">
      <c r="A4896" s="2">
        <v>3821</v>
      </c>
      <c r="B4896" s="2" t="s">
        <v>22551</v>
      </c>
      <c r="C4896" s="2">
        <v>9</v>
      </c>
      <c r="D4896" s="2">
        <v>556</v>
      </c>
      <c r="E4896" s="2">
        <v>199</v>
      </c>
      <c r="F4896" s="2">
        <v>32441</v>
      </c>
      <c r="G4896" s="2">
        <v>2.6388145760000001</v>
      </c>
      <c r="H4896" s="2">
        <v>9.0895969999999996E-3</v>
      </c>
      <c r="I4896" s="2" t="s">
        <v>22552</v>
      </c>
      <c r="J4896" s="2" t="s">
        <v>22553</v>
      </c>
      <c r="K4896" s="2">
        <v>1.6335925000000001E-2</v>
      </c>
      <c r="L4896" s="2" t="s">
        <v>1178</v>
      </c>
      <c r="M4896" s="4" t="s">
        <v>22554</v>
      </c>
    </row>
    <row r="4897" spans="1:13">
      <c r="A4897" s="2">
        <v>38461</v>
      </c>
      <c r="B4897" s="2" t="s">
        <v>22555</v>
      </c>
      <c r="C4897" s="2">
        <v>9</v>
      </c>
      <c r="D4897" s="2">
        <v>556</v>
      </c>
      <c r="E4897" s="2">
        <v>200</v>
      </c>
      <c r="F4897" s="2">
        <v>32441</v>
      </c>
      <c r="G4897" s="2">
        <v>2.625620504</v>
      </c>
      <c r="H4897" s="2">
        <v>9.3616380000000003E-3</v>
      </c>
      <c r="I4897" s="2" t="s">
        <v>22556</v>
      </c>
      <c r="J4897" s="2" t="s">
        <v>22557</v>
      </c>
      <c r="K4897" s="2">
        <v>1.6335925000000001E-2</v>
      </c>
      <c r="L4897" s="2" t="s">
        <v>1178</v>
      </c>
      <c r="M4897" s="4" t="s">
        <v>22558</v>
      </c>
    </row>
    <row r="4898" spans="1:13">
      <c r="A4898" s="2">
        <v>38951</v>
      </c>
      <c r="B4898" s="2" t="s">
        <v>2673</v>
      </c>
      <c r="C4898" s="2">
        <v>9</v>
      </c>
      <c r="D4898" s="2">
        <v>556</v>
      </c>
      <c r="E4898" s="2">
        <v>199</v>
      </c>
      <c r="F4898" s="2">
        <v>32441</v>
      </c>
      <c r="G4898" s="2">
        <v>2.6388145760000001</v>
      </c>
      <c r="H4898" s="2">
        <v>9.0895969999999996E-3</v>
      </c>
      <c r="I4898" s="2" t="s">
        <v>22559</v>
      </c>
      <c r="J4898" s="2" t="s">
        <v>22560</v>
      </c>
      <c r="K4898" s="2">
        <v>1.6335925000000001E-2</v>
      </c>
      <c r="L4898" s="2" t="s">
        <v>1178</v>
      </c>
      <c r="M4898" s="4" t="s">
        <v>22561</v>
      </c>
    </row>
    <row r="4899" spans="1:13">
      <c r="A4899" s="2">
        <v>39011</v>
      </c>
      <c r="B4899" s="2" t="s">
        <v>22562</v>
      </c>
      <c r="C4899" s="2">
        <v>9</v>
      </c>
      <c r="D4899" s="2">
        <v>556</v>
      </c>
      <c r="E4899" s="2">
        <v>200</v>
      </c>
      <c r="F4899" s="2">
        <v>32441</v>
      </c>
      <c r="G4899" s="2">
        <v>2.625620504</v>
      </c>
      <c r="H4899" s="2">
        <v>9.3616380000000003E-3</v>
      </c>
      <c r="I4899" s="2" t="s">
        <v>22563</v>
      </c>
      <c r="J4899" s="2" t="s">
        <v>22564</v>
      </c>
      <c r="K4899" s="2">
        <v>1.6335925000000001E-2</v>
      </c>
      <c r="L4899" s="2" t="s">
        <v>1178</v>
      </c>
      <c r="M4899" s="4" t="s">
        <v>22565</v>
      </c>
    </row>
    <row r="4900" spans="1:13">
      <c r="A4900" s="2">
        <v>3913</v>
      </c>
      <c r="B4900" s="2" t="s">
        <v>22566</v>
      </c>
      <c r="C4900" s="2">
        <v>9</v>
      </c>
      <c r="D4900" s="2">
        <v>556</v>
      </c>
      <c r="E4900" s="2">
        <v>200</v>
      </c>
      <c r="F4900" s="2">
        <v>32441</v>
      </c>
      <c r="G4900" s="2">
        <v>2.625620504</v>
      </c>
      <c r="H4900" s="2">
        <v>9.3616380000000003E-3</v>
      </c>
      <c r="I4900" s="2" t="s">
        <v>22567</v>
      </c>
      <c r="J4900" s="2" t="s">
        <v>22568</v>
      </c>
      <c r="K4900" s="2">
        <v>1.6335925000000001E-2</v>
      </c>
      <c r="L4900" s="2" t="s">
        <v>1178</v>
      </c>
      <c r="M4900" s="4" t="s">
        <v>22569</v>
      </c>
    </row>
    <row r="4901" spans="1:13">
      <c r="A4901" s="2">
        <v>39371</v>
      </c>
      <c r="B4901" s="2" t="s">
        <v>22570</v>
      </c>
      <c r="C4901" s="2">
        <v>9</v>
      </c>
      <c r="D4901" s="2">
        <v>556</v>
      </c>
      <c r="E4901" s="2">
        <v>198</v>
      </c>
      <c r="F4901" s="2">
        <v>32441</v>
      </c>
      <c r="G4901" s="2">
        <v>2.6521419229999998</v>
      </c>
      <c r="H4901" s="2">
        <v>8.823582E-3</v>
      </c>
      <c r="I4901" s="2" t="s">
        <v>22571</v>
      </c>
      <c r="J4901" s="2" t="s">
        <v>22572</v>
      </c>
      <c r="K4901" s="2">
        <v>1.6335925000000001E-2</v>
      </c>
      <c r="L4901" s="2" t="s">
        <v>1178</v>
      </c>
      <c r="M4901" s="4" t="s">
        <v>22573</v>
      </c>
    </row>
    <row r="4902" spans="1:13">
      <c r="A4902" s="2">
        <v>3947</v>
      </c>
      <c r="B4902" s="2" t="s">
        <v>22574</v>
      </c>
      <c r="C4902" s="2">
        <v>9</v>
      </c>
      <c r="D4902" s="2">
        <v>556</v>
      </c>
      <c r="E4902" s="2">
        <v>197</v>
      </c>
      <c r="F4902" s="2">
        <v>32441</v>
      </c>
      <c r="G4902" s="2">
        <v>2.6656045719999999</v>
      </c>
      <c r="H4902" s="2">
        <v>8.5635079999999992E-3</v>
      </c>
      <c r="I4902" s="2" t="s">
        <v>22575</v>
      </c>
      <c r="J4902" s="2" t="s">
        <v>22576</v>
      </c>
      <c r="K4902" s="2">
        <v>1.6335925000000001E-2</v>
      </c>
      <c r="L4902" s="2" t="s">
        <v>1178</v>
      </c>
      <c r="M4902" s="4" t="s">
        <v>22577</v>
      </c>
    </row>
    <row r="4903" spans="1:13">
      <c r="A4903" s="2">
        <v>39721</v>
      </c>
      <c r="B4903" s="2" t="s">
        <v>22578</v>
      </c>
      <c r="C4903" s="2">
        <v>9</v>
      </c>
      <c r="D4903" s="2">
        <v>556</v>
      </c>
      <c r="E4903" s="2">
        <v>200</v>
      </c>
      <c r="F4903" s="2">
        <v>32441</v>
      </c>
      <c r="G4903" s="2">
        <v>2.625620504</v>
      </c>
      <c r="H4903" s="2">
        <v>9.3616380000000003E-3</v>
      </c>
      <c r="I4903" s="2" t="s">
        <v>22579</v>
      </c>
      <c r="J4903" s="2" t="s">
        <v>22580</v>
      </c>
      <c r="K4903" s="2">
        <v>1.6335925000000001E-2</v>
      </c>
      <c r="L4903" s="2" t="s">
        <v>1178</v>
      </c>
      <c r="M4903" s="4" t="s">
        <v>22581</v>
      </c>
    </row>
    <row r="4904" spans="1:13">
      <c r="A4904" s="2">
        <v>3999</v>
      </c>
      <c r="B4904" s="2" t="s">
        <v>22582</v>
      </c>
      <c r="C4904" s="2">
        <v>9</v>
      </c>
      <c r="D4904" s="2">
        <v>556</v>
      </c>
      <c r="E4904" s="2">
        <v>200</v>
      </c>
      <c r="F4904" s="2">
        <v>32441</v>
      </c>
      <c r="G4904" s="2">
        <v>2.625620504</v>
      </c>
      <c r="H4904" s="2">
        <v>9.3616380000000003E-3</v>
      </c>
      <c r="I4904" s="2" t="s">
        <v>22583</v>
      </c>
      <c r="J4904" s="2" t="s">
        <v>22584</v>
      </c>
      <c r="K4904" s="2">
        <v>1.6335925000000001E-2</v>
      </c>
      <c r="L4904" s="2" t="s">
        <v>1178</v>
      </c>
      <c r="M4904" s="4" t="s">
        <v>22585</v>
      </c>
    </row>
    <row r="4905" spans="1:13">
      <c r="A4905" s="2">
        <v>40051</v>
      </c>
      <c r="B4905" s="2" t="s">
        <v>22586</v>
      </c>
      <c r="C4905" s="2">
        <v>9</v>
      </c>
      <c r="D4905" s="2">
        <v>556</v>
      </c>
      <c r="E4905" s="2">
        <v>200</v>
      </c>
      <c r="F4905" s="2">
        <v>32441</v>
      </c>
      <c r="G4905" s="2">
        <v>2.625620504</v>
      </c>
      <c r="H4905" s="2">
        <v>9.3616380000000003E-3</v>
      </c>
      <c r="I4905" s="2" t="s">
        <v>22587</v>
      </c>
      <c r="J4905" s="2" t="s">
        <v>22588</v>
      </c>
      <c r="K4905" s="2">
        <v>1.6335925000000001E-2</v>
      </c>
      <c r="L4905" s="2" t="s">
        <v>1178</v>
      </c>
      <c r="M4905" s="4" t="s">
        <v>22589</v>
      </c>
    </row>
    <row r="4906" spans="1:13">
      <c r="A4906" s="2">
        <v>4014</v>
      </c>
      <c r="B4906" s="2" t="s">
        <v>22590</v>
      </c>
      <c r="C4906" s="2">
        <v>7</v>
      </c>
      <c r="D4906" s="2">
        <v>556</v>
      </c>
      <c r="E4906" s="2">
        <v>130</v>
      </c>
      <c r="F4906" s="2">
        <v>32441</v>
      </c>
      <c r="G4906" s="2">
        <v>3.1417681239999999</v>
      </c>
      <c r="H4906" s="2">
        <v>8.7411740000000009E-3</v>
      </c>
      <c r="I4906" s="2" t="s">
        <v>22591</v>
      </c>
      <c r="J4906" s="2" t="s">
        <v>22592</v>
      </c>
      <c r="K4906" s="2">
        <v>1.6335925000000001E-2</v>
      </c>
      <c r="L4906" s="2" t="s">
        <v>1178</v>
      </c>
      <c r="M4906" s="4" t="s">
        <v>22593</v>
      </c>
    </row>
    <row r="4907" spans="1:13">
      <c r="A4907" s="2">
        <v>4060</v>
      </c>
      <c r="B4907" s="2" t="s">
        <v>2688</v>
      </c>
      <c r="C4907" s="2">
        <v>9</v>
      </c>
      <c r="D4907" s="2">
        <v>556</v>
      </c>
      <c r="E4907" s="2">
        <v>200</v>
      </c>
      <c r="F4907" s="2">
        <v>32441</v>
      </c>
      <c r="G4907" s="2">
        <v>2.625620504</v>
      </c>
      <c r="H4907" s="2">
        <v>9.3616380000000003E-3</v>
      </c>
      <c r="I4907" s="2" t="s">
        <v>22594</v>
      </c>
      <c r="J4907" s="2" t="s">
        <v>22595</v>
      </c>
      <c r="K4907" s="2">
        <v>1.6335925000000001E-2</v>
      </c>
      <c r="L4907" s="2" t="s">
        <v>1178</v>
      </c>
      <c r="M4907" s="4" t="s">
        <v>22596</v>
      </c>
    </row>
    <row r="4908" spans="1:13">
      <c r="A4908" s="2">
        <v>4066</v>
      </c>
      <c r="B4908" s="2" t="s">
        <v>22597</v>
      </c>
      <c r="C4908" s="2">
        <v>9</v>
      </c>
      <c r="D4908" s="2">
        <v>556</v>
      </c>
      <c r="E4908" s="2">
        <v>200</v>
      </c>
      <c r="F4908" s="2">
        <v>32441</v>
      </c>
      <c r="G4908" s="2">
        <v>2.625620504</v>
      </c>
      <c r="H4908" s="2">
        <v>9.3616380000000003E-3</v>
      </c>
      <c r="I4908" s="2" t="s">
        <v>22598</v>
      </c>
      <c r="J4908" s="2" t="s">
        <v>22599</v>
      </c>
      <c r="K4908" s="2">
        <v>1.6335925000000001E-2</v>
      </c>
      <c r="L4908" s="2" t="s">
        <v>1178</v>
      </c>
      <c r="M4908" s="4" t="s">
        <v>22600</v>
      </c>
    </row>
    <row r="4909" spans="1:13">
      <c r="A4909" s="2">
        <v>4131</v>
      </c>
      <c r="B4909" s="2" t="s">
        <v>22601</v>
      </c>
      <c r="C4909" s="2">
        <v>9</v>
      </c>
      <c r="D4909" s="2">
        <v>556</v>
      </c>
      <c r="E4909" s="2">
        <v>199</v>
      </c>
      <c r="F4909" s="2">
        <v>32441</v>
      </c>
      <c r="G4909" s="2">
        <v>2.6388145760000001</v>
      </c>
      <c r="H4909" s="2">
        <v>9.0895969999999996E-3</v>
      </c>
      <c r="I4909" s="2" t="s">
        <v>22602</v>
      </c>
      <c r="J4909" s="2" t="s">
        <v>22603</v>
      </c>
      <c r="K4909" s="2">
        <v>1.6335925000000001E-2</v>
      </c>
      <c r="L4909" s="2" t="s">
        <v>1178</v>
      </c>
      <c r="M4909" s="4" t="s">
        <v>22604</v>
      </c>
    </row>
    <row r="4910" spans="1:13">
      <c r="A4910" s="2">
        <v>41421</v>
      </c>
      <c r="B4910" s="2" t="s">
        <v>22605</v>
      </c>
      <c r="C4910" s="2">
        <v>9</v>
      </c>
      <c r="D4910" s="2">
        <v>556</v>
      </c>
      <c r="E4910" s="2">
        <v>200</v>
      </c>
      <c r="F4910" s="2">
        <v>32441</v>
      </c>
      <c r="G4910" s="2">
        <v>2.625620504</v>
      </c>
      <c r="H4910" s="2">
        <v>9.3616380000000003E-3</v>
      </c>
      <c r="I4910" s="2" t="s">
        <v>22606</v>
      </c>
      <c r="J4910" s="2" t="s">
        <v>22607</v>
      </c>
      <c r="K4910" s="2">
        <v>1.6335925000000001E-2</v>
      </c>
      <c r="L4910" s="2" t="s">
        <v>1178</v>
      </c>
      <c r="M4910" s="4" t="s">
        <v>22608</v>
      </c>
    </row>
    <row r="4911" spans="1:13">
      <c r="A4911" s="2">
        <v>4144</v>
      </c>
      <c r="B4911" s="2" t="s">
        <v>22609</v>
      </c>
      <c r="C4911" s="2">
        <v>9</v>
      </c>
      <c r="D4911" s="2">
        <v>556</v>
      </c>
      <c r="E4911" s="2">
        <v>199</v>
      </c>
      <c r="F4911" s="2">
        <v>32441</v>
      </c>
      <c r="G4911" s="2">
        <v>2.6388145760000001</v>
      </c>
      <c r="H4911" s="2">
        <v>9.0895969999999996E-3</v>
      </c>
      <c r="I4911" s="2" t="s">
        <v>22610</v>
      </c>
      <c r="J4911" s="2" t="s">
        <v>22611</v>
      </c>
      <c r="K4911" s="2">
        <v>1.6335925000000001E-2</v>
      </c>
      <c r="L4911" s="2" t="s">
        <v>1178</v>
      </c>
      <c r="M4911" s="4" t="s">
        <v>22612</v>
      </c>
    </row>
    <row r="4912" spans="1:13">
      <c r="A4912" s="2">
        <v>41511</v>
      </c>
      <c r="B4912" s="2" t="s">
        <v>22613</v>
      </c>
      <c r="C4912" s="2">
        <v>9</v>
      </c>
      <c r="D4912" s="2">
        <v>556</v>
      </c>
      <c r="E4912" s="2">
        <v>200</v>
      </c>
      <c r="F4912" s="2">
        <v>32441</v>
      </c>
      <c r="G4912" s="2">
        <v>2.625620504</v>
      </c>
      <c r="H4912" s="2">
        <v>9.3616380000000003E-3</v>
      </c>
      <c r="I4912" s="2" t="s">
        <v>22614</v>
      </c>
      <c r="J4912" s="2" t="s">
        <v>22615</v>
      </c>
      <c r="K4912" s="2">
        <v>1.6335925000000001E-2</v>
      </c>
      <c r="L4912" s="2" t="s">
        <v>1178</v>
      </c>
      <c r="M4912" s="4" t="s">
        <v>22616</v>
      </c>
    </row>
    <row r="4913" spans="1:13">
      <c r="A4913" s="2">
        <v>41521</v>
      </c>
      <c r="B4913" s="2" t="s">
        <v>22617</v>
      </c>
      <c r="C4913" s="2">
        <v>9</v>
      </c>
      <c r="D4913" s="2">
        <v>556</v>
      </c>
      <c r="E4913" s="2">
        <v>200</v>
      </c>
      <c r="F4913" s="2">
        <v>32441</v>
      </c>
      <c r="G4913" s="2">
        <v>2.625620504</v>
      </c>
      <c r="H4913" s="2">
        <v>9.3616380000000003E-3</v>
      </c>
      <c r="I4913" s="2" t="s">
        <v>22618</v>
      </c>
      <c r="J4913" s="2" t="s">
        <v>22619</v>
      </c>
      <c r="K4913" s="2">
        <v>1.6335925000000001E-2</v>
      </c>
      <c r="L4913" s="2" t="s">
        <v>1178</v>
      </c>
      <c r="M4913" s="4" t="s">
        <v>22620</v>
      </c>
    </row>
    <row r="4914" spans="1:13">
      <c r="A4914" s="2">
        <v>4174</v>
      </c>
      <c r="B4914" s="2" t="s">
        <v>22621</v>
      </c>
      <c r="C4914" s="2">
        <v>9</v>
      </c>
      <c r="D4914" s="2">
        <v>556</v>
      </c>
      <c r="E4914" s="2">
        <v>200</v>
      </c>
      <c r="F4914" s="2">
        <v>32441</v>
      </c>
      <c r="G4914" s="2">
        <v>2.625620504</v>
      </c>
      <c r="H4914" s="2">
        <v>9.3616380000000003E-3</v>
      </c>
      <c r="I4914" s="2" t="s">
        <v>22622</v>
      </c>
      <c r="J4914" s="2" t="s">
        <v>22623</v>
      </c>
      <c r="K4914" s="2">
        <v>1.6335925000000001E-2</v>
      </c>
      <c r="L4914" s="2" t="s">
        <v>1178</v>
      </c>
      <c r="M4914" s="4" t="s">
        <v>22624</v>
      </c>
    </row>
    <row r="4915" spans="1:13">
      <c r="A4915" s="2">
        <v>4181</v>
      </c>
      <c r="B4915" s="2" t="s">
        <v>22625</v>
      </c>
      <c r="C4915" s="2">
        <v>9</v>
      </c>
      <c r="D4915" s="2">
        <v>556</v>
      </c>
      <c r="E4915" s="2">
        <v>200</v>
      </c>
      <c r="F4915" s="2">
        <v>32441</v>
      </c>
      <c r="G4915" s="2">
        <v>2.625620504</v>
      </c>
      <c r="H4915" s="2">
        <v>9.3616380000000003E-3</v>
      </c>
      <c r="I4915" s="2" t="s">
        <v>22626</v>
      </c>
      <c r="J4915" s="2" t="s">
        <v>22627</v>
      </c>
      <c r="K4915" s="2">
        <v>1.6335925000000001E-2</v>
      </c>
      <c r="L4915" s="2" t="s">
        <v>1178</v>
      </c>
      <c r="M4915" s="4" t="s">
        <v>22628</v>
      </c>
    </row>
    <row r="4916" spans="1:13">
      <c r="A4916" s="2">
        <v>4217</v>
      </c>
      <c r="B4916" s="2" t="s">
        <v>1758</v>
      </c>
      <c r="C4916" s="2">
        <v>9</v>
      </c>
      <c r="D4916" s="2">
        <v>556</v>
      </c>
      <c r="E4916" s="2">
        <v>200</v>
      </c>
      <c r="F4916" s="2">
        <v>32441</v>
      </c>
      <c r="G4916" s="2">
        <v>2.625620504</v>
      </c>
      <c r="H4916" s="2">
        <v>9.3616380000000003E-3</v>
      </c>
      <c r="I4916" s="2" t="s">
        <v>22629</v>
      </c>
      <c r="J4916" s="2" t="s">
        <v>22630</v>
      </c>
      <c r="K4916" s="2">
        <v>1.6335925000000001E-2</v>
      </c>
      <c r="L4916" s="2" t="s">
        <v>1178</v>
      </c>
      <c r="M4916" s="4" t="s">
        <v>22631</v>
      </c>
    </row>
    <row r="4917" spans="1:13">
      <c r="A4917" s="2">
        <v>4286</v>
      </c>
      <c r="B4917" s="2" t="s">
        <v>22632</v>
      </c>
      <c r="C4917" s="2">
        <v>9</v>
      </c>
      <c r="D4917" s="2">
        <v>556</v>
      </c>
      <c r="E4917" s="2">
        <v>200</v>
      </c>
      <c r="F4917" s="2">
        <v>32441</v>
      </c>
      <c r="G4917" s="2">
        <v>2.625620504</v>
      </c>
      <c r="H4917" s="2">
        <v>9.3616380000000003E-3</v>
      </c>
      <c r="I4917" s="2" t="s">
        <v>22633</v>
      </c>
      <c r="J4917" s="2" t="s">
        <v>22634</v>
      </c>
      <c r="K4917" s="2">
        <v>1.6335925000000001E-2</v>
      </c>
      <c r="L4917" s="2" t="s">
        <v>1178</v>
      </c>
      <c r="M4917" s="4" t="s">
        <v>22635</v>
      </c>
    </row>
    <row r="4918" spans="1:13">
      <c r="A4918" s="2">
        <v>4293</v>
      </c>
      <c r="B4918" s="2" t="s">
        <v>22636</v>
      </c>
      <c r="C4918" s="2">
        <v>9</v>
      </c>
      <c r="D4918" s="2">
        <v>556</v>
      </c>
      <c r="E4918" s="2">
        <v>200</v>
      </c>
      <c r="F4918" s="2">
        <v>32441</v>
      </c>
      <c r="G4918" s="2">
        <v>2.625620504</v>
      </c>
      <c r="H4918" s="2">
        <v>9.3616380000000003E-3</v>
      </c>
      <c r="I4918" s="2" t="s">
        <v>22637</v>
      </c>
      <c r="J4918" s="2" t="s">
        <v>22638</v>
      </c>
      <c r="K4918" s="2">
        <v>1.6335925000000001E-2</v>
      </c>
      <c r="L4918" s="2" t="s">
        <v>1178</v>
      </c>
      <c r="M4918" s="4" t="s">
        <v>22639</v>
      </c>
    </row>
    <row r="4919" spans="1:13">
      <c r="A4919" s="2">
        <v>4311</v>
      </c>
      <c r="B4919" s="2" t="s">
        <v>22640</v>
      </c>
      <c r="C4919" s="2">
        <v>9</v>
      </c>
      <c r="D4919" s="2">
        <v>556</v>
      </c>
      <c r="E4919" s="2">
        <v>200</v>
      </c>
      <c r="F4919" s="2">
        <v>32441</v>
      </c>
      <c r="G4919" s="2">
        <v>2.625620504</v>
      </c>
      <c r="H4919" s="2">
        <v>9.3616380000000003E-3</v>
      </c>
      <c r="I4919" s="2" t="s">
        <v>22641</v>
      </c>
      <c r="J4919" s="2" t="s">
        <v>22642</v>
      </c>
      <c r="K4919" s="2">
        <v>1.6335925000000001E-2</v>
      </c>
      <c r="L4919" s="2" t="s">
        <v>1178</v>
      </c>
      <c r="M4919" s="4" t="s">
        <v>22643</v>
      </c>
    </row>
    <row r="4920" spans="1:13">
      <c r="A4920" s="2">
        <v>43311</v>
      </c>
      <c r="B4920" s="2" t="s">
        <v>22644</v>
      </c>
      <c r="C4920" s="2">
        <v>9</v>
      </c>
      <c r="D4920" s="2">
        <v>556</v>
      </c>
      <c r="E4920" s="2">
        <v>199</v>
      </c>
      <c r="F4920" s="2">
        <v>32441</v>
      </c>
      <c r="G4920" s="2">
        <v>2.6388145760000001</v>
      </c>
      <c r="H4920" s="2">
        <v>9.0895969999999996E-3</v>
      </c>
      <c r="I4920" s="2" t="s">
        <v>22645</v>
      </c>
      <c r="J4920" s="2" t="s">
        <v>22646</v>
      </c>
      <c r="K4920" s="2">
        <v>1.6335925000000001E-2</v>
      </c>
      <c r="L4920" s="2" t="s">
        <v>1178</v>
      </c>
      <c r="M4920" s="4" t="s">
        <v>22647</v>
      </c>
    </row>
    <row r="4921" spans="1:13">
      <c r="A4921" s="2">
        <v>4334</v>
      </c>
      <c r="B4921" s="2" t="s">
        <v>22648</v>
      </c>
      <c r="C4921" s="2">
        <v>9</v>
      </c>
      <c r="D4921" s="2">
        <v>556</v>
      </c>
      <c r="E4921" s="2">
        <v>200</v>
      </c>
      <c r="F4921" s="2">
        <v>32441</v>
      </c>
      <c r="G4921" s="2">
        <v>2.625620504</v>
      </c>
      <c r="H4921" s="2">
        <v>9.3616380000000003E-3</v>
      </c>
      <c r="I4921" s="2" t="s">
        <v>22649</v>
      </c>
      <c r="J4921" s="2" t="s">
        <v>22650</v>
      </c>
      <c r="K4921" s="2">
        <v>1.6335925000000001E-2</v>
      </c>
      <c r="L4921" s="2" t="s">
        <v>1178</v>
      </c>
      <c r="M4921" s="4" t="s">
        <v>22651</v>
      </c>
    </row>
    <row r="4922" spans="1:13">
      <c r="A4922" s="2">
        <v>43471</v>
      </c>
      <c r="B4922" s="2" t="s">
        <v>22652</v>
      </c>
      <c r="C4922" s="2">
        <v>9</v>
      </c>
      <c r="D4922" s="2">
        <v>556</v>
      </c>
      <c r="E4922" s="2">
        <v>200</v>
      </c>
      <c r="F4922" s="2">
        <v>32441</v>
      </c>
      <c r="G4922" s="2">
        <v>2.625620504</v>
      </c>
      <c r="H4922" s="2">
        <v>9.3616380000000003E-3</v>
      </c>
      <c r="I4922" s="2" t="s">
        <v>22653</v>
      </c>
      <c r="J4922" s="2" t="s">
        <v>22654</v>
      </c>
      <c r="K4922" s="2">
        <v>1.6335925000000001E-2</v>
      </c>
      <c r="L4922" s="2" t="s">
        <v>1178</v>
      </c>
      <c r="M4922" s="4" t="s">
        <v>22655</v>
      </c>
    </row>
    <row r="4923" spans="1:13">
      <c r="A4923" s="2">
        <v>44011</v>
      </c>
      <c r="B4923" s="2" t="s">
        <v>22656</v>
      </c>
      <c r="C4923" s="2">
        <v>9</v>
      </c>
      <c r="D4923" s="2">
        <v>556</v>
      </c>
      <c r="E4923" s="2">
        <v>200</v>
      </c>
      <c r="F4923" s="2">
        <v>32441</v>
      </c>
      <c r="G4923" s="2">
        <v>2.625620504</v>
      </c>
      <c r="H4923" s="2">
        <v>9.3616380000000003E-3</v>
      </c>
      <c r="I4923" s="2" t="s">
        <v>22657</v>
      </c>
      <c r="J4923" s="2" t="s">
        <v>22658</v>
      </c>
      <c r="K4923" s="2">
        <v>1.6335925000000001E-2</v>
      </c>
      <c r="L4923" s="2" t="s">
        <v>1178</v>
      </c>
      <c r="M4923" s="4" t="s">
        <v>22659</v>
      </c>
    </row>
    <row r="4924" spans="1:13">
      <c r="A4924" s="2">
        <v>4440</v>
      </c>
      <c r="B4924" s="2" t="s">
        <v>22660</v>
      </c>
      <c r="C4924" s="2">
        <v>9</v>
      </c>
      <c r="D4924" s="2">
        <v>556</v>
      </c>
      <c r="E4924" s="2">
        <v>200</v>
      </c>
      <c r="F4924" s="2">
        <v>32441</v>
      </c>
      <c r="G4924" s="2">
        <v>2.625620504</v>
      </c>
      <c r="H4924" s="2">
        <v>9.3616380000000003E-3</v>
      </c>
      <c r="I4924" s="2" t="s">
        <v>22661</v>
      </c>
      <c r="J4924" s="2" t="s">
        <v>22662</v>
      </c>
      <c r="K4924" s="2">
        <v>1.6335925000000001E-2</v>
      </c>
      <c r="L4924" s="2" t="s">
        <v>1178</v>
      </c>
      <c r="M4924" s="4" t="s">
        <v>22663</v>
      </c>
    </row>
    <row r="4925" spans="1:13">
      <c r="A4925" s="2">
        <v>4459</v>
      </c>
      <c r="B4925" s="2" t="s">
        <v>22664</v>
      </c>
      <c r="C4925" s="2">
        <v>9</v>
      </c>
      <c r="D4925" s="2">
        <v>556</v>
      </c>
      <c r="E4925" s="2">
        <v>199</v>
      </c>
      <c r="F4925" s="2">
        <v>32441</v>
      </c>
      <c r="G4925" s="2">
        <v>2.6388145760000001</v>
      </c>
      <c r="H4925" s="2">
        <v>9.0895969999999996E-3</v>
      </c>
      <c r="I4925" s="2" t="s">
        <v>22665</v>
      </c>
      <c r="J4925" s="2" t="s">
        <v>22666</v>
      </c>
      <c r="K4925" s="2">
        <v>1.6335925000000001E-2</v>
      </c>
      <c r="L4925" s="2" t="s">
        <v>1178</v>
      </c>
      <c r="M4925" s="4" t="s">
        <v>22667</v>
      </c>
    </row>
    <row r="4926" spans="1:13">
      <c r="A4926" s="2">
        <v>4545</v>
      </c>
      <c r="B4926" s="2" t="s">
        <v>22668</v>
      </c>
      <c r="C4926" s="2">
        <v>9</v>
      </c>
      <c r="D4926" s="2">
        <v>556</v>
      </c>
      <c r="E4926" s="2">
        <v>200</v>
      </c>
      <c r="F4926" s="2">
        <v>32441</v>
      </c>
      <c r="G4926" s="2">
        <v>2.625620504</v>
      </c>
      <c r="H4926" s="2">
        <v>9.3616380000000003E-3</v>
      </c>
      <c r="I4926" s="2" t="s">
        <v>22669</v>
      </c>
      <c r="J4926" s="2" t="s">
        <v>22670</v>
      </c>
      <c r="K4926" s="2">
        <v>1.6335925000000001E-2</v>
      </c>
      <c r="L4926" s="2" t="s">
        <v>1178</v>
      </c>
      <c r="M4926" s="4" t="s">
        <v>22671</v>
      </c>
    </row>
    <row r="4927" spans="1:13">
      <c r="A4927" s="2">
        <v>4548</v>
      </c>
      <c r="B4927" s="2" t="s">
        <v>22672</v>
      </c>
      <c r="C4927" s="2">
        <v>9</v>
      </c>
      <c r="D4927" s="2">
        <v>556</v>
      </c>
      <c r="E4927" s="2">
        <v>200</v>
      </c>
      <c r="F4927" s="2">
        <v>32441</v>
      </c>
      <c r="G4927" s="2">
        <v>2.625620504</v>
      </c>
      <c r="H4927" s="2">
        <v>9.3616380000000003E-3</v>
      </c>
      <c r="I4927" s="2" t="s">
        <v>22673</v>
      </c>
      <c r="J4927" s="2" t="s">
        <v>22674</v>
      </c>
      <c r="K4927" s="2">
        <v>1.6335925000000001E-2</v>
      </c>
      <c r="L4927" s="2" t="s">
        <v>1178</v>
      </c>
      <c r="M4927" s="4" t="s">
        <v>22675</v>
      </c>
    </row>
    <row r="4928" spans="1:13">
      <c r="A4928" s="2">
        <v>4580</v>
      </c>
      <c r="B4928" s="2" t="s">
        <v>22676</v>
      </c>
      <c r="C4928" s="2">
        <v>9</v>
      </c>
      <c r="D4928" s="2">
        <v>556</v>
      </c>
      <c r="E4928" s="2">
        <v>200</v>
      </c>
      <c r="F4928" s="2">
        <v>32441</v>
      </c>
      <c r="G4928" s="2">
        <v>2.625620504</v>
      </c>
      <c r="H4928" s="2">
        <v>9.3616380000000003E-3</v>
      </c>
      <c r="I4928" s="2" t="s">
        <v>22677</v>
      </c>
      <c r="J4928" s="2" t="s">
        <v>22678</v>
      </c>
      <c r="K4928" s="2">
        <v>1.6335925000000001E-2</v>
      </c>
      <c r="L4928" s="2" t="s">
        <v>1178</v>
      </c>
      <c r="M4928" s="4" t="s">
        <v>22679</v>
      </c>
    </row>
    <row r="4929" spans="1:13">
      <c r="A4929" s="2">
        <v>4597</v>
      </c>
      <c r="B4929" s="2" t="s">
        <v>22680</v>
      </c>
      <c r="C4929" s="2">
        <v>9</v>
      </c>
      <c r="D4929" s="2">
        <v>556</v>
      </c>
      <c r="E4929" s="2">
        <v>200</v>
      </c>
      <c r="F4929" s="2">
        <v>32441</v>
      </c>
      <c r="G4929" s="2">
        <v>2.625620504</v>
      </c>
      <c r="H4929" s="2">
        <v>9.3616380000000003E-3</v>
      </c>
      <c r="I4929" s="2" t="s">
        <v>22681</v>
      </c>
      <c r="J4929" s="2" t="s">
        <v>22682</v>
      </c>
      <c r="K4929" s="2">
        <v>1.6335925000000001E-2</v>
      </c>
      <c r="L4929" s="2" t="s">
        <v>1178</v>
      </c>
      <c r="M4929" s="4" t="s">
        <v>22683</v>
      </c>
    </row>
    <row r="4930" spans="1:13">
      <c r="A4930" s="2">
        <v>4607</v>
      </c>
      <c r="B4930" s="2" t="s">
        <v>22684</v>
      </c>
      <c r="C4930" s="2">
        <v>9</v>
      </c>
      <c r="D4930" s="2">
        <v>556</v>
      </c>
      <c r="E4930" s="2">
        <v>200</v>
      </c>
      <c r="F4930" s="2">
        <v>32441</v>
      </c>
      <c r="G4930" s="2">
        <v>2.625620504</v>
      </c>
      <c r="H4930" s="2">
        <v>9.3616380000000003E-3</v>
      </c>
      <c r="I4930" s="2" t="s">
        <v>22685</v>
      </c>
      <c r="J4930" s="2" t="s">
        <v>22686</v>
      </c>
      <c r="K4930" s="2">
        <v>1.6335925000000001E-2</v>
      </c>
      <c r="L4930" s="2" t="s">
        <v>1178</v>
      </c>
      <c r="M4930" s="4" t="s">
        <v>22687</v>
      </c>
    </row>
    <row r="4931" spans="1:13">
      <c r="A4931" s="2">
        <v>4636</v>
      </c>
      <c r="B4931" s="2" t="s">
        <v>22688</v>
      </c>
      <c r="C4931" s="2">
        <v>9</v>
      </c>
      <c r="D4931" s="2">
        <v>556</v>
      </c>
      <c r="E4931" s="2">
        <v>200</v>
      </c>
      <c r="F4931" s="2">
        <v>32441</v>
      </c>
      <c r="G4931" s="2">
        <v>2.625620504</v>
      </c>
      <c r="H4931" s="2">
        <v>9.3616380000000003E-3</v>
      </c>
      <c r="I4931" s="2" t="s">
        <v>22689</v>
      </c>
      <c r="J4931" s="2" t="s">
        <v>22690</v>
      </c>
      <c r="K4931" s="2">
        <v>1.6335925000000001E-2</v>
      </c>
      <c r="L4931" s="2" t="s">
        <v>1178</v>
      </c>
      <c r="M4931" s="4" t="s">
        <v>22691</v>
      </c>
    </row>
    <row r="4932" spans="1:13">
      <c r="A4932" s="2">
        <v>46441</v>
      </c>
      <c r="B4932" s="2" t="s">
        <v>22692</v>
      </c>
      <c r="C4932" s="2">
        <v>9</v>
      </c>
      <c r="D4932" s="2">
        <v>556</v>
      </c>
      <c r="E4932" s="2">
        <v>200</v>
      </c>
      <c r="F4932" s="2">
        <v>32441</v>
      </c>
      <c r="G4932" s="2">
        <v>2.625620504</v>
      </c>
      <c r="H4932" s="2">
        <v>9.3616380000000003E-3</v>
      </c>
      <c r="I4932" s="2" t="s">
        <v>22693</v>
      </c>
      <c r="J4932" s="2" t="s">
        <v>22694</v>
      </c>
      <c r="K4932" s="2">
        <v>1.6335925000000001E-2</v>
      </c>
      <c r="L4932" s="2" t="s">
        <v>1178</v>
      </c>
      <c r="M4932" s="4" t="s">
        <v>22695</v>
      </c>
    </row>
    <row r="4933" spans="1:13">
      <c r="A4933" s="2">
        <v>4656</v>
      </c>
      <c r="B4933" s="2" t="s">
        <v>22696</v>
      </c>
      <c r="C4933" s="2">
        <v>9</v>
      </c>
      <c r="D4933" s="2">
        <v>556</v>
      </c>
      <c r="E4933" s="2">
        <v>197</v>
      </c>
      <c r="F4933" s="2">
        <v>32441</v>
      </c>
      <c r="G4933" s="2">
        <v>2.6656045719999999</v>
      </c>
      <c r="H4933" s="2">
        <v>8.5635079999999992E-3</v>
      </c>
      <c r="I4933" s="2" t="s">
        <v>22697</v>
      </c>
      <c r="J4933" s="2" t="s">
        <v>22698</v>
      </c>
      <c r="K4933" s="2">
        <v>1.6335925000000001E-2</v>
      </c>
      <c r="L4933" s="2" t="s">
        <v>1178</v>
      </c>
      <c r="M4933" s="4" t="s">
        <v>22699</v>
      </c>
    </row>
    <row r="4934" spans="1:13">
      <c r="A4934" s="2">
        <v>4670</v>
      </c>
      <c r="B4934" s="2" t="s">
        <v>22700</v>
      </c>
      <c r="C4934" s="2">
        <v>9</v>
      </c>
      <c r="D4934" s="2">
        <v>556</v>
      </c>
      <c r="E4934" s="2">
        <v>200</v>
      </c>
      <c r="F4934" s="2">
        <v>32441</v>
      </c>
      <c r="G4934" s="2">
        <v>2.625620504</v>
      </c>
      <c r="H4934" s="2">
        <v>9.3616380000000003E-3</v>
      </c>
      <c r="I4934" s="2" t="s">
        <v>22701</v>
      </c>
      <c r="J4934" s="2" t="s">
        <v>22702</v>
      </c>
      <c r="K4934" s="2">
        <v>1.6335925000000001E-2</v>
      </c>
      <c r="L4934" s="2" t="s">
        <v>1178</v>
      </c>
      <c r="M4934" s="4" t="s">
        <v>22703</v>
      </c>
    </row>
    <row r="4935" spans="1:13">
      <c r="A4935" s="2">
        <v>4692</v>
      </c>
      <c r="B4935" s="2" t="s">
        <v>22704</v>
      </c>
      <c r="C4935" s="2">
        <v>9</v>
      </c>
      <c r="D4935" s="2">
        <v>556</v>
      </c>
      <c r="E4935" s="2">
        <v>200</v>
      </c>
      <c r="F4935" s="2">
        <v>32441</v>
      </c>
      <c r="G4935" s="2">
        <v>2.625620504</v>
      </c>
      <c r="H4935" s="2">
        <v>9.3616380000000003E-3</v>
      </c>
      <c r="I4935" s="2" t="s">
        <v>22705</v>
      </c>
      <c r="J4935" s="2" t="s">
        <v>22706</v>
      </c>
      <c r="K4935" s="2">
        <v>1.6335925000000001E-2</v>
      </c>
      <c r="L4935" s="2" t="s">
        <v>1178</v>
      </c>
      <c r="M4935" s="4" t="s">
        <v>22707</v>
      </c>
    </row>
    <row r="4936" spans="1:13">
      <c r="A4936" s="2">
        <v>4737</v>
      </c>
      <c r="B4936" s="2" t="s">
        <v>1773</v>
      </c>
      <c r="C4936" s="2">
        <v>9</v>
      </c>
      <c r="D4936" s="2">
        <v>556</v>
      </c>
      <c r="E4936" s="2">
        <v>200</v>
      </c>
      <c r="F4936" s="2">
        <v>32441</v>
      </c>
      <c r="G4936" s="2">
        <v>2.625620504</v>
      </c>
      <c r="H4936" s="2">
        <v>9.3616380000000003E-3</v>
      </c>
      <c r="I4936" s="2" t="s">
        <v>22708</v>
      </c>
      <c r="J4936" s="2" t="s">
        <v>22709</v>
      </c>
      <c r="K4936" s="2">
        <v>1.6335925000000001E-2</v>
      </c>
      <c r="L4936" s="2" t="s">
        <v>1178</v>
      </c>
      <c r="M4936" s="4" t="s">
        <v>22710</v>
      </c>
    </row>
    <row r="4937" spans="1:13">
      <c r="A4937" s="2">
        <v>4747</v>
      </c>
      <c r="B4937" s="2" t="s">
        <v>3521</v>
      </c>
      <c r="C4937" s="2">
        <v>9</v>
      </c>
      <c r="D4937" s="2">
        <v>556</v>
      </c>
      <c r="E4937" s="2">
        <v>200</v>
      </c>
      <c r="F4937" s="2">
        <v>32441</v>
      </c>
      <c r="G4937" s="2">
        <v>2.625620504</v>
      </c>
      <c r="H4937" s="2">
        <v>9.3616380000000003E-3</v>
      </c>
      <c r="I4937" s="2" t="s">
        <v>22711</v>
      </c>
      <c r="J4937" s="2" t="s">
        <v>22712</v>
      </c>
      <c r="K4937" s="2">
        <v>1.6335925000000001E-2</v>
      </c>
      <c r="L4937" s="2" t="s">
        <v>1178</v>
      </c>
      <c r="M4937" s="4" t="s">
        <v>3524</v>
      </c>
    </row>
    <row r="4938" spans="1:13">
      <c r="A4938" s="2">
        <v>4749</v>
      </c>
      <c r="B4938" s="2" t="s">
        <v>1527</v>
      </c>
      <c r="C4938" s="2">
        <v>9</v>
      </c>
      <c r="D4938" s="2">
        <v>556</v>
      </c>
      <c r="E4938" s="2">
        <v>200</v>
      </c>
      <c r="F4938" s="2">
        <v>32441</v>
      </c>
      <c r="G4938" s="2">
        <v>2.625620504</v>
      </c>
      <c r="H4938" s="2">
        <v>9.3616380000000003E-3</v>
      </c>
      <c r="I4938" s="2" t="s">
        <v>22713</v>
      </c>
      <c r="J4938" s="2" t="s">
        <v>22714</v>
      </c>
      <c r="K4938" s="2">
        <v>1.6335925000000001E-2</v>
      </c>
      <c r="L4938" s="2" t="s">
        <v>1178</v>
      </c>
      <c r="M4938" s="4" t="s">
        <v>22715</v>
      </c>
    </row>
    <row r="4939" spans="1:13">
      <c r="A4939" s="2">
        <v>4751</v>
      </c>
      <c r="B4939" s="2" t="s">
        <v>22716</v>
      </c>
      <c r="C4939" s="2">
        <v>9</v>
      </c>
      <c r="D4939" s="2">
        <v>556</v>
      </c>
      <c r="E4939" s="2">
        <v>200</v>
      </c>
      <c r="F4939" s="2">
        <v>32441</v>
      </c>
      <c r="G4939" s="2">
        <v>2.625620504</v>
      </c>
      <c r="H4939" s="2">
        <v>9.3616380000000003E-3</v>
      </c>
      <c r="I4939" s="2" t="s">
        <v>22717</v>
      </c>
      <c r="J4939" s="2" t="s">
        <v>22718</v>
      </c>
      <c r="K4939" s="2">
        <v>1.6335925000000001E-2</v>
      </c>
      <c r="L4939" s="2" t="s">
        <v>1178</v>
      </c>
      <c r="M4939" s="4" t="s">
        <v>22719</v>
      </c>
    </row>
    <row r="4940" spans="1:13">
      <c r="A4940" s="2">
        <v>4791</v>
      </c>
      <c r="B4940" s="2" t="s">
        <v>1623</v>
      </c>
      <c r="C4940" s="2">
        <v>9</v>
      </c>
      <c r="D4940" s="2">
        <v>556</v>
      </c>
      <c r="E4940" s="2">
        <v>200</v>
      </c>
      <c r="F4940" s="2">
        <v>32441</v>
      </c>
      <c r="G4940" s="2">
        <v>2.625620504</v>
      </c>
      <c r="H4940" s="2">
        <v>9.3616380000000003E-3</v>
      </c>
      <c r="I4940" s="2" t="s">
        <v>22720</v>
      </c>
      <c r="J4940" s="2" t="s">
        <v>22721</v>
      </c>
      <c r="K4940" s="2">
        <v>1.6335925000000001E-2</v>
      </c>
      <c r="L4940" s="2" t="s">
        <v>1178</v>
      </c>
      <c r="M4940" s="4" t="s">
        <v>22722</v>
      </c>
    </row>
    <row r="4941" spans="1:13">
      <c r="A4941" s="2">
        <v>4803</v>
      </c>
      <c r="B4941" s="2" t="s">
        <v>22723</v>
      </c>
      <c r="C4941" s="2">
        <v>9</v>
      </c>
      <c r="D4941" s="2">
        <v>556</v>
      </c>
      <c r="E4941" s="2">
        <v>200</v>
      </c>
      <c r="F4941" s="2">
        <v>32441</v>
      </c>
      <c r="G4941" s="2">
        <v>2.625620504</v>
      </c>
      <c r="H4941" s="2">
        <v>9.3616380000000003E-3</v>
      </c>
      <c r="I4941" s="2" t="s">
        <v>22724</v>
      </c>
      <c r="J4941" s="2" t="s">
        <v>22725</v>
      </c>
      <c r="K4941" s="2">
        <v>1.6335925000000001E-2</v>
      </c>
      <c r="L4941" s="2" t="s">
        <v>1178</v>
      </c>
      <c r="M4941" s="4" t="s">
        <v>22726</v>
      </c>
    </row>
    <row r="4942" spans="1:13">
      <c r="A4942" s="2">
        <v>4806</v>
      </c>
      <c r="B4942" s="2" t="s">
        <v>22727</v>
      </c>
      <c r="C4942" s="2">
        <v>9</v>
      </c>
      <c r="D4942" s="2">
        <v>556</v>
      </c>
      <c r="E4942" s="2">
        <v>200</v>
      </c>
      <c r="F4942" s="2">
        <v>32441</v>
      </c>
      <c r="G4942" s="2">
        <v>2.625620504</v>
      </c>
      <c r="H4942" s="2">
        <v>9.3616380000000003E-3</v>
      </c>
      <c r="I4942" s="2" t="s">
        <v>22728</v>
      </c>
      <c r="J4942" s="2" t="s">
        <v>22729</v>
      </c>
      <c r="K4942" s="2">
        <v>1.6335925000000001E-2</v>
      </c>
      <c r="L4942" s="2" t="s">
        <v>1178</v>
      </c>
      <c r="M4942" s="4" t="s">
        <v>22730</v>
      </c>
    </row>
    <row r="4943" spans="1:13">
      <c r="A4943" s="2">
        <v>2720</v>
      </c>
      <c r="B4943" s="2" t="s">
        <v>22731</v>
      </c>
      <c r="C4943" s="2">
        <v>7</v>
      </c>
      <c r="D4943" s="2">
        <v>556</v>
      </c>
      <c r="E4943" s="2">
        <v>132</v>
      </c>
      <c r="F4943" s="2">
        <v>32441</v>
      </c>
      <c r="G4943" s="2">
        <v>3.0941655770000001</v>
      </c>
      <c r="H4943" s="2">
        <v>9.4254430000000004E-3</v>
      </c>
      <c r="I4943" s="2" t="s">
        <v>22732</v>
      </c>
      <c r="J4943" s="2" t="s">
        <v>22733</v>
      </c>
      <c r="K4943" s="2">
        <v>1.6441374000000002E-2</v>
      </c>
      <c r="L4943" s="2" t="s">
        <v>1178</v>
      </c>
      <c r="M4943" s="4" t="s">
        <v>22734</v>
      </c>
    </row>
    <row r="4944" spans="1:13">
      <c r="A4944" s="2">
        <v>25291</v>
      </c>
      <c r="B4944" s="2" t="s">
        <v>22735</v>
      </c>
      <c r="C4944" s="2">
        <v>8</v>
      </c>
      <c r="D4944" s="2">
        <v>556</v>
      </c>
      <c r="E4944" s="2">
        <v>167</v>
      </c>
      <c r="F4944" s="2">
        <v>32441</v>
      </c>
      <c r="G4944" s="2">
        <v>2.7950717269999998</v>
      </c>
      <c r="H4944" s="2">
        <v>9.9458729999999992E-3</v>
      </c>
      <c r="I4944" s="2" t="s">
        <v>22736</v>
      </c>
      <c r="J4944" s="2" t="s">
        <v>22737</v>
      </c>
      <c r="K4944" s="2">
        <v>1.7336778000000001E-2</v>
      </c>
      <c r="L4944" s="2" t="s">
        <v>1178</v>
      </c>
      <c r="M4944" s="4" t="s">
        <v>22738</v>
      </c>
    </row>
    <row r="4945" spans="1:13">
      <c r="A4945" s="2">
        <v>44651</v>
      </c>
      <c r="B4945" s="2" t="s">
        <v>1632</v>
      </c>
      <c r="C4945" s="2">
        <v>8</v>
      </c>
      <c r="D4945" s="2">
        <v>556</v>
      </c>
      <c r="E4945" s="2">
        <v>167</v>
      </c>
      <c r="F4945" s="2">
        <v>32441</v>
      </c>
      <c r="G4945" s="2">
        <v>2.7950717269999998</v>
      </c>
      <c r="H4945" s="2">
        <v>9.9458729999999992E-3</v>
      </c>
      <c r="I4945" s="2" t="s">
        <v>22739</v>
      </c>
      <c r="J4945" s="2" t="s">
        <v>22740</v>
      </c>
      <c r="K4945" s="2">
        <v>1.7336778000000001E-2</v>
      </c>
      <c r="L4945" s="2" t="s">
        <v>1178</v>
      </c>
      <c r="M4945" s="4" t="s">
        <v>22741</v>
      </c>
    </row>
    <row r="4946" spans="1:13">
      <c r="A4946" s="2">
        <v>2702</v>
      </c>
      <c r="B4946" s="2" t="s">
        <v>22742</v>
      </c>
      <c r="C4946" s="2">
        <v>7</v>
      </c>
      <c r="D4946" s="2">
        <v>556</v>
      </c>
      <c r="E4946" s="2">
        <v>134</v>
      </c>
      <c r="F4946" s="2">
        <v>32441</v>
      </c>
      <c r="G4946" s="2">
        <v>3.0479840010000001</v>
      </c>
      <c r="H4946" s="2">
        <v>1.0148074999999999E-2</v>
      </c>
      <c r="I4946" s="2" t="s">
        <v>22743</v>
      </c>
      <c r="J4946" s="2" t="s">
        <v>22744</v>
      </c>
      <c r="K4946" s="2">
        <v>1.7682910999999999E-2</v>
      </c>
      <c r="L4946" s="2" t="s">
        <v>1178</v>
      </c>
      <c r="M4946" s="4" t="s">
        <v>22745</v>
      </c>
    </row>
    <row r="4947" spans="1:13">
      <c r="A4947" s="2">
        <v>27621</v>
      </c>
      <c r="B4947" s="2" t="s">
        <v>22746</v>
      </c>
      <c r="C4947" s="2">
        <v>7</v>
      </c>
      <c r="D4947" s="2">
        <v>556</v>
      </c>
      <c r="E4947" s="2">
        <v>135</v>
      </c>
      <c r="F4947" s="2">
        <v>32441</v>
      </c>
      <c r="G4947" s="2">
        <v>3.0254063420000001</v>
      </c>
      <c r="H4947" s="2">
        <v>1.0524143999999999E-2</v>
      </c>
      <c r="I4947" s="2" t="s">
        <v>22747</v>
      </c>
      <c r="J4947" s="2" t="s">
        <v>22748</v>
      </c>
      <c r="K4947" s="2">
        <v>1.8331651000000001E-2</v>
      </c>
      <c r="L4947" s="2" t="s">
        <v>1178</v>
      </c>
      <c r="M4947" s="4" t="s">
        <v>22749</v>
      </c>
    </row>
    <row r="4948" spans="1:13">
      <c r="A4948" s="2">
        <v>3297</v>
      </c>
      <c r="B4948" s="2" t="s">
        <v>22750</v>
      </c>
      <c r="C4948" s="2">
        <v>7</v>
      </c>
      <c r="D4948" s="2">
        <v>556</v>
      </c>
      <c r="E4948" s="2">
        <v>136</v>
      </c>
      <c r="F4948" s="2">
        <v>32441</v>
      </c>
      <c r="G4948" s="2">
        <v>3.0031607070000002</v>
      </c>
      <c r="H4948" s="2">
        <v>1.0910243E-2</v>
      </c>
      <c r="I4948" s="2" t="s">
        <v>22751</v>
      </c>
      <c r="J4948" s="2" t="s">
        <v>22752</v>
      </c>
      <c r="K4948" s="2">
        <v>1.8997391999999998E-2</v>
      </c>
      <c r="L4948" s="2" t="s">
        <v>1178</v>
      </c>
      <c r="M4948" s="4" t="s">
        <v>22753</v>
      </c>
    </row>
    <row r="4949" spans="1:13">
      <c r="A4949" s="2">
        <v>42221</v>
      </c>
      <c r="B4949" s="2" t="s">
        <v>22754</v>
      </c>
      <c r="C4949" s="2">
        <v>8</v>
      </c>
      <c r="D4949" s="2">
        <v>556</v>
      </c>
      <c r="E4949" s="2">
        <v>171</v>
      </c>
      <c r="F4949" s="2">
        <v>32441</v>
      </c>
      <c r="G4949" s="2">
        <v>2.7296899319999999</v>
      </c>
      <c r="H4949" s="2">
        <v>1.1293367E-2</v>
      </c>
      <c r="I4949" s="2" t="s">
        <v>22755</v>
      </c>
      <c r="J4949" s="2" t="s">
        <v>22756</v>
      </c>
      <c r="K4949" s="2">
        <v>1.9657477999999999E-2</v>
      </c>
      <c r="L4949" s="2" t="s">
        <v>1178</v>
      </c>
      <c r="M4949" s="4" t="s">
        <v>22757</v>
      </c>
    </row>
    <row r="4950" spans="1:13">
      <c r="A4950" s="2">
        <v>2731</v>
      </c>
      <c r="B4950" s="2" t="s">
        <v>22758</v>
      </c>
      <c r="C4950" s="2">
        <v>7</v>
      </c>
      <c r="D4950" s="2">
        <v>556</v>
      </c>
      <c r="E4950" s="2">
        <v>137</v>
      </c>
      <c r="F4950" s="2">
        <v>32441</v>
      </c>
      <c r="G4950" s="2">
        <v>2.9812398259999999</v>
      </c>
      <c r="H4950" s="2">
        <v>1.1306517E-2</v>
      </c>
      <c r="I4950" s="2" t="s">
        <v>22759</v>
      </c>
      <c r="J4950" s="2" t="s">
        <v>22760</v>
      </c>
      <c r="K4950" s="2">
        <v>1.9666315E-2</v>
      </c>
      <c r="L4950" s="2" t="s">
        <v>1178</v>
      </c>
      <c r="M4950" s="4" t="s">
        <v>22761</v>
      </c>
    </row>
    <row r="4951" spans="1:13">
      <c r="A4951" s="2">
        <v>4264</v>
      </c>
      <c r="B4951" s="2" t="s">
        <v>22762</v>
      </c>
      <c r="C4951" s="2">
        <v>7</v>
      </c>
      <c r="D4951" s="2">
        <v>556</v>
      </c>
      <c r="E4951" s="2">
        <v>137</v>
      </c>
      <c r="F4951" s="2">
        <v>32441</v>
      </c>
      <c r="G4951" s="2">
        <v>2.9812398259999999</v>
      </c>
      <c r="H4951" s="2">
        <v>1.1306517E-2</v>
      </c>
      <c r="I4951" s="2" t="s">
        <v>22763</v>
      </c>
      <c r="J4951" s="2" t="s">
        <v>22764</v>
      </c>
      <c r="K4951" s="2">
        <v>1.9666315E-2</v>
      </c>
      <c r="L4951" s="2" t="s">
        <v>1178</v>
      </c>
      <c r="M4951" s="4" t="s">
        <v>22765</v>
      </c>
    </row>
    <row r="4952" spans="1:13">
      <c r="A4952" s="2">
        <v>40261</v>
      </c>
      <c r="B4952" s="2" t="s">
        <v>22766</v>
      </c>
      <c r="C4952" s="2">
        <v>7</v>
      </c>
      <c r="D4952" s="2">
        <v>556</v>
      </c>
      <c r="E4952" s="2">
        <v>138</v>
      </c>
      <c r="F4952" s="2">
        <v>32441</v>
      </c>
      <c r="G4952" s="2">
        <v>2.9596366390000002</v>
      </c>
      <c r="H4952" s="2">
        <v>1.1713110000000001E-2</v>
      </c>
      <c r="I4952" s="2" t="s">
        <v>22767</v>
      </c>
      <c r="J4952" s="2" t="s">
        <v>22768</v>
      </c>
      <c r="K4952" s="2">
        <v>2.0366263999999999E-2</v>
      </c>
      <c r="L4952" s="2" t="s">
        <v>1178</v>
      </c>
      <c r="M4952" s="4" t="s">
        <v>22769</v>
      </c>
    </row>
    <row r="4953" spans="1:13">
      <c r="A4953" s="2">
        <v>28091</v>
      </c>
      <c r="B4953" s="2" t="s">
        <v>22770</v>
      </c>
      <c r="C4953" s="2">
        <v>7</v>
      </c>
      <c r="D4953" s="2">
        <v>556</v>
      </c>
      <c r="E4953" s="2">
        <v>139</v>
      </c>
      <c r="F4953" s="2">
        <v>32441</v>
      </c>
      <c r="G4953" s="2">
        <v>2.9383442890000002</v>
      </c>
      <c r="H4953" s="2">
        <v>1.2130166E-2</v>
      </c>
      <c r="I4953" s="2" t="s">
        <v>22771</v>
      </c>
      <c r="J4953" s="2" t="s">
        <v>22772</v>
      </c>
      <c r="K4953" s="2">
        <v>2.1083899E-2</v>
      </c>
      <c r="L4953" s="2" t="s">
        <v>1178</v>
      </c>
      <c r="M4953" s="4" t="s">
        <v>22773</v>
      </c>
    </row>
    <row r="4954" spans="1:13">
      <c r="A4954" s="2">
        <v>3651</v>
      </c>
      <c r="B4954" s="2" t="s">
        <v>22774</v>
      </c>
      <c r="C4954" s="2">
        <v>8</v>
      </c>
      <c r="D4954" s="2">
        <v>556</v>
      </c>
      <c r="E4954" s="2">
        <v>175</v>
      </c>
      <c r="F4954" s="2">
        <v>32441</v>
      </c>
      <c r="G4954" s="2">
        <v>2.6672970199999999</v>
      </c>
      <c r="H4954" s="2">
        <v>1.2770999E-2</v>
      </c>
      <c r="I4954" s="2" t="s">
        <v>22775</v>
      </c>
      <c r="J4954" s="2" t="s">
        <v>22776</v>
      </c>
      <c r="K4954" s="2">
        <v>2.2189838999999999E-2</v>
      </c>
      <c r="L4954" s="2" t="s">
        <v>1178</v>
      </c>
      <c r="M4954" s="4" t="s">
        <v>22777</v>
      </c>
    </row>
    <row r="4955" spans="1:13">
      <c r="A4955" s="2">
        <v>28051</v>
      </c>
      <c r="B4955" s="2" t="s">
        <v>22778</v>
      </c>
      <c r="C4955" s="2">
        <v>8</v>
      </c>
      <c r="D4955" s="2">
        <v>556</v>
      </c>
      <c r="E4955" s="2">
        <v>178</v>
      </c>
      <c r="F4955" s="2">
        <v>32441</v>
      </c>
      <c r="G4955" s="2">
        <v>2.6223425749999998</v>
      </c>
      <c r="H4955" s="2">
        <v>1.3968726000000001E-2</v>
      </c>
      <c r="I4955" s="2" t="s">
        <v>22779</v>
      </c>
      <c r="J4955" s="2" t="s">
        <v>22780</v>
      </c>
      <c r="K4955" s="2">
        <v>2.4262256999999999E-2</v>
      </c>
      <c r="L4955" s="2" t="s">
        <v>1178</v>
      </c>
      <c r="M4955" s="4" t="s">
        <v>22781</v>
      </c>
    </row>
    <row r="4956" spans="1:13">
      <c r="A4956" s="2">
        <v>2754</v>
      </c>
      <c r="B4956" s="2" t="s">
        <v>22782</v>
      </c>
      <c r="C4956" s="2">
        <v>6</v>
      </c>
      <c r="D4956" s="2">
        <v>556</v>
      </c>
      <c r="E4956" s="2">
        <v>112</v>
      </c>
      <c r="F4956" s="2">
        <v>32441</v>
      </c>
      <c r="G4956" s="2">
        <v>3.1257386949999999</v>
      </c>
      <c r="H4956" s="2">
        <v>1.5063882000000001E-2</v>
      </c>
      <c r="I4956" s="2" t="s">
        <v>22783</v>
      </c>
      <c r="J4956" s="2" t="s">
        <v>22784</v>
      </c>
      <c r="K4956" s="2">
        <v>2.6155108E-2</v>
      </c>
      <c r="L4956" s="2" t="s">
        <v>1178</v>
      </c>
      <c r="M4956" s="4" t="s">
        <v>22785</v>
      </c>
    </row>
    <row r="4957" spans="1:13">
      <c r="A4957" s="2">
        <v>2756</v>
      </c>
      <c r="B4957" s="2" t="s">
        <v>22786</v>
      </c>
      <c r="C4957" s="2">
        <v>7</v>
      </c>
      <c r="D4957" s="2">
        <v>556</v>
      </c>
      <c r="E4957" s="2">
        <v>147</v>
      </c>
      <c r="F4957" s="2">
        <v>32441</v>
      </c>
      <c r="G4957" s="2">
        <v>2.7784343950000001</v>
      </c>
      <c r="H4957" s="2">
        <v>1.5860175000000001E-2</v>
      </c>
      <c r="I4957" s="2" t="s">
        <v>22787</v>
      </c>
      <c r="J4957" s="2" t="s">
        <v>22788</v>
      </c>
      <c r="K4957" s="2">
        <v>2.7527884999999998E-2</v>
      </c>
      <c r="L4957" s="2" t="s">
        <v>1178</v>
      </c>
      <c r="M4957" s="4" t="s">
        <v>22789</v>
      </c>
    </row>
    <row r="4958" spans="1:13">
      <c r="A4958" s="2">
        <v>36121</v>
      </c>
      <c r="B4958" s="2" t="s">
        <v>22790</v>
      </c>
      <c r="C4958" s="2">
        <v>8</v>
      </c>
      <c r="D4958" s="2">
        <v>556</v>
      </c>
      <c r="E4958" s="2">
        <v>185</v>
      </c>
      <c r="F4958" s="2">
        <v>32441</v>
      </c>
      <c r="G4958" s="2">
        <v>2.5231188019999999</v>
      </c>
      <c r="H4958" s="2">
        <v>1.7078804E-2</v>
      </c>
      <c r="I4958" s="2" t="s">
        <v>22791</v>
      </c>
      <c r="J4958" s="2" t="s">
        <v>22792</v>
      </c>
      <c r="K4958" s="2">
        <v>2.9632454999999999E-2</v>
      </c>
      <c r="L4958" s="2" t="s">
        <v>1178</v>
      </c>
      <c r="M4958" s="4" t="s">
        <v>22793</v>
      </c>
    </row>
    <row r="4959" spans="1:13">
      <c r="A4959" s="2">
        <v>3463</v>
      </c>
      <c r="B4959" s="2" t="s">
        <v>22794</v>
      </c>
      <c r="C4959" s="2">
        <v>6</v>
      </c>
      <c r="D4959" s="2">
        <v>556</v>
      </c>
      <c r="E4959" s="2">
        <v>116</v>
      </c>
      <c r="F4959" s="2">
        <v>32441</v>
      </c>
      <c r="G4959" s="2">
        <v>3.0179546020000001</v>
      </c>
      <c r="H4959" s="2">
        <v>1.7482621E-2</v>
      </c>
      <c r="I4959" s="2" t="s">
        <v>22795</v>
      </c>
      <c r="J4959" s="2" t="s">
        <v>22796</v>
      </c>
      <c r="K4959" s="2">
        <v>3.0322297000000002E-2</v>
      </c>
      <c r="L4959" s="2" t="s">
        <v>1178</v>
      </c>
      <c r="M4959" s="4" t="s">
        <v>22797</v>
      </c>
    </row>
    <row r="4960" spans="1:13">
      <c r="A4960" s="2">
        <v>2664</v>
      </c>
      <c r="B4960" s="2" t="s">
        <v>22798</v>
      </c>
      <c r="C4960" s="2">
        <v>7</v>
      </c>
      <c r="D4960" s="2">
        <v>556</v>
      </c>
      <c r="E4960" s="2">
        <v>151</v>
      </c>
      <c r="F4960" s="2">
        <v>32441</v>
      </c>
      <c r="G4960" s="2">
        <v>2.7048334839999999</v>
      </c>
      <c r="H4960" s="2">
        <v>1.8001794000000002E-2</v>
      </c>
      <c r="I4960" s="2" t="s">
        <v>22799</v>
      </c>
      <c r="J4960" s="2" t="s">
        <v>22800</v>
      </c>
      <c r="K4960" s="2">
        <v>3.1211651E-2</v>
      </c>
      <c r="L4960" s="2" t="s">
        <v>1178</v>
      </c>
      <c r="M4960" s="4" t="s">
        <v>22801</v>
      </c>
    </row>
    <row r="4961" spans="1:13">
      <c r="A4961" s="2">
        <v>2105</v>
      </c>
      <c r="B4961" s="2" t="s">
        <v>22802</v>
      </c>
      <c r="C4961" s="2">
        <v>8</v>
      </c>
      <c r="D4961" s="2">
        <v>556</v>
      </c>
      <c r="E4961" s="2">
        <v>188</v>
      </c>
      <c r="F4961" s="2">
        <v>32441</v>
      </c>
      <c r="G4961" s="2">
        <v>2.4828562679999999</v>
      </c>
      <c r="H4961" s="2">
        <v>1.8553478000000002E-2</v>
      </c>
      <c r="I4961" s="2" t="s">
        <v>22803</v>
      </c>
      <c r="J4961" s="2" t="s">
        <v>22804</v>
      </c>
      <c r="K4961" s="2">
        <v>3.2156720999999999E-2</v>
      </c>
      <c r="L4961" s="2" t="s">
        <v>1178</v>
      </c>
      <c r="M4961" s="4" t="s">
        <v>22805</v>
      </c>
    </row>
    <row r="4962" spans="1:13">
      <c r="A4962" s="2">
        <v>2006</v>
      </c>
      <c r="B4962" s="2" t="s">
        <v>22806</v>
      </c>
      <c r="C4962" s="2">
        <v>7</v>
      </c>
      <c r="D4962" s="2">
        <v>556</v>
      </c>
      <c r="E4962" s="2">
        <v>154</v>
      </c>
      <c r="F4962" s="2">
        <v>32441</v>
      </c>
      <c r="G4962" s="2">
        <v>2.6521419229999998</v>
      </c>
      <c r="H4962" s="2">
        <v>1.9735945000000001E-2</v>
      </c>
      <c r="I4962" s="2" t="s">
        <v>22807</v>
      </c>
      <c r="J4962" s="2" t="s">
        <v>22808</v>
      </c>
      <c r="K4962" s="2">
        <v>3.4181843000000003E-2</v>
      </c>
      <c r="L4962" s="2" t="s">
        <v>1178</v>
      </c>
      <c r="M4962" s="4" t="s">
        <v>22809</v>
      </c>
    </row>
    <row r="4963" spans="1:13">
      <c r="A4963" s="2">
        <v>4864</v>
      </c>
      <c r="B4963" s="2" t="s">
        <v>22810</v>
      </c>
      <c r="C4963" s="2">
        <v>7</v>
      </c>
      <c r="D4963" s="2">
        <v>556</v>
      </c>
      <c r="E4963" s="2">
        <v>154</v>
      </c>
      <c r="F4963" s="2">
        <v>32441</v>
      </c>
      <c r="G4963" s="2">
        <v>2.6521419229999998</v>
      </c>
      <c r="H4963" s="2">
        <v>1.9735945000000001E-2</v>
      </c>
      <c r="I4963" s="2" t="s">
        <v>22811</v>
      </c>
      <c r="J4963" s="2" t="s">
        <v>22812</v>
      </c>
      <c r="K4963" s="2">
        <v>3.4181843000000003E-2</v>
      </c>
      <c r="L4963" s="2" t="s">
        <v>1178</v>
      </c>
      <c r="M4963" s="4" t="s">
        <v>22813</v>
      </c>
    </row>
    <row r="4964" spans="1:13">
      <c r="A4964" s="2">
        <v>20931</v>
      </c>
      <c r="B4964" s="2" t="s">
        <v>22814</v>
      </c>
      <c r="C4964" s="2">
        <v>8</v>
      </c>
      <c r="D4964" s="2">
        <v>556</v>
      </c>
      <c r="E4964" s="2">
        <v>191</v>
      </c>
      <c r="F4964" s="2">
        <v>32441</v>
      </c>
      <c r="G4964" s="2">
        <v>2.4438585260000001</v>
      </c>
      <c r="H4964" s="2">
        <v>2.0117079999999999E-2</v>
      </c>
      <c r="I4964" s="2" t="s">
        <v>22815</v>
      </c>
      <c r="J4964" s="2" t="s">
        <v>22816</v>
      </c>
      <c r="K4964" s="2">
        <v>3.4829572000000003E-2</v>
      </c>
      <c r="L4964" s="2" t="s">
        <v>1178</v>
      </c>
      <c r="M4964" s="4" t="s">
        <v>22817</v>
      </c>
    </row>
    <row r="4965" spans="1:13">
      <c r="A4965" s="2">
        <v>2095</v>
      </c>
      <c r="B4965" s="2" t="s">
        <v>22818</v>
      </c>
      <c r="C4965" s="2">
        <v>8</v>
      </c>
      <c r="D4965" s="2">
        <v>556</v>
      </c>
      <c r="E4965" s="2">
        <v>193</v>
      </c>
      <c r="F4965" s="2">
        <v>32441</v>
      </c>
      <c r="G4965" s="2">
        <v>2.4185335669999999</v>
      </c>
      <c r="H4965" s="2">
        <v>2.1210164E-2</v>
      </c>
      <c r="I4965" s="2" t="s">
        <v>22819</v>
      </c>
      <c r="J4965" s="2" t="s">
        <v>22820</v>
      </c>
      <c r="K4965" s="2">
        <v>3.6669950999999999E-2</v>
      </c>
      <c r="L4965" s="2" t="s">
        <v>1178</v>
      </c>
      <c r="M4965" s="4" t="s">
        <v>22821</v>
      </c>
    </row>
    <row r="4966" spans="1:13">
      <c r="A4966" s="2">
        <v>2296</v>
      </c>
      <c r="B4966" s="2" t="s">
        <v>2550</v>
      </c>
      <c r="C4966" s="2">
        <v>8</v>
      </c>
      <c r="D4966" s="2">
        <v>556</v>
      </c>
      <c r="E4966" s="2">
        <v>193</v>
      </c>
      <c r="F4966" s="2">
        <v>32441</v>
      </c>
      <c r="G4966" s="2">
        <v>2.4185335669999999</v>
      </c>
      <c r="H4966" s="2">
        <v>2.1210164E-2</v>
      </c>
      <c r="I4966" s="2" t="s">
        <v>22822</v>
      </c>
      <c r="J4966" s="2" t="s">
        <v>22823</v>
      </c>
      <c r="K4966" s="2">
        <v>3.6669950999999999E-2</v>
      </c>
      <c r="L4966" s="2" t="s">
        <v>1178</v>
      </c>
      <c r="M4966" s="4" t="s">
        <v>22824</v>
      </c>
    </row>
    <row r="4967" spans="1:13">
      <c r="A4967" s="2">
        <v>3121</v>
      </c>
      <c r="B4967" s="2" t="s">
        <v>22825</v>
      </c>
      <c r="C4967" s="2">
        <v>8</v>
      </c>
      <c r="D4967" s="2">
        <v>556</v>
      </c>
      <c r="E4967" s="2">
        <v>193</v>
      </c>
      <c r="F4967" s="2">
        <v>32441</v>
      </c>
      <c r="G4967" s="2">
        <v>2.4185335669999999</v>
      </c>
      <c r="H4967" s="2">
        <v>2.1210164E-2</v>
      </c>
      <c r="I4967" s="2" t="s">
        <v>22826</v>
      </c>
      <c r="J4967" s="2" t="s">
        <v>22827</v>
      </c>
      <c r="K4967" s="2">
        <v>3.6669950999999999E-2</v>
      </c>
      <c r="L4967" s="2" t="s">
        <v>1178</v>
      </c>
      <c r="M4967" s="4" t="s">
        <v>22828</v>
      </c>
    </row>
    <row r="4968" spans="1:13">
      <c r="A4968" s="2">
        <v>4852</v>
      </c>
      <c r="B4968" s="2" t="s">
        <v>22829</v>
      </c>
      <c r="C4968" s="2">
        <v>8</v>
      </c>
      <c r="D4968" s="2">
        <v>556</v>
      </c>
      <c r="E4968" s="2">
        <v>193</v>
      </c>
      <c r="F4968" s="2">
        <v>32441</v>
      </c>
      <c r="G4968" s="2">
        <v>2.4185335669999999</v>
      </c>
      <c r="H4968" s="2">
        <v>2.1210164E-2</v>
      </c>
      <c r="I4968" s="2" t="s">
        <v>22830</v>
      </c>
      <c r="J4968" s="2" t="s">
        <v>22831</v>
      </c>
      <c r="K4968" s="2">
        <v>3.6669950999999999E-2</v>
      </c>
      <c r="L4968" s="2" t="s">
        <v>1178</v>
      </c>
      <c r="M4968" s="4" t="s">
        <v>22832</v>
      </c>
    </row>
    <row r="4969" spans="1:13">
      <c r="A4969" s="2">
        <v>3209</v>
      </c>
      <c r="B4969" s="2" t="s">
        <v>22833</v>
      </c>
      <c r="C4969" s="2">
        <v>8</v>
      </c>
      <c r="D4969" s="2">
        <v>556</v>
      </c>
      <c r="E4969" s="2">
        <v>194</v>
      </c>
      <c r="F4969" s="2">
        <v>32441</v>
      </c>
      <c r="G4969" s="2">
        <v>2.4060668989999998</v>
      </c>
      <c r="H4969" s="2">
        <v>2.1772192999999999E-2</v>
      </c>
      <c r="I4969" s="2" t="s">
        <v>22834</v>
      </c>
      <c r="J4969" s="2" t="s">
        <v>22835</v>
      </c>
      <c r="K4969" s="2">
        <v>3.7601602999999997E-2</v>
      </c>
      <c r="L4969" s="2" t="s">
        <v>1178</v>
      </c>
      <c r="M4969" s="4" t="s">
        <v>22836</v>
      </c>
    </row>
    <row r="4970" spans="1:13">
      <c r="A4970" s="2">
        <v>36862</v>
      </c>
      <c r="B4970" s="2" t="s">
        <v>22837</v>
      </c>
      <c r="C4970" s="2">
        <v>8</v>
      </c>
      <c r="D4970" s="2">
        <v>556</v>
      </c>
      <c r="E4970" s="2">
        <v>194</v>
      </c>
      <c r="F4970" s="2">
        <v>32441</v>
      </c>
      <c r="G4970" s="2">
        <v>2.4060668989999998</v>
      </c>
      <c r="H4970" s="2">
        <v>2.1772192999999999E-2</v>
      </c>
      <c r="I4970" s="2" t="s">
        <v>22838</v>
      </c>
      <c r="J4970" s="2" t="s">
        <v>22839</v>
      </c>
      <c r="K4970" s="2">
        <v>3.7601602999999997E-2</v>
      </c>
      <c r="L4970" s="2" t="s">
        <v>1178</v>
      </c>
      <c r="M4970" s="4" t="s">
        <v>22840</v>
      </c>
    </row>
    <row r="4971" spans="1:13">
      <c r="A4971" s="2">
        <v>4455</v>
      </c>
      <c r="B4971" s="2" t="s">
        <v>22841</v>
      </c>
      <c r="C4971" s="2">
        <v>8</v>
      </c>
      <c r="D4971" s="2">
        <v>556</v>
      </c>
      <c r="E4971" s="2">
        <v>194</v>
      </c>
      <c r="F4971" s="2">
        <v>32441</v>
      </c>
      <c r="G4971" s="2">
        <v>2.4060668989999998</v>
      </c>
      <c r="H4971" s="2">
        <v>2.1772192999999999E-2</v>
      </c>
      <c r="I4971" s="2" t="s">
        <v>22842</v>
      </c>
      <c r="J4971" s="2" t="s">
        <v>22843</v>
      </c>
      <c r="K4971" s="2">
        <v>3.7601602999999997E-2</v>
      </c>
      <c r="L4971" s="2" t="s">
        <v>1178</v>
      </c>
      <c r="M4971" s="4" t="s">
        <v>22844</v>
      </c>
    </row>
    <row r="4972" spans="1:13">
      <c r="A4972" s="2">
        <v>2001</v>
      </c>
      <c r="B4972" s="2" t="s">
        <v>22845</v>
      </c>
      <c r="C4972" s="2">
        <v>6</v>
      </c>
      <c r="D4972" s="2">
        <v>556</v>
      </c>
      <c r="E4972" s="2">
        <v>123</v>
      </c>
      <c r="F4972" s="2">
        <v>32441</v>
      </c>
      <c r="G4972" s="2">
        <v>2.8462010879999999</v>
      </c>
      <c r="H4972" s="2">
        <v>2.2333265000000001E-2</v>
      </c>
      <c r="I4972" s="2" t="s">
        <v>22846</v>
      </c>
      <c r="J4972" s="2" t="s">
        <v>22847</v>
      </c>
      <c r="K4972" s="2">
        <v>3.8543276000000001E-2</v>
      </c>
      <c r="L4972" s="2" t="s">
        <v>1178</v>
      </c>
      <c r="M4972" s="4" t="s">
        <v>22848</v>
      </c>
    </row>
    <row r="4973" spans="1:13">
      <c r="A4973" s="2">
        <v>36151</v>
      </c>
      <c r="B4973" s="2" t="s">
        <v>22849</v>
      </c>
      <c r="C4973" s="2">
        <v>6</v>
      </c>
      <c r="D4973" s="2">
        <v>556</v>
      </c>
      <c r="E4973" s="2">
        <v>123</v>
      </c>
      <c r="F4973" s="2">
        <v>32441</v>
      </c>
      <c r="G4973" s="2">
        <v>2.8462010879999999</v>
      </c>
      <c r="H4973" s="2">
        <v>2.2333265000000001E-2</v>
      </c>
      <c r="I4973" s="2" t="s">
        <v>22850</v>
      </c>
      <c r="J4973" s="2" t="s">
        <v>22851</v>
      </c>
      <c r="K4973" s="2">
        <v>3.8543276000000001E-2</v>
      </c>
      <c r="L4973" s="2" t="s">
        <v>1178</v>
      </c>
      <c r="M4973" s="4" t="s">
        <v>22852</v>
      </c>
    </row>
    <row r="4974" spans="1:13">
      <c r="A4974" s="2">
        <v>4836</v>
      </c>
      <c r="B4974" s="2" t="s">
        <v>22853</v>
      </c>
      <c r="C4974" s="2">
        <v>8</v>
      </c>
      <c r="D4974" s="2">
        <v>556</v>
      </c>
      <c r="E4974" s="2">
        <v>195</v>
      </c>
      <c r="F4974" s="2">
        <v>32441</v>
      </c>
      <c r="G4974" s="2">
        <v>2.3937280940000001</v>
      </c>
      <c r="H4974" s="2">
        <v>2.2344668000000002E-2</v>
      </c>
      <c r="I4974" s="2" t="s">
        <v>22854</v>
      </c>
      <c r="J4974" s="2" t="s">
        <v>22855</v>
      </c>
      <c r="K4974" s="2">
        <v>3.8549299000000002E-2</v>
      </c>
      <c r="L4974" s="2" t="s">
        <v>1178</v>
      </c>
      <c r="M4974" s="4" t="s">
        <v>22856</v>
      </c>
    </row>
    <row r="4975" spans="1:13">
      <c r="A4975" s="2">
        <v>124</v>
      </c>
      <c r="B4975" s="2" t="s">
        <v>1455</v>
      </c>
      <c r="C4975" s="2">
        <v>8</v>
      </c>
      <c r="D4975" s="2">
        <v>556</v>
      </c>
      <c r="E4975" s="2">
        <v>200</v>
      </c>
      <c r="F4975" s="2">
        <v>32441</v>
      </c>
      <c r="G4975" s="2">
        <v>2.3338848919999999</v>
      </c>
      <c r="H4975" s="2">
        <v>2.5366886000000002E-2</v>
      </c>
      <c r="I4975" s="2" t="s">
        <v>22857</v>
      </c>
      <c r="J4975" s="2" t="s">
        <v>22858</v>
      </c>
      <c r="K4975" s="2">
        <v>3.9271517999999998E-2</v>
      </c>
      <c r="L4975" s="2" t="s">
        <v>1178</v>
      </c>
      <c r="M4975" s="4" t="s">
        <v>22859</v>
      </c>
    </row>
    <row r="4976" spans="1:13">
      <c r="A4976" s="2">
        <v>341</v>
      </c>
      <c r="B4976" s="2" t="s">
        <v>22860</v>
      </c>
      <c r="C4976" s="2">
        <v>8</v>
      </c>
      <c r="D4976" s="2">
        <v>556</v>
      </c>
      <c r="E4976" s="2">
        <v>199</v>
      </c>
      <c r="F4976" s="2">
        <v>32441</v>
      </c>
      <c r="G4976" s="2">
        <v>2.3456129570000002</v>
      </c>
      <c r="H4976" s="2">
        <v>2.4740835999999999E-2</v>
      </c>
      <c r="I4976" s="2" t="s">
        <v>22861</v>
      </c>
      <c r="J4976" s="2" t="s">
        <v>22862</v>
      </c>
      <c r="K4976" s="2">
        <v>3.9271517999999998E-2</v>
      </c>
      <c r="L4976" s="2" t="s">
        <v>1178</v>
      </c>
      <c r="M4976" s="4" t="s">
        <v>22863</v>
      </c>
    </row>
    <row r="4977" spans="1:13">
      <c r="A4977" s="2">
        <v>904</v>
      </c>
      <c r="B4977" s="2" t="s">
        <v>22864</v>
      </c>
      <c r="C4977" s="2">
        <v>8</v>
      </c>
      <c r="D4977" s="2">
        <v>556</v>
      </c>
      <c r="E4977" s="2">
        <v>200</v>
      </c>
      <c r="F4977" s="2">
        <v>32441</v>
      </c>
      <c r="G4977" s="2">
        <v>2.3338848919999999</v>
      </c>
      <c r="H4977" s="2">
        <v>2.5366886000000002E-2</v>
      </c>
      <c r="I4977" s="2" t="s">
        <v>22865</v>
      </c>
      <c r="J4977" s="2" t="s">
        <v>22866</v>
      </c>
      <c r="K4977" s="2">
        <v>3.9271517999999998E-2</v>
      </c>
      <c r="L4977" s="2" t="s">
        <v>1178</v>
      </c>
      <c r="M4977" s="4" t="s">
        <v>22867</v>
      </c>
    </row>
    <row r="4978" spans="1:13">
      <c r="A4978" s="2">
        <v>1042</v>
      </c>
      <c r="B4978" s="2" t="s">
        <v>22868</v>
      </c>
      <c r="C4978" s="2">
        <v>8</v>
      </c>
      <c r="D4978" s="2">
        <v>556</v>
      </c>
      <c r="E4978" s="2">
        <v>200</v>
      </c>
      <c r="F4978" s="2">
        <v>32441</v>
      </c>
      <c r="G4978" s="2">
        <v>2.3338848919999999</v>
      </c>
      <c r="H4978" s="2">
        <v>2.5366886000000002E-2</v>
      </c>
      <c r="I4978" s="2" t="s">
        <v>22869</v>
      </c>
      <c r="J4978" s="2" t="s">
        <v>22870</v>
      </c>
      <c r="K4978" s="2">
        <v>3.9271517999999998E-2</v>
      </c>
      <c r="L4978" s="2" t="s">
        <v>1178</v>
      </c>
      <c r="M4978" s="4" t="s">
        <v>22871</v>
      </c>
    </row>
    <row r="4979" spans="1:13">
      <c r="A4979" s="2">
        <v>1112</v>
      </c>
      <c r="B4979" s="2" t="s">
        <v>22872</v>
      </c>
      <c r="C4979" s="2">
        <v>8</v>
      </c>
      <c r="D4979" s="2">
        <v>556</v>
      </c>
      <c r="E4979" s="2">
        <v>200</v>
      </c>
      <c r="F4979" s="2">
        <v>32441</v>
      </c>
      <c r="G4979" s="2">
        <v>2.3338848919999999</v>
      </c>
      <c r="H4979" s="2">
        <v>2.5366886000000002E-2</v>
      </c>
      <c r="I4979" s="2" t="s">
        <v>22873</v>
      </c>
      <c r="J4979" s="2" t="s">
        <v>22874</v>
      </c>
      <c r="K4979" s="2">
        <v>3.9271517999999998E-2</v>
      </c>
      <c r="L4979" s="2" t="s">
        <v>1178</v>
      </c>
      <c r="M4979" s="4" t="s">
        <v>22875</v>
      </c>
    </row>
    <row r="4980" spans="1:13">
      <c r="A4980" s="2">
        <v>1293</v>
      </c>
      <c r="B4980" s="2" t="s">
        <v>22876</v>
      </c>
      <c r="C4980" s="2">
        <v>8</v>
      </c>
      <c r="D4980" s="2">
        <v>556</v>
      </c>
      <c r="E4980" s="2">
        <v>200</v>
      </c>
      <c r="F4980" s="2">
        <v>32441</v>
      </c>
      <c r="G4980" s="2">
        <v>2.3338848919999999</v>
      </c>
      <c r="H4980" s="2">
        <v>2.5366886000000002E-2</v>
      </c>
      <c r="I4980" s="2" t="s">
        <v>22877</v>
      </c>
      <c r="J4980" s="2" t="s">
        <v>22878</v>
      </c>
      <c r="K4980" s="2">
        <v>3.9271517999999998E-2</v>
      </c>
      <c r="L4980" s="2" t="s">
        <v>1178</v>
      </c>
      <c r="M4980" s="4" t="s">
        <v>22879</v>
      </c>
    </row>
    <row r="4981" spans="1:13">
      <c r="A4981" s="2">
        <v>146</v>
      </c>
      <c r="B4981" s="2" t="s">
        <v>22880</v>
      </c>
      <c r="C4981" s="2">
        <v>8</v>
      </c>
      <c r="D4981" s="2">
        <v>556</v>
      </c>
      <c r="E4981" s="2">
        <v>200</v>
      </c>
      <c r="F4981" s="2">
        <v>32441</v>
      </c>
      <c r="G4981" s="2">
        <v>2.3338848919999999</v>
      </c>
      <c r="H4981" s="2">
        <v>2.5366886000000002E-2</v>
      </c>
      <c r="I4981" s="2" t="s">
        <v>22881</v>
      </c>
      <c r="J4981" s="2" t="s">
        <v>22882</v>
      </c>
      <c r="K4981" s="2">
        <v>3.9271517999999998E-2</v>
      </c>
      <c r="L4981" s="2" t="s">
        <v>1178</v>
      </c>
      <c r="M4981" s="4" t="s">
        <v>22883</v>
      </c>
    </row>
    <row r="4982" spans="1:13">
      <c r="A4982" s="2">
        <v>15410</v>
      </c>
      <c r="B4982" s="2" t="s">
        <v>22884</v>
      </c>
      <c r="C4982" s="2">
        <v>8</v>
      </c>
      <c r="D4982" s="2">
        <v>556</v>
      </c>
      <c r="E4982" s="2">
        <v>200</v>
      </c>
      <c r="F4982" s="2">
        <v>32441</v>
      </c>
      <c r="G4982" s="2">
        <v>2.3338848919999999</v>
      </c>
      <c r="H4982" s="2">
        <v>2.5366886000000002E-2</v>
      </c>
      <c r="I4982" s="2" t="s">
        <v>22885</v>
      </c>
      <c r="J4982" s="2" t="s">
        <v>22886</v>
      </c>
      <c r="K4982" s="2">
        <v>3.9271517999999998E-2</v>
      </c>
      <c r="L4982" s="2" t="s">
        <v>1178</v>
      </c>
      <c r="M4982" s="4" t="s">
        <v>22887</v>
      </c>
    </row>
    <row r="4983" spans="1:13">
      <c r="A4983" s="2">
        <v>1566</v>
      </c>
      <c r="B4983" s="2" t="s">
        <v>22888</v>
      </c>
      <c r="C4983" s="2">
        <v>8</v>
      </c>
      <c r="D4983" s="2">
        <v>556</v>
      </c>
      <c r="E4983" s="2">
        <v>200</v>
      </c>
      <c r="F4983" s="2">
        <v>32441</v>
      </c>
      <c r="G4983" s="2">
        <v>2.3338848919999999</v>
      </c>
      <c r="H4983" s="2">
        <v>2.5366886000000002E-2</v>
      </c>
      <c r="I4983" s="2" t="s">
        <v>22889</v>
      </c>
      <c r="J4983" s="2" t="s">
        <v>22890</v>
      </c>
      <c r="K4983" s="2">
        <v>3.9271517999999998E-2</v>
      </c>
      <c r="L4983" s="2" t="s">
        <v>1178</v>
      </c>
      <c r="M4983" s="4" t="s">
        <v>22891</v>
      </c>
    </row>
    <row r="4984" spans="1:13">
      <c r="A4984" s="2">
        <v>1774</v>
      </c>
      <c r="B4984" s="2" t="s">
        <v>22892</v>
      </c>
      <c r="C4984" s="2">
        <v>8</v>
      </c>
      <c r="D4984" s="2">
        <v>556</v>
      </c>
      <c r="E4984" s="2">
        <v>200</v>
      </c>
      <c r="F4984" s="2">
        <v>32441</v>
      </c>
      <c r="G4984" s="2">
        <v>2.3338848919999999</v>
      </c>
      <c r="H4984" s="2">
        <v>2.5366886000000002E-2</v>
      </c>
      <c r="I4984" s="2" t="s">
        <v>22893</v>
      </c>
      <c r="J4984" s="2" t="s">
        <v>22894</v>
      </c>
      <c r="K4984" s="2">
        <v>3.9271517999999998E-2</v>
      </c>
      <c r="L4984" s="2" t="s">
        <v>1178</v>
      </c>
      <c r="M4984" s="4" t="s">
        <v>22895</v>
      </c>
    </row>
    <row r="4985" spans="1:13">
      <c r="A4985" s="2">
        <v>1792</v>
      </c>
      <c r="B4985" s="2" t="s">
        <v>1650</v>
      </c>
      <c r="C4985" s="2">
        <v>8</v>
      </c>
      <c r="D4985" s="2">
        <v>556</v>
      </c>
      <c r="E4985" s="2">
        <v>200</v>
      </c>
      <c r="F4985" s="2">
        <v>32441</v>
      </c>
      <c r="G4985" s="2">
        <v>2.3338848919999999</v>
      </c>
      <c r="H4985" s="2">
        <v>2.5366886000000002E-2</v>
      </c>
      <c r="I4985" s="2" t="s">
        <v>22896</v>
      </c>
      <c r="J4985" s="2" t="s">
        <v>22897</v>
      </c>
      <c r="K4985" s="2">
        <v>3.9271517999999998E-2</v>
      </c>
      <c r="L4985" s="2" t="s">
        <v>1178</v>
      </c>
      <c r="M4985" s="4" t="s">
        <v>22898</v>
      </c>
    </row>
    <row r="4986" spans="1:13">
      <c r="A4986" s="2">
        <v>211</v>
      </c>
      <c r="B4986" s="2" t="s">
        <v>3321</v>
      </c>
      <c r="C4986" s="2">
        <v>8</v>
      </c>
      <c r="D4986" s="2">
        <v>556</v>
      </c>
      <c r="E4986" s="2">
        <v>200</v>
      </c>
      <c r="F4986" s="2">
        <v>32441</v>
      </c>
      <c r="G4986" s="2">
        <v>2.3338848919999999</v>
      </c>
      <c r="H4986" s="2">
        <v>2.5366886000000002E-2</v>
      </c>
      <c r="I4986" s="2" t="s">
        <v>22899</v>
      </c>
      <c r="J4986" s="2" t="s">
        <v>22900</v>
      </c>
      <c r="K4986" s="2">
        <v>3.9271517999999998E-2</v>
      </c>
      <c r="L4986" s="2" t="s">
        <v>1178</v>
      </c>
      <c r="M4986" s="4" t="s">
        <v>3324</v>
      </c>
    </row>
    <row r="4987" spans="1:13">
      <c r="A4987" s="2">
        <v>212</v>
      </c>
      <c r="B4987" s="2" t="s">
        <v>22901</v>
      </c>
      <c r="C4987" s="2">
        <v>8</v>
      </c>
      <c r="D4987" s="2">
        <v>556</v>
      </c>
      <c r="E4987" s="2">
        <v>200</v>
      </c>
      <c r="F4987" s="2">
        <v>32441</v>
      </c>
      <c r="G4987" s="2">
        <v>2.3338848919999999</v>
      </c>
      <c r="H4987" s="2">
        <v>2.5366886000000002E-2</v>
      </c>
      <c r="I4987" s="2" t="s">
        <v>22902</v>
      </c>
      <c r="J4987" s="2" t="s">
        <v>22903</v>
      </c>
      <c r="K4987" s="2">
        <v>3.9271517999999998E-2</v>
      </c>
      <c r="L4987" s="2" t="s">
        <v>1178</v>
      </c>
      <c r="M4987" s="4" t="s">
        <v>22904</v>
      </c>
    </row>
    <row r="4988" spans="1:13">
      <c r="A4988" s="2">
        <v>216</v>
      </c>
      <c r="B4988" s="2" t="s">
        <v>22905</v>
      </c>
      <c r="C4988" s="2">
        <v>8</v>
      </c>
      <c r="D4988" s="2">
        <v>556</v>
      </c>
      <c r="E4988" s="2">
        <v>200</v>
      </c>
      <c r="F4988" s="2">
        <v>32441</v>
      </c>
      <c r="G4988" s="2">
        <v>2.3338848919999999</v>
      </c>
      <c r="H4988" s="2">
        <v>2.5366886000000002E-2</v>
      </c>
      <c r="I4988" s="2" t="s">
        <v>22906</v>
      </c>
      <c r="J4988" s="2" t="s">
        <v>22907</v>
      </c>
      <c r="K4988" s="2">
        <v>3.9271517999999998E-2</v>
      </c>
      <c r="L4988" s="2" t="s">
        <v>1178</v>
      </c>
      <c r="M4988" s="4" t="s">
        <v>22908</v>
      </c>
    </row>
    <row r="4989" spans="1:13">
      <c r="A4989" s="2">
        <v>247</v>
      </c>
      <c r="B4989" s="2" t="s">
        <v>22909</v>
      </c>
      <c r="C4989" s="2">
        <v>8</v>
      </c>
      <c r="D4989" s="2">
        <v>556</v>
      </c>
      <c r="E4989" s="2">
        <v>200</v>
      </c>
      <c r="F4989" s="2">
        <v>32441</v>
      </c>
      <c r="G4989" s="2">
        <v>2.3338848919999999</v>
      </c>
      <c r="H4989" s="2">
        <v>2.5366886000000002E-2</v>
      </c>
      <c r="I4989" s="2" t="s">
        <v>22910</v>
      </c>
      <c r="J4989" s="2" t="s">
        <v>22911</v>
      </c>
      <c r="K4989" s="2">
        <v>3.9271517999999998E-2</v>
      </c>
      <c r="L4989" s="2" t="s">
        <v>1178</v>
      </c>
      <c r="M4989" s="4" t="s">
        <v>22912</v>
      </c>
    </row>
    <row r="4990" spans="1:13">
      <c r="A4990" s="2">
        <v>256</v>
      </c>
      <c r="B4990" s="2" t="s">
        <v>22913</v>
      </c>
      <c r="C4990" s="2">
        <v>8</v>
      </c>
      <c r="D4990" s="2">
        <v>556</v>
      </c>
      <c r="E4990" s="2">
        <v>200</v>
      </c>
      <c r="F4990" s="2">
        <v>32441</v>
      </c>
      <c r="G4990" s="2">
        <v>2.3338848919999999</v>
      </c>
      <c r="H4990" s="2">
        <v>2.5366886000000002E-2</v>
      </c>
      <c r="I4990" s="2" t="s">
        <v>22914</v>
      </c>
      <c r="J4990" s="2" t="s">
        <v>22915</v>
      </c>
      <c r="K4990" s="2">
        <v>3.9271517999999998E-2</v>
      </c>
      <c r="L4990" s="2" t="s">
        <v>1178</v>
      </c>
      <c r="M4990" s="4" t="s">
        <v>22916</v>
      </c>
    </row>
    <row r="4991" spans="1:13">
      <c r="A4991" s="2">
        <v>2662</v>
      </c>
      <c r="B4991" s="2" t="s">
        <v>22917</v>
      </c>
      <c r="C4991" s="2">
        <v>8</v>
      </c>
      <c r="D4991" s="2">
        <v>556</v>
      </c>
      <c r="E4991" s="2">
        <v>200</v>
      </c>
      <c r="F4991" s="2">
        <v>32441</v>
      </c>
      <c r="G4991" s="2">
        <v>2.3338848919999999</v>
      </c>
      <c r="H4991" s="2">
        <v>2.5366886000000002E-2</v>
      </c>
      <c r="I4991" s="2" t="s">
        <v>22918</v>
      </c>
      <c r="J4991" s="2" t="s">
        <v>22919</v>
      </c>
      <c r="K4991" s="2">
        <v>3.9271517999999998E-2</v>
      </c>
      <c r="L4991" s="2" t="s">
        <v>1178</v>
      </c>
      <c r="M4991" s="4" t="s">
        <v>22920</v>
      </c>
    </row>
    <row r="4992" spans="1:13">
      <c r="A4992" s="2">
        <v>2795</v>
      </c>
      <c r="B4992" s="2" t="s">
        <v>22921</v>
      </c>
      <c r="C4992" s="2">
        <v>8</v>
      </c>
      <c r="D4992" s="2">
        <v>556</v>
      </c>
      <c r="E4992" s="2">
        <v>200</v>
      </c>
      <c r="F4992" s="2">
        <v>32441</v>
      </c>
      <c r="G4992" s="2">
        <v>2.3338848919999999</v>
      </c>
      <c r="H4992" s="2">
        <v>2.5366886000000002E-2</v>
      </c>
      <c r="I4992" s="2" t="s">
        <v>22922</v>
      </c>
      <c r="J4992" s="2" t="s">
        <v>22923</v>
      </c>
      <c r="K4992" s="2">
        <v>3.9271517999999998E-2</v>
      </c>
      <c r="L4992" s="2" t="s">
        <v>1178</v>
      </c>
      <c r="M4992" s="4" t="s">
        <v>22924</v>
      </c>
    </row>
    <row r="4993" spans="1:13">
      <c r="A4993" s="2">
        <v>289</v>
      </c>
      <c r="B4993" s="2" t="s">
        <v>22925</v>
      </c>
      <c r="C4993" s="2">
        <v>8</v>
      </c>
      <c r="D4993" s="2">
        <v>556</v>
      </c>
      <c r="E4993" s="2">
        <v>200</v>
      </c>
      <c r="F4993" s="2">
        <v>32441</v>
      </c>
      <c r="G4993" s="2">
        <v>2.3338848919999999</v>
      </c>
      <c r="H4993" s="2">
        <v>2.5366886000000002E-2</v>
      </c>
      <c r="I4993" s="2" t="s">
        <v>22926</v>
      </c>
      <c r="J4993" s="2" t="s">
        <v>22927</v>
      </c>
      <c r="K4993" s="2">
        <v>3.9271517999999998E-2</v>
      </c>
      <c r="L4993" s="2" t="s">
        <v>1178</v>
      </c>
      <c r="M4993" s="4" t="s">
        <v>22928</v>
      </c>
    </row>
    <row r="4994" spans="1:13">
      <c r="A4994" s="2">
        <v>3143</v>
      </c>
      <c r="B4994" s="2" t="s">
        <v>1233</v>
      </c>
      <c r="C4994" s="2">
        <v>8</v>
      </c>
      <c r="D4994" s="2">
        <v>556</v>
      </c>
      <c r="E4994" s="2">
        <v>200</v>
      </c>
      <c r="F4994" s="2">
        <v>32441</v>
      </c>
      <c r="G4994" s="2">
        <v>2.3338848919999999</v>
      </c>
      <c r="H4994" s="2">
        <v>2.5366886000000002E-2</v>
      </c>
      <c r="I4994" s="2" t="s">
        <v>22929</v>
      </c>
      <c r="J4994" s="2" t="s">
        <v>22930</v>
      </c>
      <c r="K4994" s="2">
        <v>3.9271517999999998E-2</v>
      </c>
      <c r="L4994" s="2" t="s">
        <v>1178</v>
      </c>
      <c r="M4994" s="4" t="s">
        <v>22931</v>
      </c>
    </row>
    <row r="4995" spans="1:13">
      <c r="A4995" s="2">
        <v>347</v>
      </c>
      <c r="B4995" s="2" t="s">
        <v>22932</v>
      </c>
      <c r="C4995" s="2">
        <v>8</v>
      </c>
      <c r="D4995" s="2">
        <v>556</v>
      </c>
      <c r="E4995" s="2">
        <v>200</v>
      </c>
      <c r="F4995" s="2">
        <v>32441</v>
      </c>
      <c r="G4995" s="2">
        <v>2.3338848919999999</v>
      </c>
      <c r="H4995" s="2">
        <v>2.5366886000000002E-2</v>
      </c>
      <c r="I4995" s="2" t="s">
        <v>22933</v>
      </c>
      <c r="J4995" s="2" t="s">
        <v>22934</v>
      </c>
      <c r="K4995" s="2">
        <v>3.9271517999999998E-2</v>
      </c>
      <c r="L4995" s="2" t="s">
        <v>1178</v>
      </c>
      <c r="M4995" s="4" t="s">
        <v>22935</v>
      </c>
    </row>
    <row r="4996" spans="1:13">
      <c r="A4996" s="2">
        <v>358</v>
      </c>
      <c r="B4996" s="2" t="s">
        <v>22936</v>
      </c>
      <c r="C4996" s="2">
        <v>8</v>
      </c>
      <c r="D4996" s="2">
        <v>556</v>
      </c>
      <c r="E4996" s="2">
        <v>200</v>
      </c>
      <c r="F4996" s="2">
        <v>32441</v>
      </c>
      <c r="G4996" s="2">
        <v>2.3338848919999999</v>
      </c>
      <c r="H4996" s="2">
        <v>2.5366886000000002E-2</v>
      </c>
      <c r="I4996" s="2" t="s">
        <v>22937</v>
      </c>
      <c r="J4996" s="2" t="s">
        <v>22938</v>
      </c>
      <c r="K4996" s="2">
        <v>3.9271517999999998E-2</v>
      </c>
      <c r="L4996" s="2" t="s">
        <v>1178</v>
      </c>
      <c r="M4996" s="4" t="s">
        <v>22939</v>
      </c>
    </row>
    <row r="4997" spans="1:13">
      <c r="A4997" s="2">
        <v>3632</v>
      </c>
      <c r="B4997" s="2" t="s">
        <v>22940</v>
      </c>
      <c r="C4997" s="2">
        <v>8</v>
      </c>
      <c r="D4997" s="2">
        <v>556</v>
      </c>
      <c r="E4997" s="2">
        <v>200</v>
      </c>
      <c r="F4997" s="2">
        <v>32441</v>
      </c>
      <c r="G4997" s="2">
        <v>2.3338848919999999</v>
      </c>
      <c r="H4997" s="2">
        <v>2.5366886000000002E-2</v>
      </c>
      <c r="I4997" s="2" t="s">
        <v>22941</v>
      </c>
      <c r="J4997" s="2" t="s">
        <v>22942</v>
      </c>
      <c r="K4997" s="2">
        <v>3.9271517999999998E-2</v>
      </c>
      <c r="L4997" s="2" t="s">
        <v>1178</v>
      </c>
      <c r="M4997" s="4" t="s">
        <v>22943</v>
      </c>
    </row>
    <row r="4998" spans="1:13">
      <c r="A4998" s="2">
        <v>37710</v>
      </c>
      <c r="B4998" s="2" t="s">
        <v>22944</v>
      </c>
      <c r="C4998" s="2">
        <v>8</v>
      </c>
      <c r="D4998" s="2">
        <v>556</v>
      </c>
      <c r="E4998" s="2">
        <v>200</v>
      </c>
      <c r="F4998" s="2">
        <v>32441</v>
      </c>
      <c r="G4998" s="2">
        <v>2.3338848919999999</v>
      </c>
      <c r="H4998" s="2">
        <v>2.5366886000000002E-2</v>
      </c>
      <c r="I4998" s="2" t="s">
        <v>22945</v>
      </c>
      <c r="J4998" s="2" t="s">
        <v>22946</v>
      </c>
      <c r="K4998" s="2">
        <v>3.9271517999999998E-2</v>
      </c>
      <c r="L4998" s="2" t="s">
        <v>1178</v>
      </c>
      <c r="M4998" s="4" t="s">
        <v>22947</v>
      </c>
    </row>
    <row r="4999" spans="1:13">
      <c r="A4999" s="2">
        <v>3782</v>
      </c>
      <c r="B4999" s="2" t="s">
        <v>22948</v>
      </c>
      <c r="C4999" s="2">
        <v>8</v>
      </c>
      <c r="D4999" s="2">
        <v>556</v>
      </c>
      <c r="E4999" s="2">
        <v>200</v>
      </c>
      <c r="F4999" s="2">
        <v>32441</v>
      </c>
      <c r="G4999" s="2">
        <v>2.3338848919999999</v>
      </c>
      <c r="H4999" s="2">
        <v>2.5366886000000002E-2</v>
      </c>
      <c r="I4999" s="2" t="s">
        <v>22949</v>
      </c>
      <c r="J4999" s="2" t="s">
        <v>22950</v>
      </c>
      <c r="K4999" s="2">
        <v>3.9271517999999998E-2</v>
      </c>
      <c r="L4999" s="2" t="s">
        <v>1178</v>
      </c>
      <c r="M4999" s="4" t="s">
        <v>22951</v>
      </c>
    </row>
    <row r="5000" spans="1:13">
      <c r="A5000" s="2">
        <v>386</v>
      </c>
      <c r="B5000" s="2" t="s">
        <v>22952</v>
      </c>
      <c r="C5000" s="2">
        <v>8</v>
      </c>
      <c r="D5000" s="2">
        <v>556</v>
      </c>
      <c r="E5000" s="2">
        <v>200</v>
      </c>
      <c r="F5000" s="2">
        <v>32441</v>
      </c>
      <c r="G5000" s="2">
        <v>2.3338848919999999</v>
      </c>
      <c r="H5000" s="2">
        <v>2.5366886000000002E-2</v>
      </c>
      <c r="I5000" s="2" t="s">
        <v>22953</v>
      </c>
      <c r="J5000" s="2" t="s">
        <v>22954</v>
      </c>
      <c r="K5000" s="2">
        <v>3.9271517999999998E-2</v>
      </c>
      <c r="L5000" s="2" t="s">
        <v>1178</v>
      </c>
      <c r="M5000" s="4" t="s">
        <v>22955</v>
      </c>
    </row>
    <row r="5001" spans="1:13">
      <c r="A5001" s="2">
        <v>39910</v>
      </c>
      <c r="B5001" s="2" t="s">
        <v>2028</v>
      </c>
      <c r="C5001" s="2">
        <v>8</v>
      </c>
      <c r="D5001" s="2">
        <v>556</v>
      </c>
      <c r="E5001" s="2">
        <v>200</v>
      </c>
      <c r="F5001" s="2">
        <v>32441</v>
      </c>
      <c r="G5001" s="2">
        <v>2.3338848919999999</v>
      </c>
      <c r="H5001" s="2">
        <v>2.5366886000000002E-2</v>
      </c>
      <c r="I5001" s="2" t="s">
        <v>22956</v>
      </c>
      <c r="J5001" s="2" t="s">
        <v>22957</v>
      </c>
      <c r="K5001" s="2">
        <v>3.9271517999999998E-2</v>
      </c>
      <c r="L5001" s="2" t="s">
        <v>1178</v>
      </c>
      <c r="M5001" s="4" t="s">
        <v>22958</v>
      </c>
    </row>
    <row r="5002" spans="1:13">
      <c r="A5002" s="2">
        <v>4052</v>
      </c>
      <c r="B5002" s="2" t="s">
        <v>22959</v>
      </c>
      <c r="C5002" s="2">
        <v>8</v>
      </c>
      <c r="D5002" s="2">
        <v>556</v>
      </c>
      <c r="E5002" s="2">
        <v>200</v>
      </c>
      <c r="F5002" s="2">
        <v>32441</v>
      </c>
      <c r="G5002" s="2">
        <v>2.3338848919999999</v>
      </c>
      <c r="H5002" s="2">
        <v>2.5366886000000002E-2</v>
      </c>
      <c r="I5002" s="2" t="s">
        <v>22960</v>
      </c>
      <c r="J5002" s="2" t="s">
        <v>22961</v>
      </c>
      <c r="K5002" s="2">
        <v>3.9271517999999998E-2</v>
      </c>
      <c r="L5002" s="2" t="s">
        <v>1178</v>
      </c>
      <c r="M5002" s="4" t="s">
        <v>22962</v>
      </c>
    </row>
    <row r="5003" spans="1:13">
      <c r="A5003" s="2">
        <v>4098</v>
      </c>
      <c r="B5003" s="2" t="s">
        <v>2337</v>
      </c>
      <c r="C5003" s="2">
        <v>8</v>
      </c>
      <c r="D5003" s="2">
        <v>556</v>
      </c>
      <c r="E5003" s="2">
        <v>200</v>
      </c>
      <c r="F5003" s="2">
        <v>32441</v>
      </c>
      <c r="G5003" s="2">
        <v>2.3338848919999999</v>
      </c>
      <c r="H5003" s="2">
        <v>2.5366886000000002E-2</v>
      </c>
      <c r="I5003" s="2" t="s">
        <v>22963</v>
      </c>
      <c r="J5003" s="2" t="s">
        <v>22964</v>
      </c>
      <c r="K5003" s="2">
        <v>3.9271517999999998E-2</v>
      </c>
      <c r="L5003" s="2" t="s">
        <v>1178</v>
      </c>
      <c r="M5003" s="4" t="s">
        <v>22965</v>
      </c>
    </row>
    <row r="5004" spans="1:13">
      <c r="A5004" s="2">
        <v>425</v>
      </c>
      <c r="B5004" s="2" t="s">
        <v>22966</v>
      </c>
      <c r="C5004" s="2">
        <v>8</v>
      </c>
      <c r="D5004" s="2">
        <v>556</v>
      </c>
      <c r="E5004" s="2">
        <v>200</v>
      </c>
      <c r="F5004" s="2">
        <v>32441</v>
      </c>
      <c r="G5004" s="2">
        <v>2.3338848919999999</v>
      </c>
      <c r="H5004" s="2">
        <v>2.5366886000000002E-2</v>
      </c>
      <c r="I5004" s="2" t="s">
        <v>22967</v>
      </c>
      <c r="J5004" s="2" t="s">
        <v>22968</v>
      </c>
      <c r="K5004" s="2">
        <v>3.9271517999999998E-2</v>
      </c>
      <c r="L5004" s="2" t="s">
        <v>1178</v>
      </c>
      <c r="M5004" s="4" t="s">
        <v>22969</v>
      </c>
    </row>
    <row r="5005" spans="1:13">
      <c r="A5005" s="2">
        <v>42710</v>
      </c>
      <c r="B5005" s="2" t="s">
        <v>22970</v>
      </c>
      <c r="C5005" s="2">
        <v>8</v>
      </c>
      <c r="D5005" s="2">
        <v>556</v>
      </c>
      <c r="E5005" s="2">
        <v>200</v>
      </c>
      <c r="F5005" s="2">
        <v>32441</v>
      </c>
      <c r="G5005" s="2">
        <v>2.3338848919999999</v>
      </c>
      <c r="H5005" s="2">
        <v>2.5366886000000002E-2</v>
      </c>
      <c r="I5005" s="2" t="s">
        <v>22971</v>
      </c>
      <c r="J5005" s="2" t="s">
        <v>22972</v>
      </c>
      <c r="K5005" s="2">
        <v>3.9271517999999998E-2</v>
      </c>
      <c r="L5005" s="2" t="s">
        <v>1178</v>
      </c>
      <c r="M5005" s="4" t="s">
        <v>22973</v>
      </c>
    </row>
    <row r="5006" spans="1:13">
      <c r="A5006" s="2">
        <v>433</v>
      </c>
      <c r="B5006" s="2" t="s">
        <v>22974</v>
      </c>
      <c r="C5006" s="2">
        <v>8</v>
      </c>
      <c r="D5006" s="2">
        <v>556</v>
      </c>
      <c r="E5006" s="2">
        <v>199</v>
      </c>
      <c r="F5006" s="2">
        <v>32441</v>
      </c>
      <c r="G5006" s="2">
        <v>2.3456129570000002</v>
      </c>
      <c r="H5006" s="2">
        <v>2.4740835999999999E-2</v>
      </c>
      <c r="I5006" s="2" t="s">
        <v>22975</v>
      </c>
      <c r="J5006" s="2" t="s">
        <v>22976</v>
      </c>
      <c r="K5006" s="2">
        <v>3.9271517999999998E-2</v>
      </c>
      <c r="L5006" s="2" t="s">
        <v>1178</v>
      </c>
      <c r="M5006" s="4" t="s">
        <v>22977</v>
      </c>
    </row>
    <row r="5007" spans="1:13">
      <c r="A5007" s="2">
        <v>4504</v>
      </c>
      <c r="B5007" s="2" t="s">
        <v>22978</v>
      </c>
      <c r="C5007" s="2">
        <v>8</v>
      </c>
      <c r="D5007" s="2">
        <v>556</v>
      </c>
      <c r="E5007" s="2">
        <v>200</v>
      </c>
      <c r="F5007" s="2">
        <v>32441</v>
      </c>
      <c r="G5007" s="2">
        <v>2.3338848919999999</v>
      </c>
      <c r="H5007" s="2">
        <v>2.5366886000000002E-2</v>
      </c>
      <c r="I5007" s="2" t="s">
        <v>22979</v>
      </c>
      <c r="J5007" s="2" t="s">
        <v>22980</v>
      </c>
      <c r="K5007" s="2">
        <v>3.9271517999999998E-2</v>
      </c>
      <c r="L5007" s="2" t="s">
        <v>1178</v>
      </c>
      <c r="M5007" s="4" t="s">
        <v>22981</v>
      </c>
    </row>
    <row r="5008" spans="1:13">
      <c r="A5008" s="2">
        <v>455</v>
      </c>
      <c r="B5008" s="2" t="s">
        <v>2343</v>
      </c>
      <c r="C5008" s="2">
        <v>8</v>
      </c>
      <c r="D5008" s="2">
        <v>556</v>
      </c>
      <c r="E5008" s="2">
        <v>200</v>
      </c>
      <c r="F5008" s="2">
        <v>32441</v>
      </c>
      <c r="G5008" s="2">
        <v>2.3338848919999999</v>
      </c>
      <c r="H5008" s="2">
        <v>2.5366886000000002E-2</v>
      </c>
      <c r="I5008" s="2" t="s">
        <v>22982</v>
      </c>
      <c r="J5008" s="2" t="s">
        <v>22983</v>
      </c>
      <c r="K5008" s="2">
        <v>3.9271517999999998E-2</v>
      </c>
      <c r="L5008" s="2" t="s">
        <v>1178</v>
      </c>
      <c r="M5008" s="4" t="s">
        <v>22984</v>
      </c>
    </row>
    <row r="5009" spans="1:13">
      <c r="A5009" s="2">
        <v>4572</v>
      </c>
      <c r="B5009" s="2" t="s">
        <v>22985</v>
      </c>
      <c r="C5009" s="2">
        <v>8</v>
      </c>
      <c r="D5009" s="2">
        <v>556</v>
      </c>
      <c r="E5009" s="2">
        <v>200</v>
      </c>
      <c r="F5009" s="2">
        <v>32441</v>
      </c>
      <c r="G5009" s="2">
        <v>2.3338848919999999</v>
      </c>
      <c r="H5009" s="2">
        <v>2.5366886000000002E-2</v>
      </c>
      <c r="I5009" s="2" t="s">
        <v>22986</v>
      </c>
      <c r="J5009" s="2" t="s">
        <v>22987</v>
      </c>
      <c r="K5009" s="2">
        <v>3.9271517999999998E-2</v>
      </c>
      <c r="L5009" s="2" t="s">
        <v>1178</v>
      </c>
      <c r="M5009" s="4" t="s">
        <v>22988</v>
      </c>
    </row>
    <row r="5010" spans="1:13">
      <c r="A5010" s="2">
        <v>4657</v>
      </c>
      <c r="B5010" s="2" t="s">
        <v>22989</v>
      </c>
      <c r="C5010" s="2">
        <v>8</v>
      </c>
      <c r="D5010" s="2">
        <v>556</v>
      </c>
      <c r="E5010" s="2">
        <v>200</v>
      </c>
      <c r="F5010" s="2">
        <v>32441</v>
      </c>
      <c r="G5010" s="2">
        <v>2.3338848919999999</v>
      </c>
      <c r="H5010" s="2">
        <v>2.5366886000000002E-2</v>
      </c>
      <c r="I5010" s="2" t="s">
        <v>22990</v>
      </c>
      <c r="J5010" s="2" t="s">
        <v>22991</v>
      </c>
      <c r="K5010" s="2">
        <v>3.9271517999999998E-2</v>
      </c>
      <c r="L5010" s="2" t="s">
        <v>1178</v>
      </c>
      <c r="M5010" s="4" t="s">
        <v>22992</v>
      </c>
    </row>
    <row r="5011" spans="1:13">
      <c r="A5011" s="2">
        <v>4765</v>
      </c>
      <c r="B5011" s="2" t="s">
        <v>22993</v>
      </c>
      <c r="C5011" s="2">
        <v>8</v>
      </c>
      <c r="D5011" s="2">
        <v>556</v>
      </c>
      <c r="E5011" s="2">
        <v>200</v>
      </c>
      <c r="F5011" s="2">
        <v>32441</v>
      </c>
      <c r="G5011" s="2">
        <v>2.3338848919999999</v>
      </c>
      <c r="H5011" s="2">
        <v>2.5366886000000002E-2</v>
      </c>
      <c r="I5011" s="2" t="s">
        <v>22994</v>
      </c>
      <c r="J5011" s="2" t="s">
        <v>22995</v>
      </c>
      <c r="K5011" s="2">
        <v>3.9271517999999998E-2</v>
      </c>
      <c r="L5011" s="2" t="s">
        <v>1178</v>
      </c>
      <c r="M5011" s="4" t="s">
        <v>22996</v>
      </c>
    </row>
    <row r="5012" spans="1:13">
      <c r="A5012" s="2">
        <v>479</v>
      </c>
      <c r="B5012" s="2" t="s">
        <v>22997</v>
      </c>
      <c r="C5012" s="2">
        <v>8</v>
      </c>
      <c r="D5012" s="2">
        <v>556</v>
      </c>
      <c r="E5012" s="2">
        <v>200</v>
      </c>
      <c r="F5012" s="2">
        <v>32441</v>
      </c>
      <c r="G5012" s="2">
        <v>2.3338848919999999</v>
      </c>
      <c r="H5012" s="2">
        <v>2.5366886000000002E-2</v>
      </c>
      <c r="I5012" s="2" t="s">
        <v>22998</v>
      </c>
      <c r="J5012" s="2" t="s">
        <v>22999</v>
      </c>
      <c r="K5012" s="2">
        <v>3.9271517999999998E-2</v>
      </c>
      <c r="L5012" s="2" t="s">
        <v>1178</v>
      </c>
      <c r="M5012" s="4" t="s">
        <v>23000</v>
      </c>
    </row>
    <row r="5013" spans="1:13">
      <c r="A5013" s="2">
        <v>4862</v>
      </c>
      <c r="B5013" s="2" t="s">
        <v>23001</v>
      </c>
      <c r="C5013" s="2">
        <v>8</v>
      </c>
      <c r="D5013" s="2">
        <v>556</v>
      </c>
      <c r="E5013" s="2">
        <v>200</v>
      </c>
      <c r="F5013" s="2">
        <v>32441</v>
      </c>
      <c r="G5013" s="2">
        <v>2.3338848919999999</v>
      </c>
      <c r="H5013" s="2">
        <v>2.5366886000000002E-2</v>
      </c>
      <c r="I5013" s="2" t="s">
        <v>23002</v>
      </c>
      <c r="J5013" s="2" t="s">
        <v>23003</v>
      </c>
      <c r="K5013" s="2">
        <v>3.9271517999999998E-2</v>
      </c>
      <c r="L5013" s="2" t="s">
        <v>1178</v>
      </c>
      <c r="M5013" s="4" t="s">
        <v>23004</v>
      </c>
    </row>
    <row r="5014" spans="1:13">
      <c r="A5014" s="2">
        <v>4921</v>
      </c>
      <c r="B5014" s="2" t="s">
        <v>23005</v>
      </c>
      <c r="C5014" s="2">
        <v>8</v>
      </c>
      <c r="D5014" s="2">
        <v>556</v>
      </c>
      <c r="E5014" s="2">
        <v>199</v>
      </c>
      <c r="F5014" s="2">
        <v>32441</v>
      </c>
      <c r="G5014" s="2">
        <v>2.3456129570000002</v>
      </c>
      <c r="H5014" s="2">
        <v>2.4740835999999999E-2</v>
      </c>
      <c r="I5014" s="2" t="s">
        <v>23006</v>
      </c>
      <c r="J5014" s="2" t="s">
        <v>23007</v>
      </c>
      <c r="K5014" s="2">
        <v>3.9271517999999998E-2</v>
      </c>
      <c r="L5014" s="2" t="s">
        <v>1178</v>
      </c>
      <c r="M5014" s="4" t="s">
        <v>23008</v>
      </c>
    </row>
    <row r="5015" spans="1:13">
      <c r="A5015" s="2">
        <v>4962</v>
      </c>
      <c r="B5015" s="2" t="s">
        <v>23009</v>
      </c>
      <c r="C5015" s="2">
        <v>8</v>
      </c>
      <c r="D5015" s="2">
        <v>556</v>
      </c>
      <c r="E5015" s="2">
        <v>200</v>
      </c>
      <c r="F5015" s="2">
        <v>32441</v>
      </c>
      <c r="G5015" s="2">
        <v>2.3338848919999999</v>
      </c>
      <c r="H5015" s="2">
        <v>2.5366886000000002E-2</v>
      </c>
      <c r="I5015" s="2" t="s">
        <v>23010</v>
      </c>
      <c r="J5015" s="2" t="s">
        <v>23011</v>
      </c>
      <c r="K5015" s="2">
        <v>3.9271517999999998E-2</v>
      </c>
      <c r="L5015" s="2" t="s">
        <v>1178</v>
      </c>
      <c r="M5015" s="4" t="s">
        <v>23012</v>
      </c>
    </row>
    <row r="5016" spans="1:13">
      <c r="A5016" s="2">
        <v>4982</v>
      </c>
      <c r="B5016" s="2" t="s">
        <v>23013</v>
      </c>
      <c r="C5016" s="2">
        <v>8</v>
      </c>
      <c r="D5016" s="2">
        <v>556</v>
      </c>
      <c r="E5016" s="2">
        <v>200</v>
      </c>
      <c r="F5016" s="2">
        <v>32441</v>
      </c>
      <c r="G5016" s="2">
        <v>2.3338848919999999</v>
      </c>
      <c r="H5016" s="2">
        <v>2.5366886000000002E-2</v>
      </c>
      <c r="I5016" s="2" t="s">
        <v>23014</v>
      </c>
      <c r="J5016" s="2" t="s">
        <v>23015</v>
      </c>
      <c r="K5016" s="2">
        <v>3.9271517999999998E-2</v>
      </c>
      <c r="L5016" s="2" t="s">
        <v>1178</v>
      </c>
      <c r="M5016" s="4" t="s">
        <v>23016</v>
      </c>
    </row>
    <row r="5017" spans="1:13">
      <c r="A5017" s="2">
        <v>5091</v>
      </c>
      <c r="B5017" s="2" t="s">
        <v>23017</v>
      </c>
      <c r="C5017" s="2">
        <v>8</v>
      </c>
      <c r="D5017" s="2">
        <v>556</v>
      </c>
      <c r="E5017" s="2">
        <v>200</v>
      </c>
      <c r="F5017" s="2">
        <v>32441</v>
      </c>
      <c r="G5017" s="2">
        <v>2.3338848919999999</v>
      </c>
      <c r="H5017" s="2">
        <v>2.5366886000000002E-2</v>
      </c>
      <c r="I5017" s="2" t="s">
        <v>23018</v>
      </c>
      <c r="J5017" s="2" t="s">
        <v>23019</v>
      </c>
      <c r="K5017" s="2">
        <v>3.9271517999999998E-2</v>
      </c>
      <c r="L5017" s="2" t="s">
        <v>1178</v>
      </c>
      <c r="M5017" s="4" t="s">
        <v>23020</v>
      </c>
    </row>
    <row r="5018" spans="1:13">
      <c r="A5018" s="2">
        <v>512</v>
      </c>
      <c r="B5018" s="2" t="s">
        <v>23021</v>
      </c>
      <c r="C5018" s="2">
        <v>8</v>
      </c>
      <c r="D5018" s="2">
        <v>556</v>
      </c>
      <c r="E5018" s="2">
        <v>200</v>
      </c>
      <c r="F5018" s="2">
        <v>32441</v>
      </c>
      <c r="G5018" s="2">
        <v>2.3338848919999999</v>
      </c>
      <c r="H5018" s="2">
        <v>2.5366886000000002E-2</v>
      </c>
      <c r="I5018" s="2" t="s">
        <v>23022</v>
      </c>
      <c r="J5018" s="2" t="s">
        <v>23023</v>
      </c>
      <c r="K5018" s="2">
        <v>3.9271517999999998E-2</v>
      </c>
      <c r="L5018" s="2" t="s">
        <v>1178</v>
      </c>
      <c r="M5018" s="4" t="s">
        <v>23024</v>
      </c>
    </row>
    <row r="5019" spans="1:13">
      <c r="A5019" s="2">
        <v>521</v>
      </c>
      <c r="B5019" s="2" t="s">
        <v>23025</v>
      </c>
      <c r="C5019" s="2">
        <v>8</v>
      </c>
      <c r="D5019" s="2">
        <v>556</v>
      </c>
      <c r="E5019" s="2">
        <v>200</v>
      </c>
      <c r="F5019" s="2">
        <v>32441</v>
      </c>
      <c r="G5019" s="2">
        <v>2.3338848919999999</v>
      </c>
      <c r="H5019" s="2">
        <v>2.5366886000000002E-2</v>
      </c>
      <c r="I5019" s="2" t="s">
        <v>23026</v>
      </c>
      <c r="J5019" s="2" t="s">
        <v>23027</v>
      </c>
      <c r="K5019" s="2">
        <v>3.9271517999999998E-2</v>
      </c>
      <c r="L5019" s="2" t="s">
        <v>1178</v>
      </c>
      <c r="M5019" s="4" t="s">
        <v>23028</v>
      </c>
    </row>
    <row r="5020" spans="1:13">
      <c r="A5020" s="2">
        <v>5241</v>
      </c>
      <c r="B5020" s="2" t="s">
        <v>23029</v>
      </c>
      <c r="C5020" s="2">
        <v>8</v>
      </c>
      <c r="D5020" s="2">
        <v>556</v>
      </c>
      <c r="E5020" s="2">
        <v>200</v>
      </c>
      <c r="F5020" s="2">
        <v>32441</v>
      </c>
      <c r="G5020" s="2">
        <v>2.3338848919999999</v>
      </c>
      <c r="H5020" s="2">
        <v>2.5366886000000002E-2</v>
      </c>
      <c r="I5020" s="2" t="s">
        <v>23030</v>
      </c>
      <c r="J5020" s="2" t="s">
        <v>23031</v>
      </c>
      <c r="K5020" s="2">
        <v>3.9271517999999998E-2</v>
      </c>
      <c r="L5020" s="2" t="s">
        <v>1178</v>
      </c>
      <c r="M5020" s="4" t="s">
        <v>23032</v>
      </c>
    </row>
    <row r="5021" spans="1:13">
      <c r="A5021" s="2">
        <v>5392</v>
      </c>
      <c r="B5021" s="2" t="s">
        <v>23033</v>
      </c>
      <c r="C5021" s="2">
        <v>8</v>
      </c>
      <c r="D5021" s="2">
        <v>556</v>
      </c>
      <c r="E5021" s="2">
        <v>200</v>
      </c>
      <c r="F5021" s="2">
        <v>32441</v>
      </c>
      <c r="G5021" s="2">
        <v>2.3338848919999999</v>
      </c>
      <c r="H5021" s="2">
        <v>2.5366886000000002E-2</v>
      </c>
      <c r="I5021" s="2" t="s">
        <v>23034</v>
      </c>
      <c r="J5021" s="2" t="s">
        <v>23035</v>
      </c>
      <c r="K5021" s="2">
        <v>3.9271517999999998E-2</v>
      </c>
      <c r="L5021" s="2" t="s">
        <v>1178</v>
      </c>
      <c r="M5021" s="4" t="s">
        <v>23036</v>
      </c>
    </row>
    <row r="5022" spans="1:13">
      <c r="A5022" s="2">
        <v>5502</v>
      </c>
      <c r="B5022" s="2" t="s">
        <v>23037</v>
      </c>
      <c r="C5022" s="2">
        <v>8</v>
      </c>
      <c r="D5022" s="2">
        <v>556</v>
      </c>
      <c r="E5022" s="2">
        <v>200</v>
      </c>
      <c r="F5022" s="2">
        <v>32441</v>
      </c>
      <c r="G5022" s="2">
        <v>2.3338848919999999</v>
      </c>
      <c r="H5022" s="2">
        <v>2.5366886000000002E-2</v>
      </c>
      <c r="I5022" s="2" t="s">
        <v>23038</v>
      </c>
      <c r="J5022" s="2" t="s">
        <v>23039</v>
      </c>
      <c r="K5022" s="2">
        <v>3.9271517999999998E-2</v>
      </c>
      <c r="L5022" s="2" t="s">
        <v>1178</v>
      </c>
      <c r="M5022" s="4" t="s">
        <v>23040</v>
      </c>
    </row>
    <row r="5023" spans="1:13">
      <c r="A5023" s="2">
        <v>5642</v>
      </c>
      <c r="B5023" s="2" t="s">
        <v>1563</v>
      </c>
      <c r="C5023" s="2">
        <v>8</v>
      </c>
      <c r="D5023" s="2">
        <v>556</v>
      </c>
      <c r="E5023" s="2">
        <v>200</v>
      </c>
      <c r="F5023" s="2">
        <v>32441</v>
      </c>
      <c r="G5023" s="2">
        <v>2.3338848919999999</v>
      </c>
      <c r="H5023" s="2">
        <v>2.5366886000000002E-2</v>
      </c>
      <c r="I5023" s="2" t="s">
        <v>23041</v>
      </c>
      <c r="J5023" s="2" t="s">
        <v>23042</v>
      </c>
      <c r="K5023" s="2">
        <v>3.9271517999999998E-2</v>
      </c>
      <c r="L5023" s="2" t="s">
        <v>1178</v>
      </c>
      <c r="M5023" s="4" t="s">
        <v>23043</v>
      </c>
    </row>
    <row r="5024" spans="1:13">
      <c r="A5024" s="2">
        <v>5791</v>
      </c>
      <c r="B5024" s="2" t="s">
        <v>1833</v>
      </c>
      <c r="C5024" s="2">
        <v>8</v>
      </c>
      <c r="D5024" s="2">
        <v>556</v>
      </c>
      <c r="E5024" s="2">
        <v>200</v>
      </c>
      <c r="F5024" s="2">
        <v>32441</v>
      </c>
      <c r="G5024" s="2">
        <v>2.3338848919999999</v>
      </c>
      <c r="H5024" s="2">
        <v>2.5366886000000002E-2</v>
      </c>
      <c r="I5024" s="2" t="s">
        <v>23044</v>
      </c>
      <c r="J5024" s="2" t="s">
        <v>23045</v>
      </c>
      <c r="K5024" s="2">
        <v>3.9271517999999998E-2</v>
      </c>
      <c r="L5024" s="2" t="s">
        <v>1178</v>
      </c>
      <c r="M5024" s="4" t="s">
        <v>23046</v>
      </c>
    </row>
    <row r="5025" spans="1:13">
      <c r="A5025" s="2">
        <v>5811</v>
      </c>
      <c r="B5025" s="2" t="s">
        <v>1464</v>
      </c>
      <c r="C5025" s="2">
        <v>8</v>
      </c>
      <c r="D5025" s="2">
        <v>556</v>
      </c>
      <c r="E5025" s="2">
        <v>200</v>
      </c>
      <c r="F5025" s="2">
        <v>32441</v>
      </c>
      <c r="G5025" s="2">
        <v>2.3338848919999999</v>
      </c>
      <c r="H5025" s="2">
        <v>2.5366886000000002E-2</v>
      </c>
      <c r="I5025" s="2" t="s">
        <v>23047</v>
      </c>
      <c r="J5025" s="2" t="s">
        <v>23048</v>
      </c>
      <c r="K5025" s="2">
        <v>3.9271517999999998E-2</v>
      </c>
      <c r="L5025" s="2" t="s">
        <v>1178</v>
      </c>
      <c r="M5025" s="4" t="s">
        <v>23049</v>
      </c>
    </row>
    <row r="5026" spans="1:13">
      <c r="A5026" s="2">
        <v>5833</v>
      </c>
      <c r="B5026" s="2" t="s">
        <v>23050</v>
      </c>
      <c r="C5026" s="2">
        <v>8</v>
      </c>
      <c r="D5026" s="2">
        <v>556</v>
      </c>
      <c r="E5026" s="2">
        <v>200</v>
      </c>
      <c r="F5026" s="2">
        <v>32441</v>
      </c>
      <c r="G5026" s="2">
        <v>2.3338848919999999</v>
      </c>
      <c r="H5026" s="2">
        <v>2.5366886000000002E-2</v>
      </c>
      <c r="I5026" s="2" t="s">
        <v>23051</v>
      </c>
      <c r="J5026" s="2" t="s">
        <v>23052</v>
      </c>
      <c r="K5026" s="2">
        <v>3.9271517999999998E-2</v>
      </c>
      <c r="L5026" s="2" t="s">
        <v>1178</v>
      </c>
      <c r="M5026" s="4" t="s">
        <v>23053</v>
      </c>
    </row>
    <row r="5027" spans="1:13">
      <c r="A5027" s="2">
        <v>5942</v>
      </c>
      <c r="B5027" s="2" t="s">
        <v>23054</v>
      </c>
      <c r="C5027" s="2">
        <v>8</v>
      </c>
      <c r="D5027" s="2">
        <v>556</v>
      </c>
      <c r="E5027" s="2">
        <v>200</v>
      </c>
      <c r="F5027" s="2">
        <v>32441</v>
      </c>
      <c r="G5027" s="2">
        <v>2.3338848919999999</v>
      </c>
      <c r="H5027" s="2">
        <v>2.5366886000000002E-2</v>
      </c>
      <c r="I5027" s="2" t="s">
        <v>23055</v>
      </c>
      <c r="J5027" s="2" t="s">
        <v>23056</v>
      </c>
      <c r="K5027" s="2">
        <v>3.9271517999999998E-2</v>
      </c>
      <c r="L5027" s="2" t="s">
        <v>1178</v>
      </c>
      <c r="M5027" s="4" t="s">
        <v>23057</v>
      </c>
    </row>
    <row r="5028" spans="1:13">
      <c r="A5028" s="2">
        <v>5962</v>
      </c>
      <c r="B5028" s="2" t="s">
        <v>23058</v>
      </c>
      <c r="C5028" s="2">
        <v>8</v>
      </c>
      <c r="D5028" s="2">
        <v>556</v>
      </c>
      <c r="E5028" s="2">
        <v>199</v>
      </c>
      <c r="F5028" s="2">
        <v>32441</v>
      </c>
      <c r="G5028" s="2">
        <v>2.3456129570000002</v>
      </c>
      <c r="H5028" s="2">
        <v>2.4740835999999999E-2</v>
      </c>
      <c r="I5028" s="2" t="s">
        <v>23059</v>
      </c>
      <c r="J5028" s="2" t="s">
        <v>23060</v>
      </c>
      <c r="K5028" s="2">
        <v>3.9271517999999998E-2</v>
      </c>
      <c r="L5028" s="2" t="s">
        <v>1178</v>
      </c>
      <c r="M5028" s="4" t="s">
        <v>23061</v>
      </c>
    </row>
    <row r="5029" spans="1:13">
      <c r="A5029" s="2">
        <v>5991</v>
      </c>
      <c r="B5029" s="2" t="s">
        <v>23062</v>
      </c>
      <c r="C5029" s="2">
        <v>8</v>
      </c>
      <c r="D5029" s="2">
        <v>556</v>
      </c>
      <c r="E5029" s="2">
        <v>200</v>
      </c>
      <c r="F5029" s="2">
        <v>32441</v>
      </c>
      <c r="G5029" s="2">
        <v>2.3338848919999999</v>
      </c>
      <c r="H5029" s="2">
        <v>2.5366886000000002E-2</v>
      </c>
      <c r="I5029" s="2" t="s">
        <v>23063</v>
      </c>
      <c r="J5029" s="2" t="s">
        <v>23064</v>
      </c>
      <c r="K5029" s="2">
        <v>3.9271517999999998E-2</v>
      </c>
      <c r="L5029" s="2" t="s">
        <v>1178</v>
      </c>
      <c r="M5029" s="4" t="s">
        <v>23065</v>
      </c>
    </row>
    <row r="5030" spans="1:13">
      <c r="A5030" s="2">
        <v>6251</v>
      </c>
      <c r="B5030" s="2" t="s">
        <v>23066</v>
      </c>
      <c r="C5030" s="2">
        <v>8</v>
      </c>
      <c r="D5030" s="2">
        <v>556</v>
      </c>
      <c r="E5030" s="2">
        <v>200</v>
      </c>
      <c r="F5030" s="2">
        <v>32441</v>
      </c>
      <c r="G5030" s="2">
        <v>2.3338848919999999</v>
      </c>
      <c r="H5030" s="2">
        <v>2.5366886000000002E-2</v>
      </c>
      <c r="I5030" s="2" t="s">
        <v>23067</v>
      </c>
      <c r="J5030" s="2" t="s">
        <v>23068</v>
      </c>
      <c r="K5030" s="2">
        <v>3.9271517999999998E-2</v>
      </c>
      <c r="L5030" s="2" t="s">
        <v>1178</v>
      </c>
      <c r="M5030" s="4" t="s">
        <v>23069</v>
      </c>
    </row>
    <row r="5031" spans="1:13">
      <c r="A5031" s="2">
        <v>6352</v>
      </c>
      <c r="B5031" s="2" t="s">
        <v>23070</v>
      </c>
      <c r="C5031" s="2">
        <v>8</v>
      </c>
      <c r="D5031" s="2">
        <v>556</v>
      </c>
      <c r="E5031" s="2">
        <v>200</v>
      </c>
      <c r="F5031" s="2">
        <v>32441</v>
      </c>
      <c r="G5031" s="2">
        <v>2.3338848919999999</v>
      </c>
      <c r="H5031" s="2">
        <v>2.5366886000000002E-2</v>
      </c>
      <c r="I5031" s="2" t="s">
        <v>23071</v>
      </c>
      <c r="J5031" s="2" t="s">
        <v>23072</v>
      </c>
      <c r="K5031" s="2">
        <v>3.9271517999999998E-2</v>
      </c>
      <c r="L5031" s="2" t="s">
        <v>1178</v>
      </c>
      <c r="M5031" s="4" t="s">
        <v>23073</v>
      </c>
    </row>
    <row r="5032" spans="1:13">
      <c r="A5032" s="2">
        <v>655</v>
      </c>
      <c r="B5032" s="2" t="s">
        <v>23074</v>
      </c>
      <c r="C5032" s="2">
        <v>8</v>
      </c>
      <c r="D5032" s="2">
        <v>556</v>
      </c>
      <c r="E5032" s="2">
        <v>200</v>
      </c>
      <c r="F5032" s="2">
        <v>32441</v>
      </c>
      <c r="G5032" s="2">
        <v>2.3338848919999999</v>
      </c>
      <c r="H5032" s="2">
        <v>2.5366886000000002E-2</v>
      </c>
      <c r="I5032" s="2" t="s">
        <v>23075</v>
      </c>
      <c r="J5032" s="2" t="s">
        <v>23076</v>
      </c>
      <c r="K5032" s="2">
        <v>3.9271517999999998E-2</v>
      </c>
      <c r="L5032" s="2" t="s">
        <v>1178</v>
      </c>
      <c r="M5032" s="4" t="s">
        <v>23077</v>
      </c>
    </row>
    <row r="5033" spans="1:13">
      <c r="A5033" s="2">
        <v>656</v>
      </c>
      <c r="B5033" s="2" t="s">
        <v>23078</v>
      </c>
      <c r="C5033" s="2">
        <v>8</v>
      </c>
      <c r="D5033" s="2">
        <v>556</v>
      </c>
      <c r="E5033" s="2">
        <v>200</v>
      </c>
      <c r="F5033" s="2">
        <v>32441</v>
      </c>
      <c r="G5033" s="2">
        <v>2.3338848919999999</v>
      </c>
      <c r="H5033" s="2">
        <v>2.5366886000000002E-2</v>
      </c>
      <c r="I5033" s="2" t="s">
        <v>23079</v>
      </c>
      <c r="J5033" s="2" t="s">
        <v>23080</v>
      </c>
      <c r="K5033" s="2">
        <v>3.9271517999999998E-2</v>
      </c>
      <c r="L5033" s="2" t="s">
        <v>1178</v>
      </c>
      <c r="M5033" s="4" t="s">
        <v>23081</v>
      </c>
    </row>
    <row r="5034" spans="1:13">
      <c r="A5034" s="2">
        <v>6731</v>
      </c>
      <c r="B5034" s="2" t="s">
        <v>2067</v>
      </c>
      <c r="C5034" s="2">
        <v>8</v>
      </c>
      <c r="D5034" s="2">
        <v>556</v>
      </c>
      <c r="E5034" s="2">
        <v>200</v>
      </c>
      <c r="F5034" s="2">
        <v>32441</v>
      </c>
      <c r="G5034" s="2">
        <v>2.3338848919999999</v>
      </c>
      <c r="H5034" s="2">
        <v>2.5366886000000002E-2</v>
      </c>
      <c r="I5034" s="2" t="s">
        <v>23082</v>
      </c>
      <c r="J5034" s="2" t="s">
        <v>23083</v>
      </c>
      <c r="K5034" s="2">
        <v>3.9271517999999998E-2</v>
      </c>
      <c r="L5034" s="2" t="s">
        <v>1178</v>
      </c>
      <c r="M5034" s="4" t="s">
        <v>23084</v>
      </c>
    </row>
    <row r="5035" spans="1:13">
      <c r="A5035" s="2">
        <v>677</v>
      </c>
      <c r="B5035" s="2" t="s">
        <v>23085</v>
      </c>
      <c r="C5035" s="2">
        <v>8</v>
      </c>
      <c r="D5035" s="2">
        <v>556</v>
      </c>
      <c r="E5035" s="2">
        <v>200</v>
      </c>
      <c r="F5035" s="2">
        <v>32441</v>
      </c>
      <c r="G5035" s="2">
        <v>2.3338848919999999</v>
      </c>
      <c r="H5035" s="2">
        <v>2.5366886000000002E-2</v>
      </c>
      <c r="I5035" s="2" t="s">
        <v>23086</v>
      </c>
      <c r="J5035" s="2" t="s">
        <v>23087</v>
      </c>
      <c r="K5035" s="2">
        <v>3.9271517999999998E-2</v>
      </c>
      <c r="L5035" s="2" t="s">
        <v>1178</v>
      </c>
      <c r="M5035" s="4" t="s">
        <v>23088</v>
      </c>
    </row>
    <row r="5036" spans="1:13">
      <c r="A5036" s="2">
        <v>6881</v>
      </c>
      <c r="B5036" s="2" t="s">
        <v>23089</v>
      </c>
      <c r="C5036" s="2">
        <v>8</v>
      </c>
      <c r="D5036" s="2">
        <v>556</v>
      </c>
      <c r="E5036" s="2">
        <v>199</v>
      </c>
      <c r="F5036" s="2">
        <v>32441</v>
      </c>
      <c r="G5036" s="2">
        <v>2.3456129570000002</v>
      </c>
      <c r="H5036" s="2">
        <v>2.4740835999999999E-2</v>
      </c>
      <c r="I5036" s="2" t="s">
        <v>23090</v>
      </c>
      <c r="J5036" s="2" t="s">
        <v>23091</v>
      </c>
      <c r="K5036" s="2">
        <v>3.9271517999999998E-2</v>
      </c>
      <c r="L5036" s="2" t="s">
        <v>1178</v>
      </c>
      <c r="M5036" s="4" t="s">
        <v>23092</v>
      </c>
    </row>
    <row r="5037" spans="1:13">
      <c r="A5037" s="2">
        <v>695</v>
      </c>
      <c r="B5037" s="2" t="s">
        <v>2379</v>
      </c>
      <c r="C5037" s="2">
        <v>8</v>
      </c>
      <c r="D5037" s="2">
        <v>556</v>
      </c>
      <c r="E5037" s="2">
        <v>200</v>
      </c>
      <c r="F5037" s="2">
        <v>32441</v>
      </c>
      <c r="G5037" s="2">
        <v>2.3338848919999999</v>
      </c>
      <c r="H5037" s="2">
        <v>2.5366886000000002E-2</v>
      </c>
      <c r="I5037" s="2" t="s">
        <v>23093</v>
      </c>
      <c r="J5037" s="2" t="s">
        <v>23094</v>
      </c>
      <c r="K5037" s="2">
        <v>3.9271517999999998E-2</v>
      </c>
      <c r="L5037" s="2" t="s">
        <v>1178</v>
      </c>
      <c r="M5037" s="4" t="s">
        <v>23095</v>
      </c>
    </row>
    <row r="5038" spans="1:13">
      <c r="A5038" s="2">
        <v>711</v>
      </c>
      <c r="B5038" s="2" t="s">
        <v>1473</v>
      </c>
      <c r="C5038" s="2">
        <v>8</v>
      </c>
      <c r="D5038" s="2">
        <v>556</v>
      </c>
      <c r="E5038" s="2">
        <v>200</v>
      </c>
      <c r="F5038" s="2">
        <v>32441</v>
      </c>
      <c r="G5038" s="2">
        <v>2.3338848919999999</v>
      </c>
      <c r="H5038" s="2">
        <v>2.5366886000000002E-2</v>
      </c>
      <c r="I5038" s="2" t="s">
        <v>23096</v>
      </c>
      <c r="J5038" s="2" t="s">
        <v>23097</v>
      </c>
      <c r="K5038" s="2">
        <v>3.9271517999999998E-2</v>
      </c>
      <c r="L5038" s="2" t="s">
        <v>1178</v>
      </c>
      <c r="M5038" s="4" t="s">
        <v>23098</v>
      </c>
    </row>
    <row r="5039" spans="1:13">
      <c r="A5039" s="2">
        <v>713</v>
      </c>
      <c r="B5039" s="2" t="s">
        <v>1476</v>
      </c>
      <c r="C5039" s="2">
        <v>8</v>
      </c>
      <c r="D5039" s="2">
        <v>556</v>
      </c>
      <c r="E5039" s="2">
        <v>199</v>
      </c>
      <c r="F5039" s="2">
        <v>32441</v>
      </c>
      <c r="G5039" s="2">
        <v>2.3456129570000002</v>
      </c>
      <c r="H5039" s="2">
        <v>2.4740835999999999E-2</v>
      </c>
      <c r="I5039" s="2" t="s">
        <v>23099</v>
      </c>
      <c r="J5039" s="2" t="s">
        <v>23100</v>
      </c>
      <c r="K5039" s="2">
        <v>3.9271517999999998E-2</v>
      </c>
      <c r="L5039" s="2" t="s">
        <v>1178</v>
      </c>
      <c r="M5039" s="4" t="s">
        <v>23101</v>
      </c>
    </row>
    <row r="5040" spans="1:13">
      <c r="A5040" s="2">
        <v>7221</v>
      </c>
      <c r="B5040" s="2" t="s">
        <v>23102</v>
      </c>
      <c r="C5040" s="2">
        <v>8</v>
      </c>
      <c r="D5040" s="2">
        <v>556</v>
      </c>
      <c r="E5040" s="2">
        <v>200</v>
      </c>
      <c r="F5040" s="2">
        <v>32441</v>
      </c>
      <c r="G5040" s="2">
        <v>2.3338848919999999</v>
      </c>
      <c r="H5040" s="2">
        <v>2.5366886000000002E-2</v>
      </c>
      <c r="I5040" s="2" t="s">
        <v>23103</v>
      </c>
      <c r="J5040" s="2" t="s">
        <v>23104</v>
      </c>
      <c r="K5040" s="2">
        <v>3.9271517999999998E-2</v>
      </c>
      <c r="L5040" s="2" t="s">
        <v>1178</v>
      </c>
      <c r="M5040" s="4" t="s">
        <v>23105</v>
      </c>
    </row>
    <row r="5041" spans="1:13">
      <c r="A5041" s="2">
        <v>730</v>
      </c>
      <c r="B5041" s="2" t="s">
        <v>23106</v>
      </c>
      <c r="C5041" s="2">
        <v>8</v>
      </c>
      <c r="D5041" s="2">
        <v>556</v>
      </c>
      <c r="E5041" s="2">
        <v>200</v>
      </c>
      <c r="F5041" s="2">
        <v>32441</v>
      </c>
      <c r="G5041" s="2">
        <v>2.3338848919999999</v>
      </c>
      <c r="H5041" s="2">
        <v>2.5366886000000002E-2</v>
      </c>
      <c r="I5041" s="2" t="s">
        <v>23107</v>
      </c>
      <c r="J5041" s="2" t="s">
        <v>23108</v>
      </c>
      <c r="K5041" s="2">
        <v>3.9271517999999998E-2</v>
      </c>
      <c r="L5041" s="2" t="s">
        <v>1178</v>
      </c>
      <c r="M5041" s="4" t="s">
        <v>23109</v>
      </c>
    </row>
    <row r="5042" spans="1:13">
      <c r="A5042" s="2">
        <v>732</v>
      </c>
      <c r="B5042" s="2" t="s">
        <v>23110</v>
      </c>
      <c r="C5042" s="2">
        <v>8</v>
      </c>
      <c r="D5042" s="2">
        <v>556</v>
      </c>
      <c r="E5042" s="2">
        <v>200</v>
      </c>
      <c r="F5042" s="2">
        <v>32441</v>
      </c>
      <c r="G5042" s="2">
        <v>2.3338848919999999</v>
      </c>
      <c r="H5042" s="2">
        <v>2.5366886000000002E-2</v>
      </c>
      <c r="I5042" s="2" t="s">
        <v>23111</v>
      </c>
      <c r="J5042" s="2" t="s">
        <v>23112</v>
      </c>
      <c r="K5042" s="2">
        <v>3.9271517999999998E-2</v>
      </c>
      <c r="L5042" s="2" t="s">
        <v>1178</v>
      </c>
      <c r="M5042" s="4" t="s">
        <v>23113</v>
      </c>
    </row>
    <row r="5043" spans="1:13">
      <c r="A5043" s="2">
        <v>752</v>
      </c>
      <c r="B5043" s="2" t="s">
        <v>2388</v>
      </c>
      <c r="C5043" s="2">
        <v>8</v>
      </c>
      <c r="D5043" s="2">
        <v>556</v>
      </c>
      <c r="E5043" s="2">
        <v>200</v>
      </c>
      <c r="F5043" s="2">
        <v>32441</v>
      </c>
      <c r="G5043" s="2">
        <v>2.3338848919999999</v>
      </c>
      <c r="H5043" s="2">
        <v>2.5366886000000002E-2</v>
      </c>
      <c r="I5043" s="2" t="s">
        <v>23114</v>
      </c>
      <c r="J5043" s="2" t="s">
        <v>23115</v>
      </c>
      <c r="K5043" s="2">
        <v>3.9271517999999998E-2</v>
      </c>
      <c r="L5043" s="2" t="s">
        <v>1178</v>
      </c>
      <c r="M5043" s="4" t="s">
        <v>23116</v>
      </c>
    </row>
    <row r="5044" spans="1:13">
      <c r="A5044" s="2">
        <v>7601</v>
      </c>
      <c r="B5044" s="2" t="s">
        <v>23117</v>
      </c>
      <c r="C5044" s="2">
        <v>8</v>
      </c>
      <c r="D5044" s="2">
        <v>556</v>
      </c>
      <c r="E5044" s="2">
        <v>199</v>
      </c>
      <c r="F5044" s="2">
        <v>32441</v>
      </c>
      <c r="G5044" s="2">
        <v>2.3456129570000002</v>
      </c>
      <c r="H5044" s="2">
        <v>2.4740835999999999E-2</v>
      </c>
      <c r="I5044" s="2" t="s">
        <v>23118</v>
      </c>
      <c r="J5044" s="2" t="s">
        <v>23119</v>
      </c>
      <c r="K5044" s="2">
        <v>3.9271517999999998E-2</v>
      </c>
      <c r="L5044" s="2" t="s">
        <v>1178</v>
      </c>
      <c r="M5044" s="4" t="s">
        <v>23120</v>
      </c>
    </row>
    <row r="5045" spans="1:13">
      <c r="A5045" s="2">
        <v>764</v>
      </c>
      <c r="B5045" s="2" t="s">
        <v>23121</v>
      </c>
      <c r="C5045" s="2">
        <v>8</v>
      </c>
      <c r="D5045" s="2">
        <v>556</v>
      </c>
      <c r="E5045" s="2">
        <v>200</v>
      </c>
      <c r="F5045" s="2">
        <v>32441</v>
      </c>
      <c r="G5045" s="2">
        <v>2.3338848919999999</v>
      </c>
      <c r="H5045" s="2">
        <v>2.5366886000000002E-2</v>
      </c>
      <c r="I5045" s="2" t="s">
        <v>23122</v>
      </c>
      <c r="J5045" s="2" t="s">
        <v>23123</v>
      </c>
      <c r="K5045" s="2">
        <v>3.9271517999999998E-2</v>
      </c>
      <c r="L5045" s="2" t="s">
        <v>1178</v>
      </c>
      <c r="M5045" s="4" t="s">
        <v>23124</v>
      </c>
    </row>
    <row r="5046" spans="1:13">
      <c r="A5046" s="2">
        <v>784</v>
      </c>
      <c r="B5046" s="2" t="s">
        <v>23125</v>
      </c>
      <c r="C5046" s="2">
        <v>8</v>
      </c>
      <c r="D5046" s="2">
        <v>556</v>
      </c>
      <c r="E5046" s="2">
        <v>200</v>
      </c>
      <c r="F5046" s="2">
        <v>32441</v>
      </c>
      <c r="G5046" s="2">
        <v>2.3338848919999999</v>
      </c>
      <c r="H5046" s="2">
        <v>2.5366886000000002E-2</v>
      </c>
      <c r="I5046" s="2" t="s">
        <v>23126</v>
      </c>
      <c r="J5046" s="2" t="s">
        <v>23127</v>
      </c>
      <c r="K5046" s="2">
        <v>3.9271517999999998E-2</v>
      </c>
      <c r="L5046" s="2" t="s">
        <v>1178</v>
      </c>
      <c r="M5046" s="4" t="s">
        <v>23128</v>
      </c>
    </row>
    <row r="5047" spans="1:13">
      <c r="A5047" s="2">
        <v>790</v>
      </c>
      <c r="B5047" s="2" t="s">
        <v>23129</v>
      </c>
      <c r="C5047" s="2">
        <v>8</v>
      </c>
      <c r="D5047" s="2">
        <v>556</v>
      </c>
      <c r="E5047" s="2">
        <v>200</v>
      </c>
      <c r="F5047" s="2">
        <v>32441</v>
      </c>
      <c r="G5047" s="2">
        <v>2.3338848919999999</v>
      </c>
      <c r="H5047" s="2">
        <v>2.5366886000000002E-2</v>
      </c>
      <c r="I5047" s="2" t="s">
        <v>23130</v>
      </c>
      <c r="J5047" s="2" t="s">
        <v>23131</v>
      </c>
      <c r="K5047" s="2">
        <v>3.9271517999999998E-2</v>
      </c>
      <c r="L5047" s="2" t="s">
        <v>1178</v>
      </c>
      <c r="M5047" s="4" t="s">
        <v>23132</v>
      </c>
    </row>
    <row r="5048" spans="1:13">
      <c r="A5048" s="2">
        <v>820</v>
      </c>
      <c r="B5048" s="2" t="s">
        <v>23133</v>
      </c>
      <c r="C5048" s="2">
        <v>8</v>
      </c>
      <c r="D5048" s="2">
        <v>556</v>
      </c>
      <c r="E5048" s="2">
        <v>200</v>
      </c>
      <c r="F5048" s="2">
        <v>32441</v>
      </c>
      <c r="G5048" s="2">
        <v>2.3338848919999999</v>
      </c>
      <c r="H5048" s="2">
        <v>2.5366886000000002E-2</v>
      </c>
      <c r="I5048" s="2" t="s">
        <v>23134</v>
      </c>
      <c r="J5048" s="2" t="s">
        <v>23135</v>
      </c>
      <c r="K5048" s="2">
        <v>3.9271517999999998E-2</v>
      </c>
      <c r="L5048" s="2" t="s">
        <v>1178</v>
      </c>
      <c r="M5048" s="4" t="s">
        <v>23136</v>
      </c>
    </row>
    <row r="5049" spans="1:13">
      <c r="A5049" s="2">
        <v>822</v>
      </c>
      <c r="B5049" s="2" t="s">
        <v>23137</v>
      </c>
      <c r="C5049" s="2">
        <v>8</v>
      </c>
      <c r="D5049" s="2">
        <v>556</v>
      </c>
      <c r="E5049" s="2">
        <v>200</v>
      </c>
      <c r="F5049" s="2">
        <v>32441</v>
      </c>
      <c r="G5049" s="2">
        <v>2.3338848919999999</v>
      </c>
      <c r="H5049" s="2">
        <v>2.5366886000000002E-2</v>
      </c>
      <c r="I5049" s="2" t="s">
        <v>23138</v>
      </c>
      <c r="J5049" s="2" t="s">
        <v>23139</v>
      </c>
      <c r="K5049" s="2">
        <v>3.9271517999999998E-2</v>
      </c>
      <c r="L5049" s="2" t="s">
        <v>1178</v>
      </c>
      <c r="M5049" s="4" t="s">
        <v>23140</v>
      </c>
    </row>
    <row r="5050" spans="1:13">
      <c r="A5050" s="2">
        <v>823</v>
      </c>
      <c r="B5050" s="2" t="s">
        <v>23141</v>
      </c>
      <c r="C5050" s="2">
        <v>8</v>
      </c>
      <c r="D5050" s="2">
        <v>556</v>
      </c>
      <c r="E5050" s="2">
        <v>200</v>
      </c>
      <c r="F5050" s="2">
        <v>32441</v>
      </c>
      <c r="G5050" s="2">
        <v>2.3338848919999999</v>
      </c>
      <c r="H5050" s="2">
        <v>2.5366886000000002E-2</v>
      </c>
      <c r="I5050" s="2" t="s">
        <v>23142</v>
      </c>
      <c r="J5050" s="2" t="s">
        <v>23143</v>
      </c>
      <c r="K5050" s="2">
        <v>3.9271517999999998E-2</v>
      </c>
      <c r="L5050" s="2" t="s">
        <v>1178</v>
      </c>
      <c r="M5050" s="4" t="s">
        <v>23144</v>
      </c>
    </row>
    <row r="5051" spans="1:13">
      <c r="A5051" s="2">
        <v>8241</v>
      </c>
      <c r="B5051" s="2" t="s">
        <v>23145</v>
      </c>
      <c r="C5051" s="2">
        <v>8</v>
      </c>
      <c r="D5051" s="2">
        <v>556</v>
      </c>
      <c r="E5051" s="2">
        <v>200</v>
      </c>
      <c r="F5051" s="2">
        <v>32441</v>
      </c>
      <c r="G5051" s="2">
        <v>2.3338848919999999</v>
      </c>
      <c r="H5051" s="2">
        <v>2.5366886000000002E-2</v>
      </c>
      <c r="I5051" s="2" t="s">
        <v>23146</v>
      </c>
      <c r="J5051" s="2" t="s">
        <v>23147</v>
      </c>
      <c r="K5051" s="2">
        <v>3.9271517999999998E-2</v>
      </c>
      <c r="L5051" s="2" t="s">
        <v>1178</v>
      </c>
      <c r="M5051" s="4" t="s">
        <v>23148</v>
      </c>
    </row>
    <row r="5052" spans="1:13">
      <c r="A5052" s="2">
        <v>827</v>
      </c>
      <c r="B5052" s="2" t="s">
        <v>23149</v>
      </c>
      <c r="C5052" s="2">
        <v>8</v>
      </c>
      <c r="D5052" s="2">
        <v>556</v>
      </c>
      <c r="E5052" s="2">
        <v>200</v>
      </c>
      <c r="F5052" s="2">
        <v>32441</v>
      </c>
      <c r="G5052" s="2">
        <v>2.3338848919999999</v>
      </c>
      <c r="H5052" s="2">
        <v>2.5366886000000002E-2</v>
      </c>
      <c r="I5052" s="2" t="s">
        <v>23150</v>
      </c>
      <c r="J5052" s="2" t="s">
        <v>23151</v>
      </c>
      <c r="K5052" s="2">
        <v>3.9271517999999998E-2</v>
      </c>
      <c r="L5052" s="2" t="s">
        <v>1178</v>
      </c>
      <c r="M5052" s="4" t="s">
        <v>23152</v>
      </c>
    </row>
    <row r="5053" spans="1:13">
      <c r="A5053" s="2">
        <v>8351</v>
      </c>
      <c r="B5053" s="2" t="s">
        <v>23153</v>
      </c>
      <c r="C5053" s="2">
        <v>8</v>
      </c>
      <c r="D5053" s="2">
        <v>556</v>
      </c>
      <c r="E5053" s="2">
        <v>200</v>
      </c>
      <c r="F5053" s="2">
        <v>32441</v>
      </c>
      <c r="G5053" s="2">
        <v>2.3338848919999999</v>
      </c>
      <c r="H5053" s="2">
        <v>2.5366886000000002E-2</v>
      </c>
      <c r="I5053" s="2" t="s">
        <v>23154</v>
      </c>
      <c r="J5053" s="2" t="s">
        <v>23155</v>
      </c>
      <c r="K5053" s="2">
        <v>3.9271517999999998E-2</v>
      </c>
      <c r="L5053" s="2" t="s">
        <v>1178</v>
      </c>
      <c r="M5053" s="4" t="s">
        <v>23156</v>
      </c>
    </row>
    <row r="5054" spans="1:13">
      <c r="A5054" s="2">
        <v>8361</v>
      </c>
      <c r="B5054" s="2" t="s">
        <v>23157</v>
      </c>
      <c r="C5054" s="2">
        <v>8</v>
      </c>
      <c r="D5054" s="2">
        <v>556</v>
      </c>
      <c r="E5054" s="2">
        <v>199</v>
      </c>
      <c r="F5054" s="2">
        <v>32441</v>
      </c>
      <c r="G5054" s="2">
        <v>2.3456129570000002</v>
      </c>
      <c r="H5054" s="2">
        <v>2.4740835999999999E-2</v>
      </c>
      <c r="I5054" s="2" t="s">
        <v>23158</v>
      </c>
      <c r="J5054" s="2" t="s">
        <v>23159</v>
      </c>
      <c r="K5054" s="2">
        <v>3.9271517999999998E-2</v>
      </c>
      <c r="L5054" s="2" t="s">
        <v>1178</v>
      </c>
      <c r="M5054" s="4" t="s">
        <v>23160</v>
      </c>
    </row>
    <row r="5055" spans="1:13">
      <c r="A5055" s="2">
        <v>837</v>
      </c>
      <c r="B5055" s="2" t="s">
        <v>23161</v>
      </c>
      <c r="C5055" s="2">
        <v>8</v>
      </c>
      <c r="D5055" s="2">
        <v>556</v>
      </c>
      <c r="E5055" s="2">
        <v>200</v>
      </c>
      <c r="F5055" s="2">
        <v>32441</v>
      </c>
      <c r="G5055" s="2">
        <v>2.3338848919999999</v>
      </c>
      <c r="H5055" s="2">
        <v>2.5366886000000002E-2</v>
      </c>
      <c r="I5055" s="2" t="s">
        <v>23162</v>
      </c>
      <c r="J5055" s="2" t="s">
        <v>23163</v>
      </c>
      <c r="K5055" s="2">
        <v>3.9271517999999998E-2</v>
      </c>
      <c r="L5055" s="2" t="s">
        <v>1178</v>
      </c>
      <c r="M5055" s="4" t="s">
        <v>23164</v>
      </c>
    </row>
    <row r="5056" spans="1:13">
      <c r="A5056" s="2">
        <v>845</v>
      </c>
      <c r="B5056" s="2" t="s">
        <v>23165</v>
      </c>
      <c r="C5056" s="2">
        <v>8</v>
      </c>
      <c r="D5056" s="2">
        <v>556</v>
      </c>
      <c r="E5056" s="2">
        <v>200</v>
      </c>
      <c r="F5056" s="2">
        <v>32441</v>
      </c>
      <c r="G5056" s="2">
        <v>2.3338848919999999</v>
      </c>
      <c r="H5056" s="2">
        <v>2.5366886000000002E-2</v>
      </c>
      <c r="I5056" s="2" t="s">
        <v>23166</v>
      </c>
      <c r="J5056" s="2" t="s">
        <v>23167</v>
      </c>
      <c r="K5056" s="2">
        <v>3.9271517999999998E-2</v>
      </c>
      <c r="L5056" s="2" t="s">
        <v>1178</v>
      </c>
      <c r="M5056" s="4" t="s">
        <v>23168</v>
      </c>
    </row>
    <row r="5057" spans="1:13">
      <c r="A5057" s="2">
        <v>870</v>
      </c>
      <c r="B5057" s="2" t="s">
        <v>23169</v>
      </c>
      <c r="C5057" s="2">
        <v>8</v>
      </c>
      <c r="D5057" s="2">
        <v>556</v>
      </c>
      <c r="E5057" s="2">
        <v>200</v>
      </c>
      <c r="F5057" s="2">
        <v>32441</v>
      </c>
      <c r="G5057" s="2">
        <v>2.3338848919999999</v>
      </c>
      <c r="H5057" s="2">
        <v>2.5366886000000002E-2</v>
      </c>
      <c r="I5057" s="2" t="s">
        <v>23170</v>
      </c>
      <c r="J5057" s="2" t="s">
        <v>23171</v>
      </c>
      <c r="K5057" s="2">
        <v>3.9271517999999998E-2</v>
      </c>
      <c r="L5057" s="2" t="s">
        <v>1178</v>
      </c>
      <c r="M5057" s="4" t="s">
        <v>23172</v>
      </c>
    </row>
    <row r="5058" spans="1:13">
      <c r="A5058" s="2">
        <v>882</v>
      </c>
      <c r="B5058" s="2" t="s">
        <v>23173</v>
      </c>
      <c r="C5058" s="2">
        <v>8</v>
      </c>
      <c r="D5058" s="2">
        <v>556</v>
      </c>
      <c r="E5058" s="2">
        <v>200</v>
      </c>
      <c r="F5058" s="2">
        <v>32441</v>
      </c>
      <c r="G5058" s="2">
        <v>2.3338848919999999</v>
      </c>
      <c r="H5058" s="2">
        <v>2.5366886000000002E-2</v>
      </c>
      <c r="I5058" s="2" t="s">
        <v>23174</v>
      </c>
      <c r="J5058" s="2" t="s">
        <v>23175</v>
      </c>
      <c r="K5058" s="2">
        <v>3.9271517999999998E-2</v>
      </c>
      <c r="L5058" s="2" t="s">
        <v>1178</v>
      </c>
      <c r="M5058" s="4" t="s">
        <v>23176</v>
      </c>
    </row>
    <row r="5059" spans="1:13">
      <c r="A5059" s="2">
        <v>8911</v>
      </c>
      <c r="B5059" s="2" t="s">
        <v>23177</v>
      </c>
      <c r="C5059" s="2">
        <v>8</v>
      </c>
      <c r="D5059" s="2">
        <v>556</v>
      </c>
      <c r="E5059" s="2">
        <v>200</v>
      </c>
      <c r="F5059" s="2">
        <v>32441</v>
      </c>
      <c r="G5059" s="2">
        <v>2.3338848919999999</v>
      </c>
      <c r="H5059" s="2">
        <v>2.5366886000000002E-2</v>
      </c>
      <c r="I5059" s="2" t="s">
        <v>23178</v>
      </c>
      <c r="J5059" s="2" t="s">
        <v>23179</v>
      </c>
      <c r="K5059" s="2">
        <v>3.9271517999999998E-2</v>
      </c>
      <c r="L5059" s="2" t="s">
        <v>1178</v>
      </c>
      <c r="M5059" s="4" t="s">
        <v>23180</v>
      </c>
    </row>
    <row r="5060" spans="1:13">
      <c r="A5060" s="2">
        <v>9001</v>
      </c>
      <c r="B5060" s="2" t="s">
        <v>23181</v>
      </c>
      <c r="C5060" s="2">
        <v>8</v>
      </c>
      <c r="D5060" s="2">
        <v>556</v>
      </c>
      <c r="E5060" s="2">
        <v>200</v>
      </c>
      <c r="F5060" s="2">
        <v>32441</v>
      </c>
      <c r="G5060" s="2">
        <v>2.3338848919999999</v>
      </c>
      <c r="H5060" s="2">
        <v>2.5366886000000002E-2</v>
      </c>
      <c r="I5060" s="2" t="s">
        <v>23182</v>
      </c>
      <c r="J5060" s="2" t="s">
        <v>23183</v>
      </c>
      <c r="K5060" s="2">
        <v>3.9271517999999998E-2</v>
      </c>
      <c r="L5060" s="2" t="s">
        <v>1178</v>
      </c>
      <c r="M5060" s="4" t="s">
        <v>23184</v>
      </c>
    </row>
    <row r="5061" spans="1:13">
      <c r="A5061" s="2">
        <v>919</v>
      </c>
      <c r="B5061" s="2" t="s">
        <v>23185</v>
      </c>
      <c r="C5061" s="2">
        <v>8</v>
      </c>
      <c r="D5061" s="2">
        <v>556</v>
      </c>
      <c r="E5061" s="2">
        <v>200</v>
      </c>
      <c r="F5061" s="2">
        <v>32441</v>
      </c>
      <c r="G5061" s="2">
        <v>2.3338848919999999</v>
      </c>
      <c r="H5061" s="2">
        <v>2.5366886000000002E-2</v>
      </c>
      <c r="I5061" s="2" t="s">
        <v>23186</v>
      </c>
      <c r="J5061" s="2" t="s">
        <v>23187</v>
      </c>
      <c r="K5061" s="2">
        <v>3.9271517999999998E-2</v>
      </c>
      <c r="L5061" s="2" t="s">
        <v>1178</v>
      </c>
      <c r="M5061" s="4" t="s">
        <v>23188</v>
      </c>
    </row>
    <row r="5062" spans="1:13">
      <c r="A5062" s="2">
        <v>952</v>
      </c>
      <c r="B5062" s="2" t="s">
        <v>23189</v>
      </c>
      <c r="C5062" s="2">
        <v>8</v>
      </c>
      <c r="D5062" s="2">
        <v>556</v>
      </c>
      <c r="E5062" s="2">
        <v>200</v>
      </c>
      <c r="F5062" s="2">
        <v>32441</v>
      </c>
      <c r="G5062" s="2">
        <v>2.3338848919999999</v>
      </c>
      <c r="H5062" s="2">
        <v>2.5366886000000002E-2</v>
      </c>
      <c r="I5062" s="2" t="s">
        <v>23190</v>
      </c>
      <c r="J5062" s="2" t="s">
        <v>23191</v>
      </c>
      <c r="K5062" s="2">
        <v>3.9271517999999998E-2</v>
      </c>
      <c r="L5062" s="2" t="s">
        <v>1178</v>
      </c>
      <c r="M5062" s="4" t="s">
        <v>23192</v>
      </c>
    </row>
    <row r="5063" spans="1:13">
      <c r="A5063" s="2">
        <v>960</v>
      </c>
      <c r="B5063" s="2" t="s">
        <v>23193</v>
      </c>
      <c r="C5063" s="2">
        <v>8</v>
      </c>
      <c r="D5063" s="2">
        <v>556</v>
      </c>
      <c r="E5063" s="2">
        <v>200</v>
      </c>
      <c r="F5063" s="2">
        <v>32441</v>
      </c>
      <c r="G5063" s="2">
        <v>2.3338848919999999</v>
      </c>
      <c r="H5063" s="2">
        <v>2.5366886000000002E-2</v>
      </c>
      <c r="I5063" s="2" t="s">
        <v>23194</v>
      </c>
      <c r="J5063" s="2" t="s">
        <v>23195</v>
      </c>
      <c r="K5063" s="2">
        <v>3.9271517999999998E-2</v>
      </c>
      <c r="L5063" s="2" t="s">
        <v>1178</v>
      </c>
      <c r="M5063" s="4" t="s">
        <v>23196</v>
      </c>
    </row>
    <row r="5064" spans="1:13">
      <c r="A5064" s="2">
        <v>966</v>
      </c>
      <c r="B5064" s="2" t="s">
        <v>2394</v>
      </c>
      <c r="C5064" s="2">
        <v>8</v>
      </c>
      <c r="D5064" s="2">
        <v>556</v>
      </c>
      <c r="E5064" s="2">
        <v>200</v>
      </c>
      <c r="F5064" s="2">
        <v>32441</v>
      </c>
      <c r="G5064" s="2">
        <v>2.3338848919999999</v>
      </c>
      <c r="H5064" s="2">
        <v>2.5366886000000002E-2</v>
      </c>
      <c r="I5064" s="2" t="s">
        <v>23197</v>
      </c>
      <c r="J5064" s="2" t="s">
        <v>23198</v>
      </c>
      <c r="K5064" s="2">
        <v>3.9271517999999998E-2</v>
      </c>
      <c r="L5064" s="2" t="s">
        <v>1178</v>
      </c>
      <c r="M5064" s="4" t="s">
        <v>23199</v>
      </c>
    </row>
    <row r="5065" spans="1:13">
      <c r="A5065" s="2">
        <v>973</v>
      </c>
      <c r="B5065" s="2" t="s">
        <v>1575</v>
      </c>
      <c r="C5065" s="2">
        <v>8</v>
      </c>
      <c r="D5065" s="2">
        <v>556</v>
      </c>
      <c r="E5065" s="2">
        <v>200</v>
      </c>
      <c r="F5065" s="2">
        <v>32441</v>
      </c>
      <c r="G5065" s="2">
        <v>2.3338848919999999</v>
      </c>
      <c r="H5065" s="2">
        <v>2.5366886000000002E-2</v>
      </c>
      <c r="I5065" s="2" t="s">
        <v>23200</v>
      </c>
      <c r="J5065" s="2" t="s">
        <v>23201</v>
      </c>
      <c r="K5065" s="2">
        <v>3.9271517999999998E-2</v>
      </c>
      <c r="L5065" s="2" t="s">
        <v>1178</v>
      </c>
      <c r="M5065" s="4" t="s">
        <v>23202</v>
      </c>
    </row>
    <row r="5066" spans="1:13">
      <c r="A5066" s="2">
        <v>998</v>
      </c>
      <c r="B5066" s="2" t="s">
        <v>23203</v>
      </c>
      <c r="C5066" s="2">
        <v>8</v>
      </c>
      <c r="D5066" s="2">
        <v>556</v>
      </c>
      <c r="E5066" s="2">
        <v>200</v>
      </c>
      <c r="F5066" s="2">
        <v>32441</v>
      </c>
      <c r="G5066" s="2">
        <v>2.3338848919999999</v>
      </c>
      <c r="H5066" s="2">
        <v>2.5366886000000002E-2</v>
      </c>
      <c r="I5066" s="2" t="s">
        <v>23204</v>
      </c>
      <c r="J5066" s="2" t="s">
        <v>23205</v>
      </c>
      <c r="K5066" s="2">
        <v>3.9271517999999998E-2</v>
      </c>
      <c r="L5066" s="2" t="s">
        <v>1178</v>
      </c>
      <c r="M5066" s="4" t="s">
        <v>23206</v>
      </c>
    </row>
    <row r="5067" spans="1:13">
      <c r="A5067" s="2">
        <v>10211</v>
      </c>
      <c r="B5067" s="2" t="s">
        <v>23207</v>
      </c>
      <c r="C5067" s="2">
        <v>8</v>
      </c>
      <c r="D5067" s="2">
        <v>556</v>
      </c>
      <c r="E5067" s="2">
        <v>200</v>
      </c>
      <c r="F5067" s="2">
        <v>32441</v>
      </c>
      <c r="G5067" s="2">
        <v>2.3338848919999999</v>
      </c>
      <c r="H5067" s="2">
        <v>2.5366886000000002E-2</v>
      </c>
      <c r="I5067" s="2" t="s">
        <v>23208</v>
      </c>
      <c r="J5067" s="2" t="s">
        <v>23209</v>
      </c>
      <c r="K5067" s="2">
        <v>3.9271517999999998E-2</v>
      </c>
      <c r="L5067" s="2" t="s">
        <v>1178</v>
      </c>
      <c r="M5067" s="4" t="s">
        <v>23210</v>
      </c>
    </row>
    <row r="5068" spans="1:13">
      <c r="A5068" s="2">
        <v>1051</v>
      </c>
      <c r="B5068" s="2" t="s">
        <v>23211</v>
      </c>
      <c r="C5068" s="2">
        <v>8</v>
      </c>
      <c r="D5068" s="2">
        <v>556</v>
      </c>
      <c r="E5068" s="2">
        <v>200</v>
      </c>
      <c r="F5068" s="2">
        <v>32441</v>
      </c>
      <c r="G5068" s="2">
        <v>2.3338848919999999</v>
      </c>
      <c r="H5068" s="2">
        <v>2.5366886000000002E-2</v>
      </c>
      <c r="I5068" s="2" t="s">
        <v>23212</v>
      </c>
      <c r="J5068" s="2" t="s">
        <v>23213</v>
      </c>
      <c r="K5068" s="2">
        <v>3.9271517999999998E-2</v>
      </c>
      <c r="L5068" s="2" t="s">
        <v>1178</v>
      </c>
      <c r="M5068" s="4" t="s">
        <v>23214</v>
      </c>
    </row>
    <row r="5069" spans="1:13">
      <c r="A5069" s="2">
        <v>10791</v>
      </c>
      <c r="B5069" s="2" t="s">
        <v>23215</v>
      </c>
      <c r="C5069" s="2">
        <v>8</v>
      </c>
      <c r="D5069" s="2">
        <v>556</v>
      </c>
      <c r="E5069" s="2">
        <v>200</v>
      </c>
      <c r="F5069" s="2">
        <v>32441</v>
      </c>
      <c r="G5069" s="2">
        <v>2.3338848919999999</v>
      </c>
      <c r="H5069" s="2">
        <v>2.5366886000000002E-2</v>
      </c>
      <c r="I5069" s="2" t="s">
        <v>23216</v>
      </c>
      <c r="J5069" s="2" t="s">
        <v>23217</v>
      </c>
      <c r="K5069" s="2">
        <v>3.9271517999999998E-2</v>
      </c>
      <c r="L5069" s="2" t="s">
        <v>1178</v>
      </c>
      <c r="M5069" s="4" t="s">
        <v>23218</v>
      </c>
    </row>
    <row r="5070" spans="1:13">
      <c r="A5070" s="2">
        <v>10811</v>
      </c>
      <c r="B5070" s="2" t="s">
        <v>23219</v>
      </c>
      <c r="C5070" s="2">
        <v>8</v>
      </c>
      <c r="D5070" s="2">
        <v>556</v>
      </c>
      <c r="E5070" s="2">
        <v>200</v>
      </c>
      <c r="F5070" s="2">
        <v>32441</v>
      </c>
      <c r="G5070" s="2">
        <v>2.3338848919999999</v>
      </c>
      <c r="H5070" s="2">
        <v>2.5366886000000002E-2</v>
      </c>
      <c r="I5070" s="2" t="s">
        <v>23220</v>
      </c>
      <c r="J5070" s="2" t="s">
        <v>23221</v>
      </c>
      <c r="K5070" s="2">
        <v>3.9271517999999998E-2</v>
      </c>
      <c r="L5070" s="2" t="s">
        <v>1178</v>
      </c>
      <c r="M5070" s="4" t="s">
        <v>23222</v>
      </c>
    </row>
    <row r="5071" spans="1:13">
      <c r="A5071" s="2">
        <v>1104</v>
      </c>
      <c r="B5071" s="2" t="s">
        <v>23223</v>
      </c>
      <c r="C5071" s="2">
        <v>8</v>
      </c>
      <c r="D5071" s="2">
        <v>556</v>
      </c>
      <c r="E5071" s="2">
        <v>200</v>
      </c>
      <c r="F5071" s="2">
        <v>32441</v>
      </c>
      <c r="G5071" s="2">
        <v>2.3338848919999999</v>
      </c>
      <c r="H5071" s="2">
        <v>2.5366886000000002E-2</v>
      </c>
      <c r="I5071" s="2" t="s">
        <v>23224</v>
      </c>
      <c r="J5071" s="2" t="s">
        <v>23225</v>
      </c>
      <c r="K5071" s="2">
        <v>3.9271517999999998E-2</v>
      </c>
      <c r="L5071" s="2" t="s">
        <v>1178</v>
      </c>
      <c r="M5071" s="4" t="s">
        <v>23226</v>
      </c>
    </row>
    <row r="5072" spans="1:13">
      <c r="A5072" s="2">
        <v>1106</v>
      </c>
      <c r="B5072" s="2" t="s">
        <v>23227</v>
      </c>
      <c r="C5072" s="2">
        <v>8</v>
      </c>
      <c r="D5072" s="2">
        <v>556</v>
      </c>
      <c r="E5072" s="2">
        <v>200</v>
      </c>
      <c r="F5072" s="2">
        <v>32441</v>
      </c>
      <c r="G5072" s="2">
        <v>2.3338848919999999</v>
      </c>
      <c r="H5072" s="2">
        <v>2.5366886000000002E-2</v>
      </c>
      <c r="I5072" s="2" t="s">
        <v>23228</v>
      </c>
      <c r="J5072" s="2" t="s">
        <v>23229</v>
      </c>
      <c r="K5072" s="2">
        <v>3.9271517999999998E-2</v>
      </c>
      <c r="L5072" s="2" t="s">
        <v>1178</v>
      </c>
      <c r="M5072" s="4" t="s">
        <v>23230</v>
      </c>
    </row>
    <row r="5073" spans="1:13">
      <c r="A5073" s="2">
        <v>1136</v>
      </c>
      <c r="B5073" s="2" t="s">
        <v>23231</v>
      </c>
      <c r="C5073" s="2">
        <v>8</v>
      </c>
      <c r="D5073" s="2">
        <v>556</v>
      </c>
      <c r="E5073" s="2">
        <v>200</v>
      </c>
      <c r="F5073" s="2">
        <v>32441</v>
      </c>
      <c r="G5073" s="2">
        <v>2.3338848919999999</v>
      </c>
      <c r="H5073" s="2">
        <v>2.5366886000000002E-2</v>
      </c>
      <c r="I5073" s="2" t="s">
        <v>23232</v>
      </c>
      <c r="J5073" s="2" t="s">
        <v>23233</v>
      </c>
      <c r="K5073" s="2">
        <v>3.9271517999999998E-2</v>
      </c>
      <c r="L5073" s="2" t="s">
        <v>1178</v>
      </c>
      <c r="M5073" s="4" t="s">
        <v>23234</v>
      </c>
    </row>
    <row r="5074" spans="1:13">
      <c r="A5074" s="2">
        <v>1156</v>
      </c>
      <c r="B5074" s="2" t="s">
        <v>23235</v>
      </c>
      <c r="C5074" s="2">
        <v>8</v>
      </c>
      <c r="D5074" s="2">
        <v>556</v>
      </c>
      <c r="E5074" s="2">
        <v>200</v>
      </c>
      <c r="F5074" s="2">
        <v>32441</v>
      </c>
      <c r="G5074" s="2">
        <v>2.3338848919999999</v>
      </c>
      <c r="H5074" s="2">
        <v>2.5366886000000002E-2</v>
      </c>
      <c r="I5074" s="2" t="s">
        <v>23236</v>
      </c>
      <c r="J5074" s="2" t="s">
        <v>23237</v>
      </c>
      <c r="K5074" s="2">
        <v>3.9271517999999998E-2</v>
      </c>
      <c r="L5074" s="2" t="s">
        <v>1178</v>
      </c>
      <c r="M5074" s="4" t="s">
        <v>23238</v>
      </c>
    </row>
    <row r="5075" spans="1:13">
      <c r="A5075" s="2">
        <v>11601</v>
      </c>
      <c r="B5075" s="2" t="s">
        <v>23239</v>
      </c>
      <c r="C5075" s="2">
        <v>8</v>
      </c>
      <c r="D5075" s="2">
        <v>556</v>
      </c>
      <c r="E5075" s="2">
        <v>200</v>
      </c>
      <c r="F5075" s="2">
        <v>32441</v>
      </c>
      <c r="G5075" s="2">
        <v>2.3338848919999999</v>
      </c>
      <c r="H5075" s="2">
        <v>2.5366886000000002E-2</v>
      </c>
      <c r="I5075" s="2" t="s">
        <v>23240</v>
      </c>
      <c r="J5075" s="2" t="s">
        <v>23241</v>
      </c>
      <c r="K5075" s="2">
        <v>3.9271517999999998E-2</v>
      </c>
      <c r="L5075" s="2" t="s">
        <v>1178</v>
      </c>
      <c r="M5075" s="4" t="s">
        <v>23242</v>
      </c>
    </row>
    <row r="5076" spans="1:13">
      <c r="A5076" s="2">
        <v>1184</v>
      </c>
      <c r="B5076" s="2" t="s">
        <v>23243</v>
      </c>
      <c r="C5076" s="2">
        <v>8</v>
      </c>
      <c r="D5076" s="2">
        <v>556</v>
      </c>
      <c r="E5076" s="2">
        <v>200</v>
      </c>
      <c r="F5076" s="2">
        <v>32441</v>
      </c>
      <c r="G5076" s="2">
        <v>2.3338848919999999</v>
      </c>
      <c r="H5076" s="2">
        <v>2.5366886000000002E-2</v>
      </c>
      <c r="I5076" s="2" t="s">
        <v>23244</v>
      </c>
      <c r="J5076" s="2" t="s">
        <v>23245</v>
      </c>
      <c r="K5076" s="2">
        <v>3.9271517999999998E-2</v>
      </c>
      <c r="L5076" s="2" t="s">
        <v>1178</v>
      </c>
      <c r="M5076" s="4" t="s">
        <v>23246</v>
      </c>
    </row>
    <row r="5077" spans="1:13">
      <c r="A5077" s="2">
        <v>1193</v>
      </c>
      <c r="B5077" s="2" t="s">
        <v>23247</v>
      </c>
      <c r="C5077" s="2">
        <v>8</v>
      </c>
      <c r="D5077" s="2">
        <v>556</v>
      </c>
      <c r="E5077" s="2">
        <v>200</v>
      </c>
      <c r="F5077" s="2">
        <v>32441</v>
      </c>
      <c r="G5077" s="2">
        <v>2.3338848919999999</v>
      </c>
      <c r="H5077" s="2">
        <v>2.5366886000000002E-2</v>
      </c>
      <c r="I5077" s="2" t="s">
        <v>23248</v>
      </c>
      <c r="J5077" s="2" t="s">
        <v>23249</v>
      </c>
      <c r="K5077" s="2">
        <v>3.9271517999999998E-2</v>
      </c>
      <c r="L5077" s="2" t="s">
        <v>1178</v>
      </c>
      <c r="M5077" s="4" t="s">
        <v>23250</v>
      </c>
    </row>
    <row r="5078" spans="1:13">
      <c r="A5078" s="2">
        <v>12012</v>
      </c>
      <c r="B5078" s="2" t="s">
        <v>23251</v>
      </c>
      <c r="C5078" s="2">
        <v>8</v>
      </c>
      <c r="D5078" s="2">
        <v>556</v>
      </c>
      <c r="E5078" s="2">
        <v>200</v>
      </c>
      <c r="F5078" s="2">
        <v>32441</v>
      </c>
      <c r="G5078" s="2">
        <v>2.3338848919999999</v>
      </c>
      <c r="H5078" s="2">
        <v>2.5366886000000002E-2</v>
      </c>
      <c r="I5078" s="2" t="s">
        <v>23252</v>
      </c>
      <c r="J5078" s="2" t="s">
        <v>23253</v>
      </c>
      <c r="K5078" s="2">
        <v>3.9271517999999998E-2</v>
      </c>
      <c r="L5078" s="2" t="s">
        <v>1178</v>
      </c>
      <c r="M5078" s="4" t="s">
        <v>23254</v>
      </c>
    </row>
    <row r="5079" spans="1:13">
      <c r="A5079" s="2">
        <v>1202</v>
      </c>
      <c r="B5079" s="2" t="s">
        <v>23255</v>
      </c>
      <c r="C5079" s="2">
        <v>8</v>
      </c>
      <c r="D5079" s="2">
        <v>556</v>
      </c>
      <c r="E5079" s="2">
        <v>200</v>
      </c>
      <c r="F5079" s="2">
        <v>32441</v>
      </c>
      <c r="G5079" s="2">
        <v>2.3338848919999999</v>
      </c>
      <c r="H5079" s="2">
        <v>2.5366886000000002E-2</v>
      </c>
      <c r="I5079" s="2" t="s">
        <v>23256</v>
      </c>
      <c r="J5079" s="2" t="s">
        <v>23257</v>
      </c>
      <c r="K5079" s="2">
        <v>3.9271517999999998E-2</v>
      </c>
      <c r="L5079" s="2" t="s">
        <v>1178</v>
      </c>
      <c r="M5079" s="4" t="s">
        <v>23258</v>
      </c>
    </row>
    <row r="5080" spans="1:13">
      <c r="A5080" s="2">
        <v>1203</v>
      </c>
      <c r="B5080" s="2" t="s">
        <v>23259</v>
      </c>
      <c r="C5080" s="2">
        <v>8</v>
      </c>
      <c r="D5080" s="2">
        <v>556</v>
      </c>
      <c r="E5080" s="2">
        <v>200</v>
      </c>
      <c r="F5080" s="2">
        <v>32441</v>
      </c>
      <c r="G5080" s="2">
        <v>2.3338848919999999</v>
      </c>
      <c r="H5080" s="2">
        <v>2.5366886000000002E-2</v>
      </c>
      <c r="I5080" s="2" t="s">
        <v>23260</v>
      </c>
      <c r="J5080" s="2" t="s">
        <v>23261</v>
      </c>
      <c r="K5080" s="2">
        <v>3.9271517999999998E-2</v>
      </c>
      <c r="L5080" s="2" t="s">
        <v>1178</v>
      </c>
      <c r="M5080" s="4" t="s">
        <v>23262</v>
      </c>
    </row>
    <row r="5081" spans="1:13">
      <c r="A5081" s="2">
        <v>1212</v>
      </c>
      <c r="B5081" s="2" t="s">
        <v>23263</v>
      </c>
      <c r="C5081" s="2">
        <v>8</v>
      </c>
      <c r="D5081" s="2">
        <v>556</v>
      </c>
      <c r="E5081" s="2">
        <v>200</v>
      </c>
      <c r="F5081" s="2">
        <v>32441</v>
      </c>
      <c r="G5081" s="2">
        <v>2.3338848919999999</v>
      </c>
      <c r="H5081" s="2">
        <v>2.5366886000000002E-2</v>
      </c>
      <c r="I5081" s="2" t="s">
        <v>23264</v>
      </c>
      <c r="J5081" s="2" t="s">
        <v>23265</v>
      </c>
      <c r="K5081" s="2">
        <v>3.9271517999999998E-2</v>
      </c>
      <c r="L5081" s="2" t="s">
        <v>1178</v>
      </c>
      <c r="M5081" s="4" t="s">
        <v>23266</v>
      </c>
    </row>
    <row r="5082" spans="1:13">
      <c r="A5082" s="2">
        <v>12171</v>
      </c>
      <c r="B5082" s="2" t="s">
        <v>23267</v>
      </c>
      <c r="C5082" s="2">
        <v>8</v>
      </c>
      <c r="D5082" s="2">
        <v>556</v>
      </c>
      <c r="E5082" s="2">
        <v>200</v>
      </c>
      <c r="F5082" s="2">
        <v>32441</v>
      </c>
      <c r="G5082" s="2">
        <v>2.3338848919999999</v>
      </c>
      <c r="H5082" s="2">
        <v>2.5366886000000002E-2</v>
      </c>
      <c r="I5082" s="2" t="s">
        <v>23268</v>
      </c>
      <c r="J5082" s="2" t="s">
        <v>23269</v>
      </c>
      <c r="K5082" s="2">
        <v>3.9271517999999998E-2</v>
      </c>
      <c r="L5082" s="2" t="s">
        <v>1178</v>
      </c>
      <c r="M5082" s="4" t="s">
        <v>23270</v>
      </c>
    </row>
    <row r="5083" spans="1:13">
      <c r="A5083" s="2">
        <v>12182</v>
      </c>
      <c r="B5083" s="2" t="s">
        <v>23271</v>
      </c>
      <c r="C5083" s="2">
        <v>8</v>
      </c>
      <c r="D5083" s="2">
        <v>556</v>
      </c>
      <c r="E5083" s="2">
        <v>200</v>
      </c>
      <c r="F5083" s="2">
        <v>32441</v>
      </c>
      <c r="G5083" s="2">
        <v>2.3338848919999999</v>
      </c>
      <c r="H5083" s="2">
        <v>2.5366886000000002E-2</v>
      </c>
      <c r="I5083" s="2" t="s">
        <v>23272</v>
      </c>
      <c r="J5083" s="2" t="s">
        <v>23273</v>
      </c>
      <c r="K5083" s="2">
        <v>3.9271517999999998E-2</v>
      </c>
      <c r="L5083" s="2" t="s">
        <v>1178</v>
      </c>
      <c r="M5083" s="4" t="s">
        <v>23274</v>
      </c>
    </row>
    <row r="5084" spans="1:13">
      <c r="A5084" s="2">
        <v>12211</v>
      </c>
      <c r="B5084" s="2" t="s">
        <v>23275</v>
      </c>
      <c r="C5084" s="2">
        <v>8</v>
      </c>
      <c r="D5084" s="2">
        <v>556</v>
      </c>
      <c r="E5084" s="2">
        <v>200</v>
      </c>
      <c r="F5084" s="2">
        <v>32441</v>
      </c>
      <c r="G5084" s="2">
        <v>2.3338848919999999</v>
      </c>
      <c r="H5084" s="2">
        <v>2.5366886000000002E-2</v>
      </c>
      <c r="I5084" s="2" t="s">
        <v>23276</v>
      </c>
      <c r="J5084" s="2" t="s">
        <v>23277</v>
      </c>
      <c r="K5084" s="2">
        <v>3.9271517999999998E-2</v>
      </c>
      <c r="L5084" s="2" t="s">
        <v>1178</v>
      </c>
      <c r="M5084" s="4" t="s">
        <v>23278</v>
      </c>
    </row>
    <row r="5085" spans="1:13">
      <c r="A5085" s="2">
        <v>12241</v>
      </c>
      <c r="B5085" s="2" t="s">
        <v>23279</v>
      </c>
      <c r="C5085" s="2">
        <v>8</v>
      </c>
      <c r="D5085" s="2">
        <v>556</v>
      </c>
      <c r="E5085" s="2">
        <v>200</v>
      </c>
      <c r="F5085" s="2">
        <v>32441</v>
      </c>
      <c r="G5085" s="2">
        <v>2.3338848919999999</v>
      </c>
      <c r="H5085" s="2">
        <v>2.5366886000000002E-2</v>
      </c>
      <c r="I5085" s="2" t="s">
        <v>23280</v>
      </c>
      <c r="J5085" s="2" t="s">
        <v>23281</v>
      </c>
      <c r="K5085" s="2">
        <v>3.9271517999999998E-2</v>
      </c>
      <c r="L5085" s="2" t="s">
        <v>1178</v>
      </c>
      <c r="M5085" s="4" t="s">
        <v>23282</v>
      </c>
    </row>
    <row r="5086" spans="1:13">
      <c r="A5086" s="2">
        <v>12251</v>
      </c>
      <c r="B5086" s="2" t="s">
        <v>23283</v>
      </c>
      <c r="C5086" s="2">
        <v>8</v>
      </c>
      <c r="D5086" s="2">
        <v>556</v>
      </c>
      <c r="E5086" s="2">
        <v>200</v>
      </c>
      <c r="F5086" s="2">
        <v>32441</v>
      </c>
      <c r="G5086" s="2">
        <v>2.3338848919999999</v>
      </c>
      <c r="H5086" s="2">
        <v>2.5366886000000002E-2</v>
      </c>
      <c r="I5086" s="2" t="s">
        <v>23284</v>
      </c>
      <c r="J5086" s="2" t="s">
        <v>23285</v>
      </c>
      <c r="K5086" s="2">
        <v>3.9271517999999998E-2</v>
      </c>
      <c r="L5086" s="2" t="s">
        <v>1178</v>
      </c>
      <c r="M5086" s="4" t="s">
        <v>23286</v>
      </c>
    </row>
    <row r="5087" spans="1:13">
      <c r="A5087" s="2">
        <v>12361</v>
      </c>
      <c r="B5087" s="2" t="s">
        <v>23287</v>
      </c>
      <c r="C5087" s="2">
        <v>8</v>
      </c>
      <c r="D5087" s="2">
        <v>556</v>
      </c>
      <c r="E5087" s="2">
        <v>200</v>
      </c>
      <c r="F5087" s="2">
        <v>32441</v>
      </c>
      <c r="G5087" s="2">
        <v>2.3338848919999999</v>
      </c>
      <c r="H5087" s="2">
        <v>2.5366886000000002E-2</v>
      </c>
      <c r="I5087" s="2" t="s">
        <v>23288</v>
      </c>
      <c r="J5087" s="2" t="s">
        <v>23289</v>
      </c>
      <c r="K5087" s="2">
        <v>3.9271517999999998E-2</v>
      </c>
      <c r="L5087" s="2" t="s">
        <v>1178</v>
      </c>
      <c r="M5087" s="4" t="s">
        <v>23290</v>
      </c>
    </row>
    <row r="5088" spans="1:13">
      <c r="A5088" s="2">
        <v>1240</v>
      </c>
      <c r="B5088" s="2" t="s">
        <v>23291</v>
      </c>
      <c r="C5088" s="2">
        <v>8</v>
      </c>
      <c r="D5088" s="2">
        <v>556</v>
      </c>
      <c r="E5088" s="2">
        <v>200</v>
      </c>
      <c r="F5088" s="2">
        <v>32441</v>
      </c>
      <c r="G5088" s="2">
        <v>2.3338848919999999</v>
      </c>
      <c r="H5088" s="2">
        <v>2.5366886000000002E-2</v>
      </c>
      <c r="I5088" s="2" t="s">
        <v>23292</v>
      </c>
      <c r="J5088" s="2" t="s">
        <v>23293</v>
      </c>
      <c r="K5088" s="2">
        <v>3.9271517999999998E-2</v>
      </c>
      <c r="L5088" s="2" t="s">
        <v>1178</v>
      </c>
      <c r="M5088" s="4" t="s">
        <v>23294</v>
      </c>
    </row>
    <row r="5089" spans="1:13">
      <c r="A5089" s="2">
        <v>1252</v>
      </c>
      <c r="B5089" s="2" t="s">
        <v>23295</v>
      </c>
      <c r="C5089" s="2">
        <v>8</v>
      </c>
      <c r="D5089" s="2">
        <v>556</v>
      </c>
      <c r="E5089" s="2">
        <v>200</v>
      </c>
      <c r="F5089" s="2">
        <v>32441</v>
      </c>
      <c r="G5089" s="2">
        <v>2.3338848919999999</v>
      </c>
      <c r="H5089" s="2">
        <v>2.5366886000000002E-2</v>
      </c>
      <c r="I5089" s="2" t="s">
        <v>23296</v>
      </c>
      <c r="J5089" s="2" t="s">
        <v>23297</v>
      </c>
      <c r="K5089" s="2">
        <v>3.9271517999999998E-2</v>
      </c>
      <c r="L5089" s="2" t="s">
        <v>1178</v>
      </c>
      <c r="M5089" s="4" t="s">
        <v>23298</v>
      </c>
    </row>
    <row r="5090" spans="1:13">
      <c r="A5090" s="2">
        <v>12981</v>
      </c>
      <c r="B5090" s="2" t="s">
        <v>23299</v>
      </c>
      <c r="C5090" s="2">
        <v>8</v>
      </c>
      <c r="D5090" s="2">
        <v>556</v>
      </c>
      <c r="E5090" s="2">
        <v>200</v>
      </c>
      <c r="F5090" s="2">
        <v>32441</v>
      </c>
      <c r="G5090" s="2">
        <v>2.3338848919999999</v>
      </c>
      <c r="H5090" s="2">
        <v>2.5366886000000002E-2</v>
      </c>
      <c r="I5090" s="2" t="s">
        <v>23300</v>
      </c>
      <c r="J5090" s="2" t="s">
        <v>23301</v>
      </c>
      <c r="K5090" s="2">
        <v>3.9271517999999998E-2</v>
      </c>
      <c r="L5090" s="2" t="s">
        <v>1178</v>
      </c>
      <c r="M5090" s="4" t="s">
        <v>23302</v>
      </c>
    </row>
    <row r="5091" spans="1:13">
      <c r="A5091" s="2">
        <v>1305</v>
      </c>
      <c r="B5091" s="2" t="s">
        <v>23303</v>
      </c>
      <c r="C5091" s="2">
        <v>8</v>
      </c>
      <c r="D5091" s="2">
        <v>556</v>
      </c>
      <c r="E5091" s="2">
        <v>200</v>
      </c>
      <c r="F5091" s="2">
        <v>32441</v>
      </c>
      <c r="G5091" s="2">
        <v>2.3338848919999999</v>
      </c>
      <c r="H5091" s="2">
        <v>2.5366886000000002E-2</v>
      </c>
      <c r="I5091" s="2" t="s">
        <v>23304</v>
      </c>
      <c r="J5091" s="2" t="s">
        <v>23305</v>
      </c>
      <c r="K5091" s="2">
        <v>3.9271517999999998E-2</v>
      </c>
      <c r="L5091" s="2" t="s">
        <v>1178</v>
      </c>
      <c r="M5091" s="4" t="s">
        <v>23306</v>
      </c>
    </row>
    <row r="5092" spans="1:13">
      <c r="A5092" s="2">
        <v>1306</v>
      </c>
      <c r="B5092" s="2" t="s">
        <v>23307</v>
      </c>
      <c r="C5092" s="2">
        <v>8</v>
      </c>
      <c r="D5092" s="2">
        <v>556</v>
      </c>
      <c r="E5092" s="2">
        <v>200</v>
      </c>
      <c r="F5092" s="2">
        <v>32441</v>
      </c>
      <c r="G5092" s="2">
        <v>2.3338848919999999</v>
      </c>
      <c r="H5092" s="2">
        <v>2.5366886000000002E-2</v>
      </c>
      <c r="I5092" s="2" t="s">
        <v>23308</v>
      </c>
      <c r="J5092" s="2" t="s">
        <v>23309</v>
      </c>
      <c r="K5092" s="2">
        <v>3.9271517999999998E-2</v>
      </c>
      <c r="L5092" s="2" t="s">
        <v>1178</v>
      </c>
      <c r="M5092" s="4" t="s">
        <v>23310</v>
      </c>
    </row>
    <row r="5093" spans="1:13">
      <c r="A5093" s="2">
        <v>1319</v>
      </c>
      <c r="B5093" s="2" t="s">
        <v>2124</v>
      </c>
      <c r="C5093" s="2">
        <v>8</v>
      </c>
      <c r="D5093" s="2">
        <v>556</v>
      </c>
      <c r="E5093" s="2">
        <v>200</v>
      </c>
      <c r="F5093" s="2">
        <v>32441</v>
      </c>
      <c r="G5093" s="2">
        <v>2.3338848919999999</v>
      </c>
      <c r="H5093" s="2">
        <v>2.5366886000000002E-2</v>
      </c>
      <c r="I5093" s="2" t="s">
        <v>23311</v>
      </c>
      <c r="J5093" s="2" t="s">
        <v>23312</v>
      </c>
      <c r="K5093" s="2">
        <v>3.9271517999999998E-2</v>
      </c>
      <c r="L5093" s="2" t="s">
        <v>1178</v>
      </c>
      <c r="M5093" s="4" t="s">
        <v>23313</v>
      </c>
    </row>
    <row r="5094" spans="1:13">
      <c r="A5094" s="2">
        <v>13211</v>
      </c>
      <c r="B5094" s="2" t="s">
        <v>3196</v>
      </c>
      <c r="C5094" s="2">
        <v>8</v>
      </c>
      <c r="D5094" s="2">
        <v>556</v>
      </c>
      <c r="E5094" s="2">
        <v>200</v>
      </c>
      <c r="F5094" s="2">
        <v>32441</v>
      </c>
      <c r="G5094" s="2">
        <v>2.3338848919999999</v>
      </c>
      <c r="H5094" s="2">
        <v>2.5366886000000002E-2</v>
      </c>
      <c r="I5094" s="2" t="s">
        <v>23314</v>
      </c>
      <c r="J5094" s="2" t="s">
        <v>23315</v>
      </c>
      <c r="K5094" s="2">
        <v>3.9271517999999998E-2</v>
      </c>
      <c r="L5094" s="2" t="s">
        <v>1178</v>
      </c>
      <c r="M5094" s="4" t="s">
        <v>3199</v>
      </c>
    </row>
    <row r="5095" spans="1:13">
      <c r="A5095" s="2">
        <v>1324</v>
      </c>
      <c r="B5095" s="2" t="s">
        <v>23316</v>
      </c>
      <c r="C5095" s="2">
        <v>8</v>
      </c>
      <c r="D5095" s="2">
        <v>556</v>
      </c>
      <c r="E5095" s="2">
        <v>200</v>
      </c>
      <c r="F5095" s="2">
        <v>32441</v>
      </c>
      <c r="G5095" s="2">
        <v>2.3338848919999999</v>
      </c>
      <c r="H5095" s="2">
        <v>2.5366886000000002E-2</v>
      </c>
      <c r="I5095" s="2" t="s">
        <v>23317</v>
      </c>
      <c r="J5095" s="2" t="s">
        <v>23318</v>
      </c>
      <c r="K5095" s="2">
        <v>3.9271517999999998E-2</v>
      </c>
      <c r="L5095" s="2" t="s">
        <v>1178</v>
      </c>
      <c r="M5095" s="4" t="s">
        <v>23319</v>
      </c>
    </row>
    <row r="5096" spans="1:13">
      <c r="A5096" s="2">
        <v>13331</v>
      </c>
      <c r="B5096" s="2" t="s">
        <v>23320</v>
      </c>
      <c r="C5096" s="2">
        <v>8</v>
      </c>
      <c r="D5096" s="2">
        <v>556</v>
      </c>
      <c r="E5096" s="2">
        <v>200</v>
      </c>
      <c r="F5096" s="2">
        <v>32441</v>
      </c>
      <c r="G5096" s="2">
        <v>2.3338848919999999</v>
      </c>
      <c r="H5096" s="2">
        <v>2.5366886000000002E-2</v>
      </c>
      <c r="I5096" s="2" t="s">
        <v>23321</v>
      </c>
      <c r="J5096" s="2" t="s">
        <v>23322</v>
      </c>
      <c r="K5096" s="2">
        <v>3.9271517999999998E-2</v>
      </c>
      <c r="L5096" s="2" t="s">
        <v>1178</v>
      </c>
      <c r="M5096" s="4" t="s">
        <v>23323</v>
      </c>
    </row>
    <row r="5097" spans="1:13">
      <c r="A5097" s="2">
        <v>1337</v>
      </c>
      <c r="B5097" s="2" t="s">
        <v>23324</v>
      </c>
      <c r="C5097" s="2">
        <v>8</v>
      </c>
      <c r="D5097" s="2">
        <v>556</v>
      </c>
      <c r="E5097" s="2">
        <v>199</v>
      </c>
      <c r="F5097" s="2">
        <v>32441</v>
      </c>
      <c r="G5097" s="2">
        <v>2.3456129570000002</v>
      </c>
      <c r="H5097" s="2">
        <v>2.4740835999999999E-2</v>
      </c>
      <c r="I5097" s="2" t="s">
        <v>23325</v>
      </c>
      <c r="J5097" s="2" t="s">
        <v>23326</v>
      </c>
      <c r="K5097" s="2">
        <v>3.9271517999999998E-2</v>
      </c>
      <c r="L5097" s="2" t="s">
        <v>1178</v>
      </c>
      <c r="M5097" s="4" t="s">
        <v>23327</v>
      </c>
    </row>
    <row r="5098" spans="1:13">
      <c r="A5098" s="2">
        <v>1338</v>
      </c>
      <c r="B5098" s="2" t="s">
        <v>23328</v>
      </c>
      <c r="C5098" s="2">
        <v>8</v>
      </c>
      <c r="D5098" s="2">
        <v>556</v>
      </c>
      <c r="E5098" s="2">
        <v>200</v>
      </c>
      <c r="F5098" s="2">
        <v>32441</v>
      </c>
      <c r="G5098" s="2">
        <v>2.3338848919999999</v>
      </c>
      <c r="H5098" s="2">
        <v>2.5366886000000002E-2</v>
      </c>
      <c r="I5098" s="2" t="s">
        <v>23329</v>
      </c>
      <c r="J5098" s="2" t="s">
        <v>23330</v>
      </c>
      <c r="K5098" s="2">
        <v>3.9271517999999998E-2</v>
      </c>
      <c r="L5098" s="2" t="s">
        <v>1178</v>
      </c>
      <c r="M5098" s="4" t="s">
        <v>23331</v>
      </c>
    </row>
    <row r="5099" spans="1:13">
      <c r="A5099" s="2">
        <v>1339</v>
      </c>
      <c r="B5099" s="2" t="s">
        <v>23332</v>
      </c>
      <c r="C5099" s="2">
        <v>8</v>
      </c>
      <c r="D5099" s="2">
        <v>556</v>
      </c>
      <c r="E5099" s="2">
        <v>199</v>
      </c>
      <c r="F5099" s="2">
        <v>32441</v>
      </c>
      <c r="G5099" s="2">
        <v>2.3456129570000002</v>
      </c>
      <c r="H5099" s="2">
        <v>2.4740835999999999E-2</v>
      </c>
      <c r="I5099" s="2" t="s">
        <v>23333</v>
      </c>
      <c r="J5099" s="2" t="s">
        <v>23334</v>
      </c>
      <c r="K5099" s="2">
        <v>3.9271517999999998E-2</v>
      </c>
      <c r="L5099" s="2" t="s">
        <v>1178</v>
      </c>
      <c r="M5099" s="4" t="s">
        <v>23335</v>
      </c>
    </row>
    <row r="5100" spans="1:13">
      <c r="A5100" s="2">
        <v>1368</v>
      </c>
      <c r="B5100" s="2" t="s">
        <v>23336</v>
      </c>
      <c r="C5100" s="2">
        <v>8</v>
      </c>
      <c r="D5100" s="2">
        <v>556</v>
      </c>
      <c r="E5100" s="2">
        <v>200</v>
      </c>
      <c r="F5100" s="2">
        <v>32441</v>
      </c>
      <c r="G5100" s="2">
        <v>2.3338848919999999</v>
      </c>
      <c r="H5100" s="2">
        <v>2.5366886000000002E-2</v>
      </c>
      <c r="I5100" s="2" t="s">
        <v>23337</v>
      </c>
      <c r="J5100" s="2" t="s">
        <v>23338</v>
      </c>
      <c r="K5100" s="2">
        <v>3.9271517999999998E-2</v>
      </c>
      <c r="L5100" s="2" t="s">
        <v>1178</v>
      </c>
      <c r="M5100" s="4" t="s">
        <v>23339</v>
      </c>
    </row>
    <row r="5101" spans="1:13">
      <c r="A5101" s="2">
        <v>13721</v>
      </c>
      <c r="B5101" s="2" t="s">
        <v>23340</v>
      </c>
      <c r="C5101" s="2">
        <v>8</v>
      </c>
      <c r="D5101" s="2">
        <v>556</v>
      </c>
      <c r="E5101" s="2">
        <v>200</v>
      </c>
      <c r="F5101" s="2">
        <v>32441</v>
      </c>
      <c r="G5101" s="2">
        <v>2.3338848919999999</v>
      </c>
      <c r="H5101" s="2">
        <v>2.5366886000000002E-2</v>
      </c>
      <c r="I5101" s="2" t="s">
        <v>23341</v>
      </c>
      <c r="J5101" s="2" t="s">
        <v>23342</v>
      </c>
      <c r="K5101" s="2">
        <v>3.9271517999999998E-2</v>
      </c>
      <c r="L5101" s="2" t="s">
        <v>1178</v>
      </c>
      <c r="M5101" s="4" t="s">
        <v>23343</v>
      </c>
    </row>
    <row r="5102" spans="1:13">
      <c r="A5102" s="2">
        <v>1402</v>
      </c>
      <c r="B5102" s="2" t="s">
        <v>23344</v>
      </c>
      <c r="C5102" s="2">
        <v>8</v>
      </c>
      <c r="D5102" s="2">
        <v>556</v>
      </c>
      <c r="E5102" s="2">
        <v>200</v>
      </c>
      <c r="F5102" s="2">
        <v>32441</v>
      </c>
      <c r="G5102" s="2">
        <v>2.3338848919999999</v>
      </c>
      <c r="H5102" s="2">
        <v>2.5366886000000002E-2</v>
      </c>
      <c r="I5102" s="2" t="s">
        <v>23345</v>
      </c>
      <c r="J5102" s="2" t="s">
        <v>23346</v>
      </c>
      <c r="K5102" s="2">
        <v>3.9271517999999998E-2</v>
      </c>
      <c r="L5102" s="2" t="s">
        <v>1178</v>
      </c>
      <c r="M5102" s="4" t="s">
        <v>23347</v>
      </c>
    </row>
    <row r="5103" spans="1:13">
      <c r="A5103" s="2">
        <v>1427</v>
      </c>
      <c r="B5103" s="2" t="s">
        <v>23348</v>
      </c>
      <c r="C5103" s="2">
        <v>8</v>
      </c>
      <c r="D5103" s="2">
        <v>556</v>
      </c>
      <c r="E5103" s="2">
        <v>200</v>
      </c>
      <c r="F5103" s="2">
        <v>32441</v>
      </c>
      <c r="G5103" s="2">
        <v>2.3338848919999999</v>
      </c>
      <c r="H5103" s="2">
        <v>2.5366886000000002E-2</v>
      </c>
      <c r="I5103" s="2" t="s">
        <v>23349</v>
      </c>
      <c r="J5103" s="2" t="s">
        <v>23350</v>
      </c>
      <c r="K5103" s="2">
        <v>3.9271517999999998E-2</v>
      </c>
      <c r="L5103" s="2" t="s">
        <v>1178</v>
      </c>
      <c r="M5103" s="4" t="s">
        <v>23351</v>
      </c>
    </row>
    <row r="5104" spans="1:13">
      <c r="A5104" s="2">
        <v>1436</v>
      </c>
      <c r="B5104" s="2" t="s">
        <v>23352</v>
      </c>
      <c r="C5104" s="2">
        <v>8</v>
      </c>
      <c r="D5104" s="2">
        <v>556</v>
      </c>
      <c r="E5104" s="2">
        <v>200</v>
      </c>
      <c r="F5104" s="2">
        <v>32441</v>
      </c>
      <c r="G5104" s="2">
        <v>2.3338848919999999</v>
      </c>
      <c r="H5104" s="2">
        <v>2.5366886000000002E-2</v>
      </c>
      <c r="I5104" s="2" t="s">
        <v>23353</v>
      </c>
      <c r="J5104" s="2" t="s">
        <v>23354</v>
      </c>
      <c r="K5104" s="2">
        <v>3.9271517999999998E-2</v>
      </c>
      <c r="L5104" s="2" t="s">
        <v>1178</v>
      </c>
      <c r="M5104" s="4" t="s">
        <v>23355</v>
      </c>
    </row>
    <row r="5105" spans="1:13">
      <c r="A5105" s="2">
        <v>14412</v>
      </c>
      <c r="B5105" s="2" t="s">
        <v>2466</v>
      </c>
      <c r="C5105" s="2">
        <v>8</v>
      </c>
      <c r="D5105" s="2">
        <v>556</v>
      </c>
      <c r="E5105" s="2">
        <v>200</v>
      </c>
      <c r="F5105" s="2">
        <v>32441</v>
      </c>
      <c r="G5105" s="2">
        <v>2.3338848919999999</v>
      </c>
      <c r="H5105" s="2">
        <v>2.5366886000000002E-2</v>
      </c>
      <c r="I5105" s="2" t="s">
        <v>23356</v>
      </c>
      <c r="J5105" s="2" t="s">
        <v>23357</v>
      </c>
      <c r="K5105" s="2">
        <v>3.9271517999999998E-2</v>
      </c>
      <c r="L5105" s="2" t="s">
        <v>1178</v>
      </c>
      <c r="M5105" s="4" t="s">
        <v>23358</v>
      </c>
    </row>
    <row r="5106" spans="1:13">
      <c r="A5106" s="2">
        <v>1446</v>
      </c>
      <c r="B5106" s="2" t="s">
        <v>23359</v>
      </c>
      <c r="C5106" s="2">
        <v>8</v>
      </c>
      <c r="D5106" s="2">
        <v>556</v>
      </c>
      <c r="E5106" s="2">
        <v>200</v>
      </c>
      <c r="F5106" s="2">
        <v>32441</v>
      </c>
      <c r="G5106" s="2">
        <v>2.3338848919999999</v>
      </c>
      <c r="H5106" s="2">
        <v>2.5366886000000002E-2</v>
      </c>
      <c r="I5106" s="2" t="s">
        <v>23360</v>
      </c>
      <c r="J5106" s="2" t="s">
        <v>23361</v>
      </c>
      <c r="K5106" s="2">
        <v>3.9271517999999998E-2</v>
      </c>
      <c r="L5106" s="2" t="s">
        <v>1178</v>
      </c>
      <c r="M5106" s="4" t="s">
        <v>23362</v>
      </c>
    </row>
    <row r="5107" spans="1:13">
      <c r="A5107" s="2">
        <v>14531</v>
      </c>
      <c r="B5107" s="2" t="s">
        <v>23363</v>
      </c>
      <c r="C5107" s="2">
        <v>8</v>
      </c>
      <c r="D5107" s="2">
        <v>556</v>
      </c>
      <c r="E5107" s="2">
        <v>200</v>
      </c>
      <c r="F5107" s="2">
        <v>32441</v>
      </c>
      <c r="G5107" s="2">
        <v>2.3338848919999999</v>
      </c>
      <c r="H5107" s="2">
        <v>2.5366886000000002E-2</v>
      </c>
      <c r="I5107" s="2" t="s">
        <v>23364</v>
      </c>
      <c r="J5107" s="2" t="s">
        <v>23365</v>
      </c>
      <c r="K5107" s="2">
        <v>3.9271517999999998E-2</v>
      </c>
      <c r="L5107" s="2" t="s">
        <v>1178</v>
      </c>
      <c r="M5107" s="4" t="s">
        <v>23366</v>
      </c>
    </row>
    <row r="5108" spans="1:13">
      <c r="A5108" s="2">
        <v>1458</v>
      </c>
      <c r="B5108" s="2" t="s">
        <v>23367</v>
      </c>
      <c r="C5108" s="2">
        <v>8</v>
      </c>
      <c r="D5108" s="2">
        <v>556</v>
      </c>
      <c r="E5108" s="2">
        <v>200</v>
      </c>
      <c r="F5108" s="2">
        <v>32441</v>
      </c>
      <c r="G5108" s="2">
        <v>2.3338848919999999</v>
      </c>
      <c r="H5108" s="2">
        <v>2.5366886000000002E-2</v>
      </c>
      <c r="I5108" s="2" t="s">
        <v>23368</v>
      </c>
      <c r="J5108" s="2" t="s">
        <v>23369</v>
      </c>
      <c r="K5108" s="2">
        <v>3.9271517999999998E-2</v>
      </c>
      <c r="L5108" s="2" t="s">
        <v>1178</v>
      </c>
      <c r="M5108" s="4" t="s">
        <v>23370</v>
      </c>
    </row>
    <row r="5109" spans="1:13">
      <c r="A5109" s="2">
        <v>1461</v>
      </c>
      <c r="B5109" s="2" t="s">
        <v>1686</v>
      </c>
      <c r="C5109" s="2">
        <v>8</v>
      </c>
      <c r="D5109" s="2">
        <v>556</v>
      </c>
      <c r="E5109" s="2">
        <v>200</v>
      </c>
      <c r="F5109" s="2">
        <v>32441</v>
      </c>
      <c r="G5109" s="2">
        <v>2.3338848919999999</v>
      </c>
      <c r="H5109" s="2">
        <v>2.5366886000000002E-2</v>
      </c>
      <c r="I5109" s="2" t="s">
        <v>23371</v>
      </c>
      <c r="J5109" s="2" t="s">
        <v>23372</v>
      </c>
      <c r="K5109" s="2">
        <v>3.9271517999999998E-2</v>
      </c>
      <c r="L5109" s="2" t="s">
        <v>1178</v>
      </c>
      <c r="M5109" s="4" t="s">
        <v>23373</v>
      </c>
    </row>
    <row r="5110" spans="1:13">
      <c r="A5110" s="2">
        <v>1470</v>
      </c>
      <c r="B5110" s="2" t="s">
        <v>23374</v>
      </c>
      <c r="C5110" s="2">
        <v>8</v>
      </c>
      <c r="D5110" s="2">
        <v>556</v>
      </c>
      <c r="E5110" s="2">
        <v>200</v>
      </c>
      <c r="F5110" s="2">
        <v>32441</v>
      </c>
      <c r="G5110" s="2">
        <v>2.3338848919999999</v>
      </c>
      <c r="H5110" s="2">
        <v>2.5366886000000002E-2</v>
      </c>
      <c r="I5110" s="2" t="s">
        <v>23375</v>
      </c>
      <c r="J5110" s="2" t="s">
        <v>23376</v>
      </c>
      <c r="K5110" s="2">
        <v>3.9271517999999998E-2</v>
      </c>
      <c r="L5110" s="2" t="s">
        <v>1178</v>
      </c>
      <c r="M5110" s="4" t="s">
        <v>23377</v>
      </c>
    </row>
    <row r="5111" spans="1:13">
      <c r="A5111" s="2">
        <v>14761</v>
      </c>
      <c r="B5111" s="2" t="s">
        <v>23378</v>
      </c>
      <c r="C5111" s="2">
        <v>8</v>
      </c>
      <c r="D5111" s="2">
        <v>556</v>
      </c>
      <c r="E5111" s="2">
        <v>200</v>
      </c>
      <c r="F5111" s="2">
        <v>32441</v>
      </c>
      <c r="G5111" s="2">
        <v>2.3338848919999999</v>
      </c>
      <c r="H5111" s="2">
        <v>2.5366886000000002E-2</v>
      </c>
      <c r="I5111" s="2" t="s">
        <v>23379</v>
      </c>
      <c r="J5111" s="2" t="s">
        <v>23380</v>
      </c>
      <c r="K5111" s="2">
        <v>3.9271517999999998E-2</v>
      </c>
      <c r="L5111" s="2" t="s">
        <v>1178</v>
      </c>
      <c r="M5111" s="4" t="s">
        <v>23381</v>
      </c>
    </row>
    <row r="5112" spans="1:13">
      <c r="A5112" s="2">
        <v>14931</v>
      </c>
      <c r="B5112" s="2" t="s">
        <v>23382</v>
      </c>
      <c r="C5112" s="2">
        <v>8</v>
      </c>
      <c r="D5112" s="2">
        <v>556</v>
      </c>
      <c r="E5112" s="2">
        <v>200</v>
      </c>
      <c r="F5112" s="2">
        <v>32441</v>
      </c>
      <c r="G5112" s="2">
        <v>2.3338848919999999</v>
      </c>
      <c r="H5112" s="2">
        <v>2.5366886000000002E-2</v>
      </c>
      <c r="I5112" s="2" t="s">
        <v>23383</v>
      </c>
      <c r="J5112" s="2" t="s">
        <v>23384</v>
      </c>
      <c r="K5112" s="2">
        <v>3.9271517999999998E-2</v>
      </c>
      <c r="L5112" s="2" t="s">
        <v>1178</v>
      </c>
      <c r="M5112" s="4" t="s">
        <v>23385</v>
      </c>
    </row>
    <row r="5113" spans="1:13">
      <c r="A5113" s="2">
        <v>14951</v>
      </c>
      <c r="B5113" s="2" t="s">
        <v>23386</v>
      </c>
      <c r="C5113" s="2">
        <v>8</v>
      </c>
      <c r="D5113" s="2">
        <v>556</v>
      </c>
      <c r="E5113" s="2">
        <v>200</v>
      </c>
      <c r="F5113" s="2">
        <v>32441</v>
      </c>
      <c r="G5113" s="2">
        <v>2.3338848919999999</v>
      </c>
      <c r="H5113" s="2">
        <v>2.5366886000000002E-2</v>
      </c>
      <c r="I5113" s="2" t="s">
        <v>23387</v>
      </c>
      <c r="J5113" s="2" t="s">
        <v>23388</v>
      </c>
      <c r="K5113" s="2">
        <v>3.9271517999999998E-2</v>
      </c>
      <c r="L5113" s="2" t="s">
        <v>1178</v>
      </c>
      <c r="M5113" s="4" t="s">
        <v>23389</v>
      </c>
    </row>
    <row r="5114" spans="1:13">
      <c r="A5114" s="2">
        <v>15331</v>
      </c>
      <c r="B5114" s="2" t="s">
        <v>23390</v>
      </c>
      <c r="C5114" s="2">
        <v>8</v>
      </c>
      <c r="D5114" s="2">
        <v>556</v>
      </c>
      <c r="E5114" s="2">
        <v>200</v>
      </c>
      <c r="F5114" s="2">
        <v>32441</v>
      </c>
      <c r="G5114" s="2">
        <v>2.3338848919999999</v>
      </c>
      <c r="H5114" s="2">
        <v>2.5366886000000002E-2</v>
      </c>
      <c r="I5114" s="2" t="s">
        <v>23391</v>
      </c>
      <c r="J5114" s="2" t="s">
        <v>23392</v>
      </c>
      <c r="K5114" s="2">
        <v>3.9271517999999998E-2</v>
      </c>
      <c r="L5114" s="2" t="s">
        <v>1178</v>
      </c>
      <c r="M5114" s="4" t="s">
        <v>23393</v>
      </c>
    </row>
    <row r="5115" spans="1:13">
      <c r="A5115" s="2">
        <v>15441</v>
      </c>
      <c r="B5115" s="2" t="s">
        <v>23394</v>
      </c>
      <c r="C5115" s="2">
        <v>8</v>
      </c>
      <c r="D5115" s="2">
        <v>556</v>
      </c>
      <c r="E5115" s="2">
        <v>199</v>
      </c>
      <c r="F5115" s="2">
        <v>32441</v>
      </c>
      <c r="G5115" s="2">
        <v>2.3456129570000002</v>
      </c>
      <c r="H5115" s="2">
        <v>2.4740835999999999E-2</v>
      </c>
      <c r="I5115" s="2" t="s">
        <v>23395</v>
      </c>
      <c r="J5115" s="2" t="s">
        <v>23396</v>
      </c>
      <c r="K5115" s="2">
        <v>3.9271517999999998E-2</v>
      </c>
      <c r="L5115" s="2" t="s">
        <v>1178</v>
      </c>
      <c r="M5115" s="4" t="s">
        <v>23397</v>
      </c>
    </row>
    <row r="5116" spans="1:13">
      <c r="A5116" s="2">
        <v>15621</v>
      </c>
      <c r="B5116" s="2" t="s">
        <v>1692</v>
      </c>
      <c r="C5116" s="2">
        <v>8</v>
      </c>
      <c r="D5116" s="2">
        <v>556</v>
      </c>
      <c r="E5116" s="2">
        <v>200</v>
      </c>
      <c r="F5116" s="2">
        <v>32441</v>
      </c>
      <c r="G5116" s="2">
        <v>2.3338848919999999</v>
      </c>
      <c r="H5116" s="2">
        <v>2.5366886000000002E-2</v>
      </c>
      <c r="I5116" s="2" t="s">
        <v>23398</v>
      </c>
      <c r="J5116" s="2" t="s">
        <v>23399</v>
      </c>
      <c r="K5116" s="2">
        <v>3.9271517999999998E-2</v>
      </c>
      <c r="L5116" s="2" t="s">
        <v>1178</v>
      </c>
      <c r="M5116" s="4" t="s">
        <v>23400</v>
      </c>
    </row>
    <row r="5117" spans="1:13">
      <c r="A5117" s="2">
        <v>1596</v>
      </c>
      <c r="B5117" s="2" t="s">
        <v>1377</v>
      </c>
      <c r="C5117" s="2">
        <v>8</v>
      </c>
      <c r="D5117" s="2">
        <v>556</v>
      </c>
      <c r="E5117" s="2">
        <v>200</v>
      </c>
      <c r="F5117" s="2">
        <v>32441</v>
      </c>
      <c r="G5117" s="2">
        <v>2.3338848919999999</v>
      </c>
      <c r="H5117" s="2">
        <v>2.5366886000000002E-2</v>
      </c>
      <c r="I5117" s="2" t="s">
        <v>23401</v>
      </c>
      <c r="J5117" s="2" t="s">
        <v>23402</v>
      </c>
      <c r="K5117" s="2">
        <v>3.9271517999999998E-2</v>
      </c>
      <c r="L5117" s="2" t="s">
        <v>1178</v>
      </c>
      <c r="M5117" s="4" t="s">
        <v>23403</v>
      </c>
    </row>
    <row r="5118" spans="1:13">
      <c r="A5118" s="2">
        <v>16091</v>
      </c>
      <c r="B5118" s="2" t="s">
        <v>2163</v>
      </c>
      <c r="C5118" s="2">
        <v>8</v>
      </c>
      <c r="D5118" s="2">
        <v>556</v>
      </c>
      <c r="E5118" s="2">
        <v>200</v>
      </c>
      <c r="F5118" s="2">
        <v>32441</v>
      </c>
      <c r="G5118" s="2">
        <v>2.3338848919999999</v>
      </c>
      <c r="H5118" s="2">
        <v>2.5366886000000002E-2</v>
      </c>
      <c r="I5118" s="2" t="s">
        <v>23404</v>
      </c>
      <c r="J5118" s="2" t="s">
        <v>23405</v>
      </c>
      <c r="K5118" s="2">
        <v>3.9271517999999998E-2</v>
      </c>
      <c r="L5118" s="2" t="s">
        <v>1178</v>
      </c>
      <c r="M5118" s="4" t="s">
        <v>23406</v>
      </c>
    </row>
    <row r="5119" spans="1:13">
      <c r="A5119" s="2">
        <v>16481</v>
      </c>
      <c r="B5119" s="2" t="s">
        <v>1596</v>
      </c>
      <c r="C5119" s="2">
        <v>8</v>
      </c>
      <c r="D5119" s="2">
        <v>556</v>
      </c>
      <c r="E5119" s="2">
        <v>200</v>
      </c>
      <c r="F5119" s="2">
        <v>32441</v>
      </c>
      <c r="G5119" s="2">
        <v>2.3338848919999999</v>
      </c>
      <c r="H5119" s="2">
        <v>2.5366886000000002E-2</v>
      </c>
      <c r="I5119" s="2" t="s">
        <v>23407</v>
      </c>
      <c r="J5119" s="2" t="s">
        <v>23408</v>
      </c>
      <c r="K5119" s="2">
        <v>3.9271517999999998E-2</v>
      </c>
      <c r="L5119" s="2" t="s">
        <v>1178</v>
      </c>
      <c r="M5119" s="4" t="s">
        <v>23409</v>
      </c>
    </row>
    <row r="5120" spans="1:13">
      <c r="A5120" s="2">
        <v>1649</v>
      </c>
      <c r="B5120" s="2" t="s">
        <v>23410</v>
      </c>
      <c r="C5120" s="2">
        <v>8</v>
      </c>
      <c r="D5120" s="2">
        <v>556</v>
      </c>
      <c r="E5120" s="2">
        <v>200</v>
      </c>
      <c r="F5120" s="2">
        <v>32441</v>
      </c>
      <c r="G5120" s="2">
        <v>2.3338848919999999</v>
      </c>
      <c r="H5120" s="2">
        <v>2.5366886000000002E-2</v>
      </c>
      <c r="I5120" s="2" t="s">
        <v>23411</v>
      </c>
      <c r="J5120" s="2" t="s">
        <v>23412</v>
      </c>
      <c r="K5120" s="2">
        <v>3.9271517999999998E-2</v>
      </c>
      <c r="L5120" s="2" t="s">
        <v>1178</v>
      </c>
      <c r="M5120" s="4" t="s">
        <v>23413</v>
      </c>
    </row>
    <row r="5121" spans="1:13">
      <c r="A5121" s="2">
        <v>16521</v>
      </c>
      <c r="B5121" s="2" t="s">
        <v>23414</v>
      </c>
      <c r="C5121" s="2">
        <v>8</v>
      </c>
      <c r="D5121" s="2">
        <v>556</v>
      </c>
      <c r="E5121" s="2">
        <v>200</v>
      </c>
      <c r="F5121" s="2">
        <v>32441</v>
      </c>
      <c r="G5121" s="2">
        <v>2.3338848919999999</v>
      </c>
      <c r="H5121" s="2">
        <v>2.5366886000000002E-2</v>
      </c>
      <c r="I5121" s="2" t="s">
        <v>23415</v>
      </c>
      <c r="J5121" s="2" t="s">
        <v>23416</v>
      </c>
      <c r="K5121" s="2">
        <v>3.9271517999999998E-2</v>
      </c>
      <c r="L5121" s="2" t="s">
        <v>1178</v>
      </c>
      <c r="M5121" s="4" t="s">
        <v>23417</v>
      </c>
    </row>
    <row r="5122" spans="1:13">
      <c r="A5122" s="2">
        <v>16621</v>
      </c>
      <c r="B5122" s="2" t="s">
        <v>1299</v>
      </c>
      <c r="C5122" s="2">
        <v>8</v>
      </c>
      <c r="D5122" s="2">
        <v>556</v>
      </c>
      <c r="E5122" s="2">
        <v>200</v>
      </c>
      <c r="F5122" s="2">
        <v>32441</v>
      </c>
      <c r="G5122" s="2">
        <v>2.3338848919999999</v>
      </c>
      <c r="H5122" s="2">
        <v>2.5366886000000002E-2</v>
      </c>
      <c r="I5122" s="2" t="s">
        <v>23418</v>
      </c>
      <c r="J5122" s="2" t="s">
        <v>23419</v>
      </c>
      <c r="K5122" s="2">
        <v>3.9271517999999998E-2</v>
      </c>
      <c r="L5122" s="2" t="s">
        <v>1178</v>
      </c>
      <c r="M5122" s="4" t="s">
        <v>23420</v>
      </c>
    </row>
    <row r="5123" spans="1:13">
      <c r="A5123" s="2">
        <v>16631</v>
      </c>
      <c r="B5123" s="2" t="s">
        <v>23421</v>
      </c>
      <c r="C5123" s="2">
        <v>8</v>
      </c>
      <c r="D5123" s="2">
        <v>556</v>
      </c>
      <c r="E5123" s="2">
        <v>200</v>
      </c>
      <c r="F5123" s="2">
        <v>32441</v>
      </c>
      <c r="G5123" s="2">
        <v>2.3338848919999999</v>
      </c>
      <c r="H5123" s="2">
        <v>2.5366886000000002E-2</v>
      </c>
      <c r="I5123" s="2" t="s">
        <v>23422</v>
      </c>
      <c r="J5123" s="2" t="s">
        <v>23423</v>
      </c>
      <c r="K5123" s="2">
        <v>3.9271517999999998E-2</v>
      </c>
      <c r="L5123" s="2" t="s">
        <v>1178</v>
      </c>
      <c r="M5123" s="4" t="s">
        <v>23424</v>
      </c>
    </row>
    <row r="5124" spans="1:13">
      <c r="A5124" s="2">
        <v>1688</v>
      </c>
      <c r="B5124" s="2" t="s">
        <v>23425</v>
      </c>
      <c r="C5124" s="2">
        <v>8</v>
      </c>
      <c r="D5124" s="2">
        <v>556</v>
      </c>
      <c r="E5124" s="2">
        <v>200</v>
      </c>
      <c r="F5124" s="2">
        <v>32441</v>
      </c>
      <c r="G5124" s="2">
        <v>2.3338848919999999</v>
      </c>
      <c r="H5124" s="2">
        <v>2.5366886000000002E-2</v>
      </c>
      <c r="I5124" s="2" t="s">
        <v>23426</v>
      </c>
      <c r="J5124" s="2" t="s">
        <v>23427</v>
      </c>
      <c r="K5124" s="2">
        <v>3.9271517999999998E-2</v>
      </c>
      <c r="L5124" s="2" t="s">
        <v>1178</v>
      </c>
      <c r="M5124" s="4" t="s">
        <v>23428</v>
      </c>
    </row>
    <row r="5125" spans="1:13">
      <c r="A5125" s="2">
        <v>16961</v>
      </c>
      <c r="B5125" s="2" t="s">
        <v>23429</v>
      </c>
      <c r="C5125" s="2">
        <v>8</v>
      </c>
      <c r="D5125" s="2">
        <v>556</v>
      </c>
      <c r="E5125" s="2">
        <v>200</v>
      </c>
      <c r="F5125" s="2">
        <v>32441</v>
      </c>
      <c r="G5125" s="2">
        <v>2.3338848919999999</v>
      </c>
      <c r="H5125" s="2">
        <v>2.5366886000000002E-2</v>
      </c>
      <c r="I5125" s="2" t="s">
        <v>23430</v>
      </c>
      <c r="J5125" s="2" t="s">
        <v>23431</v>
      </c>
      <c r="K5125" s="2">
        <v>3.9271517999999998E-2</v>
      </c>
      <c r="L5125" s="2" t="s">
        <v>1178</v>
      </c>
      <c r="M5125" s="4" t="s">
        <v>23432</v>
      </c>
    </row>
    <row r="5126" spans="1:13">
      <c r="A5126" s="2">
        <v>1714</v>
      </c>
      <c r="B5126" s="2" t="s">
        <v>23433</v>
      </c>
      <c r="C5126" s="2">
        <v>8</v>
      </c>
      <c r="D5126" s="2">
        <v>556</v>
      </c>
      <c r="E5126" s="2">
        <v>200</v>
      </c>
      <c r="F5126" s="2">
        <v>32441</v>
      </c>
      <c r="G5126" s="2">
        <v>2.3338848919999999</v>
      </c>
      <c r="H5126" s="2">
        <v>2.5366886000000002E-2</v>
      </c>
      <c r="I5126" s="2" t="s">
        <v>23434</v>
      </c>
      <c r="J5126" s="2" t="s">
        <v>23435</v>
      </c>
      <c r="K5126" s="2">
        <v>3.9271517999999998E-2</v>
      </c>
      <c r="L5126" s="2" t="s">
        <v>1178</v>
      </c>
      <c r="M5126" s="4" t="s">
        <v>23436</v>
      </c>
    </row>
    <row r="5127" spans="1:13">
      <c r="A5127" s="2">
        <v>17201</v>
      </c>
      <c r="B5127" s="2" t="s">
        <v>23437</v>
      </c>
      <c r="C5127" s="2">
        <v>8</v>
      </c>
      <c r="D5127" s="2">
        <v>556</v>
      </c>
      <c r="E5127" s="2">
        <v>200</v>
      </c>
      <c r="F5127" s="2">
        <v>32441</v>
      </c>
      <c r="G5127" s="2">
        <v>2.3338848919999999</v>
      </c>
      <c r="H5127" s="2">
        <v>2.5366886000000002E-2</v>
      </c>
      <c r="I5127" s="2" t="s">
        <v>23438</v>
      </c>
      <c r="J5127" s="2" t="s">
        <v>23439</v>
      </c>
      <c r="K5127" s="2">
        <v>3.9271517999999998E-2</v>
      </c>
      <c r="L5127" s="2" t="s">
        <v>1178</v>
      </c>
      <c r="M5127" s="4" t="s">
        <v>23440</v>
      </c>
    </row>
    <row r="5128" spans="1:13">
      <c r="A5128" s="2">
        <v>1726</v>
      </c>
      <c r="B5128" s="2" t="s">
        <v>23441</v>
      </c>
      <c r="C5128" s="2">
        <v>8</v>
      </c>
      <c r="D5128" s="2">
        <v>556</v>
      </c>
      <c r="E5128" s="2">
        <v>200</v>
      </c>
      <c r="F5128" s="2">
        <v>32441</v>
      </c>
      <c r="G5128" s="2">
        <v>2.3338848919999999</v>
      </c>
      <c r="H5128" s="2">
        <v>2.5366886000000002E-2</v>
      </c>
      <c r="I5128" s="2" t="s">
        <v>23442</v>
      </c>
      <c r="J5128" s="2" t="s">
        <v>23443</v>
      </c>
      <c r="K5128" s="2">
        <v>3.9271517999999998E-2</v>
      </c>
      <c r="L5128" s="2" t="s">
        <v>1178</v>
      </c>
      <c r="M5128" s="4" t="s">
        <v>23444</v>
      </c>
    </row>
    <row r="5129" spans="1:13">
      <c r="A5129" s="2">
        <v>1761</v>
      </c>
      <c r="B5129" s="2" t="s">
        <v>23445</v>
      </c>
      <c r="C5129" s="2">
        <v>8</v>
      </c>
      <c r="D5129" s="2">
        <v>556</v>
      </c>
      <c r="E5129" s="2">
        <v>200</v>
      </c>
      <c r="F5129" s="2">
        <v>32441</v>
      </c>
      <c r="G5129" s="2">
        <v>2.3338848919999999</v>
      </c>
      <c r="H5129" s="2">
        <v>2.5366886000000002E-2</v>
      </c>
      <c r="I5129" s="2" t="s">
        <v>23446</v>
      </c>
      <c r="J5129" s="2" t="s">
        <v>23447</v>
      </c>
      <c r="K5129" s="2">
        <v>3.9271517999999998E-2</v>
      </c>
      <c r="L5129" s="2" t="s">
        <v>1178</v>
      </c>
      <c r="M5129" s="4" t="s">
        <v>23448</v>
      </c>
    </row>
    <row r="5130" spans="1:13">
      <c r="A5130" s="2">
        <v>1783</v>
      </c>
      <c r="B5130" s="2" t="s">
        <v>23449</v>
      </c>
      <c r="C5130" s="2">
        <v>8</v>
      </c>
      <c r="D5130" s="2">
        <v>556</v>
      </c>
      <c r="E5130" s="2">
        <v>200</v>
      </c>
      <c r="F5130" s="2">
        <v>32441</v>
      </c>
      <c r="G5130" s="2">
        <v>2.3338848919999999</v>
      </c>
      <c r="H5130" s="2">
        <v>2.5366886000000002E-2</v>
      </c>
      <c r="I5130" s="2" t="s">
        <v>23450</v>
      </c>
      <c r="J5130" s="2" t="s">
        <v>23451</v>
      </c>
      <c r="K5130" s="2">
        <v>3.9271517999999998E-2</v>
      </c>
      <c r="L5130" s="2" t="s">
        <v>1178</v>
      </c>
      <c r="M5130" s="4" t="s">
        <v>23452</v>
      </c>
    </row>
    <row r="5131" spans="1:13">
      <c r="A5131" s="2">
        <v>1796</v>
      </c>
      <c r="B5131" s="2" t="s">
        <v>23453</v>
      </c>
      <c r="C5131" s="2">
        <v>8</v>
      </c>
      <c r="D5131" s="2">
        <v>556</v>
      </c>
      <c r="E5131" s="2">
        <v>200</v>
      </c>
      <c r="F5131" s="2">
        <v>32441</v>
      </c>
      <c r="G5131" s="2">
        <v>2.3338848919999999</v>
      </c>
      <c r="H5131" s="2">
        <v>2.5366886000000002E-2</v>
      </c>
      <c r="I5131" s="2" t="s">
        <v>23454</v>
      </c>
      <c r="J5131" s="2" t="s">
        <v>23455</v>
      </c>
      <c r="K5131" s="2">
        <v>3.9271517999999998E-2</v>
      </c>
      <c r="L5131" s="2" t="s">
        <v>1178</v>
      </c>
      <c r="M5131" s="4" t="s">
        <v>23456</v>
      </c>
    </row>
    <row r="5132" spans="1:13">
      <c r="A5132" s="2">
        <v>1799</v>
      </c>
      <c r="B5132" s="2" t="s">
        <v>23457</v>
      </c>
      <c r="C5132" s="2">
        <v>8</v>
      </c>
      <c r="D5132" s="2">
        <v>556</v>
      </c>
      <c r="E5132" s="2">
        <v>200</v>
      </c>
      <c r="F5132" s="2">
        <v>32441</v>
      </c>
      <c r="G5132" s="2">
        <v>2.3338848919999999</v>
      </c>
      <c r="H5132" s="2">
        <v>2.5366886000000002E-2</v>
      </c>
      <c r="I5132" s="2" t="s">
        <v>23458</v>
      </c>
      <c r="J5132" s="2" t="s">
        <v>23459</v>
      </c>
      <c r="K5132" s="2">
        <v>3.9271517999999998E-2</v>
      </c>
      <c r="L5132" s="2" t="s">
        <v>1178</v>
      </c>
      <c r="M5132" s="4" t="s">
        <v>23460</v>
      </c>
    </row>
    <row r="5133" spans="1:13">
      <c r="A5133" s="2">
        <v>18101</v>
      </c>
      <c r="B5133" s="2" t="s">
        <v>23461</v>
      </c>
      <c r="C5133" s="2">
        <v>8</v>
      </c>
      <c r="D5133" s="2">
        <v>556</v>
      </c>
      <c r="E5133" s="2">
        <v>200</v>
      </c>
      <c r="F5133" s="2">
        <v>32441</v>
      </c>
      <c r="G5133" s="2">
        <v>2.3338848919999999</v>
      </c>
      <c r="H5133" s="2">
        <v>2.5366886000000002E-2</v>
      </c>
      <c r="I5133" s="2" t="s">
        <v>23462</v>
      </c>
      <c r="J5133" s="2" t="s">
        <v>23463</v>
      </c>
      <c r="K5133" s="2">
        <v>3.9271517999999998E-2</v>
      </c>
      <c r="L5133" s="2" t="s">
        <v>1178</v>
      </c>
      <c r="M5133" s="4" t="s">
        <v>23464</v>
      </c>
    </row>
    <row r="5134" spans="1:13">
      <c r="A5134" s="2">
        <v>1817</v>
      </c>
      <c r="B5134" s="2" t="s">
        <v>23465</v>
      </c>
      <c r="C5134" s="2">
        <v>8</v>
      </c>
      <c r="D5134" s="2">
        <v>556</v>
      </c>
      <c r="E5134" s="2">
        <v>200</v>
      </c>
      <c r="F5134" s="2">
        <v>32441</v>
      </c>
      <c r="G5134" s="2">
        <v>2.3338848919999999</v>
      </c>
      <c r="H5134" s="2">
        <v>2.5366886000000002E-2</v>
      </c>
      <c r="I5134" s="2" t="s">
        <v>23466</v>
      </c>
      <c r="J5134" s="2" t="s">
        <v>23467</v>
      </c>
      <c r="K5134" s="2">
        <v>3.9271517999999998E-2</v>
      </c>
      <c r="L5134" s="2" t="s">
        <v>1178</v>
      </c>
      <c r="M5134" s="4" t="s">
        <v>23468</v>
      </c>
    </row>
    <row r="5135" spans="1:13">
      <c r="A5135" s="2">
        <v>18272</v>
      </c>
      <c r="B5135" s="2" t="s">
        <v>23469</v>
      </c>
      <c r="C5135" s="2">
        <v>8</v>
      </c>
      <c r="D5135" s="2">
        <v>556</v>
      </c>
      <c r="E5135" s="2">
        <v>200</v>
      </c>
      <c r="F5135" s="2">
        <v>32441</v>
      </c>
      <c r="G5135" s="2">
        <v>2.3338848919999999</v>
      </c>
      <c r="H5135" s="2">
        <v>2.5366886000000002E-2</v>
      </c>
      <c r="I5135" s="2" t="s">
        <v>23470</v>
      </c>
      <c r="J5135" s="2" t="s">
        <v>23471</v>
      </c>
      <c r="K5135" s="2">
        <v>3.9271517999999998E-2</v>
      </c>
      <c r="L5135" s="2" t="s">
        <v>1178</v>
      </c>
      <c r="M5135" s="4" t="s">
        <v>23472</v>
      </c>
    </row>
    <row r="5136" spans="1:13">
      <c r="A5136" s="2">
        <v>18391</v>
      </c>
      <c r="B5136" s="2" t="s">
        <v>23473</v>
      </c>
      <c r="C5136" s="2">
        <v>8</v>
      </c>
      <c r="D5136" s="2">
        <v>556</v>
      </c>
      <c r="E5136" s="2">
        <v>200</v>
      </c>
      <c r="F5136" s="2">
        <v>32441</v>
      </c>
      <c r="G5136" s="2">
        <v>2.3338848919999999</v>
      </c>
      <c r="H5136" s="2">
        <v>2.5366886000000002E-2</v>
      </c>
      <c r="I5136" s="2" t="s">
        <v>23474</v>
      </c>
      <c r="J5136" s="2" t="s">
        <v>23475</v>
      </c>
      <c r="K5136" s="2">
        <v>3.9271517999999998E-2</v>
      </c>
      <c r="L5136" s="2" t="s">
        <v>1178</v>
      </c>
      <c r="M5136" s="4" t="s">
        <v>23476</v>
      </c>
    </row>
    <row r="5137" spans="1:13">
      <c r="A5137" s="2">
        <v>1855</v>
      </c>
      <c r="B5137" s="2" t="s">
        <v>23477</v>
      </c>
      <c r="C5137" s="2">
        <v>8</v>
      </c>
      <c r="D5137" s="2">
        <v>556</v>
      </c>
      <c r="E5137" s="2">
        <v>200</v>
      </c>
      <c r="F5137" s="2">
        <v>32441</v>
      </c>
      <c r="G5137" s="2">
        <v>2.3338848919999999</v>
      </c>
      <c r="H5137" s="2">
        <v>2.5366886000000002E-2</v>
      </c>
      <c r="I5137" s="2" t="s">
        <v>23478</v>
      </c>
      <c r="J5137" s="2" t="s">
        <v>23479</v>
      </c>
      <c r="K5137" s="2">
        <v>3.9271517999999998E-2</v>
      </c>
      <c r="L5137" s="2" t="s">
        <v>1178</v>
      </c>
      <c r="M5137" s="4" t="s">
        <v>23480</v>
      </c>
    </row>
    <row r="5138" spans="1:13">
      <c r="A5138" s="2">
        <v>18671</v>
      </c>
      <c r="B5138" s="2" t="s">
        <v>23481</v>
      </c>
      <c r="C5138" s="2">
        <v>8</v>
      </c>
      <c r="D5138" s="2">
        <v>556</v>
      </c>
      <c r="E5138" s="2">
        <v>200</v>
      </c>
      <c r="F5138" s="2">
        <v>32441</v>
      </c>
      <c r="G5138" s="2">
        <v>2.3338848919999999</v>
      </c>
      <c r="H5138" s="2">
        <v>2.5366886000000002E-2</v>
      </c>
      <c r="I5138" s="2" t="s">
        <v>23482</v>
      </c>
      <c r="J5138" s="2" t="s">
        <v>23483</v>
      </c>
      <c r="K5138" s="2">
        <v>3.9271517999999998E-2</v>
      </c>
      <c r="L5138" s="2" t="s">
        <v>1178</v>
      </c>
      <c r="M5138" s="4" t="s">
        <v>23484</v>
      </c>
    </row>
    <row r="5139" spans="1:13">
      <c r="A5139" s="2">
        <v>18761</v>
      </c>
      <c r="B5139" s="2" t="s">
        <v>23485</v>
      </c>
      <c r="C5139" s="2">
        <v>8</v>
      </c>
      <c r="D5139" s="2">
        <v>556</v>
      </c>
      <c r="E5139" s="2">
        <v>200</v>
      </c>
      <c r="F5139" s="2">
        <v>32441</v>
      </c>
      <c r="G5139" s="2">
        <v>2.3338848919999999</v>
      </c>
      <c r="H5139" s="2">
        <v>2.5366886000000002E-2</v>
      </c>
      <c r="I5139" s="2" t="s">
        <v>23486</v>
      </c>
      <c r="J5139" s="2" t="s">
        <v>23487</v>
      </c>
      <c r="K5139" s="2">
        <v>3.9271517999999998E-2</v>
      </c>
      <c r="L5139" s="2" t="s">
        <v>1178</v>
      </c>
      <c r="M5139" s="4" t="s">
        <v>23488</v>
      </c>
    </row>
    <row r="5140" spans="1:13">
      <c r="A5140" s="2">
        <v>19161</v>
      </c>
      <c r="B5140" s="2" t="s">
        <v>23489</v>
      </c>
      <c r="C5140" s="2">
        <v>8</v>
      </c>
      <c r="D5140" s="2">
        <v>556</v>
      </c>
      <c r="E5140" s="2">
        <v>200</v>
      </c>
      <c r="F5140" s="2">
        <v>32441</v>
      </c>
      <c r="G5140" s="2">
        <v>2.3338848919999999</v>
      </c>
      <c r="H5140" s="2">
        <v>2.5366886000000002E-2</v>
      </c>
      <c r="I5140" s="2" t="s">
        <v>23490</v>
      </c>
      <c r="J5140" s="2" t="s">
        <v>23491</v>
      </c>
      <c r="K5140" s="2">
        <v>3.9271517999999998E-2</v>
      </c>
      <c r="L5140" s="2" t="s">
        <v>1178</v>
      </c>
      <c r="M5140" s="4" t="s">
        <v>23492</v>
      </c>
    </row>
    <row r="5141" spans="1:13">
      <c r="A5141" s="2">
        <v>1935</v>
      </c>
      <c r="B5141" s="2" t="s">
        <v>23493</v>
      </c>
      <c r="C5141" s="2">
        <v>8</v>
      </c>
      <c r="D5141" s="2">
        <v>556</v>
      </c>
      <c r="E5141" s="2">
        <v>200</v>
      </c>
      <c r="F5141" s="2">
        <v>32441</v>
      </c>
      <c r="G5141" s="2">
        <v>2.3338848919999999</v>
      </c>
      <c r="H5141" s="2">
        <v>2.5366886000000002E-2</v>
      </c>
      <c r="I5141" s="2" t="s">
        <v>23494</v>
      </c>
      <c r="J5141" s="2" t="s">
        <v>23495</v>
      </c>
      <c r="K5141" s="2">
        <v>3.9271517999999998E-2</v>
      </c>
      <c r="L5141" s="2" t="s">
        <v>1178</v>
      </c>
      <c r="M5141" s="4" t="s">
        <v>23496</v>
      </c>
    </row>
    <row r="5142" spans="1:13">
      <c r="A5142" s="2">
        <v>1941</v>
      </c>
      <c r="B5142" s="2" t="s">
        <v>23497</v>
      </c>
      <c r="C5142" s="2">
        <v>8</v>
      </c>
      <c r="D5142" s="2">
        <v>556</v>
      </c>
      <c r="E5142" s="2">
        <v>200</v>
      </c>
      <c r="F5142" s="2">
        <v>32441</v>
      </c>
      <c r="G5142" s="2">
        <v>2.3338848919999999</v>
      </c>
      <c r="H5142" s="2">
        <v>2.5366886000000002E-2</v>
      </c>
      <c r="I5142" s="2" t="s">
        <v>23498</v>
      </c>
      <c r="J5142" s="2" t="s">
        <v>23499</v>
      </c>
      <c r="K5142" s="2">
        <v>3.9271517999999998E-2</v>
      </c>
      <c r="L5142" s="2" t="s">
        <v>1178</v>
      </c>
      <c r="M5142" s="4" t="s">
        <v>23500</v>
      </c>
    </row>
    <row r="5143" spans="1:13">
      <c r="A5143" s="2">
        <v>1942</v>
      </c>
      <c r="B5143" s="2" t="s">
        <v>23501</v>
      </c>
      <c r="C5143" s="2">
        <v>8</v>
      </c>
      <c r="D5143" s="2">
        <v>556</v>
      </c>
      <c r="E5143" s="2">
        <v>200</v>
      </c>
      <c r="F5143" s="2">
        <v>32441</v>
      </c>
      <c r="G5143" s="2">
        <v>2.3338848919999999</v>
      </c>
      <c r="H5143" s="2">
        <v>2.5366886000000002E-2</v>
      </c>
      <c r="I5143" s="2" t="s">
        <v>23502</v>
      </c>
      <c r="J5143" s="2" t="s">
        <v>23503</v>
      </c>
      <c r="K5143" s="2">
        <v>3.9271517999999998E-2</v>
      </c>
      <c r="L5143" s="2" t="s">
        <v>1178</v>
      </c>
      <c r="M5143" s="4" t="s">
        <v>23504</v>
      </c>
    </row>
    <row r="5144" spans="1:13">
      <c r="A5144" s="2">
        <v>1945</v>
      </c>
      <c r="B5144" s="2" t="s">
        <v>23505</v>
      </c>
      <c r="C5144" s="2">
        <v>8</v>
      </c>
      <c r="D5144" s="2">
        <v>556</v>
      </c>
      <c r="E5144" s="2">
        <v>200</v>
      </c>
      <c r="F5144" s="2">
        <v>32441</v>
      </c>
      <c r="G5144" s="2">
        <v>2.3338848919999999</v>
      </c>
      <c r="H5144" s="2">
        <v>2.5366886000000002E-2</v>
      </c>
      <c r="I5144" s="2" t="s">
        <v>23506</v>
      </c>
      <c r="J5144" s="2" t="s">
        <v>23507</v>
      </c>
      <c r="K5144" s="2">
        <v>3.9271517999999998E-2</v>
      </c>
      <c r="L5144" s="2" t="s">
        <v>1178</v>
      </c>
      <c r="M5144" s="4" t="s">
        <v>23508</v>
      </c>
    </row>
    <row r="5145" spans="1:13">
      <c r="A5145" s="2">
        <v>1974</v>
      </c>
      <c r="B5145" s="2" t="s">
        <v>2514</v>
      </c>
      <c r="C5145" s="2">
        <v>8</v>
      </c>
      <c r="D5145" s="2">
        <v>556</v>
      </c>
      <c r="E5145" s="2">
        <v>199</v>
      </c>
      <c r="F5145" s="2">
        <v>32441</v>
      </c>
      <c r="G5145" s="2">
        <v>2.3456129570000002</v>
      </c>
      <c r="H5145" s="2">
        <v>2.4740835999999999E-2</v>
      </c>
      <c r="I5145" s="2" t="s">
        <v>23509</v>
      </c>
      <c r="J5145" s="2" t="s">
        <v>23510</v>
      </c>
      <c r="K5145" s="2">
        <v>3.9271517999999998E-2</v>
      </c>
      <c r="L5145" s="2" t="s">
        <v>1178</v>
      </c>
      <c r="M5145" s="4" t="s">
        <v>23511</v>
      </c>
    </row>
    <row r="5146" spans="1:13">
      <c r="A5146" s="2">
        <v>1978</v>
      </c>
      <c r="B5146" s="2" t="s">
        <v>23512</v>
      </c>
      <c r="C5146" s="2">
        <v>8</v>
      </c>
      <c r="D5146" s="2">
        <v>556</v>
      </c>
      <c r="E5146" s="2">
        <v>199</v>
      </c>
      <c r="F5146" s="2">
        <v>32441</v>
      </c>
      <c r="G5146" s="2">
        <v>2.3456129570000002</v>
      </c>
      <c r="H5146" s="2">
        <v>2.4740835999999999E-2</v>
      </c>
      <c r="I5146" s="2" t="s">
        <v>23513</v>
      </c>
      <c r="J5146" s="2" t="s">
        <v>23514</v>
      </c>
      <c r="K5146" s="2">
        <v>3.9271517999999998E-2</v>
      </c>
      <c r="L5146" s="2" t="s">
        <v>1178</v>
      </c>
      <c r="M5146" s="4" t="s">
        <v>23515</v>
      </c>
    </row>
    <row r="5147" spans="1:13">
      <c r="A5147" s="2">
        <v>1982</v>
      </c>
      <c r="B5147" s="2" t="s">
        <v>1425</v>
      </c>
      <c r="C5147" s="2">
        <v>8</v>
      </c>
      <c r="D5147" s="2">
        <v>556</v>
      </c>
      <c r="E5147" s="2">
        <v>200</v>
      </c>
      <c r="F5147" s="2">
        <v>32441</v>
      </c>
      <c r="G5147" s="2">
        <v>2.3338848919999999</v>
      </c>
      <c r="H5147" s="2">
        <v>2.5366886000000002E-2</v>
      </c>
      <c r="I5147" s="2" t="s">
        <v>23516</v>
      </c>
      <c r="J5147" s="2" t="s">
        <v>23517</v>
      </c>
      <c r="K5147" s="2">
        <v>3.9271517999999998E-2</v>
      </c>
      <c r="L5147" s="2" t="s">
        <v>1178</v>
      </c>
      <c r="M5147" s="4" t="s">
        <v>23518</v>
      </c>
    </row>
    <row r="5148" spans="1:13">
      <c r="A5148" s="2">
        <v>1986</v>
      </c>
      <c r="B5148" s="2" t="s">
        <v>23519</v>
      </c>
      <c r="C5148" s="2">
        <v>8</v>
      </c>
      <c r="D5148" s="2">
        <v>556</v>
      </c>
      <c r="E5148" s="2">
        <v>198</v>
      </c>
      <c r="F5148" s="2">
        <v>32441</v>
      </c>
      <c r="G5148" s="2">
        <v>2.3574594869999999</v>
      </c>
      <c r="H5148" s="2">
        <v>2.4125677000000002E-2</v>
      </c>
      <c r="I5148" s="2" t="s">
        <v>23520</v>
      </c>
      <c r="J5148" s="2" t="s">
        <v>23521</v>
      </c>
      <c r="K5148" s="2">
        <v>3.9271517999999998E-2</v>
      </c>
      <c r="L5148" s="2" t="s">
        <v>1178</v>
      </c>
      <c r="M5148" s="4" t="s">
        <v>23522</v>
      </c>
    </row>
    <row r="5149" spans="1:13">
      <c r="A5149" s="2">
        <v>19931</v>
      </c>
      <c r="B5149" s="2" t="s">
        <v>1386</v>
      </c>
      <c r="C5149" s="2">
        <v>8</v>
      </c>
      <c r="D5149" s="2">
        <v>556</v>
      </c>
      <c r="E5149" s="2">
        <v>199</v>
      </c>
      <c r="F5149" s="2">
        <v>32441</v>
      </c>
      <c r="G5149" s="2">
        <v>2.3456129570000002</v>
      </c>
      <c r="H5149" s="2">
        <v>2.4740835999999999E-2</v>
      </c>
      <c r="I5149" s="2" t="s">
        <v>23523</v>
      </c>
      <c r="J5149" s="2" t="s">
        <v>23524</v>
      </c>
      <c r="K5149" s="2">
        <v>3.9271517999999998E-2</v>
      </c>
      <c r="L5149" s="2" t="s">
        <v>1178</v>
      </c>
      <c r="M5149" s="4" t="s">
        <v>23525</v>
      </c>
    </row>
    <row r="5150" spans="1:13">
      <c r="A5150" s="2">
        <v>2025</v>
      </c>
      <c r="B5150" s="2" t="s">
        <v>23526</v>
      </c>
      <c r="C5150" s="2">
        <v>8</v>
      </c>
      <c r="D5150" s="2">
        <v>556</v>
      </c>
      <c r="E5150" s="2">
        <v>199</v>
      </c>
      <c r="F5150" s="2">
        <v>32441</v>
      </c>
      <c r="G5150" s="2">
        <v>2.3456129570000002</v>
      </c>
      <c r="H5150" s="2">
        <v>2.4740835999999999E-2</v>
      </c>
      <c r="I5150" s="2" t="s">
        <v>23527</v>
      </c>
      <c r="J5150" s="2" t="s">
        <v>23528</v>
      </c>
      <c r="K5150" s="2">
        <v>3.9271517999999998E-2</v>
      </c>
      <c r="L5150" s="2" t="s">
        <v>1178</v>
      </c>
      <c r="M5150" s="4" t="s">
        <v>23529</v>
      </c>
    </row>
    <row r="5151" spans="1:13">
      <c r="A5151" s="2">
        <v>2029</v>
      </c>
      <c r="B5151" s="2" t="s">
        <v>23530</v>
      </c>
      <c r="C5151" s="2">
        <v>8</v>
      </c>
      <c r="D5151" s="2">
        <v>556</v>
      </c>
      <c r="E5151" s="2">
        <v>200</v>
      </c>
      <c r="F5151" s="2">
        <v>32441</v>
      </c>
      <c r="G5151" s="2">
        <v>2.3338848919999999</v>
      </c>
      <c r="H5151" s="2">
        <v>2.5366886000000002E-2</v>
      </c>
      <c r="I5151" s="2" t="s">
        <v>23531</v>
      </c>
      <c r="J5151" s="2" t="s">
        <v>23532</v>
      </c>
      <c r="K5151" s="2">
        <v>3.9271517999999998E-2</v>
      </c>
      <c r="L5151" s="2" t="s">
        <v>1178</v>
      </c>
      <c r="M5151" s="4" t="s">
        <v>23533</v>
      </c>
    </row>
    <row r="5152" spans="1:13">
      <c r="A5152" s="2">
        <v>20321</v>
      </c>
      <c r="B5152" s="2" t="s">
        <v>23534</v>
      </c>
      <c r="C5152" s="2">
        <v>8</v>
      </c>
      <c r="D5152" s="2">
        <v>556</v>
      </c>
      <c r="E5152" s="2">
        <v>200</v>
      </c>
      <c r="F5152" s="2">
        <v>32441</v>
      </c>
      <c r="G5152" s="2">
        <v>2.3338848919999999</v>
      </c>
      <c r="H5152" s="2">
        <v>2.5366886000000002E-2</v>
      </c>
      <c r="I5152" s="2" t="s">
        <v>23535</v>
      </c>
      <c r="J5152" s="2" t="s">
        <v>23536</v>
      </c>
      <c r="K5152" s="2">
        <v>3.9271517999999998E-2</v>
      </c>
      <c r="L5152" s="2" t="s">
        <v>1178</v>
      </c>
      <c r="M5152" s="4" t="s">
        <v>23537</v>
      </c>
    </row>
    <row r="5153" spans="1:13">
      <c r="A5153" s="2">
        <v>20601</v>
      </c>
      <c r="B5153" s="2" t="s">
        <v>23538</v>
      </c>
      <c r="C5153" s="2">
        <v>8</v>
      </c>
      <c r="D5153" s="2">
        <v>556</v>
      </c>
      <c r="E5153" s="2">
        <v>200</v>
      </c>
      <c r="F5153" s="2">
        <v>32441</v>
      </c>
      <c r="G5153" s="2">
        <v>2.3338848919999999</v>
      </c>
      <c r="H5153" s="2">
        <v>2.5366886000000002E-2</v>
      </c>
      <c r="I5153" s="2" t="s">
        <v>23539</v>
      </c>
      <c r="J5153" s="2" t="s">
        <v>23540</v>
      </c>
      <c r="K5153" s="2">
        <v>3.9271517999999998E-2</v>
      </c>
      <c r="L5153" s="2" t="s">
        <v>1178</v>
      </c>
      <c r="M5153" s="4" t="s">
        <v>23541</v>
      </c>
    </row>
    <row r="5154" spans="1:13">
      <c r="A5154" s="2">
        <v>20621</v>
      </c>
      <c r="B5154" s="2" t="s">
        <v>3432</v>
      </c>
      <c r="C5154" s="2">
        <v>8</v>
      </c>
      <c r="D5154" s="2">
        <v>556</v>
      </c>
      <c r="E5154" s="2">
        <v>200</v>
      </c>
      <c r="F5154" s="2">
        <v>32441</v>
      </c>
      <c r="G5154" s="2">
        <v>2.3338848919999999</v>
      </c>
      <c r="H5154" s="2">
        <v>2.5366886000000002E-2</v>
      </c>
      <c r="I5154" s="2" t="s">
        <v>23542</v>
      </c>
      <c r="J5154" s="2" t="s">
        <v>23543</v>
      </c>
      <c r="K5154" s="2">
        <v>3.9271517999999998E-2</v>
      </c>
      <c r="L5154" s="2" t="s">
        <v>1178</v>
      </c>
      <c r="M5154" s="4" t="s">
        <v>3435</v>
      </c>
    </row>
    <row r="5155" spans="1:13">
      <c r="A5155" s="2">
        <v>20681</v>
      </c>
      <c r="B5155" s="2" t="s">
        <v>23544</v>
      </c>
      <c r="C5155" s="2">
        <v>8</v>
      </c>
      <c r="D5155" s="2">
        <v>556</v>
      </c>
      <c r="E5155" s="2">
        <v>200</v>
      </c>
      <c r="F5155" s="2">
        <v>32441</v>
      </c>
      <c r="G5155" s="2">
        <v>2.3338848919999999</v>
      </c>
      <c r="H5155" s="2">
        <v>2.5366886000000002E-2</v>
      </c>
      <c r="I5155" s="2" t="s">
        <v>23545</v>
      </c>
      <c r="J5155" s="2" t="s">
        <v>23546</v>
      </c>
      <c r="K5155" s="2">
        <v>3.9271517999999998E-2</v>
      </c>
      <c r="L5155" s="2" t="s">
        <v>1178</v>
      </c>
      <c r="M5155" s="4" t="s">
        <v>23547</v>
      </c>
    </row>
    <row r="5156" spans="1:13">
      <c r="A5156" s="2">
        <v>2074</v>
      </c>
      <c r="B5156" s="2" t="s">
        <v>1230</v>
      </c>
      <c r="C5156" s="2">
        <v>8</v>
      </c>
      <c r="D5156" s="2">
        <v>556</v>
      </c>
      <c r="E5156" s="2">
        <v>199</v>
      </c>
      <c r="F5156" s="2">
        <v>32441</v>
      </c>
      <c r="G5156" s="2">
        <v>2.3456129570000002</v>
      </c>
      <c r="H5156" s="2">
        <v>2.4740835999999999E-2</v>
      </c>
      <c r="I5156" s="2" t="s">
        <v>23548</v>
      </c>
      <c r="J5156" s="2" t="s">
        <v>23549</v>
      </c>
      <c r="K5156" s="2">
        <v>3.9271517999999998E-2</v>
      </c>
      <c r="L5156" s="2" t="s">
        <v>1178</v>
      </c>
      <c r="M5156" s="4" t="s">
        <v>23550</v>
      </c>
    </row>
    <row r="5157" spans="1:13">
      <c r="A5157" s="2">
        <v>2126</v>
      </c>
      <c r="B5157" s="2" t="s">
        <v>23551</v>
      </c>
      <c r="C5157" s="2">
        <v>8</v>
      </c>
      <c r="D5157" s="2">
        <v>556</v>
      </c>
      <c r="E5157" s="2">
        <v>200</v>
      </c>
      <c r="F5157" s="2">
        <v>32441</v>
      </c>
      <c r="G5157" s="2">
        <v>2.3338848919999999</v>
      </c>
      <c r="H5157" s="2">
        <v>2.5366886000000002E-2</v>
      </c>
      <c r="I5157" s="2" t="s">
        <v>23552</v>
      </c>
      <c r="J5157" s="2" t="s">
        <v>23553</v>
      </c>
      <c r="K5157" s="2">
        <v>3.9271517999999998E-2</v>
      </c>
      <c r="L5157" s="2" t="s">
        <v>1178</v>
      </c>
      <c r="M5157" s="4" t="s">
        <v>23554</v>
      </c>
    </row>
    <row r="5158" spans="1:13">
      <c r="A5158" s="2">
        <v>2152</v>
      </c>
      <c r="B5158" s="2" t="s">
        <v>23555</v>
      </c>
      <c r="C5158" s="2">
        <v>8</v>
      </c>
      <c r="D5158" s="2">
        <v>556</v>
      </c>
      <c r="E5158" s="2">
        <v>200</v>
      </c>
      <c r="F5158" s="2">
        <v>32441</v>
      </c>
      <c r="G5158" s="2">
        <v>2.3338848919999999</v>
      </c>
      <c r="H5158" s="2">
        <v>2.5366886000000002E-2</v>
      </c>
      <c r="I5158" s="2" t="s">
        <v>23556</v>
      </c>
      <c r="J5158" s="2" t="s">
        <v>23557</v>
      </c>
      <c r="K5158" s="2">
        <v>3.9271517999999998E-2</v>
      </c>
      <c r="L5158" s="2" t="s">
        <v>1178</v>
      </c>
      <c r="M5158" s="4" t="s">
        <v>23558</v>
      </c>
    </row>
    <row r="5159" spans="1:13">
      <c r="A5159" s="2">
        <v>2154</v>
      </c>
      <c r="B5159" s="2" t="s">
        <v>23559</v>
      </c>
      <c r="C5159" s="2">
        <v>8</v>
      </c>
      <c r="D5159" s="2">
        <v>556</v>
      </c>
      <c r="E5159" s="2">
        <v>196</v>
      </c>
      <c r="F5159" s="2">
        <v>32441</v>
      </c>
      <c r="G5159" s="2">
        <v>2.3815151960000001</v>
      </c>
      <c r="H5159" s="2">
        <v>2.2927680999999998E-2</v>
      </c>
      <c r="I5159" s="2" t="s">
        <v>23560</v>
      </c>
      <c r="J5159" s="2" t="s">
        <v>23561</v>
      </c>
      <c r="K5159" s="2">
        <v>3.9271517999999998E-2</v>
      </c>
      <c r="L5159" s="2" t="s">
        <v>1178</v>
      </c>
      <c r="M5159" s="4" t="s">
        <v>23562</v>
      </c>
    </row>
    <row r="5160" spans="1:13">
      <c r="A5160" s="2">
        <v>2164</v>
      </c>
      <c r="B5160" s="2" t="s">
        <v>23563</v>
      </c>
      <c r="C5160" s="2">
        <v>8</v>
      </c>
      <c r="D5160" s="2">
        <v>556</v>
      </c>
      <c r="E5160" s="2">
        <v>200</v>
      </c>
      <c r="F5160" s="2">
        <v>32441</v>
      </c>
      <c r="G5160" s="2">
        <v>2.3338848919999999</v>
      </c>
      <c r="H5160" s="2">
        <v>2.5366886000000002E-2</v>
      </c>
      <c r="I5160" s="2" t="s">
        <v>23564</v>
      </c>
      <c r="J5160" s="2" t="s">
        <v>23565</v>
      </c>
      <c r="K5160" s="2">
        <v>3.9271517999999998E-2</v>
      </c>
      <c r="L5160" s="2" t="s">
        <v>1178</v>
      </c>
      <c r="M5160" s="4" t="s">
        <v>23566</v>
      </c>
    </row>
    <row r="5161" spans="1:13">
      <c r="A5161" s="2">
        <v>2188</v>
      </c>
      <c r="B5161" s="2" t="s">
        <v>23567</v>
      </c>
      <c r="C5161" s="2">
        <v>8</v>
      </c>
      <c r="D5161" s="2">
        <v>556</v>
      </c>
      <c r="E5161" s="2">
        <v>200</v>
      </c>
      <c r="F5161" s="2">
        <v>32441</v>
      </c>
      <c r="G5161" s="2">
        <v>2.3338848919999999</v>
      </c>
      <c r="H5161" s="2">
        <v>2.5366886000000002E-2</v>
      </c>
      <c r="I5161" s="2" t="s">
        <v>23568</v>
      </c>
      <c r="J5161" s="2" t="s">
        <v>23569</v>
      </c>
      <c r="K5161" s="2">
        <v>3.9271517999999998E-2</v>
      </c>
      <c r="L5161" s="2" t="s">
        <v>1178</v>
      </c>
      <c r="M5161" s="4" t="s">
        <v>23570</v>
      </c>
    </row>
    <row r="5162" spans="1:13">
      <c r="A5162" s="2">
        <v>21921</v>
      </c>
      <c r="B5162" s="2" t="s">
        <v>23571</v>
      </c>
      <c r="C5162" s="2">
        <v>8</v>
      </c>
      <c r="D5162" s="2">
        <v>556</v>
      </c>
      <c r="E5162" s="2">
        <v>200</v>
      </c>
      <c r="F5162" s="2">
        <v>32441</v>
      </c>
      <c r="G5162" s="2">
        <v>2.3338848919999999</v>
      </c>
      <c r="H5162" s="2">
        <v>2.5366886000000002E-2</v>
      </c>
      <c r="I5162" s="2" t="s">
        <v>23572</v>
      </c>
      <c r="J5162" s="2" t="s">
        <v>23573</v>
      </c>
      <c r="K5162" s="2">
        <v>3.9271517999999998E-2</v>
      </c>
      <c r="L5162" s="2" t="s">
        <v>1178</v>
      </c>
      <c r="M5162" s="4" t="s">
        <v>23574</v>
      </c>
    </row>
    <row r="5163" spans="1:13">
      <c r="A5163" s="2">
        <v>2193</v>
      </c>
      <c r="B5163" s="2" t="s">
        <v>23575</v>
      </c>
      <c r="C5163" s="2">
        <v>8</v>
      </c>
      <c r="D5163" s="2">
        <v>556</v>
      </c>
      <c r="E5163" s="2">
        <v>200</v>
      </c>
      <c r="F5163" s="2">
        <v>32441</v>
      </c>
      <c r="G5163" s="2">
        <v>2.3338848919999999</v>
      </c>
      <c r="H5163" s="2">
        <v>2.5366886000000002E-2</v>
      </c>
      <c r="I5163" s="2" t="s">
        <v>23576</v>
      </c>
      <c r="J5163" s="2" t="s">
        <v>23577</v>
      </c>
      <c r="K5163" s="2">
        <v>3.9271517999999998E-2</v>
      </c>
      <c r="L5163" s="2" t="s">
        <v>1178</v>
      </c>
      <c r="M5163" s="4" t="s">
        <v>23578</v>
      </c>
    </row>
    <row r="5164" spans="1:13">
      <c r="A5164" s="2">
        <v>2196</v>
      </c>
      <c r="B5164" s="2" t="s">
        <v>23579</v>
      </c>
      <c r="C5164" s="2">
        <v>8</v>
      </c>
      <c r="D5164" s="2">
        <v>556</v>
      </c>
      <c r="E5164" s="2">
        <v>200</v>
      </c>
      <c r="F5164" s="2">
        <v>32441</v>
      </c>
      <c r="G5164" s="2">
        <v>2.3338848919999999</v>
      </c>
      <c r="H5164" s="2">
        <v>2.5366886000000002E-2</v>
      </c>
      <c r="I5164" s="2" t="s">
        <v>23580</v>
      </c>
      <c r="J5164" s="2" t="s">
        <v>23581</v>
      </c>
      <c r="K5164" s="2">
        <v>3.9271517999999998E-2</v>
      </c>
      <c r="L5164" s="2" t="s">
        <v>1178</v>
      </c>
      <c r="M5164" s="4" t="s">
        <v>23582</v>
      </c>
    </row>
    <row r="5165" spans="1:13">
      <c r="A5165" s="2">
        <v>2201</v>
      </c>
      <c r="B5165" s="2" t="s">
        <v>23583</v>
      </c>
      <c r="C5165" s="2">
        <v>8</v>
      </c>
      <c r="D5165" s="2">
        <v>556</v>
      </c>
      <c r="E5165" s="2">
        <v>199</v>
      </c>
      <c r="F5165" s="2">
        <v>32441</v>
      </c>
      <c r="G5165" s="2">
        <v>2.3456129570000002</v>
      </c>
      <c r="H5165" s="2">
        <v>2.4740835999999999E-2</v>
      </c>
      <c r="I5165" s="2" t="s">
        <v>23584</v>
      </c>
      <c r="J5165" s="2" t="s">
        <v>23585</v>
      </c>
      <c r="K5165" s="2">
        <v>3.9271517999999998E-2</v>
      </c>
      <c r="L5165" s="2" t="s">
        <v>1178</v>
      </c>
      <c r="M5165" s="4" t="s">
        <v>23586</v>
      </c>
    </row>
    <row r="5166" spans="1:13">
      <c r="A5166" s="2">
        <v>2206</v>
      </c>
      <c r="B5166" s="2" t="s">
        <v>23587</v>
      </c>
      <c r="C5166" s="2">
        <v>8</v>
      </c>
      <c r="D5166" s="2">
        <v>556</v>
      </c>
      <c r="E5166" s="2">
        <v>200</v>
      </c>
      <c r="F5166" s="2">
        <v>32441</v>
      </c>
      <c r="G5166" s="2">
        <v>2.3338848919999999</v>
      </c>
      <c r="H5166" s="2">
        <v>2.5366886000000002E-2</v>
      </c>
      <c r="I5166" s="2" t="s">
        <v>23588</v>
      </c>
      <c r="J5166" s="2" t="s">
        <v>23589</v>
      </c>
      <c r="K5166" s="2">
        <v>3.9271517999999998E-2</v>
      </c>
      <c r="L5166" s="2" t="s">
        <v>1178</v>
      </c>
      <c r="M5166" s="4" t="s">
        <v>23590</v>
      </c>
    </row>
    <row r="5167" spans="1:13">
      <c r="A5167" s="2">
        <v>2208</v>
      </c>
      <c r="B5167" s="2" t="s">
        <v>23591</v>
      </c>
      <c r="C5167" s="2">
        <v>8</v>
      </c>
      <c r="D5167" s="2">
        <v>556</v>
      </c>
      <c r="E5167" s="2">
        <v>200</v>
      </c>
      <c r="F5167" s="2">
        <v>32441</v>
      </c>
      <c r="G5167" s="2">
        <v>2.3338848919999999</v>
      </c>
      <c r="H5167" s="2">
        <v>2.5366886000000002E-2</v>
      </c>
      <c r="I5167" s="2" t="s">
        <v>23592</v>
      </c>
      <c r="J5167" s="2" t="s">
        <v>23593</v>
      </c>
      <c r="K5167" s="2">
        <v>3.9271517999999998E-2</v>
      </c>
      <c r="L5167" s="2" t="s">
        <v>1178</v>
      </c>
      <c r="M5167" s="4" t="s">
        <v>23594</v>
      </c>
    </row>
    <row r="5168" spans="1:13">
      <c r="A5168" s="2">
        <v>22221</v>
      </c>
      <c r="B5168" s="2" t="s">
        <v>3208</v>
      </c>
      <c r="C5168" s="2">
        <v>8</v>
      </c>
      <c r="D5168" s="2">
        <v>556</v>
      </c>
      <c r="E5168" s="2">
        <v>200</v>
      </c>
      <c r="F5168" s="2">
        <v>32441</v>
      </c>
      <c r="G5168" s="2">
        <v>2.3338848919999999</v>
      </c>
      <c r="H5168" s="2">
        <v>2.5366886000000002E-2</v>
      </c>
      <c r="I5168" s="2" t="s">
        <v>23595</v>
      </c>
      <c r="J5168" s="2" t="s">
        <v>23596</v>
      </c>
      <c r="K5168" s="2">
        <v>3.9271517999999998E-2</v>
      </c>
      <c r="L5168" s="2" t="s">
        <v>1178</v>
      </c>
      <c r="M5168" s="4" t="s">
        <v>3211</v>
      </c>
    </row>
    <row r="5169" spans="1:13">
      <c r="A5169" s="2">
        <v>2283</v>
      </c>
      <c r="B5169" s="2" t="s">
        <v>23597</v>
      </c>
      <c r="C5169" s="2">
        <v>8</v>
      </c>
      <c r="D5169" s="2">
        <v>556</v>
      </c>
      <c r="E5169" s="2">
        <v>200</v>
      </c>
      <c r="F5169" s="2">
        <v>32441</v>
      </c>
      <c r="G5169" s="2">
        <v>2.3338848919999999</v>
      </c>
      <c r="H5169" s="2">
        <v>2.5366886000000002E-2</v>
      </c>
      <c r="I5169" s="2" t="s">
        <v>23598</v>
      </c>
      <c r="J5169" s="2" t="s">
        <v>23599</v>
      </c>
      <c r="K5169" s="2">
        <v>3.9271517999999998E-2</v>
      </c>
      <c r="L5169" s="2" t="s">
        <v>1178</v>
      </c>
      <c r="M5169" s="4" t="s">
        <v>23600</v>
      </c>
    </row>
    <row r="5170" spans="1:13">
      <c r="A5170" s="2">
        <v>2303</v>
      </c>
      <c r="B5170" s="2" t="s">
        <v>23601</v>
      </c>
      <c r="C5170" s="2">
        <v>8</v>
      </c>
      <c r="D5170" s="2">
        <v>556</v>
      </c>
      <c r="E5170" s="2">
        <v>199</v>
      </c>
      <c r="F5170" s="2">
        <v>32441</v>
      </c>
      <c r="G5170" s="2">
        <v>2.3456129570000002</v>
      </c>
      <c r="H5170" s="2">
        <v>2.4740835999999999E-2</v>
      </c>
      <c r="I5170" s="2" t="s">
        <v>23602</v>
      </c>
      <c r="J5170" s="2" t="s">
        <v>23603</v>
      </c>
      <c r="K5170" s="2">
        <v>3.9271517999999998E-2</v>
      </c>
      <c r="L5170" s="2" t="s">
        <v>1178</v>
      </c>
      <c r="M5170" s="4" t="s">
        <v>23604</v>
      </c>
    </row>
    <row r="5171" spans="1:13">
      <c r="A5171" s="2">
        <v>2337</v>
      </c>
      <c r="B5171" s="2" t="s">
        <v>1914</v>
      </c>
      <c r="C5171" s="2">
        <v>8</v>
      </c>
      <c r="D5171" s="2">
        <v>556</v>
      </c>
      <c r="E5171" s="2">
        <v>200</v>
      </c>
      <c r="F5171" s="2">
        <v>32441</v>
      </c>
      <c r="G5171" s="2">
        <v>2.3338848919999999</v>
      </c>
      <c r="H5171" s="2">
        <v>2.5366886000000002E-2</v>
      </c>
      <c r="I5171" s="2" t="s">
        <v>23605</v>
      </c>
      <c r="J5171" s="2" t="s">
        <v>23606</v>
      </c>
      <c r="K5171" s="2">
        <v>3.9271517999999998E-2</v>
      </c>
      <c r="L5171" s="2" t="s">
        <v>1178</v>
      </c>
      <c r="M5171" s="4" t="s">
        <v>23607</v>
      </c>
    </row>
    <row r="5172" spans="1:13">
      <c r="A5172" s="2">
        <v>2342</v>
      </c>
      <c r="B5172" s="2" t="s">
        <v>1503</v>
      </c>
      <c r="C5172" s="2">
        <v>8</v>
      </c>
      <c r="D5172" s="2">
        <v>556</v>
      </c>
      <c r="E5172" s="2">
        <v>200</v>
      </c>
      <c r="F5172" s="2">
        <v>32441</v>
      </c>
      <c r="G5172" s="2">
        <v>2.3338848919999999</v>
      </c>
      <c r="H5172" s="2">
        <v>2.5366886000000002E-2</v>
      </c>
      <c r="I5172" s="2" t="s">
        <v>23608</v>
      </c>
      <c r="J5172" s="2" t="s">
        <v>23609</v>
      </c>
      <c r="K5172" s="2">
        <v>3.9271517999999998E-2</v>
      </c>
      <c r="L5172" s="2" t="s">
        <v>1178</v>
      </c>
      <c r="M5172" s="4" t="s">
        <v>23610</v>
      </c>
    </row>
    <row r="5173" spans="1:13">
      <c r="A5173" s="2">
        <v>2346</v>
      </c>
      <c r="B5173" s="2" t="s">
        <v>23611</v>
      </c>
      <c r="C5173" s="2">
        <v>8</v>
      </c>
      <c r="D5173" s="2">
        <v>556</v>
      </c>
      <c r="E5173" s="2">
        <v>196</v>
      </c>
      <c r="F5173" s="2">
        <v>32441</v>
      </c>
      <c r="G5173" s="2">
        <v>2.3815151960000001</v>
      </c>
      <c r="H5173" s="2">
        <v>2.2927680999999998E-2</v>
      </c>
      <c r="I5173" s="2" t="s">
        <v>23612</v>
      </c>
      <c r="J5173" s="2" t="s">
        <v>23613</v>
      </c>
      <c r="K5173" s="2">
        <v>3.9271517999999998E-2</v>
      </c>
      <c r="L5173" s="2" t="s">
        <v>1178</v>
      </c>
      <c r="M5173" s="4" t="s">
        <v>23614</v>
      </c>
    </row>
    <row r="5174" spans="1:13">
      <c r="A5174" s="2">
        <v>2348</v>
      </c>
      <c r="B5174" s="2" t="s">
        <v>23615</v>
      </c>
      <c r="C5174" s="2">
        <v>8</v>
      </c>
      <c r="D5174" s="2">
        <v>556</v>
      </c>
      <c r="E5174" s="2">
        <v>196</v>
      </c>
      <c r="F5174" s="2">
        <v>32441</v>
      </c>
      <c r="G5174" s="2">
        <v>2.3815151960000001</v>
      </c>
      <c r="H5174" s="2">
        <v>2.2927680999999998E-2</v>
      </c>
      <c r="I5174" s="2" t="s">
        <v>23616</v>
      </c>
      <c r="J5174" s="2" t="s">
        <v>23617</v>
      </c>
      <c r="K5174" s="2">
        <v>3.9271517999999998E-2</v>
      </c>
      <c r="L5174" s="2" t="s">
        <v>1178</v>
      </c>
      <c r="M5174" s="4" t="s">
        <v>23618</v>
      </c>
    </row>
    <row r="5175" spans="1:13">
      <c r="A5175" s="2">
        <v>2353</v>
      </c>
      <c r="B5175" s="2" t="s">
        <v>23619</v>
      </c>
      <c r="C5175" s="2">
        <v>8</v>
      </c>
      <c r="D5175" s="2">
        <v>556</v>
      </c>
      <c r="E5175" s="2">
        <v>200</v>
      </c>
      <c r="F5175" s="2">
        <v>32441</v>
      </c>
      <c r="G5175" s="2">
        <v>2.3338848919999999</v>
      </c>
      <c r="H5175" s="2">
        <v>2.5366886000000002E-2</v>
      </c>
      <c r="I5175" s="2" t="s">
        <v>23620</v>
      </c>
      <c r="J5175" s="2" t="s">
        <v>23621</v>
      </c>
      <c r="K5175" s="2">
        <v>3.9271517999999998E-2</v>
      </c>
      <c r="L5175" s="2" t="s">
        <v>1178</v>
      </c>
      <c r="M5175" s="4" t="s">
        <v>23622</v>
      </c>
    </row>
    <row r="5176" spans="1:13">
      <c r="A5176" s="2">
        <v>23711</v>
      </c>
      <c r="B5176" s="2" t="s">
        <v>23623</v>
      </c>
      <c r="C5176" s="2">
        <v>8</v>
      </c>
      <c r="D5176" s="2">
        <v>556</v>
      </c>
      <c r="E5176" s="2">
        <v>200</v>
      </c>
      <c r="F5176" s="2">
        <v>32441</v>
      </c>
      <c r="G5176" s="2">
        <v>2.3338848919999999</v>
      </c>
      <c r="H5176" s="2">
        <v>2.5366886000000002E-2</v>
      </c>
      <c r="I5176" s="2" t="s">
        <v>23624</v>
      </c>
      <c r="J5176" s="2" t="s">
        <v>23625</v>
      </c>
      <c r="K5176" s="2">
        <v>3.9271517999999998E-2</v>
      </c>
      <c r="L5176" s="2" t="s">
        <v>1178</v>
      </c>
      <c r="M5176" s="4" t="s">
        <v>23626</v>
      </c>
    </row>
    <row r="5177" spans="1:13">
      <c r="A5177" s="2">
        <v>2379</v>
      </c>
      <c r="B5177" s="2" t="s">
        <v>23627</v>
      </c>
      <c r="C5177" s="2">
        <v>8</v>
      </c>
      <c r="D5177" s="2">
        <v>556</v>
      </c>
      <c r="E5177" s="2">
        <v>200</v>
      </c>
      <c r="F5177" s="2">
        <v>32441</v>
      </c>
      <c r="G5177" s="2">
        <v>2.3338848919999999</v>
      </c>
      <c r="H5177" s="2">
        <v>2.5366886000000002E-2</v>
      </c>
      <c r="I5177" s="2" t="s">
        <v>23628</v>
      </c>
      <c r="J5177" s="2" t="s">
        <v>23629</v>
      </c>
      <c r="K5177" s="2">
        <v>3.9271517999999998E-2</v>
      </c>
      <c r="L5177" s="2" t="s">
        <v>1178</v>
      </c>
      <c r="M5177" s="4" t="s">
        <v>23630</v>
      </c>
    </row>
    <row r="5178" spans="1:13">
      <c r="A5178" s="2">
        <v>2398</v>
      </c>
      <c r="B5178" s="2" t="s">
        <v>23631</v>
      </c>
      <c r="C5178" s="2">
        <v>8</v>
      </c>
      <c r="D5178" s="2">
        <v>556</v>
      </c>
      <c r="E5178" s="2">
        <v>200</v>
      </c>
      <c r="F5178" s="2">
        <v>32441</v>
      </c>
      <c r="G5178" s="2">
        <v>2.3338848919999999</v>
      </c>
      <c r="H5178" s="2">
        <v>2.5366886000000002E-2</v>
      </c>
      <c r="I5178" s="2" t="s">
        <v>23632</v>
      </c>
      <c r="J5178" s="2" t="s">
        <v>23633</v>
      </c>
      <c r="K5178" s="2">
        <v>3.9271517999999998E-2</v>
      </c>
      <c r="L5178" s="2" t="s">
        <v>1178</v>
      </c>
      <c r="M5178" s="4" t="s">
        <v>23634</v>
      </c>
    </row>
    <row r="5179" spans="1:13">
      <c r="A5179" s="2">
        <v>2448</v>
      </c>
      <c r="B5179" s="2" t="s">
        <v>23635</v>
      </c>
      <c r="C5179" s="2">
        <v>8</v>
      </c>
      <c r="D5179" s="2">
        <v>556</v>
      </c>
      <c r="E5179" s="2">
        <v>197</v>
      </c>
      <c r="F5179" s="2">
        <v>32441</v>
      </c>
      <c r="G5179" s="2">
        <v>2.3694262859999999</v>
      </c>
      <c r="H5179" s="2">
        <v>2.3521321000000001E-2</v>
      </c>
      <c r="I5179" s="2" t="s">
        <v>23636</v>
      </c>
      <c r="J5179" s="2" t="s">
        <v>23637</v>
      </c>
      <c r="K5179" s="2">
        <v>3.9271517999999998E-2</v>
      </c>
      <c r="L5179" s="2" t="s">
        <v>1178</v>
      </c>
      <c r="M5179" s="4" t="s">
        <v>23638</v>
      </c>
    </row>
    <row r="5180" spans="1:13">
      <c r="A5180" s="2">
        <v>24491</v>
      </c>
      <c r="B5180" s="2" t="s">
        <v>23639</v>
      </c>
      <c r="C5180" s="2">
        <v>8</v>
      </c>
      <c r="D5180" s="2">
        <v>556</v>
      </c>
      <c r="E5180" s="2">
        <v>198</v>
      </c>
      <c r="F5180" s="2">
        <v>32441</v>
      </c>
      <c r="G5180" s="2">
        <v>2.3574594869999999</v>
      </c>
      <c r="H5180" s="2">
        <v>2.4125677000000002E-2</v>
      </c>
      <c r="I5180" s="2" t="s">
        <v>23640</v>
      </c>
      <c r="J5180" s="2" t="s">
        <v>23641</v>
      </c>
      <c r="K5180" s="2">
        <v>3.9271517999999998E-2</v>
      </c>
      <c r="L5180" s="2" t="s">
        <v>1178</v>
      </c>
      <c r="M5180" s="4" t="s">
        <v>23642</v>
      </c>
    </row>
    <row r="5181" spans="1:13">
      <c r="A5181" s="2">
        <v>24531</v>
      </c>
      <c r="B5181" s="2" t="s">
        <v>1920</v>
      </c>
      <c r="C5181" s="2">
        <v>8</v>
      </c>
      <c r="D5181" s="2">
        <v>556</v>
      </c>
      <c r="E5181" s="2">
        <v>200</v>
      </c>
      <c r="F5181" s="2">
        <v>32441</v>
      </c>
      <c r="G5181" s="2">
        <v>2.3338848919999999</v>
      </c>
      <c r="H5181" s="2">
        <v>2.5366886000000002E-2</v>
      </c>
      <c r="I5181" s="2" t="s">
        <v>23643</v>
      </c>
      <c r="J5181" s="2" t="s">
        <v>23644</v>
      </c>
      <c r="K5181" s="2">
        <v>3.9271517999999998E-2</v>
      </c>
      <c r="L5181" s="2" t="s">
        <v>1178</v>
      </c>
      <c r="M5181" s="4" t="s">
        <v>23645</v>
      </c>
    </row>
    <row r="5182" spans="1:13">
      <c r="A5182" s="2">
        <v>2467</v>
      </c>
      <c r="B5182" s="2" t="s">
        <v>23646</v>
      </c>
      <c r="C5182" s="2">
        <v>7</v>
      </c>
      <c r="D5182" s="2">
        <v>556</v>
      </c>
      <c r="E5182" s="2">
        <v>160</v>
      </c>
      <c r="F5182" s="2">
        <v>32441</v>
      </c>
      <c r="G5182" s="2">
        <v>2.552686601</v>
      </c>
      <c r="H5182" s="2">
        <v>2.3547726000000001E-2</v>
      </c>
      <c r="I5182" s="2" t="s">
        <v>23647</v>
      </c>
      <c r="J5182" s="2" t="s">
        <v>23648</v>
      </c>
      <c r="K5182" s="2">
        <v>3.9271517999999998E-2</v>
      </c>
      <c r="L5182" s="2" t="s">
        <v>1178</v>
      </c>
      <c r="M5182" s="4" t="s">
        <v>23649</v>
      </c>
    </row>
    <row r="5183" spans="1:13">
      <c r="A5183" s="2">
        <v>24822</v>
      </c>
      <c r="B5183" s="2" t="s">
        <v>23650</v>
      </c>
      <c r="C5183" s="2">
        <v>8</v>
      </c>
      <c r="D5183" s="2">
        <v>556</v>
      </c>
      <c r="E5183" s="2">
        <v>200</v>
      </c>
      <c r="F5183" s="2">
        <v>32441</v>
      </c>
      <c r="G5183" s="2">
        <v>2.3338848919999999</v>
      </c>
      <c r="H5183" s="2">
        <v>2.5366886000000002E-2</v>
      </c>
      <c r="I5183" s="2" t="s">
        <v>23651</v>
      </c>
      <c r="J5183" s="2" t="s">
        <v>23652</v>
      </c>
      <c r="K5183" s="2">
        <v>3.9271517999999998E-2</v>
      </c>
      <c r="L5183" s="2" t="s">
        <v>1178</v>
      </c>
      <c r="M5183" s="4" t="s">
        <v>23653</v>
      </c>
    </row>
    <row r="5184" spans="1:13">
      <c r="A5184" s="2">
        <v>2485</v>
      </c>
      <c r="B5184" s="2" t="s">
        <v>23654</v>
      </c>
      <c r="C5184" s="2">
        <v>8</v>
      </c>
      <c r="D5184" s="2">
        <v>556</v>
      </c>
      <c r="E5184" s="2">
        <v>200</v>
      </c>
      <c r="F5184" s="2">
        <v>32441</v>
      </c>
      <c r="G5184" s="2">
        <v>2.3338848919999999</v>
      </c>
      <c r="H5184" s="2">
        <v>2.5366886000000002E-2</v>
      </c>
      <c r="I5184" s="2" t="s">
        <v>23655</v>
      </c>
      <c r="J5184" s="2" t="s">
        <v>23656</v>
      </c>
      <c r="K5184" s="2">
        <v>3.9271517999999998E-2</v>
      </c>
      <c r="L5184" s="2" t="s">
        <v>1178</v>
      </c>
      <c r="M5184" s="4" t="s">
        <v>23657</v>
      </c>
    </row>
    <row r="5185" spans="1:13">
      <c r="A5185" s="2">
        <v>2519</v>
      </c>
      <c r="B5185" s="2" t="s">
        <v>23658</v>
      </c>
      <c r="C5185" s="2">
        <v>8</v>
      </c>
      <c r="D5185" s="2">
        <v>556</v>
      </c>
      <c r="E5185" s="2">
        <v>200</v>
      </c>
      <c r="F5185" s="2">
        <v>32441</v>
      </c>
      <c r="G5185" s="2">
        <v>2.3338848919999999</v>
      </c>
      <c r="H5185" s="2">
        <v>2.5366886000000002E-2</v>
      </c>
      <c r="I5185" s="2" t="s">
        <v>23659</v>
      </c>
      <c r="J5185" s="2" t="s">
        <v>23660</v>
      </c>
      <c r="K5185" s="2">
        <v>3.9271517999999998E-2</v>
      </c>
      <c r="L5185" s="2" t="s">
        <v>1178</v>
      </c>
      <c r="M5185" s="4" t="s">
        <v>23661</v>
      </c>
    </row>
    <row r="5186" spans="1:13">
      <c r="A5186" s="2">
        <v>25621</v>
      </c>
      <c r="B5186" s="2" t="s">
        <v>23662</v>
      </c>
      <c r="C5186" s="2">
        <v>8</v>
      </c>
      <c r="D5186" s="2">
        <v>556</v>
      </c>
      <c r="E5186" s="2">
        <v>198</v>
      </c>
      <c r="F5186" s="2">
        <v>32441</v>
      </c>
      <c r="G5186" s="2">
        <v>2.3574594869999999</v>
      </c>
      <c r="H5186" s="2">
        <v>2.4125677000000002E-2</v>
      </c>
      <c r="I5186" s="2" t="s">
        <v>23663</v>
      </c>
      <c r="J5186" s="2" t="s">
        <v>23664</v>
      </c>
      <c r="K5186" s="2">
        <v>3.9271517999999998E-2</v>
      </c>
      <c r="L5186" s="2" t="s">
        <v>1178</v>
      </c>
      <c r="M5186" s="4" t="s">
        <v>23665</v>
      </c>
    </row>
    <row r="5187" spans="1:13">
      <c r="A5187" s="2">
        <v>2576</v>
      </c>
      <c r="B5187" s="2" t="s">
        <v>23666</v>
      </c>
      <c r="C5187" s="2">
        <v>8</v>
      </c>
      <c r="D5187" s="2">
        <v>556</v>
      </c>
      <c r="E5187" s="2">
        <v>200</v>
      </c>
      <c r="F5187" s="2">
        <v>32441</v>
      </c>
      <c r="G5187" s="2">
        <v>2.3338848919999999</v>
      </c>
      <c r="H5187" s="2">
        <v>2.5366886000000002E-2</v>
      </c>
      <c r="I5187" s="2" t="s">
        <v>23667</v>
      </c>
      <c r="J5187" s="2" t="s">
        <v>23668</v>
      </c>
      <c r="K5187" s="2">
        <v>3.9271517999999998E-2</v>
      </c>
      <c r="L5187" s="2" t="s">
        <v>1178</v>
      </c>
      <c r="M5187" s="4" t="s">
        <v>23669</v>
      </c>
    </row>
    <row r="5188" spans="1:13">
      <c r="A5188" s="2">
        <v>2605</v>
      </c>
      <c r="B5188" s="2" t="s">
        <v>2580</v>
      </c>
      <c r="C5188" s="2">
        <v>8</v>
      </c>
      <c r="D5188" s="2">
        <v>556</v>
      </c>
      <c r="E5188" s="2">
        <v>200</v>
      </c>
      <c r="F5188" s="2">
        <v>32441</v>
      </c>
      <c r="G5188" s="2">
        <v>2.3338848919999999</v>
      </c>
      <c r="H5188" s="2">
        <v>2.5366886000000002E-2</v>
      </c>
      <c r="I5188" s="2" t="s">
        <v>23670</v>
      </c>
      <c r="J5188" s="2" t="s">
        <v>23671</v>
      </c>
      <c r="K5188" s="2">
        <v>3.9271517999999998E-2</v>
      </c>
      <c r="L5188" s="2" t="s">
        <v>1178</v>
      </c>
      <c r="M5188" s="4" t="s">
        <v>23672</v>
      </c>
    </row>
    <row r="5189" spans="1:13">
      <c r="A5189" s="2">
        <v>26251</v>
      </c>
      <c r="B5189" s="2" t="s">
        <v>23673</v>
      </c>
      <c r="C5189" s="2">
        <v>8</v>
      </c>
      <c r="D5189" s="2">
        <v>556</v>
      </c>
      <c r="E5189" s="2">
        <v>200</v>
      </c>
      <c r="F5189" s="2">
        <v>32441</v>
      </c>
      <c r="G5189" s="2">
        <v>2.3338848919999999</v>
      </c>
      <c r="H5189" s="2">
        <v>2.5366886000000002E-2</v>
      </c>
      <c r="I5189" s="2" t="s">
        <v>23674</v>
      </c>
      <c r="J5189" s="2" t="s">
        <v>23675</v>
      </c>
      <c r="K5189" s="2">
        <v>3.9271517999999998E-2</v>
      </c>
      <c r="L5189" s="2" t="s">
        <v>1178</v>
      </c>
      <c r="M5189" s="4" t="s">
        <v>23676</v>
      </c>
    </row>
    <row r="5190" spans="1:13">
      <c r="A5190" s="2">
        <v>26441</v>
      </c>
      <c r="B5190" s="2" t="s">
        <v>23677</v>
      </c>
      <c r="C5190" s="2">
        <v>8</v>
      </c>
      <c r="D5190" s="2">
        <v>556</v>
      </c>
      <c r="E5190" s="2">
        <v>200</v>
      </c>
      <c r="F5190" s="2">
        <v>32441</v>
      </c>
      <c r="G5190" s="2">
        <v>2.3338848919999999</v>
      </c>
      <c r="H5190" s="2">
        <v>2.5366886000000002E-2</v>
      </c>
      <c r="I5190" s="2" t="s">
        <v>23678</v>
      </c>
      <c r="J5190" s="2" t="s">
        <v>23679</v>
      </c>
      <c r="K5190" s="2">
        <v>3.9271517999999998E-2</v>
      </c>
      <c r="L5190" s="2" t="s">
        <v>1178</v>
      </c>
      <c r="M5190" s="4" t="s">
        <v>23680</v>
      </c>
    </row>
    <row r="5191" spans="1:13">
      <c r="A5191" s="2">
        <v>2647</v>
      </c>
      <c r="B5191" s="2" t="s">
        <v>23681</v>
      </c>
      <c r="C5191" s="2">
        <v>8</v>
      </c>
      <c r="D5191" s="2">
        <v>556</v>
      </c>
      <c r="E5191" s="2">
        <v>200</v>
      </c>
      <c r="F5191" s="2">
        <v>32441</v>
      </c>
      <c r="G5191" s="2">
        <v>2.3338848919999999</v>
      </c>
      <c r="H5191" s="2">
        <v>2.5366886000000002E-2</v>
      </c>
      <c r="I5191" s="2" t="s">
        <v>23682</v>
      </c>
      <c r="J5191" s="2" t="s">
        <v>23683</v>
      </c>
      <c r="K5191" s="2">
        <v>3.9271517999999998E-2</v>
      </c>
      <c r="L5191" s="2" t="s">
        <v>1178</v>
      </c>
      <c r="M5191" s="4" t="s">
        <v>23684</v>
      </c>
    </row>
    <row r="5192" spans="1:13">
      <c r="A5192" s="2">
        <v>2704</v>
      </c>
      <c r="B5192" s="2" t="s">
        <v>23685</v>
      </c>
      <c r="C5192" s="2">
        <v>6</v>
      </c>
      <c r="D5192" s="2">
        <v>556</v>
      </c>
      <c r="E5192" s="2">
        <v>125</v>
      </c>
      <c r="F5192" s="2">
        <v>32441</v>
      </c>
      <c r="G5192" s="2">
        <v>2.800661871</v>
      </c>
      <c r="H5192" s="2">
        <v>2.3869986999999999E-2</v>
      </c>
      <c r="I5192" s="2" t="s">
        <v>23686</v>
      </c>
      <c r="J5192" s="2" t="s">
        <v>23687</v>
      </c>
      <c r="K5192" s="2">
        <v>3.9271517999999998E-2</v>
      </c>
      <c r="L5192" s="2" t="s">
        <v>1178</v>
      </c>
      <c r="M5192" s="4" t="s">
        <v>23688</v>
      </c>
    </row>
    <row r="5193" spans="1:13">
      <c r="A5193" s="2">
        <v>27101</v>
      </c>
      <c r="B5193" s="2" t="s">
        <v>23689</v>
      </c>
      <c r="C5193" s="2">
        <v>6</v>
      </c>
      <c r="D5193" s="2">
        <v>556</v>
      </c>
      <c r="E5193" s="2">
        <v>125</v>
      </c>
      <c r="F5193" s="2">
        <v>32441</v>
      </c>
      <c r="G5193" s="2">
        <v>2.800661871</v>
      </c>
      <c r="H5193" s="2">
        <v>2.3869986999999999E-2</v>
      </c>
      <c r="I5193" s="2" t="s">
        <v>23690</v>
      </c>
      <c r="J5193" s="2" t="s">
        <v>23691</v>
      </c>
      <c r="K5193" s="2">
        <v>3.9271517999999998E-2</v>
      </c>
      <c r="L5193" s="2" t="s">
        <v>1178</v>
      </c>
      <c r="M5193" s="4" t="s">
        <v>23692</v>
      </c>
    </row>
    <row r="5194" spans="1:13">
      <c r="A5194" s="2">
        <v>2722</v>
      </c>
      <c r="B5194" s="2" t="s">
        <v>23693</v>
      </c>
      <c r="C5194" s="2">
        <v>6</v>
      </c>
      <c r="D5194" s="2">
        <v>556</v>
      </c>
      <c r="E5194" s="2">
        <v>124</v>
      </c>
      <c r="F5194" s="2">
        <v>32441</v>
      </c>
      <c r="G5194" s="2">
        <v>2.8232478529999998</v>
      </c>
      <c r="H5194" s="2">
        <v>2.3093042000000001E-2</v>
      </c>
      <c r="I5194" s="2" t="s">
        <v>23694</v>
      </c>
      <c r="J5194" s="2" t="s">
        <v>23695</v>
      </c>
      <c r="K5194" s="2">
        <v>3.9271517999999998E-2</v>
      </c>
      <c r="L5194" s="2" t="s">
        <v>1178</v>
      </c>
      <c r="M5194" s="4" t="s">
        <v>23696</v>
      </c>
    </row>
    <row r="5195" spans="1:13">
      <c r="A5195" s="2">
        <v>27421</v>
      </c>
      <c r="B5195" s="2" t="s">
        <v>23697</v>
      </c>
      <c r="C5195" s="2">
        <v>6</v>
      </c>
      <c r="D5195" s="2">
        <v>556</v>
      </c>
      <c r="E5195" s="2">
        <v>124</v>
      </c>
      <c r="F5195" s="2">
        <v>32441</v>
      </c>
      <c r="G5195" s="2">
        <v>2.8232478529999998</v>
      </c>
      <c r="H5195" s="2">
        <v>2.3093042000000001E-2</v>
      </c>
      <c r="I5195" s="2" t="s">
        <v>23698</v>
      </c>
      <c r="J5195" s="2" t="s">
        <v>23699</v>
      </c>
      <c r="K5195" s="2">
        <v>3.9271517999999998E-2</v>
      </c>
      <c r="L5195" s="2" t="s">
        <v>1178</v>
      </c>
      <c r="M5195" s="4" t="s">
        <v>23700</v>
      </c>
    </row>
    <row r="5196" spans="1:13">
      <c r="A5196" s="2">
        <v>2772</v>
      </c>
      <c r="B5196" s="2" t="s">
        <v>23701</v>
      </c>
      <c r="C5196" s="2">
        <v>8</v>
      </c>
      <c r="D5196" s="2">
        <v>556</v>
      </c>
      <c r="E5196" s="2">
        <v>200</v>
      </c>
      <c r="F5196" s="2">
        <v>32441</v>
      </c>
      <c r="G5196" s="2">
        <v>2.3338848919999999</v>
      </c>
      <c r="H5196" s="2">
        <v>2.5366886000000002E-2</v>
      </c>
      <c r="I5196" s="2" t="s">
        <v>23702</v>
      </c>
      <c r="J5196" s="2" t="s">
        <v>23703</v>
      </c>
      <c r="K5196" s="2">
        <v>3.9271517999999998E-2</v>
      </c>
      <c r="L5196" s="2" t="s">
        <v>1178</v>
      </c>
      <c r="M5196" s="4" t="s">
        <v>23704</v>
      </c>
    </row>
    <row r="5197" spans="1:13">
      <c r="A5197" s="2">
        <v>28362</v>
      </c>
      <c r="B5197" s="2" t="s">
        <v>23705</v>
      </c>
      <c r="C5197" s="2">
        <v>8</v>
      </c>
      <c r="D5197" s="2">
        <v>556</v>
      </c>
      <c r="E5197" s="2">
        <v>200</v>
      </c>
      <c r="F5197" s="2">
        <v>32441</v>
      </c>
      <c r="G5197" s="2">
        <v>2.3338848919999999</v>
      </c>
      <c r="H5197" s="2">
        <v>2.5366886000000002E-2</v>
      </c>
      <c r="I5197" s="2" t="s">
        <v>23706</v>
      </c>
      <c r="J5197" s="2" t="s">
        <v>23707</v>
      </c>
      <c r="K5197" s="2">
        <v>3.9271517999999998E-2</v>
      </c>
      <c r="L5197" s="2" t="s">
        <v>1178</v>
      </c>
      <c r="M5197" s="4" t="s">
        <v>23708</v>
      </c>
    </row>
    <row r="5198" spans="1:13">
      <c r="A5198" s="2">
        <v>28511</v>
      </c>
      <c r="B5198" s="2" t="s">
        <v>23709</v>
      </c>
      <c r="C5198" s="2">
        <v>8</v>
      </c>
      <c r="D5198" s="2">
        <v>556</v>
      </c>
      <c r="E5198" s="2">
        <v>200</v>
      </c>
      <c r="F5198" s="2">
        <v>32441</v>
      </c>
      <c r="G5198" s="2">
        <v>2.3338848919999999</v>
      </c>
      <c r="H5198" s="2">
        <v>2.5366886000000002E-2</v>
      </c>
      <c r="I5198" s="2" t="s">
        <v>23710</v>
      </c>
      <c r="J5198" s="2" t="s">
        <v>23711</v>
      </c>
      <c r="K5198" s="2">
        <v>3.9271517999999998E-2</v>
      </c>
      <c r="L5198" s="2" t="s">
        <v>1178</v>
      </c>
      <c r="M5198" s="4" t="s">
        <v>23712</v>
      </c>
    </row>
    <row r="5199" spans="1:13">
      <c r="A5199" s="2">
        <v>28601</v>
      </c>
      <c r="B5199" s="2" t="s">
        <v>23713</v>
      </c>
      <c r="C5199" s="2">
        <v>8</v>
      </c>
      <c r="D5199" s="2">
        <v>556</v>
      </c>
      <c r="E5199" s="2">
        <v>200</v>
      </c>
      <c r="F5199" s="2">
        <v>32441</v>
      </c>
      <c r="G5199" s="2">
        <v>2.3338848919999999</v>
      </c>
      <c r="H5199" s="2">
        <v>2.5366886000000002E-2</v>
      </c>
      <c r="I5199" s="2" t="s">
        <v>23714</v>
      </c>
      <c r="J5199" s="2" t="s">
        <v>23715</v>
      </c>
      <c r="K5199" s="2">
        <v>3.9271517999999998E-2</v>
      </c>
      <c r="L5199" s="2" t="s">
        <v>1178</v>
      </c>
      <c r="M5199" s="4" t="s">
        <v>23716</v>
      </c>
    </row>
    <row r="5200" spans="1:13">
      <c r="A5200" s="2">
        <v>28691</v>
      </c>
      <c r="B5200" s="2" t="s">
        <v>23717</v>
      </c>
      <c r="C5200" s="2">
        <v>8</v>
      </c>
      <c r="D5200" s="2">
        <v>556</v>
      </c>
      <c r="E5200" s="2">
        <v>200</v>
      </c>
      <c r="F5200" s="2">
        <v>32441</v>
      </c>
      <c r="G5200" s="2">
        <v>2.3338848919999999</v>
      </c>
      <c r="H5200" s="2">
        <v>2.5366886000000002E-2</v>
      </c>
      <c r="I5200" s="2" t="s">
        <v>23718</v>
      </c>
      <c r="J5200" s="2" t="s">
        <v>23719</v>
      </c>
      <c r="K5200" s="2">
        <v>3.9271517999999998E-2</v>
      </c>
      <c r="L5200" s="2" t="s">
        <v>1178</v>
      </c>
      <c r="M5200" s="4" t="s">
        <v>23720</v>
      </c>
    </row>
    <row r="5201" spans="1:13">
      <c r="A5201" s="2">
        <v>28711</v>
      </c>
      <c r="B5201" s="2" t="s">
        <v>23721</v>
      </c>
      <c r="C5201" s="2">
        <v>8</v>
      </c>
      <c r="D5201" s="2">
        <v>556</v>
      </c>
      <c r="E5201" s="2">
        <v>200</v>
      </c>
      <c r="F5201" s="2">
        <v>32441</v>
      </c>
      <c r="G5201" s="2">
        <v>2.3338848919999999</v>
      </c>
      <c r="H5201" s="2">
        <v>2.5366886000000002E-2</v>
      </c>
      <c r="I5201" s="2" t="s">
        <v>23722</v>
      </c>
      <c r="J5201" s="2" t="s">
        <v>23723</v>
      </c>
      <c r="K5201" s="2">
        <v>3.9271517999999998E-2</v>
      </c>
      <c r="L5201" s="2" t="s">
        <v>1178</v>
      </c>
      <c r="M5201" s="4" t="s">
        <v>23724</v>
      </c>
    </row>
    <row r="5202" spans="1:13">
      <c r="A5202" s="2">
        <v>2877</v>
      </c>
      <c r="B5202" s="2" t="s">
        <v>23725</v>
      </c>
      <c r="C5202" s="2">
        <v>8</v>
      </c>
      <c r="D5202" s="2">
        <v>556</v>
      </c>
      <c r="E5202" s="2">
        <v>200</v>
      </c>
      <c r="F5202" s="2">
        <v>32441</v>
      </c>
      <c r="G5202" s="2">
        <v>2.3338848919999999</v>
      </c>
      <c r="H5202" s="2">
        <v>2.5366886000000002E-2</v>
      </c>
      <c r="I5202" s="2" t="s">
        <v>23726</v>
      </c>
      <c r="J5202" s="2" t="s">
        <v>23727</v>
      </c>
      <c r="K5202" s="2">
        <v>3.9271517999999998E-2</v>
      </c>
      <c r="L5202" s="2" t="s">
        <v>1178</v>
      </c>
      <c r="M5202" s="4" t="s">
        <v>23728</v>
      </c>
    </row>
    <row r="5203" spans="1:13">
      <c r="A5203" s="2">
        <v>29101</v>
      </c>
      <c r="B5203" s="2" t="s">
        <v>23729</v>
      </c>
      <c r="C5203" s="2">
        <v>8</v>
      </c>
      <c r="D5203" s="2">
        <v>556</v>
      </c>
      <c r="E5203" s="2">
        <v>200</v>
      </c>
      <c r="F5203" s="2">
        <v>32441</v>
      </c>
      <c r="G5203" s="2">
        <v>2.3338848919999999</v>
      </c>
      <c r="H5203" s="2">
        <v>2.5366886000000002E-2</v>
      </c>
      <c r="I5203" s="2" t="s">
        <v>23730</v>
      </c>
      <c r="J5203" s="2" t="s">
        <v>23731</v>
      </c>
      <c r="K5203" s="2">
        <v>3.9271517999999998E-2</v>
      </c>
      <c r="L5203" s="2" t="s">
        <v>1178</v>
      </c>
      <c r="M5203" s="4" t="s">
        <v>23732</v>
      </c>
    </row>
    <row r="5204" spans="1:13">
      <c r="A5204" s="2">
        <v>2932</v>
      </c>
      <c r="B5204" s="2" t="s">
        <v>23733</v>
      </c>
      <c r="C5204" s="2">
        <v>8</v>
      </c>
      <c r="D5204" s="2">
        <v>556</v>
      </c>
      <c r="E5204" s="2">
        <v>200</v>
      </c>
      <c r="F5204" s="2">
        <v>32441</v>
      </c>
      <c r="G5204" s="2">
        <v>2.3338848919999999</v>
      </c>
      <c r="H5204" s="2">
        <v>2.5366886000000002E-2</v>
      </c>
      <c r="I5204" s="2" t="s">
        <v>23734</v>
      </c>
      <c r="J5204" s="2" t="s">
        <v>23735</v>
      </c>
      <c r="K5204" s="2">
        <v>3.9271517999999998E-2</v>
      </c>
      <c r="L5204" s="2" t="s">
        <v>1178</v>
      </c>
      <c r="M5204" s="4" t="s">
        <v>23736</v>
      </c>
    </row>
    <row r="5205" spans="1:13">
      <c r="A5205" s="2">
        <v>2949</v>
      </c>
      <c r="B5205" s="2" t="s">
        <v>23737</v>
      </c>
      <c r="C5205" s="2">
        <v>8</v>
      </c>
      <c r="D5205" s="2">
        <v>556</v>
      </c>
      <c r="E5205" s="2">
        <v>200</v>
      </c>
      <c r="F5205" s="2">
        <v>32441</v>
      </c>
      <c r="G5205" s="2">
        <v>2.3338848919999999</v>
      </c>
      <c r="H5205" s="2">
        <v>2.5366886000000002E-2</v>
      </c>
      <c r="I5205" s="2" t="s">
        <v>23738</v>
      </c>
      <c r="J5205" s="2" t="s">
        <v>23739</v>
      </c>
      <c r="K5205" s="2">
        <v>3.9271517999999998E-2</v>
      </c>
      <c r="L5205" s="2" t="s">
        <v>1178</v>
      </c>
      <c r="M5205" s="4" t="s">
        <v>23740</v>
      </c>
    </row>
    <row r="5206" spans="1:13">
      <c r="A5206" s="2">
        <v>3009</v>
      </c>
      <c r="B5206" s="2" t="s">
        <v>23741</v>
      </c>
      <c r="C5206" s="2">
        <v>8</v>
      </c>
      <c r="D5206" s="2">
        <v>556</v>
      </c>
      <c r="E5206" s="2">
        <v>200</v>
      </c>
      <c r="F5206" s="2">
        <v>32441</v>
      </c>
      <c r="G5206" s="2">
        <v>2.3338848919999999</v>
      </c>
      <c r="H5206" s="2">
        <v>2.5366886000000002E-2</v>
      </c>
      <c r="I5206" s="2" t="s">
        <v>23742</v>
      </c>
      <c r="J5206" s="2" t="s">
        <v>23743</v>
      </c>
      <c r="K5206" s="2">
        <v>3.9271517999999998E-2</v>
      </c>
      <c r="L5206" s="2" t="s">
        <v>1178</v>
      </c>
      <c r="M5206" s="4" t="s">
        <v>23744</v>
      </c>
    </row>
    <row r="5207" spans="1:13">
      <c r="A5207" s="2">
        <v>3023</v>
      </c>
      <c r="B5207" s="2" t="s">
        <v>23745</v>
      </c>
      <c r="C5207" s="2">
        <v>8</v>
      </c>
      <c r="D5207" s="2">
        <v>556</v>
      </c>
      <c r="E5207" s="2">
        <v>200</v>
      </c>
      <c r="F5207" s="2">
        <v>32441</v>
      </c>
      <c r="G5207" s="2">
        <v>2.3338848919999999</v>
      </c>
      <c r="H5207" s="2">
        <v>2.5366886000000002E-2</v>
      </c>
      <c r="I5207" s="2" t="s">
        <v>23746</v>
      </c>
      <c r="J5207" s="2" t="s">
        <v>23747</v>
      </c>
      <c r="K5207" s="2">
        <v>3.9271517999999998E-2</v>
      </c>
      <c r="L5207" s="2" t="s">
        <v>1178</v>
      </c>
      <c r="M5207" s="4" t="s">
        <v>23748</v>
      </c>
    </row>
    <row r="5208" spans="1:13">
      <c r="A5208" s="2">
        <v>3029</v>
      </c>
      <c r="B5208" s="2" t="s">
        <v>23749</v>
      </c>
      <c r="C5208" s="2">
        <v>8</v>
      </c>
      <c r="D5208" s="2">
        <v>556</v>
      </c>
      <c r="E5208" s="2">
        <v>200</v>
      </c>
      <c r="F5208" s="2">
        <v>32441</v>
      </c>
      <c r="G5208" s="2">
        <v>2.3338848919999999</v>
      </c>
      <c r="H5208" s="2">
        <v>2.5366886000000002E-2</v>
      </c>
      <c r="I5208" s="2" t="s">
        <v>23750</v>
      </c>
      <c r="J5208" s="2" t="s">
        <v>23751</v>
      </c>
      <c r="K5208" s="2">
        <v>3.9271517999999998E-2</v>
      </c>
      <c r="L5208" s="2" t="s">
        <v>1178</v>
      </c>
      <c r="M5208" s="4" t="s">
        <v>23752</v>
      </c>
    </row>
    <row r="5209" spans="1:13">
      <c r="A5209" s="2">
        <v>3073</v>
      </c>
      <c r="B5209" s="2" t="s">
        <v>23753</v>
      </c>
      <c r="C5209" s="2">
        <v>8</v>
      </c>
      <c r="D5209" s="2">
        <v>556</v>
      </c>
      <c r="E5209" s="2">
        <v>199</v>
      </c>
      <c r="F5209" s="2">
        <v>32441</v>
      </c>
      <c r="G5209" s="2">
        <v>2.3456129570000002</v>
      </c>
      <c r="H5209" s="2">
        <v>2.4740835999999999E-2</v>
      </c>
      <c r="I5209" s="2" t="s">
        <v>23754</v>
      </c>
      <c r="J5209" s="2" t="s">
        <v>23755</v>
      </c>
      <c r="K5209" s="2">
        <v>3.9271517999999998E-2</v>
      </c>
      <c r="L5209" s="2" t="s">
        <v>1178</v>
      </c>
      <c r="M5209" s="4" t="s">
        <v>23756</v>
      </c>
    </row>
    <row r="5210" spans="1:13">
      <c r="A5210" s="2">
        <v>3085</v>
      </c>
      <c r="B5210" s="2" t="s">
        <v>23757</v>
      </c>
      <c r="C5210" s="2">
        <v>8</v>
      </c>
      <c r="D5210" s="2">
        <v>556</v>
      </c>
      <c r="E5210" s="2">
        <v>200</v>
      </c>
      <c r="F5210" s="2">
        <v>32441</v>
      </c>
      <c r="G5210" s="2">
        <v>2.3338848919999999</v>
      </c>
      <c r="H5210" s="2">
        <v>2.5366886000000002E-2</v>
      </c>
      <c r="I5210" s="2" t="s">
        <v>23758</v>
      </c>
      <c r="J5210" s="2" t="s">
        <v>23759</v>
      </c>
      <c r="K5210" s="2">
        <v>3.9271517999999998E-2</v>
      </c>
      <c r="L5210" s="2" t="s">
        <v>1178</v>
      </c>
      <c r="M5210" s="4" t="s">
        <v>23760</v>
      </c>
    </row>
    <row r="5211" spans="1:13">
      <c r="A5211" s="2">
        <v>31121</v>
      </c>
      <c r="B5211" s="2" t="s">
        <v>23761</v>
      </c>
      <c r="C5211" s="2">
        <v>8</v>
      </c>
      <c r="D5211" s="2">
        <v>556</v>
      </c>
      <c r="E5211" s="2">
        <v>200</v>
      </c>
      <c r="F5211" s="2">
        <v>32441</v>
      </c>
      <c r="G5211" s="2">
        <v>2.3338848919999999</v>
      </c>
      <c r="H5211" s="2">
        <v>2.5366886000000002E-2</v>
      </c>
      <c r="I5211" s="2" t="s">
        <v>23762</v>
      </c>
      <c r="J5211" s="2" t="s">
        <v>23763</v>
      </c>
      <c r="K5211" s="2">
        <v>3.9271517999999998E-2</v>
      </c>
      <c r="L5211" s="2" t="s">
        <v>1178</v>
      </c>
      <c r="M5211" s="4" t="s">
        <v>23764</v>
      </c>
    </row>
    <row r="5212" spans="1:13">
      <c r="A5212" s="2">
        <v>3176</v>
      </c>
      <c r="B5212" s="2" t="s">
        <v>23765</v>
      </c>
      <c r="C5212" s="2">
        <v>8</v>
      </c>
      <c r="D5212" s="2">
        <v>556</v>
      </c>
      <c r="E5212" s="2">
        <v>196</v>
      </c>
      <c r="F5212" s="2">
        <v>32441</v>
      </c>
      <c r="G5212" s="2">
        <v>2.3815151960000001</v>
      </c>
      <c r="H5212" s="2">
        <v>2.2927680999999998E-2</v>
      </c>
      <c r="I5212" s="2" t="s">
        <v>23766</v>
      </c>
      <c r="J5212" s="2" t="s">
        <v>23767</v>
      </c>
      <c r="K5212" s="2">
        <v>3.9271517999999998E-2</v>
      </c>
      <c r="L5212" s="2" t="s">
        <v>1178</v>
      </c>
      <c r="M5212" s="4" t="s">
        <v>23768</v>
      </c>
    </row>
    <row r="5213" spans="1:13">
      <c r="A5213" s="2">
        <v>3196</v>
      </c>
      <c r="B5213" s="2" t="s">
        <v>23769</v>
      </c>
      <c r="C5213" s="2">
        <v>8</v>
      </c>
      <c r="D5213" s="2">
        <v>556</v>
      </c>
      <c r="E5213" s="2">
        <v>198</v>
      </c>
      <c r="F5213" s="2">
        <v>32441</v>
      </c>
      <c r="G5213" s="2">
        <v>2.3574594869999999</v>
      </c>
      <c r="H5213" s="2">
        <v>2.4125677000000002E-2</v>
      </c>
      <c r="I5213" s="2" t="s">
        <v>23770</v>
      </c>
      <c r="J5213" s="2" t="s">
        <v>23771</v>
      </c>
      <c r="K5213" s="2">
        <v>3.9271517999999998E-2</v>
      </c>
      <c r="L5213" s="2" t="s">
        <v>1178</v>
      </c>
      <c r="M5213" s="4" t="s">
        <v>23772</v>
      </c>
    </row>
    <row r="5214" spans="1:13">
      <c r="A5214" s="2">
        <v>3200</v>
      </c>
      <c r="B5214" s="2" t="s">
        <v>23773</v>
      </c>
      <c r="C5214" s="2">
        <v>8</v>
      </c>
      <c r="D5214" s="2">
        <v>556</v>
      </c>
      <c r="E5214" s="2">
        <v>198</v>
      </c>
      <c r="F5214" s="2">
        <v>32441</v>
      </c>
      <c r="G5214" s="2">
        <v>2.3574594869999999</v>
      </c>
      <c r="H5214" s="2">
        <v>2.4125677000000002E-2</v>
      </c>
      <c r="I5214" s="2" t="s">
        <v>23774</v>
      </c>
      <c r="J5214" s="2" t="s">
        <v>23775</v>
      </c>
      <c r="K5214" s="2">
        <v>3.9271517999999998E-2</v>
      </c>
      <c r="L5214" s="2" t="s">
        <v>1178</v>
      </c>
      <c r="M5214" s="4" t="s">
        <v>23776</v>
      </c>
    </row>
    <row r="5215" spans="1:13">
      <c r="A5215" s="2">
        <v>3232</v>
      </c>
      <c r="B5215" s="2" t="s">
        <v>23777</v>
      </c>
      <c r="C5215" s="2">
        <v>8</v>
      </c>
      <c r="D5215" s="2">
        <v>556</v>
      </c>
      <c r="E5215" s="2">
        <v>200</v>
      </c>
      <c r="F5215" s="2">
        <v>32441</v>
      </c>
      <c r="G5215" s="2">
        <v>2.3338848919999999</v>
      </c>
      <c r="H5215" s="2">
        <v>2.5366886000000002E-2</v>
      </c>
      <c r="I5215" s="2" t="s">
        <v>23778</v>
      </c>
      <c r="J5215" s="2" t="s">
        <v>23779</v>
      </c>
      <c r="K5215" s="2">
        <v>3.9271517999999998E-2</v>
      </c>
      <c r="L5215" s="2" t="s">
        <v>1178</v>
      </c>
      <c r="M5215" s="4" t="s">
        <v>23780</v>
      </c>
    </row>
    <row r="5216" spans="1:13">
      <c r="A5216" s="2">
        <v>3277</v>
      </c>
      <c r="B5216" s="2" t="s">
        <v>23781</v>
      </c>
      <c r="C5216" s="2">
        <v>8</v>
      </c>
      <c r="D5216" s="2">
        <v>556</v>
      </c>
      <c r="E5216" s="2">
        <v>200</v>
      </c>
      <c r="F5216" s="2">
        <v>32441</v>
      </c>
      <c r="G5216" s="2">
        <v>2.3338848919999999</v>
      </c>
      <c r="H5216" s="2">
        <v>2.5366886000000002E-2</v>
      </c>
      <c r="I5216" s="2" t="s">
        <v>23782</v>
      </c>
      <c r="J5216" s="2" t="s">
        <v>23783</v>
      </c>
      <c r="K5216" s="2">
        <v>3.9271517999999998E-2</v>
      </c>
      <c r="L5216" s="2" t="s">
        <v>1178</v>
      </c>
      <c r="M5216" s="4" t="s">
        <v>23784</v>
      </c>
    </row>
    <row r="5217" spans="1:13">
      <c r="A5217" s="2">
        <v>3290</v>
      </c>
      <c r="B5217" s="2" t="s">
        <v>23785</v>
      </c>
      <c r="C5217" s="2">
        <v>8</v>
      </c>
      <c r="D5217" s="2">
        <v>556</v>
      </c>
      <c r="E5217" s="2">
        <v>200</v>
      </c>
      <c r="F5217" s="2">
        <v>32441</v>
      </c>
      <c r="G5217" s="2">
        <v>2.3338848919999999</v>
      </c>
      <c r="H5217" s="2">
        <v>2.5366886000000002E-2</v>
      </c>
      <c r="I5217" s="2" t="s">
        <v>23786</v>
      </c>
      <c r="J5217" s="2" t="s">
        <v>23787</v>
      </c>
      <c r="K5217" s="2">
        <v>3.9271517999999998E-2</v>
      </c>
      <c r="L5217" s="2" t="s">
        <v>1178</v>
      </c>
      <c r="M5217" s="4" t="s">
        <v>23788</v>
      </c>
    </row>
    <row r="5218" spans="1:13">
      <c r="A5218" s="2">
        <v>3312</v>
      </c>
      <c r="B5218" s="2" t="s">
        <v>23789</v>
      </c>
      <c r="C5218" s="2">
        <v>8</v>
      </c>
      <c r="D5218" s="2">
        <v>556</v>
      </c>
      <c r="E5218" s="2">
        <v>200</v>
      </c>
      <c r="F5218" s="2">
        <v>32441</v>
      </c>
      <c r="G5218" s="2">
        <v>2.3338848919999999</v>
      </c>
      <c r="H5218" s="2">
        <v>2.5366886000000002E-2</v>
      </c>
      <c r="I5218" s="2" t="s">
        <v>23790</v>
      </c>
      <c r="J5218" s="2" t="s">
        <v>23791</v>
      </c>
      <c r="K5218" s="2">
        <v>3.9271517999999998E-2</v>
      </c>
      <c r="L5218" s="2" t="s">
        <v>1178</v>
      </c>
      <c r="M5218" s="4" t="s">
        <v>23792</v>
      </c>
    </row>
    <row r="5219" spans="1:13">
      <c r="A5219" s="2">
        <v>3320</v>
      </c>
      <c r="B5219" s="2" t="s">
        <v>23793</v>
      </c>
      <c r="C5219" s="2">
        <v>8</v>
      </c>
      <c r="D5219" s="2">
        <v>556</v>
      </c>
      <c r="E5219" s="2">
        <v>200</v>
      </c>
      <c r="F5219" s="2">
        <v>32441</v>
      </c>
      <c r="G5219" s="2">
        <v>2.3338848919999999</v>
      </c>
      <c r="H5219" s="2">
        <v>2.5366886000000002E-2</v>
      </c>
      <c r="I5219" s="2" t="s">
        <v>23794</v>
      </c>
      <c r="J5219" s="2" t="s">
        <v>23795</v>
      </c>
      <c r="K5219" s="2">
        <v>3.9271517999999998E-2</v>
      </c>
      <c r="L5219" s="2" t="s">
        <v>1178</v>
      </c>
      <c r="M5219" s="4" t="s">
        <v>23796</v>
      </c>
    </row>
    <row r="5220" spans="1:13">
      <c r="A5220" s="2">
        <v>3337</v>
      </c>
      <c r="B5220" s="2" t="s">
        <v>23797</v>
      </c>
      <c r="C5220" s="2">
        <v>8</v>
      </c>
      <c r="D5220" s="2">
        <v>556</v>
      </c>
      <c r="E5220" s="2">
        <v>200</v>
      </c>
      <c r="F5220" s="2">
        <v>32441</v>
      </c>
      <c r="G5220" s="2">
        <v>2.3338848919999999</v>
      </c>
      <c r="H5220" s="2">
        <v>2.5366886000000002E-2</v>
      </c>
      <c r="I5220" s="2" t="s">
        <v>23798</v>
      </c>
      <c r="J5220" s="2" t="s">
        <v>23799</v>
      </c>
      <c r="K5220" s="2">
        <v>3.9271517999999998E-2</v>
      </c>
      <c r="L5220" s="2" t="s">
        <v>1178</v>
      </c>
      <c r="M5220" s="4" t="s">
        <v>23800</v>
      </c>
    </row>
    <row r="5221" spans="1:13">
      <c r="A5221" s="2">
        <v>3348</v>
      </c>
      <c r="B5221" s="2" t="s">
        <v>1509</v>
      </c>
      <c r="C5221" s="2">
        <v>8</v>
      </c>
      <c r="D5221" s="2">
        <v>556</v>
      </c>
      <c r="E5221" s="2">
        <v>200</v>
      </c>
      <c r="F5221" s="2">
        <v>32441</v>
      </c>
      <c r="G5221" s="2">
        <v>2.3338848919999999</v>
      </c>
      <c r="H5221" s="2">
        <v>2.5366886000000002E-2</v>
      </c>
      <c r="I5221" s="2" t="s">
        <v>23801</v>
      </c>
      <c r="J5221" s="2" t="s">
        <v>23802</v>
      </c>
      <c r="K5221" s="2">
        <v>3.9271517999999998E-2</v>
      </c>
      <c r="L5221" s="2" t="s">
        <v>1178</v>
      </c>
      <c r="M5221" s="4" t="s">
        <v>23803</v>
      </c>
    </row>
    <row r="5222" spans="1:13">
      <c r="A5222" s="2">
        <v>33851</v>
      </c>
      <c r="B5222" s="2" t="s">
        <v>23804</v>
      </c>
      <c r="C5222" s="2">
        <v>8</v>
      </c>
      <c r="D5222" s="2">
        <v>556</v>
      </c>
      <c r="E5222" s="2">
        <v>200</v>
      </c>
      <c r="F5222" s="2">
        <v>32441</v>
      </c>
      <c r="G5222" s="2">
        <v>2.3338848919999999</v>
      </c>
      <c r="H5222" s="2">
        <v>2.5366886000000002E-2</v>
      </c>
      <c r="I5222" s="2" t="s">
        <v>23805</v>
      </c>
      <c r="J5222" s="2" t="s">
        <v>23806</v>
      </c>
      <c r="K5222" s="2">
        <v>3.9271517999999998E-2</v>
      </c>
      <c r="L5222" s="2" t="s">
        <v>1178</v>
      </c>
      <c r="M5222" s="4" t="s">
        <v>23807</v>
      </c>
    </row>
    <row r="5223" spans="1:13">
      <c r="A5223" s="2">
        <v>33951</v>
      </c>
      <c r="B5223" s="2" t="s">
        <v>23808</v>
      </c>
      <c r="C5223" s="2">
        <v>8</v>
      </c>
      <c r="D5223" s="2">
        <v>556</v>
      </c>
      <c r="E5223" s="2">
        <v>200</v>
      </c>
      <c r="F5223" s="2">
        <v>32441</v>
      </c>
      <c r="G5223" s="2">
        <v>2.3338848919999999</v>
      </c>
      <c r="H5223" s="2">
        <v>2.5366886000000002E-2</v>
      </c>
      <c r="I5223" s="2" t="s">
        <v>23809</v>
      </c>
      <c r="J5223" s="2" t="s">
        <v>23810</v>
      </c>
      <c r="K5223" s="2">
        <v>3.9271517999999998E-2</v>
      </c>
      <c r="L5223" s="2" t="s">
        <v>1178</v>
      </c>
      <c r="M5223" s="4" t="s">
        <v>23811</v>
      </c>
    </row>
    <row r="5224" spans="1:13">
      <c r="A5224" s="2">
        <v>3399</v>
      </c>
      <c r="B5224" s="2" t="s">
        <v>23812</v>
      </c>
      <c r="C5224" s="2">
        <v>8</v>
      </c>
      <c r="D5224" s="2">
        <v>556</v>
      </c>
      <c r="E5224" s="2">
        <v>200</v>
      </c>
      <c r="F5224" s="2">
        <v>32441</v>
      </c>
      <c r="G5224" s="2">
        <v>2.3338848919999999</v>
      </c>
      <c r="H5224" s="2">
        <v>2.5366886000000002E-2</v>
      </c>
      <c r="I5224" s="2" t="s">
        <v>23813</v>
      </c>
      <c r="J5224" s="2" t="s">
        <v>23814</v>
      </c>
      <c r="K5224" s="2">
        <v>3.9271517999999998E-2</v>
      </c>
      <c r="L5224" s="2" t="s">
        <v>1178</v>
      </c>
      <c r="M5224" s="4" t="s">
        <v>23815</v>
      </c>
    </row>
    <row r="5225" spans="1:13">
      <c r="A5225" s="2">
        <v>3400</v>
      </c>
      <c r="B5225" s="2" t="s">
        <v>23816</v>
      </c>
      <c r="C5225" s="2">
        <v>8</v>
      </c>
      <c r="D5225" s="2">
        <v>556</v>
      </c>
      <c r="E5225" s="2">
        <v>200</v>
      </c>
      <c r="F5225" s="2">
        <v>32441</v>
      </c>
      <c r="G5225" s="2">
        <v>2.3338848919999999</v>
      </c>
      <c r="H5225" s="2">
        <v>2.5366886000000002E-2</v>
      </c>
      <c r="I5225" s="2" t="s">
        <v>23817</v>
      </c>
      <c r="J5225" s="2" t="s">
        <v>23818</v>
      </c>
      <c r="K5225" s="2">
        <v>3.9271517999999998E-2</v>
      </c>
      <c r="L5225" s="2" t="s">
        <v>1178</v>
      </c>
      <c r="M5225" s="4" t="s">
        <v>23819</v>
      </c>
    </row>
    <row r="5226" spans="1:13">
      <c r="A5226" s="2">
        <v>3418</v>
      </c>
      <c r="B5226" s="2" t="s">
        <v>23820</v>
      </c>
      <c r="C5226" s="2">
        <v>8</v>
      </c>
      <c r="D5226" s="2">
        <v>556</v>
      </c>
      <c r="E5226" s="2">
        <v>200</v>
      </c>
      <c r="F5226" s="2">
        <v>32441</v>
      </c>
      <c r="G5226" s="2">
        <v>2.3338848919999999</v>
      </c>
      <c r="H5226" s="2">
        <v>2.5366886000000002E-2</v>
      </c>
      <c r="I5226" s="2" t="s">
        <v>23821</v>
      </c>
      <c r="J5226" s="2" t="s">
        <v>23822</v>
      </c>
      <c r="K5226" s="2">
        <v>3.9271517999999998E-2</v>
      </c>
      <c r="L5226" s="2" t="s">
        <v>1178</v>
      </c>
      <c r="M5226" s="4" t="s">
        <v>23823</v>
      </c>
    </row>
    <row r="5227" spans="1:13">
      <c r="A5227" s="2">
        <v>3433</v>
      </c>
      <c r="B5227" s="2" t="s">
        <v>3475</v>
      </c>
      <c r="C5227" s="2">
        <v>8</v>
      </c>
      <c r="D5227" s="2">
        <v>556</v>
      </c>
      <c r="E5227" s="2">
        <v>198</v>
      </c>
      <c r="F5227" s="2">
        <v>32441</v>
      </c>
      <c r="G5227" s="2">
        <v>2.3574594869999999</v>
      </c>
      <c r="H5227" s="2">
        <v>2.4125677000000002E-2</v>
      </c>
      <c r="I5227" s="2" t="s">
        <v>23824</v>
      </c>
      <c r="J5227" s="2" t="s">
        <v>23825</v>
      </c>
      <c r="K5227" s="2">
        <v>3.9271517999999998E-2</v>
      </c>
      <c r="L5227" s="2" t="s">
        <v>1178</v>
      </c>
      <c r="M5227" s="4" t="s">
        <v>3478</v>
      </c>
    </row>
    <row r="5228" spans="1:13">
      <c r="A5228" s="2">
        <v>3462</v>
      </c>
      <c r="B5228" s="2" t="s">
        <v>23826</v>
      </c>
      <c r="C5228" s="2">
        <v>8</v>
      </c>
      <c r="D5228" s="2">
        <v>556</v>
      </c>
      <c r="E5228" s="2">
        <v>200</v>
      </c>
      <c r="F5228" s="2">
        <v>32441</v>
      </c>
      <c r="G5228" s="2">
        <v>2.3338848919999999</v>
      </c>
      <c r="H5228" s="2">
        <v>2.5366886000000002E-2</v>
      </c>
      <c r="I5228" s="2" t="s">
        <v>23827</v>
      </c>
      <c r="J5228" s="2" t="s">
        <v>23828</v>
      </c>
      <c r="K5228" s="2">
        <v>3.9271517999999998E-2</v>
      </c>
      <c r="L5228" s="2" t="s">
        <v>1178</v>
      </c>
      <c r="M5228" s="4" t="s">
        <v>23829</v>
      </c>
    </row>
    <row r="5229" spans="1:13">
      <c r="A5229" s="2">
        <v>34811</v>
      </c>
      <c r="B5229" s="2" t="s">
        <v>23830</v>
      </c>
      <c r="C5229" s="2">
        <v>8</v>
      </c>
      <c r="D5229" s="2">
        <v>556</v>
      </c>
      <c r="E5229" s="2">
        <v>200</v>
      </c>
      <c r="F5229" s="2">
        <v>32441</v>
      </c>
      <c r="G5229" s="2">
        <v>2.3338848919999999</v>
      </c>
      <c r="H5229" s="2">
        <v>2.5366886000000002E-2</v>
      </c>
      <c r="I5229" s="2" t="s">
        <v>23831</v>
      </c>
      <c r="J5229" s="2" t="s">
        <v>23832</v>
      </c>
      <c r="K5229" s="2">
        <v>3.9271517999999998E-2</v>
      </c>
      <c r="L5229" s="2" t="s">
        <v>1178</v>
      </c>
      <c r="M5229" s="4" t="s">
        <v>23833</v>
      </c>
    </row>
    <row r="5230" spans="1:13">
      <c r="A5230" s="2">
        <v>3573</v>
      </c>
      <c r="B5230" s="2" t="s">
        <v>23834</v>
      </c>
      <c r="C5230" s="2">
        <v>8</v>
      </c>
      <c r="D5230" s="2">
        <v>556</v>
      </c>
      <c r="E5230" s="2">
        <v>199</v>
      </c>
      <c r="F5230" s="2">
        <v>32441</v>
      </c>
      <c r="G5230" s="2">
        <v>2.3456129570000002</v>
      </c>
      <c r="H5230" s="2">
        <v>2.4740835999999999E-2</v>
      </c>
      <c r="I5230" s="2" t="s">
        <v>23835</v>
      </c>
      <c r="J5230" s="2" t="s">
        <v>23836</v>
      </c>
      <c r="K5230" s="2">
        <v>3.9271517999999998E-2</v>
      </c>
      <c r="L5230" s="2" t="s">
        <v>1178</v>
      </c>
      <c r="M5230" s="4" t="s">
        <v>23837</v>
      </c>
    </row>
    <row r="5231" spans="1:13">
      <c r="A5231" s="2">
        <v>3589</v>
      </c>
      <c r="B5231" s="2" t="s">
        <v>23838</v>
      </c>
      <c r="C5231" s="2">
        <v>8</v>
      </c>
      <c r="D5231" s="2">
        <v>556</v>
      </c>
      <c r="E5231" s="2">
        <v>199</v>
      </c>
      <c r="F5231" s="2">
        <v>32441</v>
      </c>
      <c r="G5231" s="2">
        <v>2.3456129570000002</v>
      </c>
      <c r="H5231" s="2">
        <v>2.4740835999999999E-2</v>
      </c>
      <c r="I5231" s="2" t="s">
        <v>23839</v>
      </c>
      <c r="J5231" s="2" t="s">
        <v>23840</v>
      </c>
      <c r="K5231" s="2">
        <v>3.9271517999999998E-2</v>
      </c>
      <c r="L5231" s="2" t="s">
        <v>1178</v>
      </c>
      <c r="M5231" s="4" t="s">
        <v>23841</v>
      </c>
    </row>
    <row r="5232" spans="1:13">
      <c r="A5232" s="2">
        <v>36011</v>
      </c>
      <c r="B5232" s="2" t="s">
        <v>23842</v>
      </c>
      <c r="C5232" s="2">
        <v>8</v>
      </c>
      <c r="D5232" s="2">
        <v>556</v>
      </c>
      <c r="E5232" s="2">
        <v>200</v>
      </c>
      <c r="F5232" s="2">
        <v>32441</v>
      </c>
      <c r="G5232" s="2">
        <v>2.3338848919999999</v>
      </c>
      <c r="H5232" s="2">
        <v>2.5366886000000002E-2</v>
      </c>
      <c r="I5232" s="2" t="s">
        <v>23843</v>
      </c>
      <c r="J5232" s="2" t="s">
        <v>23844</v>
      </c>
      <c r="K5232" s="2">
        <v>3.9271517999999998E-2</v>
      </c>
      <c r="L5232" s="2" t="s">
        <v>1178</v>
      </c>
      <c r="M5232" s="4" t="s">
        <v>23845</v>
      </c>
    </row>
    <row r="5233" spans="1:13">
      <c r="A5233" s="2">
        <v>3608</v>
      </c>
      <c r="B5233" s="2" t="s">
        <v>1740</v>
      </c>
      <c r="C5233" s="2">
        <v>8</v>
      </c>
      <c r="D5233" s="2">
        <v>556</v>
      </c>
      <c r="E5233" s="2">
        <v>200</v>
      </c>
      <c r="F5233" s="2">
        <v>32441</v>
      </c>
      <c r="G5233" s="2">
        <v>2.3338848919999999</v>
      </c>
      <c r="H5233" s="2">
        <v>2.5366886000000002E-2</v>
      </c>
      <c r="I5233" s="2" t="s">
        <v>23846</v>
      </c>
      <c r="J5233" s="2" t="s">
        <v>23847</v>
      </c>
      <c r="K5233" s="2">
        <v>3.9271517999999998E-2</v>
      </c>
      <c r="L5233" s="2" t="s">
        <v>1178</v>
      </c>
      <c r="M5233" s="4" t="s">
        <v>23848</v>
      </c>
    </row>
    <row r="5234" spans="1:13">
      <c r="A5234" s="2">
        <v>3623</v>
      </c>
      <c r="B5234" s="2" t="s">
        <v>23849</v>
      </c>
      <c r="C5234" s="2">
        <v>8</v>
      </c>
      <c r="D5234" s="2">
        <v>556</v>
      </c>
      <c r="E5234" s="2">
        <v>196</v>
      </c>
      <c r="F5234" s="2">
        <v>32441</v>
      </c>
      <c r="G5234" s="2">
        <v>2.3815151960000001</v>
      </c>
      <c r="H5234" s="2">
        <v>2.2927680999999998E-2</v>
      </c>
      <c r="I5234" s="2" t="s">
        <v>23850</v>
      </c>
      <c r="J5234" s="2" t="s">
        <v>23851</v>
      </c>
      <c r="K5234" s="2">
        <v>3.9271517999999998E-2</v>
      </c>
      <c r="L5234" s="2" t="s">
        <v>1178</v>
      </c>
      <c r="M5234" s="4" t="s">
        <v>23852</v>
      </c>
    </row>
    <row r="5235" spans="1:13">
      <c r="A5235" s="2">
        <v>3685</v>
      </c>
      <c r="B5235" s="2" t="s">
        <v>23853</v>
      </c>
      <c r="C5235" s="2">
        <v>8</v>
      </c>
      <c r="D5235" s="2">
        <v>556</v>
      </c>
      <c r="E5235" s="2">
        <v>198</v>
      </c>
      <c r="F5235" s="2">
        <v>32441</v>
      </c>
      <c r="G5235" s="2">
        <v>2.3574594869999999</v>
      </c>
      <c r="H5235" s="2">
        <v>2.4125677000000002E-2</v>
      </c>
      <c r="I5235" s="2" t="s">
        <v>23854</v>
      </c>
      <c r="J5235" s="2" t="s">
        <v>23855</v>
      </c>
      <c r="K5235" s="2">
        <v>3.9271517999999998E-2</v>
      </c>
      <c r="L5235" s="2" t="s">
        <v>1178</v>
      </c>
      <c r="M5235" s="4" t="s">
        <v>23856</v>
      </c>
    </row>
    <row r="5236" spans="1:13">
      <c r="A5236" s="2">
        <v>3702</v>
      </c>
      <c r="B5236" s="2" t="s">
        <v>23857</v>
      </c>
      <c r="C5236" s="2">
        <v>8</v>
      </c>
      <c r="D5236" s="2">
        <v>556</v>
      </c>
      <c r="E5236" s="2">
        <v>200</v>
      </c>
      <c r="F5236" s="2">
        <v>32441</v>
      </c>
      <c r="G5236" s="2">
        <v>2.3338848919999999</v>
      </c>
      <c r="H5236" s="2">
        <v>2.5366886000000002E-2</v>
      </c>
      <c r="I5236" s="2" t="s">
        <v>23858</v>
      </c>
      <c r="J5236" s="2" t="s">
        <v>23859</v>
      </c>
      <c r="K5236" s="2">
        <v>3.9271517999999998E-2</v>
      </c>
      <c r="L5236" s="2" t="s">
        <v>1178</v>
      </c>
      <c r="M5236" s="4" t="s">
        <v>23860</v>
      </c>
    </row>
    <row r="5237" spans="1:13">
      <c r="A5237" s="2">
        <v>3712</v>
      </c>
      <c r="B5237" s="2" t="s">
        <v>23861</v>
      </c>
      <c r="C5237" s="2">
        <v>8</v>
      </c>
      <c r="D5237" s="2">
        <v>556</v>
      </c>
      <c r="E5237" s="2">
        <v>200</v>
      </c>
      <c r="F5237" s="2">
        <v>32441</v>
      </c>
      <c r="G5237" s="2">
        <v>2.3338848919999999</v>
      </c>
      <c r="H5237" s="2">
        <v>2.5366886000000002E-2</v>
      </c>
      <c r="I5237" s="2" t="s">
        <v>23862</v>
      </c>
      <c r="J5237" s="2" t="s">
        <v>23863</v>
      </c>
      <c r="K5237" s="2">
        <v>3.9271517999999998E-2</v>
      </c>
      <c r="L5237" s="2" t="s">
        <v>1178</v>
      </c>
      <c r="M5237" s="4" t="s">
        <v>23864</v>
      </c>
    </row>
    <row r="5238" spans="1:13">
      <c r="A5238" s="2">
        <v>37191</v>
      </c>
      <c r="B5238" s="2" t="s">
        <v>1242</v>
      </c>
      <c r="C5238" s="2">
        <v>8</v>
      </c>
      <c r="D5238" s="2">
        <v>556</v>
      </c>
      <c r="E5238" s="2">
        <v>200</v>
      </c>
      <c r="F5238" s="2">
        <v>32441</v>
      </c>
      <c r="G5238" s="2">
        <v>2.3338848919999999</v>
      </c>
      <c r="H5238" s="2">
        <v>2.5366886000000002E-2</v>
      </c>
      <c r="I5238" s="2" t="s">
        <v>23865</v>
      </c>
      <c r="J5238" s="2" t="s">
        <v>23866</v>
      </c>
      <c r="K5238" s="2">
        <v>3.9271517999999998E-2</v>
      </c>
      <c r="L5238" s="2" t="s">
        <v>1178</v>
      </c>
      <c r="M5238" s="4" t="s">
        <v>23867</v>
      </c>
    </row>
    <row r="5239" spans="1:13">
      <c r="A5239" s="2">
        <v>3725</v>
      </c>
      <c r="B5239" s="2" t="s">
        <v>23868</v>
      </c>
      <c r="C5239" s="2">
        <v>8</v>
      </c>
      <c r="D5239" s="2">
        <v>556</v>
      </c>
      <c r="E5239" s="2">
        <v>200</v>
      </c>
      <c r="F5239" s="2">
        <v>32441</v>
      </c>
      <c r="G5239" s="2">
        <v>2.3338848919999999</v>
      </c>
      <c r="H5239" s="2">
        <v>2.5366886000000002E-2</v>
      </c>
      <c r="I5239" s="2" t="s">
        <v>23869</v>
      </c>
      <c r="J5239" s="2" t="s">
        <v>23870</v>
      </c>
      <c r="K5239" s="2">
        <v>3.9271517999999998E-2</v>
      </c>
      <c r="L5239" s="2" t="s">
        <v>1178</v>
      </c>
      <c r="M5239" s="4" t="s">
        <v>23871</v>
      </c>
    </row>
    <row r="5240" spans="1:13">
      <c r="A5240" s="2">
        <v>3749</v>
      </c>
      <c r="B5240" s="2" t="s">
        <v>23872</v>
      </c>
      <c r="C5240" s="2">
        <v>8</v>
      </c>
      <c r="D5240" s="2">
        <v>556</v>
      </c>
      <c r="E5240" s="2">
        <v>200</v>
      </c>
      <c r="F5240" s="2">
        <v>32441</v>
      </c>
      <c r="G5240" s="2">
        <v>2.3338848919999999</v>
      </c>
      <c r="H5240" s="2">
        <v>2.5366886000000002E-2</v>
      </c>
      <c r="I5240" s="2" t="s">
        <v>23873</v>
      </c>
      <c r="J5240" s="2" t="s">
        <v>23874</v>
      </c>
      <c r="K5240" s="2">
        <v>3.9271517999999998E-2</v>
      </c>
      <c r="L5240" s="2" t="s">
        <v>1178</v>
      </c>
      <c r="M5240" s="4" t="s">
        <v>23875</v>
      </c>
    </row>
    <row r="5241" spans="1:13">
      <c r="A5241" s="2">
        <v>3768</v>
      </c>
      <c r="B5241" s="2" t="s">
        <v>23876</v>
      </c>
      <c r="C5241" s="2">
        <v>8</v>
      </c>
      <c r="D5241" s="2">
        <v>556</v>
      </c>
      <c r="E5241" s="2">
        <v>200</v>
      </c>
      <c r="F5241" s="2">
        <v>32441</v>
      </c>
      <c r="G5241" s="2">
        <v>2.3338848919999999</v>
      </c>
      <c r="H5241" s="2">
        <v>2.5366886000000002E-2</v>
      </c>
      <c r="I5241" s="2" t="s">
        <v>23877</v>
      </c>
      <c r="J5241" s="2" t="s">
        <v>23878</v>
      </c>
      <c r="K5241" s="2">
        <v>3.9271517999999998E-2</v>
      </c>
      <c r="L5241" s="2" t="s">
        <v>1178</v>
      </c>
      <c r="M5241" s="4" t="s">
        <v>23879</v>
      </c>
    </row>
    <row r="5242" spans="1:13">
      <c r="A5242" s="2">
        <v>3787</v>
      </c>
      <c r="B5242" s="2" t="s">
        <v>23880</v>
      </c>
      <c r="C5242" s="2">
        <v>8</v>
      </c>
      <c r="D5242" s="2">
        <v>556</v>
      </c>
      <c r="E5242" s="2">
        <v>199</v>
      </c>
      <c r="F5242" s="2">
        <v>32441</v>
      </c>
      <c r="G5242" s="2">
        <v>2.3456129570000002</v>
      </c>
      <c r="H5242" s="2">
        <v>2.4740835999999999E-2</v>
      </c>
      <c r="I5242" s="2" t="s">
        <v>23881</v>
      </c>
      <c r="J5242" s="2" t="s">
        <v>23882</v>
      </c>
      <c r="K5242" s="2">
        <v>3.9271517999999998E-2</v>
      </c>
      <c r="L5242" s="2" t="s">
        <v>1178</v>
      </c>
      <c r="M5242" s="4" t="s">
        <v>23883</v>
      </c>
    </row>
    <row r="5243" spans="1:13">
      <c r="A5243" s="2">
        <v>37881</v>
      </c>
      <c r="B5243" s="2" t="s">
        <v>23884</v>
      </c>
      <c r="C5243" s="2">
        <v>8</v>
      </c>
      <c r="D5243" s="2">
        <v>556</v>
      </c>
      <c r="E5243" s="2">
        <v>199</v>
      </c>
      <c r="F5243" s="2">
        <v>32441</v>
      </c>
      <c r="G5243" s="2">
        <v>2.3456129570000002</v>
      </c>
      <c r="H5243" s="2">
        <v>2.4740835999999999E-2</v>
      </c>
      <c r="I5243" s="2" t="s">
        <v>23885</v>
      </c>
      <c r="J5243" s="2" t="s">
        <v>23886</v>
      </c>
      <c r="K5243" s="2">
        <v>3.9271517999999998E-2</v>
      </c>
      <c r="L5243" s="2" t="s">
        <v>1178</v>
      </c>
      <c r="M5243" s="4" t="s">
        <v>23887</v>
      </c>
    </row>
    <row r="5244" spans="1:13">
      <c r="A5244" s="2">
        <v>3795</v>
      </c>
      <c r="B5244" s="2" t="s">
        <v>23888</v>
      </c>
      <c r="C5244" s="2">
        <v>8</v>
      </c>
      <c r="D5244" s="2">
        <v>556</v>
      </c>
      <c r="E5244" s="2">
        <v>198</v>
      </c>
      <c r="F5244" s="2">
        <v>32441</v>
      </c>
      <c r="G5244" s="2">
        <v>2.3574594869999999</v>
      </c>
      <c r="H5244" s="2">
        <v>2.4125677000000002E-2</v>
      </c>
      <c r="I5244" s="2" t="s">
        <v>23889</v>
      </c>
      <c r="J5244" s="2" t="s">
        <v>23890</v>
      </c>
      <c r="K5244" s="2">
        <v>3.9271517999999998E-2</v>
      </c>
      <c r="L5244" s="2" t="s">
        <v>1178</v>
      </c>
      <c r="M5244" s="4" t="s">
        <v>23891</v>
      </c>
    </row>
    <row r="5245" spans="1:13">
      <c r="A5245" s="2">
        <v>3809</v>
      </c>
      <c r="B5245" s="2" t="s">
        <v>23892</v>
      </c>
      <c r="C5245" s="2">
        <v>8</v>
      </c>
      <c r="D5245" s="2">
        <v>556</v>
      </c>
      <c r="E5245" s="2">
        <v>200</v>
      </c>
      <c r="F5245" s="2">
        <v>32441</v>
      </c>
      <c r="G5245" s="2">
        <v>2.3338848919999999</v>
      </c>
      <c r="H5245" s="2">
        <v>2.5366886000000002E-2</v>
      </c>
      <c r="I5245" s="2" t="s">
        <v>23893</v>
      </c>
      <c r="J5245" s="2" t="s">
        <v>23894</v>
      </c>
      <c r="K5245" s="2">
        <v>3.9271517999999998E-2</v>
      </c>
      <c r="L5245" s="2" t="s">
        <v>1178</v>
      </c>
      <c r="M5245" s="4" t="s">
        <v>23895</v>
      </c>
    </row>
    <row r="5246" spans="1:13">
      <c r="A5246" s="2">
        <v>38191</v>
      </c>
      <c r="B5246" s="2" t="s">
        <v>23896</v>
      </c>
      <c r="C5246" s="2">
        <v>8</v>
      </c>
      <c r="D5246" s="2">
        <v>556</v>
      </c>
      <c r="E5246" s="2">
        <v>199</v>
      </c>
      <c r="F5246" s="2">
        <v>32441</v>
      </c>
      <c r="G5246" s="2">
        <v>2.3456129570000002</v>
      </c>
      <c r="H5246" s="2">
        <v>2.4740835999999999E-2</v>
      </c>
      <c r="I5246" s="2" t="s">
        <v>23897</v>
      </c>
      <c r="J5246" s="2" t="s">
        <v>23898</v>
      </c>
      <c r="K5246" s="2">
        <v>3.9271517999999998E-2</v>
      </c>
      <c r="L5246" s="2" t="s">
        <v>1178</v>
      </c>
      <c r="M5246" s="4" t="s">
        <v>23899</v>
      </c>
    </row>
    <row r="5247" spans="1:13">
      <c r="A5247" s="2">
        <v>38641</v>
      </c>
      <c r="B5247" s="2" t="s">
        <v>23900</v>
      </c>
      <c r="C5247" s="2">
        <v>8</v>
      </c>
      <c r="D5247" s="2">
        <v>556</v>
      </c>
      <c r="E5247" s="2">
        <v>200</v>
      </c>
      <c r="F5247" s="2">
        <v>32441</v>
      </c>
      <c r="G5247" s="2">
        <v>2.3338848919999999</v>
      </c>
      <c r="H5247" s="2">
        <v>2.5366886000000002E-2</v>
      </c>
      <c r="I5247" s="2" t="s">
        <v>23901</v>
      </c>
      <c r="J5247" s="2" t="s">
        <v>23902</v>
      </c>
      <c r="K5247" s="2">
        <v>3.9271517999999998E-2</v>
      </c>
      <c r="L5247" s="2" t="s">
        <v>1178</v>
      </c>
      <c r="M5247" s="4" t="s">
        <v>23903</v>
      </c>
    </row>
    <row r="5248" spans="1:13">
      <c r="A5248" s="2">
        <v>3868</v>
      </c>
      <c r="B5248" s="2" t="s">
        <v>23904</v>
      </c>
      <c r="C5248" s="2">
        <v>8</v>
      </c>
      <c r="D5248" s="2">
        <v>556</v>
      </c>
      <c r="E5248" s="2">
        <v>200</v>
      </c>
      <c r="F5248" s="2">
        <v>32441</v>
      </c>
      <c r="G5248" s="2">
        <v>2.3338848919999999</v>
      </c>
      <c r="H5248" s="2">
        <v>2.5366886000000002E-2</v>
      </c>
      <c r="I5248" s="2" t="s">
        <v>23905</v>
      </c>
      <c r="J5248" s="2" t="s">
        <v>23906</v>
      </c>
      <c r="K5248" s="2">
        <v>3.9271517999999998E-2</v>
      </c>
      <c r="L5248" s="2" t="s">
        <v>1178</v>
      </c>
      <c r="M5248" s="4" t="s">
        <v>23907</v>
      </c>
    </row>
    <row r="5249" spans="1:13">
      <c r="A5249" s="2">
        <v>3907</v>
      </c>
      <c r="B5249" s="2" t="s">
        <v>23908</v>
      </c>
      <c r="C5249" s="2">
        <v>8</v>
      </c>
      <c r="D5249" s="2">
        <v>556</v>
      </c>
      <c r="E5249" s="2">
        <v>200</v>
      </c>
      <c r="F5249" s="2">
        <v>32441</v>
      </c>
      <c r="G5249" s="2">
        <v>2.3338848919999999</v>
      </c>
      <c r="H5249" s="2">
        <v>2.5366886000000002E-2</v>
      </c>
      <c r="I5249" s="2" t="s">
        <v>23909</v>
      </c>
      <c r="J5249" s="2" t="s">
        <v>23910</v>
      </c>
      <c r="K5249" s="2">
        <v>3.9271517999999998E-2</v>
      </c>
      <c r="L5249" s="2" t="s">
        <v>1178</v>
      </c>
      <c r="M5249" s="4" t="s">
        <v>23911</v>
      </c>
    </row>
    <row r="5250" spans="1:13">
      <c r="A5250" s="2">
        <v>39142</v>
      </c>
      <c r="B5250" s="2" t="s">
        <v>23912</v>
      </c>
      <c r="C5250" s="2">
        <v>8</v>
      </c>
      <c r="D5250" s="2">
        <v>556</v>
      </c>
      <c r="E5250" s="2">
        <v>200</v>
      </c>
      <c r="F5250" s="2">
        <v>32441</v>
      </c>
      <c r="G5250" s="2">
        <v>2.3338848919999999</v>
      </c>
      <c r="H5250" s="2">
        <v>2.5366886000000002E-2</v>
      </c>
      <c r="I5250" s="2" t="s">
        <v>23913</v>
      </c>
      <c r="J5250" s="2" t="s">
        <v>23914</v>
      </c>
      <c r="K5250" s="2">
        <v>3.9271517999999998E-2</v>
      </c>
      <c r="L5250" s="2" t="s">
        <v>1178</v>
      </c>
      <c r="M5250" s="4" t="s">
        <v>23915</v>
      </c>
    </row>
    <row r="5251" spans="1:13">
      <c r="A5251" s="2">
        <v>3960</v>
      </c>
      <c r="B5251" s="2" t="s">
        <v>23916</v>
      </c>
      <c r="C5251" s="2">
        <v>8</v>
      </c>
      <c r="D5251" s="2">
        <v>556</v>
      </c>
      <c r="E5251" s="2">
        <v>200</v>
      </c>
      <c r="F5251" s="2">
        <v>32441</v>
      </c>
      <c r="G5251" s="2">
        <v>2.3338848919999999</v>
      </c>
      <c r="H5251" s="2">
        <v>2.5366886000000002E-2</v>
      </c>
      <c r="I5251" s="2" t="s">
        <v>23917</v>
      </c>
      <c r="J5251" s="2" t="s">
        <v>23918</v>
      </c>
      <c r="K5251" s="2">
        <v>3.9271517999999998E-2</v>
      </c>
      <c r="L5251" s="2" t="s">
        <v>1178</v>
      </c>
      <c r="M5251" s="4" t="s">
        <v>23919</v>
      </c>
    </row>
    <row r="5252" spans="1:13">
      <c r="A5252" s="2">
        <v>3969</v>
      </c>
      <c r="B5252" s="2" t="s">
        <v>23920</v>
      </c>
      <c r="C5252" s="2">
        <v>8</v>
      </c>
      <c r="D5252" s="2">
        <v>556</v>
      </c>
      <c r="E5252" s="2">
        <v>200</v>
      </c>
      <c r="F5252" s="2">
        <v>32441</v>
      </c>
      <c r="G5252" s="2">
        <v>2.3338848919999999</v>
      </c>
      <c r="H5252" s="2">
        <v>2.5366886000000002E-2</v>
      </c>
      <c r="I5252" s="2" t="s">
        <v>23921</v>
      </c>
      <c r="J5252" s="2" t="s">
        <v>23922</v>
      </c>
      <c r="K5252" s="2">
        <v>3.9271517999999998E-2</v>
      </c>
      <c r="L5252" s="2" t="s">
        <v>1178</v>
      </c>
      <c r="M5252" s="4" t="s">
        <v>23923</v>
      </c>
    </row>
    <row r="5253" spans="1:13">
      <c r="A5253" s="2">
        <v>39771</v>
      </c>
      <c r="B5253" s="2" t="s">
        <v>23924</v>
      </c>
      <c r="C5253" s="2">
        <v>8</v>
      </c>
      <c r="D5253" s="2">
        <v>556</v>
      </c>
      <c r="E5253" s="2">
        <v>199</v>
      </c>
      <c r="F5253" s="2">
        <v>32441</v>
      </c>
      <c r="G5253" s="2">
        <v>2.3456129570000002</v>
      </c>
      <c r="H5253" s="2">
        <v>2.4740835999999999E-2</v>
      </c>
      <c r="I5253" s="2" t="s">
        <v>23925</v>
      </c>
      <c r="J5253" s="2" t="s">
        <v>23926</v>
      </c>
      <c r="K5253" s="2">
        <v>3.9271517999999998E-2</v>
      </c>
      <c r="L5253" s="2" t="s">
        <v>1178</v>
      </c>
      <c r="M5253" s="4" t="s">
        <v>23927</v>
      </c>
    </row>
    <row r="5254" spans="1:13">
      <c r="A5254" s="2">
        <v>39982</v>
      </c>
      <c r="B5254" s="2" t="s">
        <v>1968</v>
      </c>
      <c r="C5254" s="2">
        <v>8</v>
      </c>
      <c r="D5254" s="2">
        <v>556</v>
      </c>
      <c r="E5254" s="2">
        <v>200</v>
      </c>
      <c r="F5254" s="2">
        <v>32441</v>
      </c>
      <c r="G5254" s="2">
        <v>2.3338848919999999</v>
      </c>
      <c r="H5254" s="2">
        <v>2.5366886000000002E-2</v>
      </c>
      <c r="I5254" s="2" t="s">
        <v>23928</v>
      </c>
      <c r="J5254" s="2" t="s">
        <v>23929</v>
      </c>
      <c r="K5254" s="2">
        <v>3.9271517999999998E-2</v>
      </c>
      <c r="L5254" s="2" t="s">
        <v>1178</v>
      </c>
      <c r="M5254" s="4" t="s">
        <v>3501</v>
      </c>
    </row>
    <row r="5255" spans="1:13">
      <c r="A5255" s="2">
        <v>4033</v>
      </c>
      <c r="B5255" s="2" t="s">
        <v>23930</v>
      </c>
      <c r="C5255" s="2">
        <v>7</v>
      </c>
      <c r="D5255" s="2">
        <v>556</v>
      </c>
      <c r="E5255" s="2">
        <v>161</v>
      </c>
      <c r="F5255" s="2">
        <v>32441</v>
      </c>
      <c r="G5255" s="2">
        <v>2.536831404</v>
      </c>
      <c r="H5255" s="2">
        <v>2.4228923999999999E-2</v>
      </c>
      <c r="I5255" s="2" t="s">
        <v>23931</v>
      </c>
      <c r="J5255" s="2" t="s">
        <v>23932</v>
      </c>
      <c r="K5255" s="2">
        <v>3.9271517999999998E-2</v>
      </c>
      <c r="L5255" s="2" t="s">
        <v>1178</v>
      </c>
      <c r="M5255" s="4" t="s">
        <v>23933</v>
      </c>
    </row>
    <row r="5256" spans="1:13">
      <c r="A5256" s="2">
        <v>4039</v>
      </c>
      <c r="B5256" s="2" t="s">
        <v>23934</v>
      </c>
      <c r="C5256" s="2">
        <v>8</v>
      </c>
      <c r="D5256" s="2">
        <v>556</v>
      </c>
      <c r="E5256" s="2">
        <v>200</v>
      </c>
      <c r="F5256" s="2">
        <v>32441</v>
      </c>
      <c r="G5256" s="2">
        <v>2.3338848919999999</v>
      </c>
      <c r="H5256" s="2">
        <v>2.5366886000000002E-2</v>
      </c>
      <c r="I5256" s="2" t="s">
        <v>23935</v>
      </c>
      <c r="J5256" s="2" t="s">
        <v>23936</v>
      </c>
      <c r="K5256" s="2">
        <v>3.9271517999999998E-2</v>
      </c>
      <c r="L5256" s="2" t="s">
        <v>1178</v>
      </c>
      <c r="M5256" s="4" t="s">
        <v>23937</v>
      </c>
    </row>
    <row r="5257" spans="1:13">
      <c r="A5257" s="2">
        <v>4047</v>
      </c>
      <c r="B5257" s="2" t="s">
        <v>23938</v>
      </c>
      <c r="C5257" s="2">
        <v>8</v>
      </c>
      <c r="D5257" s="2">
        <v>556</v>
      </c>
      <c r="E5257" s="2">
        <v>200</v>
      </c>
      <c r="F5257" s="2">
        <v>32441</v>
      </c>
      <c r="G5257" s="2">
        <v>2.3338848919999999</v>
      </c>
      <c r="H5257" s="2">
        <v>2.5366886000000002E-2</v>
      </c>
      <c r="I5257" s="2" t="s">
        <v>23939</v>
      </c>
      <c r="J5257" s="2" t="s">
        <v>23940</v>
      </c>
      <c r="K5257" s="2">
        <v>3.9271517999999998E-2</v>
      </c>
      <c r="L5257" s="2" t="s">
        <v>1178</v>
      </c>
      <c r="M5257" s="4" t="s">
        <v>23941</v>
      </c>
    </row>
    <row r="5258" spans="1:13">
      <c r="A5258" s="2">
        <v>40511</v>
      </c>
      <c r="B5258" s="2" t="s">
        <v>23942</v>
      </c>
      <c r="C5258" s="2">
        <v>8</v>
      </c>
      <c r="D5258" s="2">
        <v>556</v>
      </c>
      <c r="E5258" s="2">
        <v>200</v>
      </c>
      <c r="F5258" s="2">
        <v>32441</v>
      </c>
      <c r="G5258" s="2">
        <v>2.3338848919999999</v>
      </c>
      <c r="H5258" s="2">
        <v>2.5366886000000002E-2</v>
      </c>
      <c r="I5258" s="2" t="s">
        <v>23943</v>
      </c>
      <c r="J5258" s="2" t="s">
        <v>23944</v>
      </c>
      <c r="K5258" s="2">
        <v>3.9271517999999998E-2</v>
      </c>
      <c r="L5258" s="2" t="s">
        <v>1178</v>
      </c>
      <c r="M5258" s="4" t="s">
        <v>23945</v>
      </c>
    </row>
    <row r="5259" spans="1:13">
      <c r="A5259" s="2">
        <v>4054</v>
      </c>
      <c r="B5259" s="2" t="s">
        <v>23946</v>
      </c>
      <c r="C5259" s="2">
        <v>8</v>
      </c>
      <c r="D5259" s="2">
        <v>556</v>
      </c>
      <c r="E5259" s="2">
        <v>200</v>
      </c>
      <c r="F5259" s="2">
        <v>32441</v>
      </c>
      <c r="G5259" s="2">
        <v>2.3338848919999999</v>
      </c>
      <c r="H5259" s="2">
        <v>2.5366886000000002E-2</v>
      </c>
      <c r="I5259" s="2" t="s">
        <v>23947</v>
      </c>
      <c r="J5259" s="2" t="s">
        <v>23948</v>
      </c>
      <c r="K5259" s="2">
        <v>3.9271517999999998E-2</v>
      </c>
      <c r="L5259" s="2" t="s">
        <v>1178</v>
      </c>
      <c r="M5259" s="4" t="s">
        <v>23949</v>
      </c>
    </row>
    <row r="5260" spans="1:13">
      <c r="A5260" s="2">
        <v>4100</v>
      </c>
      <c r="B5260" s="2" t="s">
        <v>23950</v>
      </c>
      <c r="C5260" s="2">
        <v>6</v>
      </c>
      <c r="D5260" s="2">
        <v>556</v>
      </c>
      <c r="E5260" s="2">
        <v>126</v>
      </c>
      <c r="F5260" s="2">
        <v>32441</v>
      </c>
      <c r="G5260" s="2">
        <v>2.7784343950000001</v>
      </c>
      <c r="H5260" s="2">
        <v>2.4664245000000001E-2</v>
      </c>
      <c r="I5260" s="2" t="s">
        <v>23951</v>
      </c>
      <c r="J5260" s="2" t="s">
        <v>23952</v>
      </c>
      <c r="K5260" s="2">
        <v>3.9271517999999998E-2</v>
      </c>
      <c r="L5260" s="2" t="s">
        <v>1178</v>
      </c>
      <c r="M5260" s="4" t="s">
        <v>23953</v>
      </c>
    </row>
    <row r="5261" spans="1:13">
      <c r="A5261" s="2">
        <v>4156</v>
      </c>
      <c r="B5261" s="2" t="s">
        <v>3298</v>
      </c>
      <c r="C5261" s="2">
        <v>7</v>
      </c>
      <c r="D5261" s="2">
        <v>556</v>
      </c>
      <c r="E5261" s="2">
        <v>159</v>
      </c>
      <c r="F5261" s="2">
        <v>32441</v>
      </c>
      <c r="G5261" s="2">
        <v>2.5687412329999999</v>
      </c>
      <c r="H5261" s="2">
        <v>2.2879832999999999E-2</v>
      </c>
      <c r="I5261" s="2" t="s">
        <v>23954</v>
      </c>
      <c r="J5261" s="2" t="s">
        <v>23955</v>
      </c>
      <c r="K5261" s="2">
        <v>3.9271517999999998E-2</v>
      </c>
      <c r="L5261" s="2" t="s">
        <v>1178</v>
      </c>
      <c r="M5261" s="4" t="s">
        <v>3301</v>
      </c>
    </row>
    <row r="5262" spans="1:13">
      <c r="A5262" s="2">
        <v>41791</v>
      </c>
      <c r="B5262" s="2" t="s">
        <v>23956</v>
      </c>
      <c r="C5262" s="2">
        <v>8</v>
      </c>
      <c r="D5262" s="2">
        <v>556</v>
      </c>
      <c r="E5262" s="2">
        <v>200</v>
      </c>
      <c r="F5262" s="2">
        <v>32441</v>
      </c>
      <c r="G5262" s="2">
        <v>2.3338848919999999</v>
      </c>
      <c r="H5262" s="2">
        <v>2.5366886000000002E-2</v>
      </c>
      <c r="I5262" s="2" t="s">
        <v>23957</v>
      </c>
      <c r="J5262" s="2" t="s">
        <v>23958</v>
      </c>
      <c r="K5262" s="2">
        <v>3.9271517999999998E-2</v>
      </c>
      <c r="L5262" s="2" t="s">
        <v>1178</v>
      </c>
      <c r="M5262" s="4" t="s">
        <v>23959</v>
      </c>
    </row>
    <row r="5263" spans="1:13">
      <c r="A5263" s="2">
        <v>4274</v>
      </c>
      <c r="B5263" s="2" t="s">
        <v>23960</v>
      </c>
      <c r="C5263" s="2">
        <v>8</v>
      </c>
      <c r="D5263" s="2">
        <v>556</v>
      </c>
      <c r="E5263" s="2">
        <v>200</v>
      </c>
      <c r="F5263" s="2">
        <v>32441</v>
      </c>
      <c r="G5263" s="2">
        <v>2.3338848919999999</v>
      </c>
      <c r="H5263" s="2">
        <v>2.5366886000000002E-2</v>
      </c>
      <c r="I5263" s="2" t="s">
        <v>23961</v>
      </c>
      <c r="J5263" s="2" t="s">
        <v>23962</v>
      </c>
      <c r="K5263" s="2">
        <v>3.9271517999999998E-2</v>
      </c>
      <c r="L5263" s="2" t="s">
        <v>1178</v>
      </c>
      <c r="M5263" s="4" t="s">
        <v>23963</v>
      </c>
    </row>
    <row r="5264" spans="1:13">
      <c r="A5264" s="2">
        <v>4276</v>
      </c>
      <c r="B5264" s="2" t="s">
        <v>23964</v>
      </c>
      <c r="C5264" s="2">
        <v>8</v>
      </c>
      <c r="D5264" s="2">
        <v>556</v>
      </c>
      <c r="E5264" s="2">
        <v>200</v>
      </c>
      <c r="F5264" s="2">
        <v>32441</v>
      </c>
      <c r="G5264" s="2">
        <v>2.3338848919999999</v>
      </c>
      <c r="H5264" s="2">
        <v>2.5366886000000002E-2</v>
      </c>
      <c r="I5264" s="2" t="s">
        <v>23965</v>
      </c>
      <c r="J5264" s="2" t="s">
        <v>23966</v>
      </c>
      <c r="K5264" s="2">
        <v>3.9271517999999998E-2</v>
      </c>
      <c r="L5264" s="2" t="s">
        <v>1178</v>
      </c>
      <c r="M5264" s="4" t="s">
        <v>23967</v>
      </c>
    </row>
    <row r="5265" spans="1:13">
      <c r="A5265" s="2">
        <v>42791</v>
      </c>
      <c r="B5265" s="2" t="s">
        <v>23968</v>
      </c>
      <c r="C5265" s="2">
        <v>8</v>
      </c>
      <c r="D5265" s="2">
        <v>556</v>
      </c>
      <c r="E5265" s="2">
        <v>200</v>
      </c>
      <c r="F5265" s="2">
        <v>32441</v>
      </c>
      <c r="G5265" s="2">
        <v>2.3338848919999999</v>
      </c>
      <c r="H5265" s="2">
        <v>2.5366886000000002E-2</v>
      </c>
      <c r="I5265" s="2" t="s">
        <v>23969</v>
      </c>
      <c r="J5265" s="2" t="s">
        <v>23970</v>
      </c>
      <c r="K5265" s="2">
        <v>3.9271517999999998E-2</v>
      </c>
      <c r="L5265" s="2" t="s">
        <v>1178</v>
      </c>
      <c r="M5265" s="4" t="s">
        <v>23971</v>
      </c>
    </row>
    <row r="5266" spans="1:13">
      <c r="A5266" s="2">
        <v>4297</v>
      </c>
      <c r="B5266" s="2" t="s">
        <v>23972</v>
      </c>
      <c r="C5266" s="2">
        <v>8</v>
      </c>
      <c r="D5266" s="2">
        <v>556</v>
      </c>
      <c r="E5266" s="2">
        <v>200</v>
      </c>
      <c r="F5266" s="2">
        <v>32441</v>
      </c>
      <c r="G5266" s="2">
        <v>2.3338848919999999</v>
      </c>
      <c r="H5266" s="2">
        <v>2.5366886000000002E-2</v>
      </c>
      <c r="I5266" s="2" t="s">
        <v>23973</v>
      </c>
      <c r="J5266" s="2" t="s">
        <v>23974</v>
      </c>
      <c r="K5266" s="2">
        <v>3.9271517999999998E-2</v>
      </c>
      <c r="L5266" s="2" t="s">
        <v>1178</v>
      </c>
      <c r="M5266" s="4" t="s">
        <v>23975</v>
      </c>
    </row>
    <row r="5267" spans="1:13">
      <c r="A5267" s="2">
        <v>43911</v>
      </c>
      <c r="B5267" s="2" t="s">
        <v>23976</v>
      </c>
      <c r="C5267" s="2">
        <v>8</v>
      </c>
      <c r="D5267" s="2">
        <v>556</v>
      </c>
      <c r="E5267" s="2">
        <v>200</v>
      </c>
      <c r="F5267" s="2">
        <v>32441</v>
      </c>
      <c r="G5267" s="2">
        <v>2.3338848919999999</v>
      </c>
      <c r="H5267" s="2">
        <v>2.5366886000000002E-2</v>
      </c>
      <c r="I5267" s="2" t="s">
        <v>23977</v>
      </c>
      <c r="J5267" s="2" t="s">
        <v>23978</v>
      </c>
      <c r="K5267" s="2">
        <v>3.9271517999999998E-2</v>
      </c>
      <c r="L5267" s="2" t="s">
        <v>1178</v>
      </c>
      <c r="M5267" s="4" t="s">
        <v>23979</v>
      </c>
    </row>
    <row r="5268" spans="1:13">
      <c r="A5268" s="2">
        <v>4400</v>
      </c>
      <c r="B5268" s="2" t="s">
        <v>23980</v>
      </c>
      <c r="C5268" s="2">
        <v>8</v>
      </c>
      <c r="D5268" s="2">
        <v>556</v>
      </c>
      <c r="E5268" s="2">
        <v>200</v>
      </c>
      <c r="F5268" s="2">
        <v>32441</v>
      </c>
      <c r="G5268" s="2">
        <v>2.3338848919999999</v>
      </c>
      <c r="H5268" s="2">
        <v>2.5366886000000002E-2</v>
      </c>
      <c r="I5268" s="2" t="s">
        <v>23981</v>
      </c>
      <c r="J5268" s="2" t="s">
        <v>23982</v>
      </c>
      <c r="K5268" s="2">
        <v>3.9271517999999998E-2</v>
      </c>
      <c r="L5268" s="2" t="s">
        <v>1178</v>
      </c>
      <c r="M5268" s="4" t="s">
        <v>23983</v>
      </c>
    </row>
    <row r="5269" spans="1:13">
      <c r="A5269" s="2">
        <v>44052</v>
      </c>
      <c r="B5269" s="2" t="s">
        <v>23984</v>
      </c>
      <c r="C5269" s="2">
        <v>8</v>
      </c>
      <c r="D5269" s="2">
        <v>556</v>
      </c>
      <c r="E5269" s="2">
        <v>200</v>
      </c>
      <c r="F5269" s="2">
        <v>32441</v>
      </c>
      <c r="G5269" s="2">
        <v>2.3338848919999999</v>
      </c>
      <c r="H5269" s="2">
        <v>2.5366886000000002E-2</v>
      </c>
      <c r="I5269" s="2" t="s">
        <v>23985</v>
      </c>
      <c r="J5269" s="2" t="s">
        <v>23986</v>
      </c>
      <c r="K5269" s="2">
        <v>3.9271517999999998E-2</v>
      </c>
      <c r="L5269" s="2" t="s">
        <v>1178</v>
      </c>
      <c r="M5269" s="4" t="s">
        <v>23987</v>
      </c>
    </row>
    <row r="5270" spans="1:13">
      <c r="A5270" s="2">
        <v>4461</v>
      </c>
      <c r="B5270" s="2" t="s">
        <v>23988</v>
      </c>
      <c r="C5270" s="2">
        <v>8</v>
      </c>
      <c r="D5270" s="2">
        <v>556</v>
      </c>
      <c r="E5270" s="2">
        <v>200</v>
      </c>
      <c r="F5270" s="2">
        <v>32441</v>
      </c>
      <c r="G5270" s="2">
        <v>2.3338848919999999</v>
      </c>
      <c r="H5270" s="2">
        <v>2.5366886000000002E-2</v>
      </c>
      <c r="I5270" s="2" t="s">
        <v>23989</v>
      </c>
      <c r="J5270" s="2" t="s">
        <v>23990</v>
      </c>
      <c r="K5270" s="2">
        <v>3.9271517999999998E-2</v>
      </c>
      <c r="L5270" s="2" t="s">
        <v>1178</v>
      </c>
      <c r="M5270" s="4" t="s">
        <v>23991</v>
      </c>
    </row>
    <row r="5271" spans="1:13">
      <c r="A5271" s="2">
        <v>45001</v>
      </c>
      <c r="B5271" s="2" t="s">
        <v>23992</v>
      </c>
      <c r="C5271" s="2">
        <v>8</v>
      </c>
      <c r="D5271" s="2">
        <v>556</v>
      </c>
      <c r="E5271" s="2">
        <v>200</v>
      </c>
      <c r="F5271" s="2">
        <v>32441</v>
      </c>
      <c r="G5271" s="2">
        <v>2.3338848919999999</v>
      </c>
      <c r="H5271" s="2">
        <v>2.5366886000000002E-2</v>
      </c>
      <c r="I5271" s="2" t="s">
        <v>23993</v>
      </c>
      <c r="J5271" s="2" t="s">
        <v>23994</v>
      </c>
      <c r="K5271" s="2">
        <v>3.9271517999999998E-2</v>
      </c>
      <c r="L5271" s="2" t="s">
        <v>1178</v>
      </c>
      <c r="M5271" s="4" t="s">
        <v>23995</v>
      </c>
    </row>
    <row r="5272" spans="1:13">
      <c r="A5272" s="2">
        <v>45061</v>
      </c>
      <c r="B5272" s="2" t="s">
        <v>23996</v>
      </c>
      <c r="C5272" s="2">
        <v>8</v>
      </c>
      <c r="D5272" s="2">
        <v>556</v>
      </c>
      <c r="E5272" s="2">
        <v>200</v>
      </c>
      <c r="F5272" s="2">
        <v>32441</v>
      </c>
      <c r="G5272" s="2">
        <v>2.3338848919999999</v>
      </c>
      <c r="H5272" s="2">
        <v>2.5366886000000002E-2</v>
      </c>
      <c r="I5272" s="2" t="s">
        <v>23997</v>
      </c>
      <c r="J5272" s="2" t="s">
        <v>23998</v>
      </c>
      <c r="K5272" s="2">
        <v>3.9271517999999998E-2</v>
      </c>
      <c r="L5272" s="2" t="s">
        <v>1178</v>
      </c>
      <c r="M5272" s="4" t="s">
        <v>23999</v>
      </c>
    </row>
    <row r="5273" spans="1:13">
      <c r="A5273" s="2">
        <v>45201</v>
      </c>
      <c r="B5273" s="2" t="s">
        <v>24000</v>
      </c>
      <c r="C5273" s="2">
        <v>8</v>
      </c>
      <c r="D5273" s="2">
        <v>556</v>
      </c>
      <c r="E5273" s="2">
        <v>196</v>
      </c>
      <c r="F5273" s="2">
        <v>32441</v>
      </c>
      <c r="G5273" s="2">
        <v>2.3815151960000001</v>
      </c>
      <c r="H5273" s="2">
        <v>2.2927680999999998E-2</v>
      </c>
      <c r="I5273" s="2" t="s">
        <v>24001</v>
      </c>
      <c r="J5273" s="2" t="s">
        <v>24002</v>
      </c>
      <c r="K5273" s="2">
        <v>3.9271517999999998E-2</v>
      </c>
      <c r="L5273" s="2" t="s">
        <v>1178</v>
      </c>
      <c r="M5273" s="4" t="s">
        <v>24003</v>
      </c>
    </row>
    <row r="5274" spans="1:13">
      <c r="A5274" s="2">
        <v>4526</v>
      </c>
      <c r="B5274" s="2" t="s">
        <v>24004</v>
      </c>
      <c r="C5274" s="2">
        <v>8</v>
      </c>
      <c r="D5274" s="2">
        <v>556</v>
      </c>
      <c r="E5274" s="2">
        <v>200</v>
      </c>
      <c r="F5274" s="2">
        <v>32441</v>
      </c>
      <c r="G5274" s="2">
        <v>2.3338848919999999</v>
      </c>
      <c r="H5274" s="2">
        <v>2.5366886000000002E-2</v>
      </c>
      <c r="I5274" s="2" t="s">
        <v>24005</v>
      </c>
      <c r="J5274" s="2" t="s">
        <v>24006</v>
      </c>
      <c r="K5274" s="2">
        <v>3.9271517999999998E-2</v>
      </c>
      <c r="L5274" s="2" t="s">
        <v>1178</v>
      </c>
      <c r="M5274" s="4" t="s">
        <v>24007</v>
      </c>
    </row>
    <row r="5275" spans="1:13">
      <c r="A5275" s="2">
        <v>4546</v>
      </c>
      <c r="B5275" s="2" t="s">
        <v>24008</v>
      </c>
      <c r="C5275" s="2">
        <v>8</v>
      </c>
      <c r="D5275" s="2">
        <v>556</v>
      </c>
      <c r="E5275" s="2">
        <v>200</v>
      </c>
      <c r="F5275" s="2">
        <v>32441</v>
      </c>
      <c r="G5275" s="2">
        <v>2.3338848919999999</v>
      </c>
      <c r="H5275" s="2">
        <v>2.5366886000000002E-2</v>
      </c>
      <c r="I5275" s="2" t="s">
        <v>24009</v>
      </c>
      <c r="J5275" s="2" t="s">
        <v>24010</v>
      </c>
      <c r="K5275" s="2">
        <v>3.9271517999999998E-2</v>
      </c>
      <c r="L5275" s="2" t="s">
        <v>1178</v>
      </c>
      <c r="M5275" s="4" t="s">
        <v>24011</v>
      </c>
    </row>
    <row r="5276" spans="1:13">
      <c r="A5276" s="2">
        <v>4559</v>
      </c>
      <c r="B5276" s="2" t="s">
        <v>24012</v>
      </c>
      <c r="C5276" s="2">
        <v>8</v>
      </c>
      <c r="D5276" s="2">
        <v>556</v>
      </c>
      <c r="E5276" s="2">
        <v>200</v>
      </c>
      <c r="F5276" s="2">
        <v>32441</v>
      </c>
      <c r="G5276" s="2">
        <v>2.3338848919999999</v>
      </c>
      <c r="H5276" s="2">
        <v>2.5366886000000002E-2</v>
      </c>
      <c r="I5276" s="2" t="s">
        <v>24013</v>
      </c>
      <c r="J5276" s="2" t="s">
        <v>24014</v>
      </c>
      <c r="K5276" s="2">
        <v>3.9271517999999998E-2</v>
      </c>
      <c r="L5276" s="2" t="s">
        <v>1178</v>
      </c>
      <c r="M5276" s="4" t="s">
        <v>24015</v>
      </c>
    </row>
    <row r="5277" spans="1:13">
      <c r="A5277" s="2">
        <v>4604</v>
      </c>
      <c r="B5277" s="2" t="s">
        <v>24016</v>
      </c>
      <c r="C5277" s="2">
        <v>8</v>
      </c>
      <c r="D5277" s="2">
        <v>556</v>
      </c>
      <c r="E5277" s="2">
        <v>200</v>
      </c>
      <c r="F5277" s="2">
        <v>32441</v>
      </c>
      <c r="G5277" s="2">
        <v>2.3338848919999999</v>
      </c>
      <c r="H5277" s="2">
        <v>2.5366886000000002E-2</v>
      </c>
      <c r="I5277" s="2" t="s">
        <v>24017</v>
      </c>
      <c r="J5277" s="2" t="s">
        <v>24018</v>
      </c>
      <c r="K5277" s="2">
        <v>3.9271517999999998E-2</v>
      </c>
      <c r="L5277" s="2" t="s">
        <v>1178</v>
      </c>
      <c r="M5277" s="4" t="s">
        <v>24019</v>
      </c>
    </row>
    <row r="5278" spans="1:13">
      <c r="A5278" s="2">
        <v>4605</v>
      </c>
      <c r="B5278" s="2" t="s">
        <v>24020</v>
      </c>
      <c r="C5278" s="2">
        <v>8</v>
      </c>
      <c r="D5278" s="2">
        <v>556</v>
      </c>
      <c r="E5278" s="2">
        <v>200</v>
      </c>
      <c r="F5278" s="2">
        <v>32441</v>
      </c>
      <c r="G5278" s="2">
        <v>2.3338848919999999</v>
      </c>
      <c r="H5278" s="2">
        <v>2.5366886000000002E-2</v>
      </c>
      <c r="I5278" s="2" t="s">
        <v>24021</v>
      </c>
      <c r="J5278" s="2" t="s">
        <v>24022</v>
      </c>
      <c r="K5278" s="2">
        <v>3.9271517999999998E-2</v>
      </c>
      <c r="L5278" s="2" t="s">
        <v>1178</v>
      </c>
      <c r="M5278" s="4" t="s">
        <v>24023</v>
      </c>
    </row>
    <row r="5279" spans="1:13">
      <c r="A5279" s="2">
        <v>4606</v>
      </c>
      <c r="B5279" s="2" t="s">
        <v>24024</v>
      </c>
      <c r="C5279" s="2">
        <v>8</v>
      </c>
      <c r="D5279" s="2">
        <v>556</v>
      </c>
      <c r="E5279" s="2">
        <v>200</v>
      </c>
      <c r="F5279" s="2">
        <v>32441</v>
      </c>
      <c r="G5279" s="2">
        <v>2.3338848919999999</v>
      </c>
      <c r="H5279" s="2">
        <v>2.5366886000000002E-2</v>
      </c>
      <c r="I5279" s="2" t="s">
        <v>24025</v>
      </c>
      <c r="J5279" s="2" t="s">
        <v>24026</v>
      </c>
      <c r="K5279" s="2">
        <v>3.9271517999999998E-2</v>
      </c>
      <c r="L5279" s="2" t="s">
        <v>1178</v>
      </c>
      <c r="M5279" s="4" t="s">
        <v>24027</v>
      </c>
    </row>
    <row r="5280" spans="1:13">
      <c r="A5280" s="2">
        <v>4612</v>
      </c>
      <c r="B5280" s="2" t="s">
        <v>24028</v>
      </c>
      <c r="C5280" s="2">
        <v>8</v>
      </c>
      <c r="D5280" s="2">
        <v>556</v>
      </c>
      <c r="E5280" s="2">
        <v>200</v>
      </c>
      <c r="F5280" s="2">
        <v>32441</v>
      </c>
      <c r="G5280" s="2">
        <v>2.3338848919999999</v>
      </c>
      <c r="H5280" s="2">
        <v>2.5366886000000002E-2</v>
      </c>
      <c r="I5280" s="2" t="s">
        <v>24029</v>
      </c>
      <c r="J5280" s="2" t="s">
        <v>24030</v>
      </c>
      <c r="K5280" s="2">
        <v>3.9271517999999998E-2</v>
      </c>
      <c r="L5280" s="2" t="s">
        <v>1178</v>
      </c>
      <c r="M5280" s="4" t="s">
        <v>24031</v>
      </c>
    </row>
    <row r="5281" spans="1:13">
      <c r="A5281" s="2">
        <v>4617</v>
      </c>
      <c r="B5281" s="2" t="s">
        <v>24032</v>
      </c>
      <c r="C5281" s="2">
        <v>8</v>
      </c>
      <c r="D5281" s="2">
        <v>556</v>
      </c>
      <c r="E5281" s="2">
        <v>200</v>
      </c>
      <c r="F5281" s="2">
        <v>32441</v>
      </c>
      <c r="G5281" s="2">
        <v>2.3338848919999999</v>
      </c>
      <c r="H5281" s="2">
        <v>2.5366886000000002E-2</v>
      </c>
      <c r="I5281" s="2" t="s">
        <v>24033</v>
      </c>
      <c r="J5281" s="2" t="s">
        <v>24034</v>
      </c>
      <c r="K5281" s="2">
        <v>3.9271517999999998E-2</v>
      </c>
      <c r="L5281" s="2" t="s">
        <v>1178</v>
      </c>
      <c r="M5281" s="4" t="s">
        <v>24035</v>
      </c>
    </row>
    <row r="5282" spans="1:13">
      <c r="A5282" s="2">
        <v>46191</v>
      </c>
      <c r="B5282" s="2" t="s">
        <v>24036</v>
      </c>
      <c r="C5282" s="2">
        <v>8</v>
      </c>
      <c r="D5282" s="2">
        <v>556</v>
      </c>
      <c r="E5282" s="2">
        <v>200</v>
      </c>
      <c r="F5282" s="2">
        <v>32441</v>
      </c>
      <c r="G5282" s="2">
        <v>2.3338848919999999</v>
      </c>
      <c r="H5282" s="2">
        <v>2.5366886000000002E-2</v>
      </c>
      <c r="I5282" s="2" t="s">
        <v>24037</v>
      </c>
      <c r="J5282" s="2" t="s">
        <v>24038</v>
      </c>
      <c r="K5282" s="2">
        <v>3.9271517999999998E-2</v>
      </c>
      <c r="L5282" s="2" t="s">
        <v>1178</v>
      </c>
      <c r="M5282" s="4" t="s">
        <v>24039</v>
      </c>
    </row>
    <row r="5283" spans="1:13">
      <c r="A5283" s="2">
        <v>4629</v>
      </c>
      <c r="B5283" s="2" t="s">
        <v>24040</v>
      </c>
      <c r="C5283" s="2">
        <v>8</v>
      </c>
      <c r="D5283" s="2">
        <v>556</v>
      </c>
      <c r="E5283" s="2">
        <v>200</v>
      </c>
      <c r="F5283" s="2">
        <v>32441</v>
      </c>
      <c r="G5283" s="2">
        <v>2.3338848919999999</v>
      </c>
      <c r="H5283" s="2">
        <v>2.5366886000000002E-2</v>
      </c>
      <c r="I5283" s="2" t="s">
        <v>24041</v>
      </c>
      <c r="J5283" s="2" t="s">
        <v>24042</v>
      </c>
      <c r="K5283" s="2">
        <v>3.9271517999999998E-2</v>
      </c>
      <c r="L5283" s="2" t="s">
        <v>1178</v>
      </c>
      <c r="M5283" s="4" t="s">
        <v>24043</v>
      </c>
    </row>
    <row r="5284" spans="1:13">
      <c r="A5284" s="2">
        <v>46351</v>
      </c>
      <c r="B5284" s="2" t="s">
        <v>1767</v>
      </c>
      <c r="C5284" s="2">
        <v>8</v>
      </c>
      <c r="D5284" s="2">
        <v>556</v>
      </c>
      <c r="E5284" s="2">
        <v>200</v>
      </c>
      <c r="F5284" s="2">
        <v>32441</v>
      </c>
      <c r="G5284" s="2">
        <v>2.3338848919999999</v>
      </c>
      <c r="H5284" s="2">
        <v>2.5366886000000002E-2</v>
      </c>
      <c r="I5284" s="2" t="s">
        <v>24044</v>
      </c>
      <c r="J5284" s="2" t="s">
        <v>24045</v>
      </c>
      <c r="K5284" s="2">
        <v>3.9271517999999998E-2</v>
      </c>
      <c r="L5284" s="2" t="s">
        <v>1178</v>
      </c>
      <c r="M5284" s="4" t="s">
        <v>24046</v>
      </c>
    </row>
    <row r="5285" spans="1:13">
      <c r="A5285" s="2">
        <v>4659</v>
      </c>
      <c r="B5285" s="2" t="s">
        <v>24047</v>
      </c>
      <c r="C5285" s="2">
        <v>8</v>
      </c>
      <c r="D5285" s="2">
        <v>556</v>
      </c>
      <c r="E5285" s="2">
        <v>199</v>
      </c>
      <c r="F5285" s="2">
        <v>32441</v>
      </c>
      <c r="G5285" s="2">
        <v>2.3456129570000002</v>
      </c>
      <c r="H5285" s="2">
        <v>2.4740835999999999E-2</v>
      </c>
      <c r="I5285" s="2" t="s">
        <v>24048</v>
      </c>
      <c r="J5285" s="2" t="s">
        <v>24049</v>
      </c>
      <c r="K5285" s="2">
        <v>3.9271517999999998E-2</v>
      </c>
      <c r="L5285" s="2" t="s">
        <v>1178</v>
      </c>
      <c r="M5285" s="4" t="s">
        <v>24050</v>
      </c>
    </row>
    <row r="5286" spans="1:13">
      <c r="A5286" s="2">
        <v>4687</v>
      </c>
      <c r="B5286" s="2" t="s">
        <v>24051</v>
      </c>
      <c r="C5286" s="2">
        <v>8</v>
      </c>
      <c r="D5286" s="2">
        <v>556</v>
      </c>
      <c r="E5286" s="2">
        <v>200</v>
      </c>
      <c r="F5286" s="2">
        <v>32441</v>
      </c>
      <c r="G5286" s="2">
        <v>2.3338848919999999</v>
      </c>
      <c r="H5286" s="2">
        <v>2.5366886000000002E-2</v>
      </c>
      <c r="I5286" s="2" t="s">
        <v>24052</v>
      </c>
      <c r="J5286" s="2" t="s">
        <v>24053</v>
      </c>
      <c r="K5286" s="2">
        <v>3.9271517999999998E-2</v>
      </c>
      <c r="L5286" s="2" t="s">
        <v>1178</v>
      </c>
      <c r="M5286" s="4" t="s">
        <v>24054</v>
      </c>
    </row>
    <row r="5287" spans="1:13">
      <c r="A5287" s="2">
        <v>4689</v>
      </c>
      <c r="B5287" s="2" t="s">
        <v>24055</v>
      </c>
      <c r="C5287" s="2">
        <v>8</v>
      </c>
      <c r="D5287" s="2">
        <v>556</v>
      </c>
      <c r="E5287" s="2">
        <v>200</v>
      </c>
      <c r="F5287" s="2">
        <v>32441</v>
      </c>
      <c r="G5287" s="2">
        <v>2.3338848919999999</v>
      </c>
      <c r="H5287" s="2">
        <v>2.5366886000000002E-2</v>
      </c>
      <c r="I5287" s="2" t="s">
        <v>24056</v>
      </c>
      <c r="J5287" s="2" t="s">
        <v>24057</v>
      </c>
      <c r="K5287" s="2">
        <v>3.9271517999999998E-2</v>
      </c>
      <c r="L5287" s="2" t="s">
        <v>1178</v>
      </c>
      <c r="M5287" s="4" t="s">
        <v>24058</v>
      </c>
    </row>
    <row r="5288" spans="1:13">
      <c r="A5288" s="2">
        <v>4697</v>
      </c>
      <c r="B5288" s="2" t="s">
        <v>24059</v>
      </c>
      <c r="C5288" s="2">
        <v>8</v>
      </c>
      <c r="D5288" s="2">
        <v>556</v>
      </c>
      <c r="E5288" s="2">
        <v>200</v>
      </c>
      <c r="F5288" s="2">
        <v>32441</v>
      </c>
      <c r="G5288" s="2">
        <v>2.3338848919999999</v>
      </c>
      <c r="H5288" s="2">
        <v>2.5366886000000002E-2</v>
      </c>
      <c r="I5288" s="2" t="s">
        <v>24060</v>
      </c>
      <c r="J5288" s="2" t="s">
        <v>24061</v>
      </c>
      <c r="K5288" s="2">
        <v>3.9271517999999998E-2</v>
      </c>
      <c r="L5288" s="2" t="s">
        <v>1178</v>
      </c>
      <c r="M5288" s="4" t="s">
        <v>24062</v>
      </c>
    </row>
    <row r="5289" spans="1:13">
      <c r="A5289" s="2">
        <v>4708</v>
      </c>
      <c r="B5289" s="2" t="s">
        <v>24063</v>
      </c>
      <c r="C5289" s="2">
        <v>8</v>
      </c>
      <c r="D5289" s="2">
        <v>556</v>
      </c>
      <c r="E5289" s="2">
        <v>200</v>
      </c>
      <c r="F5289" s="2">
        <v>32441</v>
      </c>
      <c r="G5289" s="2">
        <v>2.3338848919999999</v>
      </c>
      <c r="H5289" s="2">
        <v>2.5366886000000002E-2</v>
      </c>
      <c r="I5289" s="2" t="s">
        <v>24064</v>
      </c>
      <c r="J5289" s="2" t="s">
        <v>24065</v>
      </c>
      <c r="K5289" s="2">
        <v>3.9271517999999998E-2</v>
      </c>
      <c r="L5289" s="2" t="s">
        <v>1178</v>
      </c>
      <c r="M5289" s="4" t="s">
        <v>24066</v>
      </c>
    </row>
    <row r="5290" spans="1:13">
      <c r="A5290" s="2">
        <v>4722</v>
      </c>
      <c r="B5290" s="2" t="s">
        <v>24067</v>
      </c>
      <c r="C5290" s="2">
        <v>8</v>
      </c>
      <c r="D5290" s="2">
        <v>556</v>
      </c>
      <c r="E5290" s="2">
        <v>199</v>
      </c>
      <c r="F5290" s="2">
        <v>32441</v>
      </c>
      <c r="G5290" s="2">
        <v>2.3456129570000002</v>
      </c>
      <c r="H5290" s="2">
        <v>2.4740835999999999E-2</v>
      </c>
      <c r="I5290" s="2" t="s">
        <v>24068</v>
      </c>
      <c r="J5290" s="2" t="s">
        <v>24069</v>
      </c>
      <c r="K5290" s="2">
        <v>3.9271517999999998E-2</v>
      </c>
      <c r="L5290" s="2" t="s">
        <v>1178</v>
      </c>
      <c r="M5290" s="4" t="s">
        <v>24070</v>
      </c>
    </row>
    <row r="5291" spans="1:13">
      <c r="A5291" s="2">
        <v>4753</v>
      </c>
      <c r="B5291" s="2" t="s">
        <v>1530</v>
      </c>
      <c r="C5291" s="2">
        <v>8</v>
      </c>
      <c r="D5291" s="2">
        <v>556</v>
      </c>
      <c r="E5291" s="2">
        <v>200</v>
      </c>
      <c r="F5291" s="2">
        <v>32441</v>
      </c>
      <c r="G5291" s="2">
        <v>2.3338848919999999</v>
      </c>
      <c r="H5291" s="2">
        <v>2.5366886000000002E-2</v>
      </c>
      <c r="I5291" s="2" t="s">
        <v>24071</v>
      </c>
      <c r="J5291" s="2" t="s">
        <v>24072</v>
      </c>
      <c r="K5291" s="2">
        <v>3.9271517999999998E-2</v>
      </c>
      <c r="L5291" s="2" t="s">
        <v>1178</v>
      </c>
      <c r="M5291" s="4" t="s">
        <v>24073</v>
      </c>
    </row>
    <row r="5292" spans="1:13">
      <c r="A5292" s="2">
        <v>4760</v>
      </c>
      <c r="B5292" s="2" t="s">
        <v>2730</v>
      </c>
      <c r="C5292" s="2">
        <v>8</v>
      </c>
      <c r="D5292" s="2">
        <v>556</v>
      </c>
      <c r="E5292" s="2">
        <v>199</v>
      </c>
      <c r="F5292" s="2">
        <v>32441</v>
      </c>
      <c r="G5292" s="2">
        <v>2.3456129570000002</v>
      </c>
      <c r="H5292" s="2">
        <v>2.4740835999999999E-2</v>
      </c>
      <c r="I5292" s="2" t="s">
        <v>24074</v>
      </c>
      <c r="J5292" s="2" t="s">
        <v>24075</v>
      </c>
      <c r="K5292" s="2">
        <v>3.9271517999999998E-2</v>
      </c>
      <c r="L5292" s="2" t="s">
        <v>1178</v>
      </c>
      <c r="M5292" s="4" t="s">
        <v>24076</v>
      </c>
    </row>
    <row r="5293" spans="1:13">
      <c r="A5293" s="2">
        <v>4762</v>
      </c>
      <c r="B5293" s="2" t="s">
        <v>24077</v>
      </c>
      <c r="C5293" s="2">
        <v>8</v>
      </c>
      <c r="D5293" s="2">
        <v>556</v>
      </c>
      <c r="E5293" s="2">
        <v>200</v>
      </c>
      <c r="F5293" s="2">
        <v>32441</v>
      </c>
      <c r="G5293" s="2">
        <v>2.3338848919999999</v>
      </c>
      <c r="H5293" s="2">
        <v>2.5366886000000002E-2</v>
      </c>
      <c r="I5293" s="2" t="s">
        <v>24078</v>
      </c>
      <c r="J5293" s="2" t="s">
        <v>24079</v>
      </c>
      <c r="K5293" s="2">
        <v>3.9271517999999998E-2</v>
      </c>
      <c r="L5293" s="2" t="s">
        <v>1178</v>
      </c>
      <c r="M5293" s="4" t="s">
        <v>24080</v>
      </c>
    </row>
    <row r="5294" spans="1:13">
      <c r="A5294" s="2">
        <v>4794</v>
      </c>
      <c r="B5294" s="2" t="s">
        <v>24081</v>
      </c>
      <c r="C5294" s="2">
        <v>8</v>
      </c>
      <c r="D5294" s="2">
        <v>556</v>
      </c>
      <c r="E5294" s="2">
        <v>199</v>
      </c>
      <c r="F5294" s="2">
        <v>32441</v>
      </c>
      <c r="G5294" s="2">
        <v>2.3456129570000002</v>
      </c>
      <c r="H5294" s="2">
        <v>2.4740835999999999E-2</v>
      </c>
      <c r="I5294" s="2" t="s">
        <v>24082</v>
      </c>
      <c r="J5294" s="2" t="s">
        <v>24083</v>
      </c>
      <c r="K5294" s="2">
        <v>3.9271517999999998E-2</v>
      </c>
      <c r="L5294" s="2" t="s">
        <v>1178</v>
      </c>
      <c r="M5294" s="4" t="s">
        <v>24084</v>
      </c>
    </row>
    <row r="5295" spans="1:13">
      <c r="A5295" s="2">
        <v>4819</v>
      </c>
      <c r="B5295" s="2" t="s">
        <v>24085</v>
      </c>
      <c r="C5295" s="2">
        <v>8</v>
      </c>
      <c r="D5295" s="2">
        <v>556</v>
      </c>
      <c r="E5295" s="2">
        <v>200</v>
      </c>
      <c r="F5295" s="2">
        <v>32441</v>
      </c>
      <c r="G5295" s="2">
        <v>2.3338848919999999</v>
      </c>
      <c r="H5295" s="2">
        <v>2.5366886000000002E-2</v>
      </c>
      <c r="I5295" s="2" t="s">
        <v>24086</v>
      </c>
      <c r="J5295" s="2" t="s">
        <v>24087</v>
      </c>
      <c r="K5295" s="2">
        <v>3.9271517999999998E-2</v>
      </c>
      <c r="L5295" s="2" t="s">
        <v>1178</v>
      </c>
      <c r="M5295" s="4" t="s">
        <v>24088</v>
      </c>
    </row>
    <row r="5296" spans="1:13">
      <c r="A5296" s="2">
        <v>4822</v>
      </c>
      <c r="B5296" s="2" t="s">
        <v>24089</v>
      </c>
      <c r="C5296" s="2">
        <v>8</v>
      </c>
      <c r="D5296" s="2">
        <v>556</v>
      </c>
      <c r="E5296" s="2">
        <v>200</v>
      </c>
      <c r="F5296" s="2">
        <v>32441</v>
      </c>
      <c r="G5296" s="2">
        <v>2.3338848919999999</v>
      </c>
      <c r="H5296" s="2">
        <v>2.5366886000000002E-2</v>
      </c>
      <c r="I5296" s="2" t="s">
        <v>24090</v>
      </c>
      <c r="J5296" s="2" t="s">
        <v>24091</v>
      </c>
      <c r="K5296" s="2">
        <v>3.9271517999999998E-2</v>
      </c>
      <c r="L5296" s="2" t="s">
        <v>1178</v>
      </c>
      <c r="M5296" s="4" t="s">
        <v>24092</v>
      </c>
    </row>
    <row r="5297" spans="1:13">
      <c r="A5297" s="2">
        <v>4835</v>
      </c>
      <c r="B5297" s="2" t="s">
        <v>24093</v>
      </c>
      <c r="C5297" s="2">
        <v>8</v>
      </c>
      <c r="D5297" s="2">
        <v>556</v>
      </c>
      <c r="E5297" s="2">
        <v>198</v>
      </c>
      <c r="F5297" s="2">
        <v>32441</v>
      </c>
      <c r="G5297" s="2">
        <v>2.3574594869999999</v>
      </c>
      <c r="H5297" s="2">
        <v>2.4125677000000002E-2</v>
      </c>
      <c r="I5297" s="2" t="s">
        <v>24094</v>
      </c>
      <c r="J5297" s="2" t="s">
        <v>24095</v>
      </c>
      <c r="K5297" s="2">
        <v>3.9271517999999998E-2</v>
      </c>
      <c r="L5297" s="2" t="s">
        <v>1178</v>
      </c>
      <c r="M5297" s="4" t="s">
        <v>24096</v>
      </c>
    </row>
    <row r="5298" spans="1:13">
      <c r="A5298" s="2">
        <v>2715</v>
      </c>
      <c r="B5298" s="2" t="s">
        <v>24097</v>
      </c>
      <c r="C5298" s="2">
        <v>6</v>
      </c>
      <c r="D5298" s="2">
        <v>556</v>
      </c>
      <c r="E5298" s="2">
        <v>127</v>
      </c>
      <c r="F5298" s="2">
        <v>32441</v>
      </c>
      <c r="G5298" s="2">
        <v>2.7565569590000001</v>
      </c>
      <c r="H5298" s="2">
        <v>2.5475958E-2</v>
      </c>
      <c r="I5298" s="2" t="s">
        <v>24098</v>
      </c>
      <c r="J5298" s="2" t="s">
        <v>24099</v>
      </c>
      <c r="K5298" s="2">
        <v>3.9427848000000001E-2</v>
      </c>
      <c r="L5298" s="2" t="s">
        <v>1178</v>
      </c>
      <c r="M5298" s="4" t="s">
        <v>24100</v>
      </c>
    </row>
    <row r="5299" spans="1:13">
      <c r="A5299" s="2">
        <v>24171</v>
      </c>
      <c r="B5299" s="2" t="s">
        <v>24101</v>
      </c>
      <c r="C5299" s="2">
        <v>7</v>
      </c>
      <c r="D5299" s="2">
        <v>556</v>
      </c>
      <c r="E5299" s="2">
        <v>165</v>
      </c>
      <c r="F5299" s="2">
        <v>32441</v>
      </c>
      <c r="G5299" s="2">
        <v>2.4753324609999998</v>
      </c>
      <c r="H5299" s="2">
        <v>2.7088953999999998E-2</v>
      </c>
      <c r="I5299" s="2" t="s">
        <v>24102</v>
      </c>
      <c r="J5299" s="2" t="s">
        <v>24103</v>
      </c>
      <c r="K5299" s="2">
        <v>4.1910887000000001E-2</v>
      </c>
      <c r="L5299" s="2" t="s">
        <v>1178</v>
      </c>
      <c r="M5299" s="4" t="s">
        <v>24104</v>
      </c>
    </row>
    <row r="5300" spans="1:13">
      <c r="A5300" s="2">
        <v>2708</v>
      </c>
      <c r="B5300" s="2" t="s">
        <v>24105</v>
      </c>
      <c r="C5300" s="2">
        <v>6</v>
      </c>
      <c r="D5300" s="2">
        <v>556</v>
      </c>
      <c r="E5300" s="2">
        <v>129</v>
      </c>
      <c r="F5300" s="2">
        <v>32441</v>
      </c>
      <c r="G5300" s="2">
        <v>2.7138196419999998</v>
      </c>
      <c r="H5300" s="2">
        <v>2.7152294E-2</v>
      </c>
      <c r="I5300" s="2" t="s">
        <v>24106</v>
      </c>
      <c r="J5300" s="2" t="s">
        <v>24107</v>
      </c>
      <c r="K5300" s="2">
        <v>4.1995549E-2</v>
      </c>
      <c r="L5300" s="2" t="s">
        <v>1178</v>
      </c>
      <c r="M5300" s="4" t="s">
        <v>24108</v>
      </c>
    </row>
    <row r="5301" spans="1:13">
      <c r="A5301" s="2">
        <v>22821</v>
      </c>
      <c r="B5301" s="2" t="s">
        <v>24109</v>
      </c>
      <c r="C5301" s="2">
        <v>7</v>
      </c>
      <c r="D5301" s="2">
        <v>556</v>
      </c>
      <c r="E5301" s="2">
        <v>166</v>
      </c>
      <c r="F5301" s="2">
        <v>32441</v>
      </c>
      <c r="G5301" s="2">
        <v>2.46042082</v>
      </c>
      <c r="H5301" s="2">
        <v>2.7838299E-2</v>
      </c>
      <c r="I5301" s="2" t="s">
        <v>24110</v>
      </c>
      <c r="J5301" s="2" t="s">
        <v>24111</v>
      </c>
      <c r="K5301" s="2">
        <v>4.3029248999999999E-2</v>
      </c>
      <c r="L5301" s="2" t="s">
        <v>1178</v>
      </c>
      <c r="M5301" s="4" t="s">
        <v>24112</v>
      </c>
    </row>
    <row r="5302" spans="1:13">
      <c r="A5302" s="2">
        <v>2424</v>
      </c>
      <c r="B5302" s="2" t="s">
        <v>3149</v>
      </c>
      <c r="C5302" s="2">
        <v>7</v>
      </c>
      <c r="D5302" s="2">
        <v>556</v>
      </c>
      <c r="E5302" s="2">
        <v>166</v>
      </c>
      <c r="F5302" s="2">
        <v>32441</v>
      </c>
      <c r="G5302" s="2">
        <v>2.46042082</v>
      </c>
      <c r="H5302" s="2">
        <v>2.7838299E-2</v>
      </c>
      <c r="I5302" s="2" t="s">
        <v>24113</v>
      </c>
      <c r="J5302" s="2" t="s">
        <v>24114</v>
      </c>
      <c r="K5302" s="2">
        <v>4.3029248999999999E-2</v>
      </c>
      <c r="L5302" s="2" t="s">
        <v>1178</v>
      </c>
      <c r="M5302" s="4" t="s">
        <v>3152</v>
      </c>
    </row>
    <row r="5303" spans="1:13">
      <c r="A5303" s="2">
        <v>4116</v>
      </c>
      <c r="B5303" s="2" t="s">
        <v>24115</v>
      </c>
      <c r="C5303" s="2">
        <v>7</v>
      </c>
      <c r="D5303" s="2">
        <v>556</v>
      </c>
      <c r="E5303" s="2">
        <v>167</v>
      </c>
      <c r="F5303" s="2">
        <v>32441</v>
      </c>
      <c r="G5303" s="2">
        <v>2.4456877609999998</v>
      </c>
      <c r="H5303" s="2">
        <v>2.8601583E-2</v>
      </c>
      <c r="I5303" s="2" t="s">
        <v>24116</v>
      </c>
      <c r="J5303" s="2" t="s">
        <v>24117</v>
      </c>
      <c r="K5303" s="2">
        <v>4.4195023999999999E-2</v>
      </c>
      <c r="L5303" s="2" t="s">
        <v>1178</v>
      </c>
      <c r="M5303" s="4" t="s">
        <v>24118</v>
      </c>
    </row>
    <row r="5304" spans="1:13">
      <c r="A5304" s="2">
        <v>2737</v>
      </c>
      <c r="B5304" s="2" t="s">
        <v>24119</v>
      </c>
      <c r="C5304" s="2">
        <v>6</v>
      </c>
      <c r="D5304" s="2">
        <v>556</v>
      </c>
      <c r="E5304" s="2">
        <v>131</v>
      </c>
      <c r="F5304" s="2">
        <v>32441</v>
      </c>
      <c r="G5304" s="2">
        <v>2.6723872809999998</v>
      </c>
      <c r="H5304" s="2">
        <v>2.8900052999999998E-2</v>
      </c>
      <c r="I5304" s="2" t="s">
        <v>24120</v>
      </c>
      <c r="J5304" s="2" t="s">
        <v>24121</v>
      </c>
      <c r="K5304" s="2">
        <v>4.4642059999999997E-2</v>
      </c>
      <c r="L5304" s="2" t="s">
        <v>1178</v>
      </c>
      <c r="M5304" s="4" t="s">
        <v>24122</v>
      </c>
    </row>
    <row r="5305" spans="1:13">
      <c r="A5305" s="2">
        <v>1744</v>
      </c>
      <c r="B5305" s="2" t="s">
        <v>24123</v>
      </c>
      <c r="C5305" s="2">
        <v>7</v>
      </c>
      <c r="D5305" s="2">
        <v>556</v>
      </c>
      <c r="E5305" s="2">
        <v>170</v>
      </c>
      <c r="F5305" s="2">
        <v>32441</v>
      </c>
      <c r="G5305" s="2">
        <v>2.4025285649999999</v>
      </c>
      <c r="H5305" s="2">
        <v>3.0976040999999999E-2</v>
      </c>
      <c r="I5305" s="2" t="s">
        <v>24124</v>
      </c>
      <c r="J5305" s="2" t="s">
        <v>24125</v>
      </c>
      <c r="K5305" s="2">
        <v>4.7818527999999999E-2</v>
      </c>
      <c r="L5305" s="2" t="s">
        <v>1178</v>
      </c>
      <c r="M5305" s="4" t="s">
        <v>24126</v>
      </c>
    </row>
    <row r="5306" spans="1:13">
      <c r="A5306" s="2">
        <v>4108</v>
      </c>
      <c r="B5306" s="2" t="s">
        <v>24127</v>
      </c>
      <c r="C5306" s="2">
        <v>7</v>
      </c>
      <c r="D5306" s="2">
        <v>556</v>
      </c>
      <c r="E5306" s="2">
        <v>170</v>
      </c>
      <c r="F5306" s="2">
        <v>32441</v>
      </c>
      <c r="G5306" s="2">
        <v>2.4025285649999999</v>
      </c>
      <c r="H5306" s="2">
        <v>3.0976040999999999E-2</v>
      </c>
      <c r="I5306" s="2" t="s">
        <v>24128</v>
      </c>
      <c r="J5306" s="2" t="s">
        <v>24129</v>
      </c>
      <c r="K5306" s="2">
        <v>4.7818527999999999E-2</v>
      </c>
      <c r="L5306" s="2" t="s">
        <v>1178</v>
      </c>
      <c r="M5306" s="4" t="s">
        <v>24130</v>
      </c>
    </row>
    <row r="5307" spans="1:13">
      <c r="A5307" s="2">
        <v>27091</v>
      </c>
      <c r="B5307" s="2" t="s">
        <v>24131</v>
      </c>
      <c r="C5307" s="2">
        <v>6</v>
      </c>
      <c r="D5307" s="2">
        <v>556</v>
      </c>
      <c r="E5307" s="2">
        <v>134</v>
      </c>
      <c r="F5307" s="2">
        <v>32441</v>
      </c>
      <c r="G5307" s="2">
        <v>2.6125577149999999</v>
      </c>
      <c r="H5307" s="2">
        <v>3.1657764999999997E-2</v>
      </c>
      <c r="I5307" s="2" t="s">
        <v>24132</v>
      </c>
      <c r="J5307" s="2" t="s">
        <v>24133</v>
      </c>
      <c r="K5307" s="2">
        <v>4.8824512E-2</v>
      </c>
      <c r="L5307" s="2" t="s">
        <v>1178</v>
      </c>
      <c r="M5307" s="4" t="s">
        <v>24134</v>
      </c>
    </row>
    <row r="5308" spans="1:13">
      <c r="A5308" s="2">
        <v>2726</v>
      </c>
      <c r="B5308" s="2" t="s">
        <v>24135</v>
      </c>
      <c r="C5308" s="2">
        <v>6</v>
      </c>
      <c r="D5308" s="2">
        <v>556</v>
      </c>
      <c r="E5308" s="2">
        <v>134</v>
      </c>
      <c r="F5308" s="2">
        <v>32441</v>
      </c>
      <c r="G5308" s="2">
        <v>2.6125577149999999</v>
      </c>
      <c r="H5308" s="2">
        <v>3.1657764999999997E-2</v>
      </c>
      <c r="I5308" s="2" t="s">
        <v>24136</v>
      </c>
      <c r="J5308" s="2" t="s">
        <v>24137</v>
      </c>
      <c r="K5308" s="2">
        <v>4.8824512E-2</v>
      </c>
      <c r="L5308" s="2" t="s">
        <v>1178</v>
      </c>
      <c r="M5308" s="4" t="s">
        <v>24138</v>
      </c>
    </row>
    <row r="5309" spans="1:13">
      <c r="A5309" s="2">
        <v>2740</v>
      </c>
      <c r="B5309" s="2" t="s">
        <v>24139</v>
      </c>
      <c r="C5309" s="2">
        <v>6</v>
      </c>
      <c r="D5309" s="2">
        <v>556</v>
      </c>
      <c r="E5309" s="2">
        <v>134</v>
      </c>
      <c r="F5309" s="2">
        <v>32441</v>
      </c>
      <c r="G5309" s="2">
        <v>2.6125577149999999</v>
      </c>
      <c r="H5309" s="2">
        <v>3.1657764999999997E-2</v>
      </c>
      <c r="I5309" s="2" t="s">
        <v>24140</v>
      </c>
      <c r="J5309" s="2" t="s">
        <v>24141</v>
      </c>
      <c r="K5309" s="2">
        <v>4.8824512E-2</v>
      </c>
      <c r="L5309" s="2" t="s">
        <v>1178</v>
      </c>
      <c r="M5309" s="4" t="s">
        <v>24142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workbookViewId="0">
      <selection sqref="A1:M113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3931</v>
      </c>
      <c r="B2" s="2" t="s">
        <v>5699</v>
      </c>
      <c r="C2" s="2">
        <v>9</v>
      </c>
      <c r="D2" s="2">
        <v>26</v>
      </c>
      <c r="E2" s="2">
        <v>317</v>
      </c>
      <c r="F2" s="2">
        <v>32441</v>
      </c>
      <c r="G2" s="2">
        <v>35.424532880000001</v>
      </c>
      <c r="H2" s="3">
        <v>2.4999999999999998E-12</v>
      </c>
      <c r="I2" s="2" t="s">
        <v>24143</v>
      </c>
      <c r="J2" s="2" t="s">
        <v>24144</v>
      </c>
      <c r="K2" s="3">
        <v>1.1900000000000001E-8</v>
      </c>
      <c r="L2" s="2" t="s">
        <v>35</v>
      </c>
      <c r="M2" s="4" t="s">
        <v>5702</v>
      </c>
    </row>
    <row r="3" spans="1:13">
      <c r="A3" s="2">
        <v>1498</v>
      </c>
      <c r="B3" s="2" t="s">
        <v>24145</v>
      </c>
      <c r="C3" s="2">
        <v>8</v>
      </c>
      <c r="D3" s="2">
        <v>26</v>
      </c>
      <c r="E3" s="2">
        <v>367</v>
      </c>
      <c r="F3" s="2">
        <v>32441</v>
      </c>
      <c r="G3" s="2">
        <v>27.198490880000001</v>
      </c>
      <c r="H3" s="3">
        <v>3.8300000000000002E-10</v>
      </c>
      <c r="I3" s="2" t="s">
        <v>24146</v>
      </c>
      <c r="J3" s="2" t="s">
        <v>24147</v>
      </c>
      <c r="K3" s="3">
        <v>9.1200000000000001E-7</v>
      </c>
      <c r="L3" s="2" t="s">
        <v>35</v>
      </c>
      <c r="M3" s="4" t="s">
        <v>24148</v>
      </c>
    </row>
    <row r="4" spans="1:13">
      <c r="A4" s="2">
        <v>2840</v>
      </c>
      <c r="B4" s="2" t="s">
        <v>5531</v>
      </c>
      <c r="C4" s="2">
        <v>5</v>
      </c>
      <c r="D4" s="2">
        <v>26</v>
      </c>
      <c r="E4" s="2">
        <v>68</v>
      </c>
      <c r="F4" s="2">
        <v>32441</v>
      </c>
      <c r="G4" s="2">
        <v>91.744909500000006</v>
      </c>
      <c r="H4" s="3">
        <v>3.17E-9</v>
      </c>
      <c r="I4" s="2" t="s">
        <v>24149</v>
      </c>
      <c r="J4" s="2" t="s">
        <v>24150</v>
      </c>
      <c r="K4" s="3">
        <v>5.0300000000000001E-6</v>
      </c>
      <c r="L4" s="2" t="s">
        <v>35</v>
      </c>
      <c r="M4" s="4" t="s">
        <v>5534</v>
      </c>
    </row>
    <row r="5" spans="1:13">
      <c r="A5" s="2">
        <v>2035</v>
      </c>
      <c r="B5" s="2" t="s">
        <v>3958</v>
      </c>
      <c r="C5" s="2">
        <v>4</v>
      </c>
      <c r="D5" s="2">
        <v>26</v>
      </c>
      <c r="E5" s="2">
        <v>44</v>
      </c>
      <c r="F5" s="2">
        <v>32441</v>
      </c>
      <c r="G5" s="2">
        <v>113.43006990000001</v>
      </c>
      <c r="H5" s="3">
        <v>6.1399999999999994E-8</v>
      </c>
      <c r="I5" s="2" t="s">
        <v>24151</v>
      </c>
      <c r="J5" s="2" t="s">
        <v>24152</v>
      </c>
      <c r="K5" s="3">
        <v>5.8400000000000003E-5</v>
      </c>
      <c r="L5" s="2" t="s">
        <v>35</v>
      </c>
      <c r="M5" s="4" t="s">
        <v>3961</v>
      </c>
    </row>
    <row r="6" spans="1:13">
      <c r="A6" s="2">
        <v>3300</v>
      </c>
      <c r="B6" s="2" t="s">
        <v>3616</v>
      </c>
      <c r="C6" s="2">
        <v>6</v>
      </c>
      <c r="D6" s="2">
        <v>26</v>
      </c>
      <c r="E6" s="2">
        <v>254</v>
      </c>
      <c r="F6" s="2">
        <v>32441</v>
      </c>
      <c r="G6" s="2">
        <v>29.473955180000001</v>
      </c>
      <c r="H6" s="3">
        <v>5.0099999999999999E-8</v>
      </c>
      <c r="I6" s="2" t="s">
        <v>24153</v>
      </c>
      <c r="J6" s="2" t="s">
        <v>24154</v>
      </c>
      <c r="K6" s="3">
        <v>5.8400000000000003E-5</v>
      </c>
      <c r="L6" s="2" t="s">
        <v>35</v>
      </c>
      <c r="M6" s="4" t="s">
        <v>3619</v>
      </c>
    </row>
    <row r="7" spans="1:13">
      <c r="A7" s="2">
        <v>3459</v>
      </c>
      <c r="B7" s="2" t="s">
        <v>3934</v>
      </c>
      <c r="C7" s="2">
        <v>6</v>
      </c>
      <c r="D7" s="2">
        <v>26</v>
      </c>
      <c r="E7" s="2">
        <v>281</v>
      </c>
      <c r="F7" s="2">
        <v>32441</v>
      </c>
      <c r="G7" s="2">
        <v>26.64193813</v>
      </c>
      <c r="H7" s="3">
        <v>8.9900000000000004E-8</v>
      </c>
      <c r="I7" s="2" t="s">
        <v>24155</v>
      </c>
      <c r="J7" s="2" t="s">
        <v>24156</v>
      </c>
      <c r="K7" s="3">
        <v>6.1099999999999994E-5</v>
      </c>
      <c r="L7" s="2" t="s">
        <v>35</v>
      </c>
      <c r="M7" s="4" t="s">
        <v>3937</v>
      </c>
    </row>
    <row r="8" spans="1:13">
      <c r="A8" s="2">
        <v>3588</v>
      </c>
      <c r="B8" s="2" t="s">
        <v>3604</v>
      </c>
      <c r="C8" s="2">
        <v>7</v>
      </c>
      <c r="D8" s="2">
        <v>26</v>
      </c>
      <c r="E8" s="2">
        <v>476</v>
      </c>
      <c r="F8" s="2">
        <v>32441</v>
      </c>
      <c r="G8" s="2">
        <v>18.348981899999998</v>
      </c>
      <c r="H8" s="3">
        <v>7.9500000000000004E-8</v>
      </c>
      <c r="I8" s="2" t="s">
        <v>24157</v>
      </c>
      <c r="J8" s="2" t="s">
        <v>24158</v>
      </c>
      <c r="K8" s="3">
        <v>6.1099999999999994E-5</v>
      </c>
      <c r="L8" s="2" t="s">
        <v>35</v>
      </c>
      <c r="M8" s="4" t="s">
        <v>3607</v>
      </c>
    </row>
    <row r="9" spans="1:13">
      <c r="A9" s="2">
        <v>2828</v>
      </c>
      <c r="B9" s="2" t="s">
        <v>2927</v>
      </c>
      <c r="C9" s="2">
        <v>5</v>
      </c>
      <c r="D9" s="2">
        <v>26</v>
      </c>
      <c r="E9" s="2">
        <v>293</v>
      </c>
      <c r="F9" s="2">
        <v>32441</v>
      </c>
      <c r="G9" s="2">
        <v>21.29233395</v>
      </c>
      <c r="H9" s="3">
        <v>3.54E-6</v>
      </c>
      <c r="I9" s="2" t="s">
        <v>24159</v>
      </c>
      <c r="J9" s="2" t="s">
        <v>24160</v>
      </c>
      <c r="K9" s="2">
        <v>2.105839E-3</v>
      </c>
      <c r="L9" s="2" t="s">
        <v>35</v>
      </c>
      <c r="M9" s="4" t="s">
        <v>2930</v>
      </c>
    </row>
    <row r="10" spans="1:13">
      <c r="A10" s="2">
        <v>3943</v>
      </c>
      <c r="B10" s="2" t="s">
        <v>24161</v>
      </c>
      <c r="C10" s="2">
        <v>3</v>
      </c>
      <c r="D10" s="2">
        <v>26</v>
      </c>
      <c r="E10" s="2">
        <v>36</v>
      </c>
      <c r="F10" s="2">
        <v>32441</v>
      </c>
      <c r="G10" s="2">
        <v>103.9775641</v>
      </c>
      <c r="H10" s="3">
        <v>4.0899999999999998E-6</v>
      </c>
      <c r="I10" s="2" t="s">
        <v>24162</v>
      </c>
      <c r="J10" s="2" t="s">
        <v>24163</v>
      </c>
      <c r="K10" s="2">
        <v>2.162597E-3</v>
      </c>
      <c r="L10" s="2" t="s">
        <v>35</v>
      </c>
      <c r="M10" s="4" t="s">
        <v>24164</v>
      </c>
    </row>
    <row r="11" spans="1:13">
      <c r="A11" s="2">
        <v>3583</v>
      </c>
      <c r="B11" s="2" t="s">
        <v>3685</v>
      </c>
      <c r="C11" s="2">
        <v>6</v>
      </c>
      <c r="D11" s="2">
        <v>26</v>
      </c>
      <c r="E11" s="2">
        <v>564</v>
      </c>
      <c r="F11" s="2">
        <v>32441</v>
      </c>
      <c r="G11" s="2">
        <v>13.273731590000001</v>
      </c>
      <c r="H11" s="3">
        <v>4.87E-6</v>
      </c>
      <c r="I11" s="2" t="s">
        <v>24165</v>
      </c>
      <c r="J11" s="2" t="s">
        <v>24166</v>
      </c>
      <c r="K11" s="2">
        <v>2.3191050000000001E-3</v>
      </c>
      <c r="L11" s="2" t="s">
        <v>35</v>
      </c>
      <c r="M11" s="4" t="s">
        <v>3688</v>
      </c>
    </row>
    <row r="12" spans="1:13">
      <c r="A12" s="2">
        <v>2832</v>
      </c>
      <c r="B12" s="2" t="s">
        <v>24167</v>
      </c>
      <c r="C12" s="2">
        <v>3</v>
      </c>
      <c r="D12" s="2">
        <v>26</v>
      </c>
      <c r="E12" s="2">
        <v>45</v>
      </c>
      <c r="F12" s="2">
        <v>32441</v>
      </c>
      <c r="G12" s="2">
        <v>83.182051279999996</v>
      </c>
      <c r="H12" s="3">
        <v>7.7000000000000008E-6</v>
      </c>
      <c r="I12" s="2" t="s">
        <v>24168</v>
      </c>
      <c r="J12" s="2" t="s">
        <v>24169</v>
      </c>
      <c r="K12" s="2">
        <v>3.3326979999999998E-3</v>
      </c>
      <c r="L12" s="2" t="s">
        <v>35</v>
      </c>
      <c r="M12" s="4" t="s">
        <v>24170</v>
      </c>
    </row>
    <row r="13" spans="1:13">
      <c r="A13" s="2">
        <v>2910</v>
      </c>
      <c r="B13" s="2" t="s">
        <v>4038</v>
      </c>
      <c r="C13" s="2">
        <v>5</v>
      </c>
      <c r="D13" s="2">
        <v>26</v>
      </c>
      <c r="E13" s="2">
        <v>405</v>
      </c>
      <c r="F13" s="2">
        <v>32441</v>
      </c>
      <c r="G13" s="2">
        <v>15.404083569999999</v>
      </c>
      <c r="H13" s="3">
        <v>1.66E-5</v>
      </c>
      <c r="I13" s="2" t="s">
        <v>24171</v>
      </c>
      <c r="J13" s="2" t="s">
        <v>24172</v>
      </c>
      <c r="K13" s="2">
        <v>6.5744949999999996E-3</v>
      </c>
      <c r="L13" s="2" t="s">
        <v>35</v>
      </c>
      <c r="M13" s="4" t="s">
        <v>4041</v>
      </c>
    </row>
    <row r="14" spans="1:13">
      <c r="A14" s="2">
        <v>3945</v>
      </c>
      <c r="B14" s="2" t="s">
        <v>24173</v>
      </c>
      <c r="C14" s="2">
        <v>3</v>
      </c>
      <c r="D14" s="2">
        <v>26</v>
      </c>
      <c r="E14" s="2">
        <v>67</v>
      </c>
      <c r="F14" s="2">
        <v>32441</v>
      </c>
      <c r="G14" s="2">
        <v>55.868541909999998</v>
      </c>
      <c r="H14" s="3">
        <v>2.41E-5</v>
      </c>
      <c r="I14" s="2" t="s">
        <v>24162</v>
      </c>
      <c r="J14" s="2" t="s">
        <v>24163</v>
      </c>
      <c r="K14" s="2">
        <v>8.821232E-3</v>
      </c>
      <c r="L14" s="2" t="s">
        <v>35</v>
      </c>
      <c r="M14" s="4" t="s">
        <v>24174</v>
      </c>
    </row>
    <row r="15" spans="1:13">
      <c r="A15" s="2">
        <v>2264</v>
      </c>
      <c r="B15" s="2" t="s">
        <v>108</v>
      </c>
      <c r="C15" s="2">
        <v>8</v>
      </c>
      <c r="D15" s="2">
        <v>26</v>
      </c>
      <c r="E15" s="2">
        <v>1652</v>
      </c>
      <c r="F15" s="2">
        <v>32441</v>
      </c>
      <c r="G15" s="2">
        <v>6.0422797539999999</v>
      </c>
      <c r="H15" s="3">
        <v>3.1300000000000002E-5</v>
      </c>
      <c r="I15" s="2" t="s">
        <v>24175</v>
      </c>
      <c r="J15" s="2" t="s">
        <v>24176</v>
      </c>
      <c r="K15" s="2">
        <v>1.0659492E-2</v>
      </c>
      <c r="L15" s="2" t="s">
        <v>35</v>
      </c>
      <c r="M15" s="4" t="s">
        <v>6454</v>
      </c>
    </row>
    <row r="16" spans="1:13">
      <c r="A16" s="2">
        <v>1469</v>
      </c>
      <c r="B16" s="2" t="s">
        <v>5723</v>
      </c>
      <c r="C16" s="2">
        <v>3</v>
      </c>
      <c r="D16" s="2">
        <v>26</v>
      </c>
      <c r="E16" s="2">
        <v>104</v>
      </c>
      <c r="F16" s="2">
        <v>32441</v>
      </c>
      <c r="G16" s="2">
        <v>35.992233730000002</v>
      </c>
      <c r="H16" s="3">
        <v>8.5599999999999994E-5</v>
      </c>
      <c r="I16" s="2" t="s">
        <v>24177</v>
      </c>
      <c r="J16" s="2" t="s">
        <v>24178</v>
      </c>
      <c r="K16" s="2">
        <v>2.2060395E-2</v>
      </c>
      <c r="L16" s="2" t="s">
        <v>35</v>
      </c>
      <c r="M16" s="4" t="s">
        <v>5726</v>
      </c>
    </row>
    <row r="17" spans="1:13">
      <c r="A17" s="2">
        <v>3131</v>
      </c>
      <c r="B17" s="2" t="s">
        <v>6285</v>
      </c>
      <c r="C17" s="2">
        <v>2</v>
      </c>
      <c r="D17" s="2">
        <v>26</v>
      </c>
      <c r="E17" s="2">
        <v>15</v>
      </c>
      <c r="F17" s="2">
        <v>32441</v>
      </c>
      <c r="G17" s="2">
        <v>166.3641026</v>
      </c>
      <c r="H17" s="3">
        <v>8.3200000000000003E-5</v>
      </c>
      <c r="I17" s="2" t="s">
        <v>24179</v>
      </c>
      <c r="J17" s="2" t="s">
        <v>24180</v>
      </c>
      <c r="K17" s="2">
        <v>2.2060395E-2</v>
      </c>
      <c r="L17" s="2" t="s">
        <v>35</v>
      </c>
      <c r="M17" s="4" t="s">
        <v>6288</v>
      </c>
    </row>
    <row r="18" spans="1:13">
      <c r="A18" s="2">
        <v>3455</v>
      </c>
      <c r="B18" s="2" t="s">
        <v>24181</v>
      </c>
      <c r="C18" s="2">
        <v>3</v>
      </c>
      <c r="D18" s="2">
        <v>26</v>
      </c>
      <c r="E18" s="2">
        <v>105</v>
      </c>
      <c r="F18" s="2">
        <v>32441</v>
      </c>
      <c r="G18" s="2">
        <v>35.649450549999997</v>
      </c>
      <c r="H18" s="3">
        <v>8.7999999999999998E-5</v>
      </c>
      <c r="I18" s="2" t="s">
        <v>24182</v>
      </c>
      <c r="J18" s="2" t="s">
        <v>24183</v>
      </c>
      <c r="K18" s="2">
        <v>2.2060395E-2</v>
      </c>
      <c r="L18" s="2" t="s">
        <v>35</v>
      </c>
      <c r="M18" s="4" t="s">
        <v>24184</v>
      </c>
    </row>
    <row r="19" spans="1:13">
      <c r="A19" s="2">
        <v>3457</v>
      </c>
      <c r="B19" s="2" t="s">
        <v>3858</v>
      </c>
      <c r="C19" s="2">
        <v>4</v>
      </c>
      <c r="D19" s="2">
        <v>26</v>
      </c>
      <c r="E19" s="2">
        <v>292</v>
      </c>
      <c r="F19" s="2">
        <v>32441</v>
      </c>
      <c r="G19" s="2">
        <v>17.092202319999998</v>
      </c>
      <c r="H19" s="3">
        <v>8.6399999999999999E-5</v>
      </c>
      <c r="I19" s="2" t="s">
        <v>24185</v>
      </c>
      <c r="J19" s="2" t="s">
        <v>24186</v>
      </c>
      <c r="K19" s="2">
        <v>2.2060395E-2</v>
      </c>
      <c r="L19" s="2" t="s">
        <v>35</v>
      </c>
      <c r="M19" s="4" t="s">
        <v>3861</v>
      </c>
    </row>
    <row r="20" spans="1:13">
      <c r="A20" s="2">
        <v>3944</v>
      </c>
      <c r="B20" s="2" t="s">
        <v>24187</v>
      </c>
      <c r="C20" s="2">
        <v>3</v>
      </c>
      <c r="D20" s="2">
        <v>26</v>
      </c>
      <c r="E20" s="2">
        <v>101</v>
      </c>
      <c r="F20" s="2">
        <v>32441</v>
      </c>
      <c r="G20" s="2">
        <v>37.061309979999997</v>
      </c>
      <c r="H20" s="3">
        <v>7.8700000000000002E-5</v>
      </c>
      <c r="I20" s="2" t="s">
        <v>24162</v>
      </c>
      <c r="J20" s="2" t="s">
        <v>24163</v>
      </c>
      <c r="K20" s="2">
        <v>2.2060395E-2</v>
      </c>
      <c r="L20" s="2" t="s">
        <v>35</v>
      </c>
      <c r="M20" s="4" t="s">
        <v>24188</v>
      </c>
    </row>
    <row r="21" spans="1:13">
      <c r="A21" s="2">
        <v>3490</v>
      </c>
      <c r="B21" s="2" t="s">
        <v>3608</v>
      </c>
      <c r="C21" s="2">
        <v>4</v>
      </c>
      <c r="D21" s="2">
        <v>26</v>
      </c>
      <c r="E21" s="2">
        <v>299</v>
      </c>
      <c r="F21" s="2">
        <v>32441</v>
      </c>
      <c r="G21" s="2">
        <v>16.692050420000001</v>
      </c>
      <c r="H21" s="3">
        <v>9.4500000000000007E-5</v>
      </c>
      <c r="I21" s="2" t="s">
        <v>24189</v>
      </c>
      <c r="J21" s="2" t="s">
        <v>24190</v>
      </c>
      <c r="K21" s="2">
        <v>2.2511356E-2</v>
      </c>
      <c r="L21" s="2" t="s">
        <v>35</v>
      </c>
      <c r="M21" s="4" t="s">
        <v>3611</v>
      </c>
    </row>
    <row r="22" spans="1:13">
      <c r="A22" s="2">
        <v>2764</v>
      </c>
      <c r="B22" s="2" t="s">
        <v>3789</v>
      </c>
      <c r="C22" s="2">
        <v>4</v>
      </c>
      <c r="D22" s="2">
        <v>26</v>
      </c>
      <c r="E22" s="2">
        <v>366</v>
      </c>
      <c r="F22" s="2">
        <v>32441</v>
      </c>
      <c r="G22" s="2">
        <v>13.63640185</v>
      </c>
      <c r="H22" s="2">
        <v>2.03449E-4</v>
      </c>
      <c r="I22" s="2" t="s">
        <v>24191</v>
      </c>
      <c r="J22" s="2" t="s">
        <v>24192</v>
      </c>
      <c r="K22" s="2">
        <v>4.6134410000000001E-2</v>
      </c>
      <c r="L22" s="2" t="s">
        <v>35</v>
      </c>
      <c r="M22" s="4" t="s">
        <v>3792</v>
      </c>
    </row>
    <row r="23" spans="1:13">
      <c r="A23" s="2">
        <v>2680</v>
      </c>
      <c r="B23" s="2" t="s">
        <v>4775</v>
      </c>
      <c r="C23" s="2">
        <v>3</v>
      </c>
      <c r="D23" s="2">
        <v>26</v>
      </c>
      <c r="E23" s="2">
        <v>144</v>
      </c>
      <c r="F23" s="2">
        <v>32441</v>
      </c>
      <c r="G23" s="2">
        <v>25.994391029999999</v>
      </c>
      <c r="H23" s="2">
        <v>2.1903499999999999E-4</v>
      </c>
      <c r="I23" s="2" t="s">
        <v>24193</v>
      </c>
      <c r="J23" s="2" t="s">
        <v>24194</v>
      </c>
      <c r="K23" s="2">
        <v>4.7411020999999998E-2</v>
      </c>
      <c r="L23" s="2" t="s">
        <v>35</v>
      </c>
      <c r="M23" s="4" t="s">
        <v>4778</v>
      </c>
    </row>
    <row r="24" spans="1:13">
      <c r="A24" s="2">
        <v>453</v>
      </c>
      <c r="B24" s="2" t="s">
        <v>6925</v>
      </c>
      <c r="C24" s="2">
        <v>5</v>
      </c>
      <c r="D24" s="2">
        <v>26</v>
      </c>
      <c r="E24" s="2">
        <v>356</v>
      </c>
      <c r="F24" s="2">
        <v>32441</v>
      </c>
      <c r="G24" s="2">
        <v>17.524308560000001</v>
      </c>
      <c r="H24" s="3">
        <v>8.9700000000000005E-6</v>
      </c>
      <c r="I24" s="2" t="s">
        <v>24195</v>
      </c>
      <c r="J24" s="2" t="s">
        <v>24196</v>
      </c>
      <c r="K24" s="2">
        <v>3.8494639999999999E-3</v>
      </c>
      <c r="L24" s="2" t="s">
        <v>637</v>
      </c>
      <c r="M24" s="4" t="s">
        <v>6928</v>
      </c>
    </row>
    <row r="25" spans="1:13">
      <c r="A25" s="2">
        <v>684</v>
      </c>
      <c r="B25" s="2" t="s">
        <v>6957</v>
      </c>
      <c r="C25" s="2">
        <v>4</v>
      </c>
      <c r="D25" s="2">
        <v>26</v>
      </c>
      <c r="E25" s="2">
        <v>138</v>
      </c>
      <c r="F25" s="2">
        <v>32441</v>
      </c>
      <c r="G25" s="2">
        <v>36.166109249999998</v>
      </c>
      <c r="H25" s="3">
        <v>4.87E-6</v>
      </c>
      <c r="I25" s="2" t="s">
        <v>24197</v>
      </c>
      <c r="J25" s="2" t="s">
        <v>24198</v>
      </c>
      <c r="K25" s="2">
        <v>3.8494639999999999E-3</v>
      </c>
      <c r="L25" s="2" t="s">
        <v>637</v>
      </c>
      <c r="M25" s="4" t="s">
        <v>6960</v>
      </c>
    </row>
    <row r="26" spans="1:13">
      <c r="A26" s="2">
        <v>627</v>
      </c>
      <c r="B26" s="2" t="s">
        <v>7251</v>
      </c>
      <c r="C26" s="2">
        <v>3</v>
      </c>
      <c r="D26" s="2">
        <v>26</v>
      </c>
      <c r="E26" s="2">
        <v>80</v>
      </c>
      <c r="F26" s="2">
        <v>32441</v>
      </c>
      <c r="G26" s="2">
        <v>46.789903850000002</v>
      </c>
      <c r="H26" s="3">
        <v>4.0099999999999999E-5</v>
      </c>
      <c r="I26" s="2" t="s">
        <v>24199</v>
      </c>
      <c r="J26" s="2" t="s">
        <v>24200</v>
      </c>
      <c r="K26" s="2">
        <v>1.1480792E-2</v>
      </c>
      <c r="L26" s="2" t="s">
        <v>637</v>
      </c>
      <c r="M26" s="4" t="s">
        <v>7254</v>
      </c>
    </row>
    <row r="27" spans="1:13">
      <c r="A27" s="2">
        <v>506</v>
      </c>
      <c r="B27" s="2" t="s">
        <v>6901</v>
      </c>
      <c r="C27" s="2">
        <v>5</v>
      </c>
      <c r="D27" s="2">
        <v>26</v>
      </c>
      <c r="E27" s="2">
        <v>549</v>
      </c>
      <c r="F27" s="2">
        <v>32441</v>
      </c>
      <c r="G27" s="2">
        <v>11.36366821</v>
      </c>
      <c r="H27" s="3">
        <v>6.9499999999999995E-5</v>
      </c>
      <c r="I27" s="2" t="s">
        <v>24201</v>
      </c>
      <c r="J27" s="2" t="s">
        <v>24202</v>
      </c>
      <c r="K27" s="2">
        <v>1.4900194E-2</v>
      </c>
      <c r="L27" s="2" t="s">
        <v>637</v>
      </c>
      <c r="M27" s="4" t="s">
        <v>6904</v>
      </c>
    </row>
    <row r="28" spans="1:13">
      <c r="A28" s="2">
        <v>468</v>
      </c>
      <c r="B28" s="2" t="s">
        <v>6905</v>
      </c>
      <c r="C28" s="2">
        <v>5</v>
      </c>
      <c r="D28" s="2">
        <v>26</v>
      </c>
      <c r="E28" s="2">
        <v>583</v>
      </c>
      <c r="F28" s="2">
        <v>32441</v>
      </c>
      <c r="G28" s="2">
        <v>10.70094999</v>
      </c>
      <c r="H28" s="3">
        <v>9.1899999999999998E-5</v>
      </c>
      <c r="I28" s="2" t="s">
        <v>24203</v>
      </c>
      <c r="J28" s="2" t="s">
        <v>24204</v>
      </c>
      <c r="K28" s="2">
        <v>1.5778536999999999E-2</v>
      </c>
      <c r="L28" s="2" t="s">
        <v>637</v>
      </c>
      <c r="M28" s="4" t="s">
        <v>6908</v>
      </c>
    </row>
    <row r="29" spans="1:13">
      <c r="A29" s="2">
        <v>467</v>
      </c>
      <c r="B29" s="2" t="s">
        <v>6921</v>
      </c>
      <c r="C29" s="2">
        <v>4</v>
      </c>
      <c r="D29" s="2">
        <v>26</v>
      </c>
      <c r="E29" s="2">
        <v>327</v>
      </c>
      <c r="F29" s="2">
        <v>32441</v>
      </c>
      <c r="G29" s="2">
        <v>15.2627617</v>
      </c>
      <c r="H29" s="2">
        <v>1.32836E-4</v>
      </c>
      <c r="I29" s="2" t="s">
        <v>24205</v>
      </c>
      <c r="J29" s="2" t="s">
        <v>24206</v>
      </c>
      <c r="K29" s="2">
        <v>1.8995608000000001E-2</v>
      </c>
      <c r="L29" s="2" t="s">
        <v>637</v>
      </c>
      <c r="M29" s="4" t="s">
        <v>6924</v>
      </c>
    </row>
    <row r="30" spans="1:13">
      <c r="A30" s="2">
        <v>727</v>
      </c>
      <c r="B30" s="2" t="s">
        <v>6977</v>
      </c>
      <c r="C30" s="2">
        <v>3</v>
      </c>
      <c r="D30" s="2">
        <v>26</v>
      </c>
      <c r="E30" s="2">
        <v>128</v>
      </c>
      <c r="F30" s="2">
        <v>32441</v>
      </c>
      <c r="G30" s="2">
        <v>29.2436899</v>
      </c>
      <c r="H30" s="2">
        <v>1.5594299999999999E-4</v>
      </c>
      <c r="I30" s="2" t="s">
        <v>24207</v>
      </c>
      <c r="J30" s="2" t="s">
        <v>24208</v>
      </c>
      <c r="K30" s="2">
        <v>1.9114176E-2</v>
      </c>
      <c r="L30" s="2" t="s">
        <v>637</v>
      </c>
      <c r="M30" s="4" t="s">
        <v>6980</v>
      </c>
    </row>
    <row r="31" spans="1:13">
      <c r="A31" s="2">
        <v>787</v>
      </c>
      <c r="B31" s="2" t="s">
        <v>6953</v>
      </c>
      <c r="C31" s="2">
        <v>3</v>
      </c>
      <c r="D31" s="2">
        <v>26</v>
      </c>
      <c r="E31" s="2">
        <v>140</v>
      </c>
      <c r="F31" s="2">
        <v>32441</v>
      </c>
      <c r="G31" s="2">
        <v>26.73708791</v>
      </c>
      <c r="H31" s="2">
        <v>2.01948E-4</v>
      </c>
      <c r="I31" s="2" t="s">
        <v>24207</v>
      </c>
      <c r="J31" s="2" t="s">
        <v>24208</v>
      </c>
      <c r="K31" s="2">
        <v>2.1658930999999999E-2</v>
      </c>
      <c r="L31" s="2" t="s">
        <v>637</v>
      </c>
      <c r="M31" s="4" t="s">
        <v>6956</v>
      </c>
    </row>
    <row r="32" spans="1:13">
      <c r="A32" s="2">
        <v>2460</v>
      </c>
      <c r="B32" s="2" t="s">
        <v>7607</v>
      </c>
      <c r="C32" s="2">
        <v>7</v>
      </c>
      <c r="D32" s="2">
        <v>26</v>
      </c>
      <c r="E32" s="2">
        <v>288</v>
      </c>
      <c r="F32" s="2">
        <v>32441</v>
      </c>
      <c r="G32" s="2">
        <v>30.326789529999999</v>
      </c>
      <c r="H32" s="3">
        <v>2.7000000000000002E-9</v>
      </c>
      <c r="I32" s="2" t="s">
        <v>24209</v>
      </c>
      <c r="J32" s="2" t="s">
        <v>24210</v>
      </c>
      <c r="K32" s="3">
        <v>1.5999999999999999E-5</v>
      </c>
      <c r="L32" s="2" t="s">
        <v>848</v>
      </c>
      <c r="M32" s="4" t="s">
        <v>7610</v>
      </c>
    </row>
    <row r="33" spans="1:13">
      <c r="A33" s="2">
        <v>4821</v>
      </c>
      <c r="B33" s="2" t="s">
        <v>24211</v>
      </c>
      <c r="C33" s="2">
        <v>4</v>
      </c>
      <c r="D33" s="2">
        <v>26</v>
      </c>
      <c r="E33" s="2">
        <v>26</v>
      </c>
      <c r="F33" s="2">
        <v>32441</v>
      </c>
      <c r="G33" s="2">
        <v>191.95857989999999</v>
      </c>
      <c r="H33" s="3">
        <v>8.7299999999999994E-9</v>
      </c>
      <c r="I33" s="2" t="s">
        <v>24212</v>
      </c>
      <c r="J33" s="2" t="s">
        <v>24213</v>
      </c>
      <c r="K33" s="3">
        <v>2.58E-5</v>
      </c>
      <c r="L33" s="2" t="s">
        <v>848</v>
      </c>
      <c r="M33" s="4" t="s">
        <v>24214</v>
      </c>
    </row>
    <row r="34" spans="1:13">
      <c r="A34" s="2">
        <v>324</v>
      </c>
      <c r="B34" s="2" t="s">
        <v>7555</v>
      </c>
      <c r="C34" s="2">
        <v>10</v>
      </c>
      <c r="D34" s="2">
        <v>26</v>
      </c>
      <c r="E34" s="2">
        <v>1984</v>
      </c>
      <c r="F34" s="2">
        <v>32441</v>
      </c>
      <c r="G34" s="2">
        <v>6.2889655710000003</v>
      </c>
      <c r="H34" s="3">
        <v>1.5999999999999999E-6</v>
      </c>
      <c r="I34" s="2" t="s">
        <v>24215</v>
      </c>
      <c r="J34" s="2" t="s">
        <v>24216</v>
      </c>
      <c r="K34" s="2">
        <v>2.1590580000000002E-3</v>
      </c>
      <c r="L34" s="2" t="s">
        <v>848</v>
      </c>
      <c r="M34" s="4" t="s">
        <v>7558</v>
      </c>
    </row>
    <row r="35" spans="1:13">
      <c r="A35" s="2">
        <v>2781</v>
      </c>
      <c r="B35" s="2" t="s">
        <v>7559</v>
      </c>
      <c r="C35" s="2">
        <v>8</v>
      </c>
      <c r="D35" s="2">
        <v>26</v>
      </c>
      <c r="E35" s="2">
        <v>1100</v>
      </c>
      <c r="F35" s="2">
        <v>32441</v>
      </c>
      <c r="G35" s="2">
        <v>9.0744055939999999</v>
      </c>
      <c r="H35" s="3">
        <v>1.6199999999999999E-6</v>
      </c>
      <c r="I35" s="2" t="s">
        <v>24217</v>
      </c>
      <c r="J35" s="2" t="s">
        <v>24218</v>
      </c>
      <c r="K35" s="2">
        <v>2.1590580000000002E-3</v>
      </c>
      <c r="L35" s="2" t="s">
        <v>848</v>
      </c>
      <c r="M35" s="4" t="s">
        <v>7562</v>
      </c>
    </row>
    <row r="36" spans="1:13">
      <c r="A36" s="2">
        <v>5351</v>
      </c>
      <c r="B36" s="2" t="s">
        <v>24219</v>
      </c>
      <c r="C36" s="2">
        <v>3</v>
      </c>
      <c r="D36" s="2">
        <v>26</v>
      </c>
      <c r="E36" s="2">
        <v>27</v>
      </c>
      <c r="F36" s="2">
        <v>32441</v>
      </c>
      <c r="G36" s="2">
        <v>138.6367521</v>
      </c>
      <c r="H36" s="3">
        <v>1.8199999999999999E-6</v>
      </c>
      <c r="I36" s="2" t="s">
        <v>24220</v>
      </c>
      <c r="J36" s="2" t="s">
        <v>24221</v>
      </c>
      <c r="K36" s="2">
        <v>2.1590580000000002E-3</v>
      </c>
      <c r="L36" s="2" t="s">
        <v>848</v>
      </c>
      <c r="M36" s="4" t="s">
        <v>24222</v>
      </c>
    </row>
    <row r="37" spans="1:13">
      <c r="A37" s="2">
        <v>2710</v>
      </c>
      <c r="B37" s="2" t="s">
        <v>7991</v>
      </c>
      <c r="C37" s="2">
        <v>4</v>
      </c>
      <c r="D37" s="2">
        <v>26</v>
      </c>
      <c r="E37" s="2">
        <v>121</v>
      </c>
      <c r="F37" s="2">
        <v>32441</v>
      </c>
      <c r="G37" s="2">
        <v>41.24729816</v>
      </c>
      <c r="H37" s="3">
        <v>2.9299999999999999E-6</v>
      </c>
      <c r="I37" s="2" t="s">
        <v>24223</v>
      </c>
      <c r="J37" s="2" t="s">
        <v>24224</v>
      </c>
      <c r="K37" s="2">
        <v>2.8906600000000002E-3</v>
      </c>
      <c r="L37" s="2" t="s">
        <v>848</v>
      </c>
      <c r="M37" s="4" t="s">
        <v>7994</v>
      </c>
    </row>
    <row r="38" spans="1:13">
      <c r="A38" s="2">
        <v>1833</v>
      </c>
      <c r="B38" s="2" t="s">
        <v>7575</v>
      </c>
      <c r="C38" s="2">
        <v>7</v>
      </c>
      <c r="D38" s="2">
        <v>26</v>
      </c>
      <c r="E38" s="2">
        <v>867</v>
      </c>
      <c r="F38" s="2">
        <v>32441</v>
      </c>
      <c r="G38" s="2">
        <v>10.073950849999999</v>
      </c>
      <c r="H38" s="3">
        <v>4.2100000000000003E-6</v>
      </c>
      <c r="I38" s="2" t="s">
        <v>24225</v>
      </c>
      <c r="J38" s="2" t="s">
        <v>24226</v>
      </c>
      <c r="K38" s="2">
        <v>3.5555550000000002E-3</v>
      </c>
      <c r="L38" s="2" t="s">
        <v>848</v>
      </c>
      <c r="M38" s="4" t="s">
        <v>7578</v>
      </c>
    </row>
    <row r="39" spans="1:13">
      <c r="A39" s="2">
        <v>3669</v>
      </c>
      <c r="B39" s="2" t="s">
        <v>7743</v>
      </c>
      <c r="C39" s="2">
        <v>5</v>
      </c>
      <c r="D39" s="2">
        <v>26</v>
      </c>
      <c r="E39" s="2">
        <v>323</v>
      </c>
      <c r="F39" s="2">
        <v>32441</v>
      </c>
      <c r="G39" s="2">
        <v>19.31471779</v>
      </c>
      <c r="H39" s="3">
        <v>5.6400000000000002E-6</v>
      </c>
      <c r="I39" s="2" t="s">
        <v>24227</v>
      </c>
      <c r="J39" s="2" t="s">
        <v>24228</v>
      </c>
      <c r="K39" s="2">
        <v>4.1717919999999997E-3</v>
      </c>
      <c r="L39" s="2" t="s">
        <v>848</v>
      </c>
      <c r="M39" s="4" t="s">
        <v>7746</v>
      </c>
    </row>
    <row r="40" spans="1:13">
      <c r="A40" s="2">
        <v>2221</v>
      </c>
      <c r="B40" s="2" t="s">
        <v>7563</v>
      </c>
      <c r="C40" s="2">
        <v>8</v>
      </c>
      <c r="D40" s="2">
        <v>26</v>
      </c>
      <c r="E40" s="2">
        <v>1403</v>
      </c>
      <c r="F40" s="2">
        <v>32441</v>
      </c>
      <c r="G40" s="2">
        <v>7.1146444430000004</v>
      </c>
      <c r="H40" s="3">
        <v>9.6700000000000006E-6</v>
      </c>
      <c r="I40" s="2" t="s">
        <v>24229</v>
      </c>
      <c r="J40" s="2" t="s">
        <v>24230</v>
      </c>
      <c r="K40" s="2">
        <v>6.3542540000000002E-3</v>
      </c>
      <c r="L40" s="2" t="s">
        <v>848</v>
      </c>
      <c r="M40" s="4" t="s">
        <v>7566</v>
      </c>
    </row>
    <row r="41" spans="1:13">
      <c r="A41" s="2">
        <v>4068</v>
      </c>
      <c r="B41" s="2" t="s">
        <v>8448</v>
      </c>
      <c r="C41" s="2">
        <v>3</v>
      </c>
      <c r="D41" s="2">
        <v>26</v>
      </c>
      <c r="E41" s="2">
        <v>54</v>
      </c>
      <c r="F41" s="2">
        <v>32441</v>
      </c>
      <c r="G41" s="2">
        <v>69.318376069999999</v>
      </c>
      <c r="H41" s="3">
        <v>1.2999999999999999E-5</v>
      </c>
      <c r="I41" s="2" t="s">
        <v>24231</v>
      </c>
      <c r="J41" s="2" t="s">
        <v>24232</v>
      </c>
      <c r="K41" s="2">
        <v>7.669253E-3</v>
      </c>
      <c r="L41" s="2" t="s">
        <v>848</v>
      </c>
      <c r="M41" s="4" t="s">
        <v>8451</v>
      </c>
    </row>
    <row r="42" spans="1:13">
      <c r="A42" s="2">
        <v>1733</v>
      </c>
      <c r="B42" s="2" t="s">
        <v>8436</v>
      </c>
      <c r="C42" s="2">
        <v>4</v>
      </c>
      <c r="D42" s="2">
        <v>26</v>
      </c>
      <c r="E42" s="2">
        <v>187</v>
      </c>
      <c r="F42" s="2">
        <v>32441</v>
      </c>
      <c r="G42" s="2">
        <v>26.68942822</v>
      </c>
      <c r="H42" s="3">
        <v>1.5699999999999999E-5</v>
      </c>
      <c r="I42" s="2" t="s">
        <v>24233</v>
      </c>
      <c r="J42" s="2" t="s">
        <v>24234</v>
      </c>
      <c r="K42" s="2">
        <v>8.4336350000000001E-3</v>
      </c>
      <c r="L42" s="2" t="s">
        <v>848</v>
      </c>
      <c r="M42" s="4" t="s">
        <v>8439</v>
      </c>
    </row>
    <row r="43" spans="1:13">
      <c r="A43" s="2">
        <v>633</v>
      </c>
      <c r="B43" s="2" t="s">
        <v>7811</v>
      </c>
      <c r="C43" s="2">
        <v>4</v>
      </c>
      <c r="D43" s="2">
        <v>26</v>
      </c>
      <c r="E43" s="2">
        <v>195</v>
      </c>
      <c r="F43" s="2">
        <v>32441</v>
      </c>
      <c r="G43" s="2">
        <v>25.594477319999999</v>
      </c>
      <c r="H43" s="3">
        <v>1.84E-5</v>
      </c>
      <c r="I43" s="2" t="s">
        <v>24235</v>
      </c>
      <c r="J43" s="2" t="s">
        <v>24236</v>
      </c>
      <c r="K43" s="2">
        <v>9.0818649999999997E-3</v>
      </c>
      <c r="L43" s="2" t="s">
        <v>848</v>
      </c>
      <c r="M43" s="4" t="s">
        <v>7814</v>
      </c>
    </row>
    <row r="44" spans="1:13">
      <c r="A44" s="2">
        <v>2587</v>
      </c>
      <c r="B44" s="2" t="s">
        <v>7687</v>
      </c>
      <c r="C44" s="2">
        <v>5</v>
      </c>
      <c r="D44" s="2">
        <v>26</v>
      </c>
      <c r="E44" s="2">
        <v>427</v>
      </c>
      <c r="F44" s="2">
        <v>32441</v>
      </c>
      <c r="G44" s="2">
        <v>14.61043055</v>
      </c>
      <c r="H44" s="3">
        <v>2.1299999999999999E-5</v>
      </c>
      <c r="I44" s="2" t="s">
        <v>24227</v>
      </c>
      <c r="J44" s="2" t="s">
        <v>24228</v>
      </c>
      <c r="K44" s="2">
        <v>9.0971400000000001E-3</v>
      </c>
      <c r="L44" s="2" t="s">
        <v>848</v>
      </c>
      <c r="M44" s="4" t="s">
        <v>7690</v>
      </c>
    </row>
    <row r="45" spans="1:13">
      <c r="A45" s="2">
        <v>4792</v>
      </c>
      <c r="B45" s="2" t="s">
        <v>7663</v>
      </c>
      <c r="C45" s="2">
        <v>5</v>
      </c>
      <c r="D45" s="2">
        <v>26</v>
      </c>
      <c r="E45" s="2">
        <v>428</v>
      </c>
      <c r="F45" s="2">
        <v>32441</v>
      </c>
      <c r="G45" s="2">
        <v>14.57629403</v>
      </c>
      <c r="H45" s="3">
        <v>2.1500000000000001E-5</v>
      </c>
      <c r="I45" s="2" t="s">
        <v>24237</v>
      </c>
      <c r="J45" s="2" t="s">
        <v>24238</v>
      </c>
      <c r="K45" s="2">
        <v>9.0971400000000001E-3</v>
      </c>
      <c r="L45" s="2" t="s">
        <v>848</v>
      </c>
      <c r="M45" s="4" t="s">
        <v>7666</v>
      </c>
    </row>
    <row r="46" spans="1:13">
      <c r="A46" s="2">
        <v>42</v>
      </c>
      <c r="B46" s="2" t="s">
        <v>7591</v>
      </c>
      <c r="C46" s="2">
        <v>5</v>
      </c>
      <c r="D46" s="2">
        <v>26</v>
      </c>
      <c r="E46" s="2">
        <v>484</v>
      </c>
      <c r="F46" s="2">
        <v>32441</v>
      </c>
      <c r="G46" s="2">
        <v>12.88978067</v>
      </c>
      <c r="H46" s="3">
        <v>3.8500000000000001E-5</v>
      </c>
      <c r="I46" s="2" t="s">
        <v>24239</v>
      </c>
      <c r="J46" s="2" t="s">
        <v>24240</v>
      </c>
      <c r="K46" s="2">
        <v>1.4632020000000001E-2</v>
      </c>
      <c r="L46" s="2" t="s">
        <v>848</v>
      </c>
      <c r="M46" s="4" t="s">
        <v>7594</v>
      </c>
    </row>
    <row r="47" spans="1:13">
      <c r="A47" s="2">
        <v>4908</v>
      </c>
      <c r="B47" s="2" t="s">
        <v>7707</v>
      </c>
      <c r="C47" s="2">
        <v>4</v>
      </c>
      <c r="D47" s="2">
        <v>26</v>
      </c>
      <c r="E47" s="2">
        <v>238</v>
      </c>
      <c r="F47" s="2">
        <v>32441</v>
      </c>
      <c r="G47" s="2">
        <v>20.97026503</v>
      </c>
      <c r="H47" s="3">
        <v>3.96E-5</v>
      </c>
      <c r="I47" s="2" t="s">
        <v>24241</v>
      </c>
      <c r="J47" s="2" t="s">
        <v>24242</v>
      </c>
      <c r="K47" s="2">
        <v>1.4632020000000001E-2</v>
      </c>
      <c r="L47" s="2" t="s">
        <v>848</v>
      </c>
      <c r="M47" s="4" t="s">
        <v>7710</v>
      </c>
    </row>
    <row r="48" spans="1:13">
      <c r="A48" s="2">
        <v>1000</v>
      </c>
      <c r="B48" s="2" t="s">
        <v>7567</v>
      </c>
      <c r="C48" s="2">
        <v>6</v>
      </c>
      <c r="D48" s="2">
        <v>26</v>
      </c>
      <c r="E48" s="2">
        <v>858</v>
      </c>
      <c r="F48" s="2">
        <v>32441</v>
      </c>
      <c r="G48" s="2">
        <v>8.7253899950000005</v>
      </c>
      <c r="H48" s="3">
        <v>5.0899999999999997E-5</v>
      </c>
      <c r="I48" s="2" t="s">
        <v>24243</v>
      </c>
      <c r="J48" s="2" t="s">
        <v>24244</v>
      </c>
      <c r="K48" s="2">
        <v>1.6746099E-2</v>
      </c>
      <c r="L48" s="2" t="s">
        <v>848</v>
      </c>
      <c r="M48" s="4" t="s">
        <v>7570</v>
      </c>
    </row>
    <row r="49" spans="1:13">
      <c r="A49" s="2">
        <v>3870</v>
      </c>
      <c r="B49" s="2" t="s">
        <v>8484</v>
      </c>
      <c r="C49" s="2">
        <v>3</v>
      </c>
      <c r="D49" s="2">
        <v>26</v>
      </c>
      <c r="E49" s="2">
        <v>86</v>
      </c>
      <c r="F49" s="2">
        <v>32441</v>
      </c>
      <c r="G49" s="2">
        <v>43.525491950000003</v>
      </c>
      <c r="H49" s="3">
        <v>4.9499999999999997E-5</v>
      </c>
      <c r="I49" s="2" t="s">
        <v>24245</v>
      </c>
      <c r="J49" s="2" t="s">
        <v>24246</v>
      </c>
      <c r="K49" s="2">
        <v>1.6746099E-2</v>
      </c>
      <c r="L49" s="2" t="s">
        <v>848</v>
      </c>
      <c r="M49" s="4" t="s">
        <v>8487</v>
      </c>
    </row>
    <row r="50" spans="1:13">
      <c r="A50" s="2">
        <v>1258</v>
      </c>
      <c r="B50" s="2" t="s">
        <v>8727</v>
      </c>
      <c r="C50" s="2">
        <v>3</v>
      </c>
      <c r="D50" s="2">
        <v>26</v>
      </c>
      <c r="E50" s="2">
        <v>99</v>
      </c>
      <c r="F50" s="2">
        <v>32441</v>
      </c>
      <c r="G50" s="2">
        <v>37.810023309999998</v>
      </c>
      <c r="H50" s="3">
        <v>7.4300000000000004E-5</v>
      </c>
      <c r="I50" s="2" t="s">
        <v>24245</v>
      </c>
      <c r="J50" s="2" t="s">
        <v>24246</v>
      </c>
      <c r="K50" s="2">
        <v>2.3116706000000001E-2</v>
      </c>
      <c r="L50" s="2" t="s">
        <v>848</v>
      </c>
      <c r="M50" s="4" t="s">
        <v>8730</v>
      </c>
    </row>
    <row r="51" spans="1:13">
      <c r="A51" s="2">
        <v>3819</v>
      </c>
      <c r="B51" s="2" t="s">
        <v>7595</v>
      </c>
      <c r="C51" s="2">
        <v>5</v>
      </c>
      <c r="D51" s="2">
        <v>26</v>
      </c>
      <c r="E51" s="2">
        <v>563</v>
      </c>
      <c r="F51" s="2">
        <v>32441</v>
      </c>
      <c r="G51" s="2">
        <v>11.08109031</v>
      </c>
      <c r="H51" s="3">
        <v>7.8100000000000001E-5</v>
      </c>
      <c r="I51" s="2" t="s">
        <v>24227</v>
      </c>
      <c r="J51" s="2" t="s">
        <v>24228</v>
      </c>
      <c r="K51" s="2">
        <v>2.3116706000000001E-2</v>
      </c>
      <c r="L51" s="2" t="s">
        <v>848</v>
      </c>
      <c r="M51" s="4" t="s">
        <v>7598</v>
      </c>
    </row>
    <row r="52" spans="1:13">
      <c r="A52" s="2">
        <v>406</v>
      </c>
      <c r="B52" s="2" t="s">
        <v>7599</v>
      </c>
      <c r="C52" s="2">
        <v>8</v>
      </c>
      <c r="D52" s="2">
        <v>26</v>
      </c>
      <c r="E52" s="2">
        <v>1929</v>
      </c>
      <c r="F52" s="2">
        <v>32441</v>
      </c>
      <c r="G52" s="2">
        <v>5.1746221639999996</v>
      </c>
      <c r="H52" s="3">
        <v>9.3700000000000001E-5</v>
      </c>
      <c r="I52" s="2" t="s">
        <v>24247</v>
      </c>
      <c r="J52" s="2" t="s">
        <v>24248</v>
      </c>
      <c r="K52" s="2">
        <v>2.6398293999999999E-2</v>
      </c>
      <c r="L52" s="2" t="s">
        <v>848</v>
      </c>
      <c r="M52" s="4" t="s">
        <v>7602</v>
      </c>
    </row>
    <row r="53" spans="1:13">
      <c r="A53" s="2">
        <v>5747</v>
      </c>
      <c r="B53" s="2" t="s">
        <v>8171</v>
      </c>
      <c r="C53" s="2">
        <v>3</v>
      </c>
      <c r="D53" s="2">
        <v>26</v>
      </c>
      <c r="E53" s="2">
        <v>114</v>
      </c>
      <c r="F53" s="2">
        <v>32441</v>
      </c>
      <c r="G53" s="2">
        <v>32.835020239999999</v>
      </c>
      <c r="H53" s="2">
        <v>1.11617E-4</v>
      </c>
      <c r="I53" s="2" t="s">
        <v>24220</v>
      </c>
      <c r="J53" s="2" t="s">
        <v>24221</v>
      </c>
      <c r="K53" s="2">
        <v>3.0019936000000001E-2</v>
      </c>
      <c r="L53" s="2" t="s">
        <v>848</v>
      </c>
      <c r="M53" s="4" t="s">
        <v>8174</v>
      </c>
    </row>
    <row r="54" spans="1:13">
      <c r="A54" s="2">
        <v>1252</v>
      </c>
      <c r="B54" s="2" t="s">
        <v>23295</v>
      </c>
      <c r="C54" s="2">
        <v>8</v>
      </c>
      <c r="D54" s="2">
        <v>26</v>
      </c>
      <c r="E54" s="2">
        <v>200</v>
      </c>
      <c r="F54" s="2">
        <v>32441</v>
      </c>
      <c r="G54" s="2">
        <v>49.909230770000001</v>
      </c>
      <c r="H54" s="3">
        <v>3.5100000000000002E-12</v>
      </c>
      <c r="I54" s="2" t="s">
        <v>24249</v>
      </c>
      <c r="J54" s="2" t="s">
        <v>24250</v>
      </c>
      <c r="K54" s="3">
        <v>8.5400000000000007E-9</v>
      </c>
      <c r="L54" s="2" t="s">
        <v>1178</v>
      </c>
      <c r="M54" s="4" t="s">
        <v>23298</v>
      </c>
    </row>
    <row r="55" spans="1:13">
      <c r="A55" s="2">
        <v>2276</v>
      </c>
      <c r="B55" s="2" t="s">
        <v>1716</v>
      </c>
      <c r="C55" s="2">
        <v>8</v>
      </c>
      <c r="D55" s="2">
        <v>26</v>
      </c>
      <c r="E55" s="2">
        <v>200</v>
      </c>
      <c r="F55" s="2">
        <v>32441</v>
      </c>
      <c r="G55" s="2">
        <v>49.909230770000001</v>
      </c>
      <c r="H55" s="3">
        <v>3.5100000000000002E-12</v>
      </c>
      <c r="I55" s="2" t="s">
        <v>24251</v>
      </c>
      <c r="J55" s="2" t="s">
        <v>24252</v>
      </c>
      <c r="K55" s="3">
        <v>8.5400000000000007E-9</v>
      </c>
      <c r="L55" s="2" t="s">
        <v>1178</v>
      </c>
      <c r="M55" s="4" t="s">
        <v>16573</v>
      </c>
    </row>
    <row r="56" spans="1:13">
      <c r="A56" s="2">
        <v>41</v>
      </c>
      <c r="B56" s="2" t="s">
        <v>14682</v>
      </c>
      <c r="C56" s="2">
        <v>7</v>
      </c>
      <c r="D56" s="2">
        <v>26</v>
      </c>
      <c r="E56" s="2">
        <v>200</v>
      </c>
      <c r="F56" s="2">
        <v>32441</v>
      </c>
      <c r="G56" s="2">
        <v>43.670576920000002</v>
      </c>
      <c r="H56" s="3">
        <v>2.3000000000000001E-10</v>
      </c>
      <c r="I56" s="2" t="s">
        <v>24253</v>
      </c>
      <c r="J56" s="2" t="s">
        <v>24254</v>
      </c>
      <c r="K56" s="3">
        <v>2.8000000000000002E-7</v>
      </c>
      <c r="L56" s="2" t="s">
        <v>1178</v>
      </c>
      <c r="M56" s="4" t="s">
        <v>14685</v>
      </c>
    </row>
    <row r="57" spans="1:13">
      <c r="A57" s="2">
        <v>2271</v>
      </c>
      <c r="B57" s="2" t="s">
        <v>16567</v>
      </c>
      <c r="C57" s="2">
        <v>7</v>
      </c>
      <c r="D57" s="2">
        <v>26</v>
      </c>
      <c r="E57" s="2">
        <v>200</v>
      </c>
      <c r="F57" s="2">
        <v>32441</v>
      </c>
      <c r="G57" s="2">
        <v>43.670576920000002</v>
      </c>
      <c r="H57" s="3">
        <v>2.3000000000000001E-10</v>
      </c>
      <c r="I57" s="2" t="s">
        <v>24255</v>
      </c>
      <c r="J57" s="2" t="s">
        <v>24256</v>
      </c>
      <c r="K57" s="3">
        <v>2.8000000000000002E-7</v>
      </c>
      <c r="L57" s="2" t="s">
        <v>1178</v>
      </c>
      <c r="M57" s="4" t="s">
        <v>16570</v>
      </c>
    </row>
    <row r="58" spans="1:13">
      <c r="A58" s="2">
        <v>44</v>
      </c>
      <c r="B58" s="2" t="s">
        <v>12107</v>
      </c>
      <c r="C58" s="2">
        <v>6</v>
      </c>
      <c r="D58" s="2">
        <v>26</v>
      </c>
      <c r="E58" s="2">
        <v>200</v>
      </c>
      <c r="F58" s="2">
        <v>32441</v>
      </c>
      <c r="G58" s="2">
        <v>37.431923079999997</v>
      </c>
      <c r="H58" s="3">
        <v>1.26E-8</v>
      </c>
      <c r="I58" s="2" t="s">
        <v>24257</v>
      </c>
      <c r="J58" s="2" t="s">
        <v>24258</v>
      </c>
      <c r="K58" s="3">
        <v>1.0200000000000001E-5</v>
      </c>
      <c r="L58" s="2" t="s">
        <v>1178</v>
      </c>
      <c r="M58" s="4" t="s">
        <v>12110</v>
      </c>
    </row>
    <row r="59" spans="1:13">
      <c r="A59" s="2">
        <v>1285</v>
      </c>
      <c r="B59" s="2" t="s">
        <v>14735</v>
      </c>
      <c r="C59" s="2">
        <v>6</v>
      </c>
      <c r="D59" s="2">
        <v>26</v>
      </c>
      <c r="E59" s="2">
        <v>200</v>
      </c>
      <c r="F59" s="2">
        <v>32441</v>
      </c>
      <c r="G59" s="2">
        <v>37.431923079999997</v>
      </c>
      <c r="H59" s="3">
        <v>1.26E-8</v>
      </c>
      <c r="I59" s="2" t="s">
        <v>24259</v>
      </c>
      <c r="J59" s="2" t="s">
        <v>24260</v>
      </c>
      <c r="K59" s="3">
        <v>1.0200000000000001E-5</v>
      </c>
      <c r="L59" s="2" t="s">
        <v>1178</v>
      </c>
      <c r="M59" s="4" t="s">
        <v>14738</v>
      </c>
    </row>
    <row r="60" spans="1:13">
      <c r="A60" s="2">
        <v>38</v>
      </c>
      <c r="B60" s="2" t="s">
        <v>12174</v>
      </c>
      <c r="C60" s="2">
        <v>5</v>
      </c>
      <c r="D60" s="2">
        <v>26</v>
      </c>
      <c r="E60" s="2">
        <v>200</v>
      </c>
      <c r="F60" s="2">
        <v>32441</v>
      </c>
      <c r="G60" s="2">
        <v>31.193269229999999</v>
      </c>
      <c r="H60" s="3">
        <v>5.6400000000000002E-7</v>
      </c>
      <c r="I60" s="2" t="s">
        <v>24261</v>
      </c>
      <c r="J60" s="2" t="s">
        <v>24262</v>
      </c>
      <c r="K60" s="2">
        <v>2.4996000000000003E-4</v>
      </c>
      <c r="L60" s="2" t="s">
        <v>1178</v>
      </c>
      <c r="M60" s="4" t="s">
        <v>12177</v>
      </c>
    </row>
    <row r="61" spans="1:13">
      <c r="A61" s="2">
        <v>47</v>
      </c>
      <c r="B61" s="2" t="s">
        <v>1644</v>
      </c>
      <c r="C61" s="2">
        <v>5</v>
      </c>
      <c r="D61" s="2">
        <v>26</v>
      </c>
      <c r="E61" s="2">
        <v>200</v>
      </c>
      <c r="F61" s="2">
        <v>32441</v>
      </c>
      <c r="G61" s="2">
        <v>31.193269229999999</v>
      </c>
      <c r="H61" s="3">
        <v>5.6400000000000002E-7</v>
      </c>
      <c r="I61" s="2" t="s">
        <v>24263</v>
      </c>
      <c r="J61" s="2" t="s">
        <v>24264</v>
      </c>
      <c r="K61" s="2">
        <v>2.4996000000000003E-4</v>
      </c>
      <c r="L61" s="2" t="s">
        <v>1178</v>
      </c>
      <c r="M61" s="4" t="s">
        <v>20416</v>
      </c>
    </row>
    <row r="62" spans="1:13">
      <c r="A62" s="2">
        <v>1269</v>
      </c>
      <c r="B62" s="2" t="s">
        <v>1584</v>
      </c>
      <c r="C62" s="2">
        <v>5</v>
      </c>
      <c r="D62" s="2">
        <v>26</v>
      </c>
      <c r="E62" s="2">
        <v>200</v>
      </c>
      <c r="F62" s="2">
        <v>32441</v>
      </c>
      <c r="G62" s="2">
        <v>31.193269229999999</v>
      </c>
      <c r="H62" s="3">
        <v>5.6400000000000002E-7</v>
      </c>
      <c r="I62" s="2" t="s">
        <v>24263</v>
      </c>
      <c r="J62" s="2" t="s">
        <v>24264</v>
      </c>
      <c r="K62" s="2">
        <v>2.4996000000000003E-4</v>
      </c>
      <c r="L62" s="2" t="s">
        <v>1178</v>
      </c>
      <c r="M62" s="4" t="s">
        <v>13483</v>
      </c>
    </row>
    <row r="63" spans="1:13">
      <c r="A63" s="2">
        <v>1578</v>
      </c>
      <c r="B63" s="2" t="s">
        <v>13758</v>
      </c>
      <c r="C63" s="2">
        <v>5</v>
      </c>
      <c r="D63" s="2">
        <v>26</v>
      </c>
      <c r="E63" s="2">
        <v>200</v>
      </c>
      <c r="F63" s="2">
        <v>32441</v>
      </c>
      <c r="G63" s="2">
        <v>31.193269229999999</v>
      </c>
      <c r="H63" s="3">
        <v>5.6400000000000002E-7</v>
      </c>
      <c r="I63" s="2" t="s">
        <v>24265</v>
      </c>
      <c r="J63" s="2" t="s">
        <v>24266</v>
      </c>
      <c r="K63" s="2">
        <v>2.4996000000000003E-4</v>
      </c>
      <c r="L63" s="2" t="s">
        <v>1178</v>
      </c>
      <c r="M63" s="4" t="s">
        <v>13761</v>
      </c>
    </row>
    <row r="64" spans="1:13">
      <c r="A64" s="2">
        <v>2261</v>
      </c>
      <c r="B64" s="2" t="s">
        <v>12198</v>
      </c>
      <c r="C64" s="2">
        <v>5</v>
      </c>
      <c r="D64" s="2">
        <v>26</v>
      </c>
      <c r="E64" s="2">
        <v>200</v>
      </c>
      <c r="F64" s="2">
        <v>32441</v>
      </c>
      <c r="G64" s="2">
        <v>31.193269229999999</v>
      </c>
      <c r="H64" s="3">
        <v>5.6400000000000002E-7</v>
      </c>
      <c r="I64" s="2" t="s">
        <v>24267</v>
      </c>
      <c r="J64" s="2" t="s">
        <v>24268</v>
      </c>
      <c r="K64" s="2">
        <v>2.4996000000000003E-4</v>
      </c>
      <c r="L64" s="2" t="s">
        <v>1178</v>
      </c>
      <c r="M64" s="4" t="s">
        <v>12201</v>
      </c>
    </row>
    <row r="65" spans="1:13">
      <c r="A65" s="2">
        <v>175</v>
      </c>
      <c r="B65" s="2" t="s">
        <v>24269</v>
      </c>
      <c r="C65" s="2">
        <v>4</v>
      </c>
      <c r="D65" s="2">
        <v>26</v>
      </c>
      <c r="E65" s="2">
        <v>200</v>
      </c>
      <c r="F65" s="2">
        <v>32441</v>
      </c>
      <c r="G65" s="2">
        <v>24.95461538</v>
      </c>
      <c r="H65" s="3">
        <v>2.0299999999999999E-5</v>
      </c>
      <c r="I65" s="2" t="s">
        <v>24270</v>
      </c>
      <c r="J65" s="2" t="s">
        <v>24271</v>
      </c>
      <c r="K65" s="2">
        <v>4.4956680000000004E-3</v>
      </c>
      <c r="L65" s="2" t="s">
        <v>1178</v>
      </c>
      <c r="M65" s="4" t="s">
        <v>24272</v>
      </c>
    </row>
    <row r="66" spans="1:13">
      <c r="A66" s="2">
        <v>301</v>
      </c>
      <c r="B66" s="2" t="s">
        <v>24273</v>
      </c>
      <c r="C66" s="2">
        <v>4</v>
      </c>
      <c r="D66" s="2">
        <v>26</v>
      </c>
      <c r="E66" s="2">
        <v>200</v>
      </c>
      <c r="F66" s="2">
        <v>32441</v>
      </c>
      <c r="G66" s="2">
        <v>24.95461538</v>
      </c>
      <c r="H66" s="3">
        <v>2.0299999999999999E-5</v>
      </c>
      <c r="I66" s="2" t="s">
        <v>24274</v>
      </c>
      <c r="J66" s="2" t="s">
        <v>24275</v>
      </c>
      <c r="K66" s="2">
        <v>4.4956680000000004E-3</v>
      </c>
      <c r="L66" s="2" t="s">
        <v>1178</v>
      </c>
      <c r="M66" s="4" t="s">
        <v>24276</v>
      </c>
    </row>
    <row r="67" spans="1:13">
      <c r="A67" s="2">
        <v>952</v>
      </c>
      <c r="B67" s="2" t="s">
        <v>23189</v>
      </c>
      <c r="C67" s="2">
        <v>4</v>
      </c>
      <c r="D67" s="2">
        <v>26</v>
      </c>
      <c r="E67" s="2">
        <v>200</v>
      </c>
      <c r="F67" s="2">
        <v>32441</v>
      </c>
      <c r="G67" s="2">
        <v>24.95461538</v>
      </c>
      <c r="H67" s="3">
        <v>2.0299999999999999E-5</v>
      </c>
      <c r="I67" s="2" t="s">
        <v>24277</v>
      </c>
      <c r="J67" s="2" t="s">
        <v>24278</v>
      </c>
      <c r="K67" s="2">
        <v>4.4956680000000004E-3</v>
      </c>
      <c r="L67" s="2" t="s">
        <v>1178</v>
      </c>
      <c r="M67" s="4" t="s">
        <v>23192</v>
      </c>
    </row>
    <row r="68" spans="1:13">
      <c r="A68" s="2">
        <v>983</v>
      </c>
      <c r="B68" s="2" t="s">
        <v>17882</v>
      </c>
      <c r="C68" s="2">
        <v>4</v>
      </c>
      <c r="D68" s="2">
        <v>26</v>
      </c>
      <c r="E68" s="2">
        <v>200</v>
      </c>
      <c r="F68" s="2">
        <v>32441</v>
      </c>
      <c r="G68" s="2">
        <v>24.95461538</v>
      </c>
      <c r="H68" s="3">
        <v>2.0299999999999999E-5</v>
      </c>
      <c r="I68" s="2" t="s">
        <v>24279</v>
      </c>
      <c r="J68" s="2" t="s">
        <v>24280</v>
      </c>
      <c r="K68" s="2">
        <v>4.4956680000000004E-3</v>
      </c>
      <c r="L68" s="2" t="s">
        <v>1178</v>
      </c>
      <c r="M68" s="4" t="s">
        <v>17885</v>
      </c>
    </row>
    <row r="69" spans="1:13">
      <c r="A69" s="2">
        <v>1250</v>
      </c>
      <c r="B69" s="2" t="s">
        <v>24281</v>
      </c>
      <c r="C69" s="2">
        <v>4</v>
      </c>
      <c r="D69" s="2">
        <v>26</v>
      </c>
      <c r="E69" s="2">
        <v>200</v>
      </c>
      <c r="F69" s="2">
        <v>32441</v>
      </c>
      <c r="G69" s="2">
        <v>24.95461538</v>
      </c>
      <c r="H69" s="3">
        <v>2.0299999999999999E-5</v>
      </c>
      <c r="I69" s="2" t="s">
        <v>24151</v>
      </c>
      <c r="J69" s="2" t="s">
        <v>24152</v>
      </c>
      <c r="K69" s="2">
        <v>4.4956680000000004E-3</v>
      </c>
      <c r="L69" s="2" t="s">
        <v>1178</v>
      </c>
      <c r="M69" s="4" t="s">
        <v>24282</v>
      </c>
    </row>
    <row r="70" spans="1:13">
      <c r="A70" s="2">
        <v>1266</v>
      </c>
      <c r="B70" s="2" t="s">
        <v>24283</v>
      </c>
      <c r="C70" s="2">
        <v>4</v>
      </c>
      <c r="D70" s="2">
        <v>26</v>
      </c>
      <c r="E70" s="2">
        <v>200</v>
      </c>
      <c r="F70" s="2">
        <v>32441</v>
      </c>
      <c r="G70" s="2">
        <v>24.95461538</v>
      </c>
      <c r="H70" s="3">
        <v>2.0299999999999999E-5</v>
      </c>
      <c r="I70" s="2" t="s">
        <v>24284</v>
      </c>
      <c r="J70" s="2" t="s">
        <v>24285</v>
      </c>
      <c r="K70" s="2">
        <v>4.4956680000000004E-3</v>
      </c>
      <c r="L70" s="2" t="s">
        <v>1178</v>
      </c>
      <c r="M70" s="4" t="s">
        <v>24286</v>
      </c>
    </row>
    <row r="71" spans="1:13">
      <c r="A71" s="2">
        <v>1268</v>
      </c>
      <c r="B71" s="2" t="s">
        <v>3145</v>
      </c>
      <c r="C71" s="2">
        <v>4</v>
      </c>
      <c r="D71" s="2">
        <v>26</v>
      </c>
      <c r="E71" s="2">
        <v>200</v>
      </c>
      <c r="F71" s="2">
        <v>32441</v>
      </c>
      <c r="G71" s="2">
        <v>24.95461538</v>
      </c>
      <c r="H71" s="3">
        <v>2.0299999999999999E-5</v>
      </c>
      <c r="I71" s="2" t="s">
        <v>24151</v>
      </c>
      <c r="J71" s="2" t="s">
        <v>24152</v>
      </c>
      <c r="K71" s="2">
        <v>4.4956680000000004E-3</v>
      </c>
      <c r="L71" s="2" t="s">
        <v>1178</v>
      </c>
      <c r="M71" s="4" t="s">
        <v>3148</v>
      </c>
    </row>
    <row r="72" spans="1:13">
      <c r="A72" s="2">
        <v>1273</v>
      </c>
      <c r="B72" s="2" t="s">
        <v>15205</v>
      </c>
      <c r="C72" s="2">
        <v>4</v>
      </c>
      <c r="D72" s="2">
        <v>26</v>
      </c>
      <c r="E72" s="2">
        <v>200</v>
      </c>
      <c r="F72" s="2">
        <v>32441</v>
      </c>
      <c r="G72" s="2">
        <v>24.95461538</v>
      </c>
      <c r="H72" s="3">
        <v>2.0299999999999999E-5</v>
      </c>
      <c r="I72" s="2" t="s">
        <v>24287</v>
      </c>
      <c r="J72" s="2" t="s">
        <v>24288</v>
      </c>
      <c r="K72" s="2">
        <v>4.4956680000000004E-3</v>
      </c>
      <c r="L72" s="2" t="s">
        <v>1178</v>
      </c>
      <c r="M72" s="4" t="s">
        <v>15208</v>
      </c>
    </row>
    <row r="73" spans="1:13">
      <c r="A73" s="2">
        <v>1281</v>
      </c>
      <c r="B73" s="2" t="s">
        <v>1680</v>
      </c>
      <c r="C73" s="2">
        <v>4</v>
      </c>
      <c r="D73" s="2">
        <v>26</v>
      </c>
      <c r="E73" s="2">
        <v>200</v>
      </c>
      <c r="F73" s="2">
        <v>32441</v>
      </c>
      <c r="G73" s="2">
        <v>24.95461538</v>
      </c>
      <c r="H73" s="3">
        <v>2.0299999999999999E-5</v>
      </c>
      <c r="I73" s="2" t="s">
        <v>24287</v>
      </c>
      <c r="J73" s="2" t="s">
        <v>24288</v>
      </c>
      <c r="K73" s="2">
        <v>4.4956680000000004E-3</v>
      </c>
      <c r="L73" s="2" t="s">
        <v>1178</v>
      </c>
      <c r="M73" s="4" t="s">
        <v>14734</v>
      </c>
    </row>
    <row r="74" spans="1:13">
      <c r="A74" s="2">
        <v>3156</v>
      </c>
      <c r="B74" s="2" t="s">
        <v>18164</v>
      </c>
      <c r="C74" s="2">
        <v>4</v>
      </c>
      <c r="D74" s="2">
        <v>26</v>
      </c>
      <c r="E74" s="2">
        <v>200</v>
      </c>
      <c r="F74" s="2">
        <v>32441</v>
      </c>
      <c r="G74" s="2">
        <v>24.95461538</v>
      </c>
      <c r="H74" s="3">
        <v>2.0299999999999999E-5</v>
      </c>
      <c r="I74" s="2" t="s">
        <v>24289</v>
      </c>
      <c r="J74" s="2" t="s">
        <v>24290</v>
      </c>
      <c r="K74" s="2">
        <v>4.4956680000000004E-3</v>
      </c>
      <c r="L74" s="2" t="s">
        <v>1178</v>
      </c>
      <c r="M74" s="4" t="s">
        <v>18167</v>
      </c>
    </row>
    <row r="75" spans="1:13">
      <c r="A75" s="2">
        <v>4474</v>
      </c>
      <c r="B75" s="2" t="s">
        <v>24291</v>
      </c>
      <c r="C75" s="2">
        <v>4</v>
      </c>
      <c r="D75" s="2">
        <v>26</v>
      </c>
      <c r="E75" s="2">
        <v>200</v>
      </c>
      <c r="F75" s="2">
        <v>32441</v>
      </c>
      <c r="G75" s="2">
        <v>24.95461538</v>
      </c>
      <c r="H75" s="3">
        <v>2.0299999999999999E-5</v>
      </c>
      <c r="I75" s="2" t="s">
        <v>24292</v>
      </c>
      <c r="J75" s="2" t="s">
        <v>24293</v>
      </c>
      <c r="K75" s="2">
        <v>4.4956680000000004E-3</v>
      </c>
      <c r="L75" s="2" t="s">
        <v>1178</v>
      </c>
      <c r="M75" s="4" t="s">
        <v>24294</v>
      </c>
    </row>
    <row r="76" spans="1:13">
      <c r="A76" s="2">
        <v>20</v>
      </c>
      <c r="B76" s="2" t="s">
        <v>21639</v>
      </c>
      <c r="C76" s="2">
        <v>3</v>
      </c>
      <c r="D76" s="2">
        <v>26</v>
      </c>
      <c r="E76" s="2">
        <v>200</v>
      </c>
      <c r="F76" s="2">
        <v>32441</v>
      </c>
      <c r="G76" s="2">
        <v>18.715961539999999</v>
      </c>
      <c r="H76" s="2">
        <v>5.6314099999999997E-4</v>
      </c>
      <c r="I76" s="2" t="s">
        <v>24295</v>
      </c>
      <c r="J76" s="2" t="s">
        <v>24296</v>
      </c>
      <c r="K76" s="2">
        <v>4.5727023999999998E-2</v>
      </c>
      <c r="L76" s="2" t="s">
        <v>1178</v>
      </c>
      <c r="M76" s="4" t="s">
        <v>21642</v>
      </c>
    </row>
    <row r="77" spans="1:13">
      <c r="A77" s="2">
        <v>162</v>
      </c>
      <c r="B77" s="2" t="s">
        <v>21683</v>
      </c>
      <c r="C77" s="2">
        <v>3</v>
      </c>
      <c r="D77" s="2">
        <v>26</v>
      </c>
      <c r="E77" s="2">
        <v>200</v>
      </c>
      <c r="F77" s="2">
        <v>32441</v>
      </c>
      <c r="G77" s="2">
        <v>18.715961539999999</v>
      </c>
      <c r="H77" s="2">
        <v>5.6314099999999997E-4</v>
      </c>
      <c r="I77" s="2" t="s">
        <v>24297</v>
      </c>
      <c r="J77" s="2" t="s">
        <v>24298</v>
      </c>
      <c r="K77" s="2">
        <v>4.5727023999999998E-2</v>
      </c>
      <c r="L77" s="2" t="s">
        <v>1178</v>
      </c>
      <c r="M77" s="4" t="s">
        <v>21686</v>
      </c>
    </row>
    <row r="78" spans="1:13">
      <c r="A78" s="2">
        <v>168</v>
      </c>
      <c r="B78" s="2" t="s">
        <v>24299</v>
      </c>
      <c r="C78" s="2">
        <v>3</v>
      </c>
      <c r="D78" s="2">
        <v>26</v>
      </c>
      <c r="E78" s="2">
        <v>200</v>
      </c>
      <c r="F78" s="2">
        <v>32441</v>
      </c>
      <c r="G78" s="2">
        <v>18.715961539999999</v>
      </c>
      <c r="H78" s="2">
        <v>5.6314099999999997E-4</v>
      </c>
      <c r="I78" s="2" t="s">
        <v>24300</v>
      </c>
      <c r="J78" s="2" t="s">
        <v>24301</v>
      </c>
      <c r="K78" s="2">
        <v>4.5727023999999998E-2</v>
      </c>
      <c r="L78" s="2" t="s">
        <v>1178</v>
      </c>
      <c r="M78" s="4" t="s">
        <v>24302</v>
      </c>
    </row>
    <row r="79" spans="1:13">
      <c r="A79" s="2">
        <v>172</v>
      </c>
      <c r="B79" s="2" t="s">
        <v>24303</v>
      </c>
      <c r="C79" s="2">
        <v>3</v>
      </c>
      <c r="D79" s="2">
        <v>26</v>
      </c>
      <c r="E79" s="2">
        <v>200</v>
      </c>
      <c r="F79" s="2">
        <v>32441</v>
      </c>
      <c r="G79" s="2">
        <v>18.715961539999999</v>
      </c>
      <c r="H79" s="2">
        <v>5.6314099999999997E-4</v>
      </c>
      <c r="I79" s="2" t="s">
        <v>24304</v>
      </c>
      <c r="J79" s="2" t="s">
        <v>24305</v>
      </c>
      <c r="K79" s="2">
        <v>4.5727023999999998E-2</v>
      </c>
      <c r="L79" s="2" t="s">
        <v>1178</v>
      </c>
      <c r="M79" s="4" t="s">
        <v>24306</v>
      </c>
    </row>
    <row r="80" spans="1:13">
      <c r="A80" s="2">
        <v>212</v>
      </c>
      <c r="B80" s="2" t="s">
        <v>22901</v>
      </c>
      <c r="C80" s="2">
        <v>3</v>
      </c>
      <c r="D80" s="2">
        <v>26</v>
      </c>
      <c r="E80" s="2">
        <v>200</v>
      </c>
      <c r="F80" s="2">
        <v>32441</v>
      </c>
      <c r="G80" s="2">
        <v>18.715961539999999</v>
      </c>
      <c r="H80" s="2">
        <v>5.6314099999999997E-4</v>
      </c>
      <c r="I80" s="2" t="s">
        <v>24307</v>
      </c>
      <c r="J80" s="2" t="s">
        <v>24308</v>
      </c>
      <c r="K80" s="2">
        <v>4.5727023999999998E-2</v>
      </c>
      <c r="L80" s="2" t="s">
        <v>1178</v>
      </c>
      <c r="M80" s="4" t="s">
        <v>22904</v>
      </c>
    </row>
    <row r="81" spans="1:13">
      <c r="A81" s="2">
        <v>602</v>
      </c>
      <c r="B81" s="2" t="s">
        <v>21819</v>
      </c>
      <c r="C81" s="2">
        <v>3</v>
      </c>
      <c r="D81" s="2">
        <v>26</v>
      </c>
      <c r="E81" s="2">
        <v>200</v>
      </c>
      <c r="F81" s="2">
        <v>32441</v>
      </c>
      <c r="G81" s="2">
        <v>18.715961539999999</v>
      </c>
      <c r="H81" s="2">
        <v>5.6314099999999997E-4</v>
      </c>
      <c r="I81" s="2" t="s">
        <v>24309</v>
      </c>
      <c r="J81" s="2" t="s">
        <v>24310</v>
      </c>
      <c r="K81" s="2">
        <v>4.5727023999999998E-2</v>
      </c>
      <c r="L81" s="2" t="s">
        <v>1178</v>
      </c>
      <c r="M81" s="4" t="s">
        <v>21822</v>
      </c>
    </row>
    <row r="82" spans="1:13">
      <c r="A82" s="2">
        <v>656</v>
      </c>
      <c r="B82" s="2" t="s">
        <v>23078</v>
      </c>
      <c r="C82" s="2">
        <v>3</v>
      </c>
      <c r="D82" s="2">
        <v>26</v>
      </c>
      <c r="E82" s="2">
        <v>200</v>
      </c>
      <c r="F82" s="2">
        <v>32441</v>
      </c>
      <c r="G82" s="2">
        <v>18.715961539999999</v>
      </c>
      <c r="H82" s="2">
        <v>5.6314099999999997E-4</v>
      </c>
      <c r="I82" s="2" t="s">
        <v>24311</v>
      </c>
      <c r="J82" s="2" t="s">
        <v>24312</v>
      </c>
      <c r="K82" s="2">
        <v>4.5727023999999998E-2</v>
      </c>
      <c r="L82" s="2" t="s">
        <v>1178</v>
      </c>
      <c r="M82" s="4" t="s">
        <v>23081</v>
      </c>
    </row>
    <row r="83" spans="1:13">
      <c r="A83" s="2">
        <v>874</v>
      </c>
      <c r="B83" s="2" t="s">
        <v>16367</v>
      </c>
      <c r="C83" s="2">
        <v>3</v>
      </c>
      <c r="D83" s="2">
        <v>26</v>
      </c>
      <c r="E83" s="2">
        <v>200</v>
      </c>
      <c r="F83" s="2">
        <v>32441</v>
      </c>
      <c r="G83" s="2">
        <v>18.715961539999999</v>
      </c>
      <c r="H83" s="2">
        <v>5.6314099999999997E-4</v>
      </c>
      <c r="I83" s="2" t="s">
        <v>24313</v>
      </c>
      <c r="J83" s="2" t="s">
        <v>24314</v>
      </c>
      <c r="K83" s="2">
        <v>4.5727023999999998E-2</v>
      </c>
      <c r="L83" s="2" t="s">
        <v>1178</v>
      </c>
      <c r="M83" s="4" t="s">
        <v>16370</v>
      </c>
    </row>
    <row r="84" spans="1:13">
      <c r="A84" s="2">
        <v>944</v>
      </c>
      <c r="B84" s="2" t="s">
        <v>13708</v>
      </c>
      <c r="C84" s="2">
        <v>3</v>
      </c>
      <c r="D84" s="2">
        <v>26</v>
      </c>
      <c r="E84" s="2">
        <v>200</v>
      </c>
      <c r="F84" s="2">
        <v>32441</v>
      </c>
      <c r="G84" s="2">
        <v>18.715961539999999</v>
      </c>
      <c r="H84" s="2">
        <v>5.6314099999999997E-4</v>
      </c>
      <c r="I84" s="2" t="s">
        <v>24315</v>
      </c>
      <c r="J84" s="2" t="s">
        <v>24316</v>
      </c>
      <c r="K84" s="2">
        <v>4.5727023999999998E-2</v>
      </c>
      <c r="L84" s="2" t="s">
        <v>1178</v>
      </c>
      <c r="M84" s="4" t="s">
        <v>13711</v>
      </c>
    </row>
    <row r="85" spans="1:13">
      <c r="A85" s="2">
        <v>1271</v>
      </c>
      <c r="B85" s="2" t="s">
        <v>12471</v>
      </c>
      <c r="C85" s="2">
        <v>3</v>
      </c>
      <c r="D85" s="2">
        <v>26</v>
      </c>
      <c r="E85" s="2">
        <v>200</v>
      </c>
      <c r="F85" s="2">
        <v>32441</v>
      </c>
      <c r="G85" s="2">
        <v>18.715961539999999</v>
      </c>
      <c r="H85" s="2">
        <v>5.6314099999999997E-4</v>
      </c>
      <c r="I85" s="2" t="s">
        <v>24317</v>
      </c>
      <c r="J85" s="2" t="s">
        <v>24318</v>
      </c>
      <c r="K85" s="2">
        <v>4.5727023999999998E-2</v>
      </c>
      <c r="L85" s="2" t="s">
        <v>1178</v>
      </c>
      <c r="M85" s="4" t="s">
        <v>12474</v>
      </c>
    </row>
    <row r="86" spans="1:13">
      <c r="A86" s="2">
        <v>1283</v>
      </c>
      <c r="B86" s="2" t="s">
        <v>13484</v>
      </c>
      <c r="C86" s="2">
        <v>3</v>
      </c>
      <c r="D86" s="2">
        <v>26</v>
      </c>
      <c r="E86" s="2">
        <v>200</v>
      </c>
      <c r="F86" s="2">
        <v>32441</v>
      </c>
      <c r="G86" s="2">
        <v>18.715961539999999</v>
      </c>
      <c r="H86" s="2">
        <v>5.6314099999999997E-4</v>
      </c>
      <c r="I86" s="2" t="s">
        <v>24317</v>
      </c>
      <c r="J86" s="2" t="s">
        <v>24318</v>
      </c>
      <c r="K86" s="2">
        <v>4.5727023999999998E-2</v>
      </c>
      <c r="L86" s="2" t="s">
        <v>1178</v>
      </c>
      <c r="M86" s="4" t="s">
        <v>13487</v>
      </c>
    </row>
    <row r="87" spans="1:13">
      <c r="A87" s="2">
        <v>1291</v>
      </c>
      <c r="B87" s="2" t="s">
        <v>14373</v>
      </c>
      <c r="C87" s="2">
        <v>3</v>
      </c>
      <c r="D87" s="2">
        <v>26</v>
      </c>
      <c r="E87" s="2">
        <v>200</v>
      </c>
      <c r="F87" s="2">
        <v>32441</v>
      </c>
      <c r="G87" s="2">
        <v>18.715961539999999</v>
      </c>
      <c r="H87" s="2">
        <v>5.6314099999999997E-4</v>
      </c>
      <c r="I87" s="2" t="s">
        <v>24319</v>
      </c>
      <c r="J87" s="2" t="s">
        <v>24320</v>
      </c>
      <c r="K87" s="2">
        <v>4.5727023999999998E-2</v>
      </c>
      <c r="L87" s="2" t="s">
        <v>1178</v>
      </c>
      <c r="M87" s="4" t="s">
        <v>14376</v>
      </c>
    </row>
    <row r="88" spans="1:13">
      <c r="A88" s="2">
        <v>1648</v>
      </c>
      <c r="B88" s="2" t="s">
        <v>1596</v>
      </c>
      <c r="C88" s="2">
        <v>3</v>
      </c>
      <c r="D88" s="2">
        <v>26</v>
      </c>
      <c r="E88" s="2">
        <v>200</v>
      </c>
      <c r="F88" s="2">
        <v>32441</v>
      </c>
      <c r="G88" s="2">
        <v>18.715961539999999</v>
      </c>
      <c r="H88" s="2">
        <v>5.6314099999999997E-4</v>
      </c>
      <c r="I88" s="2" t="s">
        <v>24321</v>
      </c>
      <c r="J88" s="2" t="s">
        <v>24322</v>
      </c>
      <c r="K88" s="2">
        <v>4.5727023999999998E-2</v>
      </c>
      <c r="L88" s="2" t="s">
        <v>1178</v>
      </c>
      <c r="M88" s="4" t="s">
        <v>23409</v>
      </c>
    </row>
    <row r="89" spans="1:13">
      <c r="A89" s="2">
        <v>1679</v>
      </c>
      <c r="B89" s="2" t="s">
        <v>12812</v>
      </c>
      <c r="C89" s="2">
        <v>3</v>
      </c>
      <c r="D89" s="2">
        <v>26</v>
      </c>
      <c r="E89" s="2">
        <v>200</v>
      </c>
      <c r="F89" s="2">
        <v>32441</v>
      </c>
      <c r="G89" s="2">
        <v>18.715961539999999</v>
      </c>
      <c r="H89" s="2">
        <v>5.6314099999999997E-4</v>
      </c>
      <c r="I89" s="2" t="s">
        <v>24323</v>
      </c>
      <c r="J89" s="2" t="s">
        <v>24324</v>
      </c>
      <c r="K89" s="2">
        <v>4.5727023999999998E-2</v>
      </c>
      <c r="L89" s="2" t="s">
        <v>1178</v>
      </c>
      <c r="M89" s="4" t="s">
        <v>12815</v>
      </c>
    </row>
    <row r="90" spans="1:13">
      <c r="A90" s="2">
        <v>1681</v>
      </c>
      <c r="B90" s="2" t="s">
        <v>14065</v>
      </c>
      <c r="C90" s="2">
        <v>3</v>
      </c>
      <c r="D90" s="2">
        <v>26</v>
      </c>
      <c r="E90" s="2">
        <v>200</v>
      </c>
      <c r="F90" s="2">
        <v>32441</v>
      </c>
      <c r="G90" s="2">
        <v>18.715961539999999</v>
      </c>
      <c r="H90" s="2">
        <v>5.6314099999999997E-4</v>
      </c>
      <c r="I90" s="2" t="s">
        <v>24325</v>
      </c>
      <c r="J90" s="2" t="s">
        <v>24326</v>
      </c>
      <c r="K90" s="2">
        <v>4.5727023999999998E-2</v>
      </c>
      <c r="L90" s="2" t="s">
        <v>1178</v>
      </c>
      <c r="M90" s="4" t="s">
        <v>14068</v>
      </c>
    </row>
    <row r="91" spans="1:13">
      <c r="A91" s="2">
        <v>1778</v>
      </c>
      <c r="B91" s="2" t="s">
        <v>17996</v>
      </c>
      <c r="C91" s="2">
        <v>3</v>
      </c>
      <c r="D91" s="2">
        <v>26</v>
      </c>
      <c r="E91" s="2">
        <v>200</v>
      </c>
      <c r="F91" s="2">
        <v>32441</v>
      </c>
      <c r="G91" s="2">
        <v>18.715961539999999</v>
      </c>
      <c r="H91" s="2">
        <v>5.6314099999999997E-4</v>
      </c>
      <c r="I91" s="2" t="s">
        <v>24327</v>
      </c>
      <c r="J91" s="2" t="s">
        <v>24328</v>
      </c>
      <c r="K91" s="2">
        <v>4.5727023999999998E-2</v>
      </c>
      <c r="L91" s="2" t="s">
        <v>1178</v>
      </c>
      <c r="M91" s="4" t="s">
        <v>17999</v>
      </c>
    </row>
    <row r="92" spans="1:13">
      <c r="A92" s="2">
        <v>2239</v>
      </c>
      <c r="B92" s="2" t="s">
        <v>13788</v>
      </c>
      <c r="C92" s="2">
        <v>3</v>
      </c>
      <c r="D92" s="2">
        <v>26</v>
      </c>
      <c r="E92" s="2">
        <v>200</v>
      </c>
      <c r="F92" s="2">
        <v>32441</v>
      </c>
      <c r="G92" s="2">
        <v>18.715961539999999</v>
      </c>
      <c r="H92" s="2">
        <v>5.6314099999999997E-4</v>
      </c>
      <c r="I92" s="2" t="s">
        <v>24329</v>
      </c>
      <c r="J92" s="2" t="s">
        <v>24330</v>
      </c>
      <c r="K92" s="2">
        <v>4.5727023999999998E-2</v>
      </c>
      <c r="L92" s="2" t="s">
        <v>1178</v>
      </c>
      <c r="M92" s="4" t="s">
        <v>13791</v>
      </c>
    </row>
    <row r="93" spans="1:13">
      <c r="A93" s="2">
        <v>2249</v>
      </c>
      <c r="B93" s="2" t="s">
        <v>13536</v>
      </c>
      <c r="C93" s="2">
        <v>3</v>
      </c>
      <c r="D93" s="2">
        <v>26</v>
      </c>
      <c r="E93" s="2">
        <v>200</v>
      </c>
      <c r="F93" s="2">
        <v>32441</v>
      </c>
      <c r="G93" s="2">
        <v>18.715961539999999</v>
      </c>
      <c r="H93" s="2">
        <v>5.6314099999999997E-4</v>
      </c>
      <c r="I93" s="2" t="s">
        <v>24331</v>
      </c>
      <c r="J93" s="2" t="s">
        <v>24332</v>
      </c>
      <c r="K93" s="2">
        <v>4.5727023999999998E-2</v>
      </c>
      <c r="L93" s="2" t="s">
        <v>1178</v>
      </c>
      <c r="M93" s="4" t="s">
        <v>13539</v>
      </c>
    </row>
    <row r="94" spans="1:13">
      <c r="A94" s="2">
        <v>2345</v>
      </c>
      <c r="B94" s="2" t="s">
        <v>1302</v>
      </c>
      <c r="C94" s="2">
        <v>3</v>
      </c>
      <c r="D94" s="2">
        <v>26</v>
      </c>
      <c r="E94" s="2">
        <v>199</v>
      </c>
      <c r="F94" s="2">
        <v>32441</v>
      </c>
      <c r="G94" s="2">
        <v>18.810011599999999</v>
      </c>
      <c r="H94" s="2">
        <v>5.5511299999999998E-4</v>
      </c>
      <c r="I94" s="2" t="s">
        <v>24333</v>
      </c>
      <c r="J94" s="2" t="s">
        <v>24334</v>
      </c>
      <c r="K94" s="2">
        <v>4.5727023999999998E-2</v>
      </c>
      <c r="L94" s="2" t="s">
        <v>1178</v>
      </c>
      <c r="M94" s="4" t="s">
        <v>18073</v>
      </c>
    </row>
    <row r="95" spans="1:13">
      <c r="A95" s="2">
        <v>2562</v>
      </c>
      <c r="B95" s="2" t="s">
        <v>23662</v>
      </c>
      <c r="C95" s="2">
        <v>3</v>
      </c>
      <c r="D95" s="2">
        <v>26</v>
      </c>
      <c r="E95" s="2">
        <v>198</v>
      </c>
      <c r="F95" s="2">
        <v>32441</v>
      </c>
      <c r="G95" s="2">
        <v>18.90501166</v>
      </c>
      <c r="H95" s="2">
        <v>5.4715899999999997E-4</v>
      </c>
      <c r="I95" s="2" t="s">
        <v>24335</v>
      </c>
      <c r="J95" s="2" t="s">
        <v>24336</v>
      </c>
      <c r="K95" s="2">
        <v>4.5727023999999998E-2</v>
      </c>
      <c r="L95" s="2" t="s">
        <v>1178</v>
      </c>
      <c r="M95" s="4" t="s">
        <v>23665</v>
      </c>
    </row>
    <row r="96" spans="1:13">
      <c r="A96" s="2">
        <v>2637</v>
      </c>
      <c r="B96" s="2" t="s">
        <v>24337</v>
      </c>
      <c r="C96" s="2">
        <v>3</v>
      </c>
      <c r="D96" s="2">
        <v>26</v>
      </c>
      <c r="E96" s="2">
        <v>200</v>
      </c>
      <c r="F96" s="2">
        <v>32441</v>
      </c>
      <c r="G96" s="2">
        <v>18.715961539999999</v>
      </c>
      <c r="H96" s="2">
        <v>5.6314099999999997E-4</v>
      </c>
      <c r="I96" s="2" t="s">
        <v>24338</v>
      </c>
      <c r="J96" s="2" t="s">
        <v>24339</v>
      </c>
      <c r="K96" s="2">
        <v>4.5727023999999998E-2</v>
      </c>
      <c r="L96" s="2" t="s">
        <v>1178</v>
      </c>
      <c r="M96" s="4" t="s">
        <v>24340</v>
      </c>
    </row>
    <row r="97" spans="1:13">
      <c r="A97" s="2">
        <v>2824</v>
      </c>
      <c r="B97" s="2" t="s">
        <v>17668</v>
      </c>
      <c r="C97" s="2">
        <v>3</v>
      </c>
      <c r="D97" s="2">
        <v>26</v>
      </c>
      <c r="E97" s="2">
        <v>161</v>
      </c>
      <c r="F97" s="2">
        <v>32441</v>
      </c>
      <c r="G97" s="2">
        <v>23.249641660000002</v>
      </c>
      <c r="H97" s="2">
        <v>3.0206699999999999E-4</v>
      </c>
      <c r="I97" s="2" t="s">
        <v>24341</v>
      </c>
      <c r="J97" s="2" t="s">
        <v>24342</v>
      </c>
      <c r="K97" s="2">
        <v>4.5727023999999998E-2</v>
      </c>
      <c r="L97" s="2" t="s">
        <v>1178</v>
      </c>
      <c r="M97" s="4" t="s">
        <v>17671</v>
      </c>
    </row>
    <row r="98" spans="1:13">
      <c r="A98" s="2">
        <v>2825</v>
      </c>
      <c r="B98" s="2" t="s">
        <v>24343</v>
      </c>
      <c r="C98" s="2">
        <v>3</v>
      </c>
      <c r="D98" s="2">
        <v>26</v>
      </c>
      <c r="E98" s="2">
        <v>163</v>
      </c>
      <c r="F98" s="2">
        <v>32441</v>
      </c>
      <c r="G98" s="2">
        <v>22.964369990000002</v>
      </c>
      <c r="H98" s="2">
        <v>3.1299099999999999E-4</v>
      </c>
      <c r="I98" s="2" t="s">
        <v>24344</v>
      </c>
      <c r="J98" s="2" t="s">
        <v>24345</v>
      </c>
      <c r="K98" s="2">
        <v>4.5727023999999998E-2</v>
      </c>
      <c r="L98" s="2" t="s">
        <v>1178</v>
      </c>
      <c r="M98" s="4" t="s">
        <v>24346</v>
      </c>
    </row>
    <row r="99" spans="1:13">
      <c r="A99" s="2">
        <v>2958</v>
      </c>
      <c r="B99" s="2" t="s">
        <v>12503</v>
      </c>
      <c r="C99" s="2">
        <v>3</v>
      </c>
      <c r="D99" s="2">
        <v>26</v>
      </c>
      <c r="E99" s="2">
        <v>200</v>
      </c>
      <c r="F99" s="2">
        <v>32441</v>
      </c>
      <c r="G99" s="2">
        <v>18.715961539999999</v>
      </c>
      <c r="H99" s="2">
        <v>5.6314099999999997E-4</v>
      </c>
      <c r="I99" s="2" t="s">
        <v>24329</v>
      </c>
      <c r="J99" s="2" t="s">
        <v>24330</v>
      </c>
      <c r="K99" s="2">
        <v>4.5727023999999998E-2</v>
      </c>
      <c r="L99" s="2" t="s">
        <v>1178</v>
      </c>
      <c r="M99" s="4" t="s">
        <v>12506</v>
      </c>
    </row>
    <row r="100" spans="1:13">
      <c r="A100" s="2">
        <v>3238</v>
      </c>
      <c r="B100" s="2" t="s">
        <v>13096</v>
      </c>
      <c r="C100" s="2">
        <v>3</v>
      </c>
      <c r="D100" s="2">
        <v>26</v>
      </c>
      <c r="E100" s="2">
        <v>180</v>
      </c>
      <c r="F100" s="2">
        <v>32441</v>
      </c>
      <c r="G100" s="2">
        <v>20.795512819999999</v>
      </c>
      <c r="H100" s="2">
        <v>4.1627599999999998E-4</v>
      </c>
      <c r="I100" s="2" t="s">
        <v>24347</v>
      </c>
      <c r="J100" s="2" t="s">
        <v>24348</v>
      </c>
      <c r="K100" s="2">
        <v>4.5727023999999998E-2</v>
      </c>
      <c r="L100" s="2" t="s">
        <v>1178</v>
      </c>
      <c r="M100" s="4" t="s">
        <v>13099</v>
      </c>
    </row>
    <row r="101" spans="1:13">
      <c r="A101" s="2">
        <v>3373</v>
      </c>
      <c r="B101" s="2" t="s">
        <v>14504</v>
      </c>
      <c r="C101" s="2">
        <v>3</v>
      </c>
      <c r="D101" s="2">
        <v>26</v>
      </c>
      <c r="E101" s="2">
        <v>200</v>
      </c>
      <c r="F101" s="2">
        <v>32441</v>
      </c>
      <c r="G101" s="2">
        <v>18.715961539999999</v>
      </c>
      <c r="H101" s="2">
        <v>5.6314099999999997E-4</v>
      </c>
      <c r="I101" s="2" t="s">
        <v>24349</v>
      </c>
      <c r="J101" s="2" t="s">
        <v>24350</v>
      </c>
      <c r="K101" s="2">
        <v>4.5727023999999998E-2</v>
      </c>
      <c r="L101" s="2" t="s">
        <v>1178</v>
      </c>
      <c r="M101" s="4" t="s">
        <v>14507</v>
      </c>
    </row>
    <row r="102" spans="1:13">
      <c r="A102" s="2">
        <v>3420</v>
      </c>
      <c r="B102" s="2" t="s">
        <v>21219</v>
      </c>
      <c r="C102" s="2">
        <v>3</v>
      </c>
      <c r="D102" s="2">
        <v>26</v>
      </c>
      <c r="E102" s="2">
        <v>200</v>
      </c>
      <c r="F102" s="2">
        <v>32441</v>
      </c>
      <c r="G102" s="2">
        <v>18.715961539999999</v>
      </c>
      <c r="H102" s="2">
        <v>5.6314099999999997E-4</v>
      </c>
      <c r="I102" s="2" t="s">
        <v>24351</v>
      </c>
      <c r="J102" s="2" t="s">
        <v>24352</v>
      </c>
      <c r="K102" s="2">
        <v>4.5727023999999998E-2</v>
      </c>
      <c r="L102" s="2" t="s">
        <v>1178</v>
      </c>
      <c r="M102" s="4" t="s">
        <v>21222</v>
      </c>
    </row>
    <row r="103" spans="1:13">
      <c r="A103" s="2">
        <v>3509</v>
      </c>
      <c r="B103" s="2" t="s">
        <v>12329</v>
      </c>
      <c r="C103" s="2">
        <v>3</v>
      </c>
      <c r="D103" s="2">
        <v>26</v>
      </c>
      <c r="E103" s="2">
        <v>200</v>
      </c>
      <c r="F103" s="2">
        <v>32441</v>
      </c>
      <c r="G103" s="2">
        <v>18.715961539999999</v>
      </c>
      <c r="H103" s="2">
        <v>5.6314099999999997E-4</v>
      </c>
      <c r="I103" s="2" t="s">
        <v>24353</v>
      </c>
      <c r="J103" s="2" t="s">
        <v>24354</v>
      </c>
      <c r="K103" s="2">
        <v>4.5727023999999998E-2</v>
      </c>
      <c r="L103" s="2" t="s">
        <v>1178</v>
      </c>
      <c r="M103" s="4" t="s">
        <v>12332</v>
      </c>
    </row>
    <row r="104" spans="1:13">
      <c r="A104" s="2">
        <v>3556</v>
      </c>
      <c r="B104" s="2" t="s">
        <v>15403</v>
      </c>
      <c r="C104" s="2">
        <v>3</v>
      </c>
      <c r="D104" s="2">
        <v>26</v>
      </c>
      <c r="E104" s="2">
        <v>200</v>
      </c>
      <c r="F104" s="2">
        <v>32441</v>
      </c>
      <c r="G104" s="2">
        <v>18.715961539999999</v>
      </c>
      <c r="H104" s="2">
        <v>5.6314099999999997E-4</v>
      </c>
      <c r="I104" s="2" t="s">
        <v>24355</v>
      </c>
      <c r="J104" s="2" t="s">
        <v>24356</v>
      </c>
      <c r="K104" s="2">
        <v>4.5727023999999998E-2</v>
      </c>
      <c r="L104" s="2" t="s">
        <v>1178</v>
      </c>
      <c r="M104" s="4" t="s">
        <v>15406</v>
      </c>
    </row>
    <row r="105" spans="1:13">
      <c r="A105" s="2">
        <v>3699</v>
      </c>
      <c r="B105" s="2" t="s">
        <v>18220</v>
      </c>
      <c r="C105" s="2">
        <v>3</v>
      </c>
      <c r="D105" s="2">
        <v>26</v>
      </c>
      <c r="E105" s="2">
        <v>200</v>
      </c>
      <c r="F105" s="2">
        <v>32441</v>
      </c>
      <c r="G105" s="2">
        <v>18.715961539999999</v>
      </c>
      <c r="H105" s="2">
        <v>5.6314099999999997E-4</v>
      </c>
      <c r="I105" s="2" t="s">
        <v>24357</v>
      </c>
      <c r="J105" s="2" t="s">
        <v>24358</v>
      </c>
      <c r="K105" s="2">
        <v>4.5727023999999998E-2</v>
      </c>
      <c r="L105" s="2" t="s">
        <v>1178</v>
      </c>
      <c r="M105" s="4" t="s">
        <v>18223</v>
      </c>
    </row>
    <row r="106" spans="1:13">
      <c r="A106" s="2">
        <v>3742</v>
      </c>
      <c r="B106" s="2" t="s">
        <v>20088</v>
      </c>
      <c r="C106" s="2">
        <v>3</v>
      </c>
      <c r="D106" s="2">
        <v>26</v>
      </c>
      <c r="E106" s="2">
        <v>200</v>
      </c>
      <c r="F106" s="2">
        <v>32441</v>
      </c>
      <c r="G106" s="2">
        <v>18.715961539999999</v>
      </c>
      <c r="H106" s="2">
        <v>5.6314099999999997E-4</v>
      </c>
      <c r="I106" s="2" t="s">
        <v>24359</v>
      </c>
      <c r="J106" s="2" t="s">
        <v>24360</v>
      </c>
      <c r="K106" s="2">
        <v>4.5727023999999998E-2</v>
      </c>
      <c r="L106" s="2" t="s">
        <v>1178</v>
      </c>
      <c r="M106" s="4" t="s">
        <v>20091</v>
      </c>
    </row>
    <row r="107" spans="1:13">
      <c r="A107" s="2">
        <v>3751</v>
      </c>
      <c r="B107" s="2" t="s">
        <v>16687</v>
      </c>
      <c r="C107" s="2">
        <v>3</v>
      </c>
      <c r="D107" s="2">
        <v>26</v>
      </c>
      <c r="E107" s="2">
        <v>200</v>
      </c>
      <c r="F107" s="2">
        <v>32441</v>
      </c>
      <c r="G107" s="2">
        <v>18.715961539999999</v>
      </c>
      <c r="H107" s="2">
        <v>5.6314099999999997E-4</v>
      </c>
      <c r="I107" s="2" t="s">
        <v>24359</v>
      </c>
      <c r="J107" s="2" t="s">
        <v>24360</v>
      </c>
      <c r="K107" s="2">
        <v>4.5727023999999998E-2</v>
      </c>
      <c r="L107" s="2" t="s">
        <v>1178</v>
      </c>
      <c r="M107" s="4" t="s">
        <v>16690</v>
      </c>
    </row>
    <row r="108" spans="1:13">
      <c r="A108" s="2">
        <v>4324</v>
      </c>
      <c r="B108" s="2" t="s">
        <v>15089</v>
      </c>
      <c r="C108" s="2">
        <v>3</v>
      </c>
      <c r="D108" s="2">
        <v>26</v>
      </c>
      <c r="E108" s="2">
        <v>196</v>
      </c>
      <c r="F108" s="2">
        <v>32441</v>
      </c>
      <c r="G108" s="2">
        <v>19.097919940000001</v>
      </c>
      <c r="H108" s="2">
        <v>5.3147000000000003E-4</v>
      </c>
      <c r="I108" s="2" t="s">
        <v>24361</v>
      </c>
      <c r="J108" s="2" t="s">
        <v>24362</v>
      </c>
      <c r="K108" s="2">
        <v>4.5727023999999998E-2</v>
      </c>
      <c r="L108" s="2" t="s">
        <v>1178</v>
      </c>
      <c r="M108" s="4" t="s">
        <v>15092</v>
      </c>
    </row>
    <row r="109" spans="1:13">
      <c r="A109" s="2">
        <v>4430</v>
      </c>
      <c r="B109" s="2" t="s">
        <v>17546</v>
      </c>
      <c r="C109" s="2">
        <v>3</v>
      </c>
      <c r="D109" s="2">
        <v>26</v>
      </c>
      <c r="E109" s="2">
        <v>200</v>
      </c>
      <c r="F109" s="2">
        <v>32441</v>
      </c>
      <c r="G109" s="2">
        <v>18.715961539999999</v>
      </c>
      <c r="H109" s="2">
        <v>5.6314099999999997E-4</v>
      </c>
      <c r="I109" s="2" t="s">
        <v>24363</v>
      </c>
      <c r="J109" s="2" t="s">
        <v>24364</v>
      </c>
      <c r="K109" s="2">
        <v>4.5727023999999998E-2</v>
      </c>
      <c r="L109" s="2" t="s">
        <v>1178</v>
      </c>
      <c r="M109" s="4" t="s">
        <v>17549</v>
      </c>
    </row>
    <row r="110" spans="1:13">
      <c r="A110" s="2">
        <v>4434</v>
      </c>
      <c r="B110" s="2" t="s">
        <v>24365</v>
      </c>
      <c r="C110" s="2">
        <v>3</v>
      </c>
      <c r="D110" s="2">
        <v>26</v>
      </c>
      <c r="E110" s="2">
        <v>200</v>
      </c>
      <c r="F110" s="2">
        <v>32441</v>
      </c>
      <c r="G110" s="2">
        <v>18.715961539999999</v>
      </c>
      <c r="H110" s="2">
        <v>5.6314099999999997E-4</v>
      </c>
      <c r="I110" s="2" t="s">
        <v>24366</v>
      </c>
      <c r="J110" s="2" t="s">
        <v>24367</v>
      </c>
      <c r="K110" s="2">
        <v>4.5727023999999998E-2</v>
      </c>
      <c r="L110" s="2" t="s">
        <v>1178</v>
      </c>
      <c r="M110" s="4" t="s">
        <v>24368</v>
      </c>
    </row>
    <row r="111" spans="1:13">
      <c r="A111" s="2">
        <v>4667</v>
      </c>
      <c r="B111" s="2" t="s">
        <v>12047</v>
      </c>
      <c r="C111" s="2">
        <v>3</v>
      </c>
      <c r="D111" s="2">
        <v>26</v>
      </c>
      <c r="E111" s="2">
        <v>200</v>
      </c>
      <c r="F111" s="2">
        <v>32441</v>
      </c>
      <c r="G111" s="2">
        <v>18.715961539999999</v>
      </c>
      <c r="H111" s="2">
        <v>5.6314099999999997E-4</v>
      </c>
      <c r="I111" s="2" t="s">
        <v>24369</v>
      </c>
      <c r="J111" s="2" t="s">
        <v>24370</v>
      </c>
      <c r="K111" s="2">
        <v>4.5727023999999998E-2</v>
      </c>
      <c r="L111" s="2" t="s">
        <v>1178</v>
      </c>
      <c r="M111" s="4" t="s">
        <v>12050</v>
      </c>
    </row>
    <row r="112" spans="1:13">
      <c r="A112" s="2">
        <v>4689</v>
      </c>
      <c r="B112" s="2" t="s">
        <v>24055</v>
      </c>
      <c r="C112" s="2">
        <v>3</v>
      </c>
      <c r="D112" s="2">
        <v>26</v>
      </c>
      <c r="E112" s="2">
        <v>200</v>
      </c>
      <c r="F112" s="2">
        <v>32441</v>
      </c>
      <c r="G112" s="2">
        <v>18.715961539999999</v>
      </c>
      <c r="H112" s="2">
        <v>5.6314099999999997E-4</v>
      </c>
      <c r="I112" s="2" t="s">
        <v>24371</v>
      </c>
      <c r="J112" s="2" t="s">
        <v>24372</v>
      </c>
      <c r="K112" s="2">
        <v>4.5727023999999998E-2</v>
      </c>
      <c r="L112" s="2" t="s">
        <v>1178</v>
      </c>
      <c r="M112" s="4" t="s">
        <v>24058</v>
      </c>
    </row>
    <row r="113" spans="1:13">
      <c r="A113" s="2">
        <v>4772</v>
      </c>
      <c r="B113" s="2" t="s">
        <v>16185</v>
      </c>
      <c r="C113" s="2">
        <v>3</v>
      </c>
      <c r="D113" s="2">
        <v>26</v>
      </c>
      <c r="E113" s="2">
        <v>200</v>
      </c>
      <c r="F113" s="2">
        <v>32441</v>
      </c>
      <c r="G113" s="2">
        <v>18.715961539999999</v>
      </c>
      <c r="H113" s="2">
        <v>5.6314099999999997E-4</v>
      </c>
      <c r="I113" s="2" t="s">
        <v>24373</v>
      </c>
      <c r="J113" s="2" t="s">
        <v>24374</v>
      </c>
      <c r="K113" s="2">
        <v>4.5727023999999998E-2</v>
      </c>
      <c r="L113" s="2" t="s">
        <v>1178</v>
      </c>
      <c r="M113" s="4" t="s">
        <v>16188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6"/>
  <sheetViews>
    <sheetView workbookViewId="0">
      <selection sqref="A1:M3166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4</v>
      </c>
      <c r="B2" s="2" t="s">
        <v>24375</v>
      </c>
      <c r="C2" s="2">
        <v>28</v>
      </c>
      <c r="D2" s="2">
        <v>568</v>
      </c>
      <c r="E2" s="2">
        <v>200</v>
      </c>
      <c r="F2" s="2">
        <v>32441</v>
      </c>
      <c r="G2" s="2">
        <v>7.9960211269999997</v>
      </c>
      <c r="H2" s="3">
        <v>5.1700000000000002E-16</v>
      </c>
      <c r="I2" s="2" t="s">
        <v>24376</v>
      </c>
      <c r="J2" s="2" t="s">
        <v>24377</v>
      </c>
      <c r="K2" s="3">
        <v>2.5800000000000001E-14</v>
      </c>
      <c r="L2" s="2" t="s">
        <v>15</v>
      </c>
      <c r="M2" s="4" t="s">
        <v>24378</v>
      </c>
    </row>
    <row r="3" spans="1:13">
      <c r="A3" s="2">
        <v>27</v>
      </c>
      <c r="B3" s="2" t="s">
        <v>24379</v>
      </c>
      <c r="C3" s="2">
        <v>15</v>
      </c>
      <c r="D3" s="2">
        <v>568</v>
      </c>
      <c r="E3" s="2">
        <v>200</v>
      </c>
      <c r="F3" s="2">
        <v>32441</v>
      </c>
      <c r="G3" s="2">
        <v>4.2835827460000004</v>
      </c>
      <c r="H3" s="3">
        <v>5.49E-6</v>
      </c>
      <c r="I3" s="2" t="s">
        <v>24380</v>
      </c>
      <c r="J3" s="2" t="s">
        <v>24381</v>
      </c>
      <c r="K3" s="2">
        <v>1.3719099999999999E-4</v>
      </c>
      <c r="L3" s="2" t="s">
        <v>15</v>
      </c>
      <c r="M3" s="4" t="s">
        <v>24382</v>
      </c>
    </row>
    <row r="4" spans="1:13">
      <c r="A4" s="2">
        <v>9</v>
      </c>
      <c r="B4" s="2" t="s">
        <v>24383</v>
      </c>
      <c r="C4" s="2">
        <v>14</v>
      </c>
      <c r="D4" s="2">
        <v>568</v>
      </c>
      <c r="E4" s="2">
        <v>200</v>
      </c>
      <c r="F4" s="2">
        <v>32441</v>
      </c>
      <c r="G4" s="2">
        <v>3.9980105629999998</v>
      </c>
      <c r="H4" s="3">
        <v>2.3099999999999999E-5</v>
      </c>
      <c r="I4" s="2" t="s">
        <v>24384</v>
      </c>
      <c r="J4" s="2" t="s">
        <v>24385</v>
      </c>
      <c r="K4" s="2">
        <v>3.84523E-4</v>
      </c>
      <c r="L4" s="2" t="s">
        <v>15</v>
      </c>
      <c r="M4" s="4" t="s">
        <v>24386</v>
      </c>
    </row>
    <row r="5" spans="1:13">
      <c r="A5" s="2">
        <v>41</v>
      </c>
      <c r="B5" s="2" t="s">
        <v>24387</v>
      </c>
      <c r="C5" s="2">
        <v>28</v>
      </c>
      <c r="D5" s="2">
        <v>568</v>
      </c>
      <c r="E5" s="2">
        <v>285</v>
      </c>
      <c r="F5" s="2">
        <v>32441</v>
      </c>
      <c r="G5" s="2">
        <v>5.6112428960000003</v>
      </c>
      <c r="H5" s="3">
        <v>1.5399999999999999E-12</v>
      </c>
      <c r="I5" s="2" t="s">
        <v>24388</v>
      </c>
      <c r="J5" s="2" t="s">
        <v>24389</v>
      </c>
      <c r="K5" s="3">
        <v>5.0200000000000002E-10</v>
      </c>
      <c r="L5" s="2" t="s">
        <v>31</v>
      </c>
      <c r="M5" s="4" t="s">
        <v>24390</v>
      </c>
    </row>
    <row r="6" spans="1:13">
      <c r="A6" s="2">
        <v>13</v>
      </c>
      <c r="B6" s="2" t="s">
        <v>24391</v>
      </c>
      <c r="C6" s="2">
        <v>7</v>
      </c>
      <c r="D6" s="2">
        <v>568</v>
      </c>
      <c r="E6" s="2">
        <v>56</v>
      </c>
      <c r="F6" s="2">
        <v>32441</v>
      </c>
      <c r="G6" s="2">
        <v>7.1393045769999999</v>
      </c>
      <c r="H6" s="2">
        <v>1.03494E-4</v>
      </c>
      <c r="I6" s="2" t="s">
        <v>24392</v>
      </c>
      <c r="J6" s="2" t="s">
        <v>24393</v>
      </c>
      <c r="K6" s="2">
        <v>1.1246383E-2</v>
      </c>
      <c r="L6" s="2" t="s">
        <v>31</v>
      </c>
      <c r="M6" s="4" t="s">
        <v>24394</v>
      </c>
    </row>
    <row r="7" spans="1:13">
      <c r="A7" s="2">
        <v>190</v>
      </c>
      <c r="B7" s="2" t="s">
        <v>24395</v>
      </c>
      <c r="C7" s="2">
        <v>8</v>
      </c>
      <c r="D7" s="2">
        <v>568</v>
      </c>
      <c r="E7" s="2">
        <v>72</v>
      </c>
      <c r="F7" s="2">
        <v>32441</v>
      </c>
      <c r="G7" s="2">
        <v>6.3460485130000004</v>
      </c>
      <c r="H7" s="3">
        <v>7.1500000000000003E-5</v>
      </c>
      <c r="I7" s="2" t="s">
        <v>24396</v>
      </c>
      <c r="J7" s="2" t="s">
        <v>24397</v>
      </c>
      <c r="K7" s="2">
        <v>1.1246383E-2</v>
      </c>
      <c r="L7" s="2" t="s">
        <v>31</v>
      </c>
      <c r="M7" s="4" t="s">
        <v>24398</v>
      </c>
    </row>
    <row r="8" spans="1:13">
      <c r="A8" s="2">
        <v>2121</v>
      </c>
      <c r="B8" s="2" t="s">
        <v>24399</v>
      </c>
      <c r="C8" s="2">
        <v>149</v>
      </c>
      <c r="D8" s="2">
        <v>568</v>
      </c>
      <c r="E8" s="2">
        <v>855</v>
      </c>
      <c r="F8" s="2">
        <v>32441</v>
      </c>
      <c r="G8" s="2">
        <v>9.9532760889999992</v>
      </c>
      <c r="H8" s="3">
        <v>7.0299999999999997E-96</v>
      </c>
      <c r="I8" s="3" t="s">
        <v>24400</v>
      </c>
      <c r="J8" s="3" t="s">
        <v>24401</v>
      </c>
      <c r="K8" s="3">
        <v>3.3499999999999998E-92</v>
      </c>
      <c r="L8" s="2" t="s">
        <v>35</v>
      </c>
      <c r="M8" s="4" t="s">
        <v>24402</v>
      </c>
    </row>
    <row r="9" spans="1:13">
      <c r="A9" s="2">
        <v>2122</v>
      </c>
      <c r="B9" s="2" t="s">
        <v>24403</v>
      </c>
      <c r="C9" s="2">
        <v>99</v>
      </c>
      <c r="D9" s="2">
        <v>568</v>
      </c>
      <c r="E9" s="2">
        <v>483</v>
      </c>
      <c r="F9" s="2">
        <v>32441</v>
      </c>
      <c r="G9" s="2">
        <v>11.70668577</v>
      </c>
      <c r="H9" s="3">
        <v>2.33E-68</v>
      </c>
      <c r="I9" s="3" t="s">
        <v>24404</v>
      </c>
      <c r="J9" s="3" t="s">
        <v>24405</v>
      </c>
      <c r="K9" s="3">
        <v>5.5599999999999998E-65</v>
      </c>
      <c r="L9" s="2" t="s">
        <v>35</v>
      </c>
      <c r="M9" s="4" t="s">
        <v>24406</v>
      </c>
    </row>
    <row r="10" spans="1:13">
      <c r="A10" s="2">
        <v>1763</v>
      </c>
      <c r="B10" s="2" t="s">
        <v>2931</v>
      </c>
      <c r="C10" s="2">
        <v>146</v>
      </c>
      <c r="D10" s="2">
        <v>568</v>
      </c>
      <c r="E10" s="2">
        <v>1781</v>
      </c>
      <c r="F10" s="2">
        <v>32441</v>
      </c>
      <c r="G10" s="2">
        <v>4.6820369150000003</v>
      </c>
      <c r="H10" s="3">
        <v>3.4600000000000002E-54</v>
      </c>
      <c r="I10" s="3" t="s">
        <v>24407</v>
      </c>
      <c r="J10" s="3" t="s">
        <v>24408</v>
      </c>
      <c r="K10" s="3">
        <v>5.4900000000000004E-51</v>
      </c>
      <c r="L10" s="2" t="s">
        <v>35</v>
      </c>
      <c r="M10" s="4" t="s">
        <v>2934</v>
      </c>
    </row>
    <row r="11" spans="1:13">
      <c r="A11" s="2">
        <v>4437</v>
      </c>
      <c r="B11" s="2" t="s">
        <v>3757</v>
      </c>
      <c r="C11" s="2">
        <v>143</v>
      </c>
      <c r="D11" s="2">
        <v>568</v>
      </c>
      <c r="E11" s="2">
        <v>1972</v>
      </c>
      <c r="F11" s="2">
        <v>32441</v>
      </c>
      <c r="G11" s="2">
        <v>4.1416655359999996</v>
      </c>
      <c r="H11" s="3">
        <v>5.3399999999999998E-47</v>
      </c>
      <c r="I11" s="3" t="s">
        <v>24409</v>
      </c>
      <c r="J11" s="3" t="s">
        <v>24410</v>
      </c>
      <c r="K11" s="3">
        <v>6.3500000000000003E-44</v>
      </c>
      <c r="L11" s="2" t="s">
        <v>35</v>
      </c>
      <c r="M11" s="4" t="s">
        <v>3760</v>
      </c>
    </row>
    <row r="12" spans="1:13">
      <c r="A12" s="2">
        <v>3203</v>
      </c>
      <c r="B12" s="2" t="s">
        <v>24411</v>
      </c>
      <c r="C12" s="2">
        <v>67</v>
      </c>
      <c r="D12" s="2">
        <v>568</v>
      </c>
      <c r="E12" s="2">
        <v>318</v>
      </c>
      <c r="F12" s="2">
        <v>32441</v>
      </c>
      <c r="G12" s="2">
        <v>12.033544819999999</v>
      </c>
      <c r="H12" s="3">
        <v>9.5400000000000009E-47</v>
      </c>
      <c r="I12" s="3" t="s">
        <v>24412</v>
      </c>
      <c r="J12" s="3" t="s">
        <v>24413</v>
      </c>
      <c r="K12" s="3">
        <v>9.0899999999999995E-44</v>
      </c>
      <c r="L12" s="2" t="s">
        <v>35</v>
      </c>
      <c r="M12" s="4" t="s">
        <v>24414</v>
      </c>
    </row>
    <row r="13" spans="1:13">
      <c r="A13" s="2">
        <v>1831</v>
      </c>
      <c r="B13" s="2" t="s">
        <v>24415</v>
      </c>
      <c r="C13" s="2">
        <v>70</v>
      </c>
      <c r="D13" s="2">
        <v>568</v>
      </c>
      <c r="E13" s="2">
        <v>584</v>
      </c>
      <c r="F13" s="2">
        <v>32441</v>
      </c>
      <c r="G13" s="2">
        <v>6.8459084990000001</v>
      </c>
      <c r="H13" s="3">
        <v>1.3E-34</v>
      </c>
      <c r="I13" s="3" t="s">
        <v>24416</v>
      </c>
      <c r="J13" s="3" t="s">
        <v>24417</v>
      </c>
      <c r="K13" s="3">
        <v>1.0300000000000001E-31</v>
      </c>
      <c r="L13" s="2" t="s">
        <v>35</v>
      </c>
      <c r="M13" s="4" t="s">
        <v>24418</v>
      </c>
    </row>
    <row r="14" spans="1:13">
      <c r="A14" s="2">
        <v>2266</v>
      </c>
      <c r="B14" s="2" t="s">
        <v>141</v>
      </c>
      <c r="C14" s="2">
        <v>104</v>
      </c>
      <c r="D14" s="2">
        <v>568</v>
      </c>
      <c r="E14" s="2">
        <v>1442</v>
      </c>
      <c r="F14" s="2">
        <v>32441</v>
      </c>
      <c r="G14" s="2">
        <v>4.1192104079999998</v>
      </c>
      <c r="H14" s="3">
        <v>2.21E-33</v>
      </c>
      <c r="I14" s="3" t="s">
        <v>24419</v>
      </c>
      <c r="J14" s="3" t="s">
        <v>24420</v>
      </c>
      <c r="K14" s="3">
        <v>1.5100000000000001E-30</v>
      </c>
      <c r="L14" s="2" t="s">
        <v>35</v>
      </c>
      <c r="M14" s="4" t="s">
        <v>2824</v>
      </c>
    </row>
    <row r="15" spans="1:13">
      <c r="A15" s="2">
        <v>2469</v>
      </c>
      <c r="B15" s="2" t="s">
        <v>24421</v>
      </c>
      <c r="C15" s="2">
        <v>58</v>
      </c>
      <c r="D15" s="2">
        <v>568</v>
      </c>
      <c r="E15" s="2">
        <v>424</v>
      </c>
      <c r="F15" s="2">
        <v>32441</v>
      </c>
      <c r="G15" s="2">
        <v>7.8128238769999996</v>
      </c>
      <c r="H15" s="3">
        <v>1.73E-31</v>
      </c>
      <c r="I15" s="3" t="s">
        <v>24422</v>
      </c>
      <c r="J15" s="3" t="s">
        <v>24423</v>
      </c>
      <c r="K15" s="3">
        <v>1.0299999999999999E-28</v>
      </c>
      <c r="L15" s="2" t="s">
        <v>35</v>
      </c>
      <c r="M15" s="4" t="s">
        <v>24424</v>
      </c>
    </row>
    <row r="16" spans="1:13">
      <c r="A16" s="2">
        <v>2264</v>
      </c>
      <c r="B16" s="2" t="s">
        <v>108</v>
      </c>
      <c r="C16" s="2">
        <v>108</v>
      </c>
      <c r="D16" s="2">
        <v>568</v>
      </c>
      <c r="E16" s="2">
        <v>1652</v>
      </c>
      <c r="F16" s="2">
        <v>32441</v>
      </c>
      <c r="G16" s="2">
        <v>3.73387358</v>
      </c>
      <c r="H16" s="3">
        <v>3.0900000000000002E-31</v>
      </c>
      <c r="I16" s="3" t="s">
        <v>24425</v>
      </c>
      <c r="J16" s="3" t="s">
        <v>24426</v>
      </c>
      <c r="K16" s="3">
        <v>1.63E-28</v>
      </c>
      <c r="L16" s="2" t="s">
        <v>35</v>
      </c>
      <c r="M16" s="4" t="s">
        <v>6454</v>
      </c>
    </row>
    <row r="17" spans="1:13">
      <c r="A17" s="2">
        <v>2314</v>
      </c>
      <c r="B17" s="2" t="s">
        <v>2818</v>
      </c>
      <c r="C17" s="2">
        <v>75</v>
      </c>
      <c r="D17" s="2">
        <v>568</v>
      </c>
      <c r="E17" s="2">
        <v>811</v>
      </c>
      <c r="F17" s="2">
        <v>32441</v>
      </c>
      <c r="G17" s="2">
        <v>5.2818529549999997</v>
      </c>
      <c r="H17" s="3">
        <v>2.8600000000000002E-30</v>
      </c>
      <c r="I17" s="3" t="s">
        <v>24427</v>
      </c>
      <c r="J17" s="3" t="s">
        <v>24428</v>
      </c>
      <c r="K17" s="3">
        <v>1.36E-27</v>
      </c>
      <c r="L17" s="2" t="s">
        <v>35</v>
      </c>
      <c r="M17" s="4" t="s">
        <v>2821</v>
      </c>
    </row>
    <row r="18" spans="1:13">
      <c r="A18" s="2">
        <v>4418</v>
      </c>
      <c r="B18" s="2" t="s">
        <v>24429</v>
      </c>
      <c r="C18" s="2">
        <v>48</v>
      </c>
      <c r="D18" s="2">
        <v>568</v>
      </c>
      <c r="E18" s="2">
        <v>289</v>
      </c>
      <c r="F18" s="2">
        <v>32441</v>
      </c>
      <c r="G18" s="2">
        <v>9.4861348020000005</v>
      </c>
      <c r="H18" s="3">
        <v>1.5300000000000001E-29</v>
      </c>
      <c r="I18" s="3" t="s">
        <v>24430</v>
      </c>
      <c r="J18" s="3" t="s">
        <v>24431</v>
      </c>
      <c r="K18" s="3">
        <v>6.6399999999999996E-27</v>
      </c>
      <c r="L18" s="2" t="s">
        <v>35</v>
      </c>
      <c r="M18" s="4" t="s">
        <v>24432</v>
      </c>
    </row>
    <row r="19" spans="1:13">
      <c r="A19" s="2">
        <v>3922</v>
      </c>
      <c r="B19" s="2" t="s">
        <v>24433</v>
      </c>
      <c r="C19" s="2">
        <v>40</v>
      </c>
      <c r="D19" s="2">
        <v>568</v>
      </c>
      <c r="E19" s="2">
        <v>185</v>
      </c>
      <c r="F19" s="2">
        <v>32441</v>
      </c>
      <c r="G19" s="2">
        <v>12.349067379999999</v>
      </c>
      <c r="H19" s="3">
        <v>1.3599999999999999E-28</v>
      </c>
      <c r="I19" s="2" t="s">
        <v>24434</v>
      </c>
      <c r="J19" s="2" t="s">
        <v>24435</v>
      </c>
      <c r="K19" s="3">
        <v>5.3999999999999996E-26</v>
      </c>
      <c r="L19" s="2" t="s">
        <v>35</v>
      </c>
      <c r="M19" s="4" t="s">
        <v>24436</v>
      </c>
    </row>
    <row r="20" spans="1:13">
      <c r="A20" s="2">
        <v>1669</v>
      </c>
      <c r="B20" s="2" t="s">
        <v>24437</v>
      </c>
      <c r="C20" s="2">
        <v>67</v>
      </c>
      <c r="D20" s="2">
        <v>568</v>
      </c>
      <c r="E20" s="2">
        <v>722</v>
      </c>
      <c r="F20" s="2">
        <v>32441</v>
      </c>
      <c r="G20" s="2">
        <v>5.3000931490000003</v>
      </c>
      <c r="H20" s="3">
        <v>3.7200000000000001E-27</v>
      </c>
      <c r="I20" s="3" t="s">
        <v>24438</v>
      </c>
      <c r="J20" s="3" t="s">
        <v>24439</v>
      </c>
      <c r="K20" s="3">
        <v>1.36E-24</v>
      </c>
      <c r="L20" s="2" t="s">
        <v>35</v>
      </c>
      <c r="M20" s="4" t="s">
        <v>24440</v>
      </c>
    </row>
    <row r="21" spans="1:13">
      <c r="A21" s="2">
        <v>3059</v>
      </c>
      <c r="B21" s="2" t="s">
        <v>403</v>
      </c>
      <c r="C21" s="2">
        <v>102</v>
      </c>
      <c r="D21" s="2">
        <v>568</v>
      </c>
      <c r="E21" s="2">
        <v>1691</v>
      </c>
      <c r="F21" s="2">
        <v>32441</v>
      </c>
      <c r="G21" s="2">
        <v>3.4451049880000002</v>
      </c>
      <c r="H21" s="3">
        <v>7.8300000000000002E-27</v>
      </c>
      <c r="I21" s="3" t="s">
        <v>24441</v>
      </c>
      <c r="J21" s="3" t="s">
        <v>24442</v>
      </c>
      <c r="K21" s="3">
        <v>2.6600000000000002E-24</v>
      </c>
      <c r="L21" s="2" t="s">
        <v>35</v>
      </c>
      <c r="M21" s="4" t="s">
        <v>5577</v>
      </c>
    </row>
    <row r="22" spans="1:13">
      <c r="A22" s="2">
        <v>4735</v>
      </c>
      <c r="B22" s="2" t="s">
        <v>24443</v>
      </c>
      <c r="C22" s="2">
        <v>72</v>
      </c>
      <c r="D22" s="2">
        <v>568</v>
      </c>
      <c r="E22" s="2">
        <v>929</v>
      </c>
      <c r="F22" s="2">
        <v>32441</v>
      </c>
      <c r="G22" s="2">
        <v>4.4265225370000003</v>
      </c>
      <c r="H22" s="3">
        <v>9.0600000000000001E-25</v>
      </c>
      <c r="I22" s="3" t="s">
        <v>24444</v>
      </c>
      <c r="J22" s="3" t="s">
        <v>24445</v>
      </c>
      <c r="K22" s="3">
        <v>2.8799999999999998E-22</v>
      </c>
      <c r="L22" s="2" t="s">
        <v>35</v>
      </c>
      <c r="M22" s="4" t="s">
        <v>24446</v>
      </c>
    </row>
    <row r="23" spans="1:13">
      <c r="A23" s="2">
        <v>3970</v>
      </c>
      <c r="B23" s="2" t="s">
        <v>24447</v>
      </c>
      <c r="C23" s="2">
        <v>54</v>
      </c>
      <c r="D23" s="2">
        <v>568</v>
      </c>
      <c r="E23" s="2">
        <v>518</v>
      </c>
      <c r="F23" s="2">
        <v>32441</v>
      </c>
      <c r="G23" s="2">
        <v>5.9540146280000004</v>
      </c>
      <c r="H23" s="3">
        <v>3.4500000000000002E-24</v>
      </c>
      <c r="I23" s="3" t="s">
        <v>24448</v>
      </c>
      <c r="J23" s="3" t="s">
        <v>24449</v>
      </c>
      <c r="K23" s="3">
        <v>1.0299999999999999E-21</v>
      </c>
      <c r="L23" s="2" t="s">
        <v>35</v>
      </c>
      <c r="M23" s="4" t="s">
        <v>24450</v>
      </c>
    </row>
    <row r="24" spans="1:13">
      <c r="A24" s="2">
        <v>4447</v>
      </c>
      <c r="B24" s="2" t="s">
        <v>24451</v>
      </c>
      <c r="C24" s="2">
        <v>69</v>
      </c>
      <c r="D24" s="2">
        <v>568</v>
      </c>
      <c r="E24" s="2">
        <v>918</v>
      </c>
      <c r="F24" s="2">
        <v>32441</v>
      </c>
      <c r="G24" s="2">
        <v>4.2929151709999998</v>
      </c>
      <c r="H24" s="3">
        <v>4.68E-23</v>
      </c>
      <c r="I24" s="3" t="s">
        <v>24452</v>
      </c>
      <c r="J24" s="3" t="s">
        <v>24453</v>
      </c>
      <c r="K24" s="3">
        <v>1.31E-20</v>
      </c>
      <c r="L24" s="2" t="s">
        <v>35</v>
      </c>
      <c r="M24" s="4" t="s">
        <v>24454</v>
      </c>
    </row>
    <row r="25" spans="1:13">
      <c r="A25" s="2">
        <v>2381</v>
      </c>
      <c r="B25" s="2" t="s">
        <v>24455</v>
      </c>
      <c r="C25" s="2">
        <v>52</v>
      </c>
      <c r="D25" s="2">
        <v>568</v>
      </c>
      <c r="E25" s="2">
        <v>514</v>
      </c>
      <c r="F25" s="2">
        <v>32441</v>
      </c>
      <c r="G25" s="2">
        <v>5.7781142110000001</v>
      </c>
      <c r="H25" s="3">
        <v>8.7500000000000001E-23</v>
      </c>
      <c r="I25" s="3" t="s">
        <v>24456</v>
      </c>
      <c r="J25" s="3" t="s">
        <v>24457</v>
      </c>
      <c r="K25" s="3">
        <v>2.31E-20</v>
      </c>
      <c r="L25" s="2" t="s">
        <v>35</v>
      </c>
      <c r="M25" s="4" t="s">
        <v>24458</v>
      </c>
    </row>
    <row r="26" spans="1:13">
      <c r="A26" s="2">
        <v>3239</v>
      </c>
      <c r="B26" s="2" t="s">
        <v>24459</v>
      </c>
      <c r="C26" s="2">
        <v>31</v>
      </c>
      <c r="D26" s="2">
        <v>568</v>
      </c>
      <c r="E26" s="2">
        <v>153</v>
      </c>
      <c r="F26" s="2">
        <v>32441</v>
      </c>
      <c r="G26" s="2">
        <v>11.57220611</v>
      </c>
      <c r="H26" s="3">
        <v>1.0599999999999999E-21</v>
      </c>
      <c r="I26" s="2" t="s">
        <v>24460</v>
      </c>
      <c r="J26" s="2" t="s">
        <v>24461</v>
      </c>
      <c r="K26" s="3">
        <v>2.6499999999999999E-19</v>
      </c>
      <c r="L26" s="2" t="s">
        <v>35</v>
      </c>
      <c r="M26" s="4" t="s">
        <v>24462</v>
      </c>
    </row>
    <row r="27" spans="1:13">
      <c r="A27" s="2">
        <v>1666</v>
      </c>
      <c r="B27" s="2" t="s">
        <v>518</v>
      </c>
      <c r="C27" s="2">
        <v>80</v>
      </c>
      <c r="D27" s="2">
        <v>568</v>
      </c>
      <c r="E27" s="2">
        <v>1375</v>
      </c>
      <c r="F27" s="2">
        <v>32441</v>
      </c>
      <c r="G27" s="2">
        <v>3.3230217670000002</v>
      </c>
      <c r="H27" s="3">
        <v>3.9799999999999997E-20</v>
      </c>
      <c r="I27" s="3" t="s">
        <v>24463</v>
      </c>
      <c r="J27" s="3" t="s">
        <v>24464</v>
      </c>
      <c r="K27" s="3">
        <v>9.4800000000000004E-18</v>
      </c>
      <c r="L27" s="2" t="s">
        <v>35</v>
      </c>
      <c r="M27" s="4" t="s">
        <v>4762</v>
      </c>
    </row>
    <row r="28" spans="1:13">
      <c r="A28" s="2">
        <v>1506</v>
      </c>
      <c r="B28" s="2" t="s">
        <v>4827</v>
      </c>
      <c r="C28" s="2">
        <v>43</v>
      </c>
      <c r="D28" s="2">
        <v>568</v>
      </c>
      <c r="E28" s="2">
        <v>404</v>
      </c>
      <c r="F28" s="2">
        <v>32441</v>
      </c>
      <c r="G28" s="2">
        <v>6.0790118179999997</v>
      </c>
      <c r="H28" s="3">
        <v>8.9399999999999995E-20</v>
      </c>
      <c r="I28" s="2" t="s">
        <v>24465</v>
      </c>
      <c r="J28" s="2" t="s">
        <v>24466</v>
      </c>
      <c r="K28" s="3">
        <v>2.0300000000000001E-17</v>
      </c>
      <c r="L28" s="2" t="s">
        <v>35</v>
      </c>
      <c r="M28" s="4" t="s">
        <v>4830</v>
      </c>
    </row>
    <row r="29" spans="1:13">
      <c r="A29" s="2">
        <v>1911</v>
      </c>
      <c r="B29" s="2" t="s">
        <v>24467</v>
      </c>
      <c r="C29" s="2">
        <v>59</v>
      </c>
      <c r="D29" s="2">
        <v>568</v>
      </c>
      <c r="E29" s="2">
        <v>800</v>
      </c>
      <c r="F29" s="2">
        <v>32441</v>
      </c>
      <c r="G29" s="2">
        <v>4.2121897009999998</v>
      </c>
      <c r="H29" s="3">
        <v>1.9100000000000001E-19</v>
      </c>
      <c r="I29" s="3" t="s">
        <v>24468</v>
      </c>
      <c r="J29" s="3" t="s">
        <v>24469</v>
      </c>
      <c r="K29" s="3">
        <v>4.1300000000000001E-17</v>
      </c>
      <c r="L29" s="2" t="s">
        <v>35</v>
      </c>
      <c r="M29" s="4" t="s">
        <v>24470</v>
      </c>
    </row>
    <row r="30" spans="1:13">
      <c r="A30" s="2">
        <v>2145</v>
      </c>
      <c r="B30" s="2" t="s">
        <v>2901</v>
      </c>
      <c r="C30" s="2">
        <v>46</v>
      </c>
      <c r="D30" s="2">
        <v>568</v>
      </c>
      <c r="E30" s="2">
        <v>514</v>
      </c>
      <c r="F30" s="2">
        <v>32441</v>
      </c>
      <c r="G30" s="2">
        <v>5.1114087250000004</v>
      </c>
      <c r="H30" s="3">
        <v>2.4400000000000001E-18</v>
      </c>
      <c r="I30" s="2" t="s">
        <v>24471</v>
      </c>
      <c r="J30" s="2" t="s">
        <v>24472</v>
      </c>
      <c r="K30" s="3">
        <v>5.0500000000000002E-16</v>
      </c>
      <c r="L30" s="2" t="s">
        <v>35</v>
      </c>
      <c r="M30" s="4" t="s">
        <v>2904</v>
      </c>
    </row>
    <row r="31" spans="1:13">
      <c r="A31" s="2">
        <v>3617</v>
      </c>
      <c r="B31" s="2" t="s">
        <v>24473</v>
      </c>
      <c r="C31" s="2">
        <v>42</v>
      </c>
      <c r="D31" s="2">
        <v>568</v>
      </c>
      <c r="E31" s="2">
        <v>425</v>
      </c>
      <c r="F31" s="2">
        <v>32441</v>
      </c>
      <c r="G31" s="2">
        <v>5.6442502069999998</v>
      </c>
      <c r="H31" s="3">
        <v>2.9E-18</v>
      </c>
      <c r="I31" s="2" t="s">
        <v>24474</v>
      </c>
      <c r="J31" s="2" t="s">
        <v>24475</v>
      </c>
      <c r="K31" s="3">
        <v>5.7599999999999999E-16</v>
      </c>
      <c r="L31" s="2" t="s">
        <v>35</v>
      </c>
      <c r="M31" s="4" t="s">
        <v>24476</v>
      </c>
    </row>
    <row r="32" spans="1:13">
      <c r="A32" s="2">
        <v>1701</v>
      </c>
      <c r="B32" s="2" t="s">
        <v>24477</v>
      </c>
      <c r="C32" s="2">
        <v>44</v>
      </c>
      <c r="D32" s="2">
        <v>568</v>
      </c>
      <c r="E32" s="2">
        <v>485</v>
      </c>
      <c r="F32" s="2">
        <v>32441</v>
      </c>
      <c r="G32" s="2">
        <v>5.1815159</v>
      </c>
      <c r="H32" s="3">
        <v>8.5800000000000006E-18</v>
      </c>
      <c r="I32" s="2" t="s">
        <v>24478</v>
      </c>
      <c r="J32" s="2" t="s">
        <v>24479</v>
      </c>
      <c r="K32" s="3">
        <v>1.64E-15</v>
      </c>
      <c r="L32" s="2" t="s">
        <v>35</v>
      </c>
      <c r="M32" s="4" t="s">
        <v>24480</v>
      </c>
    </row>
    <row r="33" spans="1:13">
      <c r="A33" s="2">
        <v>1613</v>
      </c>
      <c r="B33" s="2" t="s">
        <v>24481</v>
      </c>
      <c r="C33" s="2">
        <v>71</v>
      </c>
      <c r="D33" s="2">
        <v>568</v>
      </c>
      <c r="E33" s="2">
        <v>1278</v>
      </c>
      <c r="F33" s="2">
        <v>32441</v>
      </c>
      <c r="G33" s="2">
        <v>3.1730242569999998</v>
      </c>
      <c r="H33" s="3">
        <v>6.4099999999999996E-17</v>
      </c>
      <c r="I33" s="3" t="s">
        <v>24482</v>
      </c>
      <c r="J33" s="3" t="s">
        <v>24483</v>
      </c>
      <c r="K33" s="3">
        <v>1.17E-14</v>
      </c>
      <c r="L33" s="2" t="s">
        <v>35</v>
      </c>
      <c r="M33" s="4" t="s">
        <v>24484</v>
      </c>
    </row>
    <row r="34" spans="1:13">
      <c r="A34" s="2">
        <v>1668</v>
      </c>
      <c r="B34" s="2" t="s">
        <v>24485</v>
      </c>
      <c r="C34" s="2">
        <v>55</v>
      </c>
      <c r="D34" s="2">
        <v>568</v>
      </c>
      <c r="E34" s="2">
        <v>805</v>
      </c>
      <c r="F34" s="2">
        <v>32441</v>
      </c>
      <c r="G34" s="2">
        <v>3.9022285889999999</v>
      </c>
      <c r="H34" s="3">
        <v>7.9199999999999998E-17</v>
      </c>
      <c r="I34" s="3" t="s">
        <v>24486</v>
      </c>
      <c r="J34" s="3" t="s">
        <v>24487</v>
      </c>
      <c r="K34" s="3">
        <v>1.4E-14</v>
      </c>
      <c r="L34" s="2" t="s">
        <v>35</v>
      </c>
      <c r="M34" s="4" t="s">
        <v>24488</v>
      </c>
    </row>
    <row r="35" spans="1:13">
      <c r="A35" s="2">
        <v>3566</v>
      </c>
      <c r="B35" s="2" t="s">
        <v>24489</v>
      </c>
      <c r="C35" s="2">
        <v>31</v>
      </c>
      <c r="D35" s="2">
        <v>568</v>
      </c>
      <c r="E35" s="2">
        <v>249</v>
      </c>
      <c r="F35" s="2">
        <v>32441</v>
      </c>
      <c r="G35" s="2">
        <v>7.1106326720000004</v>
      </c>
      <c r="H35" s="3">
        <v>2.67E-16</v>
      </c>
      <c r="I35" s="2" t="s">
        <v>24490</v>
      </c>
      <c r="J35" s="2" t="s">
        <v>24491</v>
      </c>
      <c r="K35" s="3">
        <v>4.5500000000000002E-14</v>
      </c>
      <c r="L35" s="2" t="s">
        <v>35</v>
      </c>
      <c r="M35" s="4" t="s">
        <v>24492</v>
      </c>
    </row>
    <row r="36" spans="1:13">
      <c r="A36" s="2">
        <v>2265</v>
      </c>
      <c r="B36" s="2" t="s">
        <v>24493</v>
      </c>
      <c r="C36" s="2">
        <v>39</v>
      </c>
      <c r="D36" s="2">
        <v>568</v>
      </c>
      <c r="E36" s="2">
        <v>423</v>
      </c>
      <c r="F36" s="2">
        <v>32441</v>
      </c>
      <c r="G36" s="2">
        <v>5.2658700429999996</v>
      </c>
      <c r="H36" s="3">
        <v>4.0700000000000001E-16</v>
      </c>
      <c r="I36" s="2" t="s">
        <v>24494</v>
      </c>
      <c r="J36" s="2" t="s">
        <v>24495</v>
      </c>
      <c r="K36" s="3">
        <v>6.6800000000000003E-14</v>
      </c>
      <c r="L36" s="2" t="s">
        <v>35</v>
      </c>
      <c r="M36" s="4" t="s">
        <v>24496</v>
      </c>
    </row>
    <row r="37" spans="1:13">
      <c r="A37" s="2">
        <v>1598</v>
      </c>
      <c r="B37" s="2" t="s">
        <v>24497</v>
      </c>
      <c r="C37" s="2">
        <v>42</v>
      </c>
      <c r="D37" s="2">
        <v>568</v>
      </c>
      <c r="E37" s="2">
        <v>501</v>
      </c>
      <c r="F37" s="2">
        <v>32441</v>
      </c>
      <c r="G37" s="2">
        <v>4.7880366030000001</v>
      </c>
      <c r="H37" s="3">
        <v>6.4400000000000001E-16</v>
      </c>
      <c r="I37" s="2" t="s">
        <v>24498</v>
      </c>
      <c r="J37" s="2" t="s">
        <v>24499</v>
      </c>
      <c r="K37" s="3">
        <v>1.0199999999999999E-13</v>
      </c>
      <c r="L37" s="2" t="s">
        <v>35</v>
      </c>
      <c r="M37" s="4" t="s">
        <v>24500</v>
      </c>
    </row>
    <row r="38" spans="1:13">
      <c r="A38" s="2">
        <v>4224</v>
      </c>
      <c r="B38" s="2" t="s">
        <v>24501</v>
      </c>
      <c r="C38" s="2">
        <v>29</v>
      </c>
      <c r="D38" s="2">
        <v>568</v>
      </c>
      <c r="E38" s="2">
        <v>221</v>
      </c>
      <c r="F38" s="2">
        <v>32441</v>
      </c>
      <c r="G38" s="2">
        <v>7.4946545789999997</v>
      </c>
      <c r="H38" s="3">
        <v>7.1700000000000002E-16</v>
      </c>
      <c r="I38" s="2" t="s">
        <v>24502</v>
      </c>
      <c r="J38" s="2" t="s">
        <v>24503</v>
      </c>
      <c r="K38" s="3">
        <v>1.1E-13</v>
      </c>
      <c r="L38" s="2" t="s">
        <v>35</v>
      </c>
      <c r="M38" s="4" t="s">
        <v>24504</v>
      </c>
    </row>
    <row r="39" spans="1:13">
      <c r="A39" s="2">
        <v>1667</v>
      </c>
      <c r="B39" s="2" t="s">
        <v>24505</v>
      </c>
      <c r="C39" s="2">
        <v>47</v>
      </c>
      <c r="D39" s="2">
        <v>568</v>
      </c>
      <c r="E39" s="2">
        <v>633</v>
      </c>
      <c r="F39" s="2">
        <v>32441</v>
      </c>
      <c r="G39" s="2">
        <v>4.2407243619999999</v>
      </c>
      <c r="H39" s="3">
        <v>8.5800000000000004E-16</v>
      </c>
      <c r="I39" s="3" t="s">
        <v>24506</v>
      </c>
      <c r="J39" s="3" t="s">
        <v>24507</v>
      </c>
      <c r="K39" s="3">
        <v>1.2800000000000001E-13</v>
      </c>
      <c r="L39" s="2" t="s">
        <v>35</v>
      </c>
      <c r="M39" s="4" t="s">
        <v>24508</v>
      </c>
    </row>
    <row r="40" spans="1:13">
      <c r="A40" s="2">
        <v>3336</v>
      </c>
      <c r="B40" s="2" t="s">
        <v>24509</v>
      </c>
      <c r="C40" s="2">
        <v>37</v>
      </c>
      <c r="D40" s="2">
        <v>568</v>
      </c>
      <c r="E40" s="2">
        <v>393</v>
      </c>
      <c r="F40" s="2">
        <v>32441</v>
      </c>
      <c r="G40" s="2">
        <v>5.3771861449999996</v>
      </c>
      <c r="H40" s="3">
        <v>1.2900000000000001E-15</v>
      </c>
      <c r="I40" s="2" t="s">
        <v>24510</v>
      </c>
      <c r="J40" s="2" t="s">
        <v>24511</v>
      </c>
      <c r="K40" s="3">
        <v>1.8599999999999999E-13</v>
      </c>
      <c r="L40" s="2" t="s">
        <v>35</v>
      </c>
      <c r="M40" s="4" t="s">
        <v>24512</v>
      </c>
    </row>
    <row r="41" spans="1:13">
      <c r="A41" s="2">
        <v>2267</v>
      </c>
      <c r="B41" s="2" t="s">
        <v>298</v>
      </c>
      <c r="C41" s="2">
        <v>52</v>
      </c>
      <c r="D41" s="2">
        <v>568</v>
      </c>
      <c r="E41" s="2">
        <v>779</v>
      </c>
      <c r="F41" s="2">
        <v>32441</v>
      </c>
      <c r="G41" s="2">
        <v>3.81251695</v>
      </c>
      <c r="H41" s="3">
        <v>1.41E-15</v>
      </c>
      <c r="I41" s="3" t="s">
        <v>24513</v>
      </c>
      <c r="J41" s="3" t="s">
        <v>24514</v>
      </c>
      <c r="K41" s="3">
        <v>1.9699999999999999E-13</v>
      </c>
      <c r="L41" s="2" t="s">
        <v>35</v>
      </c>
      <c r="M41" s="4" t="s">
        <v>24515</v>
      </c>
    </row>
    <row r="42" spans="1:13">
      <c r="A42" s="2">
        <v>4504</v>
      </c>
      <c r="B42" s="2" t="s">
        <v>24516</v>
      </c>
      <c r="C42" s="2">
        <v>55</v>
      </c>
      <c r="D42" s="2">
        <v>568</v>
      </c>
      <c r="E42" s="2">
        <v>882</v>
      </c>
      <c r="F42" s="2">
        <v>32441</v>
      </c>
      <c r="G42" s="2">
        <v>3.5615578389999998</v>
      </c>
      <c r="H42" s="3">
        <v>3.06E-15</v>
      </c>
      <c r="I42" s="3" t="s">
        <v>24517</v>
      </c>
      <c r="J42" s="3" t="s">
        <v>24518</v>
      </c>
      <c r="K42" s="3">
        <v>4.1599999999999999E-13</v>
      </c>
      <c r="L42" s="2" t="s">
        <v>35</v>
      </c>
      <c r="M42" s="4" t="s">
        <v>24519</v>
      </c>
    </row>
    <row r="43" spans="1:13">
      <c r="A43" s="2">
        <v>3707</v>
      </c>
      <c r="B43" s="2" t="s">
        <v>2775</v>
      </c>
      <c r="C43" s="2">
        <v>28</v>
      </c>
      <c r="D43" s="2">
        <v>568</v>
      </c>
      <c r="E43" s="2">
        <v>223</v>
      </c>
      <c r="F43" s="2">
        <v>32441</v>
      </c>
      <c r="G43" s="2">
        <v>7.1713193960000003</v>
      </c>
      <c r="H43" s="3">
        <v>6.2200000000000001E-15</v>
      </c>
      <c r="I43" s="2" t="s">
        <v>24520</v>
      </c>
      <c r="J43" s="2" t="s">
        <v>24521</v>
      </c>
      <c r="K43" s="3">
        <v>8.2300000000000003E-13</v>
      </c>
      <c r="L43" s="2" t="s">
        <v>35</v>
      </c>
      <c r="M43" s="4" t="s">
        <v>2778</v>
      </c>
    </row>
    <row r="44" spans="1:13">
      <c r="A44" s="2">
        <v>3312</v>
      </c>
      <c r="B44" s="2" t="s">
        <v>24522</v>
      </c>
      <c r="C44" s="2">
        <v>19</v>
      </c>
      <c r="D44" s="2">
        <v>568</v>
      </c>
      <c r="E44" s="2">
        <v>82</v>
      </c>
      <c r="F44" s="2">
        <v>32441</v>
      </c>
      <c r="G44" s="2">
        <v>13.23383288</v>
      </c>
      <c r="H44" s="3">
        <v>9.8600000000000001E-15</v>
      </c>
      <c r="I44" s="2" t="s">
        <v>24523</v>
      </c>
      <c r="J44" s="2" t="s">
        <v>24524</v>
      </c>
      <c r="K44" s="3">
        <v>1.27E-12</v>
      </c>
      <c r="L44" s="2" t="s">
        <v>35</v>
      </c>
      <c r="M44" s="4" t="s">
        <v>24525</v>
      </c>
    </row>
    <row r="45" spans="1:13">
      <c r="A45" s="2">
        <v>1352</v>
      </c>
      <c r="B45" s="2" t="s">
        <v>5425</v>
      </c>
      <c r="C45" s="2">
        <v>50</v>
      </c>
      <c r="D45" s="2">
        <v>568</v>
      </c>
      <c r="E45" s="2">
        <v>783</v>
      </c>
      <c r="F45" s="2">
        <v>32441</v>
      </c>
      <c r="G45" s="2">
        <v>3.6471543180000001</v>
      </c>
      <c r="H45" s="3">
        <v>2.5499999999999999E-14</v>
      </c>
      <c r="I45" s="3" t="s">
        <v>24526</v>
      </c>
      <c r="J45" s="3" t="s">
        <v>24527</v>
      </c>
      <c r="K45" s="3">
        <v>3.2000000000000001E-12</v>
      </c>
      <c r="L45" s="2" t="s">
        <v>35</v>
      </c>
      <c r="M45" s="4" t="s">
        <v>5428</v>
      </c>
    </row>
    <row r="46" spans="1:13">
      <c r="A46" s="2">
        <v>1492</v>
      </c>
      <c r="B46" s="2" t="s">
        <v>24528</v>
      </c>
      <c r="C46" s="2">
        <v>32</v>
      </c>
      <c r="D46" s="2">
        <v>568</v>
      </c>
      <c r="E46" s="2">
        <v>352</v>
      </c>
      <c r="F46" s="2">
        <v>32441</v>
      </c>
      <c r="G46" s="2">
        <v>5.1922215109999996</v>
      </c>
      <c r="H46" s="3">
        <v>2.6900000000000001E-13</v>
      </c>
      <c r="I46" s="2" t="s">
        <v>24529</v>
      </c>
      <c r="J46" s="2" t="s">
        <v>24530</v>
      </c>
      <c r="K46" s="3">
        <v>3.2899999999999998E-11</v>
      </c>
      <c r="L46" s="2" t="s">
        <v>35</v>
      </c>
      <c r="M46" s="4" t="s">
        <v>24531</v>
      </c>
    </row>
    <row r="47" spans="1:13">
      <c r="A47" s="2">
        <v>2092</v>
      </c>
      <c r="B47" s="2" t="s">
        <v>24532</v>
      </c>
      <c r="C47" s="2">
        <v>46</v>
      </c>
      <c r="D47" s="2">
        <v>568</v>
      </c>
      <c r="E47" s="2">
        <v>747</v>
      </c>
      <c r="F47" s="2">
        <v>32441</v>
      </c>
      <c r="G47" s="2">
        <v>3.517087128</v>
      </c>
      <c r="H47" s="3">
        <v>9.6199999999999994E-13</v>
      </c>
      <c r="I47" s="3" t="s">
        <v>24533</v>
      </c>
      <c r="J47" s="3" t="s">
        <v>24534</v>
      </c>
      <c r="K47" s="3">
        <v>1.15E-10</v>
      </c>
      <c r="L47" s="2" t="s">
        <v>35</v>
      </c>
      <c r="M47" s="4" t="s">
        <v>24535</v>
      </c>
    </row>
    <row r="48" spans="1:13">
      <c r="A48" s="2">
        <v>2749</v>
      </c>
      <c r="B48" s="2" t="s">
        <v>24536</v>
      </c>
      <c r="C48" s="2">
        <v>39</v>
      </c>
      <c r="D48" s="2">
        <v>568</v>
      </c>
      <c r="E48" s="2">
        <v>555</v>
      </c>
      <c r="F48" s="2">
        <v>32441</v>
      </c>
      <c r="G48" s="2">
        <v>4.0134468979999998</v>
      </c>
      <c r="H48" s="3">
        <v>1.3100000000000001E-12</v>
      </c>
      <c r="I48" s="2" t="s">
        <v>24537</v>
      </c>
      <c r="J48" s="2" t="s">
        <v>24538</v>
      </c>
      <c r="K48" s="3">
        <v>1.5199999999999999E-10</v>
      </c>
      <c r="L48" s="2" t="s">
        <v>35</v>
      </c>
      <c r="M48" s="4" t="s">
        <v>24539</v>
      </c>
    </row>
    <row r="49" spans="1:13">
      <c r="A49" s="2">
        <v>2553</v>
      </c>
      <c r="B49" s="2" t="s">
        <v>24540</v>
      </c>
      <c r="C49" s="2">
        <v>18</v>
      </c>
      <c r="D49" s="2">
        <v>568</v>
      </c>
      <c r="E49" s="2">
        <v>100</v>
      </c>
      <c r="F49" s="2">
        <v>32441</v>
      </c>
      <c r="G49" s="2">
        <v>10.28059859</v>
      </c>
      <c r="H49" s="3">
        <v>2.1400000000000002E-12</v>
      </c>
      <c r="I49" s="2" t="s">
        <v>24541</v>
      </c>
      <c r="J49" s="2" t="s">
        <v>24542</v>
      </c>
      <c r="K49" s="3">
        <v>2.4299999999999999E-10</v>
      </c>
      <c r="L49" s="2" t="s">
        <v>35</v>
      </c>
      <c r="M49" s="4" t="s">
        <v>24543</v>
      </c>
    </row>
    <row r="50" spans="1:13">
      <c r="A50" s="2">
        <v>3316</v>
      </c>
      <c r="B50" s="2" t="s">
        <v>4368</v>
      </c>
      <c r="C50" s="2">
        <v>52</v>
      </c>
      <c r="D50" s="2">
        <v>568</v>
      </c>
      <c r="E50" s="2">
        <v>953</v>
      </c>
      <c r="F50" s="2">
        <v>32441</v>
      </c>
      <c r="G50" s="2">
        <v>3.1164225650000001</v>
      </c>
      <c r="H50" s="3">
        <v>2.36E-12</v>
      </c>
      <c r="I50" s="3" t="s">
        <v>24544</v>
      </c>
      <c r="J50" s="3" t="s">
        <v>24545</v>
      </c>
      <c r="K50" s="3">
        <v>2.6200000000000003E-10</v>
      </c>
      <c r="L50" s="2" t="s">
        <v>35</v>
      </c>
      <c r="M50" s="4" t="s">
        <v>4371</v>
      </c>
    </row>
    <row r="51" spans="1:13">
      <c r="A51" s="2">
        <v>3004</v>
      </c>
      <c r="B51" s="2" t="s">
        <v>5215</v>
      </c>
      <c r="C51" s="2">
        <v>48</v>
      </c>
      <c r="D51" s="2">
        <v>568</v>
      </c>
      <c r="E51" s="2">
        <v>830</v>
      </c>
      <c r="F51" s="2">
        <v>32441</v>
      </c>
      <c r="G51" s="2">
        <v>3.3030035639999999</v>
      </c>
      <c r="H51" s="3">
        <v>2.5200000000000002E-12</v>
      </c>
      <c r="I51" s="3" t="s">
        <v>24546</v>
      </c>
      <c r="J51" s="3" t="s">
        <v>24547</v>
      </c>
      <c r="K51" s="3">
        <v>2.7299999999999999E-10</v>
      </c>
      <c r="L51" s="2" t="s">
        <v>35</v>
      </c>
      <c r="M51" s="4" t="s">
        <v>5218</v>
      </c>
    </row>
    <row r="52" spans="1:13">
      <c r="A52" s="2">
        <v>2369</v>
      </c>
      <c r="B52" s="2" t="s">
        <v>548</v>
      </c>
      <c r="C52" s="2">
        <v>25</v>
      </c>
      <c r="D52" s="2">
        <v>568</v>
      </c>
      <c r="E52" s="2">
        <v>236</v>
      </c>
      <c r="F52" s="2">
        <v>32441</v>
      </c>
      <c r="G52" s="2">
        <v>6.0502581160000002</v>
      </c>
      <c r="H52" s="3">
        <v>5.4699999999999999E-12</v>
      </c>
      <c r="I52" s="2" t="s">
        <v>24548</v>
      </c>
      <c r="J52" s="2" t="s">
        <v>24549</v>
      </c>
      <c r="K52" s="3">
        <v>5.7899999999999997E-10</v>
      </c>
      <c r="L52" s="2" t="s">
        <v>35</v>
      </c>
      <c r="M52" s="4" t="s">
        <v>2870</v>
      </c>
    </row>
    <row r="53" spans="1:13">
      <c r="A53" s="2">
        <v>4539</v>
      </c>
      <c r="B53" s="2" t="s">
        <v>24550</v>
      </c>
      <c r="C53" s="2">
        <v>55</v>
      </c>
      <c r="D53" s="2">
        <v>568</v>
      </c>
      <c r="E53" s="2">
        <v>1080</v>
      </c>
      <c r="F53" s="2">
        <v>32441</v>
      </c>
      <c r="G53" s="2">
        <v>2.9086055690000001</v>
      </c>
      <c r="H53" s="3">
        <v>6.8199999999999996E-12</v>
      </c>
      <c r="I53" s="3" t="s">
        <v>24551</v>
      </c>
      <c r="J53" s="3" t="s">
        <v>24552</v>
      </c>
      <c r="K53" s="3">
        <v>7.0600000000000004E-10</v>
      </c>
      <c r="L53" s="2" t="s">
        <v>35</v>
      </c>
      <c r="M53" s="4" t="s">
        <v>24553</v>
      </c>
    </row>
    <row r="54" spans="1:13">
      <c r="A54" s="2">
        <v>2468</v>
      </c>
      <c r="B54" s="2" t="s">
        <v>24554</v>
      </c>
      <c r="C54" s="2">
        <v>49</v>
      </c>
      <c r="D54" s="2">
        <v>568</v>
      </c>
      <c r="E54" s="2">
        <v>893</v>
      </c>
      <c r="F54" s="2">
        <v>32441</v>
      </c>
      <c r="G54" s="2">
        <v>3.1339388509999999</v>
      </c>
      <c r="H54" s="3">
        <v>8.7300000000000002E-12</v>
      </c>
      <c r="I54" s="3" t="s">
        <v>24555</v>
      </c>
      <c r="J54" s="3" t="s">
        <v>24556</v>
      </c>
      <c r="K54" s="3">
        <v>8.8400000000000005E-10</v>
      </c>
      <c r="L54" s="2" t="s">
        <v>35</v>
      </c>
      <c r="M54" s="4" t="s">
        <v>24557</v>
      </c>
    </row>
    <row r="55" spans="1:13">
      <c r="A55" s="2">
        <v>1765</v>
      </c>
      <c r="B55" s="2" t="s">
        <v>24558</v>
      </c>
      <c r="C55" s="2">
        <v>45</v>
      </c>
      <c r="D55" s="2">
        <v>568</v>
      </c>
      <c r="E55" s="2">
        <v>770</v>
      </c>
      <c r="F55" s="2">
        <v>32441</v>
      </c>
      <c r="G55" s="2">
        <v>3.3378566859999999</v>
      </c>
      <c r="H55" s="3">
        <v>9.0500000000000004E-12</v>
      </c>
      <c r="I55" s="2" t="s">
        <v>24559</v>
      </c>
      <c r="J55" s="2" t="s">
        <v>24560</v>
      </c>
      <c r="K55" s="3">
        <v>8.98E-10</v>
      </c>
      <c r="L55" s="2" t="s">
        <v>35</v>
      </c>
      <c r="M55" s="4" t="s">
        <v>24561</v>
      </c>
    </row>
    <row r="56" spans="1:13">
      <c r="A56" s="2">
        <v>2032</v>
      </c>
      <c r="B56" s="2" t="s">
        <v>24562</v>
      </c>
      <c r="C56" s="2">
        <v>43</v>
      </c>
      <c r="D56" s="2">
        <v>568</v>
      </c>
      <c r="E56" s="2">
        <v>712</v>
      </c>
      <c r="F56" s="2">
        <v>32441</v>
      </c>
      <c r="G56" s="2">
        <v>3.4493269309999999</v>
      </c>
      <c r="H56" s="3">
        <v>9.8999999999999994E-12</v>
      </c>
      <c r="I56" s="2" t="s">
        <v>24563</v>
      </c>
      <c r="J56" s="2" t="s">
        <v>24564</v>
      </c>
      <c r="K56" s="3">
        <v>9.6199999999999999E-10</v>
      </c>
      <c r="L56" s="2" t="s">
        <v>35</v>
      </c>
      <c r="M56" s="4" t="s">
        <v>24565</v>
      </c>
    </row>
    <row r="57" spans="1:13">
      <c r="A57" s="2">
        <v>1926</v>
      </c>
      <c r="B57" s="2" t="s">
        <v>24566</v>
      </c>
      <c r="C57" s="2">
        <v>16</v>
      </c>
      <c r="D57" s="2">
        <v>568</v>
      </c>
      <c r="E57" s="2">
        <v>84</v>
      </c>
      <c r="F57" s="2">
        <v>32441</v>
      </c>
      <c r="G57" s="2">
        <v>10.878940310000001</v>
      </c>
      <c r="H57" s="3">
        <v>1.6999999999999999E-11</v>
      </c>
      <c r="I57" s="2" t="s">
        <v>24567</v>
      </c>
      <c r="J57" s="2" t="s">
        <v>24568</v>
      </c>
      <c r="K57" s="3">
        <v>1.62E-9</v>
      </c>
      <c r="L57" s="2" t="s">
        <v>35</v>
      </c>
      <c r="M57" s="4" t="s">
        <v>24569</v>
      </c>
    </row>
    <row r="58" spans="1:13">
      <c r="A58" s="2">
        <v>3762</v>
      </c>
      <c r="B58" s="2" t="s">
        <v>5163</v>
      </c>
      <c r="C58" s="2">
        <v>28</v>
      </c>
      <c r="D58" s="2">
        <v>568</v>
      </c>
      <c r="E58" s="2">
        <v>323</v>
      </c>
      <c r="F58" s="2">
        <v>32441</v>
      </c>
      <c r="G58" s="2">
        <v>4.9510966730000003</v>
      </c>
      <c r="H58" s="3">
        <v>2.3800000000000001E-11</v>
      </c>
      <c r="I58" s="2" t="s">
        <v>24570</v>
      </c>
      <c r="J58" s="2" t="s">
        <v>24571</v>
      </c>
      <c r="K58" s="3">
        <v>2.23E-9</v>
      </c>
      <c r="L58" s="2" t="s">
        <v>35</v>
      </c>
      <c r="M58" s="4" t="s">
        <v>5166</v>
      </c>
    </row>
    <row r="59" spans="1:13">
      <c r="A59" s="2">
        <v>4166</v>
      </c>
      <c r="B59" s="2" t="s">
        <v>2935</v>
      </c>
      <c r="C59" s="2">
        <v>22</v>
      </c>
      <c r="D59" s="2">
        <v>568</v>
      </c>
      <c r="E59" s="2">
        <v>193</v>
      </c>
      <c r="F59" s="2">
        <v>32441</v>
      </c>
      <c r="G59" s="2">
        <v>6.5104539150000003</v>
      </c>
      <c r="H59" s="3">
        <v>2.84E-11</v>
      </c>
      <c r="I59" s="2" t="s">
        <v>24572</v>
      </c>
      <c r="J59" s="2" t="s">
        <v>24573</v>
      </c>
      <c r="K59" s="3">
        <v>2.6000000000000001E-9</v>
      </c>
      <c r="L59" s="2" t="s">
        <v>35</v>
      </c>
      <c r="M59" s="4" t="s">
        <v>2938</v>
      </c>
    </row>
    <row r="60" spans="1:13">
      <c r="A60" s="2">
        <v>4743</v>
      </c>
      <c r="B60" s="2" t="s">
        <v>24574</v>
      </c>
      <c r="C60" s="2">
        <v>21</v>
      </c>
      <c r="D60" s="2">
        <v>568</v>
      </c>
      <c r="E60" s="2">
        <v>174</v>
      </c>
      <c r="F60" s="2">
        <v>32441</v>
      </c>
      <c r="G60" s="2">
        <v>6.8931216610000003</v>
      </c>
      <c r="H60" s="3">
        <v>3.04E-11</v>
      </c>
      <c r="I60" s="2" t="s">
        <v>24575</v>
      </c>
      <c r="J60" s="2" t="s">
        <v>24576</v>
      </c>
      <c r="K60" s="3">
        <v>2.7299999999999999E-9</v>
      </c>
      <c r="L60" s="2" t="s">
        <v>35</v>
      </c>
      <c r="M60" s="4" t="s">
        <v>24577</v>
      </c>
    </row>
    <row r="61" spans="1:13">
      <c r="A61" s="2">
        <v>1924</v>
      </c>
      <c r="B61" s="2" t="s">
        <v>24578</v>
      </c>
      <c r="C61" s="2">
        <v>16</v>
      </c>
      <c r="D61" s="2">
        <v>568</v>
      </c>
      <c r="E61" s="2">
        <v>88</v>
      </c>
      <c r="F61" s="2">
        <v>32441</v>
      </c>
      <c r="G61" s="2">
        <v>10.384443020000001</v>
      </c>
      <c r="H61" s="3">
        <v>3.1500000000000001E-11</v>
      </c>
      <c r="I61" s="2" t="s">
        <v>24579</v>
      </c>
      <c r="J61" s="2" t="s">
        <v>24580</v>
      </c>
      <c r="K61" s="3">
        <v>2.7799999999999999E-9</v>
      </c>
      <c r="L61" s="2" t="s">
        <v>35</v>
      </c>
      <c r="M61" s="4" t="s">
        <v>24581</v>
      </c>
    </row>
    <row r="62" spans="1:13">
      <c r="A62" s="2">
        <v>1397</v>
      </c>
      <c r="B62" s="2" t="s">
        <v>2917</v>
      </c>
      <c r="C62" s="2">
        <v>31</v>
      </c>
      <c r="D62" s="2">
        <v>568</v>
      </c>
      <c r="E62" s="2">
        <v>408</v>
      </c>
      <c r="F62" s="2">
        <v>32441</v>
      </c>
      <c r="G62" s="2">
        <v>4.3395772920000004</v>
      </c>
      <c r="H62" s="3">
        <v>4.5499999999999998E-11</v>
      </c>
      <c r="I62" s="2" t="s">
        <v>24582</v>
      </c>
      <c r="J62" s="2" t="s">
        <v>24583</v>
      </c>
      <c r="K62" s="3">
        <v>3.9300000000000003E-9</v>
      </c>
      <c r="L62" s="2" t="s">
        <v>35</v>
      </c>
      <c r="M62" s="4" t="s">
        <v>2920</v>
      </c>
    </row>
    <row r="63" spans="1:13">
      <c r="A63" s="2">
        <v>3070</v>
      </c>
      <c r="B63" s="2" t="s">
        <v>24584</v>
      </c>
      <c r="C63" s="2">
        <v>18</v>
      </c>
      <c r="D63" s="2">
        <v>568</v>
      </c>
      <c r="E63" s="2">
        <v>123</v>
      </c>
      <c r="F63" s="2">
        <v>32441</v>
      </c>
      <c r="G63" s="2">
        <v>8.3582102369999998</v>
      </c>
      <c r="H63" s="3">
        <v>4.6199999999999999E-11</v>
      </c>
      <c r="I63" s="2" t="s">
        <v>24585</v>
      </c>
      <c r="J63" s="2" t="s">
        <v>24586</v>
      </c>
      <c r="K63" s="3">
        <v>3.9300000000000003E-9</v>
      </c>
      <c r="L63" s="2" t="s">
        <v>35</v>
      </c>
      <c r="M63" s="4" t="s">
        <v>24587</v>
      </c>
    </row>
    <row r="64" spans="1:13">
      <c r="A64" s="2">
        <v>4736</v>
      </c>
      <c r="B64" s="2" t="s">
        <v>24588</v>
      </c>
      <c r="C64" s="2">
        <v>50</v>
      </c>
      <c r="D64" s="2">
        <v>568</v>
      </c>
      <c r="E64" s="2">
        <v>975</v>
      </c>
      <c r="F64" s="2">
        <v>32441</v>
      </c>
      <c r="G64" s="2">
        <v>2.9289454680000002</v>
      </c>
      <c r="H64" s="3">
        <v>5.1900000000000003E-11</v>
      </c>
      <c r="I64" s="3" t="s">
        <v>24589</v>
      </c>
      <c r="J64" s="3" t="s">
        <v>24590</v>
      </c>
      <c r="K64" s="3">
        <v>4.3299999999999997E-9</v>
      </c>
      <c r="L64" s="2" t="s">
        <v>35</v>
      </c>
      <c r="M64" s="4" t="s">
        <v>24591</v>
      </c>
    </row>
    <row r="65" spans="1:13">
      <c r="A65" s="2">
        <v>4436</v>
      </c>
      <c r="B65" s="2" t="s">
        <v>24592</v>
      </c>
      <c r="C65" s="2">
        <v>34</v>
      </c>
      <c r="D65" s="2">
        <v>568</v>
      </c>
      <c r="E65" s="2">
        <v>504</v>
      </c>
      <c r="F65" s="2">
        <v>32441</v>
      </c>
      <c r="G65" s="2">
        <v>3.852958026</v>
      </c>
      <c r="H65" s="3">
        <v>1.0300000000000001E-10</v>
      </c>
      <c r="I65" s="2" t="s">
        <v>24593</v>
      </c>
      <c r="J65" s="2" t="s">
        <v>24594</v>
      </c>
      <c r="K65" s="3">
        <v>8.5E-9</v>
      </c>
      <c r="L65" s="2" t="s">
        <v>35</v>
      </c>
      <c r="M65" s="4" t="s">
        <v>24595</v>
      </c>
    </row>
    <row r="66" spans="1:13">
      <c r="A66" s="2">
        <v>2263</v>
      </c>
      <c r="B66" s="2" t="s">
        <v>24596</v>
      </c>
      <c r="C66" s="2">
        <v>20</v>
      </c>
      <c r="D66" s="2">
        <v>568</v>
      </c>
      <c r="E66" s="2">
        <v>168</v>
      </c>
      <c r="F66" s="2">
        <v>32441</v>
      </c>
      <c r="G66" s="2">
        <v>6.799337693</v>
      </c>
      <c r="H66" s="3">
        <v>1.12E-10</v>
      </c>
      <c r="I66" s="2" t="s">
        <v>24597</v>
      </c>
      <c r="J66" s="2" t="s">
        <v>24598</v>
      </c>
      <c r="K66" s="3">
        <v>9.05E-9</v>
      </c>
      <c r="L66" s="2" t="s">
        <v>35</v>
      </c>
      <c r="M66" s="4" t="s">
        <v>24599</v>
      </c>
    </row>
    <row r="67" spans="1:13">
      <c r="A67" s="2">
        <v>1351</v>
      </c>
      <c r="B67" s="2" t="s">
        <v>24600</v>
      </c>
      <c r="C67" s="2">
        <v>26</v>
      </c>
      <c r="D67" s="2">
        <v>568</v>
      </c>
      <c r="E67" s="2">
        <v>309</v>
      </c>
      <c r="F67" s="2">
        <v>32441</v>
      </c>
      <c r="G67" s="2">
        <v>4.8057454760000002</v>
      </c>
      <c r="H67" s="3">
        <v>2.25E-10</v>
      </c>
      <c r="I67" s="2" t="s">
        <v>24601</v>
      </c>
      <c r="J67" s="2" t="s">
        <v>24602</v>
      </c>
      <c r="K67" s="3">
        <v>1.7800000000000001E-8</v>
      </c>
      <c r="L67" s="2" t="s">
        <v>35</v>
      </c>
      <c r="M67" s="4" t="s">
        <v>24603</v>
      </c>
    </row>
    <row r="68" spans="1:13">
      <c r="A68" s="2">
        <v>3286</v>
      </c>
      <c r="B68" s="2" t="s">
        <v>24604</v>
      </c>
      <c r="C68" s="2">
        <v>24</v>
      </c>
      <c r="D68" s="2">
        <v>568</v>
      </c>
      <c r="E68" s="2">
        <v>271</v>
      </c>
      <c r="F68" s="2">
        <v>32441</v>
      </c>
      <c r="G68" s="2">
        <v>5.0581050879999996</v>
      </c>
      <c r="H68" s="3">
        <v>4.3000000000000001E-10</v>
      </c>
      <c r="I68" s="2" t="s">
        <v>24605</v>
      </c>
      <c r="J68" s="2" t="s">
        <v>24606</v>
      </c>
      <c r="K68" s="3">
        <v>3.3600000000000003E-8</v>
      </c>
      <c r="L68" s="2" t="s">
        <v>35</v>
      </c>
      <c r="M68" s="4" t="s">
        <v>24607</v>
      </c>
    </row>
    <row r="69" spans="1:13">
      <c r="A69" s="2">
        <v>1592</v>
      </c>
      <c r="B69" s="2" t="s">
        <v>6255</v>
      </c>
      <c r="C69" s="2">
        <v>31</v>
      </c>
      <c r="D69" s="2">
        <v>568</v>
      </c>
      <c r="E69" s="2">
        <v>457</v>
      </c>
      <c r="F69" s="2">
        <v>32441</v>
      </c>
      <c r="G69" s="2">
        <v>3.8742834469999998</v>
      </c>
      <c r="H69" s="3">
        <v>6.1800000000000004E-10</v>
      </c>
      <c r="I69" s="2" t="s">
        <v>24608</v>
      </c>
      <c r="J69" s="2" t="s">
        <v>24609</v>
      </c>
      <c r="K69" s="3">
        <v>4.7400000000000001E-8</v>
      </c>
      <c r="L69" s="2" t="s">
        <v>35</v>
      </c>
      <c r="M69" s="4" t="s">
        <v>6258</v>
      </c>
    </row>
    <row r="70" spans="1:13">
      <c r="A70" s="2">
        <v>1418</v>
      </c>
      <c r="B70" s="2" t="s">
        <v>6002</v>
      </c>
      <c r="C70" s="2">
        <v>30</v>
      </c>
      <c r="D70" s="2">
        <v>568</v>
      </c>
      <c r="E70" s="2">
        <v>431</v>
      </c>
      <c r="F70" s="2">
        <v>32441</v>
      </c>
      <c r="G70" s="2">
        <v>3.975482827</v>
      </c>
      <c r="H70" s="3">
        <v>6.6399999999999998E-10</v>
      </c>
      <c r="I70" s="2" t="s">
        <v>24610</v>
      </c>
      <c r="J70" s="2" t="s">
        <v>24611</v>
      </c>
      <c r="K70" s="3">
        <v>5.02E-8</v>
      </c>
      <c r="L70" s="2" t="s">
        <v>35</v>
      </c>
      <c r="M70" s="4" t="s">
        <v>6005</v>
      </c>
    </row>
    <row r="71" spans="1:13">
      <c r="A71" s="2">
        <v>4339</v>
      </c>
      <c r="B71" s="2" t="s">
        <v>24612</v>
      </c>
      <c r="C71" s="2">
        <v>18</v>
      </c>
      <c r="D71" s="2">
        <v>568</v>
      </c>
      <c r="E71" s="2">
        <v>148</v>
      </c>
      <c r="F71" s="2">
        <v>32441</v>
      </c>
      <c r="G71" s="2">
        <v>6.9463504</v>
      </c>
      <c r="H71" s="3">
        <v>6.9999999999999996E-10</v>
      </c>
      <c r="I71" s="2" t="s">
        <v>24613</v>
      </c>
      <c r="J71" s="2" t="s">
        <v>24614</v>
      </c>
      <c r="K71" s="3">
        <v>5.2100000000000003E-8</v>
      </c>
      <c r="L71" s="2" t="s">
        <v>35</v>
      </c>
      <c r="M71" s="4" t="s">
        <v>24615</v>
      </c>
    </row>
    <row r="72" spans="1:13">
      <c r="A72" s="2">
        <v>3614</v>
      </c>
      <c r="B72" s="2" t="s">
        <v>2825</v>
      </c>
      <c r="C72" s="2">
        <v>31</v>
      </c>
      <c r="D72" s="2">
        <v>568</v>
      </c>
      <c r="E72" s="2">
        <v>463</v>
      </c>
      <c r="F72" s="2">
        <v>32441</v>
      </c>
      <c r="G72" s="2">
        <v>3.8240767500000001</v>
      </c>
      <c r="H72" s="3">
        <v>8.3000000000000003E-10</v>
      </c>
      <c r="I72" s="2" t="s">
        <v>24616</v>
      </c>
      <c r="J72" s="2" t="s">
        <v>24617</v>
      </c>
      <c r="K72" s="3">
        <v>6.0800000000000002E-8</v>
      </c>
      <c r="L72" s="2" t="s">
        <v>35</v>
      </c>
      <c r="M72" s="4" t="s">
        <v>2828</v>
      </c>
    </row>
    <row r="73" spans="1:13">
      <c r="A73" s="2">
        <v>1439</v>
      </c>
      <c r="B73" s="2" t="s">
        <v>24618</v>
      </c>
      <c r="C73" s="2">
        <v>59</v>
      </c>
      <c r="D73" s="2">
        <v>568</v>
      </c>
      <c r="E73" s="2">
        <v>1382</v>
      </c>
      <c r="F73" s="2">
        <v>32441</v>
      </c>
      <c r="G73" s="2">
        <v>2.4383153119999998</v>
      </c>
      <c r="H73" s="3">
        <v>8.4399999999999998E-10</v>
      </c>
      <c r="I73" s="3" t="s">
        <v>24619</v>
      </c>
      <c r="J73" s="3" t="s">
        <v>24620</v>
      </c>
      <c r="K73" s="3">
        <v>6.0899999999999996E-8</v>
      </c>
      <c r="L73" s="2" t="s">
        <v>35</v>
      </c>
      <c r="M73" s="4" t="s">
        <v>24621</v>
      </c>
    </row>
    <row r="74" spans="1:13">
      <c r="A74" s="2">
        <v>4445</v>
      </c>
      <c r="B74" s="2" t="s">
        <v>24622</v>
      </c>
      <c r="C74" s="2">
        <v>26</v>
      </c>
      <c r="D74" s="2">
        <v>568</v>
      </c>
      <c r="E74" s="2">
        <v>336</v>
      </c>
      <c r="F74" s="2">
        <v>32441</v>
      </c>
      <c r="G74" s="2">
        <v>4.4195694999999997</v>
      </c>
      <c r="H74" s="3">
        <v>1.1800000000000001E-9</v>
      </c>
      <c r="I74" s="2" t="s">
        <v>24623</v>
      </c>
      <c r="J74" s="2" t="s">
        <v>24624</v>
      </c>
      <c r="K74" s="3">
        <v>8.4100000000000005E-8</v>
      </c>
      <c r="L74" s="2" t="s">
        <v>35</v>
      </c>
      <c r="M74" s="4" t="s">
        <v>24625</v>
      </c>
    </row>
    <row r="75" spans="1:13">
      <c r="A75" s="2">
        <v>3142</v>
      </c>
      <c r="B75" s="2" t="s">
        <v>24626</v>
      </c>
      <c r="C75" s="2">
        <v>25</v>
      </c>
      <c r="D75" s="2">
        <v>568</v>
      </c>
      <c r="E75" s="2">
        <v>312</v>
      </c>
      <c r="F75" s="2">
        <v>32441</v>
      </c>
      <c r="G75" s="2">
        <v>4.5764772929999999</v>
      </c>
      <c r="H75" s="3">
        <v>1.27E-9</v>
      </c>
      <c r="I75" s="2" t="s">
        <v>24627</v>
      </c>
      <c r="J75" s="2" t="s">
        <v>24628</v>
      </c>
      <c r="K75" s="3">
        <v>8.9200000000000005E-8</v>
      </c>
      <c r="L75" s="2" t="s">
        <v>35</v>
      </c>
      <c r="M75" s="4" t="s">
        <v>24629</v>
      </c>
    </row>
    <row r="76" spans="1:13">
      <c r="A76" s="2">
        <v>2937</v>
      </c>
      <c r="B76" s="2" t="s">
        <v>6364</v>
      </c>
      <c r="C76" s="2">
        <v>28</v>
      </c>
      <c r="D76" s="2">
        <v>568</v>
      </c>
      <c r="E76" s="2">
        <v>390</v>
      </c>
      <c r="F76" s="2">
        <v>32441</v>
      </c>
      <c r="G76" s="2">
        <v>4.1005236549999999</v>
      </c>
      <c r="H76" s="3">
        <v>1.31E-9</v>
      </c>
      <c r="I76" s="2" t="s">
        <v>24630</v>
      </c>
      <c r="J76" s="2" t="s">
        <v>24631</v>
      </c>
      <c r="K76" s="3">
        <v>9.0100000000000006E-8</v>
      </c>
      <c r="L76" s="2" t="s">
        <v>35</v>
      </c>
      <c r="M76" s="4" t="s">
        <v>6367</v>
      </c>
    </row>
    <row r="77" spans="1:13">
      <c r="A77" s="2">
        <v>2305</v>
      </c>
      <c r="B77" s="2" t="s">
        <v>24632</v>
      </c>
      <c r="C77" s="2">
        <v>43</v>
      </c>
      <c r="D77" s="2">
        <v>568</v>
      </c>
      <c r="E77" s="2">
        <v>848</v>
      </c>
      <c r="F77" s="2">
        <v>32441</v>
      </c>
      <c r="G77" s="2">
        <v>2.8961329889999998</v>
      </c>
      <c r="H77" s="3">
        <v>1.6999999999999999E-9</v>
      </c>
      <c r="I77" s="2" t="s">
        <v>24633</v>
      </c>
      <c r="J77" s="2" t="s">
        <v>24634</v>
      </c>
      <c r="K77" s="3">
        <v>1.1600000000000001E-7</v>
      </c>
      <c r="L77" s="2" t="s">
        <v>35</v>
      </c>
      <c r="M77" s="4" t="s">
        <v>24635</v>
      </c>
    </row>
    <row r="78" spans="1:13">
      <c r="A78" s="2">
        <v>3385</v>
      </c>
      <c r="B78" s="2" t="s">
        <v>3805</v>
      </c>
      <c r="C78" s="2">
        <v>48</v>
      </c>
      <c r="D78" s="2">
        <v>568</v>
      </c>
      <c r="E78" s="2">
        <v>1022</v>
      </c>
      <c r="F78" s="2">
        <v>32441</v>
      </c>
      <c r="G78" s="2">
        <v>2.6824784319999999</v>
      </c>
      <c r="H78" s="3">
        <v>2.0099999999999999E-9</v>
      </c>
      <c r="I78" s="3" t="s">
        <v>24636</v>
      </c>
      <c r="J78" s="3" t="s">
        <v>24637</v>
      </c>
      <c r="K78" s="3">
        <v>1.35E-7</v>
      </c>
      <c r="L78" s="2" t="s">
        <v>35</v>
      </c>
      <c r="M78" s="4" t="s">
        <v>3808</v>
      </c>
    </row>
    <row r="79" spans="1:13">
      <c r="A79" s="2">
        <v>3386</v>
      </c>
      <c r="B79" s="2" t="s">
        <v>3886</v>
      </c>
      <c r="C79" s="2">
        <v>53</v>
      </c>
      <c r="D79" s="2">
        <v>568</v>
      </c>
      <c r="E79" s="2">
        <v>1229</v>
      </c>
      <c r="F79" s="2">
        <v>32441</v>
      </c>
      <c r="G79" s="2">
        <v>2.4630310340000001</v>
      </c>
      <c r="H79" s="3">
        <v>4.6800000000000004E-9</v>
      </c>
      <c r="I79" s="3" t="s">
        <v>24638</v>
      </c>
      <c r="J79" s="3" t="s">
        <v>24639</v>
      </c>
      <c r="K79" s="3">
        <v>3.0899999999999997E-7</v>
      </c>
      <c r="L79" s="2" t="s">
        <v>35</v>
      </c>
      <c r="M79" s="4" t="s">
        <v>3889</v>
      </c>
    </row>
    <row r="80" spans="1:13">
      <c r="A80" s="2">
        <v>708</v>
      </c>
      <c r="B80" s="2" t="s">
        <v>24640</v>
      </c>
      <c r="C80" s="2">
        <v>28</v>
      </c>
      <c r="D80" s="2">
        <v>568</v>
      </c>
      <c r="E80" s="2">
        <v>421</v>
      </c>
      <c r="F80" s="2">
        <v>32441</v>
      </c>
      <c r="G80" s="2">
        <v>3.7985848579999999</v>
      </c>
      <c r="H80" s="3">
        <v>6.3000000000000002E-9</v>
      </c>
      <c r="I80" s="2" t="s">
        <v>24641</v>
      </c>
      <c r="J80" s="2" t="s">
        <v>24642</v>
      </c>
      <c r="K80" s="3">
        <v>4.1100000000000001E-7</v>
      </c>
      <c r="L80" s="2" t="s">
        <v>35</v>
      </c>
      <c r="M80" s="4" t="s">
        <v>24643</v>
      </c>
    </row>
    <row r="81" spans="1:13">
      <c r="A81" s="2">
        <v>3323</v>
      </c>
      <c r="B81" s="2" t="s">
        <v>24644</v>
      </c>
      <c r="C81" s="2">
        <v>22</v>
      </c>
      <c r="D81" s="2">
        <v>568</v>
      </c>
      <c r="E81" s="2">
        <v>264</v>
      </c>
      <c r="F81" s="2">
        <v>32441</v>
      </c>
      <c r="G81" s="2">
        <v>4.7595363849999996</v>
      </c>
      <c r="H81" s="3">
        <v>6.4700000000000002E-9</v>
      </c>
      <c r="I81" s="2" t="s">
        <v>24645</v>
      </c>
      <c r="J81" s="2" t="s">
        <v>24646</v>
      </c>
      <c r="K81" s="3">
        <v>4.1600000000000002E-7</v>
      </c>
      <c r="L81" s="2" t="s">
        <v>35</v>
      </c>
      <c r="M81" s="4" t="s">
        <v>24647</v>
      </c>
    </row>
    <row r="82" spans="1:13">
      <c r="A82" s="2">
        <v>2436</v>
      </c>
      <c r="B82" s="2" t="s">
        <v>2939</v>
      </c>
      <c r="C82" s="2">
        <v>19</v>
      </c>
      <c r="D82" s="2">
        <v>568</v>
      </c>
      <c r="E82" s="2">
        <v>195</v>
      </c>
      <c r="F82" s="2">
        <v>32441</v>
      </c>
      <c r="G82" s="2">
        <v>5.564996389</v>
      </c>
      <c r="H82" s="3">
        <v>6.8599999999999999E-9</v>
      </c>
      <c r="I82" s="2" t="s">
        <v>24648</v>
      </c>
      <c r="J82" s="2" t="s">
        <v>24649</v>
      </c>
      <c r="K82" s="3">
        <v>4.3599999999999999E-7</v>
      </c>
      <c r="L82" s="2" t="s">
        <v>35</v>
      </c>
      <c r="M82" s="4" t="s">
        <v>2942</v>
      </c>
    </row>
    <row r="83" spans="1:13">
      <c r="A83" s="2">
        <v>2331</v>
      </c>
      <c r="B83" s="2" t="s">
        <v>24650</v>
      </c>
      <c r="C83" s="2">
        <v>40</v>
      </c>
      <c r="D83" s="2">
        <v>568</v>
      </c>
      <c r="E83" s="2">
        <v>795</v>
      </c>
      <c r="F83" s="2">
        <v>32441</v>
      </c>
      <c r="G83" s="2">
        <v>2.8736823459999998</v>
      </c>
      <c r="H83" s="3">
        <v>7.8700000000000003E-9</v>
      </c>
      <c r="I83" s="2" t="s">
        <v>24651</v>
      </c>
      <c r="J83" s="2" t="s">
        <v>24652</v>
      </c>
      <c r="K83" s="3">
        <v>4.9299999999999998E-7</v>
      </c>
      <c r="L83" s="2" t="s">
        <v>35</v>
      </c>
      <c r="M83" s="4" t="s">
        <v>24653</v>
      </c>
    </row>
    <row r="84" spans="1:13">
      <c r="A84" s="2">
        <v>2375</v>
      </c>
      <c r="B84" s="2" t="s">
        <v>24654</v>
      </c>
      <c r="C84" s="2">
        <v>25</v>
      </c>
      <c r="D84" s="2">
        <v>568</v>
      </c>
      <c r="E84" s="2">
        <v>344</v>
      </c>
      <c r="F84" s="2">
        <v>32441</v>
      </c>
      <c r="G84" s="2">
        <v>4.1507584749999999</v>
      </c>
      <c r="H84" s="3">
        <v>8.0100000000000003E-9</v>
      </c>
      <c r="I84" s="2" t="s">
        <v>24655</v>
      </c>
      <c r="J84" s="2" t="s">
        <v>24656</v>
      </c>
      <c r="K84" s="3">
        <v>4.9500000000000003E-7</v>
      </c>
      <c r="L84" s="2" t="s">
        <v>35</v>
      </c>
      <c r="M84" s="4" t="s">
        <v>24657</v>
      </c>
    </row>
    <row r="85" spans="1:13">
      <c r="A85" s="2">
        <v>2425</v>
      </c>
      <c r="B85" s="2" t="s">
        <v>400</v>
      </c>
      <c r="C85" s="2">
        <v>38</v>
      </c>
      <c r="D85" s="2">
        <v>568</v>
      </c>
      <c r="E85" s="2">
        <v>734</v>
      </c>
      <c r="F85" s="2">
        <v>32441</v>
      </c>
      <c r="G85" s="2">
        <v>2.9568781899999999</v>
      </c>
      <c r="H85" s="3">
        <v>9.1800000000000001E-9</v>
      </c>
      <c r="I85" s="2" t="s">
        <v>24658</v>
      </c>
      <c r="J85" s="2" t="s">
        <v>24659</v>
      </c>
      <c r="K85" s="3">
        <v>5.6000000000000004E-7</v>
      </c>
      <c r="L85" s="2" t="s">
        <v>35</v>
      </c>
      <c r="M85" s="4" t="s">
        <v>2949</v>
      </c>
    </row>
    <row r="86" spans="1:13">
      <c r="A86" s="2">
        <v>2929</v>
      </c>
      <c r="B86" s="2" t="s">
        <v>24660</v>
      </c>
      <c r="C86" s="2">
        <v>20</v>
      </c>
      <c r="D86" s="2">
        <v>568</v>
      </c>
      <c r="E86" s="2">
        <v>225</v>
      </c>
      <c r="F86" s="2">
        <v>32441</v>
      </c>
      <c r="G86" s="2">
        <v>5.076838811</v>
      </c>
      <c r="H86" s="3">
        <v>1.16E-8</v>
      </c>
      <c r="I86" s="2" t="s">
        <v>24661</v>
      </c>
      <c r="J86" s="2" t="s">
        <v>24662</v>
      </c>
      <c r="K86" s="3">
        <v>6.9999999999999997E-7</v>
      </c>
      <c r="L86" s="2" t="s">
        <v>35</v>
      </c>
      <c r="M86" s="4" t="s">
        <v>24663</v>
      </c>
    </row>
    <row r="87" spans="1:13">
      <c r="A87" s="2">
        <v>896</v>
      </c>
      <c r="B87" s="2" t="s">
        <v>24664</v>
      </c>
      <c r="C87" s="2">
        <v>24</v>
      </c>
      <c r="D87" s="2">
        <v>568</v>
      </c>
      <c r="E87" s="2">
        <v>325</v>
      </c>
      <c r="F87" s="2">
        <v>32441</v>
      </c>
      <c r="G87" s="2">
        <v>4.2176814729999998</v>
      </c>
      <c r="H87" s="3">
        <v>1.2E-8</v>
      </c>
      <c r="I87" s="2" t="s">
        <v>24665</v>
      </c>
      <c r="J87" s="2" t="s">
        <v>24666</v>
      </c>
      <c r="K87" s="3">
        <v>7.1299999999999999E-7</v>
      </c>
      <c r="L87" s="2" t="s">
        <v>35</v>
      </c>
      <c r="M87" s="4" t="s">
        <v>24667</v>
      </c>
    </row>
    <row r="88" spans="1:13">
      <c r="A88" s="2">
        <v>4516</v>
      </c>
      <c r="B88" s="2" t="s">
        <v>24668</v>
      </c>
      <c r="C88" s="2">
        <v>32</v>
      </c>
      <c r="D88" s="2">
        <v>568</v>
      </c>
      <c r="E88" s="2">
        <v>553</v>
      </c>
      <c r="F88" s="2">
        <v>32441</v>
      </c>
      <c r="G88" s="2">
        <v>3.304994524</v>
      </c>
      <c r="H88" s="3">
        <v>1.2299999999999999E-8</v>
      </c>
      <c r="I88" s="2" t="s">
        <v>24669</v>
      </c>
      <c r="J88" s="2" t="s">
        <v>24670</v>
      </c>
      <c r="K88" s="3">
        <v>7.2200000000000003E-7</v>
      </c>
      <c r="L88" s="2" t="s">
        <v>35</v>
      </c>
      <c r="M88" s="4" t="s">
        <v>24671</v>
      </c>
    </row>
    <row r="89" spans="1:13">
      <c r="A89" s="2">
        <v>2985</v>
      </c>
      <c r="B89" s="2" t="s">
        <v>24672</v>
      </c>
      <c r="C89" s="2">
        <v>19</v>
      </c>
      <c r="D89" s="2">
        <v>568</v>
      </c>
      <c r="E89" s="2">
        <v>206</v>
      </c>
      <c r="F89" s="2">
        <v>32441</v>
      </c>
      <c r="G89" s="2">
        <v>5.267836387</v>
      </c>
      <c r="H89" s="3">
        <v>1.5600000000000001E-8</v>
      </c>
      <c r="I89" s="2" t="s">
        <v>24673</v>
      </c>
      <c r="J89" s="2" t="s">
        <v>24674</v>
      </c>
      <c r="K89" s="3">
        <v>9.0400000000000005E-7</v>
      </c>
      <c r="L89" s="2" t="s">
        <v>35</v>
      </c>
      <c r="M89" s="4" t="s">
        <v>24675</v>
      </c>
    </row>
    <row r="90" spans="1:13">
      <c r="A90" s="2">
        <v>1742</v>
      </c>
      <c r="B90" s="2" t="s">
        <v>24676</v>
      </c>
      <c r="C90" s="2">
        <v>20</v>
      </c>
      <c r="D90" s="2">
        <v>568</v>
      </c>
      <c r="E90" s="2">
        <v>235</v>
      </c>
      <c r="F90" s="2">
        <v>32441</v>
      </c>
      <c r="G90" s="2">
        <v>4.8608031169999997</v>
      </c>
      <c r="H90" s="3">
        <v>2.2799999999999999E-8</v>
      </c>
      <c r="I90" s="2" t="s">
        <v>24677</v>
      </c>
      <c r="J90" s="2" t="s">
        <v>24678</v>
      </c>
      <c r="K90" s="3">
        <v>1.31E-6</v>
      </c>
      <c r="L90" s="2" t="s">
        <v>35</v>
      </c>
      <c r="M90" s="4" t="s">
        <v>24679</v>
      </c>
    </row>
    <row r="91" spans="1:13">
      <c r="A91" s="2">
        <v>1655</v>
      </c>
      <c r="B91" s="2" t="s">
        <v>24680</v>
      </c>
      <c r="C91" s="2">
        <v>19</v>
      </c>
      <c r="D91" s="2">
        <v>568</v>
      </c>
      <c r="E91" s="2">
        <v>214</v>
      </c>
      <c r="F91" s="2">
        <v>32441</v>
      </c>
      <c r="G91" s="2">
        <v>5.0709079240000001</v>
      </c>
      <c r="H91" s="3">
        <v>2.7400000000000001E-8</v>
      </c>
      <c r="I91" s="2" t="s">
        <v>24681</v>
      </c>
      <c r="J91" s="2" t="s">
        <v>24682</v>
      </c>
      <c r="K91" s="3">
        <v>1.55E-6</v>
      </c>
      <c r="L91" s="2" t="s">
        <v>35</v>
      </c>
      <c r="M91" s="4" t="s">
        <v>24683</v>
      </c>
    </row>
    <row r="92" spans="1:13">
      <c r="A92" s="2">
        <v>4170</v>
      </c>
      <c r="B92" s="2" t="s">
        <v>135</v>
      </c>
      <c r="C92" s="2">
        <v>33</v>
      </c>
      <c r="D92" s="2">
        <v>568</v>
      </c>
      <c r="E92" s="2">
        <v>605</v>
      </c>
      <c r="F92" s="2">
        <v>32441</v>
      </c>
      <c r="G92" s="2">
        <v>3.115332907</v>
      </c>
      <c r="H92" s="3">
        <v>2.77E-8</v>
      </c>
      <c r="I92" s="2" t="s">
        <v>24684</v>
      </c>
      <c r="J92" s="2" t="s">
        <v>24685</v>
      </c>
      <c r="K92" s="3">
        <v>1.55E-6</v>
      </c>
      <c r="L92" s="2" t="s">
        <v>35</v>
      </c>
      <c r="M92" s="4" t="s">
        <v>24686</v>
      </c>
    </row>
    <row r="93" spans="1:13">
      <c r="A93" s="2">
        <v>1625</v>
      </c>
      <c r="B93" s="2" t="s">
        <v>2860</v>
      </c>
      <c r="C93" s="2">
        <v>28</v>
      </c>
      <c r="D93" s="2">
        <v>568</v>
      </c>
      <c r="E93" s="2">
        <v>459</v>
      </c>
      <c r="F93" s="2">
        <v>32441</v>
      </c>
      <c r="G93" s="2">
        <v>3.4841050660000001</v>
      </c>
      <c r="H93" s="3">
        <v>3.5700000000000002E-8</v>
      </c>
      <c r="I93" s="2" t="s">
        <v>24687</v>
      </c>
      <c r="J93" s="2" t="s">
        <v>24688</v>
      </c>
      <c r="K93" s="3">
        <v>1.9599999999999999E-6</v>
      </c>
      <c r="L93" s="2" t="s">
        <v>35</v>
      </c>
      <c r="M93" s="4" t="s">
        <v>2863</v>
      </c>
    </row>
    <row r="94" spans="1:13">
      <c r="A94" s="2">
        <v>2432</v>
      </c>
      <c r="B94" s="2" t="s">
        <v>132</v>
      </c>
      <c r="C94" s="2">
        <v>38</v>
      </c>
      <c r="D94" s="2">
        <v>568</v>
      </c>
      <c r="E94" s="2">
        <v>775</v>
      </c>
      <c r="F94" s="2">
        <v>32441</v>
      </c>
      <c r="G94" s="2">
        <v>2.8004497960000001</v>
      </c>
      <c r="H94" s="3">
        <v>3.5700000000000002E-8</v>
      </c>
      <c r="I94" s="2" t="s">
        <v>24689</v>
      </c>
      <c r="J94" s="2" t="s">
        <v>24690</v>
      </c>
      <c r="K94" s="3">
        <v>1.9599999999999999E-6</v>
      </c>
      <c r="L94" s="2" t="s">
        <v>35</v>
      </c>
      <c r="M94" s="4" t="s">
        <v>24691</v>
      </c>
    </row>
    <row r="95" spans="1:13">
      <c r="A95" s="2">
        <v>1432</v>
      </c>
      <c r="B95" s="2" t="s">
        <v>2875</v>
      </c>
      <c r="C95" s="2">
        <v>20</v>
      </c>
      <c r="D95" s="2">
        <v>568</v>
      </c>
      <c r="E95" s="2">
        <v>244</v>
      </c>
      <c r="F95" s="2">
        <v>32441</v>
      </c>
      <c r="G95" s="2">
        <v>4.6815111979999999</v>
      </c>
      <c r="H95" s="3">
        <v>4.0499999999999999E-8</v>
      </c>
      <c r="I95" s="2" t="s">
        <v>24692</v>
      </c>
      <c r="J95" s="2" t="s">
        <v>24693</v>
      </c>
      <c r="K95" s="3">
        <v>2.1900000000000002E-6</v>
      </c>
      <c r="L95" s="2" t="s">
        <v>35</v>
      </c>
      <c r="M95" s="4" t="s">
        <v>2878</v>
      </c>
    </row>
    <row r="96" spans="1:13">
      <c r="A96" s="2">
        <v>2433</v>
      </c>
      <c r="B96" s="2" t="s">
        <v>2897</v>
      </c>
      <c r="C96" s="2">
        <v>34</v>
      </c>
      <c r="D96" s="2">
        <v>568</v>
      </c>
      <c r="E96" s="2">
        <v>648</v>
      </c>
      <c r="F96" s="2">
        <v>32441</v>
      </c>
      <c r="G96" s="2">
        <v>2.996745131</v>
      </c>
      <c r="H96" s="3">
        <v>4.1500000000000001E-8</v>
      </c>
      <c r="I96" s="2" t="s">
        <v>24694</v>
      </c>
      <c r="J96" s="2" t="s">
        <v>24695</v>
      </c>
      <c r="K96" s="3">
        <v>2.2199999999999999E-6</v>
      </c>
      <c r="L96" s="2" t="s">
        <v>35</v>
      </c>
      <c r="M96" s="4" t="s">
        <v>2900</v>
      </c>
    </row>
    <row r="97" spans="1:13">
      <c r="A97" s="2">
        <v>4021</v>
      </c>
      <c r="B97" s="2" t="s">
        <v>24696</v>
      </c>
      <c r="C97" s="2">
        <v>14</v>
      </c>
      <c r="D97" s="2">
        <v>568</v>
      </c>
      <c r="E97" s="2">
        <v>113</v>
      </c>
      <c r="F97" s="2">
        <v>32441</v>
      </c>
      <c r="G97" s="2">
        <v>7.0761248910000001</v>
      </c>
      <c r="H97" s="3">
        <v>4.4500000000000001E-8</v>
      </c>
      <c r="I97" s="2" t="s">
        <v>24697</v>
      </c>
      <c r="J97" s="2" t="s">
        <v>24698</v>
      </c>
      <c r="K97" s="3">
        <v>2.3499999999999999E-6</v>
      </c>
      <c r="L97" s="2" t="s">
        <v>35</v>
      </c>
      <c r="M97" s="4" t="s">
        <v>24699</v>
      </c>
    </row>
    <row r="98" spans="1:13">
      <c r="A98" s="2">
        <v>4164</v>
      </c>
      <c r="B98" s="2" t="s">
        <v>313</v>
      </c>
      <c r="C98" s="2">
        <v>14</v>
      </c>
      <c r="D98" s="2">
        <v>568</v>
      </c>
      <c r="E98" s="2">
        <v>115</v>
      </c>
      <c r="F98" s="2">
        <v>32441</v>
      </c>
      <c r="G98" s="2">
        <v>6.953061849</v>
      </c>
      <c r="H98" s="3">
        <v>5.4300000000000003E-8</v>
      </c>
      <c r="I98" s="2" t="s">
        <v>24700</v>
      </c>
      <c r="J98" s="2" t="s">
        <v>24701</v>
      </c>
      <c r="K98" s="3">
        <v>2.8399999999999999E-6</v>
      </c>
      <c r="L98" s="2" t="s">
        <v>35</v>
      </c>
      <c r="M98" s="4" t="s">
        <v>24702</v>
      </c>
    </row>
    <row r="99" spans="1:13">
      <c r="A99" s="2">
        <v>4575</v>
      </c>
      <c r="B99" s="2" t="s">
        <v>24703</v>
      </c>
      <c r="C99" s="2">
        <v>34</v>
      </c>
      <c r="D99" s="2">
        <v>568</v>
      </c>
      <c r="E99" s="2">
        <v>658</v>
      </c>
      <c r="F99" s="2">
        <v>32441</v>
      </c>
      <c r="G99" s="2">
        <v>2.9512018919999998</v>
      </c>
      <c r="H99" s="3">
        <v>5.8700000000000003E-8</v>
      </c>
      <c r="I99" s="2" t="s">
        <v>24704</v>
      </c>
      <c r="J99" s="2" t="s">
        <v>24705</v>
      </c>
      <c r="K99" s="3">
        <v>3.0400000000000001E-6</v>
      </c>
      <c r="L99" s="2" t="s">
        <v>35</v>
      </c>
      <c r="M99" s="4" t="s">
        <v>24706</v>
      </c>
    </row>
    <row r="100" spans="1:13">
      <c r="A100" s="2">
        <v>1822</v>
      </c>
      <c r="B100" s="2" t="s">
        <v>24707</v>
      </c>
      <c r="C100" s="2">
        <v>15</v>
      </c>
      <c r="D100" s="2">
        <v>568</v>
      </c>
      <c r="E100" s="2">
        <v>137</v>
      </c>
      <c r="F100" s="2">
        <v>32441</v>
      </c>
      <c r="G100" s="2">
        <v>6.2534054689999996</v>
      </c>
      <c r="H100" s="3">
        <v>6.5699999999999999E-8</v>
      </c>
      <c r="I100" s="2" t="s">
        <v>24708</v>
      </c>
      <c r="J100" s="2" t="s">
        <v>24709</v>
      </c>
      <c r="K100" s="3">
        <v>3.36E-6</v>
      </c>
      <c r="L100" s="2" t="s">
        <v>35</v>
      </c>
      <c r="M100" s="4" t="s">
        <v>24710</v>
      </c>
    </row>
    <row r="101" spans="1:13">
      <c r="A101" s="2">
        <v>3387</v>
      </c>
      <c r="B101" s="2" t="s">
        <v>24711</v>
      </c>
      <c r="C101" s="2">
        <v>36</v>
      </c>
      <c r="D101" s="2">
        <v>568</v>
      </c>
      <c r="E101" s="2">
        <v>728</v>
      </c>
      <c r="F101" s="2">
        <v>32441</v>
      </c>
      <c r="G101" s="2">
        <v>2.8243402720000002</v>
      </c>
      <c r="H101" s="3">
        <v>6.7500000000000002E-8</v>
      </c>
      <c r="I101" s="2" t="s">
        <v>24712</v>
      </c>
      <c r="J101" s="2" t="s">
        <v>24713</v>
      </c>
      <c r="K101" s="3">
        <v>3.4199999999999999E-6</v>
      </c>
      <c r="L101" s="2" t="s">
        <v>35</v>
      </c>
      <c r="M101" s="4" t="s">
        <v>24714</v>
      </c>
    </row>
    <row r="102" spans="1:13">
      <c r="A102" s="2">
        <v>1326</v>
      </c>
      <c r="B102" s="2" t="s">
        <v>24715</v>
      </c>
      <c r="C102" s="2">
        <v>31</v>
      </c>
      <c r="D102" s="2">
        <v>568</v>
      </c>
      <c r="E102" s="2">
        <v>567</v>
      </c>
      <c r="F102" s="2">
        <v>32441</v>
      </c>
      <c r="G102" s="2">
        <v>3.1226587920000002</v>
      </c>
      <c r="H102" s="3">
        <v>6.9800000000000003E-8</v>
      </c>
      <c r="I102" s="2" t="s">
        <v>24716</v>
      </c>
      <c r="J102" s="2" t="s">
        <v>24717</v>
      </c>
      <c r="K102" s="3">
        <v>3.4999999999999999E-6</v>
      </c>
      <c r="L102" s="2" t="s">
        <v>35</v>
      </c>
      <c r="M102" s="4" t="s">
        <v>24718</v>
      </c>
    </row>
    <row r="103" spans="1:13">
      <c r="A103" s="2">
        <v>1096</v>
      </c>
      <c r="B103" s="2" t="s">
        <v>24719</v>
      </c>
      <c r="C103" s="2">
        <v>12</v>
      </c>
      <c r="D103" s="2">
        <v>568</v>
      </c>
      <c r="E103" s="2">
        <v>81</v>
      </c>
      <c r="F103" s="2">
        <v>32441</v>
      </c>
      <c r="G103" s="2">
        <v>8.4613980180000006</v>
      </c>
      <c r="H103" s="3">
        <v>7.0500000000000003E-8</v>
      </c>
      <c r="I103" s="2" t="s">
        <v>24720</v>
      </c>
      <c r="J103" s="2" t="s">
        <v>24721</v>
      </c>
      <c r="K103" s="3">
        <v>3.4999999999999999E-6</v>
      </c>
      <c r="L103" s="2" t="s">
        <v>35</v>
      </c>
      <c r="M103" s="4" t="s">
        <v>24722</v>
      </c>
    </row>
    <row r="104" spans="1:13">
      <c r="A104" s="2">
        <v>900</v>
      </c>
      <c r="B104" s="2" t="s">
        <v>24723</v>
      </c>
      <c r="C104" s="2">
        <v>11</v>
      </c>
      <c r="D104" s="2">
        <v>568</v>
      </c>
      <c r="E104" s="2">
        <v>66</v>
      </c>
      <c r="F104" s="2">
        <v>32441</v>
      </c>
      <c r="G104" s="2">
        <v>9.5190727699999993</v>
      </c>
      <c r="H104" s="3">
        <v>8.5199999999999995E-8</v>
      </c>
      <c r="I104" s="2" t="s">
        <v>24724</v>
      </c>
      <c r="J104" s="2" t="s">
        <v>24725</v>
      </c>
      <c r="K104" s="3">
        <v>4.1799999999999998E-6</v>
      </c>
      <c r="L104" s="2" t="s">
        <v>35</v>
      </c>
      <c r="M104" s="4" t="s">
        <v>24726</v>
      </c>
    </row>
    <row r="105" spans="1:13">
      <c r="A105" s="2">
        <v>3475</v>
      </c>
      <c r="B105" s="2" t="s">
        <v>24727</v>
      </c>
      <c r="C105" s="2">
        <v>34</v>
      </c>
      <c r="D105" s="2">
        <v>568</v>
      </c>
      <c r="E105" s="2">
        <v>673</v>
      </c>
      <c r="F105" s="2">
        <v>32441</v>
      </c>
      <c r="G105" s="2">
        <v>2.8854247329999998</v>
      </c>
      <c r="H105" s="3">
        <v>9.7500000000000006E-8</v>
      </c>
      <c r="I105" s="2" t="s">
        <v>24728</v>
      </c>
      <c r="J105" s="2" t="s">
        <v>24729</v>
      </c>
      <c r="K105" s="3">
        <v>4.7400000000000004E-6</v>
      </c>
      <c r="L105" s="2" t="s">
        <v>35</v>
      </c>
      <c r="M105" s="4" t="s">
        <v>24730</v>
      </c>
    </row>
    <row r="106" spans="1:13">
      <c r="A106" s="2">
        <v>4510</v>
      </c>
      <c r="B106" s="2" t="s">
        <v>24731</v>
      </c>
      <c r="C106" s="2">
        <v>9</v>
      </c>
      <c r="D106" s="2">
        <v>568</v>
      </c>
      <c r="E106" s="2">
        <v>39</v>
      </c>
      <c r="F106" s="2">
        <v>32441</v>
      </c>
      <c r="G106" s="2">
        <v>13.1802546</v>
      </c>
      <c r="H106" s="3">
        <v>1.15E-7</v>
      </c>
      <c r="I106" s="2" t="s">
        <v>24732</v>
      </c>
      <c r="J106" s="2" t="s">
        <v>24733</v>
      </c>
      <c r="K106" s="3">
        <v>5.5099999999999998E-6</v>
      </c>
      <c r="L106" s="2" t="s">
        <v>35</v>
      </c>
      <c r="M106" s="4" t="s">
        <v>24734</v>
      </c>
    </row>
    <row r="107" spans="1:13">
      <c r="A107" s="2">
        <v>3318</v>
      </c>
      <c r="B107" s="2" t="s">
        <v>4054</v>
      </c>
      <c r="C107" s="2">
        <v>37</v>
      </c>
      <c r="D107" s="2">
        <v>568</v>
      </c>
      <c r="E107" s="2">
        <v>783</v>
      </c>
      <c r="F107" s="2">
        <v>32441</v>
      </c>
      <c r="G107" s="2">
        <v>2.6988941949999998</v>
      </c>
      <c r="H107" s="3">
        <v>1.31E-7</v>
      </c>
      <c r="I107" s="2" t="s">
        <v>24735</v>
      </c>
      <c r="J107" s="2" t="s">
        <v>24736</v>
      </c>
      <c r="K107" s="3">
        <v>6.2299999999999996E-6</v>
      </c>
      <c r="L107" s="2" t="s">
        <v>35</v>
      </c>
      <c r="M107" s="4" t="s">
        <v>4057</v>
      </c>
    </row>
    <row r="108" spans="1:13">
      <c r="A108" s="2">
        <v>3384</v>
      </c>
      <c r="B108" s="2" t="s">
        <v>3693</v>
      </c>
      <c r="C108" s="2">
        <v>28</v>
      </c>
      <c r="D108" s="2">
        <v>568</v>
      </c>
      <c r="E108" s="2">
        <v>491</v>
      </c>
      <c r="F108" s="2">
        <v>32441</v>
      </c>
      <c r="G108" s="2">
        <v>3.2570350819999998</v>
      </c>
      <c r="H108" s="3">
        <v>1.3400000000000001E-7</v>
      </c>
      <c r="I108" s="2" t="s">
        <v>24737</v>
      </c>
      <c r="J108" s="2" t="s">
        <v>24738</v>
      </c>
      <c r="K108" s="3">
        <v>6.3099999999999997E-6</v>
      </c>
      <c r="L108" s="2" t="s">
        <v>35</v>
      </c>
      <c r="M108" s="4" t="s">
        <v>3696</v>
      </c>
    </row>
    <row r="109" spans="1:13">
      <c r="A109" s="2">
        <v>3319</v>
      </c>
      <c r="B109" s="2" t="s">
        <v>391</v>
      </c>
      <c r="C109" s="2">
        <v>43</v>
      </c>
      <c r="D109" s="2">
        <v>568</v>
      </c>
      <c r="E109" s="2">
        <v>1011</v>
      </c>
      <c r="F109" s="2">
        <v>32441</v>
      </c>
      <c r="G109" s="2">
        <v>2.4291995790000001</v>
      </c>
      <c r="H109" s="3">
        <v>2.04E-7</v>
      </c>
      <c r="I109" s="2" t="s">
        <v>24739</v>
      </c>
      <c r="J109" s="2" t="s">
        <v>24740</v>
      </c>
      <c r="K109" s="3">
        <v>9.5200000000000003E-6</v>
      </c>
      <c r="L109" s="2" t="s">
        <v>35</v>
      </c>
      <c r="M109" s="4" t="s">
        <v>24741</v>
      </c>
    </row>
    <row r="110" spans="1:13">
      <c r="A110" s="2">
        <v>1513</v>
      </c>
      <c r="B110" s="2" t="s">
        <v>2832</v>
      </c>
      <c r="C110" s="2">
        <v>20</v>
      </c>
      <c r="D110" s="2">
        <v>568</v>
      </c>
      <c r="E110" s="2">
        <v>275</v>
      </c>
      <c r="F110" s="2">
        <v>32441</v>
      </c>
      <c r="G110" s="2">
        <v>4.1537772090000002</v>
      </c>
      <c r="H110" s="3">
        <v>2.4699999999999998E-7</v>
      </c>
      <c r="I110" s="2" t="s">
        <v>24742</v>
      </c>
      <c r="J110" s="2" t="s">
        <v>24743</v>
      </c>
      <c r="K110" s="3">
        <v>1.1399999999999999E-5</v>
      </c>
      <c r="L110" s="2" t="s">
        <v>35</v>
      </c>
      <c r="M110" s="4" t="s">
        <v>2835</v>
      </c>
    </row>
    <row r="111" spans="1:13">
      <c r="A111" s="2">
        <v>909</v>
      </c>
      <c r="B111" s="2" t="s">
        <v>24744</v>
      </c>
      <c r="C111" s="2">
        <v>10</v>
      </c>
      <c r="D111" s="2">
        <v>568</v>
      </c>
      <c r="E111" s="2">
        <v>59</v>
      </c>
      <c r="F111" s="2">
        <v>32441</v>
      </c>
      <c r="G111" s="2">
        <v>9.6804129860000003</v>
      </c>
      <c r="H111" s="3">
        <v>2.8799999999999998E-7</v>
      </c>
      <c r="I111" s="2" t="s">
        <v>24745</v>
      </c>
      <c r="J111" s="2" t="s">
        <v>24746</v>
      </c>
      <c r="K111" s="3">
        <v>1.2999999999999999E-5</v>
      </c>
      <c r="L111" s="2" t="s">
        <v>35</v>
      </c>
      <c r="M111" s="4" t="s">
        <v>24747</v>
      </c>
    </row>
    <row r="112" spans="1:13">
      <c r="A112" s="2">
        <v>2423</v>
      </c>
      <c r="B112" s="2" t="s">
        <v>406</v>
      </c>
      <c r="C112" s="2">
        <v>42</v>
      </c>
      <c r="D112" s="2">
        <v>568</v>
      </c>
      <c r="E112" s="2">
        <v>988</v>
      </c>
      <c r="F112" s="2">
        <v>32441</v>
      </c>
      <c r="G112" s="2">
        <v>2.4279416380000001</v>
      </c>
      <c r="H112" s="3">
        <v>2.8799999999999998E-7</v>
      </c>
      <c r="I112" s="2" t="s">
        <v>24748</v>
      </c>
      <c r="J112" s="2" t="s">
        <v>24749</v>
      </c>
      <c r="K112" s="3">
        <v>1.2999999999999999E-5</v>
      </c>
      <c r="L112" s="2" t="s">
        <v>35</v>
      </c>
      <c r="M112" s="4" t="s">
        <v>24750</v>
      </c>
    </row>
    <row r="113" spans="1:13">
      <c r="A113" s="2">
        <v>3135</v>
      </c>
      <c r="B113" s="2" t="s">
        <v>24751</v>
      </c>
      <c r="C113" s="2">
        <v>16</v>
      </c>
      <c r="D113" s="2">
        <v>568</v>
      </c>
      <c r="E113" s="2">
        <v>178</v>
      </c>
      <c r="F113" s="2">
        <v>32441</v>
      </c>
      <c r="G113" s="2">
        <v>5.1338819429999996</v>
      </c>
      <c r="H113" s="3">
        <v>2.9200000000000002E-7</v>
      </c>
      <c r="I113" s="2" t="s">
        <v>24752</v>
      </c>
      <c r="J113" s="2" t="s">
        <v>24753</v>
      </c>
      <c r="K113" s="3">
        <v>1.31E-5</v>
      </c>
      <c r="L113" s="2" t="s">
        <v>35</v>
      </c>
      <c r="M113" s="4" t="s">
        <v>24754</v>
      </c>
    </row>
    <row r="114" spans="1:13">
      <c r="A114" s="2">
        <v>1511</v>
      </c>
      <c r="B114" s="2" t="s">
        <v>2806</v>
      </c>
      <c r="C114" s="2">
        <v>16</v>
      </c>
      <c r="D114" s="2">
        <v>568</v>
      </c>
      <c r="E114" s="2">
        <v>180</v>
      </c>
      <c r="F114" s="2">
        <v>32441</v>
      </c>
      <c r="G114" s="2">
        <v>5.076838811</v>
      </c>
      <c r="H114" s="3">
        <v>3.3500000000000002E-7</v>
      </c>
      <c r="I114" s="2" t="s">
        <v>24755</v>
      </c>
      <c r="J114" s="2" t="s">
        <v>24756</v>
      </c>
      <c r="K114" s="3">
        <v>1.49E-5</v>
      </c>
      <c r="L114" s="2" t="s">
        <v>35</v>
      </c>
      <c r="M114" s="4" t="s">
        <v>2809</v>
      </c>
    </row>
    <row r="115" spans="1:13">
      <c r="A115" s="2">
        <v>1549</v>
      </c>
      <c r="B115" s="2" t="s">
        <v>4577</v>
      </c>
      <c r="C115" s="2">
        <v>12</v>
      </c>
      <c r="D115" s="2">
        <v>568</v>
      </c>
      <c r="E115" s="2">
        <v>95</v>
      </c>
      <c r="F115" s="2">
        <v>32441</v>
      </c>
      <c r="G115" s="2">
        <v>7.2144551520000002</v>
      </c>
      <c r="H115" s="3">
        <v>3.3799999999999998E-7</v>
      </c>
      <c r="I115" s="2" t="s">
        <v>24757</v>
      </c>
      <c r="J115" s="2" t="s">
        <v>24758</v>
      </c>
      <c r="K115" s="3">
        <v>1.49E-5</v>
      </c>
      <c r="L115" s="2" t="s">
        <v>35</v>
      </c>
      <c r="M115" s="4" t="s">
        <v>4580</v>
      </c>
    </row>
    <row r="116" spans="1:13">
      <c r="A116" s="2">
        <v>2509</v>
      </c>
      <c r="B116" s="2" t="s">
        <v>24759</v>
      </c>
      <c r="C116" s="2">
        <v>18</v>
      </c>
      <c r="D116" s="2">
        <v>568</v>
      </c>
      <c r="E116" s="2">
        <v>230</v>
      </c>
      <c r="F116" s="2">
        <v>32441</v>
      </c>
      <c r="G116" s="2">
        <v>4.4698254750000004</v>
      </c>
      <c r="H116" s="3">
        <v>3.6300000000000001E-7</v>
      </c>
      <c r="I116" s="2" t="s">
        <v>24760</v>
      </c>
      <c r="J116" s="2" t="s">
        <v>24761</v>
      </c>
      <c r="K116" s="3">
        <v>1.59E-5</v>
      </c>
      <c r="L116" s="2" t="s">
        <v>35</v>
      </c>
      <c r="M116" s="4" t="s">
        <v>24762</v>
      </c>
    </row>
    <row r="117" spans="1:13">
      <c r="A117" s="2">
        <v>4546</v>
      </c>
      <c r="B117" s="2" t="s">
        <v>24763</v>
      </c>
      <c r="C117" s="2">
        <v>13</v>
      </c>
      <c r="D117" s="2">
        <v>568</v>
      </c>
      <c r="E117" s="2">
        <v>116</v>
      </c>
      <c r="F117" s="2">
        <v>32441</v>
      </c>
      <c r="G117" s="2">
        <v>6.4007558280000003</v>
      </c>
      <c r="H117" s="3">
        <v>3.8599999999999999E-7</v>
      </c>
      <c r="I117" s="2" t="s">
        <v>24764</v>
      </c>
      <c r="J117" s="2" t="s">
        <v>24765</v>
      </c>
      <c r="K117" s="3">
        <v>1.6699999999999999E-5</v>
      </c>
      <c r="L117" s="2" t="s">
        <v>35</v>
      </c>
      <c r="M117" s="4" t="s">
        <v>24766</v>
      </c>
    </row>
    <row r="118" spans="1:13">
      <c r="A118" s="2">
        <v>3252</v>
      </c>
      <c r="B118" s="2" t="s">
        <v>24767</v>
      </c>
      <c r="C118" s="2">
        <v>9</v>
      </c>
      <c r="D118" s="2">
        <v>568</v>
      </c>
      <c r="E118" s="2">
        <v>46</v>
      </c>
      <c r="F118" s="2">
        <v>32441</v>
      </c>
      <c r="G118" s="2">
        <v>11.174563689999999</v>
      </c>
      <c r="H118" s="3">
        <v>3.9099999999999999E-7</v>
      </c>
      <c r="I118" s="2" t="s">
        <v>24768</v>
      </c>
      <c r="J118" s="2" t="s">
        <v>24769</v>
      </c>
      <c r="K118" s="3">
        <v>1.6799999999999998E-5</v>
      </c>
      <c r="L118" s="2" t="s">
        <v>35</v>
      </c>
      <c r="M118" s="4" t="s">
        <v>24770</v>
      </c>
    </row>
    <row r="119" spans="1:13">
      <c r="A119" s="2">
        <v>1565</v>
      </c>
      <c r="B119" s="2" t="s">
        <v>24771</v>
      </c>
      <c r="C119" s="2">
        <v>22</v>
      </c>
      <c r="D119" s="2">
        <v>568</v>
      </c>
      <c r="E119" s="2">
        <v>341</v>
      </c>
      <c r="F119" s="2">
        <v>32441</v>
      </c>
      <c r="G119" s="2">
        <v>3.6848023630000002</v>
      </c>
      <c r="H119" s="3">
        <v>4.3099999999999998E-7</v>
      </c>
      <c r="I119" s="2" t="s">
        <v>24772</v>
      </c>
      <c r="J119" s="2" t="s">
        <v>24773</v>
      </c>
      <c r="K119" s="3">
        <v>1.8300000000000001E-5</v>
      </c>
      <c r="L119" s="2" t="s">
        <v>35</v>
      </c>
      <c r="M119" s="4" t="s">
        <v>24774</v>
      </c>
    </row>
    <row r="120" spans="1:13">
      <c r="A120" s="2">
        <v>4737</v>
      </c>
      <c r="B120" s="2" t="s">
        <v>24775</v>
      </c>
      <c r="C120" s="2">
        <v>25</v>
      </c>
      <c r="D120" s="2">
        <v>568</v>
      </c>
      <c r="E120" s="2">
        <v>432</v>
      </c>
      <c r="F120" s="2">
        <v>32441</v>
      </c>
      <c r="G120" s="2">
        <v>3.3052336009999999</v>
      </c>
      <c r="H120" s="3">
        <v>4.8699999999999995E-7</v>
      </c>
      <c r="I120" s="2" t="s">
        <v>24776</v>
      </c>
      <c r="J120" s="2" t="s">
        <v>24777</v>
      </c>
      <c r="K120" s="3">
        <v>2.05E-5</v>
      </c>
      <c r="L120" s="2" t="s">
        <v>35</v>
      </c>
      <c r="M120" s="4" t="s">
        <v>24778</v>
      </c>
    </row>
    <row r="121" spans="1:13">
      <c r="A121" s="2">
        <v>2920</v>
      </c>
      <c r="B121" s="2" t="s">
        <v>24779</v>
      </c>
      <c r="C121" s="2">
        <v>18</v>
      </c>
      <c r="D121" s="2">
        <v>568</v>
      </c>
      <c r="E121" s="2">
        <v>240</v>
      </c>
      <c r="F121" s="2">
        <v>32441</v>
      </c>
      <c r="G121" s="2">
        <v>4.2835827460000004</v>
      </c>
      <c r="H121" s="3">
        <v>6.4700000000000001E-7</v>
      </c>
      <c r="I121" s="2" t="s">
        <v>24780</v>
      </c>
      <c r="J121" s="2" t="s">
        <v>24781</v>
      </c>
      <c r="K121" s="3">
        <v>2.6999999999999999E-5</v>
      </c>
      <c r="L121" s="2" t="s">
        <v>35</v>
      </c>
      <c r="M121" s="4" t="s">
        <v>24782</v>
      </c>
    </row>
    <row r="122" spans="1:13">
      <c r="A122" s="2">
        <v>3679</v>
      </c>
      <c r="B122" s="2" t="s">
        <v>24783</v>
      </c>
      <c r="C122" s="2">
        <v>20</v>
      </c>
      <c r="D122" s="2">
        <v>568</v>
      </c>
      <c r="E122" s="2">
        <v>294</v>
      </c>
      <c r="F122" s="2">
        <v>32441</v>
      </c>
      <c r="G122" s="2">
        <v>3.8853358240000002</v>
      </c>
      <c r="H122" s="3">
        <v>6.6400000000000002E-7</v>
      </c>
      <c r="I122" s="2" t="s">
        <v>24784</v>
      </c>
      <c r="J122" s="2" t="s">
        <v>24785</v>
      </c>
      <c r="K122" s="3">
        <v>2.7500000000000001E-5</v>
      </c>
      <c r="L122" s="2" t="s">
        <v>35</v>
      </c>
      <c r="M122" s="4" t="s">
        <v>24786</v>
      </c>
    </row>
    <row r="123" spans="1:13">
      <c r="A123" s="2">
        <v>1450</v>
      </c>
      <c r="B123" s="2" t="s">
        <v>24787</v>
      </c>
      <c r="C123" s="2">
        <v>23</v>
      </c>
      <c r="D123" s="2">
        <v>568</v>
      </c>
      <c r="E123" s="2">
        <v>380</v>
      </c>
      <c r="F123" s="2">
        <v>32441</v>
      </c>
      <c r="G123" s="2">
        <v>3.456926427</v>
      </c>
      <c r="H123" s="3">
        <v>6.7400000000000003E-7</v>
      </c>
      <c r="I123" s="2" t="s">
        <v>24788</v>
      </c>
      <c r="J123" s="2" t="s">
        <v>24789</v>
      </c>
      <c r="K123" s="3">
        <v>2.7699999999999999E-5</v>
      </c>
      <c r="L123" s="2" t="s">
        <v>35</v>
      </c>
      <c r="M123" s="4" t="s">
        <v>24790</v>
      </c>
    </row>
    <row r="124" spans="1:13">
      <c r="A124" s="2">
        <v>3061</v>
      </c>
      <c r="B124" s="2" t="s">
        <v>2905</v>
      </c>
      <c r="C124" s="2">
        <v>8</v>
      </c>
      <c r="D124" s="2">
        <v>568</v>
      </c>
      <c r="E124" s="2">
        <v>36</v>
      </c>
      <c r="F124" s="2">
        <v>32441</v>
      </c>
      <c r="G124" s="2">
        <v>12.692097029999999</v>
      </c>
      <c r="H124" s="3">
        <v>7.5199999999999996E-7</v>
      </c>
      <c r="I124" s="2" t="s">
        <v>24791</v>
      </c>
      <c r="J124" s="2" t="s">
        <v>24792</v>
      </c>
      <c r="K124" s="3">
        <v>3.0599999999999998E-5</v>
      </c>
      <c r="L124" s="2" t="s">
        <v>35</v>
      </c>
      <c r="M124" s="4" t="s">
        <v>2908</v>
      </c>
    </row>
    <row r="125" spans="1:13">
      <c r="A125" s="2">
        <v>1482</v>
      </c>
      <c r="B125" s="2" t="s">
        <v>24793</v>
      </c>
      <c r="C125" s="2">
        <v>23</v>
      </c>
      <c r="D125" s="2">
        <v>568</v>
      </c>
      <c r="E125" s="2">
        <v>384</v>
      </c>
      <c r="F125" s="2">
        <v>32441</v>
      </c>
      <c r="G125" s="2">
        <v>3.420916777</v>
      </c>
      <c r="H125" s="3">
        <v>7.9899999999999999E-7</v>
      </c>
      <c r="I125" s="2" t="s">
        <v>24794</v>
      </c>
      <c r="J125" s="2" t="s">
        <v>24795</v>
      </c>
      <c r="K125" s="3">
        <v>3.2199999999999997E-5</v>
      </c>
      <c r="L125" s="2" t="s">
        <v>35</v>
      </c>
      <c r="M125" s="4" t="s">
        <v>24796</v>
      </c>
    </row>
    <row r="126" spans="1:13">
      <c r="A126" s="2">
        <v>1246</v>
      </c>
      <c r="B126" s="2" t="s">
        <v>24797</v>
      </c>
      <c r="C126" s="2">
        <v>11</v>
      </c>
      <c r="D126" s="2">
        <v>568</v>
      </c>
      <c r="E126" s="2">
        <v>87</v>
      </c>
      <c r="F126" s="2">
        <v>32441</v>
      </c>
      <c r="G126" s="2">
        <v>7.2213655499999998</v>
      </c>
      <c r="H126" s="3">
        <v>1.0300000000000001E-6</v>
      </c>
      <c r="I126" s="2" t="s">
        <v>24798</v>
      </c>
      <c r="J126" s="2" t="s">
        <v>24799</v>
      </c>
      <c r="K126" s="3">
        <v>4.1300000000000001E-5</v>
      </c>
      <c r="L126" s="2" t="s">
        <v>35</v>
      </c>
      <c r="M126" s="4" t="s">
        <v>24800</v>
      </c>
    </row>
    <row r="127" spans="1:13">
      <c r="A127" s="2">
        <v>3924</v>
      </c>
      <c r="B127" s="2" t="s">
        <v>24801</v>
      </c>
      <c r="C127" s="2">
        <v>19</v>
      </c>
      <c r="D127" s="2">
        <v>568</v>
      </c>
      <c r="E127" s="2">
        <v>277</v>
      </c>
      <c r="F127" s="2">
        <v>32441</v>
      </c>
      <c r="G127" s="2">
        <v>3.9175967360000001</v>
      </c>
      <c r="H127" s="3">
        <v>1.1200000000000001E-6</v>
      </c>
      <c r="I127" s="2" t="s">
        <v>24802</v>
      </c>
      <c r="J127" s="2" t="s">
        <v>24803</v>
      </c>
      <c r="K127" s="3">
        <v>4.4499999999999997E-5</v>
      </c>
      <c r="L127" s="2" t="s">
        <v>35</v>
      </c>
      <c r="M127" s="4" t="s">
        <v>24804</v>
      </c>
    </row>
    <row r="128" spans="1:13">
      <c r="A128" s="2">
        <v>4527</v>
      </c>
      <c r="B128" s="2" t="s">
        <v>24805</v>
      </c>
      <c r="C128" s="2">
        <v>36</v>
      </c>
      <c r="D128" s="2">
        <v>568</v>
      </c>
      <c r="E128" s="2">
        <v>824</v>
      </c>
      <c r="F128" s="2">
        <v>32441</v>
      </c>
      <c r="G128" s="2">
        <v>2.49529092</v>
      </c>
      <c r="H128" s="3">
        <v>1.1400000000000001E-6</v>
      </c>
      <c r="I128" s="2" t="s">
        <v>24806</v>
      </c>
      <c r="J128" s="2" t="s">
        <v>24807</v>
      </c>
      <c r="K128" s="3">
        <v>4.4700000000000002E-5</v>
      </c>
      <c r="L128" s="2" t="s">
        <v>35</v>
      </c>
      <c r="M128" s="4" t="s">
        <v>24808</v>
      </c>
    </row>
    <row r="129" spans="1:13">
      <c r="A129" s="2">
        <v>830</v>
      </c>
      <c r="B129" s="2" t="s">
        <v>24809</v>
      </c>
      <c r="C129" s="2">
        <v>7</v>
      </c>
      <c r="D129" s="2">
        <v>568</v>
      </c>
      <c r="E129" s="2">
        <v>26</v>
      </c>
      <c r="F129" s="2">
        <v>32441</v>
      </c>
      <c r="G129" s="2">
        <v>15.37696371</v>
      </c>
      <c r="H129" s="3">
        <v>1.2500000000000001E-6</v>
      </c>
      <c r="I129" s="2" t="s">
        <v>24810</v>
      </c>
      <c r="J129" s="2" t="s">
        <v>24811</v>
      </c>
      <c r="K129" s="3">
        <v>4.8699999999999998E-5</v>
      </c>
      <c r="L129" s="2" t="s">
        <v>35</v>
      </c>
      <c r="M129" s="4" t="s">
        <v>24812</v>
      </c>
    </row>
    <row r="130" spans="1:13">
      <c r="A130" s="2">
        <v>2997</v>
      </c>
      <c r="B130" s="2" t="s">
        <v>24813</v>
      </c>
      <c r="C130" s="2">
        <v>9</v>
      </c>
      <c r="D130" s="2">
        <v>568</v>
      </c>
      <c r="E130" s="2">
        <v>54</v>
      </c>
      <c r="F130" s="2">
        <v>32441</v>
      </c>
      <c r="G130" s="2">
        <v>9.5190727699999993</v>
      </c>
      <c r="H130" s="3">
        <v>1.2899999999999999E-6</v>
      </c>
      <c r="I130" s="2" t="s">
        <v>24814</v>
      </c>
      <c r="J130" s="2" t="s">
        <v>24815</v>
      </c>
      <c r="K130" s="3">
        <v>4.9799999999999998E-5</v>
      </c>
      <c r="L130" s="2" t="s">
        <v>35</v>
      </c>
      <c r="M130" s="4" t="s">
        <v>24816</v>
      </c>
    </row>
    <row r="131" spans="1:13">
      <c r="A131" s="2">
        <v>2950</v>
      </c>
      <c r="B131" s="2" t="s">
        <v>24817</v>
      </c>
      <c r="C131" s="2">
        <v>20</v>
      </c>
      <c r="D131" s="2">
        <v>568</v>
      </c>
      <c r="E131" s="2">
        <v>314</v>
      </c>
      <c r="F131" s="2">
        <v>32441</v>
      </c>
      <c r="G131" s="2">
        <v>3.6378622049999998</v>
      </c>
      <c r="H131" s="3">
        <v>1.73E-6</v>
      </c>
      <c r="I131" s="2" t="s">
        <v>24818</v>
      </c>
      <c r="J131" s="2" t="s">
        <v>24819</v>
      </c>
      <c r="K131" s="3">
        <v>6.6199999999999996E-5</v>
      </c>
      <c r="L131" s="2" t="s">
        <v>35</v>
      </c>
      <c r="M131" s="4" t="s">
        <v>24820</v>
      </c>
    </row>
    <row r="132" spans="1:13">
      <c r="A132" s="2">
        <v>1586</v>
      </c>
      <c r="B132" s="2" t="s">
        <v>24821</v>
      </c>
      <c r="C132" s="2">
        <v>13</v>
      </c>
      <c r="D132" s="2">
        <v>568</v>
      </c>
      <c r="E132" s="2">
        <v>135</v>
      </c>
      <c r="F132" s="2">
        <v>32441</v>
      </c>
      <c r="G132" s="2">
        <v>5.4999087119999999</v>
      </c>
      <c r="H132" s="3">
        <v>1.86E-6</v>
      </c>
      <c r="I132" s="2" t="s">
        <v>24822</v>
      </c>
      <c r="J132" s="2" t="s">
        <v>24823</v>
      </c>
      <c r="K132" s="3">
        <v>7.0300000000000001E-5</v>
      </c>
      <c r="L132" s="2" t="s">
        <v>35</v>
      </c>
      <c r="M132" s="4" t="s">
        <v>24824</v>
      </c>
    </row>
    <row r="133" spans="1:13">
      <c r="A133" s="2">
        <v>4728</v>
      </c>
      <c r="B133" s="2" t="s">
        <v>24825</v>
      </c>
      <c r="C133" s="2">
        <v>13</v>
      </c>
      <c r="D133" s="2">
        <v>568</v>
      </c>
      <c r="E133" s="2">
        <v>135</v>
      </c>
      <c r="F133" s="2">
        <v>32441</v>
      </c>
      <c r="G133" s="2">
        <v>5.4999087119999999</v>
      </c>
      <c r="H133" s="3">
        <v>1.86E-6</v>
      </c>
      <c r="I133" s="2" t="s">
        <v>24826</v>
      </c>
      <c r="J133" s="2" t="s">
        <v>24827</v>
      </c>
      <c r="K133" s="3">
        <v>7.0300000000000001E-5</v>
      </c>
      <c r="L133" s="2" t="s">
        <v>35</v>
      </c>
      <c r="M133" s="4" t="s">
        <v>24828</v>
      </c>
    </row>
    <row r="134" spans="1:13">
      <c r="A134" s="2">
        <v>4741</v>
      </c>
      <c r="B134" s="2" t="s">
        <v>24829</v>
      </c>
      <c r="C134" s="2">
        <v>21</v>
      </c>
      <c r="D134" s="2">
        <v>568</v>
      </c>
      <c r="E134" s="2">
        <v>347</v>
      </c>
      <c r="F134" s="2">
        <v>32441</v>
      </c>
      <c r="G134" s="2">
        <v>3.4564932819999998</v>
      </c>
      <c r="H134" s="3">
        <v>2.0499999999999999E-6</v>
      </c>
      <c r="I134" s="2" t="s">
        <v>24830</v>
      </c>
      <c r="J134" s="2" t="s">
        <v>24831</v>
      </c>
      <c r="K134" s="3">
        <v>7.7000000000000001E-5</v>
      </c>
      <c r="L134" s="2" t="s">
        <v>35</v>
      </c>
      <c r="M134" s="4" t="s">
        <v>24832</v>
      </c>
    </row>
    <row r="135" spans="1:13">
      <c r="A135" s="2">
        <v>1444</v>
      </c>
      <c r="B135" s="2" t="s">
        <v>2848</v>
      </c>
      <c r="C135" s="2">
        <v>20</v>
      </c>
      <c r="D135" s="2">
        <v>568</v>
      </c>
      <c r="E135" s="2">
        <v>320</v>
      </c>
      <c r="F135" s="2">
        <v>32441</v>
      </c>
      <c r="G135" s="2">
        <v>3.569652289</v>
      </c>
      <c r="H135" s="3">
        <v>2.26E-6</v>
      </c>
      <c r="I135" s="2" t="s">
        <v>24833</v>
      </c>
      <c r="J135" s="2" t="s">
        <v>24834</v>
      </c>
      <c r="K135" s="3">
        <v>8.42E-5</v>
      </c>
      <c r="L135" s="2" t="s">
        <v>35</v>
      </c>
      <c r="M135" s="4" t="s">
        <v>2851</v>
      </c>
    </row>
    <row r="136" spans="1:13">
      <c r="A136" s="2">
        <v>734</v>
      </c>
      <c r="B136" s="2" t="s">
        <v>24835</v>
      </c>
      <c r="C136" s="2">
        <v>7</v>
      </c>
      <c r="D136" s="2">
        <v>568</v>
      </c>
      <c r="E136" s="2">
        <v>29</v>
      </c>
      <c r="F136" s="2">
        <v>32441</v>
      </c>
      <c r="G136" s="2">
        <v>13.786243320000001</v>
      </c>
      <c r="H136" s="3">
        <v>2.3300000000000001E-6</v>
      </c>
      <c r="I136" s="2" t="s">
        <v>24836</v>
      </c>
      <c r="J136" s="2" t="s">
        <v>24837</v>
      </c>
      <c r="K136" s="3">
        <v>8.6100000000000006E-5</v>
      </c>
      <c r="L136" s="2" t="s">
        <v>35</v>
      </c>
      <c r="M136" s="4" t="s">
        <v>24838</v>
      </c>
    </row>
    <row r="137" spans="1:13">
      <c r="A137" s="2">
        <v>832</v>
      </c>
      <c r="B137" s="2" t="s">
        <v>2856</v>
      </c>
      <c r="C137" s="2">
        <v>13</v>
      </c>
      <c r="D137" s="2">
        <v>568</v>
      </c>
      <c r="E137" s="2">
        <v>140</v>
      </c>
      <c r="F137" s="2">
        <v>32441</v>
      </c>
      <c r="G137" s="2">
        <v>5.3034834000000002</v>
      </c>
      <c r="H137" s="3">
        <v>2.7E-6</v>
      </c>
      <c r="I137" s="2" t="s">
        <v>24839</v>
      </c>
      <c r="J137" s="2" t="s">
        <v>24840</v>
      </c>
      <c r="K137" s="3">
        <v>9.8900000000000005E-5</v>
      </c>
      <c r="L137" s="2" t="s">
        <v>35</v>
      </c>
      <c r="M137" s="4" t="s">
        <v>2859</v>
      </c>
    </row>
    <row r="138" spans="1:13">
      <c r="A138" s="2">
        <v>20</v>
      </c>
      <c r="B138" s="2" t="s">
        <v>24841</v>
      </c>
      <c r="C138" s="2">
        <v>8</v>
      </c>
      <c r="D138" s="2">
        <v>568</v>
      </c>
      <c r="E138" s="2">
        <v>44</v>
      </c>
      <c r="F138" s="2">
        <v>32441</v>
      </c>
      <c r="G138" s="2">
        <v>10.384443020000001</v>
      </c>
      <c r="H138" s="3">
        <v>2.83E-6</v>
      </c>
      <c r="I138" s="2" t="s">
        <v>24842</v>
      </c>
      <c r="J138" s="2" t="s">
        <v>24843</v>
      </c>
      <c r="K138" s="2">
        <v>1.0287E-4</v>
      </c>
      <c r="L138" s="2" t="s">
        <v>35</v>
      </c>
      <c r="M138" s="4" t="s">
        <v>24844</v>
      </c>
    </row>
    <row r="139" spans="1:13">
      <c r="A139" s="2">
        <v>1493</v>
      </c>
      <c r="B139" s="2" t="s">
        <v>24845</v>
      </c>
      <c r="C139" s="2">
        <v>18</v>
      </c>
      <c r="D139" s="2">
        <v>568</v>
      </c>
      <c r="E139" s="2">
        <v>269</v>
      </c>
      <c r="F139" s="2">
        <v>32441</v>
      </c>
      <c r="G139" s="2">
        <v>3.8217838629999998</v>
      </c>
      <c r="H139" s="3">
        <v>2.96E-6</v>
      </c>
      <c r="I139" s="2" t="s">
        <v>24846</v>
      </c>
      <c r="J139" s="2" t="s">
        <v>24847</v>
      </c>
      <c r="K139" s="2">
        <v>1.06908E-4</v>
      </c>
      <c r="L139" s="2" t="s">
        <v>35</v>
      </c>
      <c r="M139" s="4" t="s">
        <v>24848</v>
      </c>
    </row>
    <row r="140" spans="1:13">
      <c r="A140" s="2">
        <v>3311</v>
      </c>
      <c r="B140" s="2" t="s">
        <v>487</v>
      </c>
      <c r="C140" s="2">
        <v>9</v>
      </c>
      <c r="D140" s="2">
        <v>568</v>
      </c>
      <c r="E140" s="2">
        <v>62</v>
      </c>
      <c r="F140" s="2">
        <v>32441</v>
      </c>
      <c r="G140" s="2">
        <v>8.2908053160000001</v>
      </c>
      <c r="H140" s="3">
        <v>3.58E-6</v>
      </c>
      <c r="I140" s="2" t="s">
        <v>24849</v>
      </c>
      <c r="J140" s="2" t="s">
        <v>24850</v>
      </c>
      <c r="K140" s="2">
        <v>1.2831299999999999E-4</v>
      </c>
      <c r="L140" s="2" t="s">
        <v>35</v>
      </c>
      <c r="M140" s="4" t="s">
        <v>24851</v>
      </c>
    </row>
    <row r="141" spans="1:13">
      <c r="A141" s="2">
        <v>3123</v>
      </c>
      <c r="B141" s="2" t="s">
        <v>24852</v>
      </c>
      <c r="C141" s="2">
        <v>7</v>
      </c>
      <c r="D141" s="2">
        <v>568</v>
      </c>
      <c r="E141" s="2">
        <v>32</v>
      </c>
      <c r="F141" s="2">
        <v>32441</v>
      </c>
      <c r="G141" s="2">
        <v>12.49378301</v>
      </c>
      <c r="H141" s="3">
        <v>4.1099999999999996E-6</v>
      </c>
      <c r="I141" s="2" t="s">
        <v>24853</v>
      </c>
      <c r="J141" s="2" t="s">
        <v>24854</v>
      </c>
      <c r="K141" s="2">
        <v>1.45978E-4</v>
      </c>
      <c r="L141" s="2" t="s">
        <v>35</v>
      </c>
      <c r="M141" s="4" t="s">
        <v>24855</v>
      </c>
    </row>
    <row r="142" spans="1:13">
      <c r="A142" s="2">
        <v>4207</v>
      </c>
      <c r="B142" s="2" t="s">
        <v>123</v>
      </c>
      <c r="C142" s="2">
        <v>42</v>
      </c>
      <c r="D142" s="2">
        <v>568</v>
      </c>
      <c r="E142" s="2">
        <v>1103</v>
      </c>
      <c r="F142" s="2">
        <v>32441</v>
      </c>
      <c r="G142" s="2">
        <v>2.174801757</v>
      </c>
      <c r="H142" s="3">
        <v>4.2599999999999999E-6</v>
      </c>
      <c r="I142" s="2" t="s">
        <v>24856</v>
      </c>
      <c r="J142" s="2" t="s">
        <v>24857</v>
      </c>
      <c r="K142" s="2">
        <v>1.50228E-4</v>
      </c>
      <c r="L142" s="2" t="s">
        <v>35</v>
      </c>
      <c r="M142" s="4" t="s">
        <v>24858</v>
      </c>
    </row>
    <row r="143" spans="1:13">
      <c r="A143" s="2">
        <v>1509</v>
      </c>
      <c r="B143" s="2" t="s">
        <v>2787</v>
      </c>
      <c r="C143" s="2">
        <v>20</v>
      </c>
      <c r="D143" s="2">
        <v>568</v>
      </c>
      <c r="E143" s="2">
        <v>335</v>
      </c>
      <c r="F143" s="2">
        <v>32441</v>
      </c>
      <c r="G143" s="2">
        <v>3.4098171119999998</v>
      </c>
      <c r="H143" s="3">
        <v>4.34E-6</v>
      </c>
      <c r="I143" s="2" t="s">
        <v>24859</v>
      </c>
      <c r="J143" s="2" t="s">
        <v>24860</v>
      </c>
      <c r="K143" s="2">
        <v>1.5181799999999999E-4</v>
      </c>
      <c r="L143" s="2" t="s">
        <v>35</v>
      </c>
      <c r="M143" s="4" t="s">
        <v>2790</v>
      </c>
    </row>
    <row r="144" spans="1:13">
      <c r="A144" s="2">
        <v>4147</v>
      </c>
      <c r="B144" s="2" t="s">
        <v>24861</v>
      </c>
      <c r="C144" s="2">
        <v>10</v>
      </c>
      <c r="D144" s="2">
        <v>568</v>
      </c>
      <c r="E144" s="2">
        <v>83</v>
      </c>
      <c r="F144" s="2">
        <v>32441</v>
      </c>
      <c r="G144" s="2">
        <v>6.8812574240000002</v>
      </c>
      <c r="H144" s="3">
        <v>4.7299999999999996E-6</v>
      </c>
      <c r="I144" s="2" t="s">
        <v>24862</v>
      </c>
      <c r="J144" s="2" t="s">
        <v>24863</v>
      </c>
      <c r="K144" s="2">
        <v>1.6433800000000001E-4</v>
      </c>
      <c r="L144" s="2" t="s">
        <v>35</v>
      </c>
      <c r="M144" s="4" t="s">
        <v>24864</v>
      </c>
    </row>
    <row r="145" spans="1:13">
      <c r="A145" s="2">
        <v>1235</v>
      </c>
      <c r="B145" s="2" t="s">
        <v>24865</v>
      </c>
      <c r="C145" s="2">
        <v>7</v>
      </c>
      <c r="D145" s="2">
        <v>568</v>
      </c>
      <c r="E145" s="2">
        <v>33</v>
      </c>
      <c r="F145" s="2">
        <v>32441</v>
      </c>
      <c r="G145" s="2">
        <v>12.115183529999999</v>
      </c>
      <c r="H145" s="3">
        <v>4.9100000000000004E-6</v>
      </c>
      <c r="I145" s="2" t="s">
        <v>24866</v>
      </c>
      <c r="J145" s="2" t="s">
        <v>24867</v>
      </c>
      <c r="K145" s="2">
        <v>1.6927700000000001E-4</v>
      </c>
      <c r="L145" s="2" t="s">
        <v>35</v>
      </c>
      <c r="M145" s="4" t="s">
        <v>24868</v>
      </c>
    </row>
    <row r="146" spans="1:13">
      <c r="A146" s="2">
        <v>714</v>
      </c>
      <c r="B146" s="2" t="s">
        <v>493</v>
      </c>
      <c r="C146" s="2">
        <v>9</v>
      </c>
      <c r="D146" s="2">
        <v>568</v>
      </c>
      <c r="E146" s="2">
        <v>66</v>
      </c>
      <c r="F146" s="2">
        <v>32441</v>
      </c>
      <c r="G146" s="2">
        <v>7.7883322660000003</v>
      </c>
      <c r="H146" s="3">
        <v>5.6899999999999997E-6</v>
      </c>
      <c r="I146" s="2" t="s">
        <v>24869</v>
      </c>
      <c r="J146" s="2" t="s">
        <v>24870</v>
      </c>
      <c r="K146" s="2">
        <v>1.9481899999999999E-4</v>
      </c>
      <c r="L146" s="2" t="s">
        <v>35</v>
      </c>
      <c r="M146" s="4" t="s">
        <v>24871</v>
      </c>
    </row>
    <row r="147" spans="1:13">
      <c r="A147" s="2">
        <v>4597</v>
      </c>
      <c r="B147" s="2" t="s">
        <v>24872</v>
      </c>
      <c r="C147" s="2">
        <v>11</v>
      </c>
      <c r="D147" s="2">
        <v>568</v>
      </c>
      <c r="E147" s="2">
        <v>106</v>
      </c>
      <c r="F147" s="2">
        <v>32441</v>
      </c>
      <c r="G147" s="2">
        <v>5.9269698379999998</v>
      </c>
      <c r="H147" s="3">
        <v>5.9599999999999997E-6</v>
      </c>
      <c r="I147" s="2" t="s">
        <v>24873</v>
      </c>
      <c r="J147" s="2" t="s">
        <v>24874</v>
      </c>
      <c r="K147" s="2">
        <v>2.0270100000000001E-4</v>
      </c>
      <c r="L147" s="2" t="s">
        <v>35</v>
      </c>
      <c r="M147" s="4" t="s">
        <v>24875</v>
      </c>
    </row>
    <row r="148" spans="1:13">
      <c r="A148" s="2">
        <v>1677</v>
      </c>
      <c r="B148" s="2" t="s">
        <v>5151</v>
      </c>
      <c r="C148" s="2">
        <v>14</v>
      </c>
      <c r="D148" s="2">
        <v>568</v>
      </c>
      <c r="E148" s="2">
        <v>177</v>
      </c>
      <c r="F148" s="2">
        <v>32441</v>
      </c>
      <c r="G148" s="2">
        <v>4.5175260599999998</v>
      </c>
      <c r="H148" s="3">
        <v>6.3799999999999999E-6</v>
      </c>
      <c r="I148" s="2" t="s">
        <v>24876</v>
      </c>
      <c r="J148" s="2" t="s">
        <v>24877</v>
      </c>
      <c r="K148" s="2">
        <v>2.1380999999999999E-4</v>
      </c>
      <c r="L148" s="2" t="s">
        <v>35</v>
      </c>
      <c r="M148" s="4" t="s">
        <v>5154</v>
      </c>
    </row>
    <row r="149" spans="1:13">
      <c r="A149" s="2">
        <v>1750</v>
      </c>
      <c r="B149" s="2" t="s">
        <v>24878</v>
      </c>
      <c r="C149" s="2">
        <v>9</v>
      </c>
      <c r="D149" s="2">
        <v>568</v>
      </c>
      <c r="E149" s="2">
        <v>67</v>
      </c>
      <c r="F149" s="2">
        <v>32441</v>
      </c>
      <c r="G149" s="2">
        <v>7.6720885010000002</v>
      </c>
      <c r="H149" s="3">
        <v>6.3500000000000002E-6</v>
      </c>
      <c r="I149" s="2" t="s">
        <v>24879</v>
      </c>
      <c r="J149" s="2" t="s">
        <v>24880</v>
      </c>
      <c r="K149" s="2">
        <v>2.1380999999999999E-4</v>
      </c>
      <c r="L149" s="2" t="s">
        <v>35</v>
      </c>
      <c r="M149" s="4" t="s">
        <v>24881</v>
      </c>
    </row>
    <row r="150" spans="1:13">
      <c r="A150" s="2">
        <v>4453</v>
      </c>
      <c r="B150" s="2" t="s">
        <v>536</v>
      </c>
      <c r="C150" s="2">
        <v>19</v>
      </c>
      <c r="D150" s="2">
        <v>568</v>
      </c>
      <c r="E150" s="2">
        <v>317</v>
      </c>
      <c r="F150" s="2">
        <v>32441</v>
      </c>
      <c r="G150" s="2">
        <v>3.4232627629999999</v>
      </c>
      <c r="H150" s="3">
        <v>7.0999999999999998E-6</v>
      </c>
      <c r="I150" s="2" t="s">
        <v>24882</v>
      </c>
      <c r="J150" s="2" t="s">
        <v>24883</v>
      </c>
      <c r="K150" s="2">
        <v>2.3660099999999999E-4</v>
      </c>
      <c r="L150" s="2" t="s">
        <v>35</v>
      </c>
      <c r="M150" s="4" t="s">
        <v>24884</v>
      </c>
    </row>
    <row r="151" spans="1:13">
      <c r="A151" s="2">
        <v>4168</v>
      </c>
      <c r="B151" s="2" t="s">
        <v>24885</v>
      </c>
      <c r="C151" s="2">
        <v>15</v>
      </c>
      <c r="D151" s="2">
        <v>568</v>
      </c>
      <c r="E151" s="2">
        <v>207</v>
      </c>
      <c r="F151" s="2">
        <v>32441</v>
      </c>
      <c r="G151" s="2">
        <v>4.1387272910000004</v>
      </c>
      <c r="H151" s="3">
        <v>8.0800000000000006E-6</v>
      </c>
      <c r="I151" s="2" t="s">
        <v>24886</v>
      </c>
      <c r="J151" s="2" t="s">
        <v>24887</v>
      </c>
      <c r="K151" s="2">
        <v>2.6720800000000001E-4</v>
      </c>
      <c r="L151" s="2" t="s">
        <v>35</v>
      </c>
      <c r="M151" s="4" t="s">
        <v>24888</v>
      </c>
    </row>
    <row r="152" spans="1:13">
      <c r="A152" s="2">
        <v>164</v>
      </c>
      <c r="B152" s="2" t="s">
        <v>24889</v>
      </c>
      <c r="C152" s="2">
        <v>9</v>
      </c>
      <c r="D152" s="2">
        <v>568</v>
      </c>
      <c r="E152" s="2">
        <v>70</v>
      </c>
      <c r="F152" s="2">
        <v>32441</v>
      </c>
      <c r="G152" s="2">
        <v>7.3432847079999997</v>
      </c>
      <c r="H152" s="3">
        <v>8.7700000000000007E-6</v>
      </c>
      <c r="I152" s="2" t="s">
        <v>24890</v>
      </c>
      <c r="J152" s="2" t="s">
        <v>24891</v>
      </c>
      <c r="K152" s="2">
        <v>2.8796699999999998E-4</v>
      </c>
      <c r="L152" s="2" t="s">
        <v>35</v>
      </c>
      <c r="M152" s="4" t="s">
        <v>24892</v>
      </c>
    </row>
    <row r="153" spans="1:13">
      <c r="A153" s="2">
        <v>2938</v>
      </c>
      <c r="B153" s="2" t="s">
        <v>4999</v>
      </c>
      <c r="C153" s="2">
        <v>18</v>
      </c>
      <c r="D153" s="2">
        <v>568</v>
      </c>
      <c r="E153" s="2">
        <v>293</v>
      </c>
      <c r="F153" s="2">
        <v>32441</v>
      </c>
      <c r="G153" s="2">
        <v>3.508736721</v>
      </c>
      <c r="H153" s="3">
        <v>8.9900000000000003E-6</v>
      </c>
      <c r="I153" s="2" t="s">
        <v>24893</v>
      </c>
      <c r="J153" s="2" t="s">
        <v>24894</v>
      </c>
      <c r="K153" s="2">
        <v>2.9310000000000002E-4</v>
      </c>
      <c r="L153" s="2" t="s">
        <v>35</v>
      </c>
      <c r="M153" s="4" t="s">
        <v>5002</v>
      </c>
    </row>
    <row r="154" spans="1:13">
      <c r="A154" s="2">
        <v>2195</v>
      </c>
      <c r="B154" s="2" t="s">
        <v>24895</v>
      </c>
      <c r="C154" s="2">
        <v>4</v>
      </c>
      <c r="D154" s="2">
        <v>568</v>
      </c>
      <c r="E154" s="2">
        <v>5</v>
      </c>
      <c r="F154" s="2">
        <v>32441</v>
      </c>
      <c r="G154" s="2">
        <v>45.691549299999998</v>
      </c>
      <c r="H154" s="3">
        <v>1.0200000000000001E-5</v>
      </c>
      <c r="I154" s="2" t="s">
        <v>24896</v>
      </c>
      <c r="J154" s="2" t="s">
        <v>24897</v>
      </c>
      <c r="K154" s="2">
        <v>3.3062199999999998E-4</v>
      </c>
      <c r="L154" s="2" t="s">
        <v>35</v>
      </c>
      <c r="M154" s="4" t="s">
        <v>24898</v>
      </c>
    </row>
    <row r="155" spans="1:13">
      <c r="A155" s="2">
        <v>1333</v>
      </c>
      <c r="B155" s="2" t="s">
        <v>24899</v>
      </c>
      <c r="C155" s="2">
        <v>12</v>
      </c>
      <c r="D155" s="2">
        <v>568</v>
      </c>
      <c r="E155" s="2">
        <v>136</v>
      </c>
      <c r="F155" s="2">
        <v>32441</v>
      </c>
      <c r="G155" s="2">
        <v>5.0395091140000003</v>
      </c>
      <c r="H155" s="3">
        <v>1.0499999999999999E-5</v>
      </c>
      <c r="I155" s="2" t="s">
        <v>24900</v>
      </c>
      <c r="J155" s="2" t="s">
        <v>24901</v>
      </c>
      <c r="K155" s="2">
        <v>3.3802499999999999E-4</v>
      </c>
      <c r="L155" s="2" t="s">
        <v>35</v>
      </c>
      <c r="M155" s="4" t="s">
        <v>24902</v>
      </c>
    </row>
    <row r="156" spans="1:13">
      <c r="A156" s="2">
        <v>3516</v>
      </c>
      <c r="B156" s="2" t="s">
        <v>24903</v>
      </c>
      <c r="C156" s="2">
        <v>10</v>
      </c>
      <c r="D156" s="2">
        <v>568</v>
      </c>
      <c r="E156" s="2">
        <v>92</v>
      </c>
      <c r="F156" s="2">
        <v>32441</v>
      </c>
      <c r="G156" s="2">
        <v>6.2080909369999997</v>
      </c>
      <c r="H156" s="3">
        <v>1.0900000000000001E-5</v>
      </c>
      <c r="I156" s="2" t="s">
        <v>24904</v>
      </c>
      <c r="J156" s="2" t="s">
        <v>24905</v>
      </c>
      <c r="K156" s="2">
        <v>3.4701900000000001E-4</v>
      </c>
      <c r="L156" s="2" t="s">
        <v>35</v>
      </c>
      <c r="M156" s="4" t="s">
        <v>24906</v>
      </c>
    </row>
    <row r="157" spans="1:13">
      <c r="A157" s="2">
        <v>941</v>
      </c>
      <c r="B157" s="2" t="s">
        <v>2883</v>
      </c>
      <c r="C157" s="2">
        <v>13</v>
      </c>
      <c r="D157" s="2">
        <v>568</v>
      </c>
      <c r="E157" s="2">
        <v>161</v>
      </c>
      <c r="F157" s="2">
        <v>32441</v>
      </c>
      <c r="G157" s="2">
        <v>4.6117246959999996</v>
      </c>
      <c r="H157" s="3">
        <v>1.11E-5</v>
      </c>
      <c r="I157" s="2" t="s">
        <v>24839</v>
      </c>
      <c r="J157" s="2" t="s">
        <v>24840</v>
      </c>
      <c r="K157" s="2">
        <v>3.5085800000000001E-4</v>
      </c>
      <c r="L157" s="2" t="s">
        <v>35</v>
      </c>
      <c r="M157" s="4" t="s">
        <v>2884</v>
      </c>
    </row>
    <row r="158" spans="1:13">
      <c r="A158" s="2">
        <v>2268</v>
      </c>
      <c r="B158" s="2" t="s">
        <v>24907</v>
      </c>
      <c r="C158" s="2">
        <v>11</v>
      </c>
      <c r="D158" s="2">
        <v>568</v>
      </c>
      <c r="E158" s="2">
        <v>117</v>
      </c>
      <c r="F158" s="2">
        <v>32441</v>
      </c>
      <c r="G158" s="2">
        <v>5.3697333570000003</v>
      </c>
      <c r="H158" s="3">
        <v>1.4100000000000001E-5</v>
      </c>
      <c r="I158" s="2" t="s">
        <v>24908</v>
      </c>
      <c r="J158" s="2" t="s">
        <v>24909</v>
      </c>
      <c r="K158" s="2">
        <v>4.4483400000000002E-4</v>
      </c>
      <c r="L158" s="2" t="s">
        <v>35</v>
      </c>
      <c r="M158" s="4" t="s">
        <v>24910</v>
      </c>
    </row>
    <row r="159" spans="1:13">
      <c r="A159" s="2">
        <v>1766</v>
      </c>
      <c r="B159" s="2" t="s">
        <v>24911</v>
      </c>
      <c r="C159" s="2">
        <v>14</v>
      </c>
      <c r="D159" s="2">
        <v>568</v>
      </c>
      <c r="E159" s="2">
        <v>191</v>
      </c>
      <c r="F159" s="2">
        <v>32441</v>
      </c>
      <c r="G159" s="2">
        <v>4.1863984959999998</v>
      </c>
      <c r="H159" s="3">
        <v>1.43E-5</v>
      </c>
      <c r="I159" s="2" t="s">
        <v>24912</v>
      </c>
      <c r="J159" s="2" t="s">
        <v>24913</v>
      </c>
      <c r="K159" s="2">
        <v>4.4703599999999999E-4</v>
      </c>
      <c r="L159" s="2" t="s">
        <v>35</v>
      </c>
      <c r="M159" s="4" t="s">
        <v>24914</v>
      </c>
    </row>
    <row r="160" spans="1:13">
      <c r="A160" s="2">
        <v>2843</v>
      </c>
      <c r="B160" s="2" t="s">
        <v>24915</v>
      </c>
      <c r="C160" s="2">
        <v>9</v>
      </c>
      <c r="D160" s="2">
        <v>568</v>
      </c>
      <c r="E160" s="2">
        <v>75</v>
      </c>
      <c r="F160" s="2">
        <v>32441</v>
      </c>
      <c r="G160" s="2">
        <v>6.8537323939999997</v>
      </c>
      <c r="H160" s="3">
        <v>1.45E-5</v>
      </c>
      <c r="I160" s="2" t="s">
        <v>24916</v>
      </c>
      <c r="J160" s="2" t="s">
        <v>24917</v>
      </c>
      <c r="K160" s="2">
        <v>4.5242500000000001E-4</v>
      </c>
      <c r="L160" s="2" t="s">
        <v>35</v>
      </c>
      <c r="M160" s="4" t="s">
        <v>24918</v>
      </c>
    </row>
    <row r="161" spans="1:13">
      <c r="A161" s="2">
        <v>1205</v>
      </c>
      <c r="B161" s="2" t="s">
        <v>24919</v>
      </c>
      <c r="C161" s="2">
        <v>14</v>
      </c>
      <c r="D161" s="2">
        <v>568</v>
      </c>
      <c r="E161" s="2">
        <v>192</v>
      </c>
      <c r="F161" s="2">
        <v>32441</v>
      </c>
      <c r="G161" s="2">
        <v>4.1645943369999996</v>
      </c>
      <c r="H161" s="3">
        <v>1.5099999999999999E-5</v>
      </c>
      <c r="I161" s="2" t="s">
        <v>24920</v>
      </c>
      <c r="J161" s="2" t="s">
        <v>24921</v>
      </c>
      <c r="K161" s="2">
        <v>4.6606600000000001E-4</v>
      </c>
      <c r="L161" s="2" t="s">
        <v>35</v>
      </c>
      <c r="M161" s="4" t="s">
        <v>24922</v>
      </c>
    </row>
    <row r="162" spans="1:13">
      <c r="A162" s="2">
        <v>3403</v>
      </c>
      <c r="B162" s="2" t="s">
        <v>24923</v>
      </c>
      <c r="C162" s="2">
        <v>15</v>
      </c>
      <c r="D162" s="2">
        <v>568</v>
      </c>
      <c r="E162" s="2">
        <v>220</v>
      </c>
      <c r="F162" s="2">
        <v>32441</v>
      </c>
      <c r="G162" s="2">
        <v>3.8941661330000001</v>
      </c>
      <c r="H162" s="3">
        <v>1.59E-5</v>
      </c>
      <c r="I162" s="2" t="s">
        <v>24924</v>
      </c>
      <c r="J162" s="2" t="s">
        <v>24925</v>
      </c>
      <c r="K162" s="2">
        <v>4.8862899999999997E-4</v>
      </c>
      <c r="L162" s="2" t="s">
        <v>35</v>
      </c>
      <c r="M162" s="4" t="s">
        <v>24926</v>
      </c>
    </row>
    <row r="163" spans="1:13">
      <c r="A163" s="2">
        <v>2557</v>
      </c>
      <c r="B163" s="2" t="s">
        <v>24927</v>
      </c>
      <c r="C163" s="2">
        <v>13</v>
      </c>
      <c r="D163" s="2">
        <v>568</v>
      </c>
      <c r="E163" s="2">
        <v>169</v>
      </c>
      <c r="F163" s="2">
        <v>32441</v>
      </c>
      <c r="G163" s="2">
        <v>4.3934182020000003</v>
      </c>
      <c r="H163" s="3">
        <v>1.7900000000000001E-5</v>
      </c>
      <c r="I163" s="2" t="s">
        <v>24928</v>
      </c>
      <c r="J163" s="2" t="s">
        <v>24929</v>
      </c>
      <c r="K163" s="2">
        <v>5.4549600000000002E-4</v>
      </c>
      <c r="L163" s="2" t="s">
        <v>35</v>
      </c>
      <c r="M163" s="4" t="s">
        <v>24930</v>
      </c>
    </row>
    <row r="164" spans="1:13">
      <c r="A164" s="2">
        <v>1221</v>
      </c>
      <c r="B164" s="2" t="s">
        <v>24931</v>
      </c>
      <c r="C164" s="2">
        <v>6</v>
      </c>
      <c r="D164" s="2">
        <v>568</v>
      </c>
      <c r="E164" s="2">
        <v>27</v>
      </c>
      <c r="F164" s="2">
        <v>32441</v>
      </c>
      <c r="G164" s="2">
        <v>12.692097029999999</v>
      </c>
      <c r="H164" s="3">
        <v>1.8899999999999999E-5</v>
      </c>
      <c r="I164" s="2" t="s">
        <v>24932</v>
      </c>
      <c r="J164" s="2" t="s">
        <v>24933</v>
      </c>
      <c r="K164" s="2">
        <v>5.5790500000000003E-4</v>
      </c>
      <c r="L164" s="2" t="s">
        <v>35</v>
      </c>
      <c r="M164" s="4" t="s">
        <v>24934</v>
      </c>
    </row>
    <row r="165" spans="1:13">
      <c r="A165" s="2">
        <v>1223</v>
      </c>
      <c r="B165" s="2" t="s">
        <v>24935</v>
      </c>
      <c r="C165" s="2">
        <v>6</v>
      </c>
      <c r="D165" s="2">
        <v>568</v>
      </c>
      <c r="E165" s="2">
        <v>27</v>
      </c>
      <c r="F165" s="2">
        <v>32441</v>
      </c>
      <c r="G165" s="2">
        <v>12.692097029999999</v>
      </c>
      <c r="H165" s="3">
        <v>1.8899999999999999E-5</v>
      </c>
      <c r="I165" s="2" t="s">
        <v>24936</v>
      </c>
      <c r="J165" s="2" t="s">
        <v>24937</v>
      </c>
      <c r="K165" s="2">
        <v>5.5790500000000003E-4</v>
      </c>
      <c r="L165" s="2" t="s">
        <v>35</v>
      </c>
      <c r="M165" s="4" t="s">
        <v>24938</v>
      </c>
    </row>
    <row r="166" spans="1:13">
      <c r="A166" s="2">
        <v>3391</v>
      </c>
      <c r="B166" s="2" t="s">
        <v>4807</v>
      </c>
      <c r="C166" s="2">
        <v>14</v>
      </c>
      <c r="D166" s="2">
        <v>568</v>
      </c>
      <c r="E166" s="2">
        <v>196</v>
      </c>
      <c r="F166" s="2">
        <v>32441</v>
      </c>
      <c r="G166" s="2">
        <v>4.0796026159999998</v>
      </c>
      <c r="H166" s="3">
        <v>1.8700000000000001E-5</v>
      </c>
      <c r="I166" s="2" t="s">
        <v>24939</v>
      </c>
      <c r="J166" s="2" t="s">
        <v>24940</v>
      </c>
      <c r="K166" s="2">
        <v>5.5790500000000003E-4</v>
      </c>
      <c r="L166" s="2" t="s">
        <v>35</v>
      </c>
      <c r="M166" s="4" t="s">
        <v>4810</v>
      </c>
    </row>
    <row r="167" spans="1:13">
      <c r="A167" s="2">
        <v>3484</v>
      </c>
      <c r="B167" s="2" t="s">
        <v>24941</v>
      </c>
      <c r="C167" s="2">
        <v>5</v>
      </c>
      <c r="D167" s="2">
        <v>568</v>
      </c>
      <c r="E167" s="2">
        <v>15</v>
      </c>
      <c r="F167" s="2">
        <v>32441</v>
      </c>
      <c r="G167" s="2">
        <v>19.038145539999999</v>
      </c>
      <c r="H167" s="3">
        <v>1.8600000000000001E-5</v>
      </c>
      <c r="I167" s="2" t="s">
        <v>24942</v>
      </c>
      <c r="J167" s="2" t="s">
        <v>24943</v>
      </c>
      <c r="K167" s="2">
        <v>5.5790500000000003E-4</v>
      </c>
      <c r="L167" s="2" t="s">
        <v>35</v>
      </c>
      <c r="M167" s="4" t="s">
        <v>24944</v>
      </c>
    </row>
    <row r="168" spans="1:13">
      <c r="A168" s="2">
        <v>4375</v>
      </c>
      <c r="B168" s="2" t="s">
        <v>24945</v>
      </c>
      <c r="C168" s="2">
        <v>26</v>
      </c>
      <c r="D168" s="2">
        <v>568</v>
      </c>
      <c r="E168" s="2">
        <v>572</v>
      </c>
      <c r="F168" s="2">
        <v>32441</v>
      </c>
      <c r="G168" s="2">
        <v>2.5961107550000002</v>
      </c>
      <c r="H168" s="3">
        <v>1.8499999999999999E-5</v>
      </c>
      <c r="I168" s="2" t="s">
        <v>24946</v>
      </c>
      <c r="J168" s="2" t="s">
        <v>24947</v>
      </c>
      <c r="K168" s="2">
        <v>5.5790500000000003E-4</v>
      </c>
      <c r="L168" s="2" t="s">
        <v>35</v>
      </c>
      <c r="M168" s="4" t="s">
        <v>24948</v>
      </c>
    </row>
    <row r="169" spans="1:13">
      <c r="A169" s="2">
        <v>1507</v>
      </c>
      <c r="B169" s="2" t="s">
        <v>74</v>
      </c>
      <c r="C169" s="2">
        <v>21</v>
      </c>
      <c r="D169" s="2">
        <v>568</v>
      </c>
      <c r="E169" s="2">
        <v>406</v>
      </c>
      <c r="F169" s="2">
        <v>32441</v>
      </c>
      <c r="G169" s="2">
        <v>2.9541949980000002</v>
      </c>
      <c r="H169" s="3">
        <v>1.98E-5</v>
      </c>
      <c r="I169" s="2" t="s">
        <v>24949</v>
      </c>
      <c r="J169" s="2" t="s">
        <v>24950</v>
      </c>
      <c r="K169" s="2">
        <v>5.79607E-4</v>
      </c>
      <c r="L169" s="2" t="s">
        <v>35</v>
      </c>
      <c r="M169" s="4" t="s">
        <v>2923</v>
      </c>
    </row>
    <row r="170" spans="1:13">
      <c r="A170" s="2">
        <v>4726</v>
      </c>
      <c r="B170" s="2" t="s">
        <v>24951</v>
      </c>
      <c r="C170" s="2">
        <v>7</v>
      </c>
      <c r="D170" s="2">
        <v>568</v>
      </c>
      <c r="E170" s="2">
        <v>42</v>
      </c>
      <c r="F170" s="2">
        <v>32441</v>
      </c>
      <c r="G170" s="2">
        <v>9.5190727699999993</v>
      </c>
      <c r="H170" s="3">
        <v>1.98E-5</v>
      </c>
      <c r="I170" s="2" t="s">
        <v>24952</v>
      </c>
      <c r="J170" s="2" t="s">
        <v>24953</v>
      </c>
      <c r="K170" s="2">
        <v>5.79607E-4</v>
      </c>
      <c r="L170" s="2" t="s">
        <v>35</v>
      </c>
      <c r="M170" s="4" t="s">
        <v>24954</v>
      </c>
    </row>
    <row r="171" spans="1:13">
      <c r="A171" s="2">
        <v>1081</v>
      </c>
      <c r="B171" s="2" t="s">
        <v>24955</v>
      </c>
      <c r="C171" s="2">
        <v>13</v>
      </c>
      <c r="D171" s="2">
        <v>568</v>
      </c>
      <c r="E171" s="2">
        <v>172</v>
      </c>
      <c r="F171" s="2">
        <v>32441</v>
      </c>
      <c r="G171" s="2">
        <v>4.3167888139999997</v>
      </c>
      <c r="H171" s="3">
        <v>2.12E-5</v>
      </c>
      <c r="I171" s="2" t="s">
        <v>24956</v>
      </c>
      <c r="J171" s="2" t="s">
        <v>24957</v>
      </c>
      <c r="K171" s="2">
        <v>6.1324100000000005E-4</v>
      </c>
      <c r="L171" s="2" t="s">
        <v>35</v>
      </c>
      <c r="M171" s="4" t="s">
        <v>24958</v>
      </c>
    </row>
    <row r="172" spans="1:13">
      <c r="A172" s="2">
        <v>1516</v>
      </c>
      <c r="B172" s="2" t="s">
        <v>24959</v>
      </c>
      <c r="C172" s="2">
        <v>9</v>
      </c>
      <c r="D172" s="2">
        <v>568</v>
      </c>
      <c r="E172" s="2">
        <v>79</v>
      </c>
      <c r="F172" s="2">
        <v>32441</v>
      </c>
      <c r="G172" s="2">
        <v>6.5067079689999998</v>
      </c>
      <c r="H172" s="3">
        <v>2.12E-5</v>
      </c>
      <c r="I172" s="2" t="s">
        <v>24960</v>
      </c>
      <c r="J172" s="2" t="s">
        <v>24961</v>
      </c>
      <c r="K172" s="2">
        <v>6.1324100000000005E-4</v>
      </c>
      <c r="L172" s="2" t="s">
        <v>35</v>
      </c>
      <c r="M172" s="4" t="s">
        <v>24962</v>
      </c>
    </row>
    <row r="173" spans="1:13">
      <c r="A173" s="2">
        <v>3317</v>
      </c>
      <c r="B173" s="2" t="s">
        <v>454</v>
      </c>
      <c r="C173" s="2">
        <v>35</v>
      </c>
      <c r="D173" s="2">
        <v>568</v>
      </c>
      <c r="E173" s="2">
        <v>911</v>
      </c>
      <c r="F173" s="2">
        <v>32441</v>
      </c>
      <c r="G173" s="2">
        <v>2.1942977849999998</v>
      </c>
      <c r="H173" s="3">
        <v>2.27E-5</v>
      </c>
      <c r="I173" s="2" t="s">
        <v>24963</v>
      </c>
      <c r="J173" s="2" t="s">
        <v>24964</v>
      </c>
      <c r="K173" s="2">
        <v>6.5094999999999997E-4</v>
      </c>
      <c r="L173" s="2" t="s">
        <v>35</v>
      </c>
      <c r="M173" s="4" t="s">
        <v>24965</v>
      </c>
    </row>
    <row r="174" spans="1:13">
      <c r="A174" s="2">
        <v>2262</v>
      </c>
      <c r="B174" s="2" t="s">
        <v>24966</v>
      </c>
      <c r="C174" s="2">
        <v>10</v>
      </c>
      <c r="D174" s="2">
        <v>568</v>
      </c>
      <c r="E174" s="2">
        <v>101</v>
      </c>
      <c r="F174" s="2">
        <v>32441</v>
      </c>
      <c r="G174" s="2">
        <v>5.6548947150000002</v>
      </c>
      <c r="H174" s="3">
        <v>2.2900000000000001E-5</v>
      </c>
      <c r="I174" s="2" t="s">
        <v>24967</v>
      </c>
      <c r="J174" s="2" t="s">
        <v>24968</v>
      </c>
      <c r="K174" s="2">
        <v>6.5270599999999997E-4</v>
      </c>
      <c r="L174" s="2" t="s">
        <v>35</v>
      </c>
      <c r="M174" s="4" t="s">
        <v>24969</v>
      </c>
    </row>
    <row r="175" spans="1:13">
      <c r="A175" s="2">
        <v>3912</v>
      </c>
      <c r="B175" s="2" t="s">
        <v>2943</v>
      </c>
      <c r="C175" s="2">
        <v>14</v>
      </c>
      <c r="D175" s="2">
        <v>568</v>
      </c>
      <c r="E175" s="2">
        <v>200</v>
      </c>
      <c r="F175" s="2">
        <v>32441</v>
      </c>
      <c r="G175" s="2">
        <v>3.9980105629999998</v>
      </c>
      <c r="H175" s="3">
        <v>2.3099999999999999E-5</v>
      </c>
      <c r="I175" s="2" t="s">
        <v>24970</v>
      </c>
      <c r="J175" s="2" t="s">
        <v>24971</v>
      </c>
      <c r="K175" s="2">
        <v>6.5396400000000004E-4</v>
      </c>
      <c r="L175" s="2" t="s">
        <v>35</v>
      </c>
      <c r="M175" s="4" t="s">
        <v>2946</v>
      </c>
    </row>
    <row r="176" spans="1:13">
      <c r="A176" s="2">
        <v>2399</v>
      </c>
      <c r="B176" s="2" t="s">
        <v>24972</v>
      </c>
      <c r="C176" s="2">
        <v>21</v>
      </c>
      <c r="D176" s="2">
        <v>568</v>
      </c>
      <c r="E176" s="2">
        <v>411</v>
      </c>
      <c r="F176" s="2">
        <v>32441</v>
      </c>
      <c r="G176" s="2">
        <v>2.9182558859999999</v>
      </c>
      <c r="H176" s="3">
        <v>2.3499999999999999E-5</v>
      </c>
      <c r="I176" s="2" t="s">
        <v>24973</v>
      </c>
      <c r="J176" s="2" t="s">
        <v>24974</v>
      </c>
      <c r="K176" s="2">
        <v>6.6337099999999995E-4</v>
      </c>
      <c r="L176" s="2" t="s">
        <v>35</v>
      </c>
      <c r="M176" s="4" t="s">
        <v>24975</v>
      </c>
    </row>
    <row r="177" spans="1:13">
      <c r="A177" s="2">
        <v>1224</v>
      </c>
      <c r="B177" s="2" t="s">
        <v>430</v>
      </c>
      <c r="C177" s="2">
        <v>11</v>
      </c>
      <c r="D177" s="2">
        <v>568</v>
      </c>
      <c r="E177" s="2">
        <v>125</v>
      </c>
      <c r="F177" s="2">
        <v>32441</v>
      </c>
      <c r="G177" s="2">
        <v>5.0260704230000002</v>
      </c>
      <c r="H177" s="3">
        <v>2.4899999999999999E-5</v>
      </c>
      <c r="I177" s="2" t="s">
        <v>24976</v>
      </c>
      <c r="J177" s="2" t="s">
        <v>24977</v>
      </c>
      <c r="K177" s="2">
        <v>6.98885E-4</v>
      </c>
      <c r="L177" s="2" t="s">
        <v>35</v>
      </c>
      <c r="M177" s="4" t="s">
        <v>24978</v>
      </c>
    </row>
    <row r="178" spans="1:13">
      <c r="A178" s="2">
        <v>748</v>
      </c>
      <c r="B178" s="2" t="s">
        <v>24979</v>
      </c>
      <c r="C178" s="2">
        <v>7</v>
      </c>
      <c r="D178" s="2">
        <v>568</v>
      </c>
      <c r="E178" s="2">
        <v>44</v>
      </c>
      <c r="F178" s="2">
        <v>32441</v>
      </c>
      <c r="G178" s="2">
        <v>9.0863876440000002</v>
      </c>
      <c r="H178" s="3">
        <v>2.5899999999999999E-5</v>
      </c>
      <c r="I178" s="2" t="s">
        <v>24836</v>
      </c>
      <c r="J178" s="2" t="s">
        <v>24837</v>
      </c>
      <c r="K178" s="2">
        <v>7.2043200000000002E-4</v>
      </c>
      <c r="L178" s="2" t="s">
        <v>35</v>
      </c>
      <c r="M178" s="4" t="s">
        <v>24980</v>
      </c>
    </row>
    <row r="179" spans="1:13">
      <c r="A179" s="2">
        <v>4574</v>
      </c>
      <c r="B179" s="2" t="s">
        <v>24981</v>
      </c>
      <c r="C179" s="2">
        <v>34</v>
      </c>
      <c r="D179" s="2">
        <v>568</v>
      </c>
      <c r="E179" s="2">
        <v>882</v>
      </c>
      <c r="F179" s="2">
        <v>32441</v>
      </c>
      <c r="G179" s="2">
        <v>2.2016903010000002</v>
      </c>
      <c r="H179" s="3">
        <v>2.7800000000000001E-5</v>
      </c>
      <c r="I179" s="2" t="s">
        <v>24982</v>
      </c>
      <c r="J179" s="2" t="s">
        <v>24983</v>
      </c>
      <c r="K179" s="2">
        <v>7.69968E-4</v>
      </c>
      <c r="L179" s="2" t="s">
        <v>35</v>
      </c>
      <c r="M179" s="4" t="s">
        <v>24984</v>
      </c>
    </row>
    <row r="180" spans="1:13">
      <c r="A180" s="2">
        <v>848</v>
      </c>
      <c r="B180" s="2" t="s">
        <v>2779</v>
      </c>
      <c r="C180" s="2">
        <v>19</v>
      </c>
      <c r="D180" s="2">
        <v>568</v>
      </c>
      <c r="E180" s="2">
        <v>352</v>
      </c>
      <c r="F180" s="2">
        <v>32441</v>
      </c>
      <c r="G180" s="2">
        <v>3.0828815220000001</v>
      </c>
      <c r="H180" s="3">
        <v>2.8200000000000001E-5</v>
      </c>
      <c r="I180" s="2" t="s">
        <v>24985</v>
      </c>
      <c r="J180" s="2" t="s">
        <v>24986</v>
      </c>
      <c r="K180" s="2">
        <v>7.7683600000000004E-4</v>
      </c>
      <c r="L180" s="2" t="s">
        <v>35</v>
      </c>
      <c r="M180" s="4" t="s">
        <v>2782</v>
      </c>
    </row>
    <row r="181" spans="1:13">
      <c r="A181" s="2">
        <v>1233</v>
      </c>
      <c r="B181" s="2" t="s">
        <v>475</v>
      </c>
      <c r="C181" s="2">
        <v>10</v>
      </c>
      <c r="D181" s="2">
        <v>568</v>
      </c>
      <c r="E181" s="2">
        <v>104</v>
      </c>
      <c r="F181" s="2">
        <v>32441</v>
      </c>
      <c r="G181" s="2">
        <v>5.4917727520000001</v>
      </c>
      <c r="H181" s="3">
        <v>2.8900000000000001E-5</v>
      </c>
      <c r="I181" s="2" t="s">
        <v>24987</v>
      </c>
      <c r="J181" s="2" t="s">
        <v>24988</v>
      </c>
      <c r="K181" s="2">
        <v>7.9009299999999996E-4</v>
      </c>
      <c r="L181" s="2" t="s">
        <v>35</v>
      </c>
      <c r="M181" s="4" t="s">
        <v>24989</v>
      </c>
    </row>
    <row r="182" spans="1:13">
      <c r="A182" s="2">
        <v>3480</v>
      </c>
      <c r="B182" s="2" t="s">
        <v>343</v>
      </c>
      <c r="C182" s="2">
        <v>26</v>
      </c>
      <c r="D182" s="2">
        <v>568</v>
      </c>
      <c r="E182" s="2">
        <v>591</v>
      </c>
      <c r="F182" s="2">
        <v>32441</v>
      </c>
      <c r="G182" s="2">
        <v>2.51264865</v>
      </c>
      <c r="H182" s="3">
        <v>3.1300000000000002E-5</v>
      </c>
      <c r="I182" s="2" t="s">
        <v>24990</v>
      </c>
      <c r="J182" s="2" t="s">
        <v>24991</v>
      </c>
      <c r="K182" s="2">
        <v>8.5216999999999997E-4</v>
      </c>
      <c r="L182" s="2" t="s">
        <v>35</v>
      </c>
      <c r="M182" s="4" t="s">
        <v>24992</v>
      </c>
    </row>
    <row r="183" spans="1:13">
      <c r="A183" s="2">
        <v>1222</v>
      </c>
      <c r="B183" s="2" t="s">
        <v>514</v>
      </c>
      <c r="C183" s="2">
        <v>14</v>
      </c>
      <c r="D183" s="2">
        <v>568</v>
      </c>
      <c r="E183" s="2">
        <v>207</v>
      </c>
      <c r="F183" s="2">
        <v>32441</v>
      </c>
      <c r="G183" s="2">
        <v>3.8628121389999999</v>
      </c>
      <c r="H183" s="3">
        <v>3.29E-5</v>
      </c>
      <c r="I183" s="2" t="s">
        <v>24993</v>
      </c>
      <c r="J183" s="2" t="s">
        <v>24994</v>
      </c>
      <c r="K183" s="2">
        <v>8.8934699999999997E-4</v>
      </c>
      <c r="L183" s="2" t="s">
        <v>35</v>
      </c>
      <c r="M183" s="4" t="s">
        <v>24995</v>
      </c>
    </row>
    <row r="184" spans="1:13">
      <c r="A184" s="2">
        <v>3478</v>
      </c>
      <c r="B184" s="2" t="s">
        <v>388</v>
      </c>
      <c r="C184" s="2">
        <v>26</v>
      </c>
      <c r="D184" s="2">
        <v>568</v>
      </c>
      <c r="E184" s="2">
        <v>593</v>
      </c>
      <c r="F184" s="2">
        <v>32441</v>
      </c>
      <c r="G184" s="2">
        <v>2.5041742870000001</v>
      </c>
      <c r="H184" s="3">
        <v>3.3099999999999998E-5</v>
      </c>
      <c r="I184" s="2" t="s">
        <v>24996</v>
      </c>
      <c r="J184" s="2" t="s">
        <v>24997</v>
      </c>
      <c r="K184" s="2">
        <v>8.8934699999999997E-4</v>
      </c>
      <c r="L184" s="2" t="s">
        <v>35</v>
      </c>
      <c r="M184" s="4" t="s">
        <v>24998</v>
      </c>
    </row>
    <row r="185" spans="1:13">
      <c r="A185" s="2">
        <v>4704</v>
      </c>
      <c r="B185" s="2" t="s">
        <v>24999</v>
      </c>
      <c r="C185" s="2">
        <v>57</v>
      </c>
      <c r="D185" s="2">
        <v>568</v>
      </c>
      <c r="E185" s="2">
        <v>1839</v>
      </c>
      <c r="F185" s="2">
        <v>32441</v>
      </c>
      <c r="G185" s="2">
        <v>1.770268019</v>
      </c>
      <c r="H185" s="3">
        <v>3.3500000000000001E-5</v>
      </c>
      <c r="I185" s="3" t="s">
        <v>25000</v>
      </c>
      <c r="J185" s="3" t="s">
        <v>25001</v>
      </c>
      <c r="K185" s="2">
        <v>8.9554900000000004E-4</v>
      </c>
      <c r="L185" s="2" t="s">
        <v>35</v>
      </c>
      <c r="M185" s="4" t="s">
        <v>25002</v>
      </c>
    </row>
    <row r="186" spans="1:13">
      <c r="A186" s="2">
        <v>1910</v>
      </c>
      <c r="B186" s="2" t="s">
        <v>25003</v>
      </c>
      <c r="C186" s="2">
        <v>13</v>
      </c>
      <c r="D186" s="2">
        <v>568</v>
      </c>
      <c r="E186" s="2">
        <v>181</v>
      </c>
      <c r="F186" s="2">
        <v>32441</v>
      </c>
      <c r="G186" s="2">
        <v>4.1021418570000003</v>
      </c>
      <c r="H186" s="3">
        <v>3.4999999999999997E-5</v>
      </c>
      <c r="I186" s="2" t="s">
        <v>25004</v>
      </c>
      <c r="J186" s="2" t="s">
        <v>25005</v>
      </c>
      <c r="K186" s="2">
        <v>9.3017999999999996E-4</v>
      </c>
      <c r="L186" s="2" t="s">
        <v>35</v>
      </c>
      <c r="M186" s="4" t="s">
        <v>25006</v>
      </c>
    </row>
    <row r="187" spans="1:13">
      <c r="A187" s="2">
        <v>3214</v>
      </c>
      <c r="B187" s="2" t="s">
        <v>25007</v>
      </c>
      <c r="C187" s="2">
        <v>8</v>
      </c>
      <c r="D187" s="2">
        <v>568</v>
      </c>
      <c r="E187" s="2">
        <v>66</v>
      </c>
      <c r="F187" s="2">
        <v>32441</v>
      </c>
      <c r="G187" s="2">
        <v>6.9229620150000004</v>
      </c>
      <c r="H187" s="3">
        <v>4.07E-5</v>
      </c>
      <c r="I187" s="2" t="s">
        <v>25008</v>
      </c>
      <c r="J187" s="2" t="s">
        <v>25009</v>
      </c>
      <c r="K187" s="2">
        <v>1.0767610000000001E-3</v>
      </c>
      <c r="L187" s="2" t="s">
        <v>35</v>
      </c>
      <c r="M187" s="4" t="s">
        <v>25010</v>
      </c>
    </row>
    <row r="188" spans="1:13">
      <c r="A188" s="2">
        <v>2391</v>
      </c>
      <c r="B188" s="2" t="s">
        <v>25011</v>
      </c>
      <c r="C188" s="2">
        <v>6</v>
      </c>
      <c r="D188" s="2">
        <v>568</v>
      </c>
      <c r="E188" s="2">
        <v>32</v>
      </c>
      <c r="F188" s="2">
        <v>32441</v>
      </c>
      <c r="G188" s="2">
        <v>10.70895687</v>
      </c>
      <c r="H188" s="3">
        <v>4.3699999999999998E-5</v>
      </c>
      <c r="I188" s="2" t="s">
        <v>25012</v>
      </c>
      <c r="J188" s="2" t="s">
        <v>25013</v>
      </c>
      <c r="K188" s="2">
        <v>1.1500060000000001E-3</v>
      </c>
      <c r="L188" s="2" t="s">
        <v>35</v>
      </c>
      <c r="M188" s="4" t="s">
        <v>25014</v>
      </c>
    </row>
    <row r="189" spans="1:13">
      <c r="A189" s="2">
        <v>2307</v>
      </c>
      <c r="B189" s="2" t="s">
        <v>262</v>
      </c>
      <c r="C189" s="2">
        <v>37</v>
      </c>
      <c r="D189" s="2">
        <v>568</v>
      </c>
      <c r="E189" s="2">
        <v>1024</v>
      </c>
      <c r="F189" s="2">
        <v>32441</v>
      </c>
      <c r="G189" s="2">
        <v>2.063705229</v>
      </c>
      <c r="H189" s="3">
        <v>4.6499999999999999E-5</v>
      </c>
      <c r="I189" s="2" t="s">
        <v>25015</v>
      </c>
      <c r="J189" s="2" t="s">
        <v>25016</v>
      </c>
      <c r="K189" s="2">
        <v>1.209751E-3</v>
      </c>
      <c r="L189" s="2" t="s">
        <v>35</v>
      </c>
      <c r="M189" s="4" t="s">
        <v>25017</v>
      </c>
    </row>
    <row r="190" spans="1:13">
      <c r="A190" s="2">
        <v>2327</v>
      </c>
      <c r="B190" s="2" t="s">
        <v>25018</v>
      </c>
      <c r="C190" s="2">
        <v>14</v>
      </c>
      <c r="D190" s="2">
        <v>568</v>
      </c>
      <c r="E190" s="2">
        <v>214</v>
      </c>
      <c r="F190" s="2">
        <v>32441</v>
      </c>
      <c r="G190" s="2">
        <v>3.7364584700000001</v>
      </c>
      <c r="H190" s="3">
        <v>4.6300000000000001E-5</v>
      </c>
      <c r="I190" s="2" t="s">
        <v>25019</v>
      </c>
      <c r="J190" s="2" t="s">
        <v>25020</v>
      </c>
      <c r="K190" s="2">
        <v>1.209751E-3</v>
      </c>
      <c r="L190" s="2" t="s">
        <v>35</v>
      </c>
      <c r="M190" s="4" t="s">
        <v>25021</v>
      </c>
    </row>
    <row r="191" spans="1:13">
      <c r="A191" s="2">
        <v>3213</v>
      </c>
      <c r="B191" s="2" t="s">
        <v>25022</v>
      </c>
      <c r="C191" s="2">
        <v>28</v>
      </c>
      <c r="D191" s="2">
        <v>568</v>
      </c>
      <c r="E191" s="2">
        <v>681</v>
      </c>
      <c r="F191" s="2">
        <v>32441</v>
      </c>
      <c r="G191" s="2">
        <v>2.3483175119999999</v>
      </c>
      <c r="H191" s="3">
        <v>4.9200000000000003E-5</v>
      </c>
      <c r="I191" s="2" t="s">
        <v>25023</v>
      </c>
      <c r="J191" s="2" t="s">
        <v>25024</v>
      </c>
      <c r="K191" s="2">
        <v>1.272448E-3</v>
      </c>
      <c r="L191" s="2" t="s">
        <v>35</v>
      </c>
      <c r="M191" s="4" t="s">
        <v>25025</v>
      </c>
    </row>
    <row r="192" spans="1:13">
      <c r="A192" s="2">
        <v>985</v>
      </c>
      <c r="B192" s="2" t="s">
        <v>25026</v>
      </c>
      <c r="C192" s="2">
        <v>6</v>
      </c>
      <c r="D192" s="2">
        <v>568</v>
      </c>
      <c r="E192" s="2">
        <v>33</v>
      </c>
      <c r="F192" s="2">
        <v>32441</v>
      </c>
      <c r="G192" s="2">
        <v>10.384443020000001</v>
      </c>
      <c r="H192" s="3">
        <v>5.0899999999999997E-5</v>
      </c>
      <c r="I192" s="2" t="s">
        <v>25027</v>
      </c>
      <c r="J192" s="2" t="s">
        <v>25028</v>
      </c>
      <c r="K192" s="2">
        <v>1.302809E-3</v>
      </c>
      <c r="L192" s="2" t="s">
        <v>35</v>
      </c>
      <c r="M192" s="4" t="s">
        <v>25029</v>
      </c>
    </row>
    <row r="193" spans="1:13">
      <c r="A193" s="2">
        <v>1526</v>
      </c>
      <c r="B193" s="2" t="s">
        <v>25030</v>
      </c>
      <c r="C193" s="2">
        <v>11</v>
      </c>
      <c r="D193" s="2">
        <v>568</v>
      </c>
      <c r="E193" s="2">
        <v>136</v>
      </c>
      <c r="F193" s="2">
        <v>32441</v>
      </c>
      <c r="G193" s="2">
        <v>4.6195500210000002</v>
      </c>
      <c r="H193" s="3">
        <v>5.1199999999999998E-5</v>
      </c>
      <c r="I193" s="2" t="s">
        <v>25031</v>
      </c>
      <c r="J193" s="2" t="s">
        <v>25032</v>
      </c>
      <c r="K193" s="2">
        <v>1.302809E-3</v>
      </c>
      <c r="L193" s="2" t="s">
        <v>35</v>
      </c>
      <c r="M193" s="4" t="s">
        <v>25033</v>
      </c>
    </row>
    <row r="194" spans="1:13">
      <c r="A194" s="2">
        <v>4338</v>
      </c>
      <c r="B194" s="2" t="s">
        <v>25034</v>
      </c>
      <c r="C194" s="2">
        <v>14</v>
      </c>
      <c r="D194" s="2">
        <v>568</v>
      </c>
      <c r="E194" s="2">
        <v>216</v>
      </c>
      <c r="F194" s="2">
        <v>32441</v>
      </c>
      <c r="G194" s="2">
        <v>3.701861633</v>
      </c>
      <c r="H194" s="3">
        <v>5.0899999999999997E-5</v>
      </c>
      <c r="I194" s="2" t="s">
        <v>25035</v>
      </c>
      <c r="J194" s="2" t="s">
        <v>25036</v>
      </c>
      <c r="K194" s="2">
        <v>1.302809E-3</v>
      </c>
      <c r="L194" s="2" t="s">
        <v>35</v>
      </c>
      <c r="M194" s="4" t="s">
        <v>25037</v>
      </c>
    </row>
    <row r="195" spans="1:13">
      <c r="A195" s="2">
        <v>2333</v>
      </c>
      <c r="B195" s="2" t="s">
        <v>25038</v>
      </c>
      <c r="C195" s="2">
        <v>24</v>
      </c>
      <c r="D195" s="2">
        <v>568</v>
      </c>
      <c r="E195" s="2">
        <v>539</v>
      </c>
      <c r="F195" s="2">
        <v>32441</v>
      </c>
      <c r="G195" s="2">
        <v>2.5431289029999999</v>
      </c>
      <c r="H195" s="3">
        <v>5.2299999999999997E-5</v>
      </c>
      <c r="I195" s="2" t="s">
        <v>25039</v>
      </c>
      <c r="J195" s="2" t="s">
        <v>25040</v>
      </c>
      <c r="K195" s="2">
        <v>1.3254009999999999E-3</v>
      </c>
      <c r="L195" s="2" t="s">
        <v>35</v>
      </c>
      <c r="M195" s="4" t="s">
        <v>25041</v>
      </c>
    </row>
    <row r="196" spans="1:13">
      <c r="A196" s="2">
        <v>2130</v>
      </c>
      <c r="B196" s="2" t="s">
        <v>2852</v>
      </c>
      <c r="C196" s="2">
        <v>14</v>
      </c>
      <c r="D196" s="2">
        <v>568</v>
      </c>
      <c r="E196" s="2">
        <v>217</v>
      </c>
      <c r="F196" s="2">
        <v>32441</v>
      </c>
      <c r="G196" s="2">
        <v>3.6848023630000002</v>
      </c>
      <c r="H196" s="3">
        <v>5.3300000000000001E-5</v>
      </c>
      <c r="I196" s="2" t="s">
        <v>25042</v>
      </c>
      <c r="J196" s="2" t="s">
        <v>25043</v>
      </c>
      <c r="K196" s="2">
        <v>1.3412750000000001E-3</v>
      </c>
      <c r="L196" s="2" t="s">
        <v>35</v>
      </c>
      <c r="M196" s="4" t="s">
        <v>2855</v>
      </c>
    </row>
    <row r="197" spans="1:13">
      <c r="A197" s="2">
        <v>3600</v>
      </c>
      <c r="B197" s="2" t="s">
        <v>25044</v>
      </c>
      <c r="C197" s="2">
        <v>15</v>
      </c>
      <c r="D197" s="2">
        <v>568</v>
      </c>
      <c r="E197" s="2">
        <v>246</v>
      </c>
      <c r="F197" s="2">
        <v>32441</v>
      </c>
      <c r="G197" s="2">
        <v>3.4825875989999999</v>
      </c>
      <c r="H197" s="3">
        <v>5.3499999999999999E-5</v>
      </c>
      <c r="I197" s="2" t="s">
        <v>25045</v>
      </c>
      <c r="J197" s="2" t="s">
        <v>25046</v>
      </c>
      <c r="K197" s="2">
        <v>1.3412750000000001E-3</v>
      </c>
      <c r="L197" s="2" t="s">
        <v>35</v>
      </c>
      <c r="M197" s="4" t="s">
        <v>25047</v>
      </c>
    </row>
    <row r="198" spans="1:13">
      <c r="A198" s="2">
        <v>3190</v>
      </c>
      <c r="B198" s="2" t="s">
        <v>25048</v>
      </c>
      <c r="C198" s="2">
        <v>12</v>
      </c>
      <c r="D198" s="2">
        <v>568</v>
      </c>
      <c r="E198" s="2">
        <v>163</v>
      </c>
      <c r="F198" s="2">
        <v>32441</v>
      </c>
      <c r="G198" s="2">
        <v>4.2047438000000001</v>
      </c>
      <c r="H198" s="3">
        <v>5.5500000000000001E-5</v>
      </c>
      <c r="I198" s="2" t="s">
        <v>25049</v>
      </c>
      <c r="J198" s="2" t="s">
        <v>25050</v>
      </c>
      <c r="K198" s="2">
        <v>1.3846520000000001E-3</v>
      </c>
      <c r="L198" s="2" t="s">
        <v>35</v>
      </c>
      <c r="M198" s="4" t="s">
        <v>25051</v>
      </c>
    </row>
    <row r="199" spans="1:13">
      <c r="A199" s="2">
        <v>96</v>
      </c>
      <c r="B199" s="2" t="s">
        <v>25052</v>
      </c>
      <c r="C199" s="2">
        <v>11</v>
      </c>
      <c r="D199" s="2">
        <v>568</v>
      </c>
      <c r="E199" s="2">
        <v>138</v>
      </c>
      <c r="F199" s="2">
        <v>32441</v>
      </c>
      <c r="G199" s="2">
        <v>4.5526000199999999</v>
      </c>
      <c r="H199" s="3">
        <v>5.7899999999999998E-5</v>
      </c>
      <c r="I199" s="2" t="s">
        <v>25053</v>
      </c>
      <c r="J199" s="2" t="s">
        <v>25054</v>
      </c>
      <c r="K199" s="2">
        <v>1.418037E-3</v>
      </c>
      <c r="L199" s="2" t="s">
        <v>35</v>
      </c>
      <c r="M199" s="4" t="s">
        <v>25055</v>
      </c>
    </row>
    <row r="200" spans="1:13">
      <c r="A200" s="2">
        <v>1417</v>
      </c>
      <c r="B200" s="2" t="s">
        <v>4270</v>
      </c>
      <c r="C200" s="2">
        <v>22</v>
      </c>
      <c r="D200" s="2">
        <v>568</v>
      </c>
      <c r="E200" s="2">
        <v>473</v>
      </c>
      <c r="F200" s="2">
        <v>32441</v>
      </c>
      <c r="G200" s="2">
        <v>2.656485424</v>
      </c>
      <c r="H200" s="3">
        <v>5.8100000000000003E-5</v>
      </c>
      <c r="I200" s="2" t="s">
        <v>25056</v>
      </c>
      <c r="J200" s="2" t="s">
        <v>25057</v>
      </c>
      <c r="K200" s="2">
        <v>1.418037E-3</v>
      </c>
      <c r="L200" s="2" t="s">
        <v>35</v>
      </c>
      <c r="M200" s="4" t="s">
        <v>4273</v>
      </c>
    </row>
    <row r="201" spans="1:13">
      <c r="A201" s="2">
        <v>1491</v>
      </c>
      <c r="B201" s="2" t="s">
        <v>2889</v>
      </c>
      <c r="C201" s="2">
        <v>19</v>
      </c>
      <c r="D201" s="2">
        <v>568</v>
      </c>
      <c r="E201" s="2">
        <v>372</v>
      </c>
      <c r="F201" s="2">
        <v>32441</v>
      </c>
      <c r="G201" s="2">
        <v>2.917135204</v>
      </c>
      <c r="H201" s="3">
        <v>5.7200000000000001E-5</v>
      </c>
      <c r="I201" s="2" t="s">
        <v>25058</v>
      </c>
      <c r="J201" s="2" t="s">
        <v>25059</v>
      </c>
      <c r="K201" s="2">
        <v>1.418037E-3</v>
      </c>
      <c r="L201" s="2" t="s">
        <v>35</v>
      </c>
      <c r="M201" s="4" t="s">
        <v>2892</v>
      </c>
    </row>
    <row r="202" spans="1:13">
      <c r="A202" s="2">
        <v>3341</v>
      </c>
      <c r="B202" s="2" t="s">
        <v>25060</v>
      </c>
      <c r="C202" s="2">
        <v>22</v>
      </c>
      <c r="D202" s="2">
        <v>568</v>
      </c>
      <c r="E202" s="2">
        <v>473</v>
      </c>
      <c r="F202" s="2">
        <v>32441</v>
      </c>
      <c r="G202" s="2">
        <v>2.656485424</v>
      </c>
      <c r="H202" s="3">
        <v>5.8100000000000003E-5</v>
      </c>
      <c r="I202" s="2" t="s">
        <v>25061</v>
      </c>
      <c r="J202" s="2" t="s">
        <v>25062</v>
      </c>
      <c r="K202" s="2">
        <v>1.418037E-3</v>
      </c>
      <c r="L202" s="2" t="s">
        <v>35</v>
      </c>
      <c r="M202" s="4" t="s">
        <v>25063</v>
      </c>
    </row>
    <row r="203" spans="1:13">
      <c r="A203" s="2">
        <v>1982</v>
      </c>
      <c r="B203" s="2" t="s">
        <v>25064</v>
      </c>
      <c r="C203" s="2">
        <v>10</v>
      </c>
      <c r="D203" s="2">
        <v>568</v>
      </c>
      <c r="E203" s="2">
        <v>116</v>
      </c>
      <c r="F203" s="2">
        <v>32441</v>
      </c>
      <c r="G203" s="2">
        <v>4.9236583290000002</v>
      </c>
      <c r="H203" s="3">
        <v>6.7999999999999999E-5</v>
      </c>
      <c r="I203" s="2" t="s">
        <v>25065</v>
      </c>
      <c r="J203" s="2" t="s">
        <v>25066</v>
      </c>
      <c r="K203" s="2">
        <v>1.636066E-3</v>
      </c>
      <c r="L203" s="2" t="s">
        <v>35</v>
      </c>
      <c r="M203" s="4" t="s">
        <v>25067</v>
      </c>
    </row>
    <row r="204" spans="1:13">
      <c r="A204" s="2">
        <v>2642</v>
      </c>
      <c r="B204" s="2" t="s">
        <v>25068</v>
      </c>
      <c r="C204" s="2">
        <v>7</v>
      </c>
      <c r="D204" s="2">
        <v>568</v>
      </c>
      <c r="E204" s="2">
        <v>52</v>
      </c>
      <c r="F204" s="2">
        <v>32441</v>
      </c>
      <c r="G204" s="2">
        <v>7.6884818529999999</v>
      </c>
      <c r="H204" s="3">
        <v>6.7700000000000006E-5</v>
      </c>
      <c r="I204" s="2" t="s">
        <v>25069</v>
      </c>
      <c r="J204" s="2" t="s">
        <v>25070</v>
      </c>
      <c r="K204" s="2">
        <v>1.636066E-3</v>
      </c>
      <c r="L204" s="2" t="s">
        <v>35</v>
      </c>
      <c r="M204" s="4" t="s">
        <v>25071</v>
      </c>
    </row>
    <row r="205" spans="1:13">
      <c r="A205" s="2">
        <v>3262</v>
      </c>
      <c r="B205" s="2" t="s">
        <v>25072</v>
      </c>
      <c r="C205" s="2">
        <v>7</v>
      </c>
      <c r="D205" s="2">
        <v>568</v>
      </c>
      <c r="E205" s="2">
        <v>52</v>
      </c>
      <c r="F205" s="2">
        <v>32441</v>
      </c>
      <c r="G205" s="2">
        <v>7.6884818529999999</v>
      </c>
      <c r="H205" s="3">
        <v>6.7700000000000006E-5</v>
      </c>
      <c r="I205" s="2" t="s">
        <v>25073</v>
      </c>
      <c r="J205" s="2" t="s">
        <v>25074</v>
      </c>
      <c r="K205" s="2">
        <v>1.636066E-3</v>
      </c>
      <c r="L205" s="2" t="s">
        <v>35</v>
      </c>
      <c r="M205" s="4" t="s">
        <v>25075</v>
      </c>
    </row>
    <row r="206" spans="1:13">
      <c r="A206" s="2">
        <v>3053</v>
      </c>
      <c r="B206" s="2" t="s">
        <v>25076</v>
      </c>
      <c r="C206" s="2">
        <v>15</v>
      </c>
      <c r="D206" s="2">
        <v>568</v>
      </c>
      <c r="E206" s="2">
        <v>254</v>
      </c>
      <c r="F206" s="2">
        <v>32441</v>
      </c>
      <c r="G206" s="2">
        <v>3.3728997999999999</v>
      </c>
      <c r="H206" s="3">
        <v>7.5199999999999998E-5</v>
      </c>
      <c r="I206" s="2" t="s">
        <v>25077</v>
      </c>
      <c r="J206" s="2" t="s">
        <v>25078</v>
      </c>
      <c r="K206" s="2">
        <v>1.7981990000000001E-3</v>
      </c>
      <c r="L206" s="2" t="s">
        <v>35</v>
      </c>
      <c r="M206" s="4" t="s">
        <v>25079</v>
      </c>
    </row>
    <row r="207" spans="1:13">
      <c r="A207" s="2">
        <v>4656</v>
      </c>
      <c r="B207" s="2" t="s">
        <v>25080</v>
      </c>
      <c r="C207" s="2">
        <v>7</v>
      </c>
      <c r="D207" s="2">
        <v>568</v>
      </c>
      <c r="E207" s="2">
        <v>53</v>
      </c>
      <c r="F207" s="2">
        <v>32441</v>
      </c>
      <c r="G207" s="2">
        <v>7.5434161570000002</v>
      </c>
      <c r="H207" s="3">
        <v>7.5500000000000006E-5</v>
      </c>
      <c r="I207" s="2" t="s">
        <v>25081</v>
      </c>
      <c r="J207" s="2" t="s">
        <v>25082</v>
      </c>
      <c r="K207" s="2">
        <v>1.7981990000000001E-3</v>
      </c>
      <c r="L207" s="2" t="s">
        <v>35</v>
      </c>
      <c r="M207" s="4" t="s">
        <v>25083</v>
      </c>
    </row>
    <row r="208" spans="1:13">
      <c r="A208" s="2">
        <v>4385</v>
      </c>
      <c r="B208" s="2" t="s">
        <v>25084</v>
      </c>
      <c r="C208" s="2">
        <v>20</v>
      </c>
      <c r="D208" s="2">
        <v>568</v>
      </c>
      <c r="E208" s="2">
        <v>414</v>
      </c>
      <c r="F208" s="2">
        <v>32441</v>
      </c>
      <c r="G208" s="2">
        <v>2.7591515279999999</v>
      </c>
      <c r="H208" s="3">
        <v>7.64E-5</v>
      </c>
      <c r="I208" s="2" t="s">
        <v>25085</v>
      </c>
      <c r="J208" s="2" t="s">
        <v>25086</v>
      </c>
      <c r="K208" s="2">
        <v>1.8104110000000001E-3</v>
      </c>
      <c r="L208" s="2" t="s">
        <v>35</v>
      </c>
      <c r="M208" s="4" t="s">
        <v>25087</v>
      </c>
    </row>
    <row r="209" spans="1:13">
      <c r="A209" s="2">
        <v>2905</v>
      </c>
      <c r="B209" s="2" t="s">
        <v>25088</v>
      </c>
      <c r="C209" s="2">
        <v>11</v>
      </c>
      <c r="D209" s="2">
        <v>568</v>
      </c>
      <c r="E209" s="2">
        <v>143</v>
      </c>
      <c r="F209" s="2">
        <v>32441</v>
      </c>
      <c r="G209" s="2">
        <v>4.3934182020000003</v>
      </c>
      <c r="H209" s="3">
        <v>7.7999999999999999E-5</v>
      </c>
      <c r="I209" s="2" t="s">
        <v>25089</v>
      </c>
      <c r="J209" s="2" t="s">
        <v>25090</v>
      </c>
      <c r="K209" s="2">
        <v>1.839156E-3</v>
      </c>
      <c r="L209" s="2" t="s">
        <v>35</v>
      </c>
      <c r="M209" s="4" t="s">
        <v>25091</v>
      </c>
    </row>
    <row r="210" spans="1:13">
      <c r="A210" s="2">
        <v>3556</v>
      </c>
      <c r="B210" s="2" t="s">
        <v>370</v>
      </c>
      <c r="C210" s="2">
        <v>35</v>
      </c>
      <c r="D210" s="2">
        <v>568</v>
      </c>
      <c r="E210" s="2">
        <v>973</v>
      </c>
      <c r="F210" s="2">
        <v>32441</v>
      </c>
      <c r="G210" s="2">
        <v>2.054476137</v>
      </c>
      <c r="H210" s="3">
        <v>8.0900000000000001E-5</v>
      </c>
      <c r="I210" s="2" t="s">
        <v>25092</v>
      </c>
      <c r="J210" s="2" t="s">
        <v>25093</v>
      </c>
      <c r="K210" s="2">
        <v>1.897787E-3</v>
      </c>
      <c r="L210" s="2" t="s">
        <v>35</v>
      </c>
      <c r="M210" s="4" t="s">
        <v>5833</v>
      </c>
    </row>
    <row r="211" spans="1:13">
      <c r="A211" s="2">
        <v>2608</v>
      </c>
      <c r="B211" s="2" t="s">
        <v>25094</v>
      </c>
      <c r="C211" s="2">
        <v>12</v>
      </c>
      <c r="D211" s="2">
        <v>568</v>
      </c>
      <c r="E211" s="2">
        <v>171</v>
      </c>
      <c r="F211" s="2">
        <v>32441</v>
      </c>
      <c r="G211" s="2">
        <v>4.0080306400000003</v>
      </c>
      <c r="H211" s="3">
        <v>8.5400000000000002E-5</v>
      </c>
      <c r="I211" s="2" t="s">
        <v>25095</v>
      </c>
      <c r="J211" s="2" t="s">
        <v>25096</v>
      </c>
      <c r="K211" s="2">
        <v>1.9832059999999999E-3</v>
      </c>
      <c r="L211" s="2" t="s">
        <v>35</v>
      </c>
      <c r="M211" s="4" t="s">
        <v>25097</v>
      </c>
    </row>
    <row r="212" spans="1:13">
      <c r="A212" s="2">
        <v>3494</v>
      </c>
      <c r="B212" s="2" t="s">
        <v>25098</v>
      </c>
      <c r="C212" s="2">
        <v>8</v>
      </c>
      <c r="D212" s="2">
        <v>568</v>
      </c>
      <c r="E212" s="2">
        <v>74</v>
      </c>
      <c r="F212" s="2">
        <v>32441</v>
      </c>
      <c r="G212" s="2">
        <v>6.1745336890000004</v>
      </c>
      <c r="H212" s="3">
        <v>8.5400000000000002E-5</v>
      </c>
      <c r="I212" s="2" t="s">
        <v>25099</v>
      </c>
      <c r="J212" s="2" t="s">
        <v>25100</v>
      </c>
      <c r="K212" s="2">
        <v>1.9832059999999999E-3</v>
      </c>
      <c r="L212" s="2" t="s">
        <v>35</v>
      </c>
      <c r="M212" s="4" t="s">
        <v>25101</v>
      </c>
    </row>
    <row r="213" spans="1:13">
      <c r="A213" s="2">
        <v>2888</v>
      </c>
      <c r="B213" s="2" t="s">
        <v>25102</v>
      </c>
      <c r="C213" s="2">
        <v>12</v>
      </c>
      <c r="D213" s="2">
        <v>568</v>
      </c>
      <c r="E213" s="2">
        <v>172</v>
      </c>
      <c r="F213" s="2">
        <v>32441</v>
      </c>
      <c r="G213" s="2">
        <v>3.9847281360000002</v>
      </c>
      <c r="H213" s="3">
        <v>8.9900000000000003E-5</v>
      </c>
      <c r="I213" s="2" t="s">
        <v>25103</v>
      </c>
      <c r="J213" s="2" t="s">
        <v>25104</v>
      </c>
      <c r="K213" s="2">
        <v>2.0789099999999998E-3</v>
      </c>
      <c r="L213" s="2" t="s">
        <v>35</v>
      </c>
      <c r="M213" s="4" t="s">
        <v>25105</v>
      </c>
    </row>
    <row r="214" spans="1:13">
      <c r="A214" s="2">
        <v>4648</v>
      </c>
      <c r="B214" s="2" t="s">
        <v>2871</v>
      </c>
      <c r="C214" s="2">
        <v>11</v>
      </c>
      <c r="D214" s="2">
        <v>568</v>
      </c>
      <c r="E214" s="2">
        <v>146</v>
      </c>
      <c r="F214" s="2">
        <v>32441</v>
      </c>
      <c r="G214" s="2">
        <v>4.3031424850000004</v>
      </c>
      <c r="H214" s="3">
        <v>9.2800000000000006E-5</v>
      </c>
      <c r="I214" s="2" t="s">
        <v>25106</v>
      </c>
      <c r="J214" s="2" t="s">
        <v>25107</v>
      </c>
      <c r="K214" s="2">
        <v>2.1342930000000002E-3</v>
      </c>
      <c r="L214" s="2" t="s">
        <v>35</v>
      </c>
      <c r="M214" s="4" t="s">
        <v>2874</v>
      </c>
    </row>
    <row r="215" spans="1:13">
      <c r="A215" s="2">
        <v>2970</v>
      </c>
      <c r="B215" s="2" t="s">
        <v>25108</v>
      </c>
      <c r="C215" s="2">
        <v>7</v>
      </c>
      <c r="D215" s="2">
        <v>568</v>
      </c>
      <c r="E215" s="2">
        <v>55</v>
      </c>
      <c r="F215" s="2">
        <v>32441</v>
      </c>
      <c r="G215" s="2">
        <v>7.2691101150000001</v>
      </c>
      <c r="H215" s="3">
        <v>9.3399999999999993E-5</v>
      </c>
      <c r="I215" s="2" t="s">
        <v>25109</v>
      </c>
      <c r="J215" s="2" t="s">
        <v>25110</v>
      </c>
      <c r="K215" s="2">
        <v>2.137543E-3</v>
      </c>
      <c r="L215" s="2" t="s">
        <v>35</v>
      </c>
      <c r="M215" s="4" t="s">
        <v>25111</v>
      </c>
    </row>
    <row r="216" spans="1:13">
      <c r="A216" s="2">
        <v>1411</v>
      </c>
      <c r="B216" s="2" t="s">
        <v>25112</v>
      </c>
      <c r="C216" s="2">
        <v>6</v>
      </c>
      <c r="D216" s="2">
        <v>568</v>
      </c>
      <c r="E216" s="2">
        <v>38</v>
      </c>
      <c r="F216" s="2">
        <v>32441</v>
      </c>
      <c r="G216" s="2">
        <v>9.0180689399999991</v>
      </c>
      <c r="H216" s="2">
        <v>1.0242399999999999E-4</v>
      </c>
      <c r="I216" s="2" t="s">
        <v>25113</v>
      </c>
      <c r="J216" s="2" t="s">
        <v>25114</v>
      </c>
      <c r="K216" s="2">
        <v>2.333697E-3</v>
      </c>
      <c r="L216" s="2" t="s">
        <v>35</v>
      </c>
      <c r="M216" s="4" t="s">
        <v>25115</v>
      </c>
    </row>
    <row r="217" spans="1:13">
      <c r="A217" s="2">
        <v>305</v>
      </c>
      <c r="B217" s="2" t="s">
        <v>25116</v>
      </c>
      <c r="C217" s="2">
        <v>5</v>
      </c>
      <c r="D217" s="2">
        <v>568</v>
      </c>
      <c r="E217" s="2">
        <v>23</v>
      </c>
      <c r="F217" s="2">
        <v>32441</v>
      </c>
      <c r="G217" s="2">
        <v>12.416181870000001</v>
      </c>
      <c r="H217" s="2">
        <v>1.04984E-4</v>
      </c>
      <c r="I217" s="2" t="s">
        <v>25117</v>
      </c>
      <c r="J217" s="2" t="s">
        <v>25118</v>
      </c>
      <c r="K217" s="2">
        <v>2.3581729999999999E-3</v>
      </c>
      <c r="L217" s="2" t="s">
        <v>35</v>
      </c>
      <c r="M217" s="4" t="s">
        <v>25119</v>
      </c>
    </row>
    <row r="218" spans="1:13">
      <c r="A218" s="2">
        <v>752</v>
      </c>
      <c r="B218" s="2" t="s">
        <v>25120</v>
      </c>
      <c r="C218" s="2">
        <v>5</v>
      </c>
      <c r="D218" s="2">
        <v>568</v>
      </c>
      <c r="E218" s="2">
        <v>23</v>
      </c>
      <c r="F218" s="2">
        <v>32441</v>
      </c>
      <c r="G218" s="2">
        <v>12.416181870000001</v>
      </c>
      <c r="H218" s="2">
        <v>1.04984E-4</v>
      </c>
      <c r="I218" s="2" t="s">
        <v>25121</v>
      </c>
      <c r="J218" s="2" t="s">
        <v>25122</v>
      </c>
      <c r="K218" s="2">
        <v>2.3581729999999999E-3</v>
      </c>
      <c r="L218" s="2" t="s">
        <v>35</v>
      </c>
      <c r="M218" s="4" t="s">
        <v>25123</v>
      </c>
    </row>
    <row r="219" spans="1:13">
      <c r="A219" s="2">
        <v>3570</v>
      </c>
      <c r="B219" s="2" t="s">
        <v>25124</v>
      </c>
      <c r="C219" s="2">
        <v>5</v>
      </c>
      <c r="D219" s="2">
        <v>568</v>
      </c>
      <c r="E219" s="2">
        <v>23</v>
      </c>
      <c r="F219" s="2">
        <v>32441</v>
      </c>
      <c r="G219" s="2">
        <v>12.416181870000001</v>
      </c>
      <c r="H219" s="2">
        <v>1.04984E-4</v>
      </c>
      <c r="I219" s="2" t="s">
        <v>25125</v>
      </c>
      <c r="J219" s="2" t="s">
        <v>25126</v>
      </c>
      <c r="K219" s="2">
        <v>2.3581729999999999E-3</v>
      </c>
      <c r="L219" s="2" t="s">
        <v>35</v>
      </c>
      <c r="M219" s="4" t="s">
        <v>25127</v>
      </c>
    </row>
    <row r="220" spans="1:13">
      <c r="A220" s="2">
        <v>1369</v>
      </c>
      <c r="B220" s="2" t="s">
        <v>4469</v>
      </c>
      <c r="C220" s="2">
        <v>16</v>
      </c>
      <c r="D220" s="2">
        <v>568</v>
      </c>
      <c r="E220" s="2">
        <v>294</v>
      </c>
      <c r="F220" s="2">
        <v>32441</v>
      </c>
      <c r="G220" s="2">
        <v>3.1082686599999998</v>
      </c>
      <c r="H220" s="2">
        <v>1.08492E-4</v>
      </c>
      <c r="I220" s="2" t="s">
        <v>25128</v>
      </c>
      <c r="J220" s="2" t="s">
        <v>25129</v>
      </c>
      <c r="K220" s="2">
        <v>2.4255349999999999E-3</v>
      </c>
      <c r="L220" s="2" t="s">
        <v>35</v>
      </c>
      <c r="M220" s="4" t="s">
        <v>4472</v>
      </c>
    </row>
    <row r="221" spans="1:13">
      <c r="A221" s="2">
        <v>3210</v>
      </c>
      <c r="B221" s="2" t="s">
        <v>25130</v>
      </c>
      <c r="C221" s="2">
        <v>7</v>
      </c>
      <c r="D221" s="2">
        <v>568</v>
      </c>
      <c r="E221" s="2">
        <v>57</v>
      </c>
      <c r="F221" s="2">
        <v>32441</v>
      </c>
      <c r="G221" s="2">
        <v>7.0140536200000003</v>
      </c>
      <c r="H221" s="2">
        <v>1.14498E-4</v>
      </c>
      <c r="I221" s="2" t="s">
        <v>25131</v>
      </c>
      <c r="J221" s="2" t="s">
        <v>25132</v>
      </c>
      <c r="K221" s="2">
        <v>2.5478509999999998E-3</v>
      </c>
      <c r="L221" s="2" t="s">
        <v>35</v>
      </c>
      <c r="M221" s="4" t="s">
        <v>25133</v>
      </c>
    </row>
    <row r="222" spans="1:13">
      <c r="A222" s="2">
        <v>3188</v>
      </c>
      <c r="B222" s="2" t="s">
        <v>6134</v>
      </c>
      <c r="C222" s="2">
        <v>9</v>
      </c>
      <c r="D222" s="2">
        <v>568</v>
      </c>
      <c r="E222" s="2">
        <v>101</v>
      </c>
      <c r="F222" s="2">
        <v>32441</v>
      </c>
      <c r="G222" s="2">
        <v>5.0894052429999999</v>
      </c>
      <c r="H222" s="2">
        <v>1.23607E-4</v>
      </c>
      <c r="I222" s="2" t="s">
        <v>25134</v>
      </c>
      <c r="J222" s="2" t="s">
        <v>25135</v>
      </c>
      <c r="K222" s="2">
        <v>2.7377479999999999E-3</v>
      </c>
      <c r="L222" s="2" t="s">
        <v>35</v>
      </c>
      <c r="M222" s="4" t="s">
        <v>6137</v>
      </c>
    </row>
    <row r="223" spans="1:13">
      <c r="A223" s="2">
        <v>743</v>
      </c>
      <c r="B223" s="2" t="s">
        <v>25136</v>
      </c>
      <c r="C223" s="2">
        <v>5</v>
      </c>
      <c r="D223" s="2">
        <v>568</v>
      </c>
      <c r="E223" s="2">
        <v>24</v>
      </c>
      <c r="F223" s="2">
        <v>32441</v>
      </c>
      <c r="G223" s="2">
        <v>11.898840959999999</v>
      </c>
      <c r="H223" s="2">
        <v>1.25069E-4</v>
      </c>
      <c r="I223" s="2" t="s">
        <v>25121</v>
      </c>
      <c r="J223" s="2" t="s">
        <v>25122</v>
      </c>
      <c r="K223" s="2">
        <v>2.7555750000000001E-3</v>
      </c>
      <c r="L223" s="2" t="s">
        <v>35</v>
      </c>
      <c r="M223" s="4" t="s">
        <v>25137</v>
      </c>
    </row>
    <row r="224" spans="1:13">
      <c r="A224" s="2">
        <v>1074</v>
      </c>
      <c r="B224" s="2" t="s">
        <v>56</v>
      </c>
      <c r="C224" s="2">
        <v>17</v>
      </c>
      <c r="D224" s="2">
        <v>568</v>
      </c>
      <c r="E224" s="2">
        <v>330</v>
      </c>
      <c r="F224" s="2">
        <v>32441</v>
      </c>
      <c r="G224" s="2">
        <v>2.942258856</v>
      </c>
      <c r="H224" s="2">
        <v>1.2556899999999999E-4</v>
      </c>
      <c r="I224" s="2" t="s">
        <v>25138</v>
      </c>
      <c r="J224" s="2" t="s">
        <v>25139</v>
      </c>
      <c r="K224" s="2">
        <v>2.7555750000000001E-3</v>
      </c>
      <c r="L224" s="2" t="s">
        <v>35</v>
      </c>
      <c r="M224" s="4" t="s">
        <v>25140</v>
      </c>
    </row>
    <row r="225" spans="1:13">
      <c r="A225" s="2">
        <v>229</v>
      </c>
      <c r="B225" s="2" t="s">
        <v>25141</v>
      </c>
      <c r="C225" s="2">
        <v>4</v>
      </c>
      <c r="D225" s="2">
        <v>568</v>
      </c>
      <c r="E225" s="2">
        <v>12</v>
      </c>
      <c r="F225" s="2">
        <v>32441</v>
      </c>
      <c r="G225" s="2">
        <v>19.038145539999999</v>
      </c>
      <c r="H225" s="2">
        <v>1.33938E-4</v>
      </c>
      <c r="I225" s="2" t="s">
        <v>25142</v>
      </c>
      <c r="J225" s="2" t="s">
        <v>25143</v>
      </c>
      <c r="K225" s="2">
        <v>2.9243720000000002E-3</v>
      </c>
      <c r="L225" s="2" t="s">
        <v>35</v>
      </c>
      <c r="M225" s="4" t="s">
        <v>25144</v>
      </c>
    </row>
    <row r="226" spans="1:13">
      <c r="A226" s="2">
        <v>1391</v>
      </c>
      <c r="B226" s="2" t="s">
        <v>25145</v>
      </c>
      <c r="C226" s="2">
        <v>17</v>
      </c>
      <c r="D226" s="2">
        <v>568</v>
      </c>
      <c r="E226" s="2">
        <v>332</v>
      </c>
      <c r="F226" s="2">
        <v>32441</v>
      </c>
      <c r="G226" s="2">
        <v>2.9245344050000002</v>
      </c>
      <c r="H226" s="2">
        <v>1.3448900000000001E-4</v>
      </c>
      <c r="I226" s="2" t="s">
        <v>25146</v>
      </c>
      <c r="J226" s="2" t="s">
        <v>25147</v>
      </c>
      <c r="K226" s="2">
        <v>2.9243720000000002E-3</v>
      </c>
      <c r="L226" s="2" t="s">
        <v>35</v>
      </c>
      <c r="M226" s="4" t="s">
        <v>25148</v>
      </c>
    </row>
    <row r="227" spans="1:13">
      <c r="A227" s="2">
        <v>73</v>
      </c>
      <c r="B227" s="2" t="s">
        <v>25149</v>
      </c>
      <c r="C227" s="2">
        <v>7</v>
      </c>
      <c r="D227" s="2">
        <v>568</v>
      </c>
      <c r="E227" s="2">
        <v>59</v>
      </c>
      <c r="F227" s="2">
        <v>32441</v>
      </c>
      <c r="G227" s="2">
        <v>6.7762890899999997</v>
      </c>
      <c r="H227" s="2">
        <v>1.3935900000000001E-4</v>
      </c>
      <c r="I227" s="2" t="s">
        <v>25150</v>
      </c>
      <c r="J227" s="2" t="s">
        <v>25151</v>
      </c>
      <c r="K227" s="2">
        <v>2.990506E-3</v>
      </c>
      <c r="L227" s="2" t="s">
        <v>35</v>
      </c>
      <c r="M227" s="4" t="s">
        <v>25152</v>
      </c>
    </row>
    <row r="228" spans="1:13">
      <c r="A228" s="2">
        <v>625</v>
      </c>
      <c r="B228" s="2" t="s">
        <v>25153</v>
      </c>
      <c r="C228" s="2">
        <v>7</v>
      </c>
      <c r="D228" s="2">
        <v>568</v>
      </c>
      <c r="E228" s="2">
        <v>59</v>
      </c>
      <c r="F228" s="2">
        <v>32441</v>
      </c>
      <c r="G228" s="2">
        <v>6.7762890899999997</v>
      </c>
      <c r="H228" s="2">
        <v>1.3935900000000001E-4</v>
      </c>
      <c r="I228" s="2" t="s">
        <v>25154</v>
      </c>
      <c r="J228" s="2" t="s">
        <v>25155</v>
      </c>
      <c r="K228" s="2">
        <v>2.990506E-3</v>
      </c>
      <c r="L228" s="2" t="s">
        <v>35</v>
      </c>
      <c r="M228" s="4" t="s">
        <v>25156</v>
      </c>
    </row>
    <row r="229" spans="1:13">
      <c r="A229" s="2">
        <v>3854</v>
      </c>
      <c r="B229" s="2" t="s">
        <v>25157</v>
      </c>
      <c r="C229" s="2">
        <v>18</v>
      </c>
      <c r="D229" s="2">
        <v>568</v>
      </c>
      <c r="E229" s="2">
        <v>366</v>
      </c>
      <c r="F229" s="2">
        <v>32441</v>
      </c>
      <c r="G229" s="2">
        <v>2.8089067189999999</v>
      </c>
      <c r="H229" s="2">
        <v>1.3941499999999999E-4</v>
      </c>
      <c r="I229" s="2" t="s">
        <v>25158</v>
      </c>
      <c r="J229" s="2" t="s">
        <v>25159</v>
      </c>
      <c r="K229" s="2">
        <v>2.990506E-3</v>
      </c>
      <c r="L229" s="2" t="s">
        <v>35</v>
      </c>
      <c r="M229" s="4" t="s">
        <v>25160</v>
      </c>
    </row>
    <row r="230" spans="1:13">
      <c r="A230" s="2">
        <v>3518</v>
      </c>
      <c r="B230" s="2" t="s">
        <v>5535</v>
      </c>
      <c r="C230" s="2">
        <v>21</v>
      </c>
      <c r="D230" s="2">
        <v>568</v>
      </c>
      <c r="E230" s="2">
        <v>469</v>
      </c>
      <c r="F230" s="2">
        <v>32441</v>
      </c>
      <c r="G230" s="2">
        <v>2.5573628340000001</v>
      </c>
      <c r="H230" s="2">
        <v>1.40581E-4</v>
      </c>
      <c r="I230" s="2" t="s">
        <v>25161</v>
      </c>
      <c r="J230" s="2" t="s">
        <v>25162</v>
      </c>
      <c r="K230" s="2">
        <v>3.0020060000000002E-3</v>
      </c>
      <c r="L230" s="2" t="s">
        <v>35</v>
      </c>
      <c r="M230" s="4" t="s">
        <v>5538</v>
      </c>
    </row>
    <row r="231" spans="1:13">
      <c r="A231" s="2">
        <v>1199</v>
      </c>
      <c r="B231" s="2" t="s">
        <v>25163</v>
      </c>
      <c r="C231" s="2">
        <v>9</v>
      </c>
      <c r="D231" s="2">
        <v>568</v>
      </c>
      <c r="E231" s="2">
        <v>103</v>
      </c>
      <c r="F231" s="2">
        <v>32441</v>
      </c>
      <c r="G231" s="2">
        <v>4.990581841</v>
      </c>
      <c r="H231" s="2">
        <v>1.41908E-4</v>
      </c>
      <c r="I231" s="2" t="s">
        <v>25164</v>
      </c>
      <c r="J231" s="2" t="s">
        <v>25165</v>
      </c>
      <c r="K231" s="2">
        <v>3.01681E-3</v>
      </c>
      <c r="L231" s="2" t="s">
        <v>35</v>
      </c>
      <c r="M231" s="4" t="s">
        <v>25166</v>
      </c>
    </row>
    <row r="232" spans="1:13">
      <c r="A232" s="2">
        <v>2958</v>
      </c>
      <c r="B232" s="2" t="s">
        <v>25167</v>
      </c>
      <c r="C232" s="2">
        <v>16</v>
      </c>
      <c r="D232" s="2">
        <v>568</v>
      </c>
      <c r="E232" s="2">
        <v>302</v>
      </c>
      <c r="F232" s="2">
        <v>32441</v>
      </c>
      <c r="G232" s="2">
        <v>3.0259304170000001</v>
      </c>
      <c r="H232" s="2">
        <v>1.4535000000000001E-4</v>
      </c>
      <c r="I232" s="2" t="s">
        <v>25168</v>
      </c>
      <c r="J232" s="2" t="s">
        <v>25169</v>
      </c>
      <c r="K232" s="2">
        <v>3.076245E-3</v>
      </c>
      <c r="L232" s="2" t="s">
        <v>35</v>
      </c>
      <c r="M232" s="4" t="s">
        <v>25170</v>
      </c>
    </row>
    <row r="233" spans="1:13">
      <c r="A233" s="2">
        <v>1468</v>
      </c>
      <c r="B233" s="2" t="s">
        <v>25171</v>
      </c>
      <c r="C233" s="2">
        <v>16</v>
      </c>
      <c r="D233" s="2">
        <v>568</v>
      </c>
      <c r="E233" s="2">
        <v>305</v>
      </c>
      <c r="F233" s="2">
        <v>32441</v>
      </c>
      <c r="G233" s="2">
        <v>2.9961671669999999</v>
      </c>
      <c r="H233" s="2">
        <v>1.6175200000000001E-4</v>
      </c>
      <c r="I233" s="2" t="s">
        <v>25172</v>
      </c>
      <c r="J233" s="2" t="s">
        <v>25173</v>
      </c>
      <c r="K233" s="2">
        <v>3.4082439999999999E-3</v>
      </c>
      <c r="L233" s="2" t="s">
        <v>35</v>
      </c>
      <c r="M233" s="4" t="s">
        <v>25174</v>
      </c>
    </row>
    <row r="234" spans="1:13">
      <c r="A234" s="2">
        <v>2255</v>
      </c>
      <c r="B234" s="2" t="s">
        <v>5389</v>
      </c>
      <c r="C234" s="2">
        <v>24</v>
      </c>
      <c r="D234" s="2">
        <v>568</v>
      </c>
      <c r="E234" s="2">
        <v>584</v>
      </c>
      <c r="F234" s="2">
        <v>32441</v>
      </c>
      <c r="G234" s="2">
        <v>2.3471686279999999</v>
      </c>
      <c r="H234" s="2">
        <v>1.6834799999999999E-4</v>
      </c>
      <c r="I234" s="2" t="s">
        <v>25175</v>
      </c>
      <c r="J234" s="2" t="s">
        <v>25176</v>
      </c>
      <c r="K234" s="2">
        <v>3.5315989999999998E-3</v>
      </c>
      <c r="L234" s="2" t="s">
        <v>35</v>
      </c>
      <c r="M234" s="4" t="s">
        <v>5392</v>
      </c>
    </row>
    <row r="235" spans="1:13">
      <c r="A235" s="2">
        <v>1904</v>
      </c>
      <c r="B235" s="2" t="s">
        <v>25177</v>
      </c>
      <c r="C235" s="2">
        <v>4</v>
      </c>
      <c r="D235" s="2">
        <v>568</v>
      </c>
      <c r="E235" s="2">
        <v>13</v>
      </c>
      <c r="F235" s="2">
        <v>32441</v>
      </c>
      <c r="G235" s="2">
        <v>17.573672810000001</v>
      </c>
      <c r="H235" s="2">
        <v>1.72771E-4</v>
      </c>
      <c r="I235" s="2" t="s">
        <v>25178</v>
      </c>
      <c r="J235" s="2" t="s">
        <v>25179</v>
      </c>
      <c r="K235" s="2">
        <v>3.6084860000000002E-3</v>
      </c>
      <c r="L235" s="2" t="s">
        <v>35</v>
      </c>
      <c r="M235" s="4" t="s">
        <v>25180</v>
      </c>
    </row>
    <row r="236" spans="1:13">
      <c r="A236" s="2">
        <v>1227</v>
      </c>
      <c r="B236" s="2" t="s">
        <v>508</v>
      </c>
      <c r="C236" s="2">
        <v>10</v>
      </c>
      <c r="D236" s="2">
        <v>568</v>
      </c>
      <c r="E236" s="2">
        <v>132</v>
      </c>
      <c r="F236" s="2">
        <v>32441</v>
      </c>
      <c r="G236" s="2">
        <v>4.3268512589999997</v>
      </c>
      <c r="H236" s="2">
        <v>1.8374099999999999E-4</v>
      </c>
      <c r="I236" s="2" t="s">
        <v>25181</v>
      </c>
      <c r="J236" s="2" t="s">
        <v>25182</v>
      </c>
      <c r="K236" s="2">
        <v>3.8208489999999999E-3</v>
      </c>
      <c r="L236" s="2" t="s">
        <v>35</v>
      </c>
      <c r="M236" s="4" t="s">
        <v>6162</v>
      </c>
    </row>
    <row r="237" spans="1:13">
      <c r="A237" s="2">
        <v>3412</v>
      </c>
      <c r="B237" s="2" t="s">
        <v>4298</v>
      </c>
      <c r="C237" s="2">
        <v>19</v>
      </c>
      <c r="D237" s="2">
        <v>568</v>
      </c>
      <c r="E237" s="2">
        <v>409</v>
      </c>
      <c r="F237" s="2">
        <v>32441</v>
      </c>
      <c r="G237" s="2">
        <v>2.653237887</v>
      </c>
      <c r="H237" s="2">
        <v>1.8491499999999999E-4</v>
      </c>
      <c r="I237" s="2" t="s">
        <v>25183</v>
      </c>
      <c r="J237" s="2" t="s">
        <v>25184</v>
      </c>
      <c r="K237" s="2">
        <v>3.8285540000000001E-3</v>
      </c>
      <c r="L237" s="2" t="s">
        <v>35</v>
      </c>
      <c r="M237" s="4" t="s">
        <v>4301</v>
      </c>
    </row>
    <row r="238" spans="1:13">
      <c r="A238" s="2">
        <v>2029</v>
      </c>
      <c r="B238" s="2" t="s">
        <v>25185</v>
      </c>
      <c r="C238" s="2">
        <v>11</v>
      </c>
      <c r="D238" s="2">
        <v>568</v>
      </c>
      <c r="E238" s="2">
        <v>159</v>
      </c>
      <c r="F238" s="2">
        <v>32441</v>
      </c>
      <c r="G238" s="2">
        <v>3.9513132249999998</v>
      </c>
      <c r="H238" s="2">
        <v>1.8749000000000001E-4</v>
      </c>
      <c r="I238" s="2" t="s">
        <v>25186</v>
      </c>
      <c r="J238" s="2" t="s">
        <v>25187</v>
      </c>
      <c r="K238" s="2">
        <v>3.86506E-3</v>
      </c>
      <c r="L238" s="2" t="s">
        <v>35</v>
      </c>
      <c r="M238" s="4" t="s">
        <v>25188</v>
      </c>
    </row>
    <row r="239" spans="1:13">
      <c r="A239" s="2">
        <v>4544</v>
      </c>
      <c r="B239" s="2" t="s">
        <v>25189</v>
      </c>
      <c r="C239" s="2">
        <v>6</v>
      </c>
      <c r="D239" s="2">
        <v>568</v>
      </c>
      <c r="E239" s="2">
        <v>43</v>
      </c>
      <c r="F239" s="2">
        <v>32441</v>
      </c>
      <c r="G239" s="2">
        <v>7.9694562729999996</v>
      </c>
      <c r="H239" s="2">
        <v>1.8868499999999999E-4</v>
      </c>
      <c r="I239" s="2" t="s">
        <v>25190</v>
      </c>
      <c r="J239" s="2" t="s">
        <v>25191</v>
      </c>
      <c r="K239" s="2">
        <v>3.8729290000000002E-3</v>
      </c>
      <c r="L239" s="2" t="s">
        <v>35</v>
      </c>
      <c r="M239" s="4" t="s">
        <v>25192</v>
      </c>
    </row>
    <row r="240" spans="1:13">
      <c r="A240" s="2">
        <v>4024</v>
      </c>
      <c r="B240" s="2" t="s">
        <v>25193</v>
      </c>
      <c r="C240" s="2">
        <v>12</v>
      </c>
      <c r="D240" s="2">
        <v>568</v>
      </c>
      <c r="E240" s="2">
        <v>188</v>
      </c>
      <c r="F240" s="2">
        <v>32441</v>
      </c>
      <c r="G240" s="2">
        <v>3.6456023370000001</v>
      </c>
      <c r="H240" s="2">
        <v>1.9688600000000001E-4</v>
      </c>
      <c r="I240" s="2" t="s">
        <v>25194</v>
      </c>
      <c r="J240" s="2" t="s">
        <v>25195</v>
      </c>
      <c r="K240" s="2">
        <v>4.0239150000000003E-3</v>
      </c>
      <c r="L240" s="2" t="s">
        <v>35</v>
      </c>
      <c r="M240" s="4" t="s">
        <v>25196</v>
      </c>
    </row>
    <row r="241" spans="1:13">
      <c r="A241" s="2">
        <v>1245</v>
      </c>
      <c r="B241" s="2" t="s">
        <v>25197</v>
      </c>
      <c r="C241" s="2">
        <v>5</v>
      </c>
      <c r="D241" s="2">
        <v>568</v>
      </c>
      <c r="E241" s="2">
        <v>27</v>
      </c>
      <c r="F241" s="2">
        <v>32441</v>
      </c>
      <c r="G241" s="2">
        <v>10.57674752</v>
      </c>
      <c r="H241" s="2">
        <v>2.0325399999999999E-4</v>
      </c>
      <c r="I241" s="2" t="s">
        <v>25198</v>
      </c>
      <c r="J241" s="2" t="s">
        <v>25199</v>
      </c>
      <c r="K241" s="2">
        <v>4.136303E-3</v>
      </c>
      <c r="L241" s="2" t="s">
        <v>35</v>
      </c>
      <c r="M241" s="4" t="s">
        <v>25200</v>
      </c>
    </row>
    <row r="242" spans="1:13">
      <c r="A242" s="2">
        <v>2421</v>
      </c>
      <c r="B242" s="2" t="s">
        <v>25201</v>
      </c>
      <c r="C242" s="2">
        <v>18</v>
      </c>
      <c r="D242" s="2">
        <v>568</v>
      </c>
      <c r="E242" s="2">
        <v>379</v>
      </c>
      <c r="F242" s="2">
        <v>32441</v>
      </c>
      <c r="G242" s="2">
        <v>2.7125589950000002</v>
      </c>
      <c r="H242" s="2">
        <v>2.09724E-4</v>
      </c>
      <c r="I242" s="2" t="s">
        <v>25202</v>
      </c>
      <c r="J242" s="2" t="s">
        <v>25203</v>
      </c>
      <c r="K242" s="2">
        <v>4.2498140000000002E-3</v>
      </c>
      <c r="L242" s="2" t="s">
        <v>35</v>
      </c>
      <c r="M242" s="4" t="s">
        <v>25204</v>
      </c>
    </row>
    <row r="243" spans="1:13">
      <c r="A243" s="2">
        <v>2858</v>
      </c>
      <c r="B243" s="2" t="s">
        <v>25205</v>
      </c>
      <c r="C243" s="2">
        <v>8</v>
      </c>
      <c r="D243" s="2">
        <v>568</v>
      </c>
      <c r="E243" s="2">
        <v>86</v>
      </c>
      <c r="F243" s="2">
        <v>32441</v>
      </c>
      <c r="G243" s="2">
        <v>5.312970848</v>
      </c>
      <c r="H243" s="2">
        <v>2.22759E-4</v>
      </c>
      <c r="I243" s="2" t="s">
        <v>25206</v>
      </c>
      <c r="J243" s="2" t="s">
        <v>25207</v>
      </c>
      <c r="K243" s="2">
        <v>4.4948210000000004E-3</v>
      </c>
      <c r="L243" s="2" t="s">
        <v>35</v>
      </c>
      <c r="M243" s="4" t="s">
        <v>25208</v>
      </c>
    </row>
    <row r="244" spans="1:13">
      <c r="A244" s="2">
        <v>2808</v>
      </c>
      <c r="B244" s="2" t="s">
        <v>25209</v>
      </c>
      <c r="C244" s="2">
        <v>11</v>
      </c>
      <c r="D244" s="2">
        <v>568</v>
      </c>
      <c r="E244" s="2">
        <v>163</v>
      </c>
      <c r="F244" s="2">
        <v>32441</v>
      </c>
      <c r="G244" s="2">
        <v>3.854348484</v>
      </c>
      <c r="H244" s="2">
        <v>2.2951800000000001E-4</v>
      </c>
      <c r="I244" s="2" t="s">
        <v>25210</v>
      </c>
      <c r="J244" s="2" t="s">
        <v>25211</v>
      </c>
      <c r="K244" s="2">
        <v>4.6116600000000001E-3</v>
      </c>
      <c r="L244" s="2" t="s">
        <v>35</v>
      </c>
      <c r="M244" s="4" t="s">
        <v>25212</v>
      </c>
    </row>
    <row r="245" spans="1:13">
      <c r="A245" s="2">
        <v>2397</v>
      </c>
      <c r="B245" s="2" t="s">
        <v>25213</v>
      </c>
      <c r="C245" s="2">
        <v>6</v>
      </c>
      <c r="D245" s="2">
        <v>568</v>
      </c>
      <c r="E245" s="2">
        <v>45</v>
      </c>
      <c r="F245" s="2">
        <v>32441</v>
      </c>
      <c r="G245" s="2">
        <v>7.615258216</v>
      </c>
      <c r="H245" s="2">
        <v>2.36054E-4</v>
      </c>
      <c r="I245" s="2" t="s">
        <v>25214</v>
      </c>
      <c r="J245" s="2" t="s">
        <v>25215</v>
      </c>
      <c r="K245" s="2">
        <v>4.7032929999999999E-3</v>
      </c>
      <c r="L245" s="2" t="s">
        <v>35</v>
      </c>
      <c r="M245" s="4" t="s">
        <v>25216</v>
      </c>
    </row>
    <row r="246" spans="1:13">
      <c r="A246" s="2">
        <v>4649</v>
      </c>
      <c r="B246" s="2" t="s">
        <v>25217</v>
      </c>
      <c r="C246" s="2">
        <v>6</v>
      </c>
      <c r="D246" s="2">
        <v>568</v>
      </c>
      <c r="E246" s="2">
        <v>45</v>
      </c>
      <c r="F246" s="2">
        <v>32441</v>
      </c>
      <c r="G246" s="2">
        <v>7.615258216</v>
      </c>
      <c r="H246" s="2">
        <v>2.36054E-4</v>
      </c>
      <c r="I246" s="2" t="s">
        <v>25218</v>
      </c>
      <c r="J246" s="2" t="s">
        <v>25219</v>
      </c>
      <c r="K246" s="2">
        <v>4.7032929999999999E-3</v>
      </c>
      <c r="L246" s="2" t="s">
        <v>35</v>
      </c>
      <c r="M246" s="4" t="s">
        <v>25220</v>
      </c>
    </row>
    <row r="247" spans="1:13">
      <c r="A247" s="2">
        <v>519</v>
      </c>
      <c r="B247" s="2" t="s">
        <v>25221</v>
      </c>
      <c r="C247" s="2">
        <v>7</v>
      </c>
      <c r="D247" s="2">
        <v>568</v>
      </c>
      <c r="E247" s="2">
        <v>66</v>
      </c>
      <c r="F247" s="2">
        <v>32441</v>
      </c>
      <c r="G247" s="2">
        <v>6.0575917629999996</v>
      </c>
      <c r="H247" s="2">
        <v>2.6292699999999998E-4</v>
      </c>
      <c r="I247" s="2" t="s">
        <v>25222</v>
      </c>
      <c r="J247" s="2" t="s">
        <v>25223</v>
      </c>
      <c r="K247" s="2">
        <v>5.2169190000000004E-3</v>
      </c>
      <c r="L247" s="2" t="s">
        <v>35</v>
      </c>
      <c r="M247" s="4" t="s">
        <v>25224</v>
      </c>
    </row>
    <row r="248" spans="1:13">
      <c r="A248" s="2">
        <v>2319</v>
      </c>
      <c r="B248" s="2" t="s">
        <v>196</v>
      </c>
      <c r="C248" s="2">
        <v>33</v>
      </c>
      <c r="D248" s="2">
        <v>568</v>
      </c>
      <c r="E248" s="2">
        <v>957</v>
      </c>
      <c r="F248" s="2">
        <v>32441</v>
      </c>
      <c r="G248" s="2">
        <v>1.9694633319999999</v>
      </c>
      <c r="H248" s="2">
        <v>2.6917199999999998E-4</v>
      </c>
      <c r="I248" s="2" t="s">
        <v>25225</v>
      </c>
      <c r="J248" s="2" t="s">
        <v>25226</v>
      </c>
      <c r="K248" s="2">
        <v>5.2992689999999997E-3</v>
      </c>
      <c r="L248" s="2" t="s">
        <v>35</v>
      </c>
      <c r="M248" s="4" t="s">
        <v>25227</v>
      </c>
    </row>
    <row r="249" spans="1:13">
      <c r="A249" s="2">
        <v>4071</v>
      </c>
      <c r="B249" s="2" t="s">
        <v>159</v>
      </c>
      <c r="C249" s="2">
        <v>19</v>
      </c>
      <c r="D249" s="2">
        <v>568</v>
      </c>
      <c r="E249" s="2">
        <v>422</v>
      </c>
      <c r="F249" s="2">
        <v>32441</v>
      </c>
      <c r="G249" s="2">
        <v>2.571503071</v>
      </c>
      <c r="H249" s="2">
        <v>2.6930299999999998E-4</v>
      </c>
      <c r="I249" s="2" t="s">
        <v>25228</v>
      </c>
      <c r="J249" s="2" t="s">
        <v>25229</v>
      </c>
      <c r="K249" s="2">
        <v>5.2992689999999997E-3</v>
      </c>
      <c r="L249" s="2" t="s">
        <v>35</v>
      </c>
      <c r="M249" s="4" t="s">
        <v>25230</v>
      </c>
    </row>
    <row r="250" spans="1:13">
      <c r="A250" s="2">
        <v>3787</v>
      </c>
      <c r="B250" s="2" t="s">
        <v>25231</v>
      </c>
      <c r="C250" s="2">
        <v>10</v>
      </c>
      <c r="D250" s="2">
        <v>568</v>
      </c>
      <c r="E250" s="2">
        <v>139</v>
      </c>
      <c r="F250" s="2">
        <v>32441</v>
      </c>
      <c r="G250" s="2">
        <v>4.108952275</v>
      </c>
      <c r="H250" s="2">
        <v>2.7142699999999997E-4</v>
      </c>
      <c r="I250" s="2" t="s">
        <v>25232</v>
      </c>
      <c r="J250" s="2" t="s">
        <v>25233</v>
      </c>
      <c r="K250" s="2">
        <v>5.3190679999999997E-3</v>
      </c>
      <c r="L250" s="2" t="s">
        <v>35</v>
      </c>
      <c r="M250" s="4" t="s">
        <v>25234</v>
      </c>
    </row>
    <row r="251" spans="1:13">
      <c r="A251" s="2">
        <v>307</v>
      </c>
      <c r="B251" s="2" t="s">
        <v>25235</v>
      </c>
      <c r="C251" s="2">
        <v>4</v>
      </c>
      <c r="D251" s="2">
        <v>568</v>
      </c>
      <c r="E251" s="2">
        <v>15</v>
      </c>
      <c r="F251" s="2">
        <v>32441</v>
      </c>
      <c r="G251" s="2">
        <v>15.23051643</v>
      </c>
      <c r="H251" s="2">
        <v>2.73787E-4</v>
      </c>
      <c r="I251" s="2" t="s">
        <v>25236</v>
      </c>
      <c r="J251" s="2" t="s">
        <v>25237</v>
      </c>
      <c r="K251" s="2">
        <v>5.3215249999999997E-3</v>
      </c>
      <c r="L251" s="2" t="s">
        <v>35</v>
      </c>
      <c r="M251" s="4" t="s">
        <v>25238</v>
      </c>
    </row>
    <row r="252" spans="1:13">
      <c r="A252" s="2">
        <v>2524</v>
      </c>
      <c r="B252" s="2" t="s">
        <v>25239</v>
      </c>
      <c r="C252" s="2">
        <v>4</v>
      </c>
      <c r="D252" s="2">
        <v>568</v>
      </c>
      <c r="E252" s="2">
        <v>15</v>
      </c>
      <c r="F252" s="2">
        <v>32441</v>
      </c>
      <c r="G252" s="2">
        <v>15.23051643</v>
      </c>
      <c r="H252" s="2">
        <v>2.73787E-4</v>
      </c>
      <c r="I252" s="2" t="s">
        <v>25240</v>
      </c>
      <c r="J252" s="2" t="s">
        <v>25241</v>
      </c>
      <c r="K252" s="2">
        <v>5.3215249999999997E-3</v>
      </c>
      <c r="L252" s="2" t="s">
        <v>35</v>
      </c>
      <c r="M252" s="4" t="s">
        <v>25242</v>
      </c>
    </row>
    <row r="253" spans="1:13">
      <c r="A253" s="2">
        <v>411</v>
      </c>
      <c r="B253" s="2" t="s">
        <v>25243</v>
      </c>
      <c r="C253" s="2">
        <v>7</v>
      </c>
      <c r="D253" s="2">
        <v>568</v>
      </c>
      <c r="E253" s="2">
        <v>67</v>
      </c>
      <c r="F253" s="2">
        <v>32441</v>
      </c>
      <c r="G253" s="2">
        <v>5.9671799449999998</v>
      </c>
      <c r="H253" s="2">
        <v>2.8614500000000002E-4</v>
      </c>
      <c r="I253" s="2" t="s">
        <v>25244</v>
      </c>
      <c r="J253" s="2" t="s">
        <v>25245</v>
      </c>
      <c r="K253" s="2">
        <v>5.5391190000000003E-3</v>
      </c>
      <c r="L253" s="2" t="s">
        <v>35</v>
      </c>
      <c r="M253" s="4" t="s">
        <v>25246</v>
      </c>
    </row>
    <row r="254" spans="1:13">
      <c r="A254" s="2">
        <v>4628</v>
      </c>
      <c r="B254" s="2" t="s">
        <v>25247</v>
      </c>
      <c r="C254" s="2">
        <v>13</v>
      </c>
      <c r="D254" s="2">
        <v>568</v>
      </c>
      <c r="E254" s="2">
        <v>227</v>
      </c>
      <c r="F254" s="2">
        <v>32441</v>
      </c>
      <c r="G254" s="2">
        <v>3.2708708199999998</v>
      </c>
      <c r="H254" s="2">
        <v>2.9510099999999998E-4</v>
      </c>
      <c r="I254" s="2" t="s">
        <v>25248</v>
      </c>
      <c r="J254" s="2" t="s">
        <v>25249</v>
      </c>
      <c r="K254" s="2">
        <v>5.6664150000000002E-3</v>
      </c>
      <c r="L254" s="2" t="s">
        <v>35</v>
      </c>
      <c r="M254" s="4" t="s">
        <v>25250</v>
      </c>
    </row>
    <row r="255" spans="1:13">
      <c r="A255" s="2">
        <v>4640</v>
      </c>
      <c r="B255" s="2" t="s">
        <v>25251</v>
      </c>
      <c r="C255" s="2">
        <v>13</v>
      </c>
      <c r="D255" s="2">
        <v>568</v>
      </c>
      <c r="E255" s="2">
        <v>227</v>
      </c>
      <c r="F255" s="2">
        <v>32441</v>
      </c>
      <c r="G255" s="2">
        <v>3.2708708199999998</v>
      </c>
      <c r="H255" s="2">
        <v>2.9510099999999998E-4</v>
      </c>
      <c r="I255" s="2" t="s">
        <v>25252</v>
      </c>
      <c r="J255" s="2" t="s">
        <v>25253</v>
      </c>
      <c r="K255" s="2">
        <v>5.6664150000000002E-3</v>
      </c>
      <c r="L255" s="2" t="s">
        <v>35</v>
      </c>
      <c r="M255" s="4" t="s">
        <v>25254</v>
      </c>
    </row>
    <row r="256" spans="1:13">
      <c r="A256" s="2">
        <v>1670</v>
      </c>
      <c r="B256" s="2" t="s">
        <v>25255</v>
      </c>
      <c r="C256" s="2">
        <v>22</v>
      </c>
      <c r="D256" s="2">
        <v>568</v>
      </c>
      <c r="E256" s="2">
        <v>537</v>
      </c>
      <c r="F256" s="2">
        <v>32441</v>
      </c>
      <c r="G256" s="2">
        <v>2.3398838089999998</v>
      </c>
      <c r="H256" s="2">
        <v>3.2328000000000001E-4</v>
      </c>
      <c r="I256" s="2" t="s">
        <v>25256</v>
      </c>
      <c r="J256" s="2" t="s">
        <v>25257</v>
      </c>
      <c r="K256" s="2">
        <v>6.1825589999999998E-3</v>
      </c>
      <c r="L256" s="2" t="s">
        <v>35</v>
      </c>
      <c r="M256" s="4" t="s">
        <v>25258</v>
      </c>
    </row>
    <row r="257" spans="1:13">
      <c r="A257" s="2">
        <v>2536</v>
      </c>
      <c r="B257" s="2" t="s">
        <v>25259</v>
      </c>
      <c r="C257" s="2">
        <v>5</v>
      </c>
      <c r="D257" s="2">
        <v>568</v>
      </c>
      <c r="E257" s="2">
        <v>31</v>
      </c>
      <c r="F257" s="2">
        <v>32441</v>
      </c>
      <c r="G257" s="2">
        <v>9.2120059059999999</v>
      </c>
      <c r="H257" s="2">
        <v>3.5956699999999998E-4</v>
      </c>
      <c r="I257" s="2" t="s">
        <v>25260</v>
      </c>
      <c r="J257" s="2" t="s">
        <v>25261</v>
      </c>
      <c r="K257" s="2">
        <v>6.8490249999999999E-3</v>
      </c>
      <c r="L257" s="2" t="s">
        <v>35</v>
      </c>
      <c r="M257" s="4" t="s">
        <v>25262</v>
      </c>
    </row>
    <row r="258" spans="1:13">
      <c r="A258" s="2">
        <v>505</v>
      </c>
      <c r="B258" s="2" t="s">
        <v>25263</v>
      </c>
      <c r="C258" s="2">
        <v>7</v>
      </c>
      <c r="D258" s="2">
        <v>568</v>
      </c>
      <c r="E258" s="2">
        <v>70</v>
      </c>
      <c r="F258" s="2">
        <v>32441</v>
      </c>
      <c r="G258" s="2">
        <v>5.7114436619999998</v>
      </c>
      <c r="H258" s="2">
        <v>3.6583600000000003E-4</v>
      </c>
      <c r="I258" s="2" t="s">
        <v>25264</v>
      </c>
      <c r="J258" s="2" t="s">
        <v>25265</v>
      </c>
      <c r="K258" s="2">
        <v>6.9406880000000004E-3</v>
      </c>
      <c r="L258" s="2" t="s">
        <v>35</v>
      </c>
      <c r="M258" s="4" t="s">
        <v>25266</v>
      </c>
    </row>
    <row r="259" spans="1:13">
      <c r="A259" s="2">
        <v>2540</v>
      </c>
      <c r="B259" s="2" t="s">
        <v>25267</v>
      </c>
      <c r="C259" s="2">
        <v>8</v>
      </c>
      <c r="D259" s="2">
        <v>568</v>
      </c>
      <c r="E259" s="2">
        <v>94</v>
      </c>
      <c r="F259" s="2">
        <v>32441</v>
      </c>
      <c r="G259" s="2">
        <v>4.8608031169999997</v>
      </c>
      <c r="H259" s="2">
        <v>3.8940300000000003E-4</v>
      </c>
      <c r="I259" s="2" t="s">
        <v>25268</v>
      </c>
      <c r="J259" s="2" t="s">
        <v>25269</v>
      </c>
      <c r="K259" s="2">
        <v>7.3584799999999997E-3</v>
      </c>
      <c r="L259" s="2" t="s">
        <v>35</v>
      </c>
      <c r="M259" s="4" t="s">
        <v>25270</v>
      </c>
    </row>
    <row r="260" spans="1:13">
      <c r="A260" s="2">
        <v>2918</v>
      </c>
      <c r="B260" s="2" t="s">
        <v>25271</v>
      </c>
      <c r="C260" s="2">
        <v>6</v>
      </c>
      <c r="D260" s="2">
        <v>568</v>
      </c>
      <c r="E260" s="2">
        <v>50</v>
      </c>
      <c r="F260" s="2">
        <v>32441</v>
      </c>
      <c r="G260" s="2">
        <v>6.8537323939999997</v>
      </c>
      <c r="H260" s="2">
        <v>3.9582300000000001E-4</v>
      </c>
      <c r="I260" s="2" t="s">
        <v>25272</v>
      </c>
      <c r="J260" s="2" t="s">
        <v>25273</v>
      </c>
      <c r="K260" s="2">
        <v>7.4502379999999997E-3</v>
      </c>
      <c r="L260" s="2" t="s">
        <v>35</v>
      </c>
      <c r="M260" s="4" t="s">
        <v>25274</v>
      </c>
    </row>
    <row r="261" spans="1:13">
      <c r="A261" s="2">
        <v>2728</v>
      </c>
      <c r="B261" s="2" t="s">
        <v>25275</v>
      </c>
      <c r="C261" s="2">
        <v>5</v>
      </c>
      <c r="D261" s="2">
        <v>568</v>
      </c>
      <c r="E261" s="2">
        <v>32</v>
      </c>
      <c r="F261" s="2">
        <v>32441</v>
      </c>
      <c r="G261" s="2">
        <v>8.9241307219999992</v>
      </c>
      <c r="H261" s="2">
        <v>4.0991299999999998E-4</v>
      </c>
      <c r="I261" s="2" t="s">
        <v>25276</v>
      </c>
      <c r="J261" s="2" t="s">
        <v>25277</v>
      </c>
      <c r="K261" s="2">
        <v>7.6549249999999999E-3</v>
      </c>
      <c r="L261" s="2" t="s">
        <v>35</v>
      </c>
      <c r="M261" s="4" t="s">
        <v>25278</v>
      </c>
    </row>
    <row r="262" spans="1:13">
      <c r="A262" s="2">
        <v>3563</v>
      </c>
      <c r="B262" s="2" t="s">
        <v>25279</v>
      </c>
      <c r="C262" s="2">
        <v>9</v>
      </c>
      <c r="D262" s="2">
        <v>568</v>
      </c>
      <c r="E262" s="2">
        <v>120</v>
      </c>
      <c r="F262" s="2">
        <v>32441</v>
      </c>
      <c r="G262" s="2">
        <v>4.2835827460000004</v>
      </c>
      <c r="H262" s="2">
        <v>4.0942300000000001E-4</v>
      </c>
      <c r="I262" s="2" t="s">
        <v>25280</v>
      </c>
      <c r="J262" s="2" t="s">
        <v>25281</v>
      </c>
      <c r="K262" s="2">
        <v>7.6549249999999999E-3</v>
      </c>
      <c r="L262" s="2" t="s">
        <v>35</v>
      </c>
      <c r="M262" s="4" t="s">
        <v>25282</v>
      </c>
    </row>
    <row r="263" spans="1:13">
      <c r="A263" s="2">
        <v>1193</v>
      </c>
      <c r="B263" s="2" t="s">
        <v>25283</v>
      </c>
      <c r="C263" s="2">
        <v>7</v>
      </c>
      <c r="D263" s="2">
        <v>568</v>
      </c>
      <c r="E263" s="2">
        <v>72</v>
      </c>
      <c r="F263" s="2">
        <v>32441</v>
      </c>
      <c r="G263" s="2">
        <v>5.552792449</v>
      </c>
      <c r="H263" s="2">
        <v>4.2817400000000002E-4</v>
      </c>
      <c r="I263" s="2" t="s">
        <v>25284</v>
      </c>
      <c r="J263" s="2" t="s">
        <v>25285</v>
      </c>
      <c r="K263" s="2">
        <v>7.9647050000000007E-3</v>
      </c>
      <c r="L263" s="2" t="s">
        <v>35</v>
      </c>
      <c r="M263" s="4" t="s">
        <v>25286</v>
      </c>
    </row>
    <row r="264" spans="1:13">
      <c r="A264" s="2">
        <v>2016</v>
      </c>
      <c r="B264" s="2" t="s">
        <v>25287</v>
      </c>
      <c r="C264" s="2">
        <v>6</v>
      </c>
      <c r="D264" s="2">
        <v>568</v>
      </c>
      <c r="E264" s="2">
        <v>51</v>
      </c>
      <c r="F264" s="2">
        <v>32441</v>
      </c>
      <c r="G264" s="2">
        <v>6.7193454849999998</v>
      </c>
      <c r="H264" s="2">
        <v>4.3603199999999999E-4</v>
      </c>
      <c r="I264" s="2" t="s">
        <v>25288</v>
      </c>
      <c r="J264" s="2" t="s">
        <v>25289</v>
      </c>
      <c r="K264" s="2">
        <v>8.0793150000000001E-3</v>
      </c>
      <c r="L264" s="2" t="s">
        <v>35</v>
      </c>
      <c r="M264" s="4" t="s">
        <v>25290</v>
      </c>
    </row>
    <row r="265" spans="1:13">
      <c r="A265" s="2">
        <v>3961</v>
      </c>
      <c r="B265" s="2" t="s">
        <v>25291</v>
      </c>
      <c r="C265" s="2">
        <v>5</v>
      </c>
      <c r="D265" s="2">
        <v>568</v>
      </c>
      <c r="E265" s="2">
        <v>33</v>
      </c>
      <c r="F265" s="2">
        <v>32441</v>
      </c>
      <c r="G265" s="2">
        <v>8.6537025179999993</v>
      </c>
      <c r="H265" s="2">
        <v>4.6539800000000001E-4</v>
      </c>
      <c r="I265" s="2" t="s">
        <v>25292</v>
      </c>
      <c r="J265" s="2" t="s">
        <v>25293</v>
      </c>
      <c r="K265" s="2">
        <v>8.5900249999999994E-3</v>
      </c>
      <c r="L265" s="2" t="s">
        <v>35</v>
      </c>
      <c r="M265" s="4" t="s">
        <v>25294</v>
      </c>
    </row>
    <row r="266" spans="1:13">
      <c r="A266" s="2">
        <v>476</v>
      </c>
      <c r="B266" s="2" t="s">
        <v>25295</v>
      </c>
      <c r="C266" s="2">
        <v>7</v>
      </c>
      <c r="D266" s="2">
        <v>568</v>
      </c>
      <c r="E266" s="2">
        <v>74</v>
      </c>
      <c r="F266" s="2">
        <v>32441</v>
      </c>
      <c r="G266" s="2">
        <v>5.4027169779999999</v>
      </c>
      <c r="H266" s="2">
        <v>4.9871200000000001E-4</v>
      </c>
      <c r="I266" s="2" t="s">
        <v>25296</v>
      </c>
      <c r="J266" s="2" t="s">
        <v>25297</v>
      </c>
      <c r="K266" s="2">
        <v>9.1693759999999999E-3</v>
      </c>
      <c r="L266" s="2" t="s">
        <v>35</v>
      </c>
      <c r="M266" s="4" t="s">
        <v>25298</v>
      </c>
    </row>
    <row r="267" spans="1:13">
      <c r="A267" s="2">
        <v>2169</v>
      </c>
      <c r="B267" s="2" t="s">
        <v>25299</v>
      </c>
      <c r="C267" s="2">
        <v>9</v>
      </c>
      <c r="D267" s="2">
        <v>568</v>
      </c>
      <c r="E267" s="2">
        <v>124</v>
      </c>
      <c r="F267" s="2">
        <v>32441</v>
      </c>
      <c r="G267" s="2">
        <v>4.1454026580000001</v>
      </c>
      <c r="H267" s="2">
        <v>5.1186700000000005E-4</v>
      </c>
      <c r="I267" s="2" t="s">
        <v>25300</v>
      </c>
      <c r="J267" s="2" t="s">
        <v>25301</v>
      </c>
      <c r="K267" s="2">
        <v>9.3750359999999998E-3</v>
      </c>
      <c r="L267" s="2" t="s">
        <v>35</v>
      </c>
      <c r="M267" s="4" t="s">
        <v>25302</v>
      </c>
    </row>
    <row r="268" spans="1:13">
      <c r="A268" s="2">
        <v>508</v>
      </c>
      <c r="B268" s="2" t="s">
        <v>25303</v>
      </c>
      <c r="C268" s="2">
        <v>5</v>
      </c>
      <c r="D268" s="2">
        <v>568</v>
      </c>
      <c r="E268" s="2">
        <v>34</v>
      </c>
      <c r="F268" s="2">
        <v>32441</v>
      </c>
      <c r="G268" s="2">
        <v>8.3991818560000002</v>
      </c>
      <c r="H268" s="2">
        <v>5.26352E-4</v>
      </c>
      <c r="I268" s="2" t="s">
        <v>25304</v>
      </c>
      <c r="J268" s="2" t="s">
        <v>25305</v>
      </c>
      <c r="K268" s="2">
        <v>9.5667519999999995E-3</v>
      </c>
      <c r="L268" s="2" t="s">
        <v>35</v>
      </c>
      <c r="M268" s="4" t="s">
        <v>25306</v>
      </c>
    </row>
    <row r="269" spans="1:13">
      <c r="A269" s="2">
        <v>547</v>
      </c>
      <c r="B269" s="2" t="s">
        <v>5270</v>
      </c>
      <c r="C269" s="2">
        <v>5</v>
      </c>
      <c r="D269" s="2">
        <v>568</v>
      </c>
      <c r="E269" s="2">
        <v>34</v>
      </c>
      <c r="F269" s="2">
        <v>32441</v>
      </c>
      <c r="G269" s="2">
        <v>8.3991818560000002</v>
      </c>
      <c r="H269" s="2">
        <v>5.26352E-4</v>
      </c>
      <c r="I269" s="2" t="s">
        <v>25307</v>
      </c>
      <c r="J269" s="2" t="s">
        <v>25308</v>
      </c>
      <c r="K269" s="2">
        <v>9.5667519999999995E-3</v>
      </c>
      <c r="L269" s="2" t="s">
        <v>35</v>
      </c>
      <c r="M269" s="4" t="s">
        <v>5273</v>
      </c>
    </row>
    <row r="270" spans="1:13">
      <c r="A270" s="2">
        <v>4337</v>
      </c>
      <c r="B270" s="2" t="s">
        <v>25309</v>
      </c>
      <c r="C270" s="2">
        <v>11</v>
      </c>
      <c r="D270" s="2">
        <v>568</v>
      </c>
      <c r="E270" s="2">
        <v>182</v>
      </c>
      <c r="F270" s="2">
        <v>32441</v>
      </c>
      <c r="G270" s="2">
        <v>3.4519714439999998</v>
      </c>
      <c r="H270" s="2">
        <v>5.5417300000000004E-4</v>
      </c>
      <c r="I270" s="2" t="s">
        <v>25310</v>
      </c>
      <c r="J270" s="2" t="s">
        <v>25311</v>
      </c>
      <c r="K270" s="2">
        <v>1.0034105999999999E-2</v>
      </c>
      <c r="L270" s="2" t="s">
        <v>35</v>
      </c>
      <c r="M270" s="4" t="s">
        <v>25312</v>
      </c>
    </row>
    <row r="271" spans="1:13">
      <c r="A271" s="2">
        <v>850</v>
      </c>
      <c r="B271" s="2" t="s">
        <v>25313</v>
      </c>
      <c r="C271" s="2">
        <v>6</v>
      </c>
      <c r="D271" s="2">
        <v>568</v>
      </c>
      <c r="E271" s="2">
        <v>54</v>
      </c>
      <c r="F271" s="2">
        <v>32441</v>
      </c>
      <c r="G271" s="2">
        <v>6.3460485130000004</v>
      </c>
      <c r="H271" s="2">
        <v>5.7600499999999998E-4</v>
      </c>
      <c r="I271" s="2" t="s">
        <v>25027</v>
      </c>
      <c r="J271" s="2" t="s">
        <v>25028</v>
      </c>
      <c r="K271" s="2">
        <v>1.0389908999999999E-2</v>
      </c>
      <c r="L271" s="2" t="s">
        <v>35</v>
      </c>
      <c r="M271" s="4" t="s">
        <v>25314</v>
      </c>
    </row>
    <row r="272" spans="1:13">
      <c r="A272" s="2">
        <v>617</v>
      </c>
      <c r="B272" s="2" t="s">
        <v>25315</v>
      </c>
      <c r="C272" s="2">
        <v>5</v>
      </c>
      <c r="D272" s="2">
        <v>568</v>
      </c>
      <c r="E272" s="2">
        <v>35</v>
      </c>
      <c r="F272" s="2">
        <v>32441</v>
      </c>
      <c r="G272" s="2">
        <v>8.1592052309999996</v>
      </c>
      <c r="H272" s="2">
        <v>5.9311200000000002E-4</v>
      </c>
      <c r="I272" s="2" t="s">
        <v>25316</v>
      </c>
      <c r="J272" s="2" t="s">
        <v>25317</v>
      </c>
      <c r="K272" s="2">
        <v>1.0618051E-2</v>
      </c>
      <c r="L272" s="2" t="s">
        <v>35</v>
      </c>
      <c r="M272" s="4" t="s">
        <v>25318</v>
      </c>
    </row>
    <row r="273" spans="1:13">
      <c r="A273" s="2">
        <v>798</v>
      </c>
      <c r="B273" s="2" t="s">
        <v>25319</v>
      </c>
      <c r="C273" s="2">
        <v>4</v>
      </c>
      <c r="D273" s="2">
        <v>568</v>
      </c>
      <c r="E273" s="2">
        <v>19</v>
      </c>
      <c r="F273" s="2">
        <v>32441</v>
      </c>
      <c r="G273" s="2">
        <v>12.02409192</v>
      </c>
      <c r="H273" s="2">
        <v>5.9228500000000001E-4</v>
      </c>
      <c r="I273" s="2" t="s">
        <v>25320</v>
      </c>
      <c r="J273" s="2" t="s">
        <v>25321</v>
      </c>
      <c r="K273" s="2">
        <v>1.0618051E-2</v>
      </c>
      <c r="L273" s="2" t="s">
        <v>35</v>
      </c>
      <c r="M273" s="4" t="s">
        <v>25322</v>
      </c>
    </row>
    <row r="274" spans="1:13">
      <c r="A274" s="2">
        <v>771</v>
      </c>
      <c r="B274" s="2" t="s">
        <v>25323</v>
      </c>
      <c r="C274" s="2">
        <v>9</v>
      </c>
      <c r="D274" s="2">
        <v>568</v>
      </c>
      <c r="E274" s="2">
        <v>127</v>
      </c>
      <c r="F274" s="2">
        <v>32441</v>
      </c>
      <c r="G274" s="2">
        <v>4.0474797599999999</v>
      </c>
      <c r="H274" s="2">
        <v>6.0176299999999995E-4</v>
      </c>
      <c r="I274" s="2" t="s">
        <v>25324</v>
      </c>
      <c r="J274" s="2" t="s">
        <v>25325</v>
      </c>
      <c r="K274" s="2">
        <v>1.0732573E-2</v>
      </c>
      <c r="L274" s="2" t="s">
        <v>35</v>
      </c>
      <c r="M274" s="4" t="s">
        <v>25326</v>
      </c>
    </row>
    <row r="275" spans="1:13">
      <c r="A275" s="2">
        <v>1672</v>
      </c>
      <c r="B275" s="2" t="s">
        <v>25327</v>
      </c>
      <c r="C275" s="2">
        <v>7</v>
      </c>
      <c r="D275" s="2">
        <v>568</v>
      </c>
      <c r="E275" s="2">
        <v>77</v>
      </c>
      <c r="F275" s="2">
        <v>32441</v>
      </c>
      <c r="G275" s="2">
        <v>5.1922215109999996</v>
      </c>
      <c r="H275" s="2">
        <v>6.2155999999999995E-4</v>
      </c>
      <c r="I275" s="2" t="s">
        <v>25328</v>
      </c>
      <c r="J275" s="2" t="s">
        <v>25329</v>
      </c>
      <c r="K275" s="2">
        <v>1.1044287E-2</v>
      </c>
      <c r="L275" s="2" t="s">
        <v>35</v>
      </c>
      <c r="M275" s="4" t="s">
        <v>25330</v>
      </c>
    </row>
    <row r="276" spans="1:13">
      <c r="A276" s="2">
        <v>2718</v>
      </c>
      <c r="B276" s="2" t="s">
        <v>5350</v>
      </c>
      <c r="C276" s="2">
        <v>30</v>
      </c>
      <c r="D276" s="2">
        <v>568</v>
      </c>
      <c r="E276" s="2">
        <v>882</v>
      </c>
      <c r="F276" s="2">
        <v>32441</v>
      </c>
      <c r="G276" s="2">
        <v>1.9426679120000001</v>
      </c>
      <c r="H276" s="2">
        <v>6.2472199999999997E-4</v>
      </c>
      <c r="I276" s="2" t="s">
        <v>25331</v>
      </c>
      <c r="J276" s="2" t="s">
        <v>25332</v>
      </c>
      <c r="K276" s="2">
        <v>1.1059212000000001E-2</v>
      </c>
      <c r="L276" s="2" t="s">
        <v>35</v>
      </c>
      <c r="M276" s="4" t="s">
        <v>5353</v>
      </c>
    </row>
    <row r="277" spans="1:13">
      <c r="A277" s="2">
        <v>3314</v>
      </c>
      <c r="B277" s="2" t="s">
        <v>25333</v>
      </c>
      <c r="C277" s="2">
        <v>15</v>
      </c>
      <c r="D277" s="2">
        <v>568</v>
      </c>
      <c r="E277" s="2">
        <v>314</v>
      </c>
      <c r="F277" s="2">
        <v>32441</v>
      </c>
      <c r="G277" s="2">
        <v>2.728396654</v>
      </c>
      <c r="H277" s="2">
        <v>6.5093900000000001E-4</v>
      </c>
      <c r="I277" s="2" t="s">
        <v>25334</v>
      </c>
      <c r="J277" s="2" t="s">
        <v>25335</v>
      </c>
      <c r="K277" s="2">
        <v>1.1480628999999999E-2</v>
      </c>
      <c r="L277" s="2" t="s">
        <v>35</v>
      </c>
      <c r="M277" s="4" t="s">
        <v>25336</v>
      </c>
    </row>
    <row r="278" spans="1:13">
      <c r="A278" s="2">
        <v>1494</v>
      </c>
      <c r="B278" s="2" t="s">
        <v>25337</v>
      </c>
      <c r="C278" s="2">
        <v>11</v>
      </c>
      <c r="D278" s="2">
        <v>568</v>
      </c>
      <c r="E278" s="2">
        <v>186</v>
      </c>
      <c r="F278" s="2">
        <v>32441</v>
      </c>
      <c r="G278" s="2">
        <v>3.3777354989999999</v>
      </c>
      <c r="H278" s="2">
        <v>6.5720399999999999E-4</v>
      </c>
      <c r="I278" s="2" t="s">
        <v>25338</v>
      </c>
      <c r="J278" s="2" t="s">
        <v>25339</v>
      </c>
      <c r="K278" s="2">
        <v>1.1548358E-2</v>
      </c>
      <c r="L278" s="2" t="s">
        <v>35</v>
      </c>
      <c r="M278" s="4" t="s">
        <v>25340</v>
      </c>
    </row>
    <row r="279" spans="1:13">
      <c r="A279" s="2">
        <v>75</v>
      </c>
      <c r="B279" s="2" t="s">
        <v>25341</v>
      </c>
      <c r="C279" s="2">
        <v>5</v>
      </c>
      <c r="D279" s="2">
        <v>568</v>
      </c>
      <c r="E279" s="2">
        <v>36</v>
      </c>
      <c r="F279" s="2">
        <v>32441</v>
      </c>
      <c r="G279" s="2">
        <v>7.9325606420000003</v>
      </c>
      <c r="H279" s="2">
        <v>6.6602399999999998E-4</v>
      </c>
      <c r="I279" s="2" t="s">
        <v>25342</v>
      </c>
      <c r="J279" s="2" t="s">
        <v>25343</v>
      </c>
      <c r="K279" s="2">
        <v>1.155784E-2</v>
      </c>
      <c r="L279" s="2" t="s">
        <v>35</v>
      </c>
      <c r="M279" s="4" t="s">
        <v>25344</v>
      </c>
    </row>
    <row r="280" spans="1:13">
      <c r="A280" s="2">
        <v>683</v>
      </c>
      <c r="B280" s="2" t="s">
        <v>25345</v>
      </c>
      <c r="C280" s="2">
        <v>5</v>
      </c>
      <c r="D280" s="2">
        <v>568</v>
      </c>
      <c r="E280" s="2">
        <v>36</v>
      </c>
      <c r="F280" s="2">
        <v>32441</v>
      </c>
      <c r="G280" s="2">
        <v>7.9325606420000003</v>
      </c>
      <c r="H280" s="2">
        <v>6.6602399999999998E-4</v>
      </c>
      <c r="I280" s="2" t="s">
        <v>25121</v>
      </c>
      <c r="J280" s="2" t="s">
        <v>25122</v>
      </c>
      <c r="K280" s="2">
        <v>1.155784E-2</v>
      </c>
      <c r="L280" s="2" t="s">
        <v>35</v>
      </c>
      <c r="M280" s="4" t="s">
        <v>25346</v>
      </c>
    </row>
    <row r="281" spans="1:13">
      <c r="A281" s="2">
        <v>1508</v>
      </c>
      <c r="B281" s="2" t="s">
        <v>25347</v>
      </c>
      <c r="C281" s="2">
        <v>7</v>
      </c>
      <c r="D281" s="2">
        <v>568</v>
      </c>
      <c r="E281" s="2">
        <v>78</v>
      </c>
      <c r="F281" s="2">
        <v>32441</v>
      </c>
      <c r="G281" s="2">
        <v>5.1256545679999999</v>
      </c>
      <c r="H281" s="2">
        <v>6.6745200000000002E-4</v>
      </c>
      <c r="I281" s="2" t="s">
        <v>25348</v>
      </c>
      <c r="J281" s="2" t="s">
        <v>25349</v>
      </c>
      <c r="K281" s="2">
        <v>1.155784E-2</v>
      </c>
      <c r="L281" s="2" t="s">
        <v>35</v>
      </c>
      <c r="M281" s="4" t="s">
        <v>25350</v>
      </c>
    </row>
    <row r="282" spans="1:13">
      <c r="A282" s="2">
        <v>3915</v>
      </c>
      <c r="B282" s="2" t="s">
        <v>25351</v>
      </c>
      <c r="C282" s="2">
        <v>19</v>
      </c>
      <c r="D282" s="2">
        <v>568</v>
      </c>
      <c r="E282" s="2">
        <v>456</v>
      </c>
      <c r="F282" s="2">
        <v>32441</v>
      </c>
      <c r="G282" s="2">
        <v>2.3797681919999998</v>
      </c>
      <c r="H282" s="2">
        <v>6.6569000000000003E-4</v>
      </c>
      <c r="I282" s="2" t="s">
        <v>25352</v>
      </c>
      <c r="J282" s="2" t="s">
        <v>25353</v>
      </c>
      <c r="K282" s="2">
        <v>1.155784E-2</v>
      </c>
      <c r="L282" s="2" t="s">
        <v>35</v>
      </c>
      <c r="M282" s="4" t="s">
        <v>25354</v>
      </c>
    </row>
    <row r="283" spans="1:13">
      <c r="A283" s="2">
        <v>731</v>
      </c>
      <c r="B283" s="2" t="s">
        <v>25355</v>
      </c>
      <c r="C283" s="2">
        <v>8</v>
      </c>
      <c r="D283" s="2">
        <v>568</v>
      </c>
      <c r="E283" s="2">
        <v>104</v>
      </c>
      <c r="F283" s="2">
        <v>32441</v>
      </c>
      <c r="G283" s="2">
        <v>4.3934182020000003</v>
      </c>
      <c r="H283" s="2">
        <v>7.2736800000000005E-4</v>
      </c>
      <c r="I283" s="2" t="s">
        <v>25356</v>
      </c>
      <c r="J283" s="2" t="s">
        <v>25357</v>
      </c>
      <c r="K283" s="2">
        <v>1.2549734E-2</v>
      </c>
      <c r="L283" s="2" t="s">
        <v>35</v>
      </c>
      <c r="M283" s="4" t="s">
        <v>25358</v>
      </c>
    </row>
    <row r="284" spans="1:13">
      <c r="A284" s="2">
        <v>3500</v>
      </c>
      <c r="B284" s="2" t="s">
        <v>5469</v>
      </c>
      <c r="C284" s="2">
        <v>16</v>
      </c>
      <c r="D284" s="2">
        <v>568</v>
      </c>
      <c r="E284" s="2">
        <v>353</v>
      </c>
      <c r="F284" s="2">
        <v>32441</v>
      </c>
      <c r="G284" s="2">
        <v>2.5887563340000002</v>
      </c>
      <c r="H284" s="2">
        <v>7.4691799999999995E-4</v>
      </c>
      <c r="I284" s="2" t="s">
        <v>25359</v>
      </c>
      <c r="J284" s="2" t="s">
        <v>25360</v>
      </c>
      <c r="K284" s="2">
        <v>1.2840515E-2</v>
      </c>
      <c r="L284" s="2" t="s">
        <v>35</v>
      </c>
      <c r="M284" s="4" t="s">
        <v>5472</v>
      </c>
    </row>
    <row r="285" spans="1:13">
      <c r="A285" s="2">
        <v>2923</v>
      </c>
      <c r="B285" s="2" t="s">
        <v>25361</v>
      </c>
      <c r="C285" s="2">
        <v>7</v>
      </c>
      <c r="D285" s="2">
        <v>568</v>
      </c>
      <c r="E285" s="2">
        <v>80</v>
      </c>
      <c r="F285" s="2">
        <v>32441</v>
      </c>
      <c r="G285" s="2">
        <v>4.9975132039999997</v>
      </c>
      <c r="H285" s="2">
        <v>7.6727499999999999E-4</v>
      </c>
      <c r="I285" s="2" t="s">
        <v>25362</v>
      </c>
      <c r="J285" s="2" t="s">
        <v>25363</v>
      </c>
      <c r="K285" s="2">
        <v>1.3143036E-2</v>
      </c>
      <c r="L285" s="2" t="s">
        <v>35</v>
      </c>
      <c r="M285" s="4" t="s">
        <v>25364</v>
      </c>
    </row>
    <row r="286" spans="1:13">
      <c r="A286" s="2">
        <v>1478</v>
      </c>
      <c r="B286" s="2" t="s">
        <v>25365</v>
      </c>
      <c r="C286" s="2">
        <v>9</v>
      </c>
      <c r="D286" s="2">
        <v>568</v>
      </c>
      <c r="E286" s="2">
        <v>133</v>
      </c>
      <c r="F286" s="2">
        <v>32441</v>
      </c>
      <c r="G286" s="2">
        <v>3.864886689</v>
      </c>
      <c r="H286" s="2">
        <v>8.2039099999999996E-4</v>
      </c>
      <c r="I286" s="2" t="s">
        <v>25366</v>
      </c>
      <c r="J286" s="2" t="s">
        <v>25367</v>
      </c>
      <c r="K286" s="2">
        <v>1.3870973E-2</v>
      </c>
      <c r="L286" s="2" t="s">
        <v>35</v>
      </c>
      <c r="M286" s="4" t="s">
        <v>25368</v>
      </c>
    </row>
    <row r="287" spans="1:13">
      <c r="A287" s="2">
        <v>2964</v>
      </c>
      <c r="B287" s="2" t="s">
        <v>310</v>
      </c>
      <c r="C287" s="2">
        <v>38</v>
      </c>
      <c r="D287" s="2">
        <v>568</v>
      </c>
      <c r="E287" s="2">
        <v>1237</v>
      </c>
      <c r="F287" s="2">
        <v>32441</v>
      </c>
      <c r="G287" s="2">
        <v>1.754525943</v>
      </c>
      <c r="H287" s="2">
        <v>8.1909099999999998E-4</v>
      </c>
      <c r="I287" s="2" t="s">
        <v>25369</v>
      </c>
      <c r="J287" s="2" t="s">
        <v>25370</v>
      </c>
      <c r="K287" s="2">
        <v>1.3870973E-2</v>
      </c>
      <c r="L287" s="2" t="s">
        <v>35</v>
      </c>
      <c r="M287" s="4" t="s">
        <v>25371</v>
      </c>
    </row>
    <row r="288" spans="1:13">
      <c r="A288" s="2">
        <v>3038</v>
      </c>
      <c r="B288" s="2" t="s">
        <v>25372</v>
      </c>
      <c r="C288" s="2">
        <v>6</v>
      </c>
      <c r="D288" s="2">
        <v>568</v>
      </c>
      <c r="E288" s="2">
        <v>58</v>
      </c>
      <c r="F288" s="2">
        <v>32441</v>
      </c>
      <c r="G288" s="2">
        <v>5.9083899950000003</v>
      </c>
      <c r="H288" s="2">
        <v>8.14162E-4</v>
      </c>
      <c r="I288" s="2" t="s">
        <v>25373</v>
      </c>
      <c r="J288" s="2" t="s">
        <v>25374</v>
      </c>
      <c r="K288" s="2">
        <v>1.3870973E-2</v>
      </c>
      <c r="L288" s="2" t="s">
        <v>35</v>
      </c>
      <c r="M288" s="4" t="s">
        <v>25375</v>
      </c>
    </row>
    <row r="289" spans="1:13">
      <c r="A289" s="2">
        <v>3424</v>
      </c>
      <c r="B289" s="2" t="s">
        <v>6316</v>
      </c>
      <c r="C289" s="2">
        <v>7</v>
      </c>
      <c r="D289" s="2">
        <v>568</v>
      </c>
      <c r="E289" s="2">
        <v>81</v>
      </c>
      <c r="F289" s="2">
        <v>32441</v>
      </c>
      <c r="G289" s="2">
        <v>4.9358155100000003</v>
      </c>
      <c r="H289" s="2">
        <v>8.2142300000000005E-4</v>
      </c>
      <c r="I289" s="2" t="s">
        <v>25376</v>
      </c>
      <c r="J289" s="2" t="s">
        <v>25377</v>
      </c>
      <c r="K289" s="2">
        <v>1.3870973E-2</v>
      </c>
      <c r="L289" s="2" t="s">
        <v>35</v>
      </c>
      <c r="M289" s="4" t="s">
        <v>6319</v>
      </c>
    </row>
    <row r="290" spans="1:13">
      <c r="A290" s="2">
        <v>1072</v>
      </c>
      <c r="B290" s="2" t="s">
        <v>25378</v>
      </c>
      <c r="C290" s="2">
        <v>5</v>
      </c>
      <c r="D290" s="2">
        <v>568</v>
      </c>
      <c r="E290" s="2">
        <v>38</v>
      </c>
      <c r="F290" s="2">
        <v>32441</v>
      </c>
      <c r="G290" s="2">
        <v>7.5150574499999996</v>
      </c>
      <c r="H290" s="2">
        <v>8.3171199999999997E-4</v>
      </c>
      <c r="I290" s="2" t="s">
        <v>25198</v>
      </c>
      <c r="J290" s="2" t="s">
        <v>25199</v>
      </c>
      <c r="K290" s="2">
        <v>1.3995100999999999E-2</v>
      </c>
      <c r="L290" s="2" t="s">
        <v>35</v>
      </c>
      <c r="M290" s="4" t="s">
        <v>25379</v>
      </c>
    </row>
    <row r="291" spans="1:13">
      <c r="A291" s="2">
        <v>4631</v>
      </c>
      <c r="B291" s="2" t="s">
        <v>25380</v>
      </c>
      <c r="C291" s="2">
        <v>19</v>
      </c>
      <c r="D291" s="2">
        <v>568</v>
      </c>
      <c r="E291" s="2">
        <v>467</v>
      </c>
      <c r="F291" s="2">
        <v>32441</v>
      </c>
      <c r="G291" s="2">
        <v>2.3237136949999999</v>
      </c>
      <c r="H291" s="2">
        <v>8.7254400000000005E-4</v>
      </c>
      <c r="I291" s="2" t="s">
        <v>25381</v>
      </c>
      <c r="J291" s="2" t="s">
        <v>25382</v>
      </c>
      <c r="K291" s="2">
        <v>1.4630466E-2</v>
      </c>
      <c r="L291" s="2" t="s">
        <v>35</v>
      </c>
      <c r="M291" s="4" t="s">
        <v>25383</v>
      </c>
    </row>
    <row r="292" spans="1:13">
      <c r="A292" s="2">
        <v>461</v>
      </c>
      <c r="B292" s="2" t="s">
        <v>25384</v>
      </c>
      <c r="C292" s="2">
        <v>6</v>
      </c>
      <c r="D292" s="2">
        <v>568</v>
      </c>
      <c r="E292" s="2">
        <v>59</v>
      </c>
      <c r="F292" s="2">
        <v>32441</v>
      </c>
      <c r="G292" s="2">
        <v>5.8082477920000004</v>
      </c>
      <c r="H292" s="2">
        <v>8.8410099999999998E-4</v>
      </c>
      <c r="I292" s="2" t="s">
        <v>25385</v>
      </c>
      <c r="J292" s="2" t="s">
        <v>25386</v>
      </c>
      <c r="K292" s="2">
        <v>1.4720588999999999E-2</v>
      </c>
      <c r="L292" s="2" t="s">
        <v>35</v>
      </c>
      <c r="M292" s="4" t="s">
        <v>25387</v>
      </c>
    </row>
    <row r="293" spans="1:13">
      <c r="A293" s="2">
        <v>2424</v>
      </c>
      <c r="B293" s="2" t="s">
        <v>25388</v>
      </c>
      <c r="C293" s="2">
        <v>14</v>
      </c>
      <c r="D293" s="2">
        <v>568</v>
      </c>
      <c r="E293" s="2">
        <v>290</v>
      </c>
      <c r="F293" s="2">
        <v>32441</v>
      </c>
      <c r="G293" s="2">
        <v>2.757248664</v>
      </c>
      <c r="H293" s="2">
        <v>8.8393599999999999E-4</v>
      </c>
      <c r="I293" s="2" t="s">
        <v>25389</v>
      </c>
      <c r="J293" s="2" t="s">
        <v>25390</v>
      </c>
      <c r="K293" s="2">
        <v>1.4720588999999999E-2</v>
      </c>
      <c r="L293" s="2" t="s">
        <v>35</v>
      </c>
      <c r="M293" s="4" t="s">
        <v>25391</v>
      </c>
    </row>
    <row r="294" spans="1:13">
      <c r="A294" s="2">
        <v>1344</v>
      </c>
      <c r="B294" s="2" t="s">
        <v>352</v>
      </c>
      <c r="C294" s="2">
        <v>8</v>
      </c>
      <c r="D294" s="2">
        <v>568</v>
      </c>
      <c r="E294" s="2">
        <v>108</v>
      </c>
      <c r="F294" s="2">
        <v>32441</v>
      </c>
      <c r="G294" s="2">
        <v>4.2306990090000003</v>
      </c>
      <c r="H294" s="2">
        <v>9.1564800000000003E-4</v>
      </c>
      <c r="I294" s="2" t="s">
        <v>25392</v>
      </c>
      <c r="J294" s="2" t="s">
        <v>25393</v>
      </c>
      <c r="K294" s="2">
        <v>1.5149911E-2</v>
      </c>
      <c r="L294" s="2" t="s">
        <v>35</v>
      </c>
      <c r="M294" s="4" t="s">
        <v>25394</v>
      </c>
    </row>
    <row r="295" spans="1:13">
      <c r="A295" s="2">
        <v>3558</v>
      </c>
      <c r="B295" s="2" t="s">
        <v>183</v>
      </c>
      <c r="C295" s="2">
        <v>29</v>
      </c>
      <c r="D295" s="2">
        <v>568</v>
      </c>
      <c r="E295" s="2">
        <v>863</v>
      </c>
      <c r="F295" s="2">
        <v>32441</v>
      </c>
      <c r="G295" s="2">
        <v>1.91925685</v>
      </c>
      <c r="H295" s="2">
        <v>9.1624800000000004E-4</v>
      </c>
      <c r="I295" s="2" t="s">
        <v>25395</v>
      </c>
      <c r="J295" s="2" t="s">
        <v>25396</v>
      </c>
      <c r="K295" s="2">
        <v>1.5149911E-2</v>
      </c>
      <c r="L295" s="2" t="s">
        <v>35</v>
      </c>
      <c r="M295" s="4" t="s">
        <v>25397</v>
      </c>
    </row>
    <row r="296" spans="1:13">
      <c r="A296" s="2">
        <v>3086</v>
      </c>
      <c r="B296" s="2" t="s">
        <v>25398</v>
      </c>
      <c r="C296" s="2">
        <v>5</v>
      </c>
      <c r="D296" s="2">
        <v>568</v>
      </c>
      <c r="E296" s="2">
        <v>39</v>
      </c>
      <c r="F296" s="2">
        <v>32441</v>
      </c>
      <c r="G296" s="2">
        <v>7.3223636689999996</v>
      </c>
      <c r="H296" s="2">
        <v>9.25211E-4</v>
      </c>
      <c r="I296" s="2" t="s">
        <v>25399</v>
      </c>
      <c r="J296" s="2" t="s">
        <v>25400</v>
      </c>
      <c r="K296" s="2">
        <v>1.5245167E-2</v>
      </c>
      <c r="L296" s="2" t="s">
        <v>35</v>
      </c>
      <c r="M296" s="4" t="s">
        <v>25401</v>
      </c>
    </row>
    <row r="297" spans="1:13">
      <c r="A297" s="2">
        <v>4526</v>
      </c>
      <c r="B297" s="2" t="s">
        <v>25402</v>
      </c>
      <c r="C297" s="2">
        <v>4</v>
      </c>
      <c r="D297" s="2">
        <v>568</v>
      </c>
      <c r="E297" s="2">
        <v>22</v>
      </c>
      <c r="F297" s="2">
        <v>32441</v>
      </c>
      <c r="G297" s="2">
        <v>10.384443020000001</v>
      </c>
      <c r="H297" s="2">
        <v>9.5996299999999998E-4</v>
      </c>
      <c r="I297" s="2" t="s">
        <v>25403</v>
      </c>
      <c r="J297" s="2" t="s">
        <v>25404</v>
      </c>
      <c r="K297" s="2">
        <v>1.5763256999999999E-2</v>
      </c>
      <c r="L297" s="2" t="s">
        <v>35</v>
      </c>
      <c r="M297" s="4" t="s">
        <v>25405</v>
      </c>
    </row>
    <row r="298" spans="1:13">
      <c r="A298" s="2">
        <v>2828</v>
      </c>
      <c r="B298" s="2" t="s">
        <v>2927</v>
      </c>
      <c r="C298" s="2">
        <v>14</v>
      </c>
      <c r="D298" s="2">
        <v>568</v>
      </c>
      <c r="E298" s="2">
        <v>293</v>
      </c>
      <c r="F298" s="2">
        <v>32441</v>
      </c>
      <c r="G298" s="2">
        <v>2.7290174490000001</v>
      </c>
      <c r="H298" s="2">
        <v>9.7110100000000004E-4</v>
      </c>
      <c r="I298" s="2" t="s">
        <v>25406</v>
      </c>
      <c r="J298" s="2" t="s">
        <v>25407</v>
      </c>
      <c r="K298" s="2">
        <v>1.5891355999999999E-2</v>
      </c>
      <c r="L298" s="2" t="s">
        <v>35</v>
      </c>
      <c r="M298" s="4" t="s">
        <v>2930</v>
      </c>
    </row>
    <row r="299" spans="1:13">
      <c r="A299" s="2">
        <v>1350</v>
      </c>
      <c r="B299" s="2" t="s">
        <v>25408</v>
      </c>
      <c r="C299" s="2">
        <v>9</v>
      </c>
      <c r="D299" s="2">
        <v>568</v>
      </c>
      <c r="E299" s="2">
        <v>137</v>
      </c>
      <c r="F299" s="2">
        <v>32441</v>
      </c>
      <c r="G299" s="2">
        <v>3.7520432819999998</v>
      </c>
      <c r="H299" s="2">
        <v>9.9913499999999995E-4</v>
      </c>
      <c r="I299" s="2" t="s">
        <v>25409</v>
      </c>
      <c r="J299" s="2" t="s">
        <v>25410</v>
      </c>
      <c r="K299" s="2">
        <v>1.6294118E-2</v>
      </c>
      <c r="L299" s="2" t="s">
        <v>35</v>
      </c>
      <c r="M299" s="4" t="s">
        <v>25411</v>
      </c>
    </row>
    <row r="300" spans="1:13">
      <c r="A300" s="2">
        <v>557</v>
      </c>
      <c r="B300" s="2" t="s">
        <v>5797</v>
      </c>
      <c r="C300" s="2">
        <v>5</v>
      </c>
      <c r="D300" s="2">
        <v>568</v>
      </c>
      <c r="E300" s="2">
        <v>40</v>
      </c>
      <c r="F300" s="2">
        <v>32441</v>
      </c>
      <c r="G300" s="2">
        <v>7.1393045769999999</v>
      </c>
      <c r="H300" s="2">
        <v>1.0263029999999999E-3</v>
      </c>
      <c r="I300" s="2" t="s">
        <v>25412</v>
      </c>
      <c r="J300" s="2" t="s">
        <v>25413</v>
      </c>
      <c r="K300" s="2">
        <v>1.6623308E-2</v>
      </c>
      <c r="L300" s="2" t="s">
        <v>35</v>
      </c>
      <c r="M300" s="4" t="s">
        <v>5800</v>
      </c>
    </row>
    <row r="301" spans="1:13">
      <c r="A301" s="2">
        <v>1823</v>
      </c>
      <c r="B301" s="2" t="s">
        <v>25414</v>
      </c>
      <c r="C301" s="2">
        <v>11</v>
      </c>
      <c r="D301" s="2">
        <v>568</v>
      </c>
      <c r="E301" s="2">
        <v>197</v>
      </c>
      <c r="F301" s="2">
        <v>32441</v>
      </c>
      <c r="G301" s="2">
        <v>3.1891309790000002</v>
      </c>
      <c r="H301" s="2">
        <v>1.0255990000000001E-3</v>
      </c>
      <c r="I301" s="2" t="s">
        <v>25415</v>
      </c>
      <c r="J301" s="2" t="s">
        <v>25416</v>
      </c>
      <c r="K301" s="2">
        <v>1.6623308E-2</v>
      </c>
      <c r="L301" s="2" t="s">
        <v>35</v>
      </c>
      <c r="M301" s="4" t="s">
        <v>25417</v>
      </c>
    </row>
    <row r="302" spans="1:13">
      <c r="A302" s="2">
        <v>960</v>
      </c>
      <c r="B302" s="2" t="s">
        <v>25418</v>
      </c>
      <c r="C302" s="2">
        <v>8</v>
      </c>
      <c r="D302" s="2">
        <v>568</v>
      </c>
      <c r="E302" s="2">
        <v>111</v>
      </c>
      <c r="F302" s="2">
        <v>32441</v>
      </c>
      <c r="G302" s="2">
        <v>4.1163557920000002</v>
      </c>
      <c r="H302" s="2">
        <v>1.0809859999999999E-3</v>
      </c>
      <c r="I302" s="2" t="s">
        <v>25419</v>
      </c>
      <c r="J302" s="2" t="s">
        <v>25420</v>
      </c>
      <c r="K302" s="2">
        <v>1.7390731999999999E-2</v>
      </c>
      <c r="L302" s="2" t="s">
        <v>35</v>
      </c>
      <c r="M302" s="4" t="s">
        <v>25421</v>
      </c>
    </row>
    <row r="303" spans="1:13">
      <c r="A303" s="2">
        <v>3211</v>
      </c>
      <c r="B303" s="2" t="s">
        <v>25422</v>
      </c>
      <c r="C303" s="2">
        <v>8</v>
      </c>
      <c r="D303" s="2">
        <v>568</v>
      </c>
      <c r="E303" s="2">
        <v>111</v>
      </c>
      <c r="F303" s="2">
        <v>32441</v>
      </c>
      <c r="G303" s="2">
        <v>4.1163557920000002</v>
      </c>
      <c r="H303" s="2">
        <v>1.0809859999999999E-3</v>
      </c>
      <c r="I303" s="2" t="s">
        <v>25423</v>
      </c>
      <c r="J303" s="2" t="s">
        <v>25424</v>
      </c>
      <c r="K303" s="2">
        <v>1.7390731999999999E-2</v>
      </c>
      <c r="L303" s="2" t="s">
        <v>35</v>
      </c>
      <c r="M303" s="4" t="s">
        <v>25425</v>
      </c>
    </row>
    <row r="304" spans="1:13">
      <c r="A304" s="2">
        <v>1559</v>
      </c>
      <c r="B304" s="2" t="s">
        <v>25426</v>
      </c>
      <c r="C304" s="2">
        <v>9</v>
      </c>
      <c r="D304" s="2">
        <v>568</v>
      </c>
      <c r="E304" s="2">
        <v>139</v>
      </c>
      <c r="F304" s="2">
        <v>32441</v>
      </c>
      <c r="G304" s="2">
        <v>3.6980570469999998</v>
      </c>
      <c r="H304" s="2">
        <v>1.0996599999999999E-3</v>
      </c>
      <c r="I304" s="2" t="s">
        <v>25427</v>
      </c>
      <c r="J304" s="2" t="s">
        <v>25428</v>
      </c>
      <c r="K304" s="2">
        <v>1.7631579000000001E-2</v>
      </c>
      <c r="L304" s="2" t="s">
        <v>35</v>
      </c>
      <c r="M304" s="4" t="s">
        <v>25429</v>
      </c>
    </row>
    <row r="305" spans="1:13">
      <c r="A305" s="2">
        <v>824</v>
      </c>
      <c r="B305" s="2" t="s">
        <v>25430</v>
      </c>
      <c r="C305" s="2">
        <v>4</v>
      </c>
      <c r="D305" s="2">
        <v>568</v>
      </c>
      <c r="E305" s="2">
        <v>23</v>
      </c>
      <c r="F305" s="2">
        <v>32441</v>
      </c>
      <c r="G305" s="2">
        <v>9.9329454990000006</v>
      </c>
      <c r="H305" s="2">
        <v>1.1117010000000001E-3</v>
      </c>
      <c r="I305" s="2" t="s">
        <v>25431</v>
      </c>
      <c r="J305" s="2" t="s">
        <v>25432</v>
      </c>
      <c r="K305" s="2">
        <v>1.7764835999999999E-2</v>
      </c>
      <c r="L305" s="2" t="s">
        <v>35</v>
      </c>
      <c r="M305" s="4" t="s">
        <v>25433</v>
      </c>
    </row>
    <row r="306" spans="1:13">
      <c r="A306" s="2">
        <v>1908</v>
      </c>
      <c r="B306" s="2" t="s">
        <v>25434</v>
      </c>
      <c r="C306" s="2">
        <v>5</v>
      </c>
      <c r="D306" s="2">
        <v>568</v>
      </c>
      <c r="E306" s="2">
        <v>41</v>
      </c>
      <c r="F306" s="2">
        <v>32441</v>
      </c>
      <c r="G306" s="2">
        <v>6.9651751979999998</v>
      </c>
      <c r="H306" s="2">
        <v>1.135362E-3</v>
      </c>
      <c r="I306" s="2" t="s">
        <v>25435</v>
      </c>
      <c r="J306" s="2" t="s">
        <v>25436</v>
      </c>
      <c r="K306" s="2">
        <v>1.8082253E-2</v>
      </c>
      <c r="L306" s="2" t="s">
        <v>35</v>
      </c>
      <c r="M306" s="4" t="s">
        <v>25437</v>
      </c>
    </row>
    <row r="307" spans="1:13">
      <c r="A307" s="2">
        <v>1099</v>
      </c>
      <c r="B307" s="2" t="s">
        <v>25438</v>
      </c>
      <c r="C307" s="2">
        <v>8</v>
      </c>
      <c r="D307" s="2">
        <v>568</v>
      </c>
      <c r="E307" s="2">
        <v>112</v>
      </c>
      <c r="F307" s="2">
        <v>32441</v>
      </c>
      <c r="G307" s="2">
        <v>4.0796026159999998</v>
      </c>
      <c r="H307" s="2">
        <v>1.141106E-3</v>
      </c>
      <c r="I307" s="2" t="s">
        <v>25439</v>
      </c>
      <c r="J307" s="2" t="s">
        <v>25440</v>
      </c>
      <c r="K307" s="2">
        <v>1.8113161999999999E-2</v>
      </c>
      <c r="L307" s="2" t="s">
        <v>35</v>
      </c>
      <c r="M307" s="4" t="s">
        <v>25441</v>
      </c>
    </row>
    <row r="308" spans="1:13">
      <c r="A308" s="2">
        <v>3930</v>
      </c>
      <c r="B308" s="2" t="s">
        <v>5594</v>
      </c>
      <c r="C308" s="2">
        <v>18</v>
      </c>
      <c r="D308" s="2">
        <v>568</v>
      </c>
      <c r="E308" s="2">
        <v>442</v>
      </c>
      <c r="F308" s="2">
        <v>32441</v>
      </c>
      <c r="G308" s="2">
        <v>2.325927283</v>
      </c>
      <c r="H308" s="2">
        <v>1.1679749999999999E-3</v>
      </c>
      <c r="I308" s="2" t="s">
        <v>25442</v>
      </c>
      <c r="J308" s="2" t="s">
        <v>25443</v>
      </c>
      <c r="K308" s="2">
        <v>1.8478061E-2</v>
      </c>
      <c r="L308" s="2" t="s">
        <v>35</v>
      </c>
      <c r="M308" s="4" t="s">
        <v>5597</v>
      </c>
    </row>
    <row r="309" spans="1:13">
      <c r="A309" s="2">
        <v>1770</v>
      </c>
      <c r="B309" s="2" t="s">
        <v>25444</v>
      </c>
      <c r="C309" s="2">
        <v>10</v>
      </c>
      <c r="D309" s="2">
        <v>568</v>
      </c>
      <c r="E309" s="2">
        <v>170</v>
      </c>
      <c r="F309" s="2">
        <v>32441</v>
      </c>
      <c r="G309" s="2">
        <v>3.3596727419999999</v>
      </c>
      <c r="H309" s="2">
        <v>1.1847439999999999E-3</v>
      </c>
      <c r="I309" s="2" t="s">
        <v>25445</v>
      </c>
      <c r="J309" s="2" t="s">
        <v>25446</v>
      </c>
      <c r="K309" s="2">
        <v>1.8681293000000002E-2</v>
      </c>
      <c r="L309" s="2" t="s">
        <v>35</v>
      </c>
      <c r="M309" s="4" t="s">
        <v>25447</v>
      </c>
    </row>
    <row r="310" spans="1:13">
      <c r="A310" s="2">
        <v>87</v>
      </c>
      <c r="B310" s="2" t="s">
        <v>25448</v>
      </c>
      <c r="C310" s="2">
        <v>7</v>
      </c>
      <c r="D310" s="2">
        <v>568</v>
      </c>
      <c r="E310" s="2">
        <v>87</v>
      </c>
      <c r="F310" s="2">
        <v>32441</v>
      </c>
      <c r="G310" s="2">
        <v>4.595414441</v>
      </c>
      <c r="H310" s="2">
        <v>1.2127640000000001E-3</v>
      </c>
      <c r="I310" s="2" t="s">
        <v>25449</v>
      </c>
      <c r="J310" s="2" t="s">
        <v>25450</v>
      </c>
      <c r="K310" s="2">
        <v>1.9060002999999999E-2</v>
      </c>
      <c r="L310" s="2" t="s">
        <v>35</v>
      </c>
      <c r="M310" s="4" t="s">
        <v>25451</v>
      </c>
    </row>
    <row r="311" spans="1:13">
      <c r="A311" s="2">
        <v>785</v>
      </c>
      <c r="B311" s="2" t="s">
        <v>25452</v>
      </c>
      <c r="C311" s="2">
        <v>3</v>
      </c>
      <c r="D311" s="2">
        <v>568</v>
      </c>
      <c r="E311" s="2">
        <v>10</v>
      </c>
      <c r="F311" s="2">
        <v>32441</v>
      </c>
      <c r="G311" s="2">
        <v>17.134330989999999</v>
      </c>
      <c r="H311" s="2">
        <v>1.274542E-3</v>
      </c>
      <c r="I311" s="2" t="s">
        <v>25453</v>
      </c>
      <c r="J311" s="2" t="s">
        <v>25454</v>
      </c>
      <c r="K311" s="2">
        <v>1.9965021999999999E-2</v>
      </c>
      <c r="L311" s="2" t="s">
        <v>35</v>
      </c>
      <c r="M311" s="4" t="s">
        <v>25455</v>
      </c>
    </row>
    <row r="312" spans="1:13">
      <c r="A312" s="2">
        <v>2001</v>
      </c>
      <c r="B312" s="2" t="s">
        <v>25456</v>
      </c>
      <c r="C312" s="2">
        <v>4</v>
      </c>
      <c r="D312" s="2">
        <v>568</v>
      </c>
      <c r="E312" s="2">
        <v>24</v>
      </c>
      <c r="F312" s="2">
        <v>32441</v>
      </c>
      <c r="G312" s="2">
        <v>9.5190727699999993</v>
      </c>
      <c r="H312" s="2">
        <v>1.2794869999999999E-3</v>
      </c>
      <c r="I312" s="2" t="s">
        <v>25457</v>
      </c>
      <c r="J312" s="2" t="s">
        <v>25458</v>
      </c>
      <c r="K312" s="2">
        <v>1.9976784000000001E-2</v>
      </c>
      <c r="L312" s="2" t="s">
        <v>35</v>
      </c>
      <c r="M312" s="4" t="s">
        <v>25459</v>
      </c>
    </row>
    <row r="313" spans="1:13">
      <c r="A313" s="2">
        <v>1605</v>
      </c>
      <c r="B313" s="2" t="s">
        <v>25460</v>
      </c>
      <c r="C313" s="2">
        <v>7</v>
      </c>
      <c r="D313" s="2">
        <v>568</v>
      </c>
      <c r="E313" s="2">
        <v>88</v>
      </c>
      <c r="F313" s="2">
        <v>32441</v>
      </c>
      <c r="G313" s="2">
        <v>4.5431938220000001</v>
      </c>
      <c r="H313" s="2">
        <v>1.290172E-3</v>
      </c>
      <c r="I313" s="2" t="s">
        <v>25461</v>
      </c>
      <c r="J313" s="2" t="s">
        <v>25462</v>
      </c>
      <c r="K313" s="2">
        <v>2.0077773E-2</v>
      </c>
      <c r="L313" s="2" t="s">
        <v>35</v>
      </c>
      <c r="M313" s="4" t="s">
        <v>25463</v>
      </c>
    </row>
    <row r="314" spans="1:13">
      <c r="A314" s="2">
        <v>3925</v>
      </c>
      <c r="B314" s="2" t="s">
        <v>25464</v>
      </c>
      <c r="C314" s="2">
        <v>7</v>
      </c>
      <c r="D314" s="2">
        <v>568</v>
      </c>
      <c r="E314" s="2">
        <v>89</v>
      </c>
      <c r="F314" s="2">
        <v>32441</v>
      </c>
      <c r="G314" s="2">
        <v>4.4921467000000002</v>
      </c>
      <c r="H314" s="2">
        <v>1.3713899999999999E-3</v>
      </c>
      <c r="I314" s="2" t="s">
        <v>25465</v>
      </c>
      <c r="J314" s="2" t="s">
        <v>25466</v>
      </c>
      <c r="K314" s="2">
        <v>2.1272184E-2</v>
      </c>
      <c r="L314" s="2" t="s">
        <v>35</v>
      </c>
      <c r="M314" s="4" t="s">
        <v>25467</v>
      </c>
    </row>
    <row r="315" spans="1:13">
      <c r="A315" s="2">
        <v>1353</v>
      </c>
      <c r="B315" s="2" t="s">
        <v>208</v>
      </c>
      <c r="C315" s="2">
        <v>20</v>
      </c>
      <c r="D315" s="2">
        <v>568</v>
      </c>
      <c r="E315" s="2">
        <v>526</v>
      </c>
      <c r="F315" s="2">
        <v>32441</v>
      </c>
      <c r="G315" s="2">
        <v>2.171651582</v>
      </c>
      <c r="H315" s="2">
        <v>1.415461E-3</v>
      </c>
      <c r="I315" s="2" t="s">
        <v>25468</v>
      </c>
      <c r="J315" s="2" t="s">
        <v>25469</v>
      </c>
      <c r="K315" s="2">
        <v>2.1884504999999999E-2</v>
      </c>
      <c r="L315" s="2" t="s">
        <v>35</v>
      </c>
      <c r="M315" s="4" t="s">
        <v>25470</v>
      </c>
    </row>
    <row r="316" spans="1:13">
      <c r="A316" s="2">
        <v>2166</v>
      </c>
      <c r="B316" s="2" t="s">
        <v>25471</v>
      </c>
      <c r="C316" s="2">
        <v>17</v>
      </c>
      <c r="D316" s="2">
        <v>568</v>
      </c>
      <c r="E316" s="2">
        <v>414</v>
      </c>
      <c r="F316" s="2">
        <v>32441</v>
      </c>
      <c r="G316" s="2">
        <v>2.3452787979999998</v>
      </c>
      <c r="H316" s="2">
        <v>1.45375E-3</v>
      </c>
      <c r="I316" s="2" t="s">
        <v>25472</v>
      </c>
      <c r="J316" s="2" t="s">
        <v>25473</v>
      </c>
      <c r="K316" s="2">
        <v>2.2331475999999999E-2</v>
      </c>
      <c r="L316" s="2" t="s">
        <v>35</v>
      </c>
      <c r="M316" s="4" t="s">
        <v>25474</v>
      </c>
    </row>
    <row r="317" spans="1:13">
      <c r="A317" s="2">
        <v>3313</v>
      </c>
      <c r="B317" s="2" t="s">
        <v>25475</v>
      </c>
      <c r="C317" s="2">
        <v>21</v>
      </c>
      <c r="D317" s="2">
        <v>568</v>
      </c>
      <c r="E317" s="2">
        <v>566</v>
      </c>
      <c r="F317" s="2">
        <v>32441</v>
      </c>
      <c r="G317" s="2">
        <v>2.1190868709999999</v>
      </c>
      <c r="H317" s="2">
        <v>1.45302E-3</v>
      </c>
      <c r="I317" s="2" t="s">
        <v>25476</v>
      </c>
      <c r="J317" s="2" t="s">
        <v>25477</v>
      </c>
      <c r="K317" s="2">
        <v>2.2331475999999999E-2</v>
      </c>
      <c r="L317" s="2" t="s">
        <v>35</v>
      </c>
      <c r="M317" s="4" t="s">
        <v>25478</v>
      </c>
    </row>
    <row r="318" spans="1:13">
      <c r="A318" s="2">
        <v>776</v>
      </c>
      <c r="B318" s="2" t="s">
        <v>25479</v>
      </c>
      <c r="C318" s="2">
        <v>4</v>
      </c>
      <c r="D318" s="2">
        <v>568</v>
      </c>
      <c r="E318" s="2">
        <v>25</v>
      </c>
      <c r="F318" s="2">
        <v>32441</v>
      </c>
      <c r="G318" s="2">
        <v>9.1383098589999996</v>
      </c>
      <c r="H318" s="2">
        <v>1.464194E-3</v>
      </c>
      <c r="I318" s="2" t="s">
        <v>25480</v>
      </c>
      <c r="J318" s="2" t="s">
        <v>25481</v>
      </c>
      <c r="K318" s="2">
        <v>2.2347736999999999E-2</v>
      </c>
      <c r="L318" s="2" t="s">
        <v>35</v>
      </c>
      <c r="M318" s="4" t="s">
        <v>25482</v>
      </c>
    </row>
    <row r="319" spans="1:13">
      <c r="A319" s="2">
        <v>2607</v>
      </c>
      <c r="B319" s="2" t="s">
        <v>25483</v>
      </c>
      <c r="C319" s="2">
        <v>4</v>
      </c>
      <c r="D319" s="2">
        <v>568</v>
      </c>
      <c r="E319" s="2">
        <v>25</v>
      </c>
      <c r="F319" s="2">
        <v>32441</v>
      </c>
      <c r="G319" s="2">
        <v>9.1383098589999996</v>
      </c>
      <c r="H319" s="2">
        <v>1.464194E-3</v>
      </c>
      <c r="I319" s="2" t="s">
        <v>25484</v>
      </c>
      <c r="J319" s="2" t="s">
        <v>25485</v>
      </c>
      <c r="K319" s="2">
        <v>2.2347736999999999E-2</v>
      </c>
      <c r="L319" s="2" t="s">
        <v>35</v>
      </c>
      <c r="M319" s="4" t="s">
        <v>25486</v>
      </c>
    </row>
    <row r="320" spans="1:13">
      <c r="A320" s="2">
        <v>566</v>
      </c>
      <c r="B320" s="2" t="s">
        <v>25487</v>
      </c>
      <c r="C320" s="2">
        <v>5</v>
      </c>
      <c r="D320" s="2">
        <v>568</v>
      </c>
      <c r="E320" s="2">
        <v>44</v>
      </c>
      <c r="F320" s="2">
        <v>32441</v>
      </c>
      <c r="G320" s="2">
        <v>6.4902768890000004</v>
      </c>
      <c r="H320" s="2">
        <v>1.514156E-3</v>
      </c>
      <c r="I320" s="2" t="s">
        <v>25488</v>
      </c>
      <c r="J320" s="2" t="s">
        <v>25489</v>
      </c>
      <c r="K320" s="2">
        <v>2.2817748999999998E-2</v>
      </c>
      <c r="L320" s="2" t="s">
        <v>35</v>
      </c>
      <c r="M320" s="4" t="s">
        <v>25490</v>
      </c>
    </row>
    <row r="321" spans="1:13">
      <c r="A321" s="2">
        <v>816</v>
      </c>
      <c r="B321" s="2" t="s">
        <v>25491</v>
      </c>
      <c r="C321" s="2">
        <v>5</v>
      </c>
      <c r="D321" s="2">
        <v>568</v>
      </c>
      <c r="E321" s="2">
        <v>44</v>
      </c>
      <c r="F321" s="2">
        <v>32441</v>
      </c>
      <c r="G321" s="2">
        <v>6.4902768890000004</v>
      </c>
      <c r="H321" s="2">
        <v>1.514156E-3</v>
      </c>
      <c r="I321" s="2" t="s">
        <v>25492</v>
      </c>
      <c r="J321" s="2" t="s">
        <v>25493</v>
      </c>
      <c r="K321" s="2">
        <v>2.2817748999999998E-2</v>
      </c>
      <c r="L321" s="2" t="s">
        <v>35</v>
      </c>
      <c r="M321" s="4" t="s">
        <v>25494</v>
      </c>
    </row>
    <row r="322" spans="1:13">
      <c r="A322" s="2">
        <v>1829</v>
      </c>
      <c r="B322" s="2" t="s">
        <v>25495</v>
      </c>
      <c r="C322" s="2">
        <v>5</v>
      </c>
      <c r="D322" s="2">
        <v>568</v>
      </c>
      <c r="E322" s="2">
        <v>44</v>
      </c>
      <c r="F322" s="2">
        <v>32441</v>
      </c>
      <c r="G322" s="2">
        <v>6.4902768890000004</v>
      </c>
      <c r="H322" s="2">
        <v>1.514156E-3</v>
      </c>
      <c r="I322" s="2" t="s">
        <v>25496</v>
      </c>
      <c r="J322" s="2" t="s">
        <v>25497</v>
      </c>
      <c r="K322" s="2">
        <v>2.2817748999999998E-2</v>
      </c>
      <c r="L322" s="2" t="s">
        <v>35</v>
      </c>
      <c r="M322" s="4" t="s">
        <v>25498</v>
      </c>
    </row>
    <row r="323" spans="1:13">
      <c r="A323" s="2">
        <v>2786</v>
      </c>
      <c r="B323" s="2" t="s">
        <v>25499</v>
      </c>
      <c r="C323" s="2">
        <v>5</v>
      </c>
      <c r="D323" s="2">
        <v>568</v>
      </c>
      <c r="E323" s="2">
        <v>44</v>
      </c>
      <c r="F323" s="2">
        <v>32441</v>
      </c>
      <c r="G323" s="2">
        <v>6.4902768890000004</v>
      </c>
      <c r="H323" s="2">
        <v>1.514156E-3</v>
      </c>
      <c r="I323" s="2" t="s">
        <v>25500</v>
      </c>
      <c r="J323" s="2" t="s">
        <v>25501</v>
      </c>
      <c r="K323" s="2">
        <v>2.2817748999999998E-2</v>
      </c>
      <c r="L323" s="2" t="s">
        <v>35</v>
      </c>
      <c r="M323" s="4" t="s">
        <v>25502</v>
      </c>
    </row>
    <row r="324" spans="1:13">
      <c r="A324" s="2">
        <v>1587</v>
      </c>
      <c r="B324" s="2" t="s">
        <v>25503</v>
      </c>
      <c r="C324" s="2">
        <v>12</v>
      </c>
      <c r="D324" s="2">
        <v>568</v>
      </c>
      <c r="E324" s="2">
        <v>240</v>
      </c>
      <c r="F324" s="2">
        <v>32441</v>
      </c>
      <c r="G324" s="2">
        <v>2.8557218309999999</v>
      </c>
      <c r="H324" s="2">
        <v>1.521288E-3</v>
      </c>
      <c r="I324" s="2" t="s">
        <v>25504</v>
      </c>
      <c r="J324" s="2" t="s">
        <v>25505</v>
      </c>
      <c r="K324" s="2">
        <v>2.2852911E-2</v>
      </c>
      <c r="L324" s="2" t="s">
        <v>35</v>
      </c>
      <c r="M324" s="4" t="s">
        <v>25506</v>
      </c>
    </row>
    <row r="325" spans="1:13">
      <c r="A325" s="2">
        <v>3654</v>
      </c>
      <c r="B325" s="2" t="s">
        <v>25507</v>
      </c>
      <c r="C325" s="2">
        <v>7</v>
      </c>
      <c r="D325" s="2">
        <v>568</v>
      </c>
      <c r="E325" s="2">
        <v>91</v>
      </c>
      <c r="F325" s="2">
        <v>32441</v>
      </c>
      <c r="G325" s="2">
        <v>4.3934182020000003</v>
      </c>
      <c r="H325" s="2">
        <v>1.5457699999999999E-3</v>
      </c>
      <c r="I325" s="2" t="s">
        <v>25508</v>
      </c>
      <c r="J325" s="2" t="s">
        <v>25509</v>
      </c>
      <c r="K325" s="2">
        <v>2.3147667E-2</v>
      </c>
      <c r="L325" s="2" t="s">
        <v>35</v>
      </c>
      <c r="M325" s="4" t="s">
        <v>25510</v>
      </c>
    </row>
    <row r="326" spans="1:13">
      <c r="A326" s="2">
        <v>4536</v>
      </c>
      <c r="B326" s="2" t="s">
        <v>25511</v>
      </c>
      <c r="C326" s="2">
        <v>15</v>
      </c>
      <c r="D326" s="2">
        <v>568</v>
      </c>
      <c r="E326" s="2">
        <v>344</v>
      </c>
      <c r="F326" s="2">
        <v>32441</v>
      </c>
      <c r="G326" s="2">
        <v>2.4904550849999998</v>
      </c>
      <c r="H326" s="2">
        <v>1.554401E-3</v>
      </c>
      <c r="I326" s="2" t="s">
        <v>25512</v>
      </c>
      <c r="J326" s="2" t="s">
        <v>25513</v>
      </c>
      <c r="K326" s="2">
        <v>2.3203947999999999E-2</v>
      </c>
      <c r="L326" s="2" t="s">
        <v>35</v>
      </c>
      <c r="M326" s="4" t="s">
        <v>25514</v>
      </c>
    </row>
    <row r="327" spans="1:13">
      <c r="A327" s="2">
        <v>1433</v>
      </c>
      <c r="B327" s="2" t="s">
        <v>4198</v>
      </c>
      <c r="C327" s="2">
        <v>10</v>
      </c>
      <c r="D327" s="2">
        <v>568</v>
      </c>
      <c r="E327" s="2">
        <v>177</v>
      </c>
      <c r="F327" s="2">
        <v>32441</v>
      </c>
      <c r="G327" s="2">
        <v>3.2268043290000001</v>
      </c>
      <c r="H327" s="2">
        <v>1.5758619999999999E-3</v>
      </c>
      <c r="I327" s="2" t="s">
        <v>25515</v>
      </c>
      <c r="J327" s="2" t="s">
        <v>25516</v>
      </c>
      <c r="K327" s="2">
        <v>2.3450792000000002E-2</v>
      </c>
      <c r="L327" s="2" t="s">
        <v>35</v>
      </c>
      <c r="M327" s="4" t="s">
        <v>4201</v>
      </c>
    </row>
    <row r="328" spans="1:13">
      <c r="A328" s="2">
        <v>2916</v>
      </c>
      <c r="B328" s="2" t="s">
        <v>25517</v>
      </c>
      <c r="C328" s="2">
        <v>20</v>
      </c>
      <c r="D328" s="2">
        <v>568</v>
      </c>
      <c r="E328" s="2">
        <v>532</v>
      </c>
      <c r="F328" s="2">
        <v>32441</v>
      </c>
      <c r="G328" s="2">
        <v>2.147159271</v>
      </c>
      <c r="H328" s="2">
        <v>1.6090880000000001E-3</v>
      </c>
      <c r="I328" s="2" t="s">
        <v>25518</v>
      </c>
      <c r="J328" s="2" t="s">
        <v>25519</v>
      </c>
      <c r="K328" s="2">
        <v>2.3870651E-2</v>
      </c>
      <c r="L328" s="2" t="s">
        <v>35</v>
      </c>
      <c r="M328" s="4" t="s">
        <v>25520</v>
      </c>
    </row>
    <row r="329" spans="1:13">
      <c r="A329" s="2">
        <v>1510</v>
      </c>
      <c r="B329" s="2" t="s">
        <v>25521</v>
      </c>
      <c r="C329" s="2">
        <v>8</v>
      </c>
      <c r="D329" s="2">
        <v>568</v>
      </c>
      <c r="E329" s="2">
        <v>119</v>
      </c>
      <c r="F329" s="2">
        <v>32441</v>
      </c>
      <c r="G329" s="2">
        <v>3.8396259910000001</v>
      </c>
      <c r="H329" s="2">
        <v>1.640477E-3</v>
      </c>
      <c r="I329" s="2" t="s">
        <v>25522</v>
      </c>
      <c r="J329" s="2" t="s">
        <v>25523</v>
      </c>
      <c r="K329" s="2">
        <v>2.4200388999999999E-2</v>
      </c>
      <c r="L329" s="2" t="s">
        <v>35</v>
      </c>
      <c r="M329" s="4" t="s">
        <v>25524</v>
      </c>
    </row>
    <row r="330" spans="1:13">
      <c r="A330" s="2">
        <v>1557</v>
      </c>
      <c r="B330" s="2" t="s">
        <v>25525</v>
      </c>
      <c r="C330" s="2">
        <v>13</v>
      </c>
      <c r="D330" s="2">
        <v>568</v>
      </c>
      <c r="E330" s="2">
        <v>276</v>
      </c>
      <c r="F330" s="2">
        <v>32441</v>
      </c>
      <c r="G330" s="2">
        <v>2.6901727389999999</v>
      </c>
      <c r="H330" s="2">
        <v>1.6414800000000001E-3</v>
      </c>
      <c r="I330" s="2" t="s">
        <v>25526</v>
      </c>
      <c r="J330" s="2" t="s">
        <v>25527</v>
      </c>
      <c r="K330" s="2">
        <v>2.4200388999999999E-2</v>
      </c>
      <c r="L330" s="2" t="s">
        <v>35</v>
      </c>
      <c r="M330" s="4" t="s">
        <v>25528</v>
      </c>
    </row>
    <row r="331" spans="1:13">
      <c r="A331" s="2">
        <v>416</v>
      </c>
      <c r="B331" s="2" t="s">
        <v>25529</v>
      </c>
      <c r="C331" s="2">
        <v>5</v>
      </c>
      <c r="D331" s="2">
        <v>568</v>
      </c>
      <c r="E331" s="2">
        <v>45</v>
      </c>
      <c r="F331" s="2">
        <v>32441</v>
      </c>
      <c r="G331" s="2">
        <v>6.3460485130000004</v>
      </c>
      <c r="H331" s="2">
        <v>1.658914E-3</v>
      </c>
      <c r="I331" s="2" t="s">
        <v>25530</v>
      </c>
      <c r="J331" s="2" t="s">
        <v>25531</v>
      </c>
      <c r="K331" s="2">
        <v>2.4328211999999998E-2</v>
      </c>
      <c r="L331" s="2" t="s">
        <v>35</v>
      </c>
      <c r="M331" s="4" t="s">
        <v>25532</v>
      </c>
    </row>
    <row r="332" spans="1:13">
      <c r="A332" s="2">
        <v>967</v>
      </c>
      <c r="B332" s="2" t="s">
        <v>25533</v>
      </c>
      <c r="C332" s="2">
        <v>11</v>
      </c>
      <c r="D332" s="2">
        <v>568</v>
      </c>
      <c r="E332" s="2">
        <v>210</v>
      </c>
      <c r="F332" s="2">
        <v>32441</v>
      </c>
      <c r="G332" s="2">
        <v>2.991708585</v>
      </c>
      <c r="H332" s="2">
        <v>1.6654759999999999E-3</v>
      </c>
      <c r="I332" s="2" t="s">
        <v>25534</v>
      </c>
      <c r="J332" s="2" t="s">
        <v>25535</v>
      </c>
      <c r="K332" s="2">
        <v>2.4328211999999998E-2</v>
      </c>
      <c r="L332" s="2" t="s">
        <v>35</v>
      </c>
      <c r="M332" s="4" t="s">
        <v>25536</v>
      </c>
    </row>
    <row r="333" spans="1:13">
      <c r="A333" s="2">
        <v>3969</v>
      </c>
      <c r="B333" s="2" t="s">
        <v>25537</v>
      </c>
      <c r="C333" s="2">
        <v>18</v>
      </c>
      <c r="D333" s="2">
        <v>568</v>
      </c>
      <c r="E333" s="2">
        <v>457</v>
      </c>
      <c r="F333" s="2">
        <v>32441</v>
      </c>
      <c r="G333" s="2">
        <v>2.2495839370000001</v>
      </c>
      <c r="H333" s="2">
        <v>1.663524E-3</v>
      </c>
      <c r="I333" s="2" t="s">
        <v>25538</v>
      </c>
      <c r="J333" s="2" t="s">
        <v>25539</v>
      </c>
      <c r="K333" s="2">
        <v>2.4328211999999998E-2</v>
      </c>
      <c r="L333" s="2" t="s">
        <v>35</v>
      </c>
      <c r="M333" s="4" t="s">
        <v>25540</v>
      </c>
    </row>
    <row r="334" spans="1:13">
      <c r="A334" s="2">
        <v>3309</v>
      </c>
      <c r="B334" s="2" t="s">
        <v>25541</v>
      </c>
      <c r="C334" s="2">
        <v>12</v>
      </c>
      <c r="D334" s="2">
        <v>568</v>
      </c>
      <c r="E334" s="2">
        <v>246</v>
      </c>
      <c r="F334" s="2">
        <v>32441</v>
      </c>
      <c r="G334" s="2">
        <v>2.7860700789999999</v>
      </c>
      <c r="H334" s="2">
        <v>1.8521220000000001E-3</v>
      </c>
      <c r="I334" s="2" t="s">
        <v>25542</v>
      </c>
      <c r="J334" s="2" t="s">
        <v>25543</v>
      </c>
      <c r="K334" s="2">
        <v>2.6971886E-2</v>
      </c>
      <c r="L334" s="2" t="s">
        <v>35</v>
      </c>
      <c r="M334" s="4" t="s">
        <v>25544</v>
      </c>
    </row>
    <row r="335" spans="1:13">
      <c r="A335" s="2">
        <v>531</v>
      </c>
      <c r="B335" s="2" t="s">
        <v>25545</v>
      </c>
      <c r="C335" s="2">
        <v>6</v>
      </c>
      <c r="D335" s="2">
        <v>568</v>
      </c>
      <c r="E335" s="2">
        <v>69</v>
      </c>
      <c r="F335" s="2">
        <v>32441</v>
      </c>
      <c r="G335" s="2">
        <v>4.9664727500000003</v>
      </c>
      <c r="H335" s="2">
        <v>1.8660149999999999E-3</v>
      </c>
      <c r="I335" s="2" t="s">
        <v>25546</v>
      </c>
      <c r="J335" s="2" t="s">
        <v>25547</v>
      </c>
      <c r="K335" s="2">
        <v>2.7009001000000001E-2</v>
      </c>
      <c r="L335" s="2" t="s">
        <v>35</v>
      </c>
      <c r="M335" s="4" t="s">
        <v>25548</v>
      </c>
    </row>
    <row r="336" spans="1:13">
      <c r="A336" s="2">
        <v>609</v>
      </c>
      <c r="B336" s="2" t="s">
        <v>25549</v>
      </c>
      <c r="C336" s="2">
        <v>6</v>
      </c>
      <c r="D336" s="2">
        <v>568</v>
      </c>
      <c r="E336" s="2">
        <v>69</v>
      </c>
      <c r="F336" s="2">
        <v>32441</v>
      </c>
      <c r="G336" s="2">
        <v>4.9664727500000003</v>
      </c>
      <c r="H336" s="2">
        <v>1.8660149999999999E-3</v>
      </c>
      <c r="I336" s="2" t="s">
        <v>25550</v>
      </c>
      <c r="J336" s="2" t="s">
        <v>25551</v>
      </c>
      <c r="K336" s="2">
        <v>2.7009001000000001E-2</v>
      </c>
      <c r="L336" s="2" t="s">
        <v>35</v>
      </c>
      <c r="M336" s="4" t="s">
        <v>25552</v>
      </c>
    </row>
    <row r="337" spans="1:13">
      <c r="A337" s="2">
        <v>1104</v>
      </c>
      <c r="B337" s="2" t="s">
        <v>25553</v>
      </c>
      <c r="C337" s="2">
        <v>8</v>
      </c>
      <c r="D337" s="2">
        <v>568</v>
      </c>
      <c r="E337" s="2">
        <v>122</v>
      </c>
      <c r="F337" s="2">
        <v>32441</v>
      </c>
      <c r="G337" s="2">
        <v>3.7452089590000002</v>
      </c>
      <c r="H337" s="2">
        <v>1.9013249999999999E-3</v>
      </c>
      <c r="I337" s="2" t="s">
        <v>25554</v>
      </c>
      <c r="J337" s="2" t="s">
        <v>25555</v>
      </c>
      <c r="K337" s="2">
        <v>2.7436693000000002E-2</v>
      </c>
      <c r="L337" s="2" t="s">
        <v>35</v>
      </c>
      <c r="M337" s="4" t="s">
        <v>25556</v>
      </c>
    </row>
    <row r="338" spans="1:13">
      <c r="A338" s="2">
        <v>773</v>
      </c>
      <c r="B338" s="2" t="s">
        <v>25557</v>
      </c>
      <c r="C338" s="2">
        <v>3</v>
      </c>
      <c r="D338" s="2">
        <v>568</v>
      </c>
      <c r="E338" s="2">
        <v>12</v>
      </c>
      <c r="F338" s="2">
        <v>32441</v>
      </c>
      <c r="G338" s="2">
        <v>14.278609149999999</v>
      </c>
      <c r="H338" s="2">
        <v>1.9764100000000001E-3</v>
      </c>
      <c r="I338" s="2" t="s">
        <v>25453</v>
      </c>
      <c r="J338" s="2" t="s">
        <v>25454</v>
      </c>
      <c r="K338" s="2">
        <v>2.8378759999999999E-2</v>
      </c>
      <c r="L338" s="2" t="s">
        <v>35</v>
      </c>
      <c r="M338" s="4" t="s">
        <v>25558</v>
      </c>
    </row>
    <row r="339" spans="1:13">
      <c r="A339" s="2">
        <v>3789</v>
      </c>
      <c r="B339" s="2" t="s">
        <v>25559</v>
      </c>
      <c r="C339" s="2">
        <v>5</v>
      </c>
      <c r="D339" s="2">
        <v>568</v>
      </c>
      <c r="E339" s="2">
        <v>47</v>
      </c>
      <c r="F339" s="2">
        <v>32441</v>
      </c>
      <c r="G339" s="2">
        <v>6.0760038959999996</v>
      </c>
      <c r="H339" s="2">
        <v>1.9785279999999998E-3</v>
      </c>
      <c r="I339" s="2" t="s">
        <v>25560</v>
      </c>
      <c r="J339" s="2" t="s">
        <v>25561</v>
      </c>
      <c r="K339" s="2">
        <v>2.8378759999999999E-2</v>
      </c>
      <c r="L339" s="2" t="s">
        <v>35</v>
      </c>
      <c r="M339" s="4" t="s">
        <v>25562</v>
      </c>
    </row>
    <row r="340" spans="1:13">
      <c r="A340" s="2">
        <v>644</v>
      </c>
      <c r="B340" s="2" t="s">
        <v>25563</v>
      </c>
      <c r="C340" s="2">
        <v>5</v>
      </c>
      <c r="D340" s="2">
        <v>568</v>
      </c>
      <c r="E340" s="2">
        <v>48</v>
      </c>
      <c r="F340" s="2">
        <v>32441</v>
      </c>
      <c r="G340" s="2">
        <v>5.9494204809999998</v>
      </c>
      <c r="H340" s="2">
        <v>2.1541749999999999E-3</v>
      </c>
      <c r="I340" s="2" t="s">
        <v>25564</v>
      </c>
      <c r="J340" s="2" t="s">
        <v>25565</v>
      </c>
      <c r="K340" s="2">
        <v>3.0260129E-2</v>
      </c>
      <c r="L340" s="2" t="s">
        <v>35</v>
      </c>
      <c r="M340" s="4" t="s">
        <v>25566</v>
      </c>
    </row>
    <row r="341" spans="1:13">
      <c r="A341" s="2">
        <v>801</v>
      </c>
      <c r="B341" s="2" t="s">
        <v>25567</v>
      </c>
      <c r="C341" s="2">
        <v>5</v>
      </c>
      <c r="D341" s="2">
        <v>568</v>
      </c>
      <c r="E341" s="2">
        <v>48</v>
      </c>
      <c r="F341" s="2">
        <v>32441</v>
      </c>
      <c r="G341" s="2">
        <v>5.9494204809999998</v>
      </c>
      <c r="H341" s="2">
        <v>2.1541749999999999E-3</v>
      </c>
      <c r="I341" s="2" t="s">
        <v>25568</v>
      </c>
      <c r="J341" s="2" t="s">
        <v>25569</v>
      </c>
      <c r="K341" s="2">
        <v>3.0260129E-2</v>
      </c>
      <c r="L341" s="2" t="s">
        <v>35</v>
      </c>
      <c r="M341" s="4" t="s">
        <v>25570</v>
      </c>
    </row>
    <row r="342" spans="1:13">
      <c r="A342" s="2">
        <v>1063</v>
      </c>
      <c r="B342" s="2" t="s">
        <v>25571</v>
      </c>
      <c r="C342" s="2">
        <v>5</v>
      </c>
      <c r="D342" s="2">
        <v>568</v>
      </c>
      <c r="E342" s="2">
        <v>48</v>
      </c>
      <c r="F342" s="2">
        <v>32441</v>
      </c>
      <c r="G342" s="2">
        <v>5.9494204809999998</v>
      </c>
      <c r="H342" s="2">
        <v>2.1541749999999999E-3</v>
      </c>
      <c r="I342" s="2" t="s">
        <v>25572</v>
      </c>
      <c r="J342" s="2" t="s">
        <v>25573</v>
      </c>
      <c r="K342" s="2">
        <v>3.0260129E-2</v>
      </c>
      <c r="L342" s="2" t="s">
        <v>35</v>
      </c>
      <c r="M342" s="4" t="s">
        <v>25574</v>
      </c>
    </row>
    <row r="343" spans="1:13">
      <c r="A343" s="2">
        <v>2604</v>
      </c>
      <c r="B343" s="2" t="s">
        <v>25575</v>
      </c>
      <c r="C343" s="2">
        <v>10</v>
      </c>
      <c r="D343" s="2">
        <v>568</v>
      </c>
      <c r="E343" s="2">
        <v>185</v>
      </c>
      <c r="F343" s="2">
        <v>32441</v>
      </c>
      <c r="G343" s="2">
        <v>3.0872668440000002</v>
      </c>
      <c r="H343" s="2">
        <v>2.1447279999999998E-3</v>
      </c>
      <c r="I343" s="2" t="s">
        <v>25576</v>
      </c>
      <c r="J343" s="2" t="s">
        <v>25577</v>
      </c>
      <c r="K343" s="2">
        <v>3.0260129E-2</v>
      </c>
      <c r="L343" s="2" t="s">
        <v>35</v>
      </c>
      <c r="M343" s="4" t="s">
        <v>25578</v>
      </c>
    </row>
    <row r="344" spans="1:13">
      <c r="A344" s="2">
        <v>2648</v>
      </c>
      <c r="B344" s="2" t="s">
        <v>25579</v>
      </c>
      <c r="C344" s="2">
        <v>10</v>
      </c>
      <c r="D344" s="2">
        <v>568</v>
      </c>
      <c r="E344" s="2">
        <v>185</v>
      </c>
      <c r="F344" s="2">
        <v>32441</v>
      </c>
      <c r="G344" s="2">
        <v>3.0872668440000002</v>
      </c>
      <c r="H344" s="2">
        <v>2.1447279999999998E-3</v>
      </c>
      <c r="I344" s="2" t="s">
        <v>25580</v>
      </c>
      <c r="J344" s="2" t="s">
        <v>25581</v>
      </c>
      <c r="K344" s="2">
        <v>3.0260129E-2</v>
      </c>
      <c r="L344" s="2" t="s">
        <v>35</v>
      </c>
      <c r="M344" s="4" t="s">
        <v>25582</v>
      </c>
    </row>
    <row r="345" spans="1:13">
      <c r="A345" s="2">
        <v>2729</v>
      </c>
      <c r="B345" s="2" t="s">
        <v>25583</v>
      </c>
      <c r="C345" s="2">
        <v>20</v>
      </c>
      <c r="D345" s="2">
        <v>568</v>
      </c>
      <c r="E345" s="2">
        <v>546</v>
      </c>
      <c r="F345" s="2">
        <v>32441</v>
      </c>
      <c r="G345" s="2">
        <v>2.0921039050000001</v>
      </c>
      <c r="H345" s="2">
        <v>2.1501469999999998E-3</v>
      </c>
      <c r="I345" s="2" t="s">
        <v>25584</v>
      </c>
      <c r="J345" s="2" t="s">
        <v>25585</v>
      </c>
      <c r="K345" s="2">
        <v>3.0260129E-2</v>
      </c>
      <c r="L345" s="2" t="s">
        <v>35</v>
      </c>
      <c r="M345" s="4" t="s">
        <v>25586</v>
      </c>
    </row>
    <row r="346" spans="1:13">
      <c r="A346" s="2">
        <v>2852</v>
      </c>
      <c r="B346" s="2" t="s">
        <v>25587</v>
      </c>
      <c r="C346" s="2">
        <v>5</v>
      </c>
      <c r="D346" s="2">
        <v>568</v>
      </c>
      <c r="E346" s="2">
        <v>48</v>
      </c>
      <c r="F346" s="2">
        <v>32441</v>
      </c>
      <c r="G346" s="2">
        <v>5.9494204809999998</v>
      </c>
      <c r="H346" s="2">
        <v>2.1541749999999999E-3</v>
      </c>
      <c r="I346" s="2" t="s">
        <v>25588</v>
      </c>
      <c r="J346" s="2" t="s">
        <v>25589</v>
      </c>
      <c r="K346" s="2">
        <v>3.0260129E-2</v>
      </c>
      <c r="L346" s="2" t="s">
        <v>35</v>
      </c>
      <c r="M346" s="4" t="s">
        <v>25590</v>
      </c>
    </row>
    <row r="347" spans="1:13">
      <c r="A347" s="2">
        <v>3452</v>
      </c>
      <c r="B347" s="2" t="s">
        <v>2810</v>
      </c>
      <c r="C347" s="2">
        <v>8</v>
      </c>
      <c r="D347" s="2">
        <v>568</v>
      </c>
      <c r="E347" s="2">
        <v>125</v>
      </c>
      <c r="F347" s="2">
        <v>32441</v>
      </c>
      <c r="G347" s="2">
        <v>3.655323944</v>
      </c>
      <c r="H347" s="2">
        <v>2.193815E-3</v>
      </c>
      <c r="I347" s="2" t="s">
        <v>25591</v>
      </c>
      <c r="J347" s="2" t="s">
        <v>25592</v>
      </c>
      <c r="K347" s="2">
        <v>3.0726314000000001E-2</v>
      </c>
      <c r="L347" s="2" t="s">
        <v>35</v>
      </c>
      <c r="M347" s="4" t="s">
        <v>2813</v>
      </c>
    </row>
    <row r="348" spans="1:13">
      <c r="A348" s="2">
        <v>3929</v>
      </c>
      <c r="B348" s="2" t="s">
        <v>25593</v>
      </c>
      <c r="C348" s="2">
        <v>16</v>
      </c>
      <c r="D348" s="2">
        <v>568</v>
      </c>
      <c r="E348" s="2">
        <v>395</v>
      </c>
      <c r="F348" s="2">
        <v>32441</v>
      </c>
      <c r="G348" s="2">
        <v>2.3134961669999998</v>
      </c>
      <c r="H348" s="2">
        <v>2.2552029999999999E-3</v>
      </c>
      <c r="I348" s="2" t="s">
        <v>25594</v>
      </c>
      <c r="J348" s="2" t="s">
        <v>25595</v>
      </c>
      <c r="K348" s="2">
        <v>3.1493485000000002E-2</v>
      </c>
      <c r="L348" s="2" t="s">
        <v>35</v>
      </c>
      <c r="M348" s="4" t="s">
        <v>25596</v>
      </c>
    </row>
    <row r="349" spans="1:13">
      <c r="A349" s="2">
        <v>3124</v>
      </c>
      <c r="B349" s="2" t="s">
        <v>25597</v>
      </c>
      <c r="C349" s="2">
        <v>7</v>
      </c>
      <c r="D349" s="2">
        <v>568</v>
      </c>
      <c r="E349" s="2">
        <v>98</v>
      </c>
      <c r="F349" s="2">
        <v>32441</v>
      </c>
      <c r="G349" s="2">
        <v>4.0796026159999998</v>
      </c>
      <c r="H349" s="2">
        <v>2.2954780000000001E-3</v>
      </c>
      <c r="I349" s="2" t="s">
        <v>25598</v>
      </c>
      <c r="J349" s="2" t="s">
        <v>25599</v>
      </c>
      <c r="K349" s="2">
        <v>3.1962185999999997E-2</v>
      </c>
      <c r="L349" s="2" t="s">
        <v>35</v>
      </c>
      <c r="M349" s="4" t="s">
        <v>25600</v>
      </c>
    </row>
    <row r="350" spans="1:13">
      <c r="A350" s="2">
        <v>3089</v>
      </c>
      <c r="B350" s="2" t="s">
        <v>2879</v>
      </c>
      <c r="C350" s="2">
        <v>9</v>
      </c>
      <c r="D350" s="2">
        <v>568</v>
      </c>
      <c r="E350" s="2">
        <v>156</v>
      </c>
      <c r="F350" s="2">
        <v>32441</v>
      </c>
      <c r="G350" s="2">
        <v>3.295063651</v>
      </c>
      <c r="H350" s="2">
        <v>2.3271849999999998E-3</v>
      </c>
      <c r="I350" s="2" t="s">
        <v>25601</v>
      </c>
      <c r="J350" s="2" t="s">
        <v>25602</v>
      </c>
      <c r="K350" s="2">
        <v>3.2309202000000002E-2</v>
      </c>
      <c r="L350" s="2" t="s">
        <v>35</v>
      </c>
      <c r="M350" s="4" t="s">
        <v>2882</v>
      </c>
    </row>
    <row r="351" spans="1:13">
      <c r="A351" s="2">
        <v>666</v>
      </c>
      <c r="B351" s="2" t="s">
        <v>25603</v>
      </c>
      <c r="C351" s="2">
        <v>5</v>
      </c>
      <c r="D351" s="2">
        <v>568</v>
      </c>
      <c r="E351" s="2">
        <v>49</v>
      </c>
      <c r="F351" s="2">
        <v>32441</v>
      </c>
      <c r="G351" s="2">
        <v>5.8280037370000004</v>
      </c>
      <c r="H351" s="2">
        <v>2.3409160000000002E-3</v>
      </c>
      <c r="I351" s="2" t="s">
        <v>25198</v>
      </c>
      <c r="J351" s="2" t="s">
        <v>25199</v>
      </c>
      <c r="K351" s="2">
        <v>3.2311432000000001E-2</v>
      </c>
      <c r="L351" s="2" t="s">
        <v>35</v>
      </c>
      <c r="M351" s="4" t="s">
        <v>25604</v>
      </c>
    </row>
    <row r="352" spans="1:13">
      <c r="A352" s="2">
        <v>4357</v>
      </c>
      <c r="B352" s="2" t="s">
        <v>25605</v>
      </c>
      <c r="C352" s="2">
        <v>5</v>
      </c>
      <c r="D352" s="2">
        <v>568</v>
      </c>
      <c r="E352" s="2">
        <v>49</v>
      </c>
      <c r="F352" s="2">
        <v>32441</v>
      </c>
      <c r="G352" s="2">
        <v>5.8280037370000004</v>
      </c>
      <c r="H352" s="2">
        <v>2.3409160000000002E-3</v>
      </c>
      <c r="I352" s="2" t="s">
        <v>25606</v>
      </c>
      <c r="J352" s="2" t="s">
        <v>25607</v>
      </c>
      <c r="K352" s="2">
        <v>3.2311432000000001E-2</v>
      </c>
      <c r="L352" s="2" t="s">
        <v>35</v>
      </c>
      <c r="M352" s="4" t="s">
        <v>25608</v>
      </c>
    </row>
    <row r="353" spans="1:13">
      <c r="A353" s="2">
        <v>498</v>
      </c>
      <c r="B353" s="2" t="s">
        <v>25609</v>
      </c>
      <c r="C353" s="2">
        <v>4</v>
      </c>
      <c r="D353" s="2">
        <v>568</v>
      </c>
      <c r="E353" s="2">
        <v>29</v>
      </c>
      <c r="F353" s="2">
        <v>32441</v>
      </c>
      <c r="G353" s="2">
        <v>7.8778533270000004</v>
      </c>
      <c r="H353" s="2">
        <v>2.3895019999999999E-3</v>
      </c>
      <c r="I353" s="2" t="s">
        <v>25610</v>
      </c>
      <c r="J353" s="2" t="s">
        <v>25611</v>
      </c>
      <c r="K353" s="2">
        <v>3.2886731000000002E-2</v>
      </c>
      <c r="L353" s="2" t="s">
        <v>35</v>
      </c>
      <c r="M353" s="4" t="s">
        <v>25612</v>
      </c>
    </row>
    <row r="354" spans="1:13">
      <c r="A354" s="2">
        <v>2670</v>
      </c>
      <c r="B354" s="2" t="s">
        <v>25613</v>
      </c>
      <c r="C354" s="2">
        <v>13</v>
      </c>
      <c r="D354" s="2">
        <v>568</v>
      </c>
      <c r="E354" s="2">
        <v>289</v>
      </c>
      <c r="F354" s="2">
        <v>32441</v>
      </c>
      <c r="G354" s="2">
        <v>2.5691615090000002</v>
      </c>
      <c r="H354" s="2">
        <v>2.4101109999999999E-3</v>
      </c>
      <c r="I354" s="2" t="s">
        <v>25614</v>
      </c>
      <c r="J354" s="2" t="s">
        <v>25615</v>
      </c>
      <c r="K354" s="2">
        <v>3.3074777E-2</v>
      </c>
      <c r="L354" s="2" t="s">
        <v>35</v>
      </c>
      <c r="M354" s="4" t="s">
        <v>25616</v>
      </c>
    </row>
    <row r="355" spans="1:13">
      <c r="A355" s="2">
        <v>3473</v>
      </c>
      <c r="B355" s="2" t="s">
        <v>25617</v>
      </c>
      <c r="C355" s="2">
        <v>6</v>
      </c>
      <c r="D355" s="2">
        <v>568</v>
      </c>
      <c r="E355" s="2">
        <v>73</v>
      </c>
      <c r="F355" s="2">
        <v>32441</v>
      </c>
      <c r="G355" s="2">
        <v>4.6943372559999998</v>
      </c>
      <c r="H355" s="2">
        <v>2.4319670000000002E-3</v>
      </c>
      <c r="I355" s="2" t="s">
        <v>25618</v>
      </c>
      <c r="J355" s="2" t="s">
        <v>25619</v>
      </c>
      <c r="K355" s="2">
        <v>3.3278810999999998E-2</v>
      </c>
      <c r="L355" s="2" t="s">
        <v>35</v>
      </c>
      <c r="M355" s="4" t="s">
        <v>25620</v>
      </c>
    </row>
    <row r="356" spans="1:13">
      <c r="A356" s="2">
        <v>93</v>
      </c>
      <c r="B356" s="2" t="s">
        <v>25621</v>
      </c>
      <c r="C356" s="2">
        <v>8</v>
      </c>
      <c r="D356" s="2">
        <v>568</v>
      </c>
      <c r="E356" s="2">
        <v>128</v>
      </c>
      <c r="F356" s="2">
        <v>32441</v>
      </c>
      <c r="G356" s="2">
        <v>3.569652289</v>
      </c>
      <c r="H356" s="2">
        <v>2.520525E-3</v>
      </c>
      <c r="I356" s="2" t="s">
        <v>25622</v>
      </c>
      <c r="J356" s="2" t="s">
        <v>25623</v>
      </c>
      <c r="K356" s="2">
        <v>3.4391807000000003E-2</v>
      </c>
      <c r="L356" s="2" t="s">
        <v>35</v>
      </c>
      <c r="M356" s="4" t="s">
        <v>25624</v>
      </c>
    </row>
    <row r="357" spans="1:13">
      <c r="A357" s="2">
        <v>2442</v>
      </c>
      <c r="B357" s="2" t="s">
        <v>25625</v>
      </c>
      <c r="C357" s="2">
        <v>7</v>
      </c>
      <c r="D357" s="2">
        <v>568</v>
      </c>
      <c r="E357" s="2">
        <v>100</v>
      </c>
      <c r="F357" s="2">
        <v>32441</v>
      </c>
      <c r="G357" s="2">
        <v>3.9980105629999998</v>
      </c>
      <c r="H357" s="2">
        <v>2.554059E-3</v>
      </c>
      <c r="I357" s="2" t="s">
        <v>25626</v>
      </c>
      <c r="J357" s="2" t="s">
        <v>25627</v>
      </c>
      <c r="K357" s="2">
        <v>3.4749796999999999E-2</v>
      </c>
      <c r="L357" s="2" t="s">
        <v>35</v>
      </c>
      <c r="M357" s="4" t="s">
        <v>25628</v>
      </c>
    </row>
    <row r="358" spans="1:13">
      <c r="A358" s="2">
        <v>992</v>
      </c>
      <c r="B358" s="2" t="s">
        <v>5302</v>
      </c>
      <c r="C358" s="2">
        <v>6</v>
      </c>
      <c r="D358" s="2">
        <v>568</v>
      </c>
      <c r="E358" s="2">
        <v>74</v>
      </c>
      <c r="F358" s="2">
        <v>32441</v>
      </c>
      <c r="G358" s="2">
        <v>4.6309002660000003</v>
      </c>
      <c r="H358" s="2">
        <v>2.591664E-3</v>
      </c>
      <c r="I358" s="2" t="s">
        <v>25629</v>
      </c>
      <c r="J358" s="2" t="s">
        <v>25630</v>
      </c>
      <c r="K358" s="2">
        <v>3.5160977000000003E-2</v>
      </c>
      <c r="L358" s="2" t="s">
        <v>35</v>
      </c>
      <c r="M358" s="4" t="s">
        <v>5305</v>
      </c>
    </row>
    <row r="359" spans="1:13">
      <c r="A359" s="2">
        <v>1181</v>
      </c>
      <c r="B359" s="2" t="s">
        <v>4396</v>
      </c>
      <c r="C359" s="2">
        <v>9</v>
      </c>
      <c r="D359" s="2">
        <v>568</v>
      </c>
      <c r="E359" s="2">
        <v>159</v>
      </c>
      <c r="F359" s="2">
        <v>32441</v>
      </c>
      <c r="G359" s="2">
        <v>3.2328926390000001</v>
      </c>
      <c r="H359" s="2">
        <v>2.6273120000000001E-3</v>
      </c>
      <c r="I359" s="2" t="s">
        <v>24869</v>
      </c>
      <c r="J359" s="2" t="s">
        <v>24870</v>
      </c>
      <c r="K359" s="2">
        <v>3.5442665999999998E-2</v>
      </c>
      <c r="L359" s="2" t="s">
        <v>35</v>
      </c>
      <c r="M359" s="4" t="s">
        <v>4397</v>
      </c>
    </row>
    <row r="360" spans="1:13">
      <c r="A360" s="2">
        <v>3694</v>
      </c>
      <c r="B360" s="2" t="s">
        <v>25631</v>
      </c>
      <c r="C360" s="2">
        <v>9</v>
      </c>
      <c r="D360" s="2">
        <v>568</v>
      </c>
      <c r="E360" s="2">
        <v>159</v>
      </c>
      <c r="F360" s="2">
        <v>32441</v>
      </c>
      <c r="G360" s="2">
        <v>3.2328926390000001</v>
      </c>
      <c r="H360" s="2">
        <v>2.6273120000000001E-3</v>
      </c>
      <c r="I360" s="2" t="s">
        <v>25632</v>
      </c>
      <c r="J360" s="2" t="s">
        <v>25633</v>
      </c>
      <c r="K360" s="2">
        <v>3.5442665999999998E-2</v>
      </c>
      <c r="L360" s="2" t="s">
        <v>35</v>
      </c>
      <c r="M360" s="4" t="s">
        <v>25634</v>
      </c>
    </row>
    <row r="361" spans="1:13">
      <c r="A361" s="2">
        <v>575</v>
      </c>
      <c r="B361" s="2" t="s">
        <v>5397</v>
      </c>
      <c r="C361" s="2">
        <v>8</v>
      </c>
      <c r="D361" s="2">
        <v>568</v>
      </c>
      <c r="E361" s="2">
        <v>129</v>
      </c>
      <c r="F361" s="2">
        <v>32441</v>
      </c>
      <c r="G361" s="2">
        <v>3.5419805659999999</v>
      </c>
      <c r="H361" s="2">
        <v>2.6374910000000001E-3</v>
      </c>
      <c r="I361" s="2" t="s">
        <v>25635</v>
      </c>
      <c r="J361" s="2" t="s">
        <v>25636</v>
      </c>
      <c r="K361" s="2">
        <v>3.5479469999999999E-2</v>
      </c>
      <c r="L361" s="2" t="s">
        <v>35</v>
      </c>
      <c r="M361" s="4" t="s">
        <v>5400</v>
      </c>
    </row>
    <row r="362" spans="1:13">
      <c r="A362" s="2">
        <v>4639</v>
      </c>
      <c r="B362" s="2" t="s">
        <v>25637</v>
      </c>
      <c r="C362" s="2">
        <v>19</v>
      </c>
      <c r="D362" s="2">
        <v>568</v>
      </c>
      <c r="E362" s="2">
        <v>517</v>
      </c>
      <c r="F362" s="2">
        <v>32441</v>
      </c>
      <c r="G362" s="2">
        <v>2.0989831639999998</v>
      </c>
      <c r="H362" s="2">
        <v>2.6488470000000002E-3</v>
      </c>
      <c r="I362" s="2" t="s">
        <v>25638</v>
      </c>
      <c r="J362" s="2" t="s">
        <v>25639</v>
      </c>
      <c r="K362" s="2">
        <v>3.5531857E-2</v>
      </c>
      <c r="L362" s="2" t="s">
        <v>35</v>
      </c>
      <c r="M362" s="4" t="s">
        <v>25640</v>
      </c>
    </row>
    <row r="363" spans="1:13">
      <c r="A363" s="2">
        <v>790</v>
      </c>
      <c r="B363" s="2" t="s">
        <v>25641</v>
      </c>
      <c r="C363" s="2">
        <v>4</v>
      </c>
      <c r="D363" s="2">
        <v>568</v>
      </c>
      <c r="E363" s="2">
        <v>30</v>
      </c>
      <c r="F363" s="2">
        <v>32441</v>
      </c>
      <c r="G363" s="2">
        <v>7.615258216</v>
      </c>
      <c r="H363" s="2">
        <v>2.6717009999999999E-3</v>
      </c>
      <c r="I363" s="2" t="s">
        <v>25320</v>
      </c>
      <c r="J363" s="2" t="s">
        <v>25321</v>
      </c>
      <c r="K363" s="2">
        <v>3.5701537999999998E-2</v>
      </c>
      <c r="L363" s="2" t="s">
        <v>35</v>
      </c>
      <c r="M363" s="4" t="s">
        <v>25642</v>
      </c>
    </row>
    <row r="364" spans="1:13">
      <c r="A364" s="2">
        <v>1608</v>
      </c>
      <c r="B364" s="2" t="s">
        <v>25643</v>
      </c>
      <c r="C364" s="2">
        <v>20</v>
      </c>
      <c r="D364" s="2">
        <v>568</v>
      </c>
      <c r="E364" s="2">
        <v>557</v>
      </c>
      <c r="F364" s="2">
        <v>32441</v>
      </c>
      <c r="G364" s="2">
        <v>2.0507876700000001</v>
      </c>
      <c r="H364" s="2">
        <v>2.676491E-3</v>
      </c>
      <c r="I364" s="2" t="s">
        <v>25644</v>
      </c>
      <c r="J364" s="2" t="s">
        <v>25645</v>
      </c>
      <c r="K364" s="2">
        <v>3.5701537999999998E-2</v>
      </c>
      <c r="L364" s="2" t="s">
        <v>35</v>
      </c>
      <c r="M364" s="4" t="s">
        <v>25646</v>
      </c>
    </row>
    <row r="365" spans="1:13">
      <c r="A365" s="2">
        <v>3291</v>
      </c>
      <c r="B365" s="2" t="s">
        <v>25647</v>
      </c>
      <c r="C365" s="2">
        <v>7</v>
      </c>
      <c r="D365" s="2">
        <v>568</v>
      </c>
      <c r="E365" s="2">
        <v>101</v>
      </c>
      <c r="F365" s="2">
        <v>32441</v>
      </c>
      <c r="G365" s="2">
        <v>3.9584263000000002</v>
      </c>
      <c r="H365" s="2">
        <v>2.6914590000000002E-3</v>
      </c>
      <c r="I365" s="2" t="s">
        <v>25648</v>
      </c>
      <c r="J365" s="2" t="s">
        <v>25649</v>
      </c>
      <c r="K365" s="2">
        <v>3.5800915000000003E-2</v>
      </c>
      <c r="L365" s="2" t="s">
        <v>35</v>
      </c>
      <c r="M365" s="4" t="s">
        <v>25650</v>
      </c>
    </row>
    <row r="366" spans="1:13">
      <c r="A366" s="2">
        <v>4187</v>
      </c>
      <c r="B366" s="2" t="s">
        <v>25651</v>
      </c>
      <c r="C366" s="2">
        <v>11</v>
      </c>
      <c r="D366" s="2">
        <v>568</v>
      </c>
      <c r="E366" s="2">
        <v>225</v>
      </c>
      <c r="F366" s="2">
        <v>32441</v>
      </c>
      <c r="G366" s="2">
        <v>2.7922613460000001</v>
      </c>
      <c r="H366" s="2">
        <v>2.7750919999999998E-3</v>
      </c>
      <c r="I366" s="2" t="s">
        <v>25652</v>
      </c>
      <c r="J366" s="2" t="s">
        <v>25653</v>
      </c>
      <c r="K366" s="2">
        <v>3.6810555000000002E-2</v>
      </c>
      <c r="L366" s="2" t="s">
        <v>35</v>
      </c>
      <c r="M366" s="4" t="s">
        <v>25654</v>
      </c>
    </row>
    <row r="367" spans="1:13">
      <c r="A367" s="2">
        <v>1256</v>
      </c>
      <c r="B367" s="2" t="s">
        <v>3624</v>
      </c>
      <c r="C367" s="2">
        <v>29</v>
      </c>
      <c r="D367" s="2">
        <v>568</v>
      </c>
      <c r="E367" s="2">
        <v>933</v>
      </c>
      <c r="F367" s="2">
        <v>32441</v>
      </c>
      <c r="G367" s="2">
        <v>1.7752611599999999</v>
      </c>
      <c r="H367" s="2">
        <v>2.789503E-3</v>
      </c>
      <c r="I367" s="2" t="s">
        <v>25655</v>
      </c>
      <c r="J367" s="2" t="s">
        <v>25656</v>
      </c>
      <c r="K367" s="2">
        <v>3.6853596000000002E-2</v>
      </c>
      <c r="L367" s="2" t="s">
        <v>35</v>
      </c>
      <c r="M367" s="4" t="s">
        <v>3627</v>
      </c>
    </row>
    <row r="368" spans="1:13">
      <c r="A368" s="2">
        <v>3991</v>
      </c>
      <c r="B368" s="2" t="s">
        <v>436</v>
      </c>
      <c r="C368" s="2">
        <v>17</v>
      </c>
      <c r="D368" s="2">
        <v>568</v>
      </c>
      <c r="E368" s="2">
        <v>442</v>
      </c>
      <c r="F368" s="2">
        <v>32441</v>
      </c>
      <c r="G368" s="2">
        <v>2.1967091010000002</v>
      </c>
      <c r="H368" s="2">
        <v>2.7938149999999998E-3</v>
      </c>
      <c r="I368" s="2" t="s">
        <v>25657</v>
      </c>
      <c r="J368" s="2" t="s">
        <v>25658</v>
      </c>
      <c r="K368" s="2">
        <v>3.6853596000000002E-2</v>
      </c>
      <c r="L368" s="2" t="s">
        <v>35</v>
      </c>
      <c r="M368" s="4" t="s">
        <v>25659</v>
      </c>
    </row>
    <row r="369" spans="1:13">
      <c r="A369" s="2">
        <v>2669</v>
      </c>
      <c r="B369" s="2" t="s">
        <v>25660</v>
      </c>
      <c r="C369" s="2">
        <v>7</v>
      </c>
      <c r="D369" s="2">
        <v>568</v>
      </c>
      <c r="E369" s="2">
        <v>102</v>
      </c>
      <c r="F369" s="2">
        <v>32441</v>
      </c>
      <c r="G369" s="2">
        <v>3.9196181989999999</v>
      </c>
      <c r="H369" s="2">
        <v>2.8344609999999999E-3</v>
      </c>
      <c r="I369" s="2" t="s">
        <v>25661</v>
      </c>
      <c r="J369" s="2" t="s">
        <v>25662</v>
      </c>
      <c r="K369" s="2">
        <v>3.7286469000000003E-2</v>
      </c>
      <c r="L369" s="2" t="s">
        <v>35</v>
      </c>
      <c r="M369" s="4" t="s">
        <v>25663</v>
      </c>
    </row>
    <row r="370" spans="1:13">
      <c r="A370" s="2">
        <v>85</v>
      </c>
      <c r="B370" s="2" t="s">
        <v>25664</v>
      </c>
      <c r="C370" s="2">
        <v>3</v>
      </c>
      <c r="D370" s="2">
        <v>568</v>
      </c>
      <c r="E370" s="2">
        <v>14</v>
      </c>
      <c r="F370" s="2">
        <v>32441</v>
      </c>
      <c r="G370" s="2">
        <v>12.238807850000001</v>
      </c>
      <c r="H370" s="2">
        <v>2.879202E-3</v>
      </c>
      <c r="I370" s="2" t="s">
        <v>25665</v>
      </c>
      <c r="J370" s="2" t="s">
        <v>25666</v>
      </c>
      <c r="K370" s="2">
        <v>3.7563724999999999E-2</v>
      </c>
      <c r="L370" s="2" t="s">
        <v>35</v>
      </c>
      <c r="M370" s="4" t="s">
        <v>25667</v>
      </c>
    </row>
    <row r="371" spans="1:13">
      <c r="A371" s="2">
        <v>658</v>
      </c>
      <c r="B371" s="2" t="s">
        <v>25668</v>
      </c>
      <c r="C371" s="2">
        <v>3</v>
      </c>
      <c r="D371" s="2">
        <v>568</v>
      </c>
      <c r="E371" s="2">
        <v>14</v>
      </c>
      <c r="F371" s="2">
        <v>32441</v>
      </c>
      <c r="G371" s="2">
        <v>12.238807850000001</v>
      </c>
      <c r="H371" s="2">
        <v>2.879202E-3</v>
      </c>
      <c r="I371" s="2" t="s">
        <v>25669</v>
      </c>
      <c r="J371" s="2" t="s">
        <v>25670</v>
      </c>
      <c r="K371" s="2">
        <v>3.7563724999999999E-2</v>
      </c>
      <c r="L371" s="2" t="s">
        <v>35</v>
      </c>
      <c r="M371" s="4" t="s">
        <v>25671</v>
      </c>
    </row>
    <row r="372" spans="1:13">
      <c r="A372" s="2">
        <v>3436</v>
      </c>
      <c r="B372" s="2" t="s">
        <v>5491</v>
      </c>
      <c r="C372" s="2">
        <v>11</v>
      </c>
      <c r="D372" s="2">
        <v>568</v>
      </c>
      <c r="E372" s="2">
        <v>226</v>
      </c>
      <c r="F372" s="2">
        <v>32441</v>
      </c>
      <c r="G372" s="2">
        <v>2.7799062069999998</v>
      </c>
      <c r="H372" s="2">
        <v>2.8662980000000002E-3</v>
      </c>
      <c r="I372" s="2" t="s">
        <v>25672</v>
      </c>
      <c r="J372" s="2" t="s">
        <v>25673</v>
      </c>
      <c r="K372" s="2">
        <v>3.7563724999999999E-2</v>
      </c>
      <c r="L372" s="2" t="s">
        <v>35</v>
      </c>
      <c r="M372" s="4" t="s">
        <v>5494</v>
      </c>
    </row>
    <row r="373" spans="1:13">
      <c r="A373" s="2">
        <v>2736</v>
      </c>
      <c r="B373" s="2" t="s">
        <v>5071</v>
      </c>
      <c r="C373" s="2">
        <v>6</v>
      </c>
      <c r="D373" s="2">
        <v>568</v>
      </c>
      <c r="E373" s="2">
        <v>76</v>
      </c>
      <c r="F373" s="2">
        <v>32441</v>
      </c>
      <c r="G373" s="2">
        <v>4.5090344699999996</v>
      </c>
      <c r="H373" s="2">
        <v>2.9345059999999999E-3</v>
      </c>
      <c r="I373" s="2" t="s">
        <v>25674</v>
      </c>
      <c r="J373" s="2" t="s">
        <v>25675</v>
      </c>
      <c r="K373" s="2">
        <v>3.8180645999999999E-2</v>
      </c>
      <c r="L373" s="2" t="s">
        <v>35</v>
      </c>
      <c r="M373" s="4" t="s">
        <v>5074</v>
      </c>
    </row>
    <row r="374" spans="1:13">
      <c r="A374" s="2">
        <v>102</v>
      </c>
      <c r="B374" s="2" t="s">
        <v>25676</v>
      </c>
      <c r="C374" s="2">
        <v>5</v>
      </c>
      <c r="D374" s="2">
        <v>568</v>
      </c>
      <c r="E374" s="2">
        <v>52</v>
      </c>
      <c r="F374" s="2">
        <v>32441</v>
      </c>
      <c r="G374" s="2">
        <v>5.4917727520000001</v>
      </c>
      <c r="H374" s="2">
        <v>2.9717089999999999E-3</v>
      </c>
      <c r="I374" s="2" t="s">
        <v>25677</v>
      </c>
      <c r="J374" s="2" t="s">
        <v>25678</v>
      </c>
      <c r="K374" s="2">
        <v>3.8454562999999997E-2</v>
      </c>
      <c r="L374" s="2" t="s">
        <v>35</v>
      </c>
      <c r="M374" s="4" t="s">
        <v>25679</v>
      </c>
    </row>
    <row r="375" spans="1:13">
      <c r="A375" s="2">
        <v>603</v>
      </c>
      <c r="B375" s="2" t="s">
        <v>5007</v>
      </c>
      <c r="C375" s="2">
        <v>5</v>
      </c>
      <c r="D375" s="2">
        <v>568</v>
      </c>
      <c r="E375" s="2">
        <v>52</v>
      </c>
      <c r="F375" s="2">
        <v>32441</v>
      </c>
      <c r="G375" s="2">
        <v>5.4917727520000001</v>
      </c>
      <c r="H375" s="2">
        <v>2.9717089999999999E-3</v>
      </c>
      <c r="I375" s="2" t="s">
        <v>25680</v>
      </c>
      <c r="J375" s="2" t="s">
        <v>25681</v>
      </c>
      <c r="K375" s="2">
        <v>3.8454562999999997E-2</v>
      </c>
      <c r="L375" s="2" t="s">
        <v>35</v>
      </c>
      <c r="M375" s="4" t="s">
        <v>5010</v>
      </c>
    </row>
    <row r="376" spans="1:13">
      <c r="A376" s="2">
        <v>2202</v>
      </c>
      <c r="B376" s="2" t="s">
        <v>25682</v>
      </c>
      <c r="C376" s="2">
        <v>7</v>
      </c>
      <c r="D376" s="2">
        <v>568</v>
      </c>
      <c r="E376" s="2">
        <v>103</v>
      </c>
      <c r="F376" s="2">
        <v>32441</v>
      </c>
      <c r="G376" s="2">
        <v>3.8815636539999998</v>
      </c>
      <c r="H376" s="2">
        <v>2.9832119999999998E-3</v>
      </c>
      <c r="I376" s="2" t="s">
        <v>25683</v>
      </c>
      <c r="J376" s="2" t="s">
        <v>25684</v>
      </c>
      <c r="K376" s="2">
        <v>3.8498797000000001E-2</v>
      </c>
      <c r="L376" s="2" t="s">
        <v>35</v>
      </c>
      <c r="M376" s="4" t="s">
        <v>25685</v>
      </c>
    </row>
    <row r="377" spans="1:13">
      <c r="A377" s="2">
        <v>4609</v>
      </c>
      <c r="B377" s="2" t="s">
        <v>25686</v>
      </c>
      <c r="C377" s="2">
        <v>25</v>
      </c>
      <c r="D377" s="2">
        <v>568</v>
      </c>
      <c r="E377" s="2">
        <v>770</v>
      </c>
      <c r="F377" s="2">
        <v>32441</v>
      </c>
      <c r="G377" s="2">
        <v>1.854364825</v>
      </c>
      <c r="H377" s="2">
        <v>3.1075650000000001E-3</v>
      </c>
      <c r="I377" s="2" t="s">
        <v>25687</v>
      </c>
      <c r="J377" s="2" t="s">
        <v>25688</v>
      </c>
      <c r="K377" s="2">
        <v>3.9995203E-2</v>
      </c>
      <c r="L377" s="2" t="s">
        <v>35</v>
      </c>
      <c r="M377" s="4" t="s">
        <v>25689</v>
      </c>
    </row>
    <row r="378" spans="1:13">
      <c r="A378" s="2">
        <v>3748</v>
      </c>
      <c r="B378" s="2" t="s">
        <v>25690</v>
      </c>
      <c r="C378" s="2">
        <v>13</v>
      </c>
      <c r="D378" s="2">
        <v>568</v>
      </c>
      <c r="E378" s="2">
        <v>299</v>
      </c>
      <c r="F378" s="2">
        <v>32441</v>
      </c>
      <c r="G378" s="2">
        <v>2.4832363750000002</v>
      </c>
      <c r="H378" s="2">
        <v>3.183983E-3</v>
      </c>
      <c r="I378" s="2" t="s">
        <v>25691</v>
      </c>
      <c r="J378" s="2" t="s">
        <v>25692</v>
      </c>
      <c r="K378" s="2">
        <v>4.0781675000000003E-2</v>
      </c>
      <c r="L378" s="2" t="s">
        <v>35</v>
      </c>
      <c r="M378" s="4" t="s">
        <v>25693</v>
      </c>
    </row>
    <row r="379" spans="1:13">
      <c r="A379" s="2">
        <v>4537</v>
      </c>
      <c r="B379" s="2" t="s">
        <v>5433</v>
      </c>
      <c r="C379" s="2">
        <v>17</v>
      </c>
      <c r="D379" s="2">
        <v>568</v>
      </c>
      <c r="E379" s="2">
        <v>448</v>
      </c>
      <c r="F379" s="2">
        <v>32441</v>
      </c>
      <c r="G379" s="2">
        <v>2.16728889</v>
      </c>
      <c r="H379" s="2">
        <v>3.1858009999999998E-3</v>
      </c>
      <c r="I379" s="2" t="s">
        <v>25694</v>
      </c>
      <c r="J379" s="2" t="s">
        <v>25695</v>
      </c>
      <c r="K379" s="2">
        <v>4.0781675000000003E-2</v>
      </c>
      <c r="L379" s="2" t="s">
        <v>35</v>
      </c>
      <c r="M379" s="4" t="s">
        <v>5436</v>
      </c>
    </row>
    <row r="380" spans="1:13">
      <c r="A380" s="2">
        <v>550</v>
      </c>
      <c r="B380" s="2" t="s">
        <v>25696</v>
      </c>
      <c r="C380" s="2">
        <v>5</v>
      </c>
      <c r="D380" s="2">
        <v>568</v>
      </c>
      <c r="E380" s="2">
        <v>53</v>
      </c>
      <c r="F380" s="2">
        <v>32441</v>
      </c>
      <c r="G380" s="2">
        <v>5.3881543980000002</v>
      </c>
      <c r="H380" s="2">
        <v>3.2068370000000001E-3</v>
      </c>
      <c r="I380" s="2" t="s">
        <v>25697</v>
      </c>
      <c r="J380" s="2" t="s">
        <v>25698</v>
      </c>
      <c r="K380" s="2">
        <v>4.0831436999999998E-2</v>
      </c>
      <c r="L380" s="2" t="s">
        <v>35</v>
      </c>
      <c r="M380" s="4" t="s">
        <v>25699</v>
      </c>
    </row>
    <row r="381" spans="1:13">
      <c r="A381" s="2">
        <v>1154</v>
      </c>
      <c r="B381" s="2" t="s">
        <v>25700</v>
      </c>
      <c r="C381" s="2">
        <v>5</v>
      </c>
      <c r="D381" s="2">
        <v>568</v>
      </c>
      <c r="E381" s="2">
        <v>53</v>
      </c>
      <c r="F381" s="2">
        <v>32441</v>
      </c>
      <c r="G381" s="2">
        <v>5.3881543980000002</v>
      </c>
      <c r="H381" s="2">
        <v>3.2068370000000001E-3</v>
      </c>
      <c r="I381" s="2" t="s">
        <v>25121</v>
      </c>
      <c r="J381" s="2" t="s">
        <v>25122</v>
      </c>
      <c r="K381" s="2">
        <v>4.0831436999999998E-2</v>
      </c>
      <c r="L381" s="2" t="s">
        <v>35</v>
      </c>
      <c r="M381" s="4" t="s">
        <v>25701</v>
      </c>
    </row>
    <row r="382" spans="1:13">
      <c r="A382" s="2">
        <v>560</v>
      </c>
      <c r="B382" s="2" t="s">
        <v>25702</v>
      </c>
      <c r="C382" s="2">
        <v>7</v>
      </c>
      <c r="D382" s="2">
        <v>568</v>
      </c>
      <c r="E382" s="2">
        <v>105</v>
      </c>
      <c r="F382" s="2">
        <v>32441</v>
      </c>
      <c r="G382" s="2">
        <v>3.807629108</v>
      </c>
      <c r="H382" s="2">
        <v>3.2985620000000001E-3</v>
      </c>
      <c r="I382" s="2" t="s">
        <v>25703</v>
      </c>
      <c r="J382" s="2" t="s">
        <v>25704</v>
      </c>
      <c r="K382" s="2">
        <v>4.1594447999999999E-2</v>
      </c>
      <c r="L382" s="2" t="s">
        <v>35</v>
      </c>
      <c r="M382" s="4" t="s">
        <v>25705</v>
      </c>
    </row>
    <row r="383" spans="1:13">
      <c r="A383" s="2">
        <v>872</v>
      </c>
      <c r="B383" s="2" t="s">
        <v>25706</v>
      </c>
      <c r="C383" s="2">
        <v>7</v>
      </c>
      <c r="D383" s="2">
        <v>568</v>
      </c>
      <c r="E383" s="2">
        <v>105</v>
      </c>
      <c r="F383" s="2">
        <v>32441</v>
      </c>
      <c r="G383" s="2">
        <v>3.807629108</v>
      </c>
      <c r="H383" s="2">
        <v>3.2985620000000001E-3</v>
      </c>
      <c r="I383" s="2" t="s">
        <v>25707</v>
      </c>
      <c r="J383" s="2" t="s">
        <v>25708</v>
      </c>
      <c r="K383" s="2">
        <v>4.1594447999999999E-2</v>
      </c>
      <c r="L383" s="2" t="s">
        <v>35</v>
      </c>
      <c r="M383" s="4" t="s">
        <v>25709</v>
      </c>
    </row>
    <row r="384" spans="1:13">
      <c r="A384" s="2">
        <v>1006</v>
      </c>
      <c r="B384" s="2" t="s">
        <v>5602</v>
      </c>
      <c r="C384" s="2">
        <v>4</v>
      </c>
      <c r="D384" s="2">
        <v>568</v>
      </c>
      <c r="E384" s="2">
        <v>32</v>
      </c>
      <c r="F384" s="2">
        <v>32441</v>
      </c>
      <c r="G384" s="2">
        <v>7.1393045769999999</v>
      </c>
      <c r="H384" s="2">
        <v>3.3029589999999998E-3</v>
      </c>
      <c r="I384" s="2" t="s">
        <v>25710</v>
      </c>
      <c r="J384" s="2" t="s">
        <v>25711</v>
      </c>
      <c r="K384" s="2">
        <v>4.1594447999999999E-2</v>
      </c>
      <c r="L384" s="2" t="s">
        <v>35</v>
      </c>
      <c r="M384" s="4" t="s">
        <v>5605</v>
      </c>
    </row>
    <row r="385" spans="1:13">
      <c r="A385" s="2">
        <v>2026</v>
      </c>
      <c r="B385" s="2" t="s">
        <v>5755</v>
      </c>
      <c r="C385" s="2">
        <v>8</v>
      </c>
      <c r="D385" s="2">
        <v>568</v>
      </c>
      <c r="E385" s="2">
        <v>134</v>
      </c>
      <c r="F385" s="2">
        <v>32441</v>
      </c>
      <c r="G385" s="2">
        <v>3.4098171119999998</v>
      </c>
      <c r="H385" s="2">
        <v>3.287342E-3</v>
      </c>
      <c r="I385" s="2" t="s">
        <v>25712</v>
      </c>
      <c r="J385" s="2" t="s">
        <v>25713</v>
      </c>
      <c r="K385" s="2">
        <v>4.1594447999999999E-2</v>
      </c>
      <c r="L385" s="2" t="s">
        <v>35</v>
      </c>
      <c r="M385" s="4" t="s">
        <v>5758</v>
      </c>
    </row>
    <row r="386" spans="1:13">
      <c r="A386" s="2">
        <v>2420</v>
      </c>
      <c r="B386" s="2" t="s">
        <v>4529</v>
      </c>
      <c r="C386" s="2">
        <v>9</v>
      </c>
      <c r="D386" s="2">
        <v>568</v>
      </c>
      <c r="E386" s="2">
        <v>165</v>
      </c>
      <c r="F386" s="2">
        <v>32441</v>
      </c>
      <c r="G386" s="2">
        <v>3.115332907</v>
      </c>
      <c r="H386" s="2">
        <v>3.3191710000000001E-3</v>
      </c>
      <c r="I386" s="2" t="s">
        <v>25714</v>
      </c>
      <c r="J386" s="2" t="s">
        <v>25715</v>
      </c>
      <c r="K386" s="2">
        <v>4.1594447999999999E-2</v>
      </c>
      <c r="L386" s="2" t="s">
        <v>35</v>
      </c>
      <c r="M386" s="4" t="s">
        <v>4532</v>
      </c>
    </row>
    <row r="387" spans="1:13">
      <c r="A387" s="2">
        <v>3170</v>
      </c>
      <c r="B387" s="2" t="s">
        <v>25716</v>
      </c>
      <c r="C387" s="2">
        <v>9</v>
      </c>
      <c r="D387" s="2">
        <v>568</v>
      </c>
      <c r="E387" s="2">
        <v>165</v>
      </c>
      <c r="F387" s="2">
        <v>32441</v>
      </c>
      <c r="G387" s="2">
        <v>3.115332907</v>
      </c>
      <c r="H387" s="2">
        <v>3.3191710000000001E-3</v>
      </c>
      <c r="I387" s="2" t="s">
        <v>25717</v>
      </c>
      <c r="J387" s="2" t="s">
        <v>25718</v>
      </c>
      <c r="K387" s="2">
        <v>4.1594447999999999E-2</v>
      </c>
      <c r="L387" s="2" t="s">
        <v>35</v>
      </c>
      <c r="M387" s="4" t="s">
        <v>25719</v>
      </c>
    </row>
    <row r="388" spans="1:13">
      <c r="A388" s="2">
        <v>2746</v>
      </c>
      <c r="B388" s="2" t="s">
        <v>25720</v>
      </c>
      <c r="C388" s="2">
        <v>14</v>
      </c>
      <c r="D388" s="2">
        <v>568</v>
      </c>
      <c r="E388" s="2">
        <v>337</v>
      </c>
      <c r="F388" s="2">
        <v>32441</v>
      </c>
      <c r="G388" s="2">
        <v>2.3727065660000002</v>
      </c>
      <c r="H388" s="2">
        <v>3.3349709999999999E-3</v>
      </c>
      <c r="I388" s="2" t="s">
        <v>25721</v>
      </c>
      <c r="J388" s="2" t="s">
        <v>25722</v>
      </c>
      <c r="K388" s="2">
        <v>4.1682756000000001E-2</v>
      </c>
      <c r="L388" s="2" t="s">
        <v>35</v>
      </c>
      <c r="M388" s="4" t="s">
        <v>25723</v>
      </c>
    </row>
    <row r="389" spans="1:13">
      <c r="A389" s="2">
        <v>275</v>
      </c>
      <c r="B389" s="2" t="s">
        <v>25724</v>
      </c>
      <c r="C389" s="2">
        <v>3</v>
      </c>
      <c r="D389" s="2">
        <v>568</v>
      </c>
      <c r="E389" s="2">
        <v>15</v>
      </c>
      <c r="F389" s="2">
        <v>32441</v>
      </c>
      <c r="G389" s="2">
        <v>11.422887319999999</v>
      </c>
      <c r="H389" s="2">
        <v>3.4112180000000001E-3</v>
      </c>
      <c r="I389" s="2" t="s">
        <v>25725</v>
      </c>
      <c r="J389" s="2" t="s">
        <v>25726</v>
      </c>
      <c r="K389" s="2">
        <v>4.2413113000000002E-2</v>
      </c>
      <c r="L389" s="2" t="s">
        <v>35</v>
      </c>
      <c r="M389" s="4" t="s">
        <v>25727</v>
      </c>
    </row>
    <row r="390" spans="1:13">
      <c r="A390" s="2">
        <v>1048</v>
      </c>
      <c r="B390" s="2" t="s">
        <v>25728</v>
      </c>
      <c r="C390" s="2">
        <v>3</v>
      </c>
      <c r="D390" s="2">
        <v>568</v>
      </c>
      <c r="E390" s="2">
        <v>15</v>
      </c>
      <c r="F390" s="2">
        <v>32441</v>
      </c>
      <c r="G390" s="2">
        <v>11.422887319999999</v>
      </c>
      <c r="H390" s="2">
        <v>3.4112180000000001E-3</v>
      </c>
      <c r="I390" s="2" t="s">
        <v>25729</v>
      </c>
      <c r="J390" s="2" t="s">
        <v>25730</v>
      </c>
      <c r="K390" s="2">
        <v>4.2413113000000002E-2</v>
      </c>
      <c r="L390" s="2" t="s">
        <v>35</v>
      </c>
      <c r="M390" s="4" t="s">
        <v>25731</v>
      </c>
    </row>
    <row r="391" spans="1:13">
      <c r="A391" s="2">
        <v>4538</v>
      </c>
      <c r="B391" s="2" t="s">
        <v>25732</v>
      </c>
      <c r="C391" s="2">
        <v>20</v>
      </c>
      <c r="D391" s="2">
        <v>568</v>
      </c>
      <c r="E391" s="2">
        <v>570</v>
      </c>
      <c r="F391" s="2">
        <v>32441</v>
      </c>
      <c r="G391" s="2">
        <v>2.0040153200000002</v>
      </c>
      <c r="H391" s="2">
        <v>3.4341739999999999E-3</v>
      </c>
      <c r="I391" s="2" t="s">
        <v>25733</v>
      </c>
      <c r="J391" s="2" t="s">
        <v>25734</v>
      </c>
      <c r="K391" s="2">
        <v>4.2587337000000003E-2</v>
      </c>
      <c r="L391" s="2" t="s">
        <v>35</v>
      </c>
      <c r="M391" s="4" t="s">
        <v>25735</v>
      </c>
    </row>
    <row r="392" spans="1:13">
      <c r="A392" s="2">
        <v>3052</v>
      </c>
      <c r="B392" s="2" t="s">
        <v>25736</v>
      </c>
      <c r="C392" s="2">
        <v>5</v>
      </c>
      <c r="D392" s="2">
        <v>568</v>
      </c>
      <c r="E392" s="2">
        <v>54</v>
      </c>
      <c r="F392" s="2">
        <v>32441</v>
      </c>
      <c r="G392" s="2">
        <v>5.2883737609999999</v>
      </c>
      <c r="H392" s="2">
        <v>3.455067E-3</v>
      </c>
      <c r="I392" s="2" t="s">
        <v>25737</v>
      </c>
      <c r="J392" s="2" t="s">
        <v>25738</v>
      </c>
      <c r="K392" s="2">
        <v>4.2735135E-2</v>
      </c>
      <c r="L392" s="2" t="s">
        <v>35</v>
      </c>
      <c r="M392" s="4" t="s">
        <v>25739</v>
      </c>
    </row>
    <row r="393" spans="1:13">
      <c r="A393" s="2">
        <v>1658</v>
      </c>
      <c r="B393" s="2" t="s">
        <v>5801</v>
      </c>
      <c r="C393" s="2">
        <v>10</v>
      </c>
      <c r="D393" s="2">
        <v>568</v>
      </c>
      <c r="E393" s="2">
        <v>199</v>
      </c>
      <c r="F393" s="2">
        <v>32441</v>
      </c>
      <c r="G393" s="2">
        <v>2.8700721919999999</v>
      </c>
      <c r="H393" s="2">
        <v>3.5294599999999999E-3</v>
      </c>
      <c r="I393" s="2" t="s">
        <v>25740</v>
      </c>
      <c r="J393" s="2" t="s">
        <v>25741</v>
      </c>
      <c r="K393" s="2">
        <v>4.3542203000000002E-2</v>
      </c>
      <c r="L393" s="2" t="s">
        <v>35</v>
      </c>
      <c r="M393" s="4" t="s">
        <v>5804</v>
      </c>
    </row>
    <row r="394" spans="1:13">
      <c r="A394" s="2">
        <v>1512</v>
      </c>
      <c r="B394" s="2" t="s">
        <v>5827</v>
      </c>
      <c r="C394" s="2">
        <v>11</v>
      </c>
      <c r="D394" s="2">
        <v>568</v>
      </c>
      <c r="E394" s="2">
        <v>233</v>
      </c>
      <c r="F394" s="2">
        <v>32441</v>
      </c>
      <c r="G394" s="2">
        <v>2.6963897120000002</v>
      </c>
      <c r="H394" s="2">
        <v>3.5744840000000002E-3</v>
      </c>
      <c r="I394" s="2" t="s">
        <v>25742</v>
      </c>
      <c r="J394" s="2" t="s">
        <v>25743</v>
      </c>
      <c r="K394" s="2">
        <v>4.3814665000000003E-2</v>
      </c>
      <c r="L394" s="2" t="s">
        <v>35</v>
      </c>
      <c r="M394" s="4" t="s">
        <v>5830</v>
      </c>
    </row>
    <row r="395" spans="1:13">
      <c r="A395" s="2">
        <v>1607</v>
      </c>
      <c r="B395" s="2" t="s">
        <v>25744</v>
      </c>
      <c r="C395" s="2">
        <v>9</v>
      </c>
      <c r="D395" s="2">
        <v>568</v>
      </c>
      <c r="E395" s="2">
        <v>167</v>
      </c>
      <c r="F395" s="2">
        <v>32441</v>
      </c>
      <c r="G395" s="2">
        <v>3.0780235299999998</v>
      </c>
      <c r="H395" s="2">
        <v>3.5791479999999999E-3</v>
      </c>
      <c r="I395" s="2" t="s">
        <v>25745</v>
      </c>
      <c r="J395" s="2" t="s">
        <v>25746</v>
      </c>
      <c r="K395" s="2">
        <v>4.3814665000000003E-2</v>
      </c>
      <c r="L395" s="2" t="s">
        <v>35</v>
      </c>
      <c r="M395" s="4" t="s">
        <v>25747</v>
      </c>
    </row>
    <row r="396" spans="1:13">
      <c r="A396" s="2">
        <v>2316</v>
      </c>
      <c r="B396" s="2" t="s">
        <v>25748</v>
      </c>
      <c r="C396" s="2">
        <v>9</v>
      </c>
      <c r="D396" s="2">
        <v>568</v>
      </c>
      <c r="E396" s="2">
        <v>167</v>
      </c>
      <c r="F396" s="2">
        <v>32441</v>
      </c>
      <c r="G396" s="2">
        <v>3.0780235299999998</v>
      </c>
      <c r="H396" s="2">
        <v>3.5791479999999999E-3</v>
      </c>
      <c r="I396" s="2" t="s">
        <v>25749</v>
      </c>
      <c r="J396" s="2" t="s">
        <v>25750</v>
      </c>
      <c r="K396" s="2">
        <v>4.3814665000000003E-2</v>
      </c>
      <c r="L396" s="2" t="s">
        <v>35</v>
      </c>
      <c r="M396" s="4" t="s">
        <v>25751</v>
      </c>
    </row>
    <row r="397" spans="1:13">
      <c r="A397" s="2">
        <v>627</v>
      </c>
      <c r="B397" s="2" t="s">
        <v>25752</v>
      </c>
      <c r="C397" s="2">
        <v>4</v>
      </c>
      <c r="D397" s="2">
        <v>568</v>
      </c>
      <c r="E397" s="2">
        <v>33</v>
      </c>
      <c r="F397" s="2">
        <v>32441</v>
      </c>
      <c r="G397" s="2">
        <v>6.9229620150000004</v>
      </c>
      <c r="H397" s="2">
        <v>3.653632E-3</v>
      </c>
      <c r="I397" s="2" t="s">
        <v>25753</v>
      </c>
      <c r="J397" s="2" t="s">
        <v>25754</v>
      </c>
      <c r="K397" s="2">
        <v>4.4611781000000003E-2</v>
      </c>
      <c r="L397" s="2" t="s">
        <v>35</v>
      </c>
      <c r="M397" s="4" t="s">
        <v>25755</v>
      </c>
    </row>
    <row r="398" spans="1:13">
      <c r="A398" s="2">
        <v>483</v>
      </c>
      <c r="B398" s="2" t="s">
        <v>25756</v>
      </c>
      <c r="C398" s="2">
        <v>6</v>
      </c>
      <c r="D398" s="2">
        <v>568</v>
      </c>
      <c r="E398" s="2">
        <v>80</v>
      </c>
      <c r="F398" s="2">
        <v>32441</v>
      </c>
      <c r="G398" s="2">
        <v>4.2835827460000004</v>
      </c>
      <c r="H398" s="2">
        <v>3.720484E-3</v>
      </c>
      <c r="I398" s="2" t="s">
        <v>25757</v>
      </c>
      <c r="J398" s="2" t="s">
        <v>25758</v>
      </c>
      <c r="K398" s="2">
        <v>4.5196284000000003E-2</v>
      </c>
      <c r="L398" s="2" t="s">
        <v>35</v>
      </c>
      <c r="M398" s="4" t="s">
        <v>25759</v>
      </c>
    </row>
    <row r="399" spans="1:13">
      <c r="A399" s="2">
        <v>1706</v>
      </c>
      <c r="B399" s="2" t="s">
        <v>25760</v>
      </c>
      <c r="C399" s="2">
        <v>5</v>
      </c>
      <c r="D399" s="2">
        <v>568</v>
      </c>
      <c r="E399" s="2">
        <v>55</v>
      </c>
      <c r="F399" s="2">
        <v>32441</v>
      </c>
      <c r="G399" s="2">
        <v>5.1922215109999996</v>
      </c>
      <c r="H399" s="2">
        <v>3.7167989999999998E-3</v>
      </c>
      <c r="I399" s="2" t="s">
        <v>25761</v>
      </c>
      <c r="J399" s="2" t="s">
        <v>25762</v>
      </c>
      <c r="K399" s="2">
        <v>4.5196284000000003E-2</v>
      </c>
      <c r="L399" s="2" t="s">
        <v>35</v>
      </c>
      <c r="M399" s="4" t="s">
        <v>25763</v>
      </c>
    </row>
    <row r="400" spans="1:13">
      <c r="A400" s="2">
        <v>1918</v>
      </c>
      <c r="B400" s="2" t="s">
        <v>5767</v>
      </c>
      <c r="C400" s="2">
        <v>34</v>
      </c>
      <c r="D400" s="2">
        <v>568</v>
      </c>
      <c r="E400" s="2">
        <v>1174</v>
      </c>
      <c r="F400" s="2">
        <v>32441</v>
      </c>
      <c r="G400" s="2">
        <v>1.6540807879999999</v>
      </c>
      <c r="H400" s="2">
        <v>3.7469370000000001E-3</v>
      </c>
      <c r="I400" s="2" t="s">
        <v>25764</v>
      </c>
      <c r="J400" s="2" t="s">
        <v>25765</v>
      </c>
      <c r="K400" s="2">
        <v>4.5401812999999999E-2</v>
      </c>
      <c r="L400" s="2" t="s">
        <v>35</v>
      </c>
      <c r="M400" s="4" t="s">
        <v>5770</v>
      </c>
    </row>
    <row r="401" spans="1:13">
      <c r="A401" s="2">
        <v>1272</v>
      </c>
      <c r="B401" s="2" t="s">
        <v>4094</v>
      </c>
      <c r="C401" s="2">
        <v>12</v>
      </c>
      <c r="D401" s="2">
        <v>568</v>
      </c>
      <c r="E401" s="2">
        <v>270</v>
      </c>
      <c r="F401" s="2">
        <v>32441</v>
      </c>
      <c r="G401" s="2">
        <v>2.538419405</v>
      </c>
      <c r="H401" s="2">
        <v>3.8167169999999999E-3</v>
      </c>
      <c r="I401" s="2" t="s">
        <v>25766</v>
      </c>
      <c r="J401" s="2" t="s">
        <v>25767</v>
      </c>
      <c r="K401" s="2">
        <v>4.6129965000000002E-2</v>
      </c>
      <c r="L401" s="2" t="s">
        <v>35</v>
      </c>
      <c r="M401" s="4" t="s">
        <v>4097</v>
      </c>
    </row>
    <row r="402" spans="1:13">
      <c r="A402" s="2">
        <v>2472</v>
      </c>
      <c r="B402" s="2" t="s">
        <v>25768</v>
      </c>
      <c r="C402" s="2">
        <v>6</v>
      </c>
      <c r="D402" s="2">
        <v>568</v>
      </c>
      <c r="E402" s="2">
        <v>81</v>
      </c>
      <c r="F402" s="2">
        <v>32441</v>
      </c>
      <c r="G402" s="2">
        <v>4.2306990090000003</v>
      </c>
      <c r="H402" s="2">
        <v>3.9392400000000001E-3</v>
      </c>
      <c r="I402" s="2" t="s">
        <v>25769</v>
      </c>
      <c r="J402" s="2" t="s">
        <v>25770</v>
      </c>
      <c r="K402" s="2">
        <v>4.7370355000000003E-2</v>
      </c>
      <c r="L402" s="2" t="s">
        <v>35</v>
      </c>
      <c r="M402" s="4" t="s">
        <v>25771</v>
      </c>
    </row>
    <row r="403" spans="1:13">
      <c r="A403" s="2">
        <v>2776</v>
      </c>
      <c r="B403" s="2" t="s">
        <v>25772</v>
      </c>
      <c r="C403" s="2">
        <v>6</v>
      </c>
      <c r="D403" s="2">
        <v>568</v>
      </c>
      <c r="E403" s="2">
        <v>81</v>
      </c>
      <c r="F403" s="2">
        <v>32441</v>
      </c>
      <c r="G403" s="2">
        <v>4.2306990090000003</v>
      </c>
      <c r="H403" s="2">
        <v>3.9392400000000001E-3</v>
      </c>
      <c r="I403" s="2" t="s">
        <v>25773</v>
      </c>
      <c r="J403" s="2" t="s">
        <v>25774</v>
      </c>
      <c r="K403" s="2">
        <v>4.7370355000000003E-2</v>
      </c>
      <c r="L403" s="2" t="s">
        <v>35</v>
      </c>
      <c r="M403" s="4" t="s">
        <v>25775</v>
      </c>
    </row>
    <row r="404" spans="1:13">
      <c r="A404" s="2">
        <v>2538</v>
      </c>
      <c r="B404" s="2" t="s">
        <v>25776</v>
      </c>
      <c r="C404" s="2">
        <v>3</v>
      </c>
      <c r="D404" s="2">
        <v>568</v>
      </c>
      <c r="E404" s="2">
        <v>16</v>
      </c>
      <c r="F404" s="2">
        <v>32441</v>
      </c>
      <c r="G404" s="2">
        <v>10.70895687</v>
      </c>
      <c r="H404" s="2">
        <v>3.9994870000000004E-3</v>
      </c>
      <c r="I404" s="2" t="s">
        <v>25777</v>
      </c>
      <c r="J404" s="2" t="s">
        <v>25778</v>
      </c>
      <c r="K404" s="2">
        <v>4.7853157E-2</v>
      </c>
      <c r="L404" s="2" t="s">
        <v>35</v>
      </c>
      <c r="M404" s="4" t="s">
        <v>25779</v>
      </c>
    </row>
    <row r="405" spans="1:13">
      <c r="A405" s="2">
        <v>2979</v>
      </c>
      <c r="B405" s="2" t="s">
        <v>25780</v>
      </c>
      <c r="C405" s="2">
        <v>5</v>
      </c>
      <c r="D405" s="2">
        <v>568</v>
      </c>
      <c r="E405" s="2">
        <v>56</v>
      </c>
      <c r="F405" s="2">
        <v>32441</v>
      </c>
      <c r="G405" s="2">
        <v>5.0995032699999996</v>
      </c>
      <c r="H405" s="2">
        <v>3.9924360000000002E-3</v>
      </c>
      <c r="I405" s="2" t="s">
        <v>25781</v>
      </c>
      <c r="J405" s="2" t="s">
        <v>25782</v>
      </c>
      <c r="K405" s="2">
        <v>4.7853157E-2</v>
      </c>
      <c r="L405" s="2" t="s">
        <v>35</v>
      </c>
      <c r="M405" s="4" t="s">
        <v>25783</v>
      </c>
    </row>
    <row r="406" spans="1:13">
      <c r="A406" s="2">
        <v>4452</v>
      </c>
      <c r="B406" s="2" t="s">
        <v>25784</v>
      </c>
      <c r="C406" s="2">
        <v>33</v>
      </c>
      <c r="D406" s="2">
        <v>568</v>
      </c>
      <c r="E406" s="2">
        <v>1137</v>
      </c>
      <c r="F406" s="2">
        <v>32441</v>
      </c>
      <c r="G406" s="2">
        <v>1.657674941</v>
      </c>
      <c r="H406" s="2">
        <v>4.1278590000000002E-3</v>
      </c>
      <c r="I406" s="2" t="s">
        <v>25785</v>
      </c>
      <c r="J406" s="2" t="s">
        <v>25786</v>
      </c>
      <c r="K406" s="2">
        <v>4.9265324999999999E-2</v>
      </c>
      <c r="L406" s="2" t="s">
        <v>35</v>
      </c>
      <c r="M406" s="4" t="s">
        <v>25787</v>
      </c>
    </row>
    <row r="407" spans="1:13">
      <c r="A407" s="2">
        <v>425</v>
      </c>
      <c r="B407" s="2" t="s">
        <v>25788</v>
      </c>
      <c r="C407" s="2">
        <v>6</v>
      </c>
      <c r="D407" s="2">
        <v>568</v>
      </c>
      <c r="E407" s="2">
        <v>82</v>
      </c>
      <c r="F407" s="2">
        <v>32441</v>
      </c>
      <c r="G407" s="2">
        <v>4.1791051189999999</v>
      </c>
      <c r="H407" s="2">
        <v>4.1673730000000003E-3</v>
      </c>
      <c r="I407" s="2" t="s">
        <v>25789</v>
      </c>
      <c r="J407" s="2" t="s">
        <v>25790</v>
      </c>
      <c r="K407" s="2">
        <v>4.9488852E-2</v>
      </c>
      <c r="L407" s="2" t="s">
        <v>35</v>
      </c>
      <c r="M407" s="4" t="s">
        <v>25791</v>
      </c>
    </row>
    <row r="408" spans="1:13">
      <c r="A408" s="2">
        <v>1594</v>
      </c>
      <c r="B408" s="2" t="s">
        <v>5354</v>
      </c>
      <c r="C408" s="2">
        <v>11</v>
      </c>
      <c r="D408" s="2">
        <v>568</v>
      </c>
      <c r="E408" s="2">
        <v>238</v>
      </c>
      <c r="F408" s="2">
        <v>32441</v>
      </c>
      <c r="G408" s="2">
        <v>2.639742869</v>
      </c>
      <c r="H408" s="2">
        <v>4.1611640000000002E-3</v>
      </c>
      <c r="I408" s="2" t="s">
        <v>25792</v>
      </c>
      <c r="J408" s="2" t="s">
        <v>25793</v>
      </c>
      <c r="K408" s="2">
        <v>4.9488852E-2</v>
      </c>
      <c r="L408" s="2" t="s">
        <v>35</v>
      </c>
      <c r="M408" s="4" t="s">
        <v>5357</v>
      </c>
    </row>
    <row r="409" spans="1:13">
      <c r="A409" s="2">
        <v>347</v>
      </c>
      <c r="B409" s="2" t="s">
        <v>2954</v>
      </c>
      <c r="C409" s="2">
        <v>43</v>
      </c>
      <c r="D409" s="2">
        <v>568</v>
      </c>
      <c r="E409" s="2">
        <v>245</v>
      </c>
      <c r="F409" s="2">
        <v>32441</v>
      </c>
      <c r="G409" s="2">
        <v>10.024166429999999</v>
      </c>
      <c r="H409" s="3">
        <v>2.0199999999999999E-27</v>
      </c>
      <c r="I409" s="2" t="s">
        <v>25794</v>
      </c>
      <c r="J409" s="2" t="s">
        <v>25795</v>
      </c>
      <c r="K409" s="3">
        <v>1.69E-24</v>
      </c>
      <c r="L409" s="2" t="s">
        <v>606</v>
      </c>
      <c r="M409" s="4" t="s">
        <v>2957</v>
      </c>
    </row>
    <row r="410" spans="1:13">
      <c r="A410" s="2">
        <v>504</v>
      </c>
      <c r="B410" s="2" t="s">
        <v>25796</v>
      </c>
      <c r="C410" s="2">
        <v>49</v>
      </c>
      <c r="D410" s="2">
        <v>568</v>
      </c>
      <c r="E410" s="2">
        <v>448</v>
      </c>
      <c r="F410" s="2">
        <v>32441</v>
      </c>
      <c r="G410" s="2">
        <v>6.2468915049999998</v>
      </c>
      <c r="H410" s="3">
        <v>7.4599999999999996E-23</v>
      </c>
      <c r="I410" s="3" t="s">
        <v>25797</v>
      </c>
      <c r="J410" s="3" t="s">
        <v>25798</v>
      </c>
      <c r="K410" s="3">
        <v>3.1200000000000001E-20</v>
      </c>
      <c r="L410" s="2" t="s">
        <v>606</v>
      </c>
      <c r="M410" s="4" t="s">
        <v>25799</v>
      </c>
    </row>
    <row r="411" spans="1:13">
      <c r="A411" s="2">
        <v>7901</v>
      </c>
      <c r="B411" s="2" t="s">
        <v>603</v>
      </c>
      <c r="C411" s="2">
        <v>78</v>
      </c>
      <c r="D411" s="2">
        <v>568</v>
      </c>
      <c r="E411" s="2">
        <v>1199</v>
      </c>
      <c r="F411" s="2">
        <v>32441</v>
      </c>
      <c r="G411" s="2">
        <v>3.7155346589999998</v>
      </c>
      <c r="H411" s="3">
        <v>2.3299999999999998E-22</v>
      </c>
      <c r="I411" s="3" t="s">
        <v>25800</v>
      </c>
      <c r="J411" s="3" t="s">
        <v>25801</v>
      </c>
      <c r="K411" s="3">
        <v>6.5000000000000003E-20</v>
      </c>
      <c r="L411" s="2" t="s">
        <v>606</v>
      </c>
      <c r="M411" s="4" t="s">
        <v>25802</v>
      </c>
    </row>
    <row r="412" spans="1:13">
      <c r="A412" s="2">
        <v>495</v>
      </c>
      <c r="B412" s="2" t="s">
        <v>25803</v>
      </c>
      <c r="C412" s="2">
        <v>49</v>
      </c>
      <c r="D412" s="2">
        <v>568</v>
      </c>
      <c r="E412" s="2">
        <v>484</v>
      </c>
      <c r="F412" s="2">
        <v>32441</v>
      </c>
      <c r="G412" s="2">
        <v>5.7822466830000003</v>
      </c>
      <c r="H412" s="3">
        <v>1.5499999999999999E-21</v>
      </c>
      <c r="I412" s="3" t="s">
        <v>25804</v>
      </c>
      <c r="J412" s="3" t="s">
        <v>25805</v>
      </c>
      <c r="K412" s="3">
        <v>3.2299999999999999E-19</v>
      </c>
      <c r="L412" s="2" t="s">
        <v>606</v>
      </c>
      <c r="M412" s="4" t="s">
        <v>25806</v>
      </c>
    </row>
    <row r="413" spans="1:13">
      <c r="A413" s="2">
        <v>503</v>
      </c>
      <c r="B413" s="2" t="s">
        <v>25807</v>
      </c>
      <c r="C413" s="2">
        <v>45</v>
      </c>
      <c r="D413" s="2">
        <v>568</v>
      </c>
      <c r="E413" s="2">
        <v>403</v>
      </c>
      <c r="F413" s="2">
        <v>32441</v>
      </c>
      <c r="G413" s="2">
        <v>6.3775425510000003</v>
      </c>
      <c r="H413" s="3">
        <v>2.14E-21</v>
      </c>
      <c r="I413" s="3" t="s">
        <v>25808</v>
      </c>
      <c r="J413" s="3" t="s">
        <v>25809</v>
      </c>
      <c r="K413" s="3">
        <v>3.5700000000000001E-19</v>
      </c>
      <c r="L413" s="2" t="s">
        <v>606</v>
      </c>
      <c r="M413" s="4" t="s">
        <v>25810</v>
      </c>
    </row>
    <row r="414" spans="1:13">
      <c r="A414" s="2">
        <v>836</v>
      </c>
      <c r="B414" s="2" t="s">
        <v>2950</v>
      </c>
      <c r="C414" s="2">
        <v>45</v>
      </c>
      <c r="D414" s="2">
        <v>568</v>
      </c>
      <c r="E414" s="2">
        <v>427</v>
      </c>
      <c r="F414" s="2">
        <v>32441</v>
      </c>
      <c r="G414" s="2">
        <v>6.0190858260000004</v>
      </c>
      <c r="H414" s="3">
        <v>1.73E-20</v>
      </c>
      <c r="I414" s="2" t="s">
        <v>25811</v>
      </c>
      <c r="J414" s="2" t="s">
        <v>25812</v>
      </c>
      <c r="K414" s="3">
        <v>2.4099999999999999E-18</v>
      </c>
      <c r="L414" s="2" t="s">
        <v>606</v>
      </c>
      <c r="M414" s="4" t="s">
        <v>2953</v>
      </c>
    </row>
    <row r="415" spans="1:13">
      <c r="A415" s="2">
        <v>490</v>
      </c>
      <c r="B415" s="2" t="s">
        <v>25813</v>
      </c>
      <c r="C415" s="2">
        <v>52</v>
      </c>
      <c r="D415" s="2">
        <v>568</v>
      </c>
      <c r="E415" s="2">
        <v>595</v>
      </c>
      <c r="F415" s="2">
        <v>32441</v>
      </c>
      <c r="G415" s="2">
        <v>4.9915137889999999</v>
      </c>
      <c r="H415" s="3">
        <v>3.5099999999999998E-20</v>
      </c>
      <c r="I415" s="3" t="s">
        <v>25814</v>
      </c>
      <c r="J415" s="3" t="s">
        <v>25815</v>
      </c>
      <c r="K415" s="3">
        <v>4.2E-18</v>
      </c>
      <c r="L415" s="2" t="s">
        <v>606</v>
      </c>
      <c r="M415" s="4" t="s">
        <v>25816</v>
      </c>
    </row>
    <row r="416" spans="1:13">
      <c r="A416" s="2">
        <v>829</v>
      </c>
      <c r="B416" s="2" t="s">
        <v>25817</v>
      </c>
      <c r="C416" s="2">
        <v>125</v>
      </c>
      <c r="D416" s="2">
        <v>568</v>
      </c>
      <c r="E416" s="2">
        <v>2940</v>
      </c>
      <c r="F416" s="2">
        <v>32441</v>
      </c>
      <c r="G416" s="2">
        <v>2.4283348899999999</v>
      </c>
      <c r="H416" s="3">
        <v>4.0500000000000002E-20</v>
      </c>
      <c r="I416" s="3" t="s">
        <v>25818</v>
      </c>
      <c r="J416" s="3" t="s">
        <v>25819</v>
      </c>
      <c r="K416" s="3">
        <v>4.2399999999999998E-18</v>
      </c>
      <c r="L416" s="2" t="s">
        <v>606</v>
      </c>
      <c r="M416" s="4" t="s">
        <v>25820</v>
      </c>
    </row>
    <row r="417" spans="1:13">
      <c r="A417" s="2">
        <v>5601</v>
      </c>
      <c r="B417" s="2" t="s">
        <v>25821</v>
      </c>
      <c r="C417" s="2">
        <v>32</v>
      </c>
      <c r="D417" s="2">
        <v>568</v>
      </c>
      <c r="E417" s="2">
        <v>206</v>
      </c>
      <c r="F417" s="2">
        <v>32441</v>
      </c>
      <c r="G417" s="2">
        <v>8.8721454939999997</v>
      </c>
      <c r="H417" s="3">
        <v>2.64E-19</v>
      </c>
      <c r="I417" s="2" t="s">
        <v>25822</v>
      </c>
      <c r="J417" s="2" t="s">
        <v>25823</v>
      </c>
      <c r="K417" s="3">
        <v>2.4500000000000001E-17</v>
      </c>
      <c r="L417" s="2" t="s">
        <v>606</v>
      </c>
      <c r="M417" s="4" t="s">
        <v>25824</v>
      </c>
    </row>
    <row r="418" spans="1:13">
      <c r="A418" s="2">
        <v>641</v>
      </c>
      <c r="B418" s="2" t="s">
        <v>25825</v>
      </c>
      <c r="C418" s="2">
        <v>43</v>
      </c>
      <c r="D418" s="2">
        <v>568</v>
      </c>
      <c r="E418" s="2">
        <v>433</v>
      </c>
      <c r="F418" s="2">
        <v>32441</v>
      </c>
      <c r="G418" s="2">
        <v>5.6718724590000003</v>
      </c>
      <c r="H418" s="3">
        <v>9.6099999999999993E-19</v>
      </c>
      <c r="I418" s="2" t="s">
        <v>25826</v>
      </c>
      <c r="J418" s="2" t="s">
        <v>25827</v>
      </c>
      <c r="K418" s="3">
        <v>7.3000000000000003E-17</v>
      </c>
      <c r="L418" s="2" t="s">
        <v>606</v>
      </c>
      <c r="M418" s="4" t="s">
        <v>25828</v>
      </c>
    </row>
    <row r="419" spans="1:13">
      <c r="A419" s="2">
        <v>793</v>
      </c>
      <c r="B419" s="2" t="s">
        <v>6777</v>
      </c>
      <c r="C419" s="2">
        <v>98</v>
      </c>
      <c r="D419" s="2">
        <v>568</v>
      </c>
      <c r="E419" s="2">
        <v>2061</v>
      </c>
      <c r="F419" s="2">
        <v>32441</v>
      </c>
      <c r="G419" s="2">
        <v>2.71577622</v>
      </c>
      <c r="H419" s="3">
        <v>9.5800000000000003E-19</v>
      </c>
      <c r="I419" s="3" t="s">
        <v>25829</v>
      </c>
      <c r="J419" s="3" t="s">
        <v>25830</v>
      </c>
      <c r="K419" s="3">
        <v>7.3000000000000003E-17</v>
      </c>
      <c r="L419" s="2" t="s">
        <v>606</v>
      </c>
      <c r="M419" s="4" t="s">
        <v>6780</v>
      </c>
    </row>
    <row r="420" spans="1:13">
      <c r="A420" s="2">
        <v>694</v>
      </c>
      <c r="B420" s="2" t="s">
        <v>25831</v>
      </c>
      <c r="C420" s="2">
        <v>37</v>
      </c>
      <c r="D420" s="2">
        <v>568</v>
      </c>
      <c r="E420" s="2">
        <v>314</v>
      </c>
      <c r="F420" s="2">
        <v>32441</v>
      </c>
      <c r="G420" s="2">
        <v>6.7300450789999999</v>
      </c>
      <c r="H420" s="3">
        <v>1.71E-18</v>
      </c>
      <c r="I420" s="2" t="s">
        <v>25832</v>
      </c>
      <c r="J420" s="2" t="s">
        <v>25833</v>
      </c>
      <c r="K420" s="3">
        <v>1.1900000000000001E-16</v>
      </c>
      <c r="L420" s="2" t="s">
        <v>606</v>
      </c>
      <c r="M420" s="4" t="s">
        <v>25834</v>
      </c>
    </row>
    <row r="421" spans="1:13">
      <c r="A421" s="2">
        <v>492</v>
      </c>
      <c r="B421" s="2" t="s">
        <v>25835</v>
      </c>
      <c r="C421" s="2">
        <v>49</v>
      </c>
      <c r="D421" s="2">
        <v>568</v>
      </c>
      <c r="E421" s="2">
        <v>601</v>
      </c>
      <c r="F421" s="2">
        <v>32441</v>
      </c>
      <c r="G421" s="2">
        <v>4.6565846830000002</v>
      </c>
      <c r="H421" s="3">
        <v>6.2399999999999999E-18</v>
      </c>
      <c r="I421" s="3" t="s">
        <v>25836</v>
      </c>
      <c r="J421" s="3" t="s">
        <v>25837</v>
      </c>
      <c r="K421" s="3">
        <v>4.0100000000000001E-16</v>
      </c>
      <c r="L421" s="2" t="s">
        <v>606</v>
      </c>
      <c r="M421" s="4" t="s">
        <v>25838</v>
      </c>
    </row>
    <row r="422" spans="1:13">
      <c r="A422" s="2">
        <v>42</v>
      </c>
      <c r="B422" s="2" t="s">
        <v>25839</v>
      </c>
      <c r="C422" s="2">
        <v>32</v>
      </c>
      <c r="D422" s="2">
        <v>568</v>
      </c>
      <c r="E422" s="2">
        <v>242</v>
      </c>
      <c r="F422" s="2">
        <v>32441</v>
      </c>
      <c r="G422" s="2">
        <v>7.5523221979999997</v>
      </c>
      <c r="H422" s="3">
        <v>1.8199999999999999E-17</v>
      </c>
      <c r="I422" s="2" t="s">
        <v>25840</v>
      </c>
      <c r="J422" s="2" t="s">
        <v>25841</v>
      </c>
      <c r="K422" s="3">
        <v>1.09E-15</v>
      </c>
      <c r="L422" s="2" t="s">
        <v>606</v>
      </c>
      <c r="M422" s="4" t="s">
        <v>25842</v>
      </c>
    </row>
    <row r="423" spans="1:13">
      <c r="A423" s="2">
        <v>493</v>
      </c>
      <c r="B423" s="2" t="s">
        <v>25843</v>
      </c>
      <c r="C423" s="2">
        <v>47</v>
      </c>
      <c r="D423" s="2">
        <v>568</v>
      </c>
      <c r="E423" s="2">
        <v>579</v>
      </c>
      <c r="F423" s="2">
        <v>32441</v>
      </c>
      <c r="G423" s="2">
        <v>4.6362323339999998</v>
      </c>
      <c r="H423" s="3">
        <v>3.57E-17</v>
      </c>
      <c r="I423" s="3" t="s">
        <v>25844</v>
      </c>
      <c r="J423" s="3" t="s">
        <v>25845</v>
      </c>
      <c r="K423" s="3">
        <v>1.99E-15</v>
      </c>
      <c r="L423" s="2" t="s">
        <v>606</v>
      </c>
      <c r="M423" s="4" t="s">
        <v>25846</v>
      </c>
    </row>
    <row r="424" spans="1:13">
      <c r="A424" s="2">
        <v>525</v>
      </c>
      <c r="B424" s="2" t="s">
        <v>25847</v>
      </c>
      <c r="C424" s="2">
        <v>44</v>
      </c>
      <c r="D424" s="2">
        <v>568</v>
      </c>
      <c r="E424" s="2">
        <v>516</v>
      </c>
      <c r="F424" s="2">
        <v>32441</v>
      </c>
      <c r="G424" s="2">
        <v>4.8702232780000001</v>
      </c>
      <c r="H424" s="3">
        <v>7.1500000000000003E-17</v>
      </c>
      <c r="I424" s="2" t="s">
        <v>25848</v>
      </c>
      <c r="J424" s="2" t="s">
        <v>25849</v>
      </c>
      <c r="K424" s="3">
        <v>3.74E-15</v>
      </c>
      <c r="L424" s="2" t="s">
        <v>606</v>
      </c>
      <c r="M424" s="4" t="s">
        <v>25850</v>
      </c>
    </row>
    <row r="425" spans="1:13">
      <c r="A425" s="2">
        <v>544</v>
      </c>
      <c r="B425" s="2" t="s">
        <v>25851</v>
      </c>
      <c r="C425" s="2">
        <v>31</v>
      </c>
      <c r="D425" s="2">
        <v>568</v>
      </c>
      <c r="E425" s="2">
        <v>243</v>
      </c>
      <c r="F425" s="2">
        <v>32441</v>
      </c>
      <c r="G425" s="2">
        <v>7.2862038489999996</v>
      </c>
      <c r="H425" s="3">
        <v>1.4499999999999999E-16</v>
      </c>
      <c r="I425" s="2" t="s">
        <v>25852</v>
      </c>
      <c r="J425" s="2" t="s">
        <v>25853</v>
      </c>
      <c r="K425" s="3">
        <v>7.1100000000000008E-15</v>
      </c>
      <c r="L425" s="2" t="s">
        <v>606</v>
      </c>
      <c r="M425" s="4" t="s">
        <v>25854</v>
      </c>
    </row>
    <row r="426" spans="1:13">
      <c r="A426" s="2">
        <v>510</v>
      </c>
      <c r="B426" s="2" t="s">
        <v>25855</v>
      </c>
      <c r="C426" s="2">
        <v>39</v>
      </c>
      <c r="D426" s="2">
        <v>568</v>
      </c>
      <c r="E426" s="2">
        <v>419</v>
      </c>
      <c r="F426" s="2">
        <v>32441</v>
      </c>
      <c r="G426" s="2">
        <v>5.3161408789999998</v>
      </c>
      <c r="H426" s="3">
        <v>3.0400000000000001E-16</v>
      </c>
      <c r="I426" s="2" t="s">
        <v>25856</v>
      </c>
      <c r="J426" s="2" t="s">
        <v>25857</v>
      </c>
      <c r="K426" s="3">
        <v>1.41E-14</v>
      </c>
      <c r="L426" s="2" t="s">
        <v>606</v>
      </c>
      <c r="M426" s="4" t="s">
        <v>25858</v>
      </c>
    </row>
    <row r="427" spans="1:13">
      <c r="A427" s="2">
        <v>621</v>
      </c>
      <c r="B427" s="2" t="s">
        <v>25859</v>
      </c>
      <c r="C427" s="2">
        <v>26</v>
      </c>
      <c r="D427" s="2">
        <v>568</v>
      </c>
      <c r="E427" s="2">
        <v>176</v>
      </c>
      <c r="F427" s="2">
        <v>32441</v>
      </c>
      <c r="G427" s="2">
        <v>8.4373599549999998</v>
      </c>
      <c r="H427" s="3">
        <v>1.8399999999999999E-15</v>
      </c>
      <c r="I427" s="2" t="s">
        <v>25860</v>
      </c>
      <c r="J427" s="2" t="s">
        <v>25861</v>
      </c>
      <c r="K427" s="3">
        <v>8.0799999999999994E-14</v>
      </c>
      <c r="L427" s="2" t="s">
        <v>606</v>
      </c>
      <c r="M427" s="4" t="s">
        <v>25862</v>
      </c>
    </row>
    <row r="428" spans="1:13">
      <c r="A428" s="2">
        <v>686</v>
      </c>
      <c r="B428" s="2" t="s">
        <v>25863</v>
      </c>
      <c r="C428" s="2">
        <v>34</v>
      </c>
      <c r="D428" s="2">
        <v>568</v>
      </c>
      <c r="E428" s="2">
        <v>335</v>
      </c>
      <c r="F428" s="2">
        <v>32441</v>
      </c>
      <c r="G428" s="2">
        <v>5.7966890900000001</v>
      </c>
      <c r="H428" s="3">
        <v>2.5100000000000002E-15</v>
      </c>
      <c r="I428" s="2" t="s">
        <v>25864</v>
      </c>
      <c r="J428" s="2" t="s">
        <v>25865</v>
      </c>
      <c r="K428" s="3">
        <v>1.0499999999999999E-13</v>
      </c>
      <c r="L428" s="2" t="s">
        <v>606</v>
      </c>
      <c r="M428" s="4" t="s">
        <v>25866</v>
      </c>
    </row>
    <row r="429" spans="1:13">
      <c r="A429" s="2">
        <v>818</v>
      </c>
      <c r="B429" s="2" t="s">
        <v>25867</v>
      </c>
      <c r="C429" s="2">
        <v>56</v>
      </c>
      <c r="D429" s="2">
        <v>568</v>
      </c>
      <c r="E429" s="2">
        <v>918</v>
      </c>
      <c r="F429" s="2">
        <v>32441</v>
      </c>
      <c r="G429" s="2">
        <v>3.4841050660000001</v>
      </c>
      <c r="H429" s="3">
        <v>4.0599999999999997E-15</v>
      </c>
      <c r="I429" s="3" t="s">
        <v>25868</v>
      </c>
      <c r="J429" s="3" t="s">
        <v>25869</v>
      </c>
      <c r="K429" s="3">
        <v>1.6199999999999999E-13</v>
      </c>
      <c r="L429" s="2" t="s">
        <v>606</v>
      </c>
      <c r="M429" s="4" t="s">
        <v>25870</v>
      </c>
    </row>
    <row r="430" spans="1:13">
      <c r="A430" s="2">
        <v>515</v>
      </c>
      <c r="B430" s="2" t="s">
        <v>25871</v>
      </c>
      <c r="C430" s="2">
        <v>32</v>
      </c>
      <c r="D430" s="2">
        <v>568</v>
      </c>
      <c r="E430" s="2">
        <v>300</v>
      </c>
      <c r="F430" s="2">
        <v>32441</v>
      </c>
      <c r="G430" s="2">
        <v>6.0922065730000003</v>
      </c>
      <c r="H430" s="3">
        <v>4.7299999999999999E-15</v>
      </c>
      <c r="I430" s="2" t="s">
        <v>25872</v>
      </c>
      <c r="J430" s="2" t="s">
        <v>25873</v>
      </c>
      <c r="K430" s="3">
        <v>1.7999999999999999E-13</v>
      </c>
      <c r="L430" s="2" t="s">
        <v>606</v>
      </c>
      <c r="M430" s="4" t="s">
        <v>25874</v>
      </c>
    </row>
    <row r="431" spans="1:13">
      <c r="A431" s="2">
        <v>506</v>
      </c>
      <c r="B431" s="2" t="s">
        <v>25875</v>
      </c>
      <c r="C431" s="2">
        <v>39</v>
      </c>
      <c r="D431" s="2">
        <v>568</v>
      </c>
      <c r="E431" s="2">
        <v>469</v>
      </c>
      <c r="F431" s="2">
        <v>32441</v>
      </c>
      <c r="G431" s="2">
        <v>4.7493881199999999</v>
      </c>
      <c r="H431" s="3">
        <v>9.2599999999999998E-15</v>
      </c>
      <c r="I431" s="2" t="s">
        <v>25876</v>
      </c>
      <c r="J431" s="2" t="s">
        <v>25877</v>
      </c>
      <c r="K431" s="3">
        <v>3.2199999999999999E-13</v>
      </c>
      <c r="L431" s="2" t="s">
        <v>606</v>
      </c>
      <c r="M431" s="4" t="s">
        <v>25878</v>
      </c>
    </row>
    <row r="432" spans="1:13">
      <c r="A432" s="2">
        <v>807</v>
      </c>
      <c r="B432" s="2" t="s">
        <v>6825</v>
      </c>
      <c r="C432" s="2">
        <v>95</v>
      </c>
      <c r="D432" s="2">
        <v>568</v>
      </c>
      <c r="E432" s="2">
        <v>2274</v>
      </c>
      <c r="F432" s="2">
        <v>32441</v>
      </c>
      <c r="G432" s="2">
        <v>2.3860472640000001</v>
      </c>
      <c r="H432" s="3">
        <v>8.9899999999999997E-15</v>
      </c>
      <c r="I432" s="3" t="s">
        <v>25879</v>
      </c>
      <c r="J432" s="3" t="s">
        <v>25880</v>
      </c>
      <c r="K432" s="3">
        <v>3.2199999999999999E-13</v>
      </c>
      <c r="L432" s="2" t="s">
        <v>606</v>
      </c>
      <c r="M432" s="4" t="s">
        <v>6828</v>
      </c>
    </row>
    <row r="433" spans="1:13">
      <c r="A433" s="2">
        <v>248</v>
      </c>
      <c r="B433" s="2" t="s">
        <v>25881</v>
      </c>
      <c r="C433" s="2">
        <v>28</v>
      </c>
      <c r="D433" s="2">
        <v>568</v>
      </c>
      <c r="E433" s="2">
        <v>234</v>
      </c>
      <c r="F433" s="2">
        <v>32441</v>
      </c>
      <c r="G433" s="2">
        <v>6.8342060910000004</v>
      </c>
      <c r="H433" s="3">
        <v>1.8600000000000001E-14</v>
      </c>
      <c r="I433" s="2" t="s">
        <v>25882</v>
      </c>
      <c r="J433" s="2" t="s">
        <v>25883</v>
      </c>
      <c r="K433" s="3">
        <v>6.2099999999999998E-13</v>
      </c>
      <c r="L433" s="2" t="s">
        <v>606</v>
      </c>
      <c r="M433" s="4" t="s">
        <v>25884</v>
      </c>
    </row>
    <row r="434" spans="1:13">
      <c r="A434" s="2">
        <v>518</v>
      </c>
      <c r="B434" s="2" t="s">
        <v>25885</v>
      </c>
      <c r="C434" s="2">
        <v>31</v>
      </c>
      <c r="D434" s="2">
        <v>568</v>
      </c>
      <c r="E434" s="2">
        <v>310</v>
      </c>
      <c r="F434" s="2">
        <v>32441</v>
      </c>
      <c r="G434" s="2">
        <v>5.7114436619999998</v>
      </c>
      <c r="H434" s="3">
        <v>6.2499999999999999E-14</v>
      </c>
      <c r="I434" s="2" t="s">
        <v>25886</v>
      </c>
      <c r="J434" s="2" t="s">
        <v>25887</v>
      </c>
      <c r="K434" s="3">
        <v>1.9399999999999998E-12</v>
      </c>
      <c r="L434" s="2" t="s">
        <v>606</v>
      </c>
      <c r="M434" s="4" t="s">
        <v>25888</v>
      </c>
    </row>
    <row r="435" spans="1:13">
      <c r="A435" s="2">
        <v>6581</v>
      </c>
      <c r="B435" s="2" t="s">
        <v>25889</v>
      </c>
      <c r="C435" s="2">
        <v>30</v>
      </c>
      <c r="D435" s="2">
        <v>568</v>
      </c>
      <c r="E435" s="2">
        <v>288</v>
      </c>
      <c r="F435" s="2">
        <v>32441</v>
      </c>
      <c r="G435" s="2">
        <v>5.9494204809999998</v>
      </c>
      <c r="H435" s="3">
        <v>6.04E-14</v>
      </c>
      <c r="I435" s="2" t="s">
        <v>25890</v>
      </c>
      <c r="J435" s="2" t="s">
        <v>25891</v>
      </c>
      <c r="K435" s="3">
        <v>1.9399999999999998E-12</v>
      </c>
      <c r="L435" s="2" t="s">
        <v>606</v>
      </c>
      <c r="M435" s="4" t="s">
        <v>25892</v>
      </c>
    </row>
    <row r="436" spans="1:13">
      <c r="A436" s="2">
        <v>711</v>
      </c>
      <c r="B436" s="2" t="s">
        <v>25893</v>
      </c>
      <c r="C436" s="2">
        <v>23</v>
      </c>
      <c r="D436" s="2">
        <v>568</v>
      </c>
      <c r="E436" s="2">
        <v>155</v>
      </c>
      <c r="F436" s="2">
        <v>32441</v>
      </c>
      <c r="G436" s="2">
        <v>8.4750454340000001</v>
      </c>
      <c r="H436" s="3">
        <v>7.1900000000000002E-14</v>
      </c>
      <c r="I436" s="2" t="s">
        <v>25894</v>
      </c>
      <c r="J436" s="2" t="s">
        <v>25895</v>
      </c>
      <c r="K436" s="3">
        <v>2.1499999999999999E-12</v>
      </c>
      <c r="L436" s="2" t="s">
        <v>606</v>
      </c>
      <c r="M436" s="4" t="s">
        <v>25896</v>
      </c>
    </row>
    <row r="437" spans="1:13">
      <c r="A437" s="2">
        <v>705</v>
      </c>
      <c r="B437" s="2" t="s">
        <v>25897</v>
      </c>
      <c r="C437" s="2">
        <v>29</v>
      </c>
      <c r="D437" s="2">
        <v>568</v>
      </c>
      <c r="E437" s="2">
        <v>272</v>
      </c>
      <c r="F437" s="2">
        <v>32441</v>
      </c>
      <c r="G437" s="2">
        <v>6.0894068450000001</v>
      </c>
      <c r="H437" s="3">
        <v>9.2999999999999995E-14</v>
      </c>
      <c r="I437" s="2" t="s">
        <v>25898</v>
      </c>
      <c r="J437" s="2" t="s">
        <v>25899</v>
      </c>
      <c r="K437" s="3">
        <v>2.6799999999999999E-12</v>
      </c>
      <c r="L437" s="2" t="s">
        <v>606</v>
      </c>
      <c r="M437" s="4" t="s">
        <v>25900</v>
      </c>
    </row>
    <row r="438" spans="1:13">
      <c r="A438" s="2">
        <v>250</v>
      </c>
      <c r="B438" s="2" t="s">
        <v>25901</v>
      </c>
      <c r="C438" s="2">
        <v>27</v>
      </c>
      <c r="D438" s="2">
        <v>568</v>
      </c>
      <c r="E438" s="2">
        <v>232</v>
      </c>
      <c r="F438" s="2">
        <v>32441</v>
      </c>
      <c r="G438" s="2">
        <v>6.6469387449999999</v>
      </c>
      <c r="H438" s="3">
        <v>1E-13</v>
      </c>
      <c r="I438" s="2" t="s">
        <v>25902</v>
      </c>
      <c r="J438" s="2" t="s">
        <v>25903</v>
      </c>
      <c r="K438" s="3">
        <v>2.79E-12</v>
      </c>
      <c r="L438" s="2" t="s">
        <v>606</v>
      </c>
      <c r="M438" s="4" t="s">
        <v>25904</v>
      </c>
    </row>
    <row r="439" spans="1:13">
      <c r="A439" s="2">
        <v>4981</v>
      </c>
      <c r="B439" s="2" t="s">
        <v>25905</v>
      </c>
      <c r="C439" s="2">
        <v>30</v>
      </c>
      <c r="D439" s="2">
        <v>568</v>
      </c>
      <c r="E439" s="2">
        <v>304</v>
      </c>
      <c r="F439" s="2">
        <v>32441</v>
      </c>
      <c r="G439" s="2">
        <v>5.6362930870000003</v>
      </c>
      <c r="H439" s="3">
        <v>2.19E-13</v>
      </c>
      <c r="I439" s="2" t="s">
        <v>25906</v>
      </c>
      <c r="J439" s="2" t="s">
        <v>25907</v>
      </c>
      <c r="K439" s="3">
        <v>5.9000000000000003E-12</v>
      </c>
      <c r="L439" s="2" t="s">
        <v>606</v>
      </c>
      <c r="M439" s="4" t="s">
        <v>25908</v>
      </c>
    </row>
    <row r="440" spans="1:13">
      <c r="A440" s="2">
        <v>563</v>
      </c>
      <c r="B440" s="2" t="s">
        <v>25909</v>
      </c>
      <c r="C440" s="2">
        <v>24</v>
      </c>
      <c r="D440" s="2">
        <v>568</v>
      </c>
      <c r="E440" s="2">
        <v>183</v>
      </c>
      <c r="F440" s="2">
        <v>32441</v>
      </c>
      <c r="G440" s="2">
        <v>7.4904179170000003</v>
      </c>
      <c r="H440" s="3">
        <v>2.3300000000000002E-13</v>
      </c>
      <c r="I440" s="2" t="s">
        <v>25910</v>
      </c>
      <c r="J440" s="2" t="s">
        <v>25911</v>
      </c>
      <c r="K440" s="3">
        <v>6.0799999999999999E-12</v>
      </c>
      <c r="L440" s="2" t="s">
        <v>606</v>
      </c>
      <c r="M440" s="4" t="s">
        <v>25912</v>
      </c>
    </row>
    <row r="441" spans="1:13">
      <c r="A441" s="2">
        <v>659</v>
      </c>
      <c r="B441" s="2" t="s">
        <v>25913</v>
      </c>
      <c r="C441" s="2">
        <v>25</v>
      </c>
      <c r="D441" s="2">
        <v>568</v>
      </c>
      <c r="E441" s="2">
        <v>210</v>
      </c>
      <c r="F441" s="2">
        <v>32441</v>
      </c>
      <c r="G441" s="2">
        <v>6.799337693</v>
      </c>
      <c r="H441" s="3">
        <v>5.2399999999999999E-13</v>
      </c>
      <c r="I441" s="2" t="s">
        <v>25914</v>
      </c>
      <c r="J441" s="2" t="s">
        <v>25915</v>
      </c>
      <c r="K441" s="3">
        <v>1.33E-11</v>
      </c>
      <c r="L441" s="2" t="s">
        <v>606</v>
      </c>
      <c r="M441" s="4" t="s">
        <v>25916</v>
      </c>
    </row>
    <row r="442" spans="1:13">
      <c r="A442" s="2">
        <v>600</v>
      </c>
      <c r="B442" s="2" t="s">
        <v>25917</v>
      </c>
      <c r="C442" s="2">
        <v>27</v>
      </c>
      <c r="D442" s="2">
        <v>568</v>
      </c>
      <c r="E442" s="2">
        <v>257</v>
      </c>
      <c r="F442" s="2">
        <v>32441</v>
      </c>
      <c r="G442" s="2">
        <v>6.0003493719999996</v>
      </c>
      <c r="H442" s="3">
        <v>9.1999999999999992E-13</v>
      </c>
      <c r="I442" s="2" t="s">
        <v>25918</v>
      </c>
      <c r="J442" s="2" t="s">
        <v>25919</v>
      </c>
      <c r="K442" s="3">
        <v>2.2600000000000001E-11</v>
      </c>
      <c r="L442" s="2" t="s">
        <v>606</v>
      </c>
      <c r="M442" s="4" t="s">
        <v>25920</v>
      </c>
    </row>
    <row r="443" spans="1:13">
      <c r="A443" s="2">
        <v>805</v>
      </c>
      <c r="B443" s="2" t="s">
        <v>25921</v>
      </c>
      <c r="C443" s="2">
        <v>82</v>
      </c>
      <c r="D443" s="2">
        <v>568</v>
      </c>
      <c r="E443" s="2">
        <v>1972</v>
      </c>
      <c r="F443" s="2">
        <v>32441</v>
      </c>
      <c r="G443" s="2">
        <v>2.3749410759999998</v>
      </c>
      <c r="H443" s="3">
        <v>1.04E-12</v>
      </c>
      <c r="I443" s="3" t="s">
        <v>25922</v>
      </c>
      <c r="J443" s="3" t="s">
        <v>25923</v>
      </c>
      <c r="K443" s="3">
        <v>2.4800000000000001E-11</v>
      </c>
      <c r="L443" s="2" t="s">
        <v>606</v>
      </c>
      <c r="M443" s="4" t="s">
        <v>25924</v>
      </c>
    </row>
    <row r="444" spans="1:13">
      <c r="A444" s="2">
        <v>811</v>
      </c>
      <c r="B444" s="2" t="s">
        <v>25925</v>
      </c>
      <c r="C444" s="2">
        <v>55</v>
      </c>
      <c r="D444" s="2">
        <v>568</v>
      </c>
      <c r="E444" s="2">
        <v>1032</v>
      </c>
      <c r="F444" s="2">
        <v>32441</v>
      </c>
      <c r="G444" s="2">
        <v>3.0438895490000002</v>
      </c>
      <c r="H444" s="3">
        <v>1.27E-12</v>
      </c>
      <c r="I444" s="3" t="s">
        <v>25926</v>
      </c>
      <c r="J444" s="3" t="s">
        <v>25927</v>
      </c>
      <c r="K444" s="3">
        <v>2.9500000000000002E-11</v>
      </c>
      <c r="L444" s="2" t="s">
        <v>606</v>
      </c>
      <c r="M444" s="4" t="s">
        <v>25928</v>
      </c>
    </row>
    <row r="445" spans="1:13">
      <c r="A445" s="2">
        <v>424</v>
      </c>
      <c r="B445" s="2" t="s">
        <v>25929</v>
      </c>
      <c r="C445" s="2">
        <v>26</v>
      </c>
      <c r="D445" s="2">
        <v>568</v>
      </c>
      <c r="E445" s="2">
        <v>245</v>
      </c>
      <c r="F445" s="2">
        <v>32441</v>
      </c>
      <c r="G445" s="2">
        <v>6.0611238859999998</v>
      </c>
      <c r="H445" s="3">
        <v>1.98E-12</v>
      </c>
      <c r="I445" s="2" t="s">
        <v>25930</v>
      </c>
      <c r="J445" s="2" t="s">
        <v>25931</v>
      </c>
      <c r="K445" s="3">
        <v>4.4699999999999998E-11</v>
      </c>
      <c r="L445" s="2" t="s">
        <v>606</v>
      </c>
      <c r="M445" s="4" t="s">
        <v>25932</v>
      </c>
    </row>
    <row r="446" spans="1:13">
      <c r="A446" s="2">
        <v>488</v>
      </c>
      <c r="B446" s="2" t="s">
        <v>25933</v>
      </c>
      <c r="C446" s="2">
        <v>30</v>
      </c>
      <c r="D446" s="2">
        <v>568</v>
      </c>
      <c r="E446" s="2">
        <v>343</v>
      </c>
      <c r="F446" s="2">
        <v>32441</v>
      </c>
      <c r="G446" s="2">
        <v>4.995431774</v>
      </c>
      <c r="H446" s="3">
        <v>3.7299999999999997E-12</v>
      </c>
      <c r="I446" s="2" t="s">
        <v>25934</v>
      </c>
      <c r="J446" s="2" t="s">
        <v>25935</v>
      </c>
      <c r="K446" s="3">
        <v>8.0500000000000006E-11</v>
      </c>
      <c r="L446" s="2" t="s">
        <v>606</v>
      </c>
      <c r="M446" s="4" t="s">
        <v>25936</v>
      </c>
    </row>
    <row r="447" spans="1:13">
      <c r="A447" s="2">
        <v>497</v>
      </c>
      <c r="B447" s="2" t="s">
        <v>25937</v>
      </c>
      <c r="C447" s="2">
        <v>37</v>
      </c>
      <c r="D447" s="2">
        <v>568</v>
      </c>
      <c r="E447" s="2">
        <v>521</v>
      </c>
      <c r="F447" s="2">
        <v>32441</v>
      </c>
      <c r="G447" s="2">
        <v>4.0561116220000004</v>
      </c>
      <c r="H447" s="3">
        <v>3.7600000000000001E-12</v>
      </c>
      <c r="I447" s="2" t="s">
        <v>25938</v>
      </c>
      <c r="J447" s="2" t="s">
        <v>25939</v>
      </c>
      <c r="K447" s="3">
        <v>8.0500000000000006E-11</v>
      </c>
      <c r="L447" s="2" t="s">
        <v>606</v>
      </c>
      <c r="M447" s="4" t="s">
        <v>25940</v>
      </c>
    </row>
    <row r="448" spans="1:13">
      <c r="A448" s="2">
        <v>679</v>
      </c>
      <c r="B448" s="2" t="s">
        <v>25941</v>
      </c>
      <c r="C448" s="2">
        <v>25</v>
      </c>
      <c r="D448" s="2">
        <v>568</v>
      </c>
      <c r="E448" s="2">
        <v>238</v>
      </c>
      <c r="F448" s="2">
        <v>32441</v>
      </c>
      <c r="G448" s="2">
        <v>5.9994156109999999</v>
      </c>
      <c r="H448" s="3">
        <v>6.4699999999999997E-12</v>
      </c>
      <c r="I448" s="2" t="s">
        <v>25942</v>
      </c>
      <c r="J448" s="2" t="s">
        <v>25943</v>
      </c>
      <c r="K448" s="3">
        <v>1.35E-10</v>
      </c>
      <c r="L448" s="2" t="s">
        <v>606</v>
      </c>
      <c r="M448" s="4" t="s">
        <v>25944</v>
      </c>
    </row>
    <row r="449" spans="1:13">
      <c r="A449" s="2">
        <v>702</v>
      </c>
      <c r="B449" s="2" t="s">
        <v>25945</v>
      </c>
      <c r="C449" s="2">
        <v>17</v>
      </c>
      <c r="D449" s="2">
        <v>568</v>
      </c>
      <c r="E449" s="2">
        <v>93</v>
      </c>
      <c r="F449" s="2">
        <v>32441</v>
      </c>
      <c r="G449" s="2">
        <v>10.440273360000001</v>
      </c>
      <c r="H449" s="3">
        <v>7.0600000000000002E-12</v>
      </c>
      <c r="I449" s="2" t="s">
        <v>25946</v>
      </c>
      <c r="J449" s="2" t="s">
        <v>25947</v>
      </c>
      <c r="K449" s="3">
        <v>1.4399999999999999E-10</v>
      </c>
      <c r="L449" s="2" t="s">
        <v>606</v>
      </c>
      <c r="M449" s="4" t="s">
        <v>25948</v>
      </c>
    </row>
    <row r="450" spans="1:13">
      <c r="A450" s="2">
        <v>673</v>
      </c>
      <c r="B450" s="2" t="s">
        <v>25949</v>
      </c>
      <c r="C450" s="2">
        <v>24</v>
      </c>
      <c r="D450" s="2">
        <v>568</v>
      </c>
      <c r="E450" s="2">
        <v>219</v>
      </c>
      <c r="F450" s="2">
        <v>32441</v>
      </c>
      <c r="G450" s="2">
        <v>6.2591163420000004</v>
      </c>
      <c r="H450" s="3">
        <v>7.5999999999999999E-12</v>
      </c>
      <c r="I450" s="2" t="s">
        <v>25950</v>
      </c>
      <c r="J450" s="2" t="s">
        <v>25951</v>
      </c>
      <c r="K450" s="3">
        <v>1.51E-10</v>
      </c>
      <c r="L450" s="2" t="s">
        <v>606</v>
      </c>
      <c r="M450" s="4" t="s">
        <v>25952</v>
      </c>
    </row>
    <row r="451" spans="1:13">
      <c r="A451" s="2">
        <v>468</v>
      </c>
      <c r="B451" s="2" t="s">
        <v>25953</v>
      </c>
      <c r="C451" s="2">
        <v>24</v>
      </c>
      <c r="D451" s="2">
        <v>568</v>
      </c>
      <c r="E451" s="2">
        <v>228</v>
      </c>
      <c r="F451" s="2">
        <v>32441</v>
      </c>
      <c r="G451" s="2">
        <v>6.01204596</v>
      </c>
      <c r="H451" s="3">
        <v>1.64E-11</v>
      </c>
      <c r="I451" s="2" t="s">
        <v>25954</v>
      </c>
      <c r="J451" s="2" t="s">
        <v>25955</v>
      </c>
      <c r="K451" s="3">
        <v>3.1999999999999998E-10</v>
      </c>
      <c r="L451" s="2" t="s">
        <v>606</v>
      </c>
      <c r="M451" s="4" t="s">
        <v>25956</v>
      </c>
    </row>
    <row r="452" spans="1:13">
      <c r="A452" s="2">
        <v>391</v>
      </c>
      <c r="B452" s="2" t="s">
        <v>25957</v>
      </c>
      <c r="C452" s="2">
        <v>24</v>
      </c>
      <c r="D452" s="2">
        <v>568</v>
      </c>
      <c r="E452" s="2">
        <v>231</v>
      </c>
      <c r="F452" s="2">
        <v>32441</v>
      </c>
      <c r="G452" s="2">
        <v>5.9339674410000001</v>
      </c>
      <c r="H452" s="3">
        <v>2.11E-11</v>
      </c>
      <c r="I452" s="2" t="s">
        <v>25958</v>
      </c>
      <c r="J452" s="2" t="s">
        <v>25959</v>
      </c>
      <c r="K452" s="3">
        <v>4.0100000000000001E-10</v>
      </c>
      <c r="L452" s="2" t="s">
        <v>606</v>
      </c>
      <c r="M452" s="4" t="s">
        <v>25960</v>
      </c>
    </row>
    <row r="453" spans="1:13">
      <c r="A453" s="2">
        <v>6171</v>
      </c>
      <c r="B453" s="2" t="s">
        <v>25961</v>
      </c>
      <c r="C453" s="2">
        <v>24</v>
      </c>
      <c r="D453" s="2">
        <v>568</v>
      </c>
      <c r="E453" s="2">
        <v>232</v>
      </c>
      <c r="F453" s="2">
        <v>32441</v>
      </c>
      <c r="G453" s="2">
        <v>5.9083899950000003</v>
      </c>
      <c r="H453" s="3">
        <v>2.29E-11</v>
      </c>
      <c r="I453" s="2" t="s">
        <v>25962</v>
      </c>
      <c r="J453" s="2" t="s">
        <v>25963</v>
      </c>
      <c r="K453" s="3">
        <v>4.2599999999999998E-10</v>
      </c>
      <c r="L453" s="2" t="s">
        <v>606</v>
      </c>
      <c r="M453" s="4" t="s">
        <v>25964</v>
      </c>
    </row>
    <row r="454" spans="1:13">
      <c r="A454" s="2">
        <v>622</v>
      </c>
      <c r="B454" s="2" t="s">
        <v>25965</v>
      </c>
      <c r="C454" s="2">
        <v>31</v>
      </c>
      <c r="D454" s="2">
        <v>568</v>
      </c>
      <c r="E454" s="2">
        <v>398</v>
      </c>
      <c r="F454" s="2">
        <v>32441</v>
      </c>
      <c r="G454" s="2">
        <v>4.4486118980000002</v>
      </c>
      <c r="H454" s="3">
        <v>2.5400000000000001E-11</v>
      </c>
      <c r="I454" s="2" t="s">
        <v>25966</v>
      </c>
      <c r="J454" s="2" t="s">
        <v>25967</v>
      </c>
      <c r="K454" s="3">
        <v>4.6200000000000001E-10</v>
      </c>
      <c r="L454" s="2" t="s">
        <v>606</v>
      </c>
      <c r="M454" s="4" t="s">
        <v>25968</v>
      </c>
    </row>
    <row r="455" spans="1:13">
      <c r="A455" s="2">
        <v>558</v>
      </c>
      <c r="B455" s="2" t="s">
        <v>25969</v>
      </c>
      <c r="C455" s="2">
        <v>25</v>
      </c>
      <c r="D455" s="2">
        <v>568</v>
      </c>
      <c r="E455" s="2">
        <v>257</v>
      </c>
      <c r="F455" s="2">
        <v>32441</v>
      </c>
      <c r="G455" s="2">
        <v>5.5558790489999996</v>
      </c>
      <c r="H455" s="3">
        <v>2.9699999999999998E-11</v>
      </c>
      <c r="I455" s="2" t="s">
        <v>25970</v>
      </c>
      <c r="J455" s="2" t="s">
        <v>25971</v>
      </c>
      <c r="K455" s="3">
        <v>5.2800000000000004E-10</v>
      </c>
      <c r="L455" s="2" t="s">
        <v>606</v>
      </c>
      <c r="M455" s="4" t="s">
        <v>25972</v>
      </c>
    </row>
    <row r="456" spans="1:13">
      <c r="A456" s="2">
        <v>594</v>
      </c>
      <c r="B456" s="2" t="s">
        <v>25973</v>
      </c>
      <c r="C456" s="2">
        <v>24</v>
      </c>
      <c r="D456" s="2">
        <v>568</v>
      </c>
      <c r="E456" s="2">
        <v>236</v>
      </c>
      <c r="F456" s="2">
        <v>32441</v>
      </c>
      <c r="G456" s="2">
        <v>5.8082477920000004</v>
      </c>
      <c r="H456" s="3">
        <v>3.1800000000000003E-11</v>
      </c>
      <c r="I456" s="2" t="s">
        <v>25974</v>
      </c>
      <c r="J456" s="2" t="s">
        <v>25975</v>
      </c>
      <c r="K456" s="3">
        <v>5.5299999999999995E-10</v>
      </c>
      <c r="L456" s="2" t="s">
        <v>606</v>
      </c>
      <c r="M456" s="4" t="s">
        <v>25976</v>
      </c>
    </row>
    <row r="457" spans="1:13">
      <c r="A457" s="2">
        <v>470</v>
      </c>
      <c r="B457" s="2" t="s">
        <v>25977</v>
      </c>
      <c r="C457" s="2">
        <v>24</v>
      </c>
      <c r="D457" s="2">
        <v>568</v>
      </c>
      <c r="E457" s="2">
        <v>238</v>
      </c>
      <c r="F457" s="2">
        <v>32441</v>
      </c>
      <c r="G457" s="2">
        <v>5.7594389870000002</v>
      </c>
      <c r="H457" s="3">
        <v>3.7300000000000003E-11</v>
      </c>
      <c r="I457" s="2" t="s">
        <v>25978</v>
      </c>
      <c r="J457" s="2" t="s">
        <v>25979</v>
      </c>
      <c r="K457" s="3">
        <v>6.3699999999999997E-10</v>
      </c>
      <c r="L457" s="2" t="s">
        <v>606</v>
      </c>
      <c r="M457" s="4" t="s">
        <v>25980</v>
      </c>
    </row>
    <row r="458" spans="1:13">
      <c r="A458" s="2">
        <v>789</v>
      </c>
      <c r="B458" s="2" t="s">
        <v>25981</v>
      </c>
      <c r="C458" s="2">
        <v>40</v>
      </c>
      <c r="D458" s="2">
        <v>568</v>
      </c>
      <c r="E458" s="2">
        <v>658</v>
      </c>
      <c r="F458" s="2">
        <v>32441</v>
      </c>
      <c r="G458" s="2">
        <v>3.4720022259999999</v>
      </c>
      <c r="H458" s="3">
        <v>4.4500000000000001E-11</v>
      </c>
      <c r="I458" s="2" t="s">
        <v>25982</v>
      </c>
      <c r="J458" s="2" t="s">
        <v>25983</v>
      </c>
      <c r="K458" s="3">
        <v>7.4400000000000002E-10</v>
      </c>
      <c r="L458" s="2" t="s">
        <v>606</v>
      </c>
      <c r="M458" s="4" t="s">
        <v>25984</v>
      </c>
    </row>
    <row r="459" spans="1:13">
      <c r="A459" s="2">
        <v>530</v>
      </c>
      <c r="B459" s="2" t="s">
        <v>25985</v>
      </c>
      <c r="C459" s="2">
        <v>20</v>
      </c>
      <c r="D459" s="2">
        <v>568</v>
      </c>
      <c r="E459" s="2">
        <v>161</v>
      </c>
      <c r="F459" s="2">
        <v>32441</v>
      </c>
      <c r="G459" s="2">
        <v>7.0949610710000002</v>
      </c>
      <c r="H459" s="3">
        <v>5.6199999999999997E-11</v>
      </c>
      <c r="I459" s="2" t="s">
        <v>25986</v>
      </c>
      <c r="J459" s="2" t="s">
        <v>25987</v>
      </c>
      <c r="K459" s="3">
        <v>9.0399999999999998E-10</v>
      </c>
      <c r="L459" s="2" t="s">
        <v>606</v>
      </c>
      <c r="M459" s="4" t="s">
        <v>25988</v>
      </c>
    </row>
    <row r="460" spans="1:13">
      <c r="A460" s="2">
        <v>650</v>
      </c>
      <c r="B460" s="2" t="s">
        <v>2970</v>
      </c>
      <c r="C460" s="2">
        <v>28</v>
      </c>
      <c r="D460" s="2">
        <v>568</v>
      </c>
      <c r="E460" s="2">
        <v>336</v>
      </c>
      <c r="F460" s="2">
        <v>32441</v>
      </c>
      <c r="G460" s="2">
        <v>4.7595363849999996</v>
      </c>
      <c r="H460" s="3">
        <v>5.5799999999999997E-11</v>
      </c>
      <c r="I460" s="2" t="s">
        <v>25989</v>
      </c>
      <c r="J460" s="2" t="s">
        <v>25990</v>
      </c>
      <c r="K460" s="3">
        <v>9.0399999999999998E-10</v>
      </c>
      <c r="L460" s="2" t="s">
        <v>606</v>
      </c>
      <c r="M460" s="4" t="s">
        <v>2973</v>
      </c>
    </row>
    <row r="461" spans="1:13">
      <c r="A461" s="2">
        <v>637</v>
      </c>
      <c r="B461" s="2" t="s">
        <v>25991</v>
      </c>
      <c r="C461" s="2">
        <v>21</v>
      </c>
      <c r="D461" s="2">
        <v>568</v>
      </c>
      <c r="E461" s="2">
        <v>183</v>
      </c>
      <c r="F461" s="2">
        <v>32441</v>
      </c>
      <c r="G461" s="2">
        <v>6.5541156779999996</v>
      </c>
      <c r="H461" s="3">
        <v>7.1499999999999999E-11</v>
      </c>
      <c r="I461" s="2" t="s">
        <v>25992</v>
      </c>
      <c r="J461" s="2" t="s">
        <v>25993</v>
      </c>
      <c r="K461" s="3">
        <v>1.13E-9</v>
      </c>
      <c r="L461" s="2" t="s">
        <v>606</v>
      </c>
      <c r="M461" s="4" t="s">
        <v>25994</v>
      </c>
    </row>
    <row r="462" spans="1:13">
      <c r="A462" s="2">
        <v>7</v>
      </c>
      <c r="B462" s="2" t="s">
        <v>25995</v>
      </c>
      <c r="C462" s="2">
        <v>75</v>
      </c>
      <c r="D462" s="2">
        <v>568</v>
      </c>
      <c r="E462" s="2">
        <v>1890</v>
      </c>
      <c r="F462" s="2">
        <v>32441</v>
      </c>
      <c r="G462" s="2">
        <v>2.2664458980000002</v>
      </c>
      <c r="H462" s="3">
        <v>8.8800000000000006E-11</v>
      </c>
      <c r="I462" s="3" t="s">
        <v>25996</v>
      </c>
      <c r="J462" s="3" t="s">
        <v>25997</v>
      </c>
      <c r="K462" s="3">
        <v>1.37E-9</v>
      </c>
      <c r="L462" s="2" t="s">
        <v>606</v>
      </c>
      <c r="M462" s="4" t="s">
        <v>25998</v>
      </c>
    </row>
    <row r="463" spans="1:13">
      <c r="A463" s="2">
        <v>82</v>
      </c>
      <c r="B463" s="2" t="s">
        <v>25999</v>
      </c>
      <c r="C463" s="2">
        <v>25</v>
      </c>
      <c r="D463" s="2">
        <v>568</v>
      </c>
      <c r="E463" s="2">
        <v>272</v>
      </c>
      <c r="F463" s="2">
        <v>32441</v>
      </c>
      <c r="G463" s="2">
        <v>5.2494886599999999</v>
      </c>
      <c r="H463" s="3">
        <v>9.0300000000000001E-11</v>
      </c>
      <c r="I463" s="2" t="s">
        <v>26000</v>
      </c>
      <c r="J463" s="2" t="s">
        <v>26001</v>
      </c>
      <c r="K463" s="3">
        <v>1.37E-9</v>
      </c>
      <c r="L463" s="2" t="s">
        <v>606</v>
      </c>
      <c r="M463" s="4" t="s">
        <v>26002</v>
      </c>
    </row>
    <row r="464" spans="1:13">
      <c r="A464" s="2">
        <v>253</v>
      </c>
      <c r="B464" s="2" t="s">
        <v>26003</v>
      </c>
      <c r="C464" s="2">
        <v>23</v>
      </c>
      <c r="D464" s="2">
        <v>568</v>
      </c>
      <c r="E464" s="2">
        <v>232</v>
      </c>
      <c r="F464" s="2">
        <v>32441</v>
      </c>
      <c r="G464" s="2">
        <v>5.6622070789999999</v>
      </c>
      <c r="H464" s="3">
        <v>1.2999999999999999E-10</v>
      </c>
      <c r="I464" s="2" t="s">
        <v>26004</v>
      </c>
      <c r="J464" s="2" t="s">
        <v>26005</v>
      </c>
      <c r="K464" s="3">
        <v>1.9399999999999999E-9</v>
      </c>
      <c r="L464" s="2" t="s">
        <v>606</v>
      </c>
      <c r="M464" s="4" t="s">
        <v>26006</v>
      </c>
    </row>
    <row r="465" spans="1:13">
      <c r="A465" s="2">
        <v>735</v>
      </c>
      <c r="B465" s="2" t="s">
        <v>2962</v>
      </c>
      <c r="C465" s="2">
        <v>30</v>
      </c>
      <c r="D465" s="2">
        <v>568</v>
      </c>
      <c r="E465" s="2">
        <v>402</v>
      </c>
      <c r="F465" s="2">
        <v>32441</v>
      </c>
      <c r="G465" s="2">
        <v>4.2622713900000004</v>
      </c>
      <c r="H465" s="3">
        <v>1.41E-10</v>
      </c>
      <c r="I465" s="2" t="s">
        <v>26007</v>
      </c>
      <c r="J465" s="2" t="s">
        <v>26008</v>
      </c>
      <c r="K465" s="3">
        <v>2.0599999999999999E-9</v>
      </c>
      <c r="L465" s="2" t="s">
        <v>606</v>
      </c>
      <c r="M465" s="4" t="s">
        <v>2965</v>
      </c>
    </row>
    <row r="466" spans="1:13">
      <c r="A466" s="2">
        <v>392</v>
      </c>
      <c r="B466" s="2" t="s">
        <v>26009</v>
      </c>
      <c r="C466" s="2">
        <v>14</v>
      </c>
      <c r="D466" s="2">
        <v>568</v>
      </c>
      <c r="E466" s="2">
        <v>69</v>
      </c>
      <c r="F466" s="2">
        <v>32441</v>
      </c>
      <c r="G466" s="2">
        <v>11.588436420000001</v>
      </c>
      <c r="H466" s="3">
        <v>1.5199999999999999E-10</v>
      </c>
      <c r="I466" s="2" t="s">
        <v>26010</v>
      </c>
      <c r="J466" s="2" t="s">
        <v>26011</v>
      </c>
      <c r="K466" s="3">
        <v>2.1900000000000001E-9</v>
      </c>
      <c r="L466" s="2" t="s">
        <v>606</v>
      </c>
      <c r="M466" s="4" t="s">
        <v>26012</v>
      </c>
    </row>
    <row r="467" spans="1:13">
      <c r="A467" s="2">
        <v>26</v>
      </c>
      <c r="B467" s="2" t="s">
        <v>26013</v>
      </c>
      <c r="C467" s="2">
        <v>23</v>
      </c>
      <c r="D467" s="2">
        <v>568</v>
      </c>
      <c r="E467" s="2">
        <v>235</v>
      </c>
      <c r="F467" s="2">
        <v>32441</v>
      </c>
      <c r="G467" s="2">
        <v>5.5899235840000001</v>
      </c>
      <c r="H467" s="3">
        <v>1.64E-10</v>
      </c>
      <c r="I467" s="2" t="s">
        <v>26014</v>
      </c>
      <c r="J467" s="2" t="s">
        <v>26015</v>
      </c>
      <c r="K467" s="3">
        <v>2.2900000000000002E-9</v>
      </c>
      <c r="L467" s="2" t="s">
        <v>606</v>
      </c>
      <c r="M467" s="4" t="s">
        <v>26016</v>
      </c>
    </row>
    <row r="468" spans="1:13">
      <c r="A468" s="2">
        <v>451</v>
      </c>
      <c r="B468" s="2" t="s">
        <v>26017</v>
      </c>
      <c r="C468" s="2">
        <v>23</v>
      </c>
      <c r="D468" s="2">
        <v>568</v>
      </c>
      <c r="E468" s="2">
        <v>235</v>
      </c>
      <c r="F468" s="2">
        <v>32441</v>
      </c>
      <c r="G468" s="2">
        <v>5.5899235840000001</v>
      </c>
      <c r="H468" s="3">
        <v>1.64E-10</v>
      </c>
      <c r="I468" s="2" t="s">
        <v>26018</v>
      </c>
      <c r="J468" s="2" t="s">
        <v>26019</v>
      </c>
      <c r="K468" s="3">
        <v>2.2900000000000002E-9</v>
      </c>
      <c r="L468" s="2" t="s">
        <v>606</v>
      </c>
      <c r="M468" s="4" t="s">
        <v>26020</v>
      </c>
    </row>
    <row r="469" spans="1:13">
      <c r="A469" s="2">
        <v>252</v>
      </c>
      <c r="B469" s="2" t="s">
        <v>26021</v>
      </c>
      <c r="C469" s="2">
        <v>23</v>
      </c>
      <c r="D469" s="2">
        <v>568</v>
      </c>
      <c r="E469" s="2">
        <v>244</v>
      </c>
      <c r="F469" s="2">
        <v>32441</v>
      </c>
      <c r="G469" s="2">
        <v>5.3837378779999998</v>
      </c>
      <c r="H469" s="3">
        <v>3.2500000000000002E-10</v>
      </c>
      <c r="I469" s="2" t="s">
        <v>26022</v>
      </c>
      <c r="J469" s="2" t="s">
        <v>26023</v>
      </c>
      <c r="K469" s="3">
        <v>4.4500000000000001E-9</v>
      </c>
      <c r="L469" s="2" t="s">
        <v>606</v>
      </c>
      <c r="M469" s="4" t="s">
        <v>26024</v>
      </c>
    </row>
    <row r="470" spans="1:13">
      <c r="A470" s="2">
        <v>726</v>
      </c>
      <c r="B470" s="2" t="s">
        <v>26025</v>
      </c>
      <c r="C470" s="2">
        <v>19</v>
      </c>
      <c r="D470" s="2">
        <v>568</v>
      </c>
      <c r="E470" s="2">
        <v>160</v>
      </c>
      <c r="F470" s="2">
        <v>32441</v>
      </c>
      <c r="G470" s="2">
        <v>6.7823393489999999</v>
      </c>
      <c r="H470" s="3">
        <v>3.4000000000000001E-10</v>
      </c>
      <c r="I470" s="2" t="s">
        <v>26026</v>
      </c>
      <c r="J470" s="2" t="s">
        <v>26027</v>
      </c>
      <c r="K470" s="3">
        <v>4.5900000000000001E-9</v>
      </c>
      <c r="L470" s="2" t="s">
        <v>606</v>
      </c>
      <c r="M470" s="4" t="s">
        <v>26028</v>
      </c>
    </row>
    <row r="471" spans="1:13">
      <c r="A471" s="2">
        <v>533</v>
      </c>
      <c r="B471" s="2" t="s">
        <v>26029</v>
      </c>
      <c r="C471" s="2">
        <v>17</v>
      </c>
      <c r="D471" s="2">
        <v>568</v>
      </c>
      <c r="E471" s="2">
        <v>123</v>
      </c>
      <c r="F471" s="2">
        <v>32441</v>
      </c>
      <c r="G471" s="2">
        <v>7.8938652239999998</v>
      </c>
      <c r="H471" s="3">
        <v>3.5400000000000002E-10</v>
      </c>
      <c r="I471" s="2" t="s">
        <v>26030</v>
      </c>
      <c r="J471" s="2" t="s">
        <v>26031</v>
      </c>
      <c r="K471" s="3">
        <v>4.6999999999999999E-9</v>
      </c>
      <c r="L471" s="2" t="s">
        <v>606</v>
      </c>
      <c r="M471" s="4" t="s">
        <v>26032</v>
      </c>
    </row>
    <row r="472" spans="1:13">
      <c r="A472" s="2">
        <v>698</v>
      </c>
      <c r="B472" s="2" t="s">
        <v>26033</v>
      </c>
      <c r="C472" s="2">
        <v>22</v>
      </c>
      <c r="D472" s="2">
        <v>568</v>
      </c>
      <c r="E472" s="2">
        <v>226</v>
      </c>
      <c r="F472" s="2">
        <v>32441</v>
      </c>
      <c r="G472" s="2">
        <v>5.5598124139999996</v>
      </c>
      <c r="H472" s="3">
        <v>4.5199999999999999E-10</v>
      </c>
      <c r="I472" s="2" t="s">
        <v>26034</v>
      </c>
      <c r="J472" s="2" t="s">
        <v>26035</v>
      </c>
      <c r="K472" s="3">
        <v>5.8999999999999999E-9</v>
      </c>
      <c r="L472" s="2" t="s">
        <v>606</v>
      </c>
      <c r="M472" s="4" t="s">
        <v>26036</v>
      </c>
    </row>
    <row r="473" spans="1:13">
      <c r="A473" s="2">
        <v>704</v>
      </c>
      <c r="B473" s="2" t="s">
        <v>26037</v>
      </c>
      <c r="C473" s="2">
        <v>17</v>
      </c>
      <c r="D473" s="2">
        <v>568</v>
      </c>
      <c r="E473" s="2">
        <v>130</v>
      </c>
      <c r="F473" s="2">
        <v>32441</v>
      </c>
      <c r="G473" s="2">
        <v>7.4688109430000003</v>
      </c>
      <c r="H473" s="3">
        <v>7.6400000000000005E-10</v>
      </c>
      <c r="I473" s="2" t="s">
        <v>26038</v>
      </c>
      <c r="J473" s="2" t="s">
        <v>26039</v>
      </c>
      <c r="K473" s="3">
        <v>9.8299999999999993E-9</v>
      </c>
      <c r="L473" s="2" t="s">
        <v>606</v>
      </c>
      <c r="M473" s="4" t="s">
        <v>26040</v>
      </c>
    </row>
    <row r="474" spans="1:13">
      <c r="A474" s="2">
        <v>387</v>
      </c>
      <c r="B474" s="2" t="s">
        <v>26041</v>
      </c>
      <c r="C474" s="2">
        <v>22</v>
      </c>
      <c r="D474" s="2">
        <v>568</v>
      </c>
      <c r="E474" s="2">
        <v>235</v>
      </c>
      <c r="F474" s="2">
        <v>32441</v>
      </c>
      <c r="G474" s="2">
        <v>5.3468834279999999</v>
      </c>
      <c r="H474" s="3">
        <v>8.8700000000000004E-10</v>
      </c>
      <c r="I474" s="2" t="s">
        <v>26042</v>
      </c>
      <c r="J474" s="2" t="s">
        <v>26043</v>
      </c>
      <c r="K474" s="3">
        <v>1.0800000000000001E-8</v>
      </c>
      <c r="L474" s="2" t="s">
        <v>606</v>
      </c>
      <c r="M474" s="4" t="s">
        <v>26044</v>
      </c>
    </row>
    <row r="475" spans="1:13">
      <c r="A475" s="2">
        <v>388</v>
      </c>
      <c r="B475" s="2" t="s">
        <v>26045</v>
      </c>
      <c r="C475" s="2">
        <v>22</v>
      </c>
      <c r="D475" s="2">
        <v>568</v>
      </c>
      <c r="E475" s="2">
        <v>235</v>
      </c>
      <c r="F475" s="2">
        <v>32441</v>
      </c>
      <c r="G475" s="2">
        <v>5.3468834279999999</v>
      </c>
      <c r="H475" s="3">
        <v>8.8700000000000004E-10</v>
      </c>
      <c r="I475" s="2" t="s">
        <v>26042</v>
      </c>
      <c r="J475" s="2" t="s">
        <v>26043</v>
      </c>
      <c r="K475" s="3">
        <v>1.0800000000000001E-8</v>
      </c>
      <c r="L475" s="2" t="s">
        <v>606</v>
      </c>
      <c r="M475" s="4" t="s">
        <v>26046</v>
      </c>
    </row>
    <row r="476" spans="1:13">
      <c r="A476" s="2">
        <v>390</v>
      </c>
      <c r="B476" s="2" t="s">
        <v>26047</v>
      </c>
      <c r="C476" s="2">
        <v>22</v>
      </c>
      <c r="D476" s="2">
        <v>568</v>
      </c>
      <c r="E476" s="2">
        <v>235</v>
      </c>
      <c r="F476" s="2">
        <v>32441</v>
      </c>
      <c r="G476" s="2">
        <v>5.3468834279999999</v>
      </c>
      <c r="H476" s="3">
        <v>8.8700000000000004E-10</v>
      </c>
      <c r="I476" s="2" t="s">
        <v>26042</v>
      </c>
      <c r="J476" s="2" t="s">
        <v>26043</v>
      </c>
      <c r="K476" s="3">
        <v>1.0800000000000001E-8</v>
      </c>
      <c r="L476" s="2" t="s">
        <v>606</v>
      </c>
      <c r="M476" s="4" t="s">
        <v>26048</v>
      </c>
    </row>
    <row r="477" spans="1:13">
      <c r="A477" s="2">
        <v>685</v>
      </c>
      <c r="B477" s="2" t="s">
        <v>26049</v>
      </c>
      <c r="C477" s="2">
        <v>17</v>
      </c>
      <c r="D477" s="2">
        <v>568</v>
      </c>
      <c r="E477" s="2">
        <v>131</v>
      </c>
      <c r="F477" s="2">
        <v>32441</v>
      </c>
      <c r="G477" s="2">
        <v>7.411797119</v>
      </c>
      <c r="H477" s="3">
        <v>8.4999999999999996E-10</v>
      </c>
      <c r="I477" s="2" t="s">
        <v>26050</v>
      </c>
      <c r="J477" s="2" t="s">
        <v>26051</v>
      </c>
      <c r="K477" s="3">
        <v>1.0800000000000001E-8</v>
      </c>
      <c r="L477" s="2" t="s">
        <v>606</v>
      </c>
      <c r="M477" s="4" t="s">
        <v>26052</v>
      </c>
    </row>
    <row r="478" spans="1:13">
      <c r="A478" s="2">
        <v>215</v>
      </c>
      <c r="B478" s="2" t="s">
        <v>613</v>
      </c>
      <c r="C478" s="2">
        <v>23</v>
      </c>
      <c r="D478" s="2">
        <v>568</v>
      </c>
      <c r="E478" s="2">
        <v>259</v>
      </c>
      <c r="F478" s="2">
        <v>32441</v>
      </c>
      <c r="G478" s="2">
        <v>5.0719383870000003</v>
      </c>
      <c r="H478" s="3">
        <v>9.4800000000000004E-10</v>
      </c>
      <c r="I478" s="2" t="s">
        <v>26053</v>
      </c>
      <c r="J478" s="2" t="s">
        <v>26054</v>
      </c>
      <c r="K478" s="3">
        <v>1.13E-8</v>
      </c>
      <c r="L478" s="2" t="s">
        <v>606</v>
      </c>
      <c r="M478" s="4" t="s">
        <v>26055</v>
      </c>
    </row>
    <row r="479" spans="1:13">
      <c r="A479" s="2">
        <v>709</v>
      </c>
      <c r="B479" s="2" t="s">
        <v>26056</v>
      </c>
      <c r="C479" s="2">
        <v>16</v>
      </c>
      <c r="D479" s="2">
        <v>568</v>
      </c>
      <c r="E479" s="2">
        <v>115</v>
      </c>
      <c r="F479" s="2">
        <v>32441</v>
      </c>
      <c r="G479" s="2">
        <v>7.9463563989999999</v>
      </c>
      <c r="H479" s="3">
        <v>1.07E-9</v>
      </c>
      <c r="I479" s="2" t="s">
        <v>26057</v>
      </c>
      <c r="J479" s="2" t="s">
        <v>26058</v>
      </c>
      <c r="K479" s="3">
        <v>1.26E-8</v>
      </c>
      <c r="L479" s="2" t="s">
        <v>606</v>
      </c>
      <c r="M479" s="4" t="s">
        <v>26059</v>
      </c>
    </row>
    <row r="480" spans="1:13">
      <c r="A480" s="2">
        <v>167</v>
      </c>
      <c r="B480" s="2" t="s">
        <v>26060</v>
      </c>
      <c r="C480" s="2">
        <v>23</v>
      </c>
      <c r="D480" s="2">
        <v>568</v>
      </c>
      <c r="E480" s="2">
        <v>261</v>
      </c>
      <c r="F480" s="2">
        <v>32441</v>
      </c>
      <c r="G480" s="2">
        <v>5.0330729590000001</v>
      </c>
      <c r="H480" s="3">
        <v>1.09E-9</v>
      </c>
      <c r="I480" s="2" t="s">
        <v>26061</v>
      </c>
      <c r="J480" s="2" t="s">
        <v>26062</v>
      </c>
      <c r="K480" s="3">
        <v>1.26E-8</v>
      </c>
      <c r="L480" s="2" t="s">
        <v>606</v>
      </c>
      <c r="M480" s="4" t="s">
        <v>26063</v>
      </c>
    </row>
    <row r="481" spans="1:13">
      <c r="A481" s="2">
        <v>389</v>
      </c>
      <c r="B481" s="2" t="s">
        <v>26064</v>
      </c>
      <c r="C481" s="2">
        <v>22</v>
      </c>
      <c r="D481" s="2">
        <v>568</v>
      </c>
      <c r="E481" s="2">
        <v>239</v>
      </c>
      <c r="F481" s="2">
        <v>32441</v>
      </c>
      <c r="G481" s="2">
        <v>5.257395839</v>
      </c>
      <c r="H481" s="3">
        <v>1.19E-9</v>
      </c>
      <c r="I481" s="2" t="s">
        <v>26065</v>
      </c>
      <c r="J481" s="2" t="s">
        <v>26066</v>
      </c>
      <c r="K481" s="3">
        <v>1.35E-8</v>
      </c>
      <c r="L481" s="2" t="s">
        <v>606</v>
      </c>
      <c r="M481" s="4" t="s">
        <v>26067</v>
      </c>
    </row>
    <row r="482" spans="1:13">
      <c r="A482" s="2">
        <v>649</v>
      </c>
      <c r="B482" s="2" t="s">
        <v>26068</v>
      </c>
      <c r="C482" s="2">
        <v>32</v>
      </c>
      <c r="D482" s="2">
        <v>568</v>
      </c>
      <c r="E482" s="2">
        <v>499</v>
      </c>
      <c r="F482" s="2">
        <v>32441</v>
      </c>
      <c r="G482" s="2">
        <v>3.6626492420000001</v>
      </c>
      <c r="H482" s="3">
        <v>1.2E-9</v>
      </c>
      <c r="I482" s="2" t="s">
        <v>26069</v>
      </c>
      <c r="J482" s="2" t="s">
        <v>26070</v>
      </c>
      <c r="K482" s="3">
        <v>1.35E-8</v>
      </c>
      <c r="L482" s="2" t="s">
        <v>606</v>
      </c>
      <c r="M482" s="4" t="s">
        <v>26071</v>
      </c>
    </row>
    <row r="483" spans="1:13">
      <c r="A483" s="2">
        <v>511</v>
      </c>
      <c r="B483" s="2" t="s">
        <v>26072</v>
      </c>
      <c r="C483" s="2">
        <v>26</v>
      </c>
      <c r="D483" s="2">
        <v>568</v>
      </c>
      <c r="E483" s="2">
        <v>337</v>
      </c>
      <c r="F483" s="2">
        <v>32441</v>
      </c>
      <c r="G483" s="2">
        <v>4.406455051</v>
      </c>
      <c r="H483" s="3">
        <v>1.25E-9</v>
      </c>
      <c r="I483" s="2" t="s">
        <v>26073</v>
      </c>
      <c r="J483" s="2" t="s">
        <v>26074</v>
      </c>
      <c r="K483" s="3">
        <v>1.4E-8</v>
      </c>
      <c r="L483" s="2" t="s">
        <v>606</v>
      </c>
      <c r="M483" s="4" t="s">
        <v>26075</v>
      </c>
    </row>
    <row r="484" spans="1:13">
      <c r="A484" s="2">
        <v>364</v>
      </c>
      <c r="B484" s="2" t="s">
        <v>26076</v>
      </c>
      <c r="C484" s="2">
        <v>16</v>
      </c>
      <c r="D484" s="2">
        <v>568</v>
      </c>
      <c r="E484" s="2">
        <v>117</v>
      </c>
      <c r="F484" s="2">
        <v>32441</v>
      </c>
      <c r="G484" s="2">
        <v>7.8105212469999996</v>
      </c>
      <c r="H484" s="3">
        <v>1.3399999999999999E-9</v>
      </c>
      <c r="I484" s="2" t="s">
        <v>26077</v>
      </c>
      <c r="J484" s="2" t="s">
        <v>26078</v>
      </c>
      <c r="K484" s="3">
        <v>1.48E-8</v>
      </c>
      <c r="L484" s="2" t="s">
        <v>606</v>
      </c>
      <c r="M484" s="4" t="s">
        <v>26079</v>
      </c>
    </row>
    <row r="485" spans="1:13">
      <c r="A485" s="2">
        <v>434</v>
      </c>
      <c r="B485" s="2" t="s">
        <v>26080</v>
      </c>
      <c r="C485" s="2">
        <v>19</v>
      </c>
      <c r="D485" s="2">
        <v>568</v>
      </c>
      <c r="E485" s="2">
        <v>176</v>
      </c>
      <c r="F485" s="2">
        <v>32441</v>
      </c>
      <c r="G485" s="2">
        <v>6.1657630440000002</v>
      </c>
      <c r="H485" s="3">
        <v>1.4599999999999999E-9</v>
      </c>
      <c r="I485" s="2" t="s">
        <v>26081</v>
      </c>
      <c r="J485" s="2" t="s">
        <v>26082</v>
      </c>
      <c r="K485" s="3">
        <v>1.59E-8</v>
      </c>
      <c r="L485" s="2" t="s">
        <v>606</v>
      </c>
      <c r="M485" s="4" t="s">
        <v>26083</v>
      </c>
    </row>
    <row r="486" spans="1:13">
      <c r="A486" s="2">
        <v>589</v>
      </c>
      <c r="B486" s="2" t="s">
        <v>26084</v>
      </c>
      <c r="C486" s="2">
        <v>15</v>
      </c>
      <c r="D486" s="2">
        <v>568</v>
      </c>
      <c r="E486" s="2">
        <v>102</v>
      </c>
      <c r="F486" s="2">
        <v>32441</v>
      </c>
      <c r="G486" s="2">
        <v>8.3991818560000002</v>
      </c>
      <c r="H486" s="3">
        <v>1.8E-9</v>
      </c>
      <c r="I486" s="2" t="s">
        <v>26085</v>
      </c>
      <c r="J486" s="2" t="s">
        <v>26086</v>
      </c>
      <c r="K486" s="3">
        <v>1.9300000000000001E-8</v>
      </c>
      <c r="L486" s="2" t="s">
        <v>606</v>
      </c>
      <c r="M486" s="4" t="s">
        <v>26087</v>
      </c>
    </row>
    <row r="487" spans="1:13">
      <c r="A487" s="2">
        <v>7081</v>
      </c>
      <c r="B487" s="2" t="s">
        <v>26088</v>
      </c>
      <c r="C487" s="2">
        <v>20</v>
      </c>
      <c r="D487" s="2">
        <v>568</v>
      </c>
      <c r="E487" s="2">
        <v>200</v>
      </c>
      <c r="F487" s="2">
        <v>32441</v>
      </c>
      <c r="G487" s="2">
        <v>5.7114436619999998</v>
      </c>
      <c r="H487" s="3">
        <v>1.8300000000000001E-9</v>
      </c>
      <c r="I487" s="2" t="s">
        <v>26089</v>
      </c>
      <c r="J487" s="2" t="s">
        <v>26090</v>
      </c>
      <c r="K487" s="3">
        <v>1.9300000000000001E-8</v>
      </c>
      <c r="L487" s="2" t="s">
        <v>606</v>
      </c>
      <c r="M487" s="4" t="s">
        <v>26091</v>
      </c>
    </row>
    <row r="488" spans="1:13">
      <c r="A488" s="2">
        <v>35</v>
      </c>
      <c r="B488" s="2" t="s">
        <v>26092</v>
      </c>
      <c r="C488" s="2">
        <v>22</v>
      </c>
      <c r="D488" s="2">
        <v>568</v>
      </c>
      <c r="E488" s="2">
        <v>246</v>
      </c>
      <c r="F488" s="2">
        <v>32441</v>
      </c>
      <c r="G488" s="2">
        <v>5.1077951449999999</v>
      </c>
      <c r="H488" s="3">
        <v>1.9500000000000001E-9</v>
      </c>
      <c r="I488" s="2" t="s">
        <v>26093</v>
      </c>
      <c r="J488" s="2" t="s">
        <v>26094</v>
      </c>
      <c r="K488" s="3">
        <v>2.0100000000000001E-8</v>
      </c>
      <c r="L488" s="2" t="s">
        <v>606</v>
      </c>
      <c r="M488" s="4" t="s">
        <v>26095</v>
      </c>
    </row>
    <row r="489" spans="1:13">
      <c r="A489" s="2">
        <v>648</v>
      </c>
      <c r="B489" s="2" t="s">
        <v>26096</v>
      </c>
      <c r="C489" s="2">
        <v>21</v>
      </c>
      <c r="D489" s="2">
        <v>568</v>
      </c>
      <c r="E489" s="2">
        <v>223</v>
      </c>
      <c r="F489" s="2">
        <v>32441</v>
      </c>
      <c r="G489" s="2">
        <v>5.378489547</v>
      </c>
      <c r="H489" s="3">
        <v>1.9399999999999999E-9</v>
      </c>
      <c r="I489" s="2" t="s">
        <v>26097</v>
      </c>
      <c r="J489" s="2" t="s">
        <v>26098</v>
      </c>
      <c r="K489" s="3">
        <v>2.0100000000000001E-8</v>
      </c>
      <c r="L489" s="2" t="s">
        <v>606</v>
      </c>
      <c r="M489" s="4" t="s">
        <v>26099</v>
      </c>
    </row>
    <row r="490" spans="1:13">
      <c r="A490" s="2">
        <v>542</v>
      </c>
      <c r="B490" s="2" t="s">
        <v>26100</v>
      </c>
      <c r="C490" s="2">
        <v>39</v>
      </c>
      <c r="D490" s="2">
        <v>568</v>
      </c>
      <c r="E490" s="2">
        <v>727</v>
      </c>
      <c r="F490" s="2">
        <v>32441</v>
      </c>
      <c r="G490" s="2">
        <v>3.0639106300000001</v>
      </c>
      <c r="H490" s="3">
        <v>2.2999999999999999E-9</v>
      </c>
      <c r="I490" s="2" t="s">
        <v>26101</v>
      </c>
      <c r="J490" s="2" t="s">
        <v>26102</v>
      </c>
      <c r="K490" s="3">
        <v>2.3400000000000001E-8</v>
      </c>
      <c r="L490" s="2" t="s">
        <v>606</v>
      </c>
      <c r="M490" s="4" t="s">
        <v>26103</v>
      </c>
    </row>
    <row r="491" spans="1:13">
      <c r="A491" s="2">
        <v>809</v>
      </c>
      <c r="B491" s="2" t="s">
        <v>26104</v>
      </c>
      <c r="C491" s="2">
        <v>42</v>
      </c>
      <c r="D491" s="2">
        <v>568</v>
      </c>
      <c r="E491" s="2">
        <v>827</v>
      </c>
      <c r="F491" s="2">
        <v>32441</v>
      </c>
      <c r="G491" s="2">
        <v>2.9006122589999999</v>
      </c>
      <c r="H491" s="3">
        <v>2.5399999999999999E-9</v>
      </c>
      <c r="I491" s="2" t="s">
        <v>26105</v>
      </c>
      <c r="J491" s="2" t="s">
        <v>26106</v>
      </c>
      <c r="K491" s="3">
        <v>2.5600000000000001E-8</v>
      </c>
      <c r="L491" s="2" t="s">
        <v>606</v>
      </c>
      <c r="M491" s="4" t="s">
        <v>26107</v>
      </c>
    </row>
    <row r="492" spans="1:13">
      <c r="A492" s="2">
        <v>588</v>
      </c>
      <c r="B492" s="2" t="s">
        <v>26108</v>
      </c>
      <c r="C492" s="2">
        <v>14</v>
      </c>
      <c r="D492" s="2">
        <v>568</v>
      </c>
      <c r="E492" s="2">
        <v>89</v>
      </c>
      <c r="F492" s="2">
        <v>32441</v>
      </c>
      <c r="G492" s="2">
        <v>8.9842934010000004</v>
      </c>
      <c r="H492" s="3">
        <v>2.88E-9</v>
      </c>
      <c r="I492" s="2" t="s">
        <v>26109</v>
      </c>
      <c r="J492" s="2" t="s">
        <v>26110</v>
      </c>
      <c r="K492" s="3">
        <v>2.8699999999999999E-8</v>
      </c>
      <c r="L492" s="2" t="s">
        <v>606</v>
      </c>
      <c r="M492" s="4" t="s">
        <v>26111</v>
      </c>
    </row>
    <row r="493" spans="1:13">
      <c r="A493" s="2">
        <v>642</v>
      </c>
      <c r="B493" s="2" t="s">
        <v>26112</v>
      </c>
      <c r="C493" s="2">
        <v>15</v>
      </c>
      <c r="D493" s="2">
        <v>568</v>
      </c>
      <c r="E493" s="2">
        <v>107</v>
      </c>
      <c r="F493" s="2">
        <v>32441</v>
      </c>
      <c r="G493" s="2">
        <v>8.0066967219999992</v>
      </c>
      <c r="H493" s="3">
        <v>3.24E-9</v>
      </c>
      <c r="I493" s="2" t="s">
        <v>26113</v>
      </c>
      <c r="J493" s="2" t="s">
        <v>26114</v>
      </c>
      <c r="K493" s="3">
        <v>3.1900000000000001E-8</v>
      </c>
      <c r="L493" s="2" t="s">
        <v>606</v>
      </c>
      <c r="M493" s="4" t="s">
        <v>26115</v>
      </c>
    </row>
    <row r="494" spans="1:13">
      <c r="A494" s="2">
        <v>489</v>
      </c>
      <c r="B494" s="2" t="s">
        <v>26116</v>
      </c>
      <c r="C494" s="2">
        <v>27</v>
      </c>
      <c r="D494" s="2">
        <v>568</v>
      </c>
      <c r="E494" s="2">
        <v>391</v>
      </c>
      <c r="F494" s="2">
        <v>32441</v>
      </c>
      <c r="G494" s="2">
        <v>3.943963654</v>
      </c>
      <c r="H494" s="3">
        <v>5.5999999999999997E-9</v>
      </c>
      <c r="I494" s="2" t="s">
        <v>26117</v>
      </c>
      <c r="J494" s="2" t="s">
        <v>26118</v>
      </c>
      <c r="K494" s="3">
        <v>5.4499999999999998E-8</v>
      </c>
      <c r="L494" s="2" t="s">
        <v>606</v>
      </c>
      <c r="M494" s="4" t="s">
        <v>26119</v>
      </c>
    </row>
    <row r="495" spans="1:13">
      <c r="A495" s="2">
        <v>5471</v>
      </c>
      <c r="B495" s="2" t="s">
        <v>26120</v>
      </c>
      <c r="C495" s="2">
        <v>23</v>
      </c>
      <c r="D495" s="2">
        <v>568</v>
      </c>
      <c r="E495" s="2">
        <v>287</v>
      </c>
      <c r="F495" s="2">
        <v>32441</v>
      </c>
      <c r="G495" s="2">
        <v>4.5771151300000001</v>
      </c>
      <c r="H495" s="3">
        <v>5.8299999999999999E-9</v>
      </c>
      <c r="I495" s="2" t="s">
        <v>26121</v>
      </c>
      <c r="J495" s="2" t="s">
        <v>26122</v>
      </c>
      <c r="K495" s="3">
        <v>5.5999999999999999E-8</v>
      </c>
      <c r="L495" s="2" t="s">
        <v>606</v>
      </c>
      <c r="M495" s="4" t="s">
        <v>26123</v>
      </c>
    </row>
    <row r="496" spans="1:13">
      <c r="A496" s="2">
        <v>766</v>
      </c>
      <c r="B496" s="2" t="s">
        <v>26124</v>
      </c>
      <c r="C496" s="2">
        <v>24</v>
      </c>
      <c r="D496" s="2">
        <v>568</v>
      </c>
      <c r="E496" s="2">
        <v>319</v>
      </c>
      <c r="F496" s="2">
        <v>32441</v>
      </c>
      <c r="G496" s="2">
        <v>4.2970109059999997</v>
      </c>
      <c r="H496" s="3">
        <v>8.5600000000000002E-9</v>
      </c>
      <c r="I496" s="2" t="s">
        <v>26125</v>
      </c>
      <c r="J496" s="2" t="s">
        <v>26126</v>
      </c>
      <c r="K496" s="3">
        <v>8.1400000000000001E-8</v>
      </c>
      <c r="L496" s="2" t="s">
        <v>606</v>
      </c>
      <c r="M496" s="4" t="s">
        <v>26127</v>
      </c>
    </row>
    <row r="497" spans="1:13">
      <c r="A497" s="2">
        <v>532</v>
      </c>
      <c r="B497" s="2" t="s">
        <v>26128</v>
      </c>
      <c r="C497" s="2">
        <v>20</v>
      </c>
      <c r="D497" s="2">
        <v>568</v>
      </c>
      <c r="E497" s="2">
        <v>221</v>
      </c>
      <c r="F497" s="2">
        <v>32441</v>
      </c>
      <c r="G497" s="2">
        <v>5.1687272960000001</v>
      </c>
      <c r="H497" s="3">
        <v>8.7799999999999999E-9</v>
      </c>
      <c r="I497" s="2" t="s">
        <v>26129</v>
      </c>
      <c r="J497" s="2" t="s">
        <v>26130</v>
      </c>
      <c r="K497" s="3">
        <v>8.1600000000000003E-8</v>
      </c>
      <c r="L497" s="2" t="s">
        <v>606</v>
      </c>
      <c r="M497" s="4" t="s">
        <v>26131</v>
      </c>
    </row>
    <row r="498" spans="1:13">
      <c r="A498" s="2">
        <v>654</v>
      </c>
      <c r="B498" s="2" t="s">
        <v>26132</v>
      </c>
      <c r="C498" s="2">
        <v>15</v>
      </c>
      <c r="D498" s="2">
        <v>568</v>
      </c>
      <c r="E498" s="2">
        <v>116</v>
      </c>
      <c r="F498" s="2">
        <v>32441</v>
      </c>
      <c r="G498" s="2">
        <v>7.3854874940000004</v>
      </c>
      <c r="H498" s="3">
        <v>8.7299999999999994E-9</v>
      </c>
      <c r="I498" s="2" t="s">
        <v>26133</v>
      </c>
      <c r="J498" s="2" t="s">
        <v>26134</v>
      </c>
      <c r="K498" s="3">
        <v>8.1600000000000003E-8</v>
      </c>
      <c r="L498" s="2" t="s">
        <v>606</v>
      </c>
      <c r="M498" s="4" t="s">
        <v>26135</v>
      </c>
    </row>
    <row r="499" spans="1:13">
      <c r="A499" s="2">
        <v>631</v>
      </c>
      <c r="B499" s="2" t="s">
        <v>26136</v>
      </c>
      <c r="C499" s="2">
        <v>18</v>
      </c>
      <c r="D499" s="2">
        <v>568</v>
      </c>
      <c r="E499" s="2">
        <v>179</v>
      </c>
      <c r="F499" s="2">
        <v>32441</v>
      </c>
      <c r="G499" s="2">
        <v>5.7433511680000002</v>
      </c>
      <c r="H499" s="3">
        <v>1.09E-8</v>
      </c>
      <c r="I499" s="2" t="s">
        <v>26137</v>
      </c>
      <c r="J499" s="2" t="s">
        <v>26138</v>
      </c>
      <c r="K499" s="3">
        <v>9.9999999999999995E-8</v>
      </c>
      <c r="L499" s="2" t="s">
        <v>606</v>
      </c>
      <c r="M499" s="4" t="s">
        <v>26139</v>
      </c>
    </row>
    <row r="500" spans="1:13">
      <c r="A500" s="2">
        <v>40</v>
      </c>
      <c r="B500" s="2" t="s">
        <v>26140</v>
      </c>
      <c r="C500" s="2">
        <v>15</v>
      </c>
      <c r="D500" s="2">
        <v>568</v>
      </c>
      <c r="E500" s="2">
        <v>119</v>
      </c>
      <c r="F500" s="2">
        <v>32441</v>
      </c>
      <c r="G500" s="2">
        <v>7.1992987340000001</v>
      </c>
      <c r="H500" s="3">
        <v>1.1900000000000001E-8</v>
      </c>
      <c r="I500" s="2" t="s">
        <v>26141</v>
      </c>
      <c r="J500" s="2" t="s">
        <v>26142</v>
      </c>
      <c r="K500" s="3">
        <v>1.0700000000000001E-7</v>
      </c>
      <c r="L500" s="2" t="s">
        <v>606</v>
      </c>
      <c r="M500" s="4" t="s">
        <v>26143</v>
      </c>
    </row>
    <row r="501" spans="1:13">
      <c r="A501" s="2">
        <v>651</v>
      </c>
      <c r="B501" s="2" t="s">
        <v>26144</v>
      </c>
      <c r="C501" s="2">
        <v>32</v>
      </c>
      <c r="D501" s="2">
        <v>568</v>
      </c>
      <c r="E501" s="2">
        <v>552</v>
      </c>
      <c r="F501" s="2">
        <v>32441</v>
      </c>
      <c r="G501" s="2">
        <v>3.310981833</v>
      </c>
      <c r="H501" s="3">
        <v>1.18E-8</v>
      </c>
      <c r="I501" s="2" t="s">
        <v>26145</v>
      </c>
      <c r="J501" s="2" t="s">
        <v>26146</v>
      </c>
      <c r="K501" s="3">
        <v>1.0700000000000001E-7</v>
      </c>
      <c r="L501" s="2" t="s">
        <v>606</v>
      </c>
      <c r="M501" s="4" t="s">
        <v>26147</v>
      </c>
    </row>
    <row r="502" spans="1:13">
      <c r="A502" s="2">
        <v>507</v>
      </c>
      <c r="B502" s="2" t="s">
        <v>26148</v>
      </c>
      <c r="C502" s="2">
        <v>23</v>
      </c>
      <c r="D502" s="2">
        <v>568</v>
      </c>
      <c r="E502" s="2">
        <v>300</v>
      </c>
      <c r="F502" s="2">
        <v>32441</v>
      </c>
      <c r="G502" s="2">
        <v>4.3787734739999999</v>
      </c>
      <c r="H502" s="3">
        <v>1.26E-8</v>
      </c>
      <c r="I502" s="2" t="s">
        <v>26149</v>
      </c>
      <c r="J502" s="2" t="s">
        <v>26150</v>
      </c>
      <c r="K502" s="3">
        <v>1.12E-7</v>
      </c>
      <c r="L502" s="2" t="s">
        <v>606</v>
      </c>
      <c r="M502" s="4" t="s">
        <v>26151</v>
      </c>
    </row>
    <row r="503" spans="1:13">
      <c r="A503" s="2">
        <v>619</v>
      </c>
      <c r="B503" s="2" t="s">
        <v>26152</v>
      </c>
      <c r="C503" s="2">
        <v>21</v>
      </c>
      <c r="D503" s="2">
        <v>568</v>
      </c>
      <c r="E503" s="2">
        <v>256</v>
      </c>
      <c r="F503" s="2">
        <v>32441</v>
      </c>
      <c r="G503" s="2">
        <v>4.6851686289999996</v>
      </c>
      <c r="H503" s="3">
        <v>1.8399999999999999E-8</v>
      </c>
      <c r="I503" s="2" t="s">
        <v>26153</v>
      </c>
      <c r="J503" s="2" t="s">
        <v>26154</v>
      </c>
      <c r="K503" s="3">
        <v>1.6199999999999999E-7</v>
      </c>
      <c r="L503" s="2" t="s">
        <v>606</v>
      </c>
      <c r="M503" s="4" t="s">
        <v>26155</v>
      </c>
    </row>
    <row r="504" spans="1:13">
      <c r="A504" s="2">
        <v>693</v>
      </c>
      <c r="B504" s="2" t="s">
        <v>26156</v>
      </c>
      <c r="C504" s="2">
        <v>15</v>
      </c>
      <c r="D504" s="2">
        <v>568</v>
      </c>
      <c r="E504" s="2">
        <v>124</v>
      </c>
      <c r="F504" s="2">
        <v>32441</v>
      </c>
      <c r="G504" s="2">
        <v>6.9090044300000004</v>
      </c>
      <c r="H504" s="3">
        <v>1.9700000000000001E-8</v>
      </c>
      <c r="I504" s="2" t="s">
        <v>26157</v>
      </c>
      <c r="J504" s="2" t="s">
        <v>26158</v>
      </c>
      <c r="K504" s="3">
        <v>1.7100000000000001E-7</v>
      </c>
      <c r="L504" s="2" t="s">
        <v>606</v>
      </c>
      <c r="M504" s="4" t="s">
        <v>26159</v>
      </c>
    </row>
    <row r="505" spans="1:13">
      <c r="A505" s="2">
        <v>795</v>
      </c>
      <c r="B505" s="2" t="s">
        <v>622</v>
      </c>
      <c r="C505" s="2">
        <v>38</v>
      </c>
      <c r="D505" s="2">
        <v>568</v>
      </c>
      <c r="E505" s="2">
        <v>757</v>
      </c>
      <c r="F505" s="2">
        <v>32441</v>
      </c>
      <c r="G505" s="2">
        <v>2.8670390910000001</v>
      </c>
      <c r="H505" s="3">
        <v>1.99E-8</v>
      </c>
      <c r="I505" s="2" t="s">
        <v>26160</v>
      </c>
      <c r="J505" s="2" t="s">
        <v>26161</v>
      </c>
      <c r="K505" s="3">
        <v>1.72E-7</v>
      </c>
      <c r="L505" s="2" t="s">
        <v>606</v>
      </c>
      <c r="M505" s="4" t="s">
        <v>6694</v>
      </c>
    </row>
    <row r="506" spans="1:13">
      <c r="A506" s="2">
        <v>559</v>
      </c>
      <c r="B506" s="2" t="s">
        <v>26162</v>
      </c>
      <c r="C506" s="2">
        <v>22</v>
      </c>
      <c r="D506" s="2">
        <v>568</v>
      </c>
      <c r="E506" s="2">
        <v>284</v>
      </c>
      <c r="F506" s="2">
        <v>32441</v>
      </c>
      <c r="G506" s="2">
        <v>4.424357766</v>
      </c>
      <c r="H506" s="3">
        <v>2.1999999999999998E-8</v>
      </c>
      <c r="I506" s="2" t="s">
        <v>26163</v>
      </c>
      <c r="J506" s="2" t="s">
        <v>26164</v>
      </c>
      <c r="K506" s="3">
        <v>1.8799999999999999E-7</v>
      </c>
      <c r="L506" s="2" t="s">
        <v>606</v>
      </c>
      <c r="M506" s="4" t="s">
        <v>26165</v>
      </c>
    </row>
    <row r="507" spans="1:13">
      <c r="A507" s="2">
        <v>452</v>
      </c>
      <c r="B507" s="2" t="s">
        <v>26166</v>
      </c>
      <c r="C507" s="2">
        <v>20</v>
      </c>
      <c r="D507" s="2">
        <v>568</v>
      </c>
      <c r="E507" s="2">
        <v>237</v>
      </c>
      <c r="F507" s="2">
        <v>32441</v>
      </c>
      <c r="G507" s="2">
        <v>4.8197836809999997</v>
      </c>
      <c r="H507" s="3">
        <v>2.59E-8</v>
      </c>
      <c r="I507" s="2" t="s">
        <v>26167</v>
      </c>
      <c r="J507" s="2" t="s">
        <v>26168</v>
      </c>
      <c r="K507" s="3">
        <v>2.1899999999999999E-7</v>
      </c>
      <c r="L507" s="2" t="s">
        <v>606</v>
      </c>
      <c r="M507" s="4" t="s">
        <v>26169</v>
      </c>
    </row>
    <row r="508" spans="1:13">
      <c r="A508" s="2">
        <v>817</v>
      </c>
      <c r="B508" s="2" t="s">
        <v>26170</v>
      </c>
      <c r="C508" s="2">
        <v>49</v>
      </c>
      <c r="D508" s="2">
        <v>568</v>
      </c>
      <c r="E508" s="2">
        <v>1160</v>
      </c>
      <c r="F508" s="2">
        <v>32441</v>
      </c>
      <c r="G508" s="2">
        <v>2.4125925810000002</v>
      </c>
      <c r="H508" s="3">
        <v>3.4100000000000001E-8</v>
      </c>
      <c r="I508" s="3" t="s">
        <v>26171</v>
      </c>
      <c r="J508" s="3" t="s">
        <v>26172</v>
      </c>
      <c r="K508" s="3">
        <v>2.8500000000000002E-7</v>
      </c>
      <c r="L508" s="2" t="s">
        <v>606</v>
      </c>
      <c r="M508" s="4" t="s">
        <v>26173</v>
      </c>
    </row>
    <row r="509" spans="1:13">
      <c r="A509" s="2">
        <v>251</v>
      </c>
      <c r="B509" s="2" t="s">
        <v>26174</v>
      </c>
      <c r="C509" s="2">
        <v>20</v>
      </c>
      <c r="D509" s="2">
        <v>568</v>
      </c>
      <c r="E509" s="2">
        <v>244</v>
      </c>
      <c r="F509" s="2">
        <v>32441</v>
      </c>
      <c r="G509" s="2">
        <v>4.6815111979999999</v>
      </c>
      <c r="H509" s="3">
        <v>4.0499999999999999E-8</v>
      </c>
      <c r="I509" s="2" t="s">
        <v>26175</v>
      </c>
      <c r="J509" s="2" t="s">
        <v>26176</v>
      </c>
      <c r="K509" s="3">
        <v>3.3599999999999999E-7</v>
      </c>
      <c r="L509" s="2" t="s">
        <v>606</v>
      </c>
      <c r="M509" s="4" t="s">
        <v>26177</v>
      </c>
    </row>
    <row r="510" spans="1:13">
      <c r="A510" s="2">
        <v>247</v>
      </c>
      <c r="B510" s="2" t="s">
        <v>26178</v>
      </c>
      <c r="C510" s="2">
        <v>19</v>
      </c>
      <c r="D510" s="2">
        <v>568</v>
      </c>
      <c r="E510" s="2">
        <v>227</v>
      </c>
      <c r="F510" s="2">
        <v>32441</v>
      </c>
      <c r="G510" s="2">
        <v>4.7805035059999996</v>
      </c>
      <c r="H510" s="3">
        <v>6.5099999999999994E-8</v>
      </c>
      <c r="I510" s="2" t="s">
        <v>26179</v>
      </c>
      <c r="J510" s="2" t="s">
        <v>26180</v>
      </c>
      <c r="K510" s="3">
        <v>5.3399999999999999E-7</v>
      </c>
      <c r="L510" s="2" t="s">
        <v>606</v>
      </c>
      <c r="M510" s="4" t="s">
        <v>26181</v>
      </c>
    </row>
    <row r="511" spans="1:13">
      <c r="A511" s="2">
        <v>197</v>
      </c>
      <c r="B511" s="2" t="s">
        <v>26182</v>
      </c>
      <c r="C511" s="2">
        <v>20</v>
      </c>
      <c r="D511" s="2">
        <v>568</v>
      </c>
      <c r="E511" s="2">
        <v>253</v>
      </c>
      <c r="F511" s="2">
        <v>32441</v>
      </c>
      <c r="G511" s="2">
        <v>4.5149752269999999</v>
      </c>
      <c r="H511" s="3">
        <v>7.0399999999999995E-8</v>
      </c>
      <c r="I511" s="2" t="s">
        <v>26183</v>
      </c>
      <c r="J511" s="2" t="s">
        <v>26184</v>
      </c>
      <c r="K511" s="3">
        <v>5.7199999999999999E-7</v>
      </c>
      <c r="L511" s="2" t="s">
        <v>606</v>
      </c>
      <c r="M511" s="4" t="s">
        <v>26185</v>
      </c>
    </row>
    <row r="512" spans="1:13">
      <c r="A512" s="2">
        <v>670</v>
      </c>
      <c r="B512" s="2" t="s">
        <v>26186</v>
      </c>
      <c r="C512" s="2">
        <v>16</v>
      </c>
      <c r="D512" s="2">
        <v>568</v>
      </c>
      <c r="E512" s="2">
        <v>160</v>
      </c>
      <c r="F512" s="2">
        <v>32441</v>
      </c>
      <c r="G512" s="2">
        <v>5.7114436619999998</v>
      </c>
      <c r="H512" s="3">
        <v>7.6300000000000002E-8</v>
      </c>
      <c r="I512" s="2" t="s">
        <v>26187</v>
      </c>
      <c r="J512" s="2" t="s">
        <v>26188</v>
      </c>
      <c r="K512" s="3">
        <v>6.1399999999999997E-7</v>
      </c>
      <c r="L512" s="2" t="s">
        <v>606</v>
      </c>
      <c r="M512" s="4" t="s">
        <v>26189</v>
      </c>
    </row>
    <row r="513" spans="1:13">
      <c r="A513" s="2">
        <v>5311</v>
      </c>
      <c r="B513" s="2" t="s">
        <v>26190</v>
      </c>
      <c r="C513" s="2">
        <v>23</v>
      </c>
      <c r="D513" s="2">
        <v>568</v>
      </c>
      <c r="E513" s="2">
        <v>335</v>
      </c>
      <c r="F513" s="2">
        <v>32441</v>
      </c>
      <c r="G513" s="2">
        <v>3.9212896779999999</v>
      </c>
      <c r="H513" s="3">
        <v>8.3400000000000006E-8</v>
      </c>
      <c r="I513" s="2" t="s">
        <v>26191</v>
      </c>
      <c r="J513" s="2" t="s">
        <v>26192</v>
      </c>
      <c r="K513" s="3">
        <v>6.6400000000000002E-7</v>
      </c>
      <c r="L513" s="2" t="s">
        <v>606</v>
      </c>
      <c r="M513" s="4" t="s">
        <v>26193</v>
      </c>
    </row>
    <row r="514" spans="1:13">
      <c r="A514" s="2">
        <v>569</v>
      </c>
      <c r="B514" s="2" t="s">
        <v>26194</v>
      </c>
      <c r="C514" s="2">
        <v>18</v>
      </c>
      <c r="D514" s="2">
        <v>568</v>
      </c>
      <c r="E514" s="2">
        <v>207</v>
      </c>
      <c r="F514" s="2">
        <v>32441</v>
      </c>
      <c r="G514" s="2">
        <v>4.9664727500000003</v>
      </c>
      <c r="H514" s="3">
        <v>8.4800000000000005E-8</v>
      </c>
      <c r="I514" s="2" t="s">
        <v>26195</v>
      </c>
      <c r="J514" s="2" t="s">
        <v>26196</v>
      </c>
      <c r="K514" s="3">
        <v>6.6899999999999997E-7</v>
      </c>
      <c r="L514" s="2" t="s">
        <v>606</v>
      </c>
      <c r="M514" s="4" t="s">
        <v>26197</v>
      </c>
    </row>
    <row r="515" spans="1:13">
      <c r="A515" s="2">
        <v>599</v>
      </c>
      <c r="B515" s="2" t="s">
        <v>26198</v>
      </c>
      <c r="C515" s="2">
        <v>16</v>
      </c>
      <c r="D515" s="2">
        <v>568</v>
      </c>
      <c r="E515" s="2">
        <v>162</v>
      </c>
      <c r="F515" s="2">
        <v>32441</v>
      </c>
      <c r="G515" s="2">
        <v>5.6409320120000004</v>
      </c>
      <c r="H515" s="3">
        <v>8.9400000000000006E-8</v>
      </c>
      <c r="I515" s="2" t="s">
        <v>26199</v>
      </c>
      <c r="J515" s="2" t="s">
        <v>26200</v>
      </c>
      <c r="K515" s="3">
        <v>6.9800000000000003E-7</v>
      </c>
      <c r="L515" s="2" t="s">
        <v>606</v>
      </c>
      <c r="M515" s="4" t="s">
        <v>26201</v>
      </c>
    </row>
    <row r="516" spans="1:13">
      <c r="A516" s="2">
        <v>134</v>
      </c>
      <c r="B516" s="2" t="s">
        <v>26202</v>
      </c>
      <c r="C516" s="2">
        <v>20</v>
      </c>
      <c r="D516" s="2">
        <v>568</v>
      </c>
      <c r="E516" s="2">
        <v>258</v>
      </c>
      <c r="F516" s="2">
        <v>32441</v>
      </c>
      <c r="G516" s="2">
        <v>4.4274757070000001</v>
      </c>
      <c r="H516" s="3">
        <v>9.4800000000000002E-8</v>
      </c>
      <c r="I516" s="2" t="s">
        <v>26203</v>
      </c>
      <c r="J516" s="2" t="s">
        <v>26204</v>
      </c>
      <c r="K516" s="3">
        <v>7.3399999999999998E-7</v>
      </c>
      <c r="L516" s="2" t="s">
        <v>606</v>
      </c>
      <c r="M516" s="4" t="s">
        <v>26205</v>
      </c>
    </row>
    <row r="517" spans="1:13">
      <c r="A517" s="2">
        <v>139</v>
      </c>
      <c r="B517" s="2" t="s">
        <v>26206</v>
      </c>
      <c r="C517" s="2">
        <v>13</v>
      </c>
      <c r="D517" s="2">
        <v>568</v>
      </c>
      <c r="E517" s="2">
        <v>102</v>
      </c>
      <c r="F517" s="2">
        <v>32441</v>
      </c>
      <c r="G517" s="2">
        <v>7.2792909420000003</v>
      </c>
      <c r="H517" s="3">
        <v>9.9799999999999994E-8</v>
      </c>
      <c r="I517" s="2" t="s">
        <v>26207</v>
      </c>
      <c r="J517" s="2" t="s">
        <v>26208</v>
      </c>
      <c r="K517" s="3">
        <v>7.6300000000000004E-7</v>
      </c>
      <c r="L517" s="2" t="s">
        <v>606</v>
      </c>
      <c r="M517" s="4" t="s">
        <v>26209</v>
      </c>
    </row>
    <row r="518" spans="1:13">
      <c r="A518" s="2">
        <v>310</v>
      </c>
      <c r="B518" s="2" t="s">
        <v>26210</v>
      </c>
      <c r="C518" s="2">
        <v>20</v>
      </c>
      <c r="D518" s="2">
        <v>568</v>
      </c>
      <c r="E518" s="2">
        <v>259</v>
      </c>
      <c r="F518" s="2">
        <v>32441</v>
      </c>
      <c r="G518" s="2">
        <v>4.4103812060000003</v>
      </c>
      <c r="H518" s="3">
        <v>9.9999999999999995E-8</v>
      </c>
      <c r="I518" s="2" t="s">
        <v>26211</v>
      </c>
      <c r="J518" s="2" t="s">
        <v>26212</v>
      </c>
      <c r="K518" s="3">
        <v>7.6300000000000004E-7</v>
      </c>
      <c r="L518" s="2" t="s">
        <v>606</v>
      </c>
      <c r="M518" s="4" t="s">
        <v>26213</v>
      </c>
    </row>
    <row r="519" spans="1:13">
      <c r="A519" s="2">
        <v>678</v>
      </c>
      <c r="B519" s="2" t="s">
        <v>26214</v>
      </c>
      <c r="C519" s="2">
        <v>19</v>
      </c>
      <c r="D519" s="2">
        <v>568</v>
      </c>
      <c r="E519" s="2">
        <v>234</v>
      </c>
      <c r="F519" s="2">
        <v>32441</v>
      </c>
      <c r="G519" s="2">
        <v>4.6374969899999998</v>
      </c>
      <c r="H519" s="3">
        <v>1.01E-7</v>
      </c>
      <c r="I519" s="2" t="s">
        <v>26215</v>
      </c>
      <c r="J519" s="2" t="s">
        <v>26216</v>
      </c>
      <c r="K519" s="3">
        <v>7.6300000000000004E-7</v>
      </c>
      <c r="L519" s="2" t="s">
        <v>606</v>
      </c>
      <c r="M519" s="4" t="s">
        <v>26217</v>
      </c>
    </row>
    <row r="520" spans="1:13">
      <c r="A520" s="2">
        <v>712</v>
      </c>
      <c r="B520" s="2" t="s">
        <v>26218</v>
      </c>
      <c r="C520" s="2">
        <v>19</v>
      </c>
      <c r="D520" s="2">
        <v>568</v>
      </c>
      <c r="E520" s="2">
        <v>235</v>
      </c>
      <c r="F520" s="2">
        <v>32441</v>
      </c>
      <c r="G520" s="2">
        <v>4.6177629610000004</v>
      </c>
      <c r="H520" s="3">
        <v>1.08E-7</v>
      </c>
      <c r="I520" s="2" t="s">
        <v>26219</v>
      </c>
      <c r="J520" s="2" t="s">
        <v>26220</v>
      </c>
      <c r="K520" s="3">
        <v>8.0400000000000005E-7</v>
      </c>
      <c r="L520" s="2" t="s">
        <v>606</v>
      </c>
      <c r="M520" s="4" t="s">
        <v>26221</v>
      </c>
    </row>
    <row r="521" spans="1:13">
      <c r="A521" s="2">
        <v>232</v>
      </c>
      <c r="B521" s="2" t="s">
        <v>26222</v>
      </c>
      <c r="C521" s="2">
        <v>19</v>
      </c>
      <c r="D521" s="2">
        <v>568</v>
      </c>
      <c r="E521" s="2">
        <v>237</v>
      </c>
      <c r="F521" s="2">
        <v>32441</v>
      </c>
      <c r="G521" s="2">
        <v>4.5787944969999996</v>
      </c>
      <c r="H521" s="3">
        <v>1.2200000000000001E-7</v>
      </c>
      <c r="I521" s="2" t="s">
        <v>26223</v>
      </c>
      <c r="J521" s="2" t="s">
        <v>26224</v>
      </c>
      <c r="K521" s="3">
        <v>9.02E-7</v>
      </c>
      <c r="L521" s="2" t="s">
        <v>606</v>
      </c>
      <c r="M521" s="4" t="s">
        <v>26225</v>
      </c>
    </row>
    <row r="522" spans="1:13">
      <c r="A522" s="2">
        <v>579</v>
      </c>
      <c r="B522" s="2" t="s">
        <v>2958</v>
      </c>
      <c r="C522" s="2">
        <v>13</v>
      </c>
      <c r="D522" s="2">
        <v>568</v>
      </c>
      <c r="E522" s="2">
        <v>105</v>
      </c>
      <c r="F522" s="2">
        <v>32441</v>
      </c>
      <c r="G522" s="2">
        <v>7.0713112010000003</v>
      </c>
      <c r="H522" s="3">
        <v>1.36E-7</v>
      </c>
      <c r="I522" s="2" t="s">
        <v>26226</v>
      </c>
      <c r="J522" s="2" t="s">
        <v>26227</v>
      </c>
      <c r="K522" s="3">
        <v>9.9399999999999993E-7</v>
      </c>
      <c r="L522" s="2" t="s">
        <v>606</v>
      </c>
      <c r="M522" s="4" t="s">
        <v>2961</v>
      </c>
    </row>
    <row r="523" spans="1:13">
      <c r="A523" s="2">
        <v>604</v>
      </c>
      <c r="B523" s="2" t="s">
        <v>26228</v>
      </c>
      <c r="C523" s="2">
        <v>10</v>
      </c>
      <c r="D523" s="2">
        <v>568</v>
      </c>
      <c r="E523" s="2">
        <v>54</v>
      </c>
      <c r="F523" s="2">
        <v>32441</v>
      </c>
      <c r="G523" s="2">
        <v>10.57674752</v>
      </c>
      <c r="H523" s="3">
        <v>1.3799999999999999E-7</v>
      </c>
      <c r="I523" s="2" t="s">
        <v>26229</v>
      </c>
      <c r="J523" s="2" t="s">
        <v>26230</v>
      </c>
      <c r="K523" s="3">
        <v>1.0100000000000001E-6</v>
      </c>
      <c r="L523" s="2" t="s">
        <v>606</v>
      </c>
      <c r="M523" s="4" t="s">
        <v>26231</v>
      </c>
    </row>
    <row r="524" spans="1:13">
      <c r="A524" s="2">
        <v>787</v>
      </c>
      <c r="B524" s="2" t="s">
        <v>26232</v>
      </c>
      <c r="C524" s="2">
        <v>16</v>
      </c>
      <c r="D524" s="2">
        <v>568</v>
      </c>
      <c r="E524" s="2">
        <v>168</v>
      </c>
      <c r="F524" s="2">
        <v>32441</v>
      </c>
      <c r="G524" s="2">
        <v>5.4394701540000003</v>
      </c>
      <c r="H524" s="3">
        <v>1.4100000000000001E-7</v>
      </c>
      <c r="I524" s="2" t="s">
        <v>26233</v>
      </c>
      <c r="J524" s="2" t="s">
        <v>26234</v>
      </c>
      <c r="K524" s="3">
        <v>1.02E-6</v>
      </c>
      <c r="L524" s="2" t="s">
        <v>606</v>
      </c>
      <c r="M524" s="4" t="s">
        <v>26235</v>
      </c>
    </row>
    <row r="525" spans="1:13">
      <c r="A525" s="2">
        <v>314</v>
      </c>
      <c r="B525" s="2" t="s">
        <v>26236</v>
      </c>
      <c r="C525" s="2">
        <v>19</v>
      </c>
      <c r="D525" s="2">
        <v>568</v>
      </c>
      <c r="E525" s="2">
        <v>245</v>
      </c>
      <c r="F525" s="2">
        <v>32441</v>
      </c>
      <c r="G525" s="2">
        <v>4.4292828399999999</v>
      </c>
      <c r="H525" s="3">
        <v>1.97E-7</v>
      </c>
      <c r="I525" s="2" t="s">
        <v>26237</v>
      </c>
      <c r="J525" s="2" t="s">
        <v>26238</v>
      </c>
      <c r="K525" s="3">
        <v>1.4100000000000001E-6</v>
      </c>
      <c r="L525" s="2" t="s">
        <v>606</v>
      </c>
      <c r="M525" s="4" t="s">
        <v>26239</v>
      </c>
    </row>
    <row r="526" spans="1:13">
      <c r="A526" s="2">
        <v>15</v>
      </c>
      <c r="B526" s="2" t="s">
        <v>26240</v>
      </c>
      <c r="C526" s="2">
        <v>19</v>
      </c>
      <c r="D526" s="2">
        <v>568</v>
      </c>
      <c r="E526" s="2">
        <v>248</v>
      </c>
      <c r="F526" s="2">
        <v>32441</v>
      </c>
      <c r="G526" s="2">
        <v>4.3757028059999996</v>
      </c>
      <c r="H526" s="3">
        <v>2.34E-7</v>
      </c>
      <c r="I526" s="2" t="s">
        <v>26241</v>
      </c>
      <c r="J526" s="2" t="s">
        <v>26242</v>
      </c>
      <c r="K526" s="3">
        <v>1.66E-6</v>
      </c>
      <c r="L526" s="2" t="s">
        <v>606</v>
      </c>
      <c r="M526" s="4" t="s">
        <v>26243</v>
      </c>
    </row>
    <row r="527" spans="1:13">
      <c r="A527" s="2">
        <v>5661</v>
      </c>
      <c r="B527" s="2" t="s">
        <v>26244</v>
      </c>
      <c r="C527" s="2">
        <v>17</v>
      </c>
      <c r="D527" s="2">
        <v>568</v>
      </c>
      <c r="E527" s="2">
        <v>199</v>
      </c>
      <c r="F527" s="2">
        <v>32441</v>
      </c>
      <c r="G527" s="2">
        <v>4.8791227260000003</v>
      </c>
      <c r="H527" s="3">
        <v>2.4400000000000001E-7</v>
      </c>
      <c r="I527" s="2" t="s">
        <v>26245</v>
      </c>
      <c r="J527" s="2" t="s">
        <v>26246</v>
      </c>
      <c r="K527" s="3">
        <v>1.7099999999999999E-6</v>
      </c>
      <c r="L527" s="2" t="s">
        <v>606</v>
      </c>
      <c r="M527" s="4" t="s">
        <v>26247</v>
      </c>
    </row>
    <row r="528" spans="1:13">
      <c r="A528" s="2">
        <v>5</v>
      </c>
      <c r="B528" s="2" t="s">
        <v>26248</v>
      </c>
      <c r="C528" s="2">
        <v>19</v>
      </c>
      <c r="D528" s="2">
        <v>568</v>
      </c>
      <c r="E528" s="2">
        <v>249</v>
      </c>
      <c r="F528" s="2">
        <v>32441</v>
      </c>
      <c r="G528" s="2">
        <v>4.3581297020000003</v>
      </c>
      <c r="H528" s="3">
        <v>2.48E-7</v>
      </c>
      <c r="I528" s="2" t="s">
        <v>26249</v>
      </c>
      <c r="J528" s="2" t="s">
        <v>26250</v>
      </c>
      <c r="K528" s="3">
        <v>1.73E-6</v>
      </c>
      <c r="L528" s="2" t="s">
        <v>606</v>
      </c>
      <c r="M528" s="4" t="s">
        <v>26251</v>
      </c>
    </row>
    <row r="529" spans="1:13">
      <c r="A529" s="2">
        <v>509</v>
      </c>
      <c r="B529" s="2" t="s">
        <v>26252</v>
      </c>
      <c r="C529" s="2">
        <v>18</v>
      </c>
      <c r="D529" s="2">
        <v>568</v>
      </c>
      <c r="E529" s="2">
        <v>224</v>
      </c>
      <c r="F529" s="2">
        <v>32441</v>
      </c>
      <c r="G529" s="2">
        <v>4.5895529430000002</v>
      </c>
      <c r="H529" s="3">
        <v>2.53E-7</v>
      </c>
      <c r="I529" s="2" t="s">
        <v>26253</v>
      </c>
      <c r="J529" s="2" t="s">
        <v>26254</v>
      </c>
      <c r="K529" s="3">
        <v>1.75E-6</v>
      </c>
      <c r="L529" s="2" t="s">
        <v>606</v>
      </c>
      <c r="M529" s="4" t="s">
        <v>26255</v>
      </c>
    </row>
    <row r="530" spans="1:13">
      <c r="A530" s="2">
        <v>687</v>
      </c>
      <c r="B530" s="2" t="s">
        <v>26256</v>
      </c>
      <c r="C530" s="2">
        <v>18</v>
      </c>
      <c r="D530" s="2">
        <v>568</v>
      </c>
      <c r="E530" s="2">
        <v>225</v>
      </c>
      <c r="F530" s="2">
        <v>32441</v>
      </c>
      <c r="G530" s="2">
        <v>4.5691549299999998</v>
      </c>
      <c r="H530" s="3">
        <v>2.6899999999999999E-7</v>
      </c>
      <c r="I530" s="2" t="s">
        <v>26257</v>
      </c>
      <c r="J530" s="2" t="s">
        <v>26258</v>
      </c>
      <c r="K530" s="3">
        <v>1.84E-6</v>
      </c>
      <c r="L530" s="2" t="s">
        <v>606</v>
      </c>
      <c r="M530" s="4" t="s">
        <v>26259</v>
      </c>
    </row>
    <row r="531" spans="1:13">
      <c r="A531" s="2">
        <v>646</v>
      </c>
      <c r="B531" s="2" t="s">
        <v>26260</v>
      </c>
      <c r="C531" s="2">
        <v>10</v>
      </c>
      <c r="D531" s="2">
        <v>568</v>
      </c>
      <c r="E531" s="2">
        <v>60</v>
      </c>
      <c r="F531" s="2">
        <v>32441</v>
      </c>
      <c r="G531" s="2">
        <v>9.5190727699999993</v>
      </c>
      <c r="H531" s="3">
        <v>3.3099999999999999E-7</v>
      </c>
      <c r="I531" s="2" t="s">
        <v>26261</v>
      </c>
      <c r="J531" s="2" t="s">
        <v>26262</v>
      </c>
      <c r="K531" s="3">
        <v>2.2500000000000001E-6</v>
      </c>
      <c r="L531" s="2" t="s">
        <v>606</v>
      </c>
      <c r="M531" s="4" t="s">
        <v>26263</v>
      </c>
    </row>
    <row r="532" spans="1:13">
      <c r="A532" s="2">
        <v>537</v>
      </c>
      <c r="B532" s="2" t="s">
        <v>26264</v>
      </c>
      <c r="C532" s="2">
        <v>15</v>
      </c>
      <c r="D532" s="2">
        <v>568</v>
      </c>
      <c r="E532" s="2">
        <v>157</v>
      </c>
      <c r="F532" s="2">
        <v>32441</v>
      </c>
      <c r="G532" s="2">
        <v>5.456793308</v>
      </c>
      <c r="H532" s="3">
        <v>3.34E-7</v>
      </c>
      <c r="I532" s="2" t="s">
        <v>26265</v>
      </c>
      <c r="J532" s="2" t="s">
        <v>26266</v>
      </c>
      <c r="K532" s="3">
        <v>2.2500000000000001E-6</v>
      </c>
      <c r="L532" s="2" t="s">
        <v>606</v>
      </c>
      <c r="M532" s="4" t="s">
        <v>26267</v>
      </c>
    </row>
    <row r="533" spans="1:13">
      <c r="A533" s="2">
        <v>643</v>
      </c>
      <c r="B533" s="2" t="s">
        <v>26268</v>
      </c>
      <c r="C533" s="2">
        <v>13</v>
      </c>
      <c r="D533" s="2">
        <v>568</v>
      </c>
      <c r="E533" s="2">
        <v>115</v>
      </c>
      <c r="F533" s="2">
        <v>32441</v>
      </c>
      <c r="G533" s="2">
        <v>6.4564145740000001</v>
      </c>
      <c r="H533" s="3">
        <v>3.53E-7</v>
      </c>
      <c r="I533" s="2" t="s">
        <v>26269</v>
      </c>
      <c r="J533" s="2" t="s">
        <v>26270</v>
      </c>
      <c r="K533" s="3">
        <v>2.3599999999999999E-6</v>
      </c>
      <c r="L533" s="2" t="s">
        <v>606</v>
      </c>
      <c r="M533" s="4" t="s">
        <v>26271</v>
      </c>
    </row>
    <row r="534" spans="1:13">
      <c r="A534" s="2">
        <v>81</v>
      </c>
      <c r="B534" s="2" t="s">
        <v>26272</v>
      </c>
      <c r="C534" s="2">
        <v>19</v>
      </c>
      <c r="D534" s="2">
        <v>568</v>
      </c>
      <c r="E534" s="2">
        <v>256</v>
      </c>
      <c r="F534" s="2">
        <v>32441</v>
      </c>
      <c r="G534" s="2">
        <v>4.2389620929999996</v>
      </c>
      <c r="H534" s="3">
        <v>3.6899999999999998E-7</v>
      </c>
      <c r="I534" s="2" t="s">
        <v>26273</v>
      </c>
      <c r="J534" s="2" t="s">
        <v>26274</v>
      </c>
      <c r="K534" s="3">
        <v>2.4499999999999998E-6</v>
      </c>
      <c r="L534" s="2" t="s">
        <v>606</v>
      </c>
      <c r="M534" s="4" t="s">
        <v>26275</v>
      </c>
    </row>
    <row r="535" spans="1:13">
      <c r="A535" s="2">
        <v>382</v>
      </c>
      <c r="B535" s="2" t="s">
        <v>26276</v>
      </c>
      <c r="C535" s="2">
        <v>19</v>
      </c>
      <c r="D535" s="2">
        <v>568</v>
      </c>
      <c r="E535" s="2">
        <v>257</v>
      </c>
      <c r="F535" s="2">
        <v>32441</v>
      </c>
      <c r="G535" s="2">
        <v>4.2224680770000003</v>
      </c>
      <c r="H535" s="3">
        <v>3.9000000000000002E-7</v>
      </c>
      <c r="I535" s="2" t="s">
        <v>26277</v>
      </c>
      <c r="J535" s="2" t="s">
        <v>26278</v>
      </c>
      <c r="K535" s="3">
        <v>2.57E-6</v>
      </c>
      <c r="L535" s="2" t="s">
        <v>606</v>
      </c>
      <c r="M535" s="4" t="s">
        <v>26279</v>
      </c>
    </row>
    <row r="536" spans="1:13">
      <c r="A536" s="2">
        <v>80</v>
      </c>
      <c r="B536" s="2" t="s">
        <v>26280</v>
      </c>
      <c r="C536" s="2">
        <v>19</v>
      </c>
      <c r="D536" s="2">
        <v>568</v>
      </c>
      <c r="E536" s="2">
        <v>262</v>
      </c>
      <c r="F536" s="2">
        <v>32441</v>
      </c>
      <c r="G536" s="2">
        <v>4.1418866249999997</v>
      </c>
      <c r="H536" s="3">
        <v>5.1200000000000003E-7</v>
      </c>
      <c r="I536" s="2" t="s">
        <v>26281</v>
      </c>
      <c r="J536" s="2" t="s">
        <v>26282</v>
      </c>
      <c r="K536" s="3">
        <v>3.3500000000000001E-6</v>
      </c>
      <c r="L536" s="2" t="s">
        <v>606</v>
      </c>
      <c r="M536" s="4" t="s">
        <v>26283</v>
      </c>
    </row>
    <row r="537" spans="1:13">
      <c r="A537" s="2">
        <v>528</v>
      </c>
      <c r="B537" s="2" t="s">
        <v>26284</v>
      </c>
      <c r="C537" s="2">
        <v>18</v>
      </c>
      <c r="D537" s="2">
        <v>568</v>
      </c>
      <c r="E537" s="2">
        <v>237</v>
      </c>
      <c r="F537" s="2">
        <v>32441</v>
      </c>
      <c r="G537" s="2">
        <v>4.3378053129999996</v>
      </c>
      <c r="H537" s="3">
        <v>5.4600000000000005E-7</v>
      </c>
      <c r="I537" s="2" t="s">
        <v>26285</v>
      </c>
      <c r="J537" s="2" t="s">
        <v>26286</v>
      </c>
      <c r="K537" s="3">
        <v>3.54E-6</v>
      </c>
      <c r="L537" s="2" t="s">
        <v>606</v>
      </c>
      <c r="M537" s="4" t="s">
        <v>26287</v>
      </c>
    </row>
    <row r="538" spans="1:13">
      <c r="A538" s="2">
        <v>740</v>
      </c>
      <c r="B538" s="2" t="s">
        <v>26288</v>
      </c>
      <c r="C538" s="2">
        <v>18</v>
      </c>
      <c r="D538" s="2">
        <v>568</v>
      </c>
      <c r="E538" s="2">
        <v>239</v>
      </c>
      <c r="F538" s="2">
        <v>32441</v>
      </c>
      <c r="G538" s="2">
        <v>4.3015056869999997</v>
      </c>
      <c r="H538" s="3">
        <v>6.1200000000000003E-7</v>
      </c>
      <c r="I538" s="2" t="s">
        <v>26289</v>
      </c>
      <c r="J538" s="2" t="s">
        <v>26290</v>
      </c>
      <c r="K538" s="3">
        <v>3.9299999999999996E-6</v>
      </c>
      <c r="L538" s="2" t="s">
        <v>606</v>
      </c>
      <c r="M538" s="4" t="s">
        <v>26291</v>
      </c>
    </row>
    <row r="539" spans="1:13">
      <c r="A539" s="2">
        <v>419</v>
      </c>
      <c r="B539" s="2" t="s">
        <v>26292</v>
      </c>
      <c r="C539" s="2">
        <v>17</v>
      </c>
      <c r="D539" s="2">
        <v>568</v>
      </c>
      <c r="E539" s="2">
        <v>215</v>
      </c>
      <c r="F539" s="2">
        <v>32441</v>
      </c>
      <c r="G539" s="2">
        <v>4.5160252209999996</v>
      </c>
      <c r="H539" s="3">
        <v>6.6899999999999997E-7</v>
      </c>
      <c r="I539" s="2" t="s">
        <v>26293</v>
      </c>
      <c r="J539" s="2" t="s">
        <v>26294</v>
      </c>
      <c r="K539" s="3">
        <v>4.2699999999999998E-6</v>
      </c>
      <c r="L539" s="2" t="s">
        <v>606</v>
      </c>
      <c r="M539" s="4" t="s">
        <v>26295</v>
      </c>
    </row>
    <row r="540" spans="1:13">
      <c r="A540" s="2">
        <v>684</v>
      </c>
      <c r="B540" s="2" t="s">
        <v>26296</v>
      </c>
      <c r="C540" s="2">
        <v>13</v>
      </c>
      <c r="D540" s="2">
        <v>568</v>
      </c>
      <c r="E540" s="2">
        <v>123</v>
      </c>
      <c r="F540" s="2">
        <v>32441</v>
      </c>
      <c r="G540" s="2">
        <v>6.0364851709999998</v>
      </c>
      <c r="H540" s="3">
        <v>7.1099999999999995E-7</v>
      </c>
      <c r="I540" s="2" t="s">
        <v>26297</v>
      </c>
      <c r="J540" s="2" t="s">
        <v>26298</v>
      </c>
      <c r="K540" s="3">
        <v>4.51E-6</v>
      </c>
      <c r="L540" s="2" t="s">
        <v>606</v>
      </c>
      <c r="M540" s="4" t="s">
        <v>26299</v>
      </c>
    </row>
    <row r="541" spans="1:13">
      <c r="A541" s="2">
        <v>680</v>
      </c>
      <c r="B541" s="2" t="s">
        <v>26300</v>
      </c>
      <c r="C541" s="2">
        <v>10</v>
      </c>
      <c r="D541" s="2">
        <v>568</v>
      </c>
      <c r="E541" s="2">
        <v>66</v>
      </c>
      <c r="F541" s="2">
        <v>32441</v>
      </c>
      <c r="G541" s="2">
        <v>8.6537025179999993</v>
      </c>
      <c r="H541" s="3">
        <v>7.2500000000000005E-7</v>
      </c>
      <c r="I541" s="2" t="s">
        <v>26301</v>
      </c>
      <c r="J541" s="2" t="s">
        <v>26302</v>
      </c>
      <c r="K541" s="3">
        <v>4.5600000000000004E-6</v>
      </c>
      <c r="L541" s="2" t="s">
        <v>606</v>
      </c>
      <c r="M541" s="4" t="s">
        <v>26303</v>
      </c>
    </row>
    <row r="542" spans="1:13">
      <c r="A542" s="2">
        <v>481</v>
      </c>
      <c r="B542" s="2" t="s">
        <v>26304</v>
      </c>
      <c r="C542" s="2">
        <v>19</v>
      </c>
      <c r="D542" s="2">
        <v>568</v>
      </c>
      <c r="E542" s="2">
        <v>269</v>
      </c>
      <c r="F542" s="2">
        <v>32441</v>
      </c>
      <c r="G542" s="2">
        <v>4.0341051889999999</v>
      </c>
      <c r="H542" s="3">
        <v>7.4300000000000002E-7</v>
      </c>
      <c r="I542" s="2" t="s">
        <v>26305</v>
      </c>
      <c r="J542" s="2" t="s">
        <v>26306</v>
      </c>
      <c r="K542" s="3">
        <v>4.6399999999999996E-6</v>
      </c>
      <c r="L542" s="2" t="s">
        <v>606</v>
      </c>
      <c r="M542" s="4" t="s">
        <v>26307</v>
      </c>
    </row>
    <row r="543" spans="1:13">
      <c r="A543" s="2">
        <v>522</v>
      </c>
      <c r="B543" s="2" t="s">
        <v>26308</v>
      </c>
      <c r="C543" s="2">
        <v>26</v>
      </c>
      <c r="D543" s="2">
        <v>568</v>
      </c>
      <c r="E543" s="2">
        <v>474</v>
      </c>
      <c r="F543" s="2">
        <v>32441</v>
      </c>
      <c r="G543" s="2">
        <v>3.1328593929999999</v>
      </c>
      <c r="H543" s="3">
        <v>7.5099999999999999E-7</v>
      </c>
      <c r="I543" s="2" t="s">
        <v>26309</v>
      </c>
      <c r="J543" s="2" t="s">
        <v>26310</v>
      </c>
      <c r="K543" s="3">
        <v>4.6500000000000004E-6</v>
      </c>
      <c r="L543" s="2" t="s">
        <v>606</v>
      </c>
      <c r="M543" s="4" t="s">
        <v>26311</v>
      </c>
    </row>
    <row r="544" spans="1:13">
      <c r="A544" s="2">
        <v>822</v>
      </c>
      <c r="B544" s="2" t="s">
        <v>26312</v>
      </c>
      <c r="C544" s="2">
        <v>49</v>
      </c>
      <c r="D544" s="2">
        <v>568</v>
      </c>
      <c r="E544" s="2">
        <v>1294</v>
      </c>
      <c r="F544" s="2">
        <v>32441</v>
      </c>
      <c r="G544" s="2">
        <v>2.1627568739999998</v>
      </c>
      <c r="H544" s="3">
        <v>7.6799999999999999E-7</v>
      </c>
      <c r="I544" s="3" t="s">
        <v>26313</v>
      </c>
      <c r="J544" s="3" t="s">
        <v>26314</v>
      </c>
      <c r="K544" s="3">
        <v>4.7199999999999997E-6</v>
      </c>
      <c r="L544" s="2" t="s">
        <v>606</v>
      </c>
      <c r="M544" s="4" t="s">
        <v>26315</v>
      </c>
    </row>
    <row r="545" spans="1:13">
      <c r="A545" s="2">
        <v>345</v>
      </c>
      <c r="B545" s="2" t="s">
        <v>26316</v>
      </c>
      <c r="C545" s="2">
        <v>16</v>
      </c>
      <c r="D545" s="2">
        <v>568</v>
      </c>
      <c r="E545" s="2">
        <v>193</v>
      </c>
      <c r="F545" s="2">
        <v>32441</v>
      </c>
      <c r="G545" s="2">
        <v>4.7348755750000002</v>
      </c>
      <c r="H545" s="3">
        <v>7.9500000000000001E-7</v>
      </c>
      <c r="I545" s="2" t="s">
        <v>26317</v>
      </c>
      <c r="J545" s="2" t="s">
        <v>26318</v>
      </c>
      <c r="K545" s="3">
        <v>4.8500000000000002E-6</v>
      </c>
      <c r="L545" s="2" t="s">
        <v>606</v>
      </c>
      <c r="M545" s="4" t="s">
        <v>26319</v>
      </c>
    </row>
    <row r="546" spans="1:13">
      <c r="A546" s="2">
        <v>353</v>
      </c>
      <c r="B546" s="2" t="s">
        <v>26320</v>
      </c>
      <c r="C546" s="2">
        <v>18</v>
      </c>
      <c r="D546" s="2">
        <v>568</v>
      </c>
      <c r="E546" s="2">
        <v>245</v>
      </c>
      <c r="F546" s="2">
        <v>32441</v>
      </c>
      <c r="G546" s="2">
        <v>4.1961626900000004</v>
      </c>
      <c r="H546" s="3">
        <v>8.5499999999999997E-7</v>
      </c>
      <c r="I546" s="2" t="s">
        <v>26321</v>
      </c>
      <c r="J546" s="2" t="s">
        <v>26322</v>
      </c>
      <c r="K546" s="3">
        <v>5.1800000000000004E-6</v>
      </c>
      <c r="L546" s="2" t="s">
        <v>606</v>
      </c>
      <c r="M546" s="4" t="s">
        <v>26323</v>
      </c>
    </row>
    <row r="547" spans="1:13">
      <c r="A547" s="2">
        <v>565</v>
      </c>
      <c r="B547" s="2" t="s">
        <v>26324</v>
      </c>
      <c r="C547" s="2">
        <v>12</v>
      </c>
      <c r="D547" s="2">
        <v>568</v>
      </c>
      <c r="E547" s="2">
        <v>105</v>
      </c>
      <c r="F547" s="2">
        <v>32441</v>
      </c>
      <c r="G547" s="2">
        <v>6.5273641849999997</v>
      </c>
      <c r="H547" s="3">
        <v>8.9299999999999996E-7</v>
      </c>
      <c r="I547" s="2" t="s">
        <v>26325</v>
      </c>
      <c r="J547" s="2" t="s">
        <v>26326</v>
      </c>
      <c r="K547" s="3">
        <v>5.3700000000000003E-6</v>
      </c>
      <c r="L547" s="2" t="s">
        <v>606</v>
      </c>
      <c r="M547" s="4" t="s">
        <v>26327</v>
      </c>
    </row>
    <row r="548" spans="1:13">
      <c r="A548" s="2">
        <v>539</v>
      </c>
      <c r="B548" s="2" t="s">
        <v>26328</v>
      </c>
      <c r="C548" s="2">
        <v>11</v>
      </c>
      <c r="D548" s="2">
        <v>568</v>
      </c>
      <c r="E548" s="2">
        <v>89</v>
      </c>
      <c r="F548" s="2">
        <v>32441</v>
      </c>
      <c r="G548" s="2">
        <v>7.0590876720000004</v>
      </c>
      <c r="H548" s="3">
        <v>1.26E-6</v>
      </c>
      <c r="I548" s="2" t="s">
        <v>26329</v>
      </c>
      <c r="J548" s="2" t="s">
        <v>26330</v>
      </c>
      <c r="K548" s="3">
        <v>7.5499999999999997E-6</v>
      </c>
      <c r="L548" s="2" t="s">
        <v>606</v>
      </c>
      <c r="M548" s="4" t="s">
        <v>26331</v>
      </c>
    </row>
    <row r="549" spans="1:13">
      <c r="A549" s="2">
        <v>529</v>
      </c>
      <c r="B549" s="2" t="s">
        <v>26332</v>
      </c>
      <c r="C549" s="2">
        <v>16</v>
      </c>
      <c r="D549" s="2">
        <v>568</v>
      </c>
      <c r="E549" s="2">
        <v>201</v>
      </c>
      <c r="F549" s="2">
        <v>32441</v>
      </c>
      <c r="G549" s="2">
        <v>4.5464228149999997</v>
      </c>
      <c r="H549" s="3">
        <v>1.31E-6</v>
      </c>
      <c r="I549" s="2" t="s">
        <v>26333</v>
      </c>
      <c r="J549" s="2" t="s">
        <v>26334</v>
      </c>
      <c r="K549" s="3">
        <v>7.7500000000000003E-6</v>
      </c>
      <c r="L549" s="2" t="s">
        <v>606</v>
      </c>
      <c r="M549" s="4" t="s">
        <v>26335</v>
      </c>
    </row>
    <row r="550" spans="1:13">
      <c r="A550" s="2">
        <v>210</v>
      </c>
      <c r="B550" s="2" t="s">
        <v>26336</v>
      </c>
      <c r="C550" s="2">
        <v>18</v>
      </c>
      <c r="D550" s="2">
        <v>568</v>
      </c>
      <c r="E550" s="2">
        <v>254</v>
      </c>
      <c r="F550" s="2">
        <v>32441</v>
      </c>
      <c r="G550" s="2">
        <v>4.0474797599999999</v>
      </c>
      <c r="H550" s="3">
        <v>1.39E-6</v>
      </c>
      <c r="I550" s="2" t="s">
        <v>26337</v>
      </c>
      <c r="J550" s="2" t="s">
        <v>26338</v>
      </c>
      <c r="K550" s="3">
        <v>8.1599999999999998E-6</v>
      </c>
      <c r="L550" s="2" t="s">
        <v>606</v>
      </c>
      <c r="M550" s="4" t="s">
        <v>26339</v>
      </c>
    </row>
    <row r="551" spans="1:13">
      <c r="A551" s="2">
        <v>556</v>
      </c>
      <c r="B551" s="2" t="s">
        <v>26340</v>
      </c>
      <c r="C551" s="2">
        <v>12</v>
      </c>
      <c r="D551" s="2">
        <v>568</v>
      </c>
      <c r="E551" s="2">
        <v>110</v>
      </c>
      <c r="F551" s="2">
        <v>32441</v>
      </c>
      <c r="G551" s="2">
        <v>6.2306658129999999</v>
      </c>
      <c r="H551" s="3">
        <v>1.3999999999999999E-6</v>
      </c>
      <c r="I551" s="2" t="s">
        <v>26341</v>
      </c>
      <c r="J551" s="2" t="s">
        <v>26342</v>
      </c>
      <c r="K551" s="3">
        <v>8.1799999999999996E-6</v>
      </c>
      <c r="L551" s="2" t="s">
        <v>606</v>
      </c>
      <c r="M551" s="4" t="s">
        <v>26343</v>
      </c>
    </row>
    <row r="552" spans="1:13">
      <c r="A552" s="2">
        <v>17</v>
      </c>
      <c r="B552" s="2" t="s">
        <v>26344</v>
      </c>
      <c r="C552" s="2">
        <v>18</v>
      </c>
      <c r="D552" s="2">
        <v>568</v>
      </c>
      <c r="E552" s="2">
        <v>258</v>
      </c>
      <c r="F552" s="2">
        <v>32441</v>
      </c>
      <c r="G552" s="2">
        <v>3.9847281360000002</v>
      </c>
      <c r="H552" s="3">
        <v>1.7099999999999999E-6</v>
      </c>
      <c r="I552" s="2" t="s">
        <v>26345</v>
      </c>
      <c r="J552" s="2" t="s">
        <v>26346</v>
      </c>
      <c r="K552" s="3">
        <v>9.7699999999999996E-6</v>
      </c>
      <c r="L552" s="2" t="s">
        <v>606</v>
      </c>
      <c r="M552" s="4" t="s">
        <v>26347</v>
      </c>
    </row>
    <row r="553" spans="1:13">
      <c r="A553" s="2">
        <v>313</v>
      </c>
      <c r="B553" s="2" t="s">
        <v>26348</v>
      </c>
      <c r="C553" s="2">
        <v>18</v>
      </c>
      <c r="D553" s="2">
        <v>568</v>
      </c>
      <c r="E553" s="2">
        <v>258</v>
      </c>
      <c r="F553" s="2">
        <v>32441</v>
      </c>
      <c r="G553" s="2">
        <v>3.9847281360000002</v>
      </c>
      <c r="H553" s="3">
        <v>1.7099999999999999E-6</v>
      </c>
      <c r="I553" s="2" t="s">
        <v>26349</v>
      </c>
      <c r="J553" s="2" t="s">
        <v>26350</v>
      </c>
      <c r="K553" s="3">
        <v>9.7699999999999996E-6</v>
      </c>
      <c r="L553" s="2" t="s">
        <v>606</v>
      </c>
      <c r="M553" s="4" t="s">
        <v>26351</v>
      </c>
    </row>
    <row r="554" spans="1:13">
      <c r="A554" s="2">
        <v>729</v>
      </c>
      <c r="B554" s="2" t="s">
        <v>26352</v>
      </c>
      <c r="C554" s="2">
        <v>11</v>
      </c>
      <c r="D554" s="2">
        <v>568</v>
      </c>
      <c r="E554" s="2">
        <v>92</v>
      </c>
      <c r="F554" s="2">
        <v>32441</v>
      </c>
      <c r="G554" s="2">
        <v>6.8289000309999999</v>
      </c>
      <c r="H554" s="3">
        <v>1.7E-6</v>
      </c>
      <c r="I554" s="2" t="s">
        <v>26353</v>
      </c>
      <c r="J554" s="2" t="s">
        <v>26354</v>
      </c>
      <c r="K554" s="3">
        <v>9.7699999999999996E-6</v>
      </c>
      <c r="L554" s="2" t="s">
        <v>606</v>
      </c>
      <c r="M554" s="4" t="s">
        <v>26355</v>
      </c>
    </row>
    <row r="555" spans="1:13">
      <c r="A555" s="2">
        <v>615</v>
      </c>
      <c r="B555" s="2" t="s">
        <v>26356</v>
      </c>
      <c r="C555" s="2">
        <v>14</v>
      </c>
      <c r="D555" s="2">
        <v>568</v>
      </c>
      <c r="E555" s="2">
        <v>157</v>
      </c>
      <c r="F555" s="2">
        <v>32441</v>
      </c>
      <c r="G555" s="2">
        <v>5.0930070870000002</v>
      </c>
      <c r="H555" s="3">
        <v>1.75E-6</v>
      </c>
      <c r="I555" s="2" t="s">
        <v>26357</v>
      </c>
      <c r="J555" s="2" t="s">
        <v>26358</v>
      </c>
      <c r="K555" s="3">
        <v>9.9399999999999997E-6</v>
      </c>
      <c r="L555" s="2" t="s">
        <v>606</v>
      </c>
      <c r="M555" s="4" t="s">
        <v>26359</v>
      </c>
    </row>
    <row r="556" spans="1:13">
      <c r="A556" s="2">
        <v>534</v>
      </c>
      <c r="B556" s="2" t="s">
        <v>26360</v>
      </c>
      <c r="C556" s="2">
        <v>14</v>
      </c>
      <c r="D556" s="2">
        <v>568</v>
      </c>
      <c r="E556" s="2">
        <v>158</v>
      </c>
      <c r="F556" s="2">
        <v>32441</v>
      </c>
      <c r="G556" s="2">
        <v>5.0607728649999997</v>
      </c>
      <c r="H556" s="3">
        <v>1.8700000000000001E-6</v>
      </c>
      <c r="I556" s="2" t="s">
        <v>26361</v>
      </c>
      <c r="J556" s="2" t="s">
        <v>26362</v>
      </c>
      <c r="K556" s="3">
        <v>1.06E-5</v>
      </c>
      <c r="L556" s="2" t="s">
        <v>606</v>
      </c>
      <c r="M556" s="4" t="s">
        <v>26363</v>
      </c>
    </row>
    <row r="557" spans="1:13">
      <c r="A557" s="2">
        <v>24</v>
      </c>
      <c r="B557" s="2" t="s">
        <v>26364</v>
      </c>
      <c r="C557" s="2">
        <v>18</v>
      </c>
      <c r="D557" s="2">
        <v>568</v>
      </c>
      <c r="E557" s="2">
        <v>265</v>
      </c>
      <c r="F557" s="2">
        <v>32441</v>
      </c>
      <c r="G557" s="2">
        <v>3.8794711670000002</v>
      </c>
      <c r="H557" s="3">
        <v>2.43E-6</v>
      </c>
      <c r="I557" s="2" t="s">
        <v>26365</v>
      </c>
      <c r="J557" s="2" t="s">
        <v>26366</v>
      </c>
      <c r="K557" s="3">
        <v>1.3699999999999999E-5</v>
      </c>
      <c r="L557" s="2" t="s">
        <v>606</v>
      </c>
      <c r="M557" s="4" t="s">
        <v>26367</v>
      </c>
    </row>
    <row r="558" spans="1:13">
      <c r="A558" s="2">
        <v>242</v>
      </c>
      <c r="B558" s="2" t="s">
        <v>26368</v>
      </c>
      <c r="C558" s="2">
        <v>12</v>
      </c>
      <c r="D558" s="2">
        <v>568</v>
      </c>
      <c r="E558" s="2">
        <v>117</v>
      </c>
      <c r="F558" s="2">
        <v>32441</v>
      </c>
      <c r="G558" s="2">
        <v>5.8578909350000004</v>
      </c>
      <c r="H558" s="3">
        <v>2.5299999999999999E-6</v>
      </c>
      <c r="I558" s="2" t="s">
        <v>26369</v>
      </c>
      <c r="J558" s="2" t="s">
        <v>26370</v>
      </c>
      <c r="K558" s="3">
        <v>1.4100000000000001E-5</v>
      </c>
      <c r="L558" s="2" t="s">
        <v>606</v>
      </c>
      <c r="M558" s="4" t="s">
        <v>26371</v>
      </c>
    </row>
    <row r="559" spans="1:13">
      <c r="A559" s="2">
        <v>716</v>
      </c>
      <c r="B559" s="2" t="s">
        <v>26372</v>
      </c>
      <c r="C559" s="2">
        <v>10</v>
      </c>
      <c r="D559" s="2">
        <v>568</v>
      </c>
      <c r="E559" s="2">
        <v>77</v>
      </c>
      <c r="F559" s="2">
        <v>32441</v>
      </c>
      <c r="G559" s="2">
        <v>7.4174593010000001</v>
      </c>
      <c r="H559" s="3">
        <v>2.57E-6</v>
      </c>
      <c r="I559" s="2" t="s">
        <v>26373</v>
      </c>
      <c r="J559" s="2" t="s">
        <v>26374</v>
      </c>
      <c r="K559" s="3">
        <v>1.42E-5</v>
      </c>
      <c r="L559" s="2" t="s">
        <v>606</v>
      </c>
      <c r="M559" s="4" t="s">
        <v>26375</v>
      </c>
    </row>
    <row r="560" spans="1:13">
      <c r="A560" s="2">
        <v>254</v>
      </c>
      <c r="B560" s="2" t="s">
        <v>26376</v>
      </c>
      <c r="C560" s="2">
        <v>17</v>
      </c>
      <c r="D560" s="2">
        <v>568</v>
      </c>
      <c r="E560" s="2">
        <v>239</v>
      </c>
      <c r="F560" s="2">
        <v>32441</v>
      </c>
      <c r="G560" s="2">
        <v>4.0625331490000001</v>
      </c>
      <c r="H560" s="3">
        <v>2.5900000000000002E-6</v>
      </c>
      <c r="I560" s="2" t="s">
        <v>26377</v>
      </c>
      <c r="J560" s="2" t="s">
        <v>26378</v>
      </c>
      <c r="K560" s="3">
        <v>1.42E-5</v>
      </c>
      <c r="L560" s="2" t="s">
        <v>606</v>
      </c>
      <c r="M560" s="4" t="s">
        <v>26379</v>
      </c>
    </row>
    <row r="561" spans="1:13">
      <c r="A561" s="2">
        <v>802</v>
      </c>
      <c r="B561" s="2" t="s">
        <v>26380</v>
      </c>
      <c r="C561" s="2">
        <v>24</v>
      </c>
      <c r="D561" s="2">
        <v>568</v>
      </c>
      <c r="E561" s="2">
        <v>446</v>
      </c>
      <c r="F561" s="2">
        <v>32441</v>
      </c>
      <c r="G561" s="2">
        <v>3.0734225980000001</v>
      </c>
      <c r="H561" s="3">
        <v>2.7300000000000001E-6</v>
      </c>
      <c r="I561" s="2" t="s">
        <v>26381</v>
      </c>
      <c r="J561" s="2" t="s">
        <v>26382</v>
      </c>
      <c r="K561" s="3">
        <v>1.49E-5</v>
      </c>
      <c r="L561" s="2" t="s">
        <v>606</v>
      </c>
      <c r="M561" s="4" t="s">
        <v>26383</v>
      </c>
    </row>
    <row r="562" spans="1:13">
      <c r="A562" s="2">
        <v>814</v>
      </c>
      <c r="B562" s="2" t="s">
        <v>6751</v>
      </c>
      <c r="C562" s="2">
        <v>62</v>
      </c>
      <c r="D562" s="2">
        <v>568</v>
      </c>
      <c r="E562" s="2">
        <v>1896</v>
      </c>
      <c r="F562" s="2">
        <v>32441</v>
      </c>
      <c r="G562" s="2">
        <v>1.867666176</v>
      </c>
      <c r="H562" s="3">
        <v>2.9699999999999999E-6</v>
      </c>
      <c r="I562" s="3" t="s">
        <v>26384</v>
      </c>
      <c r="J562" s="3" t="s">
        <v>26385</v>
      </c>
      <c r="K562" s="3">
        <v>1.6099999999999998E-5</v>
      </c>
      <c r="L562" s="2" t="s">
        <v>606</v>
      </c>
      <c r="M562" s="4" t="s">
        <v>6754</v>
      </c>
    </row>
    <row r="563" spans="1:13">
      <c r="A563" s="2">
        <v>755</v>
      </c>
      <c r="B563" s="2" t="s">
        <v>26386</v>
      </c>
      <c r="C563" s="2">
        <v>27</v>
      </c>
      <c r="D563" s="2">
        <v>568</v>
      </c>
      <c r="E563" s="2">
        <v>547</v>
      </c>
      <c r="F563" s="2">
        <v>32441</v>
      </c>
      <c r="G563" s="2">
        <v>2.8191769450000002</v>
      </c>
      <c r="H563" s="3">
        <v>3.0800000000000002E-6</v>
      </c>
      <c r="I563" s="2" t="s">
        <v>26387</v>
      </c>
      <c r="J563" s="2" t="s">
        <v>26388</v>
      </c>
      <c r="K563" s="3">
        <v>1.66E-5</v>
      </c>
      <c r="L563" s="2" t="s">
        <v>606</v>
      </c>
      <c r="M563" s="4" t="s">
        <v>26389</v>
      </c>
    </row>
    <row r="564" spans="1:13">
      <c r="A564" s="2">
        <v>756</v>
      </c>
      <c r="B564" s="2" t="s">
        <v>26390</v>
      </c>
      <c r="C564" s="2">
        <v>29</v>
      </c>
      <c r="D564" s="2">
        <v>568</v>
      </c>
      <c r="E564" s="2">
        <v>616</v>
      </c>
      <c r="F564" s="2">
        <v>32441</v>
      </c>
      <c r="G564" s="2">
        <v>2.6888289969999999</v>
      </c>
      <c r="H564" s="3">
        <v>3.23E-6</v>
      </c>
      <c r="I564" s="2" t="s">
        <v>26391</v>
      </c>
      <c r="J564" s="2" t="s">
        <v>26392</v>
      </c>
      <c r="K564" s="3">
        <v>1.73E-5</v>
      </c>
      <c r="L564" s="2" t="s">
        <v>606</v>
      </c>
      <c r="M564" s="4" t="s">
        <v>26393</v>
      </c>
    </row>
    <row r="565" spans="1:13">
      <c r="A565" s="2">
        <v>6831</v>
      </c>
      <c r="B565" s="2" t="s">
        <v>26394</v>
      </c>
      <c r="C565" s="2">
        <v>11</v>
      </c>
      <c r="D565" s="2">
        <v>568</v>
      </c>
      <c r="E565" s="2">
        <v>99</v>
      </c>
      <c r="F565" s="2">
        <v>32441</v>
      </c>
      <c r="G565" s="2">
        <v>6.3460485130000004</v>
      </c>
      <c r="H565" s="3">
        <v>3.2600000000000001E-6</v>
      </c>
      <c r="I565" s="2" t="s">
        <v>26395</v>
      </c>
      <c r="J565" s="2" t="s">
        <v>26396</v>
      </c>
      <c r="K565" s="3">
        <v>1.7399999999999999E-5</v>
      </c>
      <c r="L565" s="2" t="s">
        <v>606</v>
      </c>
      <c r="M565" s="4" t="s">
        <v>26397</v>
      </c>
    </row>
    <row r="566" spans="1:13">
      <c r="A566" s="2">
        <v>223</v>
      </c>
      <c r="B566" s="2" t="s">
        <v>26398</v>
      </c>
      <c r="C566" s="2">
        <v>16</v>
      </c>
      <c r="D566" s="2">
        <v>568</v>
      </c>
      <c r="E566" s="2">
        <v>218</v>
      </c>
      <c r="F566" s="2">
        <v>32441</v>
      </c>
      <c r="G566" s="2">
        <v>4.1918852559999999</v>
      </c>
      <c r="H566" s="3">
        <v>3.49E-6</v>
      </c>
      <c r="I566" s="2" t="s">
        <v>26399</v>
      </c>
      <c r="J566" s="2" t="s">
        <v>26400</v>
      </c>
      <c r="K566" s="3">
        <v>1.8499999999999999E-5</v>
      </c>
      <c r="L566" s="2" t="s">
        <v>606</v>
      </c>
      <c r="M566" s="4" t="s">
        <v>26401</v>
      </c>
    </row>
    <row r="567" spans="1:13">
      <c r="A567" s="2">
        <v>486</v>
      </c>
      <c r="B567" s="2" t="s">
        <v>26402</v>
      </c>
      <c r="C567" s="2">
        <v>13</v>
      </c>
      <c r="D567" s="2">
        <v>568</v>
      </c>
      <c r="E567" s="2">
        <v>145</v>
      </c>
      <c r="F567" s="2">
        <v>32441</v>
      </c>
      <c r="G567" s="2">
        <v>5.1206046619999999</v>
      </c>
      <c r="H567" s="3">
        <v>3.8600000000000003E-6</v>
      </c>
      <c r="I567" s="2" t="s">
        <v>26403</v>
      </c>
      <c r="J567" s="2" t="s">
        <v>26404</v>
      </c>
      <c r="K567" s="3">
        <v>2.02E-5</v>
      </c>
      <c r="L567" s="2" t="s">
        <v>606</v>
      </c>
      <c r="M567" s="4" t="s">
        <v>26405</v>
      </c>
    </row>
    <row r="568" spans="1:13">
      <c r="A568" s="2">
        <v>526</v>
      </c>
      <c r="B568" s="2" t="s">
        <v>26406</v>
      </c>
      <c r="C568" s="2">
        <v>13</v>
      </c>
      <c r="D568" s="2">
        <v>568</v>
      </c>
      <c r="E568" s="2">
        <v>145</v>
      </c>
      <c r="F568" s="2">
        <v>32441</v>
      </c>
      <c r="G568" s="2">
        <v>5.1206046619999999</v>
      </c>
      <c r="H568" s="3">
        <v>3.8600000000000003E-6</v>
      </c>
      <c r="I568" s="2" t="s">
        <v>26407</v>
      </c>
      <c r="J568" s="2" t="s">
        <v>26408</v>
      </c>
      <c r="K568" s="3">
        <v>2.02E-5</v>
      </c>
      <c r="L568" s="2" t="s">
        <v>606</v>
      </c>
      <c r="M568" s="4" t="s">
        <v>26409</v>
      </c>
    </row>
    <row r="569" spans="1:13">
      <c r="A569" s="2">
        <v>51</v>
      </c>
      <c r="B569" s="2" t="s">
        <v>26410</v>
      </c>
      <c r="C569" s="2">
        <v>9</v>
      </c>
      <c r="D569" s="2">
        <v>568</v>
      </c>
      <c r="E569" s="2">
        <v>63</v>
      </c>
      <c r="F569" s="2">
        <v>32441</v>
      </c>
      <c r="G569" s="2">
        <v>8.1592052309999996</v>
      </c>
      <c r="H569" s="3">
        <v>4.0300000000000004E-6</v>
      </c>
      <c r="I569" s="2" t="s">
        <v>26411</v>
      </c>
      <c r="J569" s="2" t="s">
        <v>26412</v>
      </c>
      <c r="K569" s="3">
        <v>2.09E-5</v>
      </c>
      <c r="L569" s="2" t="s">
        <v>606</v>
      </c>
      <c r="M569" s="4" t="s">
        <v>26413</v>
      </c>
    </row>
    <row r="570" spans="1:13">
      <c r="A570" s="2">
        <v>722</v>
      </c>
      <c r="B570" s="2" t="s">
        <v>26414</v>
      </c>
      <c r="C570" s="2">
        <v>7</v>
      </c>
      <c r="D570" s="2">
        <v>568</v>
      </c>
      <c r="E570" s="2">
        <v>33</v>
      </c>
      <c r="F570" s="2">
        <v>32441</v>
      </c>
      <c r="G570" s="2">
        <v>12.115183529999999</v>
      </c>
      <c r="H570" s="3">
        <v>4.9100000000000004E-6</v>
      </c>
      <c r="I570" s="2" t="s">
        <v>26415</v>
      </c>
      <c r="J570" s="2" t="s">
        <v>26416</v>
      </c>
      <c r="K570" s="3">
        <v>2.5299999999999998E-5</v>
      </c>
      <c r="L570" s="2" t="s">
        <v>606</v>
      </c>
      <c r="M570" s="4" t="s">
        <v>26417</v>
      </c>
    </row>
    <row r="571" spans="1:13">
      <c r="A571" s="2">
        <v>323</v>
      </c>
      <c r="B571" s="2" t="s">
        <v>26418</v>
      </c>
      <c r="C571" s="2">
        <v>17</v>
      </c>
      <c r="D571" s="2">
        <v>568</v>
      </c>
      <c r="E571" s="2">
        <v>252</v>
      </c>
      <c r="F571" s="2">
        <v>32441</v>
      </c>
      <c r="G571" s="2">
        <v>3.852958026</v>
      </c>
      <c r="H571" s="3">
        <v>5.0200000000000002E-6</v>
      </c>
      <c r="I571" s="2" t="s">
        <v>26419</v>
      </c>
      <c r="J571" s="2" t="s">
        <v>26420</v>
      </c>
      <c r="K571" s="3">
        <v>2.5599999999999999E-5</v>
      </c>
      <c r="L571" s="2" t="s">
        <v>606</v>
      </c>
      <c r="M571" s="4" t="s">
        <v>26421</v>
      </c>
    </row>
    <row r="572" spans="1:13">
      <c r="A572" s="2">
        <v>499</v>
      </c>
      <c r="B572" s="2" t="s">
        <v>26422</v>
      </c>
      <c r="C572" s="2">
        <v>18</v>
      </c>
      <c r="D572" s="2">
        <v>568</v>
      </c>
      <c r="E572" s="2">
        <v>280</v>
      </c>
      <c r="F572" s="2">
        <v>32441</v>
      </c>
      <c r="G572" s="2">
        <v>3.6716423539999998</v>
      </c>
      <c r="H572" s="3">
        <v>5.0000000000000004E-6</v>
      </c>
      <c r="I572" s="2" t="s">
        <v>26423</v>
      </c>
      <c r="J572" s="2" t="s">
        <v>26424</v>
      </c>
      <c r="K572" s="3">
        <v>2.5599999999999999E-5</v>
      </c>
      <c r="L572" s="2" t="s">
        <v>606</v>
      </c>
      <c r="M572" s="4" t="s">
        <v>26425</v>
      </c>
    </row>
    <row r="573" spans="1:13">
      <c r="A573" s="2">
        <v>494</v>
      </c>
      <c r="B573" s="2" t="s">
        <v>26426</v>
      </c>
      <c r="C573" s="2">
        <v>19</v>
      </c>
      <c r="D573" s="2">
        <v>568</v>
      </c>
      <c r="E573" s="2">
        <v>311</v>
      </c>
      <c r="F573" s="2">
        <v>32441</v>
      </c>
      <c r="G573" s="2">
        <v>3.4893064169999999</v>
      </c>
      <c r="H573" s="3">
        <v>5.49E-6</v>
      </c>
      <c r="I573" s="2" t="s">
        <v>26427</v>
      </c>
      <c r="J573" s="2" t="s">
        <v>26428</v>
      </c>
      <c r="K573" s="3">
        <v>2.7800000000000001E-5</v>
      </c>
      <c r="L573" s="2" t="s">
        <v>606</v>
      </c>
      <c r="M573" s="4" t="s">
        <v>26429</v>
      </c>
    </row>
    <row r="574" spans="1:13">
      <c r="A574" s="2">
        <v>695</v>
      </c>
      <c r="B574" s="2" t="s">
        <v>26430</v>
      </c>
      <c r="C574" s="2">
        <v>14</v>
      </c>
      <c r="D574" s="2">
        <v>568</v>
      </c>
      <c r="E574" s="2">
        <v>175</v>
      </c>
      <c r="F574" s="2">
        <v>32441</v>
      </c>
      <c r="G574" s="2">
        <v>4.5691549299999998</v>
      </c>
      <c r="H574" s="3">
        <v>5.6500000000000001E-6</v>
      </c>
      <c r="I574" s="2" t="s">
        <v>26431</v>
      </c>
      <c r="J574" s="2" t="s">
        <v>26432</v>
      </c>
      <c r="K574" s="3">
        <v>2.8399999999999999E-5</v>
      </c>
      <c r="L574" s="2" t="s">
        <v>606</v>
      </c>
      <c r="M574" s="4" t="s">
        <v>26433</v>
      </c>
    </row>
    <row r="575" spans="1:13">
      <c r="A575" s="2">
        <v>512</v>
      </c>
      <c r="B575" s="2" t="s">
        <v>26434</v>
      </c>
      <c r="C575" s="2">
        <v>15</v>
      </c>
      <c r="D575" s="2">
        <v>568</v>
      </c>
      <c r="E575" s="2">
        <v>201</v>
      </c>
      <c r="F575" s="2">
        <v>32441</v>
      </c>
      <c r="G575" s="2">
        <v>4.2622713900000004</v>
      </c>
      <c r="H575" s="3">
        <v>5.8100000000000003E-6</v>
      </c>
      <c r="I575" s="2" t="s">
        <v>26435</v>
      </c>
      <c r="J575" s="2" t="s">
        <v>26436</v>
      </c>
      <c r="K575" s="3">
        <v>2.9099999999999999E-5</v>
      </c>
      <c r="L575" s="2" t="s">
        <v>606</v>
      </c>
      <c r="M575" s="4" t="s">
        <v>26437</v>
      </c>
    </row>
    <row r="576" spans="1:13">
      <c r="A576" s="2">
        <v>653</v>
      </c>
      <c r="B576" s="2" t="s">
        <v>26438</v>
      </c>
      <c r="C576" s="2">
        <v>15</v>
      </c>
      <c r="D576" s="2">
        <v>568</v>
      </c>
      <c r="E576" s="2">
        <v>202</v>
      </c>
      <c r="F576" s="2">
        <v>32441</v>
      </c>
      <c r="G576" s="2">
        <v>4.2411710359999999</v>
      </c>
      <c r="H576" s="3">
        <v>6.1399999999999997E-6</v>
      </c>
      <c r="I576" s="2" t="s">
        <v>26439</v>
      </c>
      <c r="J576" s="2" t="s">
        <v>26440</v>
      </c>
      <c r="K576" s="3">
        <v>3.0599999999999998E-5</v>
      </c>
      <c r="L576" s="2" t="s">
        <v>606</v>
      </c>
      <c r="M576" s="4" t="s">
        <v>26441</v>
      </c>
    </row>
    <row r="577" spans="1:13">
      <c r="A577" s="2">
        <v>591</v>
      </c>
      <c r="B577" s="2" t="s">
        <v>26442</v>
      </c>
      <c r="C577" s="2">
        <v>9</v>
      </c>
      <c r="D577" s="2">
        <v>568</v>
      </c>
      <c r="E577" s="2">
        <v>67</v>
      </c>
      <c r="F577" s="2">
        <v>32441</v>
      </c>
      <c r="G577" s="2">
        <v>7.6720885010000002</v>
      </c>
      <c r="H577" s="3">
        <v>6.3500000000000002E-6</v>
      </c>
      <c r="I577" s="2" t="s">
        <v>26443</v>
      </c>
      <c r="J577" s="2" t="s">
        <v>26444</v>
      </c>
      <c r="K577" s="3">
        <v>3.1399999999999998E-5</v>
      </c>
      <c r="L577" s="2" t="s">
        <v>606</v>
      </c>
      <c r="M577" s="4" t="s">
        <v>26445</v>
      </c>
    </row>
    <row r="578" spans="1:13">
      <c r="A578" s="2">
        <v>567</v>
      </c>
      <c r="B578" s="2" t="s">
        <v>26446</v>
      </c>
      <c r="C578" s="2">
        <v>13</v>
      </c>
      <c r="D578" s="2">
        <v>568</v>
      </c>
      <c r="E578" s="2">
        <v>153</v>
      </c>
      <c r="F578" s="2">
        <v>32441</v>
      </c>
      <c r="G578" s="2">
        <v>4.8528606280000002</v>
      </c>
      <c r="H578" s="3">
        <v>6.64E-6</v>
      </c>
      <c r="I578" s="2" t="s">
        <v>26447</v>
      </c>
      <c r="J578" s="2" t="s">
        <v>26448</v>
      </c>
      <c r="K578" s="3">
        <v>3.26E-5</v>
      </c>
      <c r="L578" s="2" t="s">
        <v>606</v>
      </c>
      <c r="M578" s="4" t="s">
        <v>26449</v>
      </c>
    </row>
    <row r="579" spans="1:13">
      <c r="A579" s="2">
        <v>573</v>
      </c>
      <c r="B579" s="2" t="s">
        <v>26450</v>
      </c>
      <c r="C579" s="2">
        <v>11</v>
      </c>
      <c r="D579" s="2">
        <v>568</v>
      </c>
      <c r="E579" s="2">
        <v>108</v>
      </c>
      <c r="F579" s="2">
        <v>32441</v>
      </c>
      <c r="G579" s="2">
        <v>5.8172111370000001</v>
      </c>
      <c r="H579" s="3">
        <v>7.0199999999999997E-6</v>
      </c>
      <c r="I579" s="2" t="s">
        <v>26451</v>
      </c>
      <c r="J579" s="2" t="s">
        <v>26452</v>
      </c>
      <c r="K579" s="3">
        <v>3.43E-5</v>
      </c>
      <c r="L579" s="2" t="s">
        <v>606</v>
      </c>
      <c r="M579" s="4" t="s">
        <v>26453</v>
      </c>
    </row>
    <row r="580" spans="1:13">
      <c r="A580" s="2">
        <v>56</v>
      </c>
      <c r="B580" s="2" t="s">
        <v>26454</v>
      </c>
      <c r="C580" s="2">
        <v>16</v>
      </c>
      <c r="D580" s="2">
        <v>568</v>
      </c>
      <c r="E580" s="2">
        <v>232</v>
      </c>
      <c r="F580" s="2">
        <v>32441</v>
      </c>
      <c r="G580" s="2">
        <v>3.9389266630000002</v>
      </c>
      <c r="H580" s="3">
        <v>7.3100000000000003E-6</v>
      </c>
      <c r="I580" s="2" t="s">
        <v>26455</v>
      </c>
      <c r="J580" s="2" t="s">
        <v>26456</v>
      </c>
      <c r="K580" s="3">
        <v>3.5500000000000002E-5</v>
      </c>
      <c r="L580" s="2" t="s">
        <v>606</v>
      </c>
      <c r="M580" s="4" t="s">
        <v>26457</v>
      </c>
    </row>
    <row r="581" spans="1:13">
      <c r="A581" s="2">
        <v>72</v>
      </c>
      <c r="B581" s="2" t="s">
        <v>26458</v>
      </c>
      <c r="C581" s="2">
        <v>17</v>
      </c>
      <c r="D581" s="2">
        <v>568</v>
      </c>
      <c r="E581" s="2">
        <v>262</v>
      </c>
      <c r="F581" s="2">
        <v>32441</v>
      </c>
      <c r="G581" s="2">
        <v>3.705898559</v>
      </c>
      <c r="H581" s="3">
        <v>8.1300000000000001E-6</v>
      </c>
      <c r="I581" s="2" t="s">
        <v>26459</v>
      </c>
      <c r="J581" s="2" t="s">
        <v>26460</v>
      </c>
      <c r="K581" s="3">
        <v>3.93E-5</v>
      </c>
      <c r="L581" s="2" t="s">
        <v>606</v>
      </c>
      <c r="M581" s="4" t="s">
        <v>26461</v>
      </c>
    </row>
    <row r="582" spans="1:13">
      <c r="A582" s="2">
        <v>578</v>
      </c>
      <c r="B582" s="2" t="s">
        <v>26462</v>
      </c>
      <c r="C582" s="2">
        <v>13</v>
      </c>
      <c r="D582" s="2">
        <v>568</v>
      </c>
      <c r="E582" s="2">
        <v>158</v>
      </c>
      <c r="F582" s="2">
        <v>32441</v>
      </c>
      <c r="G582" s="2">
        <v>4.6992890889999996</v>
      </c>
      <c r="H582" s="3">
        <v>9.1600000000000004E-6</v>
      </c>
      <c r="I582" s="2" t="s">
        <v>26463</v>
      </c>
      <c r="J582" s="2" t="s">
        <v>26464</v>
      </c>
      <c r="K582" s="3">
        <v>4.3999999999999999E-5</v>
      </c>
      <c r="L582" s="2" t="s">
        <v>606</v>
      </c>
      <c r="M582" s="4" t="s">
        <v>26465</v>
      </c>
    </row>
    <row r="583" spans="1:13">
      <c r="A583" s="2">
        <v>83</v>
      </c>
      <c r="B583" s="2" t="s">
        <v>26466</v>
      </c>
      <c r="C583" s="2">
        <v>17</v>
      </c>
      <c r="D583" s="2">
        <v>568</v>
      </c>
      <c r="E583" s="2">
        <v>268</v>
      </c>
      <c r="F583" s="2">
        <v>32441</v>
      </c>
      <c r="G583" s="2">
        <v>3.6229306810000002</v>
      </c>
      <c r="H583" s="3">
        <v>1.0699999999999999E-5</v>
      </c>
      <c r="I583" s="2" t="s">
        <v>26467</v>
      </c>
      <c r="J583" s="2" t="s">
        <v>26468</v>
      </c>
      <c r="K583" s="3">
        <v>5.13E-5</v>
      </c>
      <c r="L583" s="2" t="s">
        <v>606</v>
      </c>
      <c r="M583" s="4" t="s">
        <v>26469</v>
      </c>
    </row>
    <row r="584" spans="1:13">
      <c r="A584" s="2">
        <v>626</v>
      </c>
      <c r="B584" s="2" t="s">
        <v>26470</v>
      </c>
      <c r="C584" s="2">
        <v>16</v>
      </c>
      <c r="D584" s="2">
        <v>568</v>
      </c>
      <c r="E584" s="2">
        <v>240</v>
      </c>
      <c r="F584" s="2">
        <v>32441</v>
      </c>
      <c r="G584" s="2">
        <v>3.807629108</v>
      </c>
      <c r="H584" s="3">
        <v>1.0900000000000001E-5</v>
      </c>
      <c r="I584" s="2" t="s">
        <v>26471</v>
      </c>
      <c r="J584" s="2" t="s">
        <v>26472</v>
      </c>
      <c r="K584" s="3">
        <v>5.1700000000000003E-5</v>
      </c>
      <c r="L584" s="2" t="s">
        <v>606</v>
      </c>
      <c r="M584" s="4" t="s">
        <v>26473</v>
      </c>
    </row>
    <row r="585" spans="1:13">
      <c r="A585" s="2">
        <v>71</v>
      </c>
      <c r="B585" s="2" t="s">
        <v>616</v>
      </c>
      <c r="C585" s="2">
        <v>17</v>
      </c>
      <c r="D585" s="2">
        <v>568</v>
      </c>
      <c r="E585" s="2">
        <v>270</v>
      </c>
      <c r="F585" s="2">
        <v>32441</v>
      </c>
      <c r="G585" s="2">
        <v>3.5960941580000001</v>
      </c>
      <c r="H585" s="3">
        <v>1.1800000000000001E-5</v>
      </c>
      <c r="I585" s="2" t="s">
        <v>26474</v>
      </c>
      <c r="J585" s="2" t="s">
        <v>26475</v>
      </c>
      <c r="K585" s="3">
        <v>5.52E-5</v>
      </c>
      <c r="L585" s="2" t="s">
        <v>606</v>
      </c>
      <c r="M585" s="4" t="s">
        <v>26476</v>
      </c>
    </row>
    <row r="586" spans="1:13">
      <c r="A586" s="2">
        <v>808</v>
      </c>
      <c r="B586" s="2" t="s">
        <v>6861</v>
      </c>
      <c r="C586" s="2">
        <v>30</v>
      </c>
      <c r="D586" s="2">
        <v>568</v>
      </c>
      <c r="E586" s="2">
        <v>697</v>
      </c>
      <c r="F586" s="2">
        <v>32441</v>
      </c>
      <c r="G586" s="2">
        <v>2.458297129</v>
      </c>
      <c r="H586" s="3">
        <v>1.17E-5</v>
      </c>
      <c r="I586" s="2" t="s">
        <v>26477</v>
      </c>
      <c r="J586" s="2" t="s">
        <v>26478</v>
      </c>
      <c r="K586" s="3">
        <v>5.52E-5</v>
      </c>
      <c r="L586" s="2" t="s">
        <v>606</v>
      </c>
      <c r="M586" s="4" t="s">
        <v>6864</v>
      </c>
    </row>
    <row r="587" spans="1:13">
      <c r="A587" s="2">
        <v>800</v>
      </c>
      <c r="B587" s="2" t="s">
        <v>26479</v>
      </c>
      <c r="C587" s="2">
        <v>31</v>
      </c>
      <c r="D587" s="2">
        <v>568</v>
      </c>
      <c r="E587" s="2">
        <v>738</v>
      </c>
      <c r="F587" s="2">
        <v>32441</v>
      </c>
      <c r="G587" s="2">
        <v>2.3991159010000001</v>
      </c>
      <c r="H587" s="3">
        <v>1.3200000000000001E-5</v>
      </c>
      <c r="I587" s="2" t="s">
        <v>26480</v>
      </c>
      <c r="J587" s="2" t="s">
        <v>26481</v>
      </c>
      <c r="K587" s="3">
        <v>6.1799999999999998E-5</v>
      </c>
      <c r="L587" s="2" t="s">
        <v>606</v>
      </c>
      <c r="M587" s="4" t="s">
        <v>26482</v>
      </c>
    </row>
    <row r="588" spans="1:13">
      <c r="A588" s="2">
        <v>538</v>
      </c>
      <c r="B588" s="2" t="s">
        <v>26483</v>
      </c>
      <c r="C588" s="2">
        <v>11</v>
      </c>
      <c r="D588" s="2">
        <v>568</v>
      </c>
      <c r="E588" s="2">
        <v>117</v>
      </c>
      <c r="F588" s="2">
        <v>32441</v>
      </c>
      <c r="G588" s="2">
        <v>5.3697333570000003</v>
      </c>
      <c r="H588" s="3">
        <v>1.4100000000000001E-5</v>
      </c>
      <c r="I588" s="2" t="s">
        <v>26484</v>
      </c>
      <c r="J588" s="2" t="s">
        <v>26485</v>
      </c>
      <c r="K588" s="3">
        <v>6.5500000000000006E-5</v>
      </c>
      <c r="L588" s="2" t="s">
        <v>606</v>
      </c>
      <c r="M588" s="4" t="s">
        <v>26486</v>
      </c>
    </row>
    <row r="589" spans="1:13">
      <c r="A589" s="2">
        <v>786</v>
      </c>
      <c r="B589" s="2" t="s">
        <v>6821</v>
      </c>
      <c r="C589" s="2">
        <v>73</v>
      </c>
      <c r="D589" s="2">
        <v>568</v>
      </c>
      <c r="E589" s="2">
        <v>2485</v>
      </c>
      <c r="F589" s="2">
        <v>32441</v>
      </c>
      <c r="G589" s="2">
        <v>1.6778084</v>
      </c>
      <c r="H589" s="3">
        <v>1.45E-5</v>
      </c>
      <c r="I589" s="3" t="s">
        <v>26487</v>
      </c>
      <c r="J589" s="3" t="s">
        <v>26488</v>
      </c>
      <c r="K589" s="3">
        <v>6.7000000000000002E-5</v>
      </c>
      <c r="L589" s="2" t="s">
        <v>606</v>
      </c>
      <c r="M589" s="4" t="s">
        <v>6824</v>
      </c>
    </row>
    <row r="590" spans="1:13">
      <c r="A590" s="2">
        <v>458</v>
      </c>
      <c r="B590" s="2" t="s">
        <v>628</v>
      </c>
      <c r="C590" s="2">
        <v>11</v>
      </c>
      <c r="D590" s="2">
        <v>568</v>
      </c>
      <c r="E590" s="2">
        <v>118</v>
      </c>
      <c r="F590" s="2">
        <v>32441</v>
      </c>
      <c r="G590" s="2">
        <v>5.3242271429999999</v>
      </c>
      <c r="H590" s="3">
        <v>1.52E-5</v>
      </c>
      <c r="I590" s="2" t="s">
        <v>26489</v>
      </c>
      <c r="J590" s="2" t="s">
        <v>26490</v>
      </c>
      <c r="K590" s="3">
        <v>6.97E-5</v>
      </c>
      <c r="L590" s="2" t="s">
        <v>606</v>
      </c>
      <c r="M590" s="4" t="s">
        <v>26491</v>
      </c>
    </row>
    <row r="591" spans="1:13">
      <c r="A591" s="2">
        <v>660</v>
      </c>
      <c r="B591" s="2" t="s">
        <v>26492</v>
      </c>
      <c r="C591" s="2">
        <v>12</v>
      </c>
      <c r="D591" s="2">
        <v>568</v>
      </c>
      <c r="E591" s="2">
        <v>142</v>
      </c>
      <c r="F591" s="2">
        <v>32441</v>
      </c>
      <c r="G591" s="2">
        <v>4.8265721089999998</v>
      </c>
      <c r="H591" s="3">
        <v>1.5699999999999999E-5</v>
      </c>
      <c r="I591" s="2" t="s">
        <v>26493</v>
      </c>
      <c r="J591" s="2" t="s">
        <v>26494</v>
      </c>
      <c r="K591" s="3">
        <v>7.1799999999999997E-5</v>
      </c>
      <c r="L591" s="2" t="s">
        <v>606</v>
      </c>
      <c r="M591" s="4" t="s">
        <v>26495</v>
      </c>
    </row>
    <row r="592" spans="1:13">
      <c r="A592" s="2">
        <v>298</v>
      </c>
      <c r="B592" s="2" t="s">
        <v>26496</v>
      </c>
      <c r="C592" s="2">
        <v>15</v>
      </c>
      <c r="D592" s="2">
        <v>568</v>
      </c>
      <c r="E592" s="2">
        <v>220</v>
      </c>
      <c r="F592" s="2">
        <v>32441</v>
      </c>
      <c r="G592" s="2">
        <v>3.8941661330000001</v>
      </c>
      <c r="H592" s="3">
        <v>1.59E-5</v>
      </c>
      <c r="I592" s="2" t="s">
        <v>26497</v>
      </c>
      <c r="J592" s="2" t="s">
        <v>26498</v>
      </c>
      <c r="K592" s="3">
        <v>7.2299999999999996E-5</v>
      </c>
      <c r="L592" s="2" t="s">
        <v>606</v>
      </c>
      <c r="M592" s="4" t="s">
        <v>26499</v>
      </c>
    </row>
    <row r="593" spans="1:13">
      <c r="A593" s="2">
        <v>413</v>
      </c>
      <c r="B593" s="2" t="s">
        <v>26500</v>
      </c>
      <c r="C593" s="2">
        <v>16</v>
      </c>
      <c r="D593" s="2">
        <v>568</v>
      </c>
      <c r="E593" s="2">
        <v>250</v>
      </c>
      <c r="F593" s="2">
        <v>32441</v>
      </c>
      <c r="G593" s="2">
        <v>3.655323944</v>
      </c>
      <c r="H593" s="3">
        <v>1.7499999999999998E-5</v>
      </c>
      <c r="I593" s="2" t="s">
        <v>26501</v>
      </c>
      <c r="J593" s="2" t="s">
        <v>26502</v>
      </c>
      <c r="K593" s="3">
        <v>7.8999999999999996E-5</v>
      </c>
      <c r="L593" s="2" t="s">
        <v>606</v>
      </c>
      <c r="M593" s="4" t="s">
        <v>26503</v>
      </c>
    </row>
    <row r="594" spans="1:13">
      <c r="A594" s="2">
        <v>584</v>
      </c>
      <c r="B594" s="2" t="s">
        <v>26504</v>
      </c>
      <c r="C594" s="2">
        <v>13</v>
      </c>
      <c r="D594" s="2">
        <v>568</v>
      </c>
      <c r="E594" s="2">
        <v>169</v>
      </c>
      <c r="F594" s="2">
        <v>32441</v>
      </c>
      <c r="G594" s="2">
        <v>4.3934182020000003</v>
      </c>
      <c r="H594" s="3">
        <v>1.7900000000000001E-5</v>
      </c>
      <c r="I594" s="2" t="s">
        <v>26505</v>
      </c>
      <c r="J594" s="2" t="s">
        <v>26506</v>
      </c>
      <c r="K594" s="3">
        <v>8.03E-5</v>
      </c>
      <c r="L594" s="2" t="s">
        <v>606</v>
      </c>
      <c r="M594" s="4" t="s">
        <v>26507</v>
      </c>
    </row>
    <row r="595" spans="1:13">
      <c r="A595" s="2">
        <v>432</v>
      </c>
      <c r="B595" s="2" t="s">
        <v>26508</v>
      </c>
      <c r="C595" s="2">
        <v>16</v>
      </c>
      <c r="D595" s="2">
        <v>568</v>
      </c>
      <c r="E595" s="2">
        <v>252</v>
      </c>
      <c r="F595" s="2">
        <v>32441</v>
      </c>
      <c r="G595" s="2">
        <v>3.6263134359999998</v>
      </c>
      <c r="H595" s="3">
        <v>1.9199999999999999E-5</v>
      </c>
      <c r="I595" s="2" t="s">
        <v>26509</v>
      </c>
      <c r="J595" s="2" t="s">
        <v>26510</v>
      </c>
      <c r="K595" s="3">
        <v>8.5699999999999996E-5</v>
      </c>
      <c r="L595" s="2" t="s">
        <v>606</v>
      </c>
      <c r="M595" s="4" t="s">
        <v>26511</v>
      </c>
    </row>
    <row r="596" spans="1:13">
      <c r="A596" s="2">
        <v>513</v>
      </c>
      <c r="B596" s="2" t="s">
        <v>26512</v>
      </c>
      <c r="C596" s="2">
        <v>8</v>
      </c>
      <c r="D596" s="2">
        <v>568</v>
      </c>
      <c r="E596" s="2">
        <v>59</v>
      </c>
      <c r="F596" s="2">
        <v>32441</v>
      </c>
      <c r="G596" s="2">
        <v>7.7443303889999999</v>
      </c>
      <c r="H596" s="3">
        <v>1.9599999999999999E-5</v>
      </c>
      <c r="I596" s="2" t="s">
        <v>26513</v>
      </c>
      <c r="J596" s="2" t="s">
        <v>26514</v>
      </c>
      <c r="K596" s="3">
        <v>8.7000000000000001E-5</v>
      </c>
      <c r="L596" s="2" t="s">
        <v>606</v>
      </c>
      <c r="M596" s="4" t="s">
        <v>26515</v>
      </c>
    </row>
    <row r="597" spans="1:13">
      <c r="A597" s="2">
        <v>222</v>
      </c>
      <c r="B597" s="2" t="s">
        <v>26516</v>
      </c>
      <c r="C597" s="2">
        <v>16</v>
      </c>
      <c r="D597" s="2">
        <v>568</v>
      </c>
      <c r="E597" s="2">
        <v>253</v>
      </c>
      <c r="F597" s="2">
        <v>32441</v>
      </c>
      <c r="G597" s="2">
        <v>3.6119801809999998</v>
      </c>
      <c r="H597" s="3">
        <v>2.0100000000000001E-5</v>
      </c>
      <c r="I597" s="2" t="s">
        <v>26517</v>
      </c>
      <c r="J597" s="2" t="s">
        <v>26518</v>
      </c>
      <c r="K597" s="3">
        <v>8.8700000000000001E-5</v>
      </c>
      <c r="L597" s="2" t="s">
        <v>606</v>
      </c>
      <c r="M597" s="4" t="s">
        <v>26519</v>
      </c>
    </row>
    <row r="598" spans="1:13">
      <c r="A598" s="2">
        <v>126</v>
      </c>
      <c r="B598" s="2" t="s">
        <v>26520</v>
      </c>
      <c r="C598" s="2">
        <v>16</v>
      </c>
      <c r="D598" s="2">
        <v>568</v>
      </c>
      <c r="E598" s="2">
        <v>254</v>
      </c>
      <c r="F598" s="2">
        <v>32441</v>
      </c>
      <c r="G598" s="2">
        <v>3.5977597870000002</v>
      </c>
      <c r="H598" s="3">
        <v>2.0999999999999999E-5</v>
      </c>
      <c r="I598" s="2" t="s">
        <v>26521</v>
      </c>
      <c r="J598" s="2" t="s">
        <v>26522</v>
      </c>
      <c r="K598" s="3">
        <v>9.2399999999999996E-5</v>
      </c>
      <c r="L598" s="2" t="s">
        <v>606</v>
      </c>
      <c r="M598" s="4" t="s">
        <v>26523</v>
      </c>
    </row>
    <row r="599" spans="1:13">
      <c r="A599" s="2">
        <v>115</v>
      </c>
      <c r="B599" s="2" t="s">
        <v>26524</v>
      </c>
      <c r="C599" s="2">
        <v>16</v>
      </c>
      <c r="D599" s="2">
        <v>568</v>
      </c>
      <c r="E599" s="2">
        <v>255</v>
      </c>
      <c r="F599" s="2">
        <v>32441</v>
      </c>
      <c r="G599" s="2">
        <v>3.5836509250000002</v>
      </c>
      <c r="H599" s="3">
        <v>2.1999999999999999E-5</v>
      </c>
      <c r="I599" s="2" t="s">
        <v>26525</v>
      </c>
      <c r="J599" s="2" t="s">
        <v>26526</v>
      </c>
      <c r="K599" s="3">
        <v>9.6100000000000005E-5</v>
      </c>
      <c r="L599" s="2" t="s">
        <v>606</v>
      </c>
      <c r="M599" s="4" t="s">
        <v>26527</v>
      </c>
    </row>
    <row r="600" spans="1:13">
      <c r="A600" s="2">
        <v>7431</v>
      </c>
      <c r="B600" s="2" t="s">
        <v>2966</v>
      </c>
      <c r="C600" s="2">
        <v>25</v>
      </c>
      <c r="D600" s="2">
        <v>568</v>
      </c>
      <c r="E600" s="2">
        <v>545</v>
      </c>
      <c r="F600" s="2">
        <v>32441</v>
      </c>
      <c r="G600" s="2">
        <v>2.6199282849999999</v>
      </c>
      <c r="H600" s="3">
        <v>2.3099999999999999E-5</v>
      </c>
      <c r="I600" s="2" t="s">
        <v>26528</v>
      </c>
      <c r="J600" s="2" t="s">
        <v>26529</v>
      </c>
      <c r="K600" s="2">
        <v>1.00481E-4</v>
      </c>
      <c r="L600" s="2" t="s">
        <v>606</v>
      </c>
      <c r="M600" s="4" t="s">
        <v>2969</v>
      </c>
    </row>
    <row r="601" spans="1:13">
      <c r="A601" s="2">
        <v>611</v>
      </c>
      <c r="B601" s="2" t="s">
        <v>26530</v>
      </c>
      <c r="C601" s="2">
        <v>9</v>
      </c>
      <c r="D601" s="2">
        <v>568</v>
      </c>
      <c r="E601" s="2">
        <v>80</v>
      </c>
      <c r="F601" s="2">
        <v>32441</v>
      </c>
      <c r="G601" s="2">
        <v>6.4253741199999999</v>
      </c>
      <c r="H601" s="3">
        <v>2.3300000000000001E-5</v>
      </c>
      <c r="I601" s="2" t="s">
        <v>26531</v>
      </c>
      <c r="J601" s="2" t="s">
        <v>26532</v>
      </c>
      <c r="K601" s="2">
        <v>1.00764E-4</v>
      </c>
      <c r="L601" s="2" t="s">
        <v>606</v>
      </c>
      <c r="M601" s="4" t="s">
        <v>26533</v>
      </c>
    </row>
    <row r="602" spans="1:13">
      <c r="A602" s="2">
        <v>663</v>
      </c>
      <c r="B602" s="2" t="s">
        <v>26534</v>
      </c>
      <c r="C602" s="2">
        <v>12</v>
      </c>
      <c r="D602" s="2">
        <v>568</v>
      </c>
      <c r="E602" s="2">
        <v>149</v>
      </c>
      <c r="F602" s="2">
        <v>32441</v>
      </c>
      <c r="G602" s="2">
        <v>4.5998203990000004</v>
      </c>
      <c r="H602" s="3">
        <v>2.4499999999999999E-5</v>
      </c>
      <c r="I602" s="2" t="s">
        <v>26535</v>
      </c>
      <c r="J602" s="2" t="s">
        <v>26536</v>
      </c>
      <c r="K602" s="2">
        <v>1.05581E-4</v>
      </c>
      <c r="L602" s="2" t="s">
        <v>606</v>
      </c>
      <c r="M602" s="4" t="s">
        <v>26537</v>
      </c>
    </row>
    <row r="603" spans="1:13">
      <c r="A603" s="2">
        <v>344</v>
      </c>
      <c r="B603" s="2" t="s">
        <v>26538</v>
      </c>
      <c r="C603" s="2">
        <v>16</v>
      </c>
      <c r="D603" s="2">
        <v>568</v>
      </c>
      <c r="E603" s="2">
        <v>259</v>
      </c>
      <c r="F603" s="2">
        <v>32441</v>
      </c>
      <c r="G603" s="2">
        <v>3.5283049649999998</v>
      </c>
      <c r="H603" s="3">
        <v>2.62E-5</v>
      </c>
      <c r="I603" s="2" t="s">
        <v>26539</v>
      </c>
      <c r="J603" s="2" t="s">
        <v>26540</v>
      </c>
      <c r="K603" s="2">
        <v>1.12532E-4</v>
      </c>
      <c r="L603" s="2" t="s">
        <v>606</v>
      </c>
      <c r="M603" s="4" t="s">
        <v>26541</v>
      </c>
    </row>
    <row r="604" spans="1:13">
      <c r="A604" s="2">
        <v>791</v>
      </c>
      <c r="B604" s="2" t="s">
        <v>26542</v>
      </c>
      <c r="C604" s="2">
        <v>38</v>
      </c>
      <c r="D604" s="2">
        <v>568</v>
      </c>
      <c r="E604" s="2">
        <v>1043</v>
      </c>
      <c r="F604" s="2">
        <v>32441</v>
      </c>
      <c r="G604" s="2">
        <v>2.080871133</v>
      </c>
      <c r="H604" s="3">
        <v>3.1000000000000001E-5</v>
      </c>
      <c r="I604" s="2" t="s">
        <v>26543</v>
      </c>
      <c r="J604" s="2" t="s">
        <v>26544</v>
      </c>
      <c r="K604" s="2">
        <v>1.3219699999999999E-4</v>
      </c>
      <c r="L604" s="2" t="s">
        <v>606</v>
      </c>
      <c r="M604" s="4" t="s">
        <v>26545</v>
      </c>
    </row>
    <row r="605" spans="1:13">
      <c r="A605" s="2">
        <v>196</v>
      </c>
      <c r="B605" s="2" t="s">
        <v>26546</v>
      </c>
      <c r="C605" s="2">
        <v>14</v>
      </c>
      <c r="D605" s="2">
        <v>568</v>
      </c>
      <c r="E605" s="2">
        <v>207</v>
      </c>
      <c r="F605" s="2">
        <v>32441</v>
      </c>
      <c r="G605" s="2">
        <v>3.8628121389999999</v>
      </c>
      <c r="H605" s="3">
        <v>3.29E-5</v>
      </c>
      <c r="I605" s="2" t="s">
        <v>26547</v>
      </c>
      <c r="J605" s="2" t="s">
        <v>26548</v>
      </c>
      <c r="K605" s="2">
        <v>1.3969300000000001E-4</v>
      </c>
      <c r="L605" s="2" t="s">
        <v>606</v>
      </c>
      <c r="M605" s="4" t="s">
        <v>26549</v>
      </c>
    </row>
    <row r="606" spans="1:13">
      <c r="A606" s="2">
        <v>1021</v>
      </c>
      <c r="B606" s="2" t="s">
        <v>26550</v>
      </c>
      <c r="C606" s="2">
        <v>12</v>
      </c>
      <c r="D606" s="2">
        <v>568</v>
      </c>
      <c r="E606" s="2">
        <v>154</v>
      </c>
      <c r="F606" s="2">
        <v>32441</v>
      </c>
      <c r="G606" s="2">
        <v>4.4504755810000001</v>
      </c>
      <c r="H606" s="3">
        <v>3.3200000000000001E-5</v>
      </c>
      <c r="I606" s="2" t="s">
        <v>26551</v>
      </c>
      <c r="J606" s="2" t="s">
        <v>26552</v>
      </c>
      <c r="K606" s="2">
        <v>1.3999800000000001E-4</v>
      </c>
      <c r="L606" s="2" t="s">
        <v>606</v>
      </c>
      <c r="M606" s="4" t="s">
        <v>26553</v>
      </c>
    </row>
    <row r="607" spans="1:13">
      <c r="A607" s="2">
        <v>828</v>
      </c>
      <c r="B607" s="2" t="s">
        <v>26554</v>
      </c>
      <c r="C607" s="2">
        <v>19</v>
      </c>
      <c r="D607" s="2">
        <v>568</v>
      </c>
      <c r="E607" s="2">
        <v>358</v>
      </c>
      <c r="F607" s="2">
        <v>32441</v>
      </c>
      <c r="G607" s="2">
        <v>3.0312131170000001</v>
      </c>
      <c r="H607" s="3">
        <v>3.5099999999999999E-5</v>
      </c>
      <c r="I607" s="2" t="s">
        <v>26555</v>
      </c>
      <c r="J607" s="2" t="s">
        <v>26556</v>
      </c>
      <c r="K607" s="2">
        <v>1.4738899999999999E-4</v>
      </c>
      <c r="L607" s="2" t="s">
        <v>606</v>
      </c>
      <c r="M607" s="4" t="s">
        <v>26557</v>
      </c>
    </row>
    <row r="608" spans="1:13">
      <c r="A608" s="2">
        <v>592</v>
      </c>
      <c r="B608" s="2" t="s">
        <v>26558</v>
      </c>
      <c r="C608" s="2">
        <v>18</v>
      </c>
      <c r="D608" s="2">
        <v>568</v>
      </c>
      <c r="E608" s="2">
        <v>327</v>
      </c>
      <c r="F608" s="2">
        <v>32441</v>
      </c>
      <c r="G608" s="2">
        <v>3.1439139420000002</v>
      </c>
      <c r="H608" s="3">
        <v>3.5800000000000003E-5</v>
      </c>
      <c r="I608" s="2" t="s">
        <v>26559</v>
      </c>
      <c r="J608" s="2" t="s">
        <v>26560</v>
      </c>
      <c r="K608" s="2">
        <v>1.4953199999999999E-4</v>
      </c>
      <c r="L608" s="2" t="s">
        <v>606</v>
      </c>
      <c r="M608" s="4" t="s">
        <v>26561</v>
      </c>
    </row>
    <row r="609" spans="1:13">
      <c r="A609" s="2">
        <v>581</v>
      </c>
      <c r="B609" s="2" t="s">
        <v>26562</v>
      </c>
      <c r="C609" s="2">
        <v>9</v>
      </c>
      <c r="D609" s="2">
        <v>568</v>
      </c>
      <c r="E609" s="2">
        <v>85</v>
      </c>
      <c r="F609" s="2">
        <v>32441</v>
      </c>
      <c r="G609" s="2">
        <v>6.0474109360000003</v>
      </c>
      <c r="H609" s="3">
        <v>3.6100000000000003E-5</v>
      </c>
      <c r="I609" s="2" t="s">
        <v>26563</v>
      </c>
      <c r="J609" s="2" t="s">
        <v>26564</v>
      </c>
      <c r="K609" s="2">
        <v>1.5007700000000001E-4</v>
      </c>
      <c r="L609" s="2" t="s">
        <v>606</v>
      </c>
      <c r="M609" s="4" t="s">
        <v>26565</v>
      </c>
    </row>
    <row r="610" spans="1:13">
      <c r="A610" s="2">
        <v>359</v>
      </c>
      <c r="B610" s="2" t="s">
        <v>26566</v>
      </c>
      <c r="C610" s="2">
        <v>8</v>
      </c>
      <c r="D610" s="2">
        <v>568</v>
      </c>
      <c r="E610" s="2">
        <v>65</v>
      </c>
      <c r="F610" s="2">
        <v>32441</v>
      </c>
      <c r="G610" s="2">
        <v>7.0294691220000001</v>
      </c>
      <c r="H610" s="3">
        <v>3.68E-5</v>
      </c>
      <c r="I610" s="2" t="s">
        <v>26567</v>
      </c>
      <c r="J610" s="2" t="s">
        <v>26568</v>
      </c>
      <c r="K610" s="2">
        <v>1.5250800000000001E-4</v>
      </c>
      <c r="L610" s="2" t="s">
        <v>606</v>
      </c>
      <c r="M610" s="4" t="s">
        <v>26569</v>
      </c>
    </row>
    <row r="611" spans="1:13">
      <c r="A611" s="2">
        <v>520</v>
      </c>
      <c r="B611" s="2" t="s">
        <v>26570</v>
      </c>
      <c r="C611" s="2">
        <v>7</v>
      </c>
      <c r="D611" s="2">
        <v>568</v>
      </c>
      <c r="E611" s="2">
        <v>47</v>
      </c>
      <c r="F611" s="2">
        <v>32441</v>
      </c>
      <c r="G611" s="2">
        <v>8.5064054539999994</v>
      </c>
      <c r="H611" s="3">
        <v>3.79E-5</v>
      </c>
      <c r="I611" s="2" t="s">
        <v>26571</v>
      </c>
      <c r="J611" s="2" t="s">
        <v>26572</v>
      </c>
      <c r="K611" s="2">
        <v>1.5588000000000001E-4</v>
      </c>
      <c r="L611" s="2" t="s">
        <v>606</v>
      </c>
      <c r="M611" s="4" t="s">
        <v>26573</v>
      </c>
    </row>
    <row r="612" spans="1:13">
      <c r="A612" s="2">
        <v>6031</v>
      </c>
      <c r="B612" s="2" t="s">
        <v>26574</v>
      </c>
      <c r="C612" s="2">
        <v>10</v>
      </c>
      <c r="D612" s="2">
        <v>568</v>
      </c>
      <c r="E612" s="2">
        <v>108</v>
      </c>
      <c r="F612" s="2">
        <v>32441</v>
      </c>
      <c r="G612" s="2">
        <v>5.2883737609999999</v>
      </c>
      <c r="H612" s="3">
        <v>3.8899999999999997E-5</v>
      </c>
      <c r="I612" s="2" t="s">
        <v>26575</v>
      </c>
      <c r="J612" s="2" t="s">
        <v>26576</v>
      </c>
      <c r="K612" s="2">
        <v>1.5935499999999999E-4</v>
      </c>
      <c r="L612" s="2" t="s">
        <v>606</v>
      </c>
      <c r="M612" s="4" t="s">
        <v>26577</v>
      </c>
    </row>
    <row r="613" spans="1:13">
      <c r="A613" s="2">
        <v>610</v>
      </c>
      <c r="B613" s="2" t="s">
        <v>26578</v>
      </c>
      <c r="C613" s="2">
        <v>14</v>
      </c>
      <c r="D613" s="2">
        <v>568</v>
      </c>
      <c r="E613" s="2">
        <v>212</v>
      </c>
      <c r="F613" s="2">
        <v>32441</v>
      </c>
      <c r="G613" s="2">
        <v>3.7717080790000002</v>
      </c>
      <c r="H613" s="3">
        <v>4.1999999999999998E-5</v>
      </c>
      <c r="I613" s="2" t="s">
        <v>26579</v>
      </c>
      <c r="J613" s="2" t="s">
        <v>26580</v>
      </c>
      <c r="K613" s="2">
        <v>1.71461E-4</v>
      </c>
      <c r="L613" s="2" t="s">
        <v>606</v>
      </c>
      <c r="M613" s="4" t="s">
        <v>26581</v>
      </c>
    </row>
    <row r="614" spans="1:13">
      <c r="A614" s="2">
        <v>690</v>
      </c>
      <c r="B614" s="2" t="s">
        <v>26582</v>
      </c>
      <c r="C614" s="2">
        <v>7</v>
      </c>
      <c r="D614" s="2">
        <v>568</v>
      </c>
      <c r="E614" s="2">
        <v>50</v>
      </c>
      <c r="F614" s="2">
        <v>32441</v>
      </c>
      <c r="G614" s="2">
        <v>7.9960211269999997</v>
      </c>
      <c r="H614" s="3">
        <v>5.3999999999999998E-5</v>
      </c>
      <c r="I614" s="2" t="s">
        <v>26583</v>
      </c>
      <c r="J614" s="2" t="s">
        <v>26584</v>
      </c>
      <c r="K614" s="2">
        <v>2.1934600000000001E-4</v>
      </c>
      <c r="L614" s="2" t="s">
        <v>606</v>
      </c>
      <c r="M614" s="4" t="s">
        <v>26585</v>
      </c>
    </row>
    <row r="615" spans="1:13">
      <c r="A615" s="2">
        <v>674</v>
      </c>
      <c r="B615" s="2" t="s">
        <v>26586</v>
      </c>
      <c r="C615" s="2">
        <v>8</v>
      </c>
      <c r="D615" s="2">
        <v>568</v>
      </c>
      <c r="E615" s="2">
        <v>69</v>
      </c>
      <c r="F615" s="2">
        <v>32441</v>
      </c>
      <c r="G615" s="2">
        <v>6.6219636660000001</v>
      </c>
      <c r="H615" s="3">
        <v>5.4299999999999998E-5</v>
      </c>
      <c r="I615" s="2" t="s">
        <v>26587</v>
      </c>
      <c r="J615" s="2" t="s">
        <v>26588</v>
      </c>
      <c r="K615" s="2">
        <v>2.1938700000000001E-4</v>
      </c>
      <c r="L615" s="2" t="s">
        <v>606</v>
      </c>
      <c r="M615" s="4" t="s">
        <v>26589</v>
      </c>
    </row>
    <row r="616" spans="1:13">
      <c r="A616" s="2">
        <v>322</v>
      </c>
      <c r="B616" s="2" t="s">
        <v>26590</v>
      </c>
      <c r="C616" s="2">
        <v>15</v>
      </c>
      <c r="D616" s="2">
        <v>568</v>
      </c>
      <c r="E616" s="2">
        <v>248</v>
      </c>
      <c r="F616" s="2">
        <v>32441</v>
      </c>
      <c r="G616" s="2">
        <v>3.4545022150000002</v>
      </c>
      <c r="H616" s="3">
        <v>5.8300000000000001E-5</v>
      </c>
      <c r="I616" s="2" t="s">
        <v>26591</v>
      </c>
      <c r="J616" s="2" t="s">
        <v>26592</v>
      </c>
      <c r="K616" s="2">
        <v>2.3450399999999999E-4</v>
      </c>
      <c r="L616" s="2" t="s">
        <v>606</v>
      </c>
      <c r="M616" s="4" t="s">
        <v>26593</v>
      </c>
    </row>
    <row r="617" spans="1:13">
      <c r="A617" s="2">
        <v>517</v>
      </c>
      <c r="B617" s="2" t="s">
        <v>26594</v>
      </c>
      <c r="C617" s="2">
        <v>8</v>
      </c>
      <c r="D617" s="2">
        <v>568</v>
      </c>
      <c r="E617" s="2">
        <v>70</v>
      </c>
      <c r="F617" s="2">
        <v>32441</v>
      </c>
      <c r="G617" s="2">
        <v>6.5273641849999997</v>
      </c>
      <c r="H617" s="3">
        <v>5.9599999999999999E-5</v>
      </c>
      <c r="I617" s="2" t="s">
        <v>26595</v>
      </c>
      <c r="J617" s="2" t="s">
        <v>26596</v>
      </c>
      <c r="K617" s="2">
        <v>2.3851499999999999E-4</v>
      </c>
      <c r="L617" s="2" t="s">
        <v>606</v>
      </c>
      <c r="M617" s="4" t="s">
        <v>26597</v>
      </c>
    </row>
    <row r="618" spans="1:13">
      <c r="A618" s="2">
        <v>8301</v>
      </c>
      <c r="B618" s="2" t="s">
        <v>26598</v>
      </c>
      <c r="C618" s="2">
        <v>22</v>
      </c>
      <c r="D618" s="2">
        <v>568</v>
      </c>
      <c r="E618" s="2">
        <v>475</v>
      </c>
      <c r="F618" s="2">
        <v>32441</v>
      </c>
      <c r="G618" s="2">
        <v>2.6453002219999999</v>
      </c>
      <c r="H618" s="3">
        <v>6.1600000000000007E-5</v>
      </c>
      <c r="I618" s="2" t="s">
        <v>26599</v>
      </c>
      <c r="J618" s="2" t="s">
        <v>26600</v>
      </c>
      <c r="K618" s="2">
        <v>2.4520100000000001E-4</v>
      </c>
      <c r="L618" s="2" t="s">
        <v>606</v>
      </c>
      <c r="M618" s="4" t="s">
        <v>26601</v>
      </c>
    </row>
    <row r="619" spans="1:13">
      <c r="A619" s="2">
        <v>645</v>
      </c>
      <c r="B619" s="2" t="s">
        <v>26602</v>
      </c>
      <c r="C619" s="2">
        <v>10</v>
      </c>
      <c r="D619" s="2">
        <v>568</v>
      </c>
      <c r="E619" s="2">
        <v>115</v>
      </c>
      <c r="F619" s="2">
        <v>32441</v>
      </c>
      <c r="G619" s="2">
        <v>4.9664727500000003</v>
      </c>
      <c r="H619" s="3">
        <v>6.3600000000000001E-5</v>
      </c>
      <c r="I619" s="2" t="s">
        <v>26603</v>
      </c>
      <c r="J619" s="2" t="s">
        <v>26604</v>
      </c>
      <c r="K619" s="2">
        <v>2.5195399999999998E-4</v>
      </c>
      <c r="L619" s="2" t="s">
        <v>606</v>
      </c>
      <c r="M619" s="4" t="s">
        <v>26605</v>
      </c>
    </row>
    <row r="620" spans="1:13">
      <c r="A620" s="2">
        <v>521</v>
      </c>
      <c r="B620" s="2" t="s">
        <v>26606</v>
      </c>
      <c r="C620" s="2">
        <v>11</v>
      </c>
      <c r="D620" s="2">
        <v>568</v>
      </c>
      <c r="E620" s="2">
        <v>140</v>
      </c>
      <c r="F620" s="2">
        <v>32441</v>
      </c>
      <c r="G620" s="2">
        <v>4.4875628770000002</v>
      </c>
      <c r="H620" s="3">
        <v>6.5300000000000002E-5</v>
      </c>
      <c r="I620" s="2" t="s">
        <v>26607</v>
      </c>
      <c r="J620" s="2" t="s">
        <v>26608</v>
      </c>
      <c r="K620" s="2">
        <v>2.5755199999999998E-4</v>
      </c>
      <c r="L620" s="2" t="s">
        <v>606</v>
      </c>
      <c r="M620" s="4" t="s">
        <v>26609</v>
      </c>
    </row>
    <row r="621" spans="1:13">
      <c r="A621" s="2">
        <v>699</v>
      </c>
      <c r="B621" s="2" t="s">
        <v>26610</v>
      </c>
      <c r="C621" s="2">
        <v>15</v>
      </c>
      <c r="D621" s="2">
        <v>568</v>
      </c>
      <c r="E621" s="2">
        <v>251</v>
      </c>
      <c r="F621" s="2">
        <v>32441</v>
      </c>
      <c r="G621" s="2">
        <v>3.4132133439999999</v>
      </c>
      <c r="H621" s="3">
        <v>6.6299999999999999E-5</v>
      </c>
      <c r="I621" s="2" t="s">
        <v>26611</v>
      </c>
      <c r="J621" s="2" t="s">
        <v>26612</v>
      </c>
      <c r="K621" s="2">
        <v>2.6024499999999999E-4</v>
      </c>
      <c r="L621" s="2" t="s">
        <v>606</v>
      </c>
      <c r="M621" s="4" t="s">
        <v>26613</v>
      </c>
    </row>
    <row r="622" spans="1:13">
      <c r="A622" s="2">
        <v>349</v>
      </c>
      <c r="B622" s="2" t="s">
        <v>26614</v>
      </c>
      <c r="C622" s="2">
        <v>15</v>
      </c>
      <c r="D622" s="2">
        <v>568</v>
      </c>
      <c r="E622" s="2">
        <v>252</v>
      </c>
      <c r="F622" s="2">
        <v>32441</v>
      </c>
      <c r="G622" s="2">
        <v>3.399668846</v>
      </c>
      <c r="H622" s="3">
        <v>6.9200000000000002E-5</v>
      </c>
      <c r="I622" s="2" t="s">
        <v>26615</v>
      </c>
      <c r="J622" s="2" t="s">
        <v>26616</v>
      </c>
      <c r="K622" s="2">
        <v>2.7019000000000001E-4</v>
      </c>
      <c r="L622" s="2" t="s">
        <v>606</v>
      </c>
      <c r="M622" s="4" t="s">
        <v>26617</v>
      </c>
    </row>
    <row r="623" spans="1:13">
      <c r="A623" s="2">
        <v>580</v>
      </c>
      <c r="B623" s="2" t="s">
        <v>26618</v>
      </c>
      <c r="C623" s="2">
        <v>9</v>
      </c>
      <c r="D623" s="2">
        <v>568</v>
      </c>
      <c r="E623" s="2">
        <v>94</v>
      </c>
      <c r="F623" s="2">
        <v>32441</v>
      </c>
      <c r="G623" s="2">
        <v>5.4684035059999996</v>
      </c>
      <c r="H623" s="3">
        <v>7.4300000000000004E-5</v>
      </c>
      <c r="I623" s="2" t="s">
        <v>26619</v>
      </c>
      <c r="J623" s="2" t="s">
        <v>26620</v>
      </c>
      <c r="K623" s="2">
        <v>2.8882099999999998E-4</v>
      </c>
      <c r="L623" s="2" t="s">
        <v>606</v>
      </c>
      <c r="M623" s="4" t="s">
        <v>26621</v>
      </c>
    </row>
    <row r="624" spans="1:13">
      <c r="A624" s="2">
        <v>235</v>
      </c>
      <c r="B624" s="2" t="s">
        <v>26622</v>
      </c>
      <c r="C624" s="2">
        <v>15</v>
      </c>
      <c r="D624" s="2">
        <v>568</v>
      </c>
      <c r="E624" s="2">
        <v>254</v>
      </c>
      <c r="F624" s="2">
        <v>32441</v>
      </c>
      <c r="G624" s="2">
        <v>3.3728997999999999</v>
      </c>
      <c r="H624" s="3">
        <v>7.5199999999999998E-5</v>
      </c>
      <c r="I624" s="2" t="s">
        <v>26623</v>
      </c>
      <c r="J624" s="2" t="s">
        <v>26624</v>
      </c>
      <c r="K624" s="2">
        <v>2.9106200000000003E-4</v>
      </c>
      <c r="L624" s="2" t="s">
        <v>606</v>
      </c>
      <c r="M624" s="4" t="s">
        <v>26625</v>
      </c>
    </row>
    <row r="625" spans="1:13">
      <c r="A625" s="2">
        <v>79</v>
      </c>
      <c r="B625" s="2" t="s">
        <v>26626</v>
      </c>
      <c r="C625" s="2">
        <v>15</v>
      </c>
      <c r="D625" s="2">
        <v>568</v>
      </c>
      <c r="E625" s="2">
        <v>255</v>
      </c>
      <c r="F625" s="2">
        <v>32441</v>
      </c>
      <c r="G625" s="2">
        <v>3.3596727419999999</v>
      </c>
      <c r="H625" s="3">
        <v>7.8399999999999995E-5</v>
      </c>
      <c r="I625" s="2" t="s">
        <v>26627</v>
      </c>
      <c r="J625" s="2" t="s">
        <v>26628</v>
      </c>
      <c r="K625" s="2">
        <v>3.0200600000000001E-4</v>
      </c>
      <c r="L625" s="2" t="s">
        <v>606</v>
      </c>
      <c r="M625" s="4" t="s">
        <v>26629</v>
      </c>
    </row>
    <row r="626" spans="1:13">
      <c r="A626" s="2">
        <v>239</v>
      </c>
      <c r="B626" s="2" t="s">
        <v>26630</v>
      </c>
      <c r="C626" s="2">
        <v>14</v>
      </c>
      <c r="D626" s="2">
        <v>568</v>
      </c>
      <c r="E626" s="2">
        <v>226</v>
      </c>
      <c r="F626" s="2">
        <v>32441</v>
      </c>
      <c r="G626" s="2">
        <v>3.538062445</v>
      </c>
      <c r="H626" s="3">
        <v>8.0400000000000003E-5</v>
      </c>
      <c r="I626" s="2" t="s">
        <v>26631</v>
      </c>
      <c r="J626" s="2" t="s">
        <v>26632</v>
      </c>
      <c r="K626" s="2">
        <v>3.0813999999999999E-4</v>
      </c>
      <c r="L626" s="2" t="s">
        <v>606</v>
      </c>
      <c r="M626" s="4" t="s">
        <v>26633</v>
      </c>
    </row>
    <row r="627" spans="1:13">
      <c r="A627" s="2">
        <v>23</v>
      </c>
      <c r="B627" s="2" t="s">
        <v>26634</v>
      </c>
      <c r="C627" s="2">
        <v>15</v>
      </c>
      <c r="D627" s="2">
        <v>568</v>
      </c>
      <c r="E627" s="2">
        <v>259</v>
      </c>
      <c r="F627" s="2">
        <v>32441</v>
      </c>
      <c r="G627" s="2">
        <v>3.3077859049999998</v>
      </c>
      <c r="H627" s="3">
        <v>9.2399999999999996E-5</v>
      </c>
      <c r="I627" s="2" t="s">
        <v>26635</v>
      </c>
      <c r="J627" s="2" t="s">
        <v>26636</v>
      </c>
      <c r="K627" s="2">
        <v>3.5257000000000002E-4</v>
      </c>
      <c r="L627" s="2" t="s">
        <v>606</v>
      </c>
      <c r="M627" s="4" t="s">
        <v>26637</v>
      </c>
    </row>
    <row r="628" spans="1:13">
      <c r="A628" s="2">
        <v>469</v>
      </c>
      <c r="B628" s="2" t="s">
        <v>26638</v>
      </c>
      <c r="C628" s="2">
        <v>8</v>
      </c>
      <c r="D628" s="2">
        <v>568</v>
      </c>
      <c r="E628" s="2">
        <v>75</v>
      </c>
      <c r="F628" s="2">
        <v>32441</v>
      </c>
      <c r="G628" s="2">
        <v>6.0922065730000003</v>
      </c>
      <c r="H628" s="3">
        <v>9.31E-5</v>
      </c>
      <c r="I628" s="2" t="s">
        <v>26639</v>
      </c>
      <c r="J628" s="2" t="s">
        <v>26640</v>
      </c>
      <c r="K628" s="2">
        <v>3.5363899999999999E-4</v>
      </c>
      <c r="L628" s="2" t="s">
        <v>606</v>
      </c>
      <c r="M628" s="4" t="s">
        <v>26641</v>
      </c>
    </row>
    <row r="629" spans="1:13">
      <c r="A629" s="2">
        <v>780</v>
      </c>
      <c r="B629" s="2" t="s">
        <v>6755</v>
      </c>
      <c r="C629" s="2">
        <v>48</v>
      </c>
      <c r="D629" s="2">
        <v>568</v>
      </c>
      <c r="E629" s="2">
        <v>1524</v>
      </c>
      <c r="F629" s="2">
        <v>32441</v>
      </c>
      <c r="G629" s="2">
        <v>1.7988798939999999</v>
      </c>
      <c r="H629" s="3">
        <v>9.9099999999999996E-5</v>
      </c>
      <c r="I629" s="3" t="s">
        <v>26642</v>
      </c>
      <c r="J629" s="3" t="s">
        <v>26643</v>
      </c>
      <c r="K629" s="2">
        <v>3.74762E-4</v>
      </c>
      <c r="L629" s="2" t="s">
        <v>606</v>
      </c>
      <c r="M629" s="4" t="s">
        <v>6758</v>
      </c>
    </row>
    <row r="630" spans="1:13">
      <c r="A630" s="2">
        <v>259</v>
      </c>
      <c r="B630" s="2" t="s">
        <v>26644</v>
      </c>
      <c r="C630" s="2">
        <v>14</v>
      </c>
      <c r="D630" s="2">
        <v>568</v>
      </c>
      <c r="E630" s="2">
        <v>231</v>
      </c>
      <c r="F630" s="2">
        <v>32441</v>
      </c>
      <c r="G630" s="2">
        <v>3.4614810070000002</v>
      </c>
      <c r="H630" s="2">
        <v>1.00009E-4</v>
      </c>
      <c r="I630" s="2" t="s">
        <v>26645</v>
      </c>
      <c r="J630" s="2" t="s">
        <v>26646</v>
      </c>
      <c r="K630" s="2">
        <v>3.7660999999999999E-4</v>
      </c>
      <c r="L630" s="2" t="s">
        <v>606</v>
      </c>
      <c r="M630" s="4" t="s">
        <v>26647</v>
      </c>
    </row>
    <row r="631" spans="1:13">
      <c r="A631" s="2">
        <v>697</v>
      </c>
      <c r="B631" s="2" t="s">
        <v>26648</v>
      </c>
      <c r="C631" s="2">
        <v>11</v>
      </c>
      <c r="D631" s="2">
        <v>568</v>
      </c>
      <c r="E631" s="2">
        <v>148</v>
      </c>
      <c r="F631" s="2">
        <v>32441</v>
      </c>
      <c r="G631" s="2">
        <v>4.2449919109999996</v>
      </c>
      <c r="H631" s="2">
        <v>1.0388899999999999E-4</v>
      </c>
      <c r="I631" s="2" t="s">
        <v>26649</v>
      </c>
      <c r="J631" s="2" t="s">
        <v>26650</v>
      </c>
      <c r="K631" s="2">
        <v>3.89467E-4</v>
      </c>
      <c r="L631" s="2" t="s">
        <v>606</v>
      </c>
      <c r="M631" s="4" t="s">
        <v>26651</v>
      </c>
    </row>
    <row r="632" spans="1:13">
      <c r="A632" s="2">
        <v>738</v>
      </c>
      <c r="B632" s="2" t="s">
        <v>26652</v>
      </c>
      <c r="C632" s="2">
        <v>8</v>
      </c>
      <c r="D632" s="2">
        <v>568</v>
      </c>
      <c r="E632" s="2">
        <v>80</v>
      </c>
      <c r="F632" s="2">
        <v>32441</v>
      </c>
      <c r="G632" s="2">
        <v>5.7114436619999998</v>
      </c>
      <c r="H632" s="2">
        <v>1.4071099999999999E-4</v>
      </c>
      <c r="I632" s="2" t="s">
        <v>26653</v>
      </c>
      <c r="J632" s="2" t="s">
        <v>26654</v>
      </c>
      <c r="K632" s="2">
        <v>5.2515400000000001E-4</v>
      </c>
      <c r="L632" s="2" t="s">
        <v>606</v>
      </c>
      <c r="M632" s="4" t="s">
        <v>26655</v>
      </c>
    </row>
    <row r="633" spans="1:13">
      <c r="A633" s="2">
        <v>453</v>
      </c>
      <c r="B633" s="2" t="s">
        <v>26656</v>
      </c>
      <c r="C633" s="2">
        <v>14</v>
      </c>
      <c r="D633" s="2">
        <v>568</v>
      </c>
      <c r="E633" s="2">
        <v>240</v>
      </c>
      <c r="F633" s="2">
        <v>32441</v>
      </c>
      <c r="G633" s="2">
        <v>3.3316754689999999</v>
      </c>
      <c r="H633" s="2">
        <v>1.46043E-4</v>
      </c>
      <c r="I633" s="2" t="s">
        <v>26657</v>
      </c>
      <c r="J633" s="2" t="s">
        <v>26658</v>
      </c>
      <c r="K633" s="2">
        <v>5.4263E-4</v>
      </c>
      <c r="L633" s="2" t="s">
        <v>606</v>
      </c>
      <c r="M633" s="4" t="s">
        <v>26659</v>
      </c>
    </row>
    <row r="634" spans="1:13">
      <c r="A634" s="2">
        <v>491</v>
      </c>
      <c r="B634" s="2" t="s">
        <v>26660</v>
      </c>
      <c r="C634" s="2">
        <v>8</v>
      </c>
      <c r="D634" s="2">
        <v>568</v>
      </c>
      <c r="E634" s="2">
        <v>82</v>
      </c>
      <c r="F634" s="2">
        <v>32441</v>
      </c>
      <c r="G634" s="2">
        <v>5.5721401579999998</v>
      </c>
      <c r="H634" s="2">
        <v>1.64687E-4</v>
      </c>
      <c r="I634" s="2" t="s">
        <v>26661</v>
      </c>
      <c r="J634" s="2" t="s">
        <v>26662</v>
      </c>
      <c r="K634" s="2">
        <v>6.0651200000000002E-4</v>
      </c>
      <c r="L634" s="2" t="s">
        <v>606</v>
      </c>
      <c r="M634" s="4" t="s">
        <v>26663</v>
      </c>
    </row>
    <row r="635" spans="1:13">
      <c r="A635" s="2">
        <v>741</v>
      </c>
      <c r="B635" s="2" t="s">
        <v>26664</v>
      </c>
      <c r="C635" s="2">
        <v>13</v>
      </c>
      <c r="D635" s="2">
        <v>568</v>
      </c>
      <c r="E635" s="2">
        <v>213</v>
      </c>
      <c r="F635" s="2">
        <v>32441</v>
      </c>
      <c r="G635" s="2">
        <v>3.4858576339999998</v>
      </c>
      <c r="H635" s="2">
        <v>1.6432600000000001E-4</v>
      </c>
      <c r="I635" s="2" t="s">
        <v>26665</v>
      </c>
      <c r="J635" s="2" t="s">
        <v>26666</v>
      </c>
      <c r="K635" s="2">
        <v>6.0651200000000002E-4</v>
      </c>
      <c r="L635" s="2" t="s">
        <v>606</v>
      </c>
      <c r="M635" s="4" t="s">
        <v>26667</v>
      </c>
    </row>
    <row r="636" spans="1:13">
      <c r="A636" s="2">
        <v>158</v>
      </c>
      <c r="B636" s="2" t="s">
        <v>26668</v>
      </c>
      <c r="C636" s="2">
        <v>15</v>
      </c>
      <c r="D636" s="2">
        <v>568</v>
      </c>
      <c r="E636" s="2">
        <v>277</v>
      </c>
      <c r="F636" s="2">
        <v>32441</v>
      </c>
      <c r="G636" s="2">
        <v>3.0928395279999998</v>
      </c>
      <c r="H636" s="2">
        <v>1.85584E-4</v>
      </c>
      <c r="I636" s="2" t="s">
        <v>26669</v>
      </c>
      <c r="J636" s="2" t="s">
        <v>26670</v>
      </c>
      <c r="K636" s="2">
        <v>6.8047400000000003E-4</v>
      </c>
      <c r="L636" s="2" t="s">
        <v>606</v>
      </c>
      <c r="M636" s="4" t="s">
        <v>26671</v>
      </c>
    </row>
    <row r="637" spans="1:13">
      <c r="A637" s="2">
        <v>516</v>
      </c>
      <c r="B637" s="2" t="s">
        <v>26672</v>
      </c>
      <c r="C637" s="2">
        <v>8</v>
      </c>
      <c r="D637" s="2">
        <v>568</v>
      </c>
      <c r="E637" s="2">
        <v>84</v>
      </c>
      <c r="F637" s="2">
        <v>32441</v>
      </c>
      <c r="G637" s="2">
        <v>5.4394701540000003</v>
      </c>
      <c r="H637" s="2">
        <v>1.9192600000000001E-4</v>
      </c>
      <c r="I637" s="2" t="s">
        <v>26673</v>
      </c>
      <c r="J637" s="2" t="s">
        <v>26674</v>
      </c>
      <c r="K637" s="2">
        <v>6.9760899999999997E-4</v>
      </c>
      <c r="L637" s="2" t="s">
        <v>606</v>
      </c>
      <c r="M637" s="4" t="s">
        <v>26675</v>
      </c>
    </row>
    <row r="638" spans="1:13">
      <c r="A638" s="2">
        <v>618</v>
      </c>
      <c r="B638" s="2" t="s">
        <v>26676</v>
      </c>
      <c r="C638" s="2">
        <v>8</v>
      </c>
      <c r="D638" s="2">
        <v>568</v>
      </c>
      <c r="E638" s="2">
        <v>84</v>
      </c>
      <c r="F638" s="2">
        <v>32441</v>
      </c>
      <c r="G638" s="2">
        <v>5.4394701540000003</v>
      </c>
      <c r="H638" s="2">
        <v>1.9192600000000001E-4</v>
      </c>
      <c r="I638" s="2" t="s">
        <v>26677</v>
      </c>
      <c r="J638" s="2" t="s">
        <v>26678</v>
      </c>
      <c r="K638" s="2">
        <v>6.9760899999999997E-4</v>
      </c>
      <c r="L638" s="2" t="s">
        <v>606</v>
      </c>
      <c r="M638" s="4" t="s">
        <v>26679</v>
      </c>
    </row>
    <row r="639" spans="1:13">
      <c r="A639" s="2">
        <v>467</v>
      </c>
      <c r="B639" s="2" t="s">
        <v>26680</v>
      </c>
      <c r="C639" s="2">
        <v>14</v>
      </c>
      <c r="D639" s="2">
        <v>568</v>
      </c>
      <c r="E639" s="2">
        <v>247</v>
      </c>
      <c r="F639" s="2">
        <v>32441</v>
      </c>
      <c r="G639" s="2">
        <v>3.2372555169999999</v>
      </c>
      <c r="H639" s="2">
        <v>1.9356000000000001E-4</v>
      </c>
      <c r="I639" s="2" t="s">
        <v>26681</v>
      </c>
      <c r="J639" s="2" t="s">
        <v>26682</v>
      </c>
      <c r="K639" s="2">
        <v>7.00503E-4</v>
      </c>
      <c r="L639" s="2" t="s">
        <v>606</v>
      </c>
      <c r="M639" s="4" t="s">
        <v>26683</v>
      </c>
    </row>
    <row r="640" spans="1:13">
      <c r="A640" s="2">
        <v>742</v>
      </c>
      <c r="B640" s="2" t="s">
        <v>6767</v>
      </c>
      <c r="C640" s="2">
        <v>26</v>
      </c>
      <c r="D640" s="2">
        <v>568</v>
      </c>
      <c r="E640" s="2">
        <v>665</v>
      </c>
      <c r="F640" s="2">
        <v>32441</v>
      </c>
      <c r="G640" s="2">
        <v>2.233045642</v>
      </c>
      <c r="H640" s="2">
        <v>1.94496E-4</v>
      </c>
      <c r="I640" s="2" t="s">
        <v>26684</v>
      </c>
      <c r="J640" s="2" t="s">
        <v>26685</v>
      </c>
      <c r="K640" s="2">
        <v>7.0085600000000003E-4</v>
      </c>
      <c r="L640" s="2" t="s">
        <v>606</v>
      </c>
      <c r="M640" s="4" t="s">
        <v>6770</v>
      </c>
    </row>
    <row r="641" spans="1:13">
      <c r="A641" s="2">
        <v>747</v>
      </c>
      <c r="B641" s="2" t="s">
        <v>607</v>
      </c>
      <c r="C641" s="2">
        <v>11</v>
      </c>
      <c r="D641" s="2">
        <v>568</v>
      </c>
      <c r="E641" s="2">
        <v>160</v>
      </c>
      <c r="F641" s="2">
        <v>32441</v>
      </c>
      <c r="G641" s="2">
        <v>3.926617518</v>
      </c>
      <c r="H641" s="2">
        <v>1.97331E-4</v>
      </c>
      <c r="I641" s="2" t="s">
        <v>26686</v>
      </c>
      <c r="J641" s="2" t="s">
        <v>26687</v>
      </c>
      <c r="K641" s="2">
        <v>7.0801999999999996E-4</v>
      </c>
      <c r="L641" s="2" t="s">
        <v>606</v>
      </c>
      <c r="M641" s="4" t="s">
        <v>26688</v>
      </c>
    </row>
    <row r="642" spans="1:13">
      <c r="A642" s="2">
        <v>366</v>
      </c>
      <c r="B642" s="2" t="s">
        <v>6747</v>
      </c>
      <c r="C642" s="2">
        <v>14</v>
      </c>
      <c r="D642" s="2">
        <v>568</v>
      </c>
      <c r="E642" s="2">
        <v>248</v>
      </c>
      <c r="F642" s="2">
        <v>32441</v>
      </c>
      <c r="G642" s="2">
        <v>3.2242020669999998</v>
      </c>
      <c r="H642" s="2">
        <v>2.01332E-4</v>
      </c>
      <c r="I642" s="2" t="s">
        <v>26689</v>
      </c>
      <c r="J642" s="2" t="s">
        <v>26690</v>
      </c>
      <c r="K642" s="2">
        <v>7.1928900000000002E-4</v>
      </c>
      <c r="L642" s="2" t="s">
        <v>606</v>
      </c>
      <c r="M642" s="4" t="s">
        <v>6750</v>
      </c>
    </row>
    <row r="643" spans="1:13">
      <c r="A643" s="2">
        <v>636</v>
      </c>
      <c r="B643" s="2" t="s">
        <v>6889</v>
      </c>
      <c r="C643" s="2">
        <v>10</v>
      </c>
      <c r="D643" s="2">
        <v>568</v>
      </c>
      <c r="E643" s="2">
        <v>134</v>
      </c>
      <c r="F643" s="2">
        <v>32441</v>
      </c>
      <c r="G643" s="2">
        <v>4.2622713900000004</v>
      </c>
      <c r="H643" s="2">
        <v>2.05928E-4</v>
      </c>
      <c r="I643" s="2" t="s">
        <v>26691</v>
      </c>
      <c r="J643" s="2" t="s">
        <v>26692</v>
      </c>
      <c r="K643" s="2">
        <v>7.3257900000000002E-4</v>
      </c>
      <c r="L643" s="2" t="s">
        <v>606</v>
      </c>
      <c r="M643" s="4" t="s">
        <v>6892</v>
      </c>
    </row>
    <row r="644" spans="1:13">
      <c r="A644" s="2">
        <v>804</v>
      </c>
      <c r="B644" s="2" t="s">
        <v>6801</v>
      </c>
      <c r="C644" s="2">
        <v>40</v>
      </c>
      <c r="D644" s="2">
        <v>568</v>
      </c>
      <c r="E644" s="2">
        <v>1232</v>
      </c>
      <c r="F644" s="2">
        <v>32441</v>
      </c>
      <c r="G644" s="2">
        <v>1.854364825</v>
      </c>
      <c r="H644" s="2">
        <v>2.08746E-4</v>
      </c>
      <c r="I644" s="2" t="s">
        <v>26693</v>
      </c>
      <c r="J644" s="2" t="s">
        <v>26694</v>
      </c>
      <c r="K644" s="2">
        <v>7.3945599999999999E-4</v>
      </c>
      <c r="L644" s="2" t="s">
        <v>606</v>
      </c>
      <c r="M644" s="4" t="s">
        <v>6804</v>
      </c>
    </row>
    <row r="645" spans="1:13">
      <c r="A645" s="2">
        <v>84</v>
      </c>
      <c r="B645" s="2" t="s">
        <v>610</v>
      </c>
      <c r="C645" s="2">
        <v>20</v>
      </c>
      <c r="D645" s="2">
        <v>568</v>
      </c>
      <c r="E645" s="2">
        <v>449</v>
      </c>
      <c r="F645" s="2">
        <v>32441</v>
      </c>
      <c r="G645" s="2">
        <v>2.5440729009999998</v>
      </c>
      <c r="H645" s="2">
        <v>2.14534E-4</v>
      </c>
      <c r="I645" s="2" t="s">
        <v>26695</v>
      </c>
      <c r="J645" s="2" t="s">
        <v>26696</v>
      </c>
      <c r="K645" s="2">
        <v>7.5675199999999997E-4</v>
      </c>
      <c r="L645" s="2" t="s">
        <v>606</v>
      </c>
      <c r="M645" s="4" t="s">
        <v>26697</v>
      </c>
    </row>
    <row r="646" spans="1:13">
      <c r="A646" s="2">
        <v>552</v>
      </c>
      <c r="B646" s="2" t="s">
        <v>26698</v>
      </c>
      <c r="C646" s="2">
        <v>7</v>
      </c>
      <c r="D646" s="2">
        <v>568</v>
      </c>
      <c r="E646" s="2">
        <v>64</v>
      </c>
      <c r="F646" s="2">
        <v>32441</v>
      </c>
      <c r="G646" s="2">
        <v>6.2468915049999998</v>
      </c>
      <c r="H646" s="2">
        <v>2.2103199999999999E-4</v>
      </c>
      <c r="I646" s="2" t="s">
        <v>26699</v>
      </c>
      <c r="J646" s="2" t="s">
        <v>26700</v>
      </c>
      <c r="K646" s="2">
        <v>7.7639899999999999E-4</v>
      </c>
      <c r="L646" s="2" t="s">
        <v>606</v>
      </c>
      <c r="M646" s="4" t="s">
        <v>26701</v>
      </c>
    </row>
    <row r="647" spans="1:13">
      <c r="A647" s="2">
        <v>442</v>
      </c>
      <c r="B647" s="2" t="s">
        <v>26702</v>
      </c>
      <c r="C647" s="2">
        <v>13</v>
      </c>
      <c r="D647" s="2">
        <v>568</v>
      </c>
      <c r="E647" s="2">
        <v>221</v>
      </c>
      <c r="F647" s="2">
        <v>32441</v>
      </c>
      <c r="G647" s="2">
        <v>3.3596727419999999</v>
      </c>
      <c r="H647" s="2">
        <v>2.30998E-4</v>
      </c>
      <c r="I647" s="2" t="s">
        <v>26703</v>
      </c>
      <c r="J647" s="2" t="s">
        <v>26704</v>
      </c>
      <c r="K647" s="2">
        <v>8.0801099999999997E-4</v>
      </c>
      <c r="L647" s="2" t="s">
        <v>606</v>
      </c>
      <c r="M647" s="4" t="s">
        <v>26705</v>
      </c>
    </row>
    <row r="648" spans="1:13">
      <c r="A648" s="2">
        <v>237</v>
      </c>
      <c r="B648" s="2" t="s">
        <v>6805</v>
      </c>
      <c r="C648" s="2">
        <v>14</v>
      </c>
      <c r="D648" s="2">
        <v>568</v>
      </c>
      <c r="E648" s="2">
        <v>252</v>
      </c>
      <c r="F648" s="2">
        <v>32441</v>
      </c>
      <c r="G648" s="2">
        <v>3.1730242569999998</v>
      </c>
      <c r="H648" s="2">
        <v>2.3517000000000001E-4</v>
      </c>
      <c r="I648" s="2" t="s">
        <v>26706</v>
      </c>
      <c r="J648" s="2" t="s">
        <v>26707</v>
      </c>
      <c r="K648" s="2">
        <v>8.1917700000000003E-4</v>
      </c>
      <c r="L648" s="2" t="s">
        <v>606</v>
      </c>
      <c r="M648" s="4" t="s">
        <v>6808</v>
      </c>
    </row>
    <row r="649" spans="1:13">
      <c r="A649" s="2">
        <v>657</v>
      </c>
      <c r="B649" s="2" t="s">
        <v>26708</v>
      </c>
      <c r="C649" s="2">
        <v>7</v>
      </c>
      <c r="D649" s="2">
        <v>568</v>
      </c>
      <c r="E649" s="2">
        <v>65</v>
      </c>
      <c r="F649" s="2">
        <v>32441</v>
      </c>
      <c r="G649" s="2">
        <v>6.1507854819999999</v>
      </c>
      <c r="H649" s="2">
        <v>2.4124899999999999E-4</v>
      </c>
      <c r="I649" s="2" t="s">
        <v>26709</v>
      </c>
      <c r="J649" s="2" t="s">
        <v>26710</v>
      </c>
      <c r="K649" s="2">
        <v>8.3686299999999997E-4</v>
      </c>
      <c r="L649" s="2" t="s">
        <v>606</v>
      </c>
      <c r="M649" s="4" t="s">
        <v>26711</v>
      </c>
    </row>
    <row r="650" spans="1:13">
      <c r="A650" s="2">
        <v>754</v>
      </c>
      <c r="B650" s="2" t="s">
        <v>26712</v>
      </c>
      <c r="C650" s="2">
        <v>10</v>
      </c>
      <c r="D650" s="2">
        <v>568</v>
      </c>
      <c r="E650" s="2">
        <v>137</v>
      </c>
      <c r="F650" s="2">
        <v>32441</v>
      </c>
      <c r="G650" s="2">
        <v>4.1689369799999998</v>
      </c>
      <c r="H650" s="2">
        <v>2.4340000000000001E-4</v>
      </c>
      <c r="I650" s="2" t="s">
        <v>26713</v>
      </c>
      <c r="J650" s="2" t="s">
        <v>26714</v>
      </c>
      <c r="K650" s="2">
        <v>8.4083599999999997E-4</v>
      </c>
      <c r="L650" s="2" t="s">
        <v>606</v>
      </c>
      <c r="M650" s="4" t="s">
        <v>26715</v>
      </c>
    </row>
    <row r="651" spans="1:13">
      <c r="A651" s="2">
        <v>749</v>
      </c>
      <c r="B651" s="2" t="s">
        <v>26716</v>
      </c>
      <c r="C651" s="2">
        <v>33</v>
      </c>
      <c r="D651" s="2">
        <v>568</v>
      </c>
      <c r="E651" s="2">
        <v>952</v>
      </c>
      <c r="F651" s="2">
        <v>32441</v>
      </c>
      <c r="G651" s="2">
        <v>1.979807152</v>
      </c>
      <c r="H651" s="2">
        <v>2.4597699999999998E-4</v>
      </c>
      <c r="I651" s="2" t="s">
        <v>26717</v>
      </c>
      <c r="J651" s="2" t="s">
        <v>26718</v>
      </c>
      <c r="K651" s="2">
        <v>8.4624199999999998E-4</v>
      </c>
      <c r="L651" s="2" t="s">
        <v>606</v>
      </c>
      <c r="M651" s="4" t="s">
        <v>26719</v>
      </c>
    </row>
    <row r="652" spans="1:13">
      <c r="A652" s="2">
        <v>6251</v>
      </c>
      <c r="B652" s="2" t="s">
        <v>26720</v>
      </c>
      <c r="C652" s="2">
        <v>8</v>
      </c>
      <c r="D652" s="2">
        <v>568</v>
      </c>
      <c r="E652" s="2">
        <v>88</v>
      </c>
      <c r="F652" s="2">
        <v>32441</v>
      </c>
      <c r="G652" s="2">
        <v>5.1922215109999996</v>
      </c>
      <c r="H652" s="2">
        <v>2.5753800000000003E-4</v>
      </c>
      <c r="I652" s="2" t="s">
        <v>26721</v>
      </c>
      <c r="J652" s="2" t="s">
        <v>26722</v>
      </c>
      <c r="K652" s="2">
        <v>8.8238499999999996E-4</v>
      </c>
      <c r="L652" s="2" t="s">
        <v>606</v>
      </c>
      <c r="M652" s="4" t="s">
        <v>26723</v>
      </c>
    </row>
    <row r="653" spans="1:13">
      <c r="A653" s="2">
        <v>108</v>
      </c>
      <c r="B653" s="2" t="s">
        <v>26724</v>
      </c>
      <c r="C653" s="2">
        <v>13</v>
      </c>
      <c r="D653" s="2">
        <v>568</v>
      </c>
      <c r="E653" s="2">
        <v>224</v>
      </c>
      <c r="F653" s="2">
        <v>32441</v>
      </c>
      <c r="G653" s="2">
        <v>3.3146771249999998</v>
      </c>
      <c r="H653" s="2">
        <v>2.61375E-4</v>
      </c>
      <c r="I653" s="2" t="s">
        <v>26725</v>
      </c>
      <c r="J653" s="2" t="s">
        <v>26726</v>
      </c>
      <c r="K653" s="2">
        <v>8.9187399999999997E-4</v>
      </c>
      <c r="L653" s="2" t="s">
        <v>606</v>
      </c>
      <c r="M653" s="4" t="s">
        <v>26727</v>
      </c>
    </row>
    <row r="654" spans="1:13">
      <c r="A654" s="2">
        <v>423</v>
      </c>
      <c r="B654" s="2" t="s">
        <v>26728</v>
      </c>
      <c r="C654" s="2">
        <v>14</v>
      </c>
      <c r="D654" s="2">
        <v>568</v>
      </c>
      <c r="E654" s="2">
        <v>255</v>
      </c>
      <c r="F654" s="2">
        <v>32441</v>
      </c>
      <c r="G654" s="2">
        <v>3.1356945600000001</v>
      </c>
      <c r="H654" s="2">
        <v>2.63658E-4</v>
      </c>
      <c r="I654" s="2" t="s">
        <v>26729</v>
      </c>
      <c r="J654" s="2" t="s">
        <v>26730</v>
      </c>
      <c r="K654" s="2">
        <v>8.9600699999999999E-4</v>
      </c>
      <c r="L654" s="2" t="s">
        <v>606</v>
      </c>
      <c r="M654" s="4" t="s">
        <v>26731</v>
      </c>
    </row>
    <row r="655" spans="1:13">
      <c r="A655" s="2">
        <v>713</v>
      </c>
      <c r="B655" s="2" t="s">
        <v>26732</v>
      </c>
      <c r="C655" s="2">
        <v>9</v>
      </c>
      <c r="D655" s="2">
        <v>568</v>
      </c>
      <c r="E655" s="2">
        <v>113</v>
      </c>
      <c r="F655" s="2">
        <v>32441</v>
      </c>
      <c r="G655" s="2">
        <v>4.5489374299999996</v>
      </c>
      <c r="H655" s="2">
        <v>2.7082300000000001E-4</v>
      </c>
      <c r="I655" s="2" t="s">
        <v>26733</v>
      </c>
      <c r="J655" s="2" t="s">
        <v>26734</v>
      </c>
      <c r="K655" s="2">
        <v>9.16631E-4</v>
      </c>
      <c r="L655" s="2" t="s">
        <v>606</v>
      </c>
      <c r="M655" s="4" t="s">
        <v>26735</v>
      </c>
    </row>
    <row r="656" spans="1:13">
      <c r="A656" s="2">
        <v>368</v>
      </c>
      <c r="B656" s="2" t="s">
        <v>26736</v>
      </c>
      <c r="C656" s="2">
        <v>13</v>
      </c>
      <c r="D656" s="2">
        <v>568</v>
      </c>
      <c r="E656" s="2">
        <v>226</v>
      </c>
      <c r="F656" s="2">
        <v>32441</v>
      </c>
      <c r="G656" s="2">
        <v>3.2853436989999998</v>
      </c>
      <c r="H656" s="2">
        <v>2.8346900000000001E-4</v>
      </c>
      <c r="I656" s="2" t="s">
        <v>26737</v>
      </c>
      <c r="J656" s="2" t="s">
        <v>26738</v>
      </c>
      <c r="K656" s="2">
        <v>9.55564E-4</v>
      </c>
      <c r="L656" s="2" t="s">
        <v>606</v>
      </c>
      <c r="M656" s="4" t="s">
        <v>26739</v>
      </c>
    </row>
    <row r="657" spans="1:13">
      <c r="A657" s="2">
        <v>792</v>
      </c>
      <c r="B657" s="2" t="s">
        <v>6660</v>
      </c>
      <c r="C657" s="2">
        <v>36</v>
      </c>
      <c r="D657" s="2">
        <v>568</v>
      </c>
      <c r="E657" s="2">
        <v>1085</v>
      </c>
      <c r="F657" s="2">
        <v>32441</v>
      </c>
      <c r="G657" s="2">
        <v>1.895041215</v>
      </c>
      <c r="H657" s="2">
        <v>2.9120099999999999E-4</v>
      </c>
      <c r="I657" s="2" t="s">
        <v>26740</v>
      </c>
      <c r="J657" s="2" t="s">
        <v>26741</v>
      </c>
      <c r="K657" s="2">
        <v>9.7768500000000006E-4</v>
      </c>
      <c r="L657" s="2" t="s">
        <v>606</v>
      </c>
      <c r="M657" s="4" t="s">
        <v>6663</v>
      </c>
    </row>
    <row r="658" spans="1:13">
      <c r="A658" s="2">
        <v>485</v>
      </c>
      <c r="B658" s="2" t="s">
        <v>26742</v>
      </c>
      <c r="C658" s="2">
        <v>14</v>
      </c>
      <c r="D658" s="2">
        <v>568</v>
      </c>
      <c r="E658" s="2">
        <v>260</v>
      </c>
      <c r="F658" s="2">
        <v>32441</v>
      </c>
      <c r="G658" s="2">
        <v>3.0753927409999999</v>
      </c>
      <c r="H658" s="2">
        <v>3.1773000000000001E-4</v>
      </c>
      <c r="I658" s="2" t="s">
        <v>26743</v>
      </c>
      <c r="J658" s="2" t="s">
        <v>26744</v>
      </c>
      <c r="K658" s="2">
        <v>1.0624880000000001E-3</v>
      </c>
      <c r="L658" s="2" t="s">
        <v>606</v>
      </c>
      <c r="M658" s="4" t="s">
        <v>26745</v>
      </c>
    </row>
    <row r="659" spans="1:13">
      <c r="A659" s="2">
        <v>778</v>
      </c>
      <c r="B659" s="2" t="s">
        <v>6668</v>
      </c>
      <c r="C659" s="2">
        <v>14</v>
      </c>
      <c r="D659" s="2">
        <v>568</v>
      </c>
      <c r="E659" s="2">
        <v>261</v>
      </c>
      <c r="F659" s="2">
        <v>32441</v>
      </c>
      <c r="G659" s="2">
        <v>3.0636096269999999</v>
      </c>
      <c r="H659" s="2">
        <v>3.2961399999999999E-4</v>
      </c>
      <c r="I659" s="2" t="s">
        <v>26746</v>
      </c>
      <c r="J659" s="2" t="s">
        <v>26747</v>
      </c>
      <c r="K659" s="2">
        <v>1.0978380000000001E-3</v>
      </c>
      <c r="L659" s="2" t="s">
        <v>606</v>
      </c>
      <c r="M659" s="4" t="s">
        <v>6671</v>
      </c>
    </row>
    <row r="660" spans="1:13">
      <c r="A660" s="2">
        <v>744</v>
      </c>
      <c r="B660" s="2" t="s">
        <v>6865</v>
      </c>
      <c r="C660" s="2">
        <v>22</v>
      </c>
      <c r="D660" s="2">
        <v>568</v>
      </c>
      <c r="E660" s="2">
        <v>538</v>
      </c>
      <c r="F660" s="2">
        <v>32441</v>
      </c>
      <c r="G660" s="2">
        <v>2.3355345829999998</v>
      </c>
      <c r="H660" s="2">
        <v>3.3122099999999998E-4</v>
      </c>
      <c r="I660" s="2" t="s">
        <v>26748</v>
      </c>
      <c r="J660" s="2" t="s">
        <v>26749</v>
      </c>
      <c r="K660" s="2">
        <v>1.0988129999999999E-3</v>
      </c>
      <c r="L660" s="2" t="s">
        <v>606</v>
      </c>
      <c r="M660" s="4" t="s">
        <v>6868</v>
      </c>
    </row>
    <row r="661" spans="1:13">
      <c r="A661" s="2">
        <v>220</v>
      </c>
      <c r="B661" s="2" t="s">
        <v>26750</v>
      </c>
      <c r="C661" s="2">
        <v>14</v>
      </c>
      <c r="D661" s="2">
        <v>568</v>
      </c>
      <c r="E661" s="2">
        <v>262</v>
      </c>
      <c r="F661" s="2">
        <v>32441</v>
      </c>
      <c r="G661" s="2">
        <v>3.0519164609999998</v>
      </c>
      <c r="H661" s="2">
        <v>3.4187699999999998E-4</v>
      </c>
      <c r="I661" s="2" t="s">
        <v>26751</v>
      </c>
      <c r="J661" s="2" t="s">
        <v>26752</v>
      </c>
      <c r="K661" s="2">
        <v>1.1296800000000001E-3</v>
      </c>
      <c r="L661" s="2" t="s">
        <v>606</v>
      </c>
      <c r="M661" s="4" t="s">
        <v>26753</v>
      </c>
    </row>
    <row r="662" spans="1:13">
      <c r="A662" s="2">
        <v>514</v>
      </c>
      <c r="B662" s="2" t="s">
        <v>26754</v>
      </c>
      <c r="C662" s="2">
        <v>16</v>
      </c>
      <c r="D662" s="2">
        <v>568</v>
      </c>
      <c r="E662" s="2">
        <v>329</v>
      </c>
      <c r="F662" s="2">
        <v>32441</v>
      </c>
      <c r="G662" s="2">
        <v>2.777601781</v>
      </c>
      <c r="H662" s="2">
        <v>3.61858E-4</v>
      </c>
      <c r="I662" s="2" t="s">
        <v>26755</v>
      </c>
      <c r="J662" s="2" t="s">
        <v>26756</v>
      </c>
      <c r="K662" s="2">
        <v>1.190998E-3</v>
      </c>
      <c r="L662" s="2" t="s">
        <v>606</v>
      </c>
      <c r="M662" s="4" t="s">
        <v>26757</v>
      </c>
    </row>
    <row r="663" spans="1:13">
      <c r="A663" s="2">
        <v>719</v>
      </c>
      <c r="B663" s="2" t="s">
        <v>26758</v>
      </c>
      <c r="C663" s="2">
        <v>10</v>
      </c>
      <c r="D663" s="2">
        <v>568</v>
      </c>
      <c r="E663" s="2">
        <v>145</v>
      </c>
      <c r="F663" s="2">
        <v>32441</v>
      </c>
      <c r="G663" s="2">
        <v>3.9389266630000002</v>
      </c>
      <c r="H663" s="2">
        <v>3.7219E-4</v>
      </c>
      <c r="I663" s="2" t="s">
        <v>26759</v>
      </c>
      <c r="J663" s="2" t="s">
        <v>26760</v>
      </c>
      <c r="K663" s="2">
        <v>1.220201E-3</v>
      </c>
      <c r="L663" s="2" t="s">
        <v>606</v>
      </c>
      <c r="M663" s="4" t="s">
        <v>26761</v>
      </c>
    </row>
    <row r="664" spans="1:13">
      <c r="A664" s="2">
        <v>357</v>
      </c>
      <c r="B664" s="2" t="s">
        <v>26762</v>
      </c>
      <c r="C664" s="2">
        <v>13</v>
      </c>
      <c r="D664" s="2">
        <v>568</v>
      </c>
      <c r="E664" s="2">
        <v>233</v>
      </c>
      <c r="F664" s="2">
        <v>32441</v>
      </c>
      <c r="G664" s="2">
        <v>3.186642387</v>
      </c>
      <c r="H664" s="2">
        <v>3.7380200000000001E-4</v>
      </c>
      <c r="I664" s="2" t="s">
        <v>26763</v>
      </c>
      <c r="J664" s="2" t="s">
        <v>26764</v>
      </c>
      <c r="K664" s="2">
        <v>1.220697E-3</v>
      </c>
      <c r="L664" s="2" t="s">
        <v>606</v>
      </c>
      <c r="M664" s="4" t="s">
        <v>26765</v>
      </c>
    </row>
    <row r="665" spans="1:13">
      <c r="A665" s="2">
        <v>769</v>
      </c>
      <c r="B665" s="2" t="s">
        <v>26766</v>
      </c>
      <c r="C665" s="2">
        <v>17</v>
      </c>
      <c r="D665" s="2">
        <v>568</v>
      </c>
      <c r="E665" s="2">
        <v>365</v>
      </c>
      <c r="F665" s="2">
        <v>32441</v>
      </c>
      <c r="G665" s="2">
        <v>2.6601244450000001</v>
      </c>
      <c r="H665" s="2">
        <v>3.8556700000000002E-4</v>
      </c>
      <c r="I665" s="2" t="s">
        <v>26767</v>
      </c>
      <c r="J665" s="2" t="s">
        <v>26768</v>
      </c>
      <c r="K665" s="2">
        <v>1.2542180000000001E-3</v>
      </c>
      <c r="L665" s="2" t="s">
        <v>606</v>
      </c>
      <c r="M665" s="4" t="s">
        <v>26769</v>
      </c>
    </row>
    <row r="666" spans="1:13">
      <c r="A666" s="2">
        <v>354</v>
      </c>
      <c r="B666" s="2" t="s">
        <v>26770</v>
      </c>
      <c r="C666" s="2">
        <v>14</v>
      </c>
      <c r="D666" s="2">
        <v>568</v>
      </c>
      <c r="E666" s="2">
        <v>266</v>
      </c>
      <c r="F666" s="2">
        <v>32441</v>
      </c>
      <c r="G666" s="2">
        <v>3.00602298</v>
      </c>
      <c r="H666" s="2">
        <v>3.9491199999999998E-4</v>
      </c>
      <c r="I666" s="2" t="s">
        <v>26771</v>
      </c>
      <c r="J666" s="2" t="s">
        <v>26772</v>
      </c>
      <c r="K666" s="2">
        <v>1.2796369999999999E-3</v>
      </c>
      <c r="L666" s="2" t="s">
        <v>606</v>
      </c>
      <c r="M666" s="4" t="s">
        <v>26773</v>
      </c>
    </row>
    <row r="667" spans="1:13">
      <c r="A667" s="2">
        <v>737</v>
      </c>
      <c r="B667" s="2" t="s">
        <v>26774</v>
      </c>
      <c r="C667" s="2">
        <v>13</v>
      </c>
      <c r="D667" s="2">
        <v>568</v>
      </c>
      <c r="E667" s="2">
        <v>235</v>
      </c>
      <c r="F667" s="2">
        <v>32441</v>
      </c>
      <c r="G667" s="2">
        <v>3.1595220259999999</v>
      </c>
      <c r="H667" s="2">
        <v>4.03717E-4</v>
      </c>
      <c r="I667" s="2" t="s">
        <v>26775</v>
      </c>
      <c r="J667" s="2" t="s">
        <v>26776</v>
      </c>
      <c r="K667" s="2">
        <v>1.303118E-3</v>
      </c>
      <c r="L667" s="2" t="s">
        <v>606</v>
      </c>
      <c r="M667" s="4" t="s">
        <v>26777</v>
      </c>
    </row>
    <row r="668" spans="1:13">
      <c r="A668" s="2">
        <v>543</v>
      </c>
      <c r="B668" s="2" t="s">
        <v>26778</v>
      </c>
      <c r="C668" s="2">
        <v>7</v>
      </c>
      <c r="D668" s="2">
        <v>568</v>
      </c>
      <c r="E668" s="2">
        <v>72</v>
      </c>
      <c r="F668" s="2">
        <v>32441</v>
      </c>
      <c r="G668" s="2">
        <v>5.552792449</v>
      </c>
      <c r="H668" s="2">
        <v>4.2817400000000002E-4</v>
      </c>
      <c r="I668" s="2" t="s">
        <v>26779</v>
      </c>
      <c r="J668" s="2" t="s">
        <v>26780</v>
      </c>
      <c r="K668" s="2">
        <v>1.3767440000000001E-3</v>
      </c>
      <c r="L668" s="2" t="s">
        <v>606</v>
      </c>
      <c r="M668" s="4" t="s">
        <v>26781</v>
      </c>
    </row>
    <row r="669" spans="1:13">
      <c r="A669" s="2">
        <v>821</v>
      </c>
      <c r="B669" s="2" t="s">
        <v>26782</v>
      </c>
      <c r="C669" s="2">
        <v>10</v>
      </c>
      <c r="D669" s="2">
        <v>568</v>
      </c>
      <c r="E669" s="2">
        <v>148</v>
      </c>
      <c r="F669" s="2">
        <v>32441</v>
      </c>
      <c r="G669" s="2">
        <v>3.8590835550000002</v>
      </c>
      <c r="H669" s="2">
        <v>4.3322E-4</v>
      </c>
      <c r="I669" s="2" t="s">
        <v>26783</v>
      </c>
      <c r="J669" s="2" t="s">
        <v>26784</v>
      </c>
      <c r="K669" s="2">
        <v>1.3876310000000001E-3</v>
      </c>
      <c r="L669" s="2" t="s">
        <v>606</v>
      </c>
      <c r="M669" s="4" t="s">
        <v>26785</v>
      </c>
    </row>
    <row r="670" spans="1:13">
      <c r="A670" s="2">
        <v>652</v>
      </c>
      <c r="B670" s="2" t="s">
        <v>26786</v>
      </c>
      <c r="C670" s="2">
        <v>8</v>
      </c>
      <c r="D670" s="2">
        <v>568</v>
      </c>
      <c r="E670" s="2">
        <v>96</v>
      </c>
      <c r="F670" s="2">
        <v>32441</v>
      </c>
      <c r="G670" s="2">
        <v>4.7595363849999996</v>
      </c>
      <c r="H670" s="2">
        <v>4.4392699999999999E-4</v>
      </c>
      <c r="I670" s="2" t="s">
        <v>26787</v>
      </c>
      <c r="J670" s="2" t="s">
        <v>26788</v>
      </c>
      <c r="K670" s="2">
        <v>1.4165E-3</v>
      </c>
      <c r="L670" s="2" t="s">
        <v>606</v>
      </c>
      <c r="M670" s="4" t="s">
        <v>26789</v>
      </c>
    </row>
    <row r="671" spans="1:13">
      <c r="A671" s="2">
        <v>184</v>
      </c>
      <c r="B671" s="2" t="s">
        <v>26790</v>
      </c>
      <c r="C671" s="2">
        <v>12</v>
      </c>
      <c r="D671" s="2">
        <v>568</v>
      </c>
      <c r="E671" s="2">
        <v>207</v>
      </c>
      <c r="F671" s="2">
        <v>32441</v>
      </c>
      <c r="G671" s="2">
        <v>3.310981833</v>
      </c>
      <c r="H671" s="2">
        <v>4.4979800000000001E-4</v>
      </c>
      <c r="I671" s="2" t="s">
        <v>26791</v>
      </c>
      <c r="J671" s="2" t="s">
        <v>26792</v>
      </c>
      <c r="K671" s="2">
        <v>1.429776E-3</v>
      </c>
      <c r="L671" s="2" t="s">
        <v>606</v>
      </c>
      <c r="M671" s="4" t="s">
        <v>26793</v>
      </c>
    </row>
    <row r="672" spans="1:13">
      <c r="A672" s="2">
        <v>757</v>
      </c>
      <c r="B672" s="2" t="s">
        <v>26794</v>
      </c>
      <c r="C672" s="2">
        <v>21</v>
      </c>
      <c r="D672" s="2">
        <v>568</v>
      </c>
      <c r="E672" s="2">
        <v>516</v>
      </c>
      <c r="F672" s="2">
        <v>32441</v>
      </c>
      <c r="G672" s="2">
        <v>2.324424746</v>
      </c>
      <c r="H672" s="2">
        <v>4.7605E-4</v>
      </c>
      <c r="I672" s="2" t="s">
        <v>26795</v>
      </c>
      <c r="J672" s="2" t="s">
        <v>26796</v>
      </c>
      <c r="K672" s="2">
        <v>1.5074909999999999E-3</v>
      </c>
      <c r="L672" s="2" t="s">
        <v>606</v>
      </c>
      <c r="M672" s="4" t="s">
        <v>26797</v>
      </c>
    </row>
    <row r="673" spans="1:13">
      <c r="A673" s="2">
        <v>669</v>
      </c>
      <c r="B673" s="2" t="s">
        <v>26798</v>
      </c>
      <c r="C673" s="2">
        <v>6</v>
      </c>
      <c r="D673" s="2">
        <v>568</v>
      </c>
      <c r="E673" s="2">
        <v>52</v>
      </c>
      <c r="F673" s="2">
        <v>32441</v>
      </c>
      <c r="G673" s="2">
        <v>6.590127302</v>
      </c>
      <c r="H673" s="2">
        <v>4.7935499999999999E-4</v>
      </c>
      <c r="I673" s="2" t="s">
        <v>26799</v>
      </c>
      <c r="J673" s="2" t="s">
        <v>26800</v>
      </c>
      <c r="K673" s="2">
        <v>1.51223E-3</v>
      </c>
      <c r="L673" s="2" t="s">
        <v>606</v>
      </c>
      <c r="M673" s="4" t="s">
        <v>26801</v>
      </c>
    </row>
    <row r="674" spans="1:13">
      <c r="A674" s="2">
        <v>187</v>
      </c>
      <c r="B674" s="2" t="s">
        <v>26802</v>
      </c>
      <c r="C674" s="2">
        <v>14</v>
      </c>
      <c r="D674" s="2">
        <v>568</v>
      </c>
      <c r="E674" s="2">
        <v>272</v>
      </c>
      <c r="F674" s="2">
        <v>32441</v>
      </c>
      <c r="G674" s="2">
        <v>2.9397136499999998</v>
      </c>
      <c r="H674" s="2">
        <v>4.8757E-4</v>
      </c>
      <c r="I674" s="2" t="s">
        <v>26803</v>
      </c>
      <c r="J674" s="2" t="s">
        <v>26804</v>
      </c>
      <c r="K674" s="2">
        <v>1.5209259999999999E-3</v>
      </c>
      <c r="L674" s="2" t="s">
        <v>606</v>
      </c>
      <c r="M674" s="4" t="s">
        <v>26805</v>
      </c>
    </row>
    <row r="675" spans="1:13">
      <c r="A675" s="2">
        <v>448</v>
      </c>
      <c r="B675" s="2" t="s">
        <v>26806</v>
      </c>
      <c r="C675" s="2">
        <v>14</v>
      </c>
      <c r="D675" s="2">
        <v>568</v>
      </c>
      <c r="E675" s="2">
        <v>272</v>
      </c>
      <c r="F675" s="2">
        <v>32441</v>
      </c>
      <c r="G675" s="2">
        <v>2.9397136499999998</v>
      </c>
      <c r="H675" s="2">
        <v>4.8757E-4</v>
      </c>
      <c r="I675" s="2" t="s">
        <v>26807</v>
      </c>
      <c r="J675" s="2" t="s">
        <v>26808</v>
      </c>
      <c r="K675" s="2">
        <v>1.5209259999999999E-3</v>
      </c>
      <c r="L675" s="2" t="s">
        <v>606</v>
      </c>
      <c r="M675" s="4" t="s">
        <v>26809</v>
      </c>
    </row>
    <row r="676" spans="1:13">
      <c r="A676" s="2">
        <v>608</v>
      </c>
      <c r="B676" s="2" t="s">
        <v>26810</v>
      </c>
      <c r="C676" s="2">
        <v>9</v>
      </c>
      <c r="D676" s="2">
        <v>568</v>
      </c>
      <c r="E676" s="2">
        <v>123</v>
      </c>
      <c r="F676" s="2">
        <v>32441</v>
      </c>
      <c r="G676" s="2">
        <v>4.1791051189999999</v>
      </c>
      <c r="H676" s="2">
        <v>4.8447399999999998E-4</v>
      </c>
      <c r="I676" s="2" t="s">
        <v>26811</v>
      </c>
      <c r="J676" s="2" t="s">
        <v>26812</v>
      </c>
      <c r="K676" s="2">
        <v>1.5209259999999999E-3</v>
      </c>
      <c r="L676" s="2" t="s">
        <v>606</v>
      </c>
      <c r="M676" s="4" t="s">
        <v>26813</v>
      </c>
    </row>
    <row r="677" spans="1:13">
      <c r="A677" s="2">
        <v>450</v>
      </c>
      <c r="B677" s="2" t="s">
        <v>26814</v>
      </c>
      <c r="C677" s="2">
        <v>12</v>
      </c>
      <c r="D677" s="2">
        <v>568</v>
      </c>
      <c r="E677" s="2">
        <v>211</v>
      </c>
      <c r="F677" s="2">
        <v>32441</v>
      </c>
      <c r="G677" s="2">
        <v>3.2482144050000001</v>
      </c>
      <c r="H677" s="2">
        <v>5.2852200000000002E-4</v>
      </c>
      <c r="I677" s="2" t="s">
        <v>26815</v>
      </c>
      <c r="J677" s="2" t="s">
        <v>26816</v>
      </c>
      <c r="K677" s="2">
        <v>1.6425439999999999E-3</v>
      </c>
      <c r="L677" s="2" t="s">
        <v>606</v>
      </c>
      <c r="M677" s="4" t="s">
        <v>26817</v>
      </c>
    </row>
    <row r="678" spans="1:13">
      <c r="A678" s="2">
        <v>717</v>
      </c>
      <c r="B678" s="2" t="s">
        <v>26818</v>
      </c>
      <c r="C678" s="2">
        <v>7</v>
      </c>
      <c r="D678" s="2">
        <v>568</v>
      </c>
      <c r="E678" s="2">
        <v>75</v>
      </c>
      <c r="F678" s="2">
        <v>32441</v>
      </c>
      <c r="G678" s="2">
        <v>5.3306807510000001</v>
      </c>
      <c r="H678" s="2">
        <v>5.3729199999999998E-4</v>
      </c>
      <c r="I678" s="2" t="s">
        <v>26819</v>
      </c>
      <c r="J678" s="2" t="s">
        <v>26820</v>
      </c>
      <c r="K678" s="2">
        <v>1.6636140000000001E-3</v>
      </c>
      <c r="L678" s="2" t="s">
        <v>606</v>
      </c>
      <c r="M678" s="4" t="s">
        <v>26821</v>
      </c>
    </row>
    <row r="679" spans="1:13">
      <c r="A679" s="2">
        <v>561</v>
      </c>
      <c r="B679" s="2" t="s">
        <v>26822</v>
      </c>
      <c r="C679" s="2">
        <v>9</v>
      </c>
      <c r="D679" s="2">
        <v>568</v>
      </c>
      <c r="E679" s="2">
        <v>126</v>
      </c>
      <c r="F679" s="2">
        <v>32441</v>
      </c>
      <c r="G679" s="2">
        <v>4.0796026159999998</v>
      </c>
      <c r="H679" s="2">
        <v>5.7046699999999996E-4</v>
      </c>
      <c r="I679" s="2" t="s">
        <v>26823</v>
      </c>
      <c r="J679" s="2" t="s">
        <v>26824</v>
      </c>
      <c r="K679" s="2">
        <v>1.759818E-3</v>
      </c>
      <c r="L679" s="2" t="s">
        <v>606</v>
      </c>
      <c r="M679" s="4" t="s">
        <v>26825</v>
      </c>
    </row>
    <row r="680" spans="1:13">
      <c r="A680" s="2">
        <v>465</v>
      </c>
      <c r="B680" s="2" t="s">
        <v>26826</v>
      </c>
      <c r="C680" s="2">
        <v>13</v>
      </c>
      <c r="D680" s="2">
        <v>568</v>
      </c>
      <c r="E680" s="2">
        <v>245</v>
      </c>
      <c r="F680" s="2">
        <v>32441</v>
      </c>
      <c r="G680" s="2">
        <v>3.0305619429999999</v>
      </c>
      <c r="H680" s="2">
        <v>5.8564399999999996E-4</v>
      </c>
      <c r="I680" s="2" t="s">
        <v>26827</v>
      </c>
      <c r="J680" s="2" t="s">
        <v>26828</v>
      </c>
      <c r="K680" s="2">
        <v>1.7999940000000001E-3</v>
      </c>
      <c r="L680" s="2" t="s">
        <v>606</v>
      </c>
      <c r="M680" s="4" t="s">
        <v>26829</v>
      </c>
    </row>
    <row r="681" spans="1:13">
      <c r="A681" s="2">
        <v>553</v>
      </c>
      <c r="B681" s="2" t="s">
        <v>26830</v>
      </c>
      <c r="C681" s="2">
        <v>12</v>
      </c>
      <c r="D681" s="2">
        <v>568</v>
      </c>
      <c r="E681" s="2">
        <v>216</v>
      </c>
      <c r="F681" s="2">
        <v>32441</v>
      </c>
      <c r="G681" s="2">
        <v>3.1730242569999998</v>
      </c>
      <c r="H681" s="2">
        <v>6.4293100000000001E-4</v>
      </c>
      <c r="I681" s="2" t="s">
        <v>26831</v>
      </c>
      <c r="J681" s="2" t="s">
        <v>26832</v>
      </c>
      <c r="K681" s="2">
        <v>1.96883E-3</v>
      </c>
      <c r="L681" s="2" t="s">
        <v>606</v>
      </c>
      <c r="M681" s="4" t="s">
        <v>26833</v>
      </c>
    </row>
    <row r="682" spans="1:13">
      <c r="A682" s="2">
        <v>7141</v>
      </c>
      <c r="B682" s="2" t="s">
        <v>26834</v>
      </c>
      <c r="C682" s="2">
        <v>8</v>
      </c>
      <c r="D682" s="2">
        <v>568</v>
      </c>
      <c r="E682" s="2">
        <v>102</v>
      </c>
      <c r="F682" s="2">
        <v>32441</v>
      </c>
      <c r="G682" s="2">
        <v>4.4795636559999998</v>
      </c>
      <c r="H682" s="2">
        <v>6.4568999999999998E-4</v>
      </c>
      <c r="I682" s="2" t="s">
        <v>26835</v>
      </c>
      <c r="J682" s="2" t="s">
        <v>26836</v>
      </c>
      <c r="K682" s="2">
        <v>1.97006E-3</v>
      </c>
      <c r="L682" s="2" t="s">
        <v>606</v>
      </c>
      <c r="M682" s="4" t="s">
        <v>26837</v>
      </c>
    </row>
    <row r="683" spans="1:13">
      <c r="A683" s="2">
        <v>293</v>
      </c>
      <c r="B683" s="2" t="s">
        <v>26838</v>
      </c>
      <c r="C683" s="2">
        <v>27</v>
      </c>
      <c r="D683" s="2">
        <v>568</v>
      </c>
      <c r="E683" s="2">
        <v>765</v>
      </c>
      <c r="F683" s="2">
        <v>32441</v>
      </c>
      <c r="G683" s="2">
        <v>2.0158036450000001</v>
      </c>
      <c r="H683" s="2">
        <v>6.8007300000000001E-4</v>
      </c>
      <c r="I683" s="2" t="s">
        <v>26839</v>
      </c>
      <c r="J683" s="2" t="s">
        <v>26840</v>
      </c>
      <c r="K683" s="2">
        <v>2.0674220000000002E-3</v>
      </c>
      <c r="L683" s="2" t="s">
        <v>606</v>
      </c>
      <c r="M683" s="4" t="s">
        <v>26841</v>
      </c>
    </row>
    <row r="684" spans="1:13">
      <c r="A684" s="2">
        <v>95</v>
      </c>
      <c r="B684" s="2" t="s">
        <v>26842</v>
      </c>
      <c r="C684" s="2">
        <v>8</v>
      </c>
      <c r="D684" s="2">
        <v>568</v>
      </c>
      <c r="E684" s="2">
        <v>103</v>
      </c>
      <c r="F684" s="2">
        <v>32441</v>
      </c>
      <c r="G684" s="2">
        <v>4.4360727469999999</v>
      </c>
      <c r="H684" s="2">
        <v>6.8554900000000003E-4</v>
      </c>
      <c r="I684" s="2" t="s">
        <v>26843</v>
      </c>
      <c r="J684" s="2" t="s">
        <v>26844</v>
      </c>
      <c r="K684" s="2">
        <v>2.0765190000000002E-3</v>
      </c>
      <c r="L684" s="2" t="s">
        <v>606</v>
      </c>
      <c r="M684" s="4" t="s">
        <v>26845</v>
      </c>
    </row>
    <row r="685" spans="1:13">
      <c r="A685" s="2">
        <v>299</v>
      </c>
      <c r="B685" s="2" t="s">
        <v>26846</v>
      </c>
      <c r="C685" s="2">
        <v>13</v>
      </c>
      <c r="D685" s="2">
        <v>568</v>
      </c>
      <c r="E685" s="2">
        <v>252</v>
      </c>
      <c r="F685" s="2">
        <v>32441</v>
      </c>
      <c r="G685" s="2">
        <v>2.946379667</v>
      </c>
      <c r="H685" s="2">
        <v>7.5063400000000002E-4</v>
      </c>
      <c r="I685" s="2" t="s">
        <v>26847</v>
      </c>
      <c r="J685" s="2" t="s">
        <v>26848</v>
      </c>
      <c r="K685" s="2">
        <v>2.2654509999999999E-3</v>
      </c>
      <c r="L685" s="2" t="s">
        <v>606</v>
      </c>
      <c r="M685" s="4" t="s">
        <v>26849</v>
      </c>
    </row>
    <row r="686" spans="1:13">
      <c r="A686" s="2">
        <v>74</v>
      </c>
      <c r="B686" s="2" t="s">
        <v>26850</v>
      </c>
      <c r="C686" s="2">
        <v>13</v>
      </c>
      <c r="D686" s="2">
        <v>568</v>
      </c>
      <c r="E686" s="2">
        <v>254</v>
      </c>
      <c r="F686" s="2">
        <v>32441</v>
      </c>
      <c r="G686" s="2">
        <v>2.9231798269999998</v>
      </c>
      <c r="H686" s="2">
        <v>8.0438799999999996E-4</v>
      </c>
      <c r="I686" s="2" t="s">
        <v>26851</v>
      </c>
      <c r="J686" s="2" t="s">
        <v>26852</v>
      </c>
      <c r="K686" s="2">
        <v>2.409324E-3</v>
      </c>
      <c r="L686" s="2" t="s">
        <v>606</v>
      </c>
      <c r="M686" s="4" t="s">
        <v>26853</v>
      </c>
    </row>
    <row r="687" spans="1:13">
      <c r="A687" s="2">
        <v>267</v>
      </c>
      <c r="B687" s="2" t="s">
        <v>26854</v>
      </c>
      <c r="C687" s="2">
        <v>12</v>
      </c>
      <c r="D687" s="2">
        <v>568</v>
      </c>
      <c r="E687" s="2">
        <v>222</v>
      </c>
      <c r="F687" s="2">
        <v>32441</v>
      </c>
      <c r="G687" s="2">
        <v>3.0872668440000002</v>
      </c>
      <c r="H687" s="2">
        <v>8.0695099999999998E-4</v>
      </c>
      <c r="I687" s="2" t="s">
        <v>26855</v>
      </c>
      <c r="J687" s="2" t="s">
        <v>26856</v>
      </c>
      <c r="K687" s="2">
        <v>2.409324E-3</v>
      </c>
      <c r="L687" s="2" t="s">
        <v>606</v>
      </c>
      <c r="M687" s="4" t="s">
        <v>26857</v>
      </c>
    </row>
    <row r="688" spans="1:13">
      <c r="A688" s="2">
        <v>723</v>
      </c>
      <c r="B688" s="2" t="s">
        <v>26858</v>
      </c>
      <c r="C688" s="2">
        <v>12</v>
      </c>
      <c r="D688" s="2">
        <v>568</v>
      </c>
      <c r="E688" s="2">
        <v>222</v>
      </c>
      <c r="F688" s="2">
        <v>32441</v>
      </c>
      <c r="G688" s="2">
        <v>3.0872668440000002</v>
      </c>
      <c r="H688" s="2">
        <v>8.0695099999999998E-4</v>
      </c>
      <c r="I688" s="2" t="s">
        <v>26859</v>
      </c>
      <c r="J688" s="2" t="s">
        <v>26860</v>
      </c>
      <c r="K688" s="2">
        <v>2.409324E-3</v>
      </c>
      <c r="L688" s="2" t="s">
        <v>606</v>
      </c>
      <c r="M688" s="4" t="s">
        <v>26861</v>
      </c>
    </row>
    <row r="689" spans="1:13">
      <c r="A689" s="2">
        <v>701</v>
      </c>
      <c r="B689" s="2" t="s">
        <v>26862</v>
      </c>
      <c r="C689" s="2">
        <v>6</v>
      </c>
      <c r="D689" s="2">
        <v>568</v>
      </c>
      <c r="E689" s="2">
        <v>58</v>
      </c>
      <c r="F689" s="2">
        <v>32441</v>
      </c>
      <c r="G689" s="2">
        <v>5.9083899950000003</v>
      </c>
      <c r="H689" s="2">
        <v>8.14162E-4</v>
      </c>
      <c r="I689" s="2" t="s">
        <v>26863</v>
      </c>
      <c r="J689" s="2" t="s">
        <v>26864</v>
      </c>
      <c r="K689" s="2">
        <v>2.4222050000000002E-3</v>
      </c>
      <c r="L689" s="2" t="s">
        <v>606</v>
      </c>
      <c r="M689" s="4" t="s">
        <v>26865</v>
      </c>
    </row>
    <row r="690" spans="1:13">
      <c r="A690" s="2">
        <v>193</v>
      </c>
      <c r="B690" s="2" t="s">
        <v>26866</v>
      </c>
      <c r="C690" s="2">
        <v>13</v>
      </c>
      <c r="D690" s="2">
        <v>568</v>
      </c>
      <c r="E690" s="2">
        <v>256</v>
      </c>
      <c r="F690" s="2">
        <v>32441</v>
      </c>
      <c r="G690" s="2">
        <v>2.9003424849999999</v>
      </c>
      <c r="H690" s="2">
        <v>8.6133800000000001E-4</v>
      </c>
      <c r="I690" s="2" t="s">
        <v>26867</v>
      </c>
      <c r="J690" s="2" t="s">
        <v>26868</v>
      </c>
      <c r="K690" s="2">
        <v>2.5534720000000002E-3</v>
      </c>
      <c r="L690" s="2" t="s">
        <v>606</v>
      </c>
      <c r="M690" s="4" t="s">
        <v>26869</v>
      </c>
    </row>
    <row r="691" spans="1:13">
      <c r="A691" s="2">
        <v>258</v>
      </c>
      <c r="B691" s="2" t="s">
        <v>26870</v>
      </c>
      <c r="C691" s="2">
        <v>12</v>
      </c>
      <c r="D691" s="2">
        <v>568</v>
      </c>
      <c r="E691" s="2">
        <v>225</v>
      </c>
      <c r="F691" s="2">
        <v>32441</v>
      </c>
      <c r="G691" s="2">
        <v>3.0461032860000001</v>
      </c>
      <c r="H691" s="2">
        <v>9.0123700000000005E-4</v>
      </c>
      <c r="I691" s="2" t="s">
        <v>26871</v>
      </c>
      <c r="J691" s="2" t="s">
        <v>26872</v>
      </c>
      <c r="K691" s="2">
        <v>2.662312E-3</v>
      </c>
      <c r="L691" s="2" t="s">
        <v>606</v>
      </c>
      <c r="M691" s="4" t="s">
        <v>26873</v>
      </c>
    </row>
    <row r="692" spans="1:13">
      <c r="A692" s="2">
        <v>12</v>
      </c>
      <c r="B692" s="2" t="s">
        <v>26874</v>
      </c>
      <c r="C692" s="2">
        <v>13</v>
      </c>
      <c r="D692" s="2">
        <v>568</v>
      </c>
      <c r="E692" s="2">
        <v>259</v>
      </c>
      <c r="F692" s="2">
        <v>32441</v>
      </c>
      <c r="G692" s="2">
        <v>2.8667477840000002</v>
      </c>
      <c r="H692" s="2">
        <v>9.5308399999999998E-4</v>
      </c>
      <c r="I692" s="2" t="s">
        <v>26875</v>
      </c>
      <c r="J692" s="2" t="s">
        <v>26876</v>
      </c>
      <c r="K692" s="2">
        <v>2.7922260000000001E-3</v>
      </c>
      <c r="L692" s="2" t="s">
        <v>606</v>
      </c>
      <c r="M692" s="4" t="s">
        <v>26877</v>
      </c>
    </row>
    <row r="693" spans="1:13">
      <c r="A693" s="2">
        <v>482</v>
      </c>
      <c r="B693" s="2" t="s">
        <v>26878</v>
      </c>
      <c r="C693" s="2">
        <v>13</v>
      </c>
      <c r="D693" s="2">
        <v>568</v>
      </c>
      <c r="E693" s="2">
        <v>259</v>
      </c>
      <c r="F693" s="2">
        <v>32441</v>
      </c>
      <c r="G693" s="2">
        <v>2.8667477840000002</v>
      </c>
      <c r="H693" s="2">
        <v>9.5308399999999998E-4</v>
      </c>
      <c r="I693" s="2" t="s">
        <v>26879</v>
      </c>
      <c r="J693" s="2" t="s">
        <v>26880</v>
      </c>
      <c r="K693" s="2">
        <v>2.7922260000000001E-3</v>
      </c>
      <c r="L693" s="2" t="s">
        <v>606</v>
      </c>
      <c r="M693" s="4" t="s">
        <v>26881</v>
      </c>
    </row>
    <row r="694" spans="1:13">
      <c r="A694" s="2">
        <v>549</v>
      </c>
      <c r="B694" s="2" t="s">
        <v>26882</v>
      </c>
      <c r="C694" s="2">
        <v>6</v>
      </c>
      <c r="D694" s="2">
        <v>568</v>
      </c>
      <c r="E694" s="2">
        <v>60</v>
      </c>
      <c r="F694" s="2">
        <v>32441</v>
      </c>
      <c r="G694" s="2">
        <v>5.7114436619999998</v>
      </c>
      <c r="H694" s="2">
        <v>9.5857500000000003E-4</v>
      </c>
      <c r="I694" s="2" t="s">
        <v>26883</v>
      </c>
      <c r="J694" s="2" t="s">
        <v>26884</v>
      </c>
      <c r="K694" s="2">
        <v>2.7922260000000001E-3</v>
      </c>
      <c r="L694" s="2" t="s">
        <v>606</v>
      </c>
      <c r="M694" s="4" t="s">
        <v>26885</v>
      </c>
    </row>
    <row r="695" spans="1:13">
      <c r="A695" s="2">
        <v>620</v>
      </c>
      <c r="B695" s="2" t="s">
        <v>26886</v>
      </c>
      <c r="C695" s="2">
        <v>6</v>
      </c>
      <c r="D695" s="2">
        <v>568</v>
      </c>
      <c r="E695" s="2">
        <v>60</v>
      </c>
      <c r="F695" s="2">
        <v>32441</v>
      </c>
      <c r="G695" s="2">
        <v>5.7114436619999998</v>
      </c>
      <c r="H695" s="2">
        <v>9.5857500000000003E-4</v>
      </c>
      <c r="I695" s="2" t="s">
        <v>26887</v>
      </c>
      <c r="J695" s="2" t="s">
        <v>26888</v>
      </c>
      <c r="K695" s="2">
        <v>2.7922260000000001E-3</v>
      </c>
      <c r="L695" s="2" t="s">
        <v>606</v>
      </c>
      <c r="M695" s="4" t="s">
        <v>26889</v>
      </c>
    </row>
    <row r="696" spans="1:13">
      <c r="A696" s="2">
        <v>205</v>
      </c>
      <c r="B696" s="2" t="s">
        <v>26890</v>
      </c>
      <c r="C696" s="2">
        <v>7</v>
      </c>
      <c r="D696" s="2">
        <v>568</v>
      </c>
      <c r="E696" s="2">
        <v>84</v>
      </c>
      <c r="F696" s="2">
        <v>32441</v>
      </c>
      <c r="G696" s="2">
        <v>4.7595363849999996</v>
      </c>
      <c r="H696" s="2">
        <v>1.0021520000000001E-3</v>
      </c>
      <c r="I696" s="2" t="s">
        <v>26891</v>
      </c>
      <c r="J696" s="2" t="s">
        <v>26892</v>
      </c>
      <c r="K696" s="2">
        <v>2.909025E-3</v>
      </c>
      <c r="L696" s="2" t="s">
        <v>606</v>
      </c>
      <c r="M696" s="4" t="s">
        <v>26893</v>
      </c>
    </row>
    <row r="697" spans="1:13">
      <c r="A697" s="2">
        <v>395</v>
      </c>
      <c r="B697" s="2" t="s">
        <v>26894</v>
      </c>
      <c r="C697" s="2">
        <v>13</v>
      </c>
      <c r="D697" s="2">
        <v>568</v>
      </c>
      <c r="E697" s="2">
        <v>261</v>
      </c>
      <c r="F697" s="2">
        <v>32441</v>
      </c>
      <c r="G697" s="2">
        <v>2.8447803679999999</v>
      </c>
      <c r="H697" s="2">
        <v>1.0186850000000001E-3</v>
      </c>
      <c r="I697" s="2" t="s">
        <v>26895</v>
      </c>
      <c r="J697" s="2" t="s">
        <v>26896</v>
      </c>
      <c r="K697" s="2">
        <v>2.9467830000000001E-3</v>
      </c>
      <c r="L697" s="2" t="s">
        <v>606</v>
      </c>
      <c r="M697" s="4" t="s">
        <v>26897</v>
      </c>
    </row>
    <row r="698" spans="1:13">
      <c r="A698" s="2">
        <v>597</v>
      </c>
      <c r="B698" s="2" t="s">
        <v>26898</v>
      </c>
      <c r="C698" s="2">
        <v>8</v>
      </c>
      <c r="D698" s="2">
        <v>568</v>
      </c>
      <c r="E698" s="2">
        <v>111</v>
      </c>
      <c r="F698" s="2">
        <v>32441</v>
      </c>
      <c r="G698" s="2">
        <v>4.1163557920000002</v>
      </c>
      <c r="H698" s="2">
        <v>1.0809859999999999E-3</v>
      </c>
      <c r="I698" s="2" t="s">
        <v>26899</v>
      </c>
      <c r="J698" s="2" t="s">
        <v>26900</v>
      </c>
      <c r="K698" s="2">
        <v>3.116223E-3</v>
      </c>
      <c r="L698" s="2" t="s">
        <v>606</v>
      </c>
      <c r="M698" s="4" t="s">
        <v>26901</v>
      </c>
    </row>
    <row r="699" spans="1:13">
      <c r="A699" s="2">
        <v>156</v>
      </c>
      <c r="B699" s="2" t="s">
        <v>26902</v>
      </c>
      <c r="C699" s="2">
        <v>10</v>
      </c>
      <c r="D699" s="2">
        <v>568</v>
      </c>
      <c r="E699" s="2">
        <v>168</v>
      </c>
      <c r="F699" s="2">
        <v>32441</v>
      </c>
      <c r="G699" s="2">
        <v>3.399668846</v>
      </c>
      <c r="H699" s="2">
        <v>1.088905E-3</v>
      </c>
      <c r="I699" s="2" t="s">
        <v>26903</v>
      </c>
      <c r="J699" s="2" t="s">
        <v>26904</v>
      </c>
      <c r="K699" s="2">
        <v>3.1282620000000001E-3</v>
      </c>
      <c r="L699" s="2" t="s">
        <v>606</v>
      </c>
      <c r="M699" s="4" t="s">
        <v>26905</v>
      </c>
    </row>
    <row r="700" spans="1:13">
      <c r="A700" s="2">
        <v>500</v>
      </c>
      <c r="B700" s="2" t="s">
        <v>26906</v>
      </c>
      <c r="C700" s="2">
        <v>4</v>
      </c>
      <c r="D700" s="2">
        <v>568</v>
      </c>
      <c r="E700" s="2">
        <v>23</v>
      </c>
      <c r="F700" s="2">
        <v>32441</v>
      </c>
      <c r="G700" s="2">
        <v>9.9329454990000006</v>
      </c>
      <c r="H700" s="2">
        <v>1.1117010000000001E-3</v>
      </c>
      <c r="I700" s="2" t="s">
        <v>26907</v>
      </c>
      <c r="J700" s="2" t="s">
        <v>26908</v>
      </c>
      <c r="K700" s="2">
        <v>3.1828160000000002E-3</v>
      </c>
      <c r="L700" s="2" t="s">
        <v>606</v>
      </c>
      <c r="M700" s="4" t="s">
        <v>26909</v>
      </c>
    </row>
    <row r="701" spans="1:13">
      <c r="A701" s="2">
        <v>384</v>
      </c>
      <c r="B701" s="2" t="s">
        <v>6881</v>
      </c>
      <c r="C701" s="2">
        <v>13</v>
      </c>
      <c r="D701" s="2">
        <v>568</v>
      </c>
      <c r="E701" s="2">
        <v>264</v>
      </c>
      <c r="F701" s="2">
        <v>32441</v>
      </c>
      <c r="G701" s="2">
        <v>2.8124533180000002</v>
      </c>
      <c r="H701" s="2">
        <v>1.124138E-3</v>
      </c>
      <c r="I701" s="2" t="s">
        <v>26910</v>
      </c>
      <c r="J701" s="2" t="s">
        <v>26911</v>
      </c>
      <c r="K701" s="2">
        <v>3.1856940000000002E-3</v>
      </c>
      <c r="L701" s="2" t="s">
        <v>606</v>
      </c>
      <c r="M701" s="4" t="s">
        <v>6884</v>
      </c>
    </row>
    <row r="702" spans="1:13">
      <c r="A702" s="2">
        <v>585</v>
      </c>
      <c r="B702" s="2" t="s">
        <v>26912</v>
      </c>
      <c r="C702" s="2">
        <v>6</v>
      </c>
      <c r="D702" s="2">
        <v>568</v>
      </c>
      <c r="E702" s="2">
        <v>62</v>
      </c>
      <c r="F702" s="2">
        <v>32441</v>
      </c>
      <c r="G702" s="2">
        <v>5.5272035439999998</v>
      </c>
      <c r="H702" s="2">
        <v>1.1219100000000001E-3</v>
      </c>
      <c r="I702" s="2" t="s">
        <v>26913</v>
      </c>
      <c r="J702" s="2" t="s">
        <v>26914</v>
      </c>
      <c r="K702" s="2">
        <v>3.1856940000000002E-3</v>
      </c>
      <c r="L702" s="2" t="s">
        <v>606</v>
      </c>
      <c r="M702" s="4" t="s">
        <v>26915</v>
      </c>
    </row>
    <row r="703" spans="1:13">
      <c r="A703" s="2">
        <v>782</v>
      </c>
      <c r="B703" s="2" t="s">
        <v>26916</v>
      </c>
      <c r="C703" s="2">
        <v>12</v>
      </c>
      <c r="D703" s="2">
        <v>568</v>
      </c>
      <c r="E703" s="2">
        <v>231</v>
      </c>
      <c r="F703" s="2">
        <v>32441</v>
      </c>
      <c r="G703" s="2">
        <v>2.9669837210000001</v>
      </c>
      <c r="H703" s="2">
        <v>1.1174830000000001E-3</v>
      </c>
      <c r="I703" s="2" t="s">
        <v>26917</v>
      </c>
      <c r="J703" s="2" t="s">
        <v>26918</v>
      </c>
      <c r="K703" s="2">
        <v>3.1856940000000002E-3</v>
      </c>
      <c r="L703" s="2" t="s">
        <v>606</v>
      </c>
      <c r="M703" s="4" t="s">
        <v>26919</v>
      </c>
    </row>
    <row r="704" spans="1:13">
      <c r="A704" s="2">
        <v>144</v>
      </c>
      <c r="B704" s="2" t="s">
        <v>26920</v>
      </c>
      <c r="C704" s="2">
        <v>11</v>
      </c>
      <c r="D704" s="2">
        <v>568</v>
      </c>
      <c r="E704" s="2">
        <v>200</v>
      </c>
      <c r="F704" s="2">
        <v>32441</v>
      </c>
      <c r="G704" s="2">
        <v>3.1412940140000001</v>
      </c>
      <c r="H704" s="2">
        <v>1.151348E-3</v>
      </c>
      <c r="I704" s="2" t="s">
        <v>26921</v>
      </c>
      <c r="J704" s="2" t="s">
        <v>26922</v>
      </c>
      <c r="K704" s="2">
        <v>3.251781E-3</v>
      </c>
      <c r="L704" s="2" t="s">
        <v>606</v>
      </c>
      <c r="M704" s="4" t="s">
        <v>26923</v>
      </c>
    </row>
    <row r="705" spans="1:13">
      <c r="A705" s="2">
        <v>3</v>
      </c>
      <c r="B705" s="2" t="s">
        <v>26924</v>
      </c>
      <c r="C705" s="2">
        <v>13</v>
      </c>
      <c r="D705" s="2">
        <v>568</v>
      </c>
      <c r="E705" s="2">
        <v>265</v>
      </c>
      <c r="F705" s="2">
        <v>32441</v>
      </c>
      <c r="G705" s="2">
        <v>2.8018402870000001</v>
      </c>
      <c r="H705" s="2">
        <v>1.1612529999999999E-3</v>
      </c>
      <c r="I705" s="2" t="s">
        <v>26925</v>
      </c>
      <c r="J705" s="2" t="s">
        <v>26926</v>
      </c>
      <c r="K705" s="2">
        <v>3.2577420000000001E-3</v>
      </c>
      <c r="L705" s="2" t="s">
        <v>606</v>
      </c>
      <c r="M705" s="4" t="s">
        <v>26927</v>
      </c>
    </row>
    <row r="706" spans="1:13">
      <c r="A706" s="2">
        <v>415</v>
      </c>
      <c r="B706" s="2" t="s">
        <v>6735</v>
      </c>
      <c r="C706" s="2">
        <v>12</v>
      </c>
      <c r="D706" s="2">
        <v>568</v>
      </c>
      <c r="E706" s="2">
        <v>232</v>
      </c>
      <c r="F706" s="2">
        <v>32441</v>
      </c>
      <c r="G706" s="2">
        <v>2.9541949980000002</v>
      </c>
      <c r="H706" s="2">
        <v>1.157398E-3</v>
      </c>
      <c r="I706" s="2" t="s">
        <v>26928</v>
      </c>
      <c r="J706" s="2" t="s">
        <v>26929</v>
      </c>
      <c r="K706" s="2">
        <v>3.2577420000000001E-3</v>
      </c>
      <c r="L706" s="2" t="s">
        <v>606</v>
      </c>
      <c r="M706" s="4" t="s">
        <v>6738</v>
      </c>
    </row>
    <row r="707" spans="1:13">
      <c r="A707" s="2">
        <v>794</v>
      </c>
      <c r="B707" s="2" t="s">
        <v>6849</v>
      </c>
      <c r="C707" s="2">
        <v>30</v>
      </c>
      <c r="D707" s="2">
        <v>568</v>
      </c>
      <c r="E707" s="2">
        <v>919</v>
      </c>
      <c r="F707" s="2">
        <v>32441</v>
      </c>
      <c r="G707" s="2">
        <v>1.8644538610000001</v>
      </c>
      <c r="H707" s="2">
        <v>1.165499E-3</v>
      </c>
      <c r="I707" s="2" t="s">
        <v>26930</v>
      </c>
      <c r="J707" s="2" t="s">
        <v>26931</v>
      </c>
      <c r="K707" s="2">
        <v>3.2587179999999999E-3</v>
      </c>
      <c r="L707" s="2" t="s">
        <v>606</v>
      </c>
      <c r="M707" s="4" t="s">
        <v>6852</v>
      </c>
    </row>
    <row r="708" spans="1:13">
      <c r="A708" s="2">
        <v>118</v>
      </c>
      <c r="B708" s="2" t="s">
        <v>26932</v>
      </c>
      <c r="C708" s="2">
        <v>13</v>
      </c>
      <c r="D708" s="2">
        <v>568</v>
      </c>
      <c r="E708" s="2">
        <v>266</v>
      </c>
      <c r="F708" s="2">
        <v>32441</v>
      </c>
      <c r="G708" s="2">
        <v>2.7913070530000001</v>
      </c>
      <c r="H708" s="2">
        <v>1.199384E-3</v>
      </c>
      <c r="I708" s="2" t="s">
        <v>26933</v>
      </c>
      <c r="J708" s="2" t="s">
        <v>26934</v>
      </c>
      <c r="K708" s="2">
        <v>3.3311780000000002E-3</v>
      </c>
      <c r="L708" s="2" t="s">
        <v>606</v>
      </c>
      <c r="M708" s="4" t="s">
        <v>26935</v>
      </c>
    </row>
    <row r="709" spans="1:13">
      <c r="A709" s="2">
        <v>409</v>
      </c>
      <c r="B709" s="2" t="s">
        <v>6723</v>
      </c>
      <c r="C709" s="2">
        <v>13</v>
      </c>
      <c r="D709" s="2">
        <v>568</v>
      </c>
      <c r="E709" s="2">
        <v>266</v>
      </c>
      <c r="F709" s="2">
        <v>32441</v>
      </c>
      <c r="G709" s="2">
        <v>2.7913070530000001</v>
      </c>
      <c r="H709" s="2">
        <v>1.199384E-3</v>
      </c>
      <c r="I709" s="2" t="s">
        <v>26936</v>
      </c>
      <c r="J709" s="2" t="s">
        <v>26937</v>
      </c>
      <c r="K709" s="2">
        <v>3.3311780000000002E-3</v>
      </c>
      <c r="L709" s="2" t="s">
        <v>606</v>
      </c>
      <c r="M709" s="4" t="s">
        <v>6726</v>
      </c>
    </row>
    <row r="710" spans="1:13">
      <c r="A710" s="2">
        <v>710</v>
      </c>
      <c r="B710" s="2" t="s">
        <v>26938</v>
      </c>
      <c r="C710" s="2">
        <v>7</v>
      </c>
      <c r="D710" s="2">
        <v>568</v>
      </c>
      <c r="E710" s="2">
        <v>87</v>
      </c>
      <c r="F710" s="2">
        <v>32441</v>
      </c>
      <c r="G710" s="2">
        <v>4.595414441</v>
      </c>
      <c r="H710" s="2">
        <v>1.2127640000000001E-3</v>
      </c>
      <c r="I710" s="2" t="s">
        <v>26939</v>
      </c>
      <c r="J710" s="2" t="s">
        <v>26940</v>
      </c>
      <c r="K710" s="2">
        <v>3.3571870000000002E-3</v>
      </c>
      <c r="L710" s="2" t="s">
        <v>606</v>
      </c>
      <c r="M710" s="4" t="s">
        <v>26941</v>
      </c>
    </row>
    <row r="711" spans="1:13">
      <c r="A711" s="2">
        <v>433</v>
      </c>
      <c r="B711" s="2" t="s">
        <v>26942</v>
      </c>
      <c r="C711" s="2">
        <v>12</v>
      </c>
      <c r="D711" s="2">
        <v>568</v>
      </c>
      <c r="E711" s="2">
        <v>236</v>
      </c>
      <c r="F711" s="2">
        <v>32441</v>
      </c>
      <c r="G711" s="2">
        <v>2.9041238960000002</v>
      </c>
      <c r="H711" s="2">
        <v>1.3290750000000001E-3</v>
      </c>
      <c r="I711" s="2" t="s">
        <v>26943</v>
      </c>
      <c r="J711" s="2" t="s">
        <v>26944</v>
      </c>
      <c r="K711" s="2">
        <v>3.6549569999999999E-3</v>
      </c>
      <c r="L711" s="2" t="s">
        <v>606</v>
      </c>
      <c r="M711" s="4" t="s">
        <v>26945</v>
      </c>
    </row>
    <row r="712" spans="1:13">
      <c r="A712" s="2">
        <v>675</v>
      </c>
      <c r="B712" s="2" t="s">
        <v>26946</v>
      </c>
      <c r="C712" s="2">
        <v>9</v>
      </c>
      <c r="D712" s="2">
        <v>568</v>
      </c>
      <c r="E712" s="2">
        <v>143</v>
      </c>
      <c r="F712" s="2">
        <v>32441</v>
      </c>
      <c r="G712" s="2">
        <v>3.5946148920000001</v>
      </c>
      <c r="H712" s="2">
        <v>1.32525E-3</v>
      </c>
      <c r="I712" s="2" t="s">
        <v>26947</v>
      </c>
      <c r="J712" s="2" t="s">
        <v>26948</v>
      </c>
      <c r="K712" s="2">
        <v>3.6549569999999999E-3</v>
      </c>
      <c r="L712" s="2" t="s">
        <v>606</v>
      </c>
      <c r="M712" s="4" t="s">
        <v>26949</v>
      </c>
    </row>
    <row r="713" spans="1:13">
      <c r="A713" s="2">
        <v>813</v>
      </c>
      <c r="B713" s="2" t="s">
        <v>26950</v>
      </c>
      <c r="C713" s="2">
        <v>25</v>
      </c>
      <c r="D713" s="2">
        <v>568</v>
      </c>
      <c r="E713" s="2">
        <v>722</v>
      </c>
      <c r="F713" s="2">
        <v>32441</v>
      </c>
      <c r="G713" s="2">
        <v>1.977646697</v>
      </c>
      <c r="H713" s="2">
        <v>1.364732E-3</v>
      </c>
      <c r="I713" s="2" t="s">
        <v>26951</v>
      </c>
      <c r="J713" s="2" t="s">
        <v>26952</v>
      </c>
      <c r="K713" s="2">
        <v>3.740709E-3</v>
      </c>
      <c r="L713" s="2" t="s">
        <v>606</v>
      </c>
      <c r="M713" s="4" t="s">
        <v>26953</v>
      </c>
    </row>
    <row r="714" spans="1:13">
      <c r="A714" s="2">
        <v>10</v>
      </c>
      <c r="B714" s="2" t="s">
        <v>26954</v>
      </c>
      <c r="C714" s="2">
        <v>12</v>
      </c>
      <c r="D714" s="2">
        <v>568</v>
      </c>
      <c r="E714" s="2">
        <v>237</v>
      </c>
      <c r="F714" s="2">
        <v>32441</v>
      </c>
      <c r="G714" s="2">
        <v>2.8918702089999999</v>
      </c>
      <c r="H714" s="2">
        <v>1.3751340000000001E-3</v>
      </c>
      <c r="I714" s="2" t="s">
        <v>26955</v>
      </c>
      <c r="J714" s="2" t="s">
        <v>26956</v>
      </c>
      <c r="K714" s="2">
        <v>3.7549290000000002E-3</v>
      </c>
      <c r="L714" s="2" t="s">
        <v>606</v>
      </c>
      <c r="M714" s="4" t="s">
        <v>26957</v>
      </c>
    </row>
    <row r="715" spans="1:13">
      <c r="A715" s="2">
        <v>661</v>
      </c>
      <c r="B715" s="2" t="s">
        <v>26958</v>
      </c>
      <c r="C715" s="2">
        <v>5</v>
      </c>
      <c r="D715" s="2">
        <v>568</v>
      </c>
      <c r="E715" s="2">
        <v>43</v>
      </c>
      <c r="F715" s="2">
        <v>32441</v>
      </c>
      <c r="G715" s="2">
        <v>6.6412135599999997</v>
      </c>
      <c r="H715" s="2">
        <v>1.3789029999999999E-3</v>
      </c>
      <c r="I715" s="2" t="s">
        <v>26959</v>
      </c>
      <c r="J715" s="2" t="s">
        <v>26960</v>
      </c>
      <c r="K715" s="2">
        <v>3.7549290000000002E-3</v>
      </c>
      <c r="L715" s="2" t="s">
        <v>606</v>
      </c>
      <c r="M715" s="4" t="s">
        <v>26961</v>
      </c>
    </row>
    <row r="716" spans="1:13">
      <c r="A716" s="2">
        <v>326</v>
      </c>
      <c r="B716" s="2" t="s">
        <v>26962</v>
      </c>
      <c r="C716" s="2">
        <v>31</v>
      </c>
      <c r="D716" s="2">
        <v>568</v>
      </c>
      <c r="E716" s="2">
        <v>972</v>
      </c>
      <c r="F716" s="2">
        <v>32441</v>
      </c>
      <c r="G716" s="2">
        <v>1.8215509620000001</v>
      </c>
      <c r="H716" s="2">
        <v>1.383818E-3</v>
      </c>
      <c r="I716" s="2" t="s">
        <v>26963</v>
      </c>
      <c r="J716" s="2" t="s">
        <v>26964</v>
      </c>
      <c r="K716" s="2">
        <v>3.7560760000000001E-3</v>
      </c>
      <c r="L716" s="2" t="s">
        <v>606</v>
      </c>
      <c r="M716" s="4" t="s">
        <v>26965</v>
      </c>
    </row>
    <row r="717" spans="1:13">
      <c r="A717" s="2">
        <v>369</v>
      </c>
      <c r="B717" s="2" t="s">
        <v>26966</v>
      </c>
      <c r="C717" s="2">
        <v>11</v>
      </c>
      <c r="D717" s="2">
        <v>568</v>
      </c>
      <c r="E717" s="2">
        <v>205</v>
      </c>
      <c r="F717" s="2">
        <v>32441</v>
      </c>
      <c r="G717" s="2">
        <v>3.0646770870000002</v>
      </c>
      <c r="H717" s="2">
        <v>1.389001E-3</v>
      </c>
      <c r="I717" s="2" t="s">
        <v>26967</v>
      </c>
      <c r="J717" s="2" t="s">
        <v>26968</v>
      </c>
      <c r="K717" s="2">
        <v>3.7579449999999999E-3</v>
      </c>
      <c r="L717" s="2" t="s">
        <v>606</v>
      </c>
      <c r="M717" s="4" t="s">
        <v>26969</v>
      </c>
    </row>
    <row r="718" spans="1:13">
      <c r="A718" s="2">
        <v>31</v>
      </c>
      <c r="B718" s="2" t="s">
        <v>26970</v>
      </c>
      <c r="C718" s="2">
        <v>13</v>
      </c>
      <c r="D718" s="2">
        <v>568</v>
      </c>
      <c r="E718" s="2">
        <v>271</v>
      </c>
      <c r="F718" s="2">
        <v>32441</v>
      </c>
      <c r="G718" s="2">
        <v>2.7398069230000002</v>
      </c>
      <c r="H718" s="2">
        <v>1.4060500000000001E-3</v>
      </c>
      <c r="I718" s="2" t="s">
        <v>26971</v>
      </c>
      <c r="J718" s="2" t="s">
        <v>26972</v>
      </c>
      <c r="K718" s="2">
        <v>3.7917990000000002E-3</v>
      </c>
      <c r="L718" s="2" t="s">
        <v>606</v>
      </c>
      <c r="M718" s="4" t="s">
        <v>26973</v>
      </c>
    </row>
    <row r="719" spans="1:13">
      <c r="A719" s="2">
        <v>178</v>
      </c>
      <c r="B719" s="2" t="s">
        <v>26974</v>
      </c>
      <c r="C719" s="2">
        <v>12</v>
      </c>
      <c r="D719" s="2">
        <v>568</v>
      </c>
      <c r="E719" s="2">
        <v>238</v>
      </c>
      <c r="F719" s="2">
        <v>32441</v>
      </c>
      <c r="G719" s="2">
        <v>2.8797194930000001</v>
      </c>
      <c r="H719" s="2">
        <v>1.4225030000000001E-3</v>
      </c>
      <c r="I719" s="2" t="s">
        <v>26975</v>
      </c>
      <c r="J719" s="2" t="s">
        <v>26976</v>
      </c>
      <c r="K719" s="2">
        <v>3.8115779999999999E-3</v>
      </c>
      <c r="L719" s="2" t="s">
        <v>606</v>
      </c>
      <c r="M719" s="4" t="s">
        <v>26977</v>
      </c>
    </row>
    <row r="720" spans="1:13">
      <c r="A720" s="2">
        <v>394</v>
      </c>
      <c r="B720" s="2" t="s">
        <v>26978</v>
      </c>
      <c r="C720" s="2">
        <v>12</v>
      </c>
      <c r="D720" s="2">
        <v>568</v>
      </c>
      <c r="E720" s="2">
        <v>238</v>
      </c>
      <c r="F720" s="2">
        <v>32441</v>
      </c>
      <c r="G720" s="2">
        <v>2.8797194930000001</v>
      </c>
      <c r="H720" s="2">
        <v>1.4225030000000001E-3</v>
      </c>
      <c r="I720" s="2" t="s">
        <v>26979</v>
      </c>
      <c r="J720" s="2" t="s">
        <v>26980</v>
      </c>
      <c r="K720" s="2">
        <v>3.8115779999999999E-3</v>
      </c>
      <c r="L720" s="2" t="s">
        <v>606</v>
      </c>
      <c r="M720" s="4" t="s">
        <v>26981</v>
      </c>
    </row>
    <row r="721" spans="1:13">
      <c r="A721" s="2">
        <v>403</v>
      </c>
      <c r="B721" s="2" t="s">
        <v>26982</v>
      </c>
      <c r="C721" s="2">
        <v>14</v>
      </c>
      <c r="D721" s="2">
        <v>568</v>
      </c>
      <c r="E721" s="2">
        <v>306</v>
      </c>
      <c r="F721" s="2">
        <v>32441</v>
      </c>
      <c r="G721" s="2">
        <v>2.6130787999999998</v>
      </c>
      <c r="H721" s="2">
        <v>1.437041E-3</v>
      </c>
      <c r="I721" s="2" t="s">
        <v>26983</v>
      </c>
      <c r="J721" s="2" t="s">
        <v>26984</v>
      </c>
      <c r="K721" s="2">
        <v>3.838232E-3</v>
      </c>
      <c r="L721" s="2" t="s">
        <v>606</v>
      </c>
      <c r="M721" s="4" t="s">
        <v>26985</v>
      </c>
    </row>
    <row r="722" spans="1:13">
      <c r="A722" s="2">
        <v>590</v>
      </c>
      <c r="B722" s="2" t="s">
        <v>26986</v>
      </c>
      <c r="C722" s="2">
        <v>7</v>
      </c>
      <c r="D722" s="2">
        <v>568</v>
      </c>
      <c r="E722" s="2">
        <v>90</v>
      </c>
      <c r="F722" s="2">
        <v>32441</v>
      </c>
      <c r="G722" s="2">
        <v>4.4422339590000002</v>
      </c>
      <c r="H722" s="2">
        <v>1.4565470000000001E-3</v>
      </c>
      <c r="I722" s="2" t="s">
        <v>26987</v>
      </c>
      <c r="J722" s="2" t="s">
        <v>26988</v>
      </c>
      <c r="K722" s="2">
        <v>3.877939E-3</v>
      </c>
      <c r="L722" s="2" t="s">
        <v>606</v>
      </c>
      <c r="M722" s="4" t="s">
        <v>26989</v>
      </c>
    </row>
    <row r="723" spans="1:13">
      <c r="A723" s="2">
        <v>285</v>
      </c>
      <c r="B723" s="2" t="s">
        <v>26990</v>
      </c>
      <c r="C723" s="2">
        <v>12</v>
      </c>
      <c r="D723" s="2">
        <v>568</v>
      </c>
      <c r="E723" s="2">
        <v>240</v>
      </c>
      <c r="F723" s="2">
        <v>32441</v>
      </c>
      <c r="G723" s="2">
        <v>2.8557218309999999</v>
      </c>
      <c r="H723" s="2">
        <v>1.521288E-3</v>
      </c>
      <c r="I723" s="2" t="s">
        <v>26991</v>
      </c>
      <c r="J723" s="2" t="s">
        <v>26992</v>
      </c>
      <c r="K723" s="2">
        <v>4.0374499999999997E-3</v>
      </c>
      <c r="L723" s="2" t="s">
        <v>606</v>
      </c>
      <c r="M723" s="4" t="s">
        <v>26993</v>
      </c>
    </row>
    <row r="724" spans="1:13">
      <c r="A724" s="2">
        <v>656</v>
      </c>
      <c r="B724" s="2" t="s">
        <v>26994</v>
      </c>
      <c r="C724" s="2">
        <v>7</v>
      </c>
      <c r="D724" s="2">
        <v>568</v>
      </c>
      <c r="E724" s="2">
        <v>91</v>
      </c>
      <c r="F724" s="2">
        <v>32441</v>
      </c>
      <c r="G724" s="2">
        <v>4.3934182020000003</v>
      </c>
      <c r="H724" s="2">
        <v>1.5457699999999999E-3</v>
      </c>
      <c r="I724" s="2" t="s">
        <v>26995</v>
      </c>
      <c r="J724" s="2" t="s">
        <v>26996</v>
      </c>
      <c r="K724" s="2">
        <v>4.0894429999999999E-3</v>
      </c>
      <c r="L724" s="2" t="s">
        <v>606</v>
      </c>
      <c r="M724" s="4" t="s">
        <v>26997</v>
      </c>
    </row>
    <row r="725" spans="1:13">
      <c r="A725" s="2">
        <v>136</v>
      </c>
      <c r="B725" s="2" t="s">
        <v>26998</v>
      </c>
      <c r="C725" s="2">
        <v>13</v>
      </c>
      <c r="D725" s="2">
        <v>568</v>
      </c>
      <c r="E725" s="2">
        <v>276</v>
      </c>
      <c r="F725" s="2">
        <v>32441</v>
      </c>
      <c r="G725" s="2">
        <v>2.6901727389999999</v>
      </c>
      <c r="H725" s="2">
        <v>1.6414800000000001E-3</v>
      </c>
      <c r="I725" s="2" t="s">
        <v>26999</v>
      </c>
      <c r="J725" s="2" t="s">
        <v>27000</v>
      </c>
      <c r="K725" s="2">
        <v>4.3289490000000003E-3</v>
      </c>
      <c r="L725" s="2" t="s">
        <v>606</v>
      </c>
      <c r="M725" s="4" t="s">
        <v>27001</v>
      </c>
    </row>
    <row r="726" spans="1:13">
      <c r="A726" s="2">
        <v>46</v>
      </c>
      <c r="B726" s="2" t="s">
        <v>27002</v>
      </c>
      <c r="C726" s="2">
        <v>12</v>
      </c>
      <c r="D726" s="2">
        <v>568</v>
      </c>
      <c r="E726" s="2">
        <v>244</v>
      </c>
      <c r="F726" s="2">
        <v>32441</v>
      </c>
      <c r="G726" s="2">
        <v>2.8089067189999999</v>
      </c>
      <c r="H726" s="2">
        <v>1.7358580000000001E-3</v>
      </c>
      <c r="I726" s="2" t="s">
        <v>27003</v>
      </c>
      <c r="J726" s="2" t="s">
        <v>27004</v>
      </c>
      <c r="K726" s="2">
        <v>4.5208009999999996E-3</v>
      </c>
      <c r="L726" s="2" t="s">
        <v>606</v>
      </c>
      <c r="M726" s="4" t="s">
        <v>27005</v>
      </c>
    </row>
    <row r="727" spans="1:13">
      <c r="A727" s="2">
        <v>77</v>
      </c>
      <c r="B727" s="2" t="s">
        <v>27006</v>
      </c>
      <c r="C727" s="2">
        <v>12</v>
      </c>
      <c r="D727" s="2">
        <v>568</v>
      </c>
      <c r="E727" s="2">
        <v>244</v>
      </c>
      <c r="F727" s="2">
        <v>32441</v>
      </c>
      <c r="G727" s="2">
        <v>2.8089067189999999</v>
      </c>
      <c r="H727" s="2">
        <v>1.7358580000000001E-3</v>
      </c>
      <c r="I727" s="2" t="s">
        <v>27007</v>
      </c>
      <c r="J727" s="2" t="s">
        <v>27008</v>
      </c>
      <c r="K727" s="2">
        <v>4.5208009999999996E-3</v>
      </c>
      <c r="L727" s="2" t="s">
        <v>606</v>
      </c>
      <c r="M727" s="4" t="s">
        <v>27009</v>
      </c>
    </row>
    <row r="728" spans="1:13">
      <c r="A728" s="2">
        <v>351</v>
      </c>
      <c r="B728" s="2" t="s">
        <v>27010</v>
      </c>
      <c r="C728" s="2">
        <v>12</v>
      </c>
      <c r="D728" s="2">
        <v>568</v>
      </c>
      <c r="E728" s="2">
        <v>244</v>
      </c>
      <c r="F728" s="2">
        <v>32441</v>
      </c>
      <c r="G728" s="2">
        <v>2.8089067189999999</v>
      </c>
      <c r="H728" s="2">
        <v>1.7358580000000001E-3</v>
      </c>
      <c r="I728" s="2" t="s">
        <v>27011</v>
      </c>
      <c r="J728" s="2" t="s">
        <v>27012</v>
      </c>
      <c r="K728" s="2">
        <v>4.5208009999999996E-3</v>
      </c>
      <c r="L728" s="2" t="s">
        <v>606</v>
      </c>
      <c r="M728" s="4" t="s">
        <v>27013</v>
      </c>
    </row>
    <row r="729" spans="1:13">
      <c r="A729" s="2">
        <v>527</v>
      </c>
      <c r="B729" s="2" t="s">
        <v>27014</v>
      </c>
      <c r="C729" s="2">
        <v>9</v>
      </c>
      <c r="D729" s="2">
        <v>568</v>
      </c>
      <c r="E729" s="2">
        <v>149</v>
      </c>
      <c r="F729" s="2">
        <v>32441</v>
      </c>
      <c r="G729" s="2">
        <v>3.4498652989999998</v>
      </c>
      <c r="H729" s="2">
        <v>1.7321420000000001E-3</v>
      </c>
      <c r="I729" s="2" t="s">
        <v>27015</v>
      </c>
      <c r="J729" s="2" t="s">
        <v>27016</v>
      </c>
      <c r="K729" s="2">
        <v>4.5208009999999996E-3</v>
      </c>
      <c r="L729" s="2" t="s">
        <v>606</v>
      </c>
      <c r="M729" s="4" t="s">
        <v>27017</v>
      </c>
    </row>
    <row r="730" spans="1:13">
      <c r="A730" s="2">
        <v>551</v>
      </c>
      <c r="B730" s="2" t="s">
        <v>27018</v>
      </c>
      <c r="C730" s="2">
        <v>6</v>
      </c>
      <c r="D730" s="2">
        <v>568</v>
      </c>
      <c r="E730" s="2">
        <v>68</v>
      </c>
      <c r="F730" s="2">
        <v>32441</v>
      </c>
      <c r="G730" s="2">
        <v>5.0395091140000003</v>
      </c>
      <c r="H730" s="2">
        <v>1.741612E-3</v>
      </c>
      <c r="I730" s="2" t="s">
        <v>27019</v>
      </c>
      <c r="J730" s="2" t="s">
        <v>27020</v>
      </c>
      <c r="K730" s="2">
        <v>4.5217E-3</v>
      </c>
      <c r="L730" s="2" t="s">
        <v>606</v>
      </c>
      <c r="M730" s="4" t="s">
        <v>27021</v>
      </c>
    </row>
    <row r="731" spans="1:13">
      <c r="A731" s="2">
        <v>398</v>
      </c>
      <c r="B731" s="2" t="s">
        <v>27022</v>
      </c>
      <c r="C731" s="2">
        <v>12</v>
      </c>
      <c r="D731" s="2">
        <v>568</v>
      </c>
      <c r="E731" s="2">
        <v>245</v>
      </c>
      <c r="F731" s="2">
        <v>32441</v>
      </c>
      <c r="G731" s="2">
        <v>2.797441794</v>
      </c>
      <c r="H731" s="2">
        <v>1.793216E-3</v>
      </c>
      <c r="I731" s="2" t="s">
        <v>27023</v>
      </c>
      <c r="J731" s="2" t="s">
        <v>27024</v>
      </c>
      <c r="K731" s="2">
        <v>4.6412659999999998E-3</v>
      </c>
      <c r="L731" s="2" t="s">
        <v>606</v>
      </c>
      <c r="M731" s="4" t="s">
        <v>27025</v>
      </c>
    </row>
    <row r="732" spans="1:13">
      <c r="A732" s="2">
        <v>783</v>
      </c>
      <c r="B732" s="2" t="s">
        <v>27026</v>
      </c>
      <c r="C732" s="2">
        <v>20</v>
      </c>
      <c r="D732" s="2">
        <v>568</v>
      </c>
      <c r="E732" s="2">
        <v>538</v>
      </c>
      <c r="F732" s="2">
        <v>32441</v>
      </c>
      <c r="G732" s="2">
        <v>2.1232132570000002</v>
      </c>
      <c r="H732" s="2">
        <v>1.8247929999999999E-3</v>
      </c>
      <c r="I732" s="2" t="s">
        <v>27027</v>
      </c>
      <c r="J732" s="2" t="s">
        <v>27028</v>
      </c>
      <c r="K732" s="2">
        <v>4.708416E-3</v>
      </c>
      <c r="L732" s="2" t="s">
        <v>606</v>
      </c>
      <c r="M732" s="4" t="s">
        <v>27029</v>
      </c>
    </row>
    <row r="733" spans="1:13">
      <c r="A733" s="2">
        <v>240</v>
      </c>
      <c r="B733" s="2" t="s">
        <v>27030</v>
      </c>
      <c r="C733" s="2">
        <v>12</v>
      </c>
      <c r="D733" s="2">
        <v>568</v>
      </c>
      <c r="E733" s="2">
        <v>247</v>
      </c>
      <c r="F733" s="2">
        <v>32441</v>
      </c>
      <c r="G733" s="2">
        <v>2.7747904430000001</v>
      </c>
      <c r="H733" s="2">
        <v>1.912607E-3</v>
      </c>
      <c r="I733" s="2" t="s">
        <v>27031</v>
      </c>
      <c r="J733" s="2" t="s">
        <v>27032</v>
      </c>
      <c r="K733" s="2">
        <v>4.8897230000000003E-3</v>
      </c>
      <c r="L733" s="2" t="s">
        <v>606</v>
      </c>
      <c r="M733" s="4" t="s">
        <v>27033</v>
      </c>
    </row>
    <row r="734" spans="1:13">
      <c r="A734" s="2">
        <v>263</v>
      </c>
      <c r="B734" s="2" t="s">
        <v>27034</v>
      </c>
      <c r="C734" s="2">
        <v>12</v>
      </c>
      <c r="D734" s="2">
        <v>568</v>
      </c>
      <c r="E734" s="2">
        <v>247</v>
      </c>
      <c r="F734" s="2">
        <v>32441</v>
      </c>
      <c r="G734" s="2">
        <v>2.7747904430000001</v>
      </c>
      <c r="H734" s="2">
        <v>1.912607E-3</v>
      </c>
      <c r="I734" s="2" t="s">
        <v>27035</v>
      </c>
      <c r="J734" s="2" t="s">
        <v>27036</v>
      </c>
      <c r="K734" s="2">
        <v>4.8897230000000003E-3</v>
      </c>
      <c r="L734" s="2" t="s">
        <v>606</v>
      </c>
      <c r="M734" s="4" t="s">
        <v>27037</v>
      </c>
    </row>
    <row r="735" spans="1:13">
      <c r="A735" s="2">
        <v>4111</v>
      </c>
      <c r="B735" s="2" t="s">
        <v>6695</v>
      </c>
      <c r="C735" s="2">
        <v>12</v>
      </c>
      <c r="D735" s="2">
        <v>568</v>
      </c>
      <c r="E735" s="2">
        <v>247</v>
      </c>
      <c r="F735" s="2">
        <v>32441</v>
      </c>
      <c r="G735" s="2">
        <v>2.7747904430000001</v>
      </c>
      <c r="H735" s="2">
        <v>1.912607E-3</v>
      </c>
      <c r="I735" s="2" t="s">
        <v>27038</v>
      </c>
      <c r="J735" s="2" t="s">
        <v>27039</v>
      </c>
      <c r="K735" s="2">
        <v>4.8897230000000003E-3</v>
      </c>
      <c r="L735" s="2" t="s">
        <v>606</v>
      </c>
      <c r="M735" s="4" t="s">
        <v>6698</v>
      </c>
    </row>
    <row r="736" spans="1:13">
      <c r="A736" s="2">
        <v>381</v>
      </c>
      <c r="B736" s="2" t="s">
        <v>27040</v>
      </c>
      <c r="C736" s="2">
        <v>8</v>
      </c>
      <c r="D736" s="2">
        <v>568</v>
      </c>
      <c r="E736" s="2">
        <v>123</v>
      </c>
      <c r="F736" s="2">
        <v>32441</v>
      </c>
      <c r="G736" s="2">
        <v>3.7147601049999999</v>
      </c>
      <c r="H736" s="2">
        <v>1.99518E-3</v>
      </c>
      <c r="I736" s="2" t="s">
        <v>27041</v>
      </c>
      <c r="J736" s="2" t="s">
        <v>27042</v>
      </c>
      <c r="K736" s="2">
        <v>5.0852759999999997E-3</v>
      </c>
      <c r="L736" s="2" t="s">
        <v>606</v>
      </c>
      <c r="M736" s="4" t="s">
        <v>27043</v>
      </c>
    </row>
    <row r="737" spans="1:13">
      <c r="A737" s="2">
        <v>334</v>
      </c>
      <c r="B737" s="2" t="s">
        <v>27044</v>
      </c>
      <c r="C737" s="2">
        <v>12</v>
      </c>
      <c r="D737" s="2">
        <v>568</v>
      </c>
      <c r="E737" s="2">
        <v>249</v>
      </c>
      <c r="F737" s="2">
        <v>32441</v>
      </c>
      <c r="G737" s="2">
        <v>2.7525029700000001</v>
      </c>
      <c r="H737" s="2">
        <v>2.0384399999999999E-3</v>
      </c>
      <c r="I737" s="2" t="s">
        <v>27045</v>
      </c>
      <c r="J737" s="2" t="s">
        <v>27046</v>
      </c>
      <c r="K737" s="2">
        <v>5.179744E-3</v>
      </c>
      <c r="L737" s="2" t="s">
        <v>606</v>
      </c>
      <c r="M737" s="4" t="s">
        <v>27047</v>
      </c>
    </row>
    <row r="738" spans="1:13">
      <c r="A738" s="2">
        <v>36</v>
      </c>
      <c r="B738" s="2" t="s">
        <v>6731</v>
      </c>
      <c r="C738" s="2">
        <v>12</v>
      </c>
      <c r="D738" s="2">
        <v>568</v>
      </c>
      <c r="E738" s="2">
        <v>250</v>
      </c>
      <c r="F738" s="2">
        <v>32441</v>
      </c>
      <c r="G738" s="2">
        <v>2.7414929579999998</v>
      </c>
      <c r="H738" s="2">
        <v>2.1038519999999998E-3</v>
      </c>
      <c r="I738" s="2" t="s">
        <v>27048</v>
      </c>
      <c r="J738" s="2" t="s">
        <v>27049</v>
      </c>
      <c r="K738" s="2">
        <v>5.3136559999999999E-3</v>
      </c>
      <c r="L738" s="2" t="s">
        <v>606</v>
      </c>
      <c r="M738" s="4" t="s">
        <v>6734</v>
      </c>
    </row>
    <row r="739" spans="1:13">
      <c r="A739" s="2">
        <v>280</v>
      </c>
      <c r="B739" s="2" t="s">
        <v>27050</v>
      </c>
      <c r="C739" s="2">
        <v>12</v>
      </c>
      <c r="D739" s="2">
        <v>568</v>
      </c>
      <c r="E739" s="2">
        <v>250</v>
      </c>
      <c r="F739" s="2">
        <v>32441</v>
      </c>
      <c r="G739" s="2">
        <v>2.7414929579999998</v>
      </c>
      <c r="H739" s="2">
        <v>2.1038519999999998E-3</v>
      </c>
      <c r="I739" s="2" t="s">
        <v>27051</v>
      </c>
      <c r="J739" s="2" t="s">
        <v>27052</v>
      </c>
      <c r="K739" s="2">
        <v>5.3136559999999999E-3</v>
      </c>
      <c r="L739" s="2" t="s">
        <v>606</v>
      </c>
      <c r="M739" s="4" t="s">
        <v>27053</v>
      </c>
    </row>
    <row r="740" spans="1:13">
      <c r="A740" s="2">
        <v>5081</v>
      </c>
      <c r="B740" s="2" t="s">
        <v>27054</v>
      </c>
      <c r="C740" s="2">
        <v>6</v>
      </c>
      <c r="D740" s="2">
        <v>568</v>
      </c>
      <c r="E740" s="2">
        <v>71</v>
      </c>
      <c r="F740" s="2">
        <v>32441</v>
      </c>
      <c r="G740" s="2">
        <v>4.8265721089999998</v>
      </c>
      <c r="H740" s="2">
        <v>2.134876E-3</v>
      </c>
      <c r="I740" s="2" t="s">
        <v>27055</v>
      </c>
      <c r="J740" s="2" t="s">
        <v>27056</v>
      </c>
      <c r="K740" s="2">
        <v>5.375772E-3</v>
      </c>
      <c r="L740" s="2" t="s">
        <v>606</v>
      </c>
      <c r="M740" s="4" t="s">
        <v>27057</v>
      </c>
    </row>
    <row r="741" spans="1:13">
      <c r="A741" s="2">
        <v>30</v>
      </c>
      <c r="B741" s="2" t="s">
        <v>6707</v>
      </c>
      <c r="C741" s="2">
        <v>12</v>
      </c>
      <c r="D741" s="2">
        <v>568</v>
      </c>
      <c r="E741" s="2">
        <v>251</v>
      </c>
      <c r="F741" s="2">
        <v>32441</v>
      </c>
      <c r="G741" s="2">
        <v>2.7305706750000001</v>
      </c>
      <c r="H741" s="2">
        <v>2.1709720000000002E-3</v>
      </c>
      <c r="I741" s="2" t="s">
        <v>27058</v>
      </c>
      <c r="J741" s="2" t="s">
        <v>27059</v>
      </c>
      <c r="K741" s="2">
        <v>5.3771319999999997E-3</v>
      </c>
      <c r="L741" s="2" t="s">
        <v>606</v>
      </c>
      <c r="M741" s="4" t="s">
        <v>6710</v>
      </c>
    </row>
    <row r="742" spans="1:13">
      <c r="A742" s="2">
        <v>371</v>
      </c>
      <c r="B742" s="2" t="s">
        <v>27060</v>
      </c>
      <c r="C742" s="2">
        <v>12</v>
      </c>
      <c r="D742" s="2">
        <v>568</v>
      </c>
      <c r="E742" s="2">
        <v>251</v>
      </c>
      <c r="F742" s="2">
        <v>32441</v>
      </c>
      <c r="G742" s="2">
        <v>2.7305706750000001</v>
      </c>
      <c r="H742" s="2">
        <v>2.1709720000000002E-3</v>
      </c>
      <c r="I742" s="2" t="s">
        <v>27061</v>
      </c>
      <c r="J742" s="2" t="s">
        <v>27062</v>
      </c>
      <c r="K742" s="2">
        <v>5.3771319999999997E-3</v>
      </c>
      <c r="L742" s="2" t="s">
        <v>606</v>
      </c>
      <c r="M742" s="4" t="s">
        <v>27063</v>
      </c>
    </row>
    <row r="743" spans="1:13">
      <c r="A743" s="2">
        <v>380</v>
      </c>
      <c r="B743" s="2" t="s">
        <v>27064</v>
      </c>
      <c r="C743" s="2">
        <v>12</v>
      </c>
      <c r="D743" s="2">
        <v>568</v>
      </c>
      <c r="E743" s="2">
        <v>251</v>
      </c>
      <c r="F743" s="2">
        <v>32441</v>
      </c>
      <c r="G743" s="2">
        <v>2.7305706750000001</v>
      </c>
      <c r="H743" s="2">
        <v>2.1709720000000002E-3</v>
      </c>
      <c r="I743" s="2" t="s">
        <v>27065</v>
      </c>
      <c r="J743" s="2" t="s">
        <v>27066</v>
      </c>
      <c r="K743" s="2">
        <v>5.3771319999999997E-3</v>
      </c>
      <c r="L743" s="2" t="s">
        <v>606</v>
      </c>
      <c r="M743" s="4" t="s">
        <v>27067</v>
      </c>
    </row>
    <row r="744" spans="1:13">
      <c r="A744" s="2">
        <v>431</v>
      </c>
      <c r="B744" s="2" t="s">
        <v>27068</v>
      </c>
      <c r="C744" s="2">
        <v>12</v>
      </c>
      <c r="D744" s="2">
        <v>568</v>
      </c>
      <c r="E744" s="2">
        <v>251</v>
      </c>
      <c r="F744" s="2">
        <v>32441</v>
      </c>
      <c r="G744" s="2">
        <v>2.7305706750000001</v>
      </c>
      <c r="H744" s="2">
        <v>2.1709720000000002E-3</v>
      </c>
      <c r="I744" s="2" t="s">
        <v>27069</v>
      </c>
      <c r="J744" s="2" t="s">
        <v>27070</v>
      </c>
      <c r="K744" s="2">
        <v>5.3771319999999997E-3</v>
      </c>
      <c r="L744" s="2" t="s">
        <v>606</v>
      </c>
      <c r="M744" s="4" t="s">
        <v>27071</v>
      </c>
    </row>
    <row r="745" spans="1:13">
      <c r="A745" s="2">
        <v>632</v>
      </c>
      <c r="B745" s="2" t="s">
        <v>27072</v>
      </c>
      <c r="C745" s="2">
        <v>7</v>
      </c>
      <c r="D745" s="2">
        <v>568</v>
      </c>
      <c r="E745" s="2">
        <v>97</v>
      </c>
      <c r="F745" s="2">
        <v>32441</v>
      </c>
      <c r="G745" s="2">
        <v>4.1216603750000003</v>
      </c>
      <c r="H745" s="2">
        <v>2.1740079999999998E-3</v>
      </c>
      <c r="I745" s="2" t="s">
        <v>27073</v>
      </c>
      <c r="J745" s="2" t="s">
        <v>27074</v>
      </c>
      <c r="K745" s="2">
        <v>5.3771319999999997E-3</v>
      </c>
      <c r="L745" s="2" t="s">
        <v>606</v>
      </c>
      <c r="M745" s="4" t="s">
        <v>27075</v>
      </c>
    </row>
    <row r="746" spans="1:13">
      <c r="A746" s="2">
        <v>691</v>
      </c>
      <c r="B746" s="2" t="s">
        <v>27076</v>
      </c>
      <c r="C746" s="2">
        <v>7</v>
      </c>
      <c r="D746" s="2">
        <v>568</v>
      </c>
      <c r="E746" s="2">
        <v>97</v>
      </c>
      <c r="F746" s="2">
        <v>32441</v>
      </c>
      <c r="G746" s="2">
        <v>4.1216603750000003</v>
      </c>
      <c r="H746" s="2">
        <v>2.1740079999999998E-3</v>
      </c>
      <c r="I746" s="2" t="s">
        <v>27077</v>
      </c>
      <c r="J746" s="2" t="s">
        <v>27078</v>
      </c>
      <c r="K746" s="2">
        <v>5.3771319999999997E-3</v>
      </c>
      <c r="L746" s="2" t="s">
        <v>606</v>
      </c>
      <c r="M746" s="4" t="s">
        <v>27079</v>
      </c>
    </row>
    <row r="747" spans="1:13">
      <c r="A747" s="2">
        <v>37</v>
      </c>
      <c r="B747" s="2" t="s">
        <v>6833</v>
      </c>
      <c r="C747" s="2">
        <v>8</v>
      </c>
      <c r="D747" s="2">
        <v>568</v>
      </c>
      <c r="E747" s="2">
        <v>125</v>
      </c>
      <c r="F747" s="2">
        <v>32441</v>
      </c>
      <c r="G747" s="2">
        <v>3.655323944</v>
      </c>
      <c r="H747" s="2">
        <v>2.193815E-3</v>
      </c>
      <c r="I747" s="2" t="s">
        <v>27080</v>
      </c>
      <c r="J747" s="2" t="s">
        <v>27081</v>
      </c>
      <c r="K747" s="2">
        <v>5.4101160000000004E-3</v>
      </c>
      <c r="L747" s="2" t="s">
        <v>606</v>
      </c>
      <c r="M747" s="4" t="s">
        <v>6836</v>
      </c>
    </row>
    <row r="748" spans="1:13">
      <c r="A748" s="2">
        <v>823</v>
      </c>
      <c r="B748" s="2" t="s">
        <v>27082</v>
      </c>
      <c r="C748" s="2">
        <v>21</v>
      </c>
      <c r="D748" s="2">
        <v>568</v>
      </c>
      <c r="E748" s="2">
        <v>587</v>
      </c>
      <c r="F748" s="2">
        <v>32441</v>
      </c>
      <c r="G748" s="2">
        <v>2.043276267</v>
      </c>
      <c r="H748" s="2">
        <v>2.212608E-3</v>
      </c>
      <c r="I748" s="2" t="s">
        <v>27083</v>
      </c>
      <c r="J748" s="2" t="s">
        <v>27084</v>
      </c>
      <c r="K748" s="2">
        <v>5.4404129999999998E-3</v>
      </c>
      <c r="L748" s="2" t="s">
        <v>606</v>
      </c>
      <c r="M748" s="4" t="s">
        <v>27085</v>
      </c>
    </row>
    <row r="749" spans="1:13">
      <c r="A749" s="2">
        <v>63</v>
      </c>
      <c r="B749" s="2" t="s">
        <v>27086</v>
      </c>
      <c r="C749" s="2">
        <v>12</v>
      </c>
      <c r="D749" s="2">
        <v>568</v>
      </c>
      <c r="E749" s="2">
        <v>252</v>
      </c>
      <c r="F749" s="2">
        <v>32441</v>
      </c>
      <c r="G749" s="2">
        <v>2.7197350770000002</v>
      </c>
      <c r="H749" s="2">
        <v>2.2398320000000002E-3</v>
      </c>
      <c r="I749" s="2" t="s">
        <v>27087</v>
      </c>
      <c r="J749" s="2" t="s">
        <v>27088</v>
      </c>
      <c r="K749" s="2">
        <v>5.4751440000000004E-3</v>
      </c>
      <c r="L749" s="2" t="s">
        <v>606</v>
      </c>
      <c r="M749" s="4" t="s">
        <v>27089</v>
      </c>
    </row>
    <row r="750" spans="1:13">
      <c r="A750" s="2">
        <v>266</v>
      </c>
      <c r="B750" s="2" t="s">
        <v>6813</v>
      </c>
      <c r="C750" s="2">
        <v>12</v>
      </c>
      <c r="D750" s="2">
        <v>568</v>
      </c>
      <c r="E750" s="2">
        <v>252</v>
      </c>
      <c r="F750" s="2">
        <v>32441</v>
      </c>
      <c r="G750" s="2">
        <v>2.7197350770000002</v>
      </c>
      <c r="H750" s="2">
        <v>2.2398320000000002E-3</v>
      </c>
      <c r="I750" s="2" t="s">
        <v>27090</v>
      </c>
      <c r="J750" s="2" t="s">
        <v>27091</v>
      </c>
      <c r="K750" s="2">
        <v>5.4751440000000004E-3</v>
      </c>
      <c r="L750" s="2" t="s">
        <v>606</v>
      </c>
      <c r="M750" s="4" t="s">
        <v>6816</v>
      </c>
    </row>
    <row r="751" spans="1:13">
      <c r="A751" s="2">
        <v>572</v>
      </c>
      <c r="B751" s="2" t="s">
        <v>27092</v>
      </c>
      <c r="C751" s="2">
        <v>6</v>
      </c>
      <c r="D751" s="2">
        <v>568</v>
      </c>
      <c r="E751" s="2">
        <v>72</v>
      </c>
      <c r="F751" s="2">
        <v>32441</v>
      </c>
      <c r="G751" s="2">
        <v>4.7595363849999996</v>
      </c>
      <c r="H751" s="2">
        <v>2.2797799999999999E-3</v>
      </c>
      <c r="I751" s="2" t="s">
        <v>27093</v>
      </c>
      <c r="J751" s="2" t="s">
        <v>27094</v>
      </c>
      <c r="K751" s="2">
        <v>5.5565479999999997E-3</v>
      </c>
      <c r="L751" s="2" t="s">
        <v>606</v>
      </c>
      <c r="M751" s="4" t="s">
        <v>27095</v>
      </c>
    </row>
    <row r="752" spans="1:13">
      <c r="A752" s="2">
        <v>730</v>
      </c>
      <c r="B752" s="2" t="s">
        <v>27096</v>
      </c>
      <c r="C752" s="2">
        <v>4</v>
      </c>
      <c r="D752" s="2">
        <v>568</v>
      </c>
      <c r="E752" s="2">
        <v>29</v>
      </c>
      <c r="F752" s="2">
        <v>32441</v>
      </c>
      <c r="G752" s="2">
        <v>7.8778533270000004</v>
      </c>
      <c r="H752" s="2">
        <v>2.3895019999999999E-3</v>
      </c>
      <c r="I752" s="2" t="s">
        <v>27097</v>
      </c>
      <c r="J752" s="2" t="s">
        <v>27098</v>
      </c>
      <c r="K752" s="2">
        <v>5.7902140000000001E-3</v>
      </c>
      <c r="L752" s="2" t="s">
        <v>606</v>
      </c>
      <c r="M752" s="4" t="s">
        <v>27099</v>
      </c>
    </row>
    <row r="753" spans="1:13">
      <c r="A753" s="2">
        <v>753</v>
      </c>
      <c r="B753" s="2" t="s">
        <v>27100</v>
      </c>
      <c r="C753" s="2">
        <v>12</v>
      </c>
      <c r="D753" s="2">
        <v>568</v>
      </c>
      <c r="E753" s="2">
        <v>254</v>
      </c>
      <c r="F753" s="2">
        <v>32441</v>
      </c>
      <c r="G753" s="2">
        <v>2.6983198399999999</v>
      </c>
      <c r="H753" s="2">
        <v>2.3829070000000001E-3</v>
      </c>
      <c r="I753" s="2" t="s">
        <v>27101</v>
      </c>
      <c r="J753" s="2" t="s">
        <v>27102</v>
      </c>
      <c r="K753" s="2">
        <v>5.7902140000000001E-3</v>
      </c>
      <c r="L753" s="2" t="s">
        <v>606</v>
      </c>
      <c r="M753" s="4" t="s">
        <v>27103</v>
      </c>
    </row>
    <row r="754" spans="1:13">
      <c r="A754" s="2">
        <v>363</v>
      </c>
      <c r="B754" s="2" t="s">
        <v>27104</v>
      </c>
      <c r="C754" s="2">
        <v>13</v>
      </c>
      <c r="D754" s="2">
        <v>568</v>
      </c>
      <c r="E754" s="2">
        <v>289</v>
      </c>
      <c r="F754" s="2">
        <v>32441</v>
      </c>
      <c r="G754" s="2">
        <v>2.5691615090000002</v>
      </c>
      <c r="H754" s="2">
        <v>2.4101109999999999E-3</v>
      </c>
      <c r="I754" s="2" t="s">
        <v>27105</v>
      </c>
      <c r="J754" s="2" t="s">
        <v>27106</v>
      </c>
      <c r="K754" s="2">
        <v>5.8232730000000003E-3</v>
      </c>
      <c r="L754" s="2" t="s">
        <v>606</v>
      </c>
      <c r="M754" s="4" t="s">
        <v>27107</v>
      </c>
    </row>
    <row r="755" spans="1:13">
      <c r="A755" s="2">
        <v>350</v>
      </c>
      <c r="B755" s="2" t="s">
        <v>6672</v>
      </c>
      <c r="C755" s="2">
        <v>12</v>
      </c>
      <c r="D755" s="2">
        <v>568</v>
      </c>
      <c r="E755" s="2">
        <v>255</v>
      </c>
      <c r="F755" s="2">
        <v>32441</v>
      </c>
      <c r="G755" s="2">
        <v>2.687738194</v>
      </c>
      <c r="H755" s="2">
        <v>2.4571900000000002E-3</v>
      </c>
      <c r="I755" s="2" t="s">
        <v>27108</v>
      </c>
      <c r="J755" s="2" t="s">
        <v>27109</v>
      </c>
      <c r="K755" s="2">
        <v>5.902905E-3</v>
      </c>
      <c r="L755" s="2" t="s">
        <v>606</v>
      </c>
      <c r="M755" s="4" t="s">
        <v>6675</v>
      </c>
    </row>
    <row r="756" spans="1:13">
      <c r="A756" s="2">
        <v>443</v>
      </c>
      <c r="B756" s="2" t="s">
        <v>27110</v>
      </c>
      <c r="C756" s="2">
        <v>12</v>
      </c>
      <c r="D756" s="2">
        <v>568</v>
      </c>
      <c r="E756" s="2">
        <v>255</v>
      </c>
      <c r="F756" s="2">
        <v>32441</v>
      </c>
      <c r="G756" s="2">
        <v>2.687738194</v>
      </c>
      <c r="H756" s="2">
        <v>2.4571900000000002E-3</v>
      </c>
      <c r="I756" s="2" t="s">
        <v>27111</v>
      </c>
      <c r="J756" s="2" t="s">
        <v>27112</v>
      </c>
      <c r="K756" s="2">
        <v>5.902905E-3</v>
      </c>
      <c r="L756" s="2" t="s">
        <v>606</v>
      </c>
      <c r="M756" s="4" t="s">
        <v>27113</v>
      </c>
    </row>
    <row r="757" spans="1:13">
      <c r="A757" s="2">
        <v>851</v>
      </c>
      <c r="B757" s="2" t="s">
        <v>27114</v>
      </c>
      <c r="C757" s="2">
        <v>8</v>
      </c>
      <c r="D757" s="2">
        <v>568</v>
      </c>
      <c r="E757" s="2">
        <v>128</v>
      </c>
      <c r="F757" s="2">
        <v>32441</v>
      </c>
      <c r="G757" s="2">
        <v>3.569652289</v>
      </c>
      <c r="H757" s="2">
        <v>2.520525E-3</v>
      </c>
      <c r="I757" s="2" t="s">
        <v>27115</v>
      </c>
      <c r="J757" s="2" t="s">
        <v>27116</v>
      </c>
      <c r="K757" s="2">
        <v>6.0288729999999997E-3</v>
      </c>
      <c r="L757" s="2" t="s">
        <v>606</v>
      </c>
      <c r="M757" s="4" t="s">
        <v>27117</v>
      </c>
    </row>
    <row r="758" spans="1:13">
      <c r="A758" s="2">
        <v>700</v>
      </c>
      <c r="B758" s="2" t="s">
        <v>27118</v>
      </c>
      <c r="C758" s="2">
        <v>9</v>
      </c>
      <c r="D758" s="2">
        <v>568</v>
      </c>
      <c r="E758" s="2">
        <v>158</v>
      </c>
      <c r="F758" s="2">
        <v>32441</v>
      </c>
      <c r="G758" s="2">
        <v>3.2533539849999999</v>
      </c>
      <c r="H758" s="2">
        <v>2.5240499999999999E-3</v>
      </c>
      <c r="I758" s="2" t="s">
        <v>27119</v>
      </c>
      <c r="J758" s="2" t="s">
        <v>27120</v>
      </c>
      <c r="K758" s="2">
        <v>6.0288729999999997E-3</v>
      </c>
      <c r="L758" s="2" t="s">
        <v>606</v>
      </c>
      <c r="M758" s="4" t="s">
        <v>27121</v>
      </c>
    </row>
    <row r="759" spans="1:13">
      <c r="A759" s="2">
        <v>541</v>
      </c>
      <c r="B759" s="2" t="s">
        <v>27122</v>
      </c>
      <c r="C759" s="2">
        <v>5</v>
      </c>
      <c r="D759" s="2">
        <v>568</v>
      </c>
      <c r="E759" s="2">
        <v>50</v>
      </c>
      <c r="F759" s="2">
        <v>32441</v>
      </c>
      <c r="G759" s="2">
        <v>5.7114436619999998</v>
      </c>
      <c r="H759" s="2">
        <v>2.5391509999999999E-3</v>
      </c>
      <c r="I759" s="2" t="s">
        <v>27123</v>
      </c>
      <c r="J759" s="2" t="s">
        <v>27124</v>
      </c>
      <c r="K759" s="2">
        <v>6.0476649999999998E-3</v>
      </c>
      <c r="L759" s="2" t="s">
        <v>606</v>
      </c>
      <c r="M759" s="4" t="s">
        <v>27125</v>
      </c>
    </row>
    <row r="760" spans="1:13">
      <c r="A760" s="2">
        <v>294</v>
      </c>
      <c r="B760" s="2" t="s">
        <v>27126</v>
      </c>
      <c r="C760" s="2">
        <v>10</v>
      </c>
      <c r="D760" s="2">
        <v>568</v>
      </c>
      <c r="E760" s="2">
        <v>190</v>
      </c>
      <c r="F760" s="2">
        <v>32441</v>
      </c>
      <c r="G760" s="2">
        <v>3.00602298</v>
      </c>
      <c r="H760" s="2">
        <v>2.5771140000000001E-3</v>
      </c>
      <c r="I760" s="2" t="s">
        <v>27127</v>
      </c>
      <c r="J760" s="2" t="s">
        <v>27128</v>
      </c>
      <c r="K760" s="2">
        <v>6.1206460000000004E-3</v>
      </c>
      <c r="L760" s="2" t="s">
        <v>606</v>
      </c>
      <c r="M760" s="4" t="s">
        <v>27129</v>
      </c>
    </row>
    <row r="761" spans="1:13">
      <c r="A761" s="2">
        <v>664</v>
      </c>
      <c r="B761" s="2" t="s">
        <v>27130</v>
      </c>
      <c r="C761" s="2">
        <v>9</v>
      </c>
      <c r="D761" s="2">
        <v>568</v>
      </c>
      <c r="E761" s="2">
        <v>159</v>
      </c>
      <c r="F761" s="2">
        <v>32441</v>
      </c>
      <c r="G761" s="2">
        <v>3.2328926390000001</v>
      </c>
      <c r="H761" s="2">
        <v>2.6273120000000001E-3</v>
      </c>
      <c r="I761" s="2" t="s">
        <v>27131</v>
      </c>
      <c r="J761" s="2" t="s">
        <v>27132</v>
      </c>
      <c r="K761" s="2">
        <v>6.2221899999999998E-3</v>
      </c>
      <c r="L761" s="2" t="s">
        <v>606</v>
      </c>
      <c r="M761" s="4" t="s">
        <v>27133</v>
      </c>
    </row>
    <row r="762" spans="1:13">
      <c r="A762" s="2">
        <v>78</v>
      </c>
      <c r="B762" s="2" t="s">
        <v>27134</v>
      </c>
      <c r="C762" s="2">
        <v>12</v>
      </c>
      <c r="D762" s="2">
        <v>568</v>
      </c>
      <c r="E762" s="2">
        <v>258</v>
      </c>
      <c r="F762" s="2">
        <v>32441</v>
      </c>
      <c r="G762" s="2">
        <v>2.656485424</v>
      </c>
      <c r="H762" s="2">
        <v>2.6914370000000001E-3</v>
      </c>
      <c r="I762" s="2" t="s">
        <v>27135</v>
      </c>
      <c r="J762" s="2" t="s">
        <v>27136</v>
      </c>
      <c r="K762" s="2">
        <v>6.3381449999999999E-3</v>
      </c>
      <c r="L762" s="2" t="s">
        <v>606</v>
      </c>
      <c r="M762" s="4" t="s">
        <v>27137</v>
      </c>
    </row>
    <row r="763" spans="1:13">
      <c r="A763" s="2">
        <v>341</v>
      </c>
      <c r="B763" s="2" t="s">
        <v>27138</v>
      </c>
      <c r="C763" s="2">
        <v>11</v>
      </c>
      <c r="D763" s="2">
        <v>568</v>
      </c>
      <c r="E763" s="2">
        <v>224</v>
      </c>
      <c r="F763" s="2">
        <v>32441</v>
      </c>
      <c r="G763" s="2">
        <v>2.8047267979999999</v>
      </c>
      <c r="H763" s="2">
        <v>2.6862409999999998E-3</v>
      </c>
      <c r="I763" s="2" t="s">
        <v>27139</v>
      </c>
      <c r="J763" s="2" t="s">
        <v>27140</v>
      </c>
      <c r="K763" s="2">
        <v>6.3381449999999999E-3</v>
      </c>
      <c r="L763" s="2" t="s">
        <v>606</v>
      </c>
      <c r="M763" s="4" t="s">
        <v>27141</v>
      </c>
    </row>
    <row r="764" spans="1:13">
      <c r="A764" s="2">
        <v>128</v>
      </c>
      <c r="B764" s="2" t="s">
        <v>27142</v>
      </c>
      <c r="C764" s="2">
        <v>5</v>
      </c>
      <c r="D764" s="2">
        <v>568</v>
      </c>
      <c r="E764" s="2">
        <v>51</v>
      </c>
      <c r="F764" s="2">
        <v>32441</v>
      </c>
      <c r="G764" s="2">
        <v>5.5994545709999999</v>
      </c>
      <c r="H764" s="2">
        <v>2.7492810000000001E-3</v>
      </c>
      <c r="I764" s="2" t="s">
        <v>27143</v>
      </c>
      <c r="J764" s="2" t="s">
        <v>27144</v>
      </c>
      <c r="K764" s="2">
        <v>6.4561779999999999E-3</v>
      </c>
      <c r="L764" s="2" t="s">
        <v>606</v>
      </c>
      <c r="M764" s="4" t="s">
        <v>27145</v>
      </c>
    </row>
    <row r="765" spans="1:13">
      <c r="A765" s="2">
        <v>57</v>
      </c>
      <c r="B765" s="2" t="s">
        <v>27146</v>
      </c>
      <c r="C765" s="2">
        <v>12</v>
      </c>
      <c r="D765" s="2">
        <v>568</v>
      </c>
      <c r="E765" s="2">
        <v>259</v>
      </c>
      <c r="F765" s="2">
        <v>32441</v>
      </c>
      <c r="G765" s="2">
        <v>2.6462287240000002</v>
      </c>
      <c r="H765" s="2">
        <v>2.7734359999999998E-3</v>
      </c>
      <c r="I765" s="2" t="s">
        <v>27147</v>
      </c>
      <c r="J765" s="2" t="s">
        <v>27148</v>
      </c>
      <c r="K765" s="2">
        <v>6.4584739999999996E-3</v>
      </c>
      <c r="L765" s="2" t="s">
        <v>606</v>
      </c>
      <c r="M765" s="4" t="s">
        <v>27149</v>
      </c>
    </row>
    <row r="766" spans="1:13">
      <c r="A766" s="2">
        <v>404</v>
      </c>
      <c r="B766" s="2" t="s">
        <v>27150</v>
      </c>
      <c r="C766" s="2">
        <v>12</v>
      </c>
      <c r="D766" s="2">
        <v>568</v>
      </c>
      <c r="E766" s="2">
        <v>259</v>
      </c>
      <c r="F766" s="2">
        <v>32441</v>
      </c>
      <c r="G766" s="2">
        <v>2.6462287240000002</v>
      </c>
      <c r="H766" s="2">
        <v>2.7734359999999998E-3</v>
      </c>
      <c r="I766" s="2" t="s">
        <v>27151</v>
      </c>
      <c r="J766" s="2" t="s">
        <v>27152</v>
      </c>
      <c r="K766" s="2">
        <v>6.4584739999999996E-3</v>
      </c>
      <c r="L766" s="2" t="s">
        <v>606</v>
      </c>
      <c r="M766" s="4" t="s">
        <v>27153</v>
      </c>
    </row>
    <row r="767" spans="1:13">
      <c r="A767" s="2">
        <v>5501</v>
      </c>
      <c r="B767" s="2" t="s">
        <v>27154</v>
      </c>
      <c r="C767" s="2">
        <v>6</v>
      </c>
      <c r="D767" s="2">
        <v>568</v>
      </c>
      <c r="E767" s="2">
        <v>75</v>
      </c>
      <c r="F767" s="2">
        <v>32441</v>
      </c>
      <c r="G767" s="2">
        <v>4.5691549299999998</v>
      </c>
      <c r="H767" s="2">
        <v>2.7591E-3</v>
      </c>
      <c r="I767" s="2" t="s">
        <v>27155</v>
      </c>
      <c r="J767" s="2" t="s">
        <v>27156</v>
      </c>
      <c r="K767" s="2">
        <v>6.4584739999999996E-3</v>
      </c>
      <c r="L767" s="2" t="s">
        <v>606</v>
      </c>
      <c r="M767" s="4" t="s">
        <v>27157</v>
      </c>
    </row>
    <row r="768" spans="1:13">
      <c r="A768" s="2">
        <v>358</v>
      </c>
      <c r="B768" s="2" t="s">
        <v>27158</v>
      </c>
      <c r="C768" s="2">
        <v>12</v>
      </c>
      <c r="D768" s="2">
        <v>568</v>
      </c>
      <c r="E768" s="2">
        <v>260</v>
      </c>
      <c r="F768" s="2">
        <v>32441</v>
      </c>
      <c r="G768" s="2">
        <v>2.6360509209999998</v>
      </c>
      <c r="H768" s="2">
        <v>2.8574519999999999E-3</v>
      </c>
      <c r="I768" s="2" t="s">
        <v>27159</v>
      </c>
      <c r="J768" s="2" t="s">
        <v>27160</v>
      </c>
      <c r="K768" s="2">
        <v>6.6356380000000001E-3</v>
      </c>
      <c r="L768" s="2" t="s">
        <v>606</v>
      </c>
      <c r="M768" s="4" t="s">
        <v>27161</v>
      </c>
    </row>
    <row r="769" spans="1:13">
      <c r="A769" s="2">
        <v>262</v>
      </c>
      <c r="B769" s="2" t="s">
        <v>27162</v>
      </c>
      <c r="C769" s="2">
        <v>12</v>
      </c>
      <c r="D769" s="2">
        <v>568</v>
      </c>
      <c r="E769" s="2">
        <v>261</v>
      </c>
      <c r="F769" s="2">
        <v>32441</v>
      </c>
      <c r="G769" s="2">
        <v>2.6259511089999998</v>
      </c>
      <c r="H769" s="2">
        <v>2.9435220000000001E-3</v>
      </c>
      <c r="I769" s="2" t="s">
        <v>27163</v>
      </c>
      <c r="J769" s="2" t="s">
        <v>27164</v>
      </c>
      <c r="K769" s="2">
        <v>6.8165769999999999E-3</v>
      </c>
      <c r="L769" s="2" t="s">
        <v>606</v>
      </c>
      <c r="M769" s="4" t="s">
        <v>27165</v>
      </c>
    </row>
    <row r="770" spans="1:13">
      <c r="A770" s="2">
        <v>606</v>
      </c>
      <c r="B770" s="2" t="s">
        <v>27166</v>
      </c>
      <c r="C770" s="2">
        <v>4</v>
      </c>
      <c r="D770" s="2">
        <v>568</v>
      </c>
      <c r="E770" s="2">
        <v>31</v>
      </c>
      <c r="F770" s="2">
        <v>32441</v>
      </c>
      <c r="G770" s="2">
        <v>7.3696047250000003</v>
      </c>
      <c r="H770" s="2">
        <v>2.9759159999999999E-3</v>
      </c>
      <c r="I770" s="2" t="s">
        <v>27167</v>
      </c>
      <c r="J770" s="2" t="s">
        <v>27168</v>
      </c>
      <c r="K770" s="2">
        <v>6.8725569999999996E-3</v>
      </c>
      <c r="L770" s="2" t="s">
        <v>606</v>
      </c>
      <c r="M770" s="4" t="s">
        <v>27169</v>
      </c>
    </row>
    <row r="771" spans="1:13">
      <c r="A771" s="2">
        <v>21</v>
      </c>
      <c r="B771" s="2" t="s">
        <v>27170</v>
      </c>
      <c r="C771" s="2">
        <v>12</v>
      </c>
      <c r="D771" s="2">
        <v>568</v>
      </c>
      <c r="E771" s="2">
        <v>262</v>
      </c>
      <c r="F771" s="2">
        <v>32441</v>
      </c>
      <c r="G771" s="2">
        <v>2.6159283950000001</v>
      </c>
      <c r="H771" s="2">
        <v>3.0316829999999999E-3</v>
      </c>
      <c r="I771" s="2" t="s">
        <v>26917</v>
      </c>
      <c r="J771" s="2" t="s">
        <v>26918</v>
      </c>
      <c r="K771" s="2">
        <v>6.9820569999999998E-3</v>
      </c>
      <c r="L771" s="2" t="s">
        <v>606</v>
      </c>
      <c r="M771" s="4" t="s">
        <v>27171</v>
      </c>
    </row>
    <row r="772" spans="1:13">
      <c r="A772" s="2">
        <v>188</v>
      </c>
      <c r="B772" s="2" t="s">
        <v>6771</v>
      </c>
      <c r="C772" s="2">
        <v>12</v>
      </c>
      <c r="D772" s="2">
        <v>568</v>
      </c>
      <c r="E772" s="2">
        <v>263</v>
      </c>
      <c r="F772" s="2">
        <v>32441</v>
      </c>
      <c r="G772" s="2">
        <v>2.6059818990000001</v>
      </c>
      <c r="H772" s="2">
        <v>3.12197E-3</v>
      </c>
      <c r="I772" s="2" t="s">
        <v>27172</v>
      </c>
      <c r="J772" s="2" t="s">
        <v>27173</v>
      </c>
      <c r="K772" s="2">
        <v>7.131058E-3</v>
      </c>
      <c r="L772" s="2" t="s">
        <v>606</v>
      </c>
      <c r="M772" s="4" t="s">
        <v>6774</v>
      </c>
    </row>
    <row r="773" spans="1:13">
      <c r="A773" s="2">
        <v>238</v>
      </c>
      <c r="B773" s="2" t="s">
        <v>27174</v>
      </c>
      <c r="C773" s="2">
        <v>6</v>
      </c>
      <c r="D773" s="2">
        <v>568</v>
      </c>
      <c r="E773" s="2">
        <v>77</v>
      </c>
      <c r="F773" s="2">
        <v>32441</v>
      </c>
      <c r="G773" s="2">
        <v>4.4504755810000001</v>
      </c>
      <c r="H773" s="2">
        <v>3.118113E-3</v>
      </c>
      <c r="I773" s="2" t="s">
        <v>27175</v>
      </c>
      <c r="J773" s="2" t="s">
        <v>27176</v>
      </c>
      <c r="K773" s="2">
        <v>7.131058E-3</v>
      </c>
      <c r="L773" s="2" t="s">
        <v>606</v>
      </c>
      <c r="M773" s="4" t="s">
        <v>27177</v>
      </c>
    </row>
    <row r="774" spans="1:13">
      <c r="A774" s="2">
        <v>400</v>
      </c>
      <c r="B774" s="2" t="s">
        <v>6775</v>
      </c>
      <c r="C774" s="2">
        <v>12</v>
      </c>
      <c r="D774" s="2">
        <v>568</v>
      </c>
      <c r="E774" s="2">
        <v>263</v>
      </c>
      <c r="F774" s="2">
        <v>32441</v>
      </c>
      <c r="G774" s="2">
        <v>2.6059818990000001</v>
      </c>
      <c r="H774" s="2">
        <v>3.12197E-3</v>
      </c>
      <c r="I774" s="2" t="s">
        <v>27172</v>
      </c>
      <c r="J774" s="2" t="s">
        <v>27173</v>
      </c>
      <c r="K774" s="2">
        <v>7.131058E-3</v>
      </c>
      <c r="L774" s="2" t="s">
        <v>606</v>
      </c>
      <c r="M774" s="4" t="s">
        <v>6776</v>
      </c>
    </row>
    <row r="775" spans="1:13">
      <c r="A775" s="2">
        <v>318</v>
      </c>
      <c r="B775" s="2" t="s">
        <v>27178</v>
      </c>
      <c r="C775" s="2">
        <v>6</v>
      </c>
      <c r="D775" s="2">
        <v>568</v>
      </c>
      <c r="E775" s="2">
        <v>78</v>
      </c>
      <c r="F775" s="2">
        <v>32441</v>
      </c>
      <c r="G775" s="2">
        <v>4.3934182020000003</v>
      </c>
      <c r="H775" s="2">
        <v>3.3101559999999999E-3</v>
      </c>
      <c r="I775" s="2" t="s">
        <v>27179</v>
      </c>
      <c r="J775" s="2" t="s">
        <v>27180</v>
      </c>
      <c r="K775" s="2">
        <v>7.5403010000000001E-3</v>
      </c>
      <c r="L775" s="2" t="s">
        <v>606</v>
      </c>
      <c r="M775" s="4" t="s">
        <v>27181</v>
      </c>
    </row>
    <row r="776" spans="1:13">
      <c r="A776" s="2">
        <v>306</v>
      </c>
      <c r="B776" s="2" t="s">
        <v>6829</v>
      </c>
      <c r="C776" s="2">
        <v>12</v>
      </c>
      <c r="D776" s="2">
        <v>568</v>
      </c>
      <c r="E776" s="2">
        <v>266</v>
      </c>
      <c r="F776" s="2">
        <v>32441</v>
      </c>
      <c r="G776" s="2">
        <v>2.5765911259999998</v>
      </c>
      <c r="H776" s="2">
        <v>3.4059709999999998E-3</v>
      </c>
      <c r="I776" s="2" t="s">
        <v>27182</v>
      </c>
      <c r="J776" s="2" t="s">
        <v>27183</v>
      </c>
      <c r="K776" s="2">
        <v>7.7374779999999999E-3</v>
      </c>
      <c r="L776" s="2" t="s">
        <v>606</v>
      </c>
      <c r="M776" s="4" t="s">
        <v>6832</v>
      </c>
    </row>
    <row r="777" spans="1:13">
      <c r="A777" s="2">
        <v>662</v>
      </c>
      <c r="B777" s="2" t="s">
        <v>27184</v>
      </c>
      <c r="C777" s="2">
        <v>13</v>
      </c>
      <c r="D777" s="2">
        <v>568</v>
      </c>
      <c r="E777" s="2">
        <v>303</v>
      </c>
      <c r="F777" s="2">
        <v>32441</v>
      </c>
      <c r="G777" s="2">
        <v>2.4504543760000002</v>
      </c>
      <c r="H777" s="2">
        <v>3.5453260000000001E-3</v>
      </c>
      <c r="I777" s="2" t="s">
        <v>27185</v>
      </c>
      <c r="J777" s="2" t="s">
        <v>27186</v>
      </c>
      <c r="K777" s="2">
        <v>8.0322290000000001E-3</v>
      </c>
      <c r="L777" s="2" t="s">
        <v>606</v>
      </c>
      <c r="M777" s="4" t="s">
        <v>27187</v>
      </c>
    </row>
    <row r="778" spans="1:13">
      <c r="A778" s="2">
        <v>329</v>
      </c>
      <c r="B778" s="2" t="s">
        <v>27188</v>
      </c>
      <c r="C778" s="2">
        <v>12</v>
      </c>
      <c r="D778" s="2">
        <v>568</v>
      </c>
      <c r="E778" s="2">
        <v>269</v>
      </c>
      <c r="F778" s="2">
        <v>32441</v>
      </c>
      <c r="G778" s="2">
        <v>2.5478559089999999</v>
      </c>
      <c r="H778" s="2">
        <v>3.7104780000000001E-3</v>
      </c>
      <c r="I778" s="2" t="s">
        <v>27189</v>
      </c>
      <c r="J778" s="2" t="s">
        <v>27190</v>
      </c>
      <c r="K778" s="2">
        <v>8.3836740000000007E-3</v>
      </c>
      <c r="L778" s="2" t="s">
        <v>606</v>
      </c>
      <c r="M778" s="4" t="s">
        <v>27191</v>
      </c>
    </row>
    <row r="779" spans="1:13">
      <c r="A779" s="2">
        <v>55</v>
      </c>
      <c r="B779" s="2" t="s">
        <v>27192</v>
      </c>
      <c r="C779" s="2">
        <v>11</v>
      </c>
      <c r="D779" s="2">
        <v>568</v>
      </c>
      <c r="E779" s="2">
        <v>236</v>
      </c>
      <c r="F779" s="2">
        <v>32441</v>
      </c>
      <c r="G779" s="2">
        <v>2.6621135709999999</v>
      </c>
      <c r="H779" s="2">
        <v>3.9179289999999997E-3</v>
      </c>
      <c r="I779" s="2" t="s">
        <v>27193</v>
      </c>
      <c r="J779" s="2" t="s">
        <v>27194</v>
      </c>
      <c r="K779" s="2">
        <v>8.8285410000000005E-3</v>
      </c>
      <c r="L779" s="2" t="s">
        <v>606</v>
      </c>
      <c r="M779" s="4" t="s">
        <v>27195</v>
      </c>
    </row>
    <row r="780" spans="1:13">
      <c r="A780" s="2">
        <v>166</v>
      </c>
      <c r="B780" s="2" t="s">
        <v>27196</v>
      </c>
      <c r="C780" s="2">
        <v>8</v>
      </c>
      <c r="D780" s="2">
        <v>568</v>
      </c>
      <c r="E780" s="2">
        <v>140</v>
      </c>
      <c r="F780" s="2">
        <v>32441</v>
      </c>
      <c r="G780" s="2">
        <v>3.2636820929999999</v>
      </c>
      <c r="H780" s="2">
        <v>4.2240100000000003E-3</v>
      </c>
      <c r="I780" s="2" t="s">
        <v>27197</v>
      </c>
      <c r="J780" s="2" t="s">
        <v>27198</v>
      </c>
      <c r="K780" s="2">
        <v>9.4926669999999998E-3</v>
      </c>
      <c r="L780" s="2" t="s">
        <v>606</v>
      </c>
      <c r="M780" s="4" t="s">
        <v>27199</v>
      </c>
    </row>
    <row r="781" spans="1:13">
      <c r="A781" s="2">
        <v>241</v>
      </c>
      <c r="B781" s="2" t="s">
        <v>27200</v>
      </c>
      <c r="C781" s="2">
        <v>11</v>
      </c>
      <c r="D781" s="2">
        <v>568</v>
      </c>
      <c r="E781" s="2">
        <v>239</v>
      </c>
      <c r="F781" s="2">
        <v>32441</v>
      </c>
      <c r="G781" s="2">
        <v>2.62869792</v>
      </c>
      <c r="H781" s="2">
        <v>4.2872120000000003E-3</v>
      </c>
      <c r="I781" s="2" t="s">
        <v>27201</v>
      </c>
      <c r="J781" s="2" t="s">
        <v>27202</v>
      </c>
      <c r="K781" s="2">
        <v>9.5831790000000007E-3</v>
      </c>
      <c r="L781" s="2" t="s">
        <v>606</v>
      </c>
      <c r="M781" s="4" t="s">
        <v>27203</v>
      </c>
    </row>
    <row r="782" spans="1:13">
      <c r="A782" s="2">
        <v>428</v>
      </c>
      <c r="B782" s="2" t="s">
        <v>27204</v>
      </c>
      <c r="C782" s="2">
        <v>11</v>
      </c>
      <c r="D782" s="2">
        <v>568</v>
      </c>
      <c r="E782" s="2">
        <v>239</v>
      </c>
      <c r="F782" s="2">
        <v>32441</v>
      </c>
      <c r="G782" s="2">
        <v>2.62869792</v>
      </c>
      <c r="H782" s="2">
        <v>4.2872120000000003E-3</v>
      </c>
      <c r="I782" s="2" t="s">
        <v>27205</v>
      </c>
      <c r="J782" s="2" t="s">
        <v>27206</v>
      </c>
      <c r="K782" s="2">
        <v>9.5831790000000007E-3</v>
      </c>
      <c r="L782" s="2" t="s">
        <v>606</v>
      </c>
      <c r="M782" s="4" t="s">
        <v>27207</v>
      </c>
    </row>
    <row r="783" spans="1:13">
      <c r="A783" s="2">
        <v>739</v>
      </c>
      <c r="B783" s="2" t="s">
        <v>27208</v>
      </c>
      <c r="C783" s="2">
        <v>9</v>
      </c>
      <c r="D783" s="2">
        <v>568</v>
      </c>
      <c r="E783" s="2">
        <v>172</v>
      </c>
      <c r="F783" s="2">
        <v>32441</v>
      </c>
      <c r="G783" s="2">
        <v>2.9885461019999999</v>
      </c>
      <c r="H783" s="2">
        <v>4.2992439999999998E-3</v>
      </c>
      <c r="I783" s="2" t="s">
        <v>27209</v>
      </c>
      <c r="J783" s="2" t="s">
        <v>27210</v>
      </c>
      <c r="K783" s="2">
        <v>9.5844490000000001E-3</v>
      </c>
      <c r="L783" s="2" t="s">
        <v>606</v>
      </c>
      <c r="M783" s="4" t="s">
        <v>27211</v>
      </c>
    </row>
    <row r="784" spans="1:13">
      <c r="A784" s="2">
        <v>8241</v>
      </c>
      <c r="B784" s="2" t="s">
        <v>6664</v>
      </c>
      <c r="C784" s="2">
        <v>18</v>
      </c>
      <c r="D784" s="2">
        <v>568</v>
      </c>
      <c r="E784" s="2">
        <v>502</v>
      </c>
      <c r="F784" s="2">
        <v>32441</v>
      </c>
      <c r="G784" s="2">
        <v>2.0479280059999998</v>
      </c>
      <c r="H784" s="2">
        <v>4.3241210000000002E-3</v>
      </c>
      <c r="I784" s="2" t="s">
        <v>27212</v>
      </c>
      <c r="J784" s="2" t="s">
        <v>27213</v>
      </c>
      <c r="K784" s="2">
        <v>9.6142689999999999E-3</v>
      </c>
      <c r="L784" s="2" t="s">
        <v>606</v>
      </c>
      <c r="M784" s="4" t="s">
        <v>6667</v>
      </c>
    </row>
    <row r="785" spans="1:13">
      <c r="A785" s="2">
        <v>327</v>
      </c>
      <c r="B785" s="2" t="s">
        <v>27214</v>
      </c>
      <c r="C785" s="2">
        <v>11</v>
      </c>
      <c r="D785" s="2">
        <v>568</v>
      </c>
      <c r="E785" s="2">
        <v>240</v>
      </c>
      <c r="F785" s="2">
        <v>32441</v>
      </c>
      <c r="G785" s="2">
        <v>2.6177450119999999</v>
      </c>
      <c r="H785" s="2">
        <v>4.416278E-3</v>
      </c>
      <c r="I785" s="2" t="s">
        <v>27215</v>
      </c>
      <c r="J785" s="2" t="s">
        <v>27216</v>
      </c>
      <c r="K785" s="2">
        <v>9.7931259999999992E-3</v>
      </c>
      <c r="L785" s="2" t="s">
        <v>606</v>
      </c>
      <c r="M785" s="4" t="s">
        <v>27217</v>
      </c>
    </row>
    <row r="786" spans="1:13">
      <c r="A786" s="2">
        <v>279</v>
      </c>
      <c r="B786" s="2" t="s">
        <v>27218</v>
      </c>
      <c r="C786" s="2">
        <v>11</v>
      </c>
      <c r="D786" s="2">
        <v>568</v>
      </c>
      <c r="E786" s="2">
        <v>241</v>
      </c>
      <c r="F786" s="2">
        <v>32441</v>
      </c>
      <c r="G786" s="2">
        <v>2.6068829990000002</v>
      </c>
      <c r="H786" s="2">
        <v>4.5484150000000001E-3</v>
      </c>
      <c r="I786" s="2" t="s">
        <v>27219</v>
      </c>
      <c r="J786" s="2" t="s">
        <v>27220</v>
      </c>
      <c r="K786" s="2">
        <v>1.0059457000000001E-2</v>
      </c>
      <c r="L786" s="2" t="s">
        <v>606</v>
      </c>
      <c r="M786" s="4" t="s">
        <v>27221</v>
      </c>
    </row>
    <row r="787" spans="1:13">
      <c r="A787" s="2">
        <v>111</v>
      </c>
      <c r="B787" s="2" t="s">
        <v>27222</v>
      </c>
      <c r="C787" s="2">
        <v>11</v>
      </c>
      <c r="D787" s="2">
        <v>568</v>
      </c>
      <c r="E787" s="2">
        <v>242</v>
      </c>
      <c r="F787" s="2">
        <v>32441</v>
      </c>
      <c r="G787" s="2">
        <v>2.5961107550000002</v>
      </c>
      <c r="H787" s="2">
        <v>4.6836719999999998E-3</v>
      </c>
      <c r="I787" s="2" t="s">
        <v>27223</v>
      </c>
      <c r="J787" s="2" t="s">
        <v>27224</v>
      </c>
      <c r="K787" s="2">
        <v>1.0304078E-2</v>
      </c>
      <c r="L787" s="2" t="s">
        <v>606</v>
      </c>
      <c r="M787" s="4" t="s">
        <v>27225</v>
      </c>
    </row>
    <row r="788" spans="1:13">
      <c r="A788" s="2">
        <v>412</v>
      </c>
      <c r="B788" s="2" t="s">
        <v>6680</v>
      </c>
      <c r="C788" s="2">
        <v>11</v>
      </c>
      <c r="D788" s="2">
        <v>568</v>
      </c>
      <c r="E788" s="2">
        <v>242</v>
      </c>
      <c r="F788" s="2">
        <v>32441</v>
      </c>
      <c r="G788" s="2">
        <v>2.5961107550000002</v>
      </c>
      <c r="H788" s="2">
        <v>4.6836719999999998E-3</v>
      </c>
      <c r="I788" s="2" t="s">
        <v>27226</v>
      </c>
      <c r="J788" s="2" t="s">
        <v>27227</v>
      </c>
      <c r="K788" s="2">
        <v>1.0304078E-2</v>
      </c>
      <c r="L788" s="2" t="s">
        <v>606</v>
      </c>
      <c r="M788" s="4" t="s">
        <v>6683</v>
      </c>
    </row>
    <row r="789" spans="1:13">
      <c r="A789" s="2">
        <v>454</v>
      </c>
      <c r="B789" s="2" t="s">
        <v>27228</v>
      </c>
      <c r="C789" s="2">
        <v>12</v>
      </c>
      <c r="D789" s="2">
        <v>568</v>
      </c>
      <c r="E789" s="2">
        <v>279</v>
      </c>
      <c r="F789" s="2">
        <v>32441</v>
      </c>
      <c r="G789" s="2">
        <v>2.4565349080000001</v>
      </c>
      <c r="H789" s="2">
        <v>4.887242E-3</v>
      </c>
      <c r="I789" s="2" t="s">
        <v>27229</v>
      </c>
      <c r="J789" s="2" t="s">
        <v>27230</v>
      </c>
      <c r="K789" s="2">
        <v>1.0723712E-2</v>
      </c>
      <c r="L789" s="2" t="s">
        <v>606</v>
      </c>
      <c r="M789" s="4" t="s">
        <v>27231</v>
      </c>
    </row>
    <row r="790" spans="1:13">
      <c r="A790" s="2">
        <v>703</v>
      </c>
      <c r="B790" s="2" t="s">
        <v>27232</v>
      </c>
      <c r="C790" s="2">
        <v>5</v>
      </c>
      <c r="D790" s="2">
        <v>568</v>
      </c>
      <c r="E790" s="2">
        <v>59</v>
      </c>
      <c r="F790" s="2">
        <v>32441</v>
      </c>
      <c r="G790" s="2">
        <v>4.8402064930000002</v>
      </c>
      <c r="H790" s="2">
        <v>4.906746E-3</v>
      </c>
      <c r="I790" s="2" t="s">
        <v>27233</v>
      </c>
      <c r="J790" s="2" t="s">
        <v>27234</v>
      </c>
      <c r="K790" s="2">
        <v>1.0738324E-2</v>
      </c>
      <c r="L790" s="2" t="s">
        <v>606</v>
      </c>
      <c r="M790" s="4" t="s">
        <v>27235</v>
      </c>
    </row>
    <row r="791" spans="1:13">
      <c r="A791" s="2">
        <v>86</v>
      </c>
      <c r="B791" s="2" t="s">
        <v>27236</v>
      </c>
      <c r="C791" s="2">
        <v>11</v>
      </c>
      <c r="D791" s="2">
        <v>568</v>
      </c>
      <c r="E791" s="2">
        <v>244</v>
      </c>
      <c r="F791" s="2">
        <v>32441</v>
      </c>
      <c r="G791" s="2">
        <v>2.5748311589999999</v>
      </c>
      <c r="H791" s="2">
        <v>4.9637520000000001E-3</v>
      </c>
      <c r="I791" s="2" t="s">
        <v>27237</v>
      </c>
      <c r="J791" s="2" t="s">
        <v>27238</v>
      </c>
      <c r="K791" s="2">
        <v>1.0834715999999999E-2</v>
      </c>
      <c r="L791" s="2" t="s">
        <v>606</v>
      </c>
      <c r="M791" s="4" t="s">
        <v>27239</v>
      </c>
    </row>
    <row r="792" spans="1:13">
      <c r="A792" s="2">
        <v>149</v>
      </c>
      <c r="B792" s="2" t="s">
        <v>27240</v>
      </c>
      <c r="C792" s="2">
        <v>11</v>
      </c>
      <c r="D792" s="2">
        <v>568</v>
      </c>
      <c r="E792" s="2">
        <v>245</v>
      </c>
      <c r="F792" s="2">
        <v>32441</v>
      </c>
      <c r="G792" s="2">
        <v>2.5643216440000001</v>
      </c>
      <c r="H792" s="2">
        <v>5.1086769999999998E-3</v>
      </c>
      <c r="I792" s="2" t="s">
        <v>27241</v>
      </c>
      <c r="J792" s="2" t="s">
        <v>27242</v>
      </c>
      <c r="K792" s="2">
        <v>1.1122016E-2</v>
      </c>
      <c r="L792" s="2" t="s">
        <v>606</v>
      </c>
      <c r="M792" s="4" t="s">
        <v>27243</v>
      </c>
    </row>
    <row r="793" spans="1:13">
      <c r="A793" s="2">
        <v>216</v>
      </c>
      <c r="B793" s="2" t="s">
        <v>27244</v>
      </c>
      <c r="C793" s="2">
        <v>8</v>
      </c>
      <c r="D793" s="2">
        <v>568</v>
      </c>
      <c r="E793" s="2">
        <v>145</v>
      </c>
      <c r="F793" s="2">
        <v>32441</v>
      </c>
      <c r="G793" s="2">
        <v>3.1511413309999998</v>
      </c>
      <c r="H793" s="2">
        <v>5.151096E-3</v>
      </c>
      <c r="I793" s="2" t="s">
        <v>27245</v>
      </c>
      <c r="J793" s="2" t="s">
        <v>27246</v>
      </c>
      <c r="K793" s="2">
        <v>1.1185235999999999E-2</v>
      </c>
      <c r="L793" s="2" t="s">
        <v>606</v>
      </c>
      <c r="M793" s="4" t="s">
        <v>27247</v>
      </c>
    </row>
    <row r="794" spans="1:13">
      <c r="A794" s="2">
        <v>582</v>
      </c>
      <c r="B794" s="2" t="s">
        <v>27248</v>
      </c>
      <c r="C794" s="2">
        <v>6</v>
      </c>
      <c r="D794" s="2">
        <v>568</v>
      </c>
      <c r="E794" s="2">
        <v>86</v>
      </c>
      <c r="F794" s="2">
        <v>32441</v>
      </c>
      <c r="G794" s="2">
        <v>3.9847281360000002</v>
      </c>
      <c r="H794" s="2">
        <v>5.1784179999999997E-3</v>
      </c>
      <c r="I794" s="2" t="s">
        <v>27249</v>
      </c>
      <c r="J794" s="2" t="s">
        <v>27250</v>
      </c>
      <c r="K794" s="2">
        <v>1.1215434999999999E-2</v>
      </c>
      <c r="L794" s="2" t="s">
        <v>606</v>
      </c>
      <c r="M794" s="4" t="s">
        <v>27251</v>
      </c>
    </row>
    <row r="795" spans="1:13">
      <c r="A795" s="2">
        <v>206</v>
      </c>
      <c r="B795" s="2" t="s">
        <v>27252</v>
      </c>
      <c r="C795" s="2">
        <v>11</v>
      </c>
      <c r="D795" s="2">
        <v>568</v>
      </c>
      <c r="E795" s="2">
        <v>246</v>
      </c>
      <c r="F795" s="2">
        <v>32441</v>
      </c>
      <c r="G795" s="2">
        <v>2.5538975719999999</v>
      </c>
      <c r="H795" s="2">
        <v>5.2569299999999999E-3</v>
      </c>
      <c r="I795" s="2" t="s">
        <v>27253</v>
      </c>
      <c r="J795" s="2" t="s">
        <v>27254</v>
      </c>
      <c r="K795" s="2">
        <v>1.1356055E-2</v>
      </c>
      <c r="L795" s="2" t="s">
        <v>606</v>
      </c>
      <c r="M795" s="4" t="s">
        <v>27255</v>
      </c>
    </row>
    <row r="796" spans="1:13">
      <c r="A796" s="2">
        <v>185</v>
      </c>
      <c r="B796" s="2" t="s">
        <v>6743</v>
      </c>
      <c r="C796" s="2">
        <v>11</v>
      </c>
      <c r="D796" s="2">
        <v>568</v>
      </c>
      <c r="E796" s="2">
        <v>247</v>
      </c>
      <c r="F796" s="2">
        <v>32441</v>
      </c>
      <c r="G796" s="2">
        <v>2.5435579060000002</v>
      </c>
      <c r="H796" s="2">
        <v>5.4085610000000001E-3</v>
      </c>
      <c r="I796" s="2" t="s">
        <v>27256</v>
      </c>
      <c r="J796" s="2" t="s">
        <v>27257</v>
      </c>
      <c r="K796" s="2">
        <v>1.1653497000000001E-2</v>
      </c>
      <c r="L796" s="2" t="s">
        <v>606</v>
      </c>
      <c r="M796" s="4" t="s">
        <v>6746</v>
      </c>
    </row>
    <row r="797" spans="1:13">
      <c r="A797" s="2">
        <v>218</v>
      </c>
      <c r="B797" s="2" t="s">
        <v>27258</v>
      </c>
      <c r="C797" s="2">
        <v>12</v>
      </c>
      <c r="D797" s="2">
        <v>568</v>
      </c>
      <c r="E797" s="2">
        <v>283</v>
      </c>
      <c r="F797" s="2">
        <v>32441</v>
      </c>
      <c r="G797" s="2">
        <v>2.4218135670000001</v>
      </c>
      <c r="H797" s="2">
        <v>5.4341049999999998E-3</v>
      </c>
      <c r="I797" s="2" t="s">
        <v>27259</v>
      </c>
      <c r="J797" s="2" t="s">
        <v>27260</v>
      </c>
      <c r="K797" s="2">
        <v>1.1678436E-2</v>
      </c>
      <c r="L797" s="2" t="s">
        <v>606</v>
      </c>
      <c r="M797" s="4" t="s">
        <v>27261</v>
      </c>
    </row>
    <row r="798" spans="1:13">
      <c r="A798" s="2">
        <v>337</v>
      </c>
      <c r="B798" s="2" t="s">
        <v>27262</v>
      </c>
      <c r="C798" s="2">
        <v>8</v>
      </c>
      <c r="D798" s="2">
        <v>568</v>
      </c>
      <c r="E798" s="2">
        <v>147</v>
      </c>
      <c r="F798" s="2">
        <v>32441</v>
      </c>
      <c r="G798" s="2">
        <v>3.1082686599999998</v>
      </c>
      <c r="H798" s="2">
        <v>5.5625910000000004E-3</v>
      </c>
      <c r="I798" s="2" t="s">
        <v>27263</v>
      </c>
      <c r="J798" s="2" t="s">
        <v>27264</v>
      </c>
      <c r="K798" s="2">
        <v>1.1895624E-2</v>
      </c>
      <c r="L798" s="2" t="s">
        <v>606</v>
      </c>
      <c r="M798" s="4" t="s">
        <v>27265</v>
      </c>
    </row>
    <row r="799" spans="1:13">
      <c r="A799" s="2">
        <v>399</v>
      </c>
      <c r="B799" s="2" t="s">
        <v>27266</v>
      </c>
      <c r="C799" s="2">
        <v>11</v>
      </c>
      <c r="D799" s="2">
        <v>568</v>
      </c>
      <c r="E799" s="2">
        <v>248</v>
      </c>
      <c r="F799" s="2">
        <v>32441</v>
      </c>
      <c r="G799" s="2">
        <v>2.5333016239999999</v>
      </c>
      <c r="H799" s="2">
        <v>5.5636230000000002E-3</v>
      </c>
      <c r="I799" s="2" t="s">
        <v>27267</v>
      </c>
      <c r="J799" s="2" t="s">
        <v>27268</v>
      </c>
      <c r="K799" s="2">
        <v>1.1895624E-2</v>
      </c>
      <c r="L799" s="2" t="s">
        <v>606</v>
      </c>
      <c r="M799" s="4" t="s">
        <v>27269</v>
      </c>
    </row>
    <row r="800" spans="1:13">
      <c r="A800" s="2">
        <v>763</v>
      </c>
      <c r="B800" s="2" t="s">
        <v>27270</v>
      </c>
      <c r="C800" s="2">
        <v>19</v>
      </c>
      <c r="D800" s="2">
        <v>568</v>
      </c>
      <c r="E800" s="2">
        <v>556</v>
      </c>
      <c r="F800" s="2">
        <v>32441</v>
      </c>
      <c r="G800" s="2">
        <v>1.951752331</v>
      </c>
      <c r="H800" s="2">
        <v>5.5917019999999996E-3</v>
      </c>
      <c r="I800" s="2" t="s">
        <v>27271</v>
      </c>
      <c r="J800" s="2" t="s">
        <v>27272</v>
      </c>
      <c r="K800" s="2">
        <v>1.1925160000000001E-2</v>
      </c>
      <c r="L800" s="2" t="s">
        <v>606</v>
      </c>
      <c r="M800" s="4" t="s">
        <v>27273</v>
      </c>
    </row>
    <row r="801" spans="1:13">
      <c r="A801" s="2">
        <v>194</v>
      </c>
      <c r="B801" s="2" t="s">
        <v>27274</v>
      </c>
      <c r="C801" s="2">
        <v>7</v>
      </c>
      <c r="D801" s="2">
        <v>568</v>
      </c>
      <c r="E801" s="2">
        <v>117</v>
      </c>
      <c r="F801" s="2">
        <v>32441</v>
      </c>
      <c r="G801" s="2">
        <v>3.4171030459999998</v>
      </c>
      <c r="H801" s="2">
        <v>5.7547730000000004E-3</v>
      </c>
      <c r="I801" s="2" t="s">
        <v>27275</v>
      </c>
      <c r="J801" s="2" t="s">
        <v>27276</v>
      </c>
      <c r="K801" s="2">
        <v>1.2241705E-2</v>
      </c>
      <c r="L801" s="2" t="s">
        <v>606</v>
      </c>
      <c r="M801" s="4" t="s">
        <v>27277</v>
      </c>
    </row>
    <row r="802" spans="1:13">
      <c r="A802" s="2">
        <v>689</v>
      </c>
      <c r="B802" s="2" t="s">
        <v>27278</v>
      </c>
      <c r="C802" s="2">
        <v>4</v>
      </c>
      <c r="D802" s="2">
        <v>568</v>
      </c>
      <c r="E802" s="2">
        <v>38</v>
      </c>
      <c r="F802" s="2">
        <v>32441</v>
      </c>
      <c r="G802" s="2">
        <v>6.01204596</v>
      </c>
      <c r="H802" s="2">
        <v>5.7883589999999999E-3</v>
      </c>
      <c r="I802" s="2" t="s">
        <v>27279</v>
      </c>
      <c r="J802" s="2" t="s">
        <v>27280</v>
      </c>
      <c r="K802" s="2">
        <v>1.2281897999999999E-2</v>
      </c>
      <c r="L802" s="2" t="s">
        <v>606</v>
      </c>
      <c r="M802" s="4" t="s">
        <v>27281</v>
      </c>
    </row>
    <row r="803" spans="1:13">
      <c r="A803" s="2">
        <v>201</v>
      </c>
      <c r="B803" s="2" t="s">
        <v>27282</v>
      </c>
      <c r="C803" s="2">
        <v>11</v>
      </c>
      <c r="D803" s="2">
        <v>568</v>
      </c>
      <c r="E803" s="2">
        <v>251</v>
      </c>
      <c r="F803" s="2">
        <v>32441</v>
      </c>
      <c r="G803" s="2">
        <v>2.5030231189999999</v>
      </c>
      <c r="H803" s="2">
        <v>6.0499289999999999E-3</v>
      </c>
      <c r="I803" s="2" t="s">
        <v>27283</v>
      </c>
      <c r="J803" s="2" t="s">
        <v>27284</v>
      </c>
      <c r="K803" s="2">
        <v>1.2772073E-2</v>
      </c>
      <c r="L803" s="2" t="s">
        <v>606</v>
      </c>
      <c r="M803" s="4" t="s">
        <v>27285</v>
      </c>
    </row>
    <row r="804" spans="1:13">
      <c r="A804" s="2">
        <v>410</v>
      </c>
      <c r="B804" s="2" t="s">
        <v>6845</v>
      </c>
      <c r="C804" s="2">
        <v>11</v>
      </c>
      <c r="D804" s="2">
        <v>568</v>
      </c>
      <c r="E804" s="2">
        <v>251</v>
      </c>
      <c r="F804" s="2">
        <v>32441</v>
      </c>
      <c r="G804" s="2">
        <v>2.5030231189999999</v>
      </c>
      <c r="H804" s="2">
        <v>6.0499289999999999E-3</v>
      </c>
      <c r="I804" s="2" t="s">
        <v>27286</v>
      </c>
      <c r="J804" s="2" t="s">
        <v>27287</v>
      </c>
      <c r="K804" s="2">
        <v>1.2772073E-2</v>
      </c>
      <c r="L804" s="2" t="s">
        <v>606</v>
      </c>
      <c r="M804" s="4" t="s">
        <v>6848</v>
      </c>
    </row>
    <row r="805" spans="1:13">
      <c r="A805" s="2">
        <v>202</v>
      </c>
      <c r="B805" s="2" t="s">
        <v>27288</v>
      </c>
      <c r="C805" s="2">
        <v>8</v>
      </c>
      <c r="D805" s="2">
        <v>568</v>
      </c>
      <c r="E805" s="2">
        <v>150</v>
      </c>
      <c r="F805" s="2">
        <v>32441</v>
      </c>
      <c r="G805" s="2">
        <v>3.0461032860000001</v>
      </c>
      <c r="H805" s="2">
        <v>6.2262250000000002E-3</v>
      </c>
      <c r="I805" s="2" t="s">
        <v>27289</v>
      </c>
      <c r="J805" s="2" t="s">
        <v>27290</v>
      </c>
      <c r="K805" s="2">
        <v>1.3078202000000001E-2</v>
      </c>
      <c r="L805" s="2" t="s">
        <v>606</v>
      </c>
      <c r="M805" s="4" t="s">
        <v>27291</v>
      </c>
    </row>
    <row r="806" spans="1:13">
      <c r="A806" s="2">
        <v>478</v>
      </c>
      <c r="B806" s="2" t="s">
        <v>27292</v>
      </c>
      <c r="C806" s="2">
        <v>11</v>
      </c>
      <c r="D806" s="2">
        <v>568</v>
      </c>
      <c r="E806" s="2">
        <v>252</v>
      </c>
      <c r="F806" s="2">
        <v>32441</v>
      </c>
      <c r="G806" s="2">
        <v>2.4930904869999999</v>
      </c>
      <c r="H806" s="2">
        <v>6.2192489999999996E-3</v>
      </c>
      <c r="I806" s="2" t="s">
        <v>27293</v>
      </c>
      <c r="J806" s="2" t="s">
        <v>27294</v>
      </c>
      <c r="K806" s="2">
        <v>1.3078202000000001E-2</v>
      </c>
      <c r="L806" s="2" t="s">
        <v>606</v>
      </c>
      <c r="M806" s="4" t="s">
        <v>27295</v>
      </c>
    </row>
    <row r="807" spans="1:13">
      <c r="A807" s="2">
        <v>751</v>
      </c>
      <c r="B807" s="2" t="s">
        <v>27296</v>
      </c>
      <c r="C807" s="2">
        <v>13</v>
      </c>
      <c r="D807" s="2">
        <v>568</v>
      </c>
      <c r="E807" s="2">
        <v>326</v>
      </c>
      <c r="F807" s="2">
        <v>32441</v>
      </c>
      <c r="G807" s="2">
        <v>2.2775695580000002</v>
      </c>
      <c r="H807" s="2">
        <v>6.3215600000000004E-3</v>
      </c>
      <c r="I807" s="2" t="s">
        <v>27297</v>
      </c>
      <c r="J807" s="2" t="s">
        <v>27298</v>
      </c>
      <c r="K807" s="2">
        <v>1.3245174E-2</v>
      </c>
      <c r="L807" s="2" t="s">
        <v>606</v>
      </c>
      <c r="M807" s="4" t="s">
        <v>27299</v>
      </c>
    </row>
    <row r="808" spans="1:13">
      <c r="A808" s="2">
        <v>602</v>
      </c>
      <c r="B808" s="2" t="s">
        <v>27300</v>
      </c>
      <c r="C808" s="2">
        <v>5</v>
      </c>
      <c r="D808" s="2">
        <v>568</v>
      </c>
      <c r="E808" s="2">
        <v>63</v>
      </c>
      <c r="F808" s="2">
        <v>32441</v>
      </c>
      <c r="G808" s="2">
        <v>4.5328917950000003</v>
      </c>
      <c r="H808" s="2">
        <v>6.3444349999999998E-3</v>
      </c>
      <c r="I808" s="2" t="s">
        <v>27301</v>
      </c>
      <c r="J808" s="2" t="s">
        <v>27302</v>
      </c>
      <c r="K808" s="2">
        <v>1.3259869000000001E-2</v>
      </c>
      <c r="L808" s="2" t="s">
        <v>606</v>
      </c>
      <c r="M808" s="4" t="s">
        <v>27303</v>
      </c>
    </row>
    <row r="809" spans="1:13">
      <c r="A809" s="2">
        <v>472</v>
      </c>
      <c r="B809" s="2" t="s">
        <v>27304</v>
      </c>
      <c r="C809" s="2">
        <v>11</v>
      </c>
      <c r="D809" s="2">
        <v>568</v>
      </c>
      <c r="E809" s="2">
        <v>253</v>
      </c>
      <c r="F809" s="2">
        <v>32441</v>
      </c>
      <c r="G809" s="2">
        <v>2.4832363750000002</v>
      </c>
      <c r="H809" s="2">
        <v>6.3922670000000001E-3</v>
      </c>
      <c r="I809" s="2" t="s">
        <v>27305</v>
      </c>
      <c r="J809" s="2" t="s">
        <v>27306</v>
      </c>
      <c r="K809" s="2">
        <v>1.3326520999999999E-2</v>
      </c>
      <c r="L809" s="2" t="s">
        <v>606</v>
      </c>
      <c r="M809" s="4" t="s">
        <v>27307</v>
      </c>
    </row>
    <row r="810" spans="1:13">
      <c r="A810" s="2">
        <v>140</v>
      </c>
      <c r="B810" s="2" t="s">
        <v>6817</v>
      </c>
      <c r="C810" s="2">
        <v>11</v>
      </c>
      <c r="D810" s="2">
        <v>568</v>
      </c>
      <c r="E810" s="2">
        <v>254</v>
      </c>
      <c r="F810" s="2">
        <v>32441</v>
      </c>
      <c r="G810" s="2">
        <v>2.4734598540000001</v>
      </c>
      <c r="H810" s="2">
        <v>6.5690380000000001E-3</v>
      </c>
      <c r="I810" s="2" t="s">
        <v>27308</v>
      </c>
      <c r="J810" s="2" t="s">
        <v>27309</v>
      </c>
      <c r="K810" s="2">
        <v>1.3593355E-2</v>
      </c>
      <c r="L810" s="2" t="s">
        <v>606</v>
      </c>
      <c r="M810" s="4" t="s">
        <v>6820</v>
      </c>
    </row>
    <row r="811" spans="1:13">
      <c r="A811" s="2">
        <v>383</v>
      </c>
      <c r="B811" s="2" t="s">
        <v>27310</v>
      </c>
      <c r="C811" s="2">
        <v>11</v>
      </c>
      <c r="D811" s="2">
        <v>568</v>
      </c>
      <c r="E811" s="2">
        <v>254</v>
      </c>
      <c r="F811" s="2">
        <v>32441</v>
      </c>
      <c r="G811" s="2">
        <v>2.4734598540000001</v>
      </c>
      <c r="H811" s="2">
        <v>6.5690380000000001E-3</v>
      </c>
      <c r="I811" s="2" t="s">
        <v>27311</v>
      </c>
      <c r="J811" s="2" t="s">
        <v>27312</v>
      </c>
      <c r="K811" s="2">
        <v>1.3593355E-2</v>
      </c>
      <c r="L811" s="2" t="s">
        <v>606</v>
      </c>
      <c r="M811" s="4" t="s">
        <v>27313</v>
      </c>
    </row>
    <row r="812" spans="1:13">
      <c r="A812" s="2">
        <v>7981</v>
      </c>
      <c r="B812" s="2" t="s">
        <v>27314</v>
      </c>
      <c r="C812" s="2">
        <v>11</v>
      </c>
      <c r="D812" s="2">
        <v>568</v>
      </c>
      <c r="E812" s="2">
        <v>254</v>
      </c>
      <c r="F812" s="2">
        <v>32441</v>
      </c>
      <c r="G812" s="2">
        <v>2.4734598540000001</v>
      </c>
      <c r="H812" s="2">
        <v>6.5690380000000001E-3</v>
      </c>
      <c r="I812" s="2" t="s">
        <v>27315</v>
      </c>
      <c r="J812" s="2" t="s">
        <v>27316</v>
      </c>
      <c r="K812" s="2">
        <v>1.3593355E-2</v>
      </c>
      <c r="L812" s="2" t="s">
        <v>606</v>
      </c>
      <c r="M812" s="4" t="s">
        <v>27317</v>
      </c>
    </row>
    <row r="813" spans="1:13">
      <c r="A813" s="2">
        <v>8011</v>
      </c>
      <c r="B813" s="2" t="s">
        <v>27318</v>
      </c>
      <c r="C813" s="2">
        <v>8</v>
      </c>
      <c r="D813" s="2">
        <v>568</v>
      </c>
      <c r="E813" s="2">
        <v>152</v>
      </c>
      <c r="F813" s="2">
        <v>32441</v>
      </c>
      <c r="G813" s="2">
        <v>3.00602298</v>
      </c>
      <c r="H813" s="2">
        <v>6.7009069999999999E-3</v>
      </c>
      <c r="I813" s="2" t="s">
        <v>27319</v>
      </c>
      <c r="J813" s="2" t="s">
        <v>27320</v>
      </c>
      <c r="K813" s="2">
        <v>1.3831995E-2</v>
      </c>
      <c r="L813" s="2" t="s">
        <v>606</v>
      </c>
      <c r="M813" s="4" t="s">
        <v>27321</v>
      </c>
    </row>
    <row r="814" spans="1:13">
      <c r="A814" s="2">
        <v>286</v>
      </c>
      <c r="B814" s="2" t="s">
        <v>27322</v>
      </c>
      <c r="C814" s="2">
        <v>11</v>
      </c>
      <c r="D814" s="2">
        <v>568</v>
      </c>
      <c r="E814" s="2">
        <v>255</v>
      </c>
      <c r="F814" s="2">
        <v>32441</v>
      </c>
      <c r="G814" s="2">
        <v>2.4637600110000002</v>
      </c>
      <c r="H814" s="2">
        <v>6.7496159999999999E-3</v>
      </c>
      <c r="I814" s="2" t="s">
        <v>27323</v>
      </c>
      <c r="J814" s="2" t="s">
        <v>27324</v>
      </c>
      <c r="K814" s="2">
        <v>1.3898224000000001E-2</v>
      </c>
      <c r="L814" s="2" t="s">
        <v>606</v>
      </c>
      <c r="M814" s="4" t="s">
        <v>27325</v>
      </c>
    </row>
    <row r="815" spans="1:13">
      <c r="A815" s="2">
        <v>449</v>
      </c>
      <c r="B815" s="2" t="s">
        <v>27326</v>
      </c>
      <c r="C815" s="2">
        <v>10</v>
      </c>
      <c r="D815" s="2">
        <v>568</v>
      </c>
      <c r="E815" s="2">
        <v>220</v>
      </c>
      <c r="F815" s="2">
        <v>32441</v>
      </c>
      <c r="G815" s="2">
        <v>2.5961107550000002</v>
      </c>
      <c r="H815" s="2">
        <v>6.8422639999999998E-3</v>
      </c>
      <c r="I815" s="2" t="s">
        <v>27327</v>
      </c>
      <c r="J815" s="2" t="s">
        <v>27328</v>
      </c>
      <c r="K815" s="2">
        <v>1.405438E-2</v>
      </c>
      <c r="L815" s="2" t="s">
        <v>606</v>
      </c>
      <c r="M815" s="4" t="s">
        <v>27329</v>
      </c>
    </row>
    <row r="816" spans="1:13">
      <c r="A816" s="2">
        <v>484</v>
      </c>
      <c r="B816" s="2" t="s">
        <v>27330</v>
      </c>
      <c r="C816" s="2">
        <v>11</v>
      </c>
      <c r="D816" s="2">
        <v>568</v>
      </c>
      <c r="E816" s="2">
        <v>256</v>
      </c>
      <c r="F816" s="2">
        <v>32441</v>
      </c>
      <c r="G816" s="2">
        <v>2.4541359489999999</v>
      </c>
      <c r="H816" s="2">
        <v>6.9340560000000001E-3</v>
      </c>
      <c r="I816" s="2" t="s">
        <v>27331</v>
      </c>
      <c r="J816" s="2" t="s">
        <v>27332</v>
      </c>
      <c r="K816" s="2">
        <v>1.4208017E-2</v>
      </c>
      <c r="L816" s="2" t="s">
        <v>606</v>
      </c>
      <c r="M816" s="4" t="s">
        <v>27333</v>
      </c>
    </row>
    <row r="817" spans="1:13">
      <c r="A817" s="2">
        <v>407</v>
      </c>
      <c r="B817" s="2" t="s">
        <v>27334</v>
      </c>
      <c r="C817" s="2">
        <v>6</v>
      </c>
      <c r="D817" s="2">
        <v>568</v>
      </c>
      <c r="E817" s="2">
        <v>92</v>
      </c>
      <c r="F817" s="2">
        <v>32441</v>
      </c>
      <c r="G817" s="2">
        <v>3.724854562</v>
      </c>
      <c r="H817" s="2">
        <v>7.0166439999999998E-3</v>
      </c>
      <c r="I817" s="2" t="s">
        <v>27335</v>
      </c>
      <c r="J817" s="2" t="s">
        <v>27336</v>
      </c>
      <c r="K817" s="2">
        <v>1.4342089000000001E-2</v>
      </c>
      <c r="L817" s="2" t="s">
        <v>606</v>
      </c>
      <c r="M817" s="4" t="s">
        <v>27337</v>
      </c>
    </row>
    <row r="818" spans="1:13">
      <c r="A818" s="2">
        <v>106</v>
      </c>
      <c r="B818" s="2" t="s">
        <v>27338</v>
      </c>
      <c r="C818" s="2">
        <v>7</v>
      </c>
      <c r="D818" s="2">
        <v>568</v>
      </c>
      <c r="E818" s="2">
        <v>122</v>
      </c>
      <c r="F818" s="2">
        <v>32441</v>
      </c>
      <c r="G818" s="2">
        <v>3.2770578389999998</v>
      </c>
      <c r="H818" s="2">
        <v>7.1058010000000001E-3</v>
      </c>
      <c r="I818" s="2" t="s">
        <v>27339</v>
      </c>
      <c r="J818" s="2" t="s">
        <v>27340</v>
      </c>
      <c r="K818" s="2">
        <v>1.4488901E-2</v>
      </c>
      <c r="L818" s="2" t="s">
        <v>606</v>
      </c>
      <c r="M818" s="4" t="s">
        <v>27341</v>
      </c>
    </row>
    <row r="819" spans="1:13">
      <c r="A819" s="2">
        <v>7711</v>
      </c>
      <c r="B819" s="2" t="s">
        <v>27342</v>
      </c>
      <c r="C819" s="2">
        <v>5</v>
      </c>
      <c r="D819" s="2">
        <v>568</v>
      </c>
      <c r="E819" s="2">
        <v>65</v>
      </c>
      <c r="F819" s="2">
        <v>32441</v>
      </c>
      <c r="G819" s="2">
        <v>4.3934182020000003</v>
      </c>
      <c r="H819" s="2">
        <v>7.1639110000000002E-3</v>
      </c>
      <c r="I819" s="2" t="s">
        <v>27343</v>
      </c>
      <c r="J819" s="2" t="s">
        <v>27344</v>
      </c>
      <c r="K819" s="2">
        <v>1.4571848E-2</v>
      </c>
      <c r="L819" s="2" t="s">
        <v>606</v>
      </c>
      <c r="M819" s="4" t="s">
        <v>27345</v>
      </c>
    </row>
    <row r="820" spans="1:13">
      <c r="A820" s="2">
        <v>308</v>
      </c>
      <c r="B820" s="2" t="s">
        <v>6715</v>
      </c>
      <c r="C820" s="2">
        <v>11</v>
      </c>
      <c r="D820" s="2">
        <v>568</v>
      </c>
      <c r="E820" s="2">
        <v>258</v>
      </c>
      <c r="F820" s="2">
        <v>32441</v>
      </c>
      <c r="G820" s="2">
        <v>2.4351116390000001</v>
      </c>
      <c r="H820" s="2">
        <v>7.3147419999999999E-3</v>
      </c>
      <c r="I820" s="2" t="s">
        <v>27346</v>
      </c>
      <c r="J820" s="2" t="s">
        <v>27347</v>
      </c>
      <c r="K820" s="2">
        <v>1.4806596999999999E-2</v>
      </c>
      <c r="L820" s="2" t="s">
        <v>606</v>
      </c>
      <c r="M820" s="4" t="s">
        <v>6718</v>
      </c>
    </row>
    <row r="821" spans="1:13">
      <c r="A821" s="2">
        <v>397</v>
      </c>
      <c r="B821" s="2" t="s">
        <v>6719</v>
      </c>
      <c r="C821" s="2">
        <v>11</v>
      </c>
      <c r="D821" s="2">
        <v>568</v>
      </c>
      <c r="E821" s="2">
        <v>258</v>
      </c>
      <c r="F821" s="2">
        <v>32441</v>
      </c>
      <c r="G821" s="2">
        <v>2.4351116390000001</v>
      </c>
      <c r="H821" s="2">
        <v>7.3147419999999999E-3</v>
      </c>
      <c r="I821" s="2" t="s">
        <v>27348</v>
      </c>
      <c r="J821" s="2" t="s">
        <v>27349</v>
      </c>
      <c r="K821" s="2">
        <v>1.4806596999999999E-2</v>
      </c>
      <c r="L821" s="2" t="s">
        <v>606</v>
      </c>
      <c r="M821" s="4" t="s">
        <v>6722</v>
      </c>
    </row>
    <row r="822" spans="1:13">
      <c r="A822" s="2">
        <v>132</v>
      </c>
      <c r="B822" s="2" t="s">
        <v>27350</v>
      </c>
      <c r="C822" s="2">
        <v>11</v>
      </c>
      <c r="D822" s="2">
        <v>568</v>
      </c>
      <c r="E822" s="2">
        <v>259</v>
      </c>
      <c r="F822" s="2">
        <v>32441</v>
      </c>
      <c r="G822" s="2">
        <v>2.4257096630000001</v>
      </c>
      <c r="H822" s="2">
        <v>7.5110990000000002E-3</v>
      </c>
      <c r="I822" s="2" t="s">
        <v>27351</v>
      </c>
      <c r="J822" s="2" t="s">
        <v>27352</v>
      </c>
      <c r="K822" s="2">
        <v>1.516734E-2</v>
      </c>
      <c r="L822" s="2" t="s">
        <v>606</v>
      </c>
      <c r="M822" s="4" t="s">
        <v>27353</v>
      </c>
    </row>
    <row r="823" spans="1:13">
      <c r="A823" s="2">
        <v>447</v>
      </c>
      <c r="B823" s="2" t="s">
        <v>27354</v>
      </c>
      <c r="C823" s="2">
        <v>5</v>
      </c>
      <c r="D823" s="2">
        <v>568</v>
      </c>
      <c r="E823" s="2">
        <v>66</v>
      </c>
      <c r="F823" s="2">
        <v>32441</v>
      </c>
      <c r="G823" s="2">
        <v>4.3268512589999997</v>
      </c>
      <c r="H823" s="2">
        <v>7.6001250000000001E-3</v>
      </c>
      <c r="I823" s="2" t="s">
        <v>27355</v>
      </c>
      <c r="J823" s="2" t="s">
        <v>27356</v>
      </c>
      <c r="K823" s="2">
        <v>1.5273327999999999E-2</v>
      </c>
      <c r="L823" s="2" t="s">
        <v>606</v>
      </c>
      <c r="M823" s="4" t="s">
        <v>27357</v>
      </c>
    </row>
    <row r="824" spans="1:13">
      <c r="A824" s="2">
        <v>760</v>
      </c>
      <c r="B824" s="2" t="s">
        <v>27358</v>
      </c>
      <c r="C824" s="2">
        <v>5</v>
      </c>
      <c r="D824" s="2">
        <v>568</v>
      </c>
      <c r="E824" s="2">
        <v>66</v>
      </c>
      <c r="F824" s="2">
        <v>32441</v>
      </c>
      <c r="G824" s="2">
        <v>4.3268512589999997</v>
      </c>
      <c r="H824" s="2">
        <v>7.6001250000000001E-3</v>
      </c>
      <c r="I824" s="2" t="s">
        <v>27359</v>
      </c>
      <c r="J824" s="2" t="s">
        <v>27360</v>
      </c>
      <c r="K824" s="2">
        <v>1.5273327999999999E-2</v>
      </c>
      <c r="L824" s="2" t="s">
        <v>606</v>
      </c>
      <c r="M824" s="4" t="s">
        <v>27361</v>
      </c>
    </row>
    <row r="825" spans="1:13">
      <c r="A825" s="2">
        <v>200</v>
      </c>
      <c r="B825" s="2" t="s">
        <v>27362</v>
      </c>
      <c r="C825" s="2">
        <v>11</v>
      </c>
      <c r="D825" s="2">
        <v>568</v>
      </c>
      <c r="E825" s="2">
        <v>260</v>
      </c>
      <c r="F825" s="2">
        <v>32441</v>
      </c>
      <c r="G825" s="2">
        <v>2.4163800110000002</v>
      </c>
      <c r="H825" s="2">
        <v>7.7115389999999999E-3</v>
      </c>
      <c r="I825" s="2" t="s">
        <v>27363</v>
      </c>
      <c r="J825" s="2" t="s">
        <v>27364</v>
      </c>
      <c r="K825" s="2">
        <v>1.5342957000000001E-2</v>
      </c>
      <c r="L825" s="2" t="s">
        <v>606</v>
      </c>
      <c r="M825" s="4" t="s">
        <v>27365</v>
      </c>
    </row>
    <row r="826" spans="1:13">
      <c r="A826" s="2">
        <v>274</v>
      </c>
      <c r="B826" s="2" t="s">
        <v>27366</v>
      </c>
      <c r="C826" s="2">
        <v>11</v>
      </c>
      <c r="D826" s="2">
        <v>568</v>
      </c>
      <c r="E826" s="2">
        <v>260</v>
      </c>
      <c r="F826" s="2">
        <v>32441</v>
      </c>
      <c r="G826" s="2">
        <v>2.4163800110000002</v>
      </c>
      <c r="H826" s="2">
        <v>7.7115389999999999E-3</v>
      </c>
      <c r="I826" s="2" t="s">
        <v>27367</v>
      </c>
      <c r="J826" s="2" t="s">
        <v>27368</v>
      </c>
      <c r="K826" s="2">
        <v>1.5342957000000001E-2</v>
      </c>
      <c r="L826" s="2" t="s">
        <v>606</v>
      </c>
      <c r="M826" s="4" t="s">
        <v>27369</v>
      </c>
    </row>
    <row r="827" spans="1:13">
      <c r="A827" s="2">
        <v>418</v>
      </c>
      <c r="B827" s="2" t="s">
        <v>27370</v>
      </c>
      <c r="C827" s="2">
        <v>11</v>
      </c>
      <c r="D827" s="2">
        <v>568</v>
      </c>
      <c r="E827" s="2">
        <v>260</v>
      </c>
      <c r="F827" s="2">
        <v>32441</v>
      </c>
      <c r="G827" s="2">
        <v>2.4163800110000002</v>
      </c>
      <c r="H827" s="2">
        <v>7.7115389999999999E-3</v>
      </c>
      <c r="I827" s="2" t="s">
        <v>27371</v>
      </c>
      <c r="J827" s="2" t="s">
        <v>27372</v>
      </c>
      <c r="K827" s="2">
        <v>1.5342957000000001E-2</v>
      </c>
      <c r="L827" s="2" t="s">
        <v>606</v>
      </c>
      <c r="M827" s="4" t="s">
        <v>27373</v>
      </c>
    </row>
    <row r="828" spans="1:13">
      <c r="A828" s="2">
        <v>593</v>
      </c>
      <c r="B828" s="2" t="s">
        <v>27374</v>
      </c>
      <c r="C828" s="2">
        <v>2</v>
      </c>
      <c r="D828" s="2">
        <v>568</v>
      </c>
      <c r="E828" s="2">
        <v>6</v>
      </c>
      <c r="F828" s="2">
        <v>32441</v>
      </c>
      <c r="G828" s="2">
        <v>19.038145539999999</v>
      </c>
      <c r="H828" s="2">
        <v>7.7265370000000003E-3</v>
      </c>
      <c r="I828" s="2" t="s">
        <v>27375</v>
      </c>
      <c r="J828" s="2" t="s">
        <v>27376</v>
      </c>
      <c r="K828" s="2">
        <v>1.5342957000000001E-2</v>
      </c>
      <c r="L828" s="2" t="s">
        <v>606</v>
      </c>
      <c r="M828" s="4" t="s">
        <v>27377</v>
      </c>
    </row>
    <row r="829" spans="1:13">
      <c r="A829" s="2">
        <v>635</v>
      </c>
      <c r="B829" s="2" t="s">
        <v>27378</v>
      </c>
      <c r="C829" s="2">
        <v>7</v>
      </c>
      <c r="D829" s="2">
        <v>568</v>
      </c>
      <c r="E829" s="2">
        <v>124</v>
      </c>
      <c r="F829" s="2">
        <v>32441</v>
      </c>
      <c r="G829" s="2">
        <v>3.2242020669999998</v>
      </c>
      <c r="H829" s="2">
        <v>7.7072140000000004E-3</v>
      </c>
      <c r="I829" s="2" t="s">
        <v>27379</v>
      </c>
      <c r="J829" s="2" t="s">
        <v>27380</v>
      </c>
      <c r="K829" s="2">
        <v>1.5342957000000001E-2</v>
      </c>
      <c r="L829" s="2" t="s">
        <v>606</v>
      </c>
      <c r="M829" s="4" t="s">
        <v>27381</v>
      </c>
    </row>
    <row r="830" spans="1:13">
      <c r="A830" s="2">
        <v>613</v>
      </c>
      <c r="B830" s="2" t="s">
        <v>27382</v>
      </c>
      <c r="C830" s="2">
        <v>7</v>
      </c>
      <c r="D830" s="2">
        <v>568</v>
      </c>
      <c r="E830" s="2">
        <v>125</v>
      </c>
      <c r="F830" s="2">
        <v>32441</v>
      </c>
      <c r="G830" s="2">
        <v>3.1984084510000002</v>
      </c>
      <c r="H830" s="2">
        <v>8.0216290000000006E-3</v>
      </c>
      <c r="I830" s="2" t="s">
        <v>27383</v>
      </c>
      <c r="J830" s="2" t="s">
        <v>27384</v>
      </c>
      <c r="K830" s="2">
        <v>1.5891189999999999E-2</v>
      </c>
      <c r="L830" s="2" t="s">
        <v>606</v>
      </c>
      <c r="M830" s="4" t="s">
        <v>27385</v>
      </c>
    </row>
    <row r="831" spans="1:13">
      <c r="A831" s="2">
        <v>630</v>
      </c>
      <c r="B831" s="2" t="s">
        <v>27386</v>
      </c>
      <c r="C831" s="2">
        <v>5</v>
      </c>
      <c r="D831" s="2">
        <v>568</v>
      </c>
      <c r="E831" s="2">
        <v>67</v>
      </c>
      <c r="F831" s="2">
        <v>32441</v>
      </c>
      <c r="G831" s="2">
        <v>4.2622713900000004</v>
      </c>
      <c r="H831" s="2">
        <v>8.0544799999999993E-3</v>
      </c>
      <c r="I831" s="2" t="s">
        <v>27387</v>
      </c>
      <c r="J831" s="2" t="s">
        <v>27388</v>
      </c>
      <c r="K831" s="2">
        <v>1.5918547000000002E-2</v>
      </c>
      <c r="L831" s="2" t="s">
        <v>606</v>
      </c>
      <c r="M831" s="4" t="s">
        <v>27389</v>
      </c>
    </row>
    <row r="832" spans="1:13">
      <c r="A832" s="2">
        <v>671</v>
      </c>
      <c r="B832" s="2" t="s">
        <v>27390</v>
      </c>
      <c r="C832" s="2">
        <v>6</v>
      </c>
      <c r="D832" s="2">
        <v>568</v>
      </c>
      <c r="E832" s="2">
        <v>95</v>
      </c>
      <c r="F832" s="2">
        <v>32441</v>
      </c>
      <c r="G832" s="2">
        <v>3.6072275760000001</v>
      </c>
      <c r="H832" s="2">
        <v>8.0943160000000007E-3</v>
      </c>
      <c r="I832" s="2" t="s">
        <v>27391</v>
      </c>
      <c r="J832" s="2" t="s">
        <v>27392</v>
      </c>
      <c r="K832" s="2">
        <v>1.5959547000000001E-2</v>
      </c>
      <c r="L832" s="2" t="s">
        <v>606</v>
      </c>
      <c r="M832" s="4" t="s">
        <v>27393</v>
      </c>
    </row>
    <row r="833" spans="1:13">
      <c r="A833" s="2">
        <v>931</v>
      </c>
      <c r="B833" s="2" t="s">
        <v>27394</v>
      </c>
      <c r="C833" s="2">
        <v>11</v>
      </c>
      <c r="D833" s="2">
        <v>568</v>
      </c>
      <c r="E833" s="2">
        <v>262</v>
      </c>
      <c r="F833" s="2">
        <v>32441</v>
      </c>
      <c r="G833" s="2">
        <v>2.397934362</v>
      </c>
      <c r="H833" s="2">
        <v>8.1248899999999992E-3</v>
      </c>
      <c r="I833" s="2" t="s">
        <v>27395</v>
      </c>
      <c r="J833" s="2" t="s">
        <v>27396</v>
      </c>
      <c r="K833" s="2">
        <v>1.5982137E-2</v>
      </c>
      <c r="L833" s="2" t="s">
        <v>606</v>
      </c>
      <c r="M833" s="4" t="s">
        <v>27397</v>
      </c>
    </row>
    <row r="834" spans="1:13">
      <c r="A834" s="2">
        <v>124</v>
      </c>
      <c r="B834" s="2" t="s">
        <v>27398</v>
      </c>
      <c r="C834" s="2">
        <v>11</v>
      </c>
      <c r="D834" s="2">
        <v>568</v>
      </c>
      <c r="E834" s="2">
        <v>263</v>
      </c>
      <c r="F834" s="2">
        <v>32441</v>
      </c>
      <c r="G834" s="2">
        <v>2.3888167409999999</v>
      </c>
      <c r="H834" s="2">
        <v>8.3379140000000001E-3</v>
      </c>
      <c r="I834" s="2" t="s">
        <v>27399</v>
      </c>
      <c r="J834" s="2" t="s">
        <v>27400</v>
      </c>
      <c r="K834" s="2">
        <v>1.6362667000000001E-2</v>
      </c>
      <c r="L834" s="2" t="s">
        <v>606</v>
      </c>
      <c r="M834" s="4" t="s">
        <v>27401</v>
      </c>
    </row>
    <row r="835" spans="1:13">
      <c r="A835" s="2">
        <v>4161</v>
      </c>
      <c r="B835" s="2" t="s">
        <v>27402</v>
      </c>
      <c r="C835" s="2">
        <v>11</v>
      </c>
      <c r="D835" s="2">
        <v>568</v>
      </c>
      <c r="E835" s="2">
        <v>264</v>
      </c>
      <c r="F835" s="2">
        <v>32441</v>
      </c>
      <c r="G835" s="2">
        <v>2.3797681919999998</v>
      </c>
      <c r="H835" s="2">
        <v>8.5552449999999995E-3</v>
      </c>
      <c r="I835" s="2" t="s">
        <v>27403</v>
      </c>
      <c r="J835" s="2" t="s">
        <v>27404</v>
      </c>
      <c r="K835" s="2">
        <v>1.6749846999999998E-2</v>
      </c>
      <c r="L835" s="2" t="s">
        <v>606</v>
      </c>
      <c r="M835" s="4" t="s">
        <v>27405</v>
      </c>
    </row>
    <row r="836" spans="1:13">
      <c r="A836" s="2">
        <v>587</v>
      </c>
      <c r="B836" s="2" t="s">
        <v>27406</v>
      </c>
      <c r="C836" s="2">
        <v>4</v>
      </c>
      <c r="D836" s="2">
        <v>568</v>
      </c>
      <c r="E836" s="2">
        <v>43</v>
      </c>
      <c r="F836" s="2">
        <v>32441</v>
      </c>
      <c r="G836" s="2">
        <v>5.312970848</v>
      </c>
      <c r="H836" s="2">
        <v>8.6245409999999995E-3</v>
      </c>
      <c r="I836" s="2" t="s">
        <v>27407</v>
      </c>
      <c r="J836" s="2" t="s">
        <v>27408</v>
      </c>
      <c r="K836" s="2">
        <v>1.6846066E-2</v>
      </c>
      <c r="L836" s="2" t="s">
        <v>606</v>
      </c>
      <c r="M836" s="4" t="s">
        <v>27409</v>
      </c>
    </row>
    <row r="837" spans="1:13">
      <c r="A837" s="2">
        <v>429</v>
      </c>
      <c r="B837" s="2" t="s">
        <v>27410</v>
      </c>
      <c r="C837" s="2">
        <v>10</v>
      </c>
      <c r="D837" s="2">
        <v>568</v>
      </c>
      <c r="E837" s="2">
        <v>230</v>
      </c>
      <c r="F837" s="2">
        <v>32441</v>
      </c>
      <c r="G837" s="2">
        <v>2.4832363750000002</v>
      </c>
      <c r="H837" s="2">
        <v>9.0902889999999997E-3</v>
      </c>
      <c r="I837" s="2" t="s">
        <v>27411</v>
      </c>
      <c r="J837" s="2" t="s">
        <v>27412</v>
      </c>
      <c r="K837" s="2">
        <v>1.7714409E-2</v>
      </c>
      <c r="L837" s="2" t="s">
        <v>606</v>
      </c>
      <c r="M837" s="4" t="s">
        <v>27413</v>
      </c>
    </row>
    <row r="838" spans="1:13">
      <c r="A838" s="2">
        <v>125</v>
      </c>
      <c r="B838" s="2" t="s">
        <v>27414</v>
      </c>
      <c r="C838" s="2">
        <v>11</v>
      </c>
      <c r="D838" s="2">
        <v>568</v>
      </c>
      <c r="E838" s="2">
        <v>268</v>
      </c>
      <c r="F838" s="2">
        <v>32441</v>
      </c>
      <c r="G838" s="2">
        <v>2.3442492640000001</v>
      </c>
      <c r="H838" s="2">
        <v>9.4687699999999996E-3</v>
      </c>
      <c r="I838" s="2" t="s">
        <v>27415</v>
      </c>
      <c r="J838" s="2" t="s">
        <v>27416</v>
      </c>
      <c r="K838" s="2">
        <v>1.8409050999999999E-2</v>
      </c>
      <c r="L838" s="2" t="s">
        <v>606</v>
      </c>
      <c r="M838" s="4" t="s">
        <v>27417</v>
      </c>
    </row>
    <row r="839" spans="1:13">
      <c r="A839" s="2">
        <v>446</v>
      </c>
      <c r="B839" s="2" t="s">
        <v>27418</v>
      </c>
      <c r="C839" s="2">
        <v>11</v>
      </c>
      <c r="D839" s="2">
        <v>568</v>
      </c>
      <c r="E839" s="2">
        <v>269</v>
      </c>
      <c r="F839" s="2">
        <v>32441</v>
      </c>
      <c r="G839" s="2">
        <v>2.3355345829999998</v>
      </c>
      <c r="H839" s="2">
        <v>9.7084860000000005E-3</v>
      </c>
      <c r="I839" s="2" t="s">
        <v>27419</v>
      </c>
      <c r="J839" s="2" t="s">
        <v>27420</v>
      </c>
      <c r="K839" s="2">
        <v>1.883131E-2</v>
      </c>
      <c r="L839" s="2" t="s">
        <v>606</v>
      </c>
      <c r="M839" s="4" t="s">
        <v>27421</v>
      </c>
    </row>
    <row r="840" spans="1:13">
      <c r="A840" s="2">
        <v>273</v>
      </c>
      <c r="B840" s="2" t="s">
        <v>27422</v>
      </c>
      <c r="C840" s="2">
        <v>6</v>
      </c>
      <c r="D840" s="2">
        <v>568</v>
      </c>
      <c r="E840" s="2">
        <v>100</v>
      </c>
      <c r="F840" s="2">
        <v>32441</v>
      </c>
      <c r="G840" s="2">
        <v>3.4268661969999998</v>
      </c>
      <c r="H840" s="2">
        <v>1.0147003999999999E-2</v>
      </c>
      <c r="I840" s="2" t="s">
        <v>27423</v>
      </c>
      <c r="J840" s="2" t="s">
        <v>27424</v>
      </c>
      <c r="K840" s="2">
        <v>1.9636332999999999E-2</v>
      </c>
      <c r="L840" s="2" t="s">
        <v>606</v>
      </c>
      <c r="M840" s="4" t="s">
        <v>27425</v>
      </c>
    </row>
    <row r="841" spans="1:13">
      <c r="A841" s="2">
        <v>133</v>
      </c>
      <c r="B841" s="2" t="s">
        <v>27426</v>
      </c>
      <c r="C841" s="2">
        <v>4</v>
      </c>
      <c r="D841" s="2">
        <v>568</v>
      </c>
      <c r="E841" s="2">
        <v>46</v>
      </c>
      <c r="F841" s="2">
        <v>32441</v>
      </c>
      <c r="G841" s="2">
        <v>4.9664727500000003</v>
      </c>
      <c r="H841" s="2">
        <v>1.0696855E-2</v>
      </c>
      <c r="I841" s="2" t="s">
        <v>27427</v>
      </c>
      <c r="J841" s="2" t="s">
        <v>27428</v>
      </c>
      <c r="K841" s="2">
        <v>2.0591346999999999E-2</v>
      </c>
      <c r="L841" s="2" t="s">
        <v>606</v>
      </c>
      <c r="M841" s="4" t="s">
        <v>27429</v>
      </c>
    </row>
    <row r="842" spans="1:13">
      <c r="A842" s="2">
        <v>122</v>
      </c>
      <c r="B842" s="2" t="s">
        <v>27430</v>
      </c>
      <c r="C842" s="2">
        <v>11</v>
      </c>
      <c r="D842" s="2">
        <v>568</v>
      </c>
      <c r="E842" s="2">
        <v>273</v>
      </c>
      <c r="F842" s="2">
        <v>32441</v>
      </c>
      <c r="G842" s="2">
        <v>2.3013142960000001</v>
      </c>
      <c r="H842" s="2">
        <v>1.0714397000000001E-2</v>
      </c>
      <c r="I842" s="2" t="s">
        <v>27431</v>
      </c>
      <c r="J842" s="2" t="s">
        <v>27432</v>
      </c>
      <c r="K842" s="2">
        <v>2.0591346999999999E-2</v>
      </c>
      <c r="L842" s="2" t="s">
        <v>606</v>
      </c>
      <c r="M842" s="4" t="s">
        <v>27433</v>
      </c>
    </row>
    <row r="843" spans="1:13">
      <c r="A843" s="2">
        <v>311</v>
      </c>
      <c r="B843" s="2" t="s">
        <v>27434</v>
      </c>
      <c r="C843" s="2">
        <v>4</v>
      </c>
      <c r="D843" s="2">
        <v>568</v>
      </c>
      <c r="E843" s="2">
        <v>46</v>
      </c>
      <c r="F843" s="2">
        <v>32441</v>
      </c>
      <c r="G843" s="2">
        <v>4.9664727500000003</v>
      </c>
      <c r="H843" s="2">
        <v>1.0696855E-2</v>
      </c>
      <c r="I843" s="2" t="s">
        <v>27435</v>
      </c>
      <c r="J843" s="2" t="s">
        <v>27436</v>
      </c>
      <c r="K843" s="2">
        <v>2.0591346999999999E-2</v>
      </c>
      <c r="L843" s="2" t="s">
        <v>606</v>
      </c>
      <c r="M843" s="4" t="s">
        <v>27437</v>
      </c>
    </row>
    <row r="844" spans="1:13">
      <c r="A844" s="2">
        <v>271</v>
      </c>
      <c r="B844" s="2" t="s">
        <v>6739</v>
      </c>
      <c r="C844" s="2">
        <v>10</v>
      </c>
      <c r="D844" s="2">
        <v>568</v>
      </c>
      <c r="E844" s="2">
        <v>237</v>
      </c>
      <c r="F844" s="2">
        <v>32441</v>
      </c>
      <c r="G844" s="2">
        <v>2.4098918399999998</v>
      </c>
      <c r="H844" s="2">
        <v>1.0972783999999999E-2</v>
      </c>
      <c r="I844" s="2" t="s">
        <v>27438</v>
      </c>
      <c r="J844" s="2" t="s">
        <v>27439</v>
      </c>
      <c r="K844" s="2">
        <v>2.0953296999999999E-2</v>
      </c>
      <c r="L844" s="2" t="s">
        <v>606</v>
      </c>
      <c r="M844" s="4" t="s">
        <v>6742</v>
      </c>
    </row>
    <row r="845" spans="1:13">
      <c r="A845" s="2">
        <v>214</v>
      </c>
      <c r="B845" s="2" t="s">
        <v>6759</v>
      </c>
      <c r="C845" s="2">
        <v>11</v>
      </c>
      <c r="D845" s="2">
        <v>568</v>
      </c>
      <c r="E845" s="2">
        <v>274</v>
      </c>
      <c r="F845" s="2">
        <v>32441</v>
      </c>
      <c r="G845" s="2">
        <v>2.2929153389999999</v>
      </c>
      <c r="H845" s="2">
        <v>1.0977923000000001E-2</v>
      </c>
      <c r="I845" s="2" t="s">
        <v>27440</v>
      </c>
      <c r="J845" s="2" t="s">
        <v>27441</v>
      </c>
      <c r="K845" s="2">
        <v>2.0953296999999999E-2</v>
      </c>
      <c r="L845" s="2" t="s">
        <v>606</v>
      </c>
      <c r="M845" s="4" t="s">
        <v>6762</v>
      </c>
    </row>
    <row r="846" spans="1:13">
      <c r="A846" s="2">
        <v>245</v>
      </c>
      <c r="B846" s="2" t="s">
        <v>6897</v>
      </c>
      <c r="C846" s="2">
        <v>10</v>
      </c>
      <c r="D846" s="2">
        <v>568</v>
      </c>
      <c r="E846" s="2">
        <v>237</v>
      </c>
      <c r="F846" s="2">
        <v>32441</v>
      </c>
      <c r="G846" s="2">
        <v>2.4098918399999998</v>
      </c>
      <c r="H846" s="2">
        <v>1.0972783999999999E-2</v>
      </c>
      <c r="I846" s="2" t="s">
        <v>27442</v>
      </c>
      <c r="J846" s="2" t="s">
        <v>27443</v>
      </c>
      <c r="K846" s="2">
        <v>2.0953296999999999E-2</v>
      </c>
      <c r="L846" s="2" t="s">
        <v>606</v>
      </c>
      <c r="M846" s="4" t="s">
        <v>6900</v>
      </c>
    </row>
    <row r="847" spans="1:13">
      <c r="A847" s="2">
        <v>373</v>
      </c>
      <c r="B847" s="2" t="s">
        <v>27444</v>
      </c>
      <c r="C847" s="2">
        <v>10</v>
      </c>
      <c r="D847" s="2">
        <v>568</v>
      </c>
      <c r="E847" s="2">
        <v>238</v>
      </c>
      <c r="F847" s="2">
        <v>32441</v>
      </c>
      <c r="G847" s="2">
        <v>2.3997662449999999</v>
      </c>
      <c r="H847" s="2">
        <v>1.1264157E-2</v>
      </c>
      <c r="I847" s="2" t="s">
        <v>27445</v>
      </c>
      <c r="J847" s="2" t="s">
        <v>27446</v>
      </c>
      <c r="K847" s="2">
        <v>2.1450651000000001E-2</v>
      </c>
      <c r="L847" s="2" t="s">
        <v>606</v>
      </c>
      <c r="M847" s="4" t="s">
        <v>27447</v>
      </c>
    </row>
    <row r="848" spans="1:13">
      <c r="A848" s="2">
        <v>692</v>
      </c>
      <c r="B848" s="2" t="s">
        <v>27448</v>
      </c>
      <c r="C848" s="2">
        <v>4</v>
      </c>
      <c r="D848" s="2">
        <v>568</v>
      </c>
      <c r="E848" s="2">
        <v>47</v>
      </c>
      <c r="F848" s="2">
        <v>32441</v>
      </c>
      <c r="G848" s="2">
        <v>4.8608031169999997</v>
      </c>
      <c r="H848" s="2">
        <v>1.1452878999999999E-2</v>
      </c>
      <c r="I848" s="2" t="s">
        <v>27449</v>
      </c>
      <c r="J848" s="2" t="s">
        <v>27450</v>
      </c>
      <c r="K848" s="2">
        <v>2.1760471E-2</v>
      </c>
      <c r="L848" s="2" t="s">
        <v>606</v>
      </c>
      <c r="M848" s="4" t="s">
        <v>27451</v>
      </c>
    </row>
    <row r="849" spans="1:13">
      <c r="A849" s="2">
        <v>62</v>
      </c>
      <c r="B849" s="2" t="s">
        <v>27452</v>
      </c>
      <c r="C849" s="2">
        <v>6</v>
      </c>
      <c r="D849" s="2">
        <v>568</v>
      </c>
      <c r="E849" s="2">
        <v>103</v>
      </c>
      <c r="F849" s="2">
        <v>32441</v>
      </c>
      <c r="G849" s="2">
        <v>3.3270545600000001</v>
      </c>
      <c r="H849" s="2">
        <v>1.1542507E-2</v>
      </c>
      <c r="I849" s="2" t="s">
        <v>27453</v>
      </c>
      <c r="J849" s="2" t="s">
        <v>27454</v>
      </c>
      <c r="K849" s="2">
        <v>2.1881034000000001E-2</v>
      </c>
      <c r="L849" s="2" t="s">
        <v>606</v>
      </c>
      <c r="M849" s="4" t="s">
        <v>27455</v>
      </c>
    </row>
    <row r="850" spans="1:13">
      <c r="A850" s="2">
        <v>554</v>
      </c>
      <c r="B850" s="2" t="s">
        <v>27456</v>
      </c>
      <c r="C850" s="2">
        <v>7</v>
      </c>
      <c r="D850" s="2">
        <v>568</v>
      </c>
      <c r="E850" s="2">
        <v>136</v>
      </c>
      <c r="F850" s="2">
        <v>32441</v>
      </c>
      <c r="G850" s="2">
        <v>2.9397136499999998</v>
      </c>
      <c r="H850" s="2">
        <v>1.2132072000000001E-2</v>
      </c>
      <c r="I850" s="2" t="s">
        <v>27457</v>
      </c>
      <c r="J850" s="2" t="s">
        <v>27458</v>
      </c>
      <c r="K850" s="2">
        <v>2.2905966E-2</v>
      </c>
      <c r="L850" s="2" t="s">
        <v>606</v>
      </c>
      <c r="M850" s="4" t="s">
        <v>27459</v>
      </c>
    </row>
    <row r="851" spans="1:13">
      <c r="A851" s="2">
        <v>715</v>
      </c>
      <c r="B851" s="2" t="s">
        <v>27460</v>
      </c>
      <c r="C851" s="2">
        <v>2</v>
      </c>
      <c r="D851" s="2">
        <v>568</v>
      </c>
      <c r="E851" s="2">
        <v>8</v>
      </c>
      <c r="F851" s="2">
        <v>32441</v>
      </c>
      <c r="G851" s="2">
        <v>14.278609149999999</v>
      </c>
      <c r="H851" s="2">
        <v>1.213797E-2</v>
      </c>
      <c r="I851" s="2" t="s">
        <v>27461</v>
      </c>
      <c r="J851" s="2" t="s">
        <v>27462</v>
      </c>
      <c r="K851" s="2">
        <v>2.2905966E-2</v>
      </c>
      <c r="L851" s="2" t="s">
        <v>606</v>
      </c>
      <c r="M851" s="4" t="s">
        <v>27463</v>
      </c>
    </row>
    <row r="852" spans="1:13">
      <c r="A852" s="2">
        <v>131</v>
      </c>
      <c r="B852" s="2" t="s">
        <v>27464</v>
      </c>
      <c r="C852" s="2">
        <v>10</v>
      </c>
      <c r="D852" s="2">
        <v>568</v>
      </c>
      <c r="E852" s="2">
        <v>241</v>
      </c>
      <c r="F852" s="2">
        <v>32441</v>
      </c>
      <c r="G852" s="2">
        <v>2.369893636</v>
      </c>
      <c r="H852" s="2">
        <v>1.2173496000000001E-2</v>
      </c>
      <c r="I852" s="2" t="s">
        <v>27465</v>
      </c>
      <c r="J852" s="2" t="s">
        <v>27466</v>
      </c>
      <c r="K852" s="2">
        <v>2.2921265999999999E-2</v>
      </c>
      <c r="L852" s="2" t="s">
        <v>606</v>
      </c>
      <c r="M852" s="4" t="s">
        <v>27467</v>
      </c>
    </row>
    <row r="853" spans="1:13">
      <c r="A853" s="2">
        <v>355</v>
      </c>
      <c r="B853" s="2" t="s">
        <v>27468</v>
      </c>
      <c r="C853" s="2">
        <v>10</v>
      </c>
      <c r="D853" s="2">
        <v>568</v>
      </c>
      <c r="E853" s="2">
        <v>242</v>
      </c>
      <c r="F853" s="2">
        <v>32441</v>
      </c>
      <c r="G853" s="2">
        <v>2.3601006870000001</v>
      </c>
      <c r="H853" s="2">
        <v>1.2488582E-2</v>
      </c>
      <c r="I853" s="2" t="s">
        <v>27469</v>
      </c>
      <c r="J853" s="2" t="s">
        <v>27470</v>
      </c>
      <c r="K853" s="2">
        <v>2.340909E-2</v>
      </c>
      <c r="L853" s="2" t="s">
        <v>606</v>
      </c>
      <c r="M853" s="4" t="s">
        <v>27471</v>
      </c>
    </row>
    <row r="854" spans="1:13">
      <c r="A854" s="2">
        <v>375</v>
      </c>
      <c r="B854" s="2" t="s">
        <v>27472</v>
      </c>
      <c r="C854" s="2">
        <v>10</v>
      </c>
      <c r="D854" s="2">
        <v>568</v>
      </c>
      <c r="E854" s="2">
        <v>242</v>
      </c>
      <c r="F854" s="2">
        <v>32441</v>
      </c>
      <c r="G854" s="2">
        <v>2.3601006870000001</v>
      </c>
      <c r="H854" s="2">
        <v>1.2488582E-2</v>
      </c>
      <c r="I854" s="2" t="s">
        <v>27473</v>
      </c>
      <c r="J854" s="2" t="s">
        <v>27474</v>
      </c>
      <c r="K854" s="2">
        <v>2.340909E-2</v>
      </c>
      <c r="L854" s="2" t="s">
        <v>606</v>
      </c>
      <c r="M854" s="4" t="s">
        <v>27475</v>
      </c>
    </row>
    <row r="855" spans="1:13">
      <c r="A855" s="2">
        <v>378</v>
      </c>
      <c r="B855" s="2" t="s">
        <v>27476</v>
      </c>
      <c r="C855" s="2">
        <v>9</v>
      </c>
      <c r="D855" s="2">
        <v>568</v>
      </c>
      <c r="E855" s="2">
        <v>208</v>
      </c>
      <c r="F855" s="2">
        <v>32441</v>
      </c>
      <c r="G855" s="2">
        <v>2.4712977380000001</v>
      </c>
      <c r="H855" s="2">
        <v>1.3331111E-2</v>
      </c>
      <c r="I855" s="2" t="s">
        <v>27477</v>
      </c>
      <c r="J855" s="2" t="s">
        <v>27478</v>
      </c>
      <c r="K855" s="2">
        <v>2.4932458000000001E-2</v>
      </c>
      <c r="L855" s="2" t="s">
        <v>606</v>
      </c>
      <c r="M855" s="4" t="s">
        <v>27479</v>
      </c>
    </row>
    <row r="856" spans="1:13">
      <c r="A856" s="2">
        <v>287</v>
      </c>
      <c r="B856" s="2" t="s">
        <v>27480</v>
      </c>
      <c r="C856" s="2">
        <v>10</v>
      </c>
      <c r="D856" s="2">
        <v>568</v>
      </c>
      <c r="E856" s="2">
        <v>245</v>
      </c>
      <c r="F856" s="2">
        <v>32441</v>
      </c>
      <c r="G856" s="2">
        <v>2.3312014950000002</v>
      </c>
      <c r="H856" s="2">
        <v>1.3470742000000001E-2</v>
      </c>
      <c r="I856" s="2" t="s">
        <v>27481</v>
      </c>
      <c r="J856" s="2" t="s">
        <v>27482</v>
      </c>
      <c r="K856" s="2">
        <v>2.5137367000000001E-2</v>
      </c>
      <c r="L856" s="2" t="s">
        <v>606</v>
      </c>
      <c r="M856" s="4" t="s">
        <v>27483</v>
      </c>
    </row>
    <row r="857" spans="1:13">
      <c r="A857" s="2">
        <v>574</v>
      </c>
      <c r="B857" s="2" t="s">
        <v>27484</v>
      </c>
      <c r="C857" s="2">
        <v>6</v>
      </c>
      <c r="D857" s="2">
        <v>568</v>
      </c>
      <c r="E857" s="2">
        <v>107</v>
      </c>
      <c r="F857" s="2">
        <v>32441</v>
      </c>
      <c r="G857" s="2">
        <v>3.2026786889999999</v>
      </c>
      <c r="H857" s="2">
        <v>1.3606637E-2</v>
      </c>
      <c r="I857" s="2" t="s">
        <v>27485</v>
      </c>
      <c r="J857" s="2" t="s">
        <v>27486</v>
      </c>
      <c r="K857" s="2">
        <v>2.5334406E-2</v>
      </c>
      <c r="L857" s="2" t="s">
        <v>606</v>
      </c>
      <c r="M857" s="4" t="s">
        <v>27487</v>
      </c>
    </row>
    <row r="858" spans="1:13">
      <c r="A858" s="2">
        <v>343</v>
      </c>
      <c r="B858" s="2" t="s">
        <v>27488</v>
      </c>
      <c r="C858" s="2">
        <v>5</v>
      </c>
      <c r="D858" s="2">
        <v>568</v>
      </c>
      <c r="E858" s="2">
        <v>77</v>
      </c>
      <c r="F858" s="2">
        <v>32441</v>
      </c>
      <c r="G858" s="2">
        <v>3.7087296510000001</v>
      </c>
      <c r="H858" s="2">
        <v>1.3672782E-2</v>
      </c>
      <c r="I858" s="2" t="s">
        <v>27489</v>
      </c>
      <c r="J858" s="2" t="s">
        <v>27490</v>
      </c>
      <c r="K858" s="2">
        <v>2.5400991000000001E-2</v>
      </c>
      <c r="L858" s="2" t="s">
        <v>606</v>
      </c>
      <c r="M858" s="4" t="s">
        <v>27491</v>
      </c>
    </row>
    <row r="859" spans="1:13">
      <c r="A859" s="2">
        <v>342</v>
      </c>
      <c r="B859" s="2" t="s">
        <v>27492</v>
      </c>
      <c r="C859" s="2">
        <v>10</v>
      </c>
      <c r="D859" s="2">
        <v>568</v>
      </c>
      <c r="E859" s="2">
        <v>246</v>
      </c>
      <c r="F859" s="2">
        <v>32441</v>
      </c>
      <c r="G859" s="2">
        <v>2.3217250659999999</v>
      </c>
      <c r="H859" s="2">
        <v>1.3810664E-2</v>
      </c>
      <c r="I859" s="2" t="s">
        <v>27493</v>
      </c>
      <c r="J859" s="2" t="s">
        <v>27494</v>
      </c>
      <c r="K859" s="2">
        <v>2.5543617000000001E-2</v>
      </c>
      <c r="L859" s="2" t="s">
        <v>606</v>
      </c>
      <c r="M859" s="4" t="s">
        <v>27495</v>
      </c>
    </row>
    <row r="860" spans="1:13">
      <c r="A860" s="2">
        <v>386</v>
      </c>
      <c r="B860" s="2" t="s">
        <v>27496</v>
      </c>
      <c r="C860" s="2">
        <v>10</v>
      </c>
      <c r="D860" s="2">
        <v>568</v>
      </c>
      <c r="E860" s="2">
        <v>246</v>
      </c>
      <c r="F860" s="2">
        <v>32441</v>
      </c>
      <c r="G860" s="2">
        <v>2.3217250659999999</v>
      </c>
      <c r="H860" s="2">
        <v>1.3810664E-2</v>
      </c>
      <c r="I860" s="2" t="s">
        <v>27497</v>
      </c>
      <c r="J860" s="2" t="s">
        <v>27498</v>
      </c>
      <c r="K860" s="2">
        <v>2.5543617000000001E-2</v>
      </c>
      <c r="L860" s="2" t="s">
        <v>606</v>
      </c>
      <c r="M860" s="4" t="s">
        <v>27499</v>
      </c>
    </row>
    <row r="861" spans="1:13">
      <c r="A861" s="2">
        <v>360</v>
      </c>
      <c r="B861" s="2" t="s">
        <v>27500</v>
      </c>
      <c r="C861" s="2">
        <v>10</v>
      </c>
      <c r="D861" s="2">
        <v>568</v>
      </c>
      <c r="E861" s="2">
        <v>247</v>
      </c>
      <c r="F861" s="2">
        <v>32441</v>
      </c>
      <c r="G861" s="2">
        <v>2.3123253689999999</v>
      </c>
      <c r="H861" s="2">
        <v>1.4156969E-2</v>
      </c>
      <c r="I861" s="2" t="s">
        <v>27501</v>
      </c>
      <c r="J861" s="2" t="s">
        <v>27502</v>
      </c>
      <c r="K861" s="2">
        <v>2.6126325999999998E-2</v>
      </c>
      <c r="L861" s="2" t="s">
        <v>606</v>
      </c>
      <c r="M861" s="4" t="s">
        <v>27503</v>
      </c>
    </row>
    <row r="862" spans="1:13">
      <c r="A862" s="2">
        <v>555</v>
      </c>
      <c r="B862" s="2" t="s">
        <v>27504</v>
      </c>
      <c r="C862" s="2">
        <v>8</v>
      </c>
      <c r="D862" s="2">
        <v>568</v>
      </c>
      <c r="E862" s="2">
        <v>175</v>
      </c>
      <c r="F862" s="2">
        <v>32441</v>
      </c>
      <c r="G862" s="2">
        <v>2.6109456739999999</v>
      </c>
      <c r="H862" s="2">
        <v>1.4323957999999999E-2</v>
      </c>
      <c r="I862" s="2" t="s">
        <v>27505</v>
      </c>
      <c r="J862" s="2" t="s">
        <v>27506</v>
      </c>
      <c r="K862" s="2">
        <v>2.6376275000000001E-2</v>
      </c>
      <c r="L862" s="2" t="s">
        <v>606</v>
      </c>
      <c r="M862" s="4" t="s">
        <v>27507</v>
      </c>
    </row>
    <row r="863" spans="1:13">
      <c r="A863" s="2">
        <v>153</v>
      </c>
      <c r="B863" s="2" t="s">
        <v>27508</v>
      </c>
      <c r="C863" s="2">
        <v>9</v>
      </c>
      <c r="D863" s="2">
        <v>568</v>
      </c>
      <c r="E863" s="2">
        <v>211</v>
      </c>
      <c r="F863" s="2">
        <v>32441</v>
      </c>
      <c r="G863" s="2">
        <v>2.436160804</v>
      </c>
      <c r="H863" s="2">
        <v>1.4463436E-2</v>
      </c>
      <c r="I863" s="2" t="s">
        <v>27509</v>
      </c>
      <c r="J863" s="2" t="s">
        <v>27510</v>
      </c>
      <c r="K863" s="2">
        <v>2.6574576999999999E-2</v>
      </c>
      <c r="L863" s="2" t="s">
        <v>606</v>
      </c>
      <c r="M863" s="4" t="s">
        <v>27511</v>
      </c>
    </row>
    <row r="864" spans="1:13">
      <c r="A864" s="2">
        <v>548</v>
      </c>
      <c r="B864" s="2" t="s">
        <v>2974</v>
      </c>
      <c r="C864" s="2">
        <v>6</v>
      </c>
      <c r="D864" s="2">
        <v>568</v>
      </c>
      <c r="E864" s="2">
        <v>109</v>
      </c>
      <c r="F864" s="2">
        <v>32441</v>
      </c>
      <c r="G864" s="2">
        <v>3.1439139420000002</v>
      </c>
      <c r="H864" s="2">
        <v>1.4729691E-2</v>
      </c>
      <c r="I864" s="2" t="s">
        <v>27512</v>
      </c>
      <c r="J864" s="2" t="s">
        <v>27513</v>
      </c>
      <c r="K864" s="2">
        <v>2.7004433000000001E-2</v>
      </c>
      <c r="L864" s="2" t="s">
        <v>606</v>
      </c>
      <c r="M864" s="4" t="s">
        <v>2977</v>
      </c>
    </row>
    <row r="865" spans="1:13">
      <c r="A865" s="2">
        <v>827</v>
      </c>
      <c r="B865" s="2" t="s">
        <v>27514</v>
      </c>
      <c r="C865" s="2">
        <v>10</v>
      </c>
      <c r="D865" s="2">
        <v>568</v>
      </c>
      <c r="E865" s="2">
        <v>249</v>
      </c>
      <c r="F865" s="2">
        <v>32441</v>
      </c>
      <c r="G865" s="2">
        <v>2.2937524749999998</v>
      </c>
      <c r="H865" s="2">
        <v>1.4869008E-2</v>
      </c>
      <c r="I865" s="2" t="s">
        <v>27515</v>
      </c>
      <c r="J865" s="2" t="s">
        <v>27516</v>
      </c>
      <c r="K865" s="2">
        <v>2.7200199000000001E-2</v>
      </c>
      <c r="L865" s="2" t="s">
        <v>606</v>
      </c>
      <c r="M865" s="4" t="s">
        <v>27517</v>
      </c>
    </row>
    <row r="866" spans="1:13">
      <c r="A866" s="2">
        <v>696</v>
      </c>
      <c r="B866" s="2" t="s">
        <v>27518</v>
      </c>
      <c r="C866" s="2">
        <v>4</v>
      </c>
      <c r="D866" s="2">
        <v>568</v>
      </c>
      <c r="E866" s="2">
        <v>52</v>
      </c>
      <c r="F866" s="2">
        <v>32441</v>
      </c>
      <c r="G866" s="2">
        <v>4.3934182020000003</v>
      </c>
      <c r="H866" s="2">
        <v>1.5745140000000001E-2</v>
      </c>
      <c r="I866" s="2" t="s">
        <v>27519</v>
      </c>
      <c r="J866" s="2" t="s">
        <v>27520</v>
      </c>
      <c r="K866" s="2">
        <v>2.8615080000000001E-2</v>
      </c>
      <c r="L866" s="2" t="s">
        <v>606</v>
      </c>
      <c r="M866" s="4" t="s">
        <v>27521</v>
      </c>
    </row>
    <row r="867" spans="1:13">
      <c r="A867" s="2">
        <v>720</v>
      </c>
      <c r="B867" s="2" t="s">
        <v>27522</v>
      </c>
      <c r="C867" s="2">
        <v>4</v>
      </c>
      <c r="D867" s="2">
        <v>568</v>
      </c>
      <c r="E867" s="2">
        <v>52</v>
      </c>
      <c r="F867" s="2">
        <v>32441</v>
      </c>
      <c r="G867" s="2">
        <v>4.3934182020000003</v>
      </c>
      <c r="H867" s="2">
        <v>1.5745140000000001E-2</v>
      </c>
      <c r="I867" s="2" t="s">
        <v>27523</v>
      </c>
      <c r="J867" s="2" t="s">
        <v>27524</v>
      </c>
      <c r="K867" s="2">
        <v>2.8615080000000001E-2</v>
      </c>
      <c r="L867" s="2" t="s">
        <v>606</v>
      </c>
      <c r="M867" s="4" t="s">
        <v>27525</v>
      </c>
    </row>
    <row r="868" spans="1:13">
      <c r="A868" s="2">
        <v>775</v>
      </c>
      <c r="B868" s="2" t="s">
        <v>27526</v>
      </c>
      <c r="C868" s="2">
        <v>4</v>
      </c>
      <c r="D868" s="2">
        <v>568</v>
      </c>
      <c r="E868" s="2">
        <v>52</v>
      </c>
      <c r="F868" s="2">
        <v>32441</v>
      </c>
      <c r="G868" s="2">
        <v>4.3934182020000003</v>
      </c>
      <c r="H868" s="2">
        <v>1.5745140000000001E-2</v>
      </c>
      <c r="I868" s="2" t="s">
        <v>27527</v>
      </c>
      <c r="J868" s="2" t="s">
        <v>27528</v>
      </c>
      <c r="K868" s="2">
        <v>2.8615080000000001E-2</v>
      </c>
      <c r="L868" s="2" t="s">
        <v>606</v>
      </c>
      <c r="M868" s="4" t="s">
        <v>27529</v>
      </c>
    </row>
    <row r="869" spans="1:13">
      <c r="A869" s="2">
        <v>718</v>
      </c>
      <c r="B869" s="2" t="s">
        <v>27530</v>
      </c>
      <c r="C869" s="2">
        <v>6</v>
      </c>
      <c r="D869" s="2">
        <v>568</v>
      </c>
      <c r="E869" s="2">
        <v>111</v>
      </c>
      <c r="F869" s="2">
        <v>32441</v>
      </c>
      <c r="G869" s="2">
        <v>3.0872668440000002</v>
      </c>
      <c r="H869" s="2">
        <v>1.5915573999999998E-2</v>
      </c>
      <c r="I869" s="2" t="s">
        <v>27531</v>
      </c>
      <c r="J869" s="2" t="s">
        <v>27532</v>
      </c>
      <c r="K869" s="2">
        <v>2.8862083E-2</v>
      </c>
      <c r="L869" s="2" t="s">
        <v>606</v>
      </c>
      <c r="M869" s="4" t="s">
        <v>27533</v>
      </c>
    </row>
    <row r="870" spans="1:13">
      <c r="A870" s="2">
        <v>39</v>
      </c>
      <c r="B870" s="2" t="s">
        <v>27534</v>
      </c>
      <c r="C870" s="2">
        <v>10</v>
      </c>
      <c r="D870" s="2">
        <v>568</v>
      </c>
      <c r="E870" s="2">
        <v>252</v>
      </c>
      <c r="F870" s="2">
        <v>32441</v>
      </c>
      <c r="G870" s="2">
        <v>2.2664458980000002</v>
      </c>
      <c r="H870" s="2">
        <v>1.5986681999999999E-2</v>
      </c>
      <c r="I870" s="2" t="s">
        <v>27535</v>
      </c>
      <c r="J870" s="2" t="s">
        <v>27536</v>
      </c>
      <c r="K870" s="2">
        <v>2.8928282E-2</v>
      </c>
      <c r="L870" s="2" t="s">
        <v>606</v>
      </c>
      <c r="M870" s="4" t="s">
        <v>27537</v>
      </c>
    </row>
    <row r="871" spans="1:13">
      <c r="A871" s="2">
        <v>22</v>
      </c>
      <c r="B871" s="2" t="s">
        <v>27538</v>
      </c>
      <c r="C871" s="2">
        <v>8</v>
      </c>
      <c r="D871" s="2">
        <v>568</v>
      </c>
      <c r="E871" s="2">
        <v>179</v>
      </c>
      <c r="F871" s="2">
        <v>32441</v>
      </c>
      <c r="G871" s="2">
        <v>2.5526005189999998</v>
      </c>
      <c r="H871" s="2">
        <v>1.6115943000000001E-2</v>
      </c>
      <c r="I871" s="2" t="s">
        <v>27539</v>
      </c>
      <c r="J871" s="2" t="s">
        <v>27540</v>
      </c>
      <c r="K871" s="2">
        <v>2.9099198E-2</v>
      </c>
      <c r="L871" s="2" t="s">
        <v>606</v>
      </c>
      <c r="M871" s="4" t="s">
        <v>27541</v>
      </c>
    </row>
    <row r="872" spans="1:13">
      <c r="A872" s="2">
        <v>186</v>
      </c>
      <c r="B872" s="2" t="s">
        <v>27542</v>
      </c>
      <c r="C872" s="2">
        <v>10</v>
      </c>
      <c r="D872" s="2">
        <v>568</v>
      </c>
      <c r="E872" s="2">
        <v>254</v>
      </c>
      <c r="F872" s="2">
        <v>32441</v>
      </c>
      <c r="G872" s="2">
        <v>2.2485998669999998</v>
      </c>
      <c r="H872" s="2">
        <v>1.6765678999999999E-2</v>
      </c>
      <c r="I872" s="2" t="s">
        <v>27543</v>
      </c>
      <c r="J872" s="2" t="s">
        <v>27544</v>
      </c>
      <c r="K872" s="2">
        <v>3.0207128E-2</v>
      </c>
      <c r="L872" s="2" t="s">
        <v>606</v>
      </c>
      <c r="M872" s="4" t="s">
        <v>27545</v>
      </c>
    </row>
    <row r="873" spans="1:13">
      <c r="A873" s="2">
        <v>264</v>
      </c>
      <c r="B873" s="2" t="s">
        <v>27546</v>
      </c>
      <c r="C873" s="2">
        <v>10</v>
      </c>
      <c r="D873" s="2">
        <v>568</v>
      </c>
      <c r="E873" s="2">
        <v>255</v>
      </c>
      <c r="F873" s="2">
        <v>32441</v>
      </c>
      <c r="G873" s="2">
        <v>2.2397818279999999</v>
      </c>
      <c r="H873" s="2">
        <v>1.7165547E-2</v>
      </c>
      <c r="I873" s="2" t="s">
        <v>27547</v>
      </c>
      <c r="J873" s="2" t="s">
        <v>27548</v>
      </c>
      <c r="K873" s="2">
        <v>3.0794843999999998E-2</v>
      </c>
      <c r="L873" s="2" t="s">
        <v>606</v>
      </c>
      <c r="M873" s="4" t="s">
        <v>27549</v>
      </c>
    </row>
    <row r="874" spans="1:13">
      <c r="A874" s="2">
        <v>460</v>
      </c>
      <c r="B874" s="2" t="s">
        <v>27550</v>
      </c>
      <c r="C874" s="2">
        <v>10</v>
      </c>
      <c r="D874" s="2">
        <v>568</v>
      </c>
      <c r="E874" s="2">
        <v>255</v>
      </c>
      <c r="F874" s="2">
        <v>32441</v>
      </c>
      <c r="G874" s="2">
        <v>2.2397818279999999</v>
      </c>
      <c r="H874" s="2">
        <v>1.7165547E-2</v>
      </c>
      <c r="I874" s="2" t="s">
        <v>27551</v>
      </c>
      <c r="J874" s="2" t="s">
        <v>27552</v>
      </c>
      <c r="K874" s="2">
        <v>3.0794843999999998E-2</v>
      </c>
      <c r="L874" s="2" t="s">
        <v>606</v>
      </c>
      <c r="M874" s="4" t="s">
        <v>27553</v>
      </c>
    </row>
    <row r="875" spans="1:13">
      <c r="A875" s="2">
        <v>797</v>
      </c>
      <c r="B875" s="2" t="s">
        <v>27554</v>
      </c>
      <c r="C875" s="2">
        <v>11</v>
      </c>
      <c r="D875" s="2">
        <v>568</v>
      </c>
      <c r="E875" s="2">
        <v>294</v>
      </c>
      <c r="F875" s="2">
        <v>32441</v>
      </c>
      <c r="G875" s="2">
        <v>2.1369347030000001</v>
      </c>
      <c r="H875" s="2">
        <v>1.7361040000000001E-2</v>
      </c>
      <c r="I875" s="2" t="s">
        <v>27555</v>
      </c>
      <c r="J875" s="2" t="s">
        <v>27556</v>
      </c>
      <c r="K875" s="2">
        <v>3.1078864000000001E-2</v>
      </c>
      <c r="L875" s="2" t="s">
        <v>606</v>
      </c>
      <c r="M875" s="4" t="s">
        <v>27557</v>
      </c>
    </row>
    <row r="876" spans="1:13">
      <c r="A876" s="2">
        <v>28</v>
      </c>
      <c r="B876" s="2" t="s">
        <v>6711</v>
      </c>
      <c r="C876" s="2">
        <v>10</v>
      </c>
      <c r="D876" s="2">
        <v>568</v>
      </c>
      <c r="E876" s="2">
        <v>256</v>
      </c>
      <c r="F876" s="2">
        <v>32441</v>
      </c>
      <c r="G876" s="2">
        <v>2.2310326800000002</v>
      </c>
      <c r="H876" s="2">
        <v>1.7572419999999998E-2</v>
      </c>
      <c r="I876" s="2" t="s">
        <v>27558</v>
      </c>
      <c r="J876" s="2" t="s">
        <v>27559</v>
      </c>
      <c r="K876" s="2">
        <v>3.1336899000000001E-2</v>
      </c>
      <c r="L876" s="2" t="s">
        <v>606</v>
      </c>
      <c r="M876" s="4" t="s">
        <v>6714</v>
      </c>
    </row>
    <row r="877" spans="1:13">
      <c r="A877" s="2">
        <v>3051</v>
      </c>
      <c r="B877" s="2" t="s">
        <v>27560</v>
      </c>
      <c r="C877" s="2">
        <v>7</v>
      </c>
      <c r="D877" s="2">
        <v>568</v>
      </c>
      <c r="E877" s="2">
        <v>147</v>
      </c>
      <c r="F877" s="2">
        <v>32441</v>
      </c>
      <c r="G877" s="2">
        <v>2.7197350770000002</v>
      </c>
      <c r="H877" s="2">
        <v>1.7580150999999999E-2</v>
      </c>
      <c r="I877" s="2" t="s">
        <v>27561</v>
      </c>
      <c r="J877" s="2" t="s">
        <v>27562</v>
      </c>
      <c r="K877" s="2">
        <v>3.1336899000000001E-2</v>
      </c>
      <c r="L877" s="2" t="s">
        <v>606</v>
      </c>
      <c r="M877" s="4" t="s">
        <v>27563</v>
      </c>
    </row>
    <row r="878" spans="1:13">
      <c r="A878" s="2">
        <v>571</v>
      </c>
      <c r="B878" s="2" t="s">
        <v>27564</v>
      </c>
      <c r="C878" s="2">
        <v>6</v>
      </c>
      <c r="D878" s="2">
        <v>568</v>
      </c>
      <c r="E878" s="2">
        <v>114</v>
      </c>
      <c r="F878" s="2">
        <v>32441</v>
      </c>
      <c r="G878" s="2">
        <v>3.00602298</v>
      </c>
      <c r="H878" s="2">
        <v>1.7815622E-2</v>
      </c>
      <c r="I878" s="2" t="s">
        <v>27565</v>
      </c>
      <c r="J878" s="2" t="s">
        <v>27566</v>
      </c>
      <c r="K878" s="2">
        <v>3.1689064000000003E-2</v>
      </c>
      <c r="L878" s="2" t="s">
        <v>606</v>
      </c>
      <c r="M878" s="4" t="s">
        <v>27567</v>
      </c>
    </row>
    <row r="879" spans="1:13">
      <c r="A879" s="2">
        <v>402</v>
      </c>
      <c r="B879" s="2" t="s">
        <v>27568</v>
      </c>
      <c r="C879" s="2">
        <v>10</v>
      </c>
      <c r="D879" s="2">
        <v>568</v>
      </c>
      <c r="E879" s="2">
        <v>257</v>
      </c>
      <c r="F879" s="2">
        <v>32441</v>
      </c>
      <c r="G879" s="2">
        <v>2.2223516189999999</v>
      </c>
      <c r="H879" s="2">
        <v>1.7986364000000001E-2</v>
      </c>
      <c r="I879" s="2" t="s">
        <v>27569</v>
      </c>
      <c r="J879" s="2" t="s">
        <v>27570</v>
      </c>
      <c r="K879" s="2">
        <v>3.1924841000000002E-2</v>
      </c>
      <c r="L879" s="2" t="s">
        <v>606</v>
      </c>
      <c r="M879" s="4" t="s">
        <v>27571</v>
      </c>
    </row>
    <row r="880" spans="1:13">
      <c r="A880" s="2">
        <v>647</v>
      </c>
      <c r="B880" s="2" t="s">
        <v>27572</v>
      </c>
      <c r="C880" s="2">
        <v>5</v>
      </c>
      <c r="D880" s="2">
        <v>568</v>
      </c>
      <c r="E880" s="2">
        <v>83</v>
      </c>
      <c r="F880" s="2">
        <v>32441</v>
      </c>
      <c r="G880" s="2">
        <v>3.4406287120000001</v>
      </c>
      <c r="H880" s="2">
        <v>1.8069439E-2</v>
      </c>
      <c r="I880" s="2" t="s">
        <v>27573</v>
      </c>
      <c r="J880" s="2" t="s">
        <v>27574</v>
      </c>
      <c r="K880" s="2">
        <v>3.2004344999999997E-2</v>
      </c>
      <c r="L880" s="2" t="s">
        <v>606</v>
      </c>
      <c r="M880" s="4" t="s">
        <v>27575</v>
      </c>
    </row>
    <row r="881" spans="1:13">
      <c r="A881" s="2">
        <v>455</v>
      </c>
      <c r="B881" s="2" t="s">
        <v>27576</v>
      </c>
      <c r="C881" s="2">
        <v>9</v>
      </c>
      <c r="D881" s="2">
        <v>568</v>
      </c>
      <c r="E881" s="2">
        <v>220</v>
      </c>
      <c r="F881" s="2">
        <v>32441</v>
      </c>
      <c r="G881" s="2">
        <v>2.3364996800000002</v>
      </c>
      <c r="H881" s="2">
        <v>1.8286390999999999E-2</v>
      </c>
      <c r="I881" s="2" t="s">
        <v>27577</v>
      </c>
      <c r="J881" s="2" t="s">
        <v>27578</v>
      </c>
      <c r="K881" s="2">
        <v>3.2320132000000001E-2</v>
      </c>
      <c r="L881" s="2" t="s">
        <v>606</v>
      </c>
      <c r="M881" s="4" t="s">
        <v>27579</v>
      </c>
    </row>
    <row r="882" spans="1:13">
      <c r="A882" s="2">
        <v>417</v>
      </c>
      <c r="B882" s="2" t="s">
        <v>27580</v>
      </c>
      <c r="C882" s="2">
        <v>10</v>
      </c>
      <c r="D882" s="2">
        <v>568</v>
      </c>
      <c r="E882" s="2">
        <v>258</v>
      </c>
      <c r="F882" s="2">
        <v>32441</v>
      </c>
      <c r="G882" s="2">
        <v>2.213737853</v>
      </c>
      <c r="H882" s="2">
        <v>1.8407447E-2</v>
      </c>
      <c r="I882" s="2" t="s">
        <v>27581</v>
      </c>
      <c r="J882" s="2" t="s">
        <v>27582</v>
      </c>
      <c r="K882" s="2">
        <v>3.2397107000000001E-2</v>
      </c>
      <c r="L882" s="2" t="s">
        <v>606</v>
      </c>
      <c r="M882" s="4" t="s">
        <v>27583</v>
      </c>
    </row>
    <row r="883" spans="1:13">
      <c r="A883" s="2">
        <v>464</v>
      </c>
      <c r="B883" s="2" t="s">
        <v>27584</v>
      </c>
      <c r="C883" s="2">
        <v>10</v>
      </c>
      <c r="D883" s="2">
        <v>568</v>
      </c>
      <c r="E883" s="2">
        <v>258</v>
      </c>
      <c r="F883" s="2">
        <v>32441</v>
      </c>
      <c r="G883" s="2">
        <v>2.213737853</v>
      </c>
      <c r="H883" s="2">
        <v>1.8407447E-2</v>
      </c>
      <c r="I883" s="2" t="s">
        <v>27585</v>
      </c>
      <c r="J883" s="2" t="s">
        <v>27586</v>
      </c>
      <c r="K883" s="2">
        <v>3.2397107000000001E-2</v>
      </c>
      <c r="L883" s="2" t="s">
        <v>606</v>
      </c>
      <c r="M883" s="4" t="s">
        <v>27587</v>
      </c>
    </row>
    <row r="884" spans="1:13">
      <c r="A884" s="2">
        <v>762</v>
      </c>
      <c r="B884" s="2" t="s">
        <v>27588</v>
      </c>
      <c r="C884" s="2">
        <v>13</v>
      </c>
      <c r="D884" s="2">
        <v>568</v>
      </c>
      <c r="E884" s="2">
        <v>377</v>
      </c>
      <c r="F884" s="2">
        <v>32441</v>
      </c>
      <c r="G884" s="2">
        <v>1.9694633319999999</v>
      </c>
      <c r="H884" s="2">
        <v>1.8537102E-2</v>
      </c>
      <c r="I884" s="2" t="s">
        <v>27589</v>
      </c>
      <c r="J884" s="2" t="s">
        <v>27590</v>
      </c>
      <c r="K884" s="2">
        <v>3.2556758999999998E-2</v>
      </c>
      <c r="L884" s="2" t="s">
        <v>606</v>
      </c>
      <c r="M884" s="4" t="s">
        <v>27591</v>
      </c>
    </row>
    <row r="885" spans="1:13">
      <c r="A885" s="2">
        <v>213</v>
      </c>
      <c r="B885" s="2" t="s">
        <v>6781</v>
      </c>
      <c r="C885" s="2">
        <v>10</v>
      </c>
      <c r="D885" s="2">
        <v>568</v>
      </c>
      <c r="E885" s="2">
        <v>259</v>
      </c>
      <c r="F885" s="2">
        <v>32441</v>
      </c>
      <c r="G885" s="2">
        <v>2.2051906030000001</v>
      </c>
      <c r="H885" s="2">
        <v>1.8835737000000002E-2</v>
      </c>
      <c r="I885" s="2" t="s">
        <v>27592</v>
      </c>
      <c r="J885" s="2" t="s">
        <v>27593</v>
      </c>
      <c r="K885" s="2">
        <v>3.3011898999999997E-2</v>
      </c>
      <c r="L885" s="2" t="s">
        <v>606</v>
      </c>
      <c r="M885" s="4" t="s">
        <v>6784</v>
      </c>
    </row>
    <row r="886" spans="1:13">
      <c r="A886" s="2">
        <v>7311</v>
      </c>
      <c r="B886" s="2" t="s">
        <v>27594</v>
      </c>
      <c r="C886" s="2">
        <v>5</v>
      </c>
      <c r="D886" s="2">
        <v>568</v>
      </c>
      <c r="E886" s="2">
        <v>84</v>
      </c>
      <c r="F886" s="2">
        <v>32441</v>
      </c>
      <c r="G886" s="2">
        <v>3.399668846</v>
      </c>
      <c r="H886" s="2">
        <v>1.8882790999999999E-2</v>
      </c>
      <c r="I886" s="2" t="s">
        <v>27595</v>
      </c>
      <c r="J886" s="2" t="s">
        <v>27596</v>
      </c>
      <c r="K886" s="2">
        <v>3.3025131999999999E-2</v>
      </c>
      <c r="L886" s="2" t="s">
        <v>606</v>
      </c>
      <c r="M886" s="4" t="s">
        <v>27597</v>
      </c>
    </row>
    <row r="887" spans="1:13">
      <c r="A887" s="2">
        <v>256</v>
      </c>
      <c r="B887" s="2" t="s">
        <v>27598</v>
      </c>
      <c r="C887" s="2">
        <v>10</v>
      </c>
      <c r="D887" s="2">
        <v>568</v>
      </c>
      <c r="E887" s="2">
        <v>260</v>
      </c>
      <c r="F887" s="2">
        <v>32441</v>
      </c>
      <c r="G887" s="2">
        <v>2.1967091010000002</v>
      </c>
      <c r="H887" s="2">
        <v>1.9271300000000002E-2</v>
      </c>
      <c r="I887" s="2" t="s">
        <v>27599</v>
      </c>
      <c r="J887" s="2" t="s">
        <v>27600</v>
      </c>
      <c r="K887" s="2">
        <v>3.3634252000000003E-2</v>
      </c>
      <c r="L887" s="2" t="s">
        <v>606</v>
      </c>
      <c r="M887" s="4" t="s">
        <v>27601</v>
      </c>
    </row>
    <row r="888" spans="1:13">
      <c r="A888" s="2">
        <v>25</v>
      </c>
      <c r="B888" s="2" t="s">
        <v>27602</v>
      </c>
      <c r="C888" s="2">
        <v>9</v>
      </c>
      <c r="D888" s="2">
        <v>568</v>
      </c>
      <c r="E888" s="2">
        <v>223</v>
      </c>
      <c r="F888" s="2">
        <v>32441</v>
      </c>
      <c r="G888" s="2">
        <v>2.305066949</v>
      </c>
      <c r="H888" s="2">
        <v>1.9710305000000001E-2</v>
      </c>
      <c r="I888" s="2" t="s">
        <v>27603</v>
      </c>
      <c r="J888" s="2" t="s">
        <v>27604</v>
      </c>
      <c r="K888" s="2">
        <v>3.4264186000000002E-2</v>
      </c>
      <c r="L888" s="2" t="s">
        <v>606</v>
      </c>
      <c r="M888" s="4" t="s">
        <v>27605</v>
      </c>
    </row>
    <row r="889" spans="1:13">
      <c r="A889" s="2">
        <v>405</v>
      </c>
      <c r="B889" s="2" t="s">
        <v>27606</v>
      </c>
      <c r="C889" s="2">
        <v>10</v>
      </c>
      <c r="D889" s="2">
        <v>568</v>
      </c>
      <c r="E889" s="2">
        <v>261</v>
      </c>
      <c r="F889" s="2">
        <v>32441</v>
      </c>
      <c r="G889" s="2">
        <v>2.1882925910000002</v>
      </c>
      <c r="H889" s="2">
        <v>1.9714202E-2</v>
      </c>
      <c r="I889" s="2" t="s">
        <v>27607</v>
      </c>
      <c r="J889" s="2" t="s">
        <v>27608</v>
      </c>
      <c r="K889" s="2">
        <v>3.4264186000000002E-2</v>
      </c>
      <c r="L889" s="2" t="s">
        <v>606</v>
      </c>
      <c r="M889" s="4" t="s">
        <v>27609</v>
      </c>
    </row>
    <row r="890" spans="1:13">
      <c r="A890" s="2">
        <v>6</v>
      </c>
      <c r="B890" s="2" t="s">
        <v>27610</v>
      </c>
      <c r="C890" s="2">
        <v>10</v>
      </c>
      <c r="D890" s="2">
        <v>568</v>
      </c>
      <c r="E890" s="2">
        <v>262</v>
      </c>
      <c r="F890" s="2">
        <v>32441</v>
      </c>
      <c r="G890" s="2">
        <v>2.1799403289999999</v>
      </c>
      <c r="H890" s="2">
        <v>2.0164511E-2</v>
      </c>
      <c r="I890" s="2" t="s">
        <v>27611</v>
      </c>
      <c r="J890" s="2" t="s">
        <v>27612</v>
      </c>
      <c r="K890" s="2">
        <v>3.4974130999999999E-2</v>
      </c>
      <c r="L890" s="2" t="s">
        <v>606</v>
      </c>
      <c r="M890" s="4" t="s">
        <v>27613</v>
      </c>
    </row>
    <row r="891" spans="1:13">
      <c r="A891" s="2">
        <v>113</v>
      </c>
      <c r="B891" s="2" t="s">
        <v>27614</v>
      </c>
      <c r="C891" s="2">
        <v>10</v>
      </c>
      <c r="D891" s="2">
        <v>568</v>
      </c>
      <c r="E891" s="2">
        <v>263</v>
      </c>
      <c r="F891" s="2">
        <v>32441</v>
      </c>
      <c r="G891" s="2">
        <v>2.171651582</v>
      </c>
      <c r="H891" s="2">
        <v>2.0622291000000001E-2</v>
      </c>
      <c r="I891" s="2" t="s">
        <v>27615</v>
      </c>
      <c r="J891" s="2" t="s">
        <v>27616</v>
      </c>
      <c r="K891" s="2">
        <v>3.5620321000000003E-2</v>
      </c>
      <c r="L891" s="2" t="s">
        <v>606</v>
      </c>
      <c r="M891" s="4" t="s">
        <v>27617</v>
      </c>
    </row>
    <row r="892" spans="1:13">
      <c r="A892" s="2">
        <v>6661</v>
      </c>
      <c r="B892" s="2" t="s">
        <v>27618</v>
      </c>
      <c r="C892" s="2">
        <v>5</v>
      </c>
      <c r="D892" s="2">
        <v>568</v>
      </c>
      <c r="E892" s="2">
        <v>86</v>
      </c>
      <c r="F892" s="2">
        <v>32441</v>
      </c>
      <c r="G892" s="2">
        <v>3.3206067799999999</v>
      </c>
      <c r="H892" s="2">
        <v>2.0580869000000002E-2</v>
      </c>
      <c r="I892" s="2" t="s">
        <v>27619</v>
      </c>
      <c r="J892" s="2" t="s">
        <v>27620</v>
      </c>
      <c r="K892" s="2">
        <v>3.5620321000000003E-2</v>
      </c>
      <c r="L892" s="2" t="s">
        <v>606</v>
      </c>
      <c r="M892" s="4" t="s">
        <v>27621</v>
      </c>
    </row>
    <row r="893" spans="1:13">
      <c r="A893" s="2">
        <v>60</v>
      </c>
      <c r="B893" s="2" t="s">
        <v>27622</v>
      </c>
      <c r="C893" s="2">
        <v>9</v>
      </c>
      <c r="D893" s="2">
        <v>568</v>
      </c>
      <c r="E893" s="2">
        <v>225</v>
      </c>
      <c r="F893" s="2">
        <v>32441</v>
      </c>
      <c r="G893" s="2">
        <v>2.2845774649999999</v>
      </c>
      <c r="H893" s="2">
        <v>2.0703058999999999E-2</v>
      </c>
      <c r="I893" s="2" t="s">
        <v>27623</v>
      </c>
      <c r="J893" s="2" t="s">
        <v>27624</v>
      </c>
      <c r="K893" s="2">
        <v>3.5686097999999999E-2</v>
      </c>
      <c r="L893" s="2" t="s">
        <v>606</v>
      </c>
      <c r="M893" s="4" t="s">
        <v>27625</v>
      </c>
    </row>
    <row r="894" spans="1:13">
      <c r="A894" s="2">
        <v>301</v>
      </c>
      <c r="B894" s="2" t="s">
        <v>27626</v>
      </c>
      <c r="C894" s="2">
        <v>10</v>
      </c>
      <c r="D894" s="2">
        <v>568</v>
      </c>
      <c r="E894" s="2">
        <v>264</v>
      </c>
      <c r="F894" s="2">
        <v>32441</v>
      </c>
      <c r="G894" s="2">
        <v>2.1634256299999999</v>
      </c>
      <c r="H894" s="2">
        <v>2.1087609E-2</v>
      </c>
      <c r="I894" s="2" t="s">
        <v>27627</v>
      </c>
      <c r="J894" s="2" t="s">
        <v>27628</v>
      </c>
      <c r="K894" s="2">
        <v>3.6199673000000002E-2</v>
      </c>
      <c r="L894" s="2" t="s">
        <v>606</v>
      </c>
      <c r="M894" s="4" t="s">
        <v>27629</v>
      </c>
    </row>
    <row r="895" spans="1:13">
      <c r="A895" s="2">
        <v>324</v>
      </c>
      <c r="B895" s="2" t="s">
        <v>27630</v>
      </c>
      <c r="C895" s="2">
        <v>10</v>
      </c>
      <c r="D895" s="2">
        <v>568</v>
      </c>
      <c r="E895" s="2">
        <v>264</v>
      </c>
      <c r="F895" s="2">
        <v>32441</v>
      </c>
      <c r="G895" s="2">
        <v>2.1634256299999999</v>
      </c>
      <c r="H895" s="2">
        <v>2.1087609E-2</v>
      </c>
      <c r="I895" s="2" t="s">
        <v>27631</v>
      </c>
      <c r="J895" s="2" t="s">
        <v>27632</v>
      </c>
      <c r="K895" s="2">
        <v>3.6199673000000002E-2</v>
      </c>
      <c r="L895" s="2" t="s">
        <v>606</v>
      </c>
      <c r="M895" s="4" t="s">
        <v>27633</v>
      </c>
    </row>
    <row r="896" spans="1:13">
      <c r="A896" s="2">
        <v>123</v>
      </c>
      <c r="B896" s="2" t="s">
        <v>27634</v>
      </c>
      <c r="C896" s="2">
        <v>9</v>
      </c>
      <c r="D896" s="2">
        <v>568</v>
      </c>
      <c r="E896" s="2">
        <v>226</v>
      </c>
      <c r="F896" s="2">
        <v>32441</v>
      </c>
      <c r="G896" s="2">
        <v>2.2744687149999998</v>
      </c>
      <c r="H896" s="2">
        <v>2.1212722E-2</v>
      </c>
      <c r="I896" s="2" t="s">
        <v>27635</v>
      </c>
      <c r="J896" s="2" t="s">
        <v>27636</v>
      </c>
      <c r="K896" s="2">
        <v>3.6339826999999998E-2</v>
      </c>
      <c r="L896" s="2" t="s">
        <v>606</v>
      </c>
      <c r="M896" s="4" t="s">
        <v>27637</v>
      </c>
    </row>
    <row r="897" spans="1:13">
      <c r="A897" s="2">
        <v>501</v>
      </c>
      <c r="B897" s="2" t="s">
        <v>27638</v>
      </c>
      <c r="C897" s="2">
        <v>4</v>
      </c>
      <c r="D897" s="2">
        <v>568</v>
      </c>
      <c r="E897" s="2">
        <v>58</v>
      </c>
      <c r="F897" s="2">
        <v>32441</v>
      </c>
      <c r="G897" s="2">
        <v>3.9389266630000002</v>
      </c>
      <c r="H897" s="2">
        <v>2.2078336E-2</v>
      </c>
      <c r="I897" s="2" t="s">
        <v>27639</v>
      </c>
      <c r="J897" s="2" t="s">
        <v>27640</v>
      </c>
      <c r="K897" s="2">
        <v>3.7668344999999999E-2</v>
      </c>
      <c r="L897" s="2" t="s">
        <v>606</v>
      </c>
      <c r="M897" s="4" t="s">
        <v>27641</v>
      </c>
    </row>
    <row r="898" spans="1:13">
      <c r="A898" s="2">
        <v>638</v>
      </c>
      <c r="B898" s="2" t="s">
        <v>27642</v>
      </c>
      <c r="C898" s="2">
        <v>4</v>
      </c>
      <c r="D898" s="2">
        <v>568</v>
      </c>
      <c r="E898" s="2">
        <v>58</v>
      </c>
      <c r="F898" s="2">
        <v>32441</v>
      </c>
      <c r="G898" s="2">
        <v>3.9389266630000002</v>
      </c>
      <c r="H898" s="2">
        <v>2.2078336E-2</v>
      </c>
      <c r="I898" s="2" t="s">
        <v>27643</v>
      </c>
      <c r="J898" s="2" t="s">
        <v>27644</v>
      </c>
      <c r="K898" s="2">
        <v>3.7668344999999999E-2</v>
      </c>
      <c r="L898" s="2" t="s">
        <v>606</v>
      </c>
      <c r="M898" s="4" t="s">
        <v>27645</v>
      </c>
    </row>
    <row r="899" spans="1:13">
      <c r="A899" s="2">
        <v>105</v>
      </c>
      <c r="B899" s="2" t="s">
        <v>27646</v>
      </c>
      <c r="C899" s="2">
        <v>10</v>
      </c>
      <c r="D899" s="2">
        <v>568</v>
      </c>
      <c r="E899" s="2">
        <v>267</v>
      </c>
      <c r="F899" s="2">
        <v>32441</v>
      </c>
      <c r="G899" s="2">
        <v>2.139117476</v>
      </c>
      <c r="H899" s="2">
        <v>2.2529430999999999E-2</v>
      </c>
      <c r="I899" s="2" t="s">
        <v>27647</v>
      </c>
      <c r="J899" s="2" t="s">
        <v>27648</v>
      </c>
      <c r="K899" s="2">
        <v>3.8126728999999998E-2</v>
      </c>
      <c r="L899" s="2" t="s">
        <v>606</v>
      </c>
      <c r="M899" s="4" t="s">
        <v>27649</v>
      </c>
    </row>
    <row r="900" spans="1:13">
      <c r="A900" s="2">
        <v>199</v>
      </c>
      <c r="B900" s="2" t="s">
        <v>27650</v>
      </c>
      <c r="C900" s="2">
        <v>8</v>
      </c>
      <c r="D900" s="2">
        <v>568</v>
      </c>
      <c r="E900" s="2">
        <v>191</v>
      </c>
      <c r="F900" s="2">
        <v>32441</v>
      </c>
      <c r="G900" s="2">
        <v>2.392227712</v>
      </c>
      <c r="H900" s="2">
        <v>2.2458148000000001E-2</v>
      </c>
      <c r="I900" s="2" t="s">
        <v>27651</v>
      </c>
      <c r="J900" s="2" t="s">
        <v>27652</v>
      </c>
      <c r="K900" s="2">
        <v>3.8126728999999998E-2</v>
      </c>
      <c r="L900" s="2" t="s">
        <v>606</v>
      </c>
      <c r="M900" s="4" t="s">
        <v>27653</v>
      </c>
    </row>
    <row r="901" spans="1:13">
      <c r="A901" s="2">
        <v>445</v>
      </c>
      <c r="B901" s="2" t="s">
        <v>27654</v>
      </c>
      <c r="C901" s="2">
        <v>10</v>
      </c>
      <c r="D901" s="2">
        <v>568</v>
      </c>
      <c r="E901" s="2">
        <v>267</v>
      </c>
      <c r="F901" s="2">
        <v>32441</v>
      </c>
      <c r="G901" s="2">
        <v>2.139117476</v>
      </c>
      <c r="H901" s="2">
        <v>2.2529430999999999E-2</v>
      </c>
      <c r="I901" s="2" t="s">
        <v>27655</v>
      </c>
      <c r="J901" s="2" t="s">
        <v>27656</v>
      </c>
      <c r="K901" s="2">
        <v>3.8126728999999998E-2</v>
      </c>
      <c r="L901" s="2" t="s">
        <v>606</v>
      </c>
      <c r="M901" s="4" t="s">
        <v>27657</v>
      </c>
    </row>
    <row r="902" spans="1:13">
      <c r="A902" s="2">
        <v>777</v>
      </c>
      <c r="B902" s="2" t="s">
        <v>27658</v>
      </c>
      <c r="C902" s="2">
        <v>8</v>
      </c>
      <c r="D902" s="2">
        <v>568</v>
      </c>
      <c r="E902" s="2">
        <v>191</v>
      </c>
      <c r="F902" s="2">
        <v>32441</v>
      </c>
      <c r="G902" s="2">
        <v>2.392227712</v>
      </c>
      <c r="H902" s="2">
        <v>2.2458148000000001E-2</v>
      </c>
      <c r="I902" s="2" t="s">
        <v>27659</v>
      </c>
      <c r="J902" s="2" t="s">
        <v>27660</v>
      </c>
      <c r="K902" s="2">
        <v>3.8126728999999998E-2</v>
      </c>
      <c r="L902" s="2" t="s">
        <v>606</v>
      </c>
      <c r="M902" s="4" t="s">
        <v>27661</v>
      </c>
    </row>
    <row r="903" spans="1:13">
      <c r="A903" s="2">
        <v>98</v>
      </c>
      <c r="B903" s="2" t="s">
        <v>27662</v>
      </c>
      <c r="C903" s="2">
        <v>9</v>
      </c>
      <c r="D903" s="2">
        <v>568</v>
      </c>
      <c r="E903" s="2">
        <v>230</v>
      </c>
      <c r="F903" s="2">
        <v>32441</v>
      </c>
      <c r="G903" s="2">
        <v>2.2349127370000001</v>
      </c>
      <c r="H903" s="2">
        <v>2.3341777000000001E-2</v>
      </c>
      <c r="I903" s="2" t="s">
        <v>27663</v>
      </c>
      <c r="J903" s="2" t="s">
        <v>27664</v>
      </c>
      <c r="K903" s="2">
        <v>3.9342189E-2</v>
      </c>
      <c r="L903" s="2" t="s">
        <v>606</v>
      </c>
      <c r="M903" s="4" t="s">
        <v>27665</v>
      </c>
    </row>
    <row r="904" spans="1:13">
      <c r="A904" s="2">
        <v>379</v>
      </c>
      <c r="B904" s="2" t="s">
        <v>27666</v>
      </c>
      <c r="C904" s="2">
        <v>9</v>
      </c>
      <c r="D904" s="2">
        <v>568</v>
      </c>
      <c r="E904" s="2">
        <v>230</v>
      </c>
      <c r="F904" s="2">
        <v>32441</v>
      </c>
      <c r="G904" s="2">
        <v>2.2349127370000001</v>
      </c>
      <c r="H904" s="2">
        <v>2.3341777000000001E-2</v>
      </c>
      <c r="I904" s="2" t="s">
        <v>27667</v>
      </c>
      <c r="J904" s="2" t="s">
        <v>27668</v>
      </c>
      <c r="K904" s="2">
        <v>3.9342189E-2</v>
      </c>
      <c r="L904" s="2" t="s">
        <v>606</v>
      </c>
      <c r="M904" s="4" t="s">
        <v>27669</v>
      </c>
    </row>
    <row r="905" spans="1:13">
      <c r="A905" s="2">
        <v>614</v>
      </c>
      <c r="B905" s="2" t="s">
        <v>27670</v>
      </c>
      <c r="C905" s="2">
        <v>2</v>
      </c>
      <c r="D905" s="2">
        <v>568</v>
      </c>
      <c r="E905" s="2">
        <v>12</v>
      </c>
      <c r="F905" s="2">
        <v>32441</v>
      </c>
      <c r="G905" s="2">
        <v>9.5190727699999993</v>
      </c>
      <c r="H905" s="2">
        <v>2.3457169999999999E-2</v>
      </c>
      <c r="I905" s="2" t="s">
        <v>27671</v>
      </c>
      <c r="J905" s="2" t="s">
        <v>27672</v>
      </c>
      <c r="K905" s="2">
        <v>3.9457130999999999E-2</v>
      </c>
      <c r="L905" s="2" t="s">
        <v>606</v>
      </c>
      <c r="M905" s="4" t="s">
        <v>27673</v>
      </c>
    </row>
    <row r="906" spans="1:13">
      <c r="A906" s="2">
        <v>173</v>
      </c>
      <c r="B906" s="2" t="s">
        <v>27674</v>
      </c>
      <c r="C906" s="2">
        <v>10</v>
      </c>
      <c r="D906" s="2">
        <v>568</v>
      </c>
      <c r="E906" s="2">
        <v>269</v>
      </c>
      <c r="F906" s="2">
        <v>32441</v>
      </c>
      <c r="G906" s="2">
        <v>2.1232132570000002</v>
      </c>
      <c r="H906" s="2">
        <v>2.3529511999999999E-2</v>
      </c>
      <c r="I906" s="2" t="s">
        <v>27675</v>
      </c>
      <c r="J906" s="2" t="s">
        <v>27676</v>
      </c>
      <c r="K906" s="2">
        <v>3.9499341E-2</v>
      </c>
      <c r="L906" s="2" t="s">
        <v>606</v>
      </c>
      <c r="M906" s="4" t="s">
        <v>27677</v>
      </c>
    </row>
    <row r="907" spans="1:13">
      <c r="A907" s="2">
        <v>595</v>
      </c>
      <c r="B907" s="2" t="s">
        <v>27678</v>
      </c>
      <c r="C907" s="2">
        <v>9</v>
      </c>
      <c r="D907" s="2">
        <v>568</v>
      </c>
      <c r="E907" s="2">
        <v>231</v>
      </c>
      <c r="F907" s="2">
        <v>32441</v>
      </c>
      <c r="G907" s="2">
        <v>2.22523779</v>
      </c>
      <c r="H907" s="2">
        <v>2.389703E-2</v>
      </c>
      <c r="I907" s="2" t="s">
        <v>27679</v>
      </c>
      <c r="J907" s="2" t="s">
        <v>27680</v>
      </c>
      <c r="K907" s="2">
        <v>4.0035906000000003E-2</v>
      </c>
      <c r="L907" s="2" t="s">
        <v>606</v>
      </c>
      <c r="M907" s="4" t="s">
        <v>27681</v>
      </c>
    </row>
    <row r="908" spans="1:13">
      <c r="A908" s="2">
        <v>208</v>
      </c>
      <c r="B908" s="2" t="s">
        <v>27682</v>
      </c>
      <c r="C908" s="2">
        <v>5</v>
      </c>
      <c r="D908" s="2">
        <v>568</v>
      </c>
      <c r="E908" s="2">
        <v>90</v>
      </c>
      <c r="F908" s="2">
        <v>32441</v>
      </c>
      <c r="G908" s="2">
        <v>3.1730242569999998</v>
      </c>
      <c r="H908" s="2">
        <v>2.4268965E-2</v>
      </c>
      <c r="I908" s="2" t="s">
        <v>27683</v>
      </c>
      <c r="J908" s="2" t="s">
        <v>27684</v>
      </c>
      <c r="K908" s="2">
        <v>4.0416044999999998E-2</v>
      </c>
      <c r="L908" s="2" t="s">
        <v>606</v>
      </c>
      <c r="M908" s="4" t="s">
        <v>27685</v>
      </c>
    </row>
    <row r="909" spans="1:13">
      <c r="A909" s="2">
        <v>596</v>
      </c>
      <c r="B909" s="2" t="s">
        <v>27686</v>
      </c>
      <c r="C909" s="2">
        <v>5</v>
      </c>
      <c r="D909" s="2">
        <v>568</v>
      </c>
      <c r="E909" s="2">
        <v>90</v>
      </c>
      <c r="F909" s="2">
        <v>32441</v>
      </c>
      <c r="G909" s="2">
        <v>3.1730242569999998</v>
      </c>
      <c r="H909" s="2">
        <v>2.4268965E-2</v>
      </c>
      <c r="I909" s="2" t="s">
        <v>27687</v>
      </c>
      <c r="J909" s="2" t="s">
        <v>27688</v>
      </c>
      <c r="K909" s="2">
        <v>4.0416044999999998E-2</v>
      </c>
      <c r="L909" s="2" t="s">
        <v>606</v>
      </c>
      <c r="M909" s="4" t="s">
        <v>27689</v>
      </c>
    </row>
    <row r="910" spans="1:13">
      <c r="A910" s="2">
        <v>736</v>
      </c>
      <c r="B910" s="2" t="s">
        <v>27690</v>
      </c>
      <c r="C910" s="2">
        <v>5</v>
      </c>
      <c r="D910" s="2">
        <v>568</v>
      </c>
      <c r="E910" s="2">
        <v>90</v>
      </c>
      <c r="F910" s="2">
        <v>32441</v>
      </c>
      <c r="G910" s="2">
        <v>3.1730242569999998</v>
      </c>
      <c r="H910" s="2">
        <v>2.4268965E-2</v>
      </c>
      <c r="I910" s="2" t="s">
        <v>27691</v>
      </c>
      <c r="J910" s="2" t="s">
        <v>27692</v>
      </c>
      <c r="K910" s="2">
        <v>4.0416044999999998E-2</v>
      </c>
      <c r="L910" s="2" t="s">
        <v>606</v>
      </c>
      <c r="M910" s="4" t="s">
        <v>27693</v>
      </c>
    </row>
    <row r="911" spans="1:13">
      <c r="A911" s="2">
        <v>297</v>
      </c>
      <c r="B911" s="2" t="s">
        <v>27694</v>
      </c>
      <c r="C911" s="2">
        <v>10</v>
      </c>
      <c r="D911" s="2">
        <v>568</v>
      </c>
      <c r="E911" s="2">
        <v>271</v>
      </c>
      <c r="F911" s="2">
        <v>32441</v>
      </c>
      <c r="G911" s="2">
        <v>2.107543787</v>
      </c>
      <c r="H911" s="2">
        <v>2.4561274000000001E-2</v>
      </c>
      <c r="I911" s="2" t="s">
        <v>27695</v>
      </c>
      <c r="J911" s="2" t="s">
        <v>27696</v>
      </c>
      <c r="K911" s="2">
        <v>4.0740525999999999E-2</v>
      </c>
      <c r="L911" s="2" t="s">
        <v>606</v>
      </c>
      <c r="M911" s="4" t="s">
        <v>27697</v>
      </c>
    </row>
    <row r="912" spans="1:13">
      <c r="A912" s="2">
        <v>336</v>
      </c>
      <c r="B912" s="2" t="s">
        <v>27698</v>
      </c>
      <c r="C912" s="2">
        <v>10</v>
      </c>
      <c r="D912" s="2">
        <v>568</v>
      </c>
      <c r="E912" s="2">
        <v>271</v>
      </c>
      <c r="F912" s="2">
        <v>32441</v>
      </c>
      <c r="G912" s="2">
        <v>2.107543787</v>
      </c>
      <c r="H912" s="2">
        <v>2.4561274000000001E-2</v>
      </c>
      <c r="I912" s="2" t="s">
        <v>27699</v>
      </c>
      <c r="J912" s="2" t="s">
        <v>27700</v>
      </c>
      <c r="K912" s="2">
        <v>4.0740525999999999E-2</v>
      </c>
      <c r="L912" s="2" t="s">
        <v>606</v>
      </c>
      <c r="M912" s="4" t="s">
        <v>27701</v>
      </c>
    </row>
    <row r="913" spans="1:13">
      <c r="A913" s="2">
        <v>135</v>
      </c>
      <c r="B913" s="2" t="s">
        <v>27702</v>
      </c>
      <c r="C913" s="2">
        <v>9</v>
      </c>
      <c r="D913" s="2">
        <v>568</v>
      </c>
      <c r="E913" s="2">
        <v>234</v>
      </c>
      <c r="F913" s="2">
        <v>32441</v>
      </c>
      <c r="G913" s="2">
        <v>2.1967091010000002</v>
      </c>
      <c r="H913" s="2">
        <v>2.5619176E-2</v>
      </c>
      <c r="I913" s="2" t="s">
        <v>27703</v>
      </c>
      <c r="J913" s="2" t="s">
        <v>27704</v>
      </c>
      <c r="K913" s="2">
        <v>4.2327334000000001E-2</v>
      </c>
      <c r="L913" s="2" t="s">
        <v>606</v>
      </c>
      <c r="M913" s="4" t="s">
        <v>27705</v>
      </c>
    </row>
    <row r="914" spans="1:13">
      <c r="A914" s="2">
        <v>338</v>
      </c>
      <c r="B914" s="2" t="s">
        <v>27706</v>
      </c>
      <c r="C914" s="2">
        <v>9</v>
      </c>
      <c r="D914" s="2">
        <v>568</v>
      </c>
      <c r="E914" s="2">
        <v>234</v>
      </c>
      <c r="F914" s="2">
        <v>32441</v>
      </c>
      <c r="G914" s="2">
        <v>2.1967091010000002</v>
      </c>
      <c r="H914" s="2">
        <v>2.5619176E-2</v>
      </c>
      <c r="I914" s="2" t="s">
        <v>27707</v>
      </c>
      <c r="J914" s="2" t="s">
        <v>27708</v>
      </c>
      <c r="K914" s="2">
        <v>4.2327334000000001E-2</v>
      </c>
      <c r="L914" s="2" t="s">
        <v>606</v>
      </c>
      <c r="M914" s="4" t="s">
        <v>27709</v>
      </c>
    </row>
    <row r="915" spans="1:13">
      <c r="A915" s="2">
        <v>605</v>
      </c>
      <c r="B915" s="2" t="s">
        <v>27710</v>
      </c>
      <c r="C915" s="2">
        <v>2</v>
      </c>
      <c r="D915" s="2">
        <v>568</v>
      </c>
      <c r="E915" s="2">
        <v>13</v>
      </c>
      <c r="F915" s="2">
        <v>32441</v>
      </c>
      <c r="G915" s="2">
        <v>8.7868364030000006</v>
      </c>
      <c r="H915" s="2">
        <v>2.6761902000000001E-2</v>
      </c>
      <c r="I915" s="2" t="s">
        <v>27711</v>
      </c>
      <c r="J915" s="2" t="s">
        <v>27712</v>
      </c>
      <c r="K915" s="2">
        <v>4.4128107E-2</v>
      </c>
      <c r="L915" s="2" t="s">
        <v>606</v>
      </c>
      <c r="M915" s="4" t="s">
        <v>27713</v>
      </c>
    </row>
    <row r="916" spans="1:13">
      <c r="A916" s="2">
        <v>146</v>
      </c>
      <c r="B916" s="2" t="s">
        <v>27714</v>
      </c>
      <c r="C916" s="2">
        <v>6</v>
      </c>
      <c r="D916" s="2">
        <v>568</v>
      </c>
      <c r="E916" s="2">
        <v>126</v>
      </c>
      <c r="F916" s="2">
        <v>32441</v>
      </c>
      <c r="G916" s="2">
        <v>2.7197350770000002</v>
      </c>
      <c r="H916" s="2">
        <v>2.6962026E-2</v>
      </c>
      <c r="I916" s="2" t="s">
        <v>27715</v>
      </c>
      <c r="J916" s="2" t="s">
        <v>27716</v>
      </c>
      <c r="K916" s="2">
        <v>4.4283405999999997E-2</v>
      </c>
      <c r="L916" s="2" t="s">
        <v>606</v>
      </c>
      <c r="M916" s="4" t="s">
        <v>27717</v>
      </c>
    </row>
    <row r="917" spans="1:13">
      <c r="A917" s="2">
        <v>765</v>
      </c>
      <c r="B917" s="2" t="s">
        <v>27718</v>
      </c>
      <c r="C917" s="2">
        <v>6</v>
      </c>
      <c r="D917" s="2">
        <v>568</v>
      </c>
      <c r="E917" s="2">
        <v>126</v>
      </c>
      <c r="F917" s="2">
        <v>32441</v>
      </c>
      <c r="G917" s="2">
        <v>2.7197350770000002</v>
      </c>
      <c r="H917" s="2">
        <v>2.6962026E-2</v>
      </c>
      <c r="I917" s="2" t="s">
        <v>27719</v>
      </c>
      <c r="J917" s="2" t="s">
        <v>27720</v>
      </c>
      <c r="K917" s="2">
        <v>4.4283405999999997E-2</v>
      </c>
      <c r="L917" s="2" t="s">
        <v>606</v>
      </c>
      <c r="M917" s="4" t="s">
        <v>27721</v>
      </c>
    </row>
    <row r="918" spans="1:13">
      <c r="A918" s="2">
        <v>607</v>
      </c>
      <c r="B918" s="2" t="s">
        <v>27722</v>
      </c>
      <c r="C918" s="2">
        <v>4</v>
      </c>
      <c r="D918" s="2">
        <v>568</v>
      </c>
      <c r="E918" s="2">
        <v>62</v>
      </c>
      <c r="F918" s="2">
        <v>32441</v>
      </c>
      <c r="G918" s="2">
        <v>3.6848023630000002</v>
      </c>
      <c r="H918" s="2">
        <v>2.7050504999999999E-2</v>
      </c>
      <c r="I918" s="2" t="s">
        <v>27723</v>
      </c>
      <c r="J918" s="2" t="s">
        <v>27724</v>
      </c>
      <c r="K918" s="2">
        <v>4.4341613000000002E-2</v>
      </c>
      <c r="L918" s="2" t="s">
        <v>606</v>
      </c>
      <c r="M918" s="4" t="s">
        <v>27725</v>
      </c>
    </row>
    <row r="919" spans="1:13">
      <c r="A919" s="2">
        <v>768</v>
      </c>
      <c r="B919" s="2" t="s">
        <v>27726</v>
      </c>
      <c r="C919" s="2">
        <v>10</v>
      </c>
      <c r="D919" s="2">
        <v>568</v>
      </c>
      <c r="E919" s="2">
        <v>276</v>
      </c>
      <c r="F919" s="2">
        <v>32441</v>
      </c>
      <c r="G919" s="2">
        <v>2.0693636459999998</v>
      </c>
      <c r="H919" s="2">
        <v>2.7282528E-2</v>
      </c>
      <c r="I919" s="2" t="s">
        <v>27727</v>
      </c>
      <c r="J919" s="2" t="s">
        <v>27728</v>
      </c>
      <c r="K919" s="2">
        <v>4.4634429000000003E-2</v>
      </c>
      <c r="L919" s="2" t="s">
        <v>606</v>
      </c>
      <c r="M919" s="4" t="s">
        <v>27729</v>
      </c>
    </row>
    <row r="920" spans="1:13">
      <c r="A920" s="2">
        <v>104</v>
      </c>
      <c r="B920" s="2" t="s">
        <v>27730</v>
      </c>
      <c r="C920" s="2">
        <v>9</v>
      </c>
      <c r="D920" s="2">
        <v>568</v>
      </c>
      <c r="E920" s="2">
        <v>237</v>
      </c>
      <c r="F920" s="2">
        <v>32441</v>
      </c>
      <c r="G920" s="2">
        <v>2.1689026560000002</v>
      </c>
      <c r="H920" s="2">
        <v>2.7427452000000001E-2</v>
      </c>
      <c r="I920" s="2" t="s">
        <v>27731</v>
      </c>
      <c r="J920" s="2" t="s">
        <v>27732</v>
      </c>
      <c r="K920" s="2">
        <v>4.4696588000000002E-2</v>
      </c>
      <c r="L920" s="2" t="s">
        <v>606</v>
      </c>
      <c r="M920" s="4" t="s">
        <v>27733</v>
      </c>
    </row>
    <row r="921" spans="1:13">
      <c r="A921" s="2">
        <v>221</v>
      </c>
      <c r="B921" s="2" t="s">
        <v>27734</v>
      </c>
      <c r="C921" s="2">
        <v>9</v>
      </c>
      <c r="D921" s="2">
        <v>568</v>
      </c>
      <c r="E921" s="2">
        <v>237</v>
      </c>
      <c r="F921" s="2">
        <v>32441</v>
      </c>
      <c r="G921" s="2">
        <v>2.1689026560000002</v>
      </c>
      <c r="H921" s="2">
        <v>2.7427452000000001E-2</v>
      </c>
      <c r="I921" s="2" t="s">
        <v>27735</v>
      </c>
      <c r="J921" s="2" t="s">
        <v>27736</v>
      </c>
      <c r="K921" s="2">
        <v>4.4696588000000002E-2</v>
      </c>
      <c r="L921" s="2" t="s">
        <v>606</v>
      </c>
      <c r="M921" s="4" t="s">
        <v>27737</v>
      </c>
    </row>
    <row r="922" spans="1:13">
      <c r="A922" s="2">
        <v>58</v>
      </c>
      <c r="B922" s="2" t="s">
        <v>27738</v>
      </c>
      <c r="C922" s="2">
        <v>10</v>
      </c>
      <c r="D922" s="2">
        <v>568</v>
      </c>
      <c r="E922" s="2">
        <v>278</v>
      </c>
      <c r="F922" s="2">
        <v>32441</v>
      </c>
      <c r="G922" s="2">
        <v>2.054476137</v>
      </c>
      <c r="H922" s="2">
        <v>2.8429032999999999E-2</v>
      </c>
      <c r="I922" s="2" t="s">
        <v>27739</v>
      </c>
      <c r="J922" s="2" t="s">
        <v>27740</v>
      </c>
      <c r="K922" s="2">
        <v>4.6148875999999998E-2</v>
      </c>
      <c r="L922" s="2" t="s">
        <v>606</v>
      </c>
      <c r="M922" s="4" t="s">
        <v>27741</v>
      </c>
    </row>
    <row r="923" spans="1:13">
      <c r="A923" s="2">
        <v>725</v>
      </c>
      <c r="B923" s="2" t="s">
        <v>27742</v>
      </c>
      <c r="C923" s="2">
        <v>4</v>
      </c>
      <c r="D923" s="2">
        <v>568</v>
      </c>
      <c r="E923" s="2">
        <v>63</v>
      </c>
      <c r="F923" s="2">
        <v>32441</v>
      </c>
      <c r="G923" s="2">
        <v>3.6263134359999998</v>
      </c>
      <c r="H923" s="2">
        <v>2.8389557999999999E-2</v>
      </c>
      <c r="I923" s="2" t="s">
        <v>27743</v>
      </c>
      <c r="J923" s="2" t="s">
        <v>27744</v>
      </c>
      <c r="K923" s="2">
        <v>4.6148875999999998E-2</v>
      </c>
      <c r="L923" s="2" t="s">
        <v>606</v>
      </c>
      <c r="M923" s="4" t="s">
        <v>27745</v>
      </c>
    </row>
    <row r="924" spans="1:13">
      <c r="A924" s="2">
        <v>204</v>
      </c>
      <c r="B924" s="2" t="s">
        <v>27746</v>
      </c>
      <c r="C924" s="2">
        <v>8</v>
      </c>
      <c r="D924" s="2">
        <v>568</v>
      </c>
      <c r="E924" s="2">
        <v>203</v>
      </c>
      <c r="F924" s="2">
        <v>32441</v>
      </c>
      <c r="G924" s="2">
        <v>2.2508152360000002</v>
      </c>
      <c r="H924" s="2">
        <v>3.0384042999999999E-2</v>
      </c>
      <c r="I924" s="2" t="s">
        <v>27747</v>
      </c>
      <c r="J924" s="2" t="s">
        <v>27748</v>
      </c>
      <c r="K924" s="2">
        <v>4.9226859999999997E-2</v>
      </c>
      <c r="L924" s="2" t="s">
        <v>606</v>
      </c>
      <c r="M924" s="4" t="s">
        <v>27749</v>
      </c>
    </row>
    <row r="925" spans="1:13">
      <c r="A925" s="2">
        <v>335</v>
      </c>
      <c r="B925" s="2" t="s">
        <v>27750</v>
      </c>
      <c r="C925" s="2">
        <v>9</v>
      </c>
      <c r="D925" s="2">
        <v>568</v>
      </c>
      <c r="E925" s="2">
        <v>242</v>
      </c>
      <c r="F925" s="2">
        <v>32441</v>
      </c>
      <c r="G925" s="2">
        <v>2.1240906179999999</v>
      </c>
      <c r="H925" s="2">
        <v>3.0637872E-2</v>
      </c>
      <c r="I925" s="2" t="s">
        <v>27751</v>
      </c>
      <c r="J925" s="2" t="s">
        <v>27752</v>
      </c>
      <c r="K925" s="2">
        <v>4.9542091000000003E-2</v>
      </c>
      <c r="L925" s="2" t="s">
        <v>606</v>
      </c>
      <c r="M925" s="4" t="s">
        <v>27753</v>
      </c>
    </row>
    <row r="926" spans="1:13">
      <c r="A926" s="2">
        <v>272</v>
      </c>
      <c r="B926" s="2" t="s">
        <v>3010</v>
      </c>
      <c r="C926" s="2">
        <v>35</v>
      </c>
      <c r="D926" s="2">
        <v>568</v>
      </c>
      <c r="E926" s="2">
        <v>155</v>
      </c>
      <c r="F926" s="2">
        <v>32441</v>
      </c>
      <c r="G926" s="2">
        <v>12.896808269999999</v>
      </c>
      <c r="H926" s="3">
        <v>1.04E-25</v>
      </c>
      <c r="I926" s="2" t="s">
        <v>27754</v>
      </c>
      <c r="J926" s="2" t="s">
        <v>27755</v>
      </c>
      <c r="K926" s="3">
        <v>8.9299999999999998E-23</v>
      </c>
      <c r="L926" s="2" t="s">
        <v>637</v>
      </c>
      <c r="M926" s="4" t="s">
        <v>3013</v>
      </c>
    </row>
    <row r="927" spans="1:13">
      <c r="A927" s="2">
        <v>225</v>
      </c>
      <c r="B927" s="2" t="s">
        <v>27756</v>
      </c>
      <c r="C927" s="2">
        <v>27</v>
      </c>
      <c r="D927" s="2">
        <v>568</v>
      </c>
      <c r="E927" s="2">
        <v>129</v>
      </c>
      <c r="F927" s="2">
        <v>32441</v>
      </c>
      <c r="G927" s="2">
        <v>11.95418441</v>
      </c>
      <c r="H927" s="3">
        <v>2.1999999999999998E-19</v>
      </c>
      <c r="I927" s="2" t="s">
        <v>27757</v>
      </c>
      <c r="J927" s="2" t="s">
        <v>27758</v>
      </c>
      <c r="K927" s="3">
        <v>9.4400000000000003E-17</v>
      </c>
      <c r="L927" s="2" t="s">
        <v>637</v>
      </c>
      <c r="M927" s="4" t="s">
        <v>27759</v>
      </c>
    </row>
    <row r="928" spans="1:13">
      <c r="A928" s="2">
        <v>2422</v>
      </c>
      <c r="B928" s="2" t="s">
        <v>2978</v>
      </c>
      <c r="C928" s="2">
        <v>29</v>
      </c>
      <c r="D928" s="2">
        <v>568</v>
      </c>
      <c r="E928" s="2">
        <v>173</v>
      </c>
      <c r="F928" s="2">
        <v>32441</v>
      </c>
      <c r="G928" s="2">
        <v>9.574096312</v>
      </c>
      <c r="H928" s="3">
        <v>2.09E-18</v>
      </c>
      <c r="I928" s="2" t="s">
        <v>27760</v>
      </c>
      <c r="J928" s="2" t="s">
        <v>27761</v>
      </c>
      <c r="K928" s="3">
        <v>4.4699999999999997E-16</v>
      </c>
      <c r="L928" s="2" t="s">
        <v>637</v>
      </c>
      <c r="M928" s="4" t="s">
        <v>2981</v>
      </c>
    </row>
    <row r="929" spans="1:13">
      <c r="A929" s="2">
        <v>2451</v>
      </c>
      <c r="B929" s="2" t="s">
        <v>3022</v>
      </c>
      <c r="C929" s="2">
        <v>29</v>
      </c>
      <c r="D929" s="2">
        <v>568</v>
      </c>
      <c r="E929" s="2">
        <v>173</v>
      </c>
      <c r="F929" s="2">
        <v>32441</v>
      </c>
      <c r="G929" s="2">
        <v>9.574096312</v>
      </c>
      <c r="H929" s="3">
        <v>2.09E-18</v>
      </c>
      <c r="I929" s="2" t="s">
        <v>27762</v>
      </c>
      <c r="J929" s="2" t="s">
        <v>27763</v>
      </c>
      <c r="K929" s="3">
        <v>4.4699999999999997E-16</v>
      </c>
      <c r="L929" s="2" t="s">
        <v>637</v>
      </c>
      <c r="M929" s="4" t="s">
        <v>3025</v>
      </c>
    </row>
    <row r="930" spans="1:13">
      <c r="A930" s="2">
        <v>2581</v>
      </c>
      <c r="B930" s="2" t="s">
        <v>27764</v>
      </c>
      <c r="C930" s="2">
        <v>29</v>
      </c>
      <c r="D930" s="2">
        <v>568</v>
      </c>
      <c r="E930" s="2">
        <v>176</v>
      </c>
      <c r="F930" s="2">
        <v>32441</v>
      </c>
      <c r="G930" s="2">
        <v>9.4109014880000004</v>
      </c>
      <c r="H930" s="3">
        <v>3.1500000000000002E-18</v>
      </c>
      <c r="I930" s="2" t="s">
        <v>27765</v>
      </c>
      <c r="J930" s="2" t="s">
        <v>27766</v>
      </c>
      <c r="K930" s="3">
        <v>5.4100000000000001E-16</v>
      </c>
      <c r="L930" s="2" t="s">
        <v>637</v>
      </c>
      <c r="M930" s="4" t="s">
        <v>27767</v>
      </c>
    </row>
    <row r="931" spans="1:13">
      <c r="A931" s="2">
        <v>2751</v>
      </c>
      <c r="B931" s="2" t="s">
        <v>2990</v>
      </c>
      <c r="C931" s="2">
        <v>23</v>
      </c>
      <c r="D931" s="2">
        <v>568</v>
      </c>
      <c r="E931" s="2">
        <v>118</v>
      </c>
      <c r="F931" s="2">
        <v>32441</v>
      </c>
      <c r="G931" s="2">
        <v>11.132474930000001</v>
      </c>
      <c r="H931" s="3">
        <v>4.0400000000000001E-16</v>
      </c>
      <c r="I931" s="2" t="s">
        <v>27768</v>
      </c>
      <c r="J931" s="2" t="s">
        <v>27769</v>
      </c>
      <c r="K931" s="3">
        <v>5.7699999999999996E-14</v>
      </c>
      <c r="L931" s="2" t="s">
        <v>637</v>
      </c>
      <c r="M931" s="4" t="s">
        <v>2993</v>
      </c>
    </row>
    <row r="932" spans="1:13">
      <c r="A932" s="2">
        <v>2321</v>
      </c>
      <c r="B932" s="2" t="s">
        <v>3018</v>
      </c>
      <c r="C932" s="2">
        <v>25</v>
      </c>
      <c r="D932" s="2">
        <v>568</v>
      </c>
      <c r="E932" s="2">
        <v>167</v>
      </c>
      <c r="F932" s="2">
        <v>32441</v>
      </c>
      <c r="G932" s="2">
        <v>8.5500653619999998</v>
      </c>
      <c r="H932" s="3">
        <v>4.8900000000000002E-15</v>
      </c>
      <c r="I932" s="2" t="s">
        <v>27770</v>
      </c>
      <c r="J932" s="2" t="s">
        <v>27771</v>
      </c>
      <c r="K932" s="3">
        <v>5.9899999999999997E-13</v>
      </c>
      <c r="L932" s="2" t="s">
        <v>637</v>
      </c>
      <c r="M932" s="4" t="s">
        <v>3021</v>
      </c>
    </row>
    <row r="933" spans="1:13">
      <c r="A933" s="2">
        <v>1</v>
      </c>
      <c r="B933" s="2" t="s">
        <v>27772</v>
      </c>
      <c r="C933" s="2">
        <v>27</v>
      </c>
      <c r="D933" s="2">
        <v>568</v>
      </c>
      <c r="E933" s="2">
        <v>211</v>
      </c>
      <c r="F933" s="2">
        <v>32441</v>
      </c>
      <c r="G933" s="2">
        <v>7.308482411</v>
      </c>
      <c r="H933" s="3">
        <v>1.26E-14</v>
      </c>
      <c r="I933" s="2" t="s">
        <v>27773</v>
      </c>
      <c r="J933" s="2" t="s">
        <v>27774</v>
      </c>
      <c r="K933" s="3">
        <v>1.3499999999999999E-12</v>
      </c>
      <c r="L933" s="2" t="s">
        <v>637</v>
      </c>
      <c r="M933" s="4" t="s">
        <v>27775</v>
      </c>
    </row>
    <row r="934" spans="1:13">
      <c r="A934" s="2">
        <v>260</v>
      </c>
      <c r="B934" s="2" t="s">
        <v>27776</v>
      </c>
      <c r="C934" s="2">
        <v>25</v>
      </c>
      <c r="D934" s="2">
        <v>568</v>
      </c>
      <c r="E934" s="2">
        <v>197</v>
      </c>
      <c r="F934" s="2">
        <v>32441</v>
      </c>
      <c r="G934" s="2">
        <v>7.2480249519999997</v>
      </c>
      <c r="H934" s="3">
        <v>1.4399999999999999E-13</v>
      </c>
      <c r="I934" s="2" t="s">
        <v>27777</v>
      </c>
      <c r="J934" s="2" t="s">
        <v>27778</v>
      </c>
      <c r="K934" s="3">
        <v>1.37E-11</v>
      </c>
      <c r="L934" s="2" t="s">
        <v>637</v>
      </c>
      <c r="M934" s="4" t="s">
        <v>27779</v>
      </c>
    </row>
    <row r="935" spans="1:13">
      <c r="A935" s="2">
        <v>5991</v>
      </c>
      <c r="B935" s="2" t="s">
        <v>7553</v>
      </c>
      <c r="C935" s="2">
        <v>19</v>
      </c>
      <c r="D935" s="2">
        <v>568</v>
      </c>
      <c r="E935" s="2">
        <v>101</v>
      </c>
      <c r="F935" s="2">
        <v>32441</v>
      </c>
      <c r="G935" s="2">
        <v>10.744299959999999</v>
      </c>
      <c r="H935" s="3">
        <v>2.61E-13</v>
      </c>
      <c r="I935" s="2" t="s">
        <v>27780</v>
      </c>
      <c r="J935" s="2" t="s">
        <v>27781</v>
      </c>
      <c r="K935" s="3">
        <v>2.2400000000000001E-11</v>
      </c>
      <c r="L935" s="2" t="s">
        <v>637</v>
      </c>
      <c r="M935" s="4" t="s">
        <v>7554</v>
      </c>
    </row>
    <row r="936" spans="1:13">
      <c r="A936" s="2">
        <v>171</v>
      </c>
      <c r="B936" s="2" t="s">
        <v>27782</v>
      </c>
      <c r="C936" s="2">
        <v>21</v>
      </c>
      <c r="D936" s="2">
        <v>568</v>
      </c>
      <c r="E936" s="2">
        <v>139</v>
      </c>
      <c r="F936" s="2">
        <v>32441</v>
      </c>
      <c r="G936" s="2">
        <v>8.6287997769999993</v>
      </c>
      <c r="H936" s="3">
        <v>6.4499999999999998E-13</v>
      </c>
      <c r="I936" s="2" t="s">
        <v>27783</v>
      </c>
      <c r="J936" s="2" t="s">
        <v>27784</v>
      </c>
      <c r="K936" s="3">
        <v>5.0299999999999997E-11</v>
      </c>
      <c r="L936" s="2" t="s">
        <v>637</v>
      </c>
      <c r="M936" s="4" t="s">
        <v>27785</v>
      </c>
    </row>
    <row r="937" spans="1:13">
      <c r="A937" s="2">
        <v>4022</v>
      </c>
      <c r="B937" s="2" t="s">
        <v>795</v>
      </c>
      <c r="C937" s="2">
        <v>16</v>
      </c>
      <c r="D937" s="2">
        <v>568</v>
      </c>
      <c r="E937" s="2">
        <v>70</v>
      </c>
      <c r="F937" s="2">
        <v>32441</v>
      </c>
      <c r="G937" s="2">
        <v>13.054728369999999</v>
      </c>
      <c r="H937" s="3">
        <v>1.5299999999999999E-12</v>
      </c>
      <c r="I937" s="2" t="s">
        <v>27786</v>
      </c>
      <c r="J937" s="2" t="s">
        <v>27787</v>
      </c>
      <c r="K937" s="3">
        <v>1.09E-10</v>
      </c>
      <c r="L937" s="2" t="s">
        <v>637</v>
      </c>
      <c r="M937" s="4" t="s">
        <v>27788</v>
      </c>
    </row>
    <row r="938" spans="1:13">
      <c r="A938" s="2">
        <v>5191</v>
      </c>
      <c r="B938" s="2" t="s">
        <v>7545</v>
      </c>
      <c r="C938" s="2">
        <v>18</v>
      </c>
      <c r="D938" s="2">
        <v>568</v>
      </c>
      <c r="E938" s="2">
        <v>99</v>
      </c>
      <c r="F938" s="2">
        <v>32441</v>
      </c>
      <c r="G938" s="2">
        <v>10.384443020000001</v>
      </c>
      <c r="H938" s="3">
        <v>1.8399999999999998E-12</v>
      </c>
      <c r="I938" s="2" t="s">
        <v>27789</v>
      </c>
      <c r="J938" s="2" t="s">
        <v>27790</v>
      </c>
      <c r="K938" s="3">
        <v>1.2199999999999999E-10</v>
      </c>
      <c r="L938" s="2" t="s">
        <v>637</v>
      </c>
      <c r="M938" s="4" t="s">
        <v>7548</v>
      </c>
    </row>
    <row r="939" spans="1:13">
      <c r="A939" s="2">
        <v>2471</v>
      </c>
      <c r="B939" s="2" t="s">
        <v>27791</v>
      </c>
      <c r="C939" s="2">
        <v>28</v>
      </c>
      <c r="D939" s="2">
        <v>568</v>
      </c>
      <c r="E939" s="2">
        <v>301</v>
      </c>
      <c r="F939" s="2">
        <v>32441</v>
      </c>
      <c r="G939" s="2">
        <v>5.312970848</v>
      </c>
      <c r="H939" s="3">
        <v>5.12E-12</v>
      </c>
      <c r="I939" s="2" t="s">
        <v>27792</v>
      </c>
      <c r="J939" s="2" t="s">
        <v>27793</v>
      </c>
      <c r="K939" s="3">
        <v>3.0800000000000002E-10</v>
      </c>
      <c r="L939" s="2" t="s">
        <v>637</v>
      </c>
      <c r="M939" s="4" t="s">
        <v>27794</v>
      </c>
    </row>
    <row r="940" spans="1:13">
      <c r="A940" s="2">
        <v>2671</v>
      </c>
      <c r="B940" s="2" t="s">
        <v>27795</v>
      </c>
      <c r="C940" s="2">
        <v>16</v>
      </c>
      <c r="D940" s="2">
        <v>568</v>
      </c>
      <c r="E940" s="2">
        <v>77</v>
      </c>
      <c r="F940" s="2">
        <v>32441</v>
      </c>
      <c r="G940" s="2">
        <v>11.86793488</v>
      </c>
      <c r="H940" s="3">
        <v>5.3800000000000001E-12</v>
      </c>
      <c r="I940" s="2" t="s">
        <v>27796</v>
      </c>
      <c r="J940" s="2" t="s">
        <v>27797</v>
      </c>
      <c r="K940" s="3">
        <v>3.0800000000000002E-10</v>
      </c>
      <c r="L940" s="2" t="s">
        <v>637</v>
      </c>
      <c r="M940" s="4" t="s">
        <v>27798</v>
      </c>
    </row>
    <row r="941" spans="1:13">
      <c r="A941" s="2">
        <v>721</v>
      </c>
      <c r="B941" s="2" t="s">
        <v>27799</v>
      </c>
      <c r="C941" s="2">
        <v>20</v>
      </c>
      <c r="D941" s="2">
        <v>568</v>
      </c>
      <c r="E941" s="2">
        <v>143</v>
      </c>
      <c r="F941" s="2">
        <v>32441</v>
      </c>
      <c r="G941" s="2">
        <v>7.9880330940000004</v>
      </c>
      <c r="H941" s="3">
        <v>8.1300000000000003E-12</v>
      </c>
      <c r="I941" s="2" t="s">
        <v>27800</v>
      </c>
      <c r="J941" s="2" t="s">
        <v>27801</v>
      </c>
      <c r="K941" s="3">
        <v>4.3599999999999999E-10</v>
      </c>
      <c r="L941" s="2" t="s">
        <v>637</v>
      </c>
      <c r="M941" s="4" t="s">
        <v>27802</v>
      </c>
    </row>
    <row r="942" spans="1:13">
      <c r="A942" s="2">
        <v>1851</v>
      </c>
      <c r="B942" s="2" t="s">
        <v>27803</v>
      </c>
      <c r="C942" s="2">
        <v>20</v>
      </c>
      <c r="D942" s="2">
        <v>568</v>
      </c>
      <c r="E942" s="2">
        <v>144</v>
      </c>
      <c r="F942" s="2">
        <v>32441</v>
      </c>
      <c r="G942" s="2">
        <v>7.9325606420000003</v>
      </c>
      <c r="H942" s="3">
        <v>9.1099999999999998E-12</v>
      </c>
      <c r="I942" s="2" t="s">
        <v>27804</v>
      </c>
      <c r="J942" s="2" t="s">
        <v>27805</v>
      </c>
      <c r="K942" s="3">
        <v>4.6000000000000001E-10</v>
      </c>
      <c r="L942" s="2" t="s">
        <v>637</v>
      </c>
      <c r="M942" s="4" t="s">
        <v>27806</v>
      </c>
    </row>
    <row r="943" spans="1:13">
      <c r="A943" s="2">
        <v>5201</v>
      </c>
      <c r="B943" s="2" t="s">
        <v>27807</v>
      </c>
      <c r="C943" s="2">
        <v>31</v>
      </c>
      <c r="D943" s="2">
        <v>568</v>
      </c>
      <c r="E943" s="2">
        <v>393</v>
      </c>
      <c r="F943" s="2">
        <v>32441</v>
      </c>
      <c r="G943" s="2">
        <v>4.5052100130000001</v>
      </c>
      <c r="H943" s="3">
        <v>1.8900000000000001E-11</v>
      </c>
      <c r="I943" s="2" t="s">
        <v>27808</v>
      </c>
      <c r="J943" s="2" t="s">
        <v>27809</v>
      </c>
      <c r="K943" s="3">
        <v>9.0099999999999999E-10</v>
      </c>
      <c r="L943" s="2" t="s">
        <v>637</v>
      </c>
      <c r="M943" s="4" t="s">
        <v>27810</v>
      </c>
    </row>
    <row r="944" spans="1:13">
      <c r="A944" s="2">
        <v>3441</v>
      </c>
      <c r="B944" s="2" t="s">
        <v>2986</v>
      </c>
      <c r="C944" s="2">
        <v>14</v>
      </c>
      <c r="D944" s="2">
        <v>568</v>
      </c>
      <c r="E944" s="2">
        <v>63</v>
      </c>
      <c r="F944" s="2">
        <v>32441</v>
      </c>
      <c r="G944" s="2">
        <v>12.692097029999999</v>
      </c>
      <c r="H944" s="3">
        <v>5.29E-11</v>
      </c>
      <c r="I944" s="2" t="s">
        <v>27811</v>
      </c>
      <c r="J944" s="2" t="s">
        <v>27812</v>
      </c>
      <c r="K944" s="3">
        <v>2.3899999999999998E-9</v>
      </c>
      <c r="L944" s="2" t="s">
        <v>637</v>
      </c>
      <c r="M944" s="4" t="s">
        <v>2989</v>
      </c>
    </row>
    <row r="945" spans="1:13">
      <c r="A945" s="2">
        <v>393</v>
      </c>
      <c r="B945" s="2" t="s">
        <v>27813</v>
      </c>
      <c r="C945" s="2">
        <v>17</v>
      </c>
      <c r="D945" s="2">
        <v>568</v>
      </c>
      <c r="E945" s="2">
        <v>110</v>
      </c>
      <c r="F945" s="2">
        <v>32441</v>
      </c>
      <c r="G945" s="2">
        <v>8.8267765689999997</v>
      </c>
      <c r="H945" s="3">
        <v>7.4500000000000001E-11</v>
      </c>
      <c r="I945" s="2" t="s">
        <v>27814</v>
      </c>
      <c r="J945" s="2" t="s">
        <v>27815</v>
      </c>
      <c r="K945" s="3">
        <v>3.2000000000000001E-9</v>
      </c>
      <c r="L945" s="2" t="s">
        <v>637</v>
      </c>
      <c r="M945" s="4" t="s">
        <v>27816</v>
      </c>
    </row>
    <row r="946" spans="1:13">
      <c r="A946" s="2">
        <v>233</v>
      </c>
      <c r="B946" s="2" t="s">
        <v>27817</v>
      </c>
      <c r="C946" s="2">
        <v>14</v>
      </c>
      <c r="D946" s="2">
        <v>568</v>
      </c>
      <c r="E946" s="2">
        <v>69</v>
      </c>
      <c r="F946" s="2">
        <v>32441</v>
      </c>
      <c r="G946" s="2">
        <v>11.588436420000001</v>
      </c>
      <c r="H946" s="3">
        <v>1.5199999999999999E-10</v>
      </c>
      <c r="I946" s="2" t="s">
        <v>27818</v>
      </c>
      <c r="J946" s="2" t="s">
        <v>27819</v>
      </c>
      <c r="K946" s="3">
        <v>5.9200000000000002E-9</v>
      </c>
      <c r="L946" s="2" t="s">
        <v>637</v>
      </c>
      <c r="M946" s="4" t="s">
        <v>27820</v>
      </c>
    </row>
    <row r="947" spans="1:13">
      <c r="A947" s="2">
        <v>2392</v>
      </c>
      <c r="B947" s="2" t="s">
        <v>27821</v>
      </c>
      <c r="C947" s="2">
        <v>20</v>
      </c>
      <c r="D947" s="2">
        <v>568</v>
      </c>
      <c r="E947" s="2">
        <v>171</v>
      </c>
      <c r="F947" s="2">
        <v>32441</v>
      </c>
      <c r="G947" s="2">
        <v>6.680051067</v>
      </c>
      <c r="H947" s="3">
        <v>1.49E-10</v>
      </c>
      <c r="I947" s="2" t="s">
        <v>27822</v>
      </c>
      <c r="J947" s="2" t="s">
        <v>27823</v>
      </c>
      <c r="K947" s="3">
        <v>5.9200000000000002E-9</v>
      </c>
      <c r="L947" s="2" t="s">
        <v>637</v>
      </c>
      <c r="M947" s="4" t="s">
        <v>27824</v>
      </c>
    </row>
    <row r="948" spans="1:13">
      <c r="A948" s="2">
        <v>3451</v>
      </c>
      <c r="B948" s="2" t="s">
        <v>27825</v>
      </c>
      <c r="C948" s="2">
        <v>13</v>
      </c>
      <c r="D948" s="2">
        <v>568</v>
      </c>
      <c r="E948" s="2">
        <v>58</v>
      </c>
      <c r="F948" s="2">
        <v>32441</v>
      </c>
      <c r="G948" s="2">
        <v>12.801511659999999</v>
      </c>
      <c r="H948" s="3">
        <v>2.3600000000000001E-10</v>
      </c>
      <c r="I948" s="2" t="s">
        <v>27826</v>
      </c>
      <c r="J948" s="2" t="s">
        <v>27827</v>
      </c>
      <c r="K948" s="3">
        <v>8.8200000000000006E-9</v>
      </c>
      <c r="L948" s="2" t="s">
        <v>637</v>
      </c>
      <c r="M948" s="4" t="s">
        <v>27828</v>
      </c>
    </row>
    <row r="949" spans="1:13">
      <c r="A949" s="2">
        <v>3011</v>
      </c>
      <c r="B949" s="2" t="s">
        <v>792</v>
      </c>
      <c r="C949" s="2">
        <v>16</v>
      </c>
      <c r="D949" s="2">
        <v>568</v>
      </c>
      <c r="E949" s="2">
        <v>110</v>
      </c>
      <c r="F949" s="2">
        <v>32441</v>
      </c>
      <c r="G949" s="2">
        <v>8.3075544170000004</v>
      </c>
      <c r="H949" s="3">
        <v>5.99E-10</v>
      </c>
      <c r="I949" s="2" t="s">
        <v>27829</v>
      </c>
      <c r="J949" s="2" t="s">
        <v>27830</v>
      </c>
      <c r="K949" s="3">
        <v>2.14E-8</v>
      </c>
      <c r="L949" s="2" t="s">
        <v>637</v>
      </c>
      <c r="M949" s="4" t="s">
        <v>27831</v>
      </c>
    </row>
    <row r="950" spans="1:13">
      <c r="A950" s="2">
        <v>174</v>
      </c>
      <c r="B950" s="2" t="s">
        <v>27832</v>
      </c>
      <c r="C950" s="2">
        <v>12</v>
      </c>
      <c r="D950" s="2">
        <v>568</v>
      </c>
      <c r="E950" s="2">
        <v>57</v>
      </c>
      <c r="F950" s="2">
        <v>32441</v>
      </c>
      <c r="G950" s="2">
        <v>12.02409192</v>
      </c>
      <c r="H950" s="3">
        <v>2.1700000000000002E-9</v>
      </c>
      <c r="I950" s="2" t="s">
        <v>27833</v>
      </c>
      <c r="J950" s="2" t="s">
        <v>27834</v>
      </c>
      <c r="K950" s="3">
        <v>7.4499999999999999E-8</v>
      </c>
      <c r="L950" s="2" t="s">
        <v>637</v>
      </c>
      <c r="M950" s="4" t="s">
        <v>27835</v>
      </c>
    </row>
    <row r="951" spans="1:13">
      <c r="A951" s="2">
        <v>3691</v>
      </c>
      <c r="B951" s="2" t="s">
        <v>27836</v>
      </c>
      <c r="C951" s="2">
        <v>13</v>
      </c>
      <c r="D951" s="2">
        <v>568</v>
      </c>
      <c r="E951" s="2">
        <v>72</v>
      </c>
      <c r="F951" s="2">
        <v>32441</v>
      </c>
      <c r="G951" s="2">
        <v>10.31232883</v>
      </c>
      <c r="H951" s="3">
        <v>2.4100000000000002E-9</v>
      </c>
      <c r="I951" s="2" t="s">
        <v>27837</v>
      </c>
      <c r="J951" s="2" t="s">
        <v>27838</v>
      </c>
      <c r="K951" s="3">
        <v>7.9599999999999998E-8</v>
      </c>
      <c r="L951" s="2" t="s">
        <v>637</v>
      </c>
      <c r="M951" s="4" t="s">
        <v>27839</v>
      </c>
    </row>
    <row r="952" spans="1:13">
      <c r="A952" s="2">
        <v>302</v>
      </c>
      <c r="B952" s="2" t="s">
        <v>27840</v>
      </c>
      <c r="C952" s="2">
        <v>10</v>
      </c>
      <c r="D952" s="2">
        <v>568</v>
      </c>
      <c r="E952" s="2">
        <v>35</v>
      </c>
      <c r="F952" s="2">
        <v>32441</v>
      </c>
      <c r="G952" s="2">
        <v>16.318410459999999</v>
      </c>
      <c r="H952" s="3">
        <v>3.9099999999999999E-9</v>
      </c>
      <c r="I952" s="2" t="s">
        <v>27841</v>
      </c>
      <c r="J952" s="2" t="s">
        <v>27842</v>
      </c>
      <c r="K952" s="3">
        <v>1.24E-7</v>
      </c>
      <c r="L952" s="2" t="s">
        <v>637</v>
      </c>
      <c r="M952" s="4" t="s">
        <v>27843</v>
      </c>
    </row>
    <row r="953" spans="1:13">
      <c r="A953" s="2">
        <v>246</v>
      </c>
      <c r="B953" s="2" t="s">
        <v>27844</v>
      </c>
      <c r="C953" s="2">
        <v>16</v>
      </c>
      <c r="D953" s="2">
        <v>568</v>
      </c>
      <c r="E953" s="2">
        <v>128</v>
      </c>
      <c r="F953" s="2">
        <v>32441</v>
      </c>
      <c r="G953" s="2">
        <v>7.1393045769999999</v>
      </c>
      <c r="H953" s="3">
        <v>4.3400000000000003E-9</v>
      </c>
      <c r="I953" s="2" t="s">
        <v>27845</v>
      </c>
      <c r="J953" s="2" t="s">
        <v>27846</v>
      </c>
      <c r="K953" s="3">
        <v>1.3300000000000001E-7</v>
      </c>
      <c r="L953" s="2" t="s">
        <v>637</v>
      </c>
      <c r="M953" s="4" t="s">
        <v>27847</v>
      </c>
    </row>
    <row r="954" spans="1:13">
      <c r="A954" s="2">
        <v>8</v>
      </c>
      <c r="B954" s="2" t="s">
        <v>27848</v>
      </c>
      <c r="C954" s="2">
        <v>22</v>
      </c>
      <c r="D954" s="2">
        <v>568</v>
      </c>
      <c r="E954" s="2">
        <v>264</v>
      </c>
      <c r="F954" s="2">
        <v>32441</v>
      </c>
      <c r="G954" s="2">
        <v>4.7595363849999996</v>
      </c>
      <c r="H954" s="3">
        <v>6.4700000000000002E-9</v>
      </c>
      <c r="I954" s="2" t="s">
        <v>27849</v>
      </c>
      <c r="J954" s="2" t="s">
        <v>27850</v>
      </c>
      <c r="K954" s="3">
        <v>1.91E-7</v>
      </c>
      <c r="L954" s="2" t="s">
        <v>637</v>
      </c>
      <c r="M954" s="4" t="s">
        <v>27851</v>
      </c>
    </row>
    <row r="955" spans="1:13">
      <c r="A955" s="2">
        <v>852</v>
      </c>
      <c r="B955" s="2" t="s">
        <v>27852</v>
      </c>
      <c r="C955" s="2">
        <v>21</v>
      </c>
      <c r="D955" s="2">
        <v>568</v>
      </c>
      <c r="E955" s="2">
        <v>241</v>
      </c>
      <c r="F955" s="2">
        <v>32441</v>
      </c>
      <c r="G955" s="2">
        <v>4.9767766350000002</v>
      </c>
      <c r="H955" s="3">
        <v>6.9299999999999999E-9</v>
      </c>
      <c r="I955" s="2" t="s">
        <v>27853</v>
      </c>
      <c r="J955" s="2" t="s">
        <v>27854</v>
      </c>
      <c r="K955" s="3">
        <v>1.98E-7</v>
      </c>
      <c r="L955" s="2" t="s">
        <v>637</v>
      </c>
      <c r="M955" s="4" t="s">
        <v>27855</v>
      </c>
    </row>
    <row r="956" spans="1:13">
      <c r="A956" s="2">
        <v>745</v>
      </c>
      <c r="B956" s="2" t="s">
        <v>27856</v>
      </c>
      <c r="C956" s="2">
        <v>16</v>
      </c>
      <c r="D956" s="2">
        <v>568</v>
      </c>
      <c r="E956" s="2">
        <v>140</v>
      </c>
      <c r="F956" s="2">
        <v>32441</v>
      </c>
      <c r="G956" s="2">
        <v>6.5273641849999997</v>
      </c>
      <c r="H956" s="3">
        <v>1.3799999999999999E-8</v>
      </c>
      <c r="I956" s="2" t="s">
        <v>27857</v>
      </c>
      <c r="J956" s="2" t="s">
        <v>27858</v>
      </c>
      <c r="K956" s="3">
        <v>3.8299999999999998E-7</v>
      </c>
      <c r="L956" s="2" t="s">
        <v>637</v>
      </c>
      <c r="M956" s="4" t="s">
        <v>27859</v>
      </c>
    </row>
    <row r="957" spans="1:13">
      <c r="A957" s="2">
        <v>224</v>
      </c>
      <c r="B957" s="2" t="s">
        <v>27860</v>
      </c>
      <c r="C957" s="2">
        <v>22</v>
      </c>
      <c r="D957" s="2">
        <v>568</v>
      </c>
      <c r="E957" s="2">
        <v>277</v>
      </c>
      <c r="F957" s="2">
        <v>32441</v>
      </c>
      <c r="G957" s="2">
        <v>4.5361646410000001</v>
      </c>
      <c r="H957" s="3">
        <v>1.4500000000000001E-8</v>
      </c>
      <c r="I957" s="2" t="s">
        <v>27861</v>
      </c>
      <c r="J957" s="2" t="s">
        <v>27862</v>
      </c>
      <c r="K957" s="3">
        <v>3.89E-7</v>
      </c>
      <c r="L957" s="2" t="s">
        <v>637</v>
      </c>
      <c r="M957" s="4" t="s">
        <v>27863</v>
      </c>
    </row>
    <row r="958" spans="1:13">
      <c r="A958" s="2">
        <v>32</v>
      </c>
      <c r="B958" s="2" t="s">
        <v>27864</v>
      </c>
      <c r="C958" s="2">
        <v>17</v>
      </c>
      <c r="D958" s="2">
        <v>568</v>
      </c>
      <c r="E958" s="2">
        <v>164</v>
      </c>
      <c r="F958" s="2">
        <v>32441</v>
      </c>
      <c r="G958" s="2">
        <v>5.9203989180000001</v>
      </c>
      <c r="H958" s="3">
        <v>1.85E-8</v>
      </c>
      <c r="I958" s="2" t="s">
        <v>27865</v>
      </c>
      <c r="J958" s="2" t="s">
        <v>27866</v>
      </c>
      <c r="K958" s="3">
        <v>4.7999999999999996E-7</v>
      </c>
      <c r="L958" s="2" t="s">
        <v>637</v>
      </c>
      <c r="M958" s="4" t="s">
        <v>27867</v>
      </c>
    </row>
    <row r="959" spans="1:13">
      <c r="A959" s="2">
        <v>154</v>
      </c>
      <c r="B959" s="2" t="s">
        <v>27868</v>
      </c>
      <c r="C959" s="2">
        <v>19</v>
      </c>
      <c r="D959" s="2">
        <v>568</v>
      </c>
      <c r="E959" s="2">
        <v>219</v>
      </c>
      <c r="F959" s="2">
        <v>32441</v>
      </c>
      <c r="G959" s="2">
        <v>4.9551337709999999</v>
      </c>
      <c r="H959" s="3">
        <v>3.8500000000000001E-8</v>
      </c>
      <c r="I959" s="2" t="s">
        <v>27869</v>
      </c>
      <c r="J959" s="2" t="s">
        <v>27870</v>
      </c>
      <c r="K959" s="3">
        <v>9.7100000000000011E-7</v>
      </c>
      <c r="L959" s="2" t="s">
        <v>637</v>
      </c>
      <c r="M959" s="4" t="s">
        <v>27871</v>
      </c>
    </row>
    <row r="960" spans="1:13">
      <c r="A960" s="2">
        <v>179</v>
      </c>
      <c r="B960" s="2" t="s">
        <v>27872</v>
      </c>
      <c r="C960" s="2">
        <v>11</v>
      </c>
      <c r="D960" s="2">
        <v>568</v>
      </c>
      <c r="E960" s="2">
        <v>61</v>
      </c>
      <c r="F960" s="2">
        <v>32441</v>
      </c>
      <c r="G960" s="2">
        <v>10.29932464</v>
      </c>
      <c r="H960" s="3">
        <v>4.1600000000000002E-8</v>
      </c>
      <c r="I960" s="2" t="s">
        <v>27873</v>
      </c>
      <c r="J960" s="2" t="s">
        <v>27874</v>
      </c>
      <c r="K960" s="3">
        <v>1.02E-6</v>
      </c>
      <c r="L960" s="2" t="s">
        <v>637</v>
      </c>
      <c r="M960" s="4" t="s">
        <v>27875</v>
      </c>
    </row>
    <row r="961" spans="1:13">
      <c r="A961" s="2">
        <v>545</v>
      </c>
      <c r="B961" s="2" t="s">
        <v>7375</v>
      </c>
      <c r="C961" s="2">
        <v>20</v>
      </c>
      <c r="D961" s="2">
        <v>568</v>
      </c>
      <c r="E961" s="2">
        <v>248</v>
      </c>
      <c r="F961" s="2">
        <v>32441</v>
      </c>
      <c r="G961" s="2">
        <v>4.606002953</v>
      </c>
      <c r="H961" s="3">
        <v>5.2000000000000002E-8</v>
      </c>
      <c r="I961" s="2" t="s">
        <v>27876</v>
      </c>
      <c r="J961" s="2" t="s">
        <v>27877</v>
      </c>
      <c r="K961" s="3">
        <v>1.24E-6</v>
      </c>
      <c r="L961" s="2" t="s">
        <v>637</v>
      </c>
      <c r="M961" s="4" t="s">
        <v>7378</v>
      </c>
    </row>
    <row r="962" spans="1:13">
      <c r="A962" s="2">
        <v>2621</v>
      </c>
      <c r="B962" s="2" t="s">
        <v>27878</v>
      </c>
      <c r="C962" s="2">
        <v>12</v>
      </c>
      <c r="D962" s="2">
        <v>568</v>
      </c>
      <c r="E962" s="2">
        <v>81</v>
      </c>
      <c r="F962" s="2">
        <v>32441</v>
      </c>
      <c r="G962" s="2">
        <v>8.4613980180000006</v>
      </c>
      <c r="H962" s="3">
        <v>7.0500000000000003E-8</v>
      </c>
      <c r="I962" s="2" t="s">
        <v>27879</v>
      </c>
      <c r="J962" s="2" t="s">
        <v>27880</v>
      </c>
      <c r="K962" s="3">
        <v>1.64E-6</v>
      </c>
      <c r="L962" s="2" t="s">
        <v>637</v>
      </c>
      <c r="M962" s="4" t="s">
        <v>27881</v>
      </c>
    </row>
    <row r="963" spans="1:13">
      <c r="A963" s="2">
        <v>346</v>
      </c>
      <c r="B963" s="2" t="s">
        <v>27882</v>
      </c>
      <c r="C963" s="2">
        <v>10</v>
      </c>
      <c r="D963" s="2">
        <v>568</v>
      </c>
      <c r="E963" s="2">
        <v>51</v>
      </c>
      <c r="F963" s="2">
        <v>32441</v>
      </c>
      <c r="G963" s="2">
        <v>11.19890914</v>
      </c>
      <c r="H963" s="3">
        <v>8.6299999999999999E-8</v>
      </c>
      <c r="I963" s="2" t="s">
        <v>27883</v>
      </c>
      <c r="J963" s="2" t="s">
        <v>27884</v>
      </c>
      <c r="K963" s="3">
        <v>1.95E-6</v>
      </c>
      <c r="L963" s="2" t="s">
        <v>637</v>
      </c>
      <c r="M963" s="4" t="s">
        <v>27885</v>
      </c>
    </row>
    <row r="964" spans="1:13">
      <c r="A964" s="2">
        <v>152</v>
      </c>
      <c r="B964" s="2" t="s">
        <v>27886</v>
      </c>
      <c r="C964" s="2">
        <v>13</v>
      </c>
      <c r="D964" s="2">
        <v>568</v>
      </c>
      <c r="E964" s="2">
        <v>102</v>
      </c>
      <c r="F964" s="2">
        <v>32441</v>
      </c>
      <c r="G964" s="2">
        <v>7.2792909420000003</v>
      </c>
      <c r="H964" s="3">
        <v>9.9799999999999994E-8</v>
      </c>
      <c r="I964" s="2" t="s">
        <v>27887</v>
      </c>
      <c r="J964" s="2" t="s">
        <v>27888</v>
      </c>
      <c r="K964" s="3">
        <v>2.1100000000000001E-6</v>
      </c>
      <c r="L964" s="2" t="s">
        <v>637</v>
      </c>
      <c r="M964" s="4" t="s">
        <v>27889</v>
      </c>
    </row>
    <row r="965" spans="1:13">
      <c r="A965" s="2">
        <v>2002</v>
      </c>
      <c r="B965" s="2" t="s">
        <v>27890</v>
      </c>
      <c r="C965" s="2">
        <v>11</v>
      </c>
      <c r="D965" s="2">
        <v>568</v>
      </c>
      <c r="E965" s="2">
        <v>67</v>
      </c>
      <c r="F965" s="2">
        <v>32441</v>
      </c>
      <c r="G965" s="2">
        <v>9.3769970570000005</v>
      </c>
      <c r="H965" s="3">
        <v>9.7699999999999995E-8</v>
      </c>
      <c r="I965" s="2" t="s">
        <v>27891</v>
      </c>
      <c r="J965" s="2" t="s">
        <v>27892</v>
      </c>
      <c r="K965" s="3">
        <v>2.1100000000000001E-6</v>
      </c>
      <c r="L965" s="2" t="s">
        <v>637</v>
      </c>
      <c r="M965" s="4" t="s">
        <v>27893</v>
      </c>
    </row>
    <row r="966" spans="1:13">
      <c r="A966" s="2">
        <v>211</v>
      </c>
      <c r="B966" s="2" t="s">
        <v>27894</v>
      </c>
      <c r="C966" s="2">
        <v>12</v>
      </c>
      <c r="D966" s="2">
        <v>568</v>
      </c>
      <c r="E966" s="2">
        <v>84</v>
      </c>
      <c r="F966" s="2">
        <v>32441</v>
      </c>
      <c r="G966" s="2">
        <v>8.1592052309999996</v>
      </c>
      <c r="H966" s="3">
        <v>1.01E-7</v>
      </c>
      <c r="I966" s="2" t="s">
        <v>27895</v>
      </c>
      <c r="J966" s="2" t="s">
        <v>27896</v>
      </c>
      <c r="K966" s="3">
        <v>2.1100000000000001E-6</v>
      </c>
      <c r="L966" s="2" t="s">
        <v>637</v>
      </c>
      <c r="M966" s="4" t="s">
        <v>27897</v>
      </c>
    </row>
    <row r="967" spans="1:13">
      <c r="A967" s="2">
        <v>655</v>
      </c>
      <c r="B967" s="2" t="s">
        <v>27898</v>
      </c>
      <c r="C967" s="2">
        <v>19</v>
      </c>
      <c r="D967" s="2">
        <v>568</v>
      </c>
      <c r="E967" s="2">
        <v>237</v>
      </c>
      <c r="F967" s="2">
        <v>32441</v>
      </c>
      <c r="G967" s="2">
        <v>4.5787944969999996</v>
      </c>
      <c r="H967" s="3">
        <v>1.2200000000000001E-7</v>
      </c>
      <c r="I967" s="2" t="s">
        <v>27899</v>
      </c>
      <c r="J967" s="2" t="s">
        <v>27900</v>
      </c>
      <c r="K967" s="3">
        <v>2.4899999999999999E-6</v>
      </c>
      <c r="L967" s="2" t="s">
        <v>637</v>
      </c>
      <c r="M967" s="4" t="s">
        <v>27901</v>
      </c>
    </row>
    <row r="968" spans="1:13">
      <c r="A968" s="2">
        <v>255</v>
      </c>
      <c r="B968" s="2" t="s">
        <v>27902</v>
      </c>
      <c r="C968" s="2">
        <v>15</v>
      </c>
      <c r="D968" s="2">
        <v>568</v>
      </c>
      <c r="E968" s="2">
        <v>145</v>
      </c>
      <c r="F968" s="2">
        <v>32441</v>
      </c>
      <c r="G968" s="2">
        <v>5.9083899950000003</v>
      </c>
      <c r="H968" s="3">
        <v>1.3E-7</v>
      </c>
      <c r="I968" s="2" t="s">
        <v>27903</v>
      </c>
      <c r="J968" s="2" t="s">
        <v>27904</v>
      </c>
      <c r="K968" s="3">
        <v>2.5900000000000002E-6</v>
      </c>
      <c r="L968" s="2" t="s">
        <v>637</v>
      </c>
      <c r="M968" s="4" t="s">
        <v>27905</v>
      </c>
    </row>
    <row r="969" spans="1:13">
      <c r="A969" s="2">
        <v>672</v>
      </c>
      <c r="B969" s="2" t="s">
        <v>27906</v>
      </c>
      <c r="C969" s="2">
        <v>10</v>
      </c>
      <c r="D969" s="2">
        <v>568</v>
      </c>
      <c r="E969" s="2">
        <v>55</v>
      </c>
      <c r="F969" s="2">
        <v>32441</v>
      </c>
      <c r="G969" s="2">
        <v>10.384443020000001</v>
      </c>
      <c r="H969" s="3">
        <v>1.61E-7</v>
      </c>
      <c r="I969" s="2" t="s">
        <v>27907</v>
      </c>
      <c r="J969" s="2" t="s">
        <v>27908</v>
      </c>
      <c r="K969" s="3">
        <v>3.14E-6</v>
      </c>
      <c r="L969" s="2" t="s">
        <v>637</v>
      </c>
      <c r="M969" s="4" t="s">
        <v>27909</v>
      </c>
    </row>
    <row r="970" spans="1:13">
      <c r="A970" s="2">
        <v>981</v>
      </c>
      <c r="B970" s="2" t="s">
        <v>27910</v>
      </c>
      <c r="C970" s="2">
        <v>16</v>
      </c>
      <c r="D970" s="2">
        <v>568</v>
      </c>
      <c r="E970" s="2">
        <v>172</v>
      </c>
      <c r="F970" s="2">
        <v>32441</v>
      </c>
      <c r="G970" s="2">
        <v>5.312970848</v>
      </c>
      <c r="H970" s="3">
        <v>1.9000000000000001E-7</v>
      </c>
      <c r="I970" s="2" t="s">
        <v>27911</v>
      </c>
      <c r="J970" s="2" t="s">
        <v>27912</v>
      </c>
      <c r="K970" s="3">
        <v>3.6200000000000001E-6</v>
      </c>
      <c r="L970" s="2" t="s">
        <v>637</v>
      </c>
      <c r="M970" s="4" t="s">
        <v>27913</v>
      </c>
    </row>
    <row r="971" spans="1:13">
      <c r="A971" s="2">
        <v>265</v>
      </c>
      <c r="B971" s="2" t="s">
        <v>27914</v>
      </c>
      <c r="C971" s="2">
        <v>19</v>
      </c>
      <c r="D971" s="2">
        <v>568</v>
      </c>
      <c r="E971" s="2">
        <v>245</v>
      </c>
      <c r="F971" s="2">
        <v>32441</v>
      </c>
      <c r="G971" s="2">
        <v>4.4292828399999999</v>
      </c>
      <c r="H971" s="3">
        <v>1.97E-7</v>
      </c>
      <c r="I971" s="2" t="s">
        <v>27915</v>
      </c>
      <c r="J971" s="2" t="s">
        <v>27916</v>
      </c>
      <c r="K971" s="3">
        <v>3.67E-6</v>
      </c>
      <c r="L971" s="2" t="s">
        <v>637</v>
      </c>
      <c r="M971" s="4" t="s">
        <v>27917</v>
      </c>
    </row>
    <row r="972" spans="1:13">
      <c r="A972" s="2">
        <v>212</v>
      </c>
      <c r="B972" s="2" t="s">
        <v>27918</v>
      </c>
      <c r="C972" s="2">
        <v>13</v>
      </c>
      <c r="D972" s="2">
        <v>568</v>
      </c>
      <c r="E972" s="2">
        <v>109</v>
      </c>
      <c r="F972" s="2">
        <v>32441</v>
      </c>
      <c r="G972" s="2">
        <v>6.8118135420000003</v>
      </c>
      <c r="H972" s="3">
        <v>2.0100000000000001E-7</v>
      </c>
      <c r="I972" s="2" t="s">
        <v>27919</v>
      </c>
      <c r="J972" s="2" t="s">
        <v>27920</v>
      </c>
      <c r="K972" s="3">
        <v>3.67E-6</v>
      </c>
      <c r="L972" s="2" t="s">
        <v>637</v>
      </c>
      <c r="M972" s="4" t="s">
        <v>27921</v>
      </c>
    </row>
    <row r="973" spans="1:13">
      <c r="A973" s="2">
        <v>2411</v>
      </c>
      <c r="B973" s="2" t="s">
        <v>27922</v>
      </c>
      <c r="C973" s="2">
        <v>8</v>
      </c>
      <c r="D973" s="2">
        <v>568</v>
      </c>
      <c r="E973" s="2">
        <v>30</v>
      </c>
      <c r="F973" s="2">
        <v>32441</v>
      </c>
      <c r="G973" s="2">
        <v>15.23051643</v>
      </c>
      <c r="H973" s="3">
        <v>2.2700000000000001E-7</v>
      </c>
      <c r="I973" s="2" t="s">
        <v>27923</v>
      </c>
      <c r="J973" s="2" t="s">
        <v>27924</v>
      </c>
      <c r="K973" s="3">
        <v>4.0600000000000001E-6</v>
      </c>
      <c r="L973" s="2" t="s">
        <v>637</v>
      </c>
      <c r="M973" s="4" t="s">
        <v>27925</v>
      </c>
    </row>
    <row r="974" spans="1:13">
      <c r="A974" s="2">
        <v>612</v>
      </c>
      <c r="B974" s="2" t="s">
        <v>27926</v>
      </c>
      <c r="C974" s="2">
        <v>21</v>
      </c>
      <c r="D974" s="2">
        <v>568</v>
      </c>
      <c r="E974" s="2">
        <v>303</v>
      </c>
      <c r="F974" s="2">
        <v>32441</v>
      </c>
      <c r="G974" s="2">
        <v>3.9584263000000002</v>
      </c>
      <c r="H974" s="3">
        <v>2.6300000000000001E-7</v>
      </c>
      <c r="I974" s="2" t="s">
        <v>27927</v>
      </c>
      <c r="J974" s="2" t="s">
        <v>27928</v>
      </c>
      <c r="K974" s="3">
        <v>4.6E-6</v>
      </c>
      <c r="L974" s="2" t="s">
        <v>637</v>
      </c>
      <c r="M974" s="4" t="s">
        <v>27929</v>
      </c>
    </row>
    <row r="975" spans="1:13">
      <c r="A975" s="2">
        <v>414</v>
      </c>
      <c r="B975" s="2" t="s">
        <v>27930</v>
      </c>
      <c r="C975" s="2">
        <v>11</v>
      </c>
      <c r="D975" s="2">
        <v>568</v>
      </c>
      <c r="E975" s="2">
        <v>76</v>
      </c>
      <c r="F975" s="2">
        <v>32441</v>
      </c>
      <c r="G975" s="2">
        <v>8.2665631949999998</v>
      </c>
      <c r="H975" s="3">
        <v>3.0600000000000001E-7</v>
      </c>
      <c r="I975" s="2" t="s">
        <v>27931</v>
      </c>
      <c r="J975" s="2" t="s">
        <v>27932</v>
      </c>
      <c r="K975" s="3">
        <v>5.2499999999999997E-6</v>
      </c>
      <c r="L975" s="2" t="s">
        <v>637</v>
      </c>
      <c r="M975" s="4" t="s">
        <v>27933</v>
      </c>
    </row>
    <row r="976" spans="1:13">
      <c r="A976" s="2">
        <v>3501</v>
      </c>
      <c r="B976" s="2" t="s">
        <v>27934</v>
      </c>
      <c r="C976" s="2">
        <v>9</v>
      </c>
      <c r="D976" s="2">
        <v>568</v>
      </c>
      <c r="E976" s="2">
        <v>46</v>
      </c>
      <c r="F976" s="2">
        <v>32441</v>
      </c>
      <c r="G976" s="2">
        <v>11.174563689999999</v>
      </c>
      <c r="H976" s="3">
        <v>3.9099999999999999E-7</v>
      </c>
      <c r="I976" s="2" t="s">
        <v>27935</v>
      </c>
      <c r="J976" s="2" t="s">
        <v>27936</v>
      </c>
      <c r="K976" s="3">
        <v>6.5699999999999998E-6</v>
      </c>
      <c r="L976" s="2" t="s">
        <v>637</v>
      </c>
      <c r="M976" s="4" t="s">
        <v>27937</v>
      </c>
    </row>
    <row r="977" spans="1:13">
      <c r="A977" s="2">
        <v>217</v>
      </c>
      <c r="B977" s="2" t="s">
        <v>27938</v>
      </c>
      <c r="C977" s="2">
        <v>10</v>
      </c>
      <c r="D977" s="2">
        <v>568</v>
      </c>
      <c r="E977" s="2">
        <v>64</v>
      </c>
      <c r="F977" s="2">
        <v>32441</v>
      </c>
      <c r="G977" s="2">
        <v>8.9241307219999992</v>
      </c>
      <c r="H977" s="3">
        <v>5.6300000000000005E-7</v>
      </c>
      <c r="I977" s="2" t="s">
        <v>27939</v>
      </c>
      <c r="J977" s="2" t="s">
        <v>27940</v>
      </c>
      <c r="K977" s="3">
        <v>9.2900000000000008E-6</v>
      </c>
      <c r="L977" s="2" t="s">
        <v>637</v>
      </c>
      <c r="M977" s="4" t="s">
        <v>27941</v>
      </c>
    </row>
    <row r="978" spans="1:13">
      <c r="A978" s="2">
        <v>172</v>
      </c>
      <c r="B978" s="2" t="s">
        <v>27942</v>
      </c>
      <c r="C978" s="2">
        <v>17</v>
      </c>
      <c r="D978" s="2">
        <v>568</v>
      </c>
      <c r="E978" s="2">
        <v>213</v>
      </c>
      <c r="F978" s="2">
        <v>32441</v>
      </c>
      <c r="G978" s="2">
        <v>4.5584292140000002</v>
      </c>
      <c r="H978" s="3">
        <v>5.9200000000000001E-7</v>
      </c>
      <c r="I978" s="2" t="s">
        <v>27943</v>
      </c>
      <c r="J978" s="2" t="s">
        <v>27944</v>
      </c>
      <c r="K978" s="3">
        <v>9.5899999999999997E-6</v>
      </c>
      <c r="L978" s="2" t="s">
        <v>637</v>
      </c>
      <c r="M978" s="4" t="s">
        <v>27945</v>
      </c>
    </row>
    <row r="979" spans="1:13">
      <c r="A979" s="2">
        <v>100</v>
      </c>
      <c r="B979" s="2" t="s">
        <v>27946</v>
      </c>
      <c r="C979" s="2">
        <v>15</v>
      </c>
      <c r="D979" s="2">
        <v>568</v>
      </c>
      <c r="E979" s="2">
        <v>166</v>
      </c>
      <c r="F979" s="2">
        <v>32441</v>
      </c>
      <c r="G979" s="2">
        <v>5.1609430679999999</v>
      </c>
      <c r="H979" s="3">
        <v>6.4300000000000003E-7</v>
      </c>
      <c r="I979" s="2" t="s">
        <v>27947</v>
      </c>
      <c r="J979" s="2" t="s">
        <v>27948</v>
      </c>
      <c r="K979" s="3">
        <v>1.0200000000000001E-5</v>
      </c>
      <c r="L979" s="2" t="s">
        <v>637</v>
      </c>
      <c r="M979" s="4" t="s">
        <v>27949</v>
      </c>
    </row>
    <row r="980" spans="1:13">
      <c r="A980" s="2">
        <v>94</v>
      </c>
      <c r="B980" s="2" t="s">
        <v>27950</v>
      </c>
      <c r="C980" s="2">
        <v>11</v>
      </c>
      <c r="D980" s="2">
        <v>568</v>
      </c>
      <c r="E980" s="2">
        <v>84</v>
      </c>
      <c r="F980" s="2">
        <v>32441</v>
      </c>
      <c r="G980" s="2">
        <v>7.4792714619999998</v>
      </c>
      <c r="H980" s="3">
        <v>7.5300000000000003E-7</v>
      </c>
      <c r="I980" s="2" t="s">
        <v>27951</v>
      </c>
      <c r="J980" s="2" t="s">
        <v>27952</v>
      </c>
      <c r="K980" s="3">
        <v>1.1800000000000001E-5</v>
      </c>
      <c r="L980" s="2" t="s">
        <v>637</v>
      </c>
      <c r="M980" s="4" t="s">
        <v>27953</v>
      </c>
    </row>
    <row r="981" spans="1:13">
      <c r="A981" s="2">
        <v>230</v>
      </c>
      <c r="B981" s="2" t="s">
        <v>3006</v>
      </c>
      <c r="C981" s="2">
        <v>7</v>
      </c>
      <c r="D981" s="2">
        <v>568</v>
      </c>
      <c r="E981" s="2">
        <v>24</v>
      </c>
      <c r="F981" s="2">
        <v>32441</v>
      </c>
      <c r="G981" s="2">
        <v>16.658377349999999</v>
      </c>
      <c r="H981" s="3">
        <v>7.9100000000000003E-7</v>
      </c>
      <c r="I981" s="2" t="s">
        <v>27954</v>
      </c>
      <c r="J981" s="2" t="s">
        <v>27955</v>
      </c>
      <c r="K981" s="3">
        <v>1.2099999999999999E-5</v>
      </c>
      <c r="L981" s="2" t="s">
        <v>637</v>
      </c>
      <c r="M981" s="4" t="s">
        <v>3009</v>
      </c>
    </row>
    <row r="982" spans="1:13">
      <c r="A982" s="2">
        <v>6201</v>
      </c>
      <c r="B982" s="2" t="s">
        <v>27956</v>
      </c>
      <c r="C982" s="2">
        <v>14</v>
      </c>
      <c r="D982" s="2">
        <v>568</v>
      </c>
      <c r="E982" s="2">
        <v>154</v>
      </c>
      <c r="F982" s="2">
        <v>32441</v>
      </c>
      <c r="G982" s="2">
        <v>5.1922215109999996</v>
      </c>
      <c r="H982" s="3">
        <v>1.42E-6</v>
      </c>
      <c r="I982" s="2" t="s">
        <v>27957</v>
      </c>
      <c r="J982" s="2" t="s">
        <v>27958</v>
      </c>
      <c r="K982" s="3">
        <v>2.1299999999999999E-5</v>
      </c>
      <c r="L982" s="2" t="s">
        <v>637</v>
      </c>
      <c r="M982" s="4" t="s">
        <v>27959</v>
      </c>
    </row>
    <row r="983" spans="1:13">
      <c r="A983" s="2">
        <v>562</v>
      </c>
      <c r="B983" s="2" t="s">
        <v>27960</v>
      </c>
      <c r="C983" s="2">
        <v>16</v>
      </c>
      <c r="D983" s="2">
        <v>568</v>
      </c>
      <c r="E983" s="2">
        <v>205</v>
      </c>
      <c r="F983" s="2">
        <v>32441</v>
      </c>
      <c r="G983" s="2">
        <v>4.4577121259999997</v>
      </c>
      <c r="H983" s="3">
        <v>1.66E-6</v>
      </c>
      <c r="I983" s="2" t="s">
        <v>27961</v>
      </c>
      <c r="J983" s="2" t="s">
        <v>27962</v>
      </c>
      <c r="K983" s="3">
        <v>2.4600000000000002E-5</v>
      </c>
      <c r="L983" s="2" t="s">
        <v>637</v>
      </c>
      <c r="M983" s="4" t="s">
        <v>27963</v>
      </c>
    </row>
    <row r="984" spans="1:13">
      <c r="A984" s="2">
        <v>7312</v>
      </c>
      <c r="B984" s="2" t="s">
        <v>27964</v>
      </c>
      <c r="C984" s="2">
        <v>6</v>
      </c>
      <c r="D984" s="2">
        <v>568</v>
      </c>
      <c r="E984" s="2">
        <v>17</v>
      </c>
      <c r="F984" s="2">
        <v>32441</v>
      </c>
      <c r="G984" s="2">
        <v>20.158036450000001</v>
      </c>
      <c r="H984" s="3">
        <v>1.99E-6</v>
      </c>
      <c r="I984" s="2" t="s">
        <v>27965</v>
      </c>
      <c r="J984" s="2" t="s">
        <v>27966</v>
      </c>
      <c r="K984" s="3">
        <v>2.8900000000000001E-5</v>
      </c>
      <c r="L984" s="2" t="s">
        <v>637</v>
      </c>
      <c r="M984" s="4" t="s">
        <v>27967</v>
      </c>
    </row>
    <row r="985" spans="1:13">
      <c r="A985" s="2">
        <v>14</v>
      </c>
      <c r="B985" s="2" t="s">
        <v>27968</v>
      </c>
      <c r="C985" s="2">
        <v>12</v>
      </c>
      <c r="D985" s="2">
        <v>568</v>
      </c>
      <c r="E985" s="2">
        <v>117</v>
      </c>
      <c r="F985" s="2">
        <v>32441</v>
      </c>
      <c r="G985" s="2">
        <v>5.8578909350000004</v>
      </c>
      <c r="H985" s="3">
        <v>2.5299999999999999E-6</v>
      </c>
      <c r="I985" s="2" t="s">
        <v>27969</v>
      </c>
      <c r="J985" s="2" t="s">
        <v>27970</v>
      </c>
      <c r="K985" s="3">
        <v>3.6199999999999999E-5</v>
      </c>
      <c r="L985" s="2" t="s">
        <v>637</v>
      </c>
      <c r="M985" s="4" t="s">
        <v>27971</v>
      </c>
    </row>
    <row r="986" spans="1:13">
      <c r="A986" s="2">
        <v>33</v>
      </c>
      <c r="B986" s="2" t="s">
        <v>27972</v>
      </c>
      <c r="C986" s="2">
        <v>15</v>
      </c>
      <c r="D986" s="2">
        <v>568</v>
      </c>
      <c r="E986" s="2">
        <v>190</v>
      </c>
      <c r="F986" s="2">
        <v>32441</v>
      </c>
      <c r="G986" s="2">
        <v>4.5090344699999996</v>
      </c>
      <c r="H986" s="3">
        <v>3.0599999999999999E-6</v>
      </c>
      <c r="I986" s="2" t="s">
        <v>27973</v>
      </c>
      <c r="J986" s="2" t="s">
        <v>27974</v>
      </c>
      <c r="K986" s="3">
        <v>4.3099999999999997E-5</v>
      </c>
      <c r="L986" s="2" t="s">
        <v>637</v>
      </c>
      <c r="M986" s="4" t="s">
        <v>27975</v>
      </c>
    </row>
    <row r="987" spans="1:13">
      <c r="A987" s="2">
        <v>6621</v>
      </c>
      <c r="B987" s="2" t="s">
        <v>7391</v>
      </c>
      <c r="C987" s="2">
        <v>11</v>
      </c>
      <c r="D987" s="2">
        <v>568</v>
      </c>
      <c r="E987" s="2">
        <v>101</v>
      </c>
      <c r="F987" s="2">
        <v>32441</v>
      </c>
      <c r="G987" s="2">
        <v>6.2203841860000004</v>
      </c>
      <c r="H987" s="3">
        <v>3.89E-6</v>
      </c>
      <c r="I987" s="2" t="s">
        <v>27976</v>
      </c>
      <c r="J987" s="2" t="s">
        <v>27977</v>
      </c>
      <c r="K987" s="3">
        <v>5.3000000000000001E-5</v>
      </c>
      <c r="L987" s="2" t="s">
        <v>637</v>
      </c>
      <c r="M987" s="4" t="s">
        <v>7392</v>
      </c>
    </row>
    <row r="988" spans="1:13">
      <c r="A988" s="2">
        <v>7361</v>
      </c>
      <c r="B988" s="2" t="s">
        <v>7351</v>
      </c>
      <c r="C988" s="2">
        <v>10</v>
      </c>
      <c r="D988" s="2">
        <v>568</v>
      </c>
      <c r="E988" s="2">
        <v>81</v>
      </c>
      <c r="F988" s="2">
        <v>32441</v>
      </c>
      <c r="G988" s="2">
        <v>7.0511650149999996</v>
      </c>
      <c r="H988" s="3">
        <v>3.8800000000000001E-6</v>
      </c>
      <c r="I988" s="2" t="s">
        <v>27978</v>
      </c>
      <c r="J988" s="2" t="s">
        <v>27979</v>
      </c>
      <c r="K988" s="3">
        <v>5.3000000000000001E-5</v>
      </c>
      <c r="L988" s="2" t="s">
        <v>637</v>
      </c>
      <c r="M988" s="4" t="s">
        <v>7352</v>
      </c>
    </row>
    <row r="989" spans="1:13">
      <c r="A989" s="2">
        <v>1991</v>
      </c>
      <c r="B989" s="2" t="s">
        <v>27980</v>
      </c>
      <c r="C989" s="2">
        <v>9</v>
      </c>
      <c r="D989" s="2">
        <v>568</v>
      </c>
      <c r="E989" s="2">
        <v>64</v>
      </c>
      <c r="F989" s="2">
        <v>32441</v>
      </c>
      <c r="G989" s="2">
        <v>8.0317176499999992</v>
      </c>
      <c r="H989" s="3">
        <v>4.5299999999999998E-6</v>
      </c>
      <c r="I989" s="2" t="s">
        <v>27981</v>
      </c>
      <c r="J989" s="2" t="s">
        <v>27982</v>
      </c>
      <c r="K989" s="3">
        <v>6.0800000000000001E-5</v>
      </c>
      <c r="L989" s="2" t="s">
        <v>637</v>
      </c>
      <c r="M989" s="4" t="s">
        <v>27983</v>
      </c>
    </row>
    <row r="990" spans="1:13">
      <c r="A990" s="2">
        <v>38</v>
      </c>
      <c r="B990" s="2" t="s">
        <v>27984</v>
      </c>
      <c r="C990" s="2">
        <v>11</v>
      </c>
      <c r="D990" s="2">
        <v>568</v>
      </c>
      <c r="E990" s="2">
        <v>105</v>
      </c>
      <c r="F990" s="2">
        <v>32441</v>
      </c>
      <c r="G990" s="2">
        <v>5.9834171700000001</v>
      </c>
      <c r="H990" s="3">
        <v>5.48E-6</v>
      </c>
      <c r="I990" s="2" t="s">
        <v>27985</v>
      </c>
      <c r="J990" s="2" t="s">
        <v>27986</v>
      </c>
      <c r="K990" s="3">
        <v>7.1299999999999998E-5</v>
      </c>
      <c r="L990" s="2" t="s">
        <v>637</v>
      </c>
      <c r="M990" s="4" t="s">
        <v>27987</v>
      </c>
    </row>
    <row r="991" spans="1:13">
      <c r="A991" s="2">
        <v>175</v>
      </c>
      <c r="B991" s="2" t="s">
        <v>27988</v>
      </c>
      <c r="C991" s="2">
        <v>13</v>
      </c>
      <c r="D991" s="2">
        <v>568</v>
      </c>
      <c r="E991" s="2">
        <v>150</v>
      </c>
      <c r="F991" s="2">
        <v>32441</v>
      </c>
      <c r="G991" s="2">
        <v>4.9499178400000003</v>
      </c>
      <c r="H991" s="3">
        <v>5.4399999999999996E-6</v>
      </c>
      <c r="I991" s="2" t="s">
        <v>27989</v>
      </c>
      <c r="J991" s="2" t="s">
        <v>27990</v>
      </c>
      <c r="K991" s="3">
        <v>7.1299999999999998E-5</v>
      </c>
      <c r="L991" s="2" t="s">
        <v>637</v>
      </c>
      <c r="M991" s="4" t="s">
        <v>27991</v>
      </c>
    </row>
    <row r="992" spans="1:13">
      <c r="A992" s="2">
        <v>2181</v>
      </c>
      <c r="B992" s="2" t="s">
        <v>27992</v>
      </c>
      <c r="C992" s="2">
        <v>7</v>
      </c>
      <c r="D992" s="2">
        <v>568</v>
      </c>
      <c r="E992" s="2">
        <v>36</v>
      </c>
      <c r="F992" s="2">
        <v>32441</v>
      </c>
      <c r="G992" s="2">
        <v>11.1055849</v>
      </c>
      <c r="H992" s="3">
        <v>8.1100000000000003E-6</v>
      </c>
      <c r="I992" s="2" t="s">
        <v>27993</v>
      </c>
      <c r="J992" s="2" t="s">
        <v>27994</v>
      </c>
      <c r="K992" s="2">
        <v>1.03843E-4</v>
      </c>
      <c r="L992" s="2" t="s">
        <v>637</v>
      </c>
      <c r="M992" s="4" t="s">
        <v>27995</v>
      </c>
    </row>
    <row r="993" spans="1:13">
      <c r="A993" s="2">
        <v>151</v>
      </c>
      <c r="B993" s="2" t="s">
        <v>27996</v>
      </c>
      <c r="C993" s="2">
        <v>10</v>
      </c>
      <c r="D993" s="2">
        <v>568</v>
      </c>
      <c r="E993" s="2">
        <v>90</v>
      </c>
      <c r="F993" s="2">
        <v>32441</v>
      </c>
      <c r="G993" s="2">
        <v>6.3460485130000004</v>
      </c>
      <c r="H993" s="3">
        <v>9.0999999999999993E-6</v>
      </c>
      <c r="I993" s="2" t="s">
        <v>27997</v>
      </c>
      <c r="J993" s="2" t="s">
        <v>27998</v>
      </c>
      <c r="K993" s="2">
        <v>1.14802E-4</v>
      </c>
      <c r="L993" s="2" t="s">
        <v>637</v>
      </c>
      <c r="M993" s="4" t="s">
        <v>27999</v>
      </c>
    </row>
    <row r="994" spans="1:13">
      <c r="A994" s="2">
        <v>576</v>
      </c>
      <c r="B994" s="2" t="s">
        <v>747</v>
      </c>
      <c r="C994" s="2">
        <v>15</v>
      </c>
      <c r="D994" s="2">
        <v>568</v>
      </c>
      <c r="E994" s="2">
        <v>210</v>
      </c>
      <c r="F994" s="2">
        <v>32441</v>
      </c>
      <c r="G994" s="2">
        <v>4.0796026159999998</v>
      </c>
      <c r="H994" s="3">
        <v>9.4900000000000006E-6</v>
      </c>
      <c r="I994" s="2" t="s">
        <v>28000</v>
      </c>
      <c r="J994" s="2" t="s">
        <v>28001</v>
      </c>
      <c r="K994" s="2">
        <v>1.18016E-4</v>
      </c>
      <c r="L994" s="2" t="s">
        <v>637</v>
      </c>
      <c r="M994" s="4" t="s">
        <v>28002</v>
      </c>
    </row>
    <row r="995" spans="1:13">
      <c r="A995" s="2">
        <v>3221</v>
      </c>
      <c r="B995" s="2" t="s">
        <v>28003</v>
      </c>
      <c r="C995" s="2">
        <v>10</v>
      </c>
      <c r="D995" s="2">
        <v>568</v>
      </c>
      <c r="E995" s="2">
        <v>92</v>
      </c>
      <c r="F995" s="2">
        <v>32441</v>
      </c>
      <c r="G995" s="2">
        <v>6.2080909369999997</v>
      </c>
      <c r="H995" s="3">
        <v>1.0900000000000001E-5</v>
      </c>
      <c r="I995" s="2" t="s">
        <v>28004</v>
      </c>
      <c r="J995" s="2" t="s">
        <v>28005</v>
      </c>
      <c r="K995" s="2">
        <v>1.3308800000000001E-4</v>
      </c>
      <c r="L995" s="2" t="s">
        <v>637</v>
      </c>
      <c r="M995" s="4" t="s">
        <v>28006</v>
      </c>
    </row>
    <row r="996" spans="1:13">
      <c r="A996" s="2">
        <v>732</v>
      </c>
      <c r="B996" s="2" t="s">
        <v>28007</v>
      </c>
      <c r="C996" s="2">
        <v>9</v>
      </c>
      <c r="D996" s="2">
        <v>568</v>
      </c>
      <c r="E996" s="2">
        <v>73</v>
      </c>
      <c r="F996" s="2">
        <v>32441</v>
      </c>
      <c r="G996" s="2">
        <v>7.0415058850000003</v>
      </c>
      <c r="H996" s="3">
        <v>1.19E-5</v>
      </c>
      <c r="I996" s="2" t="s">
        <v>28008</v>
      </c>
      <c r="J996" s="2" t="s">
        <v>28009</v>
      </c>
      <c r="K996" s="2">
        <v>1.4415000000000001E-4</v>
      </c>
      <c r="L996" s="2" t="s">
        <v>637</v>
      </c>
      <c r="M996" s="4" t="s">
        <v>28010</v>
      </c>
    </row>
    <row r="997" spans="1:13">
      <c r="A997" s="2">
        <v>1461</v>
      </c>
      <c r="B997" s="2" t="s">
        <v>28011</v>
      </c>
      <c r="C997" s="2">
        <v>13</v>
      </c>
      <c r="D997" s="2">
        <v>568</v>
      </c>
      <c r="E997" s="2">
        <v>164</v>
      </c>
      <c r="F997" s="2">
        <v>32441</v>
      </c>
      <c r="G997" s="2">
        <v>4.5273638780000001</v>
      </c>
      <c r="H997" s="3">
        <v>1.33E-5</v>
      </c>
      <c r="I997" s="2" t="s">
        <v>28012</v>
      </c>
      <c r="J997" s="2" t="s">
        <v>28013</v>
      </c>
      <c r="K997" s="2">
        <v>1.58228E-4</v>
      </c>
      <c r="L997" s="2" t="s">
        <v>637</v>
      </c>
      <c r="M997" s="4" t="s">
        <v>28014</v>
      </c>
    </row>
    <row r="998" spans="1:13">
      <c r="A998" s="2">
        <v>1082</v>
      </c>
      <c r="B998" s="2" t="s">
        <v>28015</v>
      </c>
      <c r="C998" s="2">
        <v>18</v>
      </c>
      <c r="D998" s="2">
        <v>568</v>
      </c>
      <c r="E998" s="2">
        <v>303</v>
      </c>
      <c r="F998" s="2">
        <v>32441</v>
      </c>
      <c r="G998" s="2">
        <v>3.3929368289999999</v>
      </c>
      <c r="H998" s="3">
        <v>1.38E-5</v>
      </c>
      <c r="I998" s="2" t="s">
        <v>28016</v>
      </c>
      <c r="J998" s="2" t="s">
        <v>28017</v>
      </c>
      <c r="K998" s="2">
        <v>1.6107E-4</v>
      </c>
      <c r="L998" s="2" t="s">
        <v>637</v>
      </c>
      <c r="M998" s="4" t="s">
        <v>28018</v>
      </c>
    </row>
    <row r="999" spans="1:13">
      <c r="A999" s="2">
        <v>249</v>
      </c>
      <c r="B999" s="2" t="s">
        <v>28019</v>
      </c>
      <c r="C999" s="2">
        <v>8</v>
      </c>
      <c r="D999" s="2">
        <v>568</v>
      </c>
      <c r="E999" s="2">
        <v>56</v>
      </c>
      <c r="F999" s="2">
        <v>32441</v>
      </c>
      <c r="G999" s="2">
        <v>8.1592052309999996</v>
      </c>
      <c r="H999" s="3">
        <v>1.3900000000000001E-5</v>
      </c>
      <c r="I999" s="2" t="s">
        <v>28020</v>
      </c>
      <c r="J999" s="2" t="s">
        <v>28021</v>
      </c>
      <c r="K999" s="2">
        <v>1.6107E-4</v>
      </c>
      <c r="L999" s="2" t="s">
        <v>637</v>
      </c>
      <c r="M999" s="4" t="s">
        <v>28022</v>
      </c>
    </row>
    <row r="1000" spans="1:13">
      <c r="A1000" s="2">
        <v>243</v>
      </c>
      <c r="B1000" s="2" t="s">
        <v>28023</v>
      </c>
      <c r="C1000" s="2">
        <v>16</v>
      </c>
      <c r="D1000" s="2">
        <v>568</v>
      </c>
      <c r="E1000" s="2">
        <v>246</v>
      </c>
      <c r="F1000" s="2">
        <v>32441</v>
      </c>
      <c r="G1000" s="2">
        <v>3.7147601049999999</v>
      </c>
      <c r="H1000" s="3">
        <v>1.45E-5</v>
      </c>
      <c r="I1000" s="2" t="s">
        <v>28024</v>
      </c>
      <c r="J1000" s="2" t="s">
        <v>28025</v>
      </c>
      <c r="K1000" s="2">
        <v>1.65926E-4</v>
      </c>
      <c r="L1000" s="2" t="s">
        <v>637</v>
      </c>
      <c r="M1000" s="4" t="s">
        <v>28026</v>
      </c>
    </row>
    <row r="1001" spans="1:13">
      <c r="A1001" s="2">
        <v>121</v>
      </c>
      <c r="B1001" s="2" t="s">
        <v>28027</v>
      </c>
      <c r="C1001" s="2">
        <v>9</v>
      </c>
      <c r="D1001" s="2">
        <v>568</v>
      </c>
      <c r="E1001" s="2">
        <v>77</v>
      </c>
      <c r="F1001" s="2">
        <v>32441</v>
      </c>
      <c r="G1001" s="2">
        <v>6.6757133709999996</v>
      </c>
      <c r="H1001" s="3">
        <v>1.7600000000000001E-5</v>
      </c>
      <c r="I1001" s="2" t="s">
        <v>28028</v>
      </c>
      <c r="J1001" s="2" t="s">
        <v>28029</v>
      </c>
      <c r="K1001" s="2">
        <v>1.9627300000000001E-4</v>
      </c>
      <c r="L1001" s="2" t="s">
        <v>637</v>
      </c>
      <c r="M1001" s="4" t="s">
        <v>28030</v>
      </c>
    </row>
    <row r="1002" spans="1:13">
      <c r="A1002" s="2">
        <v>6451</v>
      </c>
      <c r="B1002" s="2" t="s">
        <v>28031</v>
      </c>
      <c r="C1002" s="2">
        <v>11</v>
      </c>
      <c r="D1002" s="2">
        <v>568</v>
      </c>
      <c r="E1002" s="2">
        <v>120</v>
      </c>
      <c r="F1002" s="2">
        <v>32441</v>
      </c>
      <c r="G1002" s="2">
        <v>5.2354900229999997</v>
      </c>
      <c r="H1002" s="3">
        <v>1.7600000000000001E-5</v>
      </c>
      <c r="I1002" s="2" t="s">
        <v>28032</v>
      </c>
      <c r="J1002" s="2" t="s">
        <v>28033</v>
      </c>
      <c r="K1002" s="2">
        <v>1.9627300000000001E-4</v>
      </c>
      <c r="L1002" s="2" t="s">
        <v>637</v>
      </c>
      <c r="M1002" s="4" t="s">
        <v>28034</v>
      </c>
    </row>
    <row r="1003" spans="1:13">
      <c r="A1003" s="2">
        <v>47</v>
      </c>
      <c r="B1003" s="2" t="s">
        <v>28035</v>
      </c>
      <c r="C1003" s="2">
        <v>9</v>
      </c>
      <c r="D1003" s="2">
        <v>568</v>
      </c>
      <c r="E1003" s="2">
        <v>80</v>
      </c>
      <c r="F1003" s="2">
        <v>32441</v>
      </c>
      <c r="G1003" s="2">
        <v>6.4253741199999999</v>
      </c>
      <c r="H1003" s="3">
        <v>2.3300000000000001E-5</v>
      </c>
      <c r="I1003" s="2" t="s">
        <v>28036</v>
      </c>
      <c r="J1003" s="2" t="s">
        <v>28037</v>
      </c>
      <c r="K1003" s="2">
        <v>2.55887E-4</v>
      </c>
      <c r="L1003" s="2" t="s">
        <v>637</v>
      </c>
      <c r="M1003" s="4" t="s">
        <v>28038</v>
      </c>
    </row>
    <row r="1004" spans="1:13">
      <c r="A1004" s="2">
        <v>6111</v>
      </c>
      <c r="B1004" s="2" t="s">
        <v>28039</v>
      </c>
      <c r="C1004" s="2">
        <v>13</v>
      </c>
      <c r="D1004" s="2">
        <v>568</v>
      </c>
      <c r="E1004" s="2">
        <v>174</v>
      </c>
      <c r="F1004" s="2">
        <v>32441</v>
      </c>
      <c r="G1004" s="2">
        <v>4.2671705519999996</v>
      </c>
      <c r="H1004" s="3">
        <v>2.3799999999999999E-5</v>
      </c>
      <c r="I1004" s="2" t="s">
        <v>28040</v>
      </c>
      <c r="J1004" s="2" t="s">
        <v>28041</v>
      </c>
      <c r="K1004" s="2">
        <v>2.5848499999999998E-4</v>
      </c>
      <c r="L1004" s="2" t="s">
        <v>637</v>
      </c>
      <c r="M1004" s="4" t="s">
        <v>28042</v>
      </c>
    </row>
    <row r="1005" spans="1:13">
      <c r="A1005" s="2">
        <v>5510</v>
      </c>
      <c r="B1005" s="2" t="s">
        <v>28043</v>
      </c>
      <c r="C1005" s="2">
        <v>15</v>
      </c>
      <c r="D1005" s="2">
        <v>568</v>
      </c>
      <c r="E1005" s="2">
        <v>234</v>
      </c>
      <c r="F1005" s="2">
        <v>32441</v>
      </c>
      <c r="G1005" s="2">
        <v>3.6611818349999998</v>
      </c>
      <c r="H1005" s="3">
        <v>3.1199999999999999E-5</v>
      </c>
      <c r="I1005" s="2" t="s">
        <v>28044</v>
      </c>
      <c r="J1005" s="2" t="s">
        <v>28045</v>
      </c>
      <c r="K1005" s="2">
        <v>3.3500000000000001E-4</v>
      </c>
      <c r="L1005" s="2" t="s">
        <v>637</v>
      </c>
      <c r="M1005" s="4" t="s">
        <v>28046</v>
      </c>
    </row>
    <row r="1006" spans="1:13">
      <c r="A1006" s="2">
        <v>49</v>
      </c>
      <c r="B1006" s="2" t="s">
        <v>28047</v>
      </c>
      <c r="C1006" s="2">
        <v>8</v>
      </c>
      <c r="D1006" s="2">
        <v>568</v>
      </c>
      <c r="E1006" s="2">
        <v>65</v>
      </c>
      <c r="F1006" s="2">
        <v>32441</v>
      </c>
      <c r="G1006" s="2">
        <v>7.0294691220000001</v>
      </c>
      <c r="H1006" s="3">
        <v>3.68E-5</v>
      </c>
      <c r="I1006" s="2" t="s">
        <v>28048</v>
      </c>
      <c r="J1006" s="2" t="s">
        <v>28049</v>
      </c>
      <c r="K1006" s="2">
        <v>3.9033699999999999E-4</v>
      </c>
      <c r="L1006" s="2" t="s">
        <v>637</v>
      </c>
      <c r="M1006" s="4" t="s">
        <v>28050</v>
      </c>
    </row>
    <row r="1007" spans="1:13">
      <c r="A1007" s="2">
        <v>4921</v>
      </c>
      <c r="B1007" s="2" t="s">
        <v>7499</v>
      </c>
      <c r="C1007" s="2">
        <v>24</v>
      </c>
      <c r="D1007" s="2">
        <v>568</v>
      </c>
      <c r="E1007" s="2">
        <v>532</v>
      </c>
      <c r="F1007" s="2">
        <v>32441</v>
      </c>
      <c r="G1007" s="2">
        <v>2.5765911259999998</v>
      </c>
      <c r="H1007" s="3">
        <v>4.3000000000000002E-5</v>
      </c>
      <c r="I1007" s="2" t="s">
        <v>28051</v>
      </c>
      <c r="J1007" s="2" t="s">
        <v>28052</v>
      </c>
      <c r="K1007" s="2">
        <v>4.5030899999999997E-4</v>
      </c>
      <c r="L1007" s="2" t="s">
        <v>637</v>
      </c>
      <c r="M1007" s="4" t="s">
        <v>7502</v>
      </c>
    </row>
    <row r="1008" spans="1:13">
      <c r="A1008" s="2">
        <v>50</v>
      </c>
      <c r="B1008" s="2" t="s">
        <v>28053</v>
      </c>
      <c r="C1008" s="2">
        <v>10</v>
      </c>
      <c r="D1008" s="2">
        <v>568</v>
      </c>
      <c r="E1008" s="2">
        <v>112</v>
      </c>
      <c r="F1008" s="2">
        <v>32441</v>
      </c>
      <c r="G1008" s="2">
        <v>5.0995032699999996</v>
      </c>
      <c r="H1008" s="3">
        <v>5.1700000000000003E-5</v>
      </c>
      <c r="I1008" s="2" t="s">
        <v>28054</v>
      </c>
      <c r="J1008" s="2" t="s">
        <v>28055</v>
      </c>
      <c r="K1008" s="2">
        <v>5.3475799999999998E-4</v>
      </c>
      <c r="L1008" s="2" t="s">
        <v>637</v>
      </c>
      <c r="M1008" s="4" t="s">
        <v>28056</v>
      </c>
    </row>
    <row r="1009" spans="1:13">
      <c r="A1009" s="2">
        <v>1901</v>
      </c>
      <c r="B1009" s="2" t="s">
        <v>28057</v>
      </c>
      <c r="C1009" s="2">
        <v>9</v>
      </c>
      <c r="D1009" s="2">
        <v>568</v>
      </c>
      <c r="E1009" s="2">
        <v>94</v>
      </c>
      <c r="F1009" s="2">
        <v>32441</v>
      </c>
      <c r="G1009" s="2">
        <v>5.4684035059999996</v>
      </c>
      <c r="H1009" s="3">
        <v>7.4300000000000004E-5</v>
      </c>
      <c r="I1009" s="2" t="s">
        <v>28058</v>
      </c>
      <c r="J1009" s="2" t="s">
        <v>28059</v>
      </c>
      <c r="K1009" s="2">
        <v>7.5869800000000003E-4</v>
      </c>
      <c r="L1009" s="2" t="s">
        <v>637</v>
      </c>
      <c r="M1009" s="4" t="s">
        <v>28060</v>
      </c>
    </row>
    <row r="1010" spans="1:13">
      <c r="A1010" s="2">
        <v>203</v>
      </c>
      <c r="B1010" s="2" t="s">
        <v>28061</v>
      </c>
      <c r="C1010" s="2">
        <v>6</v>
      </c>
      <c r="D1010" s="2">
        <v>568</v>
      </c>
      <c r="E1010" s="2">
        <v>37</v>
      </c>
      <c r="F1010" s="2">
        <v>32441</v>
      </c>
      <c r="G1010" s="2">
        <v>9.2618005330000006</v>
      </c>
      <c r="H1010" s="3">
        <v>8.9800000000000001E-5</v>
      </c>
      <c r="I1010" s="2" t="s">
        <v>28062</v>
      </c>
      <c r="J1010" s="2" t="s">
        <v>28063</v>
      </c>
      <c r="K1010" s="2">
        <v>9.0597300000000002E-4</v>
      </c>
      <c r="L1010" s="2" t="s">
        <v>637</v>
      </c>
      <c r="M1010" s="4" t="s">
        <v>28064</v>
      </c>
    </row>
    <row r="1011" spans="1:13">
      <c r="A1011" s="2">
        <v>207</v>
      </c>
      <c r="B1011" s="2" t="s">
        <v>28065</v>
      </c>
      <c r="C1011" s="2">
        <v>12</v>
      </c>
      <c r="D1011" s="2">
        <v>568</v>
      </c>
      <c r="E1011" s="2">
        <v>174</v>
      </c>
      <c r="F1011" s="2">
        <v>32441</v>
      </c>
      <c r="G1011" s="2">
        <v>3.9389266630000002</v>
      </c>
      <c r="H1011" s="3">
        <v>9.9699999999999998E-5</v>
      </c>
      <c r="I1011" s="2" t="s">
        <v>28066</v>
      </c>
      <c r="J1011" s="2" t="s">
        <v>28067</v>
      </c>
      <c r="K1011" s="2">
        <v>9.9443800000000005E-4</v>
      </c>
      <c r="L1011" s="2" t="s">
        <v>637</v>
      </c>
      <c r="M1011" s="4" t="s">
        <v>28068</v>
      </c>
    </row>
    <row r="1012" spans="1:13">
      <c r="A1012" s="2">
        <v>1961</v>
      </c>
      <c r="B1012" s="2" t="s">
        <v>28069</v>
      </c>
      <c r="C1012" s="2">
        <v>6</v>
      </c>
      <c r="D1012" s="2">
        <v>568</v>
      </c>
      <c r="E1012" s="2">
        <v>38</v>
      </c>
      <c r="F1012" s="2">
        <v>32441</v>
      </c>
      <c r="G1012" s="2">
        <v>9.0180689399999991</v>
      </c>
      <c r="H1012" s="2">
        <v>1.0242399999999999E-4</v>
      </c>
      <c r="I1012" s="2" t="s">
        <v>28070</v>
      </c>
      <c r="J1012" s="2" t="s">
        <v>28071</v>
      </c>
      <c r="K1012" s="2">
        <v>1.0101120000000001E-3</v>
      </c>
      <c r="L1012" s="2" t="s">
        <v>637</v>
      </c>
      <c r="M1012" s="4" t="s">
        <v>28072</v>
      </c>
    </row>
    <row r="1013" spans="1:13">
      <c r="A1013" s="2">
        <v>2561</v>
      </c>
      <c r="B1013" s="2" t="s">
        <v>28073</v>
      </c>
      <c r="C1013" s="2">
        <v>7</v>
      </c>
      <c r="D1013" s="2">
        <v>568</v>
      </c>
      <c r="E1013" s="2">
        <v>58</v>
      </c>
      <c r="F1013" s="2">
        <v>32441</v>
      </c>
      <c r="G1013" s="2">
        <v>6.8931216610000003</v>
      </c>
      <c r="H1013" s="2">
        <v>1.26434E-4</v>
      </c>
      <c r="I1013" s="2" t="s">
        <v>28074</v>
      </c>
      <c r="J1013" s="2" t="s">
        <v>28075</v>
      </c>
      <c r="K1013" s="2">
        <v>1.2327270000000001E-3</v>
      </c>
      <c r="L1013" s="2" t="s">
        <v>637</v>
      </c>
      <c r="M1013" s="4" t="s">
        <v>28076</v>
      </c>
    </row>
    <row r="1014" spans="1:13">
      <c r="A1014" s="2">
        <v>110</v>
      </c>
      <c r="B1014" s="2" t="s">
        <v>28077</v>
      </c>
      <c r="C1014" s="2">
        <v>8</v>
      </c>
      <c r="D1014" s="2">
        <v>568</v>
      </c>
      <c r="E1014" s="2">
        <v>81</v>
      </c>
      <c r="F1014" s="2">
        <v>32441</v>
      </c>
      <c r="G1014" s="2">
        <v>5.6409320120000004</v>
      </c>
      <c r="H1014" s="2">
        <v>1.52311E-4</v>
      </c>
      <c r="I1014" s="2" t="s">
        <v>28078</v>
      </c>
      <c r="J1014" s="2" t="s">
        <v>28079</v>
      </c>
      <c r="K1014" s="2">
        <v>1.4683459999999999E-3</v>
      </c>
      <c r="L1014" s="2" t="s">
        <v>637</v>
      </c>
      <c r="M1014" s="4" t="s">
        <v>28080</v>
      </c>
    </row>
    <row r="1015" spans="1:13">
      <c r="A1015" s="2">
        <v>257</v>
      </c>
      <c r="B1015" s="2" t="s">
        <v>28081</v>
      </c>
      <c r="C1015" s="2">
        <v>7</v>
      </c>
      <c r="D1015" s="2">
        <v>568</v>
      </c>
      <c r="E1015" s="2">
        <v>61</v>
      </c>
      <c r="F1015" s="2">
        <v>32441</v>
      </c>
      <c r="G1015" s="2">
        <v>6.5541156779999996</v>
      </c>
      <c r="H1015" s="2">
        <v>1.6842300000000001E-4</v>
      </c>
      <c r="I1015" s="2" t="s">
        <v>28082</v>
      </c>
      <c r="J1015" s="2" t="s">
        <v>28083</v>
      </c>
      <c r="K1015" s="2">
        <v>1.587991E-3</v>
      </c>
      <c r="L1015" s="2" t="s">
        <v>637</v>
      </c>
      <c r="M1015" s="4" t="s">
        <v>28084</v>
      </c>
    </row>
    <row r="1016" spans="1:13">
      <c r="A1016" s="2">
        <v>303</v>
      </c>
      <c r="B1016" s="2" t="s">
        <v>28085</v>
      </c>
      <c r="C1016" s="2">
        <v>6</v>
      </c>
      <c r="D1016" s="2">
        <v>568</v>
      </c>
      <c r="E1016" s="2">
        <v>42</v>
      </c>
      <c r="F1016" s="2">
        <v>32441</v>
      </c>
      <c r="G1016" s="2">
        <v>8.1592052309999996</v>
      </c>
      <c r="H1016" s="2">
        <v>1.68002E-4</v>
      </c>
      <c r="I1016" s="2" t="s">
        <v>28086</v>
      </c>
      <c r="J1016" s="2" t="s">
        <v>28087</v>
      </c>
      <c r="K1016" s="2">
        <v>1.587991E-3</v>
      </c>
      <c r="L1016" s="2" t="s">
        <v>637</v>
      </c>
      <c r="M1016" s="4" t="s">
        <v>28088</v>
      </c>
    </row>
    <row r="1017" spans="1:13">
      <c r="A1017" s="2">
        <v>2511</v>
      </c>
      <c r="B1017" s="2" t="s">
        <v>28089</v>
      </c>
      <c r="C1017" s="2">
        <v>5</v>
      </c>
      <c r="D1017" s="2">
        <v>568</v>
      </c>
      <c r="E1017" s="2">
        <v>26</v>
      </c>
      <c r="F1017" s="2">
        <v>32441</v>
      </c>
      <c r="G1017" s="2">
        <v>10.9835455</v>
      </c>
      <c r="H1017" s="2">
        <v>1.7394200000000001E-4</v>
      </c>
      <c r="I1017" s="2" t="s">
        <v>28090</v>
      </c>
      <c r="J1017" s="2" t="s">
        <v>28091</v>
      </c>
      <c r="K1017" s="2">
        <v>1.622201E-3</v>
      </c>
      <c r="L1017" s="2" t="s">
        <v>637</v>
      </c>
      <c r="M1017" s="4" t="s">
        <v>28092</v>
      </c>
    </row>
    <row r="1018" spans="1:13">
      <c r="A1018" s="2">
        <v>157</v>
      </c>
      <c r="B1018" s="2" t="s">
        <v>28093</v>
      </c>
      <c r="C1018" s="2">
        <v>8</v>
      </c>
      <c r="D1018" s="2">
        <v>568</v>
      </c>
      <c r="E1018" s="2">
        <v>85</v>
      </c>
      <c r="F1018" s="2">
        <v>32441</v>
      </c>
      <c r="G1018" s="2">
        <v>5.375476388</v>
      </c>
      <c r="H1018" s="2">
        <v>2.0687200000000001E-4</v>
      </c>
      <c r="I1018" s="2" t="s">
        <v>28094</v>
      </c>
      <c r="J1018" s="2" t="s">
        <v>28095</v>
      </c>
      <c r="K1018" s="2">
        <v>1.908557E-3</v>
      </c>
      <c r="L1018" s="2" t="s">
        <v>637</v>
      </c>
      <c r="M1018" s="4" t="s">
        <v>28096</v>
      </c>
    </row>
    <row r="1019" spans="1:13">
      <c r="A1019" s="2">
        <v>459</v>
      </c>
      <c r="B1019" s="2" t="s">
        <v>28097</v>
      </c>
      <c r="C1019" s="2">
        <v>11</v>
      </c>
      <c r="D1019" s="2">
        <v>568</v>
      </c>
      <c r="E1019" s="2">
        <v>162</v>
      </c>
      <c r="F1019" s="2">
        <v>32441</v>
      </c>
      <c r="G1019" s="2">
        <v>3.8781407579999998</v>
      </c>
      <c r="H1019" s="2">
        <v>2.1832899999999999E-4</v>
      </c>
      <c r="I1019" s="2" t="s">
        <v>28098</v>
      </c>
      <c r="J1019" s="2" t="s">
        <v>28099</v>
      </c>
      <c r="K1019" s="2">
        <v>1.9928340000000002E-3</v>
      </c>
      <c r="L1019" s="2" t="s">
        <v>637</v>
      </c>
      <c r="M1019" s="4" t="s">
        <v>28100</v>
      </c>
    </row>
    <row r="1020" spans="1:13">
      <c r="A1020" s="2">
        <v>7221</v>
      </c>
      <c r="B1020" s="2" t="s">
        <v>28101</v>
      </c>
      <c r="C1020" s="2">
        <v>7</v>
      </c>
      <c r="D1020" s="2">
        <v>568</v>
      </c>
      <c r="E1020" s="2">
        <v>64</v>
      </c>
      <c r="F1020" s="2">
        <v>32441</v>
      </c>
      <c r="G1020" s="2">
        <v>6.2468915049999998</v>
      </c>
      <c r="H1020" s="2">
        <v>2.2103199999999999E-4</v>
      </c>
      <c r="I1020" s="2" t="s">
        <v>28102</v>
      </c>
      <c r="J1020" s="2" t="s">
        <v>28103</v>
      </c>
      <c r="K1020" s="2">
        <v>1.996271E-3</v>
      </c>
      <c r="L1020" s="2" t="s">
        <v>637</v>
      </c>
      <c r="M1020" s="4" t="s">
        <v>28104</v>
      </c>
    </row>
    <row r="1021" spans="1:13">
      <c r="A1021" s="2">
        <v>7181</v>
      </c>
      <c r="B1021" s="2" t="s">
        <v>28105</v>
      </c>
      <c r="C1021" s="2">
        <v>6</v>
      </c>
      <c r="D1021" s="2">
        <v>568</v>
      </c>
      <c r="E1021" s="2">
        <v>45</v>
      </c>
      <c r="F1021" s="2">
        <v>32441</v>
      </c>
      <c r="G1021" s="2">
        <v>7.615258216</v>
      </c>
      <c r="H1021" s="2">
        <v>2.36054E-4</v>
      </c>
      <c r="I1021" s="2" t="s">
        <v>28106</v>
      </c>
      <c r="J1021" s="2" t="s">
        <v>28107</v>
      </c>
      <c r="K1021" s="2">
        <v>2.1097289999999999E-3</v>
      </c>
      <c r="L1021" s="2" t="s">
        <v>637</v>
      </c>
      <c r="M1021" s="4" t="s">
        <v>28108</v>
      </c>
    </row>
    <row r="1022" spans="1:13">
      <c r="A1022" s="2">
        <v>5581</v>
      </c>
      <c r="B1022" s="2" t="s">
        <v>7537</v>
      </c>
      <c r="C1022" s="2">
        <v>21</v>
      </c>
      <c r="D1022" s="2">
        <v>568</v>
      </c>
      <c r="E1022" s="2">
        <v>497</v>
      </c>
      <c r="F1022" s="2">
        <v>32441</v>
      </c>
      <c r="G1022" s="2">
        <v>2.4132860539999998</v>
      </c>
      <c r="H1022" s="2">
        <v>2.9713599999999998E-4</v>
      </c>
      <c r="I1022" s="2" t="s">
        <v>28109</v>
      </c>
      <c r="J1022" s="2" t="s">
        <v>28110</v>
      </c>
      <c r="K1022" s="2">
        <v>2.6282749999999998E-3</v>
      </c>
      <c r="L1022" s="2" t="s">
        <v>637</v>
      </c>
      <c r="M1022" s="4" t="s">
        <v>7540</v>
      </c>
    </row>
    <row r="1023" spans="1:13">
      <c r="A1023" s="2">
        <v>88</v>
      </c>
      <c r="B1023" s="2" t="s">
        <v>811</v>
      </c>
      <c r="C1023" s="2">
        <v>14</v>
      </c>
      <c r="D1023" s="2">
        <v>568</v>
      </c>
      <c r="E1023" s="2">
        <v>262</v>
      </c>
      <c r="F1023" s="2">
        <v>32441</v>
      </c>
      <c r="G1023" s="2">
        <v>3.0519164609999998</v>
      </c>
      <c r="H1023" s="2">
        <v>3.4187699999999998E-4</v>
      </c>
      <c r="I1023" s="2" t="s">
        <v>28111</v>
      </c>
      <c r="J1023" s="2" t="s">
        <v>28112</v>
      </c>
      <c r="K1023" s="2">
        <v>2.9931659999999998E-3</v>
      </c>
      <c r="L1023" s="2" t="s">
        <v>637</v>
      </c>
      <c r="M1023" s="4" t="s">
        <v>28113</v>
      </c>
    </row>
    <row r="1024" spans="1:13">
      <c r="A1024" s="2">
        <v>270</v>
      </c>
      <c r="B1024" s="2" t="s">
        <v>28114</v>
      </c>
      <c r="C1024" s="2">
        <v>5</v>
      </c>
      <c r="D1024" s="2">
        <v>568</v>
      </c>
      <c r="E1024" s="2">
        <v>32</v>
      </c>
      <c r="F1024" s="2">
        <v>32441</v>
      </c>
      <c r="G1024" s="2">
        <v>8.9241307219999992</v>
      </c>
      <c r="H1024" s="2">
        <v>4.0991299999999998E-4</v>
      </c>
      <c r="I1024" s="2" t="s">
        <v>28115</v>
      </c>
      <c r="J1024" s="2" t="s">
        <v>28116</v>
      </c>
      <c r="K1024" s="2">
        <v>3.5350960000000002E-3</v>
      </c>
      <c r="L1024" s="2" t="s">
        <v>637</v>
      </c>
      <c r="M1024" s="4" t="s">
        <v>28117</v>
      </c>
    </row>
    <row r="1025" spans="1:13">
      <c r="A1025" s="2">
        <v>3511</v>
      </c>
      <c r="B1025" s="2" t="s">
        <v>662</v>
      </c>
      <c r="C1025" s="2">
        <v>10</v>
      </c>
      <c r="D1025" s="2">
        <v>568</v>
      </c>
      <c r="E1025" s="2">
        <v>147</v>
      </c>
      <c r="F1025" s="2">
        <v>32441</v>
      </c>
      <c r="G1025" s="2">
        <v>3.8853358240000002</v>
      </c>
      <c r="H1025" s="2">
        <v>4.1201600000000002E-4</v>
      </c>
      <c r="I1025" s="2" t="s">
        <v>28118</v>
      </c>
      <c r="J1025" s="2" t="s">
        <v>28119</v>
      </c>
      <c r="K1025" s="2">
        <v>3.5350960000000002E-3</v>
      </c>
      <c r="L1025" s="2" t="s">
        <v>637</v>
      </c>
      <c r="M1025" s="4" t="s">
        <v>28120</v>
      </c>
    </row>
    <row r="1026" spans="1:13">
      <c r="A1026" s="2">
        <v>2161</v>
      </c>
      <c r="B1026" s="2" t="s">
        <v>28121</v>
      </c>
      <c r="C1026" s="2">
        <v>7</v>
      </c>
      <c r="D1026" s="2">
        <v>568</v>
      </c>
      <c r="E1026" s="2">
        <v>72</v>
      </c>
      <c r="F1026" s="2">
        <v>32441</v>
      </c>
      <c r="G1026" s="2">
        <v>5.552792449</v>
      </c>
      <c r="H1026" s="2">
        <v>4.2817400000000002E-4</v>
      </c>
      <c r="I1026" s="2" t="s">
        <v>28122</v>
      </c>
      <c r="J1026" s="2" t="s">
        <v>28123</v>
      </c>
      <c r="K1026" s="2">
        <v>3.6016989999999999E-3</v>
      </c>
      <c r="L1026" s="2" t="s">
        <v>637</v>
      </c>
      <c r="M1026" s="4" t="s">
        <v>28124</v>
      </c>
    </row>
    <row r="1027" spans="1:13">
      <c r="A1027" s="2">
        <v>3871</v>
      </c>
      <c r="B1027" s="2" t="s">
        <v>716</v>
      </c>
      <c r="C1027" s="2">
        <v>7</v>
      </c>
      <c r="D1027" s="2">
        <v>568</v>
      </c>
      <c r="E1027" s="2">
        <v>72</v>
      </c>
      <c r="F1027" s="2">
        <v>32441</v>
      </c>
      <c r="G1027" s="2">
        <v>5.552792449</v>
      </c>
      <c r="H1027" s="2">
        <v>4.2817400000000002E-4</v>
      </c>
      <c r="I1027" s="2" t="s">
        <v>28125</v>
      </c>
      <c r="J1027" s="2" t="s">
        <v>28126</v>
      </c>
      <c r="K1027" s="2">
        <v>3.6016989999999999E-3</v>
      </c>
      <c r="L1027" s="2" t="s">
        <v>637</v>
      </c>
      <c r="M1027" s="4" t="s">
        <v>28127</v>
      </c>
    </row>
    <row r="1028" spans="1:13">
      <c r="A1028" s="2">
        <v>853</v>
      </c>
      <c r="B1028" s="2" t="s">
        <v>28128</v>
      </c>
      <c r="C1028" s="2">
        <v>8</v>
      </c>
      <c r="D1028" s="2">
        <v>568</v>
      </c>
      <c r="E1028" s="2">
        <v>98</v>
      </c>
      <c r="F1028" s="2">
        <v>32441</v>
      </c>
      <c r="G1028" s="2">
        <v>4.6624029890000003</v>
      </c>
      <c r="H1028" s="2">
        <v>5.04489E-4</v>
      </c>
      <c r="I1028" s="2" t="s">
        <v>28129</v>
      </c>
      <c r="J1028" s="2" t="s">
        <v>28130</v>
      </c>
      <c r="K1028" s="2">
        <v>4.20244E-3</v>
      </c>
      <c r="L1028" s="2" t="s">
        <v>637</v>
      </c>
      <c r="M1028" s="4" t="s">
        <v>28131</v>
      </c>
    </row>
    <row r="1029" spans="1:13">
      <c r="A1029" s="2">
        <v>261</v>
      </c>
      <c r="B1029" s="2" t="s">
        <v>28132</v>
      </c>
      <c r="C1029" s="2">
        <v>5</v>
      </c>
      <c r="D1029" s="2">
        <v>568</v>
      </c>
      <c r="E1029" s="2">
        <v>34</v>
      </c>
      <c r="F1029" s="2">
        <v>32441</v>
      </c>
      <c r="G1029" s="2">
        <v>8.3991818560000002</v>
      </c>
      <c r="H1029" s="2">
        <v>5.26352E-4</v>
      </c>
      <c r="I1029" s="2" t="s">
        <v>28133</v>
      </c>
      <c r="J1029" s="2" t="s">
        <v>28134</v>
      </c>
      <c r="K1029" s="2">
        <v>4.3424049999999997E-3</v>
      </c>
      <c r="L1029" s="2" t="s">
        <v>637</v>
      </c>
      <c r="M1029" s="4" t="s">
        <v>28135</v>
      </c>
    </row>
    <row r="1030" spans="1:13">
      <c r="A1030" s="2">
        <v>352</v>
      </c>
      <c r="B1030" s="2" t="s">
        <v>28136</v>
      </c>
      <c r="C1030" s="2">
        <v>16</v>
      </c>
      <c r="D1030" s="2">
        <v>568</v>
      </c>
      <c r="E1030" s="2">
        <v>345</v>
      </c>
      <c r="F1030" s="2">
        <v>32441</v>
      </c>
      <c r="G1030" s="2">
        <v>2.6487854660000001</v>
      </c>
      <c r="H1030" s="2">
        <v>5.9148600000000001E-4</v>
      </c>
      <c r="I1030" s="2" t="s">
        <v>28137</v>
      </c>
      <c r="J1030" s="2" t="s">
        <v>28138</v>
      </c>
      <c r="K1030" s="2">
        <v>4.7973360000000001E-3</v>
      </c>
      <c r="L1030" s="2" t="s">
        <v>637</v>
      </c>
      <c r="M1030" s="4" t="s">
        <v>28139</v>
      </c>
    </row>
    <row r="1031" spans="1:13">
      <c r="A1031" s="2">
        <v>4951</v>
      </c>
      <c r="B1031" s="2" t="s">
        <v>28140</v>
      </c>
      <c r="C1031" s="2">
        <v>15</v>
      </c>
      <c r="D1031" s="2">
        <v>568</v>
      </c>
      <c r="E1031" s="2">
        <v>311</v>
      </c>
      <c r="F1031" s="2">
        <v>32441</v>
      </c>
      <c r="G1031" s="2">
        <v>2.7547155929999998</v>
      </c>
      <c r="H1031" s="2">
        <v>5.9267800000000002E-4</v>
      </c>
      <c r="I1031" s="2" t="s">
        <v>28141</v>
      </c>
      <c r="J1031" s="2" t="s">
        <v>28142</v>
      </c>
      <c r="K1031" s="2">
        <v>4.7973360000000001E-3</v>
      </c>
      <c r="L1031" s="2" t="s">
        <v>637</v>
      </c>
      <c r="M1031" s="4" t="s">
        <v>28143</v>
      </c>
    </row>
    <row r="1032" spans="1:13">
      <c r="A1032" s="2">
        <v>1392</v>
      </c>
      <c r="B1032" s="2" t="s">
        <v>28144</v>
      </c>
      <c r="C1032" s="2">
        <v>8</v>
      </c>
      <c r="D1032" s="2">
        <v>568</v>
      </c>
      <c r="E1032" s="2">
        <v>101</v>
      </c>
      <c r="F1032" s="2">
        <v>32441</v>
      </c>
      <c r="G1032" s="2">
        <v>4.5239157719999996</v>
      </c>
      <c r="H1032" s="2">
        <v>6.0771999999999996E-4</v>
      </c>
      <c r="I1032" s="2" t="s">
        <v>28145</v>
      </c>
      <c r="J1032" s="2" t="s">
        <v>28146</v>
      </c>
      <c r="K1032" s="2">
        <v>4.8731180000000001E-3</v>
      </c>
      <c r="L1032" s="2" t="s">
        <v>637</v>
      </c>
      <c r="M1032" s="4" t="s">
        <v>28147</v>
      </c>
    </row>
    <row r="1033" spans="1:13">
      <c r="A1033" s="2">
        <v>44</v>
      </c>
      <c r="B1033" s="2" t="s">
        <v>28148</v>
      </c>
      <c r="C1033" s="2">
        <v>8</v>
      </c>
      <c r="D1033" s="2">
        <v>568</v>
      </c>
      <c r="E1033" s="2">
        <v>102</v>
      </c>
      <c r="F1033" s="2">
        <v>32441</v>
      </c>
      <c r="G1033" s="2">
        <v>4.4795636559999998</v>
      </c>
      <c r="H1033" s="2">
        <v>6.4568999999999998E-4</v>
      </c>
      <c r="I1033" s="2" t="s">
        <v>28149</v>
      </c>
      <c r="J1033" s="2" t="s">
        <v>28150</v>
      </c>
      <c r="K1033" s="2">
        <v>5.1296450000000004E-3</v>
      </c>
      <c r="L1033" s="2" t="s">
        <v>637</v>
      </c>
      <c r="M1033" s="4" t="s">
        <v>28151</v>
      </c>
    </row>
    <row r="1034" spans="1:13">
      <c r="A1034" s="2">
        <v>6501</v>
      </c>
      <c r="B1034" s="2" t="s">
        <v>28152</v>
      </c>
      <c r="C1034" s="2">
        <v>11</v>
      </c>
      <c r="D1034" s="2">
        <v>568</v>
      </c>
      <c r="E1034" s="2">
        <v>187</v>
      </c>
      <c r="F1034" s="2">
        <v>32441</v>
      </c>
      <c r="G1034" s="2">
        <v>3.3596727419999999</v>
      </c>
      <c r="H1034" s="2">
        <v>6.8531199999999999E-4</v>
      </c>
      <c r="I1034" s="2" t="s">
        <v>28153</v>
      </c>
      <c r="J1034" s="2" t="s">
        <v>28154</v>
      </c>
      <c r="K1034" s="2">
        <v>5.394477E-3</v>
      </c>
      <c r="L1034" s="2" t="s">
        <v>637</v>
      </c>
      <c r="M1034" s="4" t="s">
        <v>28155</v>
      </c>
    </row>
    <row r="1035" spans="1:13">
      <c r="A1035" s="2">
        <v>65</v>
      </c>
      <c r="B1035" s="2" t="s">
        <v>28156</v>
      </c>
      <c r="C1035" s="2">
        <v>7</v>
      </c>
      <c r="D1035" s="2">
        <v>568</v>
      </c>
      <c r="E1035" s="2">
        <v>80</v>
      </c>
      <c r="F1035" s="2">
        <v>32441</v>
      </c>
      <c r="G1035" s="2">
        <v>4.9975132039999997</v>
      </c>
      <c r="H1035" s="2">
        <v>7.6727499999999999E-4</v>
      </c>
      <c r="I1035" s="2" t="s">
        <v>28157</v>
      </c>
      <c r="J1035" s="2" t="s">
        <v>28158</v>
      </c>
      <c r="K1035" s="2">
        <v>5.984746E-3</v>
      </c>
      <c r="L1035" s="2" t="s">
        <v>637</v>
      </c>
      <c r="M1035" s="4" t="s">
        <v>28159</v>
      </c>
    </row>
    <row r="1036" spans="1:13">
      <c r="A1036" s="2">
        <v>43</v>
      </c>
      <c r="B1036" s="2" t="s">
        <v>28160</v>
      </c>
      <c r="C1036" s="2">
        <v>11</v>
      </c>
      <c r="D1036" s="2">
        <v>568</v>
      </c>
      <c r="E1036" s="2">
        <v>191</v>
      </c>
      <c r="F1036" s="2">
        <v>32441</v>
      </c>
      <c r="G1036" s="2">
        <v>3.2893131040000001</v>
      </c>
      <c r="H1036" s="2">
        <v>8.07944E-4</v>
      </c>
      <c r="I1036" s="2" t="s">
        <v>28161</v>
      </c>
      <c r="J1036" s="2" t="s">
        <v>28162</v>
      </c>
      <c r="K1036" s="2">
        <v>6.2451909999999998E-3</v>
      </c>
      <c r="L1036" s="2" t="s">
        <v>637</v>
      </c>
      <c r="M1036" s="4" t="s">
        <v>28163</v>
      </c>
    </row>
    <row r="1037" spans="1:13">
      <c r="A1037" s="2">
        <v>162</v>
      </c>
      <c r="B1037" s="2" t="s">
        <v>28164</v>
      </c>
      <c r="C1037" s="2">
        <v>6</v>
      </c>
      <c r="D1037" s="2">
        <v>568</v>
      </c>
      <c r="E1037" s="2">
        <v>59</v>
      </c>
      <c r="F1037" s="2">
        <v>32441</v>
      </c>
      <c r="G1037" s="2">
        <v>5.8082477920000004</v>
      </c>
      <c r="H1037" s="2">
        <v>8.8410099999999998E-4</v>
      </c>
      <c r="I1037" s="2" t="s">
        <v>28165</v>
      </c>
      <c r="J1037" s="2" t="s">
        <v>28166</v>
      </c>
      <c r="K1037" s="2">
        <v>6.7728440000000001E-3</v>
      </c>
      <c r="L1037" s="2" t="s">
        <v>637</v>
      </c>
      <c r="M1037" s="4" t="s">
        <v>28167</v>
      </c>
    </row>
    <row r="1038" spans="1:13">
      <c r="A1038" s="2">
        <v>176</v>
      </c>
      <c r="B1038" s="2" t="s">
        <v>28168</v>
      </c>
      <c r="C1038" s="2">
        <v>12</v>
      </c>
      <c r="D1038" s="2">
        <v>568</v>
      </c>
      <c r="E1038" s="2">
        <v>226</v>
      </c>
      <c r="F1038" s="2">
        <v>32441</v>
      </c>
      <c r="G1038" s="2">
        <v>3.032624953</v>
      </c>
      <c r="H1038" s="2">
        <v>9.3463599999999997E-4</v>
      </c>
      <c r="I1038" s="2" t="s">
        <v>28169</v>
      </c>
      <c r="J1038" s="2" t="s">
        <v>28170</v>
      </c>
      <c r="K1038" s="2">
        <v>7.0966140000000002E-3</v>
      </c>
      <c r="L1038" s="2" t="s">
        <v>637</v>
      </c>
      <c r="M1038" s="4" t="s">
        <v>28171</v>
      </c>
    </row>
    <row r="1039" spans="1:13">
      <c r="A1039" s="2">
        <v>168</v>
      </c>
      <c r="B1039" s="2" t="s">
        <v>28172</v>
      </c>
      <c r="C1039" s="2">
        <v>8</v>
      </c>
      <c r="D1039" s="2">
        <v>568</v>
      </c>
      <c r="E1039" s="2">
        <v>110</v>
      </c>
      <c r="F1039" s="2">
        <v>32441</v>
      </c>
      <c r="G1039" s="2">
        <v>4.1537772090000002</v>
      </c>
      <c r="H1039" s="2">
        <v>1.0234230000000001E-3</v>
      </c>
      <c r="I1039" s="2" t="s">
        <v>28173</v>
      </c>
      <c r="J1039" s="2" t="s">
        <v>28174</v>
      </c>
      <c r="K1039" s="2">
        <v>7.6928259999999998E-3</v>
      </c>
      <c r="L1039" s="2" t="s">
        <v>637</v>
      </c>
      <c r="M1039" s="4" t="s">
        <v>28175</v>
      </c>
    </row>
    <row r="1040" spans="1:13">
      <c r="A1040" s="2">
        <v>5961</v>
      </c>
      <c r="B1040" s="2" t="s">
        <v>7321</v>
      </c>
      <c r="C1040" s="2">
        <v>19</v>
      </c>
      <c r="D1040" s="2">
        <v>568</v>
      </c>
      <c r="E1040" s="2">
        <v>474</v>
      </c>
      <c r="F1040" s="2">
        <v>32441</v>
      </c>
      <c r="G1040" s="2">
        <v>2.2893972480000002</v>
      </c>
      <c r="H1040" s="2">
        <v>1.0310899999999999E-3</v>
      </c>
      <c r="I1040" s="2" t="s">
        <v>28176</v>
      </c>
      <c r="J1040" s="2" t="s">
        <v>28177</v>
      </c>
      <c r="K1040" s="2">
        <v>7.6928259999999998E-3</v>
      </c>
      <c r="L1040" s="2" t="s">
        <v>637</v>
      </c>
      <c r="M1040" s="4" t="s">
        <v>7322</v>
      </c>
    </row>
    <row r="1041" spans="1:13">
      <c r="A1041" s="2">
        <v>2221</v>
      </c>
      <c r="B1041" s="2" t="s">
        <v>2998</v>
      </c>
      <c r="C1041" s="2">
        <v>6</v>
      </c>
      <c r="D1041" s="2">
        <v>568</v>
      </c>
      <c r="E1041" s="2">
        <v>65</v>
      </c>
      <c r="F1041" s="2">
        <v>32441</v>
      </c>
      <c r="G1041" s="2">
        <v>5.2721018419999996</v>
      </c>
      <c r="H1041" s="2">
        <v>1.405889E-3</v>
      </c>
      <c r="I1041" s="2" t="s">
        <v>28178</v>
      </c>
      <c r="J1041" s="2" t="s">
        <v>28179</v>
      </c>
      <c r="K1041" s="2">
        <v>1.0222478E-2</v>
      </c>
      <c r="L1041" s="2" t="s">
        <v>637</v>
      </c>
      <c r="M1041" s="4" t="s">
        <v>3001</v>
      </c>
    </row>
    <row r="1042" spans="1:13">
      <c r="A1042" s="2">
        <v>2382</v>
      </c>
      <c r="B1042" s="2" t="s">
        <v>28180</v>
      </c>
      <c r="C1042" s="2">
        <v>6</v>
      </c>
      <c r="D1042" s="2">
        <v>568</v>
      </c>
      <c r="E1042" s="2">
        <v>65</v>
      </c>
      <c r="F1042" s="2">
        <v>32441</v>
      </c>
      <c r="G1042" s="2">
        <v>5.2721018419999996</v>
      </c>
      <c r="H1042" s="2">
        <v>1.405889E-3</v>
      </c>
      <c r="I1042" s="2" t="s">
        <v>28181</v>
      </c>
      <c r="J1042" s="2" t="s">
        <v>28182</v>
      </c>
      <c r="K1042" s="2">
        <v>1.0222478E-2</v>
      </c>
      <c r="L1042" s="2" t="s">
        <v>637</v>
      </c>
      <c r="M1042" s="4" t="s">
        <v>28183</v>
      </c>
    </row>
    <row r="1043" spans="1:13">
      <c r="A1043" s="2">
        <v>6001</v>
      </c>
      <c r="B1043" s="2" t="s">
        <v>3002</v>
      </c>
      <c r="C1043" s="2">
        <v>6</v>
      </c>
      <c r="D1043" s="2">
        <v>568</v>
      </c>
      <c r="E1043" s="2">
        <v>65</v>
      </c>
      <c r="F1043" s="2">
        <v>32441</v>
      </c>
      <c r="G1043" s="2">
        <v>5.2721018419999996</v>
      </c>
      <c r="H1043" s="2">
        <v>1.405889E-3</v>
      </c>
      <c r="I1043" s="2" t="s">
        <v>28184</v>
      </c>
      <c r="J1043" s="2" t="s">
        <v>28185</v>
      </c>
      <c r="K1043" s="2">
        <v>1.0222478E-2</v>
      </c>
      <c r="L1043" s="2" t="s">
        <v>637</v>
      </c>
      <c r="M1043" s="4" t="s">
        <v>3005</v>
      </c>
    </row>
    <row r="1044" spans="1:13">
      <c r="A1044" s="2">
        <v>838</v>
      </c>
      <c r="B1044" s="2" t="s">
        <v>7343</v>
      </c>
      <c r="C1044" s="2">
        <v>17</v>
      </c>
      <c r="D1044" s="2">
        <v>568</v>
      </c>
      <c r="E1044" s="2">
        <v>413</v>
      </c>
      <c r="F1044" s="2">
        <v>32441</v>
      </c>
      <c r="G1044" s="2">
        <v>2.3509574400000002</v>
      </c>
      <c r="H1044" s="2">
        <v>1.418374E-3</v>
      </c>
      <c r="I1044" s="2" t="s">
        <v>28186</v>
      </c>
      <c r="J1044" s="2" t="s">
        <v>28187</v>
      </c>
      <c r="K1044" s="2">
        <v>1.0226598E-2</v>
      </c>
      <c r="L1044" s="2" t="s">
        <v>637</v>
      </c>
      <c r="M1044" s="4" t="s">
        <v>7346</v>
      </c>
    </row>
    <row r="1045" spans="1:13">
      <c r="A1045" s="2">
        <v>835</v>
      </c>
      <c r="B1045" s="2" t="s">
        <v>7323</v>
      </c>
      <c r="C1045" s="2">
        <v>6</v>
      </c>
      <c r="D1045" s="2">
        <v>568</v>
      </c>
      <c r="E1045" s="2">
        <v>67</v>
      </c>
      <c r="F1045" s="2">
        <v>32441</v>
      </c>
      <c r="G1045" s="2">
        <v>5.1147256670000001</v>
      </c>
      <c r="H1045" s="2">
        <v>1.6236009999999999E-3</v>
      </c>
      <c r="I1045" s="2" t="s">
        <v>28188</v>
      </c>
      <c r="J1045" s="2" t="s">
        <v>28189</v>
      </c>
      <c r="K1045" s="2">
        <v>1.1608748E-2</v>
      </c>
      <c r="L1045" s="2" t="s">
        <v>637</v>
      </c>
      <c r="M1045" s="4" t="s">
        <v>7326</v>
      </c>
    </row>
    <row r="1046" spans="1:13">
      <c r="A1046" s="2">
        <v>3431</v>
      </c>
      <c r="B1046" s="2" t="s">
        <v>677</v>
      </c>
      <c r="C1046" s="2">
        <v>8</v>
      </c>
      <c r="D1046" s="2">
        <v>568</v>
      </c>
      <c r="E1046" s="2">
        <v>119</v>
      </c>
      <c r="F1046" s="2">
        <v>32441</v>
      </c>
      <c r="G1046" s="2">
        <v>3.8396259910000001</v>
      </c>
      <c r="H1046" s="2">
        <v>1.640477E-3</v>
      </c>
      <c r="I1046" s="2" t="s">
        <v>28190</v>
      </c>
      <c r="J1046" s="2" t="s">
        <v>28191</v>
      </c>
      <c r="K1046" s="2">
        <v>1.1632473000000001E-2</v>
      </c>
      <c r="L1046" s="2" t="s">
        <v>637</v>
      </c>
      <c r="M1046" s="4" t="s">
        <v>28192</v>
      </c>
    </row>
    <row r="1047" spans="1:13">
      <c r="A1047" s="2">
        <v>401</v>
      </c>
      <c r="B1047" s="2" t="s">
        <v>28193</v>
      </c>
      <c r="C1047" s="2">
        <v>9</v>
      </c>
      <c r="D1047" s="2">
        <v>568</v>
      </c>
      <c r="E1047" s="2">
        <v>150</v>
      </c>
      <c r="F1047" s="2">
        <v>32441</v>
      </c>
      <c r="G1047" s="2">
        <v>3.4268661969999998</v>
      </c>
      <c r="H1047" s="2">
        <v>1.8087509999999999E-3</v>
      </c>
      <c r="I1047" s="2" t="s">
        <v>28194</v>
      </c>
      <c r="J1047" s="2" t="s">
        <v>28195</v>
      </c>
      <c r="K1047" s="2">
        <v>1.2720558E-2</v>
      </c>
      <c r="L1047" s="2" t="s">
        <v>637</v>
      </c>
      <c r="M1047" s="4" t="s">
        <v>28196</v>
      </c>
    </row>
    <row r="1048" spans="1:13">
      <c r="A1048" s="2">
        <v>2131</v>
      </c>
      <c r="B1048" s="2" t="s">
        <v>28197</v>
      </c>
      <c r="C1048" s="2">
        <v>4</v>
      </c>
      <c r="D1048" s="2">
        <v>568</v>
      </c>
      <c r="E1048" s="2">
        <v>27</v>
      </c>
      <c r="F1048" s="2">
        <v>32441</v>
      </c>
      <c r="G1048" s="2">
        <v>8.4613980180000006</v>
      </c>
      <c r="H1048" s="2">
        <v>1.8878390000000001E-3</v>
      </c>
      <c r="I1048" s="2" t="s">
        <v>28198</v>
      </c>
      <c r="J1048" s="2" t="s">
        <v>28199</v>
      </c>
      <c r="K1048" s="2">
        <v>1.3168825E-2</v>
      </c>
      <c r="L1048" s="2" t="s">
        <v>637</v>
      </c>
      <c r="M1048" s="4" t="s">
        <v>28200</v>
      </c>
    </row>
    <row r="1049" spans="1:13">
      <c r="A1049" s="2">
        <v>781</v>
      </c>
      <c r="B1049" s="2" t="s">
        <v>28201</v>
      </c>
      <c r="C1049" s="2">
        <v>6</v>
      </c>
      <c r="D1049" s="2">
        <v>568</v>
      </c>
      <c r="E1049" s="2">
        <v>70</v>
      </c>
      <c r="F1049" s="2">
        <v>32441</v>
      </c>
      <c r="G1049" s="2">
        <v>4.8955231389999998</v>
      </c>
      <c r="H1049" s="2">
        <v>1.997029E-3</v>
      </c>
      <c r="I1049" s="2" t="s">
        <v>28202</v>
      </c>
      <c r="J1049" s="2" t="s">
        <v>28203</v>
      </c>
      <c r="K1049" s="2">
        <v>1.381815E-2</v>
      </c>
      <c r="L1049" s="2" t="s">
        <v>637</v>
      </c>
      <c r="M1049" s="4" t="s">
        <v>28204</v>
      </c>
    </row>
    <row r="1050" spans="1:13">
      <c r="A1050" s="2">
        <v>2231</v>
      </c>
      <c r="B1050" s="2" t="s">
        <v>28205</v>
      </c>
      <c r="C1050" s="2">
        <v>4</v>
      </c>
      <c r="D1050" s="2">
        <v>568</v>
      </c>
      <c r="E1050" s="2">
        <v>28</v>
      </c>
      <c r="F1050" s="2">
        <v>32441</v>
      </c>
      <c r="G1050" s="2">
        <v>8.1592052309999996</v>
      </c>
      <c r="H1050" s="2">
        <v>2.128493E-3</v>
      </c>
      <c r="I1050" s="2" t="s">
        <v>28206</v>
      </c>
      <c r="J1050" s="2" t="s">
        <v>28207</v>
      </c>
      <c r="K1050" s="2">
        <v>1.4494027E-2</v>
      </c>
      <c r="L1050" s="2" t="s">
        <v>637</v>
      </c>
      <c r="M1050" s="4" t="s">
        <v>28208</v>
      </c>
    </row>
    <row r="1051" spans="1:13">
      <c r="A1051" s="2">
        <v>3111</v>
      </c>
      <c r="B1051" s="2" t="s">
        <v>28209</v>
      </c>
      <c r="C1051" s="2">
        <v>4</v>
      </c>
      <c r="D1051" s="2">
        <v>568</v>
      </c>
      <c r="E1051" s="2">
        <v>28</v>
      </c>
      <c r="F1051" s="2">
        <v>32441</v>
      </c>
      <c r="G1051" s="2">
        <v>8.1592052309999996</v>
      </c>
      <c r="H1051" s="2">
        <v>2.128493E-3</v>
      </c>
      <c r="I1051" s="2" t="s">
        <v>28210</v>
      </c>
      <c r="J1051" s="2" t="s">
        <v>28211</v>
      </c>
      <c r="K1051" s="2">
        <v>1.4494027E-2</v>
      </c>
      <c r="L1051" s="2" t="s">
        <v>637</v>
      </c>
      <c r="M1051" s="4" t="s">
        <v>28212</v>
      </c>
    </row>
    <row r="1052" spans="1:13">
      <c r="A1052" s="2">
        <v>1881</v>
      </c>
      <c r="B1052" s="2" t="s">
        <v>28213</v>
      </c>
      <c r="C1052" s="2">
        <v>5</v>
      </c>
      <c r="D1052" s="2">
        <v>568</v>
      </c>
      <c r="E1052" s="2">
        <v>49</v>
      </c>
      <c r="F1052" s="2">
        <v>32441</v>
      </c>
      <c r="G1052" s="2">
        <v>5.8280037370000004</v>
      </c>
      <c r="H1052" s="2">
        <v>2.3409160000000002E-3</v>
      </c>
      <c r="I1052" s="2" t="s">
        <v>28214</v>
      </c>
      <c r="J1052" s="2" t="s">
        <v>28215</v>
      </c>
      <c r="K1052" s="2">
        <v>1.5815010000000001E-2</v>
      </c>
      <c r="L1052" s="2" t="s">
        <v>637</v>
      </c>
      <c r="M1052" s="4" t="s">
        <v>28216</v>
      </c>
    </row>
    <row r="1053" spans="1:13">
      <c r="A1053" s="2">
        <v>8021</v>
      </c>
      <c r="B1053" s="2" t="s">
        <v>7313</v>
      </c>
      <c r="C1053" s="2">
        <v>17</v>
      </c>
      <c r="D1053" s="2">
        <v>568</v>
      </c>
      <c r="E1053" s="2">
        <v>437</v>
      </c>
      <c r="F1053" s="2">
        <v>32441</v>
      </c>
      <c r="G1053" s="2">
        <v>2.221843072</v>
      </c>
      <c r="H1053" s="2">
        <v>2.498611E-3</v>
      </c>
      <c r="I1053" s="2" t="s">
        <v>28186</v>
      </c>
      <c r="J1053" s="2" t="s">
        <v>28187</v>
      </c>
      <c r="K1053" s="2">
        <v>1.6748505E-2</v>
      </c>
      <c r="L1053" s="2" t="s">
        <v>637</v>
      </c>
      <c r="M1053" s="4" t="s">
        <v>7316</v>
      </c>
    </row>
    <row r="1054" spans="1:13">
      <c r="A1054" s="2">
        <v>300</v>
      </c>
      <c r="B1054" s="2" t="s">
        <v>28217</v>
      </c>
      <c r="C1054" s="2">
        <v>5</v>
      </c>
      <c r="D1054" s="2">
        <v>568</v>
      </c>
      <c r="E1054" s="2">
        <v>50</v>
      </c>
      <c r="F1054" s="2">
        <v>32441</v>
      </c>
      <c r="G1054" s="2">
        <v>5.7114436619999998</v>
      </c>
      <c r="H1054" s="2">
        <v>2.5391509999999999E-3</v>
      </c>
      <c r="I1054" s="2" t="s">
        <v>28218</v>
      </c>
      <c r="J1054" s="2" t="s">
        <v>28219</v>
      </c>
      <c r="K1054" s="2">
        <v>1.6888308000000001E-2</v>
      </c>
      <c r="L1054" s="2" t="s">
        <v>637</v>
      </c>
      <c r="M1054" s="4" t="s">
        <v>28220</v>
      </c>
    </row>
    <row r="1055" spans="1:13">
      <c r="A1055" s="2">
        <v>76</v>
      </c>
      <c r="B1055" s="2" t="s">
        <v>28221</v>
      </c>
      <c r="C1055" s="2">
        <v>7</v>
      </c>
      <c r="D1055" s="2">
        <v>568</v>
      </c>
      <c r="E1055" s="2">
        <v>101</v>
      </c>
      <c r="F1055" s="2">
        <v>32441</v>
      </c>
      <c r="G1055" s="2">
        <v>3.9584263000000002</v>
      </c>
      <c r="H1055" s="2">
        <v>2.6914590000000002E-3</v>
      </c>
      <c r="I1055" s="2" t="s">
        <v>28222</v>
      </c>
      <c r="J1055" s="2" t="s">
        <v>28223</v>
      </c>
      <c r="K1055" s="2">
        <v>1.7763629E-2</v>
      </c>
      <c r="L1055" s="2" t="s">
        <v>637</v>
      </c>
      <c r="M1055" s="4" t="s">
        <v>28224</v>
      </c>
    </row>
    <row r="1056" spans="1:13">
      <c r="A1056" s="2">
        <v>7491</v>
      </c>
      <c r="B1056" s="2" t="s">
        <v>7281</v>
      </c>
      <c r="C1056" s="2">
        <v>17</v>
      </c>
      <c r="D1056" s="2">
        <v>568</v>
      </c>
      <c r="E1056" s="2">
        <v>441</v>
      </c>
      <c r="F1056" s="2">
        <v>32441</v>
      </c>
      <c r="G1056" s="2">
        <v>2.2016903010000002</v>
      </c>
      <c r="H1056" s="2">
        <v>2.732562E-3</v>
      </c>
      <c r="I1056" s="2" t="s">
        <v>28186</v>
      </c>
      <c r="J1056" s="2" t="s">
        <v>28187</v>
      </c>
      <c r="K1056" s="2">
        <v>1.7897237999999999E-2</v>
      </c>
      <c r="L1056" s="2" t="s">
        <v>637</v>
      </c>
      <c r="M1056" s="4" t="s">
        <v>7284</v>
      </c>
    </row>
    <row r="1057" spans="1:13">
      <c r="A1057" s="2">
        <v>7171</v>
      </c>
      <c r="B1057" s="2" t="s">
        <v>28225</v>
      </c>
      <c r="C1057" s="2">
        <v>6</v>
      </c>
      <c r="D1057" s="2">
        <v>568</v>
      </c>
      <c r="E1057" s="2">
        <v>75</v>
      </c>
      <c r="F1057" s="2">
        <v>32441</v>
      </c>
      <c r="G1057" s="2">
        <v>4.5691549299999998</v>
      </c>
      <c r="H1057" s="2">
        <v>2.7591E-3</v>
      </c>
      <c r="I1057" s="2" t="s">
        <v>28226</v>
      </c>
      <c r="J1057" s="2" t="s">
        <v>28227</v>
      </c>
      <c r="K1057" s="2">
        <v>1.7934149E-2</v>
      </c>
      <c r="L1057" s="2" t="s">
        <v>637</v>
      </c>
      <c r="M1057" s="4" t="s">
        <v>28228</v>
      </c>
    </row>
    <row r="1058" spans="1:13">
      <c r="A1058" s="2">
        <v>163</v>
      </c>
      <c r="B1058" s="2" t="s">
        <v>28229</v>
      </c>
      <c r="C1058" s="2">
        <v>10</v>
      </c>
      <c r="D1058" s="2">
        <v>568</v>
      </c>
      <c r="E1058" s="2">
        <v>194</v>
      </c>
      <c r="F1058" s="2">
        <v>32441</v>
      </c>
      <c r="G1058" s="2">
        <v>2.9440431249999999</v>
      </c>
      <c r="H1058" s="2">
        <v>2.9710499999999998E-3</v>
      </c>
      <c r="I1058" s="2" t="s">
        <v>28230</v>
      </c>
      <c r="J1058" s="2" t="s">
        <v>28231</v>
      </c>
      <c r="K1058" s="2">
        <v>1.9054745000000001E-2</v>
      </c>
      <c r="L1058" s="2" t="s">
        <v>637</v>
      </c>
      <c r="M1058" s="4" t="s">
        <v>28232</v>
      </c>
    </row>
    <row r="1059" spans="1:13">
      <c r="A1059" s="2">
        <v>6381</v>
      </c>
      <c r="B1059" s="2" t="s">
        <v>28233</v>
      </c>
      <c r="C1059" s="2">
        <v>4</v>
      </c>
      <c r="D1059" s="2">
        <v>568</v>
      </c>
      <c r="E1059" s="2">
        <v>31</v>
      </c>
      <c r="F1059" s="2">
        <v>32441</v>
      </c>
      <c r="G1059" s="2">
        <v>7.3696047250000003</v>
      </c>
      <c r="H1059" s="2">
        <v>2.9759159999999999E-3</v>
      </c>
      <c r="I1059" s="2" t="s">
        <v>28234</v>
      </c>
      <c r="J1059" s="2" t="s">
        <v>28235</v>
      </c>
      <c r="K1059" s="2">
        <v>1.9054745000000001E-2</v>
      </c>
      <c r="L1059" s="2" t="s">
        <v>637</v>
      </c>
      <c r="M1059" s="4" t="s">
        <v>28236</v>
      </c>
    </row>
    <row r="1060" spans="1:13">
      <c r="A1060" s="2">
        <v>7041</v>
      </c>
      <c r="B1060" s="2" t="s">
        <v>7289</v>
      </c>
      <c r="C1060" s="2">
        <v>17</v>
      </c>
      <c r="D1060" s="2">
        <v>568</v>
      </c>
      <c r="E1060" s="2">
        <v>446</v>
      </c>
      <c r="F1060" s="2">
        <v>32441</v>
      </c>
      <c r="G1060" s="2">
        <v>2.1770076739999999</v>
      </c>
      <c r="H1060" s="2">
        <v>3.0503700000000002E-3</v>
      </c>
      <c r="I1060" s="2" t="s">
        <v>28186</v>
      </c>
      <c r="J1060" s="2" t="s">
        <v>28187</v>
      </c>
      <c r="K1060" s="2">
        <v>1.9386792999999999E-2</v>
      </c>
      <c r="L1060" s="2" t="s">
        <v>637</v>
      </c>
      <c r="M1060" s="4" t="s">
        <v>7290</v>
      </c>
    </row>
    <row r="1061" spans="1:13">
      <c r="A1061" s="2">
        <v>932</v>
      </c>
      <c r="B1061" s="2" t="s">
        <v>689</v>
      </c>
      <c r="C1061" s="2">
        <v>8</v>
      </c>
      <c r="D1061" s="2">
        <v>568</v>
      </c>
      <c r="E1061" s="2">
        <v>137</v>
      </c>
      <c r="F1061" s="2">
        <v>32441</v>
      </c>
      <c r="G1061" s="2">
        <v>3.3351495839999998</v>
      </c>
      <c r="H1061" s="2">
        <v>3.7330100000000001E-3</v>
      </c>
      <c r="I1061" s="2" t="s">
        <v>28237</v>
      </c>
      <c r="J1061" s="2" t="s">
        <v>28238</v>
      </c>
      <c r="K1061" s="2">
        <v>2.3550904000000001E-2</v>
      </c>
      <c r="L1061" s="2" t="s">
        <v>637</v>
      </c>
      <c r="M1061" s="4" t="s">
        <v>28239</v>
      </c>
    </row>
    <row r="1062" spans="1:13">
      <c r="A1062" s="2">
        <v>6582</v>
      </c>
      <c r="B1062" s="2" t="s">
        <v>7307</v>
      </c>
      <c r="C1062" s="2">
        <v>17</v>
      </c>
      <c r="D1062" s="2">
        <v>568</v>
      </c>
      <c r="E1062" s="2">
        <v>456</v>
      </c>
      <c r="F1062" s="2">
        <v>32441</v>
      </c>
      <c r="G1062" s="2">
        <v>2.1292662770000002</v>
      </c>
      <c r="H1062" s="2">
        <v>3.778366E-3</v>
      </c>
      <c r="I1062" s="2" t="s">
        <v>28186</v>
      </c>
      <c r="J1062" s="2" t="s">
        <v>28187</v>
      </c>
      <c r="K1062" s="2">
        <v>2.3663053999999999E-2</v>
      </c>
      <c r="L1062" s="2" t="s">
        <v>637</v>
      </c>
      <c r="M1062" s="4" t="s">
        <v>7308</v>
      </c>
    </row>
    <row r="1063" spans="1:13">
      <c r="A1063" s="2">
        <v>1581</v>
      </c>
      <c r="B1063" s="2" t="s">
        <v>28240</v>
      </c>
      <c r="C1063" s="2">
        <v>7</v>
      </c>
      <c r="D1063" s="2">
        <v>568</v>
      </c>
      <c r="E1063" s="2">
        <v>108</v>
      </c>
      <c r="F1063" s="2">
        <v>32441</v>
      </c>
      <c r="G1063" s="2">
        <v>3.701861633</v>
      </c>
      <c r="H1063" s="2">
        <v>3.818475E-3</v>
      </c>
      <c r="I1063" s="2" t="s">
        <v>28241</v>
      </c>
      <c r="J1063" s="2" t="s">
        <v>28242</v>
      </c>
      <c r="K1063" s="2">
        <v>2.3740955000000001E-2</v>
      </c>
      <c r="L1063" s="2" t="s">
        <v>637</v>
      </c>
      <c r="M1063" s="4" t="s">
        <v>28243</v>
      </c>
    </row>
    <row r="1064" spans="1:13">
      <c r="A1064" s="2">
        <v>283</v>
      </c>
      <c r="B1064" s="2" t="s">
        <v>7503</v>
      </c>
      <c r="C1064" s="2">
        <v>4</v>
      </c>
      <c r="D1064" s="2">
        <v>568</v>
      </c>
      <c r="E1064" s="2">
        <v>34</v>
      </c>
      <c r="F1064" s="2">
        <v>32441</v>
      </c>
      <c r="G1064" s="2">
        <v>6.7193454849999998</v>
      </c>
      <c r="H1064" s="2">
        <v>4.0287179999999997E-3</v>
      </c>
      <c r="I1064" s="2" t="s">
        <v>28244</v>
      </c>
      <c r="J1064" s="2" t="s">
        <v>28245</v>
      </c>
      <c r="K1064" s="2">
        <v>2.4867914000000001E-2</v>
      </c>
      <c r="L1064" s="2" t="s">
        <v>637</v>
      </c>
      <c r="M1064" s="4" t="s">
        <v>7506</v>
      </c>
    </row>
    <row r="1065" spans="1:13">
      <c r="A1065" s="2">
        <v>435</v>
      </c>
      <c r="B1065" s="2" t="s">
        <v>28246</v>
      </c>
      <c r="C1065" s="2">
        <v>16</v>
      </c>
      <c r="D1065" s="2">
        <v>568</v>
      </c>
      <c r="E1065" s="2">
        <v>421</v>
      </c>
      <c r="F1065" s="2">
        <v>32441</v>
      </c>
      <c r="G1065" s="2">
        <v>2.170619919</v>
      </c>
      <c r="H1065" s="2">
        <v>4.0916299999999997E-3</v>
      </c>
      <c r="I1065" s="2" t="s">
        <v>28247</v>
      </c>
      <c r="J1065" s="2" t="s">
        <v>28248</v>
      </c>
      <c r="K1065" s="2">
        <v>2.5075848000000001E-2</v>
      </c>
      <c r="L1065" s="2" t="s">
        <v>637</v>
      </c>
      <c r="M1065" s="4" t="s">
        <v>28249</v>
      </c>
    </row>
    <row r="1066" spans="1:13">
      <c r="A1066" s="2">
        <v>150</v>
      </c>
      <c r="B1066" s="2" t="s">
        <v>28250</v>
      </c>
      <c r="C1066" s="2">
        <v>6</v>
      </c>
      <c r="D1066" s="2">
        <v>568</v>
      </c>
      <c r="E1066" s="2">
        <v>82</v>
      </c>
      <c r="F1066" s="2">
        <v>32441</v>
      </c>
      <c r="G1066" s="2">
        <v>4.1791051189999999</v>
      </c>
      <c r="H1066" s="2">
        <v>4.1673730000000003E-3</v>
      </c>
      <c r="I1066" s="2" t="s">
        <v>28251</v>
      </c>
      <c r="J1066" s="2" t="s">
        <v>28252</v>
      </c>
      <c r="K1066" s="2">
        <v>2.5358907E-2</v>
      </c>
      <c r="L1066" s="2" t="s">
        <v>637</v>
      </c>
      <c r="M1066" s="4" t="s">
        <v>28253</v>
      </c>
    </row>
    <row r="1067" spans="1:13">
      <c r="A1067" s="2">
        <v>1971</v>
      </c>
      <c r="B1067" s="2" t="s">
        <v>28254</v>
      </c>
      <c r="C1067" s="2">
        <v>4</v>
      </c>
      <c r="D1067" s="2">
        <v>568</v>
      </c>
      <c r="E1067" s="2">
        <v>35</v>
      </c>
      <c r="F1067" s="2">
        <v>32441</v>
      </c>
      <c r="G1067" s="2">
        <v>6.5273641849999997</v>
      </c>
      <c r="H1067" s="2">
        <v>4.428988E-3</v>
      </c>
      <c r="I1067" s="2" t="s">
        <v>28255</v>
      </c>
      <c r="J1067" s="2" t="s">
        <v>28256</v>
      </c>
      <c r="K1067" s="2">
        <v>2.6761071000000001E-2</v>
      </c>
      <c r="L1067" s="2" t="s">
        <v>637</v>
      </c>
      <c r="M1067" s="4" t="s">
        <v>28257</v>
      </c>
    </row>
    <row r="1068" spans="1:13">
      <c r="A1068" s="2">
        <v>101</v>
      </c>
      <c r="B1068" s="2" t="s">
        <v>28258</v>
      </c>
      <c r="C1068" s="2">
        <v>12</v>
      </c>
      <c r="D1068" s="2">
        <v>568</v>
      </c>
      <c r="E1068" s="2">
        <v>276</v>
      </c>
      <c r="F1068" s="2">
        <v>32441</v>
      </c>
      <c r="G1068" s="2">
        <v>2.4832363750000002</v>
      </c>
      <c r="H1068" s="2">
        <v>4.5066719999999998E-3</v>
      </c>
      <c r="I1068" s="2" t="s">
        <v>28259</v>
      </c>
      <c r="J1068" s="2" t="s">
        <v>28260</v>
      </c>
      <c r="K1068" s="2">
        <v>2.7040033000000002E-2</v>
      </c>
      <c r="L1068" s="2" t="s">
        <v>637</v>
      </c>
      <c r="M1068" s="4" t="s">
        <v>28261</v>
      </c>
    </row>
    <row r="1069" spans="1:13">
      <c r="A1069" s="2">
        <v>6431</v>
      </c>
      <c r="B1069" s="2" t="s">
        <v>7449</v>
      </c>
      <c r="C1069" s="2">
        <v>5</v>
      </c>
      <c r="D1069" s="2">
        <v>568</v>
      </c>
      <c r="E1069" s="2">
        <v>58</v>
      </c>
      <c r="F1069" s="2">
        <v>32441</v>
      </c>
      <c r="G1069" s="2">
        <v>4.9236583290000002</v>
      </c>
      <c r="H1069" s="2">
        <v>4.587013E-3</v>
      </c>
      <c r="I1069" s="2" t="s">
        <v>28262</v>
      </c>
      <c r="J1069" s="2" t="s">
        <v>28263</v>
      </c>
      <c r="K1069" s="2">
        <v>2.7330953000000002E-2</v>
      </c>
      <c r="L1069" s="2" t="s">
        <v>637</v>
      </c>
      <c r="M1069" s="4" t="s">
        <v>7452</v>
      </c>
    </row>
    <row r="1070" spans="1:13">
      <c r="A1070" s="2">
        <v>1261</v>
      </c>
      <c r="B1070" s="2" t="s">
        <v>28264</v>
      </c>
      <c r="C1070" s="2">
        <v>16</v>
      </c>
      <c r="D1070" s="2">
        <v>568</v>
      </c>
      <c r="E1070" s="2">
        <v>428</v>
      </c>
      <c r="F1070" s="2">
        <v>32441</v>
      </c>
      <c r="G1070" s="2">
        <v>2.1351191260000002</v>
      </c>
      <c r="H1070" s="2">
        <v>4.7548390000000003E-3</v>
      </c>
      <c r="I1070" s="2" t="s">
        <v>28265</v>
      </c>
      <c r="J1070" s="2" t="s">
        <v>28266</v>
      </c>
      <c r="K1070" s="2">
        <v>2.8135530999999998E-2</v>
      </c>
      <c r="L1070" s="2" t="s">
        <v>637</v>
      </c>
      <c r="M1070" s="4" t="s">
        <v>28267</v>
      </c>
    </row>
    <row r="1071" spans="1:13">
      <c r="A1071" s="2">
        <v>89</v>
      </c>
      <c r="B1071" s="2" t="s">
        <v>28268</v>
      </c>
      <c r="C1071" s="2">
        <v>9</v>
      </c>
      <c r="D1071" s="2">
        <v>568</v>
      </c>
      <c r="E1071" s="2">
        <v>176</v>
      </c>
      <c r="F1071" s="2">
        <v>32441</v>
      </c>
      <c r="G1071" s="2">
        <v>2.9206246</v>
      </c>
      <c r="H1071" s="2">
        <v>4.9528050000000002E-3</v>
      </c>
      <c r="I1071" s="2" t="s">
        <v>28269</v>
      </c>
      <c r="J1071" s="2" t="s">
        <v>28270</v>
      </c>
      <c r="K1071" s="2">
        <v>2.9106212999999999E-2</v>
      </c>
      <c r="L1071" s="2" t="s">
        <v>637</v>
      </c>
      <c r="M1071" s="4" t="s">
        <v>28271</v>
      </c>
    </row>
    <row r="1072" spans="1:13">
      <c r="A1072" s="2">
        <v>1671</v>
      </c>
      <c r="B1072" s="2" t="s">
        <v>28272</v>
      </c>
      <c r="C1072" s="2">
        <v>10</v>
      </c>
      <c r="D1072" s="2">
        <v>568</v>
      </c>
      <c r="E1072" s="2">
        <v>211</v>
      </c>
      <c r="F1072" s="2">
        <v>32441</v>
      </c>
      <c r="G1072" s="2">
        <v>2.7068453369999999</v>
      </c>
      <c r="H1072" s="2">
        <v>5.2117049999999996E-3</v>
      </c>
      <c r="I1072" s="2" t="s">
        <v>28273</v>
      </c>
      <c r="J1072" s="2" t="s">
        <v>28274</v>
      </c>
      <c r="K1072" s="2">
        <v>3.0389238999999998E-2</v>
      </c>
      <c r="L1072" s="2" t="s">
        <v>637</v>
      </c>
      <c r="M1072" s="4" t="s">
        <v>28275</v>
      </c>
    </row>
    <row r="1073" spans="1:13">
      <c r="A1073" s="2">
        <v>2661</v>
      </c>
      <c r="B1073" s="2" t="s">
        <v>28276</v>
      </c>
      <c r="C1073" s="2">
        <v>5</v>
      </c>
      <c r="D1073" s="2">
        <v>568</v>
      </c>
      <c r="E1073" s="2">
        <v>60</v>
      </c>
      <c r="F1073" s="2">
        <v>32441</v>
      </c>
      <c r="G1073" s="2">
        <v>4.7595363849999996</v>
      </c>
      <c r="H1073" s="2">
        <v>5.2419670000000002E-3</v>
      </c>
      <c r="I1073" s="2" t="s">
        <v>28277</v>
      </c>
      <c r="J1073" s="2" t="s">
        <v>28278</v>
      </c>
      <c r="K1073" s="2">
        <v>3.0389238999999998E-2</v>
      </c>
      <c r="L1073" s="2" t="s">
        <v>637</v>
      </c>
      <c r="M1073" s="4" t="s">
        <v>28279</v>
      </c>
    </row>
    <row r="1074" spans="1:13">
      <c r="A1074" s="2">
        <v>421</v>
      </c>
      <c r="B1074" s="2" t="s">
        <v>28280</v>
      </c>
      <c r="C1074" s="2">
        <v>5</v>
      </c>
      <c r="D1074" s="2">
        <v>568</v>
      </c>
      <c r="E1074" s="2">
        <v>61</v>
      </c>
      <c r="F1074" s="2">
        <v>32441</v>
      </c>
      <c r="G1074" s="2">
        <v>4.6815111979999999</v>
      </c>
      <c r="H1074" s="2">
        <v>5.593064E-3</v>
      </c>
      <c r="I1074" s="2" t="s">
        <v>28281</v>
      </c>
      <c r="J1074" s="2" t="s">
        <v>28282</v>
      </c>
      <c r="K1074" s="2">
        <v>3.1780457999999998E-2</v>
      </c>
      <c r="L1074" s="2" t="s">
        <v>637</v>
      </c>
      <c r="M1074" s="4" t="s">
        <v>28283</v>
      </c>
    </row>
    <row r="1075" spans="1:13">
      <c r="A1075" s="2">
        <v>3781</v>
      </c>
      <c r="B1075" s="2" t="s">
        <v>28284</v>
      </c>
      <c r="C1075" s="2">
        <v>5</v>
      </c>
      <c r="D1075" s="2">
        <v>568</v>
      </c>
      <c r="E1075" s="2">
        <v>61</v>
      </c>
      <c r="F1075" s="2">
        <v>32441</v>
      </c>
      <c r="G1075" s="2">
        <v>4.6815111979999999</v>
      </c>
      <c r="H1075" s="2">
        <v>5.593064E-3</v>
      </c>
      <c r="I1075" s="2" t="s">
        <v>28285</v>
      </c>
      <c r="J1075" s="2" t="s">
        <v>28286</v>
      </c>
      <c r="K1075" s="2">
        <v>3.1780457999999998E-2</v>
      </c>
      <c r="L1075" s="2" t="s">
        <v>637</v>
      </c>
      <c r="M1075" s="4" t="s">
        <v>28287</v>
      </c>
    </row>
    <row r="1076" spans="1:13">
      <c r="A1076" s="2">
        <v>7091</v>
      </c>
      <c r="B1076" s="2" t="s">
        <v>28288</v>
      </c>
      <c r="C1076" s="2">
        <v>5</v>
      </c>
      <c r="D1076" s="2">
        <v>568</v>
      </c>
      <c r="E1076" s="2">
        <v>61</v>
      </c>
      <c r="F1076" s="2">
        <v>32441</v>
      </c>
      <c r="G1076" s="2">
        <v>4.6815111979999999</v>
      </c>
      <c r="H1076" s="2">
        <v>5.593064E-3</v>
      </c>
      <c r="I1076" s="2" t="s">
        <v>28289</v>
      </c>
      <c r="J1076" s="2" t="s">
        <v>28290</v>
      </c>
      <c r="K1076" s="2">
        <v>3.1780457999999998E-2</v>
      </c>
      <c r="L1076" s="2" t="s">
        <v>637</v>
      </c>
      <c r="M1076" s="4" t="s">
        <v>28291</v>
      </c>
    </row>
    <row r="1077" spans="1:13">
      <c r="A1077" s="2">
        <v>54</v>
      </c>
      <c r="B1077" s="2" t="s">
        <v>28292</v>
      </c>
      <c r="C1077" s="2">
        <v>5</v>
      </c>
      <c r="D1077" s="2">
        <v>568</v>
      </c>
      <c r="E1077" s="2">
        <v>62</v>
      </c>
      <c r="F1077" s="2">
        <v>32441</v>
      </c>
      <c r="G1077" s="2">
        <v>4.606002953</v>
      </c>
      <c r="H1077" s="2">
        <v>5.9604259999999996E-3</v>
      </c>
      <c r="I1077" s="2" t="s">
        <v>28293</v>
      </c>
      <c r="J1077" s="2" t="s">
        <v>28294</v>
      </c>
      <c r="K1077" s="2">
        <v>3.3645036000000003E-2</v>
      </c>
      <c r="L1077" s="2" t="s">
        <v>637</v>
      </c>
      <c r="M1077" s="4" t="s">
        <v>28295</v>
      </c>
    </row>
    <row r="1078" spans="1:13">
      <c r="A1078" s="2">
        <v>4431</v>
      </c>
      <c r="B1078" s="2" t="s">
        <v>28296</v>
      </c>
      <c r="C1078" s="2">
        <v>14</v>
      </c>
      <c r="D1078" s="2">
        <v>568</v>
      </c>
      <c r="E1078" s="2">
        <v>367</v>
      </c>
      <c r="F1078" s="2">
        <v>32441</v>
      </c>
      <c r="G1078" s="2">
        <v>2.178752351</v>
      </c>
      <c r="H1078" s="2">
        <v>6.7678770000000003E-3</v>
      </c>
      <c r="I1078" s="2" t="s">
        <v>28297</v>
      </c>
      <c r="J1078" s="2" t="s">
        <v>28298</v>
      </c>
      <c r="K1078" s="2">
        <v>3.7953193000000003E-2</v>
      </c>
      <c r="L1078" s="2" t="s">
        <v>637</v>
      </c>
      <c r="M1078" s="4" t="s">
        <v>28299</v>
      </c>
    </row>
    <row r="1079" spans="1:13">
      <c r="A1079" s="2">
        <v>34</v>
      </c>
      <c r="B1079" s="2" t="s">
        <v>28300</v>
      </c>
      <c r="C1079" s="2">
        <v>10</v>
      </c>
      <c r="D1079" s="2">
        <v>568</v>
      </c>
      <c r="E1079" s="2">
        <v>222</v>
      </c>
      <c r="F1079" s="2">
        <v>32441</v>
      </c>
      <c r="G1079" s="2">
        <v>2.5727223700000001</v>
      </c>
      <c r="H1079" s="2">
        <v>7.2531230000000002E-3</v>
      </c>
      <c r="I1079" s="2" t="s">
        <v>28301</v>
      </c>
      <c r="J1079" s="2" t="s">
        <v>28302</v>
      </c>
      <c r="K1079" s="2">
        <v>4.0012561000000002E-2</v>
      </c>
      <c r="L1079" s="2" t="s">
        <v>637</v>
      </c>
      <c r="M1079" s="4" t="s">
        <v>28303</v>
      </c>
    </row>
    <row r="1080" spans="1:13">
      <c r="A1080" s="2">
        <v>64</v>
      </c>
      <c r="B1080" s="2" t="s">
        <v>28304</v>
      </c>
      <c r="C1080" s="2">
        <v>13</v>
      </c>
      <c r="D1080" s="2">
        <v>568</v>
      </c>
      <c r="E1080" s="2">
        <v>332</v>
      </c>
      <c r="F1080" s="2">
        <v>32441</v>
      </c>
      <c r="G1080" s="2">
        <v>2.2364086630000002</v>
      </c>
      <c r="H1080" s="2">
        <v>7.2750109999999996E-3</v>
      </c>
      <c r="I1080" s="2" t="s">
        <v>28305</v>
      </c>
      <c r="J1080" s="2" t="s">
        <v>28306</v>
      </c>
      <c r="K1080" s="2">
        <v>4.0012561000000002E-2</v>
      </c>
      <c r="L1080" s="2" t="s">
        <v>637</v>
      </c>
      <c r="M1080" s="4" t="s">
        <v>28307</v>
      </c>
    </row>
    <row r="1081" spans="1:13">
      <c r="A1081" s="2">
        <v>103</v>
      </c>
      <c r="B1081" s="2" t="s">
        <v>28308</v>
      </c>
      <c r="C1081" s="2">
        <v>15</v>
      </c>
      <c r="D1081" s="2">
        <v>568</v>
      </c>
      <c r="E1081" s="2">
        <v>409</v>
      </c>
      <c r="F1081" s="2">
        <v>32441</v>
      </c>
      <c r="G1081" s="2">
        <v>2.09466149</v>
      </c>
      <c r="H1081" s="2">
        <v>7.2307150000000004E-3</v>
      </c>
      <c r="I1081" s="2" t="s">
        <v>28309</v>
      </c>
      <c r="J1081" s="2" t="s">
        <v>28310</v>
      </c>
      <c r="K1081" s="2">
        <v>4.0012561000000002E-2</v>
      </c>
      <c r="L1081" s="2" t="s">
        <v>637</v>
      </c>
      <c r="M1081" s="4" t="s">
        <v>28311</v>
      </c>
    </row>
    <row r="1082" spans="1:13">
      <c r="A1082" s="2">
        <v>1661</v>
      </c>
      <c r="B1082" s="2" t="s">
        <v>28312</v>
      </c>
      <c r="C1082" s="2">
        <v>5</v>
      </c>
      <c r="D1082" s="2">
        <v>568</v>
      </c>
      <c r="E1082" s="2">
        <v>67</v>
      </c>
      <c r="F1082" s="2">
        <v>32441</v>
      </c>
      <c r="G1082" s="2">
        <v>4.2622713900000004</v>
      </c>
      <c r="H1082" s="2">
        <v>8.0544799999999993E-3</v>
      </c>
      <c r="I1082" s="2" t="s">
        <v>28313</v>
      </c>
      <c r="J1082" s="2" t="s">
        <v>28314</v>
      </c>
      <c r="K1082" s="2">
        <v>4.4017476E-2</v>
      </c>
      <c r="L1082" s="2" t="s">
        <v>637</v>
      </c>
      <c r="M1082" s="4" t="s">
        <v>28315</v>
      </c>
    </row>
    <row r="1083" spans="1:13">
      <c r="A1083" s="2">
        <v>2731</v>
      </c>
      <c r="B1083" s="2" t="s">
        <v>28316</v>
      </c>
      <c r="C1083" s="2">
        <v>5</v>
      </c>
      <c r="D1083" s="2">
        <v>568</v>
      </c>
      <c r="E1083" s="2">
        <v>69</v>
      </c>
      <c r="F1083" s="2">
        <v>32441</v>
      </c>
      <c r="G1083" s="2">
        <v>4.1387272910000004</v>
      </c>
      <c r="H1083" s="2">
        <v>9.0190579999999999E-3</v>
      </c>
      <c r="I1083" s="2" t="s">
        <v>28317</v>
      </c>
      <c r="J1083" s="2" t="s">
        <v>28318</v>
      </c>
      <c r="K1083" s="2">
        <v>4.8976909999999999E-2</v>
      </c>
      <c r="L1083" s="2" t="s">
        <v>637</v>
      </c>
      <c r="M1083" s="4" t="s">
        <v>28319</v>
      </c>
    </row>
    <row r="1084" spans="1:13">
      <c r="A1084" s="2">
        <v>4901</v>
      </c>
      <c r="B1084" s="2" t="s">
        <v>28320</v>
      </c>
      <c r="C1084" s="2">
        <v>10</v>
      </c>
      <c r="D1084" s="2">
        <v>568</v>
      </c>
      <c r="E1084" s="2">
        <v>230</v>
      </c>
      <c r="F1084" s="2">
        <v>32441</v>
      </c>
      <c r="G1084" s="2">
        <v>2.4832363750000002</v>
      </c>
      <c r="H1084" s="2">
        <v>9.0902889999999997E-3</v>
      </c>
      <c r="I1084" s="2" t="s">
        <v>28321</v>
      </c>
      <c r="J1084" s="2" t="s">
        <v>28322</v>
      </c>
      <c r="K1084" s="2">
        <v>4.9053257000000003E-2</v>
      </c>
      <c r="L1084" s="2" t="s">
        <v>637</v>
      </c>
      <c r="M1084" s="4" t="s">
        <v>28323</v>
      </c>
    </row>
    <row r="1085" spans="1:13">
      <c r="A1085" s="2">
        <v>5880</v>
      </c>
      <c r="B1085" s="2" t="s">
        <v>945</v>
      </c>
      <c r="C1085" s="2">
        <v>132</v>
      </c>
      <c r="D1085" s="2">
        <v>568</v>
      </c>
      <c r="E1085" s="2">
        <v>1598</v>
      </c>
      <c r="F1085" s="2">
        <v>32441</v>
      </c>
      <c r="G1085" s="2">
        <v>4.7178383190000002</v>
      </c>
      <c r="H1085" s="3">
        <v>5.83E-49</v>
      </c>
      <c r="I1085" s="3" t="s">
        <v>28324</v>
      </c>
      <c r="J1085" s="3" t="s">
        <v>28325</v>
      </c>
      <c r="K1085" s="3">
        <v>3.4499999999999997E-45</v>
      </c>
      <c r="L1085" s="2" t="s">
        <v>848</v>
      </c>
      <c r="M1085" s="4" t="s">
        <v>3064</v>
      </c>
    </row>
    <row r="1086" spans="1:13">
      <c r="A1086" s="2">
        <v>564</v>
      </c>
      <c r="B1086" s="2" t="s">
        <v>28326</v>
      </c>
      <c r="C1086" s="2">
        <v>107</v>
      </c>
      <c r="D1086" s="2">
        <v>568</v>
      </c>
      <c r="E1086" s="2">
        <v>1009</v>
      </c>
      <c r="F1086" s="2">
        <v>32441</v>
      </c>
      <c r="G1086" s="2">
        <v>6.0567341109999999</v>
      </c>
      <c r="H1086" s="3">
        <v>1.49E-48</v>
      </c>
      <c r="I1086" s="3" t="s">
        <v>28327</v>
      </c>
      <c r="J1086" s="3" t="s">
        <v>28328</v>
      </c>
      <c r="K1086" s="3">
        <v>4.42E-45</v>
      </c>
      <c r="L1086" s="2" t="s">
        <v>848</v>
      </c>
      <c r="M1086" s="4" t="s">
        <v>28329</v>
      </c>
    </row>
    <row r="1087" spans="1:13">
      <c r="A1087" s="2">
        <v>5715</v>
      </c>
      <c r="B1087" s="2" t="s">
        <v>959</v>
      </c>
      <c r="C1087" s="2">
        <v>110</v>
      </c>
      <c r="D1087" s="2">
        <v>568</v>
      </c>
      <c r="E1087" s="2">
        <v>1170</v>
      </c>
      <c r="F1087" s="2">
        <v>32441</v>
      </c>
      <c r="G1087" s="2">
        <v>5.3697333570000003</v>
      </c>
      <c r="H1087" s="3">
        <v>2.5900000000000001E-45</v>
      </c>
      <c r="I1087" s="3" t="s">
        <v>28330</v>
      </c>
      <c r="J1087" s="3" t="s">
        <v>28331</v>
      </c>
      <c r="K1087" s="3">
        <v>5.1100000000000002E-42</v>
      </c>
      <c r="L1087" s="2" t="s">
        <v>848</v>
      </c>
      <c r="M1087" s="4" t="s">
        <v>3071</v>
      </c>
    </row>
    <row r="1088" spans="1:13">
      <c r="A1088" s="2">
        <v>4731</v>
      </c>
      <c r="B1088" s="2" t="s">
        <v>3065</v>
      </c>
      <c r="C1088" s="2">
        <v>87</v>
      </c>
      <c r="D1088" s="2">
        <v>568</v>
      </c>
      <c r="E1088" s="2">
        <v>708</v>
      </c>
      <c r="F1088" s="2">
        <v>32441</v>
      </c>
      <c r="G1088" s="2">
        <v>7.0182994150000004</v>
      </c>
      <c r="H1088" s="3">
        <v>8.0500000000000002E-44</v>
      </c>
      <c r="I1088" s="3" t="s">
        <v>28332</v>
      </c>
      <c r="J1088" s="3" t="s">
        <v>28333</v>
      </c>
      <c r="K1088" s="3">
        <v>1.19E-40</v>
      </c>
      <c r="L1088" s="2" t="s">
        <v>848</v>
      </c>
      <c r="M1088" s="4" t="s">
        <v>3068</v>
      </c>
    </row>
    <row r="1089" spans="1:13">
      <c r="A1089" s="2">
        <v>1739</v>
      </c>
      <c r="B1089" s="2" t="s">
        <v>28334</v>
      </c>
      <c r="C1089" s="2">
        <v>70</v>
      </c>
      <c r="D1089" s="2">
        <v>568</v>
      </c>
      <c r="E1089" s="2">
        <v>539</v>
      </c>
      <c r="F1089" s="2">
        <v>32441</v>
      </c>
      <c r="G1089" s="2">
        <v>7.4174593010000001</v>
      </c>
      <c r="H1089" s="3">
        <v>1.3100000000000001E-36</v>
      </c>
      <c r="I1089" s="3" t="s">
        <v>28335</v>
      </c>
      <c r="J1089" s="3" t="s">
        <v>28336</v>
      </c>
      <c r="K1089" s="3">
        <v>1.55E-33</v>
      </c>
      <c r="L1089" s="2" t="s">
        <v>848</v>
      </c>
      <c r="M1089" s="4" t="s">
        <v>28337</v>
      </c>
    </row>
    <row r="1090" spans="1:13">
      <c r="A1090" s="2">
        <v>2259</v>
      </c>
      <c r="B1090" s="2" t="s">
        <v>28338</v>
      </c>
      <c r="C1090" s="2">
        <v>72</v>
      </c>
      <c r="D1090" s="2">
        <v>568</v>
      </c>
      <c r="E1090" s="2">
        <v>663</v>
      </c>
      <c r="F1090" s="2">
        <v>32441</v>
      </c>
      <c r="G1090" s="2">
        <v>6.2024727549999996</v>
      </c>
      <c r="H1090" s="3">
        <v>4.3600000000000002E-33</v>
      </c>
      <c r="I1090" s="3" t="s">
        <v>28339</v>
      </c>
      <c r="J1090" s="3" t="s">
        <v>28340</v>
      </c>
      <c r="K1090" s="3">
        <v>4.2999999999999997E-30</v>
      </c>
      <c r="L1090" s="2" t="s">
        <v>848</v>
      </c>
      <c r="M1090" s="4" t="s">
        <v>28341</v>
      </c>
    </row>
    <row r="1091" spans="1:13">
      <c r="A1091" s="2">
        <v>4406</v>
      </c>
      <c r="B1091" s="2" t="s">
        <v>11267</v>
      </c>
      <c r="C1091" s="2">
        <v>113</v>
      </c>
      <c r="D1091" s="2">
        <v>568</v>
      </c>
      <c r="E1091" s="2">
        <v>1784</v>
      </c>
      <c r="F1091" s="2">
        <v>32441</v>
      </c>
      <c r="G1091" s="2">
        <v>3.6176745170000002</v>
      </c>
      <c r="H1091" s="3">
        <v>1.37E-31</v>
      </c>
      <c r="I1091" s="3" t="s">
        <v>28342</v>
      </c>
      <c r="J1091" s="3" t="s">
        <v>28343</v>
      </c>
      <c r="K1091" s="3">
        <v>1.1600000000000001E-28</v>
      </c>
      <c r="L1091" s="2" t="s">
        <v>848</v>
      </c>
      <c r="M1091" s="4" t="s">
        <v>11270</v>
      </c>
    </row>
    <row r="1092" spans="1:13">
      <c r="A1092" s="2">
        <v>4450</v>
      </c>
      <c r="B1092" s="2" t="s">
        <v>28344</v>
      </c>
      <c r="C1092" s="2">
        <v>79</v>
      </c>
      <c r="D1092" s="2">
        <v>568</v>
      </c>
      <c r="E1092" s="2">
        <v>880</v>
      </c>
      <c r="F1092" s="2">
        <v>32441</v>
      </c>
      <c r="G1092" s="2">
        <v>5.1273187419999999</v>
      </c>
      <c r="H1092" s="3">
        <v>4.4799999999999998E-31</v>
      </c>
      <c r="I1092" s="3" t="s">
        <v>28345</v>
      </c>
      <c r="J1092" s="3" t="s">
        <v>28346</v>
      </c>
      <c r="K1092" s="3">
        <v>3.3200000000000001E-28</v>
      </c>
      <c r="L1092" s="2" t="s">
        <v>848</v>
      </c>
      <c r="M1092" s="4" t="s">
        <v>28347</v>
      </c>
    </row>
    <row r="1093" spans="1:13">
      <c r="A1093" s="2">
        <v>7201</v>
      </c>
      <c r="B1093" s="2" t="s">
        <v>28348</v>
      </c>
      <c r="C1093" s="2">
        <v>78</v>
      </c>
      <c r="D1093" s="2">
        <v>568</v>
      </c>
      <c r="E1093" s="2">
        <v>873</v>
      </c>
      <c r="F1093" s="2">
        <v>32441</v>
      </c>
      <c r="G1093" s="2">
        <v>5.1030080829999998</v>
      </c>
      <c r="H1093" s="3">
        <v>1.4799999999999999E-30</v>
      </c>
      <c r="I1093" s="3" t="s">
        <v>28349</v>
      </c>
      <c r="J1093" s="3" t="s">
        <v>28350</v>
      </c>
      <c r="K1093" s="3">
        <v>9.7499999999999993E-28</v>
      </c>
      <c r="L1093" s="2" t="s">
        <v>848</v>
      </c>
      <c r="M1093" s="4" t="s">
        <v>28351</v>
      </c>
    </row>
    <row r="1094" spans="1:13">
      <c r="A1094" s="2">
        <v>867</v>
      </c>
      <c r="B1094" s="2" t="s">
        <v>10897</v>
      </c>
      <c r="C1094" s="2">
        <v>101</v>
      </c>
      <c r="D1094" s="2">
        <v>568</v>
      </c>
      <c r="E1094" s="2">
        <v>1517</v>
      </c>
      <c r="F1094" s="2">
        <v>32441</v>
      </c>
      <c r="G1094" s="2">
        <v>3.802609162</v>
      </c>
      <c r="H1094" s="3">
        <v>9.52E-30</v>
      </c>
      <c r="I1094" s="3" t="s">
        <v>28352</v>
      </c>
      <c r="J1094" s="3" t="s">
        <v>28353</v>
      </c>
      <c r="K1094" s="3">
        <v>5.63E-27</v>
      </c>
      <c r="L1094" s="2" t="s">
        <v>848</v>
      </c>
      <c r="M1094" s="4" t="s">
        <v>10900</v>
      </c>
    </row>
    <row r="1095" spans="1:13">
      <c r="A1095" s="2">
        <v>4564</v>
      </c>
      <c r="B1095" s="2" t="s">
        <v>28354</v>
      </c>
      <c r="C1095" s="2">
        <v>68</v>
      </c>
      <c r="D1095" s="2">
        <v>568</v>
      </c>
      <c r="E1095" s="2">
        <v>703</v>
      </c>
      <c r="F1095" s="2">
        <v>32441</v>
      </c>
      <c r="G1095" s="2">
        <v>5.5245827739999998</v>
      </c>
      <c r="H1095" s="3">
        <v>1.59E-28</v>
      </c>
      <c r="I1095" s="3" t="s">
        <v>28355</v>
      </c>
      <c r="J1095" s="3" t="s">
        <v>28356</v>
      </c>
      <c r="K1095" s="3">
        <v>8.5599999999999999E-26</v>
      </c>
      <c r="L1095" s="2" t="s">
        <v>848</v>
      </c>
      <c r="M1095" s="4" t="s">
        <v>28357</v>
      </c>
    </row>
    <row r="1096" spans="1:13">
      <c r="A1096" s="2">
        <v>4760</v>
      </c>
      <c r="B1096" s="2" t="s">
        <v>28358</v>
      </c>
      <c r="C1096" s="2">
        <v>81</v>
      </c>
      <c r="D1096" s="2">
        <v>568</v>
      </c>
      <c r="E1096" s="2">
        <v>1038</v>
      </c>
      <c r="F1096" s="2">
        <v>32441</v>
      </c>
      <c r="G1096" s="2">
        <v>4.4569069040000002</v>
      </c>
      <c r="H1096" s="3">
        <v>5.0600000000000003E-28</v>
      </c>
      <c r="I1096" s="3" t="s">
        <v>28359</v>
      </c>
      <c r="J1096" s="3" t="s">
        <v>28360</v>
      </c>
      <c r="K1096" s="3">
        <v>2.4899999999999998E-25</v>
      </c>
      <c r="L1096" s="2" t="s">
        <v>848</v>
      </c>
      <c r="M1096" s="4" t="s">
        <v>28361</v>
      </c>
    </row>
    <row r="1097" spans="1:13">
      <c r="A1097" s="2">
        <v>2864</v>
      </c>
      <c r="B1097" s="2" t="s">
        <v>28362</v>
      </c>
      <c r="C1097" s="2">
        <v>91</v>
      </c>
      <c r="D1097" s="2">
        <v>568</v>
      </c>
      <c r="E1097" s="2">
        <v>1316</v>
      </c>
      <c r="F1097" s="2">
        <v>32441</v>
      </c>
      <c r="G1097" s="2">
        <v>3.9494025320000001</v>
      </c>
      <c r="H1097" s="3">
        <v>7.1800000000000003E-28</v>
      </c>
      <c r="I1097" s="3" t="s">
        <v>28363</v>
      </c>
      <c r="J1097" s="3" t="s">
        <v>28364</v>
      </c>
      <c r="K1097" s="3">
        <v>3.2699999999999999E-25</v>
      </c>
      <c r="L1097" s="2" t="s">
        <v>848</v>
      </c>
      <c r="M1097" s="4" t="s">
        <v>28365</v>
      </c>
    </row>
    <row r="1098" spans="1:13">
      <c r="A1098" s="2">
        <v>5710</v>
      </c>
      <c r="B1098" s="2" t="s">
        <v>28366</v>
      </c>
      <c r="C1098" s="2">
        <v>84</v>
      </c>
      <c r="D1098" s="2">
        <v>568</v>
      </c>
      <c r="E1098" s="2">
        <v>1155</v>
      </c>
      <c r="F1098" s="2">
        <v>32441</v>
      </c>
      <c r="G1098" s="2">
        <v>4.1537772090000002</v>
      </c>
      <c r="H1098" s="3">
        <v>4.2299999999999996E-27</v>
      </c>
      <c r="I1098" s="3" t="s">
        <v>28367</v>
      </c>
      <c r="J1098" s="3" t="s">
        <v>28368</v>
      </c>
      <c r="K1098" s="3">
        <v>1.7900000000000001E-24</v>
      </c>
      <c r="L1098" s="2" t="s">
        <v>848</v>
      </c>
      <c r="M1098" s="4" t="s">
        <v>28369</v>
      </c>
    </row>
    <row r="1099" spans="1:13">
      <c r="A1099" s="2">
        <v>1431</v>
      </c>
      <c r="B1099" s="2" t="s">
        <v>28370</v>
      </c>
      <c r="C1099" s="2">
        <v>45</v>
      </c>
      <c r="D1099" s="2">
        <v>568</v>
      </c>
      <c r="E1099" s="2">
        <v>312</v>
      </c>
      <c r="F1099" s="2">
        <v>32441</v>
      </c>
      <c r="G1099" s="2">
        <v>8.2376591280000007</v>
      </c>
      <c r="H1099" s="3">
        <v>1.78E-25</v>
      </c>
      <c r="I1099" s="2" t="s">
        <v>28371</v>
      </c>
      <c r="J1099" s="2" t="s">
        <v>28372</v>
      </c>
      <c r="K1099" s="3">
        <v>7.02E-23</v>
      </c>
      <c r="L1099" s="2" t="s">
        <v>848</v>
      </c>
      <c r="M1099" s="4" t="s">
        <v>28373</v>
      </c>
    </row>
    <row r="1100" spans="1:13">
      <c r="A1100" s="2">
        <v>4583</v>
      </c>
      <c r="B1100" s="2" t="s">
        <v>3041</v>
      </c>
      <c r="C1100" s="2">
        <v>47</v>
      </c>
      <c r="D1100" s="2">
        <v>568</v>
      </c>
      <c r="E1100" s="2">
        <v>349</v>
      </c>
      <c r="F1100" s="2">
        <v>32441</v>
      </c>
      <c r="G1100" s="2">
        <v>7.6916289999999998</v>
      </c>
      <c r="H1100" s="3">
        <v>2.0599999999999999E-25</v>
      </c>
      <c r="I1100" s="3" t="s">
        <v>28374</v>
      </c>
      <c r="J1100" s="3" t="s">
        <v>28375</v>
      </c>
      <c r="K1100" s="3">
        <v>7.6099999999999997E-23</v>
      </c>
      <c r="L1100" s="2" t="s">
        <v>848</v>
      </c>
      <c r="M1100" s="4" t="s">
        <v>3044</v>
      </c>
    </row>
    <row r="1101" spans="1:13">
      <c r="A1101" s="2">
        <v>5437</v>
      </c>
      <c r="B1101" s="2" t="s">
        <v>28376</v>
      </c>
      <c r="C1101" s="2">
        <v>89</v>
      </c>
      <c r="D1101" s="2">
        <v>568</v>
      </c>
      <c r="E1101" s="2">
        <v>1400</v>
      </c>
      <c r="F1101" s="2">
        <v>32441</v>
      </c>
      <c r="G1101" s="2">
        <v>3.6308463280000001</v>
      </c>
      <c r="H1101" s="3">
        <v>7.6199999999999995E-25</v>
      </c>
      <c r="I1101" s="3" t="s">
        <v>28377</v>
      </c>
      <c r="J1101" s="3" t="s">
        <v>28378</v>
      </c>
      <c r="K1101" s="3">
        <v>2.6499999999999999E-22</v>
      </c>
      <c r="L1101" s="2" t="s">
        <v>848</v>
      </c>
      <c r="M1101" s="4" t="s">
        <v>28379</v>
      </c>
    </row>
    <row r="1102" spans="1:13">
      <c r="A1102" s="2">
        <v>2049</v>
      </c>
      <c r="B1102" s="2" t="s">
        <v>28380</v>
      </c>
      <c r="C1102" s="2">
        <v>46</v>
      </c>
      <c r="D1102" s="2">
        <v>568</v>
      </c>
      <c r="E1102" s="2">
        <v>345</v>
      </c>
      <c r="F1102" s="2">
        <v>32441</v>
      </c>
      <c r="G1102" s="2">
        <v>7.615258216</v>
      </c>
      <c r="H1102" s="3">
        <v>9.9199999999999995E-25</v>
      </c>
      <c r="I1102" s="3" t="s">
        <v>28381</v>
      </c>
      <c r="J1102" s="3" t="s">
        <v>28382</v>
      </c>
      <c r="K1102" s="3">
        <v>3.2599999999999999E-22</v>
      </c>
      <c r="L1102" s="2" t="s">
        <v>848</v>
      </c>
      <c r="M1102" s="4" t="s">
        <v>28383</v>
      </c>
    </row>
    <row r="1103" spans="1:13">
      <c r="A1103" s="2">
        <v>1280</v>
      </c>
      <c r="B1103" s="2" t="s">
        <v>28384</v>
      </c>
      <c r="C1103" s="2">
        <v>67</v>
      </c>
      <c r="D1103" s="2">
        <v>568</v>
      </c>
      <c r="E1103" s="2">
        <v>841</v>
      </c>
      <c r="F1103" s="2">
        <v>32441</v>
      </c>
      <c r="G1103" s="2">
        <v>4.550139422</v>
      </c>
      <c r="H1103" s="3">
        <v>1.07E-23</v>
      </c>
      <c r="I1103" s="3" t="s">
        <v>28385</v>
      </c>
      <c r="J1103" s="3" t="s">
        <v>28386</v>
      </c>
      <c r="K1103" s="3">
        <v>3.34E-21</v>
      </c>
      <c r="L1103" s="2" t="s">
        <v>848</v>
      </c>
      <c r="M1103" s="4" t="s">
        <v>28387</v>
      </c>
    </row>
    <row r="1104" spans="1:13">
      <c r="A1104" s="2">
        <v>2426</v>
      </c>
      <c r="B1104" s="2" t="s">
        <v>11255</v>
      </c>
      <c r="C1104" s="2">
        <v>90</v>
      </c>
      <c r="D1104" s="2">
        <v>568</v>
      </c>
      <c r="E1104" s="2">
        <v>1493</v>
      </c>
      <c r="F1104" s="2">
        <v>32441</v>
      </c>
      <c r="G1104" s="2">
        <v>3.4429332189999999</v>
      </c>
      <c r="H1104" s="3">
        <v>1.2899999999999999E-23</v>
      </c>
      <c r="I1104" s="3" t="s">
        <v>28388</v>
      </c>
      <c r="J1104" s="3" t="s">
        <v>28389</v>
      </c>
      <c r="K1104" s="3">
        <v>3.8099999999999996E-21</v>
      </c>
      <c r="L1104" s="2" t="s">
        <v>848</v>
      </c>
      <c r="M1104" s="4" t="s">
        <v>11258</v>
      </c>
    </row>
    <row r="1105" spans="1:13">
      <c r="A1105" s="2">
        <v>4171</v>
      </c>
      <c r="B1105" s="2" t="s">
        <v>28390</v>
      </c>
      <c r="C1105" s="2">
        <v>75</v>
      </c>
      <c r="D1105" s="2">
        <v>568</v>
      </c>
      <c r="E1105" s="2">
        <v>1081</v>
      </c>
      <c r="F1105" s="2">
        <v>32441</v>
      </c>
      <c r="G1105" s="2">
        <v>3.9626112359999999</v>
      </c>
      <c r="H1105" s="3">
        <v>4.6200000000000003E-23</v>
      </c>
      <c r="I1105" s="3" t="s">
        <v>28391</v>
      </c>
      <c r="J1105" s="3" t="s">
        <v>28392</v>
      </c>
      <c r="K1105" s="3">
        <v>1.3E-20</v>
      </c>
      <c r="L1105" s="2" t="s">
        <v>848</v>
      </c>
      <c r="M1105" s="4" t="s">
        <v>28393</v>
      </c>
    </row>
    <row r="1106" spans="1:13">
      <c r="A1106" s="2">
        <v>3847</v>
      </c>
      <c r="B1106" s="2" t="s">
        <v>10539</v>
      </c>
      <c r="C1106" s="2">
        <v>78</v>
      </c>
      <c r="D1106" s="2">
        <v>568</v>
      </c>
      <c r="E1106" s="2">
        <v>1178</v>
      </c>
      <c r="F1106" s="2">
        <v>32441</v>
      </c>
      <c r="G1106" s="2">
        <v>3.7817708460000001</v>
      </c>
      <c r="H1106" s="3">
        <v>8.47E-23</v>
      </c>
      <c r="I1106" s="3" t="s">
        <v>28394</v>
      </c>
      <c r="J1106" s="3" t="s">
        <v>28395</v>
      </c>
      <c r="K1106" s="3">
        <v>2.2799999999999999E-20</v>
      </c>
      <c r="L1106" s="2" t="s">
        <v>848</v>
      </c>
      <c r="M1106" s="4" t="s">
        <v>10542</v>
      </c>
    </row>
    <row r="1107" spans="1:13">
      <c r="A1107" s="2">
        <v>5834</v>
      </c>
      <c r="B1107" s="2" t="s">
        <v>11336</v>
      </c>
      <c r="C1107" s="2">
        <v>89</v>
      </c>
      <c r="D1107" s="2">
        <v>568</v>
      </c>
      <c r="E1107" s="2">
        <v>1514</v>
      </c>
      <c r="F1107" s="2">
        <v>32441</v>
      </c>
      <c r="G1107" s="2">
        <v>3.3574536720000001</v>
      </c>
      <c r="H1107" s="3">
        <v>1.1799999999999999E-22</v>
      </c>
      <c r="I1107" s="3" t="s">
        <v>28396</v>
      </c>
      <c r="J1107" s="3" t="s">
        <v>28397</v>
      </c>
      <c r="K1107" s="3">
        <v>3.0199999999999997E-20</v>
      </c>
      <c r="L1107" s="2" t="s">
        <v>848</v>
      </c>
      <c r="M1107" s="4" t="s">
        <v>11339</v>
      </c>
    </row>
    <row r="1108" spans="1:13">
      <c r="A1108" s="2">
        <v>5875</v>
      </c>
      <c r="B1108" s="2" t="s">
        <v>8536</v>
      </c>
      <c r="C1108" s="2">
        <v>85</v>
      </c>
      <c r="D1108" s="2">
        <v>568</v>
      </c>
      <c r="E1108" s="2">
        <v>1399</v>
      </c>
      <c r="F1108" s="2">
        <v>32441</v>
      </c>
      <c r="G1108" s="2">
        <v>3.4701408950000001</v>
      </c>
      <c r="H1108" s="3">
        <v>1.63E-22</v>
      </c>
      <c r="I1108" s="3" t="s">
        <v>28398</v>
      </c>
      <c r="J1108" s="3" t="s">
        <v>28399</v>
      </c>
      <c r="K1108" s="3">
        <v>4.0199999999999998E-20</v>
      </c>
      <c r="L1108" s="2" t="s">
        <v>848</v>
      </c>
      <c r="M1108" s="4" t="s">
        <v>8539</v>
      </c>
    </row>
    <row r="1109" spans="1:13">
      <c r="A1109" s="2">
        <v>4146</v>
      </c>
      <c r="B1109" s="2" t="s">
        <v>28400</v>
      </c>
      <c r="C1109" s="2">
        <v>60</v>
      </c>
      <c r="D1109" s="2">
        <v>568</v>
      </c>
      <c r="E1109" s="2">
        <v>720</v>
      </c>
      <c r="F1109" s="2">
        <v>32441</v>
      </c>
      <c r="G1109" s="2">
        <v>4.7595363849999996</v>
      </c>
      <c r="H1109" s="3">
        <v>3.4299999999999999E-22</v>
      </c>
      <c r="I1109" s="3" t="s">
        <v>28401</v>
      </c>
      <c r="J1109" s="3" t="s">
        <v>28402</v>
      </c>
      <c r="K1109" s="3">
        <v>8.1099999999999996E-20</v>
      </c>
      <c r="L1109" s="2" t="s">
        <v>848</v>
      </c>
      <c r="M1109" s="4" t="s">
        <v>28403</v>
      </c>
    </row>
    <row r="1110" spans="1:13">
      <c r="A1110" s="2">
        <v>4920</v>
      </c>
      <c r="B1110" s="2" t="s">
        <v>979</v>
      </c>
      <c r="C1110" s="2">
        <v>64</v>
      </c>
      <c r="D1110" s="2">
        <v>568</v>
      </c>
      <c r="E1110" s="2">
        <v>848</v>
      </c>
      <c r="F1110" s="2">
        <v>32441</v>
      </c>
      <c r="G1110" s="2">
        <v>4.3105235180000001</v>
      </c>
      <c r="H1110" s="3">
        <v>1.6299999999999999E-21</v>
      </c>
      <c r="I1110" s="3" t="s">
        <v>28404</v>
      </c>
      <c r="J1110" s="3" t="s">
        <v>28405</v>
      </c>
      <c r="K1110" s="3">
        <v>3.7000000000000001E-19</v>
      </c>
      <c r="L1110" s="2" t="s">
        <v>848</v>
      </c>
      <c r="M1110" s="4" t="s">
        <v>28406</v>
      </c>
    </row>
    <row r="1111" spans="1:13">
      <c r="A1111" s="2">
        <v>3757</v>
      </c>
      <c r="B1111" s="2" t="s">
        <v>28407</v>
      </c>
      <c r="C1111" s="2">
        <v>87</v>
      </c>
      <c r="D1111" s="2">
        <v>568</v>
      </c>
      <c r="E1111" s="2">
        <v>1565</v>
      </c>
      <c r="F1111" s="2">
        <v>32441</v>
      </c>
      <c r="G1111" s="2">
        <v>3.175051748</v>
      </c>
      <c r="H1111" s="3">
        <v>1.17E-20</v>
      </c>
      <c r="I1111" s="3" t="s">
        <v>28408</v>
      </c>
      <c r="J1111" s="3" t="s">
        <v>28409</v>
      </c>
      <c r="K1111" s="3">
        <v>2.5700000000000002E-18</v>
      </c>
      <c r="L1111" s="2" t="s">
        <v>848</v>
      </c>
      <c r="M1111" s="4" t="s">
        <v>28410</v>
      </c>
    </row>
    <row r="1112" spans="1:13">
      <c r="A1112" s="2">
        <v>1496</v>
      </c>
      <c r="B1112" s="2" t="s">
        <v>28411</v>
      </c>
      <c r="C1112" s="2">
        <v>59</v>
      </c>
      <c r="D1112" s="2">
        <v>568</v>
      </c>
      <c r="E1112" s="2">
        <v>766</v>
      </c>
      <c r="F1112" s="2">
        <v>32441</v>
      </c>
      <c r="G1112" s="2">
        <v>4.3991537340000004</v>
      </c>
      <c r="H1112" s="3">
        <v>2.7499999999999998E-20</v>
      </c>
      <c r="I1112" s="3" t="s">
        <v>28412</v>
      </c>
      <c r="J1112" s="3" t="s">
        <v>28413</v>
      </c>
      <c r="K1112" s="3">
        <v>5.8E-18</v>
      </c>
      <c r="L1112" s="2" t="s">
        <v>848</v>
      </c>
      <c r="M1112" s="4" t="s">
        <v>28414</v>
      </c>
    </row>
    <row r="1113" spans="1:13">
      <c r="A1113" s="2">
        <v>1113</v>
      </c>
      <c r="B1113" s="2" t="s">
        <v>9604</v>
      </c>
      <c r="C1113" s="2">
        <v>90</v>
      </c>
      <c r="D1113" s="2">
        <v>568</v>
      </c>
      <c r="E1113" s="2">
        <v>1733</v>
      </c>
      <c r="F1113" s="2">
        <v>32441</v>
      </c>
      <c r="G1113" s="2">
        <v>2.966127695</v>
      </c>
      <c r="H1113" s="3">
        <v>1.58E-19</v>
      </c>
      <c r="I1113" s="3" t="s">
        <v>28415</v>
      </c>
      <c r="J1113" s="3" t="s">
        <v>28416</v>
      </c>
      <c r="K1113" s="3">
        <v>3.2300000000000002E-17</v>
      </c>
      <c r="L1113" s="2" t="s">
        <v>848</v>
      </c>
      <c r="M1113" s="4" t="s">
        <v>9607</v>
      </c>
    </row>
    <row r="1114" spans="1:13">
      <c r="A1114" s="2">
        <v>5742</v>
      </c>
      <c r="B1114" s="2" t="s">
        <v>28417</v>
      </c>
      <c r="C1114" s="2">
        <v>44</v>
      </c>
      <c r="D1114" s="2">
        <v>568</v>
      </c>
      <c r="E1114" s="2">
        <v>435</v>
      </c>
      <c r="F1114" s="2">
        <v>32441</v>
      </c>
      <c r="G1114" s="2">
        <v>5.7770924399999997</v>
      </c>
      <c r="H1114" s="3">
        <v>1.9699999999999999E-19</v>
      </c>
      <c r="I1114" s="2" t="s">
        <v>28418</v>
      </c>
      <c r="J1114" s="2" t="s">
        <v>28419</v>
      </c>
      <c r="K1114" s="3">
        <v>3.8799999999999997E-17</v>
      </c>
      <c r="L1114" s="2" t="s">
        <v>848</v>
      </c>
      <c r="M1114" s="4" t="s">
        <v>28420</v>
      </c>
    </row>
    <row r="1115" spans="1:13">
      <c r="A1115" s="2">
        <v>4311</v>
      </c>
      <c r="B1115" s="2" t="s">
        <v>28421</v>
      </c>
      <c r="C1115" s="2">
        <v>57</v>
      </c>
      <c r="D1115" s="2">
        <v>568</v>
      </c>
      <c r="E1115" s="2">
        <v>758</v>
      </c>
      <c r="F1115" s="2">
        <v>32441</v>
      </c>
      <c r="G1115" s="2">
        <v>4.2948850759999999</v>
      </c>
      <c r="H1115" s="3">
        <v>3.5300000000000002E-19</v>
      </c>
      <c r="I1115" s="3" t="s">
        <v>28422</v>
      </c>
      <c r="J1115" s="3" t="s">
        <v>28423</v>
      </c>
      <c r="K1115" s="3">
        <v>6.7399999999999996E-17</v>
      </c>
      <c r="L1115" s="2" t="s">
        <v>848</v>
      </c>
      <c r="M1115" s="4" t="s">
        <v>28424</v>
      </c>
    </row>
    <row r="1116" spans="1:13">
      <c r="A1116" s="2">
        <v>5624</v>
      </c>
      <c r="B1116" s="2" t="s">
        <v>9592</v>
      </c>
      <c r="C1116" s="2">
        <v>93</v>
      </c>
      <c r="D1116" s="2">
        <v>568</v>
      </c>
      <c r="E1116" s="2">
        <v>1860</v>
      </c>
      <c r="F1116" s="2">
        <v>32441</v>
      </c>
      <c r="G1116" s="2">
        <v>2.8557218309999999</v>
      </c>
      <c r="H1116" s="3">
        <v>3.8699999999999999E-19</v>
      </c>
      <c r="I1116" s="3" t="s">
        <v>28425</v>
      </c>
      <c r="J1116" s="3" t="s">
        <v>28426</v>
      </c>
      <c r="K1116" s="3">
        <v>7.1599999999999995E-17</v>
      </c>
      <c r="L1116" s="2" t="s">
        <v>848</v>
      </c>
      <c r="M1116" s="4" t="s">
        <v>9595</v>
      </c>
    </row>
    <row r="1117" spans="1:13">
      <c r="A1117" s="2">
        <v>4947</v>
      </c>
      <c r="B1117" s="2" t="s">
        <v>907</v>
      </c>
      <c r="C1117" s="2">
        <v>55</v>
      </c>
      <c r="D1117" s="2">
        <v>568</v>
      </c>
      <c r="E1117" s="2">
        <v>721</v>
      </c>
      <c r="F1117" s="2">
        <v>32441</v>
      </c>
      <c r="G1117" s="2">
        <v>4.3568571619999998</v>
      </c>
      <c r="H1117" s="3">
        <v>8.5300000000000001E-19</v>
      </c>
      <c r="I1117" s="3" t="s">
        <v>28427</v>
      </c>
      <c r="J1117" s="3" t="s">
        <v>28428</v>
      </c>
      <c r="K1117" s="3">
        <v>1.53E-16</v>
      </c>
      <c r="L1117" s="2" t="s">
        <v>848</v>
      </c>
      <c r="M1117" s="4" t="s">
        <v>3099</v>
      </c>
    </row>
    <row r="1118" spans="1:13">
      <c r="A1118" s="2">
        <v>1338</v>
      </c>
      <c r="B1118" s="2" t="s">
        <v>1062</v>
      </c>
      <c r="C1118" s="2">
        <v>43</v>
      </c>
      <c r="D1118" s="2">
        <v>568</v>
      </c>
      <c r="E1118" s="2">
        <v>448</v>
      </c>
      <c r="F1118" s="2">
        <v>32441</v>
      </c>
      <c r="G1118" s="2">
        <v>5.4819660150000002</v>
      </c>
      <c r="H1118" s="3">
        <v>3.0599999999999999E-18</v>
      </c>
      <c r="I1118" s="2" t="s">
        <v>28429</v>
      </c>
      <c r="J1118" s="2" t="s">
        <v>28430</v>
      </c>
      <c r="K1118" s="3">
        <v>5.3299999999999998E-16</v>
      </c>
      <c r="L1118" s="2" t="s">
        <v>848</v>
      </c>
      <c r="M1118" s="4" t="s">
        <v>28431</v>
      </c>
    </row>
    <row r="1119" spans="1:13">
      <c r="A1119" s="2">
        <v>5407</v>
      </c>
      <c r="B1119" s="2" t="s">
        <v>28432</v>
      </c>
      <c r="C1119" s="2">
        <v>27</v>
      </c>
      <c r="D1119" s="2">
        <v>568</v>
      </c>
      <c r="E1119" s="2">
        <v>153</v>
      </c>
      <c r="F1119" s="2">
        <v>32441</v>
      </c>
      <c r="G1119" s="2">
        <v>10.079018230000001</v>
      </c>
      <c r="H1119" s="3">
        <v>1.0000000000000001E-17</v>
      </c>
      <c r="I1119" s="2" t="s">
        <v>28433</v>
      </c>
      <c r="J1119" s="2" t="s">
        <v>28434</v>
      </c>
      <c r="K1119" s="3">
        <v>1.69E-15</v>
      </c>
      <c r="L1119" s="2" t="s">
        <v>848</v>
      </c>
      <c r="M1119" s="4" t="s">
        <v>28435</v>
      </c>
    </row>
    <row r="1120" spans="1:13">
      <c r="A1120" s="2">
        <v>4459</v>
      </c>
      <c r="B1120" s="2" t="s">
        <v>28436</v>
      </c>
      <c r="C1120" s="2">
        <v>65</v>
      </c>
      <c r="D1120" s="2">
        <v>568</v>
      </c>
      <c r="E1120" s="2">
        <v>1068</v>
      </c>
      <c r="F1120" s="2">
        <v>32441</v>
      </c>
      <c r="G1120" s="2">
        <v>3.476065899</v>
      </c>
      <c r="H1120" s="3">
        <v>2.3099999999999999E-17</v>
      </c>
      <c r="I1120" s="3" t="s">
        <v>28437</v>
      </c>
      <c r="J1120" s="3" t="s">
        <v>28438</v>
      </c>
      <c r="K1120" s="3">
        <v>3.8000000000000002E-15</v>
      </c>
      <c r="L1120" s="2" t="s">
        <v>848</v>
      </c>
      <c r="M1120" s="4" t="s">
        <v>28439</v>
      </c>
    </row>
    <row r="1121" spans="1:13">
      <c r="A1121" s="2">
        <v>4954</v>
      </c>
      <c r="B1121" s="2" t="s">
        <v>28440</v>
      </c>
      <c r="C1121" s="2">
        <v>49</v>
      </c>
      <c r="D1121" s="2">
        <v>568</v>
      </c>
      <c r="E1121" s="2">
        <v>623</v>
      </c>
      <c r="F1121" s="2">
        <v>32441</v>
      </c>
      <c r="G1121" s="2">
        <v>4.4921467000000002</v>
      </c>
      <c r="H1121" s="3">
        <v>2.3999999999999999E-17</v>
      </c>
      <c r="I1121" s="3" t="s">
        <v>28441</v>
      </c>
      <c r="J1121" s="3" t="s">
        <v>28442</v>
      </c>
      <c r="K1121" s="3">
        <v>3.8400000000000001E-15</v>
      </c>
      <c r="L1121" s="2" t="s">
        <v>848</v>
      </c>
      <c r="M1121" s="4" t="s">
        <v>28443</v>
      </c>
    </row>
    <row r="1122" spans="1:13">
      <c r="A1122" s="2">
        <v>24241</v>
      </c>
      <c r="B1122" s="2" t="s">
        <v>28444</v>
      </c>
      <c r="C1122" s="2">
        <v>49</v>
      </c>
      <c r="D1122" s="2">
        <v>568</v>
      </c>
      <c r="E1122" s="2">
        <v>629</v>
      </c>
      <c r="F1122" s="2">
        <v>32441</v>
      </c>
      <c r="G1122" s="2">
        <v>4.4492963339999996</v>
      </c>
      <c r="H1122" s="3">
        <v>3.4299999999999998E-17</v>
      </c>
      <c r="I1122" s="3" t="s">
        <v>28445</v>
      </c>
      <c r="J1122" s="3" t="s">
        <v>28446</v>
      </c>
      <c r="K1122" s="3">
        <v>5.34E-15</v>
      </c>
      <c r="L1122" s="2" t="s">
        <v>848</v>
      </c>
      <c r="M1122" s="4" t="s">
        <v>28447</v>
      </c>
    </row>
    <row r="1123" spans="1:13">
      <c r="A1123" s="2">
        <v>32211</v>
      </c>
      <c r="B1123" s="2" t="s">
        <v>915</v>
      </c>
      <c r="C1123" s="2">
        <v>48</v>
      </c>
      <c r="D1123" s="2">
        <v>568</v>
      </c>
      <c r="E1123" s="2">
        <v>611</v>
      </c>
      <c r="F1123" s="2">
        <v>32441</v>
      </c>
      <c r="G1123" s="2">
        <v>4.4868951849999998</v>
      </c>
      <c r="H1123" s="3">
        <v>5.38E-17</v>
      </c>
      <c r="I1123" s="3" t="s">
        <v>28448</v>
      </c>
      <c r="J1123" s="3" t="s">
        <v>28449</v>
      </c>
      <c r="K1123" s="3">
        <v>8.1699999999999998E-15</v>
      </c>
      <c r="L1123" s="2" t="s">
        <v>848</v>
      </c>
      <c r="M1123" s="4" t="s">
        <v>3049</v>
      </c>
    </row>
    <row r="1124" spans="1:13">
      <c r="A1124" s="2">
        <v>3120</v>
      </c>
      <c r="B1124" s="2" t="s">
        <v>939</v>
      </c>
      <c r="C1124" s="2">
        <v>59</v>
      </c>
      <c r="D1124" s="2">
        <v>568</v>
      </c>
      <c r="E1124" s="2">
        <v>926</v>
      </c>
      <c r="F1124" s="2">
        <v>32441</v>
      </c>
      <c r="G1124" s="2">
        <v>3.639040778</v>
      </c>
      <c r="H1124" s="3">
        <v>1.12E-16</v>
      </c>
      <c r="I1124" s="3" t="s">
        <v>28450</v>
      </c>
      <c r="J1124" s="3" t="s">
        <v>28451</v>
      </c>
      <c r="K1124" s="3">
        <v>1.6499999999999999E-14</v>
      </c>
      <c r="L1124" s="2" t="s">
        <v>848</v>
      </c>
      <c r="M1124" s="4" t="s">
        <v>28452</v>
      </c>
    </row>
    <row r="1125" spans="1:13">
      <c r="A1125" s="2">
        <v>1637</v>
      </c>
      <c r="B1125" s="2" t="s">
        <v>28453</v>
      </c>
      <c r="C1125" s="2">
        <v>42</v>
      </c>
      <c r="D1125" s="2">
        <v>568</v>
      </c>
      <c r="E1125" s="2">
        <v>480</v>
      </c>
      <c r="F1125" s="2">
        <v>32441</v>
      </c>
      <c r="G1125" s="2">
        <v>4.9975132039999997</v>
      </c>
      <c r="H1125" s="3">
        <v>1.6000000000000001E-16</v>
      </c>
      <c r="I1125" s="2" t="s">
        <v>28454</v>
      </c>
      <c r="J1125" s="2" t="s">
        <v>28455</v>
      </c>
      <c r="K1125" s="3">
        <v>2.3100000000000001E-14</v>
      </c>
      <c r="L1125" s="2" t="s">
        <v>848</v>
      </c>
      <c r="M1125" s="4" t="s">
        <v>28456</v>
      </c>
    </row>
    <row r="1126" spans="1:13">
      <c r="A1126" s="2">
        <v>5697</v>
      </c>
      <c r="B1126" s="2" t="s">
        <v>10266</v>
      </c>
      <c r="C1126" s="2">
        <v>84</v>
      </c>
      <c r="D1126" s="2">
        <v>568</v>
      </c>
      <c r="E1126" s="2">
        <v>1737</v>
      </c>
      <c r="F1126" s="2">
        <v>32441</v>
      </c>
      <c r="G1126" s="2">
        <v>2.7620107520000001</v>
      </c>
      <c r="H1126" s="3">
        <v>1.6900000000000001E-16</v>
      </c>
      <c r="I1126" s="3" t="s">
        <v>28457</v>
      </c>
      <c r="J1126" s="3" t="s">
        <v>28458</v>
      </c>
      <c r="K1126" s="3">
        <v>2.3900000000000001E-14</v>
      </c>
      <c r="L1126" s="2" t="s">
        <v>848</v>
      </c>
      <c r="M1126" s="4" t="s">
        <v>10269</v>
      </c>
    </row>
    <row r="1127" spans="1:13">
      <c r="A1127" s="2">
        <v>45391</v>
      </c>
      <c r="B1127" s="2" t="s">
        <v>3026</v>
      </c>
      <c r="C1127" s="2">
        <v>28</v>
      </c>
      <c r="D1127" s="2">
        <v>568</v>
      </c>
      <c r="E1127" s="2">
        <v>194</v>
      </c>
      <c r="F1127" s="2">
        <v>32441</v>
      </c>
      <c r="G1127" s="2">
        <v>8.2433207490000004</v>
      </c>
      <c r="H1127" s="3">
        <v>2.5699999999999999E-16</v>
      </c>
      <c r="I1127" s="2" t="s">
        <v>28459</v>
      </c>
      <c r="J1127" s="2" t="s">
        <v>28460</v>
      </c>
      <c r="K1127" s="3">
        <v>3.5299999999999999E-14</v>
      </c>
      <c r="L1127" s="2" t="s">
        <v>848</v>
      </c>
      <c r="M1127" s="4" t="s">
        <v>3029</v>
      </c>
    </row>
    <row r="1128" spans="1:13">
      <c r="A1128" s="2">
        <v>1211</v>
      </c>
      <c r="B1128" s="2" t="s">
        <v>927</v>
      </c>
      <c r="C1128" s="2">
        <v>55</v>
      </c>
      <c r="D1128" s="2">
        <v>568</v>
      </c>
      <c r="E1128" s="2">
        <v>835</v>
      </c>
      <c r="F1128" s="2">
        <v>32441</v>
      </c>
      <c r="G1128" s="2">
        <v>3.7620287590000001</v>
      </c>
      <c r="H1128" s="3">
        <v>3.46E-16</v>
      </c>
      <c r="I1128" s="3" t="s">
        <v>28461</v>
      </c>
      <c r="J1128" s="3" t="s">
        <v>28462</v>
      </c>
      <c r="K1128" s="3">
        <v>4.6499999999999997E-14</v>
      </c>
      <c r="L1128" s="2" t="s">
        <v>848</v>
      </c>
      <c r="M1128" s="4" t="s">
        <v>3040</v>
      </c>
    </row>
    <row r="1129" spans="1:13">
      <c r="A1129" s="2">
        <v>4624</v>
      </c>
      <c r="B1129" s="2" t="s">
        <v>28463</v>
      </c>
      <c r="C1129" s="2">
        <v>41</v>
      </c>
      <c r="D1129" s="2">
        <v>568</v>
      </c>
      <c r="E1129" s="2">
        <v>487</v>
      </c>
      <c r="F1129" s="2">
        <v>32441</v>
      </c>
      <c r="G1129" s="2">
        <v>4.8084022620000004</v>
      </c>
      <c r="H1129" s="3">
        <v>1.26E-15</v>
      </c>
      <c r="I1129" s="2" t="s">
        <v>28464</v>
      </c>
      <c r="J1129" s="2" t="s">
        <v>28465</v>
      </c>
      <c r="K1129" s="3">
        <v>1.66E-13</v>
      </c>
      <c r="L1129" s="2" t="s">
        <v>848</v>
      </c>
      <c r="M1129" s="4" t="s">
        <v>28466</v>
      </c>
    </row>
    <row r="1130" spans="1:13">
      <c r="A1130" s="2">
        <v>866</v>
      </c>
      <c r="B1130" s="2" t="s">
        <v>8591</v>
      </c>
      <c r="C1130" s="2">
        <v>84</v>
      </c>
      <c r="D1130" s="2">
        <v>568</v>
      </c>
      <c r="E1130" s="2">
        <v>1805</v>
      </c>
      <c r="F1130" s="2">
        <v>32441</v>
      </c>
      <c r="G1130" s="2">
        <v>2.6579571610000001</v>
      </c>
      <c r="H1130" s="3">
        <v>1.3899999999999999E-15</v>
      </c>
      <c r="I1130" s="3" t="s">
        <v>28467</v>
      </c>
      <c r="J1130" s="3" t="s">
        <v>28468</v>
      </c>
      <c r="K1130" s="3">
        <v>1.7899999999999999E-13</v>
      </c>
      <c r="L1130" s="2" t="s">
        <v>848</v>
      </c>
      <c r="M1130" s="4" t="s">
        <v>8594</v>
      </c>
    </row>
    <row r="1131" spans="1:13">
      <c r="A1131" s="2">
        <v>5033</v>
      </c>
      <c r="B1131" s="2" t="s">
        <v>28469</v>
      </c>
      <c r="C1131" s="2">
        <v>38</v>
      </c>
      <c r="D1131" s="2">
        <v>568</v>
      </c>
      <c r="E1131" s="2">
        <v>420</v>
      </c>
      <c r="F1131" s="2">
        <v>32441</v>
      </c>
      <c r="G1131" s="2">
        <v>5.1674966470000001</v>
      </c>
      <c r="H1131" s="3">
        <v>1.7199999999999999E-15</v>
      </c>
      <c r="I1131" s="2" t="s">
        <v>28470</v>
      </c>
      <c r="J1131" s="2" t="s">
        <v>28471</v>
      </c>
      <c r="K1131" s="3">
        <v>2.1599999999999999E-13</v>
      </c>
      <c r="L1131" s="2" t="s">
        <v>848</v>
      </c>
      <c r="M1131" s="4" t="s">
        <v>28472</v>
      </c>
    </row>
    <row r="1132" spans="1:13">
      <c r="A1132" s="2">
        <v>3958</v>
      </c>
      <c r="B1132" s="2" t="s">
        <v>28473</v>
      </c>
      <c r="C1132" s="2">
        <v>50</v>
      </c>
      <c r="D1132" s="2">
        <v>568</v>
      </c>
      <c r="E1132" s="2">
        <v>740</v>
      </c>
      <c r="F1132" s="2">
        <v>32441</v>
      </c>
      <c r="G1132" s="2">
        <v>3.8590835550000002</v>
      </c>
      <c r="H1132" s="3">
        <v>3.2699999999999999E-15</v>
      </c>
      <c r="I1132" s="3" t="s">
        <v>28474</v>
      </c>
      <c r="J1132" s="3" t="s">
        <v>28475</v>
      </c>
      <c r="K1132" s="3">
        <v>4.03E-13</v>
      </c>
      <c r="L1132" s="2" t="s">
        <v>848</v>
      </c>
      <c r="M1132" s="4" t="s">
        <v>28476</v>
      </c>
    </row>
    <row r="1133" spans="1:13">
      <c r="A1133" s="2">
        <v>903</v>
      </c>
      <c r="B1133" s="2" t="s">
        <v>949</v>
      </c>
      <c r="C1133" s="2">
        <v>79</v>
      </c>
      <c r="D1133" s="2">
        <v>568</v>
      </c>
      <c r="E1133" s="2">
        <v>1676</v>
      </c>
      <c r="F1133" s="2">
        <v>32441</v>
      </c>
      <c r="G1133" s="2">
        <v>2.6921482650000002</v>
      </c>
      <c r="H1133" s="3">
        <v>5.7199999999999999E-15</v>
      </c>
      <c r="I1133" s="3" t="s">
        <v>28477</v>
      </c>
      <c r="J1133" s="3" t="s">
        <v>28478</v>
      </c>
      <c r="K1133" s="3">
        <v>6.9099999999999998E-13</v>
      </c>
      <c r="L1133" s="2" t="s">
        <v>848</v>
      </c>
      <c r="M1133" s="4" t="s">
        <v>28479</v>
      </c>
    </row>
    <row r="1134" spans="1:13">
      <c r="A1134" s="2">
        <v>3000</v>
      </c>
      <c r="B1134" s="2" t="s">
        <v>1066</v>
      </c>
      <c r="C1134" s="2">
        <v>34</v>
      </c>
      <c r="D1134" s="2">
        <v>568</v>
      </c>
      <c r="E1134" s="2">
        <v>354</v>
      </c>
      <c r="F1134" s="2">
        <v>32441</v>
      </c>
      <c r="G1134" s="2">
        <v>5.485567359</v>
      </c>
      <c r="H1134" s="3">
        <v>1.1E-14</v>
      </c>
      <c r="I1134" s="2" t="s">
        <v>28480</v>
      </c>
      <c r="J1134" s="2" t="s">
        <v>28481</v>
      </c>
      <c r="K1134" s="3">
        <v>1.3100000000000001E-12</v>
      </c>
      <c r="L1134" s="2" t="s">
        <v>848</v>
      </c>
      <c r="M1134" s="4" t="s">
        <v>28482</v>
      </c>
    </row>
    <row r="1135" spans="1:13">
      <c r="A1135" s="2">
        <v>3992</v>
      </c>
      <c r="B1135" s="2" t="s">
        <v>28483</v>
      </c>
      <c r="C1135" s="2">
        <v>28</v>
      </c>
      <c r="D1135" s="2">
        <v>568</v>
      </c>
      <c r="E1135" s="2">
        <v>229</v>
      </c>
      <c r="F1135" s="2">
        <v>32441</v>
      </c>
      <c r="G1135" s="2">
        <v>6.983424565</v>
      </c>
      <c r="H1135" s="3">
        <v>1.1400000000000001E-14</v>
      </c>
      <c r="I1135" s="2" t="s">
        <v>28484</v>
      </c>
      <c r="J1135" s="2" t="s">
        <v>28485</v>
      </c>
      <c r="K1135" s="3">
        <v>1.32E-12</v>
      </c>
      <c r="L1135" s="2" t="s">
        <v>848</v>
      </c>
      <c r="M1135" s="4" t="s">
        <v>28486</v>
      </c>
    </row>
    <row r="1136" spans="1:13">
      <c r="A1136" s="2">
        <v>5382</v>
      </c>
      <c r="B1136" s="2" t="s">
        <v>28487</v>
      </c>
      <c r="C1136" s="2">
        <v>64</v>
      </c>
      <c r="D1136" s="2">
        <v>568</v>
      </c>
      <c r="E1136" s="2">
        <v>1199</v>
      </c>
      <c r="F1136" s="2">
        <v>32441</v>
      </c>
      <c r="G1136" s="2">
        <v>3.0486438229999999</v>
      </c>
      <c r="H1136" s="3">
        <v>1.4599999999999999E-14</v>
      </c>
      <c r="I1136" s="3" t="s">
        <v>28488</v>
      </c>
      <c r="J1136" s="3" t="s">
        <v>28489</v>
      </c>
      <c r="K1136" s="3">
        <v>1.66E-12</v>
      </c>
      <c r="L1136" s="2" t="s">
        <v>848</v>
      </c>
      <c r="M1136" s="4" t="s">
        <v>28490</v>
      </c>
    </row>
    <row r="1137" spans="1:13">
      <c r="A1137" s="2">
        <v>5002</v>
      </c>
      <c r="B1137" s="2" t="s">
        <v>28491</v>
      </c>
      <c r="C1137" s="2">
        <v>20</v>
      </c>
      <c r="D1137" s="2">
        <v>568</v>
      </c>
      <c r="E1137" s="2">
        <v>100</v>
      </c>
      <c r="F1137" s="2">
        <v>32441</v>
      </c>
      <c r="G1137" s="2">
        <v>11.422887319999999</v>
      </c>
      <c r="H1137" s="3">
        <v>2.2199999999999999E-14</v>
      </c>
      <c r="I1137" s="2" t="s">
        <v>28492</v>
      </c>
      <c r="J1137" s="2" t="s">
        <v>28493</v>
      </c>
      <c r="K1137" s="3">
        <v>2.4799999999999999E-12</v>
      </c>
      <c r="L1137" s="2" t="s">
        <v>848</v>
      </c>
      <c r="M1137" s="4" t="s">
        <v>28494</v>
      </c>
    </row>
    <row r="1138" spans="1:13">
      <c r="A1138" s="2">
        <v>4658</v>
      </c>
      <c r="B1138" s="2" t="s">
        <v>28495</v>
      </c>
      <c r="C1138" s="2">
        <v>37</v>
      </c>
      <c r="D1138" s="2">
        <v>568</v>
      </c>
      <c r="E1138" s="2">
        <v>441</v>
      </c>
      <c r="F1138" s="2">
        <v>32441</v>
      </c>
      <c r="G1138" s="2">
        <v>4.7919141840000004</v>
      </c>
      <c r="H1138" s="3">
        <v>3.55E-14</v>
      </c>
      <c r="I1138" s="2" t="s">
        <v>28496</v>
      </c>
      <c r="J1138" s="2" t="s">
        <v>28497</v>
      </c>
      <c r="K1138" s="3">
        <v>3.8899999999999998E-12</v>
      </c>
      <c r="L1138" s="2" t="s">
        <v>848</v>
      </c>
      <c r="M1138" s="4" t="s">
        <v>28498</v>
      </c>
    </row>
    <row r="1139" spans="1:13">
      <c r="A1139" s="2">
        <v>45441</v>
      </c>
      <c r="B1139" s="2" t="s">
        <v>28499</v>
      </c>
      <c r="C1139" s="2">
        <v>31</v>
      </c>
      <c r="D1139" s="2">
        <v>568</v>
      </c>
      <c r="E1139" s="2">
        <v>330</v>
      </c>
      <c r="F1139" s="2">
        <v>32441</v>
      </c>
      <c r="G1139" s="2">
        <v>5.3652955609999999</v>
      </c>
      <c r="H1139" s="3">
        <v>2.8799999999999998E-13</v>
      </c>
      <c r="I1139" s="2" t="s">
        <v>28500</v>
      </c>
      <c r="J1139" s="2" t="s">
        <v>28501</v>
      </c>
      <c r="K1139" s="3">
        <v>3.1000000000000003E-11</v>
      </c>
      <c r="L1139" s="2" t="s">
        <v>848</v>
      </c>
      <c r="M1139" s="4" t="s">
        <v>28502</v>
      </c>
    </row>
    <row r="1140" spans="1:13">
      <c r="A1140" s="2">
        <v>1342</v>
      </c>
      <c r="B1140" s="2" t="s">
        <v>28503</v>
      </c>
      <c r="C1140" s="2">
        <v>46</v>
      </c>
      <c r="D1140" s="2">
        <v>568</v>
      </c>
      <c r="E1140" s="2">
        <v>724</v>
      </c>
      <c r="F1140" s="2">
        <v>32441</v>
      </c>
      <c r="G1140" s="2">
        <v>3.6288177959999999</v>
      </c>
      <c r="H1140" s="3">
        <v>3.44E-13</v>
      </c>
      <c r="I1140" s="2" t="s">
        <v>28504</v>
      </c>
      <c r="J1140" s="2" t="s">
        <v>28505</v>
      </c>
      <c r="K1140" s="3">
        <v>3.63E-11</v>
      </c>
      <c r="L1140" s="2" t="s">
        <v>848</v>
      </c>
      <c r="M1140" s="4" t="s">
        <v>28506</v>
      </c>
    </row>
    <row r="1141" spans="1:13">
      <c r="A1141" s="2">
        <v>3304</v>
      </c>
      <c r="B1141" s="2" t="s">
        <v>10531</v>
      </c>
      <c r="C1141" s="2">
        <v>55</v>
      </c>
      <c r="D1141" s="2">
        <v>568</v>
      </c>
      <c r="E1141" s="2">
        <v>1004</v>
      </c>
      <c r="F1141" s="2">
        <v>32441</v>
      </c>
      <c r="G1141" s="2">
        <v>3.1287788980000002</v>
      </c>
      <c r="H1141" s="3">
        <v>4.5399999999999998E-13</v>
      </c>
      <c r="I1141" s="3" t="s">
        <v>28507</v>
      </c>
      <c r="J1141" s="3" t="s">
        <v>28508</v>
      </c>
      <c r="K1141" s="3">
        <v>4.4699999999999998E-11</v>
      </c>
      <c r="L1141" s="2" t="s">
        <v>848</v>
      </c>
      <c r="M1141" s="4" t="s">
        <v>10534</v>
      </c>
    </row>
    <row r="1142" spans="1:13">
      <c r="A1142" s="2">
        <v>4683</v>
      </c>
      <c r="B1142" s="2" t="s">
        <v>28509</v>
      </c>
      <c r="C1142" s="2">
        <v>68</v>
      </c>
      <c r="D1142" s="2">
        <v>568</v>
      </c>
      <c r="E1142" s="2">
        <v>1436</v>
      </c>
      <c r="F1142" s="2">
        <v>32441</v>
      </c>
      <c r="G1142" s="2">
        <v>2.7045833500000001</v>
      </c>
      <c r="H1142" s="3">
        <v>4.5199999999999999E-13</v>
      </c>
      <c r="I1142" s="3" t="s">
        <v>28510</v>
      </c>
      <c r="J1142" s="3" t="s">
        <v>28511</v>
      </c>
      <c r="K1142" s="3">
        <v>4.4699999999999998E-11</v>
      </c>
      <c r="L1142" s="2" t="s">
        <v>848</v>
      </c>
      <c r="M1142" s="4" t="s">
        <v>28512</v>
      </c>
    </row>
    <row r="1143" spans="1:13">
      <c r="A1143" s="2">
        <v>5198</v>
      </c>
      <c r="B1143" s="2" t="s">
        <v>28513</v>
      </c>
      <c r="C1143" s="2">
        <v>49</v>
      </c>
      <c r="D1143" s="2">
        <v>568</v>
      </c>
      <c r="E1143" s="2">
        <v>818</v>
      </c>
      <c r="F1143" s="2">
        <v>32441</v>
      </c>
      <c r="G1143" s="2">
        <v>3.4212804330000002</v>
      </c>
      <c r="H1143" s="3">
        <v>4.39E-13</v>
      </c>
      <c r="I1143" s="3" t="s">
        <v>28514</v>
      </c>
      <c r="J1143" s="3" t="s">
        <v>28515</v>
      </c>
      <c r="K1143" s="3">
        <v>4.4699999999999998E-11</v>
      </c>
      <c r="L1143" s="2" t="s">
        <v>848</v>
      </c>
      <c r="M1143" s="4" t="s">
        <v>28516</v>
      </c>
    </row>
    <row r="1144" spans="1:13">
      <c r="A1144" s="2">
        <v>5620</v>
      </c>
      <c r="B1144" s="2" t="s">
        <v>28517</v>
      </c>
      <c r="C1144" s="2">
        <v>41</v>
      </c>
      <c r="D1144" s="2">
        <v>568</v>
      </c>
      <c r="E1144" s="2">
        <v>588</v>
      </c>
      <c r="F1144" s="2">
        <v>32441</v>
      </c>
      <c r="G1144" s="2">
        <v>3.98246922</v>
      </c>
      <c r="H1144" s="3">
        <v>4.3199999999999998E-13</v>
      </c>
      <c r="I1144" s="2" t="s">
        <v>28518</v>
      </c>
      <c r="J1144" s="2" t="s">
        <v>28519</v>
      </c>
      <c r="K1144" s="3">
        <v>4.4699999999999998E-11</v>
      </c>
      <c r="L1144" s="2" t="s">
        <v>848</v>
      </c>
      <c r="M1144" s="4" t="s">
        <v>28520</v>
      </c>
    </row>
    <row r="1145" spans="1:13">
      <c r="A1145" s="2">
        <v>2518</v>
      </c>
      <c r="B1145" s="2" t="s">
        <v>28521</v>
      </c>
      <c r="C1145" s="2">
        <v>31</v>
      </c>
      <c r="D1145" s="2">
        <v>568</v>
      </c>
      <c r="E1145" s="2">
        <v>340</v>
      </c>
      <c r="F1145" s="2">
        <v>32441</v>
      </c>
      <c r="G1145" s="2">
        <v>5.2074927510000002</v>
      </c>
      <c r="H1145" s="3">
        <v>5.9499999999999999E-13</v>
      </c>
      <c r="I1145" s="2" t="s">
        <v>28522</v>
      </c>
      <c r="J1145" s="2" t="s">
        <v>28523</v>
      </c>
      <c r="K1145" s="3">
        <v>5.7699999999999998E-11</v>
      </c>
      <c r="L1145" s="2" t="s">
        <v>848</v>
      </c>
      <c r="M1145" s="4" t="s">
        <v>28524</v>
      </c>
    </row>
    <row r="1146" spans="1:13">
      <c r="A1146" s="2">
        <v>3883</v>
      </c>
      <c r="B1146" s="2" t="s">
        <v>3034</v>
      </c>
      <c r="C1146" s="2">
        <v>32</v>
      </c>
      <c r="D1146" s="2">
        <v>568</v>
      </c>
      <c r="E1146" s="2">
        <v>367</v>
      </c>
      <c r="F1146" s="2">
        <v>32441</v>
      </c>
      <c r="G1146" s="2">
        <v>4.980005373</v>
      </c>
      <c r="H1146" s="3">
        <v>7.6099999999999999E-13</v>
      </c>
      <c r="I1146" s="2" t="s">
        <v>28525</v>
      </c>
      <c r="J1146" s="2" t="s">
        <v>28526</v>
      </c>
      <c r="K1146" s="3">
        <v>7.26E-11</v>
      </c>
      <c r="L1146" s="2" t="s">
        <v>848</v>
      </c>
      <c r="M1146" s="4" t="s">
        <v>3037</v>
      </c>
    </row>
    <row r="1147" spans="1:13">
      <c r="A1147" s="2">
        <v>5640</v>
      </c>
      <c r="B1147" s="2" t="s">
        <v>28527</v>
      </c>
      <c r="C1147" s="2">
        <v>38</v>
      </c>
      <c r="D1147" s="2">
        <v>568</v>
      </c>
      <c r="E1147" s="2">
        <v>524</v>
      </c>
      <c r="F1147" s="2">
        <v>32441</v>
      </c>
      <c r="G1147" s="2">
        <v>4.1418866249999997</v>
      </c>
      <c r="H1147" s="3">
        <v>1.0599999999999999E-12</v>
      </c>
      <c r="I1147" s="2" t="s">
        <v>28528</v>
      </c>
      <c r="J1147" s="2" t="s">
        <v>28529</v>
      </c>
      <c r="K1147" s="3">
        <v>9.9099999999999999E-11</v>
      </c>
      <c r="L1147" s="2" t="s">
        <v>848</v>
      </c>
      <c r="M1147" s="4" t="s">
        <v>28530</v>
      </c>
    </row>
    <row r="1148" spans="1:13">
      <c r="A1148" s="2">
        <v>7971</v>
      </c>
      <c r="B1148" s="2" t="s">
        <v>28531</v>
      </c>
      <c r="C1148" s="2">
        <v>40</v>
      </c>
      <c r="D1148" s="2">
        <v>568</v>
      </c>
      <c r="E1148" s="2">
        <v>579</v>
      </c>
      <c r="F1148" s="2">
        <v>32441</v>
      </c>
      <c r="G1148" s="2">
        <v>3.9457296460000002</v>
      </c>
      <c r="H1148" s="3">
        <v>1.1099999999999999E-12</v>
      </c>
      <c r="I1148" s="2" t="s">
        <v>28532</v>
      </c>
      <c r="J1148" s="2" t="s">
        <v>28533</v>
      </c>
      <c r="K1148" s="3">
        <v>1.02E-10</v>
      </c>
      <c r="L1148" s="2" t="s">
        <v>848</v>
      </c>
      <c r="M1148" s="4" t="s">
        <v>28534</v>
      </c>
    </row>
    <row r="1149" spans="1:13">
      <c r="A1149" s="2">
        <v>5591</v>
      </c>
      <c r="B1149" s="2" t="s">
        <v>28535</v>
      </c>
      <c r="C1149" s="2">
        <v>17</v>
      </c>
      <c r="D1149" s="2">
        <v>568</v>
      </c>
      <c r="E1149" s="2">
        <v>84</v>
      </c>
      <c r="F1149" s="2">
        <v>32441</v>
      </c>
      <c r="G1149" s="2">
        <v>11.558874080000001</v>
      </c>
      <c r="H1149" s="3">
        <v>1.6900000000000001E-12</v>
      </c>
      <c r="I1149" s="2" t="s">
        <v>28536</v>
      </c>
      <c r="J1149" s="2" t="s">
        <v>28537</v>
      </c>
      <c r="K1149" s="3">
        <v>1.51E-10</v>
      </c>
      <c r="L1149" s="2" t="s">
        <v>848</v>
      </c>
      <c r="M1149" s="4" t="s">
        <v>28538</v>
      </c>
    </row>
    <row r="1150" spans="1:13">
      <c r="A1150" s="2">
        <v>2170</v>
      </c>
      <c r="B1150" s="2" t="s">
        <v>8568</v>
      </c>
      <c r="C1150" s="2">
        <v>52</v>
      </c>
      <c r="D1150" s="2">
        <v>568</v>
      </c>
      <c r="E1150" s="2">
        <v>944</v>
      </c>
      <c r="F1150" s="2">
        <v>32441</v>
      </c>
      <c r="G1150" s="2">
        <v>3.1461342210000001</v>
      </c>
      <c r="H1150" s="3">
        <v>1.6900000000000001E-12</v>
      </c>
      <c r="I1150" s="3" t="s">
        <v>28539</v>
      </c>
      <c r="J1150" s="3" t="s">
        <v>28540</v>
      </c>
      <c r="K1150" s="3">
        <v>1.51E-10</v>
      </c>
      <c r="L1150" s="2" t="s">
        <v>848</v>
      </c>
      <c r="M1150" s="4" t="s">
        <v>8571</v>
      </c>
    </row>
    <row r="1151" spans="1:13">
      <c r="A1151" s="2">
        <v>4672</v>
      </c>
      <c r="B1151" s="2" t="s">
        <v>1122</v>
      </c>
      <c r="C1151" s="2">
        <v>21</v>
      </c>
      <c r="D1151" s="2">
        <v>568</v>
      </c>
      <c r="E1151" s="2">
        <v>148</v>
      </c>
      <c r="F1151" s="2">
        <v>32441</v>
      </c>
      <c r="G1151" s="2">
        <v>8.1040754659999994</v>
      </c>
      <c r="H1151" s="3">
        <v>1.9E-12</v>
      </c>
      <c r="I1151" s="2" t="s">
        <v>28541</v>
      </c>
      <c r="J1151" s="2" t="s">
        <v>28542</v>
      </c>
      <c r="K1151" s="3">
        <v>1.6799999999999999E-10</v>
      </c>
      <c r="L1151" s="2" t="s">
        <v>848</v>
      </c>
      <c r="M1151" s="4" t="s">
        <v>28543</v>
      </c>
    </row>
    <row r="1152" spans="1:13">
      <c r="A1152" s="2">
        <v>6121</v>
      </c>
      <c r="B1152" s="2" t="s">
        <v>3030</v>
      </c>
      <c r="C1152" s="2">
        <v>34</v>
      </c>
      <c r="D1152" s="2">
        <v>568</v>
      </c>
      <c r="E1152" s="2">
        <v>432</v>
      </c>
      <c r="F1152" s="2">
        <v>32441</v>
      </c>
      <c r="G1152" s="2">
        <v>4.4951176970000004</v>
      </c>
      <c r="H1152" s="3">
        <v>2.08E-12</v>
      </c>
      <c r="I1152" s="2" t="s">
        <v>28544</v>
      </c>
      <c r="J1152" s="2" t="s">
        <v>28545</v>
      </c>
      <c r="K1152" s="3">
        <v>1.81E-10</v>
      </c>
      <c r="L1152" s="2" t="s">
        <v>848</v>
      </c>
      <c r="M1152" s="4" t="s">
        <v>3033</v>
      </c>
    </row>
    <row r="1153" spans="1:13">
      <c r="A1153" s="2">
        <v>3098</v>
      </c>
      <c r="B1153" s="2" t="s">
        <v>28546</v>
      </c>
      <c r="C1153" s="2">
        <v>43</v>
      </c>
      <c r="D1153" s="2">
        <v>568</v>
      </c>
      <c r="E1153" s="2">
        <v>691</v>
      </c>
      <c r="F1153" s="2">
        <v>32441</v>
      </c>
      <c r="G1153" s="2">
        <v>3.5541545220000001</v>
      </c>
      <c r="H1153" s="3">
        <v>3.9700000000000002E-12</v>
      </c>
      <c r="I1153" s="2" t="s">
        <v>28547</v>
      </c>
      <c r="J1153" s="2" t="s">
        <v>28548</v>
      </c>
      <c r="K1153" s="3">
        <v>3.4000000000000001E-10</v>
      </c>
      <c r="L1153" s="2" t="s">
        <v>848</v>
      </c>
      <c r="M1153" s="4" t="s">
        <v>28549</v>
      </c>
    </row>
    <row r="1154" spans="1:13">
      <c r="A1154" s="2">
        <v>13971</v>
      </c>
      <c r="B1154" s="2" t="s">
        <v>28550</v>
      </c>
      <c r="C1154" s="2">
        <v>26</v>
      </c>
      <c r="D1154" s="2">
        <v>568</v>
      </c>
      <c r="E1154" s="2">
        <v>254</v>
      </c>
      <c r="F1154" s="2">
        <v>32441</v>
      </c>
      <c r="G1154" s="2">
        <v>5.8463596539999996</v>
      </c>
      <c r="H1154" s="3">
        <v>4.1700000000000002E-12</v>
      </c>
      <c r="I1154" s="2" t="s">
        <v>28551</v>
      </c>
      <c r="J1154" s="2" t="s">
        <v>28552</v>
      </c>
      <c r="K1154" s="3">
        <v>3.5300000000000002E-10</v>
      </c>
      <c r="L1154" s="2" t="s">
        <v>848</v>
      </c>
      <c r="M1154" s="4" t="s">
        <v>28553</v>
      </c>
    </row>
    <row r="1155" spans="1:13">
      <c r="A1155" s="2">
        <v>32031</v>
      </c>
      <c r="B1155" s="2" t="s">
        <v>962</v>
      </c>
      <c r="C1155" s="2">
        <v>76</v>
      </c>
      <c r="D1155" s="2">
        <v>568</v>
      </c>
      <c r="E1155" s="2">
        <v>1805</v>
      </c>
      <c r="F1155" s="2">
        <v>32441</v>
      </c>
      <c r="G1155" s="2">
        <v>2.4048183839999999</v>
      </c>
      <c r="H1155" s="3">
        <v>4.4200000000000001E-12</v>
      </c>
      <c r="I1155" s="3" t="s">
        <v>28554</v>
      </c>
      <c r="J1155" s="3" t="s">
        <v>28555</v>
      </c>
      <c r="K1155" s="3">
        <v>3.6900000000000002E-10</v>
      </c>
      <c r="L1155" s="2" t="s">
        <v>848</v>
      </c>
      <c r="M1155" s="4" t="s">
        <v>10153</v>
      </c>
    </row>
    <row r="1156" spans="1:13">
      <c r="A1156" s="2">
        <v>5787</v>
      </c>
      <c r="B1156" s="2" t="s">
        <v>28556</v>
      </c>
      <c r="C1156" s="2">
        <v>54</v>
      </c>
      <c r="D1156" s="2">
        <v>568</v>
      </c>
      <c r="E1156" s="2">
        <v>1037</v>
      </c>
      <c r="F1156" s="2">
        <v>32441</v>
      </c>
      <c r="G1156" s="2">
        <v>2.9741365260000001</v>
      </c>
      <c r="H1156" s="3">
        <v>4.7999999999999997E-12</v>
      </c>
      <c r="I1156" s="3" t="s">
        <v>28557</v>
      </c>
      <c r="J1156" s="3" t="s">
        <v>28558</v>
      </c>
      <c r="K1156" s="3">
        <v>3.9499999999999998E-10</v>
      </c>
      <c r="L1156" s="2" t="s">
        <v>848</v>
      </c>
      <c r="M1156" s="4" t="s">
        <v>28559</v>
      </c>
    </row>
    <row r="1157" spans="1:13">
      <c r="A1157" s="2">
        <v>3292</v>
      </c>
      <c r="B1157" s="2" t="s">
        <v>28560</v>
      </c>
      <c r="C1157" s="2">
        <v>27</v>
      </c>
      <c r="D1157" s="2">
        <v>568</v>
      </c>
      <c r="E1157" s="2">
        <v>278</v>
      </c>
      <c r="F1157" s="2">
        <v>32441</v>
      </c>
      <c r="G1157" s="2">
        <v>5.5470855710000002</v>
      </c>
      <c r="H1157" s="3">
        <v>4.9400000000000004E-12</v>
      </c>
      <c r="I1157" s="2" t="s">
        <v>28561</v>
      </c>
      <c r="J1157" s="2" t="s">
        <v>28562</v>
      </c>
      <c r="K1157" s="3">
        <v>4.0100000000000001E-10</v>
      </c>
      <c r="L1157" s="2" t="s">
        <v>848</v>
      </c>
      <c r="M1157" s="4" t="s">
        <v>28563</v>
      </c>
    </row>
    <row r="1158" spans="1:13">
      <c r="A1158" s="2">
        <v>5306</v>
      </c>
      <c r="B1158" s="2" t="s">
        <v>28564</v>
      </c>
      <c r="C1158" s="2">
        <v>47</v>
      </c>
      <c r="D1158" s="2">
        <v>568</v>
      </c>
      <c r="E1158" s="2">
        <v>820</v>
      </c>
      <c r="F1158" s="2">
        <v>32441</v>
      </c>
      <c r="G1158" s="2">
        <v>3.2736323430000001</v>
      </c>
      <c r="H1158" s="3">
        <v>5.7699999999999998E-12</v>
      </c>
      <c r="I1158" s="3" t="s">
        <v>28565</v>
      </c>
      <c r="J1158" s="3" t="s">
        <v>28566</v>
      </c>
      <c r="K1158" s="3">
        <v>4.6200000000000001E-10</v>
      </c>
      <c r="L1158" s="2" t="s">
        <v>848</v>
      </c>
      <c r="M1158" s="4" t="s">
        <v>28567</v>
      </c>
    </row>
    <row r="1159" spans="1:13">
      <c r="A1159" s="2">
        <v>3567</v>
      </c>
      <c r="B1159" s="2" t="s">
        <v>28568</v>
      </c>
      <c r="C1159" s="2">
        <v>21</v>
      </c>
      <c r="D1159" s="2">
        <v>568</v>
      </c>
      <c r="E1159" s="2">
        <v>159</v>
      </c>
      <c r="F1159" s="2">
        <v>32441</v>
      </c>
      <c r="G1159" s="2">
        <v>7.5434161570000002</v>
      </c>
      <c r="H1159" s="3">
        <v>6.5199999999999997E-12</v>
      </c>
      <c r="I1159" s="2" t="s">
        <v>28569</v>
      </c>
      <c r="J1159" s="2" t="s">
        <v>28570</v>
      </c>
      <c r="K1159" s="3">
        <v>5.1499999999999998E-10</v>
      </c>
      <c r="L1159" s="2" t="s">
        <v>848</v>
      </c>
      <c r="M1159" s="4" t="s">
        <v>28571</v>
      </c>
    </row>
    <row r="1160" spans="1:13">
      <c r="A1160" s="2">
        <v>1992</v>
      </c>
      <c r="B1160" s="2" t="s">
        <v>28572</v>
      </c>
      <c r="C1160" s="2">
        <v>18</v>
      </c>
      <c r="D1160" s="2">
        <v>568</v>
      </c>
      <c r="E1160" s="2">
        <v>111</v>
      </c>
      <c r="F1160" s="2">
        <v>32441</v>
      </c>
      <c r="G1160" s="2">
        <v>9.2618005330000006</v>
      </c>
      <c r="H1160" s="3">
        <v>1.0099999999999999E-11</v>
      </c>
      <c r="I1160" s="2" t="s">
        <v>28573</v>
      </c>
      <c r="J1160" s="2" t="s">
        <v>28574</v>
      </c>
      <c r="K1160" s="3">
        <v>7.8599999999999997E-10</v>
      </c>
      <c r="L1160" s="2" t="s">
        <v>848</v>
      </c>
      <c r="M1160" s="4" t="s">
        <v>28575</v>
      </c>
    </row>
    <row r="1161" spans="1:13">
      <c r="A1161" s="2">
        <v>3848</v>
      </c>
      <c r="B1161" s="2" t="s">
        <v>1130</v>
      </c>
      <c r="C1161" s="2">
        <v>59</v>
      </c>
      <c r="D1161" s="2">
        <v>568</v>
      </c>
      <c r="E1161" s="2">
        <v>1228</v>
      </c>
      <c r="F1161" s="2">
        <v>32441</v>
      </c>
      <c r="G1161" s="2">
        <v>2.7440975249999999</v>
      </c>
      <c r="H1161" s="3">
        <v>1.0499999999999999E-11</v>
      </c>
      <c r="I1161" s="3" t="s">
        <v>28576</v>
      </c>
      <c r="J1161" s="3" t="s">
        <v>28577</v>
      </c>
      <c r="K1161" s="3">
        <v>8.0999999999999999E-10</v>
      </c>
      <c r="L1161" s="2" t="s">
        <v>848</v>
      </c>
      <c r="M1161" s="4" t="s">
        <v>8578</v>
      </c>
    </row>
    <row r="1162" spans="1:13">
      <c r="A1162" s="2">
        <v>1694</v>
      </c>
      <c r="B1162" s="2" t="s">
        <v>28578</v>
      </c>
      <c r="C1162" s="2">
        <v>19</v>
      </c>
      <c r="D1162" s="2">
        <v>568</v>
      </c>
      <c r="E1162" s="2">
        <v>129</v>
      </c>
      <c r="F1162" s="2">
        <v>32441</v>
      </c>
      <c r="G1162" s="2">
        <v>8.4122038430000003</v>
      </c>
      <c r="H1162" s="3">
        <v>1.2100000000000001E-11</v>
      </c>
      <c r="I1162" s="2" t="s">
        <v>28579</v>
      </c>
      <c r="J1162" s="2" t="s">
        <v>28580</v>
      </c>
      <c r="K1162" s="3">
        <v>9.1700000000000004E-10</v>
      </c>
      <c r="L1162" s="2" t="s">
        <v>848</v>
      </c>
      <c r="M1162" s="4" t="s">
        <v>28581</v>
      </c>
    </row>
    <row r="1163" spans="1:13">
      <c r="A1163" s="2">
        <v>3803</v>
      </c>
      <c r="B1163" s="2" t="s">
        <v>28582</v>
      </c>
      <c r="C1163" s="2">
        <v>23</v>
      </c>
      <c r="D1163" s="2">
        <v>568</v>
      </c>
      <c r="E1163" s="2">
        <v>205</v>
      </c>
      <c r="F1163" s="2">
        <v>32441</v>
      </c>
      <c r="G1163" s="2">
        <v>6.4079611820000002</v>
      </c>
      <c r="H1163" s="3">
        <v>1.35E-11</v>
      </c>
      <c r="I1163" s="2" t="s">
        <v>28583</v>
      </c>
      <c r="J1163" s="2" t="s">
        <v>28584</v>
      </c>
      <c r="K1163" s="3">
        <v>1.01E-9</v>
      </c>
      <c r="L1163" s="2" t="s">
        <v>848</v>
      </c>
      <c r="M1163" s="4" t="s">
        <v>28585</v>
      </c>
    </row>
    <row r="1164" spans="1:13">
      <c r="A1164" s="2">
        <v>2812</v>
      </c>
      <c r="B1164" s="2" t="s">
        <v>889</v>
      </c>
      <c r="C1164" s="2">
        <v>33</v>
      </c>
      <c r="D1164" s="2">
        <v>568</v>
      </c>
      <c r="E1164" s="2">
        <v>440</v>
      </c>
      <c r="F1164" s="2">
        <v>32441</v>
      </c>
      <c r="G1164" s="2">
        <v>4.2835827460000004</v>
      </c>
      <c r="H1164" s="3">
        <v>1.4700000000000002E-11</v>
      </c>
      <c r="I1164" s="2" t="s">
        <v>28586</v>
      </c>
      <c r="J1164" s="2" t="s">
        <v>28587</v>
      </c>
      <c r="K1164" s="3">
        <v>1.08E-9</v>
      </c>
      <c r="L1164" s="2" t="s">
        <v>848</v>
      </c>
      <c r="M1164" s="4" t="s">
        <v>28588</v>
      </c>
    </row>
    <row r="1165" spans="1:13">
      <c r="A1165" s="2">
        <v>4685</v>
      </c>
      <c r="B1165" s="2" t="s">
        <v>28589</v>
      </c>
      <c r="C1165" s="2">
        <v>79</v>
      </c>
      <c r="D1165" s="2">
        <v>568</v>
      </c>
      <c r="E1165" s="2">
        <v>1967</v>
      </c>
      <c r="F1165" s="2">
        <v>32441</v>
      </c>
      <c r="G1165" s="2">
        <v>2.2938690859999999</v>
      </c>
      <c r="H1165" s="3">
        <v>1.48E-11</v>
      </c>
      <c r="I1165" s="3" t="s">
        <v>28590</v>
      </c>
      <c r="J1165" s="3" t="s">
        <v>28591</v>
      </c>
      <c r="K1165" s="3">
        <v>1.08E-9</v>
      </c>
      <c r="L1165" s="2" t="s">
        <v>848</v>
      </c>
      <c r="M1165" s="4" t="s">
        <v>28592</v>
      </c>
    </row>
    <row r="1166" spans="1:13">
      <c r="A1166" s="2">
        <v>44521</v>
      </c>
      <c r="B1166" s="2" t="s">
        <v>28593</v>
      </c>
      <c r="C1166" s="2">
        <v>32</v>
      </c>
      <c r="D1166" s="2">
        <v>568</v>
      </c>
      <c r="E1166" s="2">
        <v>416</v>
      </c>
      <c r="F1166" s="2">
        <v>32441</v>
      </c>
      <c r="G1166" s="2">
        <v>4.3934182020000003</v>
      </c>
      <c r="H1166" s="3">
        <v>1.64E-11</v>
      </c>
      <c r="I1166" s="2" t="s">
        <v>28594</v>
      </c>
      <c r="J1166" s="2" t="s">
        <v>28595</v>
      </c>
      <c r="K1166" s="3">
        <v>1.1800000000000001E-9</v>
      </c>
      <c r="L1166" s="2" t="s">
        <v>848</v>
      </c>
      <c r="M1166" s="4" t="s">
        <v>28596</v>
      </c>
    </row>
    <row r="1167" spans="1:13">
      <c r="A1167" s="2">
        <v>5818</v>
      </c>
      <c r="B1167" s="2" t="s">
        <v>28597</v>
      </c>
      <c r="C1167" s="2">
        <v>27</v>
      </c>
      <c r="D1167" s="2">
        <v>568</v>
      </c>
      <c r="E1167" s="2">
        <v>296</v>
      </c>
      <c r="F1167" s="2">
        <v>32441</v>
      </c>
      <c r="G1167" s="2">
        <v>5.2097628</v>
      </c>
      <c r="H1167" s="3">
        <v>1.8700000000000001E-11</v>
      </c>
      <c r="I1167" s="2" t="s">
        <v>28598</v>
      </c>
      <c r="J1167" s="2" t="s">
        <v>28599</v>
      </c>
      <c r="K1167" s="3">
        <v>1.33E-9</v>
      </c>
      <c r="L1167" s="2" t="s">
        <v>848</v>
      </c>
      <c r="M1167" s="4" t="s">
        <v>28600</v>
      </c>
    </row>
    <row r="1168" spans="1:13">
      <c r="A1168" s="2">
        <v>5735</v>
      </c>
      <c r="B1168" s="2" t="s">
        <v>28601</v>
      </c>
      <c r="C1168" s="2">
        <v>33</v>
      </c>
      <c r="D1168" s="2">
        <v>568</v>
      </c>
      <c r="E1168" s="2">
        <v>445</v>
      </c>
      <c r="F1168" s="2">
        <v>32441</v>
      </c>
      <c r="G1168" s="2">
        <v>4.2354526029999997</v>
      </c>
      <c r="H1168" s="3">
        <v>1.9399999999999999E-11</v>
      </c>
      <c r="I1168" s="2" t="s">
        <v>28602</v>
      </c>
      <c r="J1168" s="2" t="s">
        <v>28603</v>
      </c>
      <c r="K1168" s="3">
        <v>1.37E-9</v>
      </c>
      <c r="L1168" s="2" t="s">
        <v>848</v>
      </c>
      <c r="M1168" s="4" t="s">
        <v>28604</v>
      </c>
    </row>
    <row r="1169" spans="1:13">
      <c r="A1169" s="2">
        <v>4709</v>
      </c>
      <c r="B1169" s="2" t="s">
        <v>28605</v>
      </c>
      <c r="C1169" s="2">
        <v>15</v>
      </c>
      <c r="D1169" s="2">
        <v>568</v>
      </c>
      <c r="E1169" s="2">
        <v>71</v>
      </c>
      <c r="F1169" s="2">
        <v>32441</v>
      </c>
      <c r="G1169" s="2">
        <v>12.06643027</v>
      </c>
      <c r="H1169" s="3">
        <v>2.03E-11</v>
      </c>
      <c r="I1169" s="2" t="s">
        <v>28606</v>
      </c>
      <c r="J1169" s="2" t="s">
        <v>28607</v>
      </c>
      <c r="K1169" s="3">
        <v>1.4100000000000001E-9</v>
      </c>
      <c r="L1169" s="2" t="s">
        <v>848</v>
      </c>
      <c r="M1169" s="4" t="s">
        <v>28608</v>
      </c>
    </row>
    <row r="1170" spans="1:13">
      <c r="A1170" s="2">
        <v>39121</v>
      </c>
      <c r="B1170" s="2" t="s">
        <v>28609</v>
      </c>
      <c r="C1170" s="2">
        <v>18</v>
      </c>
      <c r="D1170" s="2">
        <v>568</v>
      </c>
      <c r="E1170" s="2">
        <v>117</v>
      </c>
      <c r="F1170" s="2">
        <v>32441</v>
      </c>
      <c r="G1170" s="2">
        <v>8.7868364030000006</v>
      </c>
      <c r="H1170" s="3">
        <v>2.2000000000000002E-11</v>
      </c>
      <c r="I1170" s="2" t="s">
        <v>28610</v>
      </c>
      <c r="J1170" s="2" t="s">
        <v>28611</v>
      </c>
      <c r="K1170" s="3">
        <v>1.5199999999999999E-9</v>
      </c>
      <c r="L1170" s="2" t="s">
        <v>848</v>
      </c>
      <c r="M1170" s="4" t="s">
        <v>28612</v>
      </c>
    </row>
    <row r="1171" spans="1:13">
      <c r="A1171" s="2">
        <v>3940</v>
      </c>
      <c r="B1171" s="2" t="s">
        <v>28613</v>
      </c>
      <c r="C1171" s="2">
        <v>15</v>
      </c>
      <c r="D1171" s="2">
        <v>568</v>
      </c>
      <c r="E1171" s="2">
        <v>74</v>
      </c>
      <c r="F1171" s="2">
        <v>32441</v>
      </c>
      <c r="G1171" s="2">
        <v>11.57725067</v>
      </c>
      <c r="H1171" s="3">
        <v>3.3800000000000002E-11</v>
      </c>
      <c r="I1171" s="2" t="s">
        <v>28614</v>
      </c>
      <c r="J1171" s="2" t="s">
        <v>28615</v>
      </c>
      <c r="K1171" s="3">
        <v>2.2999999999999999E-9</v>
      </c>
      <c r="L1171" s="2" t="s">
        <v>848</v>
      </c>
      <c r="M1171" s="4" t="s">
        <v>28616</v>
      </c>
    </row>
    <row r="1172" spans="1:13">
      <c r="A1172" s="2">
        <v>5903</v>
      </c>
      <c r="B1172" s="2" t="s">
        <v>28617</v>
      </c>
      <c r="C1172" s="2">
        <v>31</v>
      </c>
      <c r="D1172" s="2">
        <v>568</v>
      </c>
      <c r="E1172" s="2">
        <v>406</v>
      </c>
      <c r="F1172" s="2">
        <v>32441</v>
      </c>
      <c r="G1172" s="2">
        <v>4.3609545199999999</v>
      </c>
      <c r="H1172" s="3">
        <v>4.0500000000000002E-11</v>
      </c>
      <c r="I1172" s="2" t="s">
        <v>28618</v>
      </c>
      <c r="J1172" s="2" t="s">
        <v>28619</v>
      </c>
      <c r="K1172" s="3">
        <v>2.7299999999999999E-9</v>
      </c>
      <c r="L1172" s="2" t="s">
        <v>848</v>
      </c>
      <c r="M1172" s="4" t="s">
        <v>28620</v>
      </c>
    </row>
    <row r="1173" spans="1:13">
      <c r="A1173" s="2">
        <v>4730</v>
      </c>
      <c r="B1173" s="2" t="s">
        <v>28621</v>
      </c>
      <c r="C1173" s="2">
        <v>16</v>
      </c>
      <c r="D1173" s="2">
        <v>568</v>
      </c>
      <c r="E1173" s="2">
        <v>90</v>
      </c>
      <c r="F1173" s="2">
        <v>32441</v>
      </c>
      <c r="G1173" s="2">
        <v>10.15367762</v>
      </c>
      <c r="H1173" s="3">
        <v>4.2399999999999997E-11</v>
      </c>
      <c r="I1173" s="2" t="s">
        <v>28622</v>
      </c>
      <c r="J1173" s="2" t="s">
        <v>28623</v>
      </c>
      <c r="K1173" s="3">
        <v>2.8200000000000002E-9</v>
      </c>
      <c r="L1173" s="2" t="s">
        <v>848</v>
      </c>
      <c r="M1173" s="4" t="s">
        <v>28624</v>
      </c>
    </row>
    <row r="1174" spans="1:13">
      <c r="A1174" s="2">
        <v>2481</v>
      </c>
      <c r="B1174" s="2" t="s">
        <v>956</v>
      </c>
      <c r="C1174" s="2">
        <v>60</v>
      </c>
      <c r="D1174" s="2">
        <v>568</v>
      </c>
      <c r="E1174" s="2">
        <v>1322</v>
      </c>
      <c r="F1174" s="2">
        <v>32441</v>
      </c>
      <c r="G1174" s="2">
        <v>2.592183205</v>
      </c>
      <c r="H1174" s="3">
        <v>6.1700000000000004E-11</v>
      </c>
      <c r="I1174" s="3" t="s">
        <v>28625</v>
      </c>
      <c r="J1174" s="3" t="s">
        <v>28626</v>
      </c>
      <c r="K1174" s="3">
        <v>4.0499999999999999E-9</v>
      </c>
      <c r="L1174" s="2" t="s">
        <v>848</v>
      </c>
      <c r="M1174" s="4" t="s">
        <v>28627</v>
      </c>
    </row>
    <row r="1175" spans="1:13">
      <c r="A1175" s="2">
        <v>4201</v>
      </c>
      <c r="B1175" s="2" t="s">
        <v>992</v>
      </c>
      <c r="C1175" s="2">
        <v>42</v>
      </c>
      <c r="D1175" s="2">
        <v>568</v>
      </c>
      <c r="E1175" s="2">
        <v>727</v>
      </c>
      <c r="F1175" s="2">
        <v>32441</v>
      </c>
      <c r="G1175" s="2">
        <v>3.2995960630000001</v>
      </c>
      <c r="H1175" s="3">
        <v>6.43E-11</v>
      </c>
      <c r="I1175" s="2" t="s">
        <v>28628</v>
      </c>
      <c r="J1175" s="2" t="s">
        <v>28629</v>
      </c>
      <c r="K1175" s="3">
        <v>4.18E-9</v>
      </c>
      <c r="L1175" s="2" t="s">
        <v>848</v>
      </c>
      <c r="M1175" s="4" t="s">
        <v>28630</v>
      </c>
    </row>
    <row r="1176" spans="1:13">
      <c r="A1176" s="2">
        <v>1960</v>
      </c>
      <c r="B1176" s="2" t="s">
        <v>1027</v>
      </c>
      <c r="C1176" s="2">
        <v>62</v>
      </c>
      <c r="D1176" s="2">
        <v>568</v>
      </c>
      <c r="E1176" s="2">
        <v>1398</v>
      </c>
      <c r="F1176" s="2">
        <v>32441</v>
      </c>
      <c r="G1176" s="2">
        <v>2.5329721529999998</v>
      </c>
      <c r="H1176" s="3">
        <v>7.0599999999999994E-11</v>
      </c>
      <c r="I1176" s="3" t="s">
        <v>28631</v>
      </c>
      <c r="J1176" s="3" t="s">
        <v>28632</v>
      </c>
      <c r="K1176" s="3">
        <v>4.5399999999999996E-9</v>
      </c>
      <c r="L1176" s="2" t="s">
        <v>848</v>
      </c>
      <c r="M1176" s="4" t="s">
        <v>11004</v>
      </c>
    </row>
    <row r="1177" spans="1:13">
      <c r="A1177" s="2">
        <v>5436</v>
      </c>
      <c r="B1177" s="2" t="s">
        <v>28633</v>
      </c>
      <c r="C1177" s="2">
        <v>43</v>
      </c>
      <c r="D1177" s="2">
        <v>568</v>
      </c>
      <c r="E1177" s="2">
        <v>764</v>
      </c>
      <c r="F1177" s="2">
        <v>32441</v>
      </c>
      <c r="G1177" s="2">
        <v>3.2145559879999999</v>
      </c>
      <c r="H1177" s="3">
        <v>8.2199999999999998E-11</v>
      </c>
      <c r="I1177" s="2" t="s">
        <v>28634</v>
      </c>
      <c r="J1177" s="2" t="s">
        <v>28635</v>
      </c>
      <c r="K1177" s="3">
        <v>5.2300000000000003E-9</v>
      </c>
      <c r="L1177" s="2" t="s">
        <v>848</v>
      </c>
      <c r="M1177" s="4" t="s">
        <v>28636</v>
      </c>
    </row>
    <row r="1178" spans="1:13">
      <c r="A1178" s="2">
        <v>3832</v>
      </c>
      <c r="B1178" s="2" t="s">
        <v>28637</v>
      </c>
      <c r="C1178" s="2">
        <v>21</v>
      </c>
      <c r="D1178" s="2">
        <v>568</v>
      </c>
      <c r="E1178" s="2">
        <v>185</v>
      </c>
      <c r="F1178" s="2">
        <v>32441</v>
      </c>
      <c r="G1178" s="2">
        <v>6.4832603730000002</v>
      </c>
      <c r="H1178" s="3">
        <v>8.5899999999999995E-11</v>
      </c>
      <c r="I1178" s="2" t="s">
        <v>28638</v>
      </c>
      <c r="J1178" s="2" t="s">
        <v>28639</v>
      </c>
      <c r="K1178" s="3">
        <v>5.4100000000000001E-9</v>
      </c>
      <c r="L1178" s="2" t="s">
        <v>848</v>
      </c>
      <c r="M1178" s="4" t="s">
        <v>28640</v>
      </c>
    </row>
    <row r="1179" spans="1:13">
      <c r="A1179" s="2">
        <v>5900</v>
      </c>
      <c r="B1179" s="2" t="s">
        <v>10699</v>
      </c>
      <c r="C1179" s="2">
        <v>50</v>
      </c>
      <c r="D1179" s="2">
        <v>568</v>
      </c>
      <c r="E1179" s="2">
        <v>992</v>
      </c>
      <c r="F1179" s="2">
        <v>32441</v>
      </c>
      <c r="G1179" s="2">
        <v>2.8787518460000001</v>
      </c>
      <c r="H1179" s="3">
        <v>9.2000000000000005E-11</v>
      </c>
      <c r="I1179" s="3" t="s">
        <v>28641</v>
      </c>
      <c r="J1179" s="3" t="s">
        <v>28642</v>
      </c>
      <c r="K1179" s="3">
        <v>5.7299999999999999E-9</v>
      </c>
      <c r="L1179" s="2" t="s">
        <v>848</v>
      </c>
      <c r="M1179" s="4" t="s">
        <v>10700</v>
      </c>
    </row>
    <row r="1180" spans="1:13">
      <c r="A1180" s="2">
        <v>5467</v>
      </c>
      <c r="B1180" s="2" t="s">
        <v>28643</v>
      </c>
      <c r="C1180" s="2">
        <v>14</v>
      </c>
      <c r="D1180" s="2">
        <v>568</v>
      </c>
      <c r="E1180" s="2">
        <v>67</v>
      </c>
      <c r="F1180" s="2">
        <v>32441</v>
      </c>
      <c r="G1180" s="2">
        <v>11.93435989</v>
      </c>
      <c r="H1180" s="3">
        <v>1.08E-10</v>
      </c>
      <c r="I1180" s="2" t="s">
        <v>28644</v>
      </c>
      <c r="J1180" s="2" t="s">
        <v>28645</v>
      </c>
      <c r="K1180" s="3">
        <v>6.65E-9</v>
      </c>
      <c r="L1180" s="2" t="s">
        <v>848</v>
      </c>
      <c r="M1180" s="4" t="s">
        <v>28646</v>
      </c>
    </row>
    <row r="1181" spans="1:13">
      <c r="A1181" s="2">
        <v>1009</v>
      </c>
      <c r="B1181" s="2" t="s">
        <v>1151</v>
      </c>
      <c r="C1181" s="2">
        <v>18</v>
      </c>
      <c r="D1181" s="2">
        <v>568</v>
      </c>
      <c r="E1181" s="2">
        <v>131</v>
      </c>
      <c r="F1181" s="2">
        <v>32441</v>
      </c>
      <c r="G1181" s="2">
        <v>7.8477851840000001</v>
      </c>
      <c r="H1181" s="3">
        <v>1.1700000000000001E-10</v>
      </c>
      <c r="I1181" s="2" t="s">
        <v>28647</v>
      </c>
      <c r="J1181" s="2" t="s">
        <v>28648</v>
      </c>
      <c r="K1181" s="3">
        <v>7.1399999999999997E-9</v>
      </c>
      <c r="L1181" s="2" t="s">
        <v>848</v>
      </c>
      <c r="M1181" s="4" t="s">
        <v>28649</v>
      </c>
    </row>
    <row r="1182" spans="1:13">
      <c r="A1182" s="2">
        <v>5827</v>
      </c>
      <c r="B1182" s="2" t="s">
        <v>28650</v>
      </c>
      <c r="C1182" s="2">
        <v>31</v>
      </c>
      <c r="D1182" s="2">
        <v>568</v>
      </c>
      <c r="E1182" s="2">
        <v>427</v>
      </c>
      <c r="F1182" s="2">
        <v>32441</v>
      </c>
      <c r="G1182" s="2">
        <v>4.1464813469999999</v>
      </c>
      <c r="H1182" s="3">
        <v>1.3100000000000001E-10</v>
      </c>
      <c r="I1182" s="2" t="s">
        <v>28651</v>
      </c>
      <c r="J1182" s="2" t="s">
        <v>28652</v>
      </c>
      <c r="K1182" s="3">
        <v>7.8899999999999998E-9</v>
      </c>
      <c r="L1182" s="2" t="s">
        <v>848</v>
      </c>
      <c r="M1182" s="4" t="s">
        <v>28653</v>
      </c>
    </row>
    <row r="1183" spans="1:13">
      <c r="A1183" s="2">
        <v>5118</v>
      </c>
      <c r="B1183" s="2" t="s">
        <v>28654</v>
      </c>
      <c r="C1183" s="2">
        <v>19</v>
      </c>
      <c r="D1183" s="2">
        <v>568</v>
      </c>
      <c r="E1183" s="2">
        <v>152</v>
      </c>
      <c r="F1183" s="2">
        <v>32441</v>
      </c>
      <c r="G1183" s="2">
        <v>7.1393045769999999</v>
      </c>
      <c r="H1183" s="3">
        <v>1.5400000000000001E-10</v>
      </c>
      <c r="I1183" s="2" t="s">
        <v>28655</v>
      </c>
      <c r="J1183" s="2" t="s">
        <v>28656</v>
      </c>
      <c r="K1183" s="3">
        <v>9.2300000000000006E-9</v>
      </c>
      <c r="L1183" s="2" t="s">
        <v>848</v>
      </c>
      <c r="M1183" s="4" t="s">
        <v>28657</v>
      </c>
    </row>
    <row r="1184" spans="1:13">
      <c r="A1184" s="2">
        <v>957</v>
      </c>
      <c r="B1184" s="2" t="s">
        <v>11380</v>
      </c>
      <c r="C1184" s="2">
        <v>36</v>
      </c>
      <c r="D1184" s="2">
        <v>568</v>
      </c>
      <c r="E1184" s="2">
        <v>573</v>
      </c>
      <c r="F1184" s="2">
        <v>32441</v>
      </c>
      <c r="G1184" s="2">
        <v>3.5883415680000001</v>
      </c>
      <c r="H1184" s="3">
        <v>1.8400000000000001E-10</v>
      </c>
      <c r="I1184" s="2" t="s">
        <v>28658</v>
      </c>
      <c r="J1184" s="2" t="s">
        <v>28659</v>
      </c>
      <c r="K1184" s="3">
        <v>1.09E-8</v>
      </c>
      <c r="L1184" s="2" t="s">
        <v>848</v>
      </c>
      <c r="M1184" s="4" t="s">
        <v>11383</v>
      </c>
    </row>
    <row r="1185" spans="1:13">
      <c r="A1185" s="2">
        <v>1111</v>
      </c>
      <c r="B1185" s="2" t="s">
        <v>9757</v>
      </c>
      <c r="C1185" s="2">
        <v>54</v>
      </c>
      <c r="D1185" s="2">
        <v>568</v>
      </c>
      <c r="E1185" s="2">
        <v>1152</v>
      </c>
      <c r="F1185" s="2">
        <v>32441</v>
      </c>
      <c r="G1185" s="2">
        <v>2.6772392169999999</v>
      </c>
      <c r="H1185" s="3">
        <v>1.9900000000000001E-10</v>
      </c>
      <c r="I1185" s="3" t="s">
        <v>28660</v>
      </c>
      <c r="J1185" s="3" t="s">
        <v>28661</v>
      </c>
      <c r="K1185" s="3">
        <v>1.15E-8</v>
      </c>
      <c r="L1185" s="2" t="s">
        <v>848</v>
      </c>
      <c r="M1185" s="4" t="s">
        <v>9760</v>
      </c>
    </row>
    <row r="1186" spans="1:13">
      <c r="A1186" s="2">
        <v>2337</v>
      </c>
      <c r="B1186" s="2" t="s">
        <v>28662</v>
      </c>
      <c r="C1186" s="2">
        <v>48</v>
      </c>
      <c r="D1186" s="2">
        <v>568</v>
      </c>
      <c r="E1186" s="2">
        <v>949</v>
      </c>
      <c r="F1186" s="2">
        <v>32441</v>
      </c>
      <c r="G1186" s="2">
        <v>2.8888229270000001</v>
      </c>
      <c r="H1186" s="3">
        <v>2.0000000000000001E-10</v>
      </c>
      <c r="I1186" s="3" t="s">
        <v>28663</v>
      </c>
      <c r="J1186" s="3" t="s">
        <v>28664</v>
      </c>
      <c r="K1186" s="3">
        <v>1.15E-8</v>
      </c>
      <c r="L1186" s="2" t="s">
        <v>848</v>
      </c>
      <c r="M1186" s="4" t="s">
        <v>28665</v>
      </c>
    </row>
    <row r="1187" spans="1:13">
      <c r="A1187" s="2">
        <v>4498</v>
      </c>
      <c r="B1187" s="2" t="s">
        <v>28666</v>
      </c>
      <c r="C1187" s="2">
        <v>20</v>
      </c>
      <c r="D1187" s="2">
        <v>568</v>
      </c>
      <c r="E1187" s="2">
        <v>174</v>
      </c>
      <c r="F1187" s="2">
        <v>32441</v>
      </c>
      <c r="G1187" s="2">
        <v>6.564877772</v>
      </c>
      <c r="H1187" s="3">
        <v>1.9699999999999999E-10</v>
      </c>
      <c r="I1187" s="2" t="s">
        <v>28667</v>
      </c>
      <c r="J1187" s="2" t="s">
        <v>28668</v>
      </c>
      <c r="K1187" s="3">
        <v>1.15E-8</v>
      </c>
      <c r="L1187" s="2" t="s">
        <v>848</v>
      </c>
      <c r="M1187" s="4" t="s">
        <v>28669</v>
      </c>
    </row>
    <row r="1188" spans="1:13">
      <c r="A1188" s="2">
        <v>4626</v>
      </c>
      <c r="B1188" s="2" t="s">
        <v>28670</v>
      </c>
      <c r="C1188" s="2">
        <v>14</v>
      </c>
      <c r="D1188" s="2">
        <v>568</v>
      </c>
      <c r="E1188" s="2">
        <v>71</v>
      </c>
      <c r="F1188" s="2">
        <v>32441</v>
      </c>
      <c r="G1188" s="2">
        <v>11.262001590000001</v>
      </c>
      <c r="H1188" s="3">
        <v>2.11E-10</v>
      </c>
      <c r="I1188" s="2" t="s">
        <v>28671</v>
      </c>
      <c r="J1188" s="2" t="s">
        <v>28672</v>
      </c>
      <c r="K1188" s="3">
        <v>1.2E-8</v>
      </c>
      <c r="L1188" s="2" t="s">
        <v>848</v>
      </c>
      <c r="M1188" s="4" t="s">
        <v>28673</v>
      </c>
    </row>
    <row r="1189" spans="1:13">
      <c r="A1189" s="2">
        <v>1883</v>
      </c>
      <c r="B1189" s="2" t="s">
        <v>28674</v>
      </c>
      <c r="C1189" s="2">
        <v>20</v>
      </c>
      <c r="D1189" s="2">
        <v>568</v>
      </c>
      <c r="E1189" s="2">
        <v>176</v>
      </c>
      <c r="F1189" s="2">
        <v>32441</v>
      </c>
      <c r="G1189" s="2">
        <v>6.4902768890000004</v>
      </c>
      <c r="H1189" s="3">
        <v>2.3700000000000001E-10</v>
      </c>
      <c r="I1189" s="2" t="s">
        <v>28675</v>
      </c>
      <c r="J1189" s="2" t="s">
        <v>28676</v>
      </c>
      <c r="K1189" s="3">
        <v>1.3399999999999999E-8</v>
      </c>
      <c r="L1189" s="2" t="s">
        <v>848</v>
      </c>
      <c r="M1189" s="4" t="s">
        <v>28677</v>
      </c>
    </row>
    <row r="1190" spans="1:13">
      <c r="A1190" s="2">
        <v>3971</v>
      </c>
      <c r="B1190" s="2" t="s">
        <v>28678</v>
      </c>
      <c r="C1190" s="2">
        <v>29</v>
      </c>
      <c r="D1190" s="2">
        <v>568</v>
      </c>
      <c r="E1190" s="2">
        <v>387</v>
      </c>
      <c r="F1190" s="2">
        <v>32441</v>
      </c>
      <c r="G1190" s="2">
        <v>4.2798931830000004</v>
      </c>
      <c r="H1190" s="3">
        <v>2.6200000000000003E-10</v>
      </c>
      <c r="I1190" s="2" t="s">
        <v>28679</v>
      </c>
      <c r="J1190" s="2" t="s">
        <v>28680</v>
      </c>
      <c r="K1190" s="3">
        <v>1.46E-8</v>
      </c>
      <c r="L1190" s="2" t="s">
        <v>848</v>
      </c>
      <c r="M1190" s="4" t="s">
        <v>28681</v>
      </c>
    </row>
    <row r="1191" spans="1:13">
      <c r="A1191" s="2">
        <v>1612</v>
      </c>
      <c r="B1191" s="2" t="s">
        <v>28682</v>
      </c>
      <c r="C1191" s="2">
        <v>33</v>
      </c>
      <c r="D1191" s="2">
        <v>568</v>
      </c>
      <c r="E1191" s="2">
        <v>496</v>
      </c>
      <c r="F1191" s="2">
        <v>32441</v>
      </c>
      <c r="G1191" s="2">
        <v>3.7999524359999999</v>
      </c>
      <c r="H1191" s="3">
        <v>2.7299999999999999E-10</v>
      </c>
      <c r="I1191" s="2" t="s">
        <v>28683</v>
      </c>
      <c r="J1191" s="2" t="s">
        <v>28684</v>
      </c>
      <c r="K1191" s="3">
        <v>1.51E-8</v>
      </c>
      <c r="L1191" s="2" t="s">
        <v>848</v>
      </c>
      <c r="M1191" s="4" t="s">
        <v>28685</v>
      </c>
    </row>
    <row r="1192" spans="1:13">
      <c r="A1192" s="2">
        <v>2252</v>
      </c>
      <c r="B1192" s="2" t="s">
        <v>998</v>
      </c>
      <c r="C1192" s="2">
        <v>21</v>
      </c>
      <c r="D1192" s="2">
        <v>568</v>
      </c>
      <c r="E1192" s="2">
        <v>199</v>
      </c>
      <c r="F1192" s="2">
        <v>32441</v>
      </c>
      <c r="G1192" s="2">
        <v>6.0271516030000001</v>
      </c>
      <c r="H1192" s="3">
        <v>2.9300000000000002E-10</v>
      </c>
      <c r="I1192" s="2" t="s">
        <v>28686</v>
      </c>
      <c r="J1192" s="2" t="s">
        <v>28687</v>
      </c>
      <c r="K1192" s="3">
        <v>1.6099999999999999E-8</v>
      </c>
      <c r="L1192" s="2" t="s">
        <v>848</v>
      </c>
      <c r="M1192" s="4" t="s">
        <v>3086</v>
      </c>
    </row>
    <row r="1193" spans="1:13">
      <c r="A1193" s="2">
        <v>2165</v>
      </c>
      <c r="B1193" s="2" t="s">
        <v>3050</v>
      </c>
      <c r="C1193" s="2">
        <v>24</v>
      </c>
      <c r="D1193" s="2">
        <v>568</v>
      </c>
      <c r="E1193" s="2">
        <v>267</v>
      </c>
      <c r="F1193" s="2">
        <v>32441</v>
      </c>
      <c r="G1193" s="2">
        <v>5.1338819429999996</v>
      </c>
      <c r="H1193" s="3">
        <v>3.2600000000000001E-10</v>
      </c>
      <c r="I1193" s="2" t="s">
        <v>28688</v>
      </c>
      <c r="J1193" s="2" t="s">
        <v>28689</v>
      </c>
      <c r="K1193" s="3">
        <v>1.77E-8</v>
      </c>
      <c r="L1193" s="2" t="s">
        <v>848</v>
      </c>
      <c r="M1193" s="4" t="s">
        <v>3053</v>
      </c>
    </row>
    <row r="1194" spans="1:13">
      <c r="A1194" s="2">
        <v>5828</v>
      </c>
      <c r="B1194" s="2" t="s">
        <v>10551</v>
      </c>
      <c r="C1194" s="2">
        <v>25</v>
      </c>
      <c r="D1194" s="2">
        <v>568</v>
      </c>
      <c r="E1194" s="2">
        <v>295</v>
      </c>
      <c r="F1194" s="2">
        <v>32441</v>
      </c>
      <c r="G1194" s="2">
        <v>4.8402064930000002</v>
      </c>
      <c r="H1194" s="3">
        <v>4.3599999999999999E-10</v>
      </c>
      <c r="I1194" s="2" t="s">
        <v>28690</v>
      </c>
      <c r="J1194" s="2" t="s">
        <v>28691</v>
      </c>
      <c r="K1194" s="3">
        <v>2.3400000000000001E-8</v>
      </c>
      <c r="L1194" s="2" t="s">
        <v>848</v>
      </c>
      <c r="M1194" s="4" t="s">
        <v>10554</v>
      </c>
    </row>
    <row r="1195" spans="1:13">
      <c r="A1195" s="2">
        <v>825</v>
      </c>
      <c r="B1195" s="2" t="s">
        <v>28692</v>
      </c>
      <c r="C1195" s="2">
        <v>24</v>
      </c>
      <c r="D1195" s="2">
        <v>568</v>
      </c>
      <c r="E1195" s="2">
        <v>272</v>
      </c>
      <c r="F1195" s="2">
        <v>32441</v>
      </c>
      <c r="G1195" s="2">
        <v>5.0395091140000003</v>
      </c>
      <c r="H1195" s="3">
        <v>4.6100000000000001E-10</v>
      </c>
      <c r="I1195" s="2" t="s">
        <v>28693</v>
      </c>
      <c r="J1195" s="2" t="s">
        <v>28694</v>
      </c>
      <c r="K1195" s="3">
        <v>2.4599999999999999E-8</v>
      </c>
      <c r="L1195" s="2" t="s">
        <v>848</v>
      </c>
      <c r="M1195" s="4" t="s">
        <v>28695</v>
      </c>
    </row>
    <row r="1196" spans="1:13">
      <c r="A1196" s="2">
        <v>4240</v>
      </c>
      <c r="B1196" s="2" t="s">
        <v>28696</v>
      </c>
      <c r="C1196" s="2">
        <v>22</v>
      </c>
      <c r="D1196" s="2">
        <v>568</v>
      </c>
      <c r="E1196" s="2">
        <v>228</v>
      </c>
      <c r="F1196" s="2">
        <v>32441</v>
      </c>
      <c r="G1196" s="2">
        <v>5.5110421299999999</v>
      </c>
      <c r="H1196" s="3">
        <v>5.2600000000000004E-10</v>
      </c>
      <c r="I1196" s="2" t="s">
        <v>28697</v>
      </c>
      <c r="J1196" s="2" t="s">
        <v>28698</v>
      </c>
      <c r="K1196" s="3">
        <v>2.7800000000000001E-8</v>
      </c>
      <c r="L1196" s="2" t="s">
        <v>848</v>
      </c>
      <c r="M1196" s="4" t="s">
        <v>28699</v>
      </c>
    </row>
    <row r="1197" spans="1:13">
      <c r="A1197" s="2">
        <v>3447</v>
      </c>
      <c r="B1197" s="2" t="s">
        <v>1165</v>
      </c>
      <c r="C1197" s="2">
        <v>18</v>
      </c>
      <c r="D1197" s="2">
        <v>568</v>
      </c>
      <c r="E1197" s="2">
        <v>147</v>
      </c>
      <c r="F1197" s="2">
        <v>32441</v>
      </c>
      <c r="G1197" s="2">
        <v>6.9936044839999996</v>
      </c>
      <c r="H1197" s="3">
        <v>6.3399999999999998E-10</v>
      </c>
      <c r="I1197" s="2" t="s">
        <v>28700</v>
      </c>
      <c r="J1197" s="2" t="s">
        <v>28701</v>
      </c>
      <c r="K1197" s="3">
        <v>3.32E-8</v>
      </c>
      <c r="L1197" s="2" t="s">
        <v>848</v>
      </c>
      <c r="M1197" s="4" t="s">
        <v>28702</v>
      </c>
    </row>
    <row r="1198" spans="1:13">
      <c r="A1198" s="2">
        <v>1273</v>
      </c>
      <c r="B1198" s="2" t="s">
        <v>28703</v>
      </c>
      <c r="C1198" s="2">
        <v>27</v>
      </c>
      <c r="D1198" s="2">
        <v>568</v>
      </c>
      <c r="E1198" s="2">
        <v>355</v>
      </c>
      <c r="F1198" s="2">
        <v>32441</v>
      </c>
      <c r="G1198" s="2">
        <v>4.3439148980000004</v>
      </c>
      <c r="H1198" s="3">
        <v>8.0500000000000001E-10</v>
      </c>
      <c r="I1198" s="2" t="s">
        <v>28704</v>
      </c>
      <c r="J1198" s="2" t="s">
        <v>28705</v>
      </c>
      <c r="K1198" s="3">
        <v>4.1799999999999997E-8</v>
      </c>
      <c r="L1198" s="2" t="s">
        <v>848</v>
      </c>
      <c r="M1198" s="4" t="s">
        <v>28706</v>
      </c>
    </row>
    <row r="1199" spans="1:13">
      <c r="A1199" s="2">
        <v>983</v>
      </c>
      <c r="B1199" s="2" t="s">
        <v>9946</v>
      </c>
      <c r="C1199" s="2">
        <v>41</v>
      </c>
      <c r="D1199" s="2">
        <v>568</v>
      </c>
      <c r="E1199" s="2">
        <v>767</v>
      </c>
      <c r="F1199" s="2">
        <v>32441</v>
      </c>
      <c r="G1199" s="2">
        <v>3.0530533260000001</v>
      </c>
      <c r="H1199" s="3">
        <v>9.7199999999999995E-10</v>
      </c>
      <c r="I1199" s="2" t="s">
        <v>28707</v>
      </c>
      <c r="J1199" s="2" t="s">
        <v>28708</v>
      </c>
      <c r="K1199" s="3">
        <v>4.9600000000000001E-8</v>
      </c>
      <c r="L1199" s="2" t="s">
        <v>848</v>
      </c>
      <c r="M1199" s="4" t="s">
        <v>9949</v>
      </c>
    </row>
    <row r="1200" spans="1:13">
      <c r="A1200" s="2">
        <v>4638</v>
      </c>
      <c r="B1200" s="2" t="s">
        <v>28709</v>
      </c>
      <c r="C1200" s="2">
        <v>33</v>
      </c>
      <c r="D1200" s="2">
        <v>568</v>
      </c>
      <c r="E1200" s="2">
        <v>523</v>
      </c>
      <c r="F1200" s="2">
        <v>32441</v>
      </c>
      <c r="G1200" s="2">
        <v>3.6037789839999999</v>
      </c>
      <c r="H1200" s="3">
        <v>9.6500000000000008E-10</v>
      </c>
      <c r="I1200" s="2" t="s">
        <v>28710</v>
      </c>
      <c r="J1200" s="2" t="s">
        <v>28711</v>
      </c>
      <c r="K1200" s="3">
        <v>4.9600000000000001E-8</v>
      </c>
      <c r="L1200" s="2" t="s">
        <v>848</v>
      </c>
      <c r="M1200" s="4" t="s">
        <v>28712</v>
      </c>
    </row>
    <row r="1201" spans="1:13">
      <c r="A1201" s="2">
        <v>3766</v>
      </c>
      <c r="B1201" s="2" t="s">
        <v>28713</v>
      </c>
      <c r="C1201" s="2">
        <v>24</v>
      </c>
      <c r="D1201" s="2">
        <v>568</v>
      </c>
      <c r="E1201" s="2">
        <v>284</v>
      </c>
      <c r="F1201" s="2">
        <v>32441</v>
      </c>
      <c r="G1201" s="2">
        <v>4.8265721089999998</v>
      </c>
      <c r="H1201" s="3">
        <v>1.03E-9</v>
      </c>
      <c r="I1201" s="2" t="s">
        <v>28714</v>
      </c>
      <c r="J1201" s="2" t="s">
        <v>28715</v>
      </c>
      <c r="K1201" s="3">
        <v>5.1900000000000002E-8</v>
      </c>
      <c r="L1201" s="2" t="s">
        <v>848</v>
      </c>
      <c r="M1201" s="4" t="s">
        <v>28716</v>
      </c>
    </row>
    <row r="1202" spans="1:13">
      <c r="A1202" s="2">
        <v>10211</v>
      </c>
      <c r="B1202" s="2" t="s">
        <v>28717</v>
      </c>
      <c r="C1202" s="2">
        <v>17</v>
      </c>
      <c r="D1202" s="2">
        <v>568</v>
      </c>
      <c r="E1202" s="2">
        <v>133</v>
      </c>
      <c r="F1202" s="2">
        <v>32441</v>
      </c>
      <c r="G1202" s="2">
        <v>7.3003415230000002</v>
      </c>
      <c r="H1202" s="3">
        <v>1.0500000000000001E-9</v>
      </c>
      <c r="I1202" s="2" t="s">
        <v>28718</v>
      </c>
      <c r="J1202" s="2" t="s">
        <v>28719</v>
      </c>
      <c r="K1202" s="3">
        <v>5.2600000000000001E-8</v>
      </c>
      <c r="L1202" s="2" t="s">
        <v>848</v>
      </c>
      <c r="M1202" s="4" t="s">
        <v>28720</v>
      </c>
    </row>
    <row r="1203" spans="1:13">
      <c r="A1203" s="2">
        <v>2226</v>
      </c>
      <c r="B1203" s="2" t="s">
        <v>28721</v>
      </c>
      <c r="C1203" s="2">
        <v>16</v>
      </c>
      <c r="D1203" s="2">
        <v>568</v>
      </c>
      <c r="E1203" s="2">
        <v>115</v>
      </c>
      <c r="F1203" s="2">
        <v>32441</v>
      </c>
      <c r="G1203" s="2">
        <v>7.9463563989999999</v>
      </c>
      <c r="H1203" s="3">
        <v>1.07E-9</v>
      </c>
      <c r="I1203" s="2" t="s">
        <v>28722</v>
      </c>
      <c r="J1203" s="2" t="s">
        <v>28723</v>
      </c>
      <c r="K1203" s="3">
        <v>5.3300000000000001E-8</v>
      </c>
      <c r="L1203" s="2" t="s">
        <v>848</v>
      </c>
      <c r="M1203" s="4" t="s">
        <v>28724</v>
      </c>
    </row>
    <row r="1204" spans="1:13">
      <c r="A1204" s="2">
        <v>5274</v>
      </c>
      <c r="B1204" s="2" t="s">
        <v>9942</v>
      </c>
      <c r="C1204" s="2">
        <v>43</v>
      </c>
      <c r="D1204" s="2">
        <v>568</v>
      </c>
      <c r="E1204" s="2">
        <v>842</v>
      </c>
      <c r="F1204" s="2">
        <v>32441</v>
      </c>
      <c r="G1204" s="2">
        <v>2.9167705160000001</v>
      </c>
      <c r="H1204" s="3">
        <v>1.39E-9</v>
      </c>
      <c r="I1204" s="2" t="s">
        <v>28725</v>
      </c>
      <c r="J1204" s="2" t="s">
        <v>28726</v>
      </c>
      <c r="K1204" s="3">
        <v>6.8499999999999998E-8</v>
      </c>
      <c r="L1204" s="2" t="s">
        <v>848</v>
      </c>
      <c r="M1204" s="4" t="s">
        <v>9945</v>
      </c>
    </row>
    <row r="1205" spans="1:13">
      <c r="A1205" s="2">
        <v>3994</v>
      </c>
      <c r="B1205" s="2" t="s">
        <v>10962</v>
      </c>
      <c r="C1205" s="2">
        <v>38</v>
      </c>
      <c r="D1205" s="2">
        <v>568</v>
      </c>
      <c r="E1205" s="2">
        <v>684</v>
      </c>
      <c r="F1205" s="2">
        <v>32441</v>
      </c>
      <c r="G1205" s="2">
        <v>3.1730242569999998</v>
      </c>
      <c r="H1205" s="3">
        <v>1.5E-9</v>
      </c>
      <c r="I1205" s="2" t="s">
        <v>28727</v>
      </c>
      <c r="J1205" s="2" t="s">
        <v>28728</v>
      </c>
      <c r="K1205" s="3">
        <v>7.3300000000000001E-8</v>
      </c>
      <c r="L1205" s="2" t="s">
        <v>848</v>
      </c>
      <c r="M1205" s="4" t="s">
        <v>10965</v>
      </c>
    </row>
    <row r="1206" spans="1:13">
      <c r="A1206" s="2">
        <v>2176</v>
      </c>
      <c r="B1206" s="2" t="s">
        <v>28729</v>
      </c>
      <c r="C1206" s="2">
        <v>20</v>
      </c>
      <c r="D1206" s="2">
        <v>568</v>
      </c>
      <c r="E1206" s="2">
        <v>199</v>
      </c>
      <c r="F1206" s="2">
        <v>32441</v>
      </c>
      <c r="G1206" s="2">
        <v>5.7401443839999997</v>
      </c>
      <c r="H1206" s="3">
        <v>1.69E-9</v>
      </c>
      <c r="I1206" s="2" t="s">
        <v>28730</v>
      </c>
      <c r="J1206" s="2" t="s">
        <v>28731</v>
      </c>
      <c r="K1206" s="3">
        <v>8.1899999999999999E-8</v>
      </c>
      <c r="L1206" s="2" t="s">
        <v>848</v>
      </c>
      <c r="M1206" s="4" t="s">
        <v>28732</v>
      </c>
    </row>
    <row r="1207" spans="1:13">
      <c r="A1207" s="2">
        <v>5873</v>
      </c>
      <c r="B1207" s="2" t="s">
        <v>28733</v>
      </c>
      <c r="C1207" s="2">
        <v>14</v>
      </c>
      <c r="D1207" s="2">
        <v>568</v>
      </c>
      <c r="E1207" s="2">
        <v>87</v>
      </c>
      <c r="F1207" s="2">
        <v>32441</v>
      </c>
      <c r="G1207" s="2">
        <v>9.1908288809999998</v>
      </c>
      <c r="H1207" s="3">
        <v>2.2200000000000002E-9</v>
      </c>
      <c r="I1207" s="2" t="s">
        <v>28644</v>
      </c>
      <c r="J1207" s="2" t="s">
        <v>28645</v>
      </c>
      <c r="K1207" s="3">
        <v>1.0700000000000001E-7</v>
      </c>
      <c r="L1207" s="2" t="s">
        <v>848</v>
      </c>
      <c r="M1207" s="4" t="s">
        <v>28734</v>
      </c>
    </row>
    <row r="1208" spans="1:13">
      <c r="A1208" s="2">
        <v>5691</v>
      </c>
      <c r="B1208" s="2" t="s">
        <v>952</v>
      </c>
      <c r="C1208" s="2">
        <v>59</v>
      </c>
      <c r="D1208" s="2">
        <v>568</v>
      </c>
      <c r="E1208" s="2">
        <v>1423</v>
      </c>
      <c r="F1208" s="2">
        <v>32441</v>
      </c>
      <c r="G1208" s="2">
        <v>2.3680616730000001</v>
      </c>
      <c r="H1208" s="3">
        <v>2.3899999999999998E-9</v>
      </c>
      <c r="I1208" s="3" t="s">
        <v>28735</v>
      </c>
      <c r="J1208" s="3" t="s">
        <v>28736</v>
      </c>
      <c r="K1208" s="3">
        <v>1.14E-7</v>
      </c>
      <c r="L1208" s="2" t="s">
        <v>848</v>
      </c>
      <c r="M1208" s="4" t="s">
        <v>10272</v>
      </c>
    </row>
    <row r="1209" spans="1:13">
      <c r="A1209" s="2">
        <v>5916</v>
      </c>
      <c r="B1209" s="2" t="s">
        <v>28737</v>
      </c>
      <c r="C1209" s="2">
        <v>12</v>
      </c>
      <c r="D1209" s="2">
        <v>568</v>
      </c>
      <c r="E1209" s="2">
        <v>58</v>
      </c>
      <c r="F1209" s="2">
        <v>32441</v>
      </c>
      <c r="G1209" s="2">
        <v>11.816779990000001</v>
      </c>
      <c r="H1209" s="3">
        <v>2.5800000000000002E-9</v>
      </c>
      <c r="I1209" s="2" t="s">
        <v>28738</v>
      </c>
      <c r="J1209" s="2" t="s">
        <v>28739</v>
      </c>
      <c r="K1209" s="3">
        <v>1.2200000000000001E-7</v>
      </c>
      <c r="L1209" s="2" t="s">
        <v>848</v>
      </c>
      <c r="M1209" s="4" t="s">
        <v>28740</v>
      </c>
    </row>
    <row r="1210" spans="1:13">
      <c r="A1210" s="2">
        <v>5637</v>
      </c>
      <c r="B1210" s="2" t="s">
        <v>28741</v>
      </c>
      <c r="C1210" s="2">
        <v>11</v>
      </c>
      <c r="D1210" s="2">
        <v>568</v>
      </c>
      <c r="E1210" s="2">
        <v>45</v>
      </c>
      <c r="F1210" s="2">
        <v>32441</v>
      </c>
      <c r="G1210" s="2">
        <v>13.96130673</v>
      </c>
      <c r="H1210" s="3">
        <v>2.6299999999999998E-9</v>
      </c>
      <c r="I1210" s="2" t="s">
        <v>28742</v>
      </c>
      <c r="J1210" s="2" t="s">
        <v>28743</v>
      </c>
      <c r="K1210" s="3">
        <v>1.24E-7</v>
      </c>
      <c r="L1210" s="2" t="s">
        <v>848</v>
      </c>
      <c r="M1210" s="4" t="s">
        <v>28744</v>
      </c>
    </row>
    <row r="1211" spans="1:13">
      <c r="A1211" s="2">
        <v>3453</v>
      </c>
      <c r="B1211" s="2" t="s">
        <v>28745</v>
      </c>
      <c r="C1211" s="2">
        <v>30</v>
      </c>
      <c r="D1211" s="2">
        <v>568</v>
      </c>
      <c r="E1211" s="2">
        <v>460</v>
      </c>
      <c r="F1211" s="2">
        <v>32441</v>
      </c>
      <c r="G1211" s="2">
        <v>3.724854562</v>
      </c>
      <c r="H1211" s="3">
        <v>2.76E-9</v>
      </c>
      <c r="I1211" s="2" t="s">
        <v>28746</v>
      </c>
      <c r="J1211" s="2" t="s">
        <v>28747</v>
      </c>
      <c r="K1211" s="3">
        <v>1.29E-7</v>
      </c>
      <c r="L1211" s="2" t="s">
        <v>848</v>
      </c>
      <c r="M1211" s="4" t="s">
        <v>28748</v>
      </c>
    </row>
    <row r="1212" spans="1:13">
      <c r="A1212" s="2">
        <v>5179</v>
      </c>
      <c r="B1212" s="2" t="s">
        <v>10917</v>
      </c>
      <c r="C1212" s="2">
        <v>36</v>
      </c>
      <c r="D1212" s="2">
        <v>568</v>
      </c>
      <c r="E1212" s="2">
        <v>640</v>
      </c>
      <c r="F1212" s="2">
        <v>32441</v>
      </c>
      <c r="G1212" s="2">
        <v>3.2126870599999999</v>
      </c>
      <c r="H1212" s="3">
        <v>3.0100000000000002E-9</v>
      </c>
      <c r="I1212" s="2" t="s">
        <v>28749</v>
      </c>
      <c r="J1212" s="2" t="s">
        <v>28750</v>
      </c>
      <c r="K1212" s="3">
        <v>1.3899999999999999E-7</v>
      </c>
      <c r="L1212" s="2" t="s">
        <v>848</v>
      </c>
      <c r="M1212" s="4" t="s">
        <v>10920</v>
      </c>
    </row>
    <row r="1213" spans="1:13">
      <c r="A1213" s="2">
        <v>4929</v>
      </c>
      <c r="B1213" s="2" t="s">
        <v>28751</v>
      </c>
      <c r="C1213" s="2">
        <v>23</v>
      </c>
      <c r="D1213" s="2">
        <v>568</v>
      </c>
      <c r="E1213" s="2">
        <v>280</v>
      </c>
      <c r="F1213" s="2">
        <v>32441</v>
      </c>
      <c r="G1213" s="2">
        <v>4.691543008</v>
      </c>
      <c r="H1213" s="3">
        <v>3.7799999999999998E-9</v>
      </c>
      <c r="I1213" s="2" t="s">
        <v>28752</v>
      </c>
      <c r="J1213" s="2" t="s">
        <v>28753</v>
      </c>
      <c r="K1213" s="3">
        <v>1.73E-7</v>
      </c>
      <c r="L1213" s="2" t="s">
        <v>848</v>
      </c>
      <c r="M1213" s="4" t="s">
        <v>28754</v>
      </c>
    </row>
    <row r="1214" spans="1:13">
      <c r="A1214" s="2">
        <v>2665</v>
      </c>
      <c r="B1214" s="2" t="s">
        <v>28755</v>
      </c>
      <c r="C1214" s="2">
        <v>20</v>
      </c>
      <c r="D1214" s="2">
        <v>568</v>
      </c>
      <c r="E1214" s="2">
        <v>212</v>
      </c>
      <c r="F1214" s="2">
        <v>32441</v>
      </c>
      <c r="G1214" s="2">
        <v>5.3881543980000002</v>
      </c>
      <c r="H1214" s="3">
        <v>4.5800000000000003E-9</v>
      </c>
      <c r="I1214" s="2" t="s">
        <v>28756</v>
      </c>
      <c r="J1214" s="2" t="s">
        <v>28757</v>
      </c>
      <c r="K1214" s="3">
        <v>2.0900000000000001E-7</v>
      </c>
      <c r="L1214" s="2" t="s">
        <v>848</v>
      </c>
      <c r="M1214" s="4" t="s">
        <v>28758</v>
      </c>
    </row>
    <row r="1215" spans="1:13">
      <c r="A1215" s="2">
        <v>2102</v>
      </c>
      <c r="B1215" s="2" t="s">
        <v>28759</v>
      </c>
      <c r="C1215" s="2">
        <v>26</v>
      </c>
      <c r="D1215" s="2">
        <v>568</v>
      </c>
      <c r="E1215" s="2">
        <v>361</v>
      </c>
      <c r="F1215" s="2">
        <v>32441</v>
      </c>
      <c r="G1215" s="2">
        <v>4.1135051310000001</v>
      </c>
      <c r="H1215" s="3">
        <v>4.7900000000000002E-9</v>
      </c>
      <c r="I1215" s="2" t="s">
        <v>28760</v>
      </c>
      <c r="J1215" s="2" t="s">
        <v>28761</v>
      </c>
      <c r="K1215" s="3">
        <v>2.16E-7</v>
      </c>
      <c r="L1215" s="2" t="s">
        <v>848</v>
      </c>
      <c r="M1215" s="4" t="s">
        <v>28762</v>
      </c>
    </row>
    <row r="1216" spans="1:13">
      <c r="A1216" s="2">
        <v>35011</v>
      </c>
      <c r="B1216" s="2" t="s">
        <v>28763</v>
      </c>
      <c r="C1216" s="2">
        <v>15</v>
      </c>
      <c r="D1216" s="2">
        <v>568</v>
      </c>
      <c r="E1216" s="2">
        <v>111</v>
      </c>
      <c r="F1216" s="2">
        <v>32441</v>
      </c>
      <c r="G1216" s="2">
        <v>7.7181671109999996</v>
      </c>
      <c r="H1216" s="3">
        <v>5.0899999999999996E-9</v>
      </c>
      <c r="I1216" s="2" t="s">
        <v>28764</v>
      </c>
      <c r="J1216" s="2" t="s">
        <v>28765</v>
      </c>
      <c r="K1216" s="3">
        <v>2.28E-7</v>
      </c>
      <c r="L1216" s="2" t="s">
        <v>848</v>
      </c>
      <c r="M1216" s="4" t="s">
        <v>28766</v>
      </c>
    </row>
    <row r="1217" spans="1:13">
      <c r="A1217" s="2">
        <v>4497</v>
      </c>
      <c r="B1217" s="2" t="s">
        <v>28767</v>
      </c>
      <c r="C1217" s="2">
        <v>21</v>
      </c>
      <c r="D1217" s="2">
        <v>568</v>
      </c>
      <c r="E1217" s="2">
        <v>237</v>
      </c>
      <c r="F1217" s="2">
        <v>32441</v>
      </c>
      <c r="G1217" s="2">
        <v>5.0607728649999997</v>
      </c>
      <c r="H1217" s="3">
        <v>5.2700000000000002E-9</v>
      </c>
      <c r="I1217" s="2" t="s">
        <v>28768</v>
      </c>
      <c r="J1217" s="2" t="s">
        <v>28769</v>
      </c>
      <c r="K1217" s="3">
        <v>2.35E-7</v>
      </c>
      <c r="L1217" s="2" t="s">
        <v>848</v>
      </c>
      <c r="M1217" s="4" t="s">
        <v>28770</v>
      </c>
    </row>
    <row r="1218" spans="1:13">
      <c r="A1218" s="2">
        <v>3737</v>
      </c>
      <c r="B1218" s="2" t="s">
        <v>955</v>
      </c>
      <c r="C1218" s="2">
        <v>53</v>
      </c>
      <c r="D1218" s="2">
        <v>568</v>
      </c>
      <c r="E1218" s="2">
        <v>1234</v>
      </c>
      <c r="F1218" s="2">
        <v>32441</v>
      </c>
      <c r="G1218" s="2">
        <v>2.453051168</v>
      </c>
      <c r="H1218" s="3">
        <v>5.3300000000000004E-9</v>
      </c>
      <c r="I1218" s="3" t="s">
        <v>28771</v>
      </c>
      <c r="J1218" s="3" t="s">
        <v>28772</v>
      </c>
      <c r="K1218" s="3">
        <v>2.35E-7</v>
      </c>
      <c r="L1218" s="2" t="s">
        <v>848</v>
      </c>
      <c r="M1218" s="4" t="s">
        <v>28773</v>
      </c>
    </row>
    <row r="1219" spans="1:13">
      <c r="A1219" s="2">
        <v>2926</v>
      </c>
      <c r="B1219" s="2" t="s">
        <v>28774</v>
      </c>
      <c r="C1219" s="2">
        <v>17</v>
      </c>
      <c r="D1219" s="2">
        <v>568</v>
      </c>
      <c r="E1219" s="2">
        <v>152</v>
      </c>
      <c r="F1219" s="2">
        <v>32441</v>
      </c>
      <c r="G1219" s="2">
        <v>6.3877988319999996</v>
      </c>
      <c r="H1219" s="3">
        <v>6.58E-9</v>
      </c>
      <c r="I1219" s="2" t="s">
        <v>28775</v>
      </c>
      <c r="J1219" s="2" t="s">
        <v>28776</v>
      </c>
      <c r="K1219" s="3">
        <v>2.8500000000000002E-7</v>
      </c>
      <c r="L1219" s="2" t="s">
        <v>848</v>
      </c>
      <c r="M1219" s="4" t="s">
        <v>28777</v>
      </c>
    </row>
    <row r="1220" spans="1:13">
      <c r="A1220" s="2">
        <v>3986</v>
      </c>
      <c r="B1220" s="2" t="s">
        <v>963</v>
      </c>
      <c r="C1220" s="2">
        <v>67</v>
      </c>
      <c r="D1220" s="2">
        <v>568</v>
      </c>
      <c r="E1220" s="2">
        <v>1773</v>
      </c>
      <c r="F1220" s="2">
        <v>32441</v>
      </c>
      <c r="G1220" s="2">
        <v>2.1583007630000002</v>
      </c>
      <c r="H1220" s="3">
        <v>6.5899999999999998E-9</v>
      </c>
      <c r="I1220" s="3" t="s">
        <v>28778</v>
      </c>
      <c r="J1220" s="3" t="s">
        <v>28779</v>
      </c>
      <c r="K1220" s="3">
        <v>2.8500000000000002E-7</v>
      </c>
      <c r="L1220" s="2" t="s">
        <v>848</v>
      </c>
      <c r="M1220" s="4" t="s">
        <v>28780</v>
      </c>
    </row>
    <row r="1221" spans="1:13">
      <c r="A1221" s="2">
        <v>5599</v>
      </c>
      <c r="B1221" s="2" t="s">
        <v>28781</v>
      </c>
      <c r="C1221" s="2">
        <v>13</v>
      </c>
      <c r="D1221" s="2">
        <v>568</v>
      </c>
      <c r="E1221" s="2">
        <v>79</v>
      </c>
      <c r="F1221" s="2">
        <v>32441</v>
      </c>
      <c r="G1221" s="2">
        <v>9.3985781779999993</v>
      </c>
      <c r="H1221" s="3">
        <v>6.5300000000000004E-9</v>
      </c>
      <c r="I1221" s="2" t="s">
        <v>28782</v>
      </c>
      <c r="J1221" s="2" t="s">
        <v>28783</v>
      </c>
      <c r="K1221" s="3">
        <v>2.8500000000000002E-7</v>
      </c>
      <c r="L1221" s="2" t="s">
        <v>848</v>
      </c>
      <c r="M1221" s="4" t="s">
        <v>28784</v>
      </c>
    </row>
    <row r="1222" spans="1:13">
      <c r="A1222" s="2">
        <v>2427</v>
      </c>
      <c r="B1222" s="2" t="s">
        <v>28785</v>
      </c>
      <c r="C1222" s="2">
        <v>14</v>
      </c>
      <c r="D1222" s="2">
        <v>568</v>
      </c>
      <c r="E1222" s="2">
        <v>96</v>
      </c>
      <c r="F1222" s="2">
        <v>32441</v>
      </c>
      <c r="G1222" s="2">
        <v>8.3291886739999992</v>
      </c>
      <c r="H1222" s="3">
        <v>6.89E-9</v>
      </c>
      <c r="I1222" s="2" t="s">
        <v>28786</v>
      </c>
      <c r="J1222" s="2" t="s">
        <v>28787</v>
      </c>
      <c r="K1222" s="3">
        <v>2.9499999999999998E-7</v>
      </c>
      <c r="L1222" s="2" t="s">
        <v>848</v>
      </c>
      <c r="M1222" s="4" t="s">
        <v>28788</v>
      </c>
    </row>
    <row r="1223" spans="1:13">
      <c r="A1223" s="2">
        <v>2111</v>
      </c>
      <c r="B1223" s="2" t="s">
        <v>7795</v>
      </c>
      <c r="C1223" s="2">
        <v>59</v>
      </c>
      <c r="D1223" s="2">
        <v>568</v>
      </c>
      <c r="E1223" s="2">
        <v>1468</v>
      </c>
      <c r="F1223" s="2">
        <v>32441</v>
      </c>
      <c r="G1223" s="2">
        <v>2.2954712270000002</v>
      </c>
      <c r="H1223" s="3">
        <v>7.0900000000000001E-9</v>
      </c>
      <c r="I1223" s="3" t="s">
        <v>28789</v>
      </c>
      <c r="J1223" s="3" t="s">
        <v>28790</v>
      </c>
      <c r="K1223" s="3">
        <v>3.0199999999999998E-7</v>
      </c>
      <c r="L1223" s="2" t="s">
        <v>848</v>
      </c>
      <c r="M1223" s="4" t="s">
        <v>7798</v>
      </c>
    </row>
    <row r="1224" spans="1:13">
      <c r="A1224" s="2">
        <v>4634</v>
      </c>
      <c r="B1224" s="2" t="s">
        <v>28791</v>
      </c>
      <c r="C1224" s="2">
        <v>14</v>
      </c>
      <c r="D1224" s="2">
        <v>568</v>
      </c>
      <c r="E1224" s="2">
        <v>97</v>
      </c>
      <c r="F1224" s="2">
        <v>32441</v>
      </c>
      <c r="G1224" s="2">
        <v>8.2433207490000004</v>
      </c>
      <c r="H1224" s="3">
        <v>7.7599999999999997E-9</v>
      </c>
      <c r="I1224" s="2" t="s">
        <v>28792</v>
      </c>
      <c r="J1224" s="2" t="s">
        <v>28793</v>
      </c>
      <c r="K1224" s="3">
        <v>3.2800000000000003E-7</v>
      </c>
      <c r="L1224" s="2" t="s">
        <v>848</v>
      </c>
      <c r="M1224" s="4" t="s">
        <v>28794</v>
      </c>
    </row>
    <row r="1225" spans="1:13">
      <c r="A1225" s="2">
        <v>1713</v>
      </c>
      <c r="B1225" s="2" t="s">
        <v>28795</v>
      </c>
      <c r="C1225" s="2">
        <v>38</v>
      </c>
      <c r="D1225" s="2">
        <v>568</v>
      </c>
      <c r="E1225" s="2">
        <v>731</v>
      </c>
      <c r="F1225" s="2">
        <v>32441</v>
      </c>
      <c r="G1225" s="2">
        <v>2.9690131210000001</v>
      </c>
      <c r="H1225" s="3">
        <v>8.2700000000000006E-9</v>
      </c>
      <c r="I1225" s="2" t="s">
        <v>28796</v>
      </c>
      <c r="J1225" s="2" t="s">
        <v>28797</v>
      </c>
      <c r="K1225" s="3">
        <v>3.4700000000000002E-7</v>
      </c>
      <c r="L1225" s="2" t="s">
        <v>848</v>
      </c>
      <c r="M1225" s="4" t="s">
        <v>28798</v>
      </c>
    </row>
    <row r="1226" spans="1:13">
      <c r="A1226" s="2">
        <v>5071</v>
      </c>
      <c r="B1226" s="2" t="s">
        <v>28799</v>
      </c>
      <c r="C1226" s="2">
        <v>18</v>
      </c>
      <c r="D1226" s="2">
        <v>568</v>
      </c>
      <c r="E1226" s="2">
        <v>177</v>
      </c>
      <c r="F1226" s="2">
        <v>32441</v>
      </c>
      <c r="G1226" s="2">
        <v>5.8082477920000004</v>
      </c>
      <c r="H1226" s="3">
        <v>9.2900000000000008E-9</v>
      </c>
      <c r="I1226" s="2" t="s">
        <v>28800</v>
      </c>
      <c r="J1226" s="2" t="s">
        <v>28801</v>
      </c>
      <c r="K1226" s="3">
        <v>3.8700000000000001E-7</v>
      </c>
      <c r="L1226" s="2" t="s">
        <v>848</v>
      </c>
      <c r="M1226" s="4" t="s">
        <v>28802</v>
      </c>
    </row>
    <row r="1227" spans="1:13">
      <c r="A1227" s="2">
        <v>5371</v>
      </c>
      <c r="B1227" s="2" t="s">
        <v>28803</v>
      </c>
      <c r="C1227" s="2">
        <v>13</v>
      </c>
      <c r="D1227" s="2">
        <v>568</v>
      </c>
      <c r="E1227" s="2">
        <v>82</v>
      </c>
      <c r="F1227" s="2">
        <v>32441</v>
      </c>
      <c r="G1227" s="2">
        <v>9.0547277570000002</v>
      </c>
      <c r="H1227" s="3">
        <v>9.7399999999999999E-9</v>
      </c>
      <c r="I1227" s="2" t="s">
        <v>28804</v>
      </c>
      <c r="J1227" s="2" t="s">
        <v>28805</v>
      </c>
      <c r="K1227" s="3">
        <v>3.9999999999999998E-7</v>
      </c>
      <c r="L1227" s="2" t="s">
        <v>848</v>
      </c>
      <c r="M1227" s="4" t="s">
        <v>28806</v>
      </c>
    </row>
    <row r="1228" spans="1:13">
      <c r="A1228" s="2">
        <v>5782</v>
      </c>
      <c r="B1228" s="2" t="s">
        <v>28807</v>
      </c>
      <c r="C1228" s="2">
        <v>15</v>
      </c>
      <c r="D1228" s="2">
        <v>568</v>
      </c>
      <c r="E1228" s="2">
        <v>117</v>
      </c>
      <c r="F1228" s="2">
        <v>32441</v>
      </c>
      <c r="G1228" s="2">
        <v>7.3223636689999996</v>
      </c>
      <c r="H1228" s="3">
        <v>9.6899999999999994E-9</v>
      </c>
      <c r="I1228" s="2" t="s">
        <v>28808</v>
      </c>
      <c r="J1228" s="2" t="s">
        <v>28809</v>
      </c>
      <c r="K1228" s="3">
        <v>3.9999999999999998E-7</v>
      </c>
      <c r="L1228" s="2" t="s">
        <v>848</v>
      </c>
      <c r="M1228" s="4" t="s">
        <v>28810</v>
      </c>
    </row>
    <row r="1229" spans="1:13">
      <c r="A1229" s="2">
        <v>4088</v>
      </c>
      <c r="B1229" s="2" t="s">
        <v>28811</v>
      </c>
      <c r="C1229" s="2">
        <v>16</v>
      </c>
      <c r="D1229" s="2">
        <v>568</v>
      </c>
      <c r="E1229" s="2">
        <v>139</v>
      </c>
      <c r="F1229" s="2">
        <v>32441</v>
      </c>
      <c r="G1229" s="2">
        <v>6.5743236400000002</v>
      </c>
      <c r="H1229" s="3">
        <v>1.26E-8</v>
      </c>
      <c r="I1229" s="2" t="s">
        <v>28812</v>
      </c>
      <c r="J1229" s="2" t="s">
        <v>28813</v>
      </c>
      <c r="K1229" s="3">
        <v>5.1500000000000005E-7</v>
      </c>
      <c r="L1229" s="2" t="s">
        <v>848</v>
      </c>
      <c r="M1229" s="4" t="s">
        <v>28814</v>
      </c>
    </row>
    <row r="1230" spans="1:13">
      <c r="A1230" s="2">
        <v>3337</v>
      </c>
      <c r="B1230" s="2" t="s">
        <v>28815</v>
      </c>
      <c r="C1230" s="2">
        <v>48</v>
      </c>
      <c r="D1230" s="2">
        <v>568</v>
      </c>
      <c r="E1230" s="2">
        <v>1087</v>
      </c>
      <c r="F1230" s="2">
        <v>32441</v>
      </c>
      <c r="G1230" s="2">
        <v>2.522072638</v>
      </c>
      <c r="H1230" s="3">
        <v>1.29E-8</v>
      </c>
      <c r="I1230" s="3" t="s">
        <v>28816</v>
      </c>
      <c r="J1230" s="3" t="s">
        <v>28817</v>
      </c>
      <c r="K1230" s="3">
        <v>5.2399999999999998E-7</v>
      </c>
      <c r="L1230" s="2" t="s">
        <v>848</v>
      </c>
      <c r="M1230" s="4" t="s">
        <v>28818</v>
      </c>
    </row>
    <row r="1231" spans="1:13">
      <c r="A1231" s="2">
        <v>5222</v>
      </c>
      <c r="B1231" s="2" t="s">
        <v>28819</v>
      </c>
      <c r="C1231" s="2">
        <v>14</v>
      </c>
      <c r="D1231" s="2">
        <v>568</v>
      </c>
      <c r="E1231" s="2">
        <v>103</v>
      </c>
      <c r="F1231" s="2">
        <v>32441</v>
      </c>
      <c r="G1231" s="2">
        <v>7.7631273079999996</v>
      </c>
      <c r="H1231" s="3">
        <v>1.5399999999999999E-8</v>
      </c>
      <c r="I1231" s="2" t="s">
        <v>28644</v>
      </c>
      <c r="J1231" s="2" t="s">
        <v>28645</v>
      </c>
      <c r="K1231" s="3">
        <v>6.2200000000000004E-7</v>
      </c>
      <c r="L1231" s="2" t="s">
        <v>848</v>
      </c>
      <c r="M1231" s="4" t="s">
        <v>28820</v>
      </c>
    </row>
    <row r="1232" spans="1:13">
      <c r="A1232" s="2">
        <v>5803</v>
      </c>
      <c r="B1232" s="2" t="s">
        <v>28821</v>
      </c>
      <c r="C1232" s="2">
        <v>9</v>
      </c>
      <c r="D1232" s="2">
        <v>568</v>
      </c>
      <c r="E1232" s="2">
        <v>30</v>
      </c>
      <c r="F1232" s="2">
        <v>32441</v>
      </c>
      <c r="G1232" s="2">
        <v>17.134330989999999</v>
      </c>
      <c r="H1232" s="3">
        <v>1.66E-8</v>
      </c>
      <c r="I1232" s="2" t="s">
        <v>28822</v>
      </c>
      <c r="J1232" s="2" t="s">
        <v>28823</v>
      </c>
      <c r="K1232" s="3">
        <v>6.6400000000000002E-7</v>
      </c>
      <c r="L1232" s="2" t="s">
        <v>848</v>
      </c>
      <c r="M1232" s="4" t="s">
        <v>28824</v>
      </c>
    </row>
    <row r="1233" spans="1:13">
      <c r="A1233" s="2">
        <v>5576</v>
      </c>
      <c r="B1233" s="2" t="s">
        <v>28825</v>
      </c>
      <c r="C1233" s="2">
        <v>14</v>
      </c>
      <c r="D1233" s="2">
        <v>568</v>
      </c>
      <c r="E1233" s="2">
        <v>104</v>
      </c>
      <c r="F1233" s="2">
        <v>32441</v>
      </c>
      <c r="G1233" s="2">
        <v>7.6884818529999999</v>
      </c>
      <c r="H1233" s="3">
        <v>1.7299999999999999E-8</v>
      </c>
      <c r="I1233" s="2" t="s">
        <v>28644</v>
      </c>
      <c r="J1233" s="2" t="s">
        <v>28645</v>
      </c>
      <c r="K1233" s="3">
        <v>6.8500000000000001E-7</v>
      </c>
      <c r="L1233" s="2" t="s">
        <v>848</v>
      </c>
      <c r="M1233" s="4" t="s">
        <v>28826</v>
      </c>
    </row>
    <row r="1234" spans="1:13">
      <c r="A1234" s="2">
        <v>28281</v>
      </c>
      <c r="B1234" s="2" t="s">
        <v>28827</v>
      </c>
      <c r="C1234" s="2">
        <v>10</v>
      </c>
      <c r="D1234" s="2">
        <v>568</v>
      </c>
      <c r="E1234" s="2">
        <v>42</v>
      </c>
      <c r="F1234" s="2">
        <v>32441</v>
      </c>
      <c r="G1234" s="2">
        <v>13.59867539</v>
      </c>
      <c r="H1234" s="3">
        <v>1.74E-8</v>
      </c>
      <c r="I1234" s="2" t="s">
        <v>28828</v>
      </c>
      <c r="J1234" s="2" t="s">
        <v>28829</v>
      </c>
      <c r="K1234" s="3">
        <v>6.8599999999999998E-7</v>
      </c>
      <c r="L1234" s="2" t="s">
        <v>848</v>
      </c>
      <c r="M1234" s="4" t="s">
        <v>28830</v>
      </c>
    </row>
    <row r="1235" spans="1:13">
      <c r="A1235" s="2">
        <v>2861</v>
      </c>
      <c r="B1235" s="2" t="s">
        <v>10781</v>
      </c>
      <c r="C1235" s="2">
        <v>30</v>
      </c>
      <c r="D1235" s="2">
        <v>568</v>
      </c>
      <c r="E1235" s="2">
        <v>502</v>
      </c>
      <c r="F1235" s="2">
        <v>32441</v>
      </c>
      <c r="G1235" s="2">
        <v>3.4132133439999999</v>
      </c>
      <c r="H1235" s="3">
        <v>1.7900000000000001E-8</v>
      </c>
      <c r="I1235" s="2" t="s">
        <v>28831</v>
      </c>
      <c r="J1235" s="2" t="s">
        <v>28832</v>
      </c>
      <c r="K1235" s="3">
        <v>7.0200000000000001E-7</v>
      </c>
      <c r="L1235" s="2" t="s">
        <v>848</v>
      </c>
      <c r="M1235" s="4" t="s">
        <v>10784</v>
      </c>
    </row>
    <row r="1236" spans="1:13">
      <c r="A1236" s="2">
        <v>3457</v>
      </c>
      <c r="B1236" s="2" t="s">
        <v>8496</v>
      </c>
      <c r="C1236" s="2">
        <v>64</v>
      </c>
      <c r="D1236" s="2">
        <v>568</v>
      </c>
      <c r="E1236" s="2">
        <v>1710</v>
      </c>
      <c r="F1236" s="2">
        <v>32441</v>
      </c>
      <c r="G1236" s="2">
        <v>2.1376163410000002</v>
      </c>
      <c r="H1236" s="3">
        <v>2.0999999999999999E-8</v>
      </c>
      <c r="I1236" s="3" t="s">
        <v>28833</v>
      </c>
      <c r="J1236" s="3" t="s">
        <v>28834</v>
      </c>
      <c r="K1236" s="3">
        <v>8.1699999999999997E-7</v>
      </c>
      <c r="L1236" s="2" t="s">
        <v>848</v>
      </c>
      <c r="M1236" s="4" t="s">
        <v>8499</v>
      </c>
    </row>
    <row r="1237" spans="1:13">
      <c r="A1237" s="2">
        <v>5820</v>
      </c>
      <c r="B1237" s="2" t="s">
        <v>28835</v>
      </c>
      <c r="C1237" s="2">
        <v>11</v>
      </c>
      <c r="D1237" s="2">
        <v>568</v>
      </c>
      <c r="E1237" s="2">
        <v>57</v>
      </c>
      <c r="F1237" s="2">
        <v>32441</v>
      </c>
      <c r="G1237" s="2">
        <v>11.02208426</v>
      </c>
      <c r="H1237" s="3">
        <v>2.25E-8</v>
      </c>
      <c r="I1237" s="2" t="s">
        <v>28742</v>
      </c>
      <c r="J1237" s="2" t="s">
        <v>28743</v>
      </c>
      <c r="K1237" s="3">
        <v>8.6899999999999996E-7</v>
      </c>
      <c r="L1237" s="2" t="s">
        <v>848</v>
      </c>
      <c r="M1237" s="4" t="s">
        <v>28836</v>
      </c>
    </row>
    <row r="1238" spans="1:13">
      <c r="A1238" s="2">
        <v>1481</v>
      </c>
      <c r="B1238" s="2" t="s">
        <v>7871</v>
      </c>
      <c r="C1238" s="2">
        <v>60</v>
      </c>
      <c r="D1238" s="2">
        <v>568</v>
      </c>
      <c r="E1238" s="2">
        <v>1572</v>
      </c>
      <c r="F1238" s="2">
        <v>32441</v>
      </c>
      <c r="G1238" s="2">
        <v>2.1799403289999999</v>
      </c>
      <c r="H1238" s="3">
        <v>3.1200000000000001E-8</v>
      </c>
      <c r="I1238" s="3" t="s">
        <v>28837</v>
      </c>
      <c r="J1238" s="3" t="s">
        <v>28838</v>
      </c>
      <c r="K1238" s="3">
        <v>1.1999999999999999E-6</v>
      </c>
      <c r="L1238" s="2" t="s">
        <v>848</v>
      </c>
      <c r="M1238" s="4" t="s">
        <v>7874</v>
      </c>
    </row>
    <row r="1239" spans="1:13">
      <c r="A1239" s="2">
        <v>4924</v>
      </c>
      <c r="B1239" s="2" t="s">
        <v>28839</v>
      </c>
      <c r="C1239" s="2">
        <v>12</v>
      </c>
      <c r="D1239" s="2">
        <v>568</v>
      </c>
      <c r="E1239" s="2">
        <v>77</v>
      </c>
      <c r="F1239" s="2">
        <v>32441</v>
      </c>
      <c r="G1239" s="2">
        <v>8.9009511620000001</v>
      </c>
      <c r="H1239" s="3">
        <v>4.2799999999999999E-8</v>
      </c>
      <c r="I1239" s="2" t="s">
        <v>28840</v>
      </c>
      <c r="J1239" s="2" t="s">
        <v>28841</v>
      </c>
      <c r="K1239" s="3">
        <v>1.6300000000000001E-6</v>
      </c>
      <c r="L1239" s="2" t="s">
        <v>848</v>
      </c>
      <c r="M1239" s="4" t="s">
        <v>28842</v>
      </c>
    </row>
    <row r="1240" spans="1:13">
      <c r="A1240" s="2">
        <v>4232</v>
      </c>
      <c r="B1240" s="2" t="s">
        <v>28843</v>
      </c>
      <c r="C1240" s="2">
        <v>50</v>
      </c>
      <c r="D1240" s="2">
        <v>568</v>
      </c>
      <c r="E1240" s="2">
        <v>1208</v>
      </c>
      <c r="F1240" s="2">
        <v>32441</v>
      </c>
      <c r="G1240" s="2">
        <v>2.364008138</v>
      </c>
      <c r="H1240" s="3">
        <v>4.51E-8</v>
      </c>
      <c r="I1240" s="3" t="s">
        <v>28844</v>
      </c>
      <c r="J1240" s="3" t="s">
        <v>28845</v>
      </c>
      <c r="K1240" s="3">
        <v>1.7099999999999999E-6</v>
      </c>
      <c r="L1240" s="2" t="s">
        <v>848</v>
      </c>
      <c r="M1240" s="4" t="s">
        <v>28846</v>
      </c>
    </row>
    <row r="1241" spans="1:13">
      <c r="A1241" s="2">
        <v>23211</v>
      </c>
      <c r="B1241" s="2" t="s">
        <v>28847</v>
      </c>
      <c r="C1241" s="2">
        <v>28</v>
      </c>
      <c r="D1241" s="2">
        <v>568</v>
      </c>
      <c r="E1241" s="2">
        <v>466</v>
      </c>
      <c r="F1241" s="2">
        <v>32441</v>
      </c>
      <c r="G1241" s="2">
        <v>3.4317687239999999</v>
      </c>
      <c r="H1241" s="3">
        <v>4.8200000000000001E-8</v>
      </c>
      <c r="I1241" s="2" t="s">
        <v>28848</v>
      </c>
      <c r="J1241" s="2" t="s">
        <v>28849</v>
      </c>
      <c r="K1241" s="3">
        <v>1.8199999999999999E-6</v>
      </c>
      <c r="L1241" s="2" t="s">
        <v>848</v>
      </c>
      <c r="M1241" s="4" t="s">
        <v>28850</v>
      </c>
    </row>
    <row r="1242" spans="1:13">
      <c r="A1242" s="2">
        <v>3667</v>
      </c>
      <c r="B1242" s="2" t="s">
        <v>28851</v>
      </c>
      <c r="C1242" s="2">
        <v>31</v>
      </c>
      <c r="D1242" s="2">
        <v>568</v>
      </c>
      <c r="E1242" s="2">
        <v>558</v>
      </c>
      <c r="F1242" s="2">
        <v>32441</v>
      </c>
      <c r="G1242" s="2">
        <v>3.1730242569999998</v>
      </c>
      <c r="H1242" s="3">
        <v>4.9700000000000002E-8</v>
      </c>
      <c r="I1242" s="2" t="s">
        <v>28852</v>
      </c>
      <c r="J1242" s="2" t="s">
        <v>28853</v>
      </c>
      <c r="K1242" s="3">
        <v>1.86E-6</v>
      </c>
      <c r="L1242" s="2" t="s">
        <v>848</v>
      </c>
      <c r="M1242" s="4" t="s">
        <v>28854</v>
      </c>
    </row>
    <row r="1243" spans="1:13">
      <c r="A1243" s="2">
        <v>5225</v>
      </c>
      <c r="B1243" s="2" t="s">
        <v>1103</v>
      </c>
      <c r="C1243" s="2">
        <v>16</v>
      </c>
      <c r="D1243" s="2">
        <v>568</v>
      </c>
      <c r="E1243" s="2">
        <v>155</v>
      </c>
      <c r="F1243" s="2">
        <v>32441</v>
      </c>
      <c r="G1243" s="2">
        <v>5.8956837799999997</v>
      </c>
      <c r="H1243" s="3">
        <v>5.1E-8</v>
      </c>
      <c r="I1243" s="2" t="s">
        <v>28855</v>
      </c>
      <c r="J1243" s="2" t="s">
        <v>28856</v>
      </c>
      <c r="K1243" s="3">
        <v>1.9E-6</v>
      </c>
      <c r="L1243" s="2" t="s">
        <v>848</v>
      </c>
      <c r="M1243" s="4" t="s">
        <v>3106</v>
      </c>
    </row>
    <row r="1244" spans="1:13">
      <c r="A1244" s="2">
        <v>5752</v>
      </c>
      <c r="B1244" s="2" t="s">
        <v>28857</v>
      </c>
      <c r="C1244" s="2">
        <v>11</v>
      </c>
      <c r="D1244" s="2">
        <v>568</v>
      </c>
      <c r="E1244" s="2">
        <v>64</v>
      </c>
      <c r="F1244" s="2">
        <v>32441</v>
      </c>
      <c r="G1244" s="2">
        <v>9.8165437939999993</v>
      </c>
      <c r="H1244" s="3">
        <v>6.4399999999999994E-8</v>
      </c>
      <c r="I1244" s="2" t="s">
        <v>28858</v>
      </c>
      <c r="J1244" s="2" t="s">
        <v>28859</v>
      </c>
      <c r="K1244" s="3">
        <v>2.3800000000000001E-6</v>
      </c>
      <c r="L1244" s="2" t="s">
        <v>848</v>
      </c>
      <c r="M1244" s="4" t="s">
        <v>28860</v>
      </c>
    </row>
    <row r="1245" spans="1:13">
      <c r="A1245" s="2">
        <v>4295</v>
      </c>
      <c r="B1245" s="2" t="s">
        <v>933</v>
      </c>
      <c r="C1245" s="2">
        <v>41</v>
      </c>
      <c r="D1245" s="2">
        <v>568</v>
      </c>
      <c r="E1245" s="2">
        <v>898</v>
      </c>
      <c r="F1245" s="2">
        <v>32441</v>
      </c>
      <c r="G1245" s="2">
        <v>2.6076747230000001</v>
      </c>
      <c r="H1245" s="3">
        <v>6.5900000000000001E-8</v>
      </c>
      <c r="I1245" s="2" t="s">
        <v>28861</v>
      </c>
      <c r="J1245" s="2" t="s">
        <v>28862</v>
      </c>
      <c r="K1245" s="3">
        <v>2.4200000000000001E-6</v>
      </c>
      <c r="L1245" s="2" t="s">
        <v>848</v>
      </c>
      <c r="M1245" s="4" t="s">
        <v>28863</v>
      </c>
    </row>
    <row r="1246" spans="1:13">
      <c r="A1246" s="2">
        <v>5377</v>
      </c>
      <c r="B1246" s="2" t="s">
        <v>8312</v>
      </c>
      <c r="C1246" s="2">
        <v>42</v>
      </c>
      <c r="D1246" s="2">
        <v>568</v>
      </c>
      <c r="E1246" s="2">
        <v>935</v>
      </c>
      <c r="F1246" s="2">
        <v>32441</v>
      </c>
      <c r="G1246" s="2">
        <v>2.565568276</v>
      </c>
      <c r="H1246" s="3">
        <v>6.9600000000000001E-8</v>
      </c>
      <c r="I1246" s="2" t="s">
        <v>28864</v>
      </c>
      <c r="J1246" s="2" t="s">
        <v>28865</v>
      </c>
      <c r="K1246" s="3">
        <v>2.5399999999999998E-6</v>
      </c>
      <c r="L1246" s="2" t="s">
        <v>848</v>
      </c>
      <c r="M1246" s="4" t="s">
        <v>8315</v>
      </c>
    </row>
    <row r="1247" spans="1:13">
      <c r="A1247" s="2">
        <v>1226</v>
      </c>
      <c r="B1247" s="2" t="s">
        <v>28866</v>
      </c>
      <c r="C1247" s="2">
        <v>14</v>
      </c>
      <c r="D1247" s="2">
        <v>568</v>
      </c>
      <c r="E1247" s="2">
        <v>118</v>
      </c>
      <c r="F1247" s="2">
        <v>32441</v>
      </c>
      <c r="G1247" s="2">
        <v>6.7762890899999997</v>
      </c>
      <c r="H1247" s="3">
        <v>7.2699999999999996E-8</v>
      </c>
      <c r="I1247" s="2" t="s">
        <v>28867</v>
      </c>
      <c r="J1247" s="2" t="s">
        <v>28868</v>
      </c>
      <c r="K1247" s="3">
        <v>2.6199999999999999E-6</v>
      </c>
      <c r="L1247" s="2" t="s">
        <v>848</v>
      </c>
      <c r="M1247" s="4" t="s">
        <v>28869</v>
      </c>
    </row>
    <row r="1248" spans="1:13">
      <c r="A1248" s="2">
        <v>1725</v>
      </c>
      <c r="B1248" s="2" t="s">
        <v>1142</v>
      </c>
      <c r="C1248" s="2">
        <v>14</v>
      </c>
      <c r="D1248" s="2">
        <v>568</v>
      </c>
      <c r="E1248" s="2">
        <v>118</v>
      </c>
      <c r="F1248" s="2">
        <v>32441</v>
      </c>
      <c r="G1248" s="2">
        <v>6.7762890899999997</v>
      </c>
      <c r="H1248" s="3">
        <v>7.2699999999999996E-8</v>
      </c>
      <c r="I1248" s="2" t="s">
        <v>28870</v>
      </c>
      <c r="J1248" s="2" t="s">
        <v>28871</v>
      </c>
      <c r="K1248" s="3">
        <v>2.6199999999999999E-6</v>
      </c>
      <c r="L1248" s="2" t="s">
        <v>848</v>
      </c>
      <c r="M1248" s="4" t="s">
        <v>28872</v>
      </c>
    </row>
    <row r="1249" spans="1:13">
      <c r="A1249" s="2">
        <v>3493</v>
      </c>
      <c r="B1249" s="2" t="s">
        <v>28873</v>
      </c>
      <c r="C1249" s="2">
        <v>16</v>
      </c>
      <c r="D1249" s="2">
        <v>568</v>
      </c>
      <c r="E1249" s="2">
        <v>161</v>
      </c>
      <c r="F1249" s="2">
        <v>32441</v>
      </c>
      <c r="G1249" s="2">
        <v>5.675968857</v>
      </c>
      <c r="H1249" s="3">
        <v>8.2599999999999998E-8</v>
      </c>
      <c r="I1249" s="2" t="s">
        <v>28874</v>
      </c>
      <c r="J1249" s="2" t="s">
        <v>28875</v>
      </c>
      <c r="K1249" s="3">
        <v>2.96E-6</v>
      </c>
      <c r="L1249" s="2" t="s">
        <v>848</v>
      </c>
      <c r="M1249" s="4" t="s">
        <v>28876</v>
      </c>
    </row>
    <row r="1250" spans="1:13">
      <c r="A1250" s="2">
        <v>1816</v>
      </c>
      <c r="B1250" s="2" t="s">
        <v>28877</v>
      </c>
      <c r="C1250" s="2">
        <v>14</v>
      </c>
      <c r="D1250" s="2">
        <v>568</v>
      </c>
      <c r="E1250" s="2">
        <v>120</v>
      </c>
      <c r="F1250" s="2">
        <v>32441</v>
      </c>
      <c r="G1250" s="2">
        <v>6.6633509389999999</v>
      </c>
      <c r="H1250" s="3">
        <v>8.79E-8</v>
      </c>
      <c r="I1250" s="2" t="s">
        <v>28878</v>
      </c>
      <c r="J1250" s="2" t="s">
        <v>28879</v>
      </c>
      <c r="K1250" s="3">
        <v>3.1300000000000001E-6</v>
      </c>
      <c r="L1250" s="2" t="s">
        <v>848</v>
      </c>
      <c r="M1250" s="4" t="s">
        <v>28880</v>
      </c>
    </row>
    <row r="1251" spans="1:13">
      <c r="A1251" s="2">
        <v>41661</v>
      </c>
      <c r="B1251" s="2" t="s">
        <v>28881</v>
      </c>
      <c r="C1251" s="2">
        <v>18</v>
      </c>
      <c r="D1251" s="2">
        <v>568</v>
      </c>
      <c r="E1251" s="2">
        <v>208</v>
      </c>
      <c r="F1251" s="2">
        <v>32441</v>
      </c>
      <c r="G1251" s="2">
        <v>4.9425954770000002</v>
      </c>
      <c r="H1251" s="3">
        <v>9.0699999999999998E-8</v>
      </c>
      <c r="I1251" s="2" t="s">
        <v>28882</v>
      </c>
      <c r="J1251" s="2" t="s">
        <v>28883</v>
      </c>
      <c r="K1251" s="3">
        <v>3.2100000000000002E-6</v>
      </c>
      <c r="L1251" s="2" t="s">
        <v>848</v>
      </c>
      <c r="M1251" s="4" t="s">
        <v>28884</v>
      </c>
    </row>
    <row r="1252" spans="1:13">
      <c r="A1252" s="2">
        <v>2732</v>
      </c>
      <c r="B1252" s="2" t="s">
        <v>28885</v>
      </c>
      <c r="C1252" s="2">
        <v>35</v>
      </c>
      <c r="D1252" s="2">
        <v>568</v>
      </c>
      <c r="E1252" s="2">
        <v>709</v>
      </c>
      <c r="F1252" s="2">
        <v>32441</v>
      </c>
      <c r="G1252" s="2">
        <v>2.8194714830000001</v>
      </c>
      <c r="H1252" s="3">
        <v>1.0700000000000001E-7</v>
      </c>
      <c r="I1252" s="2" t="s">
        <v>28886</v>
      </c>
      <c r="J1252" s="2" t="s">
        <v>28887</v>
      </c>
      <c r="K1252" s="3">
        <v>3.7699999999999999E-6</v>
      </c>
      <c r="L1252" s="2" t="s">
        <v>848</v>
      </c>
      <c r="M1252" s="4" t="s">
        <v>28888</v>
      </c>
    </row>
    <row r="1253" spans="1:13">
      <c r="A1253" s="2">
        <v>5165</v>
      </c>
      <c r="B1253" s="2" t="s">
        <v>28889</v>
      </c>
      <c r="C1253" s="2">
        <v>7</v>
      </c>
      <c r="D1253" s="2">
        <v>568</v>
      </c>
      <c r="E1253" s="2">
        <v>17</v>
      </c>
      <c r="F1253" s="2">
        <v>32441</v>
      </c>
      <c r="G1253" s="2">
        <v>23.517709199999999</v>
      </c>
      <c r="H1253" s="3">
        <v>1.1600000000000001E-7</v>
      </c>
      <c r="I1253" s="2" t="s">
        <v>28890</v>
      </c>
      <c r="J1253" s="2" t="s">
        <v>28891</v>
      </c>
      <c r="K1253" s="3">
        <v>4.0500000000000002E-6</v>
      </c>
      <c r="L1253" s="2" t="s">
        <v>848</v>
      </c>
      <c r="M1253" s="4" t="s">
        <v>28892</v>
      </c>
    </row>
    <row r="1254" spans="1:13">
      <c r="A1254" s="2">
        <v>5852</v>
      </c>
      <c r="B1254" s="2" t="s">
        <v>28893</v>
      </c>
      <c r="C1254" s="2">
        <v>10</v>
      </c>
      <c r="D1254" s="2">
        <v>568</v>
      </c>
      <c r="E1254" s="2">
        <v>53</v>
      </c>
      <c r="F1254" s="2">
        <v>32441</v>
      </c>
      <c r="G1254" s="2">
        <v>10.776308800000001</v>
      </c>
      <c r="H1254" s="3">
        <v>1.1899999999999999E-7</v>
      </c>
      <c r="I1254" s="2" t="s">
        <v>28894</v>
      </c>
      <c r="J1254" s="2" t="s">
        <v>28895</v>
      </c>
      <c r="K1254" s="3">
        <v>4.1300000000000003E-6</v>
      </c>
      <c r="L1254" s="2" t="s">
        <v>848</v>
      </c>
      <c r="M1254" s="4" t="s">
        <v>28896</v>
      </c>
    </row>
    <row r="1255" spans="1:13">
      <c r="A1255" s="2">
        <v>1089</v>
      </c>
      <c r="B1255" s="2" t="s">
        <v>28897</v>
      </c>
      <c r="C1255" s="2">
        <v>29</v>
      </c>
      <c r="D1255" s="2">
        <v>568</v>
      </c>
      <c r="E1255" s="2">
        <v>522</v>
      </c>
      <c r="F1255" s="2">
        <v>32441</v>
      </c>
      <c r="G1255" s="2">
        <v>3.1730242569999998</v>
      </c>
      <c r="H1255" s="3">
        <v>1.35E-7</v>
      </c>
      <c r="I1255" s="2" t="s">
        <v>28898</v>
      </c>
      <c r="J1255" s="2" t="s">
        <v>28899</v>
      </c>
      <c r="K1255" s="3">
        <v>4.6600000000000003E-6</v>
      </c>
      <c r="L1255" s="2" t="s">
        <v>848</v>
      </c>
      <c r="M1255" s="4" t="s">
        <v>28900</v>
      </c>
    </row>
    <row r="1256" spans="1:13">
      <c r="A1256" s="2">
        <v>1361</v>
      </c>
      <c r="B1256" s="2" t="s">
        <v>28901</v>
      </c>
      <c r="C1256" s="2">
        <v>30</v>
      </c>
      <c r="D1256" s="2">
        <v>568</v>
      </c>
      <c r="E1256" s="2">
        <v>554</v>
      </c>
      <c r="F1256" s="2">
        <v>32441</v>
      </c>
      <c r="G1256" s="2">
        <v>3.0928395279999998</v>
      </c>
      <c r="H1256" s="3">
        <v>1.3799999999999999E-7</v>
      </c>
      <c r="I1256" s="2" t="s">
        <v>28902</v>
      </c>
      <c r="J1256" s="2" t="s">
        <v>28903</v>
      </c>
      <c r="K1256" s="3">
        <v>4.7500000000000003E-6</v>
      </c>
      <c r="L1256" s="2" t="s">
        <v>848</v>
      </c>
      <c r="M1256" s="4" t="s">
        <v>28904</v>
      </c>
    </row>
    <row r="1257" spans="1:13">
      <c r="A1257" s="2">
        <v>2466</v>
      </c>
      <c r="B1257" s="2" t="s">
        <v>28905</v>
      </c>
      <c r="C1257" s="2">
        <v>18</v>
      </c>
      <c r="D1257" s="2">
        <v>568</v>
      </c>
      <c r="E1257" s="2">
        <v>215</v>
      </c>
      <c r="F1257" s="2">
        <v>32441</v>
      </c>
      <c r="G1257" s="2">
        <v>4.7816737639999998</v>
      </c>
      <c r="H1257" s="3">
        <v>1.4399999999999999E-7</v>
      </c>
      <c r="I1257" s="2" t="s">
        <v>28906</v>
      </c>
      <c r="J1257" s="2" t="s">
        <v>28907</v>
      </c>
      <c r="K1257" s="3">
        <v>4.9100000000000004E-6</v>
      </c>
      <c r="L1257" s="2" t="s">
        <v>848</v>
      </c>
      <c r="M1257" s="4" t="s">
        <v>28908</v>
      </c>
    </row>
    <row r="1258" spans="1:13">
      <c r="A1258" s="2">
        <v>4038</v>
      </c>
      <c r="B1258" s="2" t="s">
        <v>28909</v>
      </c>
      <c r="C1258" s="2">
        <v>26</v>
      </c>
      <c r="D1258" s="2">
        <v>568</v>
      </c>
      <c r="E1258" s="2">
        <v>433</v>
      </c>
      <c r="F1258" s="2">
        <v>32441</v>
      </c>
      <c r="G1258" s="2">
        <v>3.4295042769999999</v>
      </c>
      <c r="H1258" s="3">
        <v>1.4700000000000001E-7</v>
      </c>
      <c r="I1258" s="2" t="s">
        <v>28910</v>
      </c>
      <c r="J1258" s="2" t="s">
        <v>28911</v>
      </c>
      <c r="K1258" s="3">
        <v>5.0000000000000004E-6</v>
      </c>
      <c r="L1258" s="2" t="s">
        <v>848</v>
      </c>
      <c r="M1258" s="4" t="s">
        <v>28912</v>
      </c>
    </row>
    <row r="1259" spans="1:13">
      <c r="A1259" s="2">
        <v>2978</v>
      </c>
      <c r="B1259" s="2" t="s">
        <v>914</v>
      </c>
      <c r="C1259" s="2">
        <v>30</v>
      </c>
      <c r="D1259" s="2">
        <v>568</v>
      </c>
      <c r="E1259" s="2">
        <v>556</v>
      </c>
      <c r="F1259" s="2">
        <v>32441</v>
      </c>
      <c r="G1259" s="2">
        <v>3.081714206</v>
      </c>
      <c r="H1259" s="3">
        <v>1.49E-7</v>
      </c>
      <c r="I1259" s="2" t="s">
        <v>28913</v>
      </c>
      <c r="J1259" s="2" t="s">
        <v>28914</v>
      </c>
      <c r="K1259" s="3">
        <v>5.0300000000000001E-6</v>
      </c>
      <c r="L1259" s="2" t="s">
        <v>848</v>
      </c>
      <c r="M1259" s="4" t="s">
        <v>28915</v>
      </c>
    </row>
    <row r="1260" spans="1:13">
      <c r="A1260" s="2">
        <v>13501</v>
      </c>
      <c r="B1260" s="2" t="s">
        <v>28916</v>
      </c>
      <c r="C1260" s="2">
        <v>40</v>
      </c>
      <c r="D1260" s="2">
        <v>568</v>
      </c>
      <c r="E1260" s="2">
        <v>894</v>
      </c>
      <c r="F1260" s="2">
        <v>32441</v>
      </c>
      <c r="G1260" s="2">
        <v>2.5554557770000002</v>
      </c>
      <c r="H1260" s="3">
        <v>1.5900000000000001E-7</v>
      </c>
      <c r="I1260" s="2" t="s">
        <v>28917</v>
      </c>
      <c r="J1260" s="2" t="s">
        <v>28918</v>
      </c>
      <c r="K1260" s="3">
        <v>5.3299999999999998E-6</v>
      </c>
      <c r="L1260" s="2" t="s">
        <v>848</v>
      </c>
      <c r="M1260" s="4" t="s">
        <v>28919</v>
      </c>
    </row>
    <row r="1261" spans="1:13">
      <c r="A1261" s="2">
        <v>5200</v>
      </c>
      <c r="B1261" s="2" t="s">
        <v>28920</v>
      </c>
      <c r="C1261" s="2">
        <v>12</v>
      </c>
      <c r="D1261" s="2">
        <v>568</v>
      </c>
      <c r="E1261" s="2">
        <v>88</v>
      </c>
      <c r="F1261" s="2">
        <v>32441</v>
      </c>
      <c r="G1261" s="2">
        <v>7.7883322660000003</v>
      </c>
      <c r="H1261" s="3">
        <v>1.6E-7</v>
      </c>
      <c r="I1261" s="2" t="s">
        <v>28921</v>
      </c>
      <c r="J1261" s="2" t="s">
        <v>28922</v>
      </c>
      <c r="K1261" s="3">
        <v>5.3299999999999998E-6</v>
      </c>
      <c r="L1261" s="2" t="s">
        <v>848</v>
      </c>
      <c r="M1261" s="4" t="s">
        <v>28923</v>
      </c>
    </row>
    <row r="1262" spans="1:13">
      <c r="A1262" s="2">
        <v>21221</v>
      </c>
      <c r="B1262" s="2" t="s">
        <v>8723</v>
      </c>
      <c r="C1262" s="2">
        <v>68</v>
      </c>
      <c r="D1262" s="2">
        <v>568</v>
      </c>
      <c r="E1262" s="2">
        <v>1977</v>
      </c>
      <c r="F1262" s="2">
        <v>32441</v>
      </c>
      <c r="G1262" s="2">
        <v>1.9644823929999999</v>
      </c>
      <c r="H1262" s="3">
        <v>1.6299999999999999E-7</v>
      </c>
      <c r="I1262" s="3" t="s">
        <v>28924</v>
      </c>
      <c r="J1262" s="3" t="s">
        <v>28925</v>
      </c>
      <c r="K1262" s="3">
        <v>5.4099999999999999E-6</v>
      </c>
      <c r="L1262" s="2" t="s">
        <v>848</v>
      </c>
      <c r="M1262" s="4" t="s">
        <v>8726</v>
      </c>
    </row>
    <row r="1263" spans="1:13">
      <c r="A1263" s="2">
        <v>3495</v>
      </c>
      <c r="B1263" s="2" t="s">
        <v>28926</v>
      </c>
      <c r="C1263" s="2">
        <v>15</v>
      </c>
      <c r="D1263" s="2">
        <v>568</v>
      </c>
      <c r="E1263" s="2">
        <v>148</v>
      </c>
      <c r="F1263" s="2">
        <v>32441</v>
      </c>
      <c r="G1263" s="2">
        <v>5.7886253329999997</v>
      </c>
      <c r="H1263" s="3">
        <v>1.66E-7</v>
      </c>
      <c r="I1263" s="2" t="s">
        <v>28927</v>
      </c>
      <c r="J1263" s="2" t="s">
        <v>28928</v>
      </c>
      <c r="K1263" s="3">
        <v>5.4399999999999996E-6</v>
      </c>
      <c r="L1263" s="2" t="s">
        <v>848</v>
      </c>
      <c r="M1263" s="4" t="s">
        <v>28929</v>
      </c>
    </row>
    <row r="1264" spans="1:13">
      <c r="A1264" s="2">
        <v>4657</v>
      </c>
      <c r="B1264" s="2" t="s">
        <v>28930</v>
      </c>
      <c r="C1264" s="2">
        <v>11</v>
      </c>
      <c r="D1264" s="2">
        <v>568</v>
      </c>
      <c r="E1264" s="2">
        <v>71</v>
      </c>
      <c r="F1264" s="2">
        <v>32441</v>
      </c>
      <c r="G1264" s="2">
        <v>8.848715533</v>
      </c>
      <c r="H1264" s="3">
        <v>1.6500000000000001E-7</v>
      </c>
      <c r="I1264" s="2" t="s">
        <v>28931</v>
      </c>
      <c r="J1264" s="2" t="s">
        <v>28932</v>
      </c>
      <c r="K1264" s="3">
        <v>5.4399999999999996E-6</v>
      </c>
      <c r="L1264" s="2" t="s">
        <v>848</v>
      </c>
      <c r="M1264" s="4" t="s">
        <v>28933</v>
      </c>
    </row>
    <row r="1265" spans="1:13">
      <c r="A1265" s="2">
        <v>278</v>
      </c>
      <c r="B1265" s="2" t="s">
        <v>28934</v>
      </c>
      <c r="C1265" s="2">
        <v>19</v>
      </c>
      <c r="D1265" s="2">
        <v>568</v>
      </c>
      <c r="E1265" s="2">
        <v>243</v>
      </c>
      <c r="F1265" s="2">
        <v>32441</v>
      </c>
      <c r="G1265" s="2">
        <v>4.4657378430000003</v>
      </c>
      <c r="H1265" s="3">
        <v>1.7499999999999999E-7</v>
      </c>
      <c r="I1265" s="2" t="s">
        <v>28935</v>
      </c>
      <c r="J1265" s="2" t="s">
        <v>28936</v>
      </c>
      <c r="K1265" s="3">
        <v>5.7200000000000003E-6</v>
      </c>
      <c r="L1265" s="2" t="s">
        <v>848</v>
      </c>
      <c r="M1265" s="4" t="s">
        <v>28937</v>
      </c>
    </row>
    <row r="1266" spans="1:13">
      <c r="A1266" s="2">
        <v>5374</v>
      </c>
      <c r="B1266" s="2" t="s">
        <v>9134</v>
      </c>
      <c r="C1266" s="2">
        <v>27</v>
      </c>
      <c r="D1266" s="2">
        <v>568</v>
      </c>
      <c r="E1266" s="2">
        <v>471</v>
      </c>
      <c r="F1266" s="2">
        <v>32441</v>
      </c>
      <c r="G1266" s="2">
        <v>3.2740759850000001</v>
      </c>
      <c r="H1266" s="3">
        <v>2.03E-7</v>
      </c>
      <c r="I1266" s="2" t="s">
        <v>28938</v>
      </c>
      <c r="J1266" s="2" t="s">
        <v>28939</v>
      </c>
      <c r="K1266" s="3">
        <v>6.6100000000000002E-6</v>
      </c>
      <c r="L1266" s="2" t="s">
        <v>848</v>
      </c>
      <c r="M1266" s="4" t="s">
        <v>9137</v>
      </c>
    </row>
    <row r="1267" spans="1:13">
      <c r="A1267" s="2">
        <v>5492</v>
      </c>
      <c r="B1267" s="2" t="s">
        <v>28940</v>
      </c>
      <c r="C1267" s="2">
        <v>11</v>
      </c>
      <c r="D1267" s="2">
        <v>568</v>
      </c>
      <c r="E1267" s="2">
        <v>73</v>
      </c>
      <c r="F1267" s="2">
        <v>32441</v>
      </c>
      <c r="G1267" s="2">
        <v>8.6062849700000008</v>
      </c>
      <c r="H1267" s="3">
        <v>2.1299999999999999E-7</v>
      </c>
      <c r="I1267" s="2" t="s">
        <v>28941</v>
      </c>
      <c r="J1267" s="2" t="s">
        <v>28942</v>
      </c>
      <c r="K1267" s="3">
        <v>6.8700000000000003E-6</v>
      </c>
      <c r="L1267" s="2" t="s">
        <v>848</v>
      </c>
      <c r="M1267" s="4" t="s">
        <v>28943</v>
      </c>
    </row>
    <row r="1268" spans="1:13">
      <c r="A1268" s="2">
        <v>5101</v>
      </c>
      <c r="B1268" s="2" t="s">
        <v>11444</v>
      </c>
      <c r="C1268" s="2">
        <v>38</v>
      </c>
      <c r="D1268" s="2">
        <v>568</v>
      </c>
      <c r="E1268" s="2">
        <v>838</v>
      </c>
      <c r="F1268" s="2">
        <v>32441</v>
      </c>
      <c r="G1268" s="2">
        <v>2.5899147870000001</v>
      </c>
      <c r="H1268" s="3">
        <v>2.3699999999999999E-7</v>
      </c>
      <c r="I1268" s="2" t="s">
        <v>28944</v>
      </c>
      <c r="J1268" s="2" t="s">
        <v>28945</v>
      </c>
      <c r="K1268" s="3">
        <v>7.6000000000000001E-6</v>
      </c>
      <c r="L1268" s="2" t="s">
        <v>848</v>
      </c>
      <c r="M1268" s="4" t="s">
        <v>11447</v>
      </c>
    </row>
    <row r="1269" spans="1:13">
      <c r="A1269" s="2">
        <v>4831</v>
      </c>
      <c r="B1269" s="2" t="s">
        <v>1093</v>
      </c>
      <c r="C1269" s="2">
        <v>9</v>
      </c>
      <c r="D1269" s="2">
        <v>568</v>
      </c>
      <c r="E1269" s="2">
        <v>43</v>
      </c>
      <c r="F1269" s="2">
        <v>32441</v>
      </c>
      <c r="G1269" s="2">
        <v>11.95418441</v>
      </c>
      <c r="H1269" s="3">
        <v>2.3699999999999999E-7</v>
      </c>
      <c r="I1269" s="2" t="s">
        <v>28946</v>
      </c>
      <c r="J1269" s="2" t="s">
        <v>28947</v>
      </c>
      <c r="K1269" s="3">
        <v>7.6000000000000001E-6</v>
      </c>
      <c r="L1269" s="2" t="s">
        <v>848</v>
      </c>
      <c r="M1269" s="4" t="s">
        <v>28948</v>
      </c>
    </row>
    <row r="1270" spans="1:13">
      <c r="A1270" s="2">
        <v>4491</v>
      </c>
      <c r="B1270" s="2" t="s">
        <v>28949</v>
      </c>
      <c r="C1270" s="2">
        <v>14</v>
      </c>
      <c r="D1270" s="2">
        <v>568</v>
      </c>
      <c r="E1270" s="2">
        <v>134</v>
      </c>
      <c r="F1270" s="2">
        <v>32441</v>
      </c>
      <c r="G1270" s="2">
        <v>5.9671799449999998</v>
      </c>
      <c r="H1270" s="3">
        <v>3.0400000000000002E-7</v>
      </c>
      <c r="I1270" s="2" t="s">
        <v>28950</v>
      </c>
      <c r="J1270" s="2" t="s">
        <v>28951</v>
      </c>
      <c r="K1270" s="3">
        <v>9.6600000000000007E-6</v>
      </c>
      <c r="L1270" s="2" t="s">
        <v>848</v>
      </c>
      <c r="M1270" s="4" t="s">
        <v>28952</v>
      </c>
    </row>
    <row r="1271" spans="1:13">
      <c r="A1271" s="2">
        <v>6091</v>
      </c>
      <c r="B1271" s="2" t="s">
        <v>28953</v>
      </c>
      <c r="C1271" s="2">
        <v>19</v>
      </c>
      <c r="D1271" s="2">
        <v>568</v>
      </c>
      <c r="E1271" s="2">
        <v>255</v>
      </c>
      <c r="F1271" s="2">
        <v>32441</v>
      </c>
      <c r="G1271" s="2">
        <v>4.2555854740000001</v>
      </c>
      <c r="H1271" s="3">
        <v>3.4900000000000001E-7</v>
      </c>
      <c r="I1271" s="2" t="s">
        <v>28954</v>
      </c>
      <c r="J1271" s="2" t="s">
        <v>28955</v>
      </c>
      <c r="K1271" s="3">
        <v>1.1E-5</v>
      </c>
      <c r="L1271" s="2" t="s">
        <v>848</v>
      </c>
      <c r="M1271" s="4" t="s">
        <v>28956</v>
      </c>
    </row>
    <row r="1272" spans="1:13">
      <c r="A1272" s="2">
        <v>3717</v>
      </c>
      <c r="B1272" s="2" t="s">
        <v>28957</v>
      </c>
      <c r="C1272" s="2">
        <v>50</v>
      </c>
      <c r="D1272" s="2">
        <v>568</v>
      </c>
      <c r="E1272" s="2">
        <v>1297</v>
      </c>
      <c r="F1272" s="2">
        <v>32441</v>
      </c>
      <c r="G1272" s="2">
        <v>2.2017901549999999</v>
      </c>
      <c r="H1272" s="3">
        <v>3.5600000000000001E-7</v>
      </c>
      <c r="I1272" s="3" t="s">
        <v>28958</v>
      </c>
      <c r="J1272" s="3" t="s">
        <v>28959</v>
      </c>
      <c r="K1272" s="3">
        <v>1.1199999999999999E-5</v>
      </c>
      <c r="L1272" s="2" t="s">
        <v>848</v>
      </c>
      <c r="M1272" s="4" t="s">
        <v>28960</v>
      </c>
    </row>
    <row r="1273" spans="1:13">
      <c r="A1273" s="2">
        <v>3974</v>
      </c>
      <c r="B1273" s="2" t="s">
        <v>28961</v>
      </c>
      <c r="C1273" s="2">
        <v>6</v>
      </c>
      <c r="D1273" s="2">
        <v>568</v>
      </c>
      <c r="E1273" s="2">
        <v>12</v>
      </c>
      <c r="F1273" s="2">
        <v>32441</v>
      </c>
      <c r="G1273" s="2">
        <v>28.55721831</v>
      </c>
      <c r="H1273" s="3">
        <v>3.9400000000000001E-7</v>
      </c>
      <c r="I1273" s="2" t="s">
        <v>28962</v>
      </c>
      <c r="J1273" s="2" t="s">
        <v>28963</v>
      </c>
      <c r="K1273" s="3">
        <v>1.2300000000000001E-5</v>
      </c>
      <c r="L1273" s="2" t="s">
        <v>848</v>
      </c>
      <c r="M1273" s="4" t="s">
        <v>28964</v>
      </c>
    </row>
    <row r="1274" spans="1:13">
      <c r="A1274" s="2">
        <v>4027</v>
      </c>
      <c r="B1274" s="2" t="s">
        <v>28965</v>
      </c>
      <c r="C1274" s="2">
        <v>6</v>
      </c>
      <c r="D1274" s="2">
        <v>568</v>
      </c>
      <c r="E1274" s="2">
        <v>12</v>
      </c>
      <c r="F1274" s="2">
        <v>32441</v>
      </c>
      <c r="G1274" s="2">
        <v>28.55721831</v>
      </c>
      <c r="H1274" s="3">
        <v>3.9400000000000001E-7</v>
      </c>
      <c r="I1274" s="2" t="s">
        <v>28966</v>
      </c>
      <c r="J1274" s="2" t="s">
        <v>28967</v>
      </c>
      <c r="K1274" s="3">
        <v>1.2300000000000001E-5</v>
      </c>
      <c r="L1274" s="2" t="s">
        <v>848</v>
      </c>
      <c r="M1274" s="4" t="s">
        <v>28968</v>
      </c>
    </row>
    <row r="1275" spans="1:13">
      <c r="A1275" s="2">
        <v>2590</v>
      </c>
      <c r="B1275" s="2" t="s">
        <v>28969</v>
      </c>
      <c r="C1275" s="2">
        <v>14</v>
      </c>
      <c r="D1275" s="2">
        <v>568</v>
      </c>
      <c r="E1275" s="2">
        <v>138</v>
      </c>
      <c r="F1275" s="2">
        <v>32441</v>
      </c>
      <c r="G1275" s="2">
        <v>5.7942182080000002</v>
      </c>
      <c r="H1275" s="3">
        <v>4.2199999999999999E-7</v>
      </c>
      <c r="I1275" s="2" t="s">
        <v>28970</v>
      </c>
      <c r="J1275" s="2" t="s">
        <v>28971</v>
      </c>
      <c r="K1275" s="3">
        <v>1.31E-5</v>
      </c>
      <c r="L1275" s="2" t="s">
        <v>848</v>
      </c>
      <c r="M1275" s="4" t="s">
        <v>28972</v>
      </c>
    </row>
    <row r="1276" spans="1:13">
      <c r="A1276" s="2">
        <v>5143</v>
      </c>
      <c r="B1276" s="2" t="s">
        <v>28973</v>
      </c>
      <c r="C1276" s="2">
        <v>21</v>
      </c>
      <c r="D1276" s="2">
        <v>568</v>
      </c>
      <c r="E1276" s="2">
        <v>313</v>
      </c>
      <c r="F1276" s="2">
        <v>32441</v>
      </c>
      <c r="G1276" s="2">
        <v>3.8319590059999999</v>
      </c>
      <c r="H1276" s="3">
        <v>4.3300000000000003E-7</v>
      </c>
      <c r="I1276" s="2" t="s">
        <v>28974</v>
      </c>
      <c r="J1276" s="2" t="s">
        <v>28975</v>
      </c>
      <c r="K1276" s="3">
        <v>1.33E-5</v>
      </c>
      <c r="L1276" s="2" t="s">
        <v>848</v>
      </c>
      <c r="M1276" s="4" t="s">
        <v>28976</v>
      </c>
    </row>
    <row r="1277" spans="1:13">
      <c r="A1277" s="2">
        <v>1561</v>
      </c>
      <c r="B1277" s="2" t="s">
        <v>28977</v>
      </c>
      <c r="C1277" s="2">
        <v>14</v>
      </c>
      <c r="D1277" s="2">
        <v>568</v>
      </c>
      <c r="E1277" s="2">
        <v>139</v>
      </c>
      <c r="F1277" s="2">
        <v>32441</v>
      </c>
      <c r="G1277" s="2">
        <v>5.7525331849999999</v>
      </c>
      <c r="H1277" s="3">
        <v>4.5699999999999998E-7</v>
      </c>
      <c r="I1277" s="2" t="s">
        <v>28978</v>
      </c>
      <c r="J1277" s="2" t="s">
        <v>28979</v>
      </c>
      <c r="K1277" s="3">
        <v>1.3900000000000001E-5</v>
      </c>
      <c r="L1277" s="2" t="s">
        <v>848</v>
      </c>
      <c r="M1277" s="4" t="s">
        <v>28980</v>
      </c>
    </row>
    <row r="1278" spans="1:13">
      <c r="A1278" s="2">
        <v>5082</v>
      </c>
      <c r="B1278" s="2" t="s">
        <v>28981</v>
      </c>
      <c r="C1278" s="2">
        <v>12</v>
      </c>
      <c r="D1278" s="2">
        <v>568</v>
      </c>
      <c r="E1278" s="2">
        <v>98</v>
      </c>
      <c r="F1278" s="2">
        <v>32441</v>
      </c>
      <c r="G1278" s="2">
        <v>6.9936044839999996</v>
      </c>
      <c r="H1278" s="3">
        <v>4.5699999999999998E-7</v>
      </c>
      <c r="I1278" s="2" t="s">
        <v>28982</v>
      </c>
      <c r="J1278" s="2" t="s">
        <v>28983</v>
      </c>
      <c r="K1278" s="3">
        <v>1.3900000000000001E-5</v>
      </c>
      <c r="L1278" s="2" t="s">
        <v>848</v>
      </c>
      <c r="M1278" s="4" t="s">
        <v>28984</v>
      </c>
    </row>
    <row r="1279" spans="1:13">
      <c r="A1279" s="2">
        <v>1503</v>
      </c>
      <c r="B1279" s="2" t="s">
        <v>28985</v>
      </c>
      <c r="C1279" s="2">
        <v>24</v>
      </c>
      <c r="D1279" s="2">
        <v>568</v>
      </c>
      <c r="E1279" s="2">
        <v>406</v>
      </c>
      <c r="F1279" s="2">
        <v>32441</v>
      </c>
      <c r="G1279" s="2">
        <v>3.3762228539999999</v>
      </c>
      <c r="H1279" s="3">
        <v>5.7599999999999997E-7</v>
      </c>
      <c r="I1279" s="2" t="s">
        <v>28986</v>
      </c>
      <c r="J1279" s="2" t="s">
        <v>28987</v>
      </c>
      <c r="K1279" s="3">
        <v>1.7499999999999998E-5</v>
      </c>
      <c r="L1279" s="2" t="s">
        <v>848</v>
      </c>
      <c r="M1279" s="4" t="s">
        <v>28988</v>
      </c>
    </row>
    <row r="1280" spans="1:13">
      <c r="A1280" s="2">
        <v>2830</v>
      </c>
      <c r="B1280" s="2" t="s">
        <v>911</v>
      </c>
      <c r="C1280" s="2">
        <v>32</v>
      </c>
      <c r="D1280" s="2">
        <v>568</v>
      </c>
      <c r="E1280" s="2">
        <v>662</v>
      </c>
      <c r="F1280" s="2">
        <v>32441</v>
      </c>
      <c r="G1280" s="2">
        <v>2.7608186890000002</v>
      </c>
      <c r="H1280" s="3">
        <v>5.8500000000000001E-7</v>
      </c>
      <c r="I1280" s="2" t="s">
        <v>28989</v>
      </c>
      <c r="J1280" s="2" t="s">
        <v>28990</v>
      </c>
      <c r="K1280" s="3">
        <v>1.77E-5</v>
      </c>
      <c r="L1280" s="2" t="s">
        <v>848</v>
      </c>
      <c r="M1280" s="4" t="s">
        <v>9107</v>
      </c>
    </row>
    <row r="1281" spans="1:13">
      <c r="A1281" s="2">
        <v>1249</v>
      </c>
      <c r="B1281" s="2" t="s">
        <v>28991</v>
      </c>
      <c r="C1281" s="2">
        <v>22</v>
      </c>
      <c r="D1281" s="2">
        <v>568</v>
      </c>
      <c r="E1281" s="2">
        <v>348</v>
      </c>
      <c r="F1281" s="2">
        <v>32441</v>
      </c>
      <c r="G1281" s="2">
        <v>3.6106827749999999</v>
      </c>
      <c r="H1281" s="3">
        <v>5.9400000000000005E-7</v>
      </c>
      <c r="I1281" s="2" t="s">
        <v>28992</v>
      </c>
      <c r="J1281" s="2" t="s">
        <v>28993</v>
      </c>
      <c r="K1281" s="3">
        <v>1.7799999999999999E-5</v>
      </c>
      <c r="L1281" s="2" t="s">
        <v>848</v>
      </c>
      <c r="M1281" s="4" t="s">
        <v>28994</v>
      </c>
    </row>
    <row r="1282" spans="1:13">
      <c r="A1282" s="2">
        <v>2175</v>
      </c>
      <c r="B1282" s="2" t="s">
        <v>28995</v>
      </c>
      <c r="C1282" s="2">
        <v>15</v>
      </c>
      <c r="D1282" s="2">
        <v>568</v>
      </c>
      <c r="E1282" s="2">
        <v>165</v>
      </c>
      <c r="F1282" s="2">
        <v>32441</v>
      </c>
      <c r="G1282" s="2">
        <v>5.1922215109999996</v>
      </c>
      <c r="H1282" s="3">
        <v>5.99E-7</v>
      </c>
      <c r="I1282" s="2" t="s">
        <v>28996</v>
      </c>
      <c r="J1282" s="2" t="s">
        <v>28997</v>
      </c>
      <c r="K1282" s="3">
        <v>1.7799999999999999E-5</v>
      </c>
      <c r="L1282" s="2" t="s">
        <v>848</v>
      </c>
      <c r="M1282" s="4" t="s">
        <v>28998</v>
      </c>
    </row>
    <row r="1283" spans="1:13">
      <c r="A1283" s="2">
        <v>4885</v>
      </c>
      <c r="B1283" s="2" t="s">
        <v>28999</v>
      </c>
      <c r="C1283" s="2">
        <v>13</v>
      </c>
      <c r="D1283" s="2">
        <v>568</v>
      </c>
      <c r="E1283" s="2">
        <v>121</v>
      </c>
      <c r="F1283" s="2">
        <v>32441</v>
      </c>
      <c r="G1283" s="2">
        <v>6.1362617860000004</v>
      </c>
      <c r="H1283" s="3">
        <v>5.9999999999999997E-7</v>
      </c>
      <c r="I1283" s="2" t="s">
        <v>29000</v>
      </c>
      <c r="J1283" s="2" t="s">
        <v>29001</v>
      </c>
      <c r="K1283" s="3">
        <v>1.7799999999999999E-5</v>
      </c>
      <c r="L1283" s="2" t="s">
        <v>848</v>
      </c>
      <c r="M1283" s="4" t="s">
        <v>29002</v>
      </c>
    </row>
    <row r="1284" spans="1:13">
      <c r="A1284" s="2">
        <v>4048</v>
      </c>
      <c r="B1284" s="2" t="s">
        <v>29003</v>
      </c>
      <c r="C1284" s="2">
        <v>38</v>
      </c>
      <c r="D1284" s="2">
        <v>568</v>
      </c>
      <c r="E1284" s="2">
        <v>872</v>
      </c>
      <c r="F1284" s="2">
        <v>32441</v>
      </c>
      <c r="G1284" s="2">
        <v>2.4889318710000001</v>
      </c>
      <c r="H1284" s="3">
        <v>6.0500000000000003E-7</v>
      </c>
      <c r="I1284" s="2" t="s">
        <v>29004</v>
      </c>
      <c r="J1284" s="2" t="s">
        <v>29005</v>
      </c>
      <c r="K1284" s="3">
        <v>1.7900000000000001E-5</v>
      </c>
      <c r="L1284" s="2" t="s">
        <v>848</v>
      </c>
      <c r="M1284" s="4" t="s">
        <v>29006</v>
      </c>
    </row>
    <row r="1285" spans="1:13">
      <c r="A1285" s="2">
        <v>5890</v>
      </c>
      <c r="B1285" s="2" t="s">
        <v>29007</v>
      </c>
      <c r="C1285" s="2">
        <v>12</v>
      </c>
      <c r="D1285" s="2">
        <v>568</v>
      </c>
      <c r="E1285" s="2">
        <v>101</v>
      </c>
      <c r="F1285" s="2">
        <v>32441</v>
      </c>
      <c r="G1285" s="2">
        <v>6.7858736579999999</v>
      </c>
      <c r="H1285" s="3">
        <v>6.13E-7</v>
      </c>
      <c r="I1285" s="2" t="s">
        <v>29008</v>
      </c>
      <c r="J1285" s="2" t="s">
        <v>29009</v>
      </c>
      <c r="K1285" s="3">
        <v>1.8E-5</v>
      </c>
      <c r="L1285" s="2" t="s">
        <v>848</v>
      </c>
      <c r="M1285" s="4" t="s">
        <v>29010</v>
      </c>
    </row>
    <row r="1286" spans="1:13">
      <c r="A1286" s="2">
        <v>3364</v>
      </c>
      <c r="B1286" s="2" t="s">
        <v>1139</v>
      </c>
      <c r="C1286" s="2">
        <v>55</v>
      </c>
      <c r="D1286" s="2">
        <v>568</v>
      </c>
      <c r="E1286" s="2">
        <v>1527</v>
      </c>
      <c r="F1286" s="2">
        <v>32441</v>
      </c>
      <c r="G1286" s="2">
        <v>2.057167003</v>
      </c>
      <c r="H1286" s="3">
        <v>7.0999999999999998E-7</v>
      </c>
      <c r="I1286" s="3" t="s">
        <v>29011</v>
      </c>
      <c r="J1286" s="3" t="s">
        <v>29012</v>
      </c>
      <c r="K1286" s="3">
        <v>2.0800000000000001E-5</v>
      </c>
      <c r="L1286" s="2" t="s">
        <v>848</v>
      </c>
      <c r="M1286" s="4" t="s">
        <v>29013</v>
      </c>
    </row>
    <row r="1287" spans="1:13">
      <c r="A1287" s="2">
        <v>3835</v>
      </c>
      <c r="B1287" s="2" t="s">
        <v>29014</v>
      </c>
      <c r="C1287" s="2">
        <v>9</v>
      </c>
      <c r="D1287" s="2">
        <v>568</v>
      </c>
      <c r="E1287" s="2">
        <v>50</v>
      </c>
      <c r="F1287" s="2">
        <v>32441</v>
      </c>
      <c r="G1287" s="2">
        <v>10.28059859</v>
      </c>
      <c r="H1287" s="3">
        <v>7.2600000000000002E-7</v>
      </c>
      <c r="I1287" s="2" t="s">
        <v>29015</v>
      </c>
      <c r="J1287" s="2" t="s">
        <v>29016</v>
      </c>
      <c r="K1287" s="3">
        <v>2.1100000000000001E-5</v>
      </c>
      <c r="L1287" s="2" t="s">
        <v>848</v>
      </c>
      <c r="M1287" s="4" t="s">
        <v>29017</v>
      </c>
    </row>
    <row r="1288" spans="1:13">
      <c r="A1288" s="2">
        <v>4141</v>
      </c>
      <c r="B1288" s="2" t="s">
        <v>29018</v>
      </c>
      <c r="C1288" s="2">
        <v>14</v>
      </c>
      <c r="D1288" s="2">
        <v>568</v>
      </c>
      <c r="E1288" s="2">
        <v>145</v>
      </c>
      <c r="F1288" s="2">
        <v>32441</v>
      </c>
      <c r="G1288" s="2">
        <v>5.5144973290000001</v>
      </c>
      <c r="H1288" s="3">
        <v>7.3E-7</v>
      </c>
      <c r="I1288" s="2" t="s">
        <v>29019</v>
      </c>
      <c r="J1288" s="2" t="s">
        <v>29020</v>
      </c>
      <c r="K1288" s="3">
        <v>2.1100000000000001E-5</v>
      </c>
      <c r="L1288" s="2" t="s">
        <v>848</v>
      </c>
      <c r="M1288" s="4" t="s">
        <v>29021</v>
      </c>
    </row>
    <row r="1289" spans="1:13">
      <c r="A1289" s="2">
        <v>4928</v>
      </c>
      <c r="B1289" s="2" t="s">
        <v>29022</v>
      </c>
      <c r="C1289" s="2">
        <v>14</v>
      </c>
      <c r="D1289" s="2">
        <v>568</v>
      </c>
      <c r="E1289" s="2">
        <v>145</v>
      </c>
      <c r="F1289" s="2">
        <v>32441</v>
      </c>
      <c r="G1289" s="2">
        <v>5.5144973290000001</v>
      </c>
      <c r="H1289" s="3">
        <v>7.3E-7</v>
      </c>
      <c r="I1289" s="2" t="s">
        <v>29023</v>
      </c>
      <c r="J1289" s="2" t="s">
        <v>29024</v>
      </c>
      <c r="K1289" s="3">
        <v>2.1100000000000001E-5</v>
      </c>
      <c r="L1289" s="2" t="s">
        <v>848</v>
      </c>
      <c r="M1289" s="4" t="s">
        <v>29025</v>
      </c>
    </row>
    <row r="1290" spans="1:13">
      <c r="A1290" s="2">
        <v>5100</v>
      </c>
      <c r="B1290" s="2" t="s">
        <v>29026</v>
      </c>
      <c r="C1290" s="2">
        <v>15</v>
      </c>
      <c r="D1290" s="2">
        <v>568</v>
      </c>
      <c r="E1290" s="2">
        <v>168</v>
      </c>
      <c r="F1290" s="2">
        <v>32441</v>
      </c>
      <c r="G1290" s="2">
        <v>5.0995032699999996</v>
      </c>
      <c r="H1290" s="3">
        <v>7.3900000000000004E-7</v>
      </c>
      <c r="I1290" s="2" t="s">
        <v>29027</v>
      </c>
      <c r="J1290" s="2" t="s">
        <v>29028</v>
      </c>
      <c r="K1290" s="3">
        <v>2.12E-5</v>
      </c>
      <c r="L1290" s="2" t="s">
        <v>848</v>
      </c>
      <c r="M1290" s="4" t="s">
        <v>29029</v>
      </c>
    </row>
    <row r="1291" spans="1:13">
      <c r="A1291" s="2">
        <v>5389</v>
      </c>
      <c r="B1291" s="2" t="s">
        <v>29030</v>
      </c>
      <c r="C1291" s="2">
        <v>8</v>
      </c>
      <c r="D1291" s="2">
        <v>568</v>
      </c>
      <c r="E1291" s="2">
        <v>36</v>
      </c>
      <c r="F1291" s="2">
        <v>32441</v>
      </c>
      <c r="G1291" s="2">
        <v>12.692097029999999</v>
      </c>
      <c r="H1291" s="3">
        <v>7.5199999999999996E-7</v>
      </c>
      <c r="I1291" s="2" t="s">
        <v>29031</v>
      </c>
      <c r="J1291" s="2" t="s">
        <v>29032</v>
      </c>
      <c r="K1291" s="3">
        <v>2.1500000000000001E-5</v>
      </c>
      <c r="L1291" s="2" t="s">
        <v>848</v>
      </c>
      <c r="M1291" s="4" t="s">
        <v>29033</v>
      </c>
    </row>
    <row r="1292" spans="1:13">
      <c r="A1292" s="2">
        <v>1724</v>
      </c>
      <c r="B1292" s="2" t="s">
        <v>29034</v>
      </c>
      <c r="C1292" s="2">
        <v>18</v>
      </c>
      <c r="D1292" s="2">
        <v>568</v>
      </c>
      <c r="E1292" s="2">
        <v>243</v>
      </c>
      <c r="F1292" s="2">
        <v>32441</v>
      </c>
      <c r="G1292" s="2">
        <v>4.2306990090000003</v>
      </c>
      <c r="H1292" s="3">
        <v>7.6499999999999998E-7</v>
      </c>
      <c r="I1292" s="2" t="s">
        <v>29035</v>
      </c>
      <c r="J1292" s="2" t="s">
        <v>29036</v>
      </c>
      <c r="K1292" s="3">
        <v>2.1800000000000001E-5</v>
      </c>
      <c r="L1292" s="2" t="s">
        <v>848</v>
      </c>
      <c r="M1292" s="4" t="s">
        <v>29037</v>
      </c>
    </row>
    <row r="1293" spans="1:13">
      <c r="A1293" s="2">
        <v>3322</v>
      </c>
      <c r="B1293" s="2" t="s">
        <v>29038</v>
      </c>
      <c r="C1293" s="2">
        <v>14</v>
      </c>
      <c r="D1293" s="2">
        <v>568</v>
      </c>
      <c r="E1293" s="2">
        <v>146</v>
      </c>
      <c r="F1293" s="2">
        <v>32441</v>
      </c>
      <c r="G1293" s="2">
        <v>5.4767267989999997</v>
      </c>
      <c r="H1293" s="3">
        <v>7.8700000000000005E-7</v>
      </c>
      <c r="I1293" s="2" t="s">
        <v>29039</v>
      </c>
      <c r="J1293" s="2" t="s">
        <v>29040</v>
      </c>
      <c r="K1293" s="3">
        <v>2.23E-5</v>
      </c>
      <c r="L1293" s="2" t="s">
        <v>848</v>
      </c>
      <c r="M1293" s="4" t="s">
        <v>29041</v>
      </c>
    </row>
    <row r="1294" spans="1:13">
      <c r="A1294" s="2">
        <v>3674</v>
      </c>
      <c r="B1294" s="2" t="s">
        <v>29042</v>
      </c>
      <c r="C1294" s="2">
        <v>16</v>
      </c>
      <c r="D1294" s="2">
        <v>568</v>
      </c>
      <c r="E1294" s="2">
        <v>194</v>
      </c>
      <c r="F1294" s="2">
        <v>32441</v>
      </c>
      <c r="G1294" s="2">
        <v>4.7104689999999998</v>
      </c>
      <c r="H1294" s="3">
        <v>8.47E-7</v>
      </c>
      <c r="I1294" s="2" t="s">
        <v>29043</v>
      </c>
      <c r="J1294" s="2" t="s">
        <v>29044</v>
      </c>
      <c r="K1294" s="3">
        <v>2.3900000000000002E-5</v>
      </c>
      <c r="L1294" s="2" t="s">
        <v>848</v>
      </c>
      <c r="M1294" s="4" t="s">
        <v>29045</v>
      </c>
    </row>
    <row r="1295" spans="1:13">
      <c r="A1295" s="2">
        <v>5664</v>
      </c>
      <c r="B1295" s="2" t="s">
        <v>29046</v>
      </c>
      <c r="C1295" s="2">
        <v>14</v>
      </c>
      <c r="D1295" s="2">
        <v>568</v>
      </c>
      <c r="E1295" s="2">
        <v>148</v>
      </c>
      <c r="F1295" s="2">
        <v>32441</v>
      </c>
      <c r="G1295" s="2">
        <v>5.4027169779999999</v>
      </c>
      <c r="H1295" s="3">
        <v>9.1500000000000003E-7</v>
      </c>
      <c r="I1295" s="2" t="s">
        <v>29047</v>
      </c>
      <c r="J1295" s="2" t="s">
        <v>29048</v>
      </c>
      <c r="K1295" s="3">
        <v>2.55E-5</v>
      </c>
      <c r="L1295" s="2" t="s">
        <v>848</v>
      </c>
      <c r="M1295" s="4" t="s">
        <v>29049</v>
      </c>
    </row>
    <row r="1296" spans="1:13">
      <c r="A1296" s="2">
        <v>1362</v>
      </c>
      <c r="B1296" s="2" t="s">
        <v>29050</v>
      </c>
      <c r="C1296" s="2">
        <v>19</v>
      </c>
      <c r="D1296" s="2">
        <v>568</v>
      </c>
      <c r="E1296" s="2">
        <v>273</v>
      </c>
      <c r="F1296" s="2">
        <v>32441</v>
      </c>
      <c r="G1296" s="2">
        <v>3.9749974199999998</v>
      </c>
      <c r="H1296" s="3">
        <v>9.1500000000000003E-7</v>
      </c>
      <c r="I1296" s="2" t="s">
        <v>29051</v>
      </c>
      <c r="J1296" s="2" t="s">
        <v>29052</v>
      </c>
      <c r="K1296" s="3">
        <v>2.55E-5</v>
      </c>
      <c r="L1296" s="2" t="s">
        <v>848</v>
      </c>
      <c r="M1296" s="4" t="s">
        <v>29053</v>
      </c>
    </row>
    <row r="1297" spans="1:13">
      <c r="A1297" s="2">
        <v>3084</v>
      </c>
      <c r="B1297" s="2" t="s">
        <v>29054</v>
      </c>
      <c r="C1297" s="2">
        <v>14</v>
      </c>
      <c r="D1297" s="2">
        <v>568</v>
      </c>
      <c r="E1297" s="2">
        <v>150</v>
      </c>
      <c r="F1297" s="2">
        <v>32441</v>
      </c>
      <c r="G1297" s="2">
        <v>5.3306807510000001</v>
      </c>
      <c r="H1297" s="3">
        <v>1.06E-6</v>
      </c>
      <c r="I1297" s="2" t="s">
        <v>29055</v>
      </c>
      <c r="J1297" s="2" t="s">
        <v>29056</v>
      </c>
      <c r="K1297" s="3">
        <v>2.9499999999999999E-5</v>
      </c>
      <c r="L1297" s="2" t="s">
        <v>848</v>
      </c>
      <c r="M1297" s="4" t="s">
        <v>29057</v>
      </c>
    </row>
    <row r="1298" spans="1:13">
      <c r="A1298" s="2">
        <v>70</v>
      </c>
      <c r="B1298" s="2" t="s">
        <v>29058</v>
      </c>
      <c r="C1298" s="2">
        <v>6</v>
      </c>
      <c r="D1298" s="2">
        <v>568</v>
      </c>
      <c r="E1298" s="2">
        <v>15</v>
      </c>
      <c r="F1298" s="2">
        <v>32441</v>
      </c>
      <c r="G1298" s="2">
        <v>22.845774649999999</v>
      </c>
      <c r="H1298" s="3">
        <v>1.1000000000000001E-6</v>
      </c>
      <c r="I1298" s="2" t="s">
        <v>29059</v>
      </c>
      <c r="J1298" s="2" t="s">
        <v>29060</v>
      </c>
      <c r="K1298" s="3">
        <v>3.0300000000000001E-5</v>
      </c>
      <c r="L1298" s="2" t="s">
        <v>848</v>
      </c>
      <c r="M1298" s="4" t="s">
        <v>29061</v>
      </c>
    </row>
    <row r="1299" spans="1:13">
      <c r="A1299" s="2">
        <v>5703</v>
      </c>
      <c r="B1299" s="2" t="s">
        <v>29062</v>
      </c>
      <c r="C1299" s="2">
        <v>6</v>
      </c>
      <c r="D1299" s="2">
        <v>568</v>
      </c>
      <c r="E1299" s="2">
        <v>15</v>
      </c>
      <c r="F1299" s="2">
        <v>32441</v>
      </c>
      <c r="G1299" s="2">
        <v>22.845774649999999</v>
      </c>
      <c r="H1299" s="3">
        <v>1.1000000000000001E-6</v>
      </c>
      <c r="I1299" s="2" t="s">
        <v>29063</v>
      </c>
      <c r="J1299" s="2" t="s">
        <v>29064</v>
      </c>
      <c r="K1299" s="3">
        <v>3.0300000000000001E-5</v>
      </c>
      <c r="L1299" s="2" t="s">
        <v>848</v>
      </c>
      <c r="M1299" s="4" t="s">
        <v>29065</v>
      </c>
    </row>
    <row r="1300" spans="1:13">
      <c r="A1300" s="2">
        <v>4102</v>
      </c>
      <c r="B1300" s="2" t="s">
        <v>29066</v>
      </c>
      <c r="C1300" s="2">
        <v>35</v>
      </c>
      <c r="D1300" s="2">
        <v>568</v>
      </c>
      <c r="E1300" s="2">
        <v>788</v>
      </c>
      <c r="F1300" s="2">
        <v>32441</v>
      </c>
      <c r="G1300" s="2">
        <v>2.536808733</v>
      </c>
      <c r="H1300" s="3">
        <v>1.1200000000000001E-6</v>
      </c>
      <c r="I1300" s="2" t="s">
        <v>29067</v>
      </c>
      <c r="J1300" s="2" t="s">
        <v>29068</v>
      </c>
      <c r="K1300" s="3">
        <v>3.0700000000000001E-5</v>
      </c>
      <c r="L1300" s="2" t="s">
        <v>848</v>
      </c>
      <c r="M1300" s="4" t="s">
        <v>29069</v>
      </c>
    </row>
    <row r="1301" spans="1:13">
      <c r="A1301" s="2">
        <v>2873</v>
      </c>
      <c r="B1301" s="2" t="s">
        <v>29070</v>
      </c>
      <c r="C1301" s="2">
        <v>13</v>
      </c>
      <c r="D1301" s="2">
        <v>568</v>
      </c>
      <c r="E1301" s="2">
        <v>129</v>
      </c>
      <c r="F1301" s="2">
        <v>32441</v>
      </c>
      <c r="G1301" s="2">
        <v>5.7557184189999999</v>
      </c>
      <c r="H1301" s="3">
        <v>1.17E-6</v>
      </c>
      <c r="I1301" s="2" t="s">
        <v>29071</v>
      </c>
      <c r="J1301" s="2" t="s">
        <v>29072</v>
      </c>
      <c r="K1301" s="3">
        <v>3.18E-5</v>
      </c>
      <c r="L1301" s="2" t="s">
        <v>848</v>
      </c>
      <c r="M1301" s="4" t="s">
        <v>29073</v>
      </c>
    </row>
    <row r="1302" spans="1:13">
      <c r="A1302" s="2">
        <v>2771</v>
      </c>
      <c r="B1302" s="2" t="s">
        <v>29074</v>
      </c>
      <c r="C1302" s="2">
        <v>10</v>
      </c>
      <c r="D1302" s="2">
        <v>568</v>
      </c>
      <c r="E1302" s="2">
        <v>70</v>
      </c>
      <c r="F1302" s="2">
        <v>32441</v>
      </c>
      <c r="G1302" s="2">
        <v>8.1592052309999996</v>
      </c>
      <c r="H1302" s="3">
        <v>1.1799999999999999E-6</v>
      </c>
      <c r="I1302" s="2" t="s">
        <v>29075</v>
      </c>
      <c r="J1302" s="2" t="s">
        <v>29076</v>
      </c>
      <c r="K1302" s="3">
        <v>3.1900000000000003E-5</v>
      </c>
      <c r="L1302" s="2" t="s">
        <v>848</v>
      </c>
      <c r="M1302" s="4" t="s">
        <v>29077</v>
      </c>
    </row>
    <row r="1303" spans="1:13">
      <c r="A1303" s="2">
        <v>3461</v>
      </c>
      <c r="B1303" s="2" t="s">
        <v>29078</v>
      </c>
      <c r="C1303" s="2">
        <v>7</v>
      </c>
      <c r="D1303" s="2">
        <v>568</v>
      </c>
      <c r="E1303" s="2">
        <v>26</v>
      </c>
      <c r="F1303" s="2">
        <v>32441</v>
      </c>
      <c r="G1303" s="2">
        <v>15.37696371</v>
      </c>
      <c r="H1303" s="3">
        <v>1.2500000000000001E-6</v>
      </c>
      <c r="I1303" s="2" t="s">
        <v>29079</v>
      </c>
      <c r="J1303" s="2" t="s">
        <v>29080</v>
      </c>
      <c r="K1303" s="3">
        <v>3.3599999999999997E-5</v>
      </c>
      <c r="L1303" s="2" t="s">
        <v>848</v>
      </c>
      <c r="M1303" s="4" t="s">
        <v>29081</v>
      </c>
    </row>
    <row r="1304" spans="1:13">
      <c r="A1304" s="2">
        <v>4109</v>
      </c>
      <c r="B1304" s="2" t="s">
        <v>29082</v>
      </c>
      <c r="C1304" s="2">
        <v>7</v>
      </c>
      <c r="D1304" s="2">
        <v>568</v>
      </c>
      <c r="E1304" s="2">
        <v>26</v>
      </c>
      <c r="F1304" s="2">
        <v>32441</v>
      </c>
      <c r="G1304" s="2">
        <v>15.37696371</v>
      </c>
      <c r="H1304" s="3">
        <v>1.2500000000000001E-6</v>
      </c>
      <c r="I1304" s="2" t="s">
        <v>29083</v>
      </c>
      <c r="J1304" s="2" t="s">
        <v>29084</v>
      </c>
      <c r="K1304" s="3">
        <v>3.3599999999999997E-5</v>
      </c>
      <c r="L1304" s="2" t="s">
        <v>848</v>
      </c>
      <c r="M1304" s="4" t="s">
        <v>29085</v>
      </c>
    </row>
    <row r="1305" spans="1:13">
      <c r="A1305" s="2">
        <v>759</v>
      </c>
      <c r="B1305" s="2" t="s">
        <v>29086</v>
      </c>
      <c r="C1305" s="2">
        <v>18</v>
      </c>
      <c r="D1305" s="2">
        <v>568</v>
      </c>
      <c r="E1305" s="2">
        <v>253</v>
      </c>
      <c r="F1305" s="2">
        <v>32441</v>
      </c>
      <c r="G1305" s="2">
        <v>4.0634777040000003</v>
      </c>
      <c r="H1305" s="3">
        <v>1.3200000000000001E-6</v>
      </c>
      <c r="I1305" s="2" t="s">
        <v>29087</v>
      </c>
      <c r="J1305" s="2" t="s">
        <v>29088</v>
      </c>
      <c r="K1305" s="3">
        <v>3.5200000000000002E-5</v>
      </c>
      <c r="L1305" s="2" t="s">
        <v>848</v>
      </c>
      <c r="M1305" s="4" t="s">
        <v>29089</v>
      </c>
    </row>
    <row r="1306" spans="1:13">
      <c r="A1306" s="2">
        <v>1593</v>
      </c>
      <c r="B1306" s="2" t="s">
        <v>29090</v>
      </c>
      <c r="C1306" s="2">
        <v>20</v>
      </c>
      <c r="D1306" s="2">
        <v>568</v>
      </c>
      <c r="E1306" s="2">
        <v>311</v>
      </c>
      <c r="F1306" s="2">
        <v>32441</v>
      </c>
      <c r="G1306" s="2">
        <v>3.6729541229999998</v>
      </c>
      <c r="H1306" s="3">
        <v>1.5E-6</v>
      </c>
      <c r="I1306" s="2" t="s">
        <v>29091</v>
      </c>
      <c r="J1306" s="2" t="s">
        <v>29092</v>
      </c>
      <c r="K1306" s="3">
        <v>4.0000000000000003E-5</v>
      </c>
      <c r="L1306" s="2" t="s">
        <v>848</v>
      </c>
      <c r="M1306" s="4" t="s">
        <v>29093</v>
      </c>
    </row>
    <row r="1307" spans="1:13">
      <c r="A1307" s="2">
        <v>3859</v>
      </c>
      <c r="B1307" s="2" t="s">
        <v>29094</v>
      </c>
      <c r="C1307" s="2">
        <v>14</v>
      </c>
      <c r="D1307" s="2">
        <v>568</v>
      </c>
      <c r="E1307" s="2">
        <v>156</v>
      </c>
      <c r="F1307" s="2">
        <v>32441</v>
      </c>
      <c r="G1307" s="2">
        <v>5.1256545679999999</v>
      </c>
      <c r="H1307" s="3">
        <v>1.6300000000000001E-6</v>
      </c>
      <c r="I1307" s="2" t="s">
        <v>29095</v>
      </c>
      <c r="J1307" s="2" t="s">
        <v>29096</v>
      </c>
      <c r="K1307" s="3">
        <v>4.32E-5</v>
      </c>
      <c r="L1307" s="2" t="s">
        <v>848</v>
      </c>
      <c r="M1307" s="4" t="s">
        <v>29097</v>
      </c>
    </row>
    <row r="1308" spans="1:13">
      <c r="A1308" s="2">
        <v>1830</v>
      </c>
      <c r="B1308" s="2" t="s">
        <v>29098</v>
      </c>
      <c r="C1308" s="2">
        <v>10</v>
      </c>
      <c r="D1308" s="2">
        <v>568</v>
      </c>
      <c r="E1308" s="2">
        <v>73</v>
      </c>
      <c r="F1308" s="2">
        <v>32441</v>
      </c>
      <c r="G1308" s="2">
        <v>7.8238954270000001</v>
      </c>
      <c r="H1308" s="3">
        <v>1.66E-6</v>
      </c>
      <c r="I1308" s="2" t="s">
        <v>29099</v>
      </c>
      <c r="J1308" s="2" t="s">
        <v>29100</v>
      </c>
      <c r="K1308" s="3">
        <v>4.3800000000000001E-5</v>
      </c>
      <c r="L1308" s="2" t="s">
        <v>848</v>
      </c>
      <c r="M1308" s="4" t="s">
        <v>29101</v>
      </c>
    </row>
    <row r="1309" spans="1:13">
      <c r="A1309" s="2">
        <v>1726</v>
      </c>
      <c r="B1309" s="2" t="s">
        <v>29102</v>
      </c>
      <c r="C1309" s="2">
        <v>7</v>
      </c>
      <c r="D1309" s="2">
        <v>568</v>
      </c>
      <c r="E1309" s="2">
        <v>28</v>
      </c>
      <c r="F1309" s="2">
        <v>32441</v>
      </c>
      <c r="G1309" s="2">
        <v>14.278609149999999</v>
      </c>
      <c r="H1309" s="3">
        <v>1.9099999999999999E-6</v>
      </c>
      <c r="I1309" s="2" t="s">
        <v>29103</v>
      </c>
      <c r="J1309" s="2" t="s">
        <v>29104</v>
      </c>
      <c r="K1309" s="3">
        <v>4.99E-5</v>
      </c>
      <c r="L1309" s="2" t="s">
        <v>848</v>
      </c>
      <c r="M1309" s="4" t="s">
        <v>29105</v>
      </c>
    </row>
    <row r="1310" spans="1:13">
      <c r="A1310" s="2">
        <v>4729</v>
      </c>
      <c r="B1310" s="2" t="s">
        <v>29106</v>
      </c>
      <c r="C1310" s="2">
        <v>7</v>
      </c>
      <c r="D1310" s="2">
        <v>568</v>
      </c>
      <c r="E1310" s="2">
        <v>28</v>
      </c>
      <c r="F1310" s="2">
        <v>32441</v>
      </c>
      <c r="G1310" s="2">
        <v>14.278609149999999</v>
      </c>
      <c r="H1310" s="3">
        <v>1.9099999999999999E-6</v>
      </c>
      <c r="I1310" s="2" t="s">
        <v>29107</v>
      </c>
      <c r="J1310" s="2" t="s">
        <v>29108</v>
      </c>
      <c r="K1310" s="3">
        <v>4.99E-5</v>
      </c>
      <c r="L1310" s="2" t="s">
        <v>848</v>
      </c>
      <c r="M1310" s="4" t="s">
        <v>29109</v>
      </c>
    </row>
    <row r="1311" spans="1:13">
      <c r="A1311" s="2">
        <v>4607</v>
      </c>
      <c r="B1311" s="2" t="s">
        <v>29110</v>
      </c>
      <c r="C1311" s="2">
        <v>18</v>
      </c>
      <c r="D1311" s="2">
        <v>568</v>
      </c>
      <c r="E1311" s="2">
        <v>262</v>
      </c>
      <c r="F1311" s="2">
        <v>32441</v>
      </c>
      <c r="G1311" s="2">
        <v>3.9238925920000001</v>
      </c>
      <c r="H1311" s="3">
        <v>2.0899999999999999E-6</v>
      </c>
      <c r="I1311" s="2" t="s">
        <v>29111</v>
      </c>
      <c r="J1311" s="2" t="s">
        <v>29112</v>
      </c>
      <c r="K1311" s="3">
        <v>5.4500000000000003E-5</v>
      </c>
      <c r="L1311" s="2" t="s">
        <v>848</v>
      </c>
      <c r="M1311" s="4" t="s">
        <v>29113</v>
      </c>
    </row>
    <row r="1312" spans="1:13">
      <c r="A1312" s="2">
        <v>5323</v>
      </c>
      <c r="B1312" s="2" t="s">
        <v>29114</v>
      </c>
      <c r="C1312" s="2">
        <v>16</v>
      </c>
      <c r="D1312" s="2">
        <v>568</v>
      </c>
      <c r="E1312" s="2">
        <v>209</v>
      </c>
      <c r="F1312" s="2">
        <v>32441</v>
      </c>
      <c r="G1312" s="2">
        <v>4.3723970620000001</v>
      </c>
      <c r="H1312" s="3">
        <v>2.0999999999999998E-6</v>
      </c>
      <c r="I1312" s="2" t="s">
        <v>29115</v>
      </c>
      <c r="J1312" s="2" t="s">
        <v>29116</v>
      </c>
      <c r="K1312" s="3">
        <v>5.4500000000000003E-5</v>
      </c>
      <c r="L1312" s="2" t="s">
        <v>848</v>
      </c>
      <c r="M1312" s="4" t="s">
        <v>29117</v>
      </c>
    </row>
    <row r="1313" spans="1:13">
      <c r="A1313" s="2">
        <v>3129</v>
      </c>
      <c r="B1313" s="2" t="s">
        <v>29118</v>
      </c>
      <c r="C1313" s="2">
        <v>29</v>
      </c>
      <c r="D1313" s="2">
        <v>568</v>
      </c>
      <c r="E1313" s="2">
        <v>602</v>
      </c>
      <c r="F1313" s="2">
        <v>32441</v>
      </c>
      <c r="G1313" s="2">
        <v>2.7513599040000001</v>
      </c>
      <c r="H1313" s="3">
        <v>2.1100000000000001E-6</v>
      </c>
      <c r="I1313" s="2" t="s">
        <v>29119</v>
      </c>
      <c r="J1313" s="2" t="s">
        <v>29120</v>
      </c>
      <c r="K1313" s="3">
        <v>5.4500000000000003E-5</v>
      </c>
      <c r="L1313" s="2" t="s">
        <v>848</v>
      </c>
      <c r="M1313" s="4" t="s">
        <v>29121</v>
      </c>
    </row>
    <row r="1314" spans="1:13">
      <c r="A1314" s="2">
        <v>5066</v>
      </c>
      <c r="B1314" s="2" t="s">
        <v>29122</v>
      </c>
      <c r="C1314" s="2">
        <v>15</v>
      </c>
      <c r="D1314" s="2">
        <v>568</v>
      </c>
      <c r="E1314" s="2">
        <v>184</v>
      </c>
      <c r="F1314" s="2">
        <v>32441</v>
      </c>
      <c r="G1314" s="2">
        <v>4.6560682030000002</v>
      </c>
      <c r="H1314" s="3">
        <v>2.12E-6</v>
      </c>
      <c r="I1314" s="2" t="s">
        <v>28808</v>
      </c>
      <c r="J1314" s="2" t="s">
        <v>28809</v>
      </c>
      <c r="K1314" s="3">
        <v>5.4599999999999999E-5</v>
      </c>
      <c r="L1314" s="2" t="s">
        <v>848</v>
      </c>
      <c r="M1314" s="4" t="s">
        <v>29123</v>
      </c>
    </row>
    <row r="1315" spans="1:13">
      <c r="A1315" s="2">
        <v>1046</v>
      </c>
      <c r="B1315" s="2" t="s">
        <v>29124</v>
      </c>
      <c r="C1315" s="2">
        <v>10</v>
      </c>
      <c r="D1315" s="2">
        <v>568</v>
      </c>
      <c r="E1315" s="2">
        <v>76</v>
      </c>
      <c r="F1315" s="2">
        <v>32441</v>
      </c>
      <c r="G1315" s="2">
        <v>7.5150574499999996</v>
      </c>
      <c r="H1315" s="3">
        <v>2.3099999999999999E-6</v>
      </c>
      <c r="I1315" s="2" t="s">
        <v>29125</v>
      </c>
      <c r="J1315" s="2" t="s">
        <v>29126</v>
      </c>
      <c r="K1315" s="3">
        <v>5.91E-5</v>
      </c>
      <c r="L1315" s="2" t="s">
        <v>848</v>
      </c>
      <c r="M1315" s="4" t="s">
        <v>29127</v>
      </c>
    </row>
    <row r="1316" spans="1:13">
      <c r="A1316" s="2">
        <v>5234</v>
      </c>
      <c r="B1316" s="2" t="s">
        <v>29128</v>
      </c>
      <c r="C1316" s="2">
        <v>15</v>
      </c>
      <c r="D1316" s="2">
        <v>568</v>
      </c>
      <c r="E1316" s="2">
        <v>186</v>
      </c>
      <c r="F1316" s="2">
        <v>32441</v>
      </c>
      <c r="G1316" s="2">
        <v>4.606002953</v>
      </c>
      <c r="H1316" s="3">
        <v>2.3999999999999999E-6</v>
      </c>
      <c r="I1316" s="2" t="s">
        <v>29129</v>
      </c>
      <c r="J1316" s="2" t="s">
        <v>29130</v>
      </c>
      <c r="K1316" s="3">
        <v>6.1299999999999999E-5</v>
      </c>
      <c r="L1316" s="2" t="s">
        <v>848</v>
      </c>
      <c r="M1316" s="4" t="s">
        <v>29131</v>
      </c>
    </row>
    <row r="1317" spans="1:13">
      <c r="A1317" s="2">
        <v>2992</v>
      </c>
      <c r="B1317" s="2" t="s">
        <v>29132</v>
      </c>
      <c r="C1317" s="2">
        <v>14</v>
      </c>
      <c r="D1317" s="2">
        <v>568</v>
      </c>
      <c r="E1317" s="2">
        <v>162</v>
      </c>
      <c r="F1317" s="2">
        <v>32441</v>
      </c>
      <c r="G1317" s="2">
        <v>4.9358155100000003</v>
      </c>
      <c r="H1317" s="3">
        <v>2.4600000000000002E-6</v>
      </c>
      <c r="I1317" s="2" t="s">
        <v>29133</v>
      </c>
      <c r="J1317" s="2" t="s">
        <v>29134</v>
      </c>
      <c r="K1317" s="3">
        <v>6.2399999999999999E-5</v>
      </c>
      <c r="L1317" s="2" t="s">
        <v>848</v>
      </c>
      <c r="M1317" s="4" t="s">
        <v>29135</v>
      </c>
    </row>
    <row r="1318" spans="1:13">
      <c r="A1318" s="2">
        <v>2580</v>
      </c>
      <c r="B1318" s="2" t="s">
        <v>29136</v>
      </c>
      <c r="C1318" s="2">
        <v>13</v>
      </c>
      <c r="D1318" s="2">
        <v>568</v>
      </c>
      <c r="E1318" s="2">
        <v>139</v>
      </c>
      <c r="F1318" s="2">
        <v>32441</v>
      </c>
      <c r="G1318" s="2">
        <v>5.3416379569999997</v>
      </c>
      <c r="H1318" s="3">
        <v>2.5100000000000001E-6</v>
      </c>
      <c r="I1318" s="2" t="s">
        <v>29137</v>
      </c>
      <c r="J1318" s="2" t="s">
        <v>29138</v>
      </c>
      <c r="K1318" s="3">
        <v>6.3200000000000005E-5</v>
      </c>
      <c r="L1318" s="2" t="s">
        <v>848</v>
      </c>
      <c r="M1318" s="4" t="s">
        <v>29139</v>
      </c>
    </row>
    <row r="1319" spans="1:13">
      <c r="A1319" s="2">
        <v>5635</v>
      </c>
      <c r="B1319" s="2" t="s">
        <v>29140</v>
      </c>
      <c r="C1319" s="2">
        <v>13</v>
      </c>
      <c r="D1319" s="2">
        <v>568</v>
      </c>
      <c r="E1319" s="2">
        <v>139</v>
      </c>
      <c r="F1319" s="2">
        <v>32441</v>
      </c>
      <c r="G1319" s="2">
        <v>5.3416379569999997</v>
      </c>
      <c r="H1319" s="3">
        <v>2.5100000000000001E-6</v>
      </c>
      <c r="I1319" s="2" t="s">
        <v>29141</v>
      </c>
      <c r="J1319" s="2" t="s">
        <v>29142</v>
      </c>
      <c r="K1319" s="3">
        <v>6.3200000000000005E-5</v>
      </c>
      <c r="L1319" s="2" t="s">
        <v>848</v>
      </c>
      <c r="M1319" s="4" t="s">
        <v>29143</v>
      </c>
    </row>
    <row r="1320" spans="1:13">
      <c r="A1320" s="2">
        <v>4525</v>
      </c>
      <c r="B1320" s="2" t="s">
        <v>29144</v>
      </c>
      <c r="C1320" s="2">
        <v>30</v>
      </c>
      <c r="D1320" s="2">
        <v>568</v>
      </c>
      <c r="E1320" s="2">
        <v>642</v>
      </c>
      <c r="F1320" s="2">
        <v>32441</v>
      </c>
      <c r="G1320" s="2">
        <v>2.668898907</v>
      </c>
      <c r="H1320" s="3">
        <v>2.5299999999999999E-6</v>
      </c>
      <c r="I1320" s="2" t="s">
        <v>29145</v>
      </c>
      <c r="J1320" s="2" t="s">
        <v>29146</v>
      </c>
      <c r="K1320" s="3">
        <v>6.3399999999999996E-5</v>
      </c>
      <c r="L1320" s="2" t="s">
        <v>848</v>
      </c>
      <c r="M1320" s="4" t="s">
        <v>29147</v>
      </c>
    </row>
    <row r="1321" spans="1:13">
      <c r="A1321" s="2">
        <v>1619</v>
      </c>
      <c r="B1321" s="2" t="s">
        <v>29148</v>
      </c>
      <c r="C1321" s="2">
        <v>16</v>
      </c>
      <c r="D1321" s="2">
        <v>568</v>
      </c>
      <c r="E1321" s="2">
        <v>214</v>
      </c>
      <c r="F1321" s="2">
        <v>32441</v>
      </c>
      <c r="G1321" s="2">
        <v>4.2702382520000004</v>
      </c>
      <c r="H1321" s="3">
        <v>2.79E-6</v>
      </c>
      <c r="I1321" s="2" t="s">
        <v>29149</v>
      </c>
      <c r="J1321" s="2" t="s">
        <v>29150</v>
      </c>
      <c r="K1321" s="3">
        <v>6.97E-5</v>
      </c>
      <c r="L1321" s="2" t="s">
        <v>848</v>
      </c>
      <c r="M1321" s="4" t="s">
        <v>29151</v>
      </c>
    </row>
    <row r="1322" spans="1:13">
      <c r="A1322" s="2">
        <v>854</v>
      </c>
      <c r="B1322" s="2" t="s">
        <v>10905</v>
      </c>
      <c r="C1322" s="2">
        <v>11</v>
      </c>
      <c r="D1322" s="2">
        <v>568</v>
      </c>
      <c r="E1322" s="2">
        <v>98</v>
      </c>
      <c r="F1322" s="2">
        <v>32441</v>
      </c>
      <c r="G1322" s="2">
        <v>6.4108041099999999</v>
      </c>
      <c r="H1322" s="3">
        <v>2.9799999999999998E-6</v>
      </c>
      <c r="I1322" s="2" t="s">
        <v>29152</v>
      </c>
      <c r="J1322" s="2" t="s">
        <v>29153</v>
      </c>
      <c r="K1322" s="3">
        <v>7.4099999999999999E-5</v>
      </c>
      <c r="L1322" s="2" t="s">
        <v>848</v>
      </c>
      <c r="M1322" s="4" t="s">
        <v>10908</v>
      </c>
    </row>
    <row r="1323" spans="1:13">
      <c r="A1323" s="2">
        <v>3692</v>
      </c>
      <c r="B1323" s="2" t="s">
        <v>29154</v>
      </c>
      <c r="C1323" s="2">
        <v>11</v>
      </c>
      <c r="D1323" s="2">
        <v>568</v>
      </c>
      <c r="E1323" s="2">
        <v>99</v>
      </c>
      <c r="F1323" s="2">
        <v>32441</v>
      </c>
      <c r="G1323" s="2">
        <v>6.3460485130000004</v>
      </c>
      <c r="H1323" s="3">
        <v>3.2600000000000001E-6</v>
      </c>
      <c r="I1323" s="2" t="s">
        <v>29155</v>
      </c>
      <c r="J1323" s="2" t="s">
        <v>29156</v>
      </c>
      <c r="K1323" s="3">
        <v>8.0799999999999999E-5</v>
      </c>
      <c r="L1323" s="2" t="s">
        <v>848</v>
      </c>
      <c r="M1323" s="4" t="s">
        <v>29157</v>
      </c>
    </row>
    <row r="1324" spans="1:13">
      <c r="A1324" s="2">
        <v>5249</v>
      </c>
      <c r="B1324" s="2" t="s">
        <v>29158</v>
      </c>
      <c r="C1324" s="2">
        <v>7</v>
      </c>
      <c r="D1324" s="2">
        <v>568</v>
      </c>
      <c r="E1324" s="2">
        <v>31</v>
      </c>
      <c r="F1324" s="2">
        <v>32441</v>
      </c>
      <c r="G1324" s="2">
        <v>12.896808269999999</v>
      </c>
      <c r="H1324" s="3">
        <v>3.4199999999999999E-6</v>
      </c>
      <c r="I1324" s="2" t="s">
        <v>29159</v>
      </c>
      <c r="J1324" s="2" t="s">
        <v>29160</v>
      </c>
      <c r="K1324" s="3">
        <v>8.4300000000000003E-5</v>
      </c>
      <c r="L1324" s="2" t="s">
        <v>848</v>
      </c>
      <c r="M1324" s="4" t="s">
        <v>29161</v>
      </c>
    </row>
    <row r="1325" spans="1:13">
      <c r="A1325" s="2">
        <v>444</v>
      </c>
      <c r="B1325" s="2" t="s">
        <v>7911</v>
      </c>
      <c r="C1325" s="2">
        <v>53</v>
      </c>
      <c r="D1325" s="2">
        <v>568</v>
      </c>
      <c r="E1325" s="2">
        <v>1532</v>
      </c>
      <c r="F1325" s="2">
        <v>32441</v>
      </c>
      <c r="G1325" s="2">
        <v>1.9758910839999999</v>
      </c>
      <c r="H1325" s="3">
        <v>3.5599999999999998E-6</v>
      </c>
      <c r="I1325" s="3" t="s">
        <v>29162</v>
      </c>
      <c r="J1325" s="3" t="s">
        <v>29163</v>
      </c>
      <c r="K1325" s="3">
        <v>8.7200000000000005E-5</v>
      </c>
      <c r="L1325" s="2" t="s">
        <v>848</v>
      </c>
      <c r="M1325" s="4" t="s">
        <v>7914</v>
      </c>
    </row>
    <row r="1326" spans="1:13">
      <c r="A1326" s="2">
        <v>2359</v>
      </c>
      <c r="B1326" s="2" t="s">
        <v>29164</v>
      </c>
      <c r="C1326" s="2">
        <v>11</v>
      </c>
      <c r="D1326" s="2">
        <v>568</v>
      </c>
      <c r="E1326" s="2">
        <v>100</v>
      </c>
      <c r="F1326" s="2">
        <v>32441</v>
      </c>
      <c r="G1326" s="2">
        <v>6.2825880280000002</v>
      </c>
      <c r="H1326" s="3">
        <v>3.5700000000000001E-6</v>
      </c>
      <c r="I1326" s="2" t="s">
        <v>29165</v>
      </c>
      <c r="J1326" s="2" t="s">
        <v>29166</v>
      </c>
      <c r="K1326" s="3">
        <v>8.7200000000000005E-5</v>
      </c>
      <c r="L1326" s="2" t="s">
        <v>848</v>
      </c>
      <c r="M1326" s="4" t="s">
        <v>29167</v>
      </c>
    </row>
    <row r="1327" spans="1:13">
      <c r="A1327" s="2">
        <v>5631</v>
      </c>
      <c r="B1327" s="2" t="s">
        <v>29168</v>
      </c>
      <c r="C1327" s="2">
        <v>18</v>
      </c>
      <c r="D1327" s="2">
        <v>568</v>
      </c>
      <c r="E1327" s="2">
        <v>273</v>
      </c>
      <c r="F1327" s="2">
        <v>32441</v>
      </c>
      <c r="G1327" s="2">
        <v>3.7657870299999998</v>
      </c>
      <c r="H1327" s="3">
        <v>3.5999999999999998E-6</v>
      </c>
      <c r="I1327" s="2" t="s">
        <v>29169</v>
      </c>
      <c r="J1327" s="2" t="s">
        <v>29170</v>
      </c>
      <c r="K1327" s="3">
        <v>8.7600000000000002E-5</v>
      </c>
      <c r="L1327" s="2" t="s">
        <v>848</v>
      </c>
      <c r="M1327" s="4" t="s">
        <v>29171</v>
      </c>
    </row>
    <row r="1328" spans="1:13">
      <c r="A1328" s="2">
        <v>2960</v>
      </c>
      <c r="B1328" s="2" t="s">
        <v>29172</v>
      </c>
      <c r="C1328" s="2">
        <v>10</v>
      </c>
      <c r="D1328" s="2">
        <v>568</v>
      </c>
      <c r="E1328" s="2">
        <v>81</v>
      </c>
      <c r="F1328" s="2">
        <v>32441</v>
      </c>
      <c r="G1328" s="2">
        <v>7.0511650149999996</v>
      </c>
      <c r="H1328" s="3">
        <v>3.8800000000000001E-6</v>
      </c>
      <c r="I1328" s="2" t="s">
        <v>29173</v>
      </c>
      <c r="J1328" s="2" t="s">
        <v>29174</v>
      </c>
      <c r="K1328" s="3">
        <v>9.3999999999999994E-5</v>
      </c>
      <c r="L1328" s="2" t="s">
        <v>848</v>
      </c>
      <c r="M1328" s="4" t="s">
        <v>29175</v>
      </c>
    </row>
    <row r="1329" spans="1:13">
      <c r="A1329" s="2">
        <v>2704</v>
      </c>
      <c r="B1329" s="2" t="s">
        <v>29176</v>
      </c>
      <c r="C1329" s="2">
        <v>7</v>
      </c>
      <c r="D1329" s="2">
        <v>568</v>
      </c>
      <c r="E1329" s="2">
        <v>32</v>
      </c>
      <c r="F1329" s="2">
        <v>32441</v>
      </c>
      <c r="G1329" s="2">
        <v>12.49378301</v>
      </c>
      <c r="H1329" s="3">
        <v>4.1099999999999996E-6</v>
      </c>
      <c r="I1329" s="2" t="s">
        <v>29177</v>
      </c>
      <c r="J1329" s="2" t="s">
        <v>29178</v>
      </c>
      <c r="K1329" s="3">
        <v>9.9199999999999999E-5</v>
      </c>
      <c r="L1329" s="2" t="s">
        <v>848</v>
      </c>
      <c r="M1329" s="4" t="s">
        <v>29179</v>
      </c>
    </row>
    <row r="1330" spans="1:13">
      <c r="A1330" s="2">
        <v>4458</v>
      </c>
      <c r="B1330" s="2" t="s">
        <v>29180</v>
      </c>
      <c r="C1330" s="2">
        <v>11</v>
      </c>
      <c r="D1330" s="2">
        <v>568</v>
      </c>
      <c r="E1330" s="2">
        <v>102</v>
      </c>
      <c r="F1330" s="2">
        <v>32441</v>
      </c>
      <c r="G1330" s="2">
        <v>6.1594000280000003</v>
      </c>
      <c r="H1330" s="3">
        <v>4.25E-6</v>
      </c>
      <c r="I1330" s="2" t="s">
        <v>29181</v>
      </c>
      <c r="J1330" s="2" t="s">
        <v>29182</v>
      </c>
      <c r="K1330" s="2">
        <v>1.02165E-4</v>
      </c>
      <c r="L1330" s="2" t="s">
        <v>848</v>
      </c>
      <c r="M1330" s="4" t="s">
        <v>29183</v>
      </c>
    </row>
    <row r="1331" spans="1:13">
      <c r="A1331" s="2">
        <v>4374</v>
      </c>
      <c r="B1331" s="2" t="s">
        <v>10345</v>
      </c>
      <c r="C1331" s="2">
        <v>12</v>
      </c>
      <c r="D1331" s="2">
        <v>568</v>
      </c>
      <c r="E1331" s="2">
        <v>124</v>
      </c>
      <c r="F1331" s="2">
        <v>32441</v>
      </c>
      <c r="G1331" s="2">
        <v>5.5272035439999998</v>
      </c>
      <c r="H1331" s="3">
        <v>4.4000000000000002E-6</v>
      </c>
      <c r="I1331" s="2" t="s">
        <v>29184</v>
      </c>
      <c r="J1331" s="2" t="s">
        <v>29185</v>
      </c>
      <c r="K1331" s="2">
        <v>1.0542E-4</v>
      </c>
      <c r="L1331" s="2" t="s">
        <v>848</v>
      </c>
      <c r="M1331" s="4" t="s">
        <v>10348</v>
      </c>
    </row>
    <row r="1332" spans="1:13">
      <c r="A1332" s="2">
        <v>406</v>
      </c>
      <c r="B1332" s="2" t="s">
        <v>7599</v>
      </c>
      <c r="C1332" s="2">
        <v>62</v>
      </c>
      <c r="D1332" s="2">
        <v>568</v>
      </c>
      <c r="E1332" s="2">
        <v>1929</v>
      </c>
      <c r="F1332" s="2">
        <v>32441</v>
      </c>
      <c r="G1332" s="2">
        <v>1.8357154330000001</v>
      </c>
      <c r="H1332" s="3">
        <v>5.04E-6</v>
      </c>
      <c r="I1332" s="3" t="s">
        <v>29186</v>
      </c>
      <c r="J1332" s="3" t="s">
        <v>29187</v>
      </c>
      <c r="K1332" s="2">
        <v>1.2015699999999999E-4</v>
      </c>
      <c r="L1332" s="2" t="s">
        <v>848</v>
      </c>
      <c r="M1332" s="4" t="s">
        <v>7602</v>
      </c>
    </row>
    <row r="1333" spans="1:13">
      <c r="A1333" s="2">
        <v>5767</v>
      </c>
      <c r="B1333" s="2" t="s">
        <v>29188</v>
      </c>
      <c r="C1333" s="2">
        <v>16</v>
      </c>
      <c r="D1333" s="2">
        <v>568</v>
      </c>
      <c r="E1333" s="2">
        <v>225</v>
      </c>
      <c r="F1333" s="2">
        <v>32441</v>
      </c>
      <c r="G1333" s="2">
        <v>4.0614710489999997</v>
      </c>
      <c r="H1333" s="3">
        <v>5.0799999999999996E-6</v>
      </c>
      <c r="I1333" s="2" t="s">
        <v>29189</v>
      </c>
      <c r="J1333" s="2" t="s">
        <v>29190</v>
      </c>
      <c r="K1333" s="2">
        <v>1.20819E-4</v>
      </c>
      <c r="L1333" s="2" t="s">
        <v>848</v>
      </c>
      <c r="M1333" s="4" t="s">
        <v>29191</v>
      </c>
    </row>
    <row r="1334" spans="1:13">
      <c r="A1334" s="2">
        <v>2230</v>
      </c>
      <c r="B1334" s="2" t="s">
        <v>29192</v>
      </c>
      <c r="C1334" s="2">
        <v>15</v>
      </c>
      <c r="D1334" s="2">
        <v>568</v>
      </c>
      <c r="E1334" s="2">
        <v>199</v>
      </c>
      <c r="F1334" s="2">
        <v>32441</v>
      </c>
      <c r="G1334" s="2">
        <v>4.3051082879999996</v>
      </c>
      <c r="H1334" s="3">
        <v>5.1900000000000003E-6</v>
      </c>
      <c r="I1334" s="2" t="s">
        <v>29193</v>
      </c>
      <c r="J1334" s="2" t="s">
        <v>29194</v>
      </c>
      <c r="K1334" s="2">
        <v>1.22242E-4</v>
      </c>
      <c r="L1334" s="2" t="s">
        <v>848</v>
      </c>
      <c r="M1334" s="4" t="s">
        <v>29195</v>
      </c>
    </row>
    <row r="1335" spans="1:13">
      <c r="A1335" s="2">
        <v>56011</v>
      </c>
      <c r="B1335" s="2" t="s">
        <v>29196</v>
      </c>
      <c r="C1335" s="2">
        <v>15</v>
      </c>
      <c r="D1335" s="2">
        <v>568</v>
      </c>
      <c r="E1335" s="2">
        <v>199</v>
      </c>
      <c r="F1335" s="2">
        <v>32441</v>
      </c>
      <c r="G1335" s="2">
        <v>4.3051082879999996</v>
      </c>
      <c r="H1335" s="3">
        <v>5.1900000000000003E-6</v>
      </c>
      <c r="I1335" s="2" t="s">
        <v>29197</v>
      </c>
      <c r="J1335" s="2" t="s">
        <v>29198</v>
      </c>
      <c r="K1335" s="2">
        <v>1.22242E-4</v>
      </c>
      <c r="L1335" s="2" t="s">
        <v>848</v>
      </c>
      <c r="M1335" s="4" t="s">
        <v>29199</v>
      </c>
    </row>
    <row r="1336" spans="1:13">
      <c r="A1336" s="2">
        <v>2909</v>
      </c>
      <c r="B1336" s="2" t="s">
        <v>29200</v>
      </c>
      <c r="C1336" s="2">
        <v>10</v>
      </c>
      <c r="D1336" s="2">
        <v>568</v>
      </c>
      <c r="E1336" s="2">
        <v>84</v>
      </c>
      <c r="F1336" s="2">
        <v>32441</v>
      </c>
      <c r="G1336" s="2">
        <v>6.799337693</v>
      </c>
      <c r="H1336" s="3">
        <v>5.2100000000000001E-6</v>
      </c>
      <c r="I1336" s="2" t="s">
        <v>29201</v>
      </c>
      <c r="J1336" s="2" t="s">
        <v>29202</v>
      </c>
      <c r="K1336" s="2">
        <v>1.2233599999999999E-4</v>
      </c>
      <c r="L1336" s="2" t="s">
        <v>848</v>
      </c>
      <c r="M1336" s="4" t="s">
        <v>29203</v>
      </c>
    </row>
    <row r="1337" spans="1:13">
      <c r="A1337" s="2">
        <v>1824</v>
      </c>
      <c r="B1337" s="2" t="s">
        <v>29204</v>
      </c>
      <c r="C1337" s="2">
        <v>5</v>
      </c>
      <c r="D1337" s="2">
        <v>568</v>
      </c>
      <c r="E1337" s="2">
        <v>11</v>
      </c>
      <c r="F1337" s="2">
        <v>32441</v>
      </c>
      <c r="G1337" s="2">
        <v>25.961107550000001</v>
      </c>
      <c r="H1337" s="3">
        <v>5.5300000000000004E-6</v>
      </c>
      <c r="I1337" s="2" t="s">
        <v>29205</v>
      </c>
      <c r="J1337" s="2" t="s">
        <v>29206</v>
      </c>
      <c r="K1337" s="2">
        <v>1.27916E-4</v>
      </c>
      <c r="L1337" s="2" t="s">
        <v>848</v>
      </c>
      <c r="M1337" s="4" t="s">
        <v>29207</v>
      </c>
    </row>
    <row r="1338" spans="1:13">
      <c r="A1338" s="2">
        <v>47351</v>
      </c>
      <c r="B1338" s="2" t="s">
        <v>29208</v>
      </c>
      <c r="C1338" s="2">
        <v>5</v>
      </c>
      <c r="D1338" s="2">
        <v>568</v>
      </c>
      <c r="E1338" s="2">
        <v>11</v>
      </c>
      <c r="F1338" s="2">
        <v>32441</v>
      </c>
      <c r="G1338" s="2">
        <v>25.961107550000001</v>
      </c>
      <c r="H1338" s="3">
        <v>5.5300000000000004E-6</v>
      </c>
      <c r="I1338" s="2" t="s">
        <v>29209</v>
      </c>
      <c r="J1338" s="2" t="s">
        <v>29210</v>
      </c>
      <c r="K1338" s="2">
        <v>1.27916E-4</v>
      </c>
      <c r="L1338" s="2" t="s">
        <v>848</v>
      </c>
      <c r="M1338" s="4" t="s">
        <v>29211</v>
      </c>
    </row>
    <row r="1339" spans="1:13">
      <c r="A1339" s="2">
        <v>4902</v>
      </c>
      <c r="B1339" s="2" t="s">
        <v>29212</v>
      </c>
      <c r="C1339" s="2">
        <v>5</v>
      </c>
      <c r="D1339" s="2">
        <v>568</v>
      </c>
      <c r="E1339" s="2">
        <v>11</v>
      </c>
      <c r="F1339" s="2">
        <v>32441</v>
      </c>
      <c r="G1339" s="2">
        <v>25.961107550000001</v>
      </c>
      <c r="H1339" s="3">
        <v>5.5300000000000004E-6</v>
      </c>
      <c r="I1339" s="2" t="s">
        <v>29213</v>
      </c>
      <c r="J1339" s="2" t="s">
        <v>29214</v>
      </c>
      <c r="K1339" s="2">
        <v>1.27916E-4</v>
      </c>
      <c r="L1339" s="2" t="s">
        <v>848</v>
      </c>
      <c r="M1339" s="4" t="s">
        <v>29215</v>
      </c>
    </row>
    <row r="1340" spans="1:13">
      <c r="A1340" s="2">
        <v>5366</v>
      </c>
      <c r="B1340" s="2" t="s">
        <v>29216</v>
      </c>
      <c r="C1340" s="2">
        <v>6</v>
      </c>
      <c r="D1340" s="2">
        <v>568</v>
      </c>
      <c r="E1340" s="2">
        <v>21</v>
      </c>
      <c r="F1340" s="2">
        <v>32441</v>
      </c>
      <c r="G1340" s="2">
        <v>16.318410459999999</v>
      </c>
      <c r="H1340" s="3">
        <v>5.4999999999999999E-6</v>
      </c>
      <c r="I1340" s="2" t="s">
        <v>29217</v>
      </c>
      <c r="J1340" s="2" t="s">
        <v>29218</v>
      </c>
      <c r="K1340" s="2">
        <v>1.27916E-4</v>
      </c>
      <c r="L1340" s="2" t="s">
        <v>848</v>
      </c>
      <c r="M1340" s="4" t="s">
        <v>29219</v>
      </c>
    </row>
    <row r="1341" spans="1:13">
      <c r="A1341" s="2">
        <v>3774</v>
      </c>
      <c r="B1341" s="2" t="s">
        <v>868</v>
      </c>
      <c r="C1341" s="2">
        <v>16</v>
      </c>
      <c r="D1341" s="2">
        <v>568</v>
      </c>
      <c r="E1341" s="2">
        <v>227</v>
      </c>
      <c r="F1341" s="2">
        <v>32441</v>
      </c>
      <c r="G1341" s="2">
        <v>4.0256871629999997</v>
      </c>
      <c r="H1341" s="3">
        <v>5.6500000000000001E-6</v>
      </c>
      <c r="I1341" s="2" t="s">
        <v>29220</v>
      </c>
      <c r="J1341" s="2" t="s">
        <v>29221</v>
      </c>
      <c r="K1341" s="2">
        <v>1.3002399999999999E-4</v>
      </c>
      <c r="L1341" s="2" t="s">
        <v>848</v>
      </c>
      <c r="M1341" s="4" t="s">
        <v>29222</v>
      </c>
    </row>
    <row r="1342" spans="1:13">
      <c r="A1342" s="2">
        <v>3985</v>
      </c>
      <c r="B1342" s="2" t="s">
        <v>29223</v>
      </c>
      <c r="C1342" s="2">
        <v>24</v>
      </c>
      <c r="D1342" s="2">
        <v>568</v>
      </c>
      <c r="E1342" s="2">
        <v>468</v>
      </c>
      <c r="F1342" s="2">
        <v>32441</v>
      </c>
      <c r="G1342" s="2">
        <v>2.9289454680000002</v>
      </c>
      <c r="H1342" s="3">
        <v>5.9200000000000001E-6</v>
      </c>
      <c r="I1342" s="2" t="s">
        <v>29224</v>
      </c>
      <c r="J1342" s="2" t="s">
        <v>29225</v>
      </c>
      <c r="K1342" s="2">
        <v>1.35714E-4</v>
      </c>
      <c r="L1342" s="2" t="s">
        <v>848</v>
      </c>
      <c r="M1342" s="4" t="s">
        <v>29226</v>
      </c>
    </row>
    <row r="1343" spans="1:13">
      <c r="A1343" s="2">
        <v>1385</v>
      </c>
      <c r="B1343" s="2" t="s">
        <v>29227</v>
      </c>
      <c r="C1343" s="2">
        <v>9</v>
      </c>
      <c r="D1343" s="2">
        <v>568</v>
      </c>
      <c r="E1343" s="2">
        <v>67</v>
      </c>
      <c r="F1343" s="2">
        <v>32441</v>
      </c>
      <c r="G1343" s="2">
        <v>7.6720885010000002</v>
      </c>
      <c r="H1343" s="3">
        <v>6.3500000000000002E-6</v>
      </c>
      <c r="I1343" s="2" t="s">
        <v>29228</v>
      </c>
      <c r="J1343" s="2" t="s">
        <v>29229</v>
      </c>
      <c r="K1343" s="2">
        <v>1.4514000000000001E-4</v>
      </c>
      <c r="L1343" s="2" t="s">
        <v>848</v>
      </c>
      <c r="M1343" s="4" t="s">
        <v>29230</v>
      </c>
    </row>
    <row r="1344" spans="1:13">
      <c r="A1344" s="2">
        <v>4914</v>
      </c>
      <c r="B1344" s="2" t="s">
        <v>29231</v>
      </c>
      <c r="C1344" s="2">
        <v>5</v>
      </c>
      <c r="D1344" s="2">
        <v>568</v>
      </c>
      <c r="E1344" s="2">
        <v>12</v>
      </c>
      <c r="F1344" s="2">
        <v>32441</v>
      </c>
      <c r="G1344" s="2">
        <v>23.797681919999999</v>
      </c>
      <c r="H1344" s="3">
        <v>7.7300000000000005E-6</v>
      </c>
      <c r="I1344" s="2" t="s">
        <v>29232</v>
      </c>
      <c r="J1344" s="2" t="s">
        <v>29233</v>
      </c>
      <c r="K1344" s="2">
        <v>1.7590100000000001E-4</v>
      </c>
      <c r="L1344" s="2" t="s">
        <v>848</v>
      </c>
      <c r="M1344" s="4" t="s">
        <v>29234</v>
      </c>
    </row>
    <row r="1345" spans="1:13">
      <c r="A1345" s="2">
        <v>1499</v>
      </c>
      <c r="B1345" s="2" t="s">
        <v>10515</v>
      </c>
      <c r="C1345" s="2">
        <v>42</v>
      </c>
      <c r="D1345" s="2">
        <v>568</v>
      </c>
      <c r="E1345" s="2">
        <v>1132</v>
      </c>
      <c r="F1345" s="2">
        <v>32441</v>
      </c>
      <c r="G1345" s="2">
        <v>2.1190868709999999</v>
      </c>
      <c r="H1345" s="3">
        <v>7.8099999999999998E-6</v>
      </c>
      <c r="I1345" s="2" t="s">
        <v>29235</v>
      </c>
      <c r="J1345" s="2" t="s">
        <v>29236</v>
      </c>
      <c r="K1345" s="2">
        <v>1.77018E-4</v>
      </c>
      <c r="L1345" s="2" t="s">
        <v>848</v>
      </c>
      <c r="M1345" s="4" t="s">
        <v>10518</v>
      </c>
    </row>
    <row r="1346" spans="1:13">
      <c r="A1346" s="2">
        <v>3334</v>
      </c>
      <c r="B1346" s="2" t="s">
        <v>29237</v>
      </c>
      <c r="C1346" s="2">
        <v>36</v>
      </c>
      <c r="D1346" s="2">
        <v>568</v>
      </c>
      <c r="E1346" s="2">
        <v>902</v>
      </c>
      <c r="F1346" s="2">
        <v>32441</v>
      </c>
      <c r="G1346" s="2">
        <v>2.2795118830000001</v>
      </c>
      <c r="H1346" s="3">
        <v>7.9100000000000005E-6</v>
      </c>
      <c r="I1346" s="2" t="s">
        <v>29238</v>
      </c>
      <c r="J1346" s="2" t="s">
        <v>29239</v>
      </c>
      <c r="K1346" s="2">
        <v>1.7872999999999999E-4</v>
      </c>
      <c r="L1346" s="2" t="s">
        <v>848</v>
      </c>
      <c r="M1346" s="4" t="s">
        <v>29240</v>
      </c>
    </row>
    <row r="1347" spans="1:13">
      <c r="A1347" s="2">
        <v>4664</v>
      </c>
      <c r="B1347" s="2" t="s">
        <v>29241</v>
      </c>
      <c r="C1347" s="2">
        <v>18</v>
      </c>
      <c r="D1347" s="2">
        <v>568</v>
      </c>
      <c r="E1347" s="2">
        <v>291</v>
      </c>
      <c r="F1347" s="2">
        <v>32441</v>
      </c>
      <c r="G1347" s="2">
        <v>3.5328517499999998</v>
      </c>
      <c r="H1347" s="3">
        <v>8.2300000000000008E-6</v>
      </c>
      <c r="I1347" s="2" t="s">
        <v>29242</v>
      </c>
      <c r="J1347" s="2" t="s">
        <v>29243</v>
      </c>
      <c r="K1347" s="2">
        <v>1.8516800000000001E-4</v>
      </c>
      <c r="L1347" s="2" t="s">
        <v>848</v>
      </c>
      <c r="M1347" s="4" t="s">
        <v>29244</v>
      </c>
    </row>
    <row r="1348" spans="1:13">
      <c r="A1348" s="2">
        <v>5408</v>
      </c>
      <c r="B1348" s="2" t="s">
        <v>29245</v>
      </c>
      <c r="C1348" s="2">
        <v>6</v>
      </c>
      <c r="D1348" s="2">
        <v>568</v>
      </c>
      <c r="E1348" s="2">
        <v>23</v>
      </c>
      <c r="F1348" s="2">
        <v>32441</v>
      </c>
      <c r="G1348" s="2">
        <v>14.89941825</v>
      </c>
      <c r="H1348" s="3">
        <v>8.5799999999999992E-6</v>
      </c>
      <c r="I1348" s="2" t="s">
        <v>29246</v>
      </c>
      <c r="J1348" s="2" t="s">
        <v>29247</v>
      </c>
      <c r="K1348" s="2">
        <v>1.9221799999999999E-4</v>
      </c>
      <c r="L1348" s="2" t="s">
        <v>848</v>
      </c>
      <c r="M1348" s="4" t="s">
        <v>29248</v>
      </c>
    </row>
    <row r="1349" spans="1:13">
      <c r="A1349" s="2">
        <v>5424</v>
      </c>
      <c r="B1349" s="2" t="s">
        <v>29249</v>
      </c>
      <c r="C1349" s="2">
        <v>15</v>
      </c>
      <c r="D1349" s="2">
        <v>568</v>
      </c>
      <c r="E1349" s="2">
        <v>211</v>
      </c>
      <c r="F1349" s="2">
        <v>32441</v>
      </c>
      <c r="G1349" s="2">
        <v>4.0602680060000003</v>
      </c>
      <c r="H1349" s="3">
        <v>1.0000000000000001E-5</v>
      </c>
      <c r="I1349" s="2" t="s">
        <v>29250</v>
      </c>
      <c r="J1349" s="2" t="s">
        <v>29251</v>
      </c>
      <c r="K1349" s="2">
        <v>2.2344699999999999E-4</v>
      </c>
      <c r="L1349" s="2" t="s">
        <v>848</v>
      </c>
      <c r="M1349" s="4" t="s">
        <v>29252</v>
      </c>
    </row>
    <row r="1350" spans="1:13">
      <c r="A1350" s="2">
        <v>304</v>
      </c>
      <c r="B1350" s="2" t="s">
        <v>29253</v>
      </c>
      <c r="C1350" s="2">
        <v>7</v>
      </c>
      <c r="D1350" s="2">
        <v>568</v>
      </c>
      <c r="E1350" s="2">
        <v>38</v>
      </c>
      <c r="F1350" s="2">
        <v>32441</v>
      </c>
      <c r="G1350" s="2">
        <v>10.52108043</v>
      </c>
      <c r="H1350" s="3">
        <v>1.11E-5</v>
      </c>
      <c r="I1350" s="2" t="s">
        <v>29254</v>
      </c>
      <c r="J1350" s="2" t="s">
        <v>29255</v>
      </c>
      <c r="K1350" s="2">
        <v>2.4629900000000001E-4</v>
      </c>
      <c r="L1350" s="2" t="s">
        <v>848</v>
      </c>
      <c r="M1350" s="4" t="s">
        <v>29256</v>
      </c>
    </row>
    <row r="1351" spans="1:13">
      <c r="A1351" s="2">
        <v>3046</v>
      </c>
      <c r="B1351" s="2" t="s">
        <v>29257</v>
      </c>
      <c r="C1351" s="2">
        <v>18</v>
      </c>
      <c r="D1351" s="2">
        <v>568</v>
      </c>
      <c r="E1351" s="2">
        <v>298</v>
      </c>
      <c r="F1351" s="2">
        <v>32441</v>
      </c>
      <c r="G1351" s="2">
        <v>3.4498652989999998</v>
      </c>
      <c r="H1351" s="3">
        <v>1.1199999999999999E-5</v>
      </c>
      <c r="I1351" s="2" t="s">
        <v>29258</v>
      </c>
      <c r="J1351" s="2" t="s">
        <v>29259</v>
      </c>
      <c r="K1351" s="2">
        <v>2.4629900000000001E-4</v>
      </c>
      <c r="L1351" s="2" t="s">
        <v>848</v>
      </c>
      <c r="M1351" s="4" t="s">
        <v>29260</v>
      </c>
    </row>
    <row r="1352" spans="1:13">
      <c r="A1352" s="2">
        <v>4667</v>
      </c>
      <c r="B1352" s="2" t="s">
        <v>29261</v>
      </c>
      <c r="C1352" s="2">
        <v>18</v>
      </c>
      <c r="D1352" s="2">
        <v>568</v>
      </c>
      <c r="E1352" s="2">
        <v>298</v>
      </c>
      <c r="F1352" s="2">
        <v>32441</v>
      </c>
      <c r="G1352" s="2">
        <v>3.4498652989999998</v>
      </c>
      <c r="H1352" s="3">
        <v>1.1199999999999999E-5</v>
      </c>
      <c r="I1352" s="2" t="s">
        <v>29262</v>
      </c>
      <c r="J1352" s="2" t="s">
        <v>29263</v>
      </c>
      <c r="K1352" s="2">
        <v>2.4629900000000001E-4</v>
      </c>
      <c r="L1352" s="2" t="s">
        <v>848</v>
      </c>
      <c r="M1352" s="4" t="s">
        <v>29264</v>
      </c>
    </row>
    <row r="1353" spans="1:13">
      <c r="A1353" s="2">
        <v>4890</v>
      </c>
      <c r="B1353" s="2" t="s">
        <v>29265</v>
      </c>
      <c r="C1353" s="2">
        <v>13</v>
      </c>
      <c r="D1353" s="2">
        <v>568</v>
      </c>
      <c r="E1353" s="2">
        <v>162</v>
      </c>
      <c r="F1353" s="2">
        <v>32441</v>
      </c>
      <c r="G1353" s="2">
        <v>4.5832572599999999</v>
      </c>
      <c r="H1353" s="3">
        <v>1.1800000000000001E-5</v>
      </c>
      <c r="I1353" s="2" t="s">
        <v>29266</v>
      </c>
      <c r="J1353" s="2" t="s">
        <v>29267</v>
      </c>
      <c r="K1353" s="2">
        <v>2.5855000000000002E-4</v>
      </c>
      <c r="L1353" s="2" t="s">
        <v>848</v>
      </c>
      <c r="M1353" s="4" t="s">
        <v>29268</v>
      </c>
    </row>
    <row r="1354" spans="1:13">
      <c r="A1354" s="2">
        <v>3950</v>
      </c>
      <c r="B1354" s="2" t="s">
        <v>29269</v>
      </c>
      <c r="C1354" s="2">
        <v>8</v>
      </c>
      <c r="D1354" s="2">
        <v>568</v>
      </c>
      <c r="E1354" s="2">
        <v>55</v>
      </c>
      <c r="F1354" s="2">
        <v>32441</v>
      </c>
      <c r="G1354" s="2">
        <v>8.3075544170000004</v>
      </c>
      <c r="H1354" s="3">
        <v>1.2300000000000001E-5</v>
      </c>
      <c r="I1354" s="2" t="s">
        <v>29270</v>
      </c>
      <c r="J1354" s="2" t="s">
        <v>29271</v>
      </c>
      <c r="K1354" s="2">
        <v>2.7042E-4</v>
      </c>
      <c r="L1354" s="2" t="s">
        <v>848</v>
      </c>
      <c r="M1354" s="4" t="s">
        <v>29272</v>
      </c>
    </row>
    <row r="1355" spans="1:13">
      <c r="A1355" s="2">
        <v>5505</v>
      </c>
      <c r="B1355" s="2" t="s">
        <v>29273</v>
      </c>
      <c r="C1355" s="2">
        <v>10</v>
      </c>
      <c r="D1355" s="2">
        <v>568</v>
      </c>
      <c r="E1355" s="2">
        <v>95</v>
      </c>
      <c r="F1355" s="2">
        <v>32441</v>
      </c>
      <c r="G1355" s="2">
        <v>6.01204596</v>
      </c>
      <c r="H1355" s="3">
        <v>1.4E-5</v>
      </c>
      <c r="I1355" s="2" t="s">
        <v>29274</v>
      </c>
      <c r="J1355" s="2" t="s">
        <v>29275</v>
      </c>
      <c r="K1355" s="2">
        <v>3.0665199999999998E-4</v>
      </c>
      <c r="L1355" s="2" t="s">
        <v>848</v>
      </c>
      <c r="M1355" s="4" t="s">
        <v>29276</v>
      </c>
    </row>
    <row r="1356" spans="1:13">
      <c r="A1356" s="2">
        <v>540</v>
      </c>
      <c r="B1356" s="2" t="s">
        <v>29277</v>
      </c>
      <c r="C1356" s="2">
        <v>5</v>
      </c>
      <c r="D1356" s="2">
        <v>568</v>
      </c>
      <c r="E1356" s="2">
        <v>14</v>
      </c>
      <c r="F1356" s="2">
        <v>32441</v>
      </c>
      <c r="G1356" s="2">
        <v>20.398013079999998</v>
      </c>
      <c r="H1356" s="3">
        <v>1.4100000000000001E-5</v>
      </c>
      <c r="I1356" s="2" t="s">
        <v>29278</v>
      </c>
      <c r="J1356" s="2" t="s">
        <v>29279</v>
      </c>
      <c r="K1356" s="2">
        <v>3.0708200000000003E-4</v>
      </c>
      <c r="L1356" s="2" t="s">
        <v>848</v>
      </c>
      <c r="M1356" s="4" t="s">
        <v>29280</v>
      </c>
    </row>
    <row r="1357" spans="1:13">
      <c r="A1357" s="2">
        <v>2358</v>
      </c>
      <c r="B1357" s="2" t="s">
        <v>1055</v>
      </c>
      <c r="C1357" s="2">
        <v>24</v>
      </c>
      <c r="D1357" s="2">
        <v>568</v>
      </c>
      <c r="E1357" s="2">
        <v>495</v>
      </c>
      <c r="F1357" s="2">
        <v>32441</v>
      </c>
      <c r="G1357" s="2">
        <v>2.7691848060000002</v>
      </c>
      <c r="H1357" s="3">
        <v>1.43E-5</v>
      </c>
      <c r="I1357" s="2" t="s">
        <v>29281</v>
      </c>
      <c r="J1357" s="2" t="s">
        <v>29282</v>
      </c>
      <c r="K1357" s="2">
        <v>3.1012100000000001E-4</v>
      </c>
      <c r="L1357" s="2" t="s">
        <v>848</v>
      </c>
      <c r="M1357" s="4" t="s">
        <v>29283</v>
      </c>
    </row>
    <row r="1358" spans="1:13">
      <c r="A1358" s="2">
        <v>859</v>
      </c>
      <c r="B1358" s="2" t="s">
        <v>7859</v>
      </c>
      <c r="C1358" s="2">
        <v>54</v>
      </c>
      <c r="D1358" s="2">
        <v>568</v>
      </c>
      <c r="E1358" s="2">
        <v>1656</v>
      </c>
      <c r="F1358" s="2">
        <v>32441</v>
      </c>
      <c r="G1358" s="2">
        <v>1.862427281</v>
      </c>
      <c r="H1358" s="3">
        <v>1.45E-5</v>
      </c>
      <c r="I1358" s="3" t="s">
        <v>29284</v>
      </c>
      <c r="J1358" s="3" t="s">
        <v>29285</v>
      </c>
      <c r="K1358" s="2">
        <v>3.1276399999999999E-4</v>
      </c>
      <c r="L1358" s="2" t="s">
        <v>848</v>
      </c>
      <c r="M1358" s="4" t="s">
        <v>7862</v>
      </c>
    </row>
    <row r="1359" spans="1:13">
      <c r="A1359" s="2">
        <v>1032</v>
      </c>
      <c r="B1359" s="2" t="s">
        <v>29286</v>
      </c>
      <c r="C1359" s="2">
        <v>9</v>
      </c>
      <c r="D1359" s="2">
        <v>568</v>
      </c>
      <c r="E1359" s="2">
        <v>75</v>
      </c>
      <c r="F1359" s="2">
        <v>32441</v>
      </c>
      <c r="G1359" s="2">
        <v>6.8537323939999997</v>
      </c>
      <c r="H1359" s="3">
        <v>1.45E-5</v>
      </c>
      <c r="I1359" s="2" t="s">
        <v>29287</v>
      </c>
      <c r="J1359" s="2" t="s">
        <v>29288</v>
      </c>
      <c r="K1359" s="2">
        <v>3.1276399999999999E-4</v>
      </c>
      <c r="L1359" s="2" t="s">
        <v>848</v>
      </c>
      <c r="M1359" s="4" t="s">
        <v>29289</v>
      </c>
    </row>
    <row r="1360" spans="1:13">
      <c r="A1360" s="2">
        <v>340</v>
      </c>
      <c r="B1360" s="2" t="s">
        <v>930</v>
      </c>
      <c r="C1360" s="2">
        <v>32</v>
      </c>
      <c r="D1360" s="2">
        <v>568</v>
      </c>
      <c r="E1360" s="2">
        <v>781</v>
      </c>
      <c r="F1360" s="2">
        <v>32441</v>
      </c>
      <c r="G1360" s="2">
        <v>2.3401561740000001</v>
      </c>
      <c r="H1360" s="3">
        <v>1.5400000000000002E-5</v>
      </c>
      <c r="I1360" s="2" t="s">
        <v>29290</v>
      </c>
      <c r="J1360" s="2" t="s">
        <v>29291</v>
      </c>
      <c r="K1360" s="2">
        <v>3.30699E-4</v>
      </c>
      <c r="L1360" s="2" t="s">
        <v>848</v>
      </c>
      <c r="M1360" s="4" t="s">
        <v>29292</v>
      </c>
    </row>
    <row r="1361" spans="1:13">
      <c r="A1361" s="2">
        <v>21301</v>
      </c>
      <c r="B1361" s="2" t="s">
        <v>29293</v>
      </c>
      <c r="C1361" s="2">
        <v>9</v>
      </c>
      <c r="D1361" s="2">
        <v>568</v>
      </c>
      <c r="E1361" s="2">
        <v>76</v>
      </c>
      <c r="F1361" s="2">
        <v>32441</v>
      </c>
      <c r="G1361" s="2">
        <v>6.7635517050000002</v>
      </c>
      <c r="H1361" s="3">
        <v>1.5999999999999999E-5</v>
      </c>
      <c r="I1361" s="2" t="s">
        <v>29294</v>
      </c>
      <c r="J1361" s="2" t="s">
        <v>29295</v>
      </c>
      <c r="K1361" s="2">
        <v>3.4203899999999998E-4</v>
      </c>
      <c r="L1361" s="2" t="s">
        <v>848</v>
      </c>
      <c r="M1361" s="4" t="s">
        <v>29296</v>
      </c>
    </row>
    <row r="1362" spans="1:13">
      <c r="A1362" s="2">
        <v>1562</v>
      </c>
      <c r="B1362" s="2" t="s">
        <v>7879</v>
      </c>
      <c r="C1362" s="2">
        <v>57</v>
      </c>
      <c r="D1362" s="2">
        <v>568</v>
      </c>
      <c r="E1362" s="2">
        <v>1791</v>
      </c>
      <c r="F1362" s="2">
        <v>32441</v>
      </c>
      <c r="G1362" s="2">
        <v>1.8177123879999999</v>
      </c>
      <c r="H1362" s="3">
        <v>1.63E-5</v>
      </c>
      <c r="I1362" s="3" t="s">
        <v>29297</v>
      </c>
      <c r="J1362" s="3" t="s">
        <v>29298</v>
      </c>
      <c r="K1362" s="2">
        <v>3.4748400000000001E-4</v>
      </c>
      <c r="L1362" s="2" t="s">
        <v>848</v>
      </c>
      <c r="M1362" s="4" t="s">
        <v>7882</v>
      </c>
    </row>
    <row r="1363" spans="1:13">
      <c r="A1363" s="2">
        <v>147</v>
      </c>
      <c r="B1363" s="2" t="s">
        <v>29299</v>
      </c>
      <c r="C1363" s="2">
        <v>16</v>
      </c>
      <c r="D1363" s="2">
        <v>568</v>
      </c>
      <c r="E1363" s="2">
        <v>249</v>
      </c>
      <c r="F1363" s="2">
        <v>32441</v>
      </c>
      <c r="G1363" s="2">
        <v>3.6700039590000002</v>
      </c>
      <c r="H1363" s="3">
        <v>1.6699999999999999E-5</v>
      </c>
      <c r="I1363" s="2" t="s">
        <v>29300</v>
      </c>
      <c r="J1363" s="2" t="s">
        <v>29301</v>
      </c>
      <c r="K1363" s="2">
        <v>3.52073E-4</v>
      </c>
      <c r="L1363" s="2" t="s">
        <v>848</v>
      </c>
      <c r="M1363" s="4" t="s">
        <v>29302</v>
      </c>
    </row>
    <row r="1364" spans="1:13">
      <c r="A1364" s="2">
        <v>2517</v>
      </c>
      <c r="B1364" s="2" t="s">
        <v>29303</v>
      </c>
      <c r="C1364" s="2">
        <v>15</v>
      </c>
      <c r="D1364" s="2">
        <v>568</v>
      </c>
      <c r="E1364" s="2">
        <v>221</v>
      </c>
      <c r="F1364" s="2">
        <v>32441</v>
      </c>
      <c r="G1364" s="2">
        <v>3.8765454720000001</v>
      </c>
      <c r="H1364" s="3">
        <v>1.6699999999999999E-5</v>
      </c>
      <c r="I1364" s="2" t="s">
        <v>29304</v>
      </c>
      <c r="J1364" s="2" t="s">
        <v>29305</v>
      </c>
      <c r="K1364" s="2">
        <v>3.52073E-4</v>
      </c>
      <c r="L1364" s="2" t="s">
        <v>848</v>
      </c>
      <c r="M1364" s="4" t="s">
        <v>29306</v>
      </c>
    </row>
    <row r="1365" spans="1:13">
      <c r="A1365" s="2">
        <v>5378</v>
      </c>
      <c r="B1365" s="2" t="s">
        <v>29307</v>
      </c>
      <c r="C1365" s="2">
        <v>16</v>
      </c>
      <c r="D1365" s="2">
        <v>568</v>
      </c>
      <c r="E1365" s="2">
        <v>249</v>
      </c>
      <c r="F1365" s="2">
        <v>32441</v>
      </c>
      <c r="G1365" s="2">
        <v>3.6700039590000002</v>
      </c>
      <c r="H1365" s="3">
        <v>1.6699999999999999E-5</v>
      </c>
      <c r="I1365" s="2" t="s">
        <v>29308</v>
      </c>
      <c r="J1365" s="2" t="s">
        <v>29309</v>
      </c>
      <c r="K1365" s="2">
        <v>3.52073E-4</v>
      </c>
      <c r="L1365" s="2" t="s">
        <v>848</v>
      </c>
      <c r="M1365" s="4" t="s">
        <v>29310</v>
      </c>
    </row>
    <row r="1366" spans="1:13">
      <c r="A1366" s="2">
        <v>4764</v>
      </c>
      <c r="B1366" s="2" t="s">
        <v>29311</v>
      </c>
      <c r="C1366" s="2">
        <v>11</v>
      </c>
      <c r="D1366" s="2">
        <v>568</v>
      </c>
      <c r="E1366" s="2">
        <v>120</v>
      </c>
      <c r="F1366" s="2">
        <v>32441</v>
      </c>
      <c r="G1366" s="2">
        <v>5.2354900229999997</v>
      </c>
      <c r="H1366" s="3">
        <v>1.7600000000000001E-5</v>
      </c>
      <c r="I1366" s="2" t="s">
        <v>29312</v>
      </c>
      <c r="J1366" s="2" t="s">
        <v>29313</v>
      </c>
      <c r="K1366" s="2">
        <v>3.6842599999999999E-4</v>
      </c>
      <c r="L1366" s="2" t="s">
        <v>848</v>
      </c>
      <c r="M1366" s="4" t="s">
        <v>29314</v>
      </c>
    </row>
    <row r="1367" spans="1:13">
      <c r="A1367" s="2">
        <v>4380</v>
      </c>
      <c r="B1367" s="2" t="s">
        <v>29315</v>
      </c>
      <c r="C1367" s="2">
        <v>5</v>
      </c>
      <c r="D1367" s="2">
        <v>568</v>
      </c>
      <c r="E1367" s="2">
        <v>15</v>
      </c>
      <c r="F1367" s="2">
        <v>32441</v>
      </c>
      <c r="G1367" s="2">
        <v>19.038145539999999</v>
      </c>
      <c r="H1367" s="3">
        <v>1.8600000000000001E-5</v>
      </c>
      <c r="I1367" s="2" t="s">
        <v>29205</v>
      </c>
      <c r="J1367" s="2" t="s">
        <v>29206</v>
      </c>
      <c r="K1367" s="2">
        <v>3.8796399999999997E-4</v>
      </c>
      <c r="L1367" s="2" t="s">
        <v>848</v>
      </c>
      <c r="M1367" s="4" t="s">
        <v>29316</v>
      </c>
    </row>
    <row r="1368" spans="1:13">
      <c r="A1368" s="2">
        <v>138</v>
      </c>
      <c r="B1368" s="2" t="s">
        <v>29317</v>
      </c>
      <c r="C1368" s="2">
        <v>12</v>
      </c>
      <c r="D1368" s="2">
        <v>568</v>
      </c>
      <c r="E1368" s="2">
        <v>145</v>
      </c>
      <c r="F1368" s="2">
        <v>32441</v>
      </c>
      <c r="G1368" s="2">
        <v>4.7267119959999997</v>
      </c>
      <c r="H1368" s="3">
        <v>1.91E-5</v>
      </c>
      <c r="I1368" s="2" t="s">
        <v>29318</v>
      </c>
      <c r="J1368" s="2" t="s">
        <v>29319</v>
      </c>
      <c r="K1368" s="2">
        <v>3.9717700000000002E-4</v>
      </c>
      <c r="L1368" s="2" t="s">
        <v>848</v>
      </c>
      <c r="M1368" s="4" t="s">
        <v>29320</v>
      </c>
    </row>
    <row r="1369" spans="1:13">
      <c r="A1369" s="2">
        <v>2901</v>
      </c>
      <c r="B1369" s="2" t="s">
        <v>29321</v>
      </c>
      <c r="C1369" s="2">
        <v>8</v>
      </c>
      <c r="D1369" s="2">
        <v>568</v>
      </c>
      <c r="E1369" s="2">
        <v>59</v>
      </c>
      <c r="F1369" s="2">
        <v>32441</v>
      </c>
      <c r="G1369" s="2">
        <v>7.7443303889999999</v>
      </c>
      <c r="H1369" s="3">
        <v>1.9599999999999999E-5</v>
      </c>
      <c r="I1369" s="2" t="s">
        <v>29322</v>
      </c>
      <c r="J1369" s="2" t="s">
        <v>29323</v>
      </c>
      <c r="K1369" s="2">
        <v>4.0624999999999998E-4</v>
      </c>
      <c r="L1369" s="2" t="s">
        <v>848</v>
      </c>
      <c r="M1369" s="4" t="s">
        <v>29324</v>
      </c>
    </row>
    <row r="1370" spans="1:13">
      <c r="A1370" s="2">
        <v>1574</v>
      </c>
      <c r="B1370" s="2" t="s">
        <v>29325</v>
      </c>
      <c r="C1370" s="2">
        <v>24</v>
      </c>
      <c r="D1370" s="2">
        <v>568</v>
      </c>
      <c r="E1370" s="2">
        <v>507</v>
      </c>
      <c r="F1370" s="2">
        <v>32441</v>
      </c>
      <c r="G1370" s="2">
        <v>2.7036419700000001</v>
      </c>
      <c r="H1370" s="3">
        <v>2.0699999999999998E-5</v>
      </c>
      <c r="I1370" s="2" t="s">
        <v>29326</v>
      </c>
      <c r="J1370" s="2" t="s">
        <v>29327</v>
      </c>
      <c r="K1370" s="2">
        <v>4.2866099999999999E-4</v>
      </c>
      <c r="L1370" s="2" t="s">
        <v>848</v>
      </c>
      <c r="M1370" s="4" t="s">
        <v>29328</v>
      </c>
    </row>
    <row r="1371" spans="1:13">
      <c r="A1371" s="2">
        <v>1748</v>
      </c>
      <c r="B1371" s="2" t="s">
        <v>29329</v>
      </c>
      <c r="C1371" s="2">
        <v>21</v>
      </c>
      <c r="D1371" s="2">
        <v>568</v>
      </c>
      <c r="E1371" s="2">
        <v>408</v>
      </c>
      <c r="F1371" s="2">
        <v>32441</v>
      </c>
      <c r="G1371" s="2">
        <v>2.9397136499999998</v>
      </c>
      <c r="H1371" s="3">
        <v>2.1299999999999999E-5</v>
      </c>
      <c r="I1371" s="2" t="s">
        <v>29330</v>
      </c>
      <c r="J1371" s="2" t="s">
        <v>29331</v>
      </c>
      <c r="K1371" s="2">
        <v>4.3816299999999999E-4</v>
      </c>
      <c r="L1371" s="2" t="s">
        <v>848</v>
      </c>
      <c r="M1371" s="4" t="s">
        <v>29332</v>
      </c>
    </row>
    <row r="1372" spans="1:13">
      <c r="A1372" s="2">
        <v>5335</v>
      </c>
      <c r="B1372" s="2" t="s">
        <v>29333</v>
      </c>
      <c r="C1372" s="2">
        <v>9</v>
      </c>
      <c r="D1372" s="2">
        <v>568</v>
      </c>
      <c r="E1372" s="2">
        <v>80</v>
      </c>
      <c r="F1372" s="2">
        <v>32441</v>
      </c>
      <c r="G1372" s="2">
        <v>6.4253741199999999</v>
      </c>
      <c r="H1372" s="3">
        <v>2.3300000000000001E-5</v>
      </c>
      <c r="I1372" s="2" t="s">
        <v>29334</v>
      </c>
      <c r="J1372" s="2" t="s">
        <v>29335</v>
      </c>
      <c r="K1372" s="2">
        <v>4.7793E-4</v>
      </c>
      <c r="L1372" s="2" t="s">
        <v>848</v>
      </c>
      <c r="M1372" s="4" t="s">
        <v>29336</v>
      </c>
    </row>
    <row r="1373" spans="1:13">
      <c r="A1373" s="2">
        <v>5630</v>
      </c>
      <c r="B1373" s="2" t="s">
        <v>29337</v>
      </c>
      <c r="C1373" s="2">
        <v>14</v>
      </c>
      <c r="D1373" s="2">
        <v>568</v>
      </c>
      <c r="E1373" s="2">
        <v>201</v>
      </c>
      <c r="F1373" s="2">
        <v>32441</v>
      </c>
      <c r="G1373" s="2">
        <v>3.9781199639999998</v>
      </c>
      <c r="H1373" s="3">
        <v>2.4300000000000001E-5</v>
      </c>
      <c r="I1373" s="2" t="s">
        <v>29338</v>
      </c>
      <c r="J1373" s="2" t="s">
        <v>29339</v>
      </c>
      <c r="K1373" s="2">
        <v>4.9744000000000003E-4</v>
      </c>
      <c r="L1373" s="2" t="s">
        <v>848</v>
      </c>
      <c r="M1373" s="4" t="s">
        <v>29340</v>
      </c>
    </row>
    <row r="1374" spans="1:13">
      <c r="A1374" s="2">
        <v>7761</v>
      </c>
      <c r="B1374" s="2" t="s">
        <v>7683</v>
      </c>
      <c r="C1374" s="2">
        <v>26</v>
      </c>
      <c r="D1374" s="2">
        <v>568</v>
      </c>
      <c r="E1374" s="2">
        <v>582</v>
      </c>
      <c r="F1374" s="2">
        <v>32441</v>
      </c>
      <c r="G1374" s="2">
        <v>2.5515040409999998</v>
      </c>
      <c r="H1374" s="3">
        <v>2.4499999999999999E-5</v>
      </c>
      <c r="I1374" s="2" t="s">
        <v>29341</v>
      </c>
      <c r="J1374" s="2" t="s">
        <v>29342</v>
      </c>
      <c r="K1374" s="2">
        <v>4.9920900000000002E-4</v>
      </c>
      <c r="L1374" s="2" t="s">
        <v>848</v>
      </c>
      <c r="M1374" s="4" t="s">
        <v>7686</v>
      </c>
    </row>
    <row r="1375" spans="1:13">
      <c r="A1375" s="2">
        <v>3362</v>
      </c>
      <c r="B1375" s="2" t="s">
        <v>29343</v>
      </c>
      <c r="C1375" s="2">
        <v>15</v>
      </c>
      <c r="D1375" s="2">
        <v>568</v>
      </c>
      <c r="E1375" s="2">
        <v>229</v>
      </c>
      <c r="F1375" s="2">
        <v>32441</v>
      </c>
      <c r="G1375" s="2">
        <v>3.7411203030000002</v>
      </c>
      <c r="H1375" s="3">
        <v>2.4700000000000001E-5</v>
      </c>
      <c r="I1375" s="2" t="s">
        <v>29344</v>
      </c>
      <c r="J1375" s="2" t="s">
        <v>29345</v>
      </c>
      <c r="K1375" s="2">
        <v>5.0211199999999998E-4</v>
      </c>
      <c r="L1375" s="2" t="s">
        <v>848</v>
      </c>
      <c r="M1375" s="4" t="s">
        <v>29346</v>
      </c>
    </row>
    <row r="1376" spans="1:13">
      <c r="A1376" s="2">
        <v>23191</v>
      </c>
      <c r="B1376" s="2" t="s">
        <v>29347</v>
      </c>
      <c r="C1376" s="2">
        <v>21</v>
      </c>
      <c r="D1376" s="2">
        <v>568</v>
      </c>
      <c r="E1376" s="2">
        <v>413</v>
      </c>
      <c r="F1376" s="2">
        <v>32441</v>
      </c>
      <c r="G1376" s="2">
        <v>2.9041238960000002</v>
      </c>
      <c r="H1376" s="3">
        <v>2.5199999999999999E-5</v>
      </c>
      <c r="I1376" s="2" t="s">
        <v>29348</v>
      </c>
      <c r="J1376" s="2" t="s">
        <v>29349</v>
      </c>
      <c r="K1376" s="2">
        <v>5.1043799999999999E-4</v>
      </c>
      <c r="L1376" s="2" t="s">
        <v>848</v>
      </c>
      <c r="M1376" s="4" t="s">
        <v>29350</v>
      </c>
    </row>
    <row r="1377" spans="1:13">
      <c r="A1377" s="2">
        <v>5589</v>
      </c>
      <c r="B1377" s="2" t="s">
        <v>29351</v>
      </c>
      <c r="C1377" s="2">
        <v>9</v>
      </c>
      <c r="D1377" s="2">
        <v>568</v>
      </c>
      <c r="E1377" s="2">
        <v>81</v>
      </c>
      <c r="F1377" s="2">
        <v>32441</v>
      </c>
      <c r="G1377" s="2">
        <v>6.3460485130000004</v>
      </c>
      <c r="H1377" s="3">
        <v>2.55E-5</v>
      </c>
      <c r="I1377" s="2" t="s">
        <v>29352</v>
      </c>
      <c r="J1377" s="2" t="s">
        <v>29353</v>
      </c>
      <c r="K1377" s="2">
        <v>5.1410599999999996E-4</v>
      </c>
      <c r="L1377" s="2" t="s">
        <v>848</v>
      </c>
      <c r="M1377" s="4" t="s">
        <v>29354</v>
      </c>
    </row>
    <row r="1378" spans="1:13">
      <c r="A1378" s="2">
        <v>2640</v>
      </c>
      <c r="B1378" s="2" t="s">
        <v>29355</v>
      </c>
      <c r="C1378" s="2">
        <v>7</v>
      </c>
      <c r="D1378" s="2">
        <v>568</v>
      </c>
      <c r="E1378" s="2">
        <v>44</v>
      </c>
      <c r="F1378" s="2">
        <v>32441</v>
      </c>
      <c r="G1378" s="2">
        <v>9.0863876440000002</v>
      </c>
      <c r="H1378" s="3">
        <v>2.5899999999999999E-5</v>
      </c>
      <c r="I1378" s="2" t="s">
        <v>29356</v>
      </c>
      <c r="J1378" s="2" t="s">
        <v>29357</v>
      </c>
      <c r="K1378" s="2">
        <v>5.2066000000000005E-4</v>
      </c>
      <c r="L1378" s="2" t="s">
        <v>848</v>
      </c>
      <c r="M1378" s="4" t="s">
        <v>29358</v>
      </c>
    </row>
    <row r="1379" spans="1:13">
      <c r="A1379" s="2">
        <v>3646</v>
      </c>
      <c r="B1379" s="2" t="s">
        <v>29359</v>
      </c>
      <c r="C1379" s="2">
        <v>12</v>
      </c>
      <c r="D1379" s="2">
        <v>568</v>
      </c>
      <c r="E1379" s="2">
        <v>150</v>
      </c>
      <c r="F1379" s="2">
        <v>32441</v>
      </c>
      <c r="G1379" s="2">
        <v>4.5691549299999998</v>
      </c>
      <c r="H1379" s="3">
        <v>2.6100000000000001E-5</v>
      </c>
      <c r="I1379" s="2" t="s">
        <v>29360</v>
      </c>
      <c r="J1379" s="2" t="s">
        <v>29361</v>
      </c>
      <c r="K1379" s="2">
        <v>5.2258800000000005E-4</v>
      </c>
      <c r="L1379" s="2" t="s">
        <v>848</v>
      </c>
      <c r="M1379" s="4" t="s">
        <v>29362</v>
      </c>
    </row>
    <row r="1380" spans="1:13">
      <c r="A1380" s="2">
        <v>1060</v>
      </c>
      <c r="B1380" s="2" t="s">
        <v>29363</v>
      </c>
      <c r="C1380" s="2">
        <v>19</v>
      </c>
      <c r="D1380" s="2">
        <v>568</v>
      </c>
      <c r="E1380" s="2">
        <v>351</v>
      </c>
      <c r="F1380" s="2">
        <v>32441</v>
      </c>
      <c r="G1380" s="2">
        <v>3.0916646600000002</v>
      </c>
      <c r="H1380" s="3">
        <v>2.72E-5</v>
      </c>
      <c r="I1380" s="2" t="s">
        <v>29364</v>
      </c>
      <c r="J1380" s="2" t="s">
        <v>29365</v>
      </c>
      <c r="K1380" s="2">
        <v>5.4378100000000002E-4</v>
      </c>
      <c r="L1380" s="2" t="s">
        <v>848</v>
      </c>
      <c r="M1380" s="4" t="s">
        <v>29366</v>
      </c>
    </row>
    <row r="1381" spans="1:13">
      <c r="A1381" s="2">
        <v>4919</v>
      </c>
      <c r="B1381" s="2" t="s">
        <v>10147</v>
      </c>
      <c r="C1381" s="2">
        <v>48</v>
      </c>
      <c r="D1381" s="2">
        <v>568</v>
      </c>
      <c r="E1381" s="2">
        <v>1445</v>
      </c>
      <c r="F1381" s="2">
        <v>32441</v>
      </c>
      <c r="G1381" s="2">
        <v>1.89722696</v>
      </c>
      <c r="H1381" s="3">
        <v>2.8399999999999999E-5</v>
      </c>
      <c r="I1381" s="3" t="s">
        <v>29367</v>
      </c>
      <c r="J1381" s="3" t="s">
        <v>29368</v>
      </c>
      <c r="K1381" s="2">
        <v>5.6487699999999998E-4</v>
      </c>
      <c r="L1381" s="2" t="s">
        <v>848</v>
      </c>
      <c r="M1381" s="4" t="s">
        <v>10150</v>
      </c>
    </row>
    <row r="1382" spans="1:13">
      <c r="A1382" s="2">
        <v>7751</v>
      </c>
      <c r="B1382" s="2" t="s">
        <v>29369</v>
      </c>
      <c r="C1382" s="2">
        <v>10</v>
      </c>
      <c r="D1382" s="2">
        <v>568</v>
      </c>
      <c r="E1382" s="2">
        <v>104</v>
      </c>
      <c r="F1382" s="2">
        <v>32441</v>
      </c>
      <c r="G1382" s="2">
        <v>5.4917727520000001</v>
      </c>
      <c r="H1382" s="3">
        <v>2.8900000000000001E-5</v>
      </c>
      <c r="I1382" s="2" t="s">
        <v>29370</v>
      </c>
      <c r="J1382" s="2" t="s">
        <v>29371</v>
      </c>
      <c r="K1382" s="2">
        <v>5.7322299999999998E-4</v>
      </c>
      <c r="L1382" s="2" t="s">
        <v>848</v>
      </c>
      <c r="M1382" s="4" t="s">
        <v>29372</v>
      </c>
    </row>
    <row r="1383" spans="1:13">
      <c r="A1383" s="2">
        <v>7902</v>
      </c>
      <c r="B1383" s="2" t="s">
        <v>29373</v>
      </c>
      <c r="C1383" s="2">
        <v>7</v>
      </c>
      <c r="D1383" s="2">
        <v>568</v>
      </c>
      <c r="E1383" s="2">
        <v>45</v>
      </c>
      <c r="F1383" s="2">
        <v>32441</v>
      </c>
      <c r="G1383" s="2">
        <v>8.8844679190000004</v>
      </c>
      <c r="H1383" s="3">
        <v>2.9499999999999999E-5</v>
      </c>
      <c r="I1383" s="2" t="s">
        <v>29374</v>
      </c>
      <c r="J1383" s="2" t="s">
        <v>29375</v>
      </c>
      <c r="K1383" s="2">
        <v>5.80936E-4</v>
      </c>
      <c r="L1383" s="2" t="s">
        <v>848</v>
      </c>
      <c r="M1383" s="4" t="s">
        <v>29376</v>
      </c>
    </row>
    <row r="1384" spans="1:13">
      <c r="A1384" s="2">
        <v>4322</v>
      </c>
      <c r="B1384" s="2" t="s">
        <v>29377</v>
      </c>
      <c r="C1384" s="2">
        <v>7</v>
      </c>
      <c r="D1384" s="2">
        <v>568</v>
      </c>
      <c r="E1384" s="2">
        <v>45</v>
      </c>
      <c r="F1384" s="2">
        <v>32441</v>
      </c>
      <c r="G1384" s="2">
        <v>8.8844679190000004</v>
      </c>
      <c r="H1384" s="3">
        <v>2.9499999999999999E-5</v>
      </c>
      <c r="I1384" s="2" t="s">
        <v>29378</v>
      </c>
      <c r="J1384" s="2" t="s">
        <v>29379</v>
      </c>
      <c r="K1384" s="2">
        <v>5.80936E-4</v>
      </c>
      <c r="L1384" s="2" t="s">
        <v>848</v>
      </c>
      <c r="M1384" s="4" t="s">
        <v>29380</v>
      </c>
    </row>
    <row r="1385" spans="1:13">
      <c r="A1385" s="2">
        <v>2841</v>
      </c>
      <c r="B1385" s="2" t="s">
        <v>29381</v>
      </c>
      <c r="C1385" s="2">
        <v>5</v>
      </c>
      <c r="D1385" s="2">
        <v>568</v>
      </c>
      <c r="E1385" s="2">
        <v>17</v>
      </c>
      <c r="F1385" s="2">
        <v>32441</v>
      </c>
      <c r="G1385" s="2">
        <v>16.79836371</v>
      </c>
      <c r="H1385" s="3">
        <v>3.0599999999999998E-5</v>
      </c>
      <c r="I1385" s="2" t="s">
        <v>29205</v>
      </c>
      <c r="J1385" s="2" t="s">
        <v>29206</v>
      </c>
      <c r="K1385" s="2">
        <v>6.02179E-4</v>
      </c>
      <c r="L1385" s="2" t="s">
        <v>848</v>
      </c>
      <c r="M1385" s="4" t="s">
        <v>29382</v>
      </c>
    </row>
    <row r="1386" spans="1:13">
      <c r="A1386" s="2">
        <v>8022</v>
      </c>
      <c r="B1386" s="2" t="s">
        <v>29383</v>
      </c>
      <c r="C1386" s="2">
        <v>12</v>
      </c>
      <c r="D1386" s="2">
        <v>568</v>
      </c>
      <c r="E1386" s="2">
        <v>155</v>
      </c>
      <c r="F1386" s="2">
        <v>32441</v>
      </c>
      <c r="G1386" s="2">
        <v>4.421762835</v>
      </c>
      <c r="H1386" s="3">
        <v>3.5200000000000002E-5</v>
      </c>
      <c r="I1386" s="2" t="s">
        <v>29384</v>
      </c>
      <c r="J1386" s="2" t="s">
        <v>29385</v>
      </c>
      <c r="K1386" s="2">
        <v>6.8919300000000005E-4</v>
      </c>
      <c r="L1386" s="2" t="s">
        <v>848</v>
      </c>
      <c r="M1386" s="4" t="s">
        <v>29386</v>
      </c>
    </row>
    <row r="1387" spans="1:13">
      <c r="A1387" s="2">
        <v>2439</v>
      </c>
      <c r="B1387" s="2" t="s">
        <v>29387</v>
      </c>
      <c r="C1387" s="2">
        <v>9</v>
      </c>
      <c r="D1387" s="2">
        <v>568</v>
      </c>
      <c r="E1387" s="2">
        <v>85</v>
      </c>
      <c r="F1387" s="2">
        <v>32441</v>
      </c>
      <c r="G1387" s="2">
        <v>6.0474109360000003</v>
      </c>
      <c r="H1387" s="3">
        <v>3.6100000000000003E-5</v>
      </c>
      <c r="I1387" s="2" t="s">
        <v>29388</v>
      </c>
      <c r="J1387" s="2" t="s">
        <v>29389</v>
      </c>
      <c r="K1387" s="2">
        <v>7.0463199999999996E-4</v>
      </c>
      <c r="L1387" s="2" t="s">
        <v>848</v>
      </c>
      <c r="M1387" s="4" t="s">
        <v>29390</v>
      </c>
    </row>
    <row r="1388" spans="1:13">
      <c r="A1388" s="2">
        <v>5281</v>
      </c>
      <c r="B1388" s="2" t="s">
        <v>29391</v>
      </c>
      <c r="C1388" s="2">
        <v>12</v>
      </c>
      <c r="D1388" s="2">
        <v>568</v>
      </c>
      <c r="E1388" s="2">
        <v>156</v>
      </c>
      <c r="F1388" s="2">
        <v>32441</v>
      </c>
      <c r="G1388" s="2">
        <v>4.3934182020000003</v>
      </c>
      <c r="H1388" s="3">
        <v>3.7299999999999999E-5</v>
      </c>
      <c r="I1388" s="2" t="s">
        <v>29392</v>
      </c>
      <c r="J1388" s="2" t="s">
        <v>29393</v>
      </c>
      <c r="K1388" s="2">
        <v>7.24576E-4</v>
      </c>
      <c r="L1388" s="2" t="s">
        <v>848</v>
      </c>
      <c r="M1388" s="4" t="s">
        <v>29394</v>
      </c>
    </row>
    <row r="1389" spans="1:13">
      <c r="A1389" s="2">
        <v>4986</v>
      </c>
      <c r="B1389" s="2" t="s">
        <v>29395</v>
      </c>
      <c r="C1389" s="2">
        <v>6</v>
      </c>
      <c r="D1389" s="2">
        <v>568</v>
      </c>
      <c r="E1389" s="2">
        <v>31</v>
      </c>
      <c r="F1389" s="2">
        <v>32441</v>
      </c>
      <c r="G1389" s="2">
        <v>11.05440709</v>
      </c>
      <c r="H1389" s="3">
        <v>3.7299999999999999E-5</v>
      </c>
      <c r="I1389" s="2" t="s">
        <v>29396</v>
      </c>
      <c r="J1389" s="2" t="s">
        <v>29397</v>
      </c>
      <c r="K1389" s="2">
        <v>7.24576E-4</v>
      </c>
      <c r="L1389" s="2" t="s">
        <v>848</v>
      </c>
      <c r="M1389" s="4" t="s">
        <v>29398</v>
      </c>
    </row>
    <row r="1390" spans="1:13">
      <c r="A1390" s="2">
        <v>4326</v>
      </c>
      <c r="B1390" s="2" t="s">
        <v>29399</v>
      </c>
      <c r="C1390" s="2">
        <v>7</v>
      </c>
      <c r="D1390" s="2">
        <v>568</v>
      </c>
      <c r="E1390" s="2">
        <v>47</v>
      </c>
      <c r="F1390" s="2">
        <v>32441</v>
      </c>
      <c r="G1390" s="2">
        <v>8.5064054539999994</v>
      </c>
      <c r="H1390" s="3">
        <v>3.79E-5</v>
      </c>
      <c r="I1390" s="2" t="s">
        <v>29400</v>
      </c>
      <c r="J1390" s="2" t="s">
        <v>29401</v>
      </c>
      <c r="K1390" s="2">
        <v>7.3191599999999999E-4</v>
      </c>
      <c r="L1390" s="2" t="s">
        <v>848</v>
      </c>
      <c r="M1390" s="4" t="s">
        <v>29402</v>
      </c>
    </row>
    <row r="1391" spans="1:13">
      <c r="A1391" s="2">
        <v>5842</v>
      </c>
      <c r="B1391" s="2" t="s">
        <v>29403</v>
      </c>
      <c r="C1391" s="2">
        <v>5</v>
      </c>
      <c r="D1391" s="2">
        <v>568</v>
      </c>
      <c r="E1391" s="2">
        <v>18</v>
      </c>
      <c r="F1391" s="2">
        <v>32441</v>
      </c>
      <c r="G1391" s="2">
        <v>15.86512128</v>
      </c>
      <c r="H1391" s="3">
        <v>3.8600000000000003E-5</v>
      </c>
      <c r="I1391" s="2" t="s">
        <v>29404</v>
      </c>
      <c r="J1391" s="2" t="s">
        <v>29405</v>
      </c>
      <c r="K1391" s="2">
        <v>7.4375999999999999E-4</v>
      </c>
      <c r="L1391" s="2" t="s">
        <v>848</v>
      </c>
      <c r="M1391" s="4" t="s">
        <v>29406</v>
      </c>
    </row>
    <row r="1392" spans="1:13">
      <c r="A1392" s="2">
        <v>30111</v>
      </c>
      <c r="B1392" s="2" t="s">
        <v>8480</v>
      </c>
      <c r="C1392" s="2">
        <v>40</v>
      </c>
      <c r="D1392" s="2">
        <v>568</v>
      </c>
      <c r="E1392" s="2">
        <v>1135</v>
      </c>
      <c r="F1392" s="2">
        <v>32441</v>
      </c>
      <c r="G1392" s="2">
        <v>2.0128435809999998</v>
      </c>
      <c r="H1392" s="3">
        <v>3.9100000000000002E-5</v>
      </c>
      <c r="I1392" s="2" t="s">
        <v>29407</v>
      </c>
      <c r="J1392" s="2" t="s">
        <v>29408</v>
      </c>
      <c r="K1392" s="2">
        <v>7.5160799999999996E-4</v>
      </c>
      <c r="L1392" s="2" t="s">
        <v>848</v>
      </c>
      <c r="M1392" s="4" t="s">
        <v>8483</v>
      </c>
    </row>
    <row r="1393" spans="1:13">
      <c r="A1393" s="2">
        <v>4153</v>
      </c>
      <c r="B1393" s="2" t="s">
        <v>8214</v>
      </c>
      <c r="C1393" s="2">
        <v>28</v>
      </c>
      <c r="D1393" s="2">
        <v>568</v>
      </c>
      <c r="E1393" s="2">
        <v>673</v>
      </c>
      <c r="F1393" s="2">
        <v>32441</v>
      </c>
      <c r="G1393" s="2">
        <v>2.3762321329999998</v>
      </c>
      <c r="H1393" s="3">
        <v>4.0399999999999999E-5</v>
      </c>
      <c r="I1393" s="2" t="s">
        <v>29409</v>
      </c>
      <c r="J1393" s="2" t="s">
        <v>29410</v>
      </c>
      <c r="K1393" s="2">
        <v>7.7349099999999996E-4</v>
      </c>
      <c r="L1393" s="2" t="s">
        <v>848</v>
      </c>
      <c r="M1393" s="4" t="s">
        <v>8217</v>
      </c>
    </row>
    <row r="1394" spans="1:13">
      <c r="A1394" s="2">
        <v>430</v>
      </c>
      <c r="B1394" s="2" t="s">
        <v>29411</v>
      </c>
      <c r="C1394" s="2">
        <v>6</v>
      </c>
      <c r="D1394" s="2">
        <v>568</v>
      </c>
      <c r="E1394" s="2">
        <v>32</v>
      </c>
      <c r="F1394" s="2">
        <v>32441</v>
      </c>
      <c r="G1394" s="2">
        <v>10.70895687</v>
      </c>
      <c r="H1394" s="3">
        <v>4.3699999999999998E-5</v>
      </c>
      <c r="I1394" s="2" t="s">
        <v>29412</v>
      </c>
      <c r="J1394" s="2" t="s">
        <v>29413</v>
      </c>
      <c r="K1394" s="2">
        <v>8.3163099999999999E-4</v>
      </c>
      <c r="L1394" s="2" t="s">
        <v>848</v>
      </c>
      <c r="M1394" s="4" t="s">
        <v>29414</v>
      </c>
    </row>
    <row r="1395" spans="1:13">
      <c r="A1395" s="2">
        <v>4481</v>
      </c>
      <c r="B1395" s="2" t="s">
        <v>29415</v>
      </c>
      <c r="C1395" s="2">
        <v>6</v>
      </c>
      <c r="D1395" s="2">
        <v>568</v>
      </c>
      <c r="E1395" s="2">
        <v>32</v>
      </c>
      <c r="F1395" s="2">
        <v>32441</v>
      </c>
      <c r="G1395" s="2">
        <v>10.70895687</v>
      </c>
      <c r="H1395" s="3">
        <v>4.3699999999999998E-5</v>
      </c>
      <c r="I1395" s="2" t="s">
        <v>29416</v>
      </c>
      <c r="J1395" s="2" t="s">
        <v>29417</v>
      </c>
      <c r="K1395" s="2">
        <v>8.3163099999999999E-4</v>
      </c>
      <c r="L1395" s="2" t="s">
        <v>848</v>
      </c>
      <c r="M1395" s="4" t="s">
        <v>29418</v>
      </c>
    </row>
    <row r="1396" spans="1:13">
      <c r="A1396" s="2">
        <v>2133</v>
      </c>
      <c r="B1396" s="2" t="s">
        <v>904</v>
      </c>
      <c r="C1396" s="2">
        <v>24</v>
      </c>
      <c r="D1396" s="2">
        <v>568</v>
      </c>
      <c r="E1396" s="2">
        <v>533</v>
      </c>
      <c r="F1396" s="2">
        <v>32441</v>
      </c>
      <c r="G1396" s="2">
        <v>2.571756996</v>
      </c>
      <c r="H1396" s="3">
        <v>4.4299999999999999E-5</v>
      </c>
      <c r="I1396" s="2" t="s">
        <v>29419</v>
      </c>
      <c r="J1396" s="2" t="s">
        <v>29420</v>
      </c>
      <c r="K1396" s="2">
        <v>8.3948699999999998E-4</v>
      </c>
      <c r="L1396" s="2" t="s">
        <v>848</v>
      </c>
      <c r="M1396" s="4" t="s">
        <v>29421</v>
      </c>
    </row>
    <row r="1397" spans="1:13">
      <c r="A1397" s="2">
        <v>3167</v>
      </c>
      <c r="B1397" s="2" t="s">
        <v>29422</v>
      </c>
      <c r="C1397" s="2">
        <v>8</v>
      </c>
      <c r="D1397" s="2">
        <v>568</v>
      </c>
      <c r="E1397" s="2">
        <v>67</v>
      </c>
      <c r="F1397" s="2">
        <v>32441</v>
      </c>
      <c r="G1397" s="2">
        <v>6.8196342230000004</v>
      </c>
      <c r="H1397" s="3">
        <v>4.49E-5</v>
      </c>
      <c r="I1397" s="2" t="s">
        <v>29423</v>
      </c>
      <c r="J1397" s="2" t="s">
        <v>29424</v>
      </c>
      <c r="K1397" s="2">
        <v>8.4844800000000002E-4</v>
      </c>
      <c r="L1397" s="2" t="s">
        <v>848</v>
      </c>
      <c r="M1397" s="4" t="s">
        <v>29425</v>
      </c>
    </row>
    <row r="1398" spans="1:13">
      <c r="A1398" s="2">
        <v>2504</v>
      </c>
      <c r="B1398" s="2" t="s">
        <v>29426</v>
      </c>
      <c r="C1398" s="2">
        <v>22</v>
      </c>
      <c r="D1398" s="2">
        <v>568</v>
      </c>
      <c r="E1398" s="2">
        <v>465</v>
      </c>
      <c r="F1398" s="2">
        <v>32441</v>
      </c>
      <c r="G1398" s="2">
        <v>2.7021883990000002</v>
      </c>
      <c r="H1398" s="3">
        <v>4.57E-5</v>
      </c>
      <c r="I1398" s="2" t="s">
        <v>29427</v>
      </c>
      <c r="J1398" s="2" t="s">
        <v>29428</v>
      </c>
      <c r="K1398" s="2">
        <v>8.6111800000000002E-4</v>
      </c>
      <c r="L1398" s="2" t="s">
        <v>848</v>
      </c>
      <c r="M1398" s="4" t="s">
        <v>29429</v>
      </c>
    </row>
    <row r="1399" spans="1:13">
      <c r="A1399" s="2">
        <v>1429</v>
      </c>
      <c r="B1399" s="2" t="s">
        <v>7883</v>
      </c>
      <c r="C1399" s="2">
        <v>49</v>
      </c>
      <c r="D1399" s="2">
        <v>568</v>
      </c>
      <c r="E1399" s="2">
        <v>1518</v>
      </c>
      <c r="F1399" s="2">
        <v>32441</v>
      </c>
      <c r="G1399" s="2">
        <v>1.843614884</v>
      </c>
      <c r="H1399" s="3">
        <v>4.6900000000000002E-5</v>
      </c>
      <c r="I1399" s="3" t="s">
        <v>29430</v>
      </c>
      <c r="J1399" s="3" t="s">
        <v>29431</v>
      </c>
      <c r="K1399" s="2">
        <v>8.8013900000000005E-4</v>
      </c>
      <c r="L1399" s="2" t="s">
        <v>848</v>
      </c>
      <c r="M1399" s="4" t="s">
        <v>7886</v>
      </c>
    </row>
    <row r="1400" spans="1:13">
      <c r="A1400" s="2">
        <v>1054</v>
      </c>
      <c r="B1400" s="2" t="s">
        <v>29432</v>
      </c>
      <c r="C1400" s="2">
        <v>7</v>
      </c>
      <c r="D1400" s="2">
        <v>568</v>
      </c>
      <c r="E1400" s="2">
        <v>49</v>
      </c>
      <c r="F1400" s="2">
        <v>32441</v>
      </c>
      <c r="G1400" s="2">
        <v>8.1592052309999996</v>
      </c>
      <c r="H1400" s="3">
        <v>4.8099999999999997E-5</v>
      </c>
      <c r="I1400" s="2" t="s">
        <v>29433</v>
      </c>
      <c r="J1400" s="2" t="s">
        <v>29434</v>
      </c>
      <c r="K1400" s="2">
        <v>8.9535400000000001E-4</v>
      </c>
      <c r="L1400" s="2" t="s">
        <v>848</v>
      </c>
      <c r="M1400" s="4" t="s">
        <v>29435</v>
      </c>
    </row>
    <row r="1401" spans="1:13">
      <c r="A1401" s="2">
        <v>5224</v>
      </c>
      <c r="B1401" s="2" t="s">
        <v>29436</v>
      </c>
      <c r="C1401" s="2">
        <v>5</v>
      </c>
      <c r="D1401" s="2">
        <v>568</v>
      </c>
      <c r="E1401" s="2">
        <v>19</v>
      </c>
      <c r="F1401" s="2">
        <v>32441</v>
      </c>
      <c r="G1401" s="2">
        <v>15.030114899999999</v>
      </c>
      <c r="H1401" s="3">
        <v>4.8099999999999997E-5</v>
      </c>
      <c r="I1401" s="2" t="s">
        <v>29437</v>
      </c>
      <c r="J1401" s="2" t="s">
        <v>29438</v>
      </c>
      <c r="K1401" s="2">
        <v>8.9535400000000001E-4</v>
      </c>
      <c r="L1401" s="2" t="s">
        <v>848</v>
      </c>
      <c r="M1401" s="4" t="s">
        <v>29439</v>
      </c>
    </row>
    <row r="1402" spans="1:13">
      <c r="A1402" s="2">
        <v>5704</v>
      </c>
      <c r="B1402" s="2" t="s">
        <v>29440</v>
      </c>
      <c r="C1402" s="2">
        <v>5</v>
      </c>
      <c r="D1402" s="2">
        <v>568</v>
      </c>
      <c r="E1402" s="2">
        <v>19</v>
      </c>
      <c r="F1402" s="2">
        <v>32441</v>
      </c>
      <c r="G1402" s="2">
        <v>15.030114899999999</v>
      </c>
      <c r="H1402" s="3">
        <v>4.8099999999999997E-5</v>
      </c>
      <c r="I1402" s="2" t="s">
        <v>29441</v>
      </c>
      <c r="J1402" s="2" t="s">
        <v>29442</v>
      </c>
      <c r="K1402" s="2">
        <v>8.9535400000000001E-4</v>
      </c>
      <c r="L1402" s="2" t="s">
        <v>848</v>
      </c>
      <c r="M1402" s="4" t="s">
        <v>29443</v>
      </c>
    </row>
    <row r="1403" spans="1:13">
      <c r="A1403" s="2">
        <v>2491</v>
      </c>
      <c r="B1403" s="2" t="s">
        <v>1145</v>
      </c>
      <c r="C1403" s="2">
        <v>8</v>
      </c>
      <c r="D1403" s="2">
        <v>568</v>
      </c>
      <c r="E1403" s="2">
        <v>68</v>
      </c>
      <c r="F1403" s="2">
        <v>32441</v>
      </c>
      <c r="G1403" s="2">
        <v>6.7193454849999998</v>
      </c>
      <c r="H1403" s="3">
        <v>4.9400000000000001E-5</v>
      </c>
      <c r="I1403" s="2" t="s">
        <v>29444</v>
      </c>
      <c r="J1403" s="2" t="s">
        <v>29445</v>
      </c>
      <c r="K1403" s="2">
        <v>9.1656599999999995E-4</v>
      </c>
      <c r="L1403" s="2" t="s">
        <v>848</v>
      </c>
      <c r="M1403" s="4" t="s">
        <v>29446</v>
      </c>
    </row>
    <row r="1404" spans="1:13">
      <c r="A1404" s="2">
        <v>3637</v>
      </c>
      <c r="B1404" s="2" t="s">
        <v>29447</v>
      </c>
      <c r="C1404" s="2">
        <v>14</v>
      </c>
      <c r="D1404" s="2">
        <v>568</v>
      </c>
      <c r="E1404" s="2">
        <v>217</v>
      </c>
      <c r="F1404" s="2">
        <v>32441</v>
      </c>
      <c r="G1404" s="2">
        <v>3.6848023630000002</v>
      </c>
      <c r="H1404" s="3">
        <v>5.3300000000000001E-5</v>
      </c>
      <c r="I1404" s="2" t="s">
        <v>29448</v>
      </c>
      <c r="J1404" s="2" t="s">
        <v>29449</v>
      </c>
      <c r="K1404" s="2">
        <v>9.8581800000000007E-4</v>
      </c>
      <c r="L1404" s="2" t="s">
        <v>848</v>
      </c>
      <c r="M1404" s="4" t="s">
        <v>29450</v>
      </c>
    </row>
    <row r="1405" spans="1:13">
      <c r="A1405" s="2">
        <v>5712</v>
      </c>
      <c r="B1405" s="2" t="s">
        <v>29451</v>
      </c>
      <c r="C1405" s="2">
        <v>7</v>
      </c>
      <c r="D1405" s="2">
        <v>568</v>
      </c>
      <c r="E1405" s="2">
        <v>50</v>
      </c>
      <c r="F1405" s="2">
        <v>32441</v>
      </c>
      <c r="G1405" s="2">
        <v>7.9960211269999997</v>
      </c>
      <c r="H1405" s="3">
        <v>5.3999999999999998E-5</v>
      </c>
      <c r="I1405" s="2" t="s">
        <v>29452</v>
      </c>
      <c r="J1405" s="2" t="s">
        <v>29453</v>
      </c>
      <c r="K1405" s="2">
        <v>9.9629300000000009E-4</v>
      </c>
      <c r="L1405" s="2" t="s">
        <v>848</v>
      </c>
      <c r="M1405" s="4" t="s">
        <v>29454</v>
      </c>
    </row>
    <row r="1406" spans="1:13">
      <c r="A1406" s="2">
        <v>48</v>
      </c>
      <c r="B1406" s="2" t="s">
        <v>29455</v>
      </c>
      <c r="C1406" s="2">
        <v>11</v>
      </c>
      <c r="D1406" s="2">
        <v>568</v>
      </c>
      <c r="E1406" s="2">
        <v>137</v>
      </c>
      <c r="F1406" s="2">
        <v>32441</v>
      </c>
      <c r="G1406" s="2">
        <v>4.5858306769999997</v>
      </c>
      <c r="H1406" s="3">
        <v>5.4400000000000001E-5</v>
      </c>
      <c r="I1406" s="2" t="s">
        <v>29456</v>
      </c>
      <c r="J1406" s="2" t="s">
        <v>29457</v>
      </c>
      <c r="K1406" s="2">
        <v>9.969969999999999E-4</v>
      </c>
      <c r="L1406" s="2" t="s">
        <v>848</v>
      </c>
      <c r="M1406" s="4" t="s">
        <v>29458</v>
      </c>
    </row>
    <row r="1407" spans="1:13">
      <c r="A1407" s="2">
        <v>5256</v>
      </c>
      <c r="B1407" s="2" t="s">
        <v>29459</v>
      </c>
      <c r="C1407" s="2">
        <v>8</v>
      </c>
      <c r="D1407" s="2">
        <v>568</v>
      </c>
      <c r="E1407" s="2">
        <v>69</v>
      </c>
      <c r="F1407" s="2">
        <v>32441</v>
      </c>
      <c r="G1407" s="2">
        <v>6.6219636660000001</v>
      </c>
      <c r="H1407" s="3">
        <v>5.4299999999999998E-5</v>
      </c>
      <c r="I1407" s="2" t="s">
        <v>29460</v>
      </c>
      <c r="J1407" s="2" t="s">
        <v>29461</v>
      </c>
      <c r="K1407" s="2">
        <v>9.969969999999999E-4</v>
      </c>
      <c r="L1407" s="2" t="s">
        <v>848</v>
      </c>
      <c r="M1407" s="4" t="s">
        <v>29462</v>
      </c>
    </row>
    <row r="1408" spans="1:13">
      <c r="A1408" s="2">
        <v>3530</v>
      </c>
      <c r="B1408" s="2" t="s">
        <v>29463</v>
      </c>
      <c r="C1408" s="2">
        <v>11</v>
      </c>
      <c r="D1408" s="2">
        <v>568</v>
      </c>
      <c r="E1408" s="2">
        <v>138</v>
      </c>
      <c r="F1408" s="2">
        <v>32441</v>
      </c>
      <c r="G1408" s="2">
        <v>4.5526000199999999</v>
      </c>
      <c r="H1408" s="3">
        <v>5.7899999999999998E-5</v>
      </c>
      <c r="I1408" s="2" t="s">
        <v>29464</v>
      </c>
      <c r="J1408" s="2" t="s">
        <v>29465</v>
      </c>
      <c r="K1408" s="2">
        <v>1.0567689999999999E-3</v>
      </c>
      <c r="L1408" s="2" t="s">
        <v>848</v>
      </c>
      <c r="M1408" s="4" t="s">
        <v>29466</v>
      </c>
    </row>
    <row r="1409" spans="1:13">
      <c r="A1409" s="2">
        <v>4061</v>
      </c>
      <c r="B1409" s="2" t="s">
        <v>8115</v>
      </c>
      <c r="C1409" s="2">
        <v>51</v>
      </c>
      <c r="D1409" s="2">
        <v>568</v>
      </c>
      <c r="E1409" s="2">
        <v>1618</v>
      </c>
      <c r="F1409" s="2">
        <v>32441</v>
      </c>
      <c r="G1409" s="2">
        <v>1.800269634</v>
      </c>
      <c r="H1409" s="3">
        <v>5.8799999999999999E-5</v>
      </c>
      <c r="I1409" s="3" t="s">
        <v>29467</v>
      </c>
      <c r="J1409" s="3" t="s">
        <v>29468</v>
      </c>
      <c r="K1409" s="2">
        <v>1.0697250000000001E-3</v>
      </c>
      <c r="L1409" s="2" t="s">
        <v>848</v>
      </c>
      <c r="M1409" s="4" t="s">
        <v>8118</v>
      </c>
    </row>
    <row r="1410" spans="1:13">
      <c r="A1410" s="2">
        <v>2639</v>
      </c>
      <c r="B1410" s="2" t="s">
        <v>29469</v>
      </c>
      <c r="C1410" s="2">
        <v>5</v>
      </c>
      <c r="D1410" s="2">
        <v>568</v>
      </c>
      <c r="E1410" s="2">
        <v>20</v>
      </c>
      <c r="F1410" s="2">
        <v>32441</v>
      </c>
      <c r="G1410" s="2">
        <v>14.278609149999999</v>
      </c>
      <c r="H1410" s="3">
        <v>5.9200000000000002E-5</v>
      </c>
      <c r="I1410" s="2" t="s">
        <v>29470</v>
      </c>
      <c r="J1410" s="2" t="s">
        <v>29471</v>
      </c>
      <c r="K1410" s="2">
        <v>1.074923E-3</v>
      </c>
      <c r="L1410" s="2" t="s">
        <v>848</v>
      </c>
      <c r="M1410" s="4" t="s">
        <v>29472</v>
      </c>
    </row>
    <row r="1411" spans="1:13">
      <c r="A1411" s="2">
        <v>1696</v>
      </c>
      <c r="B1411" s="2" t="s">
        <v>10895</v>
      </c>
      <c r="C1411" s="2">
        <v>14</v>
      </c>
      <c r="D1411" s="2">
        <v>568</v>
      </c>
      <c r="E1411" s="2">
        <v>220</v>
      </c>
      <c r="F1411" s="2">
        <v>32441</v>
      </c>
      <c r="G1411" s="2">
        <v>3.6345550580000001</v>
      </c>
      <c r="H1411" s="3">
        <v>6.1299999999999999E-5</v>
      </c>
      <c r="I1411" s="2" t="s">
        <v>29473</v>
      </c>
      <c r="J1411" s="2" t="s">
        <v>29474</v>
      </c>
      <c r="K1411" s="2">
        <v>1.1087340000000001E-3</v>
      </c>
      <c r="L1411" s="2" t="s">
        <v>848</v>
      </c>
      <c r="M1411" s="4" t="s">
        <v>10896</v>
      </c>
    </row>
    <row r="1412" spans="1:13">
      <c r="A1412" s="2">
        <v>5663</v>
      </c>
      <c r="B1412" s="2" t="s">
        <v>9362</v>
      </c>
      <c r="C1412" s="2">
        <v>35</v>
      </c>
      <c r="D1412" s="2">
        <v>568</v>
      </c>
      <c r="E1412" s="2">
        <v>959</v>
      </c>
      <c r="F1412" s="2">
        <v>32441</v>
      </c>
      <c r="G1412" s="2">
        <v>2.0844684899999999</v>
      </c>
      <c r="H1412" s="3">
        <v>6.1500000000000004E-5</v>
      </c>
      <c r="I1412" s="2" t="s">
        <v>29475</v>
      </c>
      <c r="J1412" s="2" t="s">
        <v>29476</v>
      </c>
      <c r="K1412" s="2">
        <v>1.10914E-3</v>
      </c>
      <c r="L1412" s="2" t="s">
        <v>848</v>
      </c>
      <c r="M1412" s="4" t="s">
        <v>9365</v>
      </c>
    </row>
    <row r="1413" spans="1:13">
      <c r="A1413" s="2">
        <v>2345</v>
      </c>
      <c r="B1413" s="2" t="s">
        <v>10022</v>
      </c>
      <c r="C1413" s="2">
        <v>19</v>
      </c>
      <c r="D1413" s="2">
        <v>568</v>
      </c>
      <c r="E1413" s="2">
        <v>375</v>
      </c>
      <c r="F1413" s="2">
        <v>32441</v>
      </c>
      <c r="G1413" s="2">
        <v>2.8937981220000002</v>
      </c>
      <c r="H1413" s="3">
        <v>6.3299999999999994E-5</v>
      </c>
      <c r="I1413" s="2" t="s">
        <v>29477</v>
      </c>
      <c r="J1413" s="2" t="s">
        <v>29478</v>
      </c>
      <c r="K1413" s="2">
        <v>1.138188E-3</v>
      </c>
      <c r="L1413" s="2" t="s">
        <v>848</v>
      </c>
      <c r="M1413" s="4" t="s">
        <v>10025</v>
      </c>
    </row>
    <row r="1414" spans="1:13">
      <c r="A1414" s="2">
        <v>6502</v>
      </c>
      <c r="B1414" s="2" t="s">
        <v>8135</v>
      </c>
      <c r="C1414" s="2">
        <v>36</v>
      </c>
      <c r="D1414" s="2">
        <v>568</v>
      </c>
      <c r="E1414" s="2">
        <v>1001</v>
      </c>
      <c r="F1414" s="2">
        <v>32441</v>
      </c>
      <c r="G1414" s="2">
        <v>2.0540656529999999</v>
      </c>
      <c r="H1414" s="3">
        <v>6.4399999999999993E-5</v>
      </c>
      <c r="I1414" s="2" t="s">
        <v>29479</v>
      </c>
      <c r="J1414" s="2" t="s">
        <v>29480</v>
      </c>
      <c r="K1414" s="2">
        <v>1.1544260000000001E-3</v>
      </c>
      <c r="L1414" s="2" t="s">
        <v>848</v>
      </c>
      <c r="M1414" s="4" t="s">
        <v>8138</v>
      </c>
    </row>
    <row r="1415" spans="1:13">
      <c r="A1415" s="2">
        <v>3844</v>
      </c>
      <c r="B1415" s="2" t="s">
        <v>29481</v>
      </c>
      <c r="C1415" s="2">
        <v>30</v>
      </c>
      <c r="D1415" s="2">
        <v>568</v>
      </c>
      <c r="E1415" s="2">
        <v>768</v>
      </c>
      <c r="F1415" s="2">
        <v>32441</v>
      </c>
      <c r="G1415" s="2">
        <v>2.2310326800000002</v>
      </c>
      <c r="H1415" s="3">
        <v>6.5199999999999999E-5</v>
      </c>
      <c r="I1415" s="2" t="s">
        <v>29482</v>
      </c>
      <c r="J1415" s="2" t="s">
        <v>29483</v>
      </c>
      <c r="K1415" s="2">
        <v>1.1654600000000001E-3</v>
      </c>
      <c r="L1415" s="2" t="s">
        <v>848</v>
      </c>
      <c r="M1415" s="4" t="s">
        <v>29484</v>
      </c>
    </row>
    <row r="1416" spans="1:13">
      <c r="A1416" s="2">
        <v>570</v>
      </c>
      <c r="B1416" s="2" t="s">
        <v>29485</v>
      </c>
      <c r="C1416" s="2">
        <v>7</v>
      </c>
      <c r="D1416" s="2">
        <v>568</v>
      </c>
      <c r="E1416" s="2">
        <v>52</v>
      </c>
      <c r="F1416" s="2">
        <v>32441</v>
      </c>
      <c r="G1416" s="2">
        <v>7.6884818529999999</v>
      </c>
      <c r="H1416" s="3">
        <v>6.7700000000000006E-5</v>
      </c>
      <c r="I1416" s="2" t="s">
        <v>29486</v>
      </c>
      <c r="J1416" s="2" t="s">
        <v>29487</v>
      </c>
      <c r="K1416" s="2">
        <v>1.2030680000000001E-3</v>
      </c>
      <c r="L1416" s="2" t="s">
        <v>848</v>
      </c>
      <c r="M1416" s="4" t="s">
        <v>29488</v>
      </c>
    </row>
    <row r="1417" spans="1:13">
      <c r="A1417" s="2">
        <v>4175</v>
      </c>
      <c r="B1417" s="2" t="s">
        <v>29489</v>
      </c>
      <c r="C1417" s="2">
        <v>7</v>
      </c>
      <c r="D1417" s="2">
        <v>568</v>
      </c>
      <c r="E1417" s="2">
        <v>52</v>
      </c>
      <c r="F1417" s="2">
        <v>32441</v>
      </c>
      <c r="G1417" s="2">
        <v>7.6884818529999999</v>
      </c>
      <c r="H1417" s="3">
        <v>6.7700000000000006E-5</v>
      </c>
      <c r="I1417" s="2" t="s">
        <v>29490</v>
      </c>
      <c r="J1417" s="2" t="s">
        <v>29491</v>
      </c>
      <c r="K1417" s="2">
        <v>1.2030680000000001E-3</v>
      </c>
      <c r="L1417" s="2" t="s">
        <v>848</v>
      </c>
      <c r="M1417" s="4" t="s">
        <v>29492</v>
      </c>
    </row>
    <row r="1418" spans="1:13">
      <c r="A1418" s="2">
        <v>3668</v>
      </c>
      <c r="B1418" s="2" t="s">
        <v>11187</v>
      </c>
      <c r="C1418" s="2">
        <v>11</v>
      </c>
      <c r="D1418" s="2">
        <v>568</v>
      </c>
      <c r="E1418" s="2">
        <v>141</v>
      </c>
      <c r="F1418" s="2">
        <v>32441</v>
      </c>
      <c r="G1418" s="2">
        <v>4.4557361899999997</v>
      </c>
      <c r="H1418" s="3">
        <v>6.9300000000000004E-5</v>
      </c>
      <c r="I1418" s="2" t="s">
        <v>29493</v>
      </c>
      <c r="J1418" s="2" t="s">
        <v>29494</v>
      </c>
      <c r="K1418" s="2">
        <v>1.2282809999999999E-3</v>
      </c>
      <c r="L1418" s="2" t="s">
        <v>848</v>
      </c>
      <c r="M1418" s="4" t="s">
        <v>11190</v>
      </c>
    </row>
    <row r="1419" spans="1:13">
      <c r="A1419" s="2">
        <v>2386</v>
      </c>
      <c r="B1419" s="2" t="s">
        <v>29495</v>
      </c>
      <c r="C1419" s="2">
        <v>5</v>
      </c>
      <c r="D1419" s="2">
        <v>568</v>
      </c>
      <c r="E1419" s="2">
        <v>21</v>
      </c>
      <c r="F1419" s="2">
        <v>32441</v>
      </c>
      <c r="G1419" s="2">
        <v>13.59867539</v>
      </c>
      <c r="H1419" s="3">
        <v>7.2299999999999996E-5</v>
      </c>
      <c r="I1419" s="2" t="s">
        <v>29496</v>
      </c>
      <c r="J1419" s="2" t="s">
        <v>29497</v>
      </c>
      <c r="K1419" s="2">
        <v>1.2730389999999999E-3</v>
      </c>
      <c r="L1419" s="2" t="s">
        <v>848</v>
      </c>
      <c r="M1419" s="4" t="s">
        <v>29498</v>
      </c>
    </row>
    <row r="1420" spans="1:13">
      <c r="A1420" s="2">
        <v>47411</v>
      </c>
      <c r="B1420" s="2" t="s">
        <v>29499</v>
      </c>
      <c r="C1420" s="2">
        <v>5</v>
      </c>
      <c r="D1420" s="2">
        <v>568</v>
      </c>
      <c r="E1420" s="2">
        <v>21</v>
      </c>
      <c r="F1420" s="2">
        <v>32441</v>
      </c>
      <c r="G1420" s="2">
        <v>13.59867539</v>
      </c>
      <c r="H1420" s="3">
        <v>7.2299999999999996E-5</v>
      </c>
      <c r="I1420" s="2" t="s">
        <v>29500</v>
      </c>
      <c r="J1420" s="2" t="s">
        <v>29501</v>
      </c>
      <c r="K1420" s="2">
        <v>1.2730389999999999E-3</v>
      </c>
      <c r="L1420" s="2" t="s">
        <v>848</v>
      </c>
      <c r="M1420" s="4" t="s">
        <v>29502</v>
      </c>
    </row>
    <row r="1421" spans="1:13">
      <c r="A1421" s="2">
        <v>3209</v>
      </c>
      <c r="B1421" s="2" t="s">
        <v>29503</v>
      </c>
      <c r="C1421" s="2">
        <v>36</v>
      </c>
      <c r="D1421" s="2">
        <v>568</v>
      </c>
      <c r="E1421" s="2">
        <v>1008</v>
      </c>
      <c r="F1421" s="2">
        <v>32441</v>
      </c>
      <c r="G1421" s="2">
        <v>2.0398013079999999</v>
      </c>
      <c r="H1421" s="3">
        <v>7.3700000000000002E-5</v>
      </c>
      <c r="I1421" s="2" t="s">
        <v>29504</v>
      </c>
      <c r="J1421" s="2" t="s">
        <v>29505</v>
      </c>
      <c r="K1421" s="2">
        <v>1.2932550000000001E-3</v>
      </c>
      <c r="L1421" s="2" t="s">
        <v>848</v>
      </c>
      <c r="M1421" s="4" t="s">
        <v>29506</v>
      </c>
    </row>
    <row r="1422" spans="1:13">
      <c r="A1422" s="2">
        <v>3684</v>
      </c>
      <c r="B1422" s="2" t="s">
        <v>3054</v>
      </c>
      <c r="C1422" s="2">
        <v>7</v>
      </c>
      <c r="D1422" s="2">
        <v>568</v>
      </c>
      <c r="E1422" s="2">
        <v>53</v>
      </c>
      <c r="F1422" s="2">
        <v>32441</v>
      </c>
      <c r="G1422" s="2">
        <v>7.5434161570000002</v>
      </c>
      <c r="H1422" s="3">
        <v>7.5500000000000006E-5</v>
      </c>
      <c r="I1422" s="2" t="s">
        <v>29507</v>
      </c>
      <c r="J1422" s="2" t="s">
        <v>29508</v>
      </c>
      <c r="K1422" s="2">
        <v>1.3220969999999999E-3</v>
      </c>
      <c r="L1422" s="2" t="s">
        <v>848</v>
      </c>
      <c r="M1422" s="4" t="s">
        <v>3057</v>
      </c>
    </row>
    <row r="1423" spans="1:13">
      <c r="A1423" s="2">
        <v>4911</v>
      </c>
      <c r="B1423" s="2" t="s">
        <v>1044</v>
      </c>
      <c r="C1423" s="2">
        <v>38</v>
      </c>
      <c r="D1423" s="2">
        <v>568</v>
      </c>
      <c r="E1423" s="2">
        <v>1090</v>
      </c>
      <c r="F1423" s="2">
        <v>32441</v>
      </c>
      <c r="G1423" s="2">
        <v>1.991145497</v>
      </c>
      <c r="H1423" s="3">
        <v>7.5799999999999999E-5</v>
      </c>
      <c r="I1423" s="2" t="s">
        <v>29509</v>
      </c>
      <c r="J1423" s="2" t="s">
        <v>29510</v>
      </c>
      <c r="K1423" s="2">
        <v>1.322576E-3</v>
      </c>
      <c r="L1423" s="2" t="s">
        <v>848</v>
      </c>
      <c r="M1423" s="4" t="s">
        <v>29511</v>
      </c>
    </row>
    <row r="1424" spans="1:13">
      <c r="A1424" s="2">
        <v>5909</v>
      </c>
      <c r="B1424" s="2" t="s">
        <v>29512</v>
      </c>
      <c r="C1424" s="2">
        <v>10</v>
      </c>
      <c r="D1424" s="2">
        <v>568</v>
      </c>
      <c r="E1424" s="2">
        <v>118</v>
      </c>
      <c r="F1424" s="2">
        <v>32441</v>
      </c>
      <c r="G1424" s="2">
        <v>4.8402064930000002</v>
      </c>
      <c r="H1424" s="3">
        <v>7.7700000000000005E-5</v>
      </c>
      <c r="I1424" s="2" t="s">
        <v>29513</v>
      </c>
      <c r="J1424" s="2" t="s">
        <v>29514</v>
      </c>
      <c r="K1424" s="2">
        <v>1.3520139999999999E-3</v>
      </c>
      <c r="L1424" s="2" t="s">
        <v>848</v>
      </c>
      <c r="M1424" s="4" t="s">
        <v>29515</v>
      </c>
    </row>
    <row r="1425" spans="1:13">
      <c r="A1425" s="2">
        <v>5308</v>
      </c>
      <c r="B1425" s="2" t="s">
        <v>11532</v>
      </c>
      <c r="C1425" s="2">
        <v>26</v>
      </c>
      <c r="D1425" s="2">
        <v>568</v>
      </c>
      <c r="E1425" s="2">
        <v>629</v>
      </c>
      <c r="F1425" s="2">
        <v>32441</v>
      </c>
      <c r="G1425" s="2">
        <v>2.3608511160000001</v>
      </c>
      <c r="H1425" s="3">
        <v>8.3499999999999997E-5</v>
      </c>
      <c r="I1425" s="2" t="s">
        <v>29516</v>
      </c>
      <c r="J1425" s="2" t="s">
        <v>29517</v>
      </c>
      <c r="K1425" s="2">
        <v>1.4490670000000001E-3</v>
      </c>
      <c r="L1425" s="2" t="s">
        <v>848</v>
      </c>
      <c r="M1425" s="4" t="s">
        <v>11535</v>
      </c>
    </row>
    <row r="1426" spans="1:13">
      <c r="A1426" s="2">
        <v>1240</v>
      </c>
      <c r="B1426" s="2" t="s">
        <v>29518</v>
      </c>
      <c r="C1426" s="2">
        <v>7</v>
      </c>
      <c r="D1426" s="2">
        <v>568</v>
      </c>
      <c r="E1426" s="2">
        <v>54</v>
      </c>
      <c r="F1426" s="2">
        <v>32441</v>
      </c>
      <c r="G1426" s="2">
        <v>7.4037232660000001</v>
      </c>
      <c r="H1426" s="3">
        <v>8.4099999999999998E-5</v>
      </c>
      <c r="I1426" s="2" t="s">
        <v>29519</v>
      </c>
      <c r="J1426" s="2" t="s">
        <v>29520</v>
      </c>
      <c r="K1426" s="2">
        <v>1.4543259999999999E-3</v>
      </c>
      <c r="L1426" s="2" t="s">
        <v>848</v>
      </c>
      <c r="M1426" s="4" t="s">
        <v>29521</v>
      </c>
    </row>
    <row r="1427" spans="1:13">
      <c r="A1427" s="2">
        <v>2676</v>
      </c>
      <c r="B1427" s="2" t="s">
        <v>29522</v>
      </c>
      <c r="C1427" s="2">
        <v>8</v>
      </c>
      <c r="D1427" s="2">
        <v>568</v>
      </c>
      <c r="E1427" s="2">
        <v>74</v>
      </c>
      <c r="F1427" s="2">
        <v>32441</v>
      </c>
      <c r="G1427" s="2">
        <v>6.1745336890000004</v>
      </c>
      <c r="H1427" s="3">
        <v>8.5400000000000002E-5</v>
      </c>
      <c r="I1427" s="2" t="s">
        <v>29523</v>
      </c>
      <c r="J1427" s="2" t="s">
        <v>29524</v>
      </c>
      <c r="K1427" s="2">
        <v>1.4682969999999999E-3</v>
      </c>
      <c r="L1427" s="2" t="s">
        <v>848</v>
      </c>
      <c r="M1427" s="4" t="s">
        <v>29525</v>
      </c>
    </row>
    <row r="1428" spans="1:13">
      <c r="A1428" s="2">
        <v>4651</v>
      </c>
      <c r="B1428" s="2" t="s">
        <v>29526</v>
      </c>
      <c r="C1428" s="2">
        <v>8</v>
      </c>
      <c r="D1428" s="2">
        <v>568</v>
      </c>
      <c r="E1428" s="2">
        <v>74</v>
      </c>
      <c r="F1428" s="2">
        <v>32441</v>
      </c>
      <c r="G1428" s="2">
        <v>6.1745336890000004</v>
      </c>
      <c r="H1428" s="3">
        <v>8.5400000000000002E-5</v>
      </c>
      <c r="I1428" s="2" t="s">
        <v>29527</v>
      </c>
      <c r="J1428" s="2" t="s">
        <v>29528</v>
      </c>
      <c r="K1428" s="2">
        <v>1.4682969999999999E-3</v>
      </c>
      <c r="L1428" s="2" t="s">
        <v>848</v>
      </c>
      <c r="M1428" s="4" t="s">
        <v>29529</v>
      </c>
    </row>
    <row r="1429" spans="1:13">
      <c r="A1429" s="2">
        <v>1648</v>
      </c>
      <c r="B1429" s="2" t="s">
        <v>29530</v>
      </c>
      <c r="C1429" s="2">
        <v>9</v>
      </c>
      <c r="D1429" s="2">
        <v>568</v>
      </c>
      <c r="E1429" s="2">
        <v>96</v>
      </c>
      <c r="F1429" s="2">
        <v>32441</v>
      </c>
      <c r="G1429" s="2">
        <v>5.3544784329999997</v>
      </c>
      <c r="H1429" s="3">
        <v>8.6299999999999997E-5</v>
      </c>
      <c r="I1429" s="2" t="s">
        <v>29531</v>
      </c>
      <c r="J1429" s="2" t="s">
        <v>29532</v>
      </c>
      <c r="K1429" s="2">
        <v>1.479843E-3</v>
      </c>
      <c r="L1429" s="2" t="s">
        <v>848</v>
      </c>
      <c r="M1429" s="4" t="s">
        <v>29533</v>
      </c>
    </row>
    <row r="1430" spans="1:13">
      <c r="A1430" s="2">
        <v>3177</v>
      </c>
      <c r="B1430" s="2" t="s">
        <v>29534</v>
      </c>
      <c r="C1430" s="2">
        <v>5</v>
      </c>
      <c r="D1430" s="2">
        <v>568</v>
      </c>
      <c r="E1430" s="2">
        <v>22</v>
      </c>
      <c r="F1430" s="2">
        <v>32441</v>
      </c>
      <c r="G1430" s="2">
        <v>12.980553779999999</v>
      </c>
      <c r="H1430" s="3">
        <v>8.7499999999999999E-5</v>
      </c>
      <c r="I1430" s="2" t="s">
        <v>29535</v>
      </c>
      <c r="J1430" s="2" t="s">
        <v>29536</v>
      </c>
      <c r="K1430" s="2">
        <v>1.495824E-3</v>
      </c>
      <c r="L1430" s="2" t="s">
        <v>848</v>
      </c>
      <c r="M1430" s="4" t="s">
        <v>29537</v>
      </c>
    </row>
    <row r="1431" spans="1:13">
      <c r="A1431" s="2">
        <v>5400</v>
      </c>
      <c r="B1431" s="2" t="s">
        <v>29538</v>
      </c>
      <c r="C1431" s="2">
        <v>10</v>
      </c>
      <c r="D1431" s="2">
        <v>568</v>
      </c>
      <c r="E1431" s="2">
        <v>120</v>
      </c>
      <c r="F1431" s="2">
        <v>32441</v>
      </c>
      <c r="G1431" s="2">
        <v>4.7595363849999996</v>
      </c>
      <c r="H1431" s="3">
        <v>8.8499999999999996E-5</v>
      </c>
      <c r="I1431" s="2" t="s">
        <v>29539</v>
      </c>
      <c r="J1431" s="2" t="s">
        <v>29540</v>
      </c>
      <c r="K1431" s="2">
        <v>1.508952E-3</v>
      </c>
      <c r="L1431" s="2" t="s">
        <v>848</v>
      </c>
      <c r="M1431" s="4" t="s">
        <v>29541</v>
      </c>
    </row>
    <row r="1432" spans="1:13">
      <c r="A1432" s="2">
        <v>4811</v>
      </c>
      <c r="B1432" s="2" t="s">
        <v>3045</v>
      </c>
      <c r="C1432" s="2">
        <v>12</v>
      </c>
      <c r="D1432" s="2">
        <v>568</v>
      </c>
      <c r="E1432" s="2">
        <v>172</v>
      </c>
      <c r="F1432" s="2">
        <v>32441</v>
      </c>
      <c r="G1432" s="2">
        <v>3.9847281360000002</v>
      </c>
      <c r="H1432" s="3">
        <v>8.9900000000000003E-5</v>
      </c>
      <c r="I1432" s="2" t="s">
        <v>29542</v>
      </c>
      <c r="J1432" s="2" t="s">
        <v>29543</v>
      </c>
      <c r="K1432" s="2">
        <v>1.524718E-3</v>
      </c>
      <c r="L1432" s="2" t="s">
        <v>848</v>
      </c>
      <c r="M1432" s="4" t="s">
        <v>3048</v>
      </c>
    </row>
    <row r="1433" spans="1:13">
      <c r="A1433" s="2">
        <v>4936</v>
      </c>
      <c r="B1433" s="2" t="s">
        <v>29544</v>
      </c>
      <c r="C1433" s="2">
        <v>16</v>
      </c>
      <c r="D1433" s="2">
        <v>568</v>
      </c>
      <c r="E1433" s="2">
        <v>289</v>
      </c>
      <c r="F1433" s="2">
        <v>32441</v>
      </c>
      <c r="G1433" s="2">
        <v>3.1620449339999999</v>
      </c>
      <c r="H1433" s="3">
        <v>8.9900000000000003E-5</v>
      </c>
      <c r="I1433" s="2" t="s">
        <v>29545</v>
      </c>
      <c r="J1433" s="2" t="s">
        <v>29546</v>
      </c>
      <c r="K1433" s="2">
        <v>1.524718E-3</v>
      </c>
      <c r="L1433" s="2" t="s">
        <v>848</v>
      </c>
      <c r="M1433" s="4" t="s">
        <v>29547</v>
      </c>
    </row>
    <row r="1434" spans="1:13">
      <c r="A1434" s="2">
        <v>942</v>
      </c>
      <c r="B1434" s="2" t="s">
        <v>29548</v>
      </c>
      <c r="C1434" s="2">
        <v>9</v>
      </c>
      <c r="D1434" s="2">
        <v>568</v>
      </c>
      <c r="E1434" s="2">
        <v>97</v>
      </c>
      <c r="F1434" s="2">
        <v>32441</v>
      </c>
      <c r="G1434" s="2">
        <v>5.2992776250000002</v>
      </c>
      <c r="H1434" s="3">
        <v>9.2899999999999995E-5</v>
      </c>
      <c r="I1434" s="2" t="s">
        <v>29549</v>
      </c>
      <c r="J1434" s="2" t="s">
        <v>29550</v>
      </c>
      <c r="K1434" s="2">
        <v>1.56117E-3</v>
      </c>
      <c r="L1434" s="2" t="s">
        <v>848</v>
      </c>
      <c r="M1434" s="4" t="s">
        <v>29551</v>
      </c>
    </row>
    <row r="1435" spans="1:13">
      <c r="A1435" s="2">
        <v>1148</v>
      </c>
      <c r="B1435" s="2" t="s">
        <v>29552</v>
      </c>
      <c r="C1435" s="2">
        <v>9</v>
      </c>
      <c r="D1435" s="2">
        <v>568</v>
      </c>
      <c r="E1435" s="2">
        <v>97</v>
      </c>
      <c r="F1435" s="2">
        <v>32441</v>
      </c>
      <c r="G1435" s="2">
        <v>5.2992776250000002</v>
      </c>
      <c r="H1435" s="3">
        <v>9.2899999999999995E-5</v>
      </c>
      <c r="I1435" s="2" t="s">
        <v>29553</v>
      </c>
      <c r="J1435" s="2" t="s">
        <v>29554</v>
      </c>
      <c r="K1435" s="2">
        <v>1.56117E-3</v>
      </c>
      <c r="L1435" s="2" t="s">
        <v>848</v>
      </c>
      <c r="M1435" s="4" t="s">
        <v>29555</v>
      </c>
    </row>
    <row r="1436" spans="1:13">
      <c r="A1436" s="2">
        <v>29201</v>
      </c>
      <c r="B1436" s="2" t="s">
        <v>29556</v>
      </c>
      <c r="C1436" s="2">
        <v>11</v>
      </c>
      <c r="D1436" s="2">
        <v>568</v>
      </c>
      <c r="E1436" s="2">
        <v>146</v>
      </c>
      <c r="F1436" s="2">
        <v>32441</v>
      </c>
      <c r="G1436" s="2">
        <v>4.3031424850000004</v>
      </c>
      <c r="H1436" s="3">
        <v>9.2800000000000006E-5</v>
      </c>
      <c r="I1436" s="2" t="s">
        <v>29557</v>
      </c>
      <c r="J1436" s="2" t="s">
        <v>29558</v>
      </c>
      <c r="K1436" s="2">
        <v>1.56117E-3</v>
      </c>
      <c r="L1436" s="2" t="s">
        <v>848</v>
      </c>
      <c r="M1436" s="4" t="s">
        <v>29559</v>
      </c>
    </row>
    <row r="1437" spans="1:13">
      <c r="A1437" s="2">
        <v>2072</v>
      </c>
      <c r="B1437" s="2" t="s">
        <v>29560</v>
      </c>
      <c r="C1437" s="2">
        <v>11</v>
      </c>
      <c r="D1437" s="2">
        <v>568</v>
      </c>
      <c r="E1437" s="2">
        <v>147</v>
      </c>
      <c r="F1437" s="2">
        <v>32441</v>
      </c>
      <c r="G1437" s="2">
        <v>4.2738694070000003</v>
      </c>
      <c r="H1437" s="3">
        <v>9.8200000000000002E-5</v>
      </c>
      <c r="I1437" s="2" t="s">
        <v>29561</v>
      </c>
      <c r="J1437" s="2" t="s">
        <v>29562</v>
      </c>
      <c r="K1437" s="2">
        <v>1.646003E-3</v>
      </c>
      <c r="L1437" s="2" t="s">
        <v>848</v>
      </c>
      <c r="M1437" s="4" t="s">
        <v>29563</v>
      </c>
    </row>
    <row r="1438" spans="1:13">
      <c r="A1438" s="2">
        <v>2443</v>
      </c>
      <c r="B1438" s="2" t="s">
        <v>29564</v>
      </c>
      <c r="C1438" s="2">
        <v>13</v>
      </c>
      <c r="D1438" s="2">
        <v>568</v>
      </c>
      <c r="E1438" s="2">
        <v>202</v>
      </c>
      <c r="F1438" s="2">
        <v>32441</v>
      </c>
      <c r="G1438" s="2">
        <v>3.6756815650000001</v>
      </c>
      <c r="H1438" s="2">
        <v>1.0001999999999999E-4</v>
      </c>
      <c r="I1438" s="2" t="s">
        <v>29565</v>
      </c>
      <c r="J1438" s="2" t="s">
        <v>29566</v>
      </c>
      <c r="K1438" s="2">
        <v>1.6624089999999999E-3</v>
      </c>
      <c r="L1438" s="2" t="s">
        <v>848</v>
      </c>
      <c r="M1438" s="4" t="s">
        <v>29567</v>
      </c>
    </row>
    <row r="1439" spans="1:13">
      <c r="A1439" s="2">
        <v>2990</v>
      </c>
      <c r="B1439" s="2" t="s">
        <v>29568</v>
      </c>
      <c r="C1439" s="2">
        <v>9</v>
      </c>
      <c r="D1439" s="2">
        <v>568</v>
      </c>
      <c r="E1439" s="2">
        <v>98</v>
      </c>
      <c r="F1439" s="2">
        <v>32441</v>
      </c>
      <c r="G1439" s="2">
        <v>5.2452033629999999</v>
      </c>
      <c r="H1439" s="3">
        <v>9.9900000000000002E-5</v>
      </c>
      <c r="I1439" s="2" t="s">
        <v>29569</v>
      </c>
      <c r="J1439" s="2" t="s">
        <v>29570</v>
      </c>
      <c r="K1439" s="2">
        <v>1.6624089999999999E-3</v>
      </c>
      <c r="L1439" s="2" t="s">
        <v>848</v>
      </c>
      <c r="M1439" s="4" t="s">
        <v>29571</v>
      </c>
    </row>
    <row r="1440" spans="1:13">
      <c r="A1440" s="2">
        <v>4856</v>
      </c>
      <c r="B1440" s="2" t="s">
        <v>29572</v>
      </c>
      <c r="C1440" s="2">
        <v>9</v>
      </c>
      <c r="D1440" s="2">
        <v>568</v>
      </c>
      <c r="E1440" s="2">
        <v>98</v>
      </c>
      <c r="F1440" s="2">
        <v>32441</v>
      </c>
      <c r="G1440" s="2">
        <v>5.2452033629999999</v>
      </c>
      <c r="H1440" s="3">
        <v>9.9900000000000002E-5</v>
      </c>
      <c r="I1440" s="2" t="s">
        <v>29573</v>
      </c>
      <c r="J1440" s="2" t="s">
        <v>29574</v>
      </c>
      <c r="K1440" s="2">
        <v>1.6624089999999999E-3</v>
      </c>
      <c r="L1440" s="2" t="s">
        <v>848</v>
      </c>
      <c r="M1440" s="4" t="s">
        <v>29575</v>
      </c>
    </row>
    <row r="1441" spans="1:13">
      <c r="A1441" s="2">
        <v>4523</v>
      </c>
      <c r="B1441" s="2" t="s">
        <v>29576</v>
      </c>
      <c r="C1441" s="2">
        <v>10</v>
      </c>
      <c r="D1441" s="2">
        <v>568</v>
      </c>
      <c r="E1441" s="2">
        <v>122</v>
      </c>
      <c r="F1441" s="2">
        <v>32441</v>
      </c>
      <c r="G1441" s="2">
        <v>4.6815111979999999</v>
      </c>
      <c r="H1441" s="2">
        <v>1.00542E-4</v>
      </c>
      <c r="I1441" s="2" t="s">
        <v>29577</v>
      </c>
      <c r="J1441" s="2" t="s">
        <v>29578</v>
      </c>
      <c r="K1441" s="2">
        <v>1.6664049999999999E-3</v>
      </c>
      <c r="L1441" s="2" t="s">
        <v>848</v>
      </c>
      <c r="M1441" s="4" t="s">
        <v>29579</v>
      </c>
    </row>
    <row r="1442" spans="1:13">
      <c r="A1442" s="2">
        <v>4303</v>
      </c>
      <c r="B1442" s="2" t="s">
        <v>29580</v>
      </c>
      <c r="C1442" s="2">
        <v>13</v>
      </c>
      <c r="D1442" s="2">
        <v>568</v>
      </c>
      <c r="E1442" s="2">
        <v>203</v>
      </c>
      <c r="F1442" s="2">
        <v>32441</v>
      </c>
      <c r="G1442" s="2">
        <v>3.6575747590000001</v>
      </c>
      <c r="H1442" s="2">
        <v>1.04787E-4</v>
      </c>
      <c r="I1442" s="2" t="s">
        <v>29581</v>
      </c>
      <c r="J1442" s="2" t="s">
        <v>29582</v>
      </c>
      <c r="K1442" s="2">
        <v>1.7303310000000001E-3</v>
      </c>
      <c r="L1442" s="2" t="s">
        <v>848</v>
      </c>
      <c r="M1442" s="4" t="s">
        <v>29583</v>
      </c>
    </row>
    <row r="1443" spans="1:13">
      <c r="A1443" s="2">
        <v>5478</v>
      </c>
      <c r="B1443" s="2" t="s">
        <v>29584</v>
      </c>
      <c r="C1443" s="2">
        <v>5</v>
      </c>
      <c r="D1443" s="2">
        <v>568</v>
      </c>
      <c r="E1443" s="2">
        <v>23</v>
      </c>
      <c r="F1443" s="2">
        <v>32441</v>
      </c>
      <c r="G1443" s="2">
        <v>12.416181870000001</v>
      </c>
      <c r="H1443" s="2">
        <v>1.04984E-4</v>
      </c>
      <c r="I1443" s="2" t="s">
        <v>29585</v>
      </c>
      <c r="J1443" s="2" t="s">
        <v>29586</v>
      </c>
      <c r="K1443" s="2">
        <v>1.7303310000000001E-3</v>
      </c>
      <c r="L1443" s="2" t="s">
        <v>848</v>
      </c>
      <c r="M1443" s="4" t="s">
        <v>29587</v>
      </c>
    </row>
    <row r="1444" spans="1:13">
      <c r="A1444" s="2">
        <v>3186</v>
      </c>
      <c r="B1444" s="2" t="s">
        <v>8376</v>
      </c>
      <c r="C1444" s="2">
        <v>44</v>
      </c>
      <c r="D1444" s="2">
        <v>568</v>
      </c>
      <c r="E1444" s="2">
        <v>1360</v>
      </c>
      <c r="F1444" s="2">
        <v>32441</v>
      </c>
      <c r="G1444" s="2">
        <v>1.847820008</v>
      </c>
      <c r="H1444" s="2">
        <v>1.09238E-4</v>
      </c>
      <c r="I1444" s="2" t="s">
        <v>29588</v>
      </c>
      <c r="J1444" s="2" t="s">
        <v>29589</v>
      </c>
      <c r="K1444" s="2">
        <v>1.795446E-3</v>
      </c>
      <c r="L1444" s="2" t="s">
        <v>848</v>
      </c>
      <c r="M1444" s="4" t="s">
        <v>8379</v>
      </c>
    </row>
    <row r="1445" spans="1:13">
      <c r="A1445" s="2">
        <v>2752</v>
      </c>
      <c r="B1445" s="2" t="s">
        <v>903</v>
      </c>
      <c r="C1445" s="2">
        <v>20</v>
      </c>
      <c r="D1445" s="2">
        <v>568</v>
      </c>
      <c r="E1445" s="2">
        <v>427</v>
      </c>
      <c r="F1445" s="2">
        <v>32441</v>
      </c>
      <c r="G1445" s="2">
        <v>2.6751492560000001</v>
      </c>
      <c r="H1445" s="2">
        <v>1.1378E-4</v>
      </c>
      <c r="I1445" s="2" t="s">
        <v>29590</v>
      </c>
      <c r="J1445" s="2" t="s">
        <v>29591</v>
      </c>
      <c r="K1445" s="2">
        <v>1.8649179999999999E-3</v>
      </c>
      <c r="L1445" s="2" t="s">
        <v>848</v>
      </c>
      <c r="M1445" s="4" t="s">
        <v>29592</v>
      </c>
    </row>
    <row r="1446" spans="1:13">
      <c r="A1446" s="2">
        <v>5791</v>
      </c>
      <c r="B1446" s="2" t="s">
        <v>29593</v>
      </c>
      <c r="C1446" s="2">
        <v>9</v>
      </c>
      <c r="D1446" s="2">
        <v>568</v>
      </c>
      <c r="E1446" s="2">
        <v>100</v>
      </c>
      <c r="F1446" s="2">
        <v>32441</v>
      </c>
      <c r="G1446" s="2">
        <v>5.1402992960000002</v>
      </c>
      <c r="H1446" s="2">
        <v>1.1522400000000001E-4</v>
      </c>
      <c r="I1446" s="2" t="s">
        <v>29594</v>
      </c>
      <c r="J1446" s="2" t="s">
        <v>29595</v>
      </c>
      <c r="K1446" s="2">
        <v>1.8833700000000001E-3</v>
      </c>
      <c r="L1446" s="2" t="s">
        <v>848</v>
      </c>
      <c r="M1446" s="4" t="s">
        <v>29596</v>
      </c>
    </row>
    <row r="1447" spans="1:13">
      <c r="A1447" s="2">
        <v>995</v>
      </c>
      <c r="B1447" s="2" t="s">
        <v>29597</v>
      </c>
      <c r="C1447" s="2">
        <v>6</v>
      </c>
      <c r="D1447" s="2">
        <v>568</v>
      </c>
      <c r="E1447" s="2">
        <v>39</v>
      </c>
      <c r="F1447" s="2">
        <v>32441</v>
      </c>
      <c r="G1447" s="2">
        <v>8.7868364030000006</v>
      </c>
      <c r="H1447" s="2">
        <v>1.16476E-4</v>
      </c>
      <c r="I1447" s="2" t="s">
        <v>29598</v>
      </c>
      <c r="J1447" s="2" t="s">
        <v>29599</v>
      </c>
      <c r="K1447" s="2">
        <v>1.891586E-3</v>
      </c>
      <c r="L1447" s="2" t="s">
        <v>848</v>
      </c>
      <c r="M1447" s="4" t="s">
        <v>29600</v>
      </c>
    </row>
    <row r="1448" spans="1:13">
      <c r="A1448" s="2">
        <v>2172</v>
      </c>
      <c r="B1448" s="2" t="s">
        <v>8083</v>
      </c>
      <c r="C1448" s="2">
        <v>47</v>
      </c>
      <c r="D1448" s="2">
        <v>568</v>
      </c>
      <c r="E1448" s="2">
        <v>1492</v>
      </c>
      <c r="F1448" s="2">
        <v>32441</v>
      </c>
      <c r="G1448" s="2">
        <v>1.7991813139999999</v>
      </c>
      <c r="H1448" s="2">
        <v>1.16686E-4</v>
      </c>
      <c r="I1448" s="2" t="s">
        <v>29601</v>
      </c>
      <c r="J1448" s="2" t="s">
        <v>29602</v>
      </c>
      <c r="K1448" s="2">
        <v>1.891586E-3</v>
      </c>
      <c r="L1448" s="2" t="s">
        <v>848</v>
      </c>
      <c r="M1448" s="4" t="s">
        <v>8086</v>
      </c>
    </row>
    <row r="1449" spans="1:13">
      <c r="A1449" s="2">
        <v>5091</v>
      </c>
      <c r="B1449" s="2" t="s">
        <v>29603</v>
      </c>
      <c r="C1449" s="2">
        <v>6</v>
      </c>
      <c r="D1449" s="2">
        <v>568</v>
      </c>
      <c r="E1449" s="2">
        <v>39</v>
      </c>
      <c r="F1449" s="2">
        <v>32441</v>
      </c>
      <c r="G1449" s="2">
        <v>8.7868364030000006</v>
      </c>
      <c r="H1449" s="2">
        <v>1.16476E-4</v>
      </c>
      <c r="I1449" s="2" t="s">
        <v>29217</v>
      </c>
      <c r="J1449" s="2" t="s">
        <v>29218</v>
      </c>
      <c r="K1449" s="2">
        <v>1.891586E-3</v>
      </c>
      <c r="L1449" s="2" t="s">
        <v>848</v>
      </c>
      <c r="M1449" s="4" t="s">
        <v>29604</v>
      </c>
    </row>
    <row r="1450" spans="1:13">
      <c r="A1450" s="2">
        <v>1029</v>
      </c>
      <c r="B1450" s="2" t="s">
        <v>8278</v>
      </c>
      <c r="C1450" s="2">
        <v>41</v>
      </c>
      <c r="D1450" s="2">
        <v>568</v>
      </c>
      <c r="E1450" s="2">
        <v>1239</v>
      </c>
      <c r="F1450" s="2">
        <v>32441</v>
      </c>
      <c r="G1450" s="2">
        <v>1.8899853929999999</v>
      </c>
      <c r="H1450" s="2">
        <v>1.18338E-4</v>
      </c>
      <c r="I1450" s="2" t="s">
        <v>29605</v>
      </c>
      <c r="J1450" s="2" t="s">
        <v>29606</v>
      </c>
      <c r="K1450" s="2">
        <v>1.9131280000000001E-3</v>
      </c>
      <c r="L1450" s="2" t="s">
        <v>848</v>
      </c>
      <c r="M1450" s="4" t="s">
        <v>8281</v>
      </c>
    </row>
    <row r="1451" spans="1:13">
      <c r="A1451" s="2">
        <v>5451</v>
      </c>
      <c r="B1451" s="2" t="s">
        <v>9170</v>
      </c>
      <c r="C1451" s="2">
        <v>17</v>
      </c>
      <c r="D1451" s="2">
        <v>568</v>
      </c>
      <c r="E1451" s="2">
        <v>329</v>
      </c>
      <c r="F1451" s="2">
        <v>32441</v>
      </c>
      <c r="G1451" s="2">
        <v>2.9512018919999998</v>
      </c>
      <c r="H1451" s="2">
        <v>1.21307E-4</v>
      </c>
      <c r="I1451" s="2" t="s">
        <v>29607</v>
      </c>
      <c r="J1451" s="2" t="s">
        <v>29608</v>
      </c>
      <c r="K1451" s="2">
        <v>1.9557799999999998E-3</v>
      </c>
      <c r="L1451" s="2" t="s">
        <v>848</v>
      </c>
      <c r="M1451" s="4" t="s">
        <v>9173</v>
      </c>
    </row>
    <row r="1452" spans="1:13">
      <c r="A1452" s="2">
        <v>45</v>
      </c>
      <c r="B1452" s="2" t="s">
        <v>29609</v>
      </c>
      <c r="C1452" s="2">
        <v>34</v>
      </c>
      <c r="D1452" s="2">
        <v>568</v>
      </c>
      <c r="E1452" s="2">
        <v>957</v>
      </c>
      <c r="F1452" s="2">
        <v>32441</v>
      </c>
      <c r="G1452" s="2">
        <v>2.0291440390000002</v>
      </c>
      <c r="H1452" s="2">
        <v>1.27892E-4</v>
      </c>
      <c r="I1452" s="2" t="s">
        <v>29610</v>
      </c>
      <c r="J1452" s="2" t="s">
        <v>29611</v>
      </c>
      <c r="K1452" s="2">
        <v>2.0563560000000001E-3</v>
      </c>
      <c r="L1452" s="2" t="s">
        <v>848</v>
      </c>
      <c r="M1452" s="4" t="s">
        <v>29612</v>
      </c>
    </row>
    <row r="1453" spans="1:13">
      <c r="A1453" s="2">
        <v>1521</v>
      </c>
      <c r="B1453" s="2" t="s">
        <v>29613</v>
      </c>
      <c r="C1453" s="2">
        <v>8</v>
      </c>
      <c r="D1453" s="2">
        <v>568</v>
      </c>
      <c r="E1453" s="2">
        <v>79</v>
      </c>
      <c r="F1453" s="2">
        <v>32441</v>
      </c>
      <c r="G1453" s="2">
        <v>5.7837404169999997</v>
      </c>
      <c r="H1453" s="2">
        <v>1.29849E-4</v>
      </c>
      <c r="I1453" s="2" t="s">
        <v>29322</v>
      </c>
      <c r="J1453" s="2" t="s">
        <v>29323</v>
      </c>
      <c r="K1453" s="2">
        <v>2.0821609999999999E-3</v>
      </c>
      <c r="L1453" s="2" t="s">
        <v>848</v>
      </c>
      <c r="M1453" s="4" t="s">
        <v>29614</v>
      </c>
    </row>
    <row r="1454" spans="1:13">
      <c r="A1454" s="2">
        <v>5138</v>
      </c>
      <c r="B1454" s="2" t="s">
        <v>29615</v>
      </c>
      <c r="C1454" s="2">
        <v>6</v>
      </c>
      <c r="D1454" s="2">
        <v>568</v>
      </c>
      <c r="E1454" s="2">
        <v>40</v>
      </c>
      <c r="F1454" s="2">
        <v>32441</v>
      </c>
      <c r="G1454" s="2">
        <v>8.5671654929999992</v>
      </c>
      <c r="H1454" s="2">
        <v>1.32015E-4</v>
      </c>
      <c r="I1454" s="2" t="s">
        <v>29616</v>
      </c>
      <c r="J1454" s="2" t="s">
        <v>29617</v>
      </c>
      <c r="K1454" s="2">
        <v>2.111173E-3</v>
      </c>
      <c r="L1454" s="2" t="s">
        <v>848</v>
      </c>
      <c r="M1454" s="4" t="s">
        <v>29618</v>
      </c>
    </row>
    <row r="1455" spans="1:13">
      <c r="A1455" s="2">
        <v>3895</v>
      </c>
      <c r="B1455" s="2" t="s">
        <v>29619</v>
      </c>
      <c r="C1455" s="2">
        <v>4</v>
      </c>
      <c r="D1455" s="2">
        <v>568</v>
      </c>
      <c r="E1455" s="2">
        <v>12</v>
      </c>
      <c r="F1455" s="2">
        <v>32441</v>
      </c>
      <c r="G1455" s="2">
        <v>19.038145539999999</v>
      </c>
      <c r="H1455" s="2">
        <v>1.33938E-4</v>
      </c>
      <c r="I1455" s="2" t="s">
        <v>29620</v>
      </c>
      <c r="J1455" s="2" t="s">
        <v>29621</v>
      </c>
      <c r="K1455" s="2">
        <v>2.124688E-3</v>
      </c>
      <c r="L1455" s="2" t="s">
        <v>848</v>
      </c>
      <c r="M1455" s="4" t="s">
        <v>29622</v>
      </c>
    </row>
    <row r="1456" spans="1:13">
      <c r="A1456" s="2">
        <v>4181</v>
      </c>
      <c r="B1456" s="2" t="s">
        <v>29623</v>
      </c>
      <c r="C1456" s="2">
        <v>4</v>
      </c>
      <c r="D1456" s="2">
        <v>568</v>
      </c>
      <c r="E1456" s="2">
        <v>12</v>
      </c>
      <c r="F1456" s="2">
        <v>32441</v>
      </c>
      <c r="G1456" s="2">
        <v>19.038145539999999</v>
      </c>
      <c r="H1456" s="2">
        <v>1.33938E-4</v>
      </c>
      <c r="I1456" s="2" t="s">
        <v>25431</v>
      </c>
      <c r="J1456" s="2" t="s">
        <v>25432</v>
      </c>
      <c r="K1456" s="2">
        <v>2.124688E-3</v>
      </c>
      <c r="L1456" s="2" t="s">
        <v>848</v>
      </c>
      <c r="M1456" s="4" t="s">
        <v>29624</v>
      </c>
    </row>
    <row r="1457" spans="1:13">
      <c r="A1457" s="2">
        <v>5750</v>
      </c>
      <c r="B1457" s="2" t="s">
        <v>29625</v>
      </c>
      <c r="C1457" s="2">
        <v>4</v>
      </c>
      <c r="D1457" s="2">
        <v>568</v>
      </c>
      <c r="E1457" s="2">
        <v>12</v>
      </c>
      <c r="F1457" s="2">
        <v>32441</v>
      </c>
      <c r="G1457" s="2">
        <v>19.038145539999999</v>
      </c>
      <c r="H1457" s="2">
        <v>1.33938E-4</v>
      </c>
      <c r="I1457" s="2" t="s">
        <v>29626</v>
      </c>
      <c r="J1457" s="2" t="s">
        <v>29627</v>
      </c>
      <c r="K1457" s="2">
        <v>2.124688E-3</v>
      </c>
      <c r="L1457" s="2" t="s">
        <v>848</v>
      </c>
      <c r="M1457" s="4" t="s">
        <v>29628</v>
      </c>
    </row>
    <row r="1458" spans="1:13">
      <c r="A1458" s="2">
        <v>3868</v>
      </c>
      <c r="B1458" s="2" t="s">
        <v>29629</v>
      </c>
      <c r="C1458" s="2">
        <v>17</v>
      </c>
      <c r="D1458" s="2">
        <v>568</v>
      </c>
      <c r="E1458" s="2">
        <v>332</v>
      </c>
      <c r="F1458" s="2">
        <v>32441</v>
      </c>
      <c r="G1458" s="2">
        <v>2.9245344050000002</v>
      </c>
      <c r="H1458" s="2">
        <v>1.3448900000000001E-4</v>
      </c>
      <c r="I1458" s="2" t="s">
        <v>29630</v>
      </c>
      <c r="J1458" s="2" t="s">
        <v>29631</v>
      </c>
      <c r="K1458" s="2">
        <v>2.127734E-3</v>
      </c>
      <c r="L1458" s="2" t="s">
        <v>848</v>
      </c>
      <c r="M1458" s="4" t="s">
        <v>29632</v>
      </c>
    </row>
    <row r="1459" spans="1:13">
      <c r="A1459" s="2">
        <v>2493</v>
      </c>
      <c r="B1459" s="2" t="s">
        <v>29633</v>
      </c>
      <c r="C1459" s="2">
        <v>11</v>
      </c>
      <c r="D1459" s="2">
        <v>568</v>
      </c>
      <c r="E1459" s="2">
        <v>153</v>
      </c>
      <c r="F1459" s="2">
        <v>32441</v>
      </c>
      <c r="G1459" s="2">
        <v>4.1062666849999996</v>
      </c>
      <c r="H1459" s="2">
        <v>1.3675199999999999E-4</v>
      </c>
      <c r="I1459" s="2" t="s">
        <v>29634</v>
      </c>
      <c r="J1459" s="2" t="s">
        <v>29635</v>
      </c>
      <c r="K1459" s="2">
        <v>2.1541529999999998E-3</v>
      </c>
      <c r="L1459" s="2" t="s">
        <v>848</v>
      </c>
      <c r="M1459" s="4" t="s">
        <v>29636</v>
      </c>
    </row>
    <row r="1460" spans="1:13">
      <c r="A1460" s="2">
        <v>2632</v>
      </c>
      <c r="B1460" s="2" t="s">
        <v>29637</v>
      </c>
      <c r="C1460" s="2">
        <v>10</v>
      </c>
      <c r="D1460" s="2">
        <v>568</v>
      </c>
      <c r="E1460" s="2">
        <v>127</v>
      </c>
      <c r="F1460" s="2">
        <v>32441</v>
      </c>
      <c r="G1460" s="2">
        <v>4.4971997339999996</v>
      </c>
      <c r="H1460" s="2">
        <v>1.3688700000000001E-4</v>
      </c>
      <c r="I1460" s="2" t="s">
        <v>29638</v>
      </c>
      <c r="J1460" s="2" t="s">
        <v>29639</v>
      </c>
      <c r="K1460" s="2">
        <v>2.1541529999999998E-3</v>
      </c>
      <c r="L1460" s="2" t="s">
        <v>848</v>
      </c>
      <c r="M1460" s="4" t="s">
        <v>29640</v>
      </c>
    </row>
    <row r="1461" spans="1:13">
      <c r="A1461" s="2">
        <v>4971</v>
      </c>
      <c r="B1461" s="2" t="s">
        <v>11057</v>
      </c>
      <c r="C1461" s="2">
        <v>16</v>
      </c>
      <c r="D1461" s="2">
        <v>568</v>
      </c>
      <c r="E1461" s="2">
        <v>301</v>
      </c>
      <c r="F1461" s="2">
        <v>32441</v>
      </c>
      <c r="G1461" s="2">
        <v>3.0359833420000002</v>
      </c>
      <c r="H1461" s="2">
        <v>1.40214E-4</v>
      </c>
      <c r="I1461" s="2" t="s">
        <v>29641</v>
      </c>
      <c r="J1461" s="2" t="s">
        <v>29642</v>
      </c>
      <c r="K1461" s="2">
        <v>2.2006600000000001E-3</v>
      </c>
      <c r="L1461" s="2" t="s">
        <v>848</v>
      </c>
      <c r="M1461" s="4" t="s">
        <v>11060</v>
      </c>
    </row>
    <row r="1462" spans="1:13">
      <c r="A1462" s="2">
        <v>3549</v>
      </c>
      <c r="B1462" s="2" t="s">
        <v>29643</v>
      </c>
      <c r="C1462" s="2">
        <v>5</v>
      </c>
      <c r="D1462" s="2">
        <v>568</v>
      </c>
      <c r="E1462" s="2">
        <v>25</v>
      </c>
      <c r="F1462" s="2">
        <v>32441</v>
      </c>
      <c r="G1462" s="2">
        <v>11.422887319999999</v>
      </c>
      <c r="H1462" s="2">
        <v>1.4796899999999999E-4</v>
      </c>
      <c r="I1462" s="2" t="s">
        <v>29644</v>
      </c>
      <c r="J1462" s="2" t="s">
        <v>29645</v>
      </c>
      <c r="K1462" s="2">
        <v>2.3162299999999999E-3</v>
      </c>
      <c r="L1462" s="2" t="s">
        <v>848</v>
      </c>
      <c r="M1462" s="4" t="s">
        <v>29646</v>
      </c>
    </row>
    <row r="1463" spans="1:13">
      <c r="A1463" s="2">
        <v>321</v>
      </c>
      <c r="B1463" s="2" t="s">
        <v>29647</v>
      </c>
      <c r="C1463" s="2">
        <v>6</v>
      </c>
      <c r="D1463" s="2">
        <v>568</v>
      </c>
      <c r="E1463" s="2">
        <v>41</v>
      </c>
      <c r="F1463" s="2">
        <v>32441</v>
      </c>
      <c r="G1463" s="2">
        <v>8.3582102369999998</v>
      </c>
      <c r="H1463" s="2">
        <v>1.49152E-4</v>
      </c>
      <c r="I1463" s="2" t="s">
        <v>29648</v>
      </c>
      <c r="J1463" s="2" t="s">
        <v>29649</v>
      </c>
      <c r="K1463" s="2">
        <v>2.328583E-3</v>
      </c>
      <c r="L1463" s="2" t="s">
        <v>848</v>
      </c>
      <c r="M1463" s="4" t="s">
        <v>29650</v>
      </c>
    </row>
    <row r="1464" spans="1:13">
      <c r="A1464" s="2">
        <v>917</v>
      </c>
      <c r="B1464" s="2" t="s">
        <v>29651</v>
      </c>
      <c r="C1464" s="2">
        <v>7</v>
      </c>
      <c r="D1464" s="2">
        <v>568</v>
      </c>
      <c r="E1464" s="2">
        <v>60</v>
      </c>
      <c r="F1464" s="2">
        <v>32441</v>
      </c>
      <c r="G1464" s="2">
        <v>6.6633509389999999</v>
      </c>
      <c r="H1464" s="2">
        <v>1.5333400000000001E-4</v>
      </c>
      <c r="I1464" s="2" t="s">
        <v>29652</v>
      </c>
      <c r="J1464" s="2" t="s">
        <v>29653</v>
      </c>
      <c r="K1464" s="2">
        <v>2.387578E-3</v>
      </c>
      <c r="L1464" s="2" t="s">
        <v>848</v>
      </c>
      <c r="M1464" s="4" t="s">
        <v>29654</v>
      </c>
    </row>
    <row r="1465" spans="1:13">
      <c r="A1465" s="2">
        <v>3723</v>
      </c>
      <c r="B1465" s="2" t="s">
        <v>9797</v>
      </c>
      <c r="C1465" s="2">
        <v>19</v>
      </c>
      <c r="D1465" s="2">
        <v>568</v>
      </c>
      <c r="E1465" s="2">
        <v>404</v>
      </c>
      <c r="F1465" s="2">
        <v>32441</v>
      </c>
      <c r="G1465" s="2">
        <v>2.6860749899999998</v>
      </c>
      <c r="H1465" s="2">
        <v>1.59259E-4</v>
      </c>
      <c r="I1465" s="2" t="s">
        <v>29655</v>
      </c>
      <c r="J1465" s="2" t="s">
        <v>29656</v>
      </c>
      <c r="K1465" s="2">
        <v>2.4733189999999999E-3</v>
      </c>
      <c r="L1465" s="2" t="s">
        <v>848</v>
      </c>
      <c r="M1465" s="4" t="s">
        <v>9800</v>
      </c>
    </row>
    <row r="1466" spans="1:13">
      <c r="A1466" s="2">
        <v>5176</v>
      </c>
      <c r="B1466" s="2" t="s">
        <v>29657</v>
      </c>
      <c r="C1466" s="2">
        <v>9</v>
      </c>
      <c r="D1466" s="2">
        <v>568</v>
      </c>
      <c r="E1466" s="2">
        <v>105</v>
      </c>
      <c r="F1466" s="2">
        <v>32441</v>
      </c>
      <c r="G1466" s="2">
        <v>4.8955231389999998</v>
      </c>
      <c r="H1466" s="2">
        <v>1.6241699999999999E-4</v>
      </c>
      <c r="I1466" s="2" t="s">
        <v>29658</v>
      </c>
      <c r="J1466" s="2" t="s">
        <v>29659</v>
      </c>
      <c r="K1466" s="2">
        <v>2.5157679999999998E-3</v>
      </c>
      <c r="L1466" s="2" t="s">
        <v>848</v>
      </c>
      <c r="M1466" s="4" t="s">
        <v>29660</v>
      </c>
    </row>
    <row r="1467" spans="1:13">
      <c r="A1467" s="2">
        <v>1843</v>
      </c>
      <c r="B1467" s="2" t="s">
        <v>29661</v>
      </c>
      <c r="C1467" s="2">
        <v>8</v>
      </c>
      <c r="D1467" s="2">
        <v>568</v>
      </c>
      <c r="E1467" s="2">
        <v>82</v>
      </c>
      <c r="F1467" s="2">
        <v>32441</v>
      </c>
      <c r="G1467" s="2">
        <v>5.5721401579999998</v>
      </c>
      <c r="H1467" s="2">
        <v>1.64687E-4</v>
      </c>
      <c r="I1467" s="2" t="s">
        <v>29662</v>
      </c>
      <c r="J1467" s="2" t="s">
        <v>29663</v>
      </c>
      <c r="K1467" s="2">
        <v>2.5442619999999998E-3</v>
      </c>
      <c r="L1467" s="2" t="s">
        <v>848</v>
      </c>
      <c r="M1467" s="4" t="s">
        <v>29664</v>
      </c>
    </row>
    <row r="1468" spans="1:13">
      <c r="A1468" s="2">
        <v>7381</v>
      </c>
      <c r="B1468" s="2" t="s">
        <v>29665</v>
      </c>
      <c r="C1468" s="2">
        <v>12</v>
      </c>
      <c r="D1468" s="2">
        <v>568</v>
      </c>
      <c r="E1468" s="2">
        <v>185</v>
      </c>
      <c r="F1468" s="2">
        <v>32441</v>
      </c>
      <c r="G1468" s="2">
        <v>3.7047202129999999</v>
      </c>
      <c r="H1468" s="2">
        <v>1.71108E-4</v>
      </c>
      <c r="I1468" s="2" t="s">
        <v>29666</v>
      </c>
      <c r="J1468" s="2" t="s">
        <v>29667</v>
      </c>
      <c r="K1468" s="2">
        <v>2.6365770000000002E-3</v>
      </c>
      <c r="L1468" s="2" t="s">
        <v>848</v>
      </c>
      <c r="M1468" s="4" t="s">
        <v>29668</v>
      </c>
    </row>
    <row r="1469" spans="1:13">
      <c r="A1469" s="2">
        <v>189</v>
      </c>
      <c r="B1469" s="2" t="s">
        <v>29669</v>
      </c>
      <c r="C1469" s="2">
        <v>4</v>
      </c>
      <c r="D1469" s="2">
        <v>568</v>
      </c>
      <c r="E1469" s="2">
        <v>13</v>
      </c>
      <c r="F1469" s="2">
        <v>32441</v>
      </c>
      <c r="G1469" s="2">
        <v>17.573672810000001</v>
      </c>
      <c r="H1469" s="2">
        <v>1.72771E-4</v>
      </c>
      <c r="I1469" s="2" t="s">
        <v>29670</v>
      </c>
      <c r="J1469" s="2" t="s">
        <v>29671</v>
      </c>
      <c r="K1469" s="2">
        <v>2.6415639999999999E-3</v>
      </c>
      <c r="L1469" s="2" t="s">
        <v>848</v>
      </c>
      <c r="M1469" s="4" t="s">
        <v>29672</v>
      </c>
    </row>
    <row r="1470" spans="1:13">
      <c r="A1470" s="2">
        <v>3182</v>
      </c>
      <c r="B1470" s="2" t="s">
        <v>29673</v>
      </c>
      <c r="C1470" s="2">
        <v>4</v>
      </c>
      <c r="D1470" s="2">
        <v>568</v>
      </c>
      <c r="E1470" s="2">
        <v>13</v>
      </c>
      <c r="F1470" s="2">
        <v>32441</v>
      </c>
      <c r="G1470" s="2">
        <v>17.573672810000001</v>
      </c>
      <c r="H1470" s="2">
        <v>1.72771E-4</v>
      </c>
      <c r="I1470" s="2" t="s">
        <v>25431</v>
      </c>
      <c r="J1470" s="2" t="s">
        <v>25432</v>
      </c>
      <c r="K1470" s="2">
        <v>2.6415639999999999E-3</v>
      </c>
      <c r="L1470" s="2" t="s">
        <v>848</v>
      </c>
      <c r="M1470" s="4" t="s">
        <v>29674</v>
      </c>
    </row>
    <row r="1471" spans="1:13">
      <c r="A1471" s="2">
        <v>4487</v>
      </c>
      <c r="B1471" s="2" t="s">
        <v>29675</v>
      </c>
      <c r="C1471" s="2">
        <v>4</v>
      </c>
      <c r="D1471" s="2">
        <v>568</v>
      </c>
      <c r="E1471" s="2">
        <v>13</v>
      </c>
      <c r="F1471" s="2">
        <v>32441</v>
      </c>
      <c r="G1471" s="2">
        <v>17.573672810000001</v>
      </c>
      <c r="H1471" s="2">
        <v>1.72771E-4</v>
      </c>
      <c r="I1471" s="2" t="s">
        <v>29676</v>
      </c>
      <c r="J1471" s="2" t="s">
        <v>29677</v>
      </c>
      <c r="K1471" s="2">
        <v>2.6415639999999999E-3</v>
      </c>
      <c r="L1471" s="2" t="s">
        <v>848</v>
      </c>
      <c r="M1471" s="4" t="s">
        <v>29678</v>
      </c>
    </row>
    <row r="1472" spans="1:13">
      <c r="A1472" s="2">
        <v>3303</v>
      </c>
      <c r="B1472" s="2" t="s">
        <v>29679</v>
      </c>
      <c r="C1472" s="2">
        <v>5</v>
      </c>
      <c r="D1472" s="2">
        <v>568</v>
      </c>
      <c r="E1472" s="2">
        <v>26</v>
      </c>
      <c r="F1472" s="2">
        <v>32441</v>
      </c>
      <c r="G1472" s="2">
        <v>10.9835455</v>
      </c>
      <c r="H1472" s="2">
        <v>1.7394200000000001E-4</v>
      </c>
      <c r="I1472" s="2" t="s">
        <v>29680</v>
      </c>
      <c r="J1472" s="2" t="s">
        <v>29681</v>
      </c>
      <c r="K1472" s="2">
        <v>2.6458010000000001E-3</v>
      </c>
      <c r="L1472" s="2" t="s">
        <v>848</v>
      </c>
      <c r="M1472" s="4" t="s">
        <v>29682</v>
      </c>
    </row>
    <row r="1473" spans="1:13">
      <c r="A1473" s="2">
        <v>5334</v>
      </c>
      <c r="B1473" s="2" t="s">
        <v>29683</v>
      </c>
      <c r="C1473" s="2">
        <v>5</v>
      </c>
      <c r="D1473" s="2">
        <v>568</v>
      </c>
      <c r="E1473" s="2">
        <v>26</v>
      </c>
      <c r="F1473" s="2">
        <v>32441</v>
      </c>
      <c r="G1473" s="2">
        <v>10.9835455</v>
      </c>
      <c r="H1473" s="2">
        <v>1.7394200000000001E-4</v>
      </c>
      <c r="I1473" s="2" t="s">
        <v>29684</v>
      </c>
      <c r="J1473" s="2" t="s">
        <v>29685</v>
      </c>
      <c r="K1473" s="2">
        <v>2.6458010000000001E-3</v>
      </c>
      <c r="L1473" s="2" t="s">
        <v>848</v>
      </c>
      <c r="M1473" s="4" t="s">
        <v>29686</v>
      </c>
    </row>
    <row r="1474" spans="1:13">
      <c r="A1474" s="2">
        <v>1380</v>
      </c>
      <c r="B1474" s="2" t="s">
        <v>29687</v>
      </c>
      <c r="C1474" s="2">
        <v>8</v>
      </c>
      <c r="D1474" s="2">
        <v>568</v>
      </c>
      <c r="E1474" s="2">
        <v>83</v>
      </c>
      <c r="F1474" s="2">
        <v>32441</v>
      </c>
      <c r="G1474" s="2">
        <v>5.5050059390000001</v>
      </c>
      <c r="H1474" s="2">
        <v>1.7787799999999999E-4</v>
      </c>
      <c r="I1474" s="2" t="s">
        <v>29688</v>
      </c>
      <c r="J1474" s="2" t="s">
        <v>29689</v>
      </c>
      <c r="K1474" s="2">
        <v>2.6987320000000001E-3</v>
      </c>
      <c r="L1474" s="2" t="s">
        <v>848</v>
      </c>
      <c r="M1474" s="4" t="s">
        <v>29690</v>
      </c>
    </row>
    <row r="1475" spans="1:13">
      <c r="A1475" s="2">
        <v>5748</v>
      </c>
      <c r="B1475" s="2" t="s">
        <v>11468</v>
      </c>
      <c r="C1475" s="2">
        <v>25</v>
      </c>
      <c r="D1475" s="2">
        <v>568</v>
      </c>
      <c r="E1475" s="2">
        <v>624</v>
      </c>
      <c r="F1475" s="2">
        <v>32441</v>
      </c>
      <c r="G1475" s="2">
        <v>2.288238647</v>
      </c>
      <c r="H1475" s="2">
        <v>1.8021899999999999E-4</v>
      </c>
      <c r="I1475" s="2" t="s">
        <v>29691</v>
      </c>
      <c r="J1475" s="2" t="s">
        <v>29692</v>
      </c>
      <c r="K1475" s="2">
        <v>2.727256E-3</v>
      </c>
      <c r="L1475" s="2" t="s">
        <v>848</v>
      </c>
      <c r="M1475" s="4" t="s">
        <v>11471</v>
      </c>
    </row>
    <row r="1476" spans="1:13">
      <c r="A1476" s="2">
        <v>2338</v>
      </c>
      <c r="B1476" s="2" t="s">
        <v>29693</v>
      </c>
      <c r="C1476" s="2">
        <v>23</v>
      </c>
      <c r="D1476" s="2">
        <v>568</v>
      </c>
      <c r="E1476" s="2">
        <v>552</v>
      </c>
      <c r="F1476" s="2">
        <v>32441</v>
      </c>
      <c r="G1476" s="2">
        <v>2.3797681919999998</v>
      </c>
      <c r="H1476" s="2">
        <v>1.8918599999999999E-4</v>
      </c>
      <c r="I1476" s="2" t="s">
        <v>29694</v>
      </c>
      <c r="J1476" s="2" t="s">
        <v>29695</v>
      </c>
      <c r="K1476" s="2">
        <v>2.8556499999999999E-3</v>
      </c>
      <c r="L1476" s="2" t="s">
        <v>848</v>
      </c>
      <c r="M1476" s="4" t="s">
        <v>29696</v>
      </c>
    </row>
    <row r="1477" spans="1:13">
      <c r="A1477" s="2">
        <v>5317</v>
      </c>
      <c r="B1477" s="2" t="s">
        <v>29697</v>
      </c>
      <c r="C1477" s="2">
        <v>10</v>
      </c>
      <c r="D1477" s="2">
        <v>568</v>
      </c>
      <c r="E1477" s="2">
        <v>133</v>
      </c>
      <c r="F1477" s="2">
        <v>32441</v>
      </c>
      <c r="G1477" s="2">
        <v>4.2943185430000002</v>
      </c>
      <c r="H1477" s="2">
        <v>1.9456899999999999E-4</v>
      </c>
      <c r="I1477" s="2" t="s">
        <v>29698</v>
      </c>
      <c r="J1477" s="2" t="s">
        <v>29699</v>
      </c>
      <c r="K1477" s="2">
        <v>2.929428E-3</v>
      </c>
      <c r="L1477" s="2" t="s">
        <v>848</v>
      </c>
      <c r="M1477" s="4" t="s">
        <v>29700</v>
      </c>
    </row>
    <row r="1478" spans="1:13">
      <c r="A1478" s="2">
        <v>2684</v>
      </c>
      <c r="B1478" s="2" t="s">
        <v>9663</v>
      </c>
      <c r="C1478" s="2">
        <v>21</v>
      </c>
      <c r="D1478" s="2">
        <v>568</v>
      </c>
      <c r="E1478" s="2">
        <v>481</v>
      </c>
      <c r="F1478" s="2">
        <v>32441</v>
      </c>
      <c r="G1478" s="2">
        <v>2.4935616820000002</v>
      </c>
      <c r="H1478" s="2">
        <v>1.95343E-4</v>
      </c>
      <c r="I1478" s="2" t="s">
        <v>29701</v>
      </c>
      <c r="J1478" s="2" t="s">
        <v>29702</v>
      </c>
      <c r="K1478" s="2">
        <v>2.9336129999999998E-3</v>
      </c>
      <c r="L1478" s="2" t="s">
        <v>848</v>
      </c>
      <c r="M1478" s="4" t="s">
        <v>9666</v>
      </c>
    </row>
    <row r="1479" spans="1:13">
      <c r="A1479" s="2">
        <v>3005</v>
      </c>
      <c r="B1479" s="2" t="s">
        <v>29703</v>
      </c>
      <c r="C1479" s="2">
        <v>32</v>
      </c>
      <c r="D1479" s="2">
        <v>568</v>
      </c>
      <c r="E1479" s="2">
        <v>900</v>
      </c>
      <c r="F1479" s="2">
        <v>32441</v>
      </c>
      <c r="G1479" s="2">
        <v>2.0307355239999998</v>
      </c>
      <c r="H1479" s="2">
        <v>1.98023E-4</v>
      </c>
      <c r="I1479" s="2" t="s">
        <v>29704</v>
      </c>
      <c r="J1479" s="2" t="s">
        <v>29705</v>
      </c>
      <c r="K1479" s="2">
        <v>2.9663279999999998E-3</v>
      </c>
      <c r="L1479" s="2" t="s">
        <v>848</v>
      </c>
      <c r="M1479" s="4" t="s">
        <v>29706</v>
      </c>
    </row>
    <row r="1480" spans="1:13">
      <c r="A1480" s="2">
        <v>5649</v>
      </c>
      <c r="B1480" s="2" t="s">
        <v>29707</v>
      </c>
      <c r="C1480" s="2">
        <v>5</v>
      </c>
      <c r="D1480" s="2">
        <v>568</v>
      </c>
      <c r="E1480" s="2">
        <v>27</v>
      </c>
      <c r="F1480" s="2">
        <v>32441</v>
      </c>
      <c r="G1480" s="2">
        <v>10.57674752</v>
      </c>
      <c r="H1480" s="2">
        <v>2.0325399999999999E-4</v>
      </c>
      <c r="I1480" s="2" t="s">
        <v>29437</v>
      </c>
      <c r="J1480" s="2" t="s">
        <v>29438</v>
      </c>
      <c r="K1480" s="2">
        <v>3.0370029999999999E-3</v>
      </c>
      <c r="L1480" s="2" t="s">
        <v>848</v>
      </c>
      <c r="M1480" s="4" t="s">
        <v>29708</v>
      </c>
    </row>
    <row r="1481" spans="1:13">
      <c r="A1481" s="2">
        <v>1685</v>
      </c>
      <c r="B1481" s="2" t="s">
        <v>29709</v>
      </c>
      <c r="C1481" s="2">
        <v>8</v>
      </c>
      <c r="D1481" s="2">
        <v>568</v>
      </c>
      <c r="E1481" s="2">
        <v>85</v>
      </c>
      <c r="F1481" s="2">
        <v>32441</v>
      </c>
      <c r="G1481" s="2">
        <v>5.375476388</v>
      </c>
      <c r="H1481" s="2">
        <v>2.0687200000000001E-4</v>
      </c>
      <c r="I1481" s="2" t="s">
        <v>29710</v>
      </c>
      <c r="J1481" s="2" t="s">
        <v>29711</v>
      </c>
      <c r="K1481" s="2">
        <v>3.080798E-3</v>
      </c>
      <c r="L1481" s="2" t="s">
        <v>848</v>
      </c>
      <c r="M1481" s="4" t="s">
        <v>29712</v>
      </c>
    </row>
    <row r="1482" spans="1:13">
      <c r="A1482" s="2">
        <v>2046</v>
      </c>
      <c r="B1482" s="2" t="s">
        <v>29713</v>
      </c>
      <c r="C1482" s="2">
        <v>15</v>
      </c>
      <c r="D1482" s="2">
        <v>568</v>
      </c>
      <c r="E1482" s="2">
        <v>280</v>
      </c>
      <c r="F1482" s="2">
        <v>32441</v>
      </c>
      <c r="G1482" s="2">
        <v>3.0597019620000001</v>
      </c>
      <c r="H1482" s="2">
        <v>2.07226E-4</v>
      </c>
      <c r="I1482" s="2" t="s">
        <v>29714</v>
      </c>
      <c r="J1482" s="2" t="s">
        <v>29715</v>
      </c>
      <c r="K1482" s="2">
        <v>3.080798E-3</v>
      </c>
      <c r="L1482" s="2" t="s">
        <v>848</v>
      </c>
      <c r="M1482" s="4" t="s">
        <v>29716</v>
      </c>
    </row>
    <row r="1483" spans="1:13">
      <c r="A1483" s="2">
        <v>2499</v>
      </c>
      <c r="B1483" s="2" t="s">
        <v>29717</v>
      </c>
      <c r="C1483" s="2">
        <v>44</v>
      </c>
      <c r="D1483" s="2">
        <v>568</v>
      </c>
      <c r="E1483" s="2">
        <v>1402</v>
      </c>
      <c r="F1483" s="2">
        <v>32441</v>
      </c>
      <c r="G1483" s="2">
        <v>1.7924644869999999</v>
      </c>
      <c r="H1483" s="2">
        <v>2.0829999999999999E-4</v>
      </c>
      <c r="I1483" s="2" t="s">
        <v>29718</v>
      </c>
      <c r="J1483" s="2" t="s">
        <v>29719</v>
      </c>
      <c r="K1483" s="2">
        <v>3.089002E-3</v>
      </c>
      <c r="L1483" s="2" t="s">
        <v>848</v>
      </c>
      <c r="M1483" s="4" t="s">
        <v>29720</v>
      </c>
    </row>
    <row r="1484" spans="1:13">
      <c r="A1484" s="2">
        <v>1187</v>
      </c>
      <c r="B1484" s="2" t="s">
        <v>29721</v>
      </c>
      <c r="C1484" s="2">
        <v>4</v>
      </c>
      <c r="D1484" s="2">
        <v>568</v>
      </c>
      <c r="E1484" s="2">
        <v>14</v>
      </c>
      <c r="F1484" s="2">
        <v>32441</v>
      </c>
      <c r="G1484" s="2">
        <v>16.318410459999999</v>
      </c>
      <c r="H1484" s="2">
        <v>2.1911899999999999E-4</v>
      </c>
      <c r="I1484" s="2" t="s">
        <v>29722</v>
      </c>
      <c r="J1484" s="2" t="s">
        <v>29723</v>
      </c>
      <c r="K1484" s="2">
        <v>3.2413250000000002E-3</v>
      </c>
      <c r="L1484" s="2" t="s">
        <v>848</v>
      </c>
      <c r="M1484" s="4" t="s">
        <v>29724</v>
      </c>
    </row>
    <row r="1485" spans="1:13">
      <c r="A1485" s="2">
        <v>2589</v>
      </c>
      <c r="B1485" s="2" t="s">
        <v>8103</v>
      </c>
      <c r="C1485" s="2">
        <v>46</v>
      </c>
      <c r="D1485" s="2">
        <v>568</v>
      </c>
      <c r="E1485" s="2">
        <v>1492</v>
      </c>
      <c r="F1485" s="2">
        <v>32441</v>
      </c>
      <c r="G1485" s="2">
        <v>1.7609008610000001</v>
      </c>
      <c r="H1485" s="2">
        <v>2.19874E-4</v>
      </c>
      <c r="I1485" s="2" t="s">
        <v>29725</v>
      </c>
      <c r="J1485" s="2" t="s">
        <v>29726</v>
      </c>
      <c r="K1485" s="2">
        <v>3.2443810000000002E-3</v>
      </c>
      <c r="L1485" s="2" t="s">
        <v>848</v>
      </c>
      <c r="M1485" s="4" t="s">
        <v>8106</v>
      </c>
    </row>
    <row r="1486" spans="1:13">
      <c r="A1486" s="2">
        <v>3373</v>
      </c>
      <c r="B1486" s="2" t="s">
        <v>29727</v>
      </c>
      <c r="C1486" s="2">
        <v>10</v>
      </c>
      <c r="D1486" s="2">
        <v>568</v>
      </c>
      <c r="E1486" s="2">
        <v>136</v>
      </c>
      <c r="F1486" s="2">
        <v>32441</v>
      </c>
      <c r="G1486" s="2">
        <v>4.1995909280000001</v>
      </c>
      <c r="H1486" s="2">
        <v>2.3032200000000001E-4</v>
      </c>
      <c r="I1486" s="2" t="s">
        <v>29728</v>
      </c>
      <c r="J1486" s="2" t="s">
        <v>29729</v>
      </c>
      <c r="K1486" s="2">
        <v>3.3900919999999999E-3</v>
      </c>
      <c r="L1486" s="2" t="s">
        <v>848</v>
      </c>
      <c r="M1486" s="4" t="s">
        <v>29730</v>
      </c>
    </row>
    <row r="1487" spans="1:13">
      <c r="A1487" s="2">
        <v>1919</v>
      </c>
      <c r="B1487" s="2" t="s">
        <v>29731</v>
      </c>
      <c r="C1487" s="2">
        <v>6</v>
      </c>
      <c r="D1487" s="2">
        <v>568</v>
      </c>
      <c r="E1487" s="2">
        <v>45</v>
      </c>
      <c r="F1487" s="2">
        <v>32441</v>
      </c>
      <c r="G1487" s="2">
        <v>7.615258216</v>
      </c>
      <c r="H1487" s="2">
        <v>2.36054E-4</v>
      </c>
      <c r="I1487" s="2" t="s">
        <v>29732</v>
      </c>
      <c r="J1487" s="2" t="s">
        <v>29733</v>
      </c>
      <c r="K1487" s="2">
        <v>3.436129E-3</v>
      </c>
      <c r="L1487" s="2" t="s">
        <v>848</v>
      </c>
      <c r="M1487" s="4" t="s">
        <v>29734</v>
      </c>
    </row>
    <row r="1488" spans="1:13">
      <c r="A1488" s="2">
        <v>1947</v>
      </c>
      <c r="B1488" s="2" t="s">
        <v>7915</v>
      </c>
      <c r="C1488" s="2">
        <v>50</v>
      </c>
      <c r="D1488" s="2">
        <v>568</v>
      </c>
      <c r="E1488" s="2">
        <v>1672</v>
      </c>
      <c r="F1488" s="2">
        <v>32441</v>
      </c>
      <c r="G1488" s="2">
        <v>1.7079676020000001</v>
      </c>
      <c r="H1488" s="2">
        <v>2.35727E-4</v>
      </c>
      <c r="I1488" s="2" t="s">
        <v>29735</v>
      </c>
      <c r="J1488" s="2" t="s">
        <v>29736</v>
      </c>
      <c r="K1488" s="2">
        <v>3.436129E-3</v>
      </c>
      <c r="L1488" s="2" t="s">
        <v>848</v>
      </c>
      <c r="M1488" s="4" t="s">
        <v>7918</v>
      </c>
    </row>
    <row r="1489" spans="1:13">
      <c r="A1489" s="2">
        <v>3463</v>
      </c>
      <c r="B1489" s="2" t="s">
        <v>29737</v>
      </c>
      <c r="C1489" s="2">
        <v>6</v>
      </c>
      <c r="D1489" s="2">
        <v>568</v>
      </c>
      <c r="E1489" s="2">
        <v>45</v>
      </c>
      <c r="F1489" s="2">
        <v>32441</v>
      </c>
      <c r="G1489" s="2">
        <v>7.615258216</v>
      </c>
      <c r="H1489" s="2">
        <v>2.36054E-4</v>
      </c>
      <c r="I1489" s="2" t="s">
        <v>29738</v>
      </c>
      <c r="J1489" s="2" t="s">
        <v>29739</v>
      </c>
      <c r="K1489" s="2">
        <v>3.436129E-3</v>
      </c>
      <c r="L1489" s="2" t="s">
        <v>848</v>
      </c>
      <c r="M1489" s="4" t="s">
        <v>29740</v>
      </c>
    </row>
    <row r="1490" spans="1:13">
      <c r="A1490" s="2">
        <v>3824</v>
      </c>
      <c r="B1490" s="2" t="s">
        <v>9584</v>
      </c>
      <c r="C1490" s="2">
        <v>12</v>
      </c>
      <c r="D1490" s="2">
        <v>568</v>
      </c>
      <c r="E1490" s="2">
        <v>192</v>
      </c>
      <c r="F1490" s="2">
        <v>32441</v>
      </c>
      <c r="G1490" s="2">
        <v>3.569652289</v>
      </c>
      <c r="H1490" s="2">
        <v>2.3635400000000001E-4</v>
      </c>
      <c r="I1490" s="2" t="s">
        <v>29741</v>
      </c>
      <c r="J1490" s="2" t="s">
        <v>29742</v>
      </c>
      <c r="K1490" s="2">
        <v>3.436129E-3</v>
      </c>
      <c r="L1490" s="2" t="s">
        <v>848</v>
      </c>
      <c r="M1490" s="4" t="s">
        <v>9587</v>
      </c>
    </row>
    <row r="1491" spans="1:13">
      <c r="A1491" s="2">
        <v>5626</v>
      </c>
      <c r="B1491" s="2" t="s">
        <v>29743</v>
      </c>
      <c r="C1491" s="2">
        <v>6</v>
      </c>
      <c r="D1491" s="2">
        <v>568</v>
      </c>
      <c r="E1491" s="2">
        <v>45</v>
      </c>
      <c r="F1491" s="2">
        <v>32441</v>
      </c>
      <c r="G1491" s="2">
        <v>7.615258216</v>
      </c>
      <c r="H1491" s="2">
        <v>2.36054E-4</v>
      </c>
      <c r="I1491" s="2" t="s">
        <v>29744</v>
      </c>
      <c r="J1491" s="2" t="s">
        <v>29745</v>
      </c>
      <c r="K1491" s="2">
        <v>3.436129E-3</v>
      </c>
      <c r="L1491" s="2" t="s">
        <v>848</v>
      </c>
      <c r="M1491" s="4" t="s">
        <v>29746</v>
      </c>
    </row>
    <row r="1492" spans="1:13">
      <c r="A1492" s="2">
        <v>1355</v>
      </c>
      <c r="B1492" s="2" t="s">
        <v>29747</v>
      </c>
      <c r="C1492" s="2">
        <v>8</v>
      </c>
      <c r="D1492" s="2">
        <v>568</v>
      </c>
      <c r="E1492" s="2">
        <v>88</v>
      </c>
      <c r="F1492" s="2">
        <v>32441</v>
      </c>
      <c r="G1492" s="2">
        <v>5.1922215109999996</v>
      </c>
      <c r="H1492" s="2">
        <v>2.5753800000000003E-4</v>
      </c>
      <c r="I1492" s="2" t="s">
        <v>29748</v>
      </c>
      <c r="J1492" s="2" t="s">
        <v>29749</v>
      </c>
      <c r="K1492" s="2">
        <v>3.7349359999999999E-3</v>
      </c>
      <c r="L1492" s="2" t="s">
        <v>848</v>
      </c>
      <c r="M1492" s="4" t="s">
        <v>29750</v>
      </c>
    </row>
    <row r="1493" spans="1:13">
      <c r="A1493" s="2">
        <v>3417</v>
      </c>
      <c r="B1493" s="2" t="s">
        <v>29751</v>
      </c>
      <c r="C1493" s="2">
        <v>16</v>
      </c>
      <c r="D1493" s="2">
        <v>568</v>
      </c>
      <c r="E1493" s="2">
        <v>319</v>
      </c>
      <c r="F1493" s="2">
        <v>32441</v>
      </c>
      <c r="G1493" s="2">
        <v>2.8646739370000001</v>
      </c>
      <c r="H1493" s="2">
        <v>2.61444E-4</v>
      </c>
      <c r="I1493" s="2" t="s">
        <v>29752</v>
      </c>
      <c r="J1493" s="2" t="s">
        <v>29753</v>
      </c>
      <c r="K1493" s="2">
        <v>3.782306E-3</v>
      </c>
      <c r="L1493" s="2" t="s">
        <v>848</v>
      </c>
      <c r="M1493" s="4" t="s">
        <v>29754</v>
      </c>
    </row>
    <row r="1494" spans="1:13">
      <c r="A1494" s="2">
        <v>3967</v>
      </c>
      <c r="B1494" s="2" t="s">
        <v>10819</v>
      </c>
      <c r="C1494" s="2">
        <v>30</v>
      </c>
      <c r="D1494" s="2">
        <v>568</v>
      </c>
      <c r="E1494" s="2">
        <v>836</v>
      </c>
      <c r="F1494" s="2">
        <v>32441</v>
      </c>
      <c r="G1494" s="2">
        <v>2.0495611230000002</v>
      </c>
      <c r="H1494" s="2">
        <v>2.6800199999999999E-4</v>
      </c>
      <c r="I1494" s="2" t="s">
        <v>29755</v>
      </c>
      <c r="J1494" s="2" t="s">
        <v>29756</v>
      </c>
      <c r="K1494" s="2">
        <v>3.867732E-3</v>
      </c>
      <c r="L1494" s="2" t="s">
        <v>848</v>
      </c>
      <c r="M1494" s="4" t="s">
        <v>10822</v>
      </c>
    </row>
    <row r="1495" spans="1:13">
      <c r="A1495" s="2">
        <v>8381</v>
      </c>
      <c r="B1495" s="2" t="s">
        <v>29757</v>
      </c>
      <c r="C1495" s="2">
        <v>5</v>
      </c>
      <c r="D1495" s="2">
        <v>568</v>
      </c>
      <c r="E1495" s="2">
        <v>29</v>
      </c>
      <c r="F1495" s="2">
        <v>32441</v>
      </c>
      <c r="G1495" s="2">
        <v>9.8473166590000005</v>
      </c>
      <c r="H1495" s="2">
        <v>2.7301000000000002E-4</v>
      </c>
      <c r="I1495" s="2" t="s">
        <v>29684</v>
      </c>
      <c r="J1495" s="2" t="s">
        <v>29685</v>
      </c>
      <c r="K1495" s="2">
        <v>3.9225120000000004E-3</v>
      </c>
      <c r="L1495" s="2" t="s">
        <v>848</v>
      </c>
      <c r="M1495" s="4" t="s">
        <v>29758</v>
      </c>
    </row>
    <row r="1496" spans="1:13">
      <c r="A1496" s="2">
        <v>4541</v>
      </c>
      <c r="B1496" s="2" t="s">
        <v>29759</v>
      </c>
      <c r="C1496" s="2">
        <v>4</v>
      </c>
      <c r="D1496" s="2">
        <v>568</v>
      </c>
      <c r="E1496" s="2">
        <v>15</v>
      </c>
      <c r="F1496" s="2">
        <v>32441</v>
      </c>
      <c r="G1496" s="2">
        <v>15.23051643</v>
      </c>
      <c r="H1496" s="2">
        <v>2.73787E-4</v>
      </c>
      <c r="I1496" s="2" t="s">
        <v>29760</v>
      </c>
      <c r="J1496" s="2" t="s">
        <v>29761</v>
      </c>
      <c r="K1496" s="2">
        <v>3.9225120000000004E-3</v>
      </c>
      <c r="L1496" s="2" t="s">
        <v>848</v>
      </c>
      <c r="M1496" s="4" t="s">
        <v>29762</v>
      </c>
    </row>
    <row r="1497" spans="1:13">
      <c r="A1497" s="2">
        <v>4596</v>
      </c>
      <c r="B1497" s="2" t="s">
        <v>29763</v>
      </c>
      <c r="C1497" s="2">
        <v>4</v>
      </c>
      <c r="D1497" s="2">
        <v>568</v>
      </c>
      <c r="E1497" s="2">
        <v>15</v>
      </c>
      <c r="F1497" s="2">
        <v>32441</v>
      </c>
      <c r="G1497" s="2">
        <v>15.23051643</v>
      </c>
      <c r="H1497" s="2">
        <v>2.73787E-4</v>
      </c>
      <c r="I1497" s="2" t="s">
        <v>29764</v>
      </c>
      <c r="J1497" s="2" t="s">
        <v>29765</v>
      </c>
      <c r="K1497" s="2">
        <v>3.9225120000000004E-3</v>
      </c>
      <c r="L1497" s="2" t="s">
        <v>848</v>
      </c>
      <c r="M1497" s="4" t="s">
        <v>29766</v>
      </c>
    </row>
    <row r="1498" spans="1:13">
      <c r="A1498" s="2">
        <v>4157</v>
      </c>
      <c r="B1498" s="2" t="s">
        <v>29767</v>
      </c>
      <c r="C1498" s="2">
        <v>8</v>
      </c>
      <c r="D1498" s="2">
        <v>568</v>
      </c>
      <c r="E1498" s="2">
        <v>89</v>
      </c>
      <c r="F1498" s="2">
        <v>32441</v>
      </c>
      <c r="G1498" s="2">
        <v>5.1338819429999996</v>
      </c>
      <c r="H1498" s="2">
        <v>2.76524E-4</v>
      </c>
      <c r="I1498" s="2" t="s">
        <v>29768</v>
      </c>
      <c r="J1498" s="2" t="s">
        <v>29769</v>
      </c>
      <c r="K1498" s="2">
        <v>3.9426299999999999E-3</v>
      </c>
      <c r="L1498" s="2" t="s">
        <v>848</v>
      </c>
      <c r="M1498" s="4" t="s">
        <v>29770</v>
      </c>
    </row>
    <row r="1499" spans="1:13">
      <c r="A1499" s="2">
        <v>4772</v>
      </c>
      <c r="B1499" s="2" t="s">
        <v>29771</v>
      </c>
      <c r="C1499" s="2">
        <v>8</v>
      </c>
      <c r="D1499" s="2">
        <v>568</v>
      </c>
      <c r="E1499" s="2">
        <v>89</v>
      </c>
      <c r="F1499" s="2">
        <v>32441</v>
      </c>
      <c r="G1499" s="2">
        <v>5.1338819429999996</v>
      </c>
      <c r="H1499" s="2">
        <v>2.76524E-4</v>
      </c>
      <c r="I1499" s="2" t="s">
        <v>29772</v>
      </c>
      <c r="J1499" s="2" t="s">
        <v>29773</v>
      </c>
      <c r="K1499" s="2">
        <v>3.9426299999999999E-3</v>
      </c>
      <c r="L1499" s="2" t="s">
        <v>848</v>
      </c>
      <c r="M1499" s="4" t="s">
        <v>29774</v>
      </c>
    </row>
    <row r="1500" spans="1:13">
      <c r="A1500" s="2">
        <v>4808</v>
      </c>
      <c r="B1500" s="2" t="s">
        <v>29775</v>
      </c>
      <c r="C1500" s="2">
        <v>7</v>
      </c>
      <c r="D1500" s="2">
        <v>568</v>
      </c>
      <c r="E1500" s="2">
        <v>67</v>
      </c>
      <c r="F1500" s="2">
        <v>32441</v>
      </c>
      <c r="G1500" s="2">
        <v>5.9671799449999998</v>
      </c>
      <c r="H1500" s="2">
        <v>2.8614500000000002E-4</v>
      </c>
      <c r="I1500" s="2" t="s">
        <v>29776</v>
      </c>
      <c r="J1500" s="2" t="s">
        <v>29777</v>
      </c>
      <c r="K1500" s="2">
        <v>4.0505280000000003E-3</v>
      </c>
      <c r="L1500" s="2" t="s">
        <v>848</v>
      </c>
      <c r="M1500" s="4" t="s">
        <v>29778</v>
      </c>
    </row>
    <row r="1501" spans="1:13">
      <c r="A1501" s="2">
        <v>5595</v>
      </c>
      <c r="B1501" s="2" t="s">
        <v>29779</v>
      </c>
      <c r="C1501" s="2">
        <v>7</v>
      </c>
      <c r="D1501" s="2">
        <v>568</v>
      </c>
      <c r="E1501" s="2">
        <v>67</v>
      </c>
      <c r="F1501" s="2">
        <v>32441</v>
      </c>
      <c r="G1501" s="2">
        <v>5.9671799449999998</v>
      </c>
      <c r="H1501" s="2">
        <v>2.8614500000000002E-4</v>
      </c>
      <c r="I1501" s="2" t="s">
        <v>29780</v>
      </c>
      <c r="J1501" s="2" t="s">
        <v>29781</v>
      </c>
      <c r="K1501" s="2">
        <v>4.0505280000000003E-3</v>
      </c>
      <c r="L1501" s="2" t="s">
        <v>848</v>
      </c>
      <c r="M1501" s="4" t="s">
        <v>29782</v>
      </c>
    </row>
    <row r="1502" spans="1:13">
      <c r="A1502" s="2">
        <v>5773</v>
      </c>
      <c r="B1502" s="2" t="s">
        <v>29783</v>
      </c>
      <c r="C1502" s="2">
        <v>7</v>
      </c>
      <c r="D1502" s="2">
        <v>568</v>
      </c>
      <c r="E1502" s="2">
        <v>67</v>
      </c>
      <c r="F1502" s="2">
        <v>32441</v>
      </c>
      <c r="G1502" s="2">
        <v>5.9671799449999998</v>
      </c>
      <c r="H1502" s="2">
        <v>2.8614500000000002E-4</v>
      </c>
      <c r="I1502" s="2" t="s">
        <v>29784</v>
      </c>
      <c r="J1502" s="2" t="s">
        <v>29785</v>
      </c>
      <c r="K1502" s="2">
        <v>4.0505280000000003E-3</v>
      </c>
      <c r="L1502" s="2" t="s">
        <v>848</v>
      </c>
      <c r="M1502" s="4" t="s">
        <v>29786</v>
      </c>
    </row>
    <row r="1503" spans="1:13">
      <c r="A1503" s="2">
        <v>4231</v>
      </c>
      <c r="B1503" s="2" t="s">
        <v>29787</v>
      </c>
      <c r="C1503" s="2">
        <v>6</v>
      </c>
      <c r="D1503" s="2">
        <v>568</v>
      </c>
      <c r="E1503" s="2">
        <v>47</v>
      </c>
      <c r="F1503" s="2">
        <v>32441</v>
      </c>
      <c r="G1503" s="2">
        <v>7.2912046750000004</v>
      </c>
      <c r="H1503" s="2">
        <v>2.9230700000000001E-4</v>
      </c>
      <c r="I1503" s="2" t="s">
        <v>29788</v>
      </c>
      <c r="J1503" s="2" t="s">
        <v>29789</v>
      </c>
      <c r="K1503" s="2">
        <v>4.108273E-3</v>
      </c>
      <c r="L1503" s="2" t="s">
        <v>848</v>
      </c>
      <c r="M1503" s="4" t="s">
        <v>29790</v>
      </c>
    </row>
    <row r="1504" spans="1:13">
      <c r="A1504" s="2">
        <v>2819</v>
      </c>
      <c r="B1504" s="2" t="s">
        <v>29791</v>
      </c>
      <c r="C1504" s="2">
        <v>6</v>
      </c>
      <c r="D1504" s="2">
        <v>568</v>
      </c>
      <c r="E1504" s="2">
        <v>47</v>
      </c>
      <c r="F1504" s="2">
        <v>32441</v>
      </c>
      <c r="G1504" s="2">
        <v>7.2912046750000004</v>
      </c>
      <c r="H1504" s="2">
        <v>2.9230700000000001E-4</v>
      </c>
      <c r="I1504" s="2" t="s">
        <v>29792</v>
      </c>
      <c r="J1504" s="2" t="s">
        <v>29793</v>
      </c>
      <c r="K1504" s="2">
        <v>4.108273E-3</v>
      </c>
      <c r="L1504" s="2" t="s">
        <v>848</v>
      </c>
      <c r="M1504" s="4" t="s">
        <v>29794</v>
      </c>
    </row>
    <row r="1505" spans="1:13">
      <c r="A1505" s="2">
        <v>5817</v>
      </c>
      <c r="B1505" s="2" t="s">
        <v>29795</v>
      </c>
      <c r="C1505" s="2">
        <v>6</v>
      </c>
      <c r="D1505" s="2">
        <v>568</v>
      </c>
      <c r="E1505" s="2">
        <v>47</v>
      </c>
      <c r="F1505" s="2">
        <v>32441</v>
      </c>
      <c r="G1505" s="2">
        <v>7.2912046750000004</v>
      </c>
      <c r="H1505" s="2">
        <v>2.9230700000000001E-4</v>
      </c>
      <c r="I1505" s="2" t="s">
        <v>29796</v>
      </c>
      <c r="J1505" s="2" t="s">
        <v>29797</v>
      </c>
      <c r="K1505" s="2">
        <v>4.108273E-3</v>
      </c>
      <c r="L1505" s="2" t="s">
        <v>848</v>
      </c>
      <c r="M1505" s="4" t="s">
        <v>29798</v>
      </c>
    </row>
    <row r="1506" spans="1:13">
      <c r="A1506" s="2">
        <v>2804</v>
      </c>
      <c r="B1506" s="2" t="s">
        <v>11589</v>
      </c>
      <c r="C1506" s="2">
        <v>12</v>
      </c>
      <c r="D1506" s="2">
        <v>568</v>
      </c>
      <c r="E1506" s="2">
        <v>197</v>
      </c>
      <c r="F1506" s="2">
        <v>32441</v>
      </c>
      <c r="G1506" s="2">
        <v>3.4790519770000001</v>
      </c>
      <c r="H1506" s="2">
        <v>2.9498099999999999E-4</v>
      </c>
      <c r="I1506" s="2" t="s">
        <v>29799</v>
      </c>
      <c r="J1506" s="2" t="s">
        <v>29800</v>
      </c>
      <c r="K1506" s="2">
        <v>4.1360269999999996E-3</v>
      </c>
      <c r="L1506" s="2" t="s">
        <v>848</v>
      </c>
      <c r="M1506" s="4" t="s">
        <v>11592</v>
      </c>
    </row>
    <row r="1507" spans="1:13">
      <c r="A1507" s="2">
        <v>5778</v>
      </c>
      <c r="B1507" s="2" t="s">
        <v>29801</v>
      </c>
      <c r="C1507" s="2">
        <v>8</v>
      </c>
      <c r="D1507" s="2">
        <v>568</v>
      </c>
      <c r="E1507" s="2">
        <v>91</v>
      </c>
      <c r="F1507" s="2">
        <v>32441</v>
      </c>
      <c r="G1507" s="2">
        <v>5.0210493730000003</v>
      </c>
      <c r="H1507" s="2">
        <v>3.1793000000000001E-4</v>
      </c>
      <c r="I1507" s="2" t="s">
        <v>29802</v>
      </c>
      <c r="J1507" s="2" t="s">
        <v>29803</v>
      </c>
      <c r="K1507" s="2">
        <v>4.4472690000000002E-3</v>
      </c>
      <c r="L1507" s="2" t="s">
        <v>848</v>
      </c>
      <c r="M1507" s="4" t="s">
        <v>29804</v>
      </c>
    </row>
    <row r="1508" spans="1:13">
      <c r="A1508" s="2">
        <v>4116</v>
      </c>
      <c r="B1508" s="2" t="s">
        <v>29805</v>
      </c>
      <c r="C1508" s="2">
        <v>9</v>
      </c>
      <c r="D1508" s="2">
        <v>568</v>
      </c>
      <c r="E1508" s="2">
        <v>116</v>
      </c>
      <c r="F1508" s="2">
        <v>32441</v>
      </c>
      <c r="G1508" s="2">
        <v>4.4312924960000002</v>
      </c>
      <c r="H1508" s="2">
        <v>3.2448699999999999E-4</v>
      </c>
      <c r="I1508" s="2" t="s">
        <v>29553</v>
      </c>
      <c r="J1508" s="2" t="s">
        <v>29554</v>
      </c>
      <c r="K1508" s="2">
        <v>4.5176169999999998E-3</v>
      </c>
      <c r="L1508" s="2" t="s">
        <v>848</v>
      </c>
      <c r="M1508" s="4" t="s">
        <v>29806</v>
      </c>
    </row>
    <row r="1509" spans="1:13">
      <c r="A1509" s="2">
        <v>5905</v>
      </c>
      <c r="B1509" s="2" t="s">
        <v>29807</v>
      </c>
      <c r="C1509" s="2">
        <v>6</v>
      </c>
      <c r="D1509" s="2">
        <v>568</v>
      </c>
      <c r="E1509" s="2">
        <v>48</v>
      </c>
      <c r="F1509" s="2">
        <v>32441</v>
      </c>
      <c r="G1509" s="2">
        <v>7.1393045769999999</v>
      </c>
      <c r="H1509" s="2">
        <v>3.2411400000000002E-4</v>
      </c>
      <c r="I1509" s="2" t="s">
        <v>29808</v>
      </c>
      <c r="J1509" s="2" t="s">
        <v>29809</v>
      </c>
      <c r="K1509" s="2">
        <v>4.5176169999999998E-3</v>
      </c>
      <c r="L1509" s="2" t="s">
        <v>848</v>
      </c>
      <c r="M1509" s="4" t="s">
        <v>29810</v>
      </c>
    </row>
    <row r="1510" spans="1:13">
      <c r="A1510" s="2">
        <v>1896</v>
      </c>
      <c r="B1510" s="2" t="s">
        <v>11223</v>
      </c>
      <c r="C1510" s="2">
        <v>10</v>
      </c>
      <c r="D1510" s="2">
        <v>568</v>
      </c>
      <c r="E1510" s="2">
        <v>143</v>
      </c>
      <c r="F1510" s="2">
        <v>32441</v>
      </c>
      <c r="G1510" s="2">
        <v>3.9940165470000002</v>
      </c>
      <c r="H1510" s="2">
        <v>3.3562400000000002E-4</v>
      </c>
      <c r="I1510" s="2" t="s">
        <v>29811</v>
      </c>
      <c r="J1510" s="2" t="s">
        <v>29812</v>
      </c>
      <c r="K1510" s="2">
        <v>4.6617029999999997E-3</v>
      </c>
      <c r="L1510" s="2" t="s">
        <v>848</v>
      </c>
      <c r="M1510" s="4" t="s">
        <v>11226</v>
      </c>
    </row>
    <row r="1511" spans="1:13">
      <c r="A1511" s="2">
        <v>1043</v>
      </c>
      <c r="B1511" s="2" t="s">
        <v>29813</v>
      </c>
      <c r="C1511" s="2">
        <v>4</v>
      </c>
      <c r="D1511" s="2">
        <v>568</v>
      </c>
      <c r="E1511" s="2">
        <v>16</v>
      </c>
      <c r="F1511" s="2">
        <v>32441</v>
      </c>
      <c r="G1511" s="2">
        <v>14.278609149999999</v>
      </c>
      <c r="H1511" s="2">
        <v>3.37595E-4</v>
      </c>
      <c r="I1511" s="2" t="s">
        <v>29814</v>
      </c>
      <c r="J1511" s="2" t="s">
        <v>29815</v>
      </c>
      <c r="K1511" s="2">
        <v>4.6781000000000001E-3</v>
      </c>
      <c r="L1511" s="2" t="s">
        <v>848</v>
      </c>
      <c r="M1511" s="4" t="s">
        <v>29816</v>
      </c>
    </row>
    <row r="1512" spans="1:13">
      <c r="A1512" s="2">
        <v>922</v>
      </c>
      <c r="B1512" s="2" t="s">
        <v>892</v>
      </c>
      <c r="C1512" s="2">
        <v>17</v>
      </c>
      <c r="D1512" s="2">
        <v>568</v>
      </c>
      <c r="E1512" s="2">
        <v>361</v>
      </c>
      <c r="F1512" s="2">
        <v>32441</v>
      </c>
      <c r="G1512" s="2">
        <v>2.6895995080000001</v>
      </c>
      <c r="H1512" s="2">
        <v>3.4190799999999998E-4</v>
      </c>
      <c r="I1512" s="2" t="s">
        <v>29817</v>
      </c>
      <c r="J1512" s="2" t="s">
        <v>29818</v>
      </c>
      <c r="K1512" s="2">
        <v>4.7268040000000002E-3</v>
      </c>
      <c r="L1512" s="2" t="s">
        <v>848</v>
      </c>
      <c r="M1512" s="4" t="s">
        <v>29819</v>
      </c>
    </row>
    <row r="1513" spans="1:13">
      <c r="A1513" s="2">
        <v>1086</v>
      </c>
      <c r="B1513" s="2" t="s">
        <v>29820</v>
      </c>
      <c r="C1513" s="2">
        <v>9</v>
      </c>
      <c r="D1513" s="2">
        <v>568</v>
      </c>
      <c r="E1513" s="2">
        <v>117</v>
      </c>
      <c r="F1513" s="2">
        <v>32441</v>
      </c>
      <c r="G1513" s="2">
        <v>4.3934182020000003</v>
      </c>
      <c r="H1513" s="2">
        <v>3.4421400000000002E-4</v>
      </c>
      <c r="I1513" s="2" t="s">
        <v>29821</v>
      </c>
      <c r="J1513" s="2" t="s">
        <v>29822</v>
      </c>
      <c r="K1513" s="2">
        <v>4.7475900000000003E-3</v>
      </c>
      <c r="L1513" s="2" t="s">
        <v>848</v>
      </c>
      <c r="M1513" s="4" t="s">
        <v>29823</v>
      </c>
    </row>
    <row r="1514" spans="1:13">
      <c r="A1514" s="2">
        <v>4229</v>
      </c>
      <c r="B1514" s="2" t="s">
        <v>29824</v>
      </c>
      <c r="C1514" s="2">
        <v>13</v>
      </c>
      <c r="D1514" s="2">
        <v>568</v>
      </c>
      <c r="E1514" s="2">
        <v>232</v>
      </c>
      <c r="F1514" s="2">
        <v>32441</v>
      </c>
      <c r="G1514" s="2">
        <v>3.2003779140000002</v>
      </c>
      <c r="H1514" s="2">
        <v>3.5956600000000002E-4</v>
      </c>
      <c r="I1514" s="2" t="s">
        <v>29825</v>
      </c>
      <c r="J1514" s="2" t="s">
        <v>29826</v>
      </c>
      <c r="K1514" s="2">
        <v>4.9363239999999997E-3</v>
      </c>
      <c r="L1514" s="2" t="s">
        <v>848</v>
      </c>
      <c r="M1514" s="4" t="s">
        <v>29827</v>
      </c>
    </row>
    <row r="1515" spans="1:13">
      <c r="A1515" s="2">
        <v>5015</v>
      </c>
      <c r="B1515" s="2" t="s">
        <v>29828</v>
      </c>
      <c r="C1515" s="2">
        <v>5</v>
      </c>
      <c r="D1515" s="2">
        <v>568</v>
      </c>
      <c r="E1515" s="2">
        <v>31</v>
      </c>
      <c r="F1515" s="2">
        <v>32441</v>
      </c>
      <c r="G1515" s="2">
        <v>9.2120059059999999</v>
      </c>
      <c r="H1515" s="2">
        <v>3.5956699999999998E-4</v>
      </c>
      <c r="I1515" s="2" t="s">
        <v>29829</v>
      </c>
      <c r="J1515" s="2" t="s">
        <v>29830</v>
      </c>
      <c r="K1515" s="2">
        <v>4.9363239999999997E-3</v>
      </c>
      <c r="L1515" s="2" t="s">
        <v>848</v>
      </c>
      <c r="M1515" s="4" t="s">
        <v>29831</v>
      </c>
    </row>
    <row r="1516" spans="1:13">
      <c r="A1516" s="2">
        <v>1572</v>
      </c>
      <c r="B1516" s="2" t="s">
        <v>29832</v>
      </c>
      <c r="C1516" s="2">
        <v>9</v>
      </c>
      <c r="D1516" s="2">
        <v>568</v>
      </c>
      <c r="E1516" s="2">
        <v>118</v>
      </c>
      <c r="F1516" s="2">
        <v>32441</v>
      </c>
      <c r="G1516" s="2">
        <v>4.3561858439999996</v>
      </c>
      <c r="H1516" s="2">
        <v>3.6492099999999998E-4</v>
      </c>
      <c r="I1516" s="2" t="s">
        <v>29833</v>
      </c>
      <c r="J1516" s="2" t="s">
        <v>29834</v>
      </c>
      <c r="K1516" s="2">
        <v>4.9982400000000001E-3</v>
      </c>
      <c r="L1516" s="2" t="s">
        <v>848</v>
      </c>
      <c r="M1516" s="4" t="s">
        <v>29835</v>
      </c>
    </row>
    <row r="1517" spans="1:13">
      <c r="A1517" s="2">
        <v>4858</v>
      </c>
      <c r="B1517" s="2" t="s">
        <v>29836</v>
      </c>
      <c r="C1517" s="2">
        <v>10</v>
      </c>
      <c r="D1517" s="2">
        <v>568</v>
      </c>
      <c r="E1517" s="2">
        <v>145</v>
      </c>
      <c r="F1517" s="2">
        <v>32441</v>
      </c>
      <c r="G1517" s="2">
        <v>3.9389266630000002</v>
      </c>
      <c r="H1517" s="2">
        <v>3.7219E-4</v>
      </c>
      <c r="I1517" s="2" t="s">
        <v>29837</v>
      </c>
      <c r="J1517" s="2" t="s">
        <v>29838</v>
      </c>
      <c r="K1517" s="2">
        <v>5.0860289999999997E-3</v>
      </c>
      <c r="L1517" s="2" t="s">
        <v>848</v>
      </c>
      <c r="M1517" s="4" t="s">
        <v>29839</v>
      </c>
    </row>
    <row r="1518" spans="1:13">
      <c r="A1518" s="2">
        <v>5911</v>
      </c>
      <c r="B1518" s="2" t="s">
        <v>9246</v>
      </c>
      <c r="C1518" s="2">
        <v>28</v>
      </c>
      <c r="D1518" s="2">
        <v>568</v>
      </c>
      <c r="E1518" s="2">
        <v>776</v>
      </c>
      <c r="F1518" s="2">
        <v>32441</v>
      </c>
      <c r="G1518" s="2">
        <v>2.0608301870000001</v>
      </c>
      <c r="H1518" s="2">
        <v>3.9099499999999999E-4</v>
      </c>
      <c r="I1518" s="2" t="s">
        <v>29840</v>
      </c>
      <c r="J1518" s="2" t="s">
        <v>29841</v>
      </c>
      <c r="K1518" s="2">
        <v>5.3289059999999996E-3</v>
      </c>
      <c r="L1518" s="2" t="s">
        <v>848</v>
      </c>
      <c r="M1518" s="4" t="s">
        <v>9249</v>
      </c>
    </row>
    <row r="1519" spans="1:13">
      <c r="A1519" s="2">
        <v>912</v>
      </c>
      <c r="B1519" s="2" t="s">
        <v>29842</v>
      </c>
      <c r="C1519" s="2">
        <v>22</v>
      </c>
      <c r="D1519" s="2">
        <v>568</v>
      </c>
      <c r="E1519" s="2">
        <v>545</v>
      </c>
      <c r="F1519" s="2">
        <v>32441</v>
      </c>
      <c r="G1519" s="2">
        <v>2.305536891</v>
      </c>
      <c r="H1519" s="2">
        <v>3.9176499999999997E-4</v>
      </c>
      <c r="I1519" s="2" t="s">
        <v>29843</v>
      </c>
      <c r="J1519" s="2" t="s">
        <v>29844</v>
      </c>
      <c r="K1519" s="2">
        <v>5.3289059999999996E-3</v>
      </c>
      <c r="L1519" s="2" t="s">
        <v>848</v>
      </c>
      <c r="M1519" s="4" t="s">
        <v>29845</v>
      </c>
    </row>
    <row r="1520" spans="1:13">
      <c r="A1520" s="2">
        <v>885</v>
      </c>
      <c r="B1520" s="2" t="s">
        <v>29846</v>
      </c>
      <c r="C1520" s="2">
        <v>7</v>
      </c>
      <c r="D1520" s="2">
        <v>568</v>
      </c>
      <c r="E1520" s="2">
        <v>71</v>
      </c>
      <c r="F1520" s="2">
        <v>32441</v>
      </c>
      <c r="G1520" s="2">
        <v>5.6310007930000001</v>
      </c>
      <c r="H1520" s="2">
        <v>3.9602600000000001E-4</v>
      </c>
      <c r="I1520" s="2" t="s">
        <v>29847</v>
      </c>
      <c r="J1520" s="2" t="s">
        <v>29848</v>
      </c>
      <c r="K1520" s="2">
        <v>5.3499660000000003E-3</v>
      </c>
      <c r="L1520" s="2" t="s">
        <v>848</v>
      </c>
      <c r="M1520" s="4" t="s">
        <v>29849</v>
      </c>
    </row>
    <row r="1521" spans="1:13">
      <c r="A1521" s="2">
        <v>2144</v>
      </c>
      <c r="B1521" s="2" t="s">
        <v>29850</v>
      </c>
      <c r="C1521" s="2">
        <v>7</v>
      </c>
      <c r="D1521" s="2">
        <v>568</v>
      </c>
      <c r="E1521" s="2">
        <v>71</v>
      </c>
      <c r="F1521" s="2">
        <v>32441</v>
      </c>
      <c r="G1521" s="2">
        <v>5.6310007930000001</v>
      </c>
      <c r="H1521" s="2">
        <v>3.9602600000000001E-4</v>
      </c>
      <c r="I1521" s="2" t="s">
        <v>29851</v>
      </c>
      <c r="J1521" s="2" t="s">
        <v>29852</v>
      </c>
      <c r="K1521" s="2">
        <v>5.3499660000000003E-3</v>
      </c>
      <c r="L1521" s="2" t="s">
        <v>848</v>
      </c>
      <c r="M1521" s="4" t="s">
        <v>29853</v>
      </c>
    </row>
    <row r="1522" spans="1:13">
      <c r="A1522" s="2">
        <v>3872</v>
      </c>
      <c r="B1522" s="2" t="s">
        <v>29854</v>
      </c>
      <c r="C1522" s="2">
        <v>6</v>
      </c>
      <c r="D1522" s="2">
        <v>568</v>
      </c>
      <c r="E1522" s="2">
        <v>50</v>
      </c>
      <c r="F1522" s="2">
        <v>32441</v>
      </c>
      <c r="G1522" s="2">
        <v>6.8537323939999997</v>
      </c>
      <c r="H1522" s="2">
        <v>3.9582300000000001E-4</v>
      </c>
      <c r="I1522" s="2" t="s">
        <v>29855</v>
      </c>
      <c r="J1522" s="2" t="s">
        <v>29856</v>
      </c>
      <c r="K1522" s="2">
        <v>5.3499660000000003E-3</v>
      </c>
      <c r="L1522" s="2" t="s">
        <v>848</v>
      </c>
      <c r="M1522" s="4" t="s">
        <v>29857</v>
      </c>
    </row>
    <row r="1523" spans="1:13">
      <c r="A1523" s="2">
        <v>3914</v>
      </c>
      <c r="B1523" s="2" t="s">
        <v>9057</v>
      </c>
      <c r="C1523" s="2">
        <v>24</v>
      </c>
      <c r="D1523" s="2">
        <v>568</v>
      </c>
      <c r="E1523" s="2">
        <v>621</v>
      </c>
      <c r="F1523" s="2">
        <v>32441</v>
      </c>
      <c r="G1523" s="2">
        <v>2.207321222</v>
      </c>
      <c r="H1523" s="2">
        <v>3.9703900000000002E-4</v>
      </c>
      <c r="I1523" s="2" t="s">
        <v>29858</v>
      </c>
      <c r="J1523" s="2" t="s">
        <v>29859</v>
      </c>
      <c r="K1523" s="2">
        <v>5.3514390000000004E-3</v>
      </c>
      <c r="L1523" s="2" t="s">
        <v>848</v>
      </c>
      <c r="M1523" s="4" t="s">
        <v>9060</v>
      </c>
    </row>
    <row r="1524" spans="1:13">
      <c r="A1524" s="2">
        <v>1125</v>
      </c>
      <c r="B1524" s="2" t="s">
        <v>29860</v>
      </c>
      <c r="C1524" s="2">
        <v>4</v>
      </c>
      <c r="D1524" s="2">
        <v>568</v>
      </c>
      <c r="E1524" s="2">
        <v>17</v>
      </c>
      <c r="F1524" s="2">
        <v>32441</v>
      </c>
      <c r="G1524" s="2">
        <v>13.43869097</v>
      </c>
      <c r="H1524" s="2">
        <v>4.1137900000000002E-4</v>
      </c>
      <c r="I1524" s="2" t="s">
        <v>29861</v>
      </c>
      <c r="J1524" s="2" t="s">
        <v>29862</v>
      </c>
      <c r="K1524" s="2">
        <v>5.4454860000000002E-3</v>
      </c>
      <c r="L1524" s="2" t="s">
        <v>848</v>
      </c>
      <c r="M1524" s="4" t="s">
        <v>29863</v>
      </c>
    </row>
    <row r="1525" spans="1:13">
      <c r="A1525" s="2">
        <v>1808</v>
      </c>
      <c r="B1525" s="2" t="s">
        <v>7775</v>
      </c>
      <c r="C1525" s="2">
        <v>53</v>
      </c>
      <c r="D1525" s="2">
        <v>568</v>
      </c>
      <c r="E1525" s="2">
        <v>1848</v>
      </c>
      <c r="F1525" s="2">
        <v>32441</v>
      </c>
      <c r="G1525" s="2">
        <v>1.638022262</v>
      </c>
      <c r="H1525" s="2">
        <v>4.0507999999999999E-4</v>
      </c>
      <c r="I1525" s="2" t="s">
        <v>29864</v>
      </c>
      <c r="J1525" s="2" t="s">
        <v>29865</v>
      </c>
      <c r="K1525" s="2">
        <v>5.4454860000000002E-3</v>
      </c>
      <c r="L1525" s="2" t="s">
        <v>848</v>
      </c>
      <c r="M1525" s="4" t="s">
        <v>7778</v>
      </c>
    </row>
    <row r="1526" spans="1:13">
      <c r="A1526" s="2">
        <v>23331</v>
      </c>
      <c r="B1526" s="2" t="s">
        <v>29866</v>
      </c>
      <c r="C1526" s="2">
        <v>5</v>
      </c>
      <c r="D1526" s="2">
        <v>568</v>
      </c>
      <c r="E1526" s="2">
        <v>32</v>
      </c>
      <c r="F1526" s="2">
        <v>32441</v>
      </c>
      <c r="G1526" s="2">
        <v>8.9241307219999992</v>
      </c>
      <c r="H1526" s="2">
        <v>4.0991299999999998E-4</v>
      </c>
      <c r="I1526" s="2" t="s">
        <v>29867</v>
      </c>
      <c r="J1526" s="2" t="s">
        <v>29868</v>
      </c>
      <c r="K1526" s="2">
        <v>5.4454860000000002E-3</v>
      </c>
      <c r="L1526" s="2" t="s">
        <v>848</v>
      </c>
      <c r="M1526" s="4" t="s">
        <v>29869</v>
      </c>
    </row>
    <row r="1527" spans="1:13">
      <c r="A1527" s="2">
        <v>3281</v>
      </c>
      <c r="B1527" s="2" t="s">
        <v>924</v>
      </c>
      <c r="C1527" s="2">
        <v>31</v>
      </c>
      <c r="D1527" s="2">
        <v>568</v>
      </c>
      <c r="E1527" s="2">
        <v>899</v>
      </c>
      <c r="F1527" s="2">
        <v>32441</v>
      </c>
      <c r="G1527" s="2">
        <v>1.9694633319999999</v>
      </c>
      <c r="H1527" s="2">
        <v>4.0943199999999999E-4</v>
      </c>
      <c r="I1527" s="2" t="s">
        <v>29870</v>
      </c>
      <c r="J1527" s="2" t="s">
        <v>29871</v>
      </c>
      <c r="K1527" s="2">
        <v>5.4454860000000002E-3</v>
      </c>
      <c r="L1527" s="2" t="s">
        <v>848</v>
      </c>
      <c r="M1527" s="4" t="s">
        <v>10424</v>
      </c>
    </row>
    <row r="1528" spans="1:13">
      <c r="A1528" s="2">
        <v>3817</v>
      </c>
      <c r="B1528" s="2" t="s">
        <v>29872</v>
      </c>
      <c r="C1528" s="2">
        <v>5</v>
      </c>
      <c r="D1528" s="2">
        <v>568</v>
      </c>
      <c r="E1528" s="2">
        <v>32</v>
      </c>
      <c r="F1528" s="2">
        <v>32441</v>
      </c>
      <c r="G1528" s="2">
        <v>8.9241307219999992</v>
      </c>
      <c r="H1528" s="2">
        <v>4.0991299999999998E-4</v>
      </c>
      <c r="I1528" s="2" t="s">
        <v>29873</v>
      </c>
      <c r="J1528" s="2" t="s">
        <v>29874</v>
      </c>
      <c r="K1528" s="2">
        <v>5.4454860000000002E-3</v>
      </c>
      <c r="L1528" s="2" t="s">
        <v>848</v>
      </c>
      <c r="M1528" s="4" t="s">
        <v>29875</v>
      </c>
    </row>
    <row r="1529" spans="1:13">
      <c r="A1529" s="2">
        <v>4286</v>
      </c>
      <c r="B1529" s="2" t="s">
        <v>29876</v>
      </c>
      <c r="C1529" s="2">
        <v>16</v>
      </c>
      <c r="D1529" s="2">
        <v>568</v>
      </c>
      <c r="E1529" s="2">
        <v>333</v>
      </c>
      <c r="F1529" s="2">
        <v>32441</v>
      </c>
      <c r="G1529" s="2">
        <v>2.7442371950000002</v>
      </c>
      <c r="H1529" s="2">
        <v>4.1047499999999999E-4</v>
      </c>
      <c r="I1529" s="2" t="s">
        <v>29877</v>
      </c>
      <c r="J1529" s="2" t="s">
        <v>29878</v>
      </c>
      <c r="K1529" s="2">
        <v>5.4454860000000002E-3</v>
      </c>
      <c r="L1529" s="2" t="s">
        <v>848</v>
      </c>
      <c r="M1529" s="4" t="s">
        <v>29879</v>
      </c>
    </row>
    <row r="1530" spans="1:13">
      <c r="A1530" s="2">
        <v>4646</v>
      </c>
      <c r="B1530" s="2" t="s">
        <v>29880</v>
      </c>
      <c r="C1530" s="2">
        <v>11</v>
      </c>
      <c r="D1530" s="2">
        <v>568</v>
      </c>
      <c r="E1530" s="2">
        <v>175</v>
      </c>
      <c r="F1530" s="2">
        <v>32441</v>
      </c>
      <c r="G1530" s="2">
        <v>3.5900503019999999</v>
      </c>
      <c r="H1530" s="2">
        <v>4.0627300000000002E-4</v>
      </c>
      <c r="I1530" s="2" t="s">
        <v>29881</v>
      </c>
      <c r="J1530" s="2" t="s">
        <v>29882</v>
      </c>
      <c r="K1530" s="2">
        <v>5.4454860000000002E-3</v>
      </c>
      <c r="L1530" s="2" t="s">
        <v>848</v>
      </c>
      <c r="M1530" s="4" t="s">
        <v>29883</v>
      </c>
    </row>
    <row r="1531" spans="1:13">
      <c r="A1531" s="2">
        <v>4714</v>
      </c>
      <c r="B1531" s="2" t="s">
        <v>29884</v>
      </c>
      <c r="C1531" s="2">
        <v>5</v>
      </c>
      <c r="D1531" s="2">
        <v>568</v>
      </c>
      <c r="E1531" s="2">
        <v>32</v>
      </c>
      <c r="F1531" s="2">
        <v>32441</v>
      </c>
      <c r="G1531" s="2">
        <v>8.9241307219999992</v>
      </c>
      <c r="H1531" s="2">
        <v>4.0991299999999998E-4</v>
      </c>
      <c r="I1531" s="2" t="s">
        <v>29885</v>
      </c>
      <c r="J1531" s="2" t="s">
        <v>29886</v>
      </c>
      <c r="K1531" s="2">
        <v>5.4454860000000002E-3</v>
      </c>
      <c r="L1531" s="2" t="s">
        <v>848</v>
      </c>
      <c r="M1531" s="4" t="s">
        <v>29887</v>
      </c>
    </row>
    <row r="1532" spans="1:13">
      <c r="A1532" s="2">
        <v>3360</v>
      </c>
      <c r="B1532" s="2" t="s">
        <v>29888</v>
      </c>
      <c r="C1532" s="2">
        <v>12</v>
      </c>
      <c r="D1532" s="2">
        <v>568</v>
      </c>
      <c r="E1532" s="2">
        <v>205</v>
      </c>
      <c r="F1532" s="2">
        <v>32441</v>
      </c>
      <c r="G1532" s="2">
        <v>3.343284095</v>
      </c>
      <c r="H1532" s="2">
        <v>4.1430200000000002E-4</v>
      </c>
      <c r="I1532" s="2" t="s">
        <v>29889</v>
      </c>
      <c r="J1532" s="2" t="s">
        <v>29890</v>
      </c>
      <c r="K1532" s="2">
        <v>5.4719369999999996E-3</v>
      </c>
      <c r="L1532" s="2" t="s">
        <v>848</v>
      </c>
      <c r="M1532" s="4" t="s">
        <v>29891</v>
      </c>
    </row>
    <row r="1533" spans="1:13">
      <c r="A1533" s="2">
        <v>13441</v>
      </c>
      <c r="B1533" s="2" t="s">
        <v>9777</v>
      </c>
      <c r="C1533" s="2">
        <v>44</v>
      </c>
      <c r="D1533" s="2">
        <v>568</v>
      </c>
      <c r="E1533" s="2">
        <v>1450</v>
      </c>
      <c r="F1533" s="2">
        <v>32441</v>
      </c>
      <c r="G1533" s="2">
        <v>1.733127732</v>
      </c>
      <c r="H1533" s="2">
        <v>4.1566900000000002E-4</v>
      </c>
      <c r="I1533" s="2" t="s">
        <v>29892</v>
      </c>
      <c r="J1533" s="2" t="s">
        <v>29893</v>
      </c>
      <c r="K1533" s="2">
        <v>5.4777610000000003E-3</v>
      </c>
      <c r="L1533" s="2" t="s">
        <v>848</v>
      </c>
      <c r="M1533" s="4" t="s">
        <v>9780</v>
      </c>
    </row>
    <row r="1534" spans="1:13">
      <c r="A1534" s="2">
        <v>4197</v>
      </c>
      <c r="B1534" s="2" t="s">
        <v>9627</v>
      </c>
      <c r="C1534" s="2">
        <v>38</v>
      </c>
      <c r="D1534" s="2">
        <v>568</v>
      </c>
      <c r="E1534" s="2">
        <v>1192</v>
      </c>
      <c r="F1534" s="2">
        <v>32441</v>
      </c>
      <c r="G1534" s="2">
        <v>1.8207622409999999</v>
      </c>
      <c r="H1534" s="2">
        <v>4.2019099999999999E-4</v>
      </c>
      <c r="I1534" s="2" t="s">
        <v>29894</v>
      </c>
      <c r="J1534" s="2" t="s">
        <v>29895</v>
      </c>
      <c r="K1534" s="2">
        <v>5.5250509999999996E-3</v>
      </c>
      <c r="L1534" s="2" t="s">
        <v>848</v>
      </c>
      <c r="M1534" s="4" t="s">
        <v>9630</v>
      </c>
    </row>
    <row r="1535" spans="1:13">
      <c r="A1535" s="2">
        <v>2657</v>
      </c>
      <c r="B1535" s="2" t="s">
        <v>10200</v>
      </c>
      <c r="C1535" s="2">
        <v>34</v>
      </c>
      <c r="D1535" s="2">
        <v>568</v>
      </c>
      <c r="E1535" s="2">
        <v>1024</v>
      </c>
      <c r="F1535" s="2">
        <v>32441</v>
      </c>
      <c r="G1535" s="2">
        <v>1.896377778</v>
      </c>
      <c r="H1535" s="2">
        <v>4.2120900000000003E-4</v>
      </c>
      <c r="I1535" s="2" t="s">
        <v>29896</v>
      </c>
      <c r="J1535" s="2" t="s">
        <v>29897</v>
      </c>
      <c r="K1535" s="2">
        <v>5.5261479999999998E-3</v>
      </c>
      <c r="L1535" s="2" t="s">
        <v>848</v>
      </c>
      <c r="M1535" s="4" t="s">
        <v>10203</v>
      </c>
    </row>
    <row r="1536" spans="1:13">
      <c r="A1536" s="2">
        <v>5072</v>
      </c>
      <c r="B1536" s="2" t="s">
        <v>29898</v>
      </c>
      <c r="C1536" s="2">
        <v>9</v>
      </c>
      <c r="D1536" s="2">
        <v>568</v>
      </c>
      <c r="E1536" s="2">
        <v>121</v>
      </c>
      <c r="F1536" s="2">
        <v>32441</v>
      </c>
      <c r="G1536" s="2">
        <v>4.2481812359999997</v>
      </c>
      <c r="H1536" s="2">
        <v>4.3329300000000001E-4</v>
      </c>
      <c r="I1536" s="2" t="s">
        <v>29899</v>
      </c>
      <c r="J1536" s="2" t="s">
        <v>29900</v>
      </c>
      <c r="K1536" s="2">
        <v>5.6721189999999998E-3</v>
      </c>
      <c r="L1536" s="2" t="s">
        <v>848</v>
      </c>
      <c r="M1536" s="4" t="s">
        <v>29901</v>
      </c>
    </row>
    <row r="1537" spans="1:13">
      <c r="A1537" s="2">
        <v>8171</v>
      </c>
      <c r="B1537" s="2" t="s">
        <v>9881</v>
      </c>
      <c r="C1537" s="2">
        <v>32</v>
      </c>
      <c r="D1537" s="2">
        <v>568</v>
      </c>
      <c r="E1537" s="2">
        <v>946</v>
      </c>
      <c r="F1537" s="2">
        <v>32441</v>
      </c>
      <c r="G1537" s="2">
        <v>1.9319893990000001</v>
      </c>
      <c r="H1537" s="2">
        <v>4.5595800000000001E-4</v>
      </c>
      <c r="I1537" s="2" t="s">
        <v>29902</v>
      </c>
      <c r="J1537" s="2" t="s">
        <v>29903</v>
      </c>
      <c r="K1537" s="2">
        <v>5.9425190000000003E-3</v>
      </c>
      <c r="L1537" s="2" t="s">
        <v>848</v>
      </c>
      <c r="M1537" s="4" t="s">
        <v>9882</v>
      </c>
    </row>
    <row r="1538" spans="1:13">
      <c r="A1538" s="2">
        <v>4542</v>
      </c>
      <c r="B1538" s="2" t="s">
        <v>29904</v>
      </c>
      <c r="C1538" s="2">
        <v>10</v>
      </c>
      <c r="D1538" s="2">
        <v>568</v>
      </c>
      <c r="E1538" s="2">
        <v>149</v>
      </c>
      <c r="F1538" s="2">
        <v>32441</v>
      </c>
      <c r="G1538" s="2">
        <v>3.833183666</v>
      </c>
      <c r="H1538" s="2">
        <v>4.5532199999999998E-4</v>
      </c>
      <c r="I1538" s="2" t="s">
        <v>29905</v>
      </c>
      <c r="J1538" s="2" t="s">
        <v>29906</v>
      </c>
      <c r="K1538" s="2">
        <v>5.9425190000000003E-3</v>
      </c>
      <c r="L1538" s="2" t="s">
        <v>848</v>
      </c>
      <c r="M1538" s="4" t="s">
        <v>29907</v>
      </c>
    </row>
    <row r="1539" spans="1:13">
      <c r="A1539" s="2">
        <v>4681</v>
      </c>
      <c r="B1539" s="2" t="s">
        <v>8210</v>
      </c>
      <c r="C1539" s="2">
        <v>41</v>
      </c>
      <c r="D1539" s="2">
        <v>568</v>
      </c>
      <c r="E1539" s="2">
        <v>1327</v>
      </c>
      <c r="F1539" s="2">
        <v>32441</v>
      </c>
      <c r="G1539" s="2">
        <v>1.7646510179999999</v>
      </c>
      <c r="H1539" s="2">
        <v>4.61862E-4</v>
      </c>
      <c r="I1539" s="2" t="s">
        <v>29908</v>
      </c>
      <c r="J1539" s="2" t="s">
        <v>29909</v>
      </c>
      <c r="K1539" s="2">
        <v>5.9799550000000003E-3</v>
      </c>
      <c r="L1539" s="2" t="s">
        <v>848</v>
      </c>
      <c r="M1539" s="4" t="s">
        <v>8213</v>
      </c>
    </row>
    <row r="1540" spans="1:13">
      <c r="A1540" s="2">
        <v>6841</v>
      </c>
      <c r="B1540" s="2" t="s">
        <v>902</v>
      </c>
      <c r="C1540" s="2">
        <v>18</v>
      </c>
      <c r="D1540" s="2">
        <v>568</v>
      </c>
      <c r="E1540" s="2">
        <v>406</v>
      </c>
      <c r="F1540" s="2">
        <v>32441</v>
      </c>
      <c r="G1540" s="2">
        <v>2.532167141</v>
      </c>
      <c r="H1540" s="2">
        <v>4.6007300000000002E-4</v>
      </c>
      <c r="I1540" s="2" t="s">
        <v>29910</v>
      </c>
      <c r="J1540" s="2" t="s">
        <v>29911</v>
      </c>
      <c r="K1540" s="2">
        <v>5.9799550000000003E-3</v>
      </c>
      <c r="L1540" s="2" t="s">
        <v>848</v>
      </c>
      <c r="M1540" s="4" t="s">
        <v>29912</v>
      </c>
    </row>
    <row r="1541" spans="1:13">
      <c r="A1541" s="2">
        <v>3869</v>
      </c>
      <c r="B1541" s="2" t="s">
        <v>10527</v>
      </c>
      <c r="C1541" s="2">
        <v>22</v>
      </c>
      <c r="D1541" s="2">
        <v>568</v>
      </c>
      <c r="E1541" s="2">
        <v>552</v>
      </c>
      <c r="F1541" s="2">
        <v>32441</v>
      </c>
      <c r="G1541" s="2">
        <v>2.2763000099999999</v>
      </c>
      <c r="H1541" s="2">
        <v>4.6178000000000001E-4</v>
      </c>
      <c r="I1541" s="2" t="s">
        <v>29913</v>
      </c>
      <c r="J1541" s="2" t="s">
        <v>29914</v>
      </c>
      <c r="K1541" s="2">
        <v>5.9799550000000003E-3</v>
      </c>
      <c r="L1541" s="2" t="s">
        <v>848</v>
      </c>
      <c r="M1541" s="4" t="s">
        <v>10530</v>
      </c>
    </row>
    <row r="1542" spans="1:13">
      <c r="A1542" s="2">
        <v>7321</v>
      </c>
      <c r="B1542" s="2" t="s">
        <v>29915</v>
      </c>
      <c r="C1542" s="2">
        <v>5</v>
      </c>
      <c r="D1542" s="2">
        <v>568</v>
      </c>
      <c r="E1542" s="2">
        <v>33</v>
      </c>
      <c r="F1542" s="2">
        <v>32441</v>
      </c>
      <c r="G1542" s="2">
        <v>8.6537025179999993</v>
      </c>
      <c r="H1542" s="2">
        <v>4.6539800000000001E-4</v>
      </c>
      <c r="I1542" s="2" t="s">
        <v>29916</v>
      </c>
      <c r="J1542" s="2" t="s">
        <v>29917</v>
      </c>
      <c r="K1542" s="2">
        <v>5.9864380000000002E-3</v>
      </c>
      <c r="L1542" s="2" t="s">
        <v>848</v>
      </c>
      <c r="M1542" s="4" t="s">
        <v>29918</v>
      </c>
    </row>
    <row r="1543" spans="1:13">
      <c r="A1543" s="2">
        <v>3489</v>
      </c>
      <c r="B1543" s="2" t="s">
        <v>29919</v>
      </c>
      <c r="C1543" s="2">
        <v>11</v>
      </c>
      <c r="D1543" s="2">
        <v>568</v>
      </c>
      <c r="E1543" s="2">
        <v>178</v>
      </c>
      <c r="F1543" s="2">
        <v>32441</v>
      </c>
      <c r="G1543" s="2">
        <v>3.5295438360000002</v>
      </c>
      <c r="H1543" s="2">
        <v>4.6498600000000002E-4</v>
      </c>
      <c r="I1543" s="2" t="s">
        <v>29920</v>
      </c>
      <c r="J1543" s="2" t="s">
        <v>29921</v>
      </c>
      <c r="K1543" s="2">
        <v>5.9864380000000002E-3</v>
      </c>
      <c r="L1543" s="2" t="s">
        <v>848</v>
      </c>
      <c r="M1543" s="4" t="s">
        <v>29922</v>
      </c>
    </row>
    <row r="1544" spans="1:13">
      <c r="A1544" s="2">
        <v>3825</v>
      </c>
      <c r="B1544" s="2" t="s">
        <v>29923</v>
      </c>
      <c r="C1544" s="2">
        <v>21</v>
      </c>
      <c r="D1544" s="2">
        <v>568</v>
      </c>
      <c r="E1544" s="2">
        <v>515</v>
      </c>
      <c r="F1544" s="2">
        <v>32441</v>
      </c>
      <c r="G1544" s="2">
        <v>2.3289381919999999</v>
      </c>
      <c r="H1544" s="2">
        <v>4.6470700000000002E-4</v>
      </c>
      <c r="I1544" s="2" t="s">
        <v>29924</v>
      </c>
      <c r="J1544" s="2" t="s">
        <v>29925</v>
      </c>
      <c r="K1544" s="2">
        <v>5.9864380000000002E-3</v>
      </c>
      <c r="L1544" s="2" t="s">
        <v>848</v>
      </c>
      <c r="M1544" s="4" t="s">
        <v>29926</v>
      </c>
    </row>
    <row r="1545" spans="1:13">
      <c r="A1545" s="2">
        <v>43381</v>
      </c>
      <c r="B1545" s="2" t="s">
        <v>3058</v>
      </c>
      <c r="C1545" s="2">
        <v>8</v>
      </c>
      <c r="D1545" s="2">
        <v>568</v>
      </c>
      <c r="E1545" s="2">
        <v>97</v>
      </c>
      <c r="F1545" s="2">
        <v>32441</v>
      </c>
      <c r="G1545" s="2">
        <v>4.7104689999999998</v>
      </c>
      <c r="H1545" s="2">
        <v>4.73423E-4</v>
      </c>
      <c r="I1545" s="2" t="s">
        <v>29927</v>
      </c>
      <c r="J1545" s="2" t="s">
        <v>29928</v>
      </c>
      <c r="K1545" s="2">
        <v>6.076456E-3</v>
      </c>
      <c r="L1545" s="2" t="s">
        <v>848</v>
      </c>
      <c r="M1545" s="4" t="s">
        <v>3061</v>
      </c>
    </row>
    <row r="1546" spans="1:13">
      <c r="A1546" s="2">
        <v>4562</v>
      </c>
      <c r="B1546" s="2" t="s">
        <v>29929</v>
      </c>
      <c r="C1546" s="2">
        <v>6</v>
      </c>
      <c r="D1546" s="2">
        <v>568</v>
      </c>
      <c r="E1546" s="2">
        <v>52</v>
      </c>
      <c r="F1546" s="2">
        <v>32441</v>
      </c>
      <c r="G1546" s="2">
        <v>6.590127302</v>
      </c>
      <c r="H1546" s="2">
        <v>4.7935499999999999E-4</v>
      </c>
      <c r="I1546" s="2" t="s">
        <v>29930</v>
      </c>
      <c r="J1546" s="2" t="s">
        <v>29931</v>
      </c>
      <c r="K1546" s="2">
        <v>6.1392729999999998E-3</v>
      </c>
      <c r="L1546" s="2" t="s">
        <v>848</v>
      </c>
      <c r="M1546" s="4" t="s">
        <v>29932</v>
      </c>
    </row>
    <row r="1547" spans="1:13">
      <c r="A1547" s="2">
        <v>3339</v>
      </c>
      <c r="B1547" s="2" t="s">
        <v>29933</v>
      </c>
      <c r="C1547" s="2">
        <v>7</v>
      </c>
      <c r="D1547" s="2">
        <v>568</v>
      </c>
      <c r="E1547" s="2">
        <v>74</v>
      </c>
      <c r="F1547" s="2">
        <v>32441</v>
      </c>
      <c r="G1547" s="2">
        <v>5.4027169779999999</v>
      </c>
      <c r="H1547" s="2">
        <v>4.9871200000000001E-4</v>
      </c>
      <c r="I1547" s="2" t="s">
        <v>29934</v>
      </c>
      <c r="J1547" s="2" t="s">
        <v>29935</v>
      </c>
      <c r="K1547" s="2">
        <v>6.3733940000000001E-3</v>
      </c>
      <c r="L1547" s="2" t="s">
        <v>848</v>
      </c>
      <c r="M1547" s="4" t="s">
        <v>29936</v>
      </c>
    </row>
    <row r="1548" spans="1:13">
      <c r="A1548" s="2">
        <v>1335</v>
      </c>
      <c r="B1548" s="2" t="s">
        <v>29937</v>
      </c>
      <c r="C1548" s="2">
        <v>6</v>
      </c>
      <c r="D1548" s="2">
        <v>568</v>
      </c>
      <c r="E1548" s="2">
        <v>53</v>
      </c>
      <c r="F1548" s="2">
        <v>32441</v>
      </c>
      <c r="G1548" s="2">
        <v>6.4657852780000002</v>
      </c>
      <c r="H1548" s="2">
        <v>5.2595699999999997E-4</v>
      </c>
      <c r="I1548" s="2" t="s">
        <v>29938</v>
      </c>
      <c r="J1548" s="2" t="s">
        <v>29939</v>
      </c>
      <c r="K1548" s="2">
        <v>6.666997E-3</v>
      </c>
      <c r="L1548" s="2" t="s">
        <v>848</v>
      </c>
      <c r="M1548" s="4" t="s">
        <v>29940</v>
      </c>
    </row>
    <row r="1549" spans="1:13">
      <c r="A1549" s="2">
        <v>2328</v>
      </c>
      <c r="B1549" s="2" t="s">
        <v>29941</v>
      </c>
      <c r="C1549" s="2">
        <v>5</v>
      </c>
      <c r="D1549" s="2">
        <v>568</v>
      </c>
      <c r="E1549" s="2">
        <v>34</v>
      </c>
      <c r="F1549" s="2">
        <v>32441</v>
      </c>
      <c r="G1549" s="2">
        <v>8.3991818560000002</v>
      </c>
      <c r="H1549" s="2">
        <v>5.26352E-4</v>
      </c>
      <c r="I1549" s="2" t="s">
        <v>25198</v>
      </c>
      <c r="J1549" s="2" t="s">
        <v>25199</v>
      </c>
      <c r="K1549" s="2">
        <v>6.666997E-3</v>
      </c>
      <c r="L1549" s="2" t="s">
        <v>848</v>
      </c>
      <c r="M1549" s="4" t="s">
        <v>29942</v>
      </c>
    </row>
    <row r="1550" spans="1:13">
      <c r="A1550" s="2">
        <v>25111</v>
      </c>
      <c r="B1550" s="2" t="s">
        <v>29943</v>
      </c>
      <c r="C1550" s="2">
        <v>10</v>
      </c>
      <c r="D1550" s="2">
        <v>568</v>
      </c>
      <c r="E1550" s="2">
        <v>152</v>
      </c>
      <c r="F1550" s="2">
        <v>32441</v>
      </c>
      <c r="G1550" s="2">
        <v>3.7575287249999998</v>
      </c>
      <c r="H1550" s="2">
        <v>5.2731999999999996E-4</v>
      </c>
      <c r="I1550" s="2" t="s">
        <v>29944</v>
      </c>
      <c r="J1550" s="2" t="s">
        <v>29945</v>
      </c>
      <c r="K1550" s="2">
        <v>6.666997E-3</v>
      </c>
      <c r="L1550" s="2" t="s">
        <v>848</v>
      </c>
      <c r="M1550" s="4" t="s">
        <v>29946</v>
      </c>
    </row>
    <row r="1551" spans="1:13">
      <c r="A1551" s="2">
        <v>50811</v>
      </c>
      <c r="B1551" s="2" t="s">
        <v>29947</v>
      </c>
      <c r="C1551" s="2">
        <v>5</v>
      </c>
      <c r="D1551" s="2">
        <v>568</v>
      </c>
      <c r="E1551" s="2">
        <v>34</v>
      </c>
      <c r="F1551" s="2">
        <v>32441</v>
      </c>
      <c r="G1551" s="2">
        <v>8.3991818560000002</v>
      </c>
      <c r="H1551" s="2">
        <v>5.26352E-4</v>
      </c>
      <c r="I1551" s="2" t="s">
        <v>29948</v>
      </c>
      <c r="J1551" s="2" t="s">
        <v>29949</v>
      </c>
      <c r="K1551" s="2">
        <v>6.666997E-3</v>
      </c>
      <c r="L1551" s="2" t="s">
        <v>848</v>
      </c>
      <c r="M1551" s="4" t="s">
        <v>29950</v>
      </c>
    </row>
    <row r="1552" spans="1:13">
      <c r="A1552" s="2">
        <v>5127</v>
      </c>
      <c r="B1552" s="2" t="s">
        <v>29951</v>
      </c>
      <c r="C1552" s="2">
        <v>5</v>
      </c>
      <c r="D1552" s="2">
        <v>568</v>
      </c>
      <c r="E1552" s="2">
        <v>34</v>
      </c>
      <c r="F1552" s="2">
        <v>32441</v>
      </c>
      <c r="G1552" s="2">
        <v>8.3991818560000002</v>
      </c>
      <c r="H1552" s="2">
        <v>5.26352E-4</v>
      </c>
      <c r="I1552" s="2" t="s">
        <v>29684</v>
      </c>
      <c r="J1552" s="2" t="s">
        <v>29685</v>
      </c>
      <c r="K1552" s="2">
        <v>6.666997E-3</v>
      </c>
      <c r="L1552" s="2" t="s">
        <v>848</v>
      </c>
      <c r="M1552" s="4" t="s">
        <v>29952</v>
      </c>
    </row>
    <row r="1553" spans="1:13">
      <c r="A1553" s="2">
        <v>234</v>
      </c>
      <c r="B1553" s="2" t="s">
        <v>880</v>
      </c>
      <c r="C1553" s="2">
        <v>15</v>
      </c>
      <c r="D1553" s="2">
        <v>568</v>
      </c>
      <c r="E1553" s="2">
        <v>308</v>
      </c>
      <c r="F1553" s="2">
        <v>32441</v>
      </c>
      <c r="G1553" s="2">
        <v>2.7815472379999999</v>
      </c>
      <c r="H1553" s="2">
        <v>5.3892199999999995E-4</v>
      </c>
      <c r="I1553" s="2" t="s">
        <v>29953</v>
      </c>
      <c r="J1553" s="2" t="s">
        <v>29954</v>
      </c>
      <c r="K1553" s="2">
        <v>6.7991550000000003E-3</v>
      </c>
      <c r="L1553" s="2" t="s">
        <v>848</v>
      </c>
      <c r="M1553" s="4" t="s">
        <v>29955</v>
      </c>
    </row>
    <row r="1554" spans="1:13">
      <c r="A1554" s="2">
        <v>1895</v>
      </c>
      <c r="B1554" s="2" t="s">
        <v>29956</v>
      </c>
      <c r="C1554" s="2">
        <v>12</v>
      </c>
      <c r="D1554" s="2">
        <v>568</v>
      </c>
      <c r="E1554" s="2">
        <v>212</v>
      </c>
      <c r="F1554" s="2">
        <v>32441</v>
      </c>
      <c r="G1554" s="2">
        <v>3.2328926390000001</v>
      </c>
      <c r="H1554" s="2">
        <v>5.4991800000000004E-4</v>
      </c>
      <c r="I1554" s="2" t="s">
        <v>29957</v>
      </c>
      <c r="J1554" s="2" t="s">
        <v>29958</v>
      </c>
      <c r="K1554" s="2">
        <v>6.9231199999999996E-3</v>
      </c>
      <c r="L1554" s="2" t="s">
        <v>848</v>
      </c>
      <c r="M1554" s="4" t="s">
        <v>29959</v>
      </c>
    </row>
    <row r="1555" spans="1:13">
      <c r="A1555" s="2">
        <v>3138</v>
      </c>
      <c r="B1555" s="2" t="s">
        <v>8107</v>
      </c>
      <c r="C1555" s="2">
        <v>44</v>
      </c>
      <c r="D1555" s="2">
        <v>568</v>
      </c>
      <c r="E1555" s="2">
        <v>1472</v>
      </c>
      <c r="F1555" s="2">
        <v>32441</v>
      </c>
      <c r="G1555" s="2">
        <v>1.707225008</v>
      </c>
      <c r="H1555" s="2">
        <v>5.6157799999999997E-4</v>
      </c>
      <c r="I1555" s="2" t="s">
        <v>29960</v>
      </c>
      <c r="J1555" s="2" t="s">
        <v>29961</v>
      </c>
      <c r="K1555" s="2">
        <v>7.0549039999999999E-3</v>
      </c>
      <c r="L1555" s="2" t="s">
        <v>848</v>
      </c>
      <c r="M1555" s="4" t="s">
        <v>8110</v>
      </c>
    </row>
    <row r="1556" spans="1:13">
      <c r="A1556" s="2">
        <v>37871</v>
      </c>
      <c r="B1556" s="2" t="s">
        <v>29962</v>
      </c>
      <c r="C1556" s="2">
        <v>18</v>
      </c>
      <c r="D1556" s="2">
        <v>568</v>
      </c>
      <c r="E1556" s="2">
        <v>415</v>
      </c>
      <c r="F1556" s="2">
        <v>32441</v>
      </c>
      <c r="G1556" s="2">
        <v>2.4772526730000002</v>
      </c>
      <c r="H1556" s="2">
        <v>5.8756599999999998E-4</v>
      </c>
      <c r="I1556" s="2" t="s">
        <v>29963</v>
      </c>
      <c r="J1556" s="2" t="s">
        <v>29964</v>
      </c>
      <c r="K1556" s="2">
        <v>7.3657310000000004E-3</v>
      </c>
      <c r="L1556" s="2" t="s">
        <v>848</v>
      </c>
      <c r="M1556" s="4" t="s">
        <v>29965</v>
      </c>
    </row>
    <row r="1557" spans="1:13">
      <c r="A1557" s="2">
        <v>3275</v>
      </c>
      <c r="B1557" s="2" t="s">
        <v>29966</v>
      </c>
      <c r="C1557" s="2">
        <v>4</v>
      </c>
      <c r="D1557" s="2">
        <v>568</v>
      </c>
      <c r="E1557" s="2">
        <v>19</v>
      </c>
      <c r="F1557" s="2">
        <v>32441</v>
      </c>
      <c r="G1557" s="2">
        <v>12.02409192</v>
      </c>
      <c r="H1557" s="2">
        <v>5.9228500000000001E-4</v>
      </c>
      <c r="I1557" s="2" t="s">
        <v>29967</v>
      </c>
      <c r="J1557" s="2" t="s">
        <v>29968</v>
      </c>
      <c r="K1557" s="2">
        <v>7.4091920000000002E-3</v>
      </c>
      <c r="L1557" s="2" t="s">
        <v>848</v>
      </c>
      <c r="M1557" s="4" t="s">
        <v>29969</v>
      </c>
    </row>
    <row r="1558" spans="1:13">
      <c r="A1558" s="2">
        <v>4806</v>
      </c>
      <c r="B1558" s="2" t="s">
        <v>29970</v>
      </c>
      <c r="C1558" s="2">
        <v>9</v>
      </c>
      <c r="D1558" s="2">
        <v>568</v>
      </c>
      <c r="E1558" s="2">
        <v>127</v>
      </c>
      <c r="F1558" s="2">
        <v>32441</v>
      </c>
      <c r="G1558" s="2">
        <v>4.0474797599999999</v>
      </c>
      <c r="H1558" s="2">
        <v>6.0176299999999995E-4</v>
      </c>
      <c r="I1558" s="2" t="s">
        <v>29971</v>
      </c>
      <c r="J1558" s="2" t="s">
        <v>29972</v>
      </c>
      <c r="K1558" s="2">
        <v>7.5118850000000003E-3</v>
      </c>
      <c r="L1558" s="2" t="s">
        <v>848</v>
      </c>
      <c r="M1558" s="4" t="s">
        <v>29973</v>
      </c>
    </row>
    <row r="1559" spans="1:13">
      <c r="A1559" s="2">
        <v>2773</v>
      </c>
      <c r="B1559" s="2" t="s">
        <v>29974</v>
      </c>
      <c r="C1559" s="2">
        <v>7</v>
      </c>
      <c r="D1559" s="2">
        <v>568</v>
      </c>
      <c r="E1559" s="2">
        <v>77</v>
      </c>
      <c r="F1559" s="2">
        <v>32441</v>
      </c>
      <c r="G1559" s="2">
        <v>5.1922215109999996</v>
      </c>
      <c r="H1559" s="2">
        <v>6.2155999999999995E-4</v>
      </c>
      <c r="I1559" s="2" t="s">
        <v>29975</v>
      </c>
      <c r="J1559" s="2" t="s">
        <v>29976</v>
      </c>
      <c r="K1559" s="2">
        <v>7.7426750000000001E-3</v>
      </c>
      <c r="L1559" s="2" t="s">
        <v>848</v>
      </c>
      <c r="M1559" s="4" t="s">
        <v>29977</v>
      </c>
    </row>
    <row r="1560" spans="1:13">
      <c r="A1560" s="2">
        <v>996</v>
      </c>
      <c r="B1560" s="2" t="s">
        <v>29978</v>
      </c>
      <c r="C1560" s="2">
        <v>6</v>
      </c>
      <c r="D1560" s="2">
        <v>568</v>
      </c>
      <c r="E1560" s="2">
        <v>55</v>
      </c>
      <c r="F1560" s="2">
        <v>32441</v>
      </c>
      <c r="G1560" s="2">
        <v>6.2306658129999999</v>
      </c>
      <c r="H1560" s="2">
        <v>6.2967199999999996E-4</v>
      </c>
      <c r="I1560" s="2" t="s">
        <v>29979</v>
      </c>
      <c r="J1560" s="2" t="s">
        <v>29980</v>
      </c>
      <c r="K1560" s="2">
        <v>7.8108350000000003E-3</v>
      </c>
      <c r="L1560" s="2" t="s">
        <v>848</v>
      </c>
      <c r="M1560" s="4" t="s">
        <v>29981</v>
      </c>
    </row>
    <row r="1561" spans="1:13">
      <c r="A1561" s="2">
        <v>2107</v>
      </c>
      <c r="B1561" s="2" t="s">
        <v>29982</v>
      </c>
      <c r="C1561" s="2">
        <v>13</v>
      </c>
      <c r="D1561" s="2">
        <v>568</v>
      </c>
      <c r="E1561" s="2">
        <v>247</v>
      </c>
      <c r="F1561" s="2">
        <v>32441</v>
      </c>
      <c r="G1561" s="2">
        <v>3.00602298</v>
      </c>
      <c r="H1561" s="2">
        <v>6.2930699999999996E-4</v>
      </c>
      <c r="I1561" s="2" t="s">
        <v>29983</v>
      </c>
      <c r="J1561" s="2" t="s">
        <v>29984</v>
      </c>
      <c r="K1561" s="2">
        <v>7.8108350000000003E-3</v>
      </c>
      <c r="L1561" s="2" t="s">
        <v>848</v>
      </c>
      <c r="M1561" s="4" t="s">
        <v>29985</v>
      </c>
    </row>
    <row r="1562" spans="1:13">
      <c r="A1562" s="2">
        <v>120</v>
      </c>
      <c r="B1562" s="2" t="s">
        <v>29986</v>
      </c>
      <c r="C1562" s="2">
        <v>7</v>
      </c>
      <c r="D1562" s="2">
        <v>568</v>
      </c>
      <c r="E1562" s="2">
        <v>78</v>
      </c>
      <c r="F1562" s="2">
        <v>32441</v>
      </c>
      <c r="G1562" s="2">
        <v>5.1256545679999999</v>
      </c>
      <c r="H1562" s="2">
        <v>6.6745200000000002E-4</v>
      </c>
      <c r="I1562" s="2" t="s">
        <v>29987</v>
      </c>
      <c r="J1562" s="2" t="s">
        <v>29988</v>
      </c>
      <c r="K1562" s="2">
        <v>8.2277359999999994E-3</v>
      </c>
      <c r="L1562" s="2" t="s">
        <v>848</v>
      </c>
      <c r="M1562" s="4" t="s">
        <v>29989</v>
      </c>
    </row>
    <row r="1563" spans="1:13">
      <c r="A1563" s="2">
        <v>2371</v>
      </c>
      <c r="B1563" s="2" t="s">
        <v>29990</v>
      </c>
      <c r="C1563" s="2">
        <v>17</v>
      </c>
      <c r="D1563" s="2">
        <v>568</v>
      </c>
      <c r="E1563" s="2">
        <v>384</v>
      </c>
      <c r="F1563" s="2">
        <v>32441</v>
      </c>
      <c r="G1563" s="2">
        <v>2.5285037049999999</v>
      </c>
      <c r="H1563" s="2">
        <v>6.6506300000000003E-4</v>
      </c>
      <c r="I1563" s="2" t="s">
        <v>29991</v>
      </c>
      <c r="J1563" s="2" t="s">
        <v>29992</v>
      </c>
      <c r="K1563" s="2">
        <v>8.2277359999999994E-3</v>
      </c>
      <c r="L1563" s="2" t="s">
        <v>848</v>
      </c>
      <c r="M1563" s="4" t="s">
        <v>29993</v>
      </c>
    </row>
    <row r="1564" spans="1:13">
      <c r="A1564" s="2">
        <v>5425</v>
      </c>
      <c r="B1564" s="2" t="s">
        <v>8408</v>
      </c>
      <c r="C1564" s="2">
        <v>41</v>
      </c>
      <c r="D1564" s="2">
        <v>568</v>
      </c>
      <c r="E1564" s="2">
        <v>1353</v>
      </c>
      <c r="F1564" s="2">
        <v>32441</v>
      </c>
      <c r="G1564" s="2">
        <v>1.7307405039999999</v>
      </c>
      <c r="H1564" s="2">
        <v>6.6724000000000004E-4</v>
      </c>
      <c r="I1564" s="2" t="s">
        <v>29994</v>
      </c>
      <c r="J1564" s="2" t="s">
        <v>29995</v>
      </c>
      <c r="K1564" s="2">
        <v>8.2277359999999994E-3</v>
      </c>
      <c r="L1564" s="2" t="s">
        <v>848</v>
      </c>
      <c r="M1564" s="4" t="s">
        <v>8411</v>
      </c>
    </row>
    <row r="1565" spans="1:13">
      <c r="A1565" s="2">
        <v>1434</v>
      </c>
      <c r="B1565" s="2" t="s">
        <v>29996</v>
      </c>
      <c r="C1565" s="2">
        <v>10</v>
      </c>
      <c r="D1565" s="2">
        <v>568</v>
      </c>
      <c r="E1565" s="2">
        <v>158</v>
      </c>
      <c r="F1565" s="2">
        <v>32441</v>
      </c>
      <c r="G1565" s="2">
        <v>3.614837761</v>
      </c>
      <c r="H1565" s="2">
        <v>6.9974600000000001E-4</v>
      </c>
      <c r="I1565" s="2" t="s">
        <v>29997</v>
      </c>
      <c r="J1565" s="2" t="s">
        <v>29998</v>
      </c>
      <c r="K1565" s="2">
        <v>8.5892069999999997E-3</v>
      </c>
      <c r="L1565" s="2" t="s">
        <v>848</v>
      </c>
      <c r="M1565" s="4" t="s">
        <v>29999</v>
      </c>
    </row>
    <row r="1566" spans="1:13">
      <c r="A1566" s="2">
        <v>2898</v>
      </c>
      <c r="B1566" s="2" t="s">
        <v>30000</v>
      </c>
      <c r="C1566" s="2">
        <v>4</v>
      </c>
      <c r="D1566" s="2">
        <v>568</v>
      </c>
      <c r="E1566" s="2">
        <v>20</v>
      </c>
      <c r="F1566" s="2">
        <v>32441</v>
      </c>
      <c r="G1566" s="2">
        <v>11.422887319999999</v>
      </c>
      <c r="H1566" s="2">
        <v>7.0113E-4</v>
      </c>
      <c r="I1566" s="2" t="s">
        <v>30001</v>
      </c>
      <c r="J1566" s="2" t="s">
        <v>30002</v>
      </c>
      <c r="K1566" s="2">
        <v>8.5892069999999997E-3</v>
      </c>
      <c r="L1566" s="2" t="s">
        <v>848</v>
      </c>
      <c r="M1566" s="4" t="s">
        <v>30003</v>
      </c>
    </row>
    <row r="1567" spans="1:13">
      <c r="A1567" s="2">
        <v>4817</v>
      </c>
      <c r="B1567" s="2" t="s">
        <v>11426</v>
      </c>
      <c r="C1567" s="2">
        <v>4</v>
      </c>
      <c r="D1567" s="2">
        <v>568</v>
      </c>
      <c r="E1567" s="2">
        <v>20</v>
      </c>
      <c r="F1567" s="2">
        <v>32441</v>
      </c>
      <c r="G1567" s="2">
        <v>11.422887319999999</v>
      </c>
      <c r="H1567" s="2">
        <v>7.0113E-4</v>
      </c>
      <c r="I1567" s="2" t="s">
        <v>30004</v>
      </c>
      <c r="J1567" s="2" t="s">
        <v>30005</v>
      </c>
      <c r="K1567" s="2">
        <v>8.5892069999999997E-3</v>
      </c>
      <c r="L1567" s="2" t="s">
        <v>848</v>
      </c>
      <c r="M1567" s="4" t="s">
        <v>11429</v>
      </c>
    </row>
    <row r="1568" spans="1:13">
      <c r="A1568" s="2">
        <v>15161</v>
      </c>
      <c r="B1568" s="2" t="s">
        <v>895</v>
      </c>
      <c r="C1568" s="2">
        <v>17</v>
      </c>
      <c r="D1568" s="2">
        <v>568</v>
      </c>
      <c r="E1568" s="2">
        <v>386</v>
      </c>
      <c r="F1568" s="2">
        <v>32441</v>
      </c>
      <c r="G1568" s="2">
        <v>2.5154026489999999</v>
      </c>
      <c r="H1568" s="2">
        <v>7.02686E-4</v>
      </c>
      <c r="I1568" s="2" t="s">
        <v>30006</v>
      </c>
      <c r="J1568" s="2" t="s">
        <v>30007</v>
      </c>
      <c r="K1568" s="2">
        <v>8.5904789999999998E-3</v>
      </c>
      <c r="L1568" s="2" t="s">
        <v>848</v>
      </c>
      <c r="M1568" s="4" t="s">
        <v>30008</v>
      </c>
    </row>
    <row r="1569" spans="1:13">
      <c r="A1569" s="2">
        <v>3444</v>
      </c>
      <c r="B1569" s="2" t="s">
        <v>8286</v>
      </c>
      <c r="C1569" s="2">
        <v>36</v>
      </c>
      <c r="D1569" s="2">
        <v>568</v>
      </c>
      <c r="E1569" s="2">
        <v>1142</v>
      </c>
      <c r="F1569" s="2">
        <v>32441</v>
      </c>
      <c r="G1569" s="2">
        <v>1.800455095</v>
      </c>
      <c r="H1569" s="2">
        <v>7.1878600000000001E-4</v>
      </c>
      <c r="I1569" s="2" t="s">
        <v>30009</v>
      </c>
      <c r="J1569" s="2" t="s">
        <v>30010</v>
      </c>
      <c r="K1569" s="2">
        <v>8.769186E-3</v>
      </c>
      <c r="L1569" s="2" t="s">
        <v>848</v>
      </c>
      <c r="M1569" s="4" t="s">
        <v>8289</v>
      </c>
    </row>
    <row r="1570" spans="1:13">
      <c r="A1570" s="2">
        <v>19611</v>
      </c>
      <c r="B1570" s="2" t="s">
        <v>30011</v>
      </c>
      <c r="C1570" s="2">
        <v>9</v>
      </c>
      <c r="D1570" s="2">
        <v>568</v>
      </c>
      <c r="E1570" s="2">
        <v>131</v>
      </c>
      <c r="F1570" s="2">
        <v>32441</v>
      </c>
      <c r="G1570" s="2">
        <v>3.9238925920000001</v>
      </c>
      <c r="H1570" s="2">
        <v>7.4131999999999996E-4</v>
      </c>
      <c r="I1570" s="2" t="s">
        <v>30012</v>
      </c>
      <c r="J1570" s="2" t="s">
        <v>30013</v>
      </c>
      <c r="K1570" s="2">
        <v>9.0069590000000001E-3</v>
      </c>
      <c r="L1570" s="2" t="s">
        <v>848</v>
      </c>
      <c r="M1570" s="4" t="s">
        <v>30014</v>
      </c>
    </row>
    <row r="1571" spans="1:13">
      <c r="A1571" s="2">
        <v>2596</v>
      </c>
      <c r="B1571" s="2" t="s">
        <v>30015</v>
      </c>
      <c r="C1571" s="2">
        <v>9</v>
      </c>
      <c r="D1571" s="2">
        <v>568</v>
      </c>
      <c r="E1571" s="2">
        <v>131</v>
      </c>
      <c r="F1571" s="2">
        <v>32441</v>
      </c>
      <c r="G1571" s="2">
        <v>3.9238925920000001</v>
      </c>
      <c r="H1571" s="2">
        <v>7.4131999999999996E-4</v>
      </c>
      <c r="I1571" s="2" t="s">
        <v>30016</v>
      </c>
      <c r="J1571" s="2" t="s">
        <v>30017</v>
      </c>
      <c r="K1571" s="2">
        <v>9.0069590000000001E-3</v>
      </c>
      <c r="L1571" s="2" t="s">
        <v>848</v>
      </c>
      <c r="M1571" s="4" t="s">
        <v>30018</v>
      </c>
    </row>
    <row r="1572" spans="1:13">
      <c r="A1572" s="2">
        <v>1209</v>
      </c>
      <c r="B1572" s="2" t="s">
        <v>30019</v>
      </c>
      <c r="C1572" s="2">
        <v>5</v>
      </c>
      <c r="D1572" s="2">
        <v>568</v>
      </c>
      <c r="E1572" s="2">
        <v>37</v>
      </c>
      <c r="F1572" s="2">
        <v>32441</v>
      </c>
      <c r="G1572" s="2">
        <v>7.7181671109999996</v>
      </c>
      <c r="H1572" s="2">
        <v>7.4543799999999996E-4</v>
      </c>
      <c r="I1572" s="2" t="s">
        <v>30020</v>
      </c>
      <c r="J1572" s="2" t="s">
        <v>30021</v>
      </c>
      <c r="K1572" s="2">
        <v>9.0384339999999997E-3</v>
      </c>
      <c r="L1572" s="2" t="s">
        <v>848</v>
      </c>
      <c r="M1572" s="4" t="s">
        <v>30022</v>
      </c>
    </row>
    <row r="1573" spans="1:13">
      <c r="A1573" s="2">
        <v>2703</v>
      </c>
      <c r="B1573" s="2" t="s">
        <v>30023</v>
      </c>
      <c r="C1573" s="2">
        <v>6</v>
      </c>
      <c r="D1573" s="2">
        <v>568</v>
      </c>
      <c r="E1573" s="2">
        <v>57</v>
      </c>
      <c r="F1573" s="2">
        <v>32441</v>
      </c>
      <c r="G1573" s="2">
        <v>6.01204596</v>
      </c>
      <c r="H1573" s="2">
        <v>7.4856900000000004E-4</v>
      </c>
      <c r="I1573" s="2" t="s">
        <v>30024</v>
      </c>
      <c r="J1573" s="2" t="s">
        <v>30025</v>
      </c>
      <c r="K1573" s="2">
        <v>9.0578359999999997E-3</v>
      </c>
      <c r="L1573" s="2" t="s">
        <v>848</v>
      </c>
      <c r="M1573" s="4" t="s">
        <v>30026</v>
      </c>
    </row>
    <row r="1574" spans="1:13">
      <c r="A1574" s="2">
        <v>4319</v>
      </c>
      <c r="B1574" s="2" t="s">
        <v>30027</v>
      </c>
      <c r="C1574" s="2">
        <v>14</v>
      </c>
      <c r="D1574" s="2">
        <v>568</v>
      </c>
      <c r="E1574" s="2">
        <v>285</v>
      </c>
      <c r="F1574" s="2">
        <v>32441</v>
      </c>
      <c r="G1574" s="2">
        <v>2.8056214480000001</v>
      </c>
      <c r="H1574" s="2">
        <v>7.5332199999999995E-4</v>
      </c>
      <c r="I1574" s="2" t="s">
        <v>30028</v>
      </c>
      <c r="J1574" s="2" t="s">
        <v>30029</v>
      </c>
      <c r="K1574" s="2">
        <v>9.0967510000000001E-3</v>
      </c>
      <c r="L1574" s="2" t="s">
        <v>848</v>
      </c>
      <c r="M1574" s="4" t="s">
        <v>30030</v>
      </c>
    </row>
    <row r="1575" spans="1:13">
      <c r="A1575" s="2">
        <v>30701</v>
      </c>
      <c r="B1575" s="2" t="s">
        <v>8464</v>
      </c>
      <c r="C1575" s="2">
        <v>33</v>
      </c>
      <c r="D1575" s="2">
        <v>568</v>
      </c>
      <c r="E1575" s="2">
        <v>1021</v>
      </c>
      <c r="F1575" s="2">
        <v>32441</v>
      </c>
      <c r="G1575" s="2">
        <v>1.846010194</v>
      </c>
      <c r="H1575" s="2">
        <v>7.9267900000000002E-4</v>
      </c>
      <c r="I1575" s="2" t="s">
        <v>30031</v>
      </c>
      <c r="J1575" s="2" t="s">
        <v>30032</v>
      </c>
      <c r="K1575" s="2">
        <v>9.5525109999999996E-3</v>
      </c>
      <c r="L1575" s="2" t="s">
        <v>848</v>
      </c>
      <c r="M1575" s="4" t="s">
        <v>8467</v>
      </c>
    </row>
    <row r="1576" spans="1:13">
      <c r="A1576" s="2">
        <v>34241</v>
      </c>
      <c r="B1576" s="2" t="s">
        <v>30033</v>
      </c>
      <c r="C1576" s="2">
        <v>15</v>
      </c>
      <c r="D1576" s="2">
        <v>568</v>
      </c>
      <c r="E1576" s="2">
        <v>321</v>
      </c>
      <c r="F1576" s="2">
        <v>32441</v>
      </c>
      <c r="G1576" s="2">
        <v>2.668898907</v>
      </c>
      <c r="H1576" s="2">
        <v>8.0611099999999998E-4</v>
      </c>
      <c r="I1576" s="2" t="s">
        <v>30034</v>
      </c>
      <c r="J1576" s="2" t="s">
        <v>30035</v>
      </c>
      <c r="K1576" s="2">
        <v>9.6946350000000001E-3</v>
      </c>
      <c r="L1576" s="2" t="s">
        <v>848</v>
      </c>
      <c r="M1576" s="4" t="s">
        <v>30036</v>
      </c>
    </row>
    <row r="1577" spans="1:13">
      <c r="A1577" s="2">
        <v>107</v>
      </c>
      <c r="B1577" s="2" t="s">
        <v>10491</v>
      </c>
      <c r="C1577" s="2">
        <v>6</v>
      </c>
      <c r="D1577" s="2">
        <v>568</v>
      </c>
      <c r="E1577" s="2">
        <v>58</v>
      </c>
      <c r="F1577" s="2">
        <v>32441</v>
      </c>
      <c r="G1577" s="2">
        <v>5.9083899950000003</v>
      </c>
      <c r="H1577" s="2">
        <v>8.14162E-4</v>
      </c>
      <c r="I1577" s="2" t="s">
        <v>30037</v>
      </c>
      <c r="J1577" s="2" t="s">
        <v>30038</v>
      </c>
      <c r="K1577" s="2">
        <v>9.7716000000000001E-3</v>
      </c>
      <c r="L1577" s="2" t="s">
        <v>848</v>
      </c>
      <c r="M1577" s="4" t="s">
        <v>10494</v>
      </c>
    </row>
    <row r="1578" spans="1:13">
      <c r="A1578" s="2">
        <v>3710</v>
      </c>
      <c r="B1578" s="2" t="s">
        <v>30039</v>
      </c>
      <c r="C1578" s="2">
        <v>4</v>
      </c>
      <c r="D1578" s="2">
        <v>568</v>
      </c>
      <c r="E1578" s="2">
        <v>21</v>
      </c>
      <c r="F1578" s="2">
        <v>32441</v>
      </c>
      <c r="G1578" s="2">
        <v>10.878940310000001</v>
      </c>
      <c r="H1578" s="2">
        <v>8.2339800000000003E-4</v>
      </c>
      <c r="I1578" s="2" t="s">
        <v>30040</v>
      </c>
      <c r="J1578" s="2" t="s">
        <v>30041</v>
      </c>
      <c r="K1578" s="2">
        <v>9.8624420000000008E-3</v>
      </c>
      <c r="L1578" s="2" t="s">
        <v>848</v>
      </c>
      <c r="M1578" s="4" t="s">
        <v>30042</v>
      </c>
    </row>
    <row r="1579" spans="1:13">
      <c r="A1579" s="2">
        <v>4982</v>
      </c>
      <c r="B1579" s="2" t="s">
        <v>9753</v>
      </c>
      <c r="C1579" s="2">
        <v>19</v>
      </c>
      <c r="D1579" s="2">
        <v>568</v>
      </c>
      <c r="E1579" s="2">
        <v>465</v>
      </c>
      <c r="F1579" s="2">
        <v>32441</v>
      </c>
      <c r="G1579" s="2">
        <v>2.3337081629999998</v>
      </c>
      <c r="H1579" s="2">
        <v>8.3128399999999995E-4</v>
      </c>
      <c r="I1579" s="2" t="s">
        <v>30043</v>
      </c>
      <c r="J1579" s="2" t="s">
        <v>30044</v>
      </c>
      <c r="K1579" s="2">
        <v>9.9367870000000007E-3</v>
      </c>
      <c r="L1579" s="2" t="s">
        <v>848</v>
      </c>
      <c r="M1579" s="4" t="s">
        <v>9756</v>
      </c>
    </row>
    <row r="1580" spans="1:13">
      <c r="A1580" s="2">
        <v>422</v>
      </c>
      <c r="B1580" s="2" t="s">
        <v>30045</v>
      </c>
      <c r="C1580" s="2">
        <v>14</v>
      </c>
      <c r="D1580" s="2">
        <v>568</v>
      </c>
      <c r="E1580" s="2">
        <v>289</v>
      </c>
      <c r="F1580" s="2">
        <v>32441</v>
      </c>
      <c r="G1580" s="2">
        <v>2.7667893170000002</v>
      </c>
      <c r="H1580" s="2">
        <v>8.5638900000000004E-4</v>
      </c>
      <c r="I1580" s="2" t="s">
        <v>30046</v>
      </c>
      <c r="J1580" s="2" t="s">
        <v>30047</v>
      </c>
      <c r="K1580" s="2">
        <v>1.0195678E-2</v>
      </c>
      <c r="L1580" s="2" t="s">
        <v>848</v>
      </c>
      <c r="M1580" s="4" t="s">
        <v>30048</v>
      </c>
    </row>
    <row r="1581" spans="1:13">
      <c r="A1581" s="2">
        <v>1673</v>
      </c>
      <c r="B1581" s="2" t="s">
        <v>8963</v>
      </c>
      <c r="C1581" s="2">
        <v>14</v>
      </c>
      <c r="D1581" s="2">
        <v>568</v>
      </c>
      <c r="E1581" s="2">
        <v>289</v>
      </c>
      <c r="F1581" s="2">
        <v>32441</v>
      </c>
      <c r="G1581" s="2">
        <v>2.7667893170000002</v>
      </c>
      <c r="H1581" s="2">
        <v>8.5638900000000004E-4</v>
      </c>
      <c r="I1581" s="2" t="s">
        <v>30049</v>
      </c>
      <c r="J1581" s="2" t="s">
        <v>30050</v>
      </c>
      <c r="K1581" s="2">
        <v>1.0195678E-2</v>
      </c>
      <c r="L1581" s="2" t="s">
        <v>848</v>
      </c>
      <c r="M1581" s="4" t="s">
        <v>8966</v>
      </c>
    </row>
    <row r="1582" spans="1:13">
      <c r="A1582" s="2">
        <v>1751</v>
      </c>
      <c r="B1582" s="2" t="s">
        <v>30051</v>
      </c>
      <c r="C1582" s="2">
        <v>17</v>
      </c>
      <c r="D1582" s="2">
        <v>568</v>
      </c>
      <c r="E1582" s="2">
        <v>395</v>
      </c>
      <c r="F1582" s="2">
        <v>32441</v>
      </c>
      <c r="G1582" s="2">
        <v>2.4580896769999998</v>
      </c>
      <c r="H1582" s="2">
        <v>8.9538699999999998E-4</v>
      </c>
      <c r="I1582" s="2" t="s">
        <v>30052</v>
      </c>
      <c r="J1582" s="2" t="s">
        <v>30053</v>
      </c>
      <c r="K1582" s="2">
        <v>1.0638561E-2</v>
      </c>
      <c r="L1582" s="2" t="s">
        <v>848</v>
      </c>
      <c r="M1582" s="4" t="s">
        <v>30054</v>
      </c>
    </row>
    <row r="1583" spans="1:13">
      <c r="A1583" s="2">
        <v>724</v>
      </c>
      <c r="B1583" s="2" t="s">
        <v>30055</v>
      </c>
      <c r="C1583" s="2">
        <v>4</v>
      </c>
      <c r="D1583" s="2">
        <v>568</v>
      </c>
      <c r="E1583" s="2">
        <v>22</v>
      </c>
      <c r="F1583" s="2">
        <v>32441</v>
      </c>
      <c r="G1583" s="2">
        <v>10.384443020000001</v>
      </c>
      <c r="H1583" s="2">
        <v>9.5996299999999998E-4</v>
      </c>
      <c r="I1583" s="2" t="s">
        <v>30056</v>
      </c>
      <c r="J1583" s="2" t="s">
        <v>30057</v>
      </c>
      <c r="K1583" s="2">
        <v>1.1292449E-2</v>
      </c>
      <c r="L1583" s="2" t="s">
        <v>848</v>
      </c>
      <c r="M1583" s="4" t="s">
        <v>30058</v>
      </c>
    </row>
    <row r="1584" spans="1:13">
      <c r="A1584" s="2">
        <v>2583</v>
      </c>
      <c r="B1584" s="2" t="s">
        <v>30059</v>
      </c>
      <c r="C1584" s="2">
        <v>4</v>
      </c>
      <c r="D1584" s="2">
        <v>568</v>
      </c>
      <c r="E1584" s="2">
        <v>22</v>
      </c>
      <c r="F1584" s="2">
        <v>32441</v>
      </c>
      <c r="G1584" s="2">
        <v>10.384443020000001</v>
      </c>
      <c r="H1584" s="2">
        <v>9.5996299999999998E-4</v>
      </c>
      <c r="I1584" s="2" t="s">
        <v>30060</v>
      </c>
      <c r="J1584" s="2" t="s">
        <v>30061</v>
      </c>
      <c r="K1584" s="2">
        <v>1.1292449E-2</v>
      </c>
      <c r="L1584" s="2" t="s">
        <v>848</v>
      </c>
      <c r="M1584" s="4" t="s">
        <v>30062</v>
      </c>
    </row>
    <row r="1585" spans="1:13">
      <c r="A1585" s="2">
        <v>2866</v>
      </c>
      <c r="B1585" s="2" t="s">
        <v>30063</v>
      </c>
      <c r="C1585" s="2">
        <v>4</v>
      </c>
      <c r="D1585" s="2">
        <v>568</v>
      </c>
      <c r="E1585" s="2">
        <v>22</v>
      </c>
      <c r="F1585" s="2">
        <v>32441</v>
      </c>
      <c r="G1585" s="2">
        <v>10.384443020000001</v>
      </c>
      <c r="H1585" s="2">
        <v>9.5996299999999998E-4</v>
      </c>
      <c r="I1585" s="2" t="s">
        <v>25431</v>
      </c>
      <c r="J1585" s="2" t="s">
        <v>25432</v>
      </c>
      <c r="K1585" s="2">
        <v>1.1292449E-2</v>
      </c>
      <c r="L1585" s="2" t="s">
        <v>848</v>
      </c>
      <c r="M1585" s="4" t="s">
        <v>30064</v>
      </c>
    </row>
    <row r="1586" spans="1:13">
      <c r="A1586" s="2">
        <v>3414</v>
      </c>
      <c r="B1586" s="2" t="s">
        <v>30065</v>
      </c>
      <c r="C1586" s="2">
        <v>4</v>
      </c>
      <c r="D1586" s="2">
        <v>568</v>
      </c>
      <c r="E1586" s="2">
        <v>22</v>
      </c>
      <c r="F1586" s="2">
        <v>32441</v>
      </c>
      <c r="G1586" s="2">
        <v>10.384443020000001</v>
      </c>
      <c r="H1586" s="2">
        <v>9.5996299999999998E-4</v>
      </c>
      <c r="I1586" s="2" t="s">
        <v>30066</v>
      </c>
      <c r="J1586" s="2" t="s">
        <v>30067</v>
      </c>
      <c r="K1586" s="2">
        <v>1.1292449E-2</v>
      </c>
      <c r="L1586" s="2" t="s">
        <v>848</v>
      </c>
      <c r="M1586" s="4" t="s">
        <v>30068</v>
      </c>
    </row>
    <row r="1587" spans="1:13">
      <c r="A1587" s="2">
        <v>5052</v>
      </c>
      <c r="B1587" s="2" t="s">
        <v>30069</v>
      </c>
      <c r="C1587" s="2">
        <v>6</v>
      </c>
      <c r="D1587" s="2">
        <v>568</v>
      </c>
      <c r="E1587" s="2">
        <v>60</v>
      </c>
      <c r="F1587" s="2">
        <v>32441</v>
      </c>
      <c r="G1587" s="2">
        <v>5.7114436619999998</v>
      </c>
      <c r="H1587" s="2">
        <v>9.5857500000000003E-4</v>
      </c>
      <c r="I1587" s="2" t="s">
        <v>30070</v>
      </c>
      <c r="J1587" s="2" t="s">
        <v>30071</v>
      </c>
      <c r="K1587" s="2">
        <v>1.1292449E-2</v>
      </c>
      <c r="L1587" s="2" t="s">
        <v>848</v>
      </c>
      <c r="M1587" s="4" t="s">
        <v>30072</v>
      </c>
    </row>
    <row r="1588" spans="1:13">
      <c r="A1588" s="2">
        <v>3790</v>
      </c>
      <c r="B1588" s="2" t="s">
        <v>30073</v>
      </c>
      <c r="C1588" s="2">
        <v>42</v>
      </c>
      <c r="D1588" s="2">
        <v>568</v>
      </c>
      <c r="E1588" s="2">
        <v>1426</v>
      </c>
      <c r="F1588" s="2">
        <v>32441</v>
      </c>
      <c r="G1588" s="2">
        <v>1.6821923830000001</v>
      </c>
      <c r="H1588" s="2">
        <v>9.8499099999999995E-4</v>
      </c>
      <c r="I1588" s="2" t="s">
        <v>30074</v>
      </c>
      <c r="J1588" s="2" t="s">
        <v>30075</v>
      </c>
      <c r="K1588" s="2">
        <v>1.156387E-2</v>
      </c>
      <c r="L1588" s="2" t="s">
        <v>848</v>
      </c>
      <c r="M1588" s="4" t="s">
        <v>30076</v>
      </c>
    </row>
    <row r="1589" spans="1:13">
      <c r="A1589" s="2">
        <v>3455</v>
      </c>
      <c r="B1589" s="2" t="s">
        <v>30077</v>
      </c>
      <c r="C1589" s="2">
        <v>10</v>
      </c>
      <c r="D1589" s="2">
        <v>568</v>
      </c>
      <c r="E1589" s="2">
        <v>167</v>
      </c>
      <c r="F1589" s="2">
        <v>32441</v>
      </c>
      <c r="G1589" s="2">
        <v>3.420026145</v>
      </c>
      <c r="H1589" s="2">
        <v>1.0434179999999999E-3</v>
      </c>
      <c r="I1589" s="2" t="s">
        <v>30078</v>
      </c>
      <c r="J1589" s="2" t="s">
        <v>30079</v>
      </c>
      <c r="K1589" s="2">
        <v>1.2225555000000001E-2</v>
      </c>
      <c r="L1589" s="2" t="s">
        <v>848</v>
      </c>
      <c r="M1589" s="4" t="s">
        <v>30080</v>
      </c>
    </row>
    <row r="1590" spans="1:13">
      <c r="A1590" s="2">
        <v>2914</v>
      </c>
      <c r="B1590" s="2" t="s">
        <v>30081</v>
      </c>
      <c r="C1590" s="2">
        <v>19</v>
      </c>
      <c r="D1590" s="2">
        <v>568</v>
      </c>
      <c r="E1590" s="2">
        <v>475</v>
      </c>
      <c r="F1590" s="2">
        <v>32441</v>
      </c>
      <c r="G1590" s="2">
        <v>2.2845774649999999</v>
      </c>
      <c r="H1590" s="2">
        <v>1.0556369999999999E-3</v>
      </c>
      <c r="I1590" s="2" t="s">
        <v>30082</v>
      </c>
      <c r="J1590" s="2" t="s">
        <v>30083</v>
      </c>
      <c r="K1590" s="2">
        <v>1.2344274000000001E-2</v>
      </c>
      <c r="L1590" s="2" t="s">
        <v>848</v>
      </c>
      <c r="M1590" s="4" t="s">
        <v>30084</v>
      </c>
    </row>
    <row r="1591" spans="1:13">
      <c r="A1591" s="2">
        <v>4110</v>
      </c>
      <c r="B1591" s="2" t="s">
        <v>9793</v>
      </c>
      <c r="C1591" s="2">
        <v>8</v>
      </c>
      <c r="D1591" s="2">
        <v>568</v>
      </c>
      <c r="E1591" s="2">
        <v>111</v>
      </c>
      <c r="F1591" s="2">
        <v>32441</v>
      </c>
      <c r="G1591" s="2">
        <v>4.1163557920000002</v>
      </c>
      <c r="H1591" s="2">
        <v>1.0809859999999999E-3</v>
      </c>
      <c r="I1591" s="2" t="s">
        <v>30085</v>
      </c>
      <c r="J1591" s="2" t="s">
        <v>30086</v>
      </c>
      <c r="K1591" s="2">
        <v>1.2594549E-2</v>
      </c>
      <c r="L1591" s="2" t="s">
        <v>848</v>
      </c>
      <c r="M1591" s="4" t="s">
        <v>9796</v>
      </c>
    </row>
    <row r="1592" spans="1:13">
      <c r="A1592" s="2">
        <v>4363</v>
      </c>
      <c r="B1592" s="2" t="s">
        <v>9488</v>
      </c>
      <c r="C1592" s="2">
        <v>21</v>
      </c>
      <c r="D1592" s="2">
        <v>568</v>
      </c>
      <c r="E1592" s="2">
        <v>552</v>
      </c>
      <c r="F1592" s="2">
        <v>32441</v>
      </c>
      <c r="G1592" s="2">
        <v>2.1728318280000001</v>
      </c>
      <c r="H1592" s="2">
        <v>1.081296E-3</v>
      </c>
      <c r="I1592" s="2" t="s">
        <v>30087</v>
      </c>
      <c r="J1592" s="2" t="s">
        <v>30088</v>
      </c>
      <c r="K1592" s="2">
        <v>1.2594549E-2</v>
      </c>
      <c r="L1592" s="2" t="s">
        <v>848</v>
      </c>
      <c r="M1592" s="4" t="s">
        <v>9491</v>
      </c>
    </row>
    <row r="1593" spans="1:13">
      <c r="A1593" s="2">
        <v>3400</v>
      </c>
      <c r="B1593" s="2" t="s">
        <v>30089</v>
      </c>
      <c r="C1593" s="2">
        <v>29</v>
      </c>
      <c r="D1593" s="2">
        <v>568</v>
      </c>
      <c r="E1593" s="2">
        <v>874</v>
      </c>
      <c r="F1593" s="2">
        <v>32441</v>
      </c>
      <c r="G1593" s="2">
        <v>1.895101444</v>
      </c>
      <c r="H1593" s="2">
        <v>1.103894E-3</v>
      </c>
      <c r="I1593" s="2" t="s">
        <v>30090</v>
      </c>
      <c r="J1593" s="2" t="s">
        <v>30091</v>
      </c>
      <c r="K1593" s="2">
        <v>1.2832497E-2</v>
      </c>
      <c r="L1593" s="2" t="s">
        <v>848</v>
      </c>
      <c r="M1593" s="4" t="s">
        <v>30092</v>
      </c>
    </row>
    <row r="1594" spans="1:13">
      <c r="A1594" s="2">
        <v>4244</v>
      </c>
      <c r="B1594" s="2" t="s">
        <v>30093</v>
      </c>
      <c r="C1594" s="2">
        <v>4</v>
      </c>
      <c r="D1594" s="2">
        <v>568</v>
      </c>
      <c r="E1594" s="2">
        <v>23</v>
      </c>
      <c r="F1594" s="2">
        <v>32441</v>
      </c>
      <c r="G1594" s="2">
        <v>9.9329454990000006</v>
      </c>
      <c r="H1594" s="2">
        <v>1.1117010000000001E-3</v>
      </c>
      <c r="I1594" s="2" t="s">
        <v>30094</v>
      </c>
      <c r="J1594" s="2" t="s">
        <v>30095</v>
      </c>
      <c r="K1594" s="2">
        <v>1.2847531000000001E-2</v>
      </c>
      <c r="L1594" s="2" t="s">
        <v>848</v>
      </c>
      <c r="M1594" s="4" t="s">
        <v>30096</v>
      </c>
    </row>
    <row r="1595" spans="1:13">
      <c r="A1595" s="2">
        <v>4654</v>
      </c>
      <c r="B1595" s="2" t="s">
        <v>30097</v>
      </c>
      <c r="C1595" s="2">
        <v>4</v>
      </c>
      <c r="D1595" s="2">
        <v>568</v>
      </c>
      <c r="E1595" s="2">
        <v>23</v>
      </c>
      <c r="F1595" s="2">
        <v>32441</v>
      </c>
      <c r="G1595" s="2">
        <v>9.9329454990000006</v>
      </c>
      <c r="H1595" s="2">
        <v>1.1117010000000001E-3</v>
      </c>
      <c r="I1595" s="2" t="s">
        <v>30098</v>
      </c>
      <c r="J1595" s="2" t="s">
        <v>30099</v>
      </c>
      <c r="K1595" s="2">
        <v>1.2847531000000001E-2</v>
      </c>
      <c r="L1595" s="2" t="s">
        <v>848</v>
      </c>
      <c r="M1595" s="4" t="s">
        <v>30100</v>
      </c>
    </row>
    <row r="1596" spans="1:13">
      <c r="A1596" s="2">
        <v>4926</v>
      </c>
      <c r="B1596" s="2" t="s">
        <v>30101</v>
      </c>
      <c r="C1596" s="2">
        <v>4</v>
      </c>
      <c r="D1596" s="2">
        <v>568</v>
      </c>
      <c r="E1596" s="2">
        <v>23</v>
      </c>
      <c r="F1596" s="2">
        <v>32441</v>
      </c>
      <c r="G1596" s="2">
        <v>9.9329454990000006</v>
      </c>
      <c r="H1596" s="2">
        <v>1.1117010000000001E-3</v>
      </c>
      <c r="I1596" s="2" t="s">
        <v>30102</v>
      </c>
      <c r="J1596" s="2" t="s">
        <v>30103</v>
      </c>
      <c r="K1596" s="2">
        <v>1.2847531000000001E-2</v>
      </c>
      <c r="L1596" s="2" t="s">
        <v>848</v>
      </c>
      <c r="M1596" s="4" t="s">
        <v>30104</v>
      </c>
    </row>
    <row r="1597" spans="1:13">
      <c r="A1597" s="2">
        <v>4425</v>
      </c>
      <c r="B1597" s="2" t="s">
        <v>30105</v>
      </c>
      <c r="C1597" s="2">
        <v>6</v>
      </c>
      <c r="D1597" s="2">
        <v>568</v>
      </c>
      <c r="E1597" s="2">
        <v>62</v>
      </c>
      <c r="F1597" s="2">
        <v>32441</v>
      </c>
      <c r="G1597" s="2">
        <v>5.5272035439999998</v>
      </c>
      <c r="H1597" s="2">
        <v>1.1219100000000001E-3</v>
      </c>
      <c r="I1597" s="2" t="s">
        <v>30106</v>
      </c>
      <c r="J1597" s="2" t="s">
        <v>30107</v>
      </c>
      <c r="K1597" s="2">
        <v>1.294024E-2</v>
      </c>
      <c r="L1597" s="2" t="s">
        <v>848</v>
      </c>
      <c r="M1597" s="4" t="s">
        <v>30108</v>
      </c>
    </row>
    <row r="1598" spans="1:13">
      <c r="A1598" s="2">
        <v>29051</v>
      </c>
      <c r="B1598" s="2" t="s">
        <v>30109</v>
      </c>
      <c r="C1598" s="2">
        <v>5</v>
      </c>
      <c r="D1598" s="2">
        <v>568</v>
      </c>
      <c r="E1598" s="2">
        <v>41</v>
      </c>
      <c r="F1598" s="2">
        <v>32441</v>
      </c>
      <c r="G1598" s="2">
        <v>6.9651751979999998</v>
      </c>
      <c r="H1598" s="2">
        <v>1.135362E-3</v>
      </c>
      <c r="I1598" s="2" t="s">
        <v>30110</v>
      </c>
      <c r="J1598" s="2" t="s">
        <v>30111</v>
      </c>
      <c r="K1598" s="2">
        <v>1.3044537E-2</v>
      </c>
      <c r="L1598" s="2" t="s">
        <v>848</v>
      </c>
      <c r="M1598" s="4" t="s">
        <v>30112</v>
      </c>
    </row>
    <row r="1599" spans="1:13">
      <c r="A1599" s="2">
        <v>3730</v>
      </c>
      <c r="B1599" s="2" t="s">
        <v>30113</v>
      </c>
      <c r="C1599" s="2">
        <v>5</v>
      </c>
      <c r="D1599" s="2">
        <v>568</v>
      </c>
      <c r="E1599" s="2">
        <v>41</v>
      </c>
      <c r="F1599" s="2">
        <v>32441</v>
      </c>
      <c r="G1599" s="2">
        <v>6.9651751979999998</v>
      </c>
      <c r="H1599" s="2">
        <v>1.135362E-3</v>
      </c>
      <c r="I1599" s="2" t="s">
        <v>30114</v>
      </c>
      <c r="J1599" s="2" t="s">
        <v>30115</v>
      </c>
      <c r="K1599" s="2">
        <v>1.3044537E-2</v>
      </c>
      <c r="L1599" s="2" t="s">
        <v>848</v>
      </c>
      <c r="M1599" s="4" t="s">
        <v>30116</v>
      </c>
    </row>
    <row r="1600" spans="1:13">
      <c r="A1600" s="2">
        <v>2201</v>
      </c>
      <c r="B1600" s="2" t="s">
        <v>30117</v>
      </c>
      <c r="C1600" s="2">
        <v>23</v>
      </c>
      <c r="D1600" s="2">
        <v>568</v>
      </c>
      <c r="E1600" s="2">
        <v>633</v>
      </c>
      <c r="F1600" s="2">
        <v>32441</v>
      </c>
      <c r="G1600" s="2">
        <v>2.0752480919999998</v>
      </c>
      <c r="H1600" s="2">
        <v>1.1509929999999999E-3</v>
      </c>
      <c r="I1600" s="2" t="s">
        <v>30118</v>
      </c>
      <c r="J1600" s="2" t="s">
        <v>30119</v>
      </c>
      <c r="K1600" s="2">
        <v>1.31985E-2</v>
      </c>
      <c r="L1600" s="2" t="s">
        <v>848</v>
      </c>
      <c r="M1600" s="4" t="s">
        <v>30120</v>
      </c>
    </row>
    <row r="1601" spans="1:13">
      <c r="A1601" s="2">
        <v>4684</v>
      </c>
      <c r="B1601" s="2" t="s">
        <v>30121</v>
      </c>
      <c r="C1601" s="2">
        <v>17</v>
      </c>
      <c r="D1601" s="2">
        <v>568</v>
      </c>
      <c r="E1601" s="2">
        <v>405</v>
      </c>
      <c r="F1601" s="2">
        <v>32441</v>
      </c>
      <c r="G1601" s="2">
        <v>2.3973961049999999</v>
      </c>
      <c r="H1601" s="2">
        <v>1.1606699999999999E-3</v>
      </c>
      <c r="I1601" s="2" t="s">
        <v>30122</v>
      </c>
      <c r="J1601" s="2" t="s">
        <v>30123</v>
      </c>
      <c r="K1601" s="2">
        <v>1.3283725E-2</v>
      </c>
      <c r="L1601" s="2" t="s">
        <v>848</v>
      </c>
      <c r="M1601" s="4" t="s">
        <v>30124</v>
      </c>
    </row>
    <row r="1602" spans="1:13">
      <c r="A1602" s="2">
        <v>29971</v>
      </c>
      <c r="B1602" s="2" t="s">
        <v>30125</v>
      </c>
      <c r="C1602" s="2">
        <v>22</v>
      </c>
      <c r="D1602" s="2">
        <v>568</v>
      </c>
      <c r="E1602" s="2">
        <v>595</v>
      </c>
      <c r="F1602" s="2">
        <v>32441</v>
      </c>
      <c r="G1602" s="2">
        <v>2.1117942950000002</v>
      </c>
      <c r="H1602" s="2">
        <v>1.181297E-3</v>
      </c>
      <c r="I1602" s="2" t="s">
        <v>30126</v>
      </c>
      <c r="J1602" s="2" t="s">
        <v>30127</v>
      </c>
      <c r="K1602" s="2">
        <v>1.3493695999999999E-2</v>
      </c>
      <c r="L1602" s="2" t="s">
        <v>848</v>
      </c>
      <c r="M1602" s="4" t="s">
        <v>30128</v>
      </c>
    </row>
    <row r="1603" spans="1:13">
      <c r="A1603" s="2">
        <v>5291</v>
      </c>
      <c r="B1603" s="2" t="s">
        <v>30129</v>
      </c>
      <c r="C1603" s="2">
        <v>10</v>
      </c>
      <c r="D1603" s="2">
        <v>568</v>
      </c>
      <c r="E1603" s="2">
        <v>171</v>
      </c>
      <c r="F1603" s="2">
        <v>32441</v>
      </c>
      <c r="G1603" s="2">
        <v>3.3400255329999999</v>
      </c>
      <c r="H1603" s="2">
        <v>1.235182E-3</v>
      </c>
      <c r="I1603" s="2" t="s">
        <v>30130</v>
      </c>
      <c r="J1603" s="2" t="s">
        <v>30131</v>
      </c>
      <c r="K1603" s="2">
        <v>1.4082028999999999E-2</v>
      </c>
      <c r="L1603" s="2" t="s">
        <v>848</v>
      </c>
      <c r="M1603" s="4" t="s">
        <v>30132</v>
      </c>
    </row>
    <row r="1604" spans="1:13">
      <c r="A1604" s="2">
        <v>5021</v>
      </c>
      <c r="B1604" s="2" t="s">
        <v>30133</v>
      </c>
      <c r="C1604" s="2">
        <v>5</v>
      </c>
      <c r="D1604" s="2">
        <v>568</v>
      </c>
      <c r="E1604" s="2">
        <v>42</v>
      </c>
      <c r="F1604" s="2">
        <v>32441</v>
      </c>
      <c r="G1604" s="2">
        <v>6.799337693</v>
      </c>
      <c r="H1604" s="2">
        <v>1.252768E-3</v>
      </c>
      <c r="I1604" s="2" t="s">
        <v>29441</v>
      </c>
      <c r="J1604" s="2" t="s">
        <v>29442</v>
      </c>
      <c r="K1604" s="2">
        <v>1.4255053E-2</v>
      </c>
      <c r="L1604" s="2" t="s">
        <v>848</v>
      </c>
      <c r="M1604" s="4" t="s">
        <v>30134</v>
      </c>
    </row>
    <row r="1605" spans="1:13">
      <c r="A1605" s="2">
        <v>312</v>
      </c>
      <c r="B1605" s="2" t="s">
        <v>30135</v>
      </c>
      <c r="C1605" s="2">
        <v>4</v>
      </c>
      <c r="D1605" s="2">
        <v>568</v>
      </c>
      <c r="E1605" s="2">
        <v>24</v>
      </c>
      <c r="F1605" s="2">
        <v>32441</v>
      </c>
      <c r="G1605" s="2">
        <v>9.5190727699999993</v>
      </c>
      <c r="H1605" s="2">
        <v>1.2794869999999999E-3</v>
      </c>
      <c r="I1605" s="2" t="s">
        <v>30136</v>
      </c>
      <c r="J1605" s="2" t="s">
        <v>30137</v>
      </c>
      <c r="K1605" s="2">
        <v>1.4475577999999999E-2</v>
      </c>
      <c r="L1605" s="2" t="s">
        <v>848</v>
      </c>
      <c r="M1605" s="4" t="s">
        <v>30138</v>
      </c>
    </row>
    <row r="1606" spans="1:13">
      <c r="A1606" s="2">
        <v>5372</v>
      </c>
      <c r="B1606" s="2" t="s">
        <v>30139</v>
      </c>
      <c r="C1606" s="2">
        <v>4</v>
      </c>
      <c r="D1606" s="2">
        <v>568</v>
      </c>
      <c r="E1606" s="2">
        <v>24</v>
      </c>
      <c r="F1606" s="2">
        <v>32441</v>
      </c>
      <c r="G1606" s="2">
        <v>9.5190727699999993</v>
      </c>
      <c r="H1606" s="2">
        <v>1.2794869999999999E-3</v>
      </c>
      <c r="I1606" s="2" t="s">
        <v>30140</v>
      </c>
      <c r="J1606" s="2" t="s">
        <v>30141</v>
      </c>
      <c r="K1606" s="2">
        <v>1.4475577999999999E-2</v>
      </c>
      <c r="L1606" s="2" t="s">
        <v>848</v>
      </c>
      <c r="M1606" s="4" t="s">
        <v>30142</v>
      </c>
    </row>
    <row r="1607" spans="1:13">
      <c r="A1607" s="2">
        <v>3425</v>
      </c>
      <c r="B1607" s="2" t="s">
        <v>30143</v>
      </c>
      <c r="C1607" s="2">
        <v>4</v>
      </c>
      <c r="D1607" s="2">
        <v>568</v>
      </c>
      <c r="E1607" s="2">
        <v>24</v>
      </c>
      <c r="F1607" s="2">
        <v>32441</v>
      </c>
      <c r="G1607" s="2">
        <v>9.5190727699999993</v>
      </c>
      <c r="H1607" s="2">
        <v>1.2794869999999999E-3</v>
      </c>
      <c r="I1607" s="2" t="s">
        <v>30144</v>
      </c>
      <c r="J1607" s="2" t="s">
        <v>30145</v>
      </c>
      <c r="K1607" s="2">
        <v>1.4475577999999999E-2</v>
      </c>
      <c r="L1607" s="2" t="s">
        <v>848</v>
      </c>
      <c r="M1607" s="4" t="s">
        <v>30146</v>
      </c>
    </row>
    <row r="1608" spans="1:13">
      <c r="A1608" s="2">
        <v>3945</v>
      </c>
      <c r="B1608" s="2" t="s">
        <v>30147</v>
      </c>
      <c r="C1608" s="2">
        <v>7</v>
      </c>
      <c r="D1608" s="2">
        <v>568</v>
      </c>
      <c r="E1608" s="2">
        <v>88</v>
      </c>
      <c r="F1608" s="2">
        <v>32441</v>
      </c>
      <c r="G1608" s="2">
        <v>4.5431938220000001</v>
      </c>
      <c r="H1608" s="2">
        <v>1.290172E-3</v>
      </c>
      <c r="I1608" s="2" t="s">
        <v>30148</v>
      </c>
      <c r="J1608" s="2" t="s">
        <v>30149</v>
      </c>
      <c r="K1608" s="2">
        <v>1.4540851E-2</v>
      </c>
      <c r="L1608" s="2" t="s">
        <v>848</v>
      </c>
      <c r="M1608" s="4" t="s">
        <v>30150</v>
      </c>
    </row>
    <row r="1609" spans="1:13">
      <c r="A1609" s="2">
        <v>5363</v>
      </c>
      <c r="B1609" s="2" t="s">
        <v>30151</v>
      </c>
      <c r="C1609" s="2">
        <v>7</v>
      </c>
      <c r="D1609" s="2">
        <v>568</v>
      </c>
      <c r="E1609" s="2">
        <v>88</v>
      </c>
      <c r="F1609" s="2">
        <v>32441</v>
      </c>
      <c r="G1609" s="2">
        <v>4.5431938220000001</v>
      </c>
      <c r="H1609" s="2">
        <v>1.290172E-3</v>
      </c>
      <c r="I1609" s="2" t="s">
        <v>29519</v>
      </c>
      <c r="J1609" s="2" t="s">
        <v>29520</v>
      </c>
      <c r="K1609" s="2">
        <v>1.4540851E-2</v>
      </c>
      <c r="L1609" s="2" t="s">
        <v>848</v>
      </c>
      <c r="M1609" s="4" t="s">
        <v>30152</v>
      </c>
    </row>
    <row r="1610" spans="1:13">
      <c r="A1610" s="2">
        <v>3740</v>
      </c>
      <c r="B1610" s="2" t="s">
        <v>30153</v>
      </c>
      <c r="C1610" s="2">
        <v>6</v>
      </c>
      <c r="D1610" s="2">
        <v>568</v>
      </c>
      <c r="E1610" s="2">
        <v>64</v>
      </c>
      <c r="F1610" s="2">
        <v>32441</v>
      </c>
      <c r="G1610" s="2">
        <v>5.3544784329999997</v>
      </c>
      <c r="H1610" s="2">
        <v>1.30576E-3</v>
      </c>
      <c r="I1610" s="2" t="s">
        <v>30154</v>
      </c>
      <c r="J1610" s="2" t="s">
        <v>30155</v>
      </c>
      <c r="K1610" s="2">
        <v>1.4688557E-2</v>
      </c>
      <c r="L1610" s="2" t="s">
        <v>848</v>
      </c>
      <c r="M1610" s="4" t="s">
        <v>30156</v>
      </c>
    </row>
    <row r="1611" spans="1:13">
      <c r="A1611" s="2">
        <v>2525</v>
      </c>
      <c r="B1611" s="2" t="s">
        <v>30157</v>
      </c>
      <c r="C1611" s="2">
        <v>17</v>
      </c>
      <c r="D1611" s="2">
        <v>568</v>
      </c>
      <c r="E1611" s="2">
        <v>410</v>
      </c>
      <c r="F1611" s="2">
        <v>32441</v>
      </c>
      <c r="G1611" s="2">
        <v>2.3681595670000002</v>
      </c>
      <c r="H1611" s="2">
        <v>1.316582E-3</v>
      </c>
      <c r="I1611" s="2" t="s">
        <v>30158</v>
      </c>
      <c r="J1611" s="2" t="s">
        <v>30159</v>
      </c>
      <c r="K1611" s="2">
        <v>1.4782188E-2</v>
      </c>
      <c r="L1611" s="2" t="s">
        <v>848</v>
      </c>
      <c r="M1611" s="4" t="s">
        <v>30160</v>
      </c>
    </row>
    <row r="1612" spans="1:13">
      <c r="A1612" s="2">
        <v>1631</v>
      </c>
      <c r="B1612" s="2" t="s">
        <v>30161</v>
      </c>
      <c r="C1612" s="2">
        <v>9</v>
      </c>
      <c r="D1612" s="2">
        <v>568</v>
      </c>
      <c r="E1612" s="2">
        <v>143</v>
      </c>
      <c r="F1612" s="2">
        <v>32441</v>
      </c>
      <c r="G1612" s="2">
        <v>3.5946148920000001</v>
      </c>
      <c r="H1612" s="2">
        <v>1.32525E-3</v>
      </c>
      <c r="I1612" s="2" t="s">
        <v>30162</v>
      </c>
      <c r="J1612" s="2" t="s">
        <v>30163</v>
      </c>
      <c r="K1612" s="2">
        <v>1.4823262E-2</v>
      </c>
      <c r="L1612" s="2" t="s">
        <v>848</v>
      </c>
      <c r="M1612" s="4" t="s">
        <v>30164</v>
      </c>
    </row>
    <row r="1613" spans="1:13">
      <c r="A1613" s="2">
        <v>4307</v>
      </c>
      <c r="B1613" s="2" t="s">
        <v>30165</v>
      </c>
      <c r="C1613" s="2">
        <v>9</v>
      </c>
      <c r="D1613" s="2">
        <v>568</v>
      </c>
      <c r="E1613" s="2">
        <v>143</v>
      </c>
      <c r="F1613" s="2">
        <v>32441</v>
      </c>
      <c r="G1613" s="2">
        <v>3.5946148920000001</v>
      </c>
      <c r="H1613" s="2">
        <v>1.32525E-3</v>
      </c>
      <c r="I1613" s="2" t="s">
        <v>29821</v>
      </c>
      <c r="J1613" s="2" t="s">
        <v>29822</v>
      </c>
      <c r="K1613" s="2">
        <v>1.4823262E-2</v>
      </c>
      <c r="L1613" s="2" t="s">
        <v>848</v>
      </c>
      <c r="M1613" s="4" t="s">
        <v>30166</v>
      </c>
    </row>
    <row r="1614" spans="1:13">
      <c r="A1614" s="2">
        <v>3885</v>
      </c>
      <c r="B1614" s="2" t="s">
        <v>30167</v>
      </c>
      <c r="C1614" s="2">
        <v>7</v>
      </c>
      <c r="D1614" s="2">
        <v>568</v>
      </c>
      <c r="E1614" s="2">
        <v>89</v>
      </c>
      <c r="F1614" s="2">
        <v>32441</v>
      </c>
      <c r="G1614" s="2">
        <v>4.4921467000000002</v>
      </c>
      <c r="H1614" s="2">
        <v>1.3713899999999999E-3</v>
      </c>
      <c r="I1614" s="2" t="s">
        <v>30168</v>
      </c>
      <c r="J1614" s="2" t="s">
        <v>30169</v>
      </c>
      <c r="K1614" s="2">
        <v>1.5310407999999999E-2</v>
      </c>
      <c r="L1614" s="2" t="s">
        <v>848</v>
      </c>
      <c r="M1614" s="4" t="s">
        <v>30170</v>
      </c>
    </row>
    <row r="1615" spans="1:13">
      <c r="A1615" s="2">
        <v>1776</v>
      </c>
      <c r="B1615" s="2" t="s">
        <v>10683</v>
      </c>
      <c r="C1615" s="2">
        <v>10</v>
      </c>
      <c r="D1615" s="2">
        <v>568</v>
      </c>
      <c r="E1615" s="2">
        <v>175</v>
      </c>
      <c r="F1615" s="2">
        <v>32441</v>
      </c>
      <c r="G1615" s="2">
        <v>3.2636820929999999</v>
      </c>
      <c r="H1615" s="2">
        <v>1.4547519999999999E-3</v>
      </c>
      <c r="I1615" s="2" t="s">
        <v>30171</v>
      </c>
      <c r="J1615" s="2" t="s">
        <v>30172</v>
      </c>
      <c r="K1615" s="2">
        <v>1.6199972999999999E-2</v>
      </c>
      <c r="L1615" s="2" t="s">
        <v>848</v>
      </c>
      <c r="M1615" s="4" t="s">
        <v>10686</v>
      </c>
    </row>
    <row r="1616" spans="1:13">
      <c r="A1616" s="2">
        <v>3296</v>
      </c>
      <c r="B1616" s="2" t="s">
        <v>30173</v>
      </c>
      <c r="C1616" s="2">
        <v>7</v>
      </c>
      <c r="D1616" s="2">
        <v>568</v>
      </c>
      <c r="E1616" s="2">
        <v>90</v>
      </c>
      <c r="F1616" s="2">
        <v>32441</v>
      </c>
      <c r="G1616" s="2">
        <v>4.4422339590000002</v>
      </c>
      <c r="H1616" s="2">
        <v>1.4565470000000001E-3</v>
      </c>
      <c r="I1616" s="2" t="s">
        <v>30174</v>
      </c>
      <c r="J1616" s="2" t="s">
        <v>30175</v>
      </c>
      <c r="K1616" s="2">
        <v>1.6199972999999999E-2</v>
      </c>
      <c r="L1616" s="2" t="s">
        <v>848</v>
      </c>
      <c r="M1616" s="4" t="s">
        <v>30176</v>
      </c>
    </row>
    <row r="1617" spans="1:13">
      <c r="A1617" s="2">
        <v>29581</v>
      </c>
      <c r="B1617" s="2" t="s">
        <v>30177</v>
      </c>
      <c r="C1617" s="2">
        <v>4</v>
      </c>
      <c r="D1617" s="2">
        <v>568</v>
      </c>
      <c r="E1617" s="2">
        <v>25</v>
      </c>
      <c r="F1617" s="2">
        <v>32441</v>
      </c>
      <c r="G1617" s="2">
        <v>9.1383098589999996</v>
      </c>
      <c r="H1617" s="2">
        <v>1.464194E-3</v>
      </c>
      <c r="I1617" s="2" t="s">
        <v>29626</v>
      </c>
      <c r="J1617" s="2" t="s">
        <v>29627</v>
      </c>
      <c r="K1617" s="2">
        <v>1.6254482000000001E-2</v>
      </c>
      <c r="L1617" s="2" t="s">
        <v>848</v>
      </c>
      <c r="M1617" s="4" t="s">
        <v>30178</v>
      </c>
    </row>
    <row r="1618" spans="1:13">
      <c r="A1618" s="2">
        <v>1500</v>
      </c>
      <c r="B1618" s="2" t="s">
        <v>30179</v>
      </c>
      <c r="C1618" s="2">
        <v>6</v>
      </c>
      <c r="D1618" s="2">
        <v>568</v>
      </c>
      <c r="E1618" s="2">
        <v>66</v>
      </c>
      <c r="F1618" s="2">
        <v>32441</v>
      </c>
      <c r="G1618" s="2">
        <v>5.1922215109999996</v>
      </c>
      <c r="H1618" s="2">
        <v>1.511765E-3</v>
      </c>
      <c r="I1618" s="2" t="s">
        <v>30180</v>
      </c>
      <c r="J1618" s="2" t="s">
        <v>30181</v>
      </c>
      <c r="K1618" s="2">
        <v>1.6746277E-2</v>
      </c>
      <c r="L1618" s="2" t="s">
        <v>848</v>
      </c>
      <c r="M1618" s="4" t="s">
        <v>30182</v>
      </c>
    </row>
    <row r="1619" spans="1:13">
      <c r="A1619" s="2">
        <v>5242</v>
      </c>
      <c r="B1619" s="2" t="s">
        <v>30183</v>
      </c>
      <c r="C1619" s="2">
        <v>5</v>
      </c>
      <c r="D1619" s="2">
        <v>568</v>
      </c>
      <c r="E1619" s="2">
        <v>44</v>
      </c>
      <c r="F1619" s="2">
        <v>32441</v>
      </c>
      <c r="G1619" s="2">
        <v>6.4902768890000004</v>
      </c>
      <c r="H1619" s="2">
        <v>1.514156E-3</v>
      </c>
      <c r="I1619" s="2" t="s">
        <v>30184</v>
      </c>
      <c r="J1619" s="2" t="s">
        <v>30185</v>
      </c>
      <c r="K1619" s="2">
        <v>1.6746277E-2</v>
      </c>
      <c r="L1619" s="2" t="s">
        <v>848</v>
      </c>
      <c r="M1619" s="4" t="s">
        <v>30186</v>
      </c>
    </row>
    <row r="1620" spans="1:13">
      <c r="A1620" s="2">
        <v>1309</v>
      </c>
      <c r="B1620" s="2" t="s">
        <v>30187</v>
      </c>
      <c r="C1620" s="2">
        <v>10</v>
      </c>
      <c r="D1620" s="2">
        <v>568</v>
      </c>
      <c r="E1620" s="2">
        <v>177</v>
      </c>
      <c r="F1620" s="2">
        <v>32441</v>
      </c>
      <c r="G1620" s="2">
        <v>3.2268043290000001</v>
      </c>
      <c r="H1620" s="2">
        <v>1.5758619999999999E-3</v>
      </c>
      <c r="I1620" s="2" t="s">
        <v>30188</v>
      </c>
      <c r="J1620" s="2" t="s">
        <v>30189</v>
      </c>
      <c r="K1620" s="2">
        <v>1.739622E-2</v>
      </c>
      <c r="L1620" s="2" t="s">
        <v>848</v>
      </c>
      <c r="M1620" s="4" t="s">
        <v>30190</v>
      </c>
    </row>
    <row r="1621" spans="1:13">
      <c r="A1621" s="2">
        <v>2334</v>
      </c>
      <c r="B1621" s="2" t="s">
        <v>11536</v>
      </c>
      <c r="C1621" s="2">
        <v>16</v>
      </c>
      <c r="D1621" s="2">
        <v>568</v>
      </c>
      <c r="E1621" s="2">
        <v>381</v>
      </c>
      <c r="F1621" s="2">
        <v>32441</v>
      </c>
      <c r="G1621" s="2">
        <v>2.3985065250000002</v>
      </c>
      <c r="H1621" s="2">
        <v>1.593368E-3</v>
      </c>
      <c r="I1621" s="2" t="s">
        <v>30191</v>
      </c>
      <c r="J1621" s="2" t="s">
        <v>30192</v>
      </c>
      <c r="K1621" s="2">
        <v>1.7556722E-2</v>
      </c>
      <c r="L1621" s="2" t="s">
        <v>848</v>
      </c>
      <c r="M1621" s="4" t="s">
        <v>11539</v>
      </c>
    </row>
    <row r="1622" spans="1:13">
      <c r="A1622" s="2">
        <v>2977</v>
      </c>
      <c r="B1622" s="2" t="s">
        <v>30193</v>
      </c>
      <c r="C1622" s="2">
        <v>3</v>
      </c>
      <c r="D1622" s="2">
        <v>568</v>
      </c>
      <c r="E1622" s="2">
        <v>11</v>
      </c>
      <c r="F1622" s="2">
        <v>32441</v>
      </c>
      <c r="G1622" s="2">
        <v>15.57666453</v>
      </c>
      <c r="H1622" s="2">
        <v>1.601496E-3</v>
      </c>
      <c r="I1622" s="2" t="s">
        <v>30194</v>
      </c>
      <c r="J1622" s="2" t="s">
        <v>30195</v>
      </c>
      <c r="K1622" s="2">
        <v>1.7613475999999999E-2</v>
      </c>
      <c r="L1622" s="2" t="s">
        <v>848</v>
      </c>
      <c r="M1622" s="4" t="s">
        <v>30196</v>
      </c>
    </row>
    <row r="1623" spans="1:13">
      <c r="A1623" s="2">
        <v>1832</v>
      </c>
      <c r="B1623" s="2" t="s">
        <v>30197</v>
      </c>
      <c r="C1623" s="2">
        <v>14</v>
      </c>
      <c r="D1623" s="2">
        <v>568</v>
      </c>
      <c r="E1623" s="2">
        <v>311</v>
      </c>
      <c r="F1623" s="2">
        <v>32441</v>
      </c>
      <c r="G1623" s="2">
        <v>2.5710678859999998</v>
      </c>
      <c r="H1623" s="2">
        <v>1.6600829999999999E-3</v>
      </c>
      <c r="I1623" s="2" t="s">
        <v>30198</v>
      </c>
      <c r="J1623" s="2" t="s">
        <v>30199</v>
      </c>
      <c r="K1623" s="2">
        <v>1.8223953000000001E-2</v>
      </c>
      <c r="L1623" s="2" t="s">
        <v>848</v>
      </c>
      <c r="M1623" s="4" t="s">
        <v>30200</v>
      </c>
    </row>
    <row r="1624" spans="1:13">
      <c r="A1624" s="2">
        <v>2401</v>
      </c>
      <c r="B1624" s="2" t="s">
        <v>3072</v>
      </c>
      <c r="C1624" s="2">
        <v>4</v>
      </c>
      <c r="D1624" s="2">
        <v>568</v>
      </c>
      <c r="E1624" s="2">
        <v>26</v>
      </c>
      <c r="F1624" s="2">
        <v>32441</v>
      </c>
      <c r="G1624" s="2">
        <v>8.7868364030000006</v>
      </c>
      <c r="H1624" s="2">
        <v>1.6666910000000001E-3</v>
      </c>
      <c r="I1624" s="2" t="s">
        <v>30201</v>
      </c>
      <c r="J1624" s="2" t="s">
        <v>30202</v>
      </c>
      <c r="K1624" s="2">
        <v>1.8228851000000001E-2</v>
      </c>
      <c r="L1624" s="2" t="s">
        <v>848</v>
      </c>
      <c r="M1624" s="4" t="s">
        <v>3075</v>
      </c>
    </row>
    <row r="1625" spans="1:13">
      <c r="A1625" s="2">
        <v>5509</v>
      </c>
      <c r="B1625" s="2" t="s">
        <v>30203</v>
      </c>
      <c r="C1625" s="2">
        <v>4</v>
      </c>
      <c r="D1625" s="2">
        <v>568</v>
      </c>
      <c r="E1625" s="2">
        <v>26</v>
      </c>
      <c r="F1625" s="2">
        <v>32441</v>
      </c>
      <c r="G1625" s="2">
        <v>8.7868364030000006</v>
      </c>
      <c r="H1625" s="2">
        <v>1.6666910000000001E-3</v>
      </c>
      <c r="I1625" s="2" t="s">
        <v>30204</v>
      </c>
      <c r="J1625" s="2" t="s">
        <v>30205</v>
      </c>
      <c r="K1625" s="2">
        <v>1.8228851000000001E-2</v>
      </c>
      <c r="L1625" s="2" t="s">
        <v>848</v>
      </c>
      <c r="M1625" s="4" t="s">
        <v>30206</v>
      </c>
    </row>
    <row r="1626" spans="1:13">
      <c r="A1626" s="2">
        <v>1204</v>
      </c>
      <c r="B1626" s="2" t="s">
        <v>9821</v>
      </c>
      <c r="C1626" s="2">
        <v>14</v>
      </c>
      <c r="D1626" s="2">
        <v>568</v>
      </c>
      <c r="E1626" s="2">
        <v>312</v>
      </c>
      <c r="F1626" s="2">
        <v>32441</v>
      </c>
      <c r="G1626" s="2">
        <v>2.5628272839999999</v>
      </c>
      <c r="H1626" s="2">
        <v>1.7079790000000001E-3</v>
      </c>
      <c r="I1626" s="2" t="s">
        <v>30207</v>
      </c>
      <c r="J1626" s="2" t="s">
        <v>30208</v>
      </c>
      <c r="K1626" s="2">
        <v>1.8645966E-2</v>
      </c>
      <c r="L1626" s="2" t="s">
        <v>848</v>
      </c>
      <c r="M1626" s="4" t="s">
        <v>9824</v>
      </c>
    </row>
    <row r="1627" spans="1:13">
      <c r="A1627" s="2">
        <v>857</v>
      </c>
      <c r="B1627" s="2" t="s">
        <v>30209</v>
      </c>
      <c r="C1627" s="2">
        <v>9</v>
      </c>
      <c r="D1627" s="2">
        <v>568</v>
      </c>
      <c r="E1627" s="2">
        <v>149</v>
      </c>
      <c r="F1627" s="2">
        <v>32441</v>
      </c>
      <c r="G1627" s="2">
        <v>3.4498652989999998</v>
      </c>
      <c r="H1627" s="2">
        <v>1.7321420000000001E-3</v>
      </c>
      <c r="I1627" s="2" t="s">
        <v>30210</v>
      </c>
      <c r="J1627" s="2" t="s">
        <v>30211</v>
      </c>
      <c r="K1627" s="2">
        <v>1.887492E-2</v>
      </c>
      <c r="L1627" s="2" t="s">
        <v>848</v>
      </c>
      <c r="M1627" s="4" t="s">
        <v>30212</v>
      </c>
    </row>
    <row r="1628" spans="1:13">
      <c r="A1628" s="2">
        <v>5126</v>
      </c>
      <c r="B1628" s="2" t="s">
        <v>30213</v>
      </c>
      <c r="C1628" s="2">
        <v>7</v>
      </c>
      <c r="D1628" s="2">
        <v>568</v>
      </c>
      <c r="E1628" s="2">
        <v>93</v>
      </c>
      <c r="F1628" s="2">
        <v>32441</v>
      </c>
      <c r="G1628" s="2">
        <v>4.2989360899999998</v>
      </c>
      <c r="H1628" s="2">
        <v>1.736947E-3</v>
      </c>
      <c r="I1628" s="2" t="s">
        <v>30214</v>
      </c>
      <c r="J1628" s="2" t="s">
        <v>30215</v>
      </c>
      <c r="K1628" s="2">
        <v>1.8892497000000001E-2</v>
      </c>
      <c r="L1628" s="2" t="s">
        <v>848</v>
      </c>
      <c r="M1628" s="4" t="s">
        <v>30216</v>
      </c>
    </row>
    <row r="1629" spans="1:13">
      <c r="A1629" s="2">
        <v>833</v>
      </c>
      <c r="B1629" s="2" t="s">
        <v>30217</v>
      </c>
      <c r="C1629" s="2">
        <v>6</v>
      </c>
      <c r="D1629" s="2">
        <v>568</v>
      </c>
      <c r="E1629" s="2">
        <v>68</v>
      </c>
      <c r="F1629" s="2">
        <v>32441</v>
      </c>
      <c r="G1629" s="2">
        <v>5.0395091140000003</v>
      </c>
      <c r="H1629" s="2">
        <v>1.741612E-3</v>
      </c>
      <c r="I1629" s="2" t="s">
        <v>30218</v>
      </c>
      <c r="J1629" s="2" t="s">
        <v>30219</v>
      </c>
      <c r="K1629" s="2">
        <v>1.8908472999999999E-2</v>
      </c>
      <c r="L1629" s="2" t="s">
        <v>848</v>
      </c>
      <c r="M1629" s="4" t="s">
        <v>30220</v>
      </c>
    </row>
    <row r="1630" spans="1:13">
      <c r="A1630" s="2">
        <v>4137</v>
      </c>
      <c r="B1630" s="2" t="s">
        <v>30221</v>
      </c>
      <c r="C1630" s="2">
        <v>22</v>
      </c>
      <c r="D1630" s="2">
        <v>568</v>
      </c>
      <c r="E1630" s="2">
        <v>616</v>
      </c>
      <c r="F1630" s="2">
        <v>32441</v>
      </c>
      <c r="G1630" s="2">
        <v>2.0398013079999999</v>
      </c>
      <c r="H1630" s="2">
        <v>1.7942279999999999E-3</v>
      </c>
      <c r="I1630" s="2" t="s">
        <v>30222</v>
      </c>
      <c r="J1630" s="2" t="s">
        <v>30223</v>
      </c>
      <c r="K1630" s="2">
        <v>1.9444043000000001E-2</v>
      </c>
      <c r="L1630" s="2" t="s">
        <v>848</v>
      </c>
      <c r="M1630" s="4" t="s">
        <v>30224</v>
      </c>
    </row>
    <row r="1631" spans="1:13">
      <c r="A1631" s="2">
        <v>1754</v>
      </c>
      <c r="B1631" s="2" t="s">
        <v>30225</v>
      </c>
      <c r="C1631" s="2">
        <v>5</v>
      </c>
      <c r="D1631" s="2">
        <v>568</v>
      </c>
      <c r="E1631" s="2">
        <v>46</v>
      </c>
      <c r="F1631" s="2">
        <v>32441</v>
      </c>
      <c r="G1631" s="2">
        <v>6.2080909369999997</v>
      </c>
      <c r="H1631" s="2">
        <v>1.813573E-3</v>
      </c>
      <c r="I1631" s="2" t="s">
        <v>30226</v>
      </c>
      <c r="J1631" s="2" t="s">
        <v>30227</v>
      </c>
      <c r="K1631" s="2">
        <v>1.9546287999999998E-2</v>
      </c>
      <c r="L1631" s="2" t="s">
        <v>848</v>
      </c>
      <c r="M1631" s="4" t="s">
        <v>30228</v>
      </c>
    </row>
    <row r="1632" spans="1:13">
      <c r="A1632" s="2">
        <v>2488</v>
      </c>
      <c r="B1632" s="2" t="s">
        <v>30229</v>
      </c>
      <c r="C1632" s="2">
        <v>8</v>
      </c>
      <c r="D1632" s="2">
        <v>568</v>
      </c>
      <c r="E1632" s="2">
        <v>121</v>
      </c>
      <c r="F1632" s="2">
        <v>32441</v>
      </c>
      <c r="G1632" s="2">
        <v>3.7761610989999999</v>
      </c>
      <c r="H1632" s="2">
        <v>1.8109840000000001E-3</v>
      </c>
      <c r="I1632" s="2" t="s">
        <v>29523</v>
      </c>
      <c r="J1632" s="2" t="s">
        <v>29524</v>
      </c>
      <c r="K1632" s="2">
        <v>1.9546287999999998E-2</v>
      </c>
      <c r="L1632" s="2" t="s">
        <v>848</v>
      </c>
      <c r="M1632" s="4" t="s">
        <v>30230</v>
      </c>
    </row>
    <row r="1633" spans="1:13">
      <c r="A1633" s="2">
        <v>5855</v>
      </c>
      <c r="B1633" s="2" t="s">
        <v>30231</v>
      </c>
      <c r="C1633" s="2">
        <v>5</v>
      </c>
      <c r="D1633" s="2">
        <v>568</v>
      </c>
      <c r="E1633" s="2">
        <v>46</v>
      </c>
      <c r="F1633" s="2">
        <v>32441</v>
      </c>
      <c r="G1633" s="2">
        <v>6.2080909369999997</v>
      </c>
      <c r="H1633" s="2">
        <v>1.813573E-3</v>
      </c>
      <c r="I1633" s="2" t="s">
        <v>30232</v>
      </c>
      <c r="J1633" s="2" t="s">
        <v>30233</v>
      </c>
      <c r="K1633" s="2">
        <v>1.9546287999999998E-2</v>
      </c>
      <c r="L1633" s="2" t="s">
        <v>848</v>
      </c>
      <c r="M1633" s="4" t="s">
        <v>30234</v>
      </c>
    </row>
    <row r="1634" spans="1:13">
      <c r="A1634" s="2">
        <v>1225</v>
      </c>
      <c r="B1634" s="2" t="s">
        <v>8015</v>
      </c>
      <c r="C1634" s="2">
        <v>29</v>
      </c>
      <c r="D1634" s="2">
        <v>568</v>
      </c>
      <c r="E1634" s="2">
        <v>905</v>
      </c>
      <c r="F1634" s="2">
        <v>32441</v>
      </c>
      <c r="G1634" s="2">
        <v>1.830186367</v>
      </c>
      <c r="H1634" s="2">
        <v>1.823278E-3</v>
      </c>
      <c r="I1634" s="2" t="s">
        <v>30235</v>
      </c>
      <c r="J1634" s="2" t="s">
        <v>30236</v>
      </c>
      <c r="K1634" s="2">
        <v>1.9615158000000001E-2</v>
      </c>
      <c r="L1634" s="2" t="s">
        <v>848</v>
      </c>
      <c r="M1634" s="4" t="s">
        <v>8018</v>
      </c>
    </row>
    <row r="1635" spans="1:13">
      <c r="A1635" s="2">
        <v>3065</v>
      </c>
      <c r="B1635" s="2" t="s">
        <v>30237</v>
      </c>
      <c r="C1635" s="2">
        <v>7</v>
      </c>
      <c r="D1635" s="2">
        <v>568</v>
      </c>
      <c r="E1635" s="2">
        <v>94</v>
      </c>
      <c r="F1635" s="2">
        <v>32441</v>
      </c>
      <c r="G1635" s="2">
        <v>4.2532027269999997</v>
      </c>
      <c r="H1635" s="2">
        <v>1.8391690000000001E-3</v>
      </c>
      <c r="I1635" s="2" t="s">
        <v>30238</v>
      </c>
      <c r="J1635" s="2" t="s">
        <v>30239</v>
      </c>
      <c r="K1635" s="2">
        <v>1.9750204E-2</v>
      </c>
      <c r="L1635" s="2" t="s">
        <v>848</v>
      </c>
      <c r="M1635" s="4" t="s">
        <v>30240</v>
      </c>
    </row>
    <row r="1636" spans="1:13">
      <c r="A1636" s="2">
        <v>3144</v>
      </c>
      <c r="B1636" s="2" t="s">
        <v>30241</v>
      </c>
      <c r="C1636" s="2">
        <v>4</v>
      </c>
      <c r="D1636" s="2">
        <v>568</v>
      </c>
      <c r="E1636" s="2">
        <v>27</v>
      </c>
      <c r="F1636" s="2">
        <v>32441</v>
      </c>
      <c r="G1636" s="2">
        <v>8.4613980180000006</v>
      </c>
      <c r="H1636" s="2">
        <v>1.8878390000000001E-3</v>
      </c>
      <c r="I1636" s="2" t="s">
        <v>30242</v>
      </c>
      <c r="J1636" s="2" t="s">
        <v>30243</v>
      </c>
      <c r="K1636" s="2">
        <v>2.0199531E-2</v>
      </c>
      <c r="L1636" s="2" t="s">
        <v>848</v>
      </c>
      <c r="M1636" s="4" t="s">
        <v>30244</v>
      </c>
    </row>
    <row r="1637" spans="1:13">
      <c r="A1637" s="2">
        <v>4559</v>
      </c>
      <c r="B1637" s="2" t="s">
        <v>30245</v>
      </c>
      <c r="C1637" s="2">
        <v>4</v>
      </c>
      <c r="D1637" s="2">
        <v>568</v>
      </c>
      <c r="E1637" s="2">
        <v>27</v>
      </c>
      <c r="F1637" s="2">
        <v>32441</v>
      </c>
      <c r="G1637" s="2">
        <v>8.4613980180000006</v>
      </c>
      <c r="H1637" s="2">
        <v>1.8878390000000001E-3</v>
      </c>
      <c r="I1637" s="2" t="s">
        <v>30246</v>
      </c>
      <c r="J1637" s="2" t="s">
        <v>30247</v>
      </c>
      <c r="K1637" s="2">
        <v>2.0199531E-2</v>
      </c>
      <c r="L1637" s="2" t="s">
        <v>848</v>
      </c>
      <c r="M1637" s="4" t="s">
        <v>30248</v>
      </c>
    </row>
    <row r="1638" spans="1:13">
      <c r="A1638" s="2">
        <v>1053</v>
      </c>
      <c r="B1638" s="2" t="s">
        <v>30249</v>
      </c>
      <c r="C1638" s="2">
        <v>3</v>
      </c>
      <c r="D1638" s="2">
        <v>568</v>
      </c>
      <c r="E1638" s="2">
        <v>12</v>
      </c>
      <c r="F1638" s="2">
        <v>32441</v>
      </c>
      <c r="G1638" s="2">
        <v>14.278609149999999</v>
      </c>
      <c r="H1638" s="2">
        <v>1.9764100000000001E-3</v>
      </c>
      <c r="I1638" s="2" t="s">
        <v>30250</v>
      </c>
      <c r="J1638" s="2" t="s">
        <v>30251</v>
      </c>
      <c r="K1638" s="2">
        <v>2.1071027999999999E-2</v>
      </c>
      <c r="L1638" s="2" t="s">
        <v>848</v>
      </c>
      <c r="M1638" s="4" t="s">
        <v>30252</v>
      </c>
    </row>
    <row r="1639" spans="1:13">
      <c r="A1639" s="2">
        <v>4548</v>
      </c>
      <c r="B1639" s="2" t="s">
        <v>30253</v>
      </c>
      <c r="C1639" s="2">
        <v>3</v>
      </c>
      <c r="D1639" s="2">
        <v>568</v>
      </c>
      <c r="E1639" s="2">
        <v>12</v>
      </c>
      <c r="F1639" s="2">
        <v>32441</v>
      </c>
      <c r="G1639" s="2">
        <v>14.278609149999999</v>
      </c>
      <c r="H1639" s="2">
        <v>1.9764100000000001E-3</v>
      </c>
      <c r="I1639" s="2" t="s">
        <v>30254</v>
      </c>
      <c r="J1639" s="2" t="s">
        <v>30255</v>
      </c>
      <c r="K1639" s="2">
        <v>2.1071027999999999E-2</v>
      </c>
      <c r="L1639" s="2" t="s">
        <v>848</v>
      </c>
      <c r="M1639" s="4" t="s">
        <v>30256</v>
      </c>
    </row>
    <row r="1640" spans="1:13">
      <c r="A1640" s="2">
        <v>4373</v>
      </c>
      <c r="B1640" s="2" t="s">
        <v>30257</v>
      </c>
      <c r="C1640" s="2">
        <v>11</v>
      </c>
      <c r="D1640" s="2">
        <v>568</v>
      </c>
      <c r="E1640" s="2">
        <v>215</v>
      </c>
      <c r="F1640" s="2">
        <v>32441</v>
      </c>
      <c r="G1640" s="2">
        <v>2.9221339670000002</v>
      </c>
      <c r="H1640" s="2">
        <v>1.9853510000000002E-3</v>
      </c>
      <c r="I1640" s="2" t="s">
        <v>30258</v>
      </c>
      <c r="J1640" s="2" t="s">
        <v>30259</v>
      </c>
      <c r="K1640" s="2">
        <v>2.1128278E-2</v>
      </c>
      <c r="L1640" s="2" t="s">
        <v>848</v>
      </c>
      <c r="M1640" s="4" t="s">
        <v>30260</v>
      </c>
    </row>
    <row r="1641" spans="1:13">
      <c r="A1641" s="2">
        <v>3351</v>
      </c>
      <c r="B1641" s="2" t="s">
        <v>10835</v>
      </c>
      <c r="C1641" s="2">
        <v>6</v>
      </c>
      <c r="D1641" s="2">
        <v>568</v>
      </c>
      <c r="E1641" s="2">
        <v>70</v>
      </c>
      <c r="F1641" s="2">
        <v>32441</v>
      </c>
      <c r="G1641" s="2">
        <v>4.8955231389999998</v>
      </c>
      <c r="H1641" s="2">
        <v>1.997029E-3</v>
      </c>
      <c r="I1641" s="2" t="s">
        <v>30261</v>
      </c>
      <c r="J1641" s="2" t="s">
        <v>30262</v>
      </c>
      <c r="K1641" s="2">
        <v>2.1176377E-2</v>
      </c>
      <c r="L1641" s="2" t="s">
        <v>848</v>
      </c>
      <c r="M1641" s="4" t="s">
        <v>10838</v>
      </c>
    </row>
    <row r="1642" spans="1:13">
      <c r="A1642" s="2">
        <v>4545</v>
      </c>
      <c r="B1642" s="2" t="s">
        <v>30263</v>
      </c>
      <c r="C1642" s="2">
        <v>6</v>
      </c>
      <c r="D1642" s="2">
        <v>568</v>
      </c>
      <c r="E1642" s="2">
        <v>70</v>
      </c>
      <c r="F1642" s="2">
        <v>32441</v>
      </c>
      <c r="G1642" s="2">
        <v>4.8955231389999998</v>
      </c>
      <c r="H1642" s="2">
        <v>1.997029E-3</v>
      </c>
      <c r="I1642" s="2" t="s">
        <v>30264</v>
      </c>
      <c r="J1642" s="2" t="s">
        <v>30265</v>
      </c>
      <c r="K1642" s="2">
        <v>2.1176377E-2</v>
      </c>
      <c r="L1642" s="2" t="s">
        <v>848</v>
      </c>
      <c r="M1642" s="4" t="s">
        <v>30266</v>
      </c>
    </row>
    <row r="1643" spans="1:13">
      <c r="A1643" s="2">
        <v>3818</v>
      </c>
      <c r="B1643" s="2" t="s">
        <v>11263</v>
      </c>
      <c r="C1643" s="2">
        <v>13</v>
      </c>
      <c r="D1643" s="2">
        <v>568</v>
      </c>
      <c r="E1643" s="2">
        <v>283</v>
      </c>
      <c r="F1643" s="2">
        <v>32441</v>
      </c>
      <c r="G1643" s="2">
        <v>2.623631364</v>
      </c>
      <c r="H1643" s="2">
        <v>2.0251100000000001E-3</v>
      </c>
      <c r="I1643" s="2" t="s">
        <v>30267</v>
      </c>
      <c r="J1643" s="2" t="s">
        <v>30268</v>
      </c>
      <c r="K1643" s="2">
        <v>2.1435737999999999E-2</v>
      </c>
      <c r="L1643" s="2" t="s">
        <v>848</v>
      </c>
      <c r="M1643" s="4" t="s">
        <v>11266</v>
      </c>
    </row>
    <row r="1644" spans="1:13">
      <c r="A1644" s="2">
        <v>1328</v>
      </c>
      <c r="B1644" s="2" t="s">
        <v>30269</v>
      </c>
      <c r="C1644" s="2">
        <v>4</v>
      </c>
      <c r="D1644" s="2">
        <v>568</v>
      </c>
      <c r="E1644" s="2">
        <v>28</v>
      </c>
      <c r="F1644" s="2">
        <v>32441</v>
      </c>
      <c r="G1644" s="2">
        <v>8.1592052309999996</v>
      </c>
      <c r="H1644" s="2">
        <v>2.128493E-3</v>
      </c>
      <c r="I1644" s="2" t="s">
        <v>30270</v>
      </c>
      <c r="J1644" s="2" t="s">
        <v>30271</v>
      </c>
      <c r="K1644" s="2">
        <v>2.2449725E-2</v>
      </c>
      <c r="L1644" s="2" t="s">
        <v>848</v>
      </c>
      <c r="M1644" s="4" t="s">
        <v>30272</v>
      </c>
    </row>
    <row r="1645" spans="1:13">
      <c r="A1645" s="2">
        <v>1633</v>
      </c>
      <c r="B1645" s="2" t="s">
        <v>30273</v>
      </c>
      <c r="C1645" s="2">
        <v>4</v>
      </c>
      <c r="D1645" s="2">
        <v>568</v>
      </c>
      <c r="E1645" s="2">
        <v>28</v>
      </c>
      <c r="F1645" s="2">
        <v>32441</v>
      </c>
      <c r="G1645" s="2">
        <v>8.1592052309999996</v>
      </c>
      <c r="H1645" s="2">
        <v>2.128493E-3</v>
      </c>
      <c r="I1645" s="2" t="s">
        <v>30274</v>
      </c>
      <c r="J1645" s="2" t="s">
        <v>30275</v>
      </c>
      <c r="K1645" s="2">
        <v>2.2449725E-2</v>
      </c>
      <c r="L1645" s="2" t="s">
        <v>848</v>
      </c>
      <c r="M1645" s="4" t="s">
        <v>30276</v>
      </c>
    </row>
    <row r="1646" spans="1:13">
      <c r="A1646" s="2">
        <v>4864</v>
      </c>
      <c r="B1646" s="2" t="s">
        <v>30277</v>
      </c>
      <c r="C1646" s="2">
        <v>7</v>
      </c>
      <c r="D1646" s="2">
        <v>568</v>
      </c>
      <c r="E1646" s="2">
        <v>97</v>
      </c>
      <c r="F1646" s="2">
        <v>32441</v>
      </c>
      <c r="G1646" s="2">
        <v>4.1216603750000003</v>
      </c>
      <c r="H1646" s="2">
        <v>2.1740079999999998E-3</v>
      </c>
      <c r="I1646" s="2" t="s">
        <v>30278</v>
      </c>
      <c r="J1646" s="2" t="s">
        <v>30279</v>
      </c>
      <c r="K1646" s="2">
        <v>2.2888977000000001E-2</v>
      </c>
      <c r="L1646" s="2" t="s">
        <v>848</v>
      </c>
      <c r="M1646" s="4" t="s">
        <v>30280</v>
      </c>
    </row>
    <row r="1647" spans="1:13">
      <c r="A1647" s="2">
        <v>2588</v>
      </c>
      <c r="B1647" s="2" t="s">
        <v>11199</v>
      </c>
      <c r="C1647" s="2">
        <v>18</v>
      </c>
      <c r="D1647" s="2">
        <v>568</v>
      </c>
      <c r="E1647" s="2">
        <v>469</v>
      </c>
      <c r="F1647" s="2">
        <v>32441</v>
      </c>
      <c r="G1647" s="2">
        <v>2.1920252859999998</v>
      </c>
      <c r="H1647" s="2">
        <v>2.1783890000000002E-3</v>
      </c>
      <c r="I1647" s="2" t="s">
        <v>30281</v>
      </c>
      <c r="J1647" s="2" t="s">
        <v>30282</v>
      </c>
      <c r="K1647" s="2">
        <v>2.2894371E-2</v>
      </c>
      <c r="L1647" s="2" t="s">
        <v>848</v>
      </c>
      <c r="M1647" s="4" t="s">
        <v>11202</v>
      </c>
    </row>
    <row r="1648" spans="1:13">
      <c r="A1648" s="2">
        <v>3049</v>
      </c>
      <c r="B1648" s="2" t="s">
        <v>30283</v>
      </c>
      <c r="C1648" s="2">
        <v>8</v>
      </c>
      <c r="D1648" s="2">
        <v>568</v>
      </c>
      <c r="E1648" s="2">
        <v>125</v>
      </c>
      <c r="F1648" s="2">
        <v>32441</v>
      </c>
      <c r="G1648" s="2">
        <v>3.655323944</v>
      </c>
      <c r="H1648" s="2">
        <v>2.193815E-3</v>
      </c>
      <c r="I1648" s="2" t="s">
        <v>30284</v>
      </c>
      <c r="J1648" s="2" t="s">
        <v>30285</v>
      </c>
      <c r="K1648" s="2">
        <v>2.3015608E-2</v>
      </c>
      <c r="L1648" s="2" t="s">
        <v>848</v>
      </c>
      <c r="M1648" s="4" t="s">
        <v>30286</v>
      </c>
    </row>
    <row r="1649" spans="1:13">
      <c r="A1649" s="2">
        <v>2811</v>
      </c>
      <c r="B1649" s="2" t="s">
        <v>30287</v>
      </c>
      <c r="C1649" s="2">
        <v>11</v>
      </c>
      <c r="D1649" s="2">
        <v>568</v>
      </c>
      <c r="E1649" s="2">
        <v>218</v>
      </c>
      <c r="F1649" s="2">
        <v>32441</v>
      </c>
      <c r="G1649" s="2">
        <v>2.8819211139999998</v>
      </c>
      <c r="H1649" s="2">
        <v>2.2001239999999999E-3</v>
      </c>
      <c r="I1649" s="2" t="s">
        <v>30288</v>
      </c>
      <c r="J1649" s="2" t="s">
        <v>30289</v>
      </c>
      <c r="K1649" s="2">
        <v>2.3040946E-2</v>
      </c>
      <c r="L1649" s="2" t="s">
        <v>848</v>
      </c>
      <c r="M1649" s="4" t="s">
        <v>30290</v>
      </c>
    </row>
    <row r="1650" spans="1:13">
      <c r="A1650" s="2">
        <v>2813</v>
      </c>
      <c r="B1650" s="2" t="s">
        <v>30291</v>
      </c>
      <c r="C1650" s="2">
        <v>10</v>
      </c>
      <c r="D1650" s="2">
        <v>568</v>
      </c>
      <c r="E1650" s="2">
        <v>186</v>
      </c>
      <c r="F1650" s="2">
        <v>32441</v>
      </c>
      <c r="G1650" s="2">
        <v>3.0706686350000001</v>
      </c>
      <c r="H1650" s="2">
        <v>2.2261619999999998E-3</v>
      </c>
      <c r="I1650" s="2" t="s">
        <v>30292</v>
      </c>
      <c r="J1650" s="2" t="s">
        <v>30293</v>
      </c>
      <c r="K1650" s="2">
        <v>2.3231393999999999E-2</v>
      </c>
      <c r="L1650" s="2" t="s">
        <v>848</v>
      </c>
      <c r="M1650" s="4" t="s">
        <v>30294</v>
      </c>
    </row>
    <row r="1651" spans="1:13">
      <c r="A1651" s="2">
        <v>5205</v>
      </c>
      <c r="B1651" s="2" t="s">
        <v>30295</v>
      </c>
      <c r="C1651" s="2">
        <v>10</v>
      </c>
      <c r="D1651" s="2">
        <v>568</v>
      </c>
      <c r="E1651" s="2">
        <v>186</v>
      </c>
      <c r="F1651" s="2">
        <v>32441</v>
      </c>
      <c r="G1651" s="2">
        <v>3.0706686350000001</v>
      </c>
      <c r="H1651" s="2">
        <v>2.2261619999999998E-3</v>
      </c>
      <c r="I1651" s="2" t="s">
        <v>30296</v>
      </c>
      <c r="J1651" s="2" t="s">
        <v>30297</v>
      </c>
      <c r="K1651" s="2">
        <v>2.3231393999999999E-2</v>
      </c>
      <c r="L1651" s="2" t="s">
        <v>848</v>
      </c>
      <c r="M1651" s="4" t="s">
        <v>30298</v>
      </c>
    </row>
    <row r="1652" spans="1:13">
      <c r="A1652" s="2">
        <v>4935</v>
      </c>
      <c r="B1652" s="2" t="s">
        <v>9031</v>
      </c>
      <c r="C1652" s="2">
        <v>12</v>
      </c>
      <c r="D1652" s="2">
        <v>568</v>
      </c>
      <c r="E1652" s="2">
        <v>252</v>
      </c>
      <c r="F1652" s="2">
        <v>32441</v>
      </c>
      <c r="G1652" s="2">
        <v>2.7197350770000002</v>
      </c>
      <c r="H1652" s="2">
        <v>2.2398320000000002E-3</v>
      </c>
      <c r="I1652" s="2" t="s">
        <v>30299</v>
      </c>
      <c r="J1652" s="2" t="s">
        <v>30300</v>
      </c>
      <c r="K1652" s="2">
        <v>2.3332894E-2</v>
      </c>
      <c r="L1652" s="2" t="s">
        <v>848</v>
      </c>
      <c r="M1652" s="4" t="s">
        <v>9034</v>
      </c>
    </row>
    <row r="1653" spans="1:13">
      <c r="A1653" s="2">
        <v>33091</v>
      </c>
      <c r="B1653" s="2" t="s">
        <v>30301</v>
      </c>
      <c r="C1653" s="2">
        <v>6</v>
      </c>
      <c r="D1653" s="2">
        <v>568</v>
      </c>
      <c r="E1653" s="2">
        <v>72</v>
      </c>
      <c r="F1653" s="2">
        <v>32441</v>
      </c>
      <c r="G1653" s="2">
        <v>4.7595363849999996</v>
      </c>
      <c r="H1653" s="2">
        <v>2.2797799999999999E-3</v>
      </c>
      <c r="I1653" s="2" t="s">
        <v>30302</v>
      </c>
      <c r="J1653" s="2" t="s">
        <v>30303</v>
      </c>
      <c r="K1653" s="2">
        <v>2.3665716999999999E-2</v>
      </c>
      <c r="L1653" s="2" t="s">
        <v>848</v>
      </c>
      <c r="M1653" s="4" t="s">
        <v>30304</v>
      </c>
    </row>
    <row r="1654" spans="1:13">
      <c r="A1654" s="2">
        <v>5035</v>
      </c>
      <c r="B1654" s="2" t="s">
        <v>30305</v>
      </c>
      <c r="C1654" s="2">
        <v>6</v>
      </c>
      <c r="D1654" s="2">
        <v>568</v>
      </c>
      <c r="E1654" s="2">
        <v>72</v>
      </c>
      <c r="F1654" s="2">
        <v>32441</v>
      </c>
      <c r="G1654" s="2">
        <v>4.7595363849999996</v>
      </c>
      <c r="H1654" s="2">
        <v>2.2797799999999999E-3</v>
      </c>
      <c r="I1654" s="2" t="s">
        <v>30306</v>
      </c>
      <c r="J1654" s="2" t="s">
        <v>30307</v>
      </c>
      <c r="K1654" s="2">
        <v>2.3665716999999999E-2</v>
      </c>
      <c r="L1654" s="2" t="s">
        <v>848</v>
      </c>
      <c r="M1654" s="4" t="s">
        <v>30308</v>
      </c>
    </row>
    <row r="1655" spans="1:13">
      <c r="A1655" s="2">
        <v>15071</v>
      </c>
      <c r="B1655" s="2" t="s">
        <v>30309</v>
      </c>
      <c r="C1655" s="2">
        <v>9</v>
      </c>
      <c r="D1655" s="2">
        <v>568</v>
      </c>
      <c r="E1655" s="2">
        <v>156</v>
      </c>
      <c r="F1655" s="2">
        <v>32441</v>
      </c>
      <c r="G1655" s="2">
        <v>3.295063651</v>
      </c>
      <c r="H1655" s="2">
        <v>2.3271849999999998E-3</v>
      </c>
      <c r="I1655" s="2" t="s">
        <v>30310</v>
      </c>
      <c r="J1655" s="2" t="s">
        <v>30311</v>
      </c>
      <c r="K1655" s="2">
        <v>2.4073348000000001E-2</v>
      </c>
      <c r="L1655" s="2" t="s">
        <v>848</v>
      </c>
      <c r="M1655" s="4" t="s">
        <v>30312</v>
      </c>
    </row>
    <row r="1656" spans="1:13">
      <c r="A1656" s="2">
        <v>2494</v>
      </c>
      <c r="B1656" s="2" t="s">
        <v>30313</v>
      </c>
      <c r="C1656" s="2">
        <v>9</v>
      </c>
      <c r="D1656" s="2">
        <v>568</v>
      </c>
      <c r="E1656" s="2">
        <v>156</v>
      </c>
      <c r="F1656" s="2">
        <v>32441</v>
      </c>
      <c r="G1656" s="2">
        <v>3.295063651</v>
      </c>
      <c r="H1656" s="2">
        <v>2.3271849999999998E-3</v>
      </c>
      <c r="I1656" s="2" t="s">
        <v>30314</v>
      </c>
      <c r="J1656" s="2" t="s">
        <v>30315</v>
      </c>
      <c r="K1656" s="2">
        <v>2.4073348000000001E-2</v>
      </c>
      <c r="L1656" s="2" t="s">
        <v>848</v>
      </c>
      <c r="M1656" s="4" t="s">
        <v>30316</v>
      </c>
    </row>
    <row r="1657" spans="1:13">
      <c r="A1657" s="2">
        <v>1463</v>
      </c>
      <c r="B1657" s="2" t="s">
        <v>30317</v>
      </c>
      <c r="C1657" s="2">
        <v>3</v>
      </c>
      <c r="D1657" s="2">
        <v>568</v>
      </c>
      <c r="E1657" s="2">
        <v>13</v>
      </c>
      <c r="F1657" s="2">
        <v>32441</v>
      </c>
      <c r="G1657" s="2">
        <v>13.1802546</v>
      </c>
      <c r="H1657" s="2">
        <v>2.4015960000000002E-3</v>
      </c>
      <c r="I1657" s="2" t="s">
        <v>30318</v>
      </c>
      <c r="J1657" s="2" t="s">
        <v>30319</v>
      </c>
      <c r="K1657" s="2">
        <v>2.462781E-2</v>
      </c>
      <c r="L1657" s="2" t="s">
        <v>848</v>
      </c>
      <c r="M1657" s="4" t="s">
        <v>30320</v>
      </c>
    </row>
    <row r="1658" spans="1:13">
      <c r="A1658" s="2">
        <v>32141</v>
      </c>
      <c r="B1658" s="2" t="s">
        <v>30321</v>
      </c>
      <c r="C1658" s="2">
        <v>4</v>
      </c>
      <c r="D1658" s="2">
        <v>568</v>
      </c>
      <c r="E1658" s="2">
        <v>29</v>
      </c>
      <c r="F1658" s="2">
        <v>32441</v>
      </c>
      <c r="G1658" s="2">
        <v>7.8778533270000004</v>
      </c>
      <c r="H1658" s="2">
        <v>2.3895019999999999E-3</v>
      </c>
      <c r="I1658" s="2" t="s">
        <v>30322</v>
      </c>
      <c r="J1658" s="2" t="s">
        <v>30323</v>
      </c>
      <c r="K1658" s="2">
        <v>2.462781E-2</v>
      </c>
      <c r="L1658" s="2" t="s">
        <v>848</v>
      </c>
      <c r="M1658" s="4" t="s">
        <v>30324</v>
      </c>
    </row>
    <row r="1659" spans="1:13">
      <c r="A1659" s="2">
        <v>3838</v>
      </c>
      <c r="B1659" s="2" t="s">
        <v>30325</v>
      </c>
      <c r="C1659" s="2">
        <v>3</v>
      </c>
      <c r="D1659" s="2">
        <v>568</v>
      </c>
      <c r="E1659" s="2">
        <v>13</v>
      </c>
      <c r="F1659" s="2">
        <v>32441</v>
      </c>
      <c r="G1659" s="2">
        <v>13.1802546</v>
      </c>
      <c r="H1659" s="2">
        <v>2.4015960000000002E-3</v>
      </c>
      <c r="I1659" s="2" t="s">
        <v>30326</v>
      </c>
      <c r="J1659" s="2" t="s">
        <v>30327</v>
      </c>
      <c r="K1659" s="2">
        <v>2.462781E-2</v>
      </c>
      <c r="L1659" s="2" t="s">
        <v>848</v>
      </c>
      <c r="M1659" s="4" t="s">
        <v>30328</v>
      </c>
    </row>
    <row r="1660" spans="1:13">
      <c r="A1660" s="2">
        <v>4895</v>
      </c>
      <c r="B1660" s="2" t="s">
        <v>30329</v>
      </c>
      <c r="C1660" s="2">
        <v>4</v>
      </c>
      <c r="D1660" s="2">
        <v>568</v>
      </c>
      <c r="E1660" s="2">
        <v>29</v>
      </c>
      <c r="F1660" s="2">
        <v>32441</v>
      </c>
      <c r="G1660" s="2">
        <v>7.8778533270000004</v>
      </c>
      <c r="H1660" s="2">
        <v>2.3895019999999999E-3</v>
      </c>
      <c r="I1660" s="2" t="s">
        <v>30330</v>
      </c>
      <c r="J1660" s="2" t="s">
        <v>30331</v>
      </c>
      <c r="K1660" s="2">
        <v>2.462781E-2</v>
      </c>
      <c r="L1660" s="2" t="s">
        <v>848</v>
      </c>
      <c r="M1660" s="4" t="s">
        <v>30332</v>
      </c>
    </row>
    <row r="1661" spans="1:13">
      <c r="A1661" s="2">
        <v>5892</v>
      </c>
      <c r="B1661" s="2" t="s">
        <v>30333</v>
      </c>
      <c r="C1661" s="2">
        <v>3</v>
      </c>
      <c r="D1661" s="2">
        <v>568</v>
      </c>
      <c r="E1661" s="2">
        <v>13</v>
      </c>
      <c r="F1661" s="2">
        <v>32441</v>
      </c>
      <c r="G1661" s="2">
        <v>13.1802546</v>
      </c>
      <c r="H1661" s="2">
        <v>2.4015960000000002E-3</v>
      </c>
      <c r="I1661" s="2" t="s">
        <v>30334</v>
      </c>
      <c r="J1661" s="2" t="s">
        <v>30335</v>
      </c>
      <c r="K1661" s="2">
        <v>2.462781E-2</v>
      </c>
      <c r="L1661" s="2" t="s">
        <v>848</v>
      </c>
      <c r="M1661" s="4" t="s">
        <v>30336</v>
      </c>
    </row>
    <row r="1662" spans="1:13">
      <c r="A1662" s="2">
        <v>1231</v>
      </c>
      <c r="B1662" s="2" t="s">
        <v>30337</v>
      </c>
      <c r="C1662" s="2">
        <v>6</v>
      </c>
      <c r="D1662" s="2">
        <v>568</v>
      </c>
      <c r="E1662" s="2">
        <v>73</v>
      </c>
      <c r="F1662" s="2">
        <v>32441</v>
      </c>
      <c r="G1662" s="2">
        <v>4.6943372559999998</v>
      </c>
      <c r="H1662" s="2">
        <v>2.4319670000000002E-3</v>
      </c>
      <c r="I1662" s="2" t="s">
        <v>30338</v>
      </c>
      <c r="J1662" s="2" t="s">
        <v>30339</v>
      </c>
      <c r="K1662" s="2">
        <v>2.4781884000000001E-2</v>
      </c>
      <c r="L1662" s="2" t="s">
        <v>848</v>
      </c>
      <c r="M1662" s="4" t="s">
        <v>30340</v>
      </c>
    </row>
    <row r="1663" spans="1:13">
      <c r="A1663" s="2">
        <v>1634</v>
      </c>
      <c r="B1663" s="2" t="s">
        <v>30341</v>
      </c>
      <c r="C1663" s="2">
        <v>20</v>
      </c>
      <c r="D1663" s="2">
        <v>568</v>
      </c>
      <c r="E1663" s="2">
        <v>552</v>
      </c>
      <c r="F1663" s="2">
        <v>32441</v>
      </c>
      <c r="G1663" s="2">
        <v>2.0693636459999998</v>
      </c>
      <c r="H1663" s="2">
        <v>2.4251889999999999E-3</v>
      </c>
      <c r="I1663" s="2" t="s">
        <v>30342</v>
      </c>
      <c r="J1663" s="2" t="s">
        <v>30343</v>
      </c>
      <c r="K1663" s="2">
        <v>2.4781884000000001E-2</v>
      </c>
      <c r="L1663" s="2" t="s">
        <v>848</v>
      </c>
      <c r="M1663" s="4" t="s">
        <v>30344</v>
      </c>
    </row>
    <row r="1664" spans="1:13">
      <c r="A1664" s="2">
        <v>5350</v>
      </c>
      <c r="B1664" s="2" t="s">
        <v>30345</v>
      </c>
      <c r="C1664" s="2">
        <v>7</v>
      </c>
      <c r="D1664" s="2">
        <v>568</v>
      </c>
      <c r="E1664" s="2">
        <v>99</v>
      </c>
      <c r="F1664" s="2">
        <v>32441</v>
      </c>
      <c r="G1664" s="2">
        <v>4.0383945079999997</v>
      </c>
      <c r="H1664" s="2">
        <v>2.422114E-3</v>
      </c>
      <c r="I1664" s="2" t="s">
        <v>30346</v>
      </c>
      <c r="J1664" s="2" t="s">
        <v>30347</v>
      </c>
      <c r="K1664" s="2">
        <v>2.4781884000000001E-2</v>
      </c>
      <c r="L1664" s="2" t="s">
        <v>848</v>
      </c>
      <c r="M1664" s="4" t="s">
        <v>30348</v>
      </c>
    </row>
    <row r="1665" spans="1:13">
      <c r="A1665" s="2">
        <v>5789</v>
      </c>
      <c r="B1665" s="2" t="s">
        <v>30349</v>
      </c>
      <c r="C1665" s="2">
        <v>11</v>
      </c>
      <c r="D1665" s="2">
        <v>568</v>
      </c>
      <c r="E1665" s="2">
        <v>221</v>
      </c>
      <c r="F1665" s="2">
        <v>32441</v>
      </c>
      <c r="G1665" s="2">
        <v>2.8428000130000002</v>
      </c>
      <c r="H1665" s="2">
        <v>2.4333739999999999E-3</v>
      </c>
      <c r="I1665" s="2" t="s">
        <v>30350</v>
      </c>
      <c r="J1665" s="2" t="s">
        <v>30351</v>
      </c>
      <c r="K1665" s="2">
        <v>2.4781884000000001E-2</v>
      </c>
      <c r="L1665" s="2" t="s">
        <v>848</v>
      </c>
      <c r="M1665" s="4" t="s">
        <v>30352</v>
      </c>
    </row>
    <row r="1666" spans="1:13">
      <c r="A1666" s="2">
        <v>1281</v>
      </c>
      <c r="B1666" s="2" t="s">
        <v>30353</v>
      </c>
      <c r="C1666" s="2">
        <v>8</v>
      </c>
      <c r="D1666" s="2">
        <v>568</v>
      </c>
      <c r="E1666" s="2">
        <v>128</v>
      </c>
      <c r="F1666" s="2">
        <v>32441</v>
      </c>
      <c r="G1666" s="2">
        <v>3.569652289</v>
      </c>
      <c r="H1666" s="2">
        <v>2.520525E-3</v>
      </c>
      <c r="I1666" s="2" t="s">
        <v>30354</v>
      </c>
      <c r="J1666" s="2" t="s">
        <v>30355</v>
      </c>
      <c r="K1666" s="2">
        <v>2.5625339E-2</v>
      </c>
      <c r="L1666" s="2" t="s">
        <v>848</v>
      </c>
      <c r="M1666" s="4" t="s">
        <v>30356</v>
      </c>
    </row>
    <row r="1667" spans="1:13">
      <c r="A1667" s="2">
        <v>1654</v>
      </c>
      <c r="B1667" s="2" t="s">
        <v>30357</v>
      </c>
      <c r="C1667" s="2">
        <v>5</v>
      </c>
      <c r="D1667" s="2">
        <v>568</v>
      </c>
      <c r="E1667" s="2">
        <v>50</v>
      </c>
      <c r="F1667" s="2">
        <v>32441</v>
      </c>
      <c r="G1667" s="2">
        <v>5.7114436619999998</v>
      </c>
      <c r="H1667" s="2">
        <v>2.5391509999999999E-3</v>
      </c>
      <c r="I1667" s="2" t="s">
        <v>30358</v>
      </c>
      <c r="J1667" s="2" t="s">
        <v>30359</v>
      </c>
      <c r="K1667" s="2">
        <v>2.5682320000000002E-2</v>
      </c>
      <c r="L1667" s="2" t="s">
        <v>848</v>
      </c>
      <c r="M1667" s="4" t="s">
        <v>30360</v>
      </c>
    </row>
    <row r="1668" spans="1:13">
      <c r="A1668" s="2">
        <v>2205</v>
      </c>
      <c r="B1668" s="2" t="s">
        <v>30361</v>
      </c>
      <c r="C1668" s="2">
        <v>5</v>
      </c>
      <c r="D1668" s="2">
        <v>568</v>
      </c>
      <c r="E1668" s="2">
        <v>50</v>
      </c>
      <c r="F1668" s="2">
        <v>32441</v>
      </c>
      <c r="G1668" s="2">
        <v>5.7114436619999998</v>
      </c>
      <c r="H1668" s="2">
        <v>2.5391509999999999E-3</v>
      </c>
      <c r="I1668" s="2" t="s">
        <v>30362</v>
      </c>
      <c r="J1668" s="2" t="s">
        <v>30363</v>
      </c>
      <c r="K1668" s="2">
        <v>2.5682320000000002E-2</v>
      </c>
      <c r="L1668" s="2" t="s">
        <v>848</v>
      </c>
      <c r="M1668" s="4" t="s">
        <v>30364</v>
      </c>
    </row>
    <row r="1669" spans="1:13">
      <c r="A1669" s="2">
        <v>3136</v>
      </c>
      <c r="B1669" s="2" t="s">
        <v>30365</v>
      </c>
      <c r="C1669" s="2">
        <v>5</v>
      </c>
      <c r="D1669" s="2">
        <v>568</v>
      </c>
      <c r="E1669" s="2">
        <v>50</v>
      </c>
      <c r="F1669" s="2">
        <v>32441</v>
      </c>
      <c r="G1669" s="2">
        <v>5.7114436619999998</v>
      </c>
      <c r="H1669" s="2">
        <v>2.5391509999999999E-3</v>
      </c>
      <c r="I1669" s="2" t="s">
        <v>30366</v>
      </c>
      <c r="J1669" s="2" t="s">
        <v>30367</v>
      </c>
      <c r="K1669" s="2">
        <v>2.5682320000000002E-2</v>
      </c>
      <c r="L1669" s="2" t="s">
        <v>848</v>
      </c>
      <c r="M1669" s="4" t="s">
        <v>30368</v>
      </c>
    </row>
    <row r="1670" spans="1:13">
      <c r="A1670" s="2">
        <v>441</v>
      </c>
      <c r="B1670" s="2" t="s">
        <v>30369</v>
      </c>
      <c r="C1670" s="2">
        <v>6</v>
      </c>
      <c r="D1670" s="2">
        <v>568</v>
      </c>
      <c r="E1670" s="2">
        <v>74</v>
      </c>
      <c r="F1670" s="2">
        <v>32441</v>
      </c>
      <c r="G1670" s="2">
        <v>4.6309002660000003</v>
      </c>
      <c r="H1670" s="2">
        <v>2.591664E-3</v>
      </c>
      <c r="I1670" s="2" t="s">
        <v>30370</v>
      </c>
      <c r="J1670" s="2" t="s">
        <v>30371</v>
      </c>
      <c r="K1670" s="2">
        <v>2.6168727999999999E-2</v>
      </c>
      <c r="L1670" s="2" t="s">
        <v>848</v>
      </c>
      <c r="M1670" s="4" t="s">
        <v>30372</v>
      </c>
    </row>
    <row r="1671" spans="1:13">
      <c r="A1671" s="2">
        <v>947</v>
      </c>
      <c r="B1671" s="2" t="s">
        <v>30373</v>
      </c>
      <c r="C1671" s="2">
        <v>4</v>
      </c>
      <c r="D1671" s="2">
        <v>568</v>
      </c>
      <c r="E1671" s="2">
        <v>30</v>
      </c>
      <c r="F1671" s="2">
        <v>32441</v>
      </c>
      <c r="G1671" s="2">
        <v>7.615258216</v>
      </c>
      <c r="H1671" s="2">
        <v>2.6717009999999999E-3</v>
      </c>
      <c r="I1671" s="2" t="s">
        <v>30374</v>
      </c>
      <c r="J1671" s="2" t="s">
        <v>30375</v>
      </c>
      <c r="K1671" s="2">
        <v>2.6839483000000001E-2</v>
      </c>
      <c r="L1671" s="2" t="s">
        <v>848</v>
      </c>
      <c r="M1671" s="4" t="s">
        <v>30376</v>
      </c>
    </row>
    <row r="1672" spans="1:13">
      <c r="A1672" s="2">
        <v>5438</v>
      </c>
      <c r="B1672" s="2" t="s">
        <v>30377</v>
      </c>
      <c r="C1672" s="2">
        <v>4</v>
      </c>
      <c r="D1672" s="2">
        <v>568</v>
      </c>
      <c r="E1672" s="2">
        <v>30</v>
      </c>
      <c r="F1672" s="2">
        <v>32441</v>
      </c>
      <c r="G1672" s="2">
        <v>7.615258216</v>
      </c>
      <c r="H1672" s="2">
        <v>2.6717009999999999E-3</v>
      </c>
      <c r="I1672" s="2" t="s">
        <v>30378</v>
      </c>
      <c r="J1672" s="2" t="s">
        <v>30379</v>
      </c>
      <c r="K1672" s="2">
        <v>2.6839483000000001E-2</v>
      </c>
      <c r="L1672" s="2" t="s">
        <v>848</v>
      </c>
      <c r="M1672" s="4" t="s">
        <v>30380</v>
      </c>
    </row>
    <row r="1673" spans="1:13">
      <c r="A1673" s="2">
        <v>5684</v>
      </c>
      <c r="B1673" s="2" t="s">
        <v>30381</v>
      </c>
      <c r="C1673" s="2">
        <v>4</v>
      </c>
      <c r="D1673" s="2">
        <v>568</v>
      </c>
      <c r="E1673" s="2">
        <v>30</v>
      </c>
      <c r="F1673" s="2">
        <v>32441</v>
      </c>
      <c r="G1673" s="2">
        <v>7.615258216</v>
      </c>
      <c r="H1673" s="2">
        <v>2.6717009999999999E-3</v>
      </c>
      <c r="I1673" s="2" t="s">
        <v>30382</v>
      </c>
      <c r="J1673" s="2" t="s">
        <v>30383</v>
      </c>
      <c r="K1673" s="2">
        <v>2.6839483000000001E-2</v>
      </c>
      <c r="L1673" s="2" t="s">
        <v>848</v>
      </c>
      <c r="M1673" s="4" t="s">
        <v>30384</v>
      </c>
    </row>
    <row r="1674" spans="1:13">
      <c r="A1674" s="2">
        <v>5551</v>
      </c>
      <c r="B1674" s="2" t="s">
        <v>30385</v>
      </c>
      <c r="C1674" s="2">
        <v>6</v>
      </c>
      <c r="D1674" s="2">
        <v>568</v>
      </c>
      <c r="E1674" s="2">
        <v>75</v>
      </c>
      <c r="F1674" s="2">
        <v>32441</v>
      </c>
      <c r="G1674" s="2">
        <v>4.5691549299999998</v>
      </c>
      <c r="H1674" s="2">
        <v>2.7591E-3</v>
      </c>
      <c r="I1674" s="2" t="s">
        <v>30386</v>
      </c>
      <c r="J1674" s="2" t="s">
        <v>30387</v>
      </c>
      <c r="K1674" s="2">
        <v>2.7530513E-2</v>
      </c>
      <c r="L1674" s="2" t="s">
        <v>848</v>
      </c>
      <c r="M1674" s="4" t="s">
        <v>30388</v>
      </c>
    </row>
    <row r="1675" spans="1:13">
      <c r="A1675" s="2">
        <v>27311</v>
      </c>
      <c r="B1675" s="2" t="s">
        <v>30389</v>
      </c>
      <c r="C1675" s="2">
        <v>6</v>
      </c>
      <c r="D1675" s="2">
        <v>568</v>
      </c>
      <c r="E1675" s="2">
        <v>75</v>
      </c>
      <c r="F1675" s="2">
        <v>32441</v>
      </c>
      <c r="G1675" s="2">
        <v>4.5691549299999998</v>
      </c>
      <c r="H1675" s="2">
        <v>2.7591E-3</v>
      </c>
      <c r="I1675" s="2" t="s">
        <v>30390</v>
      </c>
      <c r="J1675" s="2" t="s">
        <v>30391</v>
      </c>
      <c r="K1675" s="2">
        <v>2.7530513E-2</v>
      </c>
      <c r="L1675" s="2" t="s">
        <v>848</v>
      </c>
      <c r="M1675" s="4" t="s">
        <v>30392</v>
      </c>
    </row>
    <row r="1676" spans="1:13">
      <c r="A1676" s="2">
        <v>5415</v>
      </c>
      <c r="B1676" s="2" t="s">
        <v>30393</v>
      </c>
      <c r="C1676" s="2">
        <v>5</v>
      </c>
      <c r="D1676" s="2">
        <v>568</v>
      </c>
      <c r="E1676" s="2">
        <v>51</v>
      </c>
      <c r="F1676" s="2">
        <v>32441</v>
      </c>
      <c r="G1676" s="2">
        <v>5.5994545709999999</v>
      </c>
      <c r="H1676" s="2">
        <v>2.7492810000000001E-3</v>
      </c>
      <c r="I1676" s="2" t="s">
        <v>30394</v>
      </c>
      <c r="J1676" s="2" t="s">
        <v>30395</v>
      </c>
      <c r="K1676" s="2">
        <v>2.7530513E-2</v>
      </c>
      <c r="L1676" s="2" t="s">
        <v>848</v>
      </c>
      <c r="M1676" s="4" t="s">
        <v>30396</v>
      </c>
    </row>
    <row r="1677" spans="1:13">
      <c r="A1677" s="2">
        <v>5605</v>
      </c>
      <c r="B1677" s="2" t="s">
        <v>30397</v>
      </c>
      <c r="C1677" s="2">
        <v>8</v>
      </c>
      <c r="D1677" s="2">
        <v>568</v>
      </c>
      <c r="E1677" s="2">
        <v>130</v>
      </c>
      <c r="F1677" s="2">
        <v>32441</v>
      </c>
      <c r="G1677" s="2">
        <v>3.514734561</v>
      </c>
      <c r="H1677" s="2">
        <v>2.758655E-3</v>
      </c>
      <c r="I1677" s="2" t="s">
        <v>30398</v>
      </c>
      <c r="J1677" s="2" t="s">
        <v>30399</v>
      </c>
      <c r="K1677" s="2">
        <v>2.7530513E-2</v>
      </c>
      <c r="L1677" s="2" t="s">
        <v>848</v>
      </c>
      <c r="M1677" s="4" t="s">
        <v>30400</v>
      </c>
    </row>
    <row r="1678" spans="1:13">
      <c r="A1678" s="2">
        <v>2940</v>
      </c>
      <c r="B1678" s="2" t="s">
        <v>30401</v>
      </c>
      <c r="C1678" s="2">
        <v>28</v>
      </c>
      <c r="D1678" s="2">
        <v>568</v>
      </c>
      <c r="E1678" s="2">
        <v>891</v>
      </c>
      <c r="F1678" s="2">
        <v>32441</v>
      </c>
      <c r="G1678" s="2">
        <v>1.7948420039999999</v>
      </c>
      <c r="H1678" s="2">
        <v>2.825733E-3</v>
      </c>
      <c r="I1678" s="2" t="s">
        <v>30402</v>
      </c>
      <c r="J1678" s="2" t="s">
        <v>30403</v>
      </c>
      <c r="K1678" s="2">
        <v>2.8147915999999999E-2</v>
      </c>
      <c r="L1678" s="2" t="s">
        <v>848</v>
      </c>
      <c r="M1678" s="4" t="s">
        <v>30404</v>
      </c>
    </row>
    <row r="1679" spans="1:13">
      <c r="A1679" s="2">
        <v>2678</v>
      </c>
      <c r="B1679" s="2" t="s">
        <v>30405</v>
      </c>
      <c r="C1679" s="2">
        <v>3</v>
      </c>
      <c r="D1679" s="2">
        <v>568</v>
      </c>
      <c r="E1679" s="2">
        <v>14</v>
      </c>
      <c r="F1679" s="2">
        <v>32441</v>
      </c>
      <c r="G1679" s="2">
        <v>12.238807850000001</v>
      </c>
      <c r="H1679" s="2">
        <v>2.879202E-3</v>
      </c>
      <c r="I1679" s="2" t="s">
        <v>30406</v>
      </c>
      <c r="J1679" s="2" t="s">
        <v>30407</v>
      </c>
      <c r="K1679" s="2">
        <v>2.8584292000000001E-2</v>
      </c>
      <c r="L1679" s="2" t="s">
        <v>848</v>
      </c>
      <c r="M1679" s="4" t="s">
        <v>30408</v>
      </c>
    </row>
    <row r="1680" spans="1:13">
      <c r="A1680" s="2">
        <v>4677</v>
      </c>
      <c r="B1680" s="2" t="s">
        <v>30409</v>
      </c>
      <c r="C1680" s="2">
        <v>3</v>
      </c>
      <c r="D1680" s="2">
        <v>568</v>
      </c>
      <c r="E1680" s="2">
        <v>14</v>
      </c>
      <c r="F1680" s="2">
        <v>32441</v>
      </c>
      <c r="G1680" s="2">
        <v>12.238807850000001</v>
      </c>
      <c r="H1680" s="2">
        <v>2.879202E-3</v>
      </c>
      <c r="I1680" s="2" t="s">
        <v>30410</v>
      </c>
      <c r="J1680" s="2" t="s">
        <v>30411</v>
      </c>
      <c r="K1680" s="2">
        <v>2.8584292000000001E-2</v>
      </c>
      <c r="L1680" s="2" t="s">
        <v>848</v>
      </c>
      <c r="M1680" s="4" t="s">
        <v>30412</v>
      </c>
    </row>
    <row r="1681" spans="1:13">
      <c r="A1681" s="2">
        <v>39241</v>
      </c>
      <c r="B1681" s="2" t="s">
        <v>30413</v>
      </c>
      <c r="C1681" s="2">
        <v>16</v>
      </c>
      <c r="D1681" s="2">
        <v>568</v>
      </c>
      <c r="E1681" s="2">
        <v>406</v>
      </c>
      <c r="F1681" s="2">
        <v>32441</v>
      </c>
      <c r="G1681" s="2">
        <v>2.2508152360000002</v>
      </c>
      <c r="H1681" s="2">
        <v>2.9235229999999999E-3</v>
      </c>
      <c r="I1681" s="2" t="s">
        <v>30414</v>
      </c>
      <c r="J1681" s="2" t="s">
        <v>30415</v>
      </c>
      <c r="K1681" s="2">
        <v>2.8975692000000001E-2</v>
      </c>
      <c r="L1681" s="2" t="s">
        <v>848</v>
      </c>
      <c r="M1681" s="4" t="s">
        <v>30416</v>
      </c>
    </row>
    <row r="1682" spans="1:13">
      <c r="A1682" s="2">
        <v>4841</v>
      </c>
      <c r="B1682" s="2" t="s">
        <v>30417</v>
      </c>
      <c r="C1682" s="2">
        <v>4</v>
      </c>
      <c r="D1682" s="2">
        <v>568</v>
      </c>
      <c r="E1682" s="2">
        <v>31</v>
      </c>
      <c r="F1682" s="2">
        <v>32441</v>
      </c>
      <c r="G1682" s="2">
        <v>7.3696047250000003</v>
      </c>
      <c r="H1682" s="2">
        <v>2.9759159999999999E-3</v>
      </c>
      <c r="I1682" s="2" t="s">
        <v>30418</v>
      </c>
      <c r="J1682" s="2" t="s">
        <v>30419</v>
      </c>
      <c r="K1682" s="2">
        <v>2.934749E-2</v>
      </c>
      <c r="L1682" s="2" t="s">
        <v>848</v>
      </c>
      <c r="M1682" s="4" t="s">
        <v>30420</v>
      </c>
    </row>
    <row r="1683" spans="1:13">
      <c r="A1683" s="2">
        <v>2041</v>
      </c>
      <c r="B1683" s="2" t="s">
        <v>30421</v>
      </c>
      <c r="C1683" s="2">
        <v>4</v>
      </c>
      <c r="D1683" s="2">
        <v>568</v>
      </c>
      <c r="E1683" s="2">
        <v>31</v>
      </c>
      <c r="F1683" s="2">
        <v>32441</v>
      </c>
      <c r="G1683" s="2">
        <v>7.3696047250000003</v>
      </c>
      <c r="H1683" s="2">
        <v>2.9759159999999999E-3</v>
      </c>
      <c r="I1683" s="2" t="s">
        <v>30140</v>
      </c>
      <c r="J1683" s="2" t="s">
        <v>30141</v>
      </c>
      <c r="K1683" s="2">
        <v>2.934749E-2</v>
      </c>
      <c r="L1683" s="2" t="s">
        <v>848</v>
      </c>
      <c r="M1683" s="4" t="s">
        <v>30422</v>
      </c>
    </row>
    <row r="1684" spans="1:13">
      <c r="A1684" s="2">
        <v>5080</v>
      </c>
      <c r="B1684" s="2" t="s">
        <v>30423</v>
      </c>
      <c r="C1684" s="2">
        <v>5</v>
      </c>
      <c r="D1684" s="2">
        <v>568</v>
      </c>
      <c r="E1684" s="2">
        <v>52</v>
      </c>
      <c r="F1684" s="2">
        <v>32441</v>
      </c>
      <c r="G1684" s="2">
        <v>5.4917727520000001</v>
      </c>
      <c r="H1684" s="2">
        <v>2.9717089999999999E-3</v>
      </c>
      <c r="I1684" s="2" t="s">
        <v>30424</v>
      </c>
      <c r="J1684" s="2" t="s">
        <v>30425</v>
      </c>
      <c r="K1684" s="2">
        <v>2.934749E-2</v>
      </c>
      <c r="L1684" s="2" t="s">
        <v>848</v>
      </c>
      <c r="M1684" s="4" t="s">
        <v>30426</v>
      </c>
    </row>
    <row r="1685" spans="1:13">
      <c r="A1685" s="2">
        <v>4180</v>
      </c>
      <c r="B1685" s="2" t="s">
        <v>30427</v>
      </c>
      <c r="C1685" s="2">
        <v>42</v>
      </c>
      <c r="D1685" s="2">
        <v>568</v>
      </c>
      <c r="E1685" s="2">
        <v>1518</v>
      </c>
      <c r="F1685" s="2">
        <v>32441</v>
      </c>
      <c r="G1685" s="2">
        <v>1.5802413289999999</v>
      </c>
      <c r="H1685" s="2">
        <v>3.0150009999999998E-3</v>
      </c>
      <c r="I1685" s="2" t="s">
        <v>30428</v>
      </c>
      <c r="J1685" s="2" t="s">
        <v>30429</v>
      </c>
      <c r="K1685" s="2">
        <v>2.9634153999999999E-2</v>
      </c>
      <c r="L1685" s="2" t="s">
        <v>848</v>
      </c>
      <c r="M1685" s="4" t="s">
        <v>30430</v>
      </c>
    </row>
    <row r="1686" spans="1:13">
      <c r="A1686" s="2">
        <v>4438</v>
      </c>
      <c r="B1686" s="2" t="s">
        <v>30431</v>
      </c>
      <c r="C1686" s="2">
        <v>8</v>
      </c>
      <c r="D1686" s="2">
        <v>568</v>
      </c>
      <c r="E1686" s="2">
        <v>132</v>
      </c>
      <c r="F1686" s="2">
        <v>32441</v>
      </c>
      <c r="G1686" s="2">
        <v>3.4614810070000002</v>
      </c>
      <c r="H1686" s="2">
        <v>3.0139860000000002E-3</v>
      </c>
      <c r="I1686" s="2" t="s">
        <v>30432</v>
      </c>
      <c r="J1686" s="2" t="s">
        <v>30433</v>
      </c>
      <c r="K1686" s="2">
        <v>2.9634153999999999E-2</v>
      </c>
      <c r="L1686" s="2" t="s">
        <v>848</v>
      </c>
      <c r="M1686" s="4" t="s">
        <v>30434</v>
      </c>
    </row>
    <row r="1687" spans="1:13">
      <c r="A1687" s="2">
        <v>4883</v>
      </c>
      <c r="B1687" s="2" t="s">
        <v>30435</v>
      </c>
      <c r="C1687" s="2">
        <v>10</v>
      </c>
      <c r="D1687" s="2">
        <v>568</v>
      </c>
      <c r="E1687" s="2">
        <v>195</v>
      </c>
      <c r="F1687" s="2">
        <v>32441</v>
      </c>
      <c r="G1687" s="2">
        <v>2.9289454680000002</v>
      </c>
      <c r="H1687" s="2">
        <v>3.0766719999999999E-3</v>
      </c>
      <c r="I1687" s="2" t="s">
        <v>30436</v>
      </c>
      <c r="J1687" s="2" t="s">
        <v>30437</v>
      </c>
      <c r="K1687" s="2">
        <v>3.0190167E-2</v>
      </c>
      <c r="L1687" s="2" t="s">
        <v>848</v>
      </c>
      <c r="M1687" s="4" t="s">
        <v>30438</v>
      </c>
    </row>
    <row r="1688" spans="1:13">
      <c r="A1688" s="2">
        <v>5825</v>
      </c>
      <c r="B1688" s="2" t="s">
        <v>30439</v>
      </c>
      <c r="C1688" s="2">
        <v>15</v>
      </c>
      <c r="D1688" s="2">
        <v>568</v>
      </c>
      <c r="E1688" s="2">
        <v>371</v>
      </c>
      <c r="F1688" s="2">
        <v>32441</v>
      </c>
      <c r="G1688" s="2">
        <v>2.3092090280000002</v>
      </c>
      <c r="H1688" s="2">
        <v>3.100532E-3</v>
      </c>
      <c r="I1688" s="2" t="s">
        <v>30440</v>
      </c>
      <c r="J1688" s="2" t="s">
        <v>30441</v>
      </c>
      <c r="K1688" s="2">
        <v>3.0373924E-2</v>
      </c>
      <c r="L1688" s="2" t="s">
        <v>848</v>
      </c>
      <c r="M1688" s="4" t="s">
        <v>30442</v>
      </c>
    </row>
    <row r="1689" spans="1:13">
      <c r="A1689" s="2">
        <v>2449</v>
      </c>
      <c r="B1689" s="2" t="s">
        <v>8915</v>
      </c>
      <c r="C1689" s="2">
        <v>21</v>
      </c>
      <c r="D1689" s="2">
        <v>568</v>
      </c>
      <c r="E1689" s="2">
        <v>605</v>
      </c>
      <c r="F1689" s="2">
        <v>32441</v>
      </c>
      <c r="G1689" s="2">
        <v>1.9824845769999999</v>
      </c>
      <c r="H1689" s="2">
        <v>3.1088119999999999E-3</v>
      </c>
      <c r="I1689" s="2" t="s">
        <v>30443</v>
      </c>
      <c r="J1689" s="2" t="s">
        <v>30444</v>
      </c>
      <c r="K1689" s="2">
        <v>3.0404698000000001E-2</v>
      </c>
      <c r="L1689" s="2" t="s">
        <v>848</v>
      </c>
      <c r="M1689" s="4" t="s">
        <v>8918</v>
      </c>
    </row>
    <row r="1690" spans="1:13">
      <c r="A1690" s="2">
        <v>385</v>
      </c>
      <c r="B1690" s="2" t="s">
        <v>30445</v>
      </c>
      <c r="C1690" s="2">
        <v>23</v>
      </c>
      <c r="D1690" s="2">
        <v>568</v>
      </c>
      <c r="E1690" s="2">
        <v>687</v>
      </c>
      <c r="F1690" s="2">
        <v>32441</v>
      </c>
      <c r="G1690" s="2">
        <v>1.912128155</v>
      </c>
      <c r="H1690" s="2">
        <v>3.1215660000000001E-3</v>
      </c>
      <c r="I1690" s="2" t="s">
        <v>30446</v>
      </c>
      <c r="J1690" s="2" t="s">
        <v>30447</v>
      </c>
      <c r="K1690" s="2">
        <v>3.0428844E-2</v>
      </c>
      <c r="L1690" s="2" t="s">
        <v>848</v>
      </c>
      <c r="M1690" s="4" t="s">
        <v>30448</v>
      </c>
    </row>
    <row r="1691" spans="1:13">
      <c r="A1691" s="2">
        <v>5429</v>
      </c>
      <c r="B1691" s="2" t="s">
        <v>30449</v>
      </c>
      <c r="C1691" s="2">
        <v>6</v>
      </c>
      <c r="D1691" s="2">
        <v>568</v>
      </c>
      <c r="E1691" s="2">
        <v>77</v>
      </c>
      <c r="F1691" s="2">
        <v>32441</v>
      </c>
      <c r="G1691" s="2">
        <v>4.4504755810000001</v>
      </c>
      <c r="H1691" s="2">
        <v>3.118113E-3</v>
      </c>
      <c r="I1691" s="2" t="s">
        <v>30450</v>
      </c>
      <c r="J1691" s="2" t="s">
        <v>30451</v>
      </c>
      <c r="K1691" s="2">
        <v>3.0428844E-2</v>
      </c>
      <c r="L1691" s="2" t="s">
        <v>848</v>
      </c>
      <c r="M1691" s="4" t="s">
        <v>30452</v>
      </c>
    </row>
    <row r="1692" spans="1:13">
      <c r="A1692" s="2">
        <v>5854</v>
      </c>
      <c r="B1692" s="2" t="s">
        <v>30453</v>
      </c>
      <c r="C1692" s="2">
        <v>7</v>
      </c>
      <c r="D1692" s="2">
        <v>568</v>
      </c>
      <c r="E1692" s="2">
        <v>104</v>
      </c>
      <c r="F1692" s="2">
        <v>32441</v>
      </c>
      <c r="G1692" s="2">
        <v>3.8442409259999999</v>
      </c>
      <c r="H1692" s="2">
        <v>3.1378619999999999E-3</v>
      </c>
      <c r="I1692" s="2" t="s">
        <v>30454</v>
      </c>
      <c r="J1692" s="2" t="s">
        <v>30455</v>
      </c>
      <c r="K1692" s="2">
        <v>3.0537387999999999E-2</v>
      </c>
      <c r="L1692" s="2" t="s">
        <v>848</v>
      </c>
      <c r="M1692" s="4" t="s">
        <v>30456</v>
      </c>
    </row>
    <row r="1693" spans="1:13">
      <c r="A1693" s="2">
        <v>5170</v>
      </c>
      <c r="B1693" s="2" t="s">
        <v>10641</v>
      </c>
      <c r="C1693" s="2">
        <v>21</v>
      </c>
      <c r="D1693" s="2">
        <v>568</v>
      </c>
      <c r="E1693" s="2">
        <v>606</v>
      </c>
      <c r="F1693" s="2">
        <v>32441</v>
      </c>
      <c r="G1693" s="2">
        <v>1.9792131500000001</v>
      </c>
      <c r="H1693" s="2">
        <v>3.1664359999999999E-3</v>
      </c>
      <c r="I1693" s="2" t="s">
        <v>30457</v>
      </c>
      <c r="J1693" s="2" t="s">
        <v>30458</v>
      </c>
      <c r="K1693" s="2">
        <v>3.0764858999999999E-2</v>
      </c>
      <c r="L1693" s="2" t="s">
        <v>848</v>
      </c>
      <c r="M1693" s="4" t="s">
        <v>10644</v>
      </c>
    </row>
    <row r="1694" spans="1:13">
      <c r="A1694" s="2">
        <v>1364</v>
      </c>
      <c r="B1694" s="2" t="s">
        <v>30459</v>
      </c>
      <c r="C1694" s="2">
        <v>24</v>
      </c>
      <c r="D1694" s="2">
        <v>568</v>
      </c>
      <c r="E1694" s="2">
        <v>730</v>
      </c>
      <c r="F1694" s="2">
        <v>32441</v>
      </c>
      <c r="G1694" s="2">
        <v>1.8777349029999999</v>
      </c>
      <c r="H1694" s="2">
        <v>3.2021749999999998E-3</v>
      </c>
      <c r="I1694" s="2" t="s">
        <v>30460</v>
      </c>
      <c r="J1694" s="2" t="s">
        <v>30461</v>
      </c>
      <c r="K1694" s="2">
        <v>3.1004662999999998E-2</v>
      </c>
      <c r="L1694" s="2" t="s">
        <v>848</v>
      </c>
      <c r="M1694" s="4" t="s">
        <v>30462</v>
      </c>
    </row>
    <row r="1695" spans="1:13">
      <c r="A1695" s="2">
        <v>5447</v>
      </c>
      <c r="B1695" s="2" t="s">
        <v>30463</v>
      </c>
      <c r="C1695" s="2">
        <v>5</v>
      </c>
      <c r="D1695" s="2">
        <v>568</v>
      </c>
      <c r="E1695" s="2">
        <v>53</v>
      </c>
      <c r="F1695" s="2">
        <v>32441</v>
      </c>
      <c r="G1695" s="2">
        <v>5.3881543980000002</v>
      </c>
      <c r="H1695" s="2">
        <v>3.2068370000000001E-3</v>
      </c>
      <c r="I1695" s="2" t="s">
        <v>30464</v>
      </c>
      <c r="J1695" s="2" t="s">
        <v>30465</v>
      </c>
      <c r="K1695" s="2">
        <v>3.1004662999999998E-2</v>
      </c>
      <c r="L1695" s="2" t="s">
        <v>848</v>
      </c>
      <c r="M1695" s="4" t="s">
        <v>30466</v>
      </c>
    </row>
    <row r="1696" spans="1:13">
      <c r="A1696" s="2">
        <v>5660</v>
      </c>
      <c r="B1696" s="2" t="s">
        <v>30467</v>
      </c>
      <c r="C1696" s="2">
        <v>5</v>
      </c>
      <c r="D1696" s="2">
        <v>568</v>
      </c>
      <c r="E1696" s="2">
        <v>53</v>
      </c>
      <c r="F1696" s="2">
        <v>32441</v>
      </c>
      <c r="G1696" s="2">
        <v>5.3881543980000002</v>
      </c>
      <c r="H1696" s="2">
        <v>3.2068370000000001E-3</v>
      </c>
      <c r="I1696" s="2" t="s">
        <v>30468</v>
      </c>
      <c r="J1696" s="2" t="s">
        <v>30469</v>
      </c>
      <c r="K1696" s="2">
        <v>3.1004662999999998E-2</v>
      </c>
      <c r="L1696" s="2" t="s">
        <v>848</v>
      </c>
      <c r="M1696" s="4" t="s">
        <v>30470</v>
      </c>
    </row>
    <row r="1697" spans="1:13">
      <c r="A1697" s="2">
        <v>2118</v>
      </c>
      <c r="B1697" s="2" t="s">
        <v>30471</v>
      </c>
      <c r="C1697" s="2">
        <v>4</v>
      </c>
      <c r="D1697" s="2">
        <v>568</v>
      </c>
      <c r="E1697" s="2">
        <v>32</v>
      </c>
      <c r="F1697" s="2">
        <v>32441</v>
      </c>
      <c r="G1697" s="2">
        <v>7.1393045769999999</v>
      </c>
      <c r="H1697" s="2">
        <v>3.3029589999999998E-3</v>
      </c>
      <c r="I1697" s="2" t="s">
        <v>30472</v>
      </c>
      <c r="J1697" s="2" t="s">
        <v>30473</v>
      </c>
      <c r="K1697" s="2">
        <v>3.1881910999999999E-2</v>
      </c>
      <c r="L1697" s="2" t="s">
        <v>848</v>
      </c>
      <c r="M1697" s="4" t="s">
        <v>30474</v>
      </c>
    </row>
    <row r="1698" spans="1:13">
      <c r="A1698" s="2">
        <v>1401</v>
      </c>
      <c r="B1698" s="2" t="s">
        <v>30475</v>
      </c>
      <c r="C1698" s="2">
        <v>29</v>
      </c>
      <c r="D1698" s="2">
        <v>568</v>
      </c>
      <c r="E1698" s="2">
        <v>945</v>
      </c>
      <c r="F1698" s="2">
        <v>32441</v>
      </c>
      <c r="G1698" s="2">
        <v>1.752718161</v>
      </c>
      <c r="H1698" s="2">
        <v>3.3214009999999999E-3</v>
      </c>
      <c r="I1698" s="2" t="s">
        <v>30476</v>
      </c>
      <c r="J1698" s="2" t="s">
        <v>30477</v>
      </c>
      <c r="K1698" s="2">
        <v>3.2007707000000003E-2</v>
      </c>
      <c r="L1698" s="2" t="s">
        <v>848</v>
      </c>
      <c r="M1698" s="4" t="s">
        <v>30478</v>
      </c>
    </row>
    <row r="1699" spans="1:13">
      <c r="A1699" s="2">
        <v>1183</v>
      </c>
      <c r="B1699" s="2" t="s">
        <v>30479</v>
      </c>
      <c r="C1699" s="2">
        <v>3</v>
      </c>
      <c r="D1699" s="2">
        <v>568</v>
      </c>
      <c r="E1699" s="2">
        <v>15</v>
      </c>
      <c r="F1699" s="2">
        <v>32441</v>
      </c>
      <c r="G1699" s="2">
        <v>11.422887319999999</v>
      </c>
      <c r="H1699" s="2">
        <v>3.4112180000000001E-3</v>
      </c>
      <c r="I1699" s="2" t="s">
        <v>30194</v>
      </c>
      <c r="J1699" s="2" t="s">
        <v>30195</v>
      </c>
      <c r="K1699" s="2">
        <v>3.2713419000000001E-2</v>
      </c>
      <c r="L1699" s="2" t="s">
        <v>848</v>
      </c>
      <c r="M1699" s="4" t="s">
        <v>30480</v>
      </c>
    </row>
    <row r="1700" spans="1:13">
      <c r="A1700" s="2">
        <v>3003</v>
      </c>
      <c r="B1700" s="2" t="s">
        <v>30481</v>
      </c>
      <c r="C1700" s="2">
        <v>3</v>
      </c>
      <c r="D1700" s="2">
        <v>568</v>
      </c>
      <c r="E1700" s="2">
        <v>15</v>
      </c>
      <c r="F1700" s="2">
        <v>32441</v>
      </c>
      <c r="G1700" s="2">
        <v>11.422887319999999</v>
      </c>
      <c r="H1700" s="2">
        <v>3.4112180000000001E-3</v>
      </c>
      <c r="I1700" s="2" t="s">
        <v>30482</v>
      </c>
      <c r="J1700" s="2" t="s">
        <v>30483</v>
      </c>
      <c r="K1700" s="2">
        <v>3.2713419000000001E-2</v>
      </c>
      <c r="L1700" s="2" t="s">
        <v>848</v>
      </c>
      <c r="M1700" s="4" t="s">
        <v>30484</v>
      </c>
    </row>
    <row r="1701" spans="1:13">
      <c r="A1701" s="2">
        <v>3632</v>
      </c>
      <c r="B1701" s="2" t="s">
        <v>30485</v>
      </c>
      <c r="C1701" s="2">
        <v>3</v>
      </c>
      <c r="D1701" s="2">
        <v>568</v>
      </c>
      <c r="E1701" s="2">
        <v>15</v>
      </c>
      <c r="F1701" s="2">
        <v>32441</v>
      </c>
      <c r="G1701" s="2">
        <v>11.422887319999999</v>
      </c>
      <c r="H1701" s="2">
        <v>3.4112180000000001E-3</v>
      </c>
      <c r="I1701" s="2" t="s">
        <v>30486</v>
      </c>
      <c r="J1701" s="2" t="s">
        <v>30487</v>
      </c>
      <c r="K1701" s="2">
        <v>3.2713419000000001E-2</v>
      </c>
      <c r="L1701" s="2" t="s">
        <v>848</v>
      </c>
      <c r="M1701" s="4" t="s">
        <v>30488</v>
      </c>
    </row>
    <row r="1702" spans="1:13">
      <c r="A1702" s="2">
        <v>842</v>
      </c>
      <c r="B1702" s="2" t="s">
        <v>30489</v>
      </c>
      <c r="C1702" s="2">
        <v>5</v>
      </c>
      <c r="D1702" s="2">
        <v>568</v>
      </c>
      <c r="E1702" s="2">
        <v>54</v>
      </c>
      <c r="F1702" s="2">
        <v>32441</v>
      </c>
      <c r="G1702" s="2">
        <v>5.2883737609999999</v>
      </c>
      <c r="H1702" s="2">
        <v>3.455067E-3</v>
      </c>
      <c r="I1702" s="2" t="s">
        <v>30490</v>
      </c>
      <c r="J1702" s="2" t="s">
        <v>30491</v>
      </c>
      <c r="K1702" s="2">
        <v>3.2973595000000001E-2</v>
      </c>
      <c r="L1702" s="2" t="s">
        <v>848</v>
      </c>
      <c r="M1702" s="4" t="s">
        <v>30492</v>
      </c>
    </row>
    <row r="1703" spans="1:13">
      <c r="A1703" s="2">
        <v>26211</v>
      </c>
      <c r="B1703" s="2" t="s">
        <v>30493</v>
      </c>
      <c r="C1703" s="2">
        <v>5</v>
      </c>
      <c r="D1703" s="2">
        <v>568</v>
      </c>
      <c r="E1703" s="2">
        <v>54</v>
      </c>
      <c r="F1703" s="2">
        <v>32441</v>
      </c>
      <c r="G1703" s="2">
        <v>5.2883737609999999</v>
      </c>
      <c r="H1703" s="2">
        <v>3.455067E-3</v>
      </c>
      <c r="I1703" s="2" t="s">
        <v>30494</v>
      </c>
      <c r="J1703" s="2" t="s">
        <v>30495</v>
      </c>
      <c r="K1703" s="2">
        <v>3.2973595000000001E-2</v>
      </c>
      <c r="L1703" s="2" t="s">
        <v>848</v>
      </c>
      <c r="M1703" s="4" t="s">
        <v>30496</v>
      </c>
    </row>
    <row r="1704" spans="1:13">
      <c r="A1704" s="2">
        <v>5780</v>
      </c>
      <c r="B1704" s="2" t="s">
        <v>30497</v>
      </c>
      <c r="C1704" s="2">
        <v>5</v>
      </c>
      <c r="D1704" s="2">
        <v>568</v>
      </c>
      <c r="E1704" s="2">
        <v>54</v>
      </c>
      <c r="F1704" s="2">
        <v>32441</v>
      </c>
      <c r="G1704" s="2">
        <v>5.2883737609999999</v>
      </c>
      <c r="H1704" s="2">
        <v>3.455067E-3</v>
      </c>
      <c r="I1704" s="2" t="s">
        <v>30498</v>
      </c>
      <c r="J1704" s="2" t="s">
        <v>30499</v>
      </c>
      <c r="K1704" s="2">
        <v>3.2973595000000001E-2</v>
      </c>
      <c r="L1704" s="2" t="s">
        <v>848</v>
      </c>
      <c r="M1704" s="4" t="s">
        <v>30500</v>
      </c>
    </row>
    <row r="1705" spans="1:13">
      <c r="A1705" s="2">
        <v>2362</v>
      </c>
      <c r="B1705" s="2" t="s">
        <v>30501</v>
      </c>
      <c r="C1705" s="2">
        <v>7</v>
      </c>
      <c r="D1705" s="2">
        <v>568</v>
      </c>
      <c r="E1705" s="2">
        <v>106</v>
      </c>
      <c r="F1705" s="2">
        <v>32441</v>
      </c>
      <c r="G1705" s="2">
        <v>3.7717080790000002</v>
      </c>
      <c r="H1705" s="2">
        <v>3.4654619999999999E-3</v>
      </c>
      <c r="I1705" s="2" t="s">
        <v>30502</v>
      </c>
      <c r="J1705" s="2" t="s">
        <v>30503</v>
      </c>
      <c r="K1705" s="2">
        <v>3.3019550000000002E-2</v>
      </c>
      <c r="L1705" s="2" t="s">
        <v>848</v>
      </c>
      <c r="M1705" s="4" t="s">
        <v>30504</v>
      </c>
    </row>
    <row r="1706" spans="1:13">
      <c r="A1706" s="2">
        <v>1858</v>
      </c>
      <c r="B1706" s="2" t="s">
        <v>8063</v>
      </c>
      <c r="C1706" s="2">
        <v>31</v>
      </c>
      <c r="D1706" s="2">
        <v>568</v>
      </c>
      <c r="E1706" s="2">
        <v>1036</v>
      </c>
      <c r="F1706" s="2">
        <v>32441</v>
      </c>
      <c r="G1706" s="2">
        <v>1.7090227170000001</v>
      </c>
      <c r="H1706" s="2">
        <v>3.5032470000000001E-3</v>
      </c>
      <c r="I1706" s="2" t="s">
        <v>30505</v>
      </c>
      <c r="J1706" s="2" t="s">
        <v>30506</v>
      </c>
      <c r="K1706" s="2">
        <v>3.3325899999999999E-2</v>
      </c>
      <c r="L1706" s="2" t="s">
        <v>848</v>
      </c>
      <c r="M1706" s="4" t="s">
        <v>8066</v>
      </c>
    </row>
    <row r="1707" spans="1:13">
      <c r="A1707" s="2">
        <v>1746</v>
      </c>
      <c r="B1707" s="2" t="s">
        <v>30507</v>
      </c>
      <c r="C1707" s="2">
        <v>6</v>
      </c>
      <c r="D1707" s="2">
        <v>568</v>
      </c>
      <c r="E1707" s="2">
        <v>79</v>
      </c>
      <c r="F1707" s="2">
        <v>32441</v>
      </c>
      <c r="G1707" s="2">
        <v>4.3378053129999996</v>
      </c>
      <c r="H1707" s="2">
        <v>3.5108679999999999E-3</v>
      </c>
      <c r="I1707" s="2" t="s">
        <v>29979</v>
      </c>
      <c r="J1707" s="2" t="s">
        <v>29980</v>
      </c>
      <c r="K1707" s="2">
        <v>3.3344789999999999E-2</v>
      </c>
      <c r="L1707" s="2" t="s">
        <v>848</v>
      </c>
      <c r="M1707" s="4" t="s">
        <v>30508</v>
      </c>
    </row>
    <row r="1708" spans="1:13">
      <c r="A1708" s="2">
        <v>1998</v>
      </c>
      <c r="B1708" s="2" t="s">
        <v>7767</v>
      </c>
      <c r="C1708" s="2">
        <v>39</v>
      </c>
      <c r="D1708" s="2">
        <v>568</v>
      </c>
      <c r="E1708" s="2">
        <v>1395</v>
      </c>
      <c r="F1708" s="2">
        <v>32441</v>
      </c>
      <c r="G1708" s="2">
        <v>1.5967476899999999</v>
      </c>
      <c r="H1708" s="2">
        <v>3.5428690000000001E-3</v>
      </c>
      <c r="I1708" s="2" t="s">
        <v>30509</v>
      </c>
      <c r="J1708" s="2" t="s">
        <v>30510</v>
      </c>
      <c r="K1708" s="2">
        <v>3.3564309000000001E-2</v>
      </c>
      <c r="L1708" s="2" t="s">
        <v>848</v>
      </c>
      <c r="M1708" s="4" t="s">
        <v>7770</v>
      </c>
    </row>
    <row r="1709" spans="1:13">
      <c r="A1709" s="2">
        <v>4401</v>
      </c>
      <c r="B1709" s="2" t="s">
        <v>30511</v>
      </c>
      <c r="C1709" s="2">
        <v>13</v>
      </c>
      <c r="D1709" s="2">
        <v>568</v>
      </c>
      <c r="E1709" s="2">
        <v>303</v>
      </c>
      <c r="F1709" s="2">
        <v>32441</v>
      </c>
      <c r="G1709" s="2">
        <v>2.4504543760000002</v>
      </c>
      <c r="H1709" s="2">
        <v>3.5453260000000001E-3</v>
      </c>
      <c r="I1709" s="2" t="s">
        <v>29825</v>
      </c>
      <c r="J1709" s="2" t="s">
        <v>29826</v>
      </c>
      <c r="K1709" s="2">
        <v>3.3564309000000001E-2</v>
      </c>
      <c r="L1709" s="2" t="s">
        <v>848</v>
      </c>
      <c r="M1709" s="4" t="s">
        <v>30512</v>
      </c>
    </row>
    <row r="1710" spans="1:13">
      <c r="A1710" s="2">
        <v>1253</v>
      </c>
      <c r="B1710" s="2" t="s">
        <v>30513</v>
      </c>
      <c r="C1710" s="2">
        <v>4</v>
      </c>
      <c r="D1710" s="2">
        <v>568</v>
      </c>
      <c r="E1710" s="2">
        <v>33</v>
      </c>
      <c r="F1710" s="2">
        <v>32441</v>
      </c>
      <c r="G1710" s="2">
        <v>6.9229620150000004</v>
      </c>
      <c r="H1710" s="2">
        <v>3.653632E-3</v>
      </c>
      <c r="I1710" s="2" t="s">
        <v>30514</v>
      </c>
      <c r="J1710" s="2" t="s">
        <v>30515</v>
      </c>
      <c r="K1710" s="2">
        <v>3.4424425000000002E-2</v>
      </c>
      <c r="L1710" s="2" t="s">
        <v>848</v>
      </c>
      <c r="M1710" s="4" t="s">
        <v>30516</v>
      </c>
    </row>
    <row r="1711" spans="1:13">
      <c r="A1711" s="2">
        <v>3834</v>
      </c>
      <c r="B1711" s="2" t="s">
        <v>30517</v>
      </c>
      <c r="C1711" s="2">
        <v>4</v>
      </c>
      <c r="D1711" s="2">
        <v>568</v>
      </c>
      <c r="E1711" s="2">
        <v>33</v>
      </c>
      <c r="F1711" s="2">
        <v>32441</v>
      </c>
      <c r="G1711" s="2">
        <v>6.9229620150000004</v>
      </c>
      <c r="H1711" s="2">
        <v>3.653632E-3</v>
      </c>
      <c r="I1711" s="2" t="s">
        <v>30518</v>
      </c>
      <c r="J1711" s="2" t="s">
        <v>30519</v>
      </c>
      <c r="K1711" s="2">
        <v>3.4424425000000002E-2</v>
      </c>
      <c r="L1711" s="2" t="s">
        <v>848</v>
      </c>
      <c r="M1711" s="4" t="s">
        <v>30520</v>
      </c>
    </row>
    <row r="1712" spans="1:13">
      <c r="A1712" s="2">
        <v>4724</v>
      </c>
      <c r="B1712" s="2" t="s">
        <v>30521</v>
      </c>
      <c r="C1712" s="2">
        <v>4</v>
      </c>
      <c r="D1712" s="2">
        <v>568</v>
      </c>
      <c r="E1712" s="2">
        <v>33</v>
      </c>
      <c r="F1712" s="2">
        <v>32441</v>
      </c>
      <c r="G1712" s="2">
        <v>6.9229620150000004</v>
      </c>
      <c r="H1712" s="2">
        <v>3.653632E-3</v>
      </c>
      <c r="I1712" s="2" t="s">
        <v>30522</v>
      </c>
      <c r="J1712" s="2" t="s">
        <v>30523</v>
      </c>
      <c r="K1712" s="2">
        <v>3.4424425000000002E-2</v>
      </c>
      <c r="L1712" s="2" t="s">
        <v>848</v>
      </c>
      <c r="M1712" s="4" t="s">
        <v>30524</v>
      </c>
    </row>
    <row r="1713" spans="1:13">
      <c r="A1713" s="2">
        <v>3025</v>
      </c>
      <c r="B1713" s="2" t="s">
        <v>30525</v>
      </c>
      <c r="C1713" s="2">
        <v>9</v>
      </c>
      <c r="D1713" s="2">
        <v>568</v>
      </c>
      <c r="E1713" s="2">
        <v>168</v>
      </c>
      <c r="F1713" s="2">
        <v>32441</v>
      </c>
      <c r="G1713" s="2">
        <v>3.0597019620000001</v>
      </c>
      <c r="H1713" s="2">
        <v>3.714991E-3</v>
      </c>
      <c r="I1713" s="2" t="s">
        <v>30526</v>
      </c>
      <c r="J1713" s="2" t="s">
        <v>30527</v>
      </c>
      <c r="K1713" s="2">
        <v>3.4887642000000003E-2</v>
      </c>
      <c r="L1713" s="2" t="s">
        <v>848</v>
      </c>
      <c r="M1713" s="4" t="s">
        <v>30528</v>
      </c>
    </row>
    <row r="1714" spans="1:13">
      <c r="A1714" s="2">
        <v>4476</v>
      </c>
      <c r="B1714" s="2" t="s">
        <v>30529</v>
      </c>
      <c r="C1714" s="2">
        <v>5</v>
      </c>
      <c r="D1714" s="2">
        <v>568</v>
      </c>
      <c r="E1714" s="2">
        <v>55</v>
      </c>
      <c r="F1714" s="2">
        <v>32441</v>
      </c>
      <c r="G1714" s="2">
        <v>5.1922215109999996</v>
      </c>
      <c r="H1714" s="2">
        <v>3.7167989999999998E-3</v>
      </c>
      <c r="I1714" s="2" t="s">
        <v>30530</v>
      </c>
      <c r="J1714" s="2" t="s">
        <v>30531</v>
      </c>
      <c r="K1714" s="2">
        <v>3.4887642000000003E-2</v>
      </c>
      <c r="L1714" s="2" t="s">
        <v>848</v>
      </c>
      <c r="M1714" s="4" t="s">
        <v>30532</v>
      </c>
    </row>
    <row r="1715" spans="1:13">
      <c r="A1715" s="2">
        <v>5412</v>
      </c>
      <c r="B1715" s="2" t="s">
        <v>30533</v>
      </c>
      <c r="C1715" s="2">
        <v>6</v>
      </c>
      <c r="D1715" s="2">
        <v>568</v>
      </c>
      <c r="E1715" s="2">
        <v>80</v>
      </c>
      <c r="F1715" s="2">
        <v>32441</v>
      </c>
      <c r="G1715" s="2">
        <v>4.2835827460000004</v>
      </c>
      <c r="H1715" s="2">
        <v>3.720484E-3</v>
      </c>
      <c r="I1715" s="2" t="s">
        <v>30534</v>
      </c>
      <c r="J1715" s="2" t="s">
        <v>30535</v>
      </c>
      <c r="K1715" s="2">
        <v>3.4887642000000003E-2</v>
      </c>
      <c r="L1715" s="2" t="s">
        <v>848</v>
      </c>
      <c r="M1715" s="4" t="s">
        <v>30536</v>
      </c>
    </row>
    <row r="1716" spans="1:13">
      <c r="A1716" s="2">
        <v>3068</v>
      </c>
      <c r="B1716" s="2" t="s">
        <v>30537</v>
      </c>
      <c r="C1716" s="2">
        <v>7</v>
      </c>
      <c r="D1716" s="2">
        <v>568</v>
      </c>
      <c r="E1716" s="2">
        <v>108</v>
      </c>
      <c r="F1716" s="2">
        <v>32441</v>
      </c>
      <c r="G1716" s="2">
        <v>3.701861633</v>
      </c>
      <c r="H1716" s="2">
        <v>3.818475E-3</v>
      </c>
      <c r="I1716" s="2" t="s">
        <v>30538</v>
      </c>
      <c r="J1716" s="2" t="s">
        <v>30539</v>
      </c>
      <c r="K1716" s="2">
        <v>3.5749870000000003E-2</v>
      </c>
      <c r="L1716" s="2" t="s">
        <v>848</v>
      </c>
      <c r="M1716" s="4" t="s">
        <v>30540</v>
      </c>
    </row>
    <row r="1717" spans="1:13">
      <c r="A1717" s="2">
        <v>5531</v>
      </c>
      <c r="B1717" s="2" t="s">
        <v>30541</v>
      </c>
      <c r="C1717" s="2">
        <v>13</v>
      </c>
      <c r="D1717" s="2">
        <v>568</v>
      </c>
      <c r="E1717" s="2">
        <v>306</v>
      </c>
      <c r="F1717" s="2">
        <v>32441</v>
      </c>
      <c r="G1717" s="2">
        <v>2.4264303140000001</v>
      </c>
      <c r="H1717" s="2">
        <v>3.8376090000000001E-3</v>
      </c>
      <c r="I1717" s="2" t="s">
        <v>29825</v>
      </c>
      <c r="J1717" s="2" t="s">
        <v>29826</v>
      </c>
      <c r="K1717" s="2">
        <v>3.5872244999999997E-2</v>
      </c>
      <c r="L1717" s="2" t="s">
        <v>848</v>
      </c>
      <c r="M1717" s="4" t="s">
        <v>30542</v>
      </c>
    </row>
    <row r="1718" spans="1:13">
      <c r="A1718" s="2">
        <v>2059</v>
      </c>
      <c r="B1718" s="2" t="s">
        <v>30543</v>
      </c>
      <c r="C1718" s="2">
        <v>9</v>
      </c>
      <c r="D1718" s="2">
        <v>568</v>
      </c>
      <c r="E1718" s="2">
        <v>169</v>
      </c>
      <c r="F1718" s="2">
        <v>32441</v>
      </c>
      <c r="G1718" s="2">
        <v>3.041597216</v>
      </c>
      <c r="H1718" s="2">
        <v>3.8548419999999998E-3</v>
      </c>
      <c r="I1718" s="2" t="s">
        <v>30544</v>
      </c>
      <c r="J1718" s="2" t="s">
        <v>30545</v>
      </c>
      <c r="K1718" s="2">
        <v>3.5976497000000003E-2</v>
      </c>
      <c r="L1718" s="2" t="s">
        <v>848</v>
      </c>
      <c r="M1718" s="4" t="s">
        <v>30546</v>
      </c>
    </row>
    <row r="1719" spans="1:13">
      <c r="A1719" s="2">
        <v>209</v>
      </c>
      <c r="B1719" s="2" t="s">
        <v>30547</v>
      </c>
      <c r="C1719" s="2">
        <v>5</v>
      </c>
      <c r="D1719" s="2">
        <v>568</v>
      </c>
      <c r="E1719" s="2">
        <v>56</v>
      </c>
      <c r="F1719" s="2">
        <v>32441</v>
      </c>
      <c r="G1719" s="2">
        <v>5.0995032699999996</v>
      </c>
      <c r="H1719" s="2">
        <v>3.9924360000000002E-3</v>
      </c>
      <c r="I1719" s="2" t="s">
        <v>30548</v>
      </c>
      <c r="J1719" s="2" t="s">
        <v>30549</v>
      </c>
      <c r="K1719" s="2">
        <v>3.6419805E-2</v>
      </c>
      <c r="L1719" s="2" t="s">
        <v>848</v>
      </c>
      <c r="M1719" s="4" t="s">
        <v>30550</v>
      </c>
    </row>
    <row r="1720" spans="1:13">
      <c r="A1720" s="2">
        <v>2562</v>
      </c>
      <c r="B1720" s="2" t="s">
        <v>30551</v>
      </c>
      <c r="C1720" s="2">
        <v>3</v>
      </c>
      <c r="D1720" s="2">
        <v>568</v>
      </c>
      <c r="E1720" s="2">
        <v>16</v>
      </c>
      <c r="F1720" s="2">
        <v>32441</v>
      </c>
      <c r="G1720" s="2">
        <v>10.70895687</v>
      </c>
      <c r="H1720" s="2">
        <v>3.9994870000000004E-3</v>
      </c>
      <c r="I1720" s="2" t="s">
        <v>30552</v>
      </c>
      <c r="J1720" s="2" t="s">
        <v>30553</v>
      </c>
      <c r="K1720" s="2">
        <v>3.6419805E-2</v>
      </c>
      <c r="L1720" s="2" t="s">
        <v>848</v>
      </c>
      <c r="M1720" s="4" t="s">
        <v>30554</v>
      </c>
    </row>
    <row r="1721" spans="1:13">
      <c r="A1721" s="2">
        <v>535</v>
      </c>
      <c r="B1721" s="2" t="s">
        <v>30555</v>
      </c>
      <c r="C1721" s="2">
        <v>4</v>
      </c>
      <c r="D1721" s="2">
        <v>568</v>
      </c>
      <c r="E1721" s="2">
        <v>34</v>
      </c>
      <c r="F1721" s="2">
        <v>32441</v>
      </c>
      <c r="G1721" s="2">
        <v>6.7193454849999998</v>
      </c>
      <c r="H1721" s="2">
        <v>4.0287179999999997E-3</v>
      </c>
      <c r="I1721" s="2" t="s">
        <v>30556</v>
      </c>
      <c r="J1721" s="2" t="s">
        <v>30557</v>
      </c>
      <c r="K1721" s="2">
        <v>3.6419805E-2</v>
      </c>
      <c r="L1721" s="2" t="s">
        <v>848</v>
      </c>
      <c r="M1721" s="4" t="s">
        <v>30558</v>
      </c>
    </row>
    <row r="1722" spans="1:13">
      <c r="A1722" s="2">
        <v>1539</v>
      </c>
      <c r="B1722" s="2" t="s">
        <v>30559</v>
      </c>
      <c r="C1722" s="2">
        <v>4</v>
      </c>
      <c r="D1722" s="2">
        <v>568</v>
      </c>
      <c r="E1722" s="2">
        <v>34</v>
      </c>
      <c r="F1722" s="2">
        <v>32441</v>
      </c>
      <c r="G1722" s="2">
        <v>6.7193454849999998</v>
      </c>
      <c r="H1722" s="2">
        <v>4.0287179999999997E-3</v>
      </c>
      <c r="I1722" s="2" t="s">
        <v>30560</v>
      </c>
      <c r="J1722" s="2" t="s">
        <v>30561</v>
      </c>
      <c r="K1722" s="2">
        <v>3.6419805E-2</v>
      </c>
      <c r="L1722" s="2" t="s">
        <v>848</v>
      </c>
      <c r="M1722" s="4" t="s">
        <v>30562</v>
      </c>
    </row>
    <row r="1723" spans="1:13">
      <c r="A1723" s="2">
        <v>1582</v>
      </c>
      <c r="B1723" s="2" t="s">
        <v>30563</v>
      </c>
      <c r="C1723" s="2">
        <v>3</v>
      </c>
      <c r="D1723" s="2">
        <v>568</v>
      </c>
      <c r="E1723" s="2">
        <v>16</v>
      </c>
      <c r="F1723" s="2">
        <v>32441</v>
      </c>
      <c r="G1723" s="2">
        <v>10.70895687</v>
      </c>
      <c r="H1723" s="2">
        <v>3.9994870000000004E-3</v>
      </c>
      <c r="I1723" s="2" t="s">
        <v>30564</v>
      </c>
      <c r="J1723" s="2" t="s">
        <v>30565</v>
      </c>
      <c r="K1723" s="2">
        <v>3.6419805E-2</v>
      </c>
      <c r="L1723" s="2" t="s">
        <v>848</v>
      </c>
      <c r="M1723" s="4" t="s">
        <v>30566</v>
      </c>
    </row>
    <row r="1724" spans="1:13">
      <c r="A1724" s="2">
        <v>2067</v>
      </c>
      <c r="B1724" s="2" t="s">
        <v>30567</v>
      </c>
      <c r="C1724" s="2">
        <v>3</v>
      </c>
      <c r="D1724" s="2">
        <v>568</v>
      </c>
      <c r="E1724" s="2">
        <v>16</v>
      </c>
      <c r="F1724" s="2">
        <v>32441</v>
      </c>
      <c r="G1724" s="2">
        <v>10.70895687</v>
      </c>
      <c r="H1724" s="2">
        <v>3.9994870000000004E-3</v>
      </c>
      <c r="I1724" s="2" t="s">
        <v>30194</v>
      </c>
      <c r="J1724" s="2" t="s">
        <v>30195</v>
      </c>
      <c r="K1724" s="2">
        <v>3.6419805E-2</v>
      </c>
      <c r="L1724" s="2" t="s">
        <v>848</v>
      </c>
      <c r="M1724" s="4" t="s">
        <v>30568</v>
      </c>
    </row>
    <row r="1725" spans="1:13">
      <c r="A1725" s="2">
        <v>2206</v>
      </c>
      <c r="B1725" s="2" t="s">
        <v>30569</v>
      </c>
      <c r="C1725" s="2">
        <v>3</v>
      </c>
      <c r="D1725" s="2">
        <v>568</v>
      </c>
      <c r="E1725" s="2">
        <v>16</v>
      </c>
      <c r="F1725" s="2">
        <v>32441</v>
      </c>
      <c r="G1725" s="2">
        <v>10.70895687</v>
      </c>
      <c r="H1725" s="2">
        <v>3.9994870000000004E-3</v>
      </c>
      <c r="I1725" s="2" t="s">
        <v>30570</v>
      </c>
      <c r="J1725" s="2" t="s">
        <v>30571</v>
      </c>
      <c r="K1725" s="2">
        <v>3.6419805E-2</v>
      </c>
      <c r="L1725" s="2" t="s">
        <v>848</v>
      </c>
      <c r="M1725" s="4" t="s">
        <v>30572</v>
      </c>
    </row>
    <row r="1726" spans="1:13">
      <c r="A1726" s="2">
        <v>2227</v>
      </c>
      <c r="B1726" s="2" t="s">
        <v>30573</v>
      </c>
      <c r="C1726" s="2">
        <v>3</v>
      </c>
      <c r="D1726" s="2">
        <v>568</v>
      </c>
      <c r="E1726" s="2">
        <v>16</v>
      </c>
      <c r="F1726" s="2">
        <v>32441</v>
      </c>
      <c r="G1726" s="2">
        <v>10.70895687</v>
      </c>
      <c r="H1726" s="2">
        <v>3.9994870000000004E-3</v>
      </c>
      <c r="I1726" s="2" t="s">
        <v>30574</v>
      </c>
      <c r="J1726" s="2" t="s">
        <v>30575</v>
      </c>
      <c r="K1726" s="2">
        <v>3.6419805E-2</v>
      </c>
      <c r="L1726" s="2" t="s">
        <v>848</v>
      </c>
      <c r="M1726" s="4" t="s">
        <v>30576</v>
      </c>
    </row>
    <row r="1727" spans="1:13">
      <c r="A1727" s="2">
        <v>2492</v>
      </c>
      <c r="B1727" s="2" t="s">
        <v>9093</v>
      </c>
      <c r="C1727" s="2">
        <v>27</v>
      </c>
      <c r="D1727" s="2">
        <v>568</v>
      </c>
      <c r="E1727" s="2">
        <v>872</v>
      </c>
      <c r="F1727" s="2">
        <v>32441</v>
      </c>
      <c r="G1727" s="2">
        <v>1.768451593</v>
      </c>
      <c r="H1727" s="2">
        <v>4.0315990000000003E-3</v>
      </c>
      <c r="I1727" s="2" t="s">
        <v>30577</v>
      </c>
      <c r="J1727" s="2" t="s">
        <v>30578</v>
      </c>
      <c r="K1727" s="2">
        <v>3.6419805E-2</v>
      </c>
      <c r="L1727" s="2" t="s">
        <v>848</v>
      </c>
      <c r="M1727" s="4" t="s">
        <v>9096</v>
      </c>
    </row>
    <row r="1728" spans="1:13">
      <c r="A1728" s="2">
        <v>2785</v>
      </c>
      <c r="B1728" s="2" t="s">
        <v>30579</v>
      </c>
      <c r="C1728" s="2">
        <v>4</v>
      </c>
      <c r="D1728" s="2">
        <v>568</v>
      </c>
      <c r="E1728" s="2">
        <v>34</v>
      </c>
      <c r="F1728" s="2">
        <v>32441</v>
      </c>
      <c r="G1728" s="2">
        <v>6.7193454849999998</v>
      </c>
      <c r="H1728" s="2">
        <v>4.0287179999999997E-3</v>
      </c>
      <c r="I1728" s="2" t="s">
        <v>30580</v>
      </c>
      <c r="J1728" s="2" t="s">
        <v>30581</v>
      </c>
      <c r="K1728" s="2">
        <v>3.6419805E-2</v>
      </c>
      <c r="L1728" s="2" t="s">
        <v>848</v>
      </c>
      <c r="M1728" s="4" t="s">
        <v>30582</v>
      </c>
    </row>
    <row r="1729" spans="1:13">
      <c r="A1729" s="2">
        <v>28081</v>
      </c>
      <c r="B1729" s="2" t="s">
        <v>30583</v>
      </c>
      <c r="C1729" s="2">
        <v>9</v>
      </c>
      <c r="D1729" s="2">
        <v>568</v>
      </c>
      <c r="E1729" s="2">
        <v>170</v>
      </c>
      <c r="F1729" s="2">
        <v>32441</v>
      </c>
      <c r="G1729" s="2">
        <v>3.0237054680000002</v>
      </c>
      <c r="H1729" s="2">
        <v>3.9987809999999999E-3</v>
      </c>
      <c r="I1729" s="2" t="s">
        <v>30584</v>
      </c>
      <c r="J1729" s="2" t="s">
        <v>30585</v>
      </c>
      <c r="K1729" s="2">
        <v>3.6419805E-2</v>
      </c>
      <c r="L1729" s="2" t="s">
        <v>848</v>
      </c>
      <c r="M1729" s="4" t="s">
        <v>30586</v>
      </c>
    </row>
    <row r="1730" spans="1:13">
      <c r="A1730" s="2">
        <v>2855</v>
      </c>
      <c r="B1730" s="2" t="s">
        <v>30587</v>
      </c>
      <c r="C1730" s="2">
        <v>9</v>
      </c>
      <c r="D1730" s="2">
        <v>568</v>
      </c>
      <c r="E1730" s="2">
        <v>170</v>
      </c>
      <c r="F1730" s="2">
        <v>32441</v>
      </c>
      <c r="G1730" s="2">
        <v>3.0237054680000002</v>
      </c>
      <c r="H1730" s="2">
        <v>3.9987809999999999E-3</v>
      </c>
      <c r="I1730" s="2" t="s">
        <v>30588</v>
      </c>
      <c r="J1730" s="2" t="s">
        <v>30589</v>
      </c>
      <c r="K1730" s="2">
        <v>3.6419805E-2</v>
      </c>
      <c r="L1730" s="2" t="s">
        <v>848</v>
      </c>
      <c r="M1730" s="4" t="s">
        <v>30590</v>
      </c>
    </row>
    <row r="1731" spans="1:13">
      <c r="A1731" s="2">
        <v>3205</v>
      </c>
      <c r="B1731" s="2" t="s">
        <v>30591</v>
      </c>
      <c r="C1731" s="2">
        <v>6</v>
      </c>
      <c r="D1731" s="2">
        <v>568</v>
      </c>
      <c r="E1731" s="2">
        <v>81</v>
      </c>
      <c r="F1731" s="2">
        <v>32441</v>
      </c>
      <c r="G1731" s="2">
        <v>4.2306990090000003</v>
      </c>
      <c r="H1731" s="2">
        <v>3.9392400000000001E-3</v>
      </c>
      <c r="I1731" s="2" t="s">
        <v>29788</v>
      </c>
      <c r="J1731" s="2" t="s">
        <v>29789</v>
      </c>
      <c r="K1731" s="2">
        <v>3.6419805E-2</v>
      </c>
      <c r="L1731" s="2" t="s">
        <v>848</v>
      </c>
      <c r="M1731" s="4" t="s">
        <v>30592</v>
      </c>
    </row>
    <row r="1732" spans="1:13">
      <c r="A1732" s="2">
        <v>4291</v>
      </c>
      <c r="B1732" s="2" t="s">
        <v>30593</v>
      </c>
      <c r="C1732" s="2">
        <v>3</v>
      </c>
      <c r="D1732" s="2">
        <v>568</v>
      </c>
      <c r="E1732" s="2">
        <v>16</v>
      </c>
      <c r="F1732" s="2">
        <v>32441</v>
      </c>
      <c r="G1732" s="2">
        <v>10.70895687</v>
      </c>
      <c r="H1732" s="2">
        <v>3.9994870000000004E-3</v>
      </c>
      <c r="I1732" s="2" t="s">
        <v>30594</v>
      </c>
      <c r="J1732" s="2" t="s">
        <v>30595</v>
      </c>
      <c r="K1732" s="2">
        <v>3.6419805E-2</v>
      </c>
      <c r="L1732" s="2" t="s">
        <v>848</v>
      </c>
      <c r="M1732" s="4" t="s">
        <v>30596</v>
      </c>
    </row>
    <row r="1733" spans="1:13">
      <c r="A1733" s="2">
        <v>4711</v>
      </c>
      <c r="B1733" s="2" t="s">
        <v>30597</v>
      </c>
      <c r="C1733" s="2">
        <v>4</v>
      </c>
      <c r="D1733" s="2">
        <v>568</v>
      </c>
      <c r="E1733" s="2">
        <v>34</v>
      </c>
      <c r="F1733" s="2">
        <v>32441</v>
      </c>
      <c r="G1733" s="2">
        <v>6.7193454849999998</v>
      </c>
      <c r="H1733" s="2">
        <v>4.0287179999999997E-3</v>
      </c>
      <c r="I1733" s="2" t="s">
        <v>30598</v>
      </c>
      <c r="J1733" s="2" t="s">
        <v>30599</v>
      </c>
      <c r="K1733" s="2">
        <v>3.6419805E-2</v>
      </c>
      <c r="L1733" s="2" t="s">
        <v>848</v>
      </c>
      <c r="M1733" s="4" t="s">
        <v>30600</v>
      </c>
    </row>
    <row r="1734" spans="1:13">
      <c r="A1734" s="2">
        <v>4959</v>
      </c>
      <c r="B1734" s="2" t="s">
        <v>30601</v>
      </c>
      <c r="C1734" s="2">
        <v>4</v>
      </c>
      <c r="D1734" s="2">
        <v>568</v>
      </c>
      <c r="E1734" s="2">
        <v>34</v>
      </c>
      <c r="F1734" s="2">
        <v>32441</v>
      </c>
      <c r="G1734" s="2">
        <v>6.7193454849999998</v>
      </c>
      <c r="H1734" s="2">
        <v>4.0287179999999997E-3</v>
      </c>
      <c r="I1734" s="2" t="s">
        <v>30602</v>
      </c>
      <c r="J1734" s="2" t="s">
        <v>30603</v>
      </c>
      <c r="K1734" s="2">
        <v>3.6419805E-2</v>
      </c>
      <c r="L1734" s="2" t="s">
        <v>848</v>
      </c>
      <c r="M1734" s="4" t="s">
        <v>30604</v>
      </c>
    </row>
    <row r="1735" spans="1:13">
      <c r="A1735" s="2">
        <v>5137</v>
      </c>
      <c r="B1735" s="2" t="s">
        <v>30605</v>
      </c>
      <c r="C1735" s="2">
        <v>3</v>
      </c>
      <c r="D1735" s="2">
        <v>568</v>
      </c>
      <c r="E1735" s="2">
        <v>16</v>
      </c>
      <c r="F1735" s="2">
        <v>32441</v>
      </c>
      <c r="G1735" s="2">
        <v>10.70895687</v>
      </c>
      <c r="H1735" s="2">
        <v>3.9994870000000004E-3</v>
      </c>
      <c r="I1735" s="2" t="s">
        <v>30606</v>
      </c>
      <c r="J1735" s="2" t="s">
        <v>30607</v>
      </c>
      <c r="K1735" s="2">
        <v>3.6419805E-2</v>
      </c>
      <c r="L1735" s="2" t="s">
        <v>848</v>
      </c>
      <c r="M1735" s="4" t="s">
        <v>30608</v>
      </c>
    </row>
    <row r="1736" spans="1:13">
      <c r="A1736" s="2">
        <v>5333</v>
      </c>
      <c r="B1736" s="2" t="s">
        <v>30609</v>
      </c>
      <c r="C1736" s="2">
        <v>3</v>
      </c>
      <c r="D1736" s="2">
        <v>568</v>
      </c>
      <c r="E1736" s="2">
        <v>16</v>
      </c>
      <c r="F1736" s="2">
        <v>32441</v>
      </c>
      <c r="G1736" s="2">
        <v>10.70895687</v>
      </c>
      <c r="H1736" s="2">
        <v>3.9994870000000004E-3</v>
      </c>
      <c r="I1736" s="2" t="s">
        <v>30610</v>
      </c>
      <c r="J1736" s="2" t="s">
        <v>30611</v>
      </c>
      <c r="K1736" s="2">
        <v>3.6419805E-2</v>
      </c>
      <c r="L1736" s="2" t="s">
        <v>848</v>
      </c>
      <c r="M1736" s="4" t="s">
        <v>30612</v>
      </c>
    </row>
    <row r="1737" spans="1:13">
      <c r="A1737" s="2">
        <v>5627</v>
      </c>
      <c r="B1737" s="2" t="s">
        <v>30613</v>
      </c>
      <c r="C1737" s="2">
        <v>3</v>
      </c>
      <c r="D1737" s="2">
        <v>568</v>
      </c>
      <c r="E1737" s="2">
        <v>16</v>
      </c>
      <c r="F1737" s="2">
        <v>32441</v>
      </c>
      <c r="G1737" s="2">
        <v>10.70895687</v>
      </c>
      <c r="H1737" s="2">
        <v>3.9994870000000004E-3</v>
      </c>
      <c r="I1737" s="2" t="s">
        <v>30614</v>
      </c>
      <c r="J1737" s="2" t="s">
        <v>30615</v>
      </c>
      <c r="K1737" s="2">
        <v>3.6419805E-2</v>
      </c>
      <c r="L1737" s="2" t="s">
        <v>848</v>
      </c>
      <c r="M1737" s="4" t="s">
        <v>30616</v>
      </c>
    </row>
    <row r="1738" spans="1:13">
      <c r="A1738" s="2">
        <v>5662</v>
      </c>
      <c r="B1738" s="2" t="s">
        <v>30617</v>
      </c>
      <c r="C1738" s="2">
        <v>4</v>
      </c>
      <c r="D1738" s="2">
        <v>568</v>
      </c>
      <c r="E1738" s="2">
        <v>34</v>
      </c>
      <c r="F1738" s="2">
        <v>32441</v>
      </c>
      <c r="G1738" s="2">
        <v>6.7193454849999998</v>
      </c>
      <c r="H1738" s="2">
        <v>4.0287179999999997E-3</v>
      </c>
      <c r="I1738" s="2" t="s">
        <v>30618</v>
      </c>
      <c r="J1738" s="2" t="s">
        <v>30619</v>
      </c>
      <c r="K1738" s="2">
        <v>3.6419805E-2</v>
      </c>
      <c r="L1738" s="2" t="s">
        <v>848</v>
      </c>
      <c r="M1738" s="4" t="s">
        <v>30620</v>
      </c>
    </row>
    <row r="1739" spans="1:13">
      <c r="A1739" s="2">
        <v>5779</v>
      </c>
      <c r="B1739" s="2" t="s">
        <v>30621</v>
      </c>
      <c r="C1739" s="2">
        <v>3</v>
      </c>
      <c r="D1739" s="2">
        <v>568</v>
      </c>
      <c r="E1739" s="2">
        <v>16</v>
      </c>
      <c r="F1739" s="2">
        <v>32441</v>
      </c>
      <c r="G1739" s="2">
        <v>10.70895687</v>
      </c>
      <c r="H1739" s="2">
        <v>3.9994870000000004E-3</v>
      </c>
      <c r="I1739" s="2" t="s">
        <v>30622</v>
      </c>
      <c r="J1739" s="2" t="s">
        <v>30623</v>
      </c>
      <c r="K1739" s="2">
        <v>3.6419805E-2</v>
      </c>
      <c r="L1739" s="2" t="s">
        <v>848</v>
      </c>
      <c r="M1739" s="4" t="s">
        <v>30624</v>
      </c>
    </row>
    <row r="1740" spans="1:13">
      <c r="A1740" s="2">
        <v>886</v>
      </c>
      <c r="B1740" s="2" t="s">
        <v>30625</v>
      </c>
      <c r="C1740" s="2">
        <v>13</v>
      </c>
      <c r="D1740" s="2">
        <v>568</v>
      </c>
      <c r="E1740" s="2">
        <v>310</v>
      </c>
      <c r="F1740" s="2">
        <v>32441</v>
      </c>
      <c r="G1740" s="2">
        <v>2.395121536</v>
      </c>
      <c r="H1740" s="2">
        <v>4.2573569999999998E-3</v>
      </c>
      <c r="I1740" s="2" t="s">
        <v>30626</v>
      </c>
      <c r="J1740" s="2" t="s">
        <v>30627</v>
      </c>
      <c r="K1740" s="2">
        <v>3.8400583000000002E-2</v>
      </c>
      <c r="L1740" s="2" t="s">
        <v>848</v>
      </c>
      <c r="M1740" s="4" t="s">
        <v>30628</v>
      </c>
    </row>
    <row r="1741" spans="1:13">
      <c r="A1741" s="2">
        <v>3132</v>
      </c>
      <c r="B1741" s="2" t="s">
        <v>30629</v>
      </c>
      <c r="C1741" s="2">
        <v>12</v>
      </c>
      <c r="D1741" s="2">
        <v>568</v>
      </c>
      <c r="E1741" s="2">
        <v>274</v>
      </c>
      <c r="F1741" s="2">
        <v>32441</v>
      </c>
      <c r="G1741" s="2">
        <v>2.5013621879999999</v>
      </c>
      <c r="H1741" s="2">
        <v>4.266415E-3</v>
      </c>
      <c r="I1741" s="2" t="s">
        <v>30630</v>
      </c>
      <c r="J1741" s="2" t="s">
        <v>30631</v>
      </c>
      <c r="K1741" s="2">
        <v>3.8423709E-2</v>
      </c>
      <c r="L1741" s="2" t="s">
        <v>848</v>
      </c>
      <c r="M1741" s="4" t="s">
        <v>30632</v>
      </c>
    </row>
    <row r="1742" spans="1:13">
      <c r="A1742" s="2">
        <v>1709</v>
      </c>
      <c r="B1742" s="2" t="s">
        <v>30633</v>
      </c>
      <c r="C1742" s="2">
        <v>10</v>
      </c>
      <c r="D1742" s="2">
        <v>568</v>
      </c>
      <c r="E1742" s="2">
        <v>205</v>
      </c>
      <c r="F1742" s="2">
        <v>32441</v>
      </c>
      <c r="G1742" s="2">
        <v>2.7860700789999999</v>
      </c>
      <c r="H1742" s="2">
        <v>4.306135E-3</v>
      </c>
      <c r="I1742" s="2" t="s">
        <v>30634</v>
      </c>
      <c r="J1742" s="2" t="s">
        <v>30635</v>
      </c>
      <c r="K1742" s="2">
        <v>3.8722492999999997E-2</v>
      </c>
      <c r="L1742" s="2" t="s">
        <v>848</v>
      </c>
      <c r="M1742" s="4" t="s">
        <v>30636</v>
      </c>
    </row>
    <row r="1743" spans="1:13">
      <c r="A1743" s="2">
        <v>5007</v>
      </c>
      <c r="B1743" s="2" t="s">
        <v>10042</v>
      </c>
      <c r="C1743" s="2">
        <v>13</v>
      </c>
      <c r="D1743" s="2">
        <v>568</v>
      </c>
      <c r="E1743" s="2">
        <v>311</v>
      </c>
      <c r="F1743" s="2">
        <v>32441</v>
      </c>
      <c r="G1743" s="2">
        <v>2.3874201799999999</v>
      </c>
      <c r="H1743" s="2">
        <v>4.3678800000000002E-3</v>
      </c>
      <c r="I1743" s="2" t="s">
        <v>30637</v>
      </c>
      <c r="J1743" s="2" t="s">
        <v>30638</v>
      </c>
      <c r="K1743" s="2">
        <v>3.9218127999999998E-2</v>
      </c>
      <c r="L1743" s="2" t="s">
        <v>848</v>
      </c>
      <c r="M1743" s="4" t="s">
        <v>10045</v>
      </c>
    </row>
    <row r="1744" spans="1:13">
      <c r="A1744" s="2">
        <v>2164</v>
      </c>
      <c r="B1744" s="2" t="s">
        <v>30639</v>
      </c>
      <c r="C1744" s="2">
        <v>7</v>
      </c>
      <c r="D1744" s="2">
        <v>568</v>
      </c>
      <c r="E1744" s="2">
        <v>111</v>
      </c>
      <c r="F1744" s="2">
        <v>32441</v>
      </c>
      <c r="G1744" s="2">
        <v>3.6018113180000002</v>
      </c>
      <c r="H1744" s="2">
        <v>4.3983379999999999E-3</v>
      </c>
      <c r="I1744" s="2" t="s">
        <v>30640</v>
      </c>
      <c r="J1744" s="2" t="s">
        <v>30641</v>
      </c>
      <c r="K1744" s="2">
        <v>3.9431765000000001E-2</v>
      </c>
      <c r="L1744" s="2" t="s">
        <v>848</v>
      </c>
      <c r="M1744" s="4" t="s">
        <v>30642</v>
      </c>
    </row>
    <row r="1745" spans="1:13">
      <c r="A1745" s="2">
        <v>2039</v>
      </c>
      <c r="B1745" s="2" t="s">
        <v>30643</v>
      </c>
      <c r="C1745" s="2">
        <v>4</v>
      </c>
      <c r="D1745" s="2">
        <v>568</v>
      </c>
      <c r="E1745" s="2">
        <v>35</v>
      </c>
      <c r="F1745" s="2">
        <v>32441</v>
      </c>
      <c r="G1745" s="2">
        <v>6.5273641849999997</v>
      </c>
      <c r="H1745" s="2">
        <v>4.428988E-3</v>
      </c>
      <c r="I1745" s="2" t="s">
        <v>30644</v>
      </c>
      <c r="J1745" s="2" t="s">
        <v>30645</v>
      </c>
      <c r="K1745" s="2">
        <v>3.9586593000000003E-2</v>
      </c>
      <c r="L1745" s="2" t="s">
        <v>848</v>
      </c>
      <c r="M1745" s="4" t="s">
        <v>30646</v>
      </c>
    </row>
    <row r="1746" spans="1:13">
      <c r="A1746" s="2">
        <v>3962</v>
      </c>
      <c r="B1746" s="2" t="s">
        <v>30647</v>
      </c>
      <c r="C1746" s="2">
        <v>4</v>
      </c>
      <c r="D1746" s="2">
        <v>568</v>
      </c>
      <c r="E1746" s="2">
        <v>35</v>
      </c>
      <c r="F1746" s="2">
        <v>32441</v>
      </c>
      <c r="G1746" s="2">
        <v>6.5273641849999997</v>
      </c>
      <c r="H1746" s="2">
        <v>4.428988E-3</v>
      </c>
      <c r="I1746" s="2" t="s">
        <v>29626</v>
      </c>
      <c r="J1746" s="2" t="s">
        <v>29627</v>
      </c>
      <c r="K1746" s="2">
        <v>3.9586593000000003E-2</v>
      </c>
      <c r="L1746" s="2" t="s">
        <v>848</v>
      </c>
      <c r="M1746" s="4" t="s">
        <v>30648</v>
      </c>
    </row>
    <row r="1747" spans="1:13">
      <c r="A1747" s="2">
        <v>930</v>
      </c>
      <c r="B1747" s="2" t="s">
        <v>10645</v>
      </c>
      <c r="C1747" s="2">
        <v>9</v>
      </c>
      <c r="D1747" s="2">
        <v>568</v>
      </c>
      <c r="E1747" s="2">
        <v>173</v>
      </c>
      <c r="F1747" s="2">
        <v>32441</v>
      </c>
      <c r="G1747" s="2">
        <v>2.9712712689999998</v>
      </c>
      <c r="H1747" s="2">
        <v>4.4559320000000001E-3</v>
      </c>
      <c r="I1747" s="2" t="s">
        <v>30649</v>
      </c>
      <c r="J1747" s="2" t="s">
        <v>30650</v>
      </c>
      <c r="K1747" s="2">
        <v>3.9663333000000002E-2</v>
      </c>
      <c r="L1747" s="2" t="s">
        <v>848</v>
      </c>
      <c r="M1747" s="4" t="s">
        <v>10648</v>
      </c>
    </row>
    <row r="1748" spans="1:13">
      <c r="A1748" s="2">
        <v>2742</v>
      </c>
      <c r="B1748" s="2" t="s">
        <v>10649</v>
      </c>
      <c r="C1748" s="2">
        <v>9</v>
      </c>
      <c r="D1748" s="2">
        <v>568</v>
      </c>
      <c r="E1748" s="2">
        <v>173</v>
      </c>
      <c r="F1748" s="2">
        <v>32441</v>
      </c>
      <c r="G1748" s="2">
        <v>2.9712712689999998</v>
      </c>
      <c r="H1748" s="2">
        <v>4.4559320000000001E-3</v>
      </c>
      <c r="I1748" s="2" t="s">
        <v>30651</v>
      </c>
      <c r="J1748" s="2" t="s">
        <v>30652</v>
      </c>
      <c r="K1748" s="2">
        <v>3.9663333000000002E-2</v>
      </c>
      <c r="L1748" s="2" t="s">
        <v>848</v>
      </c>
      <c r="M1748" s="4" t="s">
        <v>10652</v>
      </c>
    </row>
    <row r="1749" spans="1:13">
      <c r="A1749" s="2">
        <v>4978</v>
      </c>
      <c r="B1749" s="2" t="s">
        <v>8472</v>
      </c>
      <c r="C1749" s="2">
        <v>25</v>
      </c>
      <c r="D1749" s="2">
        <v>568</v>
      </c>
      <c r="E1749" s="2">
        <v>793</v>
      </c>
      <c r="F1749" s="2">
        <v>32441</v>
      </c>
      <c r="G1749" s="2">
        <v>1.8005812299999999</v>
      </c>
      <c r="H1749" s="2">
        <v>4.457684E-3</v>
      </c>
      <c r="I1749" s="2" t="s">
        <v>30653</v>
      </c>
      <c r="J1749" s="2" t="s">
        <v>30654</v>
      </c>
      <c r="K1749" s="2">
        <v>3.9663333000000002E-2</v>
      </c>
      <c r="L1749" s="2" t="s">
        <v>848</v>
      </c>
      <c r="M1749" s="4" t="s">
        <v>8475</v>
      </c>
    </row>
    <row r="1750" spans="1:13">
      <c r="A1750" s="2">
        <v>3442</v>
      </c>
      <c r="B1750" s="2" t="s">
        <v>30655</v>
      </c>
      <c r="C1750" s="2">
        <v>3</v>
      </c>
      <c r="D1750" s="2">
        <v>568</v>
      </c>
      <c r="E1750" s="2">
        <v>17</v>
      </c>
      <c r="F1750" s="2">
        <v>32441</v>
      </c>
      <c r="G1750" s="2">
        <v>10.079018230000001</v>
      </c>
      <c r="H1750" s="2">
        <v>4.6457030000000002E-3</v>
      </c>
      <c r="I1750" s="2" t="s">
        <v>30656</v>
      </c>
      <c r="J1750" s="2" t="s">
        <v>30657</v>
      </c>
      <c r="K1750" s="2">
        <v>4.0603581999999999E-2</v>
      </c>
      <c r="L1750" s="2" t="s">
        <v>848</v>
      </c>
      <c r="M1750" s="4" t="s">
        <v>30658</v>
      </c>
    </row>
    <row r="1751" spans="1:13">
      <c r="A1751" s="2">
        <v>1922</v>
      </c>
      <c r="B1751" s="2" t="s">
        <v>30659</v>
      </c>
      <c r="C1751" s="2">
        <v>3</v>
      </c>
      <c r="D1751" s="2">
        <v>568</v>
      </c>
      <c r="E1751" s="2">
        <v>17</v>
      </c>
      <c r="F1751" s="2">
        <v>32441</v>
      </c>
      <c r="G1751" s="2">
        <v>10.079018230000001</v>
      </c>
      <c r="H1751" s="2">
        <v>4.6457030000000002E-3</v>
      </c>
      <c r="I1751" s="2" t="s">
        <v>30660</v>
      </c>
      <c r="J1751" s="2" t="s">
        <v>30661</v>
      </c>
      <c r="K1751" s="2">
        <v>4.0603581999999999E-2</v>
      </c>
      <c r="L1751" s="2" t="s">
        <v>848</v>
      </c>
      <c r="M1751" s="4" t="s">
        <v>30662</v>
      </c>
    </row>
    <row r="1752" spans="1:13">
      <c r="A1752" s="2">
        <v>2100</v>
      </c>
      <c r="B1752" s="2" t="s">
        <v>30663</v>
      </c>
      <c r="C1752" s="2">
        <v>3</v>
      </c>
      <c r="D1752" s="2">
        <v>568</v>
      </c>
      <c r="E1752" s="2">
        <v>17</v>
      </c>
      <c r="F1752" s="2">
        <v>32441</v>
      </c>
      <c r="G1752" s="2">
        <v>10.079018230000001</v>
      </c>
      <c r="H1752" s="2">
        <v>4.6457030000000002E-3</v>
      </c>
      <c r="I1752" s="2" t="s">
        <v>30664</v>
      </c>
      <c r="J1752" s="2" t="s">
        <v>30665</v>
      </c>
      <c r="K1752" s="2">
        <v>4.0603581999999999E-2</v>
      </c>
      <c r="L1752" s="2" t="s">
        <v>848</v>
      </c>
      <c r="M1752" s="4" t="s">
        <v>30666</v>
      </c>
    </row>
    <row r="1753" spans="1:13">
      <c r="A1753" s="2">
        <v>2482</v>
      </c>
      <c r="B1753" s="2" t="s">
        <v>10170</v>
      </c>
      <c r="C1753" s="2">
        <v>18</v>
      </c>
      <c r="D1753" s="2">
        <v>568</v>
      </c>
      <c r="E1753" s="2">
        <v>505</v>
      </c>
      <c r="F1753" s="2">
        <v>32441</v>
      </c>
      <c r="G1753" s="2">
        <v>2.0357620970000001</v>
      </c>
      <c r="H1753" s="2">
        <v>4.5847509999999998E-3</v>
      </c>
      <c r="I1753" s="2" t="s">
        <v>30667</v>
      </c>
      <c r="J1753" s="2" t="s">
        <v>30668</v>
      </c>
      <c r="K1753" s="2">
        <v>4.0603581999999999E-2</v>
      </c>
      <c r="L1753" s="2" t="s">
        <v>848</v>
      </c>
      <c r="M1753" s="4" t="s">
        <v>10173</v>
      </c>
    </row>
    <row r="1754" spans="1:13">
      <c r="A1754" s="2">
        <v>2523</v>
      </c>
      <c r="B1754" s="2" t="s">
        <v>30669</v>
      </c>
      <c r="C1754" s="2">
        <v>3</v>
      </c>
      <c r="D1754" s="2">
        <v>568</v>
      </c>
      <c r="E1754" s="2">
        <v>17</v>
      </c>
      <c r="F1754" s="2">
        <v>32441</v>
      </c>
      <c r="G1754" s="2">
        <v>10.079018230000001</v>
      </c>
      <c r="H1754" s="2">
        <v>4.6457030000000002E-3</v>
      </c>
      <c r="I1754" s="2" t="s">
        <v>30670</v>
      </c>
      <c r="J1754" s="2" t="s">
        <v>30671</v>
      </c>
      <c r="K1754" s="2">
        <v>4.0603581999999999E-2</v>
      </c>
      <c r="L1754" s="2" t="s">
        <v>848</v>
      </c>
      <c r="M1754" s="4" t="s">
        <v>30672</v>
      </c>
    </row>
    <row r="1755" spans="1:13">
      <c r="A1755" s="2">
        <v>2533</v>
      </c>
      <c r="B1755" s="2" t="s">
        <v>30673</v>
      </c>
      <c r="C1755" s="2">
        <v>3</v>
      </c>
      <c r="D1755" s="2">
        <v>568</v>
      </c>
      <c r="E1755" s="2">
        <v>17</v>
      </c>
      <c r="F1755" s="2">
        <v>32441</v>
      </c>
      <c r="G1755" s="2">
        <v>10.079018230000001</v>
      </c>
      <c r="H1755" s="2">
        <v>4.6457030000000002E-3</v>
      </c>
      <c r="I1755" s="2" t="s">
        <v>30674</v>
      </c>
      <c r="J1755" s="2" t="s">
        <v>30675</v>
      </c>
      <c r="K1755" s="2">
        <v>4.0603581999999999E-2</v>
      </c>
      <c r="L1755" s="2" t="s">
        <v>848</v>
      </c>
      <c r="M1755" s="4" t="s">
        <v>30676</v>
      </c>
    </row>
    <row r="1756" spans="1:13">
      <c r="A1756" s="2">
        <v>3776</v>
      </c>
      <c r="B1756" s="2" t="s">
        <v>30677</v>
      </c>
      <c r="C1756" s="2">
        <v>3</v>
      </c>
      <c r="D1756" s="2">
        <v>568</v>
      </c>
      <c r="E1756" s="2">
        <v>17</v>
      </c>
      <c r="F1756" s="2">
        <v>32441</v>
      </c>
      <c r="G1756" s="2">
        <v>10.079018230000001</v>
      </c>
      <c r="H1756" s="2">
        <v>4.6457030000000002E-3</v>
      </c>
      <c r="I1756" s="2" t="s">
        <v>30678</v>
      </c>
      <c r="J1756" s="2" t="s">
        <v>30679</v>
      </c>
      <c r="K1756" s="2">
        <v>4.0603581999999999E-2</v>
      </c>
      <c r="L1756" s="2" t="s">
        <v>848</v>
      </c>
      <c r="M1756" s="4" t="s">
        <v>30680</v>
      </c>
    </row>
    <row r="1757" spans="1:13">
      <c r="A1757" s="2">
        <v>3906</v>
      </c>
      <c r="B1757" s="2" t="s">
        <v>30681</v>
      </c>
      <c r="C1757" s="2">
        <v>3</v>
      </c>
      <c r="D1757" s="2">
        <v>568</v>
      </c>
      <c r="E1757" s="2">
        <v>17</v>
      </c>
      <c r="F1757" s="2">
        <v>32441</v>
      </c>
      <c r="G1757" s="2">
        <v>10.079018230000001</v>
      </c>
      <c r="H1757" s="2">
        <v>4.6457030000000002E-3</v>
      </c>
      <c r="I1757" s="2" t="s">
        <v>30682</v>
      </c>
      <c r="J1757" s="2" t="s">
        <v>30683</v>
      </c>
      <c r="K1757" s="2">
        <v>4.0603581999999999E-2</v>
      </c>
      <c r="L1757" s="2" t="s">
        <v>848</v>
      </c>
      <c r="M1757" s="4" t="s">
        <v>30684</v>
      </c>
    </row>
    <row r="1758" spans="1:13">
      <c r="A1758" s="2">
        <v>4524</v>
      </c>
      <c r="B1758" s="2" t="s">
        <v>30685</v>
      </c>
      <c r="C1758" s="2">
        <v>3</v>
      </c>
      <c r="D1758" s="2">
        <v>568</v>
      </c>
      <c r="E1758" s="2">
        <v>17</v>
      </c>
      <c r="F1758" s="2">
        <v>32441</v>
      </c>
      <c r="G1758" s="2">
        <v>10.079018230000001</v>
      </c>
      <c r="H1758" s="2">
        <v>4.6457030000000002E-3</v>
      </c>
      <c r="I1758" s="2" t="s">
        <v>30686</v>
      </c>
      <c r="J1758" s="2" t="s">
        <v>30687</v>
      </c>
      <c r="K1758" s="2">
        <v>4.0603581999999999E-2</v>
      </c>
      <c r="L1758" s="2" t="s">
        <v>848</v>
      </c>
      <c r="M1758" s="4" t="s">
        <v>30688</v>
      </c>
    </row>
    <row r="1759" spans="1:13">
      <c r="A1759" s="2">
        <v>4710</v>
      </c>
      <c r="B1759" s="2" t="s">
        <v>30689</v>
      </c>
      <c r="C1759" s="2">
        <v>3</v>
      </c>
      <c r="D1759" s="2">
        <v>568</v>
      </c>
      <c r="E1759" s="2">
        <v>17</v>
      </c>
      <c r="F1759" s="2">
        <v>32441</v>
      </c>
      <c r="G1759" s="2">
        <v>10.079018230000001</v>
      </c>
      <c r="H1759" s="2">
        <v>4.6457030000000002E-3</v>
      </c>
      <c r="I1759" s="2" t="s">
        <v>30690</v>
      </c>
      <c r="J1759" s="2" t="s">
        <v>30691</v>
      </c>
      <c r="K1759" s="2">
        <v>4.0603581999999999E-2</v>
      </c>
      <c r="L1759" s="2" t="s">
        <v>848</v>
      </c>
      <c r="M1759" s="4" t="s">
        <v>30692</v>
      </c>
    </row>
    <row r="1760" spans="1:13">
      <c r="A1760" s="2">
        <v>5294</v>
      </c>
      <c r="B1760" s="2" t="s">
        <v>30693</v>
      </c>
      <c r="C1760" s="2">
        <v>3</v>
      </c>
      <c r="D1760" s="2">
        <v>568</v>
      </c>
      <c r="E1760" s="2">
        <v>17</v>
      </c>
      <c r="F1760" s="2">
        <v>32441</v>
      </c>
      <c r="G1760" s="2">
        <v>10.079018230000001</v>
      </c>
      <c r="H1760" s="2">
        <v>4.6457030000000002E-3</v>
      </c>
      <c r="I1760" s="2" t="s">
        <v>30694</v>
      </c>
      <c r="J1760" s="2" t="s">
        <v>30695</v>
      </c>
      <c r="K1760" s="2">
        <v>4.0603581999999999E-2</v>
      </c>
      <c r="L1760" s="2" t="s">
        <v>848</v>
      </c>
      <c r="M1760" s="4" t="s">
        <v>30696</v>
      </c>
    </row>
    <row r="1761" spans="1:13">
      <c r="A1761" s="2">
        <v>5645</v>
      </c>
      <c r="B1761" s="2" t="s">
        <v>30697</v>
      </c>
      <c r="C1761" s="2">
        <v>3</v>
      </c>
      <c r="D1761" s="2">
        <v>568</v>
      </c>
      <c r="E1761" s="2">
        <v>17</v>
      </c>
      <c r="F1761" s="2">
        <v>32441</v>
      </c>
      <c r="G1761" s="2">
        <v>10.079018230000001</v>
      </c>
      <c r="H1761" s="2">
        <v>4.6457030000000002E-3</v>
      </c>
      <c r="I1761" s="2" t="s">
        <v>30698</v>
      </c>
      <c r="J1761" s="2" t="s">
        <v>30699</v>
      </c>
      <c r="K1761" s="2">
        <v>4.0603581999999999E-2</v>
      </c>
      <c r="L1761" s="2" t="s">
        <v>848</v>
      </c>
      <c r="M1761" s="4" t="s">
        <v>30700</v>
      </c>
    </row>
    <row r="1762" spans="1:13">
      <c r="A1762" s="2">
        <v>3572</v>
      </c>
      <c r="B1762" s="2" t="s">
        <v>30701</v>
      </c>
      <c r="C1762" s="2">
        <v>6</v>
      </c>
      <c r="D1762" s="2">
        <v>568</v>
      </c>
      <c r="E1762" s="2">
        <v>84</v>
      </c>
      <c r="F1762" s="2">
        <v>32441</v>
      </c>
      <c r="G1762" s="2">
        <v>4.0796026159999998</v>
      </c>
      <c r="H1762" s="2">
        <v>4.6527180000000001E-3</v>
      </c>
      <c r="I1762" s="2" t="s">
        <v>30702</v>
      </c>
      <c r="J1762" s="2" t="s">
        <v>30703</v>
      </c>
      <c r="K1762" s="2">
        <v>4.0604912999999999E-2</v>
      </c>
      <c r="L1762" s="2" t="s">
        <v>848</v>
      </c>
      <c r="M1762" s="4" t="s">
        <v>30704</v>
      </c>
    </row>
    <row r="1763" spans="1:13">
      <c r="A1763" s="2">
        <v>1288</v>
      </c>
      <c r="B1763" s="2" t="s">
        <v>30705</v>
      </c>
      <c r="C1763" s="2">
        <v>4</v>
      </c>
      <c r="D1763" s="2">
        <v>568</v>
      </c>
      <c r="E1763" s="2">
        <v>36</v>
      </c>
      <c r="F1763" s="2">
        <v>32441</v>
      </c>
      <c r="G1763" s="2">
        <v>6.3460485130000004</v>
      </c>
      <c r="H1763" s="2">
        <v>4.8551970000000003E-3</v>
      </c>
      <c r="I1763" s="2" t="s">
        <v>30706</v>
      </c>
      <c r="J1763" s="2" t="s">
        <v>30707</v>
      </c>
      <c r="K1763" s="2">
        <v>4.2123461000000001E-2</v>
      </c>
      <c r="L1763" s="2" t="s">
        <v>848</v>
      </c>
      <c r="M1763" s="4" t="s">
        <v>30708</v>
      </c>
    </row>
    <row r="1764" spans="1:13">
      <c r="A1764" s="2">
        <v>1952</v>
      </c>
      <c r="B1764" s="2" t="s">
        <v>30709</v>
      </c>
      <c r="C1764" s="2">
        <v>4</v>
      </c>
      <c r="D1764" s="2">
        <v>568</v>
      </c>
      <c r="E1764" s="2">
        <v>36</v>
      </c>
      <c r="F1764" s="2">
        <v>32441</v>
      </c>
      <c r="G1764" s="2">
        <v>6.3460485130000004</v>
      </c>
      <c r="H1764" s="2">
        <v>4.8551970000000003E-3</v>
      </c>
      <c r="I1764" s="2" t="s">
        <v>30060</v>
      </c>
      <c r="J1764" s="2" t="s">
        <v>30061</v>
      </c>
      <c r="K1764" s="2">
        <v>4.2123461000000001E-2</v>
      </c>
      <c r="L1764" s="2" t="s">
        <v>848</v>
      </c>
      <c r="M1764" s="4" t="s">
        <v>30710</v>
      </c>
    </row>
    <row r="1765" spans="1:13">
      <c r="A1765" s="2">
        <v>2233</v>
      </c>
      <c r="B1765" s="2" t="s">
        <v>30711</v>
      </c>
      <c r="C1765" s="2">
        <v>4</v>
      </c>
      <c r="D1765" s="2">
        <v>568</v>
      </c>
      <c r="E1765" s="2">
        <v>36</v>
      </c>
      <c r="F1765" s="2">
        <v>32441</v>
      </c>
      <c r="G1765" s="2">
        <v>6.3460485130000004</v>
      </c>
      <c r="H1765" s="2">
        <v>4.8551970000000003E-3</v>
      </c>
      <c r="I1765" s="2" t="s">
        <v>30712</v>
      </c>
      <c r="J1765" s="2" t="s">
        <v>30713</v>
      </c>
      <c r="K1765" s="2">
        <v>4.2123461000000001E-2</v>
      </c>
      <c r="L1765" s="2" t="s">
        <v>848</v>
      </c>
      <c r="M1765" s="4" t="s">
        <v>30714</v>
      </c>
    </row>
    <row r="1766" spans="1:13">
      <c r="A1766" s="2">
        <v>4432</v>
      </c>
      <c r="B1766" s="2" t="s">
        <v>30715</v>
      </c>
      <c r="C1766" s="2">
        <v>4</v>
      </c>
      <c r="D1766" s="2">
        <v>568</v>
      </c>
      <c r="E1766" s="2">
        <v>36</v>
      </c>
      <c r="F1766" s="2">
        <v>32441</v>
      </c>
      <c r="G1766" s="2">
        <v>6.3460485130000004</v>
      </c>
      <c r="H1766" s="2">
        <v>4.8551970000000003E-3</v>
      </c>
      <c r="I1766" s="2" t="s">
        <v>30716</v>
      </c>
      <c r="J1766" s="2" t="s">
        <v>30717</v>
      </c>
      <c r="K1766" s="2">
        <v>4.2123461000000001E-2</v>
      </c>
      <c r="L1766" s="2" t="s">
        <v>848</v>
      </c>
      <c r="M1766" s="4" t="s">
        <v>30718</v>
      </c>
    </row>
    <row r="1767" spans="1:13">
      <c r="A1767" s="2">
        <v>4204</v>
      </c>
      <c r="B1767" s="2" t="s">
        <v>7723</v>
      </c>
      <c r="C1767" s="2">
        <v>10</v>
      </c>
      <c r="D1767" s="2">
        <v>568</v>
      </c>
      <c r="E1767" s="2">
        <v>209</v>
      </c>
      <c r="F1767" s="2">
        <v>32441</v>
      </c>
      <c r="G1767" s="2">
        <v>2.7327481640000002</v>
      </c>
      <c r="H1767" s="2">
        <v>4.8946789999999999E-3</v>
      </c>
      <c r="I1767" s="2" t="s">
        <v>30719</v>
      </c>
      <c r="J1767" s="2" t="s">
        <v>30720</v>
      </c>
      <c r="K1767" s="2">
        <v>4.2403833000000002E-2</v>
      </c>
      <c r="L1767" s="2" t="s">
        <v>848</v>
      </c>
      <c r="M1767" s="4" t="s">
        <v>7726</v>
      </c>
    </row>
    <row r="1768" spans="1:13">
      <c r="A1768" s="2">
        <v>8041</v>
      </c>
      <c r="B1768" s="2" t="s">
        <v>30721</v>
      </c>
      <c r="C1768" s="2">
        <v>5</v>
      </c>
      <c r="D1768" s="2">
        <v>568</v>
      </c>
      <c r="E1768" s="2">
        <v>59</v>
      </c>
      <c r="F1768" s="2">
        <v>32441</v>
      </c>
      <c r="G1768" s="2">
        <v>4.8402064930000002</v>
      </c>
      <c r="H1768" s="2">
        <v>4.906746E-3</v>
      </c>
      <c r="I1768" s="2" t="s">
        <v>30722</v>
      </c>
      <c r="J1768" s="2" t="s">
        <v>30723</v>
      </c>
      <c r="K1768" s="2">
        <v>4.2415860999999999E-2</v>
      </c>
      <c r="L1768" s="2" t="s">
        <v>848</v>
      </c>
      <c r="M1768" s="4" t="s">
        <v>30724</v>
      </c>
    </row>
    <row r="1769" spans="1:13">
      <c r="A1769" s="2">
        <v>3200</v>
      </c>
      <c r="B1769" s="2" t="s">
        <v>30725</v>
      </c>
      <c r="C1769" s="2">
        <v>6</v>
      </c>
      <c r="D1769" s="2">
        <v>568</v>
      </c>
      <c r="E1769" s="2">
        <v>85</v>
      </c>
      <c r="F1769" s="2">
        <v>32441</v>
      </c>
      <c r="G1769" s="2">
        <v>4.0316072910000003</v>
      </c>
      <c r="H1769" s="2">
        <v>4.9104049999999996E-3</v>
      </c>
      <c r="I1769" s="2" t="s">
        <v>30726</v>
      </c>
      <c r="J1769" s="2" t="s">
        <v>30727</v>
      </c>
      <c r="K1769" s="2">
        <v>4.2415860999999999E-2</v>
      </c>
      <c r="L1769" s="2" t="s">
        <v>848</v>
      </c>
      <c r="M1769" s="4" t="s">
        <v>30728</v>
      </c>
    </row>
    <row r="1770" spans="1:13">
      <c r="A1770" s="2">
        <v>2</v>
      </c>
      <c r="B1770" s="2" t="s">
        <v>30729</v>
      </c>
      <c r="C1770" s="2">
        <v>8</v>
      </c>
      <c r="D1770" s="2">
        <v>568</v>
      </c>
      <c r="E1770" s="2">
        <v>144</v>
      </c>
      <c r="F1770" s="2">
        <v>32441</v>
      </c>
      <c r="G1770" s="2">
        <v>3.1730242569999998</v>
      </c>
      <c r="H1770" s="2">
        <v>4.9542859999999996E-3</v>
      </c>
      <c r="I1770" s="2" t="s">
        <v>30730</v>
      </c>
      <c r="J1770" s="2" t="s">
        <v>30731</v>
      </c>
      <c r="K1770" s="2">
        <v>4.2732518999999997E-2</v>
      </c>
      <c r="L1770" s="2" t="s">
        <v>848</v>
      </c>
      <c r="M1770" s="4" t="s">
        <v>30732</v>
      </c>
    </row>
    <row r="1771" spans="1:13">
      <c r="A1771" s="2">
        <v>3329</v>
      </c>
      <c r="B1771" s="2" t="s">
        <v>30733</v>
      </c>
      <c r="C1771" s="2">
        <v>7</v>
      </c>
      <c r="D1771" s="2">
        <v>568</v>
      </c>
      <c r="E1771" s="2">
        <v>114</v>
      </c>
      <c r="F1771" s="2">
        <v>32441</v>
      </c>
      <c r="G1771" s="2">
        <v>3.5070268100000002</v>
      </c>
      <c r="H1771" s="2">
        <v>5.0423530000000003E-3</v>
      </c>
      <c r="I1771" s="2" t="s">
        <v>30734</v>
      </c>
      <c r="J1771" s="2" t="s">
        <v>30735</v>
      </c>
      <c r="K1771" s="2">
        <v>4.3428822999999998E-2</v>
      </c>
      <c r="L1771" s="2" t="s">
        <v>848</v>
      </c>
      <c r="M1771" s="4" t="s">
        <v>30736</v>
      </c>
    </row>
    <row r="1772" spans="1:13">
      <c r="A1772" s="2">
        <v>1151</v>
      </c>
      <c r="B1772" s="2" t="s">
        <v>30737</v>
      </c>
      <c r="C1772" s="2">
        <v>21</v>
      </c>
      <c r="D1772" s="2">
        <v>568</v>
      </c>
      <c r="E1772" s="2">
        <v>633</v>
      </c>
      <c r="F1772" s="2">
        <v>32441</v>
      </c>
      <c r="G1772" s="2">
        <v>1.8947917359999999</v>
      </c>
      <c r="H1772" s="2">
        <v>5.0965230000000004E-3</v>
      </c>
      <c r="I1772" s="2" t="s">
        <v>30738</v>
      </c>
      <c r="J1772" s="2" t="s">
        <v>30739</v>
      </c>
      <c r="K1772" s="2">
        <v>4.3831579000000002E-2</v>
      </c>
      <c r="L1772" s="2" t="s">
        <v>848</v>
      </c>
      <c r="M1772" s="4" t="s">
        <v>30740</v>
      </c>
    </row>
    <row r="1773" spans="1:13">
      <c r="A1773" s="2">
        <v>5417</v>
      </c>
      <c r="B1773" s="2" t="s">
        <v>30741</v>
      </c>
      <c r="C1773" s="2">
        <v>6</v>
      </c>
      <c r="D1773" s="2">
        <v>568</v>
      </c>
      <c r="E1773" s="2">
        <v>86</v>
      </c>
      <c r="F1773" s="2">
        <v>32441</v>
      </c>
      <c r="G1773" s="2">
        <v>3.9847281360000002</v>
      </c>
      <c r="H1773" s="2">
        <v>5.1784179999999997E-3</v>
      </c>
      <c r="I1773" s="2" t="s">
        <v>30742</v>
      </c>
      <c r="J1773" s="2" t="s">
        <v>30743</v>
      </c>
      <c r="K1773" s="2">
        <v>4.4471265000000003E-2</v>
      </c>
      <c r="L1773" s="2" t="s">
        <v>848</v>
      </c>
      <c r="M1773" s="4" t="s">
        <v>30744</v>
      </c>
    </row>
    <row r="1774" spans="1:13">
      <c r="A1774" s="2">
        <v>1611</v>
      </c>
      <c r="B1774" s="2" t="s">
        <v>30745</v>
      </c>
      <c r="C1774" s="2">
        <v>11</v>
      </c>
      <c r="D1774" s="2">
        <v>568</v>
      </c>
      <c r="E1774" s="2">
        <v>246</v>
      </c>
      <c r="F1774" s="2">
        <v>32441</v>
      </c>
      <c r="G1774" s="2">
        <v>2.5538975719999999</v>
      </c>
      <c r="H1774" s="2">
        <v>5.2569299999999999E-3</v>
      </c>
      <c r="I1774" s="2" t="s">
        <v>30746</v>
      </c>
      <c r="J1774" s="2" t="s">
        <v>30747</v>
      </c>
      <c r="K1774" s="2">
        <v>4.5080077000000003E-2</v>
      </c>
      <c r="L1774" s="2" t="s">
        <v>848</v>
      </c>
      <c r="M1774" s="4" t="s">
        <v>30748</v>
      </c>
    </row>
    <row r="1775" spans="1:13">
      <c r="A1775" s="2">
        <v>1583</v>
      </c>
      <c r="B1775" s="2" t="s">
        <v>30749</v>
      </c>
      <c r="C1775" s="2">
        <v>3</v>
      </c>
      <c r="D1775" s="2">
        <v>568</v>
      </c>
      <c r="E1775" s="2">
        <v>18</v>
      </c>
      <c r="F1775" s="2">
        <v>32441</v>
      </c>
      <c r="G1775" s="2">
        <v>9.5190727699999993</v>
      </c>
      <c r="H1775" s="2">
        <v>5.3514239999999996E-3</v>
      </c>
      <c r="I1775" s="2" t="s">
        <v>30750</v>
      </c>
      <c r="J1775" s="2" t="s">
        <v>30751</v>
      </c>
      <c r="K1775" s="2">
        <v>4.5691737000000003E-2</v>
      </c>
      <c r="L1775" s="2" t="s">
        <v>848</v>
      </c>
      <c r="M1775" s="4" t="s">
        <v>30752</v>
      </c>
    </row>
    <row r="1776" spans="1:13">
      <c r="A1776" s="2">
        <v>921</v>
      </c>
      <c r="B1776" s="2" t="s">
        <v>30753</v>
      </c>
      <c r="C1776" s="2">
        <v>3</v>
      </c>
      <c r="D1776" s="2">
        <v>568</v>
      </c>
      <c r="E1776" s="2">
        <v>18</v>
      </c>
      <c r="F1776" s="2">
        <v>32441</v>
      </c>
      <c r="G1776" s="2">
        <v>9.5190727699999993</v>
      </c>
      <c r="H1776" s="2">
        <v>5.3514239999999996E-3</v>
      </c>
      <c r="I1776" s="2" t="s">
        <v>30754</v>
      </c>
      <c r="J1776" s="2" t="s">
        <v>30755</v>
      </c>
      <c r="K1776" s="2">
        <v>4.5691737000000003E-2</v>
      </c>
      <c r="L1776" s="2" t="s">
        <v>848</v>
      </c>
      <c r="M1776" s="4" t="s">
        <v>30756</v>
      </c>
    </row>
    <row r="1777" spans="1:13">
      <c r="A1777" s="2">
        <v>3012</v>
      </c>
      <c r="B1777" s="2" t="s">
        <v>30757</v>
      </c>
      <c r="C1777" s="2">
        <v>3</v>
      </c>
      <c r="D1777" s="2">
        <v>568</v>
      </c>
      <c r="E1777" s="2">
        <v>18</v>
      </c>
      <c r="F1777" s="2">
        <v>32441</v>
      </c>
      <c r="G1777" s="2">
        <v>9.5190727699999993</v>
      </c>
      <c r="H1777" s="2">
        <v>5.3514239999999996E-3</v>
      </c>
      <c r="I1777" s="2" t="s">
        <v>30758</v>
      </c>
      <c r="J1777" s="2" t="s">
        <v>30759</v>
      </c>
      <c r="K1777" s="2">
        <v>4.5691737000000003E-2</v>
      </c>
      <c r="L1777" s="2" t="s">
        <v>848</v>
      </c>
      <c r="M1777" s="4" t="s">
        <v>30760</v>
      </c>
    </row>
    <row r="1778" spans="1:13">
      <c r="A1778" s="2">
        <v>1120</v>
      </c>
      <c r="B1778" s="2" t="s">
        <v>30761</v>
      </c>
      <c r="C1778" s="2">
        <v>14</v>
      </c>
      <c r="D1778" s="2">
        <v>568</v>
      </c>
      <c r="E1778" s="2">
        <v>357</v>
      </c>
      <c r="F1778" s="2">
        <v>32441</v>
      </c>
      <c r="G1778" s="2">
        <v>2.2397818279999999</v>
      </c>
      <c r="H1778" s="2">
        <v>5.4023860000000003E-3</v>
      </c>
      <c r="I1778" s="2" t="s">
        <v>30762</v>
      </c>
      <c r="J1778" s="2" t="s">
        <v>30763</v>
      </c>
      <c r="K1778" s="2">
        <v>4.6060400000000001E-2</v>
      </c>
      <c r="L1778" s="2" t="s">
        <v>848</v>
      </c>
      <c r="M1778" s="4" t="s">
        <v>30764</v>
      </c>
    </row>
    <row r="1779" spans="1:13">
      <c r="A1779" s="2">
        <v>1909</v>
      </c>
      <c r="B1779" s="2" t="s">
        <v>10384</v>
      </c>
      <c r="C1779" s="2">
        <v>27</v>
      </c>
      <c r="D1779" s="2">
        <v>568</v>
      </c>
      <c r="E1779" s="2">
        <v>893</v>
      </c>
      <c r="F1779" s="2">
        <v>32441</v>
      </c>
      <c r="G1779" s="2">
        <v>1.7268642649999999</v>
      </c>
      <c r="H1779" s="2">
        <v>5.4449440000000002E-3</v>
      </c>
      <c r="I1779" s="2" t="s">
        <v>30765</v>
      </c>
      <c r="J1779" s="2" t="s">
        <v>30766</v>
      </c>
      <c r="K1779" s="2">
        <v>4.6356449000000001E-2</v>
      </c>
      <c r="L1779" s="2" t="s">
        <v>848</v>
      </c>
      <c r="M1779" s="4" t="s">
        <v>10387</v>
      </c>
    </row>
    <row r="1780" spans="1:13">
      <c r="A1780" s="2">
        <v>49811</v>
      </c>
      <c r="B1780" s="2" t="s">
        <v>30767</v>
      </c>
      <c r="C1780" s="2">
        <v>5</v>
      </c>
      <c r="D1780" s="2">
        <v>568</v>
      </c>
      <c r="E1780" s="2">
        <v>61</v>
      </c>
      <c r="F1780" s="2">
        <v>32441</v>
      </c>
      <c r="G1780" s="2">
        <v>4.6815111979999999</v>
      </c>
      <c r="H1780" s="2">
        <v>5.593064E-3</v>
      </c>
      <c r="I1780" s="2" t="s">
        <v>30768</v>
      </c>
      <c r="J1780" s="2" t="s">
        <v>30769</v>
      </c>
      <c r="K1780" s="2">
        <v>4.7549081999999999E-2</v>
      </c>
      <c r="L1780" s="2" t="s">
        <v>848</v>
      </c>
      <c r="M1780" s="4" t="s">
        <v>30770</v>
      </c>
    </row>
    <row r="1781" spans="1:13">
      <c r="A1781" s="2">
        <v>4115</v>
      </c>
      <c r="B1781" s="2" t="s">
        <v>30771</v>
      </c>
      <c r="C1781" s="2">
        <v>18</v>
      </c>
      <c r="D1781" s="2">
        <v>568</v>
      </c>
      <c r="E1781" s="2">
        <v>516</v>
      </c>
      <c r="F1781" s="2">
        <v>32441</v>
      </c>
      <c r="G1781" s="2">
        <v>1.9923640680000001</v>
      </c>
      <c r="H1781" s="2">
        <v>5.6533540000000002E-3</v>
      </c>
      <c r="I1781" s="2" t="s">
        <v>30772</v>
      </c>
      <c r="J1781" s="2" t="s">
        <v>30773</v>
      </c>
      <c r="K1781" s="2">
        <v>4.7992674999999999E-2</v>
      </c>
      <c r="L1781" s="2" t="s">
        <v>848</v>
      </c>
      <c r="M1781" s="4" t="s">
        <v>30774</v>
      </c>
    </row>
    <row r="1782" spans="1:13">
      <c r="A1782" s="2">
        <v>1198</v>
      </c>
      <c r="B1782" s="2" t="s">
        <v>10238</v>
      </c>
      <c r="C1782" s="2">
        <v>16</v>
      </c>
      <c r="D1782" s="2">
        <v>568</v>
      </c>
      <c r="E1782" s="2">
        <v>437</v>
      </c>
      <c r="F1782" s="2">
        <v>32441</v>
      </c>
      <c r="G1782" s="2">
        <v>2.0911464209999999</v>
      </c>
      <c r="H1782" s="2">
        <v>5.7338160000000001E-3</v>
      </c>
      <c r="I1782" s="2" t="s">
        <v>30775</v>
      </c>
      <c r="J1782" s="2" t="s">
        <v>30776</v>
      </c>
      <c r="K1782" s="2">
        <v>4.8606004000000001E-2</v>
      </c>
      <c r="L1782" s="2" t="s">
        <v>848</v>
      </c>
      <c r="M1782" s="4" t="s">
        <v>10241</v>
      </c>
    </row>
    <row r="1783" spans="1:13">
      <c r="A1783" s="2">
        <v>1552</v>
      </c>
      <c r="B1783" s="2" t="s">
        <v>30777</v>
      </c>
      <c r="C1783" s="2">
        <v>6</v>
      </c>
      <c r="D1783" s="2">
        <v>568</v>
      </c>
      <c r="E1783" s="2">
        <v>88</v>
      </c>
      <c r="F1783" s="2">
        <v>32441</v>
      </c>
      <c r="G1783" s="2">
        <v>3.8941661330000001</v>
      </c>
      <c r="H1783" s="2">
        <v>5.7463760000000001E-3</v>
      </c>
      <c r="I1783" s="2" t="s">
        <v>30778</v>
      </c>
      <c r="J1783" s="2" t="s">
        <v>30779</v>
      </c>
      <c r="K1783" s="2">
        <v>4.8642782000000002E-2</v>
      </c>
      <c r="L1783" s="2" t="s">
        <v>848</v>
      </c>
      <c r="M1783" s="4" t="s">
        <v>30780</v>
      </c>
    </row>
    <row r="1784" spans="1:13">
      <c r="A1784" s="2">
        <v>1972</v>
      </c>
      <c r="B1784" s="2" t="s">
        <v>30781</v>
      </c>
      <c r="C1784" s="2">
        <v>8</v>
      </c>
      <c r="D1784" s="2">
        <v>568</v>
      </c>
      <c r="E1784" s="2">
        <v>148</v>
      </c>
      <c r="F1784" s="2">
        <v>32441</v>
      </c>
      <c r="G1784" s="2">
        <v>3.0872668440000002</v>
      </c>
      <c r="H1784" s="2">
        <v>5.7775040000000001E-3</v>
      </c>
      <c r="I1784" s="2" t="s">
        <v>30782</v>
      </c>
      <c r="J1784" s="2" t="s">
        <v>30783</v>
      </c>
      <c r="K1784" s="2">
        <v>4.8788772000000001E-2</v>
      </c>
      <c r="L1784" s="2" t="s">
        <v>848</v>
      </c>
      <c r="M1784" s="4" t="s">
        <v>30784</v>
      </c>
    </row>
    <row r="1785" spans="1:13">
      <c r="A1785" s="2">
        <v>496</v>
      </c>
      <c r="B1785" s="2" t="s">
        <v>30785</v>
      </c>
      <c r="C1785" s="2">
        <v>4</v>
      </c>
      <c r="D1785" s="2">
        <v>568</v>
      </c>
      <c r="E1785" s="2">
        <v>38</v>
      </c>
      <c r="F1785" s="2">
        <v>32441</v>
      </c>
      <c r="G1785" s="2">
        <v>6.01204596</v>
      </c>
      <c r="H1785" s="2">
        <v>5.7883589999999999E-3</v>
      </c>
      <c r="I1785" s="2" t="s">
        <v>30786</v>
      </c>
      <c r="J1785" s="2" t="s">
        <v>30787</v>
      </c>
      <c r="K1785" s="2">
        <v>4.8788772000000001E-2</v>
      </c>
      <c r="L1785" s="2" t="s">
        <v>848</v>
      </c>
      <c r="M1785" s="4" t="s">
        <v>30788</v>
      </c>
    </row>
    <row r="1786" spans="1:13">
      <c r="A1786" s="2">
        <v>2829</v>
      </c>
      <c r="B1786" s="2" t="s">
        <v>30789</v>
      </c>
      <c r="C1786" s="2">
        <v>4</v>
      </c>
      <c r="D1786" s="2">
        <v>568</v>
      </c>
      <c r="E1786" s="2">
        <v>38</v>
      </c>
      <c r="F1786" s="2">
        <v>32441</v>
      </c>
      <c r="G1786" s="2">
        <v>6.01204596</v>
      </c>
      <c r="H1786" s="2">
        <v>5.7883589999999999E-3</v>
      </c>
      <c r="I1786" s="2" t="s">
        <v>25431</v>
      </c>
      <c r="J1786" s="2" t="s">
        <v>25432</v>
      </c>
      <c r="K1786" s="2">
        <v>4.8788772000000001E-2</v>
      </c>
      <c r="L1786" s="2" t="s">
        <v>848</v>
      </c>
      <c r="M1786" s="4" t="s">
        <v>30790</v>
      </c>
    </row>
    <row r="1787" spans="1:13">
      <c r="A1787" s="2">
        <v>2477</v>
      </c>
      <c r="B1787" s="2" t="s">
        <v>30791</v>
      </c>
      <c r="C1787" s="2">
        <v>9</v>
      </c>
      <c r="D1787" s="2">
        <v>568</v>
      </c>
      <c r="E1787" s="2">
        <v>181</v>
      </c>
      <c r="F1787" s="2">
        <v>32441</v>
      </c>
      <c r="G1787" s="2">
        <v>2.8399443619999998</v>
      </c>
      <c r="H1787" s="2">
        <v>5.8753060000000003E-3</v>
      </c>
      <c r="I1787" s="2" t="s">
        <v>30792</v>
      </c>
      <c r="J1787" s="2" t="s">
        <v>30793</v>
      </c>
      <c r="K1787" s="2">
        <v>4.9451191999999998E-2</v>
      </c>
      <c r="L1787" s="2" t="s">
        <v>848</v>
      </c>
      <c r="M1787" s="4" t="s">
        <v>30794</v>
      </c>
    </row>
    <row r="1788" spans="1:13">
      <c r="A1788" s="2">
        <v>3326</v>
      </c>
      <c r="B1788" s="2" t="s">
        <v>30795</v>
      </c>
      <c r="C1788" s="2">
        <v>13</v>
      </c>
      <c r="D1788" s="2">
        <v>568</v>
      </c>
      <c r="E1788" s="2">
        <v>323</v>
      </c>
      <c r="F1788" s="2">
        <v>32441</v>
      </c>
      <c r="G1788" s="2">
        <v>2.2987234550000002</v>
      </c>
      <c r="H1788" s="2">
        <v>5.8836720000000004E-3</v>
      </c>
      <c r="I1788" s="2" t="s">
        <v>30796</v>
      </c>
      <c r="J1788" s="2" t="s">
        <v>30797</v>
      </c>
      <c r="K1788" s="2">
        <v>4.9451256999999998E-2</v>
      </c>
      <c r="L1788" s="2" t="s">
        <v>848</v>
      </c>
      <c r="M1788" s="4" t="s">
        <v>30798</v>
      </c>
    </row>
    <row r="1789" spans="1:13">
      <c r="A1789" s="2">
        <v>2577</v>
      </c>
      <c r="B1789" s="2" t="s">
        <v>30799</v>
      </c>
      <c r="C1789" s="2">
        <v>5</v>
      </c>
      <c r="D1789" s="2">
        <v>568</v>
      </c>
      <c r="E1789" s="2">
        <v>62</v>
      </c>
      <c r="F1789" s="2">
        <v>32441</v>
      </c>
      <c r="G1789" s="2">
        <v>4.606002953</v>
      </c>
      <c r="H1789" s="2">
        <v>5.9604259999999996E-3</v>
      </c>
      <c r="I1789" s="2" t="s">
        <v>30800</v>
      </c>
      <c r="J1789" s="2" t="s">
        <v>30801</v>
      </c>
      <c r="K1789" s="2">
        <v>4.9813334000000001E-2</v>
      </c>
      <c r="L1789" s="2" t="s">
        <v>848</v>
      </c>
      <c r="M1789" s="4" t="s">
        <v>30802</v>
      </c>
    </row>
    <row r="1790" spans="1:13">
      <c r="A1790" s="2">
        <v>3069</v>
      </c>
      <c r="B1790" s="2" t="s">
        <v>3091</v>
      </c>
      <c r="C1790" s="2">
        <v>5</v>
      </c>
      <c r="D1790" s="2">
        <v>568</v>
      </c>
      <c r="E1790" s="2">
        <v>62</v>
      </c>
      <c r="F1790" s="2">
        <v>32441</v>
      </c>
      <c r="G1790" s="2">
        <v>4.606002953</v>
      </c>
      <c r="H1790" s="2">
        <v>5.9604259999999996E-3</v>
      </c>
      <c r="I1790" s="2" t="s">
        <v>30803</v>
      </c>
      <c r="J1790" s="2" t="s">
        <v>30804</v>
      </c>
      <c r="K1790" s="2">
        <v>4.9813334000000001E-2</v>
      </c>
      <c r="L1790" s="2" t="s">
        <v>848</v>
      </c>
      <c r="M1790" s="4" t="s">
        <v>3094</v>
      </c>
    </row>
    <row r="1791" spans="1:13">
      <c r="A1791" s="2">
        <v>4820</v>
      </c>
      <c r="B1791" s="2" t="s">
        <v>30805</v>
      </c>
      <c r="C1791" s="2">
        <v>5</v>
      </c>
      <c r="D1791" s="2">
        <v>568</v>
      </c>
      <c r="E1791" s="2">
        <v>62</v>
      </c>
      <c r="F1791" s="2">
        <v>32441</v>
      </c>
      <c r="G1791" s="2">
        <v>4.606002953</v>
      </c>
      <c r="H1791" s="2">
        <v>5.9604259999999996E-3</v>
      </c>
      <c r="I1791" s="2" t="s">
        <v>30806</v>
      </c>
      <c r="J1791" s="2" t="s">
        <v>30807</v>
      </c>
      <c r="K1791" s="2">
        <v>4.9813334000000001E-2</v>
      </c>
      <c r="L1791" s="2" t="s">
        <v>848</v>
      </c>
      <c r="M1791" s="4" t="s">
        <v>30808</v>
      </c>
    </row>
    <row r="1792" spans="1:13">
      <c r="A1792" s="2">
        <v>5636</v>
      </c>
      <c r="B1792" s="2" t="s">
        <v>30809</v>
      </c>
      <c r="C1792" s="2">
        <v>5</v>
      </c>
      <c r="D1792" s="2">
        <v>568</v>
      </c>
      <c r="E1792" s="2">
        <v>62</v>
      </c>
      <c r="F1792" s="2">
        <v>32441</v>
      </c>
      <c r="G1792" s="2">
        <v>4.606002953</v>
      </c>
      <c r="H1792" s="2">
        <v>5.9604259999999996E-3</v>
      </c>
      <c r="I1792" s="2" t="s">
        <v>30810</v>
      </c>
      <c r="J1792" s="2" t="s">
        <v>30811</v>
      </c>
      <c r="K1792" s="2">
        <v>4.9813334000000001E-2</v>
      </c>
      <c r="L1792" s="2" t="s">
        <v>848</v>
      </c>
      <c r="M1792" s="4" t="s">
        <v>30812</v>
      </c>
    </row>
    <row r="1793" spans="1:13">
      <c r="A1793" s="2">
        <v>1621</v>
      </c>
      <c r="B1793" s="2" t="s">
        <v>30813</v>
      </c>
      <c r="C1793" s="2">
        <v>34</v>
      </c>
      <c r="D1793" s="2">
        <v>568</v>
      </c>
      <c r="E1793" s="2">
        <v>287</v>
      </c>
      <c r="F1793" s="2">
        <v>32441</v>
      </c>
      <c r="G1793" s="2">
        <v>6.7661701919999997</v>
      </c>
      <c r="H1793" s="3">
        <v>3.6899999999999999E-17</v>
      </c>
      <c r="I1793" s="2" t="s">
        <v>30814</v>
      </c>
      <c r="J1793" s="2" t="s">
        <v>30815</v>
      </c>
      <c r="K1793" s="3">
        <v>6.9799999999999998E-15</v>
      </c>
      <c r="L1793" s="2" t="s">
        <v>3116</v>
      </c>
      <c r="M1793" s="4" t="s">
        <v>30816</v>
      </c>
    </row>
    <row r="1794" spans="1:13">
      <c r="A1794" s="2">
        <v>1131</v>
      </c>
      <c r="B1794" s="2" t="s">
        <v>30817</v>
      </c>
      <c r="C1794" s="2">
        <v>18</v>
      </c>
      <c r="D1794" s="2">
        <v>568</v>
      </c>
      <c r="E1794" s="2">
        <v>100</v>
      </c>
      <c r="F1794" s="2">
        <v>32441</v>
      </c>
      <c r="G1794" s="2">
        <v>10.28059859</v>
      </c>
      <c r="H1794" s="3">
        <v>2.1400000000000002E-12</v>
      </c>
      <c r="I1794" s="2" t="s">
        <v>30818</v>
      </c>
      <c r="J1794" s="2" t="s">
        <v>30819</v>
      </c>
      <c r="K1794" s="3">
        <v>2.02E-10</v>
      </c>
      <c r="L1794" s="2" t="s">
        <v>3116</v>
      </c>
      <c r="M1794" s="4" t="s">
        <v>30820</v>
      </c>
    </row>
    <row r="1795" spans="1:13">
      <c r="A1795" s="2">
        <v>325</v>
      </c>
      <c r="B1795" s="2" t="s">
        <v>30821</v>
      </c>
      <c r="C1795" s="2">
        <v>23</v>
      </c>
      <c r="D1795" s="2">
        <v>568</v>
      </c>
      <c r="E1795" s="2">
        <v>191</v>
      </c>
      <c r="F1795" s="2">
        <v>32441</v>
      </c>
      <c r="G1795" s="2">
        <v>6.8776546710000002</v>
      </c>
      <c r="H1795" s="3">
        <v>3.6300000000000001E-12</v>
      </c>
      <c r="I1795" s="2" t="s">
        <v>30822</v>
      </c>
      <c r="J1795" s="2" t="s">
        <v>30823</v>
      </c>
      <c r="K1795" s="3">
        <v>2.2900000000000001E-10</v>
      </c>
      <c r="L1795" s="2" t="s">
        <v>3116</v>
      </c>
      <c r="M1795" s="4" t="s">
        <v>30824</v>
      </c>
    </row>
    <row r="1796" spans="1:13">
      <c r="A1796" s="2">
        <v>127</v>
      </c>
      <c r="B1796" s="2" t="s">
        <v>30825</v>
      </c>
      <c r="C1796" s="2">
        <v>21</v>
      </c>
      <c r="D1796" s="2">
        <v>568</v>
      </c>
      <c r="E1796" s="2">
        <v>183</v>
      </c>
      <c r="F1796" s="2">
        <v>32441</v>
      </c>
      <c r="G1796" s="2">
        <v>6.5541156779999996</v>
      </c>
      <c r="H1796" s="3">
        <v>7.1499999999999999E-11</v>
      </c>
      <c r="I1796" s="2" t="s">
        <v>30826</v>
      </c>
      <c r="J1796" s="2" t="s">
        <v>30827</v>
      </c>
      <c r="K1796" s="3">
        <v>3.3799999999999999E-9</v>
      </c>
      <c r="L1796" s="2" t="s">
        <v>3116</v>
      </c>
      <c r="M1796" s="4" t="s">
        <v>30828</v>
      </c>
    </row>
    <row r="1797" spans="1:13">
      <c r="A1797" s="2">
        <v>109</v>
      </c>
      <c r="B1797" s="2" t="s">
        <v>30829</v>
      </c>
      <c r="C1797" s="2">
        <v>20</v>
      </c>
      <c r="D1797" s="2">
        <v>568</v>
      </c>
      <c r="E1797" s="2">
        <v>174</v>
      </c>
      <c r="F1797" s="2">
        <v>32441</v>
      </c>
      <c r="G1797" s="2">
        <v>6.564877772</v>
      </c>
      <c r="H1797" s="3">
        <v>1.9699999999999999E-10</v>
      </c>
      <c r="I1797" s="2" t="s">
        <v>30830</v>
      </c>
      <c r="J1797" s="2" t="s">
        <v>30831</v>
      </c>
      <c r="K1797" s="3">
        <v>7.4600000000000003E-9</v>
      </c>
      <c r="L1797" s="2" t="s">
        <v>3116</v>
      </c>
      <c r="M1797" s="4" t="s">
        <v>30832</v>
      </c>
    </row>
    <row r="1798" spans="1:13">
      <c r="A1798" s="2">
        <v>331</v>
      </c>
      <c r="B1798" s="2" t="s">
        <v>30833</v>
      </c>
      <c r="C1798" s="2">
        <v>16</v>
      </c>
      <c r="D1798" s="2">
        <v>568</v>
      </c>
      <c r="E1798" s="2">
        <v>193</v>
      </c>
      <c r="F1798" s="2">
        <v>32441</v>
      </c>
      <c r="G1798" s="2">
        <v>4.7348755750000002</v>
      </c>
      <c r="H1798" s="3">
        <v>7.9500000000000001E-7</v>
      </c>
      <c r="I1798" s="2" t="s">
        <v>30834</v>
      </c>
      <c r="J1798" s="2" t="s">
        <v>30835</v>
      </c>
      <c r="K1798" s="3">
        <v>2.5000000000000001E-5</v>
      </c>
      <c r="L1798" s="2" t="s">
        <v>3116</v>
      </c>
      <c r="M1798" s="4" t="s">
        <v>30836</v>
      </c>
    </row>
    <row r="1799" spans="1:13">
      <c r="A1799" s="2">
        <v>19</v>
      </c>
      <c r="B1799" s="2" t="s">
        <v>11807</v>
      </c>
      <c r="C1799" s="2">
        <v>14</v>
      </c>
      <c r="D1799" s="2">
        <v>568</v>
      </c>
      <c r="E1799" s="2">
        <v>191</v>
      </c>
      <c r="F1799" s="2">
        <v>32441</v>
      </c>
      <c r="G1799" s="2">
        <v>4.1863984959999998</v>
      </c>
      <c r="H1799" s="3">
        <v>1.43E-5</v>
      </c>
      <c r="I1799" s="2" t="s">
        <v>30837</v>
      </c>
      <c r="J1799" s="2" t="s">
        <v>30838</v>
      </c>
      <c r="K1799" s="2">
        <v>3.8526599999999999E-4</v>
      </c>
      <c r="L1799" s="2" t="s">
        <v>3116</v>
      </c>
      <c r="M1799" s="4" t="s">
        <v>11810</v>
      </c>
    </row>
    <row r="1800" spans="1:13">
      <c r="A1800" s="2">
        <v>982</v>
      </c>
      <c r="B1800" s="2" t="s">
        <v>30839</v>
      </c>
      <c r="C1800" s="2">
        <v>13</v>
      </c>
      <c r="D1800" s="2">
        <v>568</v>
      </c>
      <c r="E1800" s="2">
        <v>170</v>
      </c>
      <c r="F1800" s="2">
        <v>32441</v>
      </c>
      <c r="G1800" s="2">
        <v>4.367574565</v>
      </c>
      <c r="H1800" s="3">
        <v>1.8899999999999999E-5</v>
      </c>
      <c r="I1800" s="2" t="s">
        <v>30840</v>
      </c>
      <c r="J1800" s="2" t="s">
        <v>30841</v>
      </c>
      <c r="K1800" s="2">
        <v>4.4744899999999999E-4</v>
      </c>
      <c r="L1800" s="2" t="s">
        <v>3116</v>
      </c>
      <c r="M1800" s="4" t="s">
        <v>30842</v>
      </c>
    </row>
    <row r="1801" spans="1:13">
      <c r="A1801" s="2">
        <v>53</v>
      </c>
      <c r="B1801" s="2" t="s">
        <v>30843</v>
      </c>
      <c r="C1801" s="2">
        <v>7</v>
      </c>
      <c r="D1801" s="2">
        <v>568</v>
      </c>
      <c r="E1801" s="2">
        <v>46</v>
      </c>
      <c r="F1801" s="2">
        <v>32441</v>
      </c>
      <c r="G1801" s="2">
        <v>8.6913273120000003</v>
      </c>
      <c r="H1801" s="3">
        <v>3.3399999999999999E-5</v>
      </c>
      <c r="I1801" s="2" t="s">
        <v>30844</v>
      </c>
      <c r="J1801" s="2" t="s">
        <v>30845</v>
      </c>
      <c r="K1801" s="2">
        <v>7.0217299999999995E-4</v>
      </c>
      <c r="L1801" s="2" t="s">
        <v>3116</v>
      </c>
      <c r="M1801" s="4" t="s">
        <v>30846</v>
      </c>
    </row>
    <row r="1802" spans="1:13">
      <c r="A1802" s="2">
        <v>727</v>
      </c>
      <c r="B1802" s="2" t="s">
        <v>30847</v>
      </c>
      <c r="C1802" s="2">
        <v>13</v>
      </c>
      <c r="D1802" s="2">
        <v>568</v>
      </c>
      <c r="E1802" s="2">
        <v>197</v>
      </c>
      <c r="F1802" s="2">
        <v>32441</v>
      </c>
      <c r="G1802" s="2">
        <v>3.7689729750000001</v>
      </c>
      <c r="H1802" s="3">
        <v>7.8899999999999993E-5</v>
      </c>
      <c r="I1802" s="2" t="s">
        <v>30848</v>
      </c>
      <c r="J1802" s="2" t="s">
        <v>30849</v>
      </c>
      <c r="K1802" s="2">
        <v>1.491023E-3</v>
      </c>
      <c r="L1802" s="2" t="s">
        <v>3116</v>
      </c>
      <c r="M1802" s="4" t="s">
        <v>30850</v>
      </c>
    </row>
    <row r="1803" spans="1:13">
      <c r="A1803" s="2">
        <v>871</v>
      </c>
      <c r="B1803" s="2" t="s">
        <v>3118</v>
      </c>
      <c r="C1803" s="2">
        <v>10</v>
      </c>
      <c r="D1803" s="2">
        <v>568</v>
      </c>
      <c r="E1803" s="2">
        <v>193</v>
      </c>
      <c r="F1803" s="2">
        <v>32441</v>
      </c>
      <c r="G1803" s="2">
        <v>2.9592972340000001</v>
      </c>
      <c r="H1803" s="2">
        <v>2.86834E-3</v>
      </c>
      <c r="I1803" s="2" t="s">
        <v>30851</v>
      </c>
      <c r="J1803" s="2" t="s">
        <v>30852</v>
      </c>
      <c r="K1803" s="2">
        <v>4.9283294999999998E-2</v>
      </c>
      <c r="L1803" s="2" t="s">
        <v>3116</v>
      </c>
      <c r="M1803" s="4" t="s">
        <v>3121</v>
      </c>
    </row>
    <row r="1804" spans="1:13">
      <c r="A1804" s="2">
        <v>3655</v>
      </c>
      <c r="B1804" s="2" t="s">
        <v>30853</v>
      </c>
      <c r="C1804" s="2">
        <v>43</v>
      </c>
      <c r="D1804" s="2">
        <v>568</v>
      </c>
      <c r="E1804" s="2">
        <v>170</v>
      </c>
      <c r="F1804" s="2">
        <v>32441</v>
      </c>
      <c r="G1804" s="2">
        <v>14.44659279</v>
      </c>
      <c r="H1804" s="3">
        <v>4.3700000000000002E-33</v>
      </c>
      <c r="I1804" s="2" t="s">
        <v>30854</v>
      </c>
      <c r="J1804" s="2" t="s">
        <v>30855</v>
      </c>
      <c r="K1804" s="3">
        <v>2.1299999999999999E-29</v>
      </c>
      <c r="L1804" s="2" t="s">
        <v>1178</v>
      </c>
      <c r="M1804" s="4" t="s">
        <v>30856</v>
      </c>
    </row>
    <row r="1805" spans="1:13">
      <c r="A1805" s="2">
        <v>4771</v>
      </c>
      <c r="B1805" s="2" t="s">
        <v>3529</v>
      </c>
      <c r="C1805" s="2">
        <v>36</v>
      </c>
      <c r="D1805" s="2">
        <v>568</v>
      </c>
      <c r="E1805" s="2">
        <v>200</v>
      </c>
      <c r="F1805" s="2">
        <v>32441</v>
      </c>
      <c r="G1805" s="2">
        <v>10.28059859</v>
      </c>
      <c r="H1805" s="3">
        <v>1.8099999999999999E-23</v>
      </c>
      <c r="I1805" s="2" t="s">
        <v>30857</v>
      </c>
      <c r="J1805" s="2" t="s">
        <v>30858</v>
      </c>
      <c r="K1805" s="3">
        <v>4.4100000000000002E-20</v>
      </c>
      <c r="L1805" s="2" t="s">
        <v>1178</v>
      </c>
      <c r="M1805" s="4" t="s">
        <v>3532</v>
      </c>
    </row>
    <row r="1806" spans="1:13">
      <c r="A1806" s="2">
        <v>2691</v>
      </c>
      <c r="B1806" s="2" t="s">
        <v>16601</v>
      </c>
      <c r="C1806" s="2">
        <v>31</v>
      </c>
      <c r="D1806" s="2">
        <v>568</v>
      </c>
      <c r="E1806" s="2">
        <v>200</v>
      </c>
      <c r="F1806" s="2">
        <v>32441</v>
      </c>
      <c r="G1806" s="2">
        <v>8.8527376760000003</v>
      </c>
      <c r="H1806" s="3">
        <v>1.02E-18</v>
      </c>
      <c r="I1806" s="2" t="s">
        <v>30859</v>
      </c>
      <c r="J1806" s="2" t="s">
        <v>30860</v>
      </c>
      <c r="K1806" s="3">
        <v>1.66E-15</v>
      </c>
      <c r="L1806" s="2" t="s">
        <v>1178</v>
      </c>
      <c r="M1806" s="4" t="s">
        <v>16604</v>
      </c>
    </row>
    <row r="1807" spans="1:13">
      <c r="A1807" s="2">
        <v>4461</v>
      </c>
      <c r="B1807" s="2" t="s">
        <v>23988</v>
      </c>
      <c r="C1807" s="2">
        <v>30</v>
      </c>
      <c r="D1807" s="2">
        <v>568</v>
      </c>
      <c r="E1807" s="2">
        <v>200</v>
      </c>
      <c r="F1807" s="2">
        <v>32441</v>
      </c>
      <c r="G1807" s="2">
        <v>8.5671654929999992</v>
      </c>
      <c r="H1807" s="3">
        <v>8.4E-18</v>
      </c>
      <c r="I1807" s="2" t="s">
        <v>30861</v>
      </c>
      <c r="J1807" s="2" t="s">
        <v>30862</v>
      </c>
      <c r="K1807" s="3">
        <v>1.02E-14</v>
      </c>
      <c r="L1807" s="2" t="s">
        <v>1178</v>
      </c>
      <c r="M1807" s="4" t="s">
        <v>23991</v>
      </c>
    </row>
    <row r="1808" spans="1:13">
      <c r="A1808" s="2">
        <v>2510</v>
      </c>
      <c r="B1808" s="2" t="s">
        <v>3302</v>
      </c>
      <c r="C1808" s="2">
        <v>27</v>
      </c>
      <c r="D1808" s="2">
        <v>568</v>
      </c>
      <c r="E1808" s="2">
        <v>161</v>
      </c>
      <c r="F1808" s="2">
        <v>32441</v>
      </c>
      <c r="G1808" s="2">
        <v>9.5781974460000008</v>
      </c>
      <c r="H1808" s="3">
        <v>3.12E-17</v>
      </c>
      <c r="I1808" s="2" t="s">
        <v>30863</v>
      </c>
      <c r="J1808" s="2" t="s">
        <v>30864</v>
      </c>
      <c r="K1808" s="3">
        <v>3.0400000000000002E-14</v>
      </c>
      <c r="L1808" s="2" t="s">
        <v>1178</v>
      </c>
      <c r="M1808" s="4" t="s">
        <v>3305</v>
      </c>
    </row>
    <row r="1809" spans="1:13">
      <c r="A1809" s="2">
        <v>25801</v>
      </c>
      <c r="B1809" s="2" t="s">
        <v>21079</v>
      </c>
      <c r="C1809" s="2">
        <v>29</v>
      </c>
      <c r="D1809" s="2">
        <v>568</v>
      </c>
      <c r="E1809" s="2">
        <v>200</v>
      </c>
      <c r="F1809" s="2">
        <v>32441</v>
      </c>
      <c r="G1809" s="2">
        <v>8.2815933099999999</v>
      </c>
      <c r="H1809" s="3">
        <v>6.69E-17</v>
      </c>
      <c r="I1809" s="2" t="s">
        <v>30865</v>
      </c>
      <c r="J1809" s="2" t="s">
        <v>30866</v>
      </c>
      <c r="K1809" s="3">
        <v>4.6599999999999998E-14</v>
      </c>
      <c r="L1809" s="2" t="s">
        <v>1178</v>
      </c>
      <c r="M1809" s="4" t="s">
        <v>21082</v>
      </c>
    </row>
    <row r="1810" spans="1:13">
      <c r="A1810" s="2">
        <v>3225</v>
      </c>
      <c r="B1810" s="2" t="s">
        <v>30867</v>
      </c>
      <c r="C1810" s="2">
        <v>29</v>
      </c>
      <c r="D1810" s="2">
        <v>568</v>
      </c>
      <c r="E1810" s="2">
        <v>200</v>
      </c>
      <c r="F1810" s="2">
        <v>32441</v>
      </c>
      <c r="G1810" s="2">
        <v>8.2815933099999999</v>
      </c>
      <c r="H1810" s="3">
        <v>6.69E-17</v>
      </c>
      <c r="I1810" s="2" t="s">
        <v>30868</v>
      </c>
      <c r="J1810" s="2" t="s">
        <v>30869</v>
      </c>
      <c r="K1810" s="3">
        <v>4.6599999999999998E-14</v>
      </c>
      <c r="L1810" s="2" t="s">
        <v>1178</v>
      </c>
      <c r="M1810" s="4" t="s">
        <v>30870</v>
      </c>
    </row>
    <row r="1811" spans="1:13">
      <c r="A1811" s="2">
        <v>44371</v>
      </c>
      <c r="B1811" s="2" t="s">
        <v>30871</v>
      </c>
      <c r="C1811" s="2">
        <v>27</v>
      </c>
      <c r="D1811" s="2">
        <v>568</v>
      </c>
      <c r="E1811" s="2">
        <v>176</v>
      </c>
      <c r="F1811" s="2">
        <v>32441</v>
      </c>
      <c r="G1811" s="2">
        <v>8.7618738</v>
      </c>
      <c r="H1811" s="3">
        <v>2.2699999999999999E-16</v>
      </c>
      <c r="I1811" s="2" t="s">
        <v>30872</v>
      </c>
      <c r="J1811" s="2" t="s">
        <v>30873</v>
      </c>
      <c r="K1811" s="3">
        <v>1.3799999999999999E-13</v>
      </c>
      <c r="L1811" s="2" t="s">
        <v>1178</v>
      </c>
      <c r="M1811" s="4" t="s">
        <v>30874</v>
      </c>
    </row>
    <row r="1812" spans="1:13">
      <c r="A1812" s="2">
        <v>3219</v>
      </c>
      <c r="B1812" s="2" t="s">
        <v>3126</v>
      </c>
      <c r="C1812" s="2">
        <v>26</v>
      </c>
      <c r="D1812" s="2">
        <v>568</v>
      </c>
      <c r="E1812" s="2">
        <v>200</v>
      </c>
      <c r="F1812" s="2">
        <v>32441</v>
      </c>
      <c r="G1812" s="2">
        <v>7.4248767610000002</v>
      </c>
      <c r="H1812" s="3">
        <v>2.79E-14</v>
      </c>
      <c r="I1812" s="2" t="s">
        <v>30875</v>
      </c>
      <c r="J1812" s="2" t="s">
        <v>30876</v>
      </c>
      <c r="K1812" s="3">
        <v>1.24E-11</v>
      </c>
      <c r="L1812" s="2" t="s">
        <v>1178</v>
      </c>
      <c r="M1812" s="4" t="s">
        <v>3129</v>
      </c>
    </row>
    <row r="1813" spans="1:13">
      <c r="A1813" s="2">
        <v>36791</v>
      </c>
      <c r="B1813" s="2" t="s">
        <v>30877</v>
      </c>
      <c r="C1813" s="2">
        <v>26</v>
      </c>
      <c r="D1813" s="2">
        <v>568</v>
      </c>
      <c r="E1813" s="2">
        <v>200</v>
      </c>
      <c r="F1813" s="2">
        <v>32441</v>
      </c>
      <c r="G1813" s="2">
        <v>7.4248767610000002</v>
      </c>
      <c r="H1813" s="3">
        <v>2.79E-14</v>
      </c>
      <c r="I1813" s="2" t="s">
        <v>30878</v>
      </c>
      <c r="J1813" s="2" t="s">
        <v>30879</v>
      </c>
      <c r="K1813" s="3">
        <v>1.24E-11</v>
      </c>
      <c r="L1813" s="2" t="s">
        <v>1178</v>
      </c>
      <c r="M1813" s="4" t="s">
        <v>30880</v>
      </c>
    </row>
    <row r="1814" spans="1:13">
      <c r="A1814" s="2">
        <v>4463</v>
      </c>
      <c r="B1814" s="2" t="s">
        <v>3184</v>
      </c>
      <c r="C1814" s="2">
        <v>26</v>
      </c>
      <c r="D1814" s="2">
        <v>568</v>
      </c>
      <c r="E1814" s="2">
        <v>200</v>
      </c>
      <c r="F1814" s="2">
        <v>32441</v>
      </c>
      <c r="G1814" s="2">
        <v>7.4248767610000002</v>
      </c>
      <c r="H1814" s="3">
        <v>2.79E-14</v>
      </c>
      <c r="I1814" s="2" t="s">
        <v>30881</v>
      </c>
      <c r="J1814" s="2" t="s">
        <v>30882</v>
      </c>
      <c r="K1814" s="3">
        <v>1.24E-11</v>
      </c>
      <c r="L1814" s="2" t="s">
        <v>1178</v>
      </c>
      <c r="M1814" s="4" t="s">
        <v>3187</v>
      </c>
    </row>
    <row r="1815" spans="1:13">
      <c r="A1815" s="2">
        <v>2546</v>
      </c>
      <c r="B1815" s="2" t="s">
        <v>21488</v>
      </c>
      <c r="C1815" s="2">
        <v>24</v>
      </c>
      <c r="D1815" s="2">
        <v>568</v>
      </c>
      <c r="E1815" s="2">
        <v>174</v>
      </c>
      <c r="F1815" s="2">
        <v>32441</v>
      </c>
      <c r="G1815" s="2">
        <v>7.8778533270000004</v>
      </c>
      <c r="H1815" s="3">
        <v>8.6499999999999997E-14</v>
      </c>
      <c r="I1815" s="2" t="s">
        <v>30883</v>
      </c>
      <c r="J1815" s="2" t="s">
        <v>30884</v>
      </c>
      <c r="K1815" s="3">
        <v>3.51E-11</v>
      </c>
      <c r="L1815" s="2" t="s">
        <v>1178</v>
      </c>
      <c r="M1815" s="4" t="s">
        <v>21491</v>
      </c>
    </row>
    <row r="1816" spans="1:13">
      <c r="A1816" s="2">
        <v>8251</v>
      </c>
      <c r="B1816" s="2" t="s">
        <v>30885</v>
      </c>
      <c r="C1816" s="2">
        <v>25</v>
      </c>
      <c r="D1816" s="2">
        <v>568</v>
      </c>
      <c r="E1816" s="2">
        <v>200</v>
      </c>
      <c r="F1816" s="2">
        <v>32441</v>
      </c>
      <c r="G1816" s="2">
        <v>7.1393045769999999</v>
      </c>
      <c r="H1816" s="3">
        <v>1.95E-13</v>
      </c>
      <c r="I1816" s="2" t="s">
        <v>30886</v>
      </c>
      <c r="J1816" s="2" t="s">
        <v>30887</v>
      </c>
      <c r="K1816" s="3">
        <v>6.3399999999999996E-11</v>
      </c>
      <c r="L1816" s="2" t="s">
        <v>1178</v>
      </c>
      <c r="M1816" s="4" t="s">
        <v>30888</v>
      </c>
    </row>
    <row r="1817" spans="1:13">
      <c r="A1817" s="2">
        <v>2900</v>
      </c>
      <c r="B1817" s="2" t="s">
        <v>30889</v>
      </c>
      <c r="C1817" s="2">
        <v>25</v>
      </c>
      <c r="D1817" s="2">
        <v>568</v>
      </c>
      <c r="E1817" s="2">
        <v>199</v>
      </c>
      <c r="F1817" s="2">
        <v>32441</v>
      </c>
      <c r="G1817" s="2">
        <v>7.1751804799999999</v>
      </c>
      <c r="H1817" s="3">
        <v>1.7600000000000001E-13</v>
      </c>
      <c r="I1817" s="2" t="s">
        <v>30890</v>
      </c>
      <c r="J1817" s="2" t="s">
        <v>30891</v>
      </c>
      <c r="K1817" s="3">
        <v>6.3399999999999996E-11</v>
      </c>
      <c r="L1817" s="2" t="s">
        <v>1178</v>
      </c>
      <c r="M1817" s="4" t="s">
        <v>30892</v>
      </c>
    </row>
    <row r="1818" spans="1:13">
      <c r="A1818" s="2">
        <v>3075</v>
      </c>
      <c r="B1818" s="2" t="s">
        <v>18156</v>
      </c>
      <c r="C1818" s="2">
        <v>25</v>
      </c>
      <c r="D1818" s="2">
        <v>568</v>
      </c>
      <c r="E1818" s="2">
        <v>200</v>
      </c>
      <c r="F1818" s="2">
        <v>32441</v>
      </c>
      <c r="G1818" s="2">
        <v>7.1393045769999999</v>
      </c>
      <c r="H1818" s="3">
        <v>1.95E-13</v>
      </c>
      <c r="I1818" s="2" t="s">
        <v>30893</v>
      </c>
      <c r="J1818" s="2" t="s">
        <v>30894</v>
      </c>
      <c r="K1818" s="3">
        <v>6.3399999999999996E-11</v>
      </c>
      <c r="L1818" s="2" t="s">
        <v>1178</v>
      </c>
      <c r="M1818" s="4" t="s">
        <v>18159</v>
      </c>
    </row>
    <row r="1819" spans="1:13">
      <c r="A1819" s="2">
        <v>3307</v>
      </c>
      <c r="B1819" s="2" t="s">
        <v>21528</v>
      </c>
      <c r="C1819" s="2">
        <v>22</v>
      </c>
      <c r="D1819" s="2">
        <v>568</v>
      </c>
      <c r="E1819" s="2">
        <v>149</v>
      </c>
      <c r="F1819" s="2">
        <v>32441</v>
      </c>
      <c r="G1819" s="2">
        <v>8.4330040650000004</v>
      </c>
      <c r="H1819" s="3">
        <v>2.7499999999999999E-13</v>
      </c>
      <c r="I1819" s="2" t="s">
        <v>30895</v>
      </c>
      <c r="J1819" s="2" t="s">
        <v>30896</v>
      </c>
      <c r="K1819" s="3">
        <v>8.3799999999999998E-11</v>
      </c>
      <c r="L1819" s="2" t="s">
        <v>1178</v>
      </c>
      <c r="M1819" s="4" t="s">
        <v>21531</v>
      </c>
    </row>
    <row r="1820" spans="1:13">
      <c r="A1820" s="2">
        <v>25251</v>
      </c>
      <c r="B1820" s="2" t="s">
        <v>30897</v>
      </c>
      <c r="C1820" s="2">
        <v>23</v>
      </c>
      <c r="D1820" s="2">
        <v>568</v>
      </c>
      <c r="E1820" s="2">
        <v>177</v>
      </c>
      <c r="F1820" s="2">
        <v>32441</v>
      </c>
      <c r="G1820" s="2">
        <v>7.4216499560000004</v>
      </c>
      <c r="H1820" s="3">
        <v>8.7500000000000001E-13</v>
      </c>
      <c r="I1820" s="2" t="s">
        <v>30898</v>
      </c>
      <c r="J1820" s="2" t="s">
        <v>30899</v>
      </c>
      <c r="K1820" s="3">
        <v>2.5100000000000001E-10</v>
      </c>
      <c r="L1820" s="2" t="s">
        <v>1178</v>
      </c>
      <c r="M1820" s="4" t="s">
        <v>30900</v>
      </c>
    </row>
    <row r="1821" spans="1:13">
      <c r="A1821" s="2">
        <v>191</v>
      </c>
      <c r="B1821" s="2" t="s">
        <v>16924</v>
      </c>
      <c r="C1821" s="2">
        <v>24</v>
      </c>
      <c r="D1821" s="2">
        <v>568</v>
      </c>
      <c r="E1821" s="2">
        <v>200</v>
      </c>
      <c r="F1821" s="2">
        <v>32441</v>
      </c>
      <c r="G1821" s="2">
        <v>6.8537323939999997</v>
      </c>
      <c r="H1821" s="3">
        <v>1.3100000000000001E-12</v>
      </c>
      <c r="I1821" s="2" t="s">
        <v>30901</v>
      </c>
      <c r="J1821" s="2" t="s">
        <v>30902</v>
      </c>
      <c r="K1821" s="3">
        <v>2.6700000000000001E-10</v>
      </c>
      <c r="L1821" s="2" t="s">
        <v>1178</v>
      </c>
      <c r="M1821" s="4" t="s">
        <v>16927</v>
      </c>
    </row>
    <row r="1822" spans="1:13">
      <c r="A1822" s="2">
        <v>2854</v>
      </c>
      <c r="B1822" s="2" t="s">
        <v>19469</v>
      </c>
      <c r="C1822" s="2">
        <v>24</v>
      </c>
      <c r="D1822" s="2">
        <v>568</v>
      </c>
      <c r="E1822" s="2">
        <v>200</v>
      </c>
      <c r="F1822" s="2">
        <v>32441</v>
      </c>
      <c r="G1822" s="2">
        <v>6.8537323939999997</v>
      </c>
      <c r="H1822" s="3">
        <v>1.3100000000000001E-12</v>
      </c>
      <c r="I1822" s="2" t="s">
        <v>30903</v>
      </c>
      <c r="J1822" s="2" t="s">
        <v>30904</v>
      </c>
      <c r="K1822" s="3">
        <v>2.6700000000000001E-10</v>
      </c>
      <c r="L1822" s="2" t="s">
        <v>1178</v>
      </c>
      <c r="M1822" s="4" t="s">
        <v>19472</v>
      </c>
    </row>
    <row r="1823" spans="1:13">
      <c r="A1823" s="2">
        <v>2871</v>
      </c>
      <c r="B1823" s="2" t="s">
        <v>3243</v>
      </c>
      <c r="C1823" s="2">
        <v>24</v>
      </c>
      <c r="D1823" s="2">
        <v>568</v>
      </c>
      <c r="E1823" s="2">
        <v>200</v>
      </c>
      <c r="F1823" s="2">
        <v>32441</v>
      </c>
      <c r="G1823" s="2">
        <v>6.8537323939999997</v>
      </c>
      <c r="H1823" s="3">
        <v>1.3100000000000001E-12</v>
      </c>
      <c r="I1823" s="2" t="s">
        <v>30905</v>
      </c>
      <c r="J1823" s="2" t="s">
        <v>30906</v>
      </c>
      <c r="K1823" s="3">
        <v>2.6700000000000001E-10</v>
      </c>
      <c r="L1823" s="2" t="s">
        <v>1178</v>
      </c>
      <c r="M1823" s="4" t="s">
        <v>3246</v>
      </c>
    </row>
    <row r="1824" spans="1:13">
      <c r="A1824" s="2">
        <v>1346</v>
      </c>
      <c r="B1824" s="2" t="s">
        <v>30907</v>
      </c>
      <c r="C1824" s="2">
        <v>24</v>
      </c>
      <c r="D1824" s="2">
        <v>568</v>
      </c>
      <c r="E1824" s="2">
        <v>200</v>
      </c>
      <c r="F1824" s="2">
        <v>32441</v>
      </c>
      <c r="G1824" s="2">
        <v>6.8537323939999997</v>
      </c>
      <c r="H1824" s="3">
        <v>1.3100000000000001E-12</v>
      </c>
      <c r="I1824" s="2" t="s">
        <v>30908</v>
      </c>
      <c r="J1824" s="2" t="s">
        <v>30909</v>
      </c>
      <c r="K1824" s="3">
        <v>2.6700000000000001E-10</v>
      </c>
      <c r="L1824" s="2" t="s">
        <v>1178</v>
      </c>
      <c r="M1824" s="4" t="s">
        <v>30910</v>
      </c>
    </row>
    <row r="1825" spans="1:13">
      <c r="A1825" s="2">
        <v>3029</v>
      </c>
      <c r="B1825" s="2" t="s">
        <v>23749</v>
      </c>
      <c r="C1825" s="2">
        <v>24</v>
      </c>
      <c r="D1825" s="2">
        <v>568</v>
      </c>
      <c r="E1825" s="2">
        <v>200</v>
      </c>
      <c r="F1825" s="2">
        <v>32441</v>
      </c>
      <c r="G1825" s="2">
        <v>6.8537323939999997</v>
      </c>
      <c r="H1825" s="3">
        <v>1.3100000000000001E-12</v>
      </c>
      <c r="I1825" s="2" t="s">
        <v>30911</v>
      </c>
      <c r="J1825" s="2" t="s">
        <v>30912</v>
      </c>
      <c r="K1825" s="3">
        <v>2.6700000000000001E-10</v>
      </c>
      <c r="L1825" s="2" t="s">
        <v>1178</v>
      </c>
      <c r="M1825" s="4" t="s">
        <v>23752</v>
      </c>
    </row>
    <row r="1826" spans="1:13">
      <c r="A1826" s="2">
        <v>3581</v>
      </c>
      <c r="B1826" s="2" t="s">
        <v>3130</v>
      </c>
      <c r="C1826" s="2">
        <v>22</v>
      </c>
      <c r="D1826" s="2">
        <v>568</v>
      </c>
      <c r="E1826" s="2">
        <v>162</v>
      </c>
      <c r="F1826" s="2">
        <v>32441</v>
      </c>
      <c r="G1826" s="2">
        <v>7.7562815159999996</v>
      </c>
      <c r="H1826" s="3">
        <v>1.24E-12</v>
      </c>
      <c r="I1826" s="2" t="s">
        <v>30913</v>
      </c>
      <c r="J1826" s="2" t="s">
        <v>30914</v>
      </c>
      <c r="K1826" s="3">
        <v>2.6700000000000001E-10</v>
      </c>
      <c r="L1826" s="2" t="s">
        <v>1178</v>
      </c>
      <c r="M1826" s="4" t="s">
        <v>3133</v>
      </c>
    </row>
    <row r="1827" spans="1:13">
      <c r="A1827" s="2">
        <v>41611</v>
      </c>
      <c r="B1827" s="2" t="s">
        <v>17491</v>
      </c>
      <c r="C1827" s="2">
        <v>24</v>
      </c>
      <c r="D1827" s="2">
        <v>568</v>
      </c>
      <c r="E1827" s="2">
        <v>200</v>
      </c>
      <c r="F1827" s="2">
        <v>32441</v>
      </c>
      <c r="G1827" s="2">
        <v>6.8537323939999997</v>
      </c>
      <c r="H1827" s="3">
        <v>1.3100000000000001E-12</v>
      </c>
      <c r="I1827" s="2" t="s">
        <v>30915</v>
      </c>
      <c r="J1827" s="2" t="s">
        <v>30916</v>
      </c>
      <c r="K1827" s="3">
        <v>2.6700000000000001E-10</v>
      </c>
      <c r="L1827" s="2" t="s">
        <v>1178</v>
      </c>
      <c r="M1827" s="4" t="s">
        <v>17494</v>
      </c>
    </row>
    <row r="1828" spans="1:13">
      <c r="A1828" s="2">
        <v>3612</v>
      </c>
      <c r="B1828" s="2" t="s">
        <v>22790</v>
      </c>
      <c r="C1828" s="2">
        <v>23</v>
      </c>
      <c r="D1828" s="2">
        <v>568</v>
      </c>
      <c r="E1828" s="2">
        <v>185</v>
      </c>
      <c r="F1828" s="2">
        <v>32441</v>
      </c>
      <c r="G1828" s="2">
        <v>7.1007137419999999</v>
      </c>
      <c r="H1828" s="3">
        <v>2E-12</v>
      </c>
      <c r="I1828" s="2" t="s">
        <v>30917</v>
      </c>
      <c r="J1828" s="2" t="s">
        <v>30918</v>
      </c>
      <c r="K1828" s="3">
        <v>3.9E-10</v>
      </c>
      <c r="L1828" s="2" t="s">
        <v>1178</v>
      </c>
      <c r="M1828" s="4" t="s">
        <v>22793</v>
      </c>
    </row>
    <row r="1829" spans="1:13">
      <c r="A1829" s="2">
        <v>99</v>
      </c>
      <c r="B1829" s="2" t="s">
        <v>30919</v>
      </c>
      <c r="C1829" s="2">
        <v>23</v>
      </c>
      <c r="D1829" s="2">
        <v>568</v>
      </c>
      <c r="E1829" s="2">
        <v>200</v>
      </c>
      <c r="F1829" s="2">
        <v>32441</v>
      </c>
      <c r="G1829" s="2">
        <v>6.5681602110000004</v>
      </c>
      <c r="H1829" s="3">
        <v>8.5300000000000002E-12</v>
      </c>
      <c r="I1829" s="2" t="s">
        <v>30920</v>
      </c>
      <c r="J1829" s="2" t="s">
        <v>30921</v>
      </c>
      <c r="K1829" s="3">
        <v>1.15E-9</v>
      </c>
      <c r="L1829" s="2" t="s">
        <v>1178</v>
      </c>
      <c r="M1829" s="4" t="s">
        <v>30922</v>
      </c>
    </row>
    <row r="1830" spans="1:13">
      <c r="A1830" s="2">
        <v>1871</v>
      </c>
      <c r="B1830" s="2" t="s">
        <v>21691</v>
      </c>
      <c r="C1830" s="2">
        <v>23</v>
      </c>
      <c r="D1830" s="2">
        <v>568</v>
      </c>
      <c r="E1830" s="2">
        <v>200</v>
      </c>
      <c r="F1830" s="2">
        <v>32441</v>
      </c>
      <c r="G1830" s="2">
        <v>6.5681602110000004</v>
      </c>
      <c r="H1830" s="3">
        <v>8.5300000000000002E-12</v>
      </c>
      <c r="I1830" s="2" t="s">
        <v>30923</v>
      </c>
      <c r="J1830" s="2" t="s">
        <v>30924</v>
      </c>
      <c r="K1830" s="3">
        <v>1.15E-9</v>
      </c>
      <c r="L1830" s="2" t="s">
        <v>1178</v>
      </c>
      <c r="M1830" s="4" t="s">
        <v>21694</v>
      </c>
    </row>
    <row r="1831" spans="1:13">
      <c r="A1831" s="2">
        <v>1034</v>
      </c>
      <c r="B1831" s="2" t="s">
        <v>19647</v>
      </c>
      <c r="C1831" s="2">
        <v>23</v>
      </c>
      <c r="D1831" s="2">
        <v>568</v>
      </c>
      <c r="E1831" s="2">
        <v>200</v>
      </c>
      <c r="F1831" s="2">
        <v>32441</v>
      </c>
      <c r="G1831" s="2">
        <v>6.5681602110000004</v>
      </c>
      <c r="H1831" s="3">
        <v>8.5300000000000002E-12</v>
      </c>
      <c r="I1831" s="2" t="s">
        <v>30925</v>
      </c>
      <c r="J1831" s="2" t="s">
        <v>30926</v>
      </c>
      <c r="K1831" s="3">
        <v>1.15E-9</v>
      </c>
      <c r="L1831" s="2" t="s">
        <v>1178</v>
      </c>
      <c r="M1831" s="4" t="s">
        <v>19650</v>
      </c>
    </row>
    <row r="1832" spans="1:13">
      <c r="A1832" s="2">
        <v>21211</v>
      </c>
      <c r="B1832" s="2" t="s">
        <v>30927</v>
      </c>
      <c r="C1832" s="2">
        <v>23</v>
      </c>
      <c r="D1832" s="2">
        <v>568</v>
      </c>
      <c r="E1832" s="2">
        <v>200</v>
      </c>
      <c r="F1832" s="2">
        <v>32441</v>
      </c>
      <c r="G1832" s="2">
        <v>6.5681602110000004</v>
      </c>
      <c r="H1832" s="3">
        <v>8.5300000000000002E-12</v>
      </c>
      <c r="I1832" s="2" t="s">
        <v>30928</v>
      </c>
      <c r="J1832" s="2" t="s">
        <v>30929</v>
      </c>
      <c r="K1832" s="3">
        <v>1.15E-9</v>
      </c>
      <c r="L1832" s="2" t="s">
        <v>1178</v>
      </c>
      <c r="M1832" s="4" t="s">
        <v>30930</v>
      </c>
    </row>
    <row r="1833" spans="1:13">
      <c r="A1833" s="2">
        <v>2247</v>
      </c>
      <c r="B1833" s="2" t="s">
        <v>16559</v>
      </c>
      <c r="C1833" s="2">
        <v>23</v>
      </c>
      <c r="D1833" s="2">
        <v>568</v>
      </c>
      <c r="E1833" s="2">
        <v>200</v>
      </c>
      <c r="F1833" s="2">
        <v>32441</v>
      </c>
      <c r="G1833" s="2">
        <v>6.5681602110000004</v>
      </c>
      <c r="H1833" s="3">
        <v>8.5300000000000002E-12</v>
      </c>
      <c r="I1833" s="2" t="s">
        <v>30931</v>
      </c>
      <c r="J1833" s="2" t="s">
        <v>30932</v>
      </c>
      <c r="K1833" s="3">
        <v>1.15E-9</v>
      </c>
      <c r="L1833" s="2" t="s">
        <v>1178</v>
      </c>
      <c r="M1833" s="4" t="s">
        <v>16562</v>
      </c>
    </row>
    <row r="1834" spans="1:13">
      <c r="A1834" s="2">
        <v>3147</v>
      </c>
      <c r="B1834" s="2" t="s">
        <v>30933</v>
      </c>
      <c r="C1834" s="2">
        <v>23</v>
      </c>
      <c r="D1834" s="2">
        <v>568</v>
      </c>
      <c r="E1834" s="2">
        <v>200</v>
      </c>
      <c r="F1834" s="2">
        <v>32441</v>
      </c>
      <c r="G1834" s="2">
        <v>6.5681602110000004</v>
      </c>
      <c r="H1834" s="3">
        <v>8.5300000000000002E-12</v>
      </c>
      <c r="I1834" s="2" t="s">
        <v>30934</v>
      </c>
      <c r="J1834" s="2" t="s">
        <v>30935</v>
      </c>
      <c r="K1834" s="3">
        <v>1.15E-9</v>
      </c>
      <c r="L1834" s="2" t="s">
        <v>1178</v>
      </c>
      <c r="M1834" s="4" t="s">
        <v>30936</v>
      </c>
    </row>
    <row r="1835" spans="1:13">
      <c r="A1835" s="2">
        <v>32212</v>
      </c>
      <c r="B1835" s="2" t="s">
        <v>3122</v>
      </c>
      <c r="C1835" s="2">
        <v>23</v>
      </c>
      <c r="D1835" s="2">
        <v>568</v>
      </c>
      <c r="E1835" s="2">
        <v>200</v>
      </c>
      <c r="F1835" s="2">
        <v>32441</v>
      </c>
      <c r="G1835" s="2">
        <v>6.5681602110000004</v>
      </c>
      <c r="H1835" s="3">
        <v>8.5300000000000002E-12</v>
      </c>
      <c r="I1835" s="2" t="s">
        <v>30937</v>
      </c>
      <c r="J1835" s="2" t="s">
        <v>30938</v>
      </c>
      <c r="K1835" s="3">
        <v>1.15E-9</v>
      </c>
      <c r="L1835" s="2" t="s">
        <v>1178</v>
      </c>
      <c r="M1835" s="4" t="s">
        <v>3125</v>
      </c>
    </row>
    <row r="1836" spans="1:13">
      <c r="A1836" s="2">
        <v>33031</v>
      </c>
      <c r="B1836" s="2" t="s">
        <v>16879</v>
      </c>
      <c r="C1836" s="2">
        <v>21</v>
      </c>
      <c r="D1836" s="2">
        <v>568</v>
      </c>
      <c r="E1836" s="2">
        <v>159</v>
      </c>
      <c r="F1836" s="2">
        <v>32441</v>
      </c>
      <c r="G1836" s="2">
        <v>7.5434161570000002</v>
      </c>
      <c r="H1836" s="3">
        <v>6.5199999999999997E-12</v>
      </c>
      <c r="I1836" s="2" t="s">
        <v>30939</v>
      </c>
      <c r="J1836" s="2" t="s">
        <v>30940</v>
      </c>
      <c r="K1836" s="3">
        <v>1.15E-9</v>
      </c>
      <c r="L1836" s="2" t="s">
        <v>1178</v>
      </c>
      <c r="M1836" s="4" t="s">
        <v>16882</v>
      </c>
    </row>
    <row r="1837" spans="1:13">
      <c r="A1837" s="2">
        <v>3681</v>
      </c>
      <c r="B1837" s="2" t="s">
        <v>21267</v>
      </c>
      <c r="C1837" s="2">
        <v>23</v>
      </c>
      <c r="D1837" s="2">
        <v>568</v>
      </c>
      <c r="E1837" s="2">
        <v>200</v>
      </c>
      <c r="F1837" s="2">
        <v>32441</v>
      </c>
      <c r="G1837" s="2">
        <v>6.5681602110000004</v>
      </c>
      <c r="H1837" s="3">
        <v>8.5300000000000002E-12</v>
      </c>
      <c r="I1837" s="2" t="s">
        <v>30941</v>
      </c>
      <c r="J1837" s="2" t="s">
        <v>30942</v>
      </c>
      <c r="K1837" s="3">
        <v>1.15E-9</v>
      </c>
      <c r="L1837" s="2" t="s">
        <v>1178</v>
      </c>
      <c r="M1837" s="4" t="s">
        <v>21270</v>
      </c>
    </row>
    <row r="1838" spans="1:13">
      <c r="A1838" s="2">
        <v>3683</v>
      </c>
      <c r="B1838" s="2" t="s">
        <v>2250</v>
      </c>
      <c r="C1838" s="2">
        <v>23</v>
      </c>
      <c r="D1838" s="2">
        <v>568</v>
      </c>
      <c r="E1838" s="2">
        <v>200</v>
      </c>
      <c r="F1838" s="2">
        <v>32441</v>
      </c>
      <c r="G1838" s="2">
        <v>6.5681602110000004</v>
      </c>
      <c r="H1838" s="3">
        <v>8.5300000000000002E-12</v>
      </c>
      <c r="I1838" s="2" t="s">
        <v>30943</v>
      </c>
      <c r="J1838" s="2" t="s">
        <v>30944</v>
      </c>
      <c r="K1838" s="3">
        <v>1.15E-9</v>
      </c>
      <c r="L1838" s="2" t="s">
        <v>1178</v>
      </c>
      <c r="M1838" s="4" t="s">
        <v>30945</v>
      </c>
    </row>
    <row r="1839" spans="1:13">
      <c r="A1839" s="2">
        <v>44811</v>
      </c>
      <c r="B1839" s="2" t="s">
        <v>21425</v>
      </c>
      <c r="C1839" s="2">
        <v>23</v>
      </c>
      <c r="D1839" s="2">
        <v>568</v>
      </c>
      <c r="E1839" s="2">
        <v>200</v>
      </c>
      <c r="F1839" s="2">
        <v>32441</v>
      </c>
      <c r="G1839" s="2">
        <v>6.5681602110000004</v>
      </c>
      <c r="H1839" s="3">
        <v>8.5300000000000002E-12</v>
      </c>
      <c r="I1839" s="2" t="s">
        <v>30946</v>
      </c>
      <c r="J1839" s="2" t="s">
        <v>30947</v>
      </c>
      <c r="K1839" s="3">
        <v>1.15E-9</v>
      </c>
      <c r="L1839" s="2" t="s">
        <v>1178</v>
      </c>
      <c r="M1839" s="4" t="s">
        <v>21428</v>
      </c>
    </row>
    <row r="1840" spans="1:13">
      <c r="A1840" s="2">
        <v>4167</v>
      </c>
      <c r="B1840" s="2" t="s">
        <v>3506</v>
      </c>
      <c r="C1840" s="2">
        <v>21</v>
      </c>
      <c r="D1840" s="2">
        <v>568</v>
      </c>
      <c r="E1840" s="2">
        <v>175</v>
      </c>
      <c r="F1840" s="2">
        <v>32441</v>
      </c>
      <c r="G1840" s="2">
        <v>6.8537323939999997</v>
      </c>
      <c r="H1840" s="3">
        <v>3.3500000000000001E-11</v>
      </c>
      <c r="I1840" s="2" t="s">
        <v>30948</v>
      </c>
      <c r="J1840" s="2" t="s">
        <v>30949</v>
      </c>
      <c r="K1840" s="3">
        <v>4.4100000000000003E-9</v>
      </c>
      <c r="L1840" s="2" t="s">
        <v>1178</v>
      </c>
      <c r="M1840" s="4" t="s">
        <v>3509</v>
      </c>
    </row>
    <row r="1841" spans="1:13">
      <c r="A1841" s="2">
        <v>66</v>
      </c>
      <c r="B1841" s="2" t="s">
        <v>17708</v>
      </c>
      <c r="C1841" s="2">
        <v>22</v>
      </c>
      <c r="D1841" s="2">
        <v>568</v>
      </c>
      <c r="E1841" s="2">
        <v>199</v>
      </c>
      <c r="F1841" s="2">
        <v>32441</v>
      </c>
      <c r="G1841" s="2">
        <v>6.3141588219999996</v>
      </c>
      <c r="H1841" s="3">
        <v>4.8699999999999997E-11</v>
      </c>
      <c r="I1841" s="2" t="s">
        <v>30950</v>
      </c>
      <c r="J1841" s="2" t="s">
        <v>30951</v>
      </c>
      <c r="K1841" s="3">
        <v>5.52E-9</v>
      </c>
      <c r="L1841" s="2" t="s">
        <v>1178</v>
      </c>
      <c r="M1841" s="4" t="s">
        <v>17711</v>
      </c>
    </row>
    <row r="1842" spans="1:13">
      <c r="A1842" s="2">
        <v>1263</v>
      </c>
      <c r="B1842" s="2" t="s">
        <v>3384</v>
      </c>
      <c r="C1842" s="2">
        <v>22</v>
      </c>
      <c r="D1842" s="2">
        <v>568</v>
      </c>
      <c r="E1842" s="2">
        <v>200</v>
      </c>
      <c r="F1842" s="2">
        <v>32441</v>
      </c>
      <c r="G1842" s="2">
        <v>6.2825880280000002</v>
      </c>
      <c r="H1842" s="3">
        <v>5.3200000000000001E-11</v>
      </c>
      <c r="I1842" s="2" t="s">
        <v>30952</v>
      </c>
      <c r="J1842" s="2" t="s">
        <v>30953</v>
      </c>
      <c r="K1842" s="3">
        <v>5.52E-9</v>
      </c>
      <c r="L1842" s="2" t="s">
        <v>1178</v>
      </c>
      <c r="M1842" s="4" t="s">
        <v>3387</v>
      </c>
    </row>
    <row r="1843" spans="1:13">
      <c r="A1843" s="2">
        <v>1721</v>
      </c>
      <c r="B1843" s="2" t="s">
        <v>3404</v>
      </c>
      <c r="C1843" s="2">
        <v>22</v>
      </c>
      <c r="D1843" s="2">
        <v>568</v>
      </c>
      <c r="E1843" s="2">
        <v>200</v>
      </c>
      <c r="F1843" s="2">
        <v>32441</v>
      </c>
      <c r="G1843" s="2">
        <v>6.2825880280000002</v>
      </c>
      <c r="H1843" s="3">
        <v>5.3200000000000001E-11</v>
      </c>
      <c r="I1843" s="2" t="s">
        <v>30954</v>
      </c>
      <c r="J1843" s="2" t="s">
        <v>30955</v>
      </c>
      <c r="K1843" s="3">
        <v>5.52E-9</v>
      </c>
      <c r="L1843" s="2" t="s">
        <v>1178</v>
      </c>
      <c r="M1843" s="4" t="s">
        <v>3407</v>
      </c>
    </row>
    <row r="1844" spans="1:13">
      <c r="A1844" s="2">
        <v>2612</v>
      </c>
      <c r="B1844" s="2" t="s">
        <v>14860</v>
      </c>
      <c r="C1844" s="2">
        <v>22</v>
      </c>
      <c r="D1844" s="2">
        <v>568</v>
      </c>
      <c r="E1844" s="2">
        <v>200</v>
      </c>
      <c r="F1844" s="2">
        <v>32441</v>
      </c>
      <c r="G1844" s="2">
        <v>6.2825880280000002</v>
      </c>
      <c r="H1844" s="3">
        <v>5.3200000000000001E-11</v>
      </c>
      <c r="I1844" s="2" t="s">
        <v>30956</v>
      </c>
      <c r="J1844" s="2" t="s">
        <v>30957</v>
      </c>
      <c r="K1844" s="3">
        <v>5.52E-9</v>
      </c>
      <c r="L1844" s="2" t="s">
        <v>1178</v>
      </c>
      <c r="M1844" s="4" t="s">
        <v>14863</v>
      </c>
    </row>
    <row r="1845" spans="1:13">
      <c r="A1845" s="2">
        <v>3033</v>
      </c>
      <c r="B1845" s="2" t="s">
        <v>30958</v>
      </c>
      <c r="C1845" s="2">
        <v>22</v>
      </c>
      <c r="D1845" s="2">
        <v>568</v>
      </c>
      <c r="E1845" s="2">
        <v>200</v>
      </c>
      <c r="F1845" s="2">
        <v>32441</v>
      </c>
      <c r="G1845" s="2">
        <v>6.2825880280000002</v>
      </c>
      <c r="H1845" s="3">
        <v>5.3200000000000001E-11</v>
      </c>
      <c r="I1845" s="2" t="s">
        <v>30959</v>
      </c>
      <c r="J1845" s="2" t="s">
        <v>30960</v>
      </c>
      <c r="K1845" s="3">
        <v>5.52E-9</v>
      </c>
      <c r="L1845" s="2" t="s">
        <v>1178</v>
      </c>
      <c r="M1845" s="4" t="s">
        <v>30961</v>
      </c>
    </row>
    <row r="1846" spans="1:13">
      <c r="A1846" s="2">
        <v>3502</v>
      </c>
      <c r="B1846" s="2" t="s">
        <v>14152</v>
      </c>
      <c r="C1846" s="2">
        <v>22</v>
      </c>
      <c r="D1846" s="2">
        <v>568</v>
      </c>
      <c r="E1846" s="2">
        <v>200</v>
      </c>
      <c r="F1846" s="2">
        <v>32441</v>
      </c>
      <c r="G1846" s="2">
        <v>6.2825880280000002</v>
      </c>
      <c r="H1846" s="3">
        <v>5.3200000000000001E-11</v>
      </c>
      <c r="I1846" s="2" t="s">
        <v>30962</v>
      </c>
      <c r="J1846" s="2" t="s">
        <v>30963</v>
      </c>
      <c r="K1846" s="3">
        <v>5.52E-9</v>
      </c>
      <c r="L1846" s="2" t="s">
        <v>1178</v>
      </c>
      <c r="M1846" s="4" t="s">
        <v>14155</v>
      </c>
    </row>
    <row r="1847" spans="1:13">
      <c r="A1847" s="2">
        <v>3506</v>
      </c>
      <c r="B1847" s="2" t="s">
        <v>14516</v>
      </c>
      <c r="C1847" s="2">
        <v>22</v>
      </c>
      <c r="D1847" s="2">
        <v>568</v>
      </c>
      <c r="E1847" s="2">
        <v>200</v>
      </c>
      <c r="F1847" s="2">
        <v>32441</v>
      </c>
      <c r="G1847" s="2">
        <v>6.2825880280000002</v>
      </c>
      <c r="H1847" s="3">
        <v>5.3200000000000001E-11</v>
      </c>
      <c r="I1847" s="2" t="s">
        <v>30964</v>
      </c>
      <c r="J1847" s="2" t="s">
        <v>30965</v>
      </c>
      <c r="K1847" s="3">
        <v>5.52E-9</v>
      </c>
      <c r="L1847" s="2" t="s">
        <v>1178</v>
      </c>
      <c r="M1847" s="4" t="s">
        <v>14519</v>
      </c>
    </row>
    <row r="1848" spans="1:13">
      <c r="A1848" s="2">
        <v>38181</v>
      </c>
      <c r="B1848" s="2" t="s">
        <v>30966</v>
      </c>
      <c r="C1848" s="2">
        <v>22</v>
      </c>
      <c r="D1848" s="2">
        <v>568</v>
      </c>
      <c r="E1848" s="2">
        <v>200</v>
      </c>
      <c r="F1848" s="2">
        <v>32441</v>
      </c>
      <c r="G1848" s="2">
        <v>6.2825880280000002</v>
      </c>
      <c r="H1848" s="3">
        <v>5.3200000000000001E-11</v>
      </c>
      <c r="I1848" s="2" t="s">
        <v>30967</v>
      </c>
      <c r="J1848" s="2" t="s">
        <v>30968</v>
      </c>
      <c r="K1848" s="3">
        <v>5.52E-9</v>
      </c>
      <c r="L1848" s="2" t="s">
        <v>1178</v>
      </c>
      <c r="M1848" s="4" t="s">
        <v>30969</v>
      </c>
    </row>
    <row r="1849" spans="1:13">
      <c r="A1849" s="2">
        <v>4000</v>
      </c>
      <c r="B1849" s="2" t="s">
        <v>30970</v>
      </c>
      <c r="C1849" s="2">
        <v>22</v>
      </c>
      <c r="D1849" s="2">
        <v>568</v>
      </c>
      <c r="E1849" s="2">
        <v>200</v>
      </c>
      <c r="F1849" s="2">
        <v>32441</v>
      </c>
      <c r="G1849" s="2">
        <v>6.2825880280000002</v>
      </c>
      <c r="H1849" s="3">
        <v>5.3200000000000001E-11</v>
      </c>
      <c r="I1849" s="2" t="s">
        <v>30971</v>
      </c>
      <c r="J1849" s="2" t="s">
        <v>30972</v>
      </c>
      <c r="K1849" s="3">
        <v>5.52E-9</v>
      </c>
      <c r="L1849" s="2" t="s">
        <v>1178</v>
      </c>
      <c r="M1849" s="4" t="s">
        <v>30973</v>
      </c>
    </row>
    <row r="1850" spans="1:13">
      <c r="A1850" s="2">
        <v>43391</v>
      </c>
      <c r="B1850" s="2" t="s">
        <v>1617</v>
      </c>
      <c r="C1850" s="2">
        <v>22</v>
      </c>
      <c r="D1850" s="2">
        <v>568</v>
      </c>
      <c r="E1850" s="2">
        <v>200</v>
      </c>
      <c r="F1850" s="2">
        <v>32441</v>
      </c>
      <c r="G1850" s="2">
        <v>6.2825880280000002</v>
      </c>
      <c r="H1850" s="3">
        <v>5.3200000000000001E-11</v>
      </c>
      <c r="I1850" s="2" t="s">
        <v>30974</v>
      </c>
      <c r="J1850" s="2" t="s">
        <v>30975</v>
      </c>
      <c r="K1850" s="3">
        <v>5.52E-9</v>
      </c>
      <c r="L1850" s="2" t="s">
        <v>1178</v>
      </c>
      <c r="M1850" s="4" t="s">
        <v>30976</v>
      </c>
    </row>
    <row r="1851" spans="1:13">
      <c r="A1851" s="2">
        <v>17511</v>
      </c>
      <c r="B1851" s="2" t="s">
        <v>20283</v>
      </c>
      <c r="C1851" s="2">
        <v>20</v>
      </c>
      <c r="D1851" s="2">
        <v>568</v>
      </c>
      <c r="E1851" s="2">
        <v>171</v>
      </c>
      <c r="F1851" s="2">
        <v>32441</v>
      </c>
      <c r="G1851" s="2">
        <v>6.680051067</v>
      </c>
      <c r="H1851" s="3">
        <v>1.49E-10</v>
      </c>
      <c r="I1851" s="2" t="s">
        <v>30977</v>
      </c>
      <c r="J1851" s="2" t="s">
        <v>30978</v>
      </c>
      <c r="K1851" s="3">
        <v>1.48E-8</v>
      </c>
      <c r="L1851" s="2" t="s">
        <v>1178</v>
      </c>
      <c r="M1851" s="4" t="s">
        <v>20286</v>
      </c>
    </row>
    <row r="1852" spans="1:13">
      <c r="A1852" s="2">
        <v>2789</v>
      </c>
      <c r="B1852" s="2" t="s">
        <v>18109</v>
      </c>
      <c r="C1852" s="2">
        <v>20</v>
      </c>
      <c r="D1852" s="2">
        <v>568</v>
      </c>
      <c r="E1852" s="2">
        <v>171</v>
      </c>
      <c r="F1852" s="2">
        <v>32441</v>
      </c>
      <c r="G1852" s="2">
        <v>6.680051067</v>
      </c>
      <c r="H1852" s="3">
        <v>1.49E-10</v>
      </c>
      <c r="I1852" s="2" t="s">
        <v>30979</v>
      </c>
      <c r="J1852" s="2" t="s">
        <v>30980</v>
      </c>
      <c r="K1852" s="3">
        <v>1.48E-8</v>
      </c>
      <c r="L1852" s="2" t="s">
        <v>1178</v>
      </c>
      <c r="M1852" s="4" t="s">
        <v>18112</v>
      </c>
    </row>
    <row r="1853" spans="1:13">
      <c r="A1853" s="2">
        <v>4321</v>
      </c>
      <c r="B1853" s="2" t="s">
        <v>3294</v>
      </c>
      <c r="C1853" s="2">
        <v>21</v>
      </c>
      <c r="D1853" s="2">
        <v>568</v>
      </c>
      <c r="E1853" s="2">
        <v>194</v>
      </c>
      <c r="F1853" s="2">
        <v>32441</v>
      </c>
      <c r="G1853" s="2">
        <v>6.1824905619999999</v>
      </c>
      <c r="H1853" s="3">
        <v>1.9100000000000001E-10</v>
      </c>
      <c r="I1853" s="2" t="s">
        <v>30981</v>
      </c>
      <c r="J1853" s="2" t="s">
        <v>30982</v>
      </c>
      <c r="K1853" s="3">
        <v>1.8600000000000001E-8</v>
      </c>
      <c r="L1853" s="2" t="s">
        <v>1178</v>
      </c>
      <c r="M1853" s="4" t="s">
        <v>3297</v>
      </c>
    </row>
    <row r="1854" spans="1:13">
      <c r="A1854" s="2">
        <v>2681</v>
      </c>
      <c r="B1854" s="2" t="s">
        <v>21564</v>
      </c>
      <c r="C1854" s="2">
        <v>19</v>
      </c>
      <c r="D1854" s="2">
        <v>568</v>
      </c>
      <c r="E1854" s="2">
        <v>156</v>
      </c>
      <c r="F1854" s="2">
        <v>32441</v>
      </c>
      <c r="G1854" s="2">
        <v>6.9562454860000003</v>
      </c>
      <c r="H1854" s="3">
        <v>2.31E-10</v>
      </c>
      <c r="I1854" s="2" t="s">
        <v>30983</v>
      </c>
      <c r="J1854" s="2" t="s">
        <v>30984</v>
      </c>
      <c r="K1854" s="3">
        <v>2.1999999999999998E-8</v>
      </c>
      <c r="L1854" s="2" t="s">
        <v>1178</v>
      </c>
      <c r="M1854" s="4" t="s">
        <v>21567</v>
      </c>
    </row>
    <row r="1855" spans="1:13">
      <c r="A1855" s="2">
        <v>1112</v>
      </c>
      <c r="B1855" s="2" t="s">
        <v>30985</v>
      </c>
      <c r="C1855" s="2">
        <v>21</v>
      </c>
      <c r="D1855" s="2">
        <v>568</v>
      </c>
      <c r="E1855" s="2">
        <v>200</v>
      </c>
      <c r="F1855" s="2">
        <v>32441</v>
      </c>
      <c r="G1855" s="2">
        <v>5.997015845</v>
      </c>
      <c r="H1855" s="3">
        <v>3.1899999999999998E-10</v>
      </c>
      <c r="I1855" s="2" t="s">
        <v>30986</v>
      </c>
      <c r="J1855" s="2" t="s">
        <v>30987</v>
      </c>
      <c r="K1855" s="3">
        <v>2.6300000000000001E-8</v>
      </c>
      <c r="L1855" s="2" t="s">
        <v>1178</v>
      </c>
      <c r="M1855" s="4" t="s">
        <v>30988</v>
      </c>
    </row>
    <row r="1856" spans="1:13">
      <c r="A1856" s="2">
        <v>13551</v>
      </c>
      <c r="B1856" s="2" t="s">
        <v>17128</v>
      </c>
      <c r="C1856" s="2">
        <v>21</v>
      </c>
      <c r="D1856" s="2">
        <v>568</v>
      </c>
      <c r="E1856" s="2">
        <v>200</v>
      </c>
      <c r="F1856" s="2">
        <v>32441</v>
      </c>
      <c r="G1856" s="2">
        <v>5.997015845</v>
      </c>
      <c r="H1856" s="3">
        <v>3.1899999999999998E-10</v>
      </c>
      <c r="I1856" s="2" t="s">
        <v>30989</v>
      </c>
      <c r="J1856" s="2" t="s">
        <v>30990</v>
      </c>
      <c r="K1856" s="3">
        <v>2.6300000000000001E-8</v>
      </c>
      <c r="L1856" s="2" t="s">
        <v>1178</v>
      </c>
      <c r="M1856" s="4" t="s">
        <v>17131</v>
      </c>
    </row>
    <row r="1857" spans="1:13">
      <c r="A1857" s="2">
        <v>1733</v>
      </c>
      <c r="B1857" s="2" t="s">
        <v>30991</v>
      </c>
      <c r="C1857" s="2">
        <v>21</v>
      </c>
      <c r="D1857" s="2">
        <v>568</v>
      </c>
      <c r="E1857" s="2">
        <v>200</v>
      </c>
      <c r="F1857" s="2">
        <v>32441</v>
      </c>
      <c r="G1857" s="2">
        <v>5.997015845</v>
      </c>
      <c r="H1857" s="3">
        <v>3.1899999999999998E-10</v>
      </c>
      <c r="I1857" s="2" t="s">
        <v>30992</v>
      </c>
      <c r="J1857" s="2" t="s">
        <v>30993</v>
      </c>
      <c r="K1857" s="3">
        <v>2.6300000000000001E-8</v>
      </c>
      <c r="L1857" s="2" t="s">
        <v>1178</v>
      </c>
      <c r="M1857" s="4" t="s">
        <v>30994</v>
      </c>
    </row>
    <row r="1858" spans="1:13">
      <c r="A1858" s="2">
        <v>1890</v>
      </c>
      <c r="B1858" s="2" t="s">
        <v>12922</v>
      </c>
      <c r="C1858" s="2">
        <v>21</v>
      </c>
      <c r="D1858" s="2">
        <v>568</v>
      </c>
      <c r="E1858" s="2">
        <v>200</v>
      </c>
      <c r="F1858" s="2">
        <v>32441</v>
      </c>
      <c r="G1858" s="2">
        <v>5.997015845</v>
      </c>
      <c r="H1858" s="3">
        <v>3.1899999999999998E-10</v>
      </c>
      <c r="I1858" s="2" t="s">
        <v>30995</v>
      </c>
      <c r="J1858" s="2" t="s">
        <v>30996</v>
      </c>
      <c r="K1858" s="3">
        <v>2.6300000000000001E-8</v>
      </c>
      <c r="L1858" s="2" t="s">
        <v>1178</v>
      </c>
      <c r="M1858" s="4" t="s">
        <v>12925</v>
      </c>
    </row>
    <row r="1859" spans="1:13">
      <c r="A1859" s="2">
        <v>3151</v>
      </c>
      <c r="B1859" s="2" t="s">
        <v>30997</v>
      </c>
      <c r="C1859" s="2">
        <v>21</v>
      </c>
      <c r="D1859" s="2">
        <v>568</v>
      </c>
      <c r="E1859" s="2">
        <v>200</v>
      </c>
      <c r="F1859" s="2">
        <v>32441</v>
      </c>
      <c r="G1859" s="2">
        <v>5.997015845</v>
      </c>
      <c r="H1859" s="3">
        <v>3.1899999999999998E-10</v>
      </c>
      <c r="I1859" s="2" t="s">
        <v>30998</v>
      </c>
      <c r="J1859" s="2" t="s">
        <v>30999</v>
      </c>
      <c r="K1859" s="3">
        <v>2.6300000000000001E-8</v>
      </c>
      <c r="L1859" s="2" t="s">
        <v>1178</v>
      </c>
      <c r="M1859" s="4" t="s">
        <v>31000</v>
      </c>
    </row>
    <row r="1860" spans="1:13">
      <c r="A1860" s="2">
        <v>4190</v>
      </c>
      <c r="B1860" s="2" t="s">
        <v>31001</v>
      </c>
      <c r="C1860" s="2">
        <v>21</v>
      </c>
      <c r="D1860" s="2">
        <v>568</v>
      </c>
      <c r="E1860" s="2">
        <v>200</v>
      </c>
      <c r="F1860" s="2">
        <v>32441</v>
      </c>
      <c r="G1860" s="2">
        <v>5.997015845</v>
      </c>
      <c r="H1860" s="3">
        <v>3.1899999999999998E-10</v>
      </c>
      <c r="I1860" s="2" t="s">
        <v>31002</v>
      </c>
      <c r="J1860" s="2" t="s">
        <v>31003</v>
      </c>
      <c r="K1860" s="3">
        <v>2.6300000000000001E-8</v>
      </c>
      <c r="L1860" s="2" t="s">
        <v>1178</v>
      </c>
      <c r="M1860" s="4" t="s">
        <v>31004</v>
      </c>
    </row>
    <row r="1861" spans="1:13">
      <c r="A1861" s="2">
        <v>4333</v>
      </c>
      <c r="B1861" s="2" t="s">
        <v>1974</v>
      </c>
      <c r="C1861" s="2">
        <v>21</v>
      </c>
      <c r="D1861" s="2">
        <v>568</v>
      </c>
      <c r="E1861" s="2">
        <v>200</v>
      </c>
      <c r="F1861" s="2">
        <v>32441</v>
      </c>
      <c r="G1861" s="2">
        <v>5.997015845</v>
      </c>
      <c r="H1861" s="3">
        <v>3.1899999999999998E-10</v>
      </c>
      <c r="I1861" s="2" t="s">
        <v>31005</v>
      </c>
      <c r="J1861" s="2" t="s">
        <v>31006</v>
      </c>
      <c r="K1861" s="3">
        <v>2.6300000000000001E-8</v>
      </c>
      <c r="L1861" s="2" t="s">
        <v>1178</v>
      </c>
      <c r="M1861" s="4" t="s">
        <v>20182</v>
      </c>
    </row>
    <row r="1862" spans="1:13">
      <c r="A1862" s="2">
        <v>4689</v>
      </c>
      <c r="B1862" s="2" t="s">
        <v>24055</v>
      </c>
      <c r="C1862" s="2">
        <v>21</v>
      </c>
      <c r="D1862" s="2">
        <v>568</v>
      </c>
      <c r="E1862" s="2">
        <v>200</v>
      </c>
      <c r="F1862" s="2">
        <v>32441</v>
      </c>
      <c r="G1862" s="2">
        <v>5.997015845</v>
      </c>
      <c r="H1862" s="3">
        <v>3.1899999999999998E-10</v>
      </c>
      <c r="I1862" s="2" t="s">
        <v>31007</v>
      </c>
      <c r="J1862" s="2" t="s">
        <v>31008</v>
      </c>
      <c r="K1862" s="3">
        <v>2.6300000000000001E-8</v>
      </c>
      <c r="L1862" s="2" t="s">
        <v>1178</v>
      </c>
      <c r="M1862" s="4" t="s">
        <v>24058</v>
      </c>
    </row>
    <row r="1863" spans="1:13">
      <c r="A1863" s="2">
        <v>2672</v>
      </c>
      <c r="B1863" s="2" t="s">
        <v>31009</v>
      </c>
      <c r="C1863" s="2">
        <v>19</v>
      </c>
      <c r="D1863" s="2">
        <v>568</v>
      </c>
      <c r="E1863" s="2">
        <v>163</v>
      </c>
      <c r="F1863" s="2">
        <v>32441</v>
      </c>
      <c r="G1863" s="2">
        <v>6.657511017</v>
      </c>
      <c r="H1863" s="3">
        <v>4.5199999999999999E-10</v>
      </c>
      <c r="I1863" s="2" t="s">
        <v>31010</v>
      </c>
      <c r="J1863" s="2" t="s">
        <v>31011</v>
      </c>
      <c r="K1863" s="3">
        <v>3.6699999999999998E-8</v>
      </c>
      <c r="L1863" s="2" t="s">
        <v>1178</v>
      </c>
      <c r="M1863" s="4" t="s">
        <v>31012</v>
      </c>
    </row>
    <row r="1864" spans="1:13">
      <c r="A1864" s="2">
        <v>1753</v>
      </c>
      <c r="B1864" s="2" t="s">
        <v>21476</v>
      </c>
      <c r="C1864" s="2">
        <v>19</v>
      </c>
      <c r="D1864" s="2">
        <v>568</v>
      </c>
      <c r="E1864" s="2">
        <v>169</v>
      </c>
      <c r="F1864" s="2">
        <v>32441</v>
      </c>
      <c r="G1864" s="2">
        <v>6.421149679</v>
      </c>
      <c r="H1864" s="3">
        <v>7.8699999999999997E-10</v>
      </c>
      <c r="I1864" s="2" t="s">
        <v>31013</v>
      </c>
      <c r="J1864" s="2" t="s">
        <v>31014</v>
      </c>
      <c r="K1864" s="3">
        <v>6.2800000000000006E-8</v>
      </c>
      <c r="L1864" s="2" t="s">
        <v>1178</v>
      </c>
      <c r="M1864" s="4" t="s">
        <v>21479</v>
      </c>
    </row>
    <row r="1865" spans="1:13">
      <c r="A1865" s="2">
        <v>3579</v>
      </c>
      <c r="B1865" s="2" t="s">
        <v>19314</v>
      </c>
      <c r="C1865" s="2">
        <v>19</v>
      </c>
      <c r="D1865" s="2">
        <v>568</v>
      </c>
      <c r="E1865" s="2">
        <v>175</v>
      </c>
      <c r="F1865" s="2">
        <v>32441</v>
      </c>
      <c r="G1865" s="2">
        <v>6.2009959759999997</v>
      </c>
      <c r="H1865" s="3">
        <v>1.3399999999999999E-9</v>
      </c>
      <c r="I1865" s="2" t="s">
        <v>31015</v>
      </c>
      <c r="J1865" s="2" t="s">
        <v>31016</v>
      </c>
      <c r="K1865" s="3">
        <v>1.05E-7</v>
      </c>
      <c r="L1865" s="2" t="s">
        <v>1178</v>
      </c>
      <c r="M1865" s="4" t="s">
        <v>19317</v>
      </c>
    </row>
    <row r="1866" spans="1:13">
      <c r="A1866" s="2">
        <v>97</v>
      </c>
      <c r="B1866" s="2" t="s">
        <v>3310</v>
      </c>
      <c r="C1866" s="2">
        <v>20</v>
      </c>
      <c r="D1866" s="2">
        <v>568</v>
      </c>
      <c r="E1866" s="2">
        <v>200</v>
      </c>
      <c r="F1866" s="2">
        <v>32441</v>
      </c>
      <c r="G1866" s="2">
        <v>5.7114436619999998</v>
      </c>
      <c r="H1866" s="3">
        <v>1.8300000000000001E-9</v>
      </c>
      <c r="I1866" s="2" t="s">
        <v>31017</v>
      </c>
      <c r="J1866" s="2" t="s">
        <v>31018</v>
      </c>
      <c r="K1866" s="3">
        <v>1.1300000000000001E-7</v>
      </c>
      <c r="L1866" s="2" t="s">
        <v>1178</v>
      </c>
      <c r="M1866" s="4" t="s">
        <v>3313</v>
      </c>
    </row>
    <row r="1867" spans="1:13">
      <c r="A1867" s="2">
        <v>2542</v>
      </c>
      <c r="B1867" s="2" t="s">
        <v>20476</v>
      </c>
      <c r="C1867" s="2">
        <v>20</v>
      </c>
      <c r="D1867" s="2">
        <v>568</v>
      </c>
      <c r="E1867" s="2">
        <v>200</v>
      </c>
      <c r="F1867" s="2">
        <v>32441</v>
      </c>
      <c r="G1867" s="2">
        <v>5.7114436619999998</v>
      </c>
      <c r="H1867" s="3">
        <v>1.8300000000000001E-9</v>
      </c>
      <c r="I1867" s="2" t="s">
        <v>31019</v>
      </c>
      <c r="J1867" s="2" t="s">
        <v>31020</v>
      </c>
      <c r="K1867" s="3">
        <v>1.1300000000000001E-7</v>
      </c>
      <c r="L1867" s="2" t="s">
        <v>1178</v>
      </c>
      <c r="M1867" s="4" t="s">
        <v>20479</v>
      </c>
    </row>
    <row r="1868" spans="1:13">
      <c r="A1868" s="2">
        <v>13621</v>
      </c>
      <c r="B1868" s="2" t="s">
        <v>31021</v>
      </c>
      <c r="C1868" s="2">
        <v>20</v>
      </c>
      <c r="D1868" s="2">
        <v>568</v>
      </c>
      <c r="E1868" s="2">
        <v>200</v>
      </c>
      <c r="F1868" s="2">
        <v>32441</v>
      </c>
      <c r="G1868" s="2">
        <v>5.7114436619999998</v>
      </c>
      <c r="H1868" s="3">
        <v>1.8300000000000001E-9</v>
      </c>
      <c r="I1868" s="2" t="s">
        <v>31022</v>
      </c>
      <c r="J1868" s="2" t="s">
        <v>31023</v>
      </c>
      <c r="K1868" s="3">
        <v>1.1300000000000001E-7</v>
      </c>
      <c r="L1868" s="2" t="s">
        <v>1178</v>
      </c>
      <c r="M1868" s="4" t="s">
        <v>31024</v>
      </c>
    </row>
    <row r="1869" spans="1:13">
      <c r="A1869" s="2">
        <v>1573</v>
      </c>
      <c r="B1869" s="2" t="s">
        <v>3396</v>
      </c>
      <c r="C1869" s="2">
        <v>20</v>
      </c>
      <c r="D1869" s="2">
        <v>568</v>
      </c>
      <c r="E1869" s="2">
        <v>200</v>
      </c>
      <c r="F1869" s="2">
        <v>32441</v>
      </c>
      <c r="G1869" s="2">
        <v>5.7114436619999998</v>
      </c>
      <c r="H1869" s="3">
        <v>1.8300000000000001E-9</v>
      </c>
      <c r="I1869" s="2" t="s">
        <v>31025</v>
      </c>
      <c r="J1869" s="2" t="s">
        <v>31026</v>
      </c>
      <c r="K1869" s="3">
        <v>1.1300000000000001E-7</v>
      </c>
      <c r="L1869" s="2" t="s">
        <v>1178</v>
      </c>
      <c r="M1869" s="4" t="s">
        <v>3399</v>
      </c>
    </row>
    <row r="1870" spans="1:13">
      <c r="A1870" s="2">
        <v>20161</v>
      </c>
      <c r="B1870" s="2" t="s">
        <v>18829</v>
      </c>
      <c r="C1870" s="2">
        <v>20</v>
      </c>
      <c r="D1870" s="2">
        <v>568</v>
      </c>
      <c r="E1870" s="2">
        <v>200</v>
      </c>
      <c r="F1870" s="2">
        <v>32441</v>
      </c>
      <c r="G1870" s="2">
        <v>5.7114436619999998</v>
      </c>
      <c r="H1870" s="3">
        <v>1.8300000000000001E-9</v>
      </c>
      <c r="I1870" s="2" t="s">
        <v>31027</v>
      </c>
      <c r="J1870" s="2" t="s">
        <v>31028</v>
      </c>
      <c r="K1870" s="3">
        <v>1.1300000000000001E-7</v>
      </c>
      <c r="L1870" s="2" t="s">
        <v>1178</v>
      </c>
      <c r="M1870" s="4" t="s">
        <v>18832</v>
      </c>
    </row>
    <row r="1871" spans="1:13">
      <c r="A1871" s="2">
        <v>2245</v>
      </c>
      <c r="B1871" s="2" t="s">
        <v>16555</v>
      </c>
      <c r="C1871" s="2">
        <v>20</v>
      </c>
      <c r="D1871" s="2">
        <v>568</v>
      </c>
      <c r="E1871" s="2">
        <v>200</v>
      </c>
      <c r="F1871" s="2">
        <v>32441</v>
      </c>
      <c r="G1871" s="2">
        <v>5.7114436619999998</v>
      </c>
      <c r="H1871" s="3">
        <v>1.8300000000000001E-9</v>
      </c>
      <c r="I1871" s="2" t="s">
        <v>31029</v>
      </c>
      <c r="J1871" s="2" t="s">
        <v>31030</v>
      </c>
      <c r="K1871" s="3">
        <v>1.1300000000000001E-7</v>
      </c>
      <c r="L1871" s="2" t="s">
        <v>1178</v>
      </c>
      <c r="M1871" s="4" t="s">
        <v>16558</v>
      </c>
    </row>
    <row r="1872" spans="1:13">
      <c r="A1872" s="2">
        <v>2445</v>
      </c>
      <c r="B1872" s="2" t="s">
        <v>21055</v>
      </c>
      <c r="C1872" s="2">
        <v>20</v>
      </c>
      <c r="D1872" s="2">
        <v>568</v>
      </c>
      <c r="E1872" s="2">
        <v>198</v>
      </c>
      <c r="F1872" s="2">
        <v>32441</v>
      </c>
      <c r="G1872" s="2">
        <v>5.7691350119999996</v>
      </c>
      <c r="H1872" s="3">
        <v>1.56E-9</v>
      </c>
      <c r="I1872" s="2" t="s">
        <v>31031</v>
      </c>
      <c r="J1872" s="2" t="s">
        <v>31032</v>
      </c>
      <c r="K1872" s="3">
        <v>1.1300000000000001E-7</v>
      </c>
      <c r="L1872" s="2" t="s">
        <v>1178</v>
      </c>
      <c r="M1872" s="4" t="s">
        <v>21058</v>
      </c>
    </row>
    <row r="1873" spans="1:13">
      <c r="A1873" s="2">
        <v>2572</v>
      </c>
      <c r="B1873" s="2" t="s">
        <v>21071</v>
      </c>
      <c r="C1873" s="2">
        <v>20</v>
      </c>
      <c r="D1873" s="2">
        <v>568</v>
      </c>
      <c r="E1873" s="2">
        <v>200</v>
      </c>
      <c r="F1873" s="2">
        <v>32441</v>
      </c>
      <c r="G1873" s="2">
        <v>5.7114436619999998</v>
      </c>
      <c r="H1873" s="3">
        <v>1.8300000000000001E-9</v>
      </c>
      <c r="I1873" s="2" t="s">
        <v>31033</v>
      </c>
      <c r="J1873" s="2" t="s">
        <v>31034</v>
      </c>
      <c r="K1873" s="3">
        <v>1.1300000000000001E-7</v>
      </c>
      <c r="L1873" s="2" t="s">
        <v>1178</v>
      </c>
      <c r="M1873" s="4" t="s">
        <v>21074</v>
      </c>
    </row>
    <row r="1874" spans="1:13">
      <c r="A1874" s="2">
        <v>2576</v>
      </c>
      <c r="B1874" s="2" t="s">
        <v>23666</v>
      </c>
      <c r="C1874" s="2">
        <v>20</v>
      </c>
      <c r="D1874" s="2">
        <v>568</v>
      </c>
      <c r="E1874" s="2">
        <v>200</v>
      </c>
      <c r="F1874" s="2">
        <v>32441</v>
      </c>
      <c r="G1874" s="2">
        <v>5.7114436619999998</v>
      </c>
      <c r="H1874" s="3">
        <v>1.8300000000000001E-9</v>
      </c>
      <c r="I1874" s="2" t="s">
        <v>31035</v>
      </c>
      <c r="J1874" s="2" t="s">
        <v>31036</v>
      </c>
      <c r="K1874" s="3">
        <v>1.1300000000000001E-7</v>
      </c>
      <c r="L1874" s="2" t="s">
        <v>1178</v>
      </c>
      <c r="M1874" s="4" t="s">
        <v>23669</v>
      </c>
    </row>
    <row r="1875" spans="1:13">
      <c r="A1875" s="2">
        <v>34951</v>
      </c>
      <c r="B1875" s="2" t="s">
        <v>1389</v>
      </c>
      <c r="C1875" s="2">
        <v>20</v>
      </c>
      <c r="D1875" s="2">
        <v>568</v>
      </c>
      <c r="E1875" s="2">
        <v>199</v>
      </c>
      <c r="F1875" s="2">
        <v>32441</v>
      </c>
      <c r="G1875" s="2">
        <v>5.7401443839999997</v>
      </c>
      <c r="H1875" s="3">
        <v>1.69E-9</v>
      </c>
      <c r="I1875" s="2" t="s">
        <v>31037</v>
      </c>
      <c r="J1875" s="2" t="s">
        <v>31038</v>
      </c>
      <c r="K1875" s="3">
        <v>1.1300000000000001E-7</v>
      </c>
      <c r="L1875" s="2" t="s">
        <v>1178</v>
      </c>
      <c r="M1875" s="4" t="s">
        <v>31039</v>
      </c>
    </row>
    <row r="1876" spans="1:13">
      <c r="A1876" s="2">
        <v>3508</v>
      </c>
      <c r="B1876" s="2" t="s">
        <v>14520</v>
      </c>
      <c r="C1876" s="2">
        <v>20</v>
      </c>
      <c r="D1876" s="2">
        <v>568</v>
      </c>
      <c r="E1876" s="2">
        <v>200</v>
      </c>
      <c r="F1876" s="2">
        <v>32441</v>
      </c>
      <c r="G1876" s="2">
        <v>5.7114436619999998</v>
      </c>
      <c r="H1876" s="3">
        <v>1.8300000000000001E-9</v>
      </c>
      <c r="I1876" s="2" t="s">
        <v>31040</v>
      </c>
      <c r="J1876" s="2" t="s">
        <v>31041</v>
      </c>
      <c r="K1876" s="3">
        <v>1.1300000000000001E-7</v>
      </c>
      <c r="L1876" s="2" t="s">
        <v>1178</v>
      </c>
      <c r="M1876" s="4" t="s">
        <v>14523</v>
      </c>
    </row>
    <row r="1877" spans="1:13">
      <c r="A1877" s="2">
        <v>3822</v>
      </c>
      <c r="B1877" s="2" t="s">
        <v>31042</v>
      </c>
      <c r="C1877" s="2">
        <v>20</v>
      </c>
      <c r="D1877" s="2">
        <v>568</v>
      </c>
      <c r="E1877" s="2">
        <v>200</v>
      </c>
      <c r="F1877" s="2">
        <v>32441</v>
      </c>
      <c r="G1877" s="2">
        <v>5.7114436619999998</v>
      </c>
      <c r="H1877" s="3">
        <v>1.8300000000000001E-9</v>
      </c>
      <c r="I1877" s="2" t="s">
        <v>31043</v>
      </c>
      <c r="J1877" s="2" t="s">
        <v>31044</v>
      </c>
      <c r="K1877" s="3">
        <v>1.1300000000000001E-7</v>
      </c>
      <c r="L1877" s="2" t="s">
        <v>1178</v>
      </c>
      <c r="M1877" s="4" t="s">
        <v>31045</v>
      </c>
    </row>
    <row r="1878" spans="1:13">
      <c r="A1878" s="2">
        <v>38241</v>
      </c>
      <c r="B1878" s="2" t="s">
        <v>21312</v>
      </c>
      <c r="C1878" s="2">
        <v>20</v>
      </c>
      <c r="D1878" s="2">
        <v>568</v>
      </c>
      <c r="E1878" s="2">
        <v>200</v>
      </c>
      <c r="F1878" s="2">
        <v>32441</v>
      </c>
      <c r="G1878" s="2">
        <v>5.7114436619999998</v>
      </c>
      <c r="H1878" s="3">
        <v>1.8300000000000001E-9</v>
      </c>
      <c r="I1878" s="2" t="s">
        <v>31046</v>
      </c>
      <c r="J1878" s="2" t="s">
        <v>31047</v>
      </c>
      <c r="K1878" s="3">
        <v>1.1300000000000001E-7</v>
      </c>
      <c r="L1878" s="2" t="s">
        <v>1178</v>
      </c>
      <c r="M1878" s="4" t="s">
        <v>21315</v>
      </c>
    </row>
    <row r="1879" spans="1:13">
      <c r="A1879" s="2">
        <v>4125</v>
      </c>
      <c r="B1879" s="2" t="s">
        <v>18288</v>
      </c>
      <c r="C1879" s="2">
        <v>20</v>
      </c>
      <c r="D1879" s="2">
        <v>568</v>
      </c>
      <c r="E1879" s="2">
        <v>200</v>
      </c>
      <c r="F1879" s="2">
        <v>32441</v>
      </c>
      <c r="G1879" s="2">
        <v>5.7114436619999998</v>
      </c>
      <c r="H1879" s="3">
        <v>1.8300000000000001E-9</v>
      </c>
      <c r="I1879" s="2" t="s">
        <v>31048</v>
      </c>
      <c r="J1879" s="2" t="s">
        <v>31049</v>
      </c>
      <c r="K1879" s="3">
        <v>1.1300000000000001E-7</v>
      </c>
      <c r="L1879" s="2" t="s">
        <v>1178</v>
      </c>
      <c r="M1879" s="4" t="s">
        <v>18291</v>
      </c>
    </row>
    <row r="1880" spans="1:13">
      <c r="A1880" s="2">
        <v>4264</v>
      </c>
      <c r="B1880" s="2" t="s">
        <v>22762</v>
      </c>
      <c r="C1880" s="2">
        <v>17</v>
      </c>
      <c r="D1880" s="2">
        <v>568</v>
      </c>
      <c r="E1880" s="2">
        <v>137</v>
      </c>
      <c r="F1880" s="2">
        <v>32441</v>
      </c>
      <c r="G1880" s="2">
        <v>7.0871928649999996</v>
      </c>
      <c r="H1880" s="3">
        <v>1.5799999999999999E-9</v>
      </c>
      <c r="I1880" s="2" t="s">
        <v>31050</v>
      </c>
      <c r="J1880" s="2" t="s">
        <v>31051</v>
      </c>
      <c r="K1880" s="3">
        <v>1.1300000000000001E-7</v>
      </c>
      <c r="L1880" s="2" t="s">
        <v>1178</v>
      </c>
      <c r="M1880" s="4" t="s">
        <v>22765</v>
      </c>
    </row>
    <row r="1881" spans="1:13">
      <c r="A1881" s="2">
        <v>4381</v>
      </c>
      <c r="B1881" s="2" t="s">
        <v>21399</v>
      </c>
      <c r="C1881" s="2">
        <v>20</v>
      </c>
      <c r="D1881" s="2">
        <v>568</v>
      </c>
      <c r="E1881" s="2">
        <v>199</v>
      </c>
      <c r="F1881" s="2">
        <v>32441</v>
      </c>
      <c r="G1881" s="2">
        <v>5.7401443839999997</v>
      </c>
      <c r="H1881" s="3">
        <v>1.69E-9</v>
      </c>
      <c r="I1881" s="2" t="s">
        <v>31052</v>
      </c>
      <c r="J1881" s="2" t="s">
        <v>31053</v>
      </c>
      <c r="K1881" s="3">
        <v>1.1300000000000001E-7</v>
      </c>
      <c r="L1881" s="2" t="s">
        <v>1178</v>
      </c>
      <c r="M1881" s="4" t="s">
        <v>21402</v>
      </c>
    </row>
    <row r="1882" spans="1:13">
      <c r="A1882" s="2">
        <v>4477</v>
      </c>
      <c r="B1882" s="2" t="s">
        <v>3188</v>
      </c>
      <c r="C1882" s="2">
        <v>20</v>
      </c>
      <c r="D1882" s="2">
        <v>568</v>
      </c>
      <c r="E1882" s="2">
        <v>200</v>
      </c>
      <c r="F1882" s="2">
        <v>32441</v>
      </c>
      <c r="G1882" s="2">
        <v>5.7114436619999998</v>
      </c>
      <c r="H1882" s="3">
        <v>1.8300000000000001E-9</v>
      </c>
      <c r="I1882" s="2" t="s">
        <v>31054</v>
      </c>
      <c r="J1882" s="2" t="s">
        <v>31055</v>
      </c>
      <c r="K1882" s="3">
        <v>1.1300000000000001E-7</v>
      </c>
      <c r="L1882" s="2" t="s">
        <v>1178</v>
      </c>
      <c r="M1882" s="4" t="s">
        <v>3191</v>
      </c>
    </row>
    <row r="1883" spans="1:13">
      <c r="A1883" s="2">
        <v>26611</v>
      </c>
      <c r="B1883" s="2" t="s">
        <v>31056</v>
      </c>
      <c r="C1883" s="2">
        <v>18</v>
      </c>
      <c r="D1883" s="2">
        <v>568</v>
      </c>
      <c r="E1883" s="2">
        <v>163</v>
      </c>
      <c r="F1883" s="2">
        <v>32441</v>
      </c>
      <c r="G1883" s="2">
        <v>6.3071156999999998</v>
      </c>
      <c r="H1883" s="3">
        <v>2.8400000000000001E-9</v>
      </c>
      <c r="I1883" s="2" t="s">
        <v>31057</v>
      </c>
      <c r="J1883" s="2" t="s">
        <v>31058</v>
      </c>
      <c r="K1883" s="3">
        <v>1.73E-7</v>
      </c>
      <c r="L1883" s="2" t="s">
        <v>1178</v>
      </c>
      <c r="M1883" s="4" t="s">
        <v>31059</v>
      </c>
    </row>
    <row r="1884" spans="1:13">
      <c r="A1884" s="2">
        <v>116</v>
      </c>
      <c r="B1884" s="2" t="s">
        <v>2310</v>
      </c>
      <c r="C1884" s="2">
        <v>19</v>
      </c>
      <c r="D1884" s="2">
        <v>568</v>
      </c>
      <c r="E1884" s="2">
        <v>200</v>
      </c>
      <c r="F1884" s="2">
        <v>32441</v>
      </c>
      <c r="G1884" s="2">
        <v>5.4258714790000004</v>
      </c>
      <c r="H1884" s="3">
        <v>1E-8</v>
      </c>
      <c r="I1884" s="2" t="s">
        <v>31060</v>
      </c>
      <c r="J1884" s="2" t="s">
        <v>31061</v>
      </c>
      <c r="K1884" s="3">
        <v>4.6499999999999999E-7</v>
      </c>
      <c r="L1884" s="2" t="s">
        <v>1178</v>
      </c>
      <c r="M1884" s="4" t="s">
        <v>14688</v>
      </c>
    </row>
    <row r="1885" spans="1:13">
      <c r="A1885" s="2">
        <v>1229</v>
      </c>
      <c r="B1885" s="2" t="s">
        <v>21671</v>
      </c>
      <c r="C1885" s="2">
        <v>19</v>
      </c>
      <c r="D1885" s="2">
        <v>568</v>
      </c>
      <c r="E1885" s="2">
        <v>200</v>
      </c>
      <c r="F1885" s="2">
        <v>32441</v>
      </c>
      <c r="G1885" s="2">
        <v>5.4258714790000004</v>
      </c>
      <c r="H1885" s="3">
        <v>1E-8</v>
      </c>
      <c r="I1885" s="2" t="s">
        <v>31062</v>
      </c>
      <c r="J1885" s="2" t="s">
        <v>31063</v>
      </c>
      <c r="K1885" s="3">
        <v>4.6499999999999999E-7</v>
      </c>
      <c r="L1885" s="2" t="s">
        <v>1178</v>
      </c>
      <c r="M1885" s="4" t="s">
        <v>21674</v>
      </c>
    </row>
    <row r="1886" spans="1:13">
      <c r="A1886" s="2">
        <v>2483</v>
      </c>
      <c r="B1886" s="2" t="s">
        <v>20468</v>
      </c>
      <c r="C1886" s="2">
        <v>19</v>
      </c>
      <c r="D1886" s="2">
        <v>568</v>
      </c>
      <c r="E1886" s="2">
        <v>200</v>
      </c>
      <c r="F1886" s="2">
        <v>32441</v>
      </c>
      <c r="G1886" s="2">
        <v>5.4258714790000004</v>
      </c>
      <c r="H1886" s="3">
        <v>1E-8</v>
      </c>
      <c r="I1886" s="2" t="s">
        <v>31064</v>
      </c>
      <c r="J1886" s="2" t="s">
        <v>31065</v>
      </c>
      <c r="K1886" s="3">
        <v>4.6499999999999999E-7</v>
      </c>
      <c r="L1886" s="2" t="s">
        <v>1178</v>
      </c>
      <c r="M1886" s="4" t="s">
        <v>20471</v>
      </c>
    </row>
    <row r="1887" spans="1:13">
      <c r="A1887" s="2">
        <v>6252</v>
      </c>
      <c r="B1887" s="2" t="s">
        <v>23066</v>
      </c>
      <c r="C1887" s="2">
        <v>19</v>
      </c>
      <c r="D1887" s="2">
        <v>568</v>
      </c>
      <c r="E1887" s="2">
        <v>200</v>
      </c>
      <c r="F1887" s="2">
        <v>32441</v>
      </c>
      <c r="G1887" s="2">
        <v>5.4258714790000004</v>
      </c>
      <c r="H1887" s="3">
        <v>1E-8</v>
      </c>
      <c r="I1887" s="2" t="s">
        <v>31066</v>
      </c>
      <c r="J1887" s="2" t="s">
        <v>31067</v>
      </c>
      <c r="K1887" s="3">
        <v>4.6499999999999999E-7</v>
      </c>
      <c r="L1887" s="2" t="s">
        <v>1178</v>
      </c>
      <c r="M1887" s="4" t="s">
        <v>23069</v>
      </c>
    </row>
    <row r="1888" spans="1:13">
      <c r="A1888" s="2">
        <v>1189</v>
      </c>
      <c r="B1888" s="2" t="s">
        <v>31068</v>
      </c>
      <c r="C1888" s="2">
        <v>19</v>
      </c>
      <c r="D1888" s="2">
        <v>568</v>
      </c>
      <c r="E1888" s="2">
        <v>200</v>
      </c>
      <c r="F1888" s="2">
        <v>32441</v>
      </c>
      <c r="G1888" s="2">
        <v>5.4258714790000004</v>
      </c>
      <c r="H1888" s="3">
        <v>1E-8</v>
      </c>
      <c r="I1888" s="2" t="s">
        <v>31069</v>
      </c>
      <c r="J1888" s="2" t="s">
        <v>31070</v>
      </c>
      <c r="K1888" s="3">
        <v>4.6499999999999999E-7</v>
      </c>
      <c r="L1888" s="2" t="s">
        <v>1178</v>
      </c>
      <c r="M1888" s="4" t="s">
        <v>31071</v>
      </c>
    </row>
    <row r="1889" spans="1:13">
      <c r="A1889" s="2">
        <v>1228</v>
      </c>
      <c r="B1889" s="2" t="s">
        <v>31072</v>
      </c>
      <c r="C1889" s="2">
        <v>19</v>
      </c>
      <c r="D1889" s="2">
        <v>568</v>
      </c>
      <c r="E1889" s="2">
        <v>200</v>
      </c>
      <c r="F1889" s="2">
        <v>32441</v>
      </c>
      <c r="G1889" s="2">
        <v>5.4258714790000004</v>
      </c>
      <c r="H1889" s="3">
        <v>1E-8</v>
      </c>
      <c r="I1889" s="2" t="s">
        <v>31073</v>
      </c>
      <c r="J1889" s="2" t="s">
        <v>31074</v>
      </c>
      <c r="K1889" s="3">
        <v>4.6499999999999999E-7</v>
      </c>
      <c r="L1889" s="2" t="s">
        <v>1178</v>
      </c>
      <c r="M1889" s="4" t="s">
        <v>31075</v>
      </c>
    </row>
    <row r="1890" spans="1:13">
      <c r="A1890" s="2">
        <v>1575</v>
      </c>
      <c r="B1890" s="2" t="s">
        <v>3261</v>
      </c>
      <c r="C1890" s="2">
        <v>19</v>
      </c>
      <c r="D1890" s="2">
        <v>568</v>
      </c>
      <c r="E1890" s="2">
        <v>200</v>
      </c>
      <c r="F1890" s="2">
        <v>32441</v>
      </c>
      <c r="G1890" s="2">
        <v>5.4258714790000004</v>
      </c>
      <c r="H1890" s="3">
        <v>1E-8</v>
      </c>
      <c r="I1890" s="2" t="s">
        <v>31076</v>
      </c>
      <c r="J1890" s="2" t="s">
        <v>31077</v>
      </c>
      <c r="K1890" s="3">
        <v>4.6499999999999999E-7</v>
      </c>
      <c r="L1890" s="2" t="s">
        <v>1178</v>
      </c>
      <c r="M1890" s="4" t="s">
        <v>3264</v>
      </c>
    </row>
    <row r="1891" spans="1:13">
      <c r="A1891" s="2">
        <v>1979</v>
      </c>
      <c r="B1891" s="2" t="s">
        <v>31078</v>
      </c>
      <c r="C1891" s="2">
        <v>19</v>
      </c>
      <c r="D1891" s="2">
        <v>568</v>
      </c>
      <c r="E1891" s="2">
        <v>200</v>
      </c>
      <c r="F1891" s="2">
        <v>32441</v>
      </c>
      <c r="G1891" s="2">
        <v>5.4258714790000004</v>
      </c>
      <c r="H1891" s="3">
        <v>1E-8</v>
      </c>
      <c r="I1891" s="2" t="s">
        <v>31079</v>
      </c>
      <c r="J1891" s="2" t="s">
        <v>31080</v>
      </c>
      <c r="K1891" s="3">
        <v>4.6499999999999999E-7</v>
      </c>
      <c r="L1891" s="2" t="s">
        <v>1178</v>
      </c>
      <c r="M1891" s="4" t="s">
        <v>31081</v>
      </c>
    </row>
    <row r="1892" spans="1:13">
      <c r="A1892" s="2">
        <v>2478</v>
      </c>
      <c r="B1892" s="2" t="s">
        <v>31082</v>
      </c>
      <c r="C1892" s="2">
        <v>19</v>
      </c>
      <c r="D1892" s="2">
        <v>568</v>
      </c>
      <c r="E1892" s="2">
        <v>198</v>
      </c>
      <c r="F1892" s="2">
        <v>32441</v>
      </c>
      <c r="G1892" s="2">
        <v>5.4806782610000004</v>
      </c>
      <c r="H1892" s="3">
        <v>8.6200000000000004E-9</v>
      </c>
      <c r="I1892" s="2" t="s">
        <v>31083</v>
      </c>
      <c r="J1892" s="2" t="s">
        <v>31084</v>
      </c>
      <c r="K1892" s="3">
        <v>4.6499999999999999E-7</v>
      </c>
      <c r="L1892" s="2" t="s">
        <v>1178</v>
      </c>
      <c r="M1892" s="4" t="s">
        <v>31085</v>
      </c>
    </row>
    <row r="1893" spans="1:13">
      <c r="A1893" s="2">
        <v>25171</v>
      </c>
      <c r="B1893" s="2" t="s">
        <v>31086</v>
      </c>
      <c r="C1893" s="2">
        <v>19</v>
      </c>
      <c r="D1893" s="2">
        <v>568</v>
      </c>
      <c r="E1893" s="2">
        <v>200</v>
      </c>
      <c r="F1893" s="2">
        <v>32441</v>
      </c>
      <c r="G1893" s="2">
        <v>5.4258714790000004</v>
      </c>
      <c r="H1893" s="3">
        <v>1E-8</v>
      </c>
      <c r="I1893" s="2" t="s">
        <v>31087</v>
      </c>
      <c r="J1893" s="2" t="s">
        <v>31088</v>
      </c>
      <c r="K1893" s="3">
        <v>4.6499999999999999E-7</v>
      </c>
      <c r="L1893" s="2" t="s">
        <v>1178</v>
      </c>
      <c r="M1893" s="4" t="s">
        <v>31089</v>
      </c>
    </row>
    <row r="1894" spans="1:13">
      <c r="A1894" s="2">
        <v>26571</v>
      </c>
      <c r="B1894" s="2" t="s">
        <v>19346</v>
      </c>
      <c r="C1894" s="2">
        <v>17</v>
      </c>
      <c r="D1894" s="2">
        <v>568</v>
      </c>
      <c r="E1894" s="2">
        <v>156</v>
      </c>
      <c r="F1894" s="2">
        <v>32441</v>
      </c>
      <c r="G1894" s="2">
        <v>6.2240091189999998</v>
      </c>
      <c r="H1894" s="3">
        <v>9.3700000000000005E-9</v>
      </c>
      <c r="I1894" s="2" t="s">
        <v>31090</v>
      </c>
      <c r="J1894" s="2" t="s">
        <v>31091</v>
      </c>
      <c r="K1894" s="3">
        <v>4.6499999999999999E-7</v>
      </c>
      <c r="L1894" s="2" t="s">
        <v>1178</v>
      </c>
      <c r="M1894" s="4" t="s">
        <v>19349</v>
      </c>
    </row>
    <row r="1895" spans="1:13">
      <c r="A1895" s="2">
        <v>2694</v>
      </c>
      <c r="B1895" s="2" t="s">
        <v>31092</v>
      </c>
      <c r="C1895" s="2">
        <v>19</v>
      </c>
      <c r="D1895" s="2">
        <v>568</v>
      </c>
      <c r="E1895" s="2">
        <v>200</v>
      </c>
      <c r="F1895" s="2">
        <v>32441</v>
      </c>
      <c r="G1895" s="2">
        <v>5.4258714790000004</v>
      </c>
      <c r="H1895" s="3">
        <v>1E-8</v>
      </c>
      <c r="I1895" s="2" t="s">
        <v>31093</v>
      </c>
      <c r="J1895" s="2" t="s">
        <v>31094</v>
      </c>
      <c r="K1895" s="3">
        <v>4.6499999999999999E-7</v>
      </c>
      <c r="L1895" s="2" t="s">
        <v>1178</v>
      </c>
      <c r="M1895" s="4" t="s">
        <v>31095</v>
      </c>
    </row>
    <row r="1896" spans="1:13">
      <c r="A1896" s="2">
        <v>3035</v>
      </c>
      <c r="B1896" s="2" t="s">
        <v>31096</v>
      </c>
      <c r="C1896" s="2">
        <v>19</v>
      </c>
      <c r="D1896" s="2">
        <v>568</v>
      </c>
      <c r="E1896" s="2">
        <v>197</v>
      </c>
      <c r="F1896" s="2">
        <v>32441</v>
      </c>
      <c r="G1896" s="2">
        <v>5.5084989630000001</v>
      </c>
      <c r="H1896" s="3">
        <v>8.0000000000000005E-9</v>
      </c>
      <c r="I1896" s="2" t="s">
        <v>31097</v>
      </c>
      <c r="J1896" s="2" t="s">
        <v>31098</v>
      </c>
      <c r="K1896" s="3">
        <v>4.6499999999999999E-7</v>
      </c>
      <c r="L1896" s="2" t="s">
        <v>1178</v>
      </c>
      <c r="M1896" s="4" t="s">
        <v>31099</v>
      </c>
    </row>
    <row r="1897" spans="1:13">
      <c r="A1897" s="2">
        <v>3433</v>
      </c>
      <c r="B1897" s="2" t="s">
        <v>3475</v>
      </c>
      <c r="C1897" s="2">
        <v>19</v>
      </c>
      <c r="D1897" s="2">
        <v>568</v>
      </c>
      <c r="E1897" s="2">
        <v>198</v>
      </c>
      <c r="F1897" s="2">
        <v>32441</v>
      </c>
      <c r="G1897" s="2">
        <v>5.4806782610000004</v>
      </c>
      <c r="H1897" s="3">
        <v>8.6200000000000004E-9</v>
      </c>
      <c r="I1897" s="2" t="s">
        <v>31100</v>
      </c>
      <c r="J1897" s="2" t="s">
        <v>31101</v>
      </c>
      <c r="K1897" s="3">
        <v>4.6499999999999999E-7</v>
      </c>
      <c r="L1897" s="2" t="s">
        <v>1178</v>
      </c>
      <c r="M1897" s="4" t="s">
        <v>3478</v>
      </c>
    </row>
    <row r="1898" spans="1:13">
      <c r="A1898" s="2">
        <v>3552</v>
      </c>
      <c r="B1898" s="2" t="s">
        <v>13120</v>
      </c>
      <c r="C1898" s="2">
        <v>19</v>
      </c>
      <c r="D1898" s="2">
        <v>568</v>
      </c>
      <c r="E1898" s="2">
        <v>200</v>
      </c>
      <c r="F1898" s="2">
        <v>32441</v>
      </c>
      <c r="G1898" s="2">
        <v>5.4258714790000004</v>
      </c>
      <c r="H1898" s="3">
        <v>1E-8</v>
      </c>
      <c r="I1898" s="2" t="s">
        <v>31102</v>
      </c>
      <c r="J1898" s="2" t="s">
        <v>31103</v>
      </c>
      <c r="K1898" s="3">
        <v>4.6499999999999999E-7</v>
      </c>
      <c r="L1898" s="2" t="s">
        <v>1178</v>
      </c>
      <c r="M1898" s="4" t="s">
        <v>13123</v>
      </c>
    </row>
    <row r="1899" spans="1:13">
      <c r="A1899" s="2">
        <v>3798</v>
      </c>
      <c r="B1899" s="2" t="s">
        <v>20119</v>
      </c>
      <c r="C1899" s="2">
        <v>19</v>
      </c>
      <c r="D1899" s="2">
        <v>568</v>
      </c>
      <c r="E1899" s="2">
        <v>200</v>
      </c>
      <c r="F1899" s="2">
        <v>32441</v>
      </c>
      <c r="G1899" s="2">
        <v>5.4258714790000004</v>
      </c>
      <c r="H1899" s="3">
        <v>1E-8</v>
      </c>
      <c r="I1899" s="2" t="s">
        <v>31104</v>
      </c>
      <c r="J1899" s="2" t="s">
        <v>31105</v>
      </c>
      <c r="K1899" s="3">
        <v>4.6499999999999999E-7</v>
      </c>
      <c r="L1899" s="2" t="s">
        <v>1178</v>
      </c>
      <c r="M1899" s="4" t="s">
        <v>20122</v>
      </c>
    </row>
    <row r="1900" spans="1:13">
      <c r="A1900" s="2">
        <v>3812</v>
      </c>
      <c r="B1900" s="2" t="s">
        <v>31106</v>
      </c>
      <c r="C1900" s="2">
        <v>19</v>
      </c>
      <c r="D1900" s="2">
        <v>568</v>
      </c>
      <c r="E1900" s="2">
        <v>200</v>
      </c>
      <c r="F1900" s="2">
        <v>32441</v>
      </c>
      <c r="G1900" s="2">
        <v>5.4258714790000004</v>
      </c>
      <c r="H1900" s="3">
        <v>1E-8</v>
      </c>
      <c r="I1900" s="2" t="s">
        <v>31107</v>
      </c>
      <c r="J1900" s="2" t="s">
        <v>31108</v>
      </c>
      <c r="K1900" s="3">
        <v>4.6499999999999999E-7</v>
      </c>
      <c r="L1900" s="2" t="s">
        <v>1178</v>
      </c>
      <c r="M1900" s="4" t="s">
        <v>31109</v>
      </c>
    </row>
    <row r="1901" spans="1:13">
      <c r="A1901" s="2">
        <v>4194</v>
      </c>
      <c r="B1901" s="2" t="s">
        <v>31110</v>
      </c>
      <c r="C1901" s="2">
        <v>19</v>
      </c>
      <c r="D1901" s="2">
        <v>568</v>
      </c>
      <c r="E1901" s="2">
        <v>200</v>
      </c>
      <c r="F1901" s="2">
        <v>32441</v>
      </c>
      <c r="G1901" s="2">
        <v>5.4258714790000004</v>
      </c>
      <c r="H1901" s="3">
        <v>1E-8</v>
      </c>
      <c r="I1901" s="2" t="s">
        <v>31111</v>
      </c>
      <c r="J1901" s="2" t="s">
        <v>31112</v>
      </c>
      <c r="K1901" s="3">
        <v>4.6499999999999999E-7</v>
      </c>
      <c r="L1901" s="2" t="s">
        <v>1178</v>
      </c>
      <c r="M1901" s="4" t="s">
        <v>31113</v>
      </c>
    </row>
    <row r="1902" spans="1:13">
      <c r="A1902" s="2">
        <v>4335</v>
      </c>
      <c r="B1902" s="2" t="s">
        <v>21387</v>
      </c>
      <c r="C1902" s="2">
        <v>19</v>
      </c>
      <c r="D1902" s="2">
        <v>568</v>
      </c>
      <c r="E1902" s="2">
        <v>200</v>
      </c>
      <c r="F1902" s="2">
        <v>32441</v>
      </c>
      <c r="G1902" s="2">
        <v>5.4258714790000004</v>
      </c>
      <c r="H1902" s="3">
        <v>1E-8</v>
      </c>
      <c r="I1902" s="2" t="s">
        <v>31114</v>
      </c>
      <c r="J1902" s="2" t="s">
        <v>31115</v>
      </c>
      <c r="K1902" s="3">
        <v>4.6499999999999999E-7</v>
      </c>
      <c r="L1902" s="2" t="s">
        <v>1178</v>
      </c>
      <c r="M1902" s="4" t="s">
        <v>21390</v>
      </c>
    </row>
    <row r="1903" spans="1:13">
      <c r="A1903" s="2">
        <v>4483</v>
      </c>
      <c r="B1903" s="2" t="s">
        <v>3227</v>
      </c>
      <c r="C1903" s="2">
        <v>19</v>
      </c>
      <c r="D1903" s="2">
        <v>568</v>
      </c>
      <c r="E1903" s="2">
        <v>200</v>
      </c>
      <c r="F1903" s="2">
        <v>32441</v>
      </c>
      <c r="G1903" s="2">
        <v>5.4258714790000004</v>
      </c>
      <c r="H1903" s="3">
        <v>1E-8</v>
      </c>
      <c r="I1903" s="2" t="s">
        <v>31116</v>
      </c>
      <c r="J1903" s="2" t="s">
        <v>31117</v>
      </c>
      <c r="K1903" s="3">
        <v>4.6499999999999999E-7</v>
      </c>
      <c r="L1903" s="2" t="s">
        <v>1178</v>
      </c>
      <c r="M1903" s="4" t="s">
        <v>3230</v>
      </c>
    </row>
    <row r="1904" spans="1:13">
      <c r="A1904" s="2">
        <v>4496</v>
      </c>
      <c r="B1904" s="2" t="s">
        <v>31118</v>
      </c>
      <c r="C1904" s="2">
        <v>19</v>
      </c>
      <c r="D1904" s="2">
        <v>568</v>
      </c>
      <c r="E1904" s="2">
        <v>199</v>
      </c>
      <c r="F1904" s="2">
        <v>32441</v>
      </c>
      <c r="G1904" s="2">
        <v>5.4531371650000002</v>
      </c>
      <c r="H1904" s="3">
        <v>9.3000000000000006E-9</v>
      </c>
      <c r="I1904" s="2" t="s">
        <v>31119</v>
      </c>
      <c r="J1904" s="2" t="s">
        <v>31120</v>
      </c>
      <c r="K1904" s="3">
        <v>4.6499999999999999E-7</v>
      </c>
      <c r="L1904" s="2" t="s">
        <v>1178</v>
      </c>
      <c r="M1904" s="4" t="s">
        <v>31121</v>
      </c>
    </row>
    <row r="1905" spans="1:13">
      <c r="A1905" s="2">
        <v>4505</v>
      </c>
      <c r="B1905" s="2" t="s">
        <v>16137</v>
      </c>
      <c r="C1905" s="2">
        <v>19</v>
      </c>
      <c r="D1905" s="2">
        <v>568</v>
      </c>
      <c r="E1905" s="2">
        <v>200</v>
      </c>
      <c r="F1905" s="2">
        <v>32441</v>
      </c>
      <c r="G1905" s="2">
        <v>5.4258714790000004</v>
      </c>
      <c r="H1905" s="3">
        <v>1E-8</v>
      </c>
      <c r="I1905" s="2" t="s">
        <v>31122</v>
      </c>
      <c r="J1905" s="2" t="s">
        <v>31123</v>
      </c>
      <c r="K1905" s="3">
        <v>4.6499999999999999E-7</v>
      </c>
      <c r="L1905" s="2" t="s">
        <v>1178</v>
      </c>
      <c r="M1905" s="4" t="s">
        <v>16140</v>
      </c>
    </row>
    <row r="1906" spans="1:13">
      <c r="A1906" s="2">
        <v>4699</v>
      </c>
      <c r="B1906" s="2" t="s">
        <v>17587</v>
      </c>
      <c r="C1906" s="2">
        <v>19</v>
      </c>
      <c r="D1906" s="2">
        <v>568</v>
      </c>
      <c r="E1906" s="2">
        <v>200</v>
      </c>
      <c r="F1906" s="2">
        <v>32441</v>
      </c>
      <c r="G1906" s="2">
        <v>5.4258714790000004</v>
      </c>
      <c r="H1906" s="3">
        <v>1E-8</v>
      </c>
      <c r="I1906" s="2" t="s">
        <v>31124</v>
      </c>
      <c r="J1906" s="2" t="s">
        <v>31125</v>
      </c>
      <c r="K1906" s="3">
        <v>4.6499999999999999E-7</v>
      </c>
      <c r="L1906" s="2" t="s">
        <v>1178</v>
      </c>
      <c r="M1906" s="4" t="s">
        <v>17590</v>
      </c>
    </row>
    <row r="1907" spans="1:13">
      <c r="A1907" s="2">
        <v>4740</v>
      </c>
      <c r="B1907" s="2" t="s">
        <v>17599</v>
      </c>
      <c r="C1907" s="2">
        <v>19</v>
      </c>
      <c r="D1907" s="2">
        <v>568</v>
      </c>
      <c r="E1907" s="2">
        <v>200</v>
      </c>
      <c r="F1907" s="2">
        <v>32441</v>
      </c>
      <c r="G1907" s="2">
        <v>5.4258714790000004</v>
      </c>
      <c r="H1907" s="3">
        <v>1E-8</v>
      </c>
      <c r="I1907" s="2" t="s">
        <v>31126</v>
      </c>
      <c r="J1907" s="2" t="s">
        <v>31127</v>
      </c>
      <c r="K1907" s="3">
        <v>4.6499999999999999E-7</v>
      </c>
      <c r="L1907" s="2" t="s">
        <v>1178</v>
      </c>
      <c r="M1907" s="4" t="s">
        <v>17602</v>
      </c>
    </row>
    <row r="1908" spans="1:13">
      <c r="A1908" s="2">
        <v>48411</v>
      </c>
      <c r="B1908" s="2" t="s">
        <v>31128</v>
      </c>
      <c r="C1908" s="2">
        <v>19</v>
      </c>
      <c r="D1908" s="2">
        <v>568</v>
      </c>
      <c r="E1908" s="2">
        <v>199</v>
      </c>
      <c r="F1908" s="2">
        <v>32441</v>
      </c>
      <c r="G1908" s="2">
        <v>5.4531371650000002</v>
      </c>
      <c r="H1908" s="3">
        <v>9.3000000000000006E-9</v>
      </c>
      <c r="I1908" s="2" t="s">
        <v>31129</v>
      </c>
      <c r="J1908" s="2" t="s">
        <v>31130</v>
      </c>
      <c r="K1908" s="3">
        <v>4.6499999999999999E-7</v>
      </c>
      <c r="L1908" s="2" t="s">
        <v>1178</v>
      </c>
      <c r="M1908" s="4" t="s">
        <v>31131</v>
      </c>
    </row>
    <row r="1909" spans="1:13">
      <c r="A1909" s="2">
        <v>4154</v>
      </c>
      <c r="B1909" s="2" t="s">
        <v>31132</v>
      </c>
      <c r="C1909" s="2">
        <v>17</v>
      </c>
      <c r="D1909" s="2">
        <v>568</v>
      </c>
      <c r="E1909" s="2">
        <v>160</v>
      </c>
      <c r="F1909" s="2">
        <v>32441</v>
      </c>
      <c r="G1909" s="2">
        <v>6.0684088909999998</v>
      </c>
      <c r="H1909" s="3">
        <v>1.3200000000000001E-8</v>
      </c>
      <c r="I1909" s="2" t="s">
        <v>31133</v>
      </c>
      <c r="J1909" s="2" t="s">
        <v>31134</v>
      </c>
      <c r="K1909" s="3">
        <v>6.0800000000000004E-7</v>
      </c>
      <c r="L1909" s="2" t="s">
        <v>1178</v>
      </c>
      <c r="M1909" s="4" t="s">
        <v>31135</v>
      </c>
    </row>
    <row r="1910" spans="1:13">
      <c r="A1910" s="2">
        <v>48311</v>
      </c>
      <c r="B1910" s="2" t="s">
        <v>31136</v>
      </c>
      <c r="C1910" s="2">
        <v>18</v>
      </c>
      <c r="D1910" s="2">
        <v>568</v>
      </c>
      <c r="E1910" s="2">
        <v>195</v>
      </c>
      <c r="F1910" s="2">
        <v>32441</v>
      </c>
      <c r="G1910" s="2">
        <v>5.2721018419999996</v>
      </c>
      <c r="H1910" s="3">
        <v>3.6699999999999998E-8</v>
      </c>
      <c r="I1910" s="2" t="s">
        <v>31137</v>
      </c>
      <c r="J1910" s="2" t="s">
        <v>31138</v>
      </c>
      <c r="K1910" s="3">
        <v>1.6700000000000001E-6</v>
      </c>
      <c r="L1910" s="2" t="s">
        <v>1178</v>
      </c>
      <c r="M1910" s="4" t="s">
        <v>31139</v>
      </c>
    </row>
    <row r="1911" spans="1:13">
      <c r="A1911" s="2">
        <v>4520</v>
      </c>
      <c r="B1911" s="2" t="s">
        <v>24000</v>
      </c>
      <c r="C1911" s="2">
        <v>18</v>
      </c>
      <c r="D1911" s="2">
        <v>568</v>
      </c>
      <c r="E1911" s="2">
        <v>196</v>
      </c>
      <c r="F1911" s="2">
        <v>32441</v>
      </c>
      <c r="G1911" s="2">
        <v>5.2452033629999999</v>
      </c>
      <c r="H1911" s="3">
        <v>3.9500000000000003E-8</v>
      </c>
      <c r="I1911" s="2" t="s">
        <v>31140</v>
      </c>
      <c r="J1911" s="2" t="s">
        <v>31141</v>
      </c>
      <c r="K1911" s="3">
        <v>1.7799999999999999E-6</v>
      </c>
      <c r="L1911" s="2" t="s">
        <v>1178</v>
      </c>
      <c r="M1911" s="4" t="s">
        <v>24003</v>
      </c>
    </row>
    <row r="1912" spans="1:13">
      <c r="A1912" s="2">
        <v>2035</v>
      </c>
      <c r="B1912" s="2" t="s">
        <v>31142</v>
      </c>
      <c r="C1912" s="2">
        <v>18</v>
      </c>
      <c r="D1912" s="2">
        <v>568</v>
      </c>
      <c r="E1912" s="2">
        <v>197</v>
      </c>
      <c r="F1912" s="2">
        <v>32441</v>
      </c>
      <c r="G1912" s="2">
        <v>5.2185779649999997</v>
      </c>
      <c r="H1912" s="3">
        <v>4.2400000000000002E-8</v>
      </c>
      <c r="I1912" s="2" t="s">
        <v>31143</v>
      </c>
      <c r="J1912" s="2" t="s">
        <v>31144</v>
      </c>
      <c r="K1912" s="3">
        <v>1.88E-6</v>
      </c>
      <c r="L1912" s="2" t="s">
        <v>1178</v>
      </c>
      <c r="M1912" s="4" t="s">
        <v>31145</v>
      </c>
    </row>
    <row r="1913" spans="1:13">
      <c r="A1913" s="2">
        <v>20391</v>
      </c>
      <c r="B1913" s="2" t="s">
        <v>31146</v>
      </c>
      <c r="C1913" s="2">
        <v>18</v>
      </c>
      <c r="D1913" s="2">
        <v>568</v>
      </c>
      <c r="E1913" s="2">
        <v>197</v>
      </c>
      <c r="F1913" s="2">
        <v>32441</v>
      </c>
      <c r="G1913" s="2">
        <v>5.2185779649999997</v>
      </c>
      <c r="H1913" s="3">
        <v>4.2400000000000002E-8</v>
      </c>
      <c r="I1913" s="2" t="s">
        <v>31147</v>
      </c>
      <c r="J1913" s="2" t="s">
        <v>31148</v>
      </c>
      <c r="K1913" s="3">
        <v>1.88E-6</v>
      </c>
      <c r="L1913" s="2" t="s">
        <v>1178</v>
      </c>
      <c r="M1913" s="4" t="s">
        <v>31149</v>
      </c>
    </row>
    <row r="1914" spans="1:13">
      <c r="A1914" s="2">
        <v>219</v>
      </c>
      <c r="B1914" s="2" t="s">
        <v>20460</v>
      </c>
      <c r="C1914" s="2">
        <v>18</v>
      </c>
      <c r="D1914" s="2">
        <v>568</v>
      </c>
      <c r="E1914" s="2">
        <v>200</v>
      </c>
      <c r="F1914" s="2">
        <v>32441</v>
      </c>
      <c r="G1914" s="2">
        <v>5.1402992960000002</v>
      </c>
      <c r="H1914" s="3">
        <v>5.2399999999999999E-8</v>
      </c>
      <c r="I1914" s="2" t="s">
        <v>31150</v>
      </c>
      <c r="J1914" s="2" t="s">
        <v>31151</v>
      </c>
      <c r="K1914" s="3">
        <v>1.9099999999999999E-6</v>
      </c>
      <c r="L1914" s="2" t="s">
        <v>1178</v>
      </c>
      <c r="M1914" s="4" t="s">
        <v>20463</v>
      </c>
    </row>
    <row r="1915" spans="1:13">
      <c r="A1915" s="2">
        <v>3421</v>
      </c>
      <c r="B1915" s="2" t="s">
        <v>16959</v>
      </c>
      <c r="C1915" s="2">
        <v>18</v>
      </c>
      <c r="D1915" s="2">
        <v>568</v>
      </c>
      <c r="E1915" s="2">
        <v>200</v>
      </c>
      <c r="F1915" s="2">
        <v>32441</v>
      </c>
      <c r="G1915" s="2">
        <v>5.1402992960000002</v>
      </c>
      <c r="H1915" s="3">
        <v>5.2399999999999999E-8</v>
      </c>
      <c r="I1915" s="2" t="s">
        <v>31152</v>
      </c>
      <c r="J1915" s="2" t="s">
        <v>31153</v>
      </c>
      <c r="K1915" s="3">
        <v>1.9099999999999999E-6</v>
      </c>
      <c r="L1915" s="2" t="s">
        <v>1178</v>
      </c>
      <c r="M1915" s="4" t="s">
        <v>16962</v>
      </c>
    </row>
    <row r="1916" spans="1:13">
      <c r="A1916" s="2">
        <v>9301</v>
      </c>
      <c r="B1916" s="2" t="s">
        <v>17874</v>
      </c>
      <c r="C1916" s="2">
        <v>18</v>
      </c>
      <c r="D1916" s="2">
        <v>568</v>
      </c>
      <c r="E1916" s="2">
        <v>200</v>
      </c>
      <c r="F1916" s="2">
        <v>32441</v>
      </c>
      <c r="G1916" s="2">
        <v>5.1402992960000002</v>
      </c>
      <c r="H1916" s="3">
        <v>5.2399999999999999E-8</v>
      </c>
      <c r="I1916" s="2" t="s">
        <v>31154</v>
      </c>
      <c r="J1916" s="2" t="s">
        <v>31155</v>
      </c>
      <c r="K1916" s="3">
        <v>1.9099999999999999E-6</v>
      </c>
      <c r="L1916" s="2" t="s">
        <v>1178</v>
      </c>
      <c r="M1916" s="4" t="s">
        <v>17877</v>
      </c>
    </row>
    <row r="1917" spans="1:13">
      <c r="A1917" s="2">
        <v>12331</v>
      </c>
      <c r="B1917" s="2" t="s">
        <v>2121</v>
      </c>
      <c r="C1917" s="2">
        <v>18</v>
      </c>
      <c r="D1917" s="2">
        <v>568</v>
      </c>
      <c r="E1917" s="2">
        <v>200</v>
      </c>
      <c r="F1917" s="2">
        <v>32441</v>
      </c>
      <c r="G1917" s="2">
        <v>5.1402992960000002</v>
      </c>
      <c r="H1917" s="3">
        <v>5.2399999999999999E-8</v>
      </c>
      <c r="I1917" s="2" t="s">
        <v>31156</v>
      </c>
      <c r="J1917" s="2" t="s">
        <v>31157</v>
      </c>
      <c r="K1917" s="3">
        <v>1.9099999999999999E-6</v>
      </c>
      <c r="L1917" s="2" t="s">
        <v>1178</v>
      </c>
      <c r="M1917" s="4" t="s">
        <v>31158</v>
      </c>
    </row>
    <row r="1918" spans="1:13">
      <c r="A1918" s="2">
        <v>1358</v>
      </c>
      <c r="B1918" s="2" t="s">
        <v>31159</v>
      </c>
      <c r="C1918" s="2">
        <v>18</v>
      </c>
      <c r="D1918" s="2">
        <v>568</v>
      </c>
      <c r="E1918" s="2">
        <v>200</v>
      </c>
      <c r="F1918" s="2">
        <v>32441</v>
      </c>
      <c r="G1918" s="2">
        <v>5.1402992960000002</v>
      </c>
      <c r="H1918" s="3">
        <v>5.2399999999999999E-8</v>
      </c>
      <c r="I1918" s="2" t="s">
        <v>31160</v>
      </c>
      <c r="J1918" s="2" t="s">
        <v>31161</v>
      </c>
      <c r="K1918" s="3">
        <v>1.9099999999999999E-6</v>
      </c>
      <c r="L1918" s="2" t="s">
        <v>1178</v>
      </c>
      <c r="M1918" s="4" t="s">
        <v>31162</v>
      </c>
    </row>
    <row r="1919" spans="1:13">
      <c r="A1919" s="2">
        <v>1854</v>
      </c>
      <c r="B1919" s="2" t="s">
        <v>31163</v>
      </c>
      <c r="C1919" s="2">
        <v>18</v>
      </c>
      <c r="D1919" s="2">
        <v>568</v>
      </c>
      <c r="E1919" s="2">
        <v>200</v>
      </c>
      <c r="F1919" s="2">
        <v>32441</v>
      </c>
      <c r="G1919" s="2">
        <v>5.1402992960000002</v>
      </c>
      <c r="H1919" s="3">
        <v>5.2399999999999999E-8</v>
      </c>
      <c r="I1919" s="2" t="s">
        <v>31164</v>
      </c>
      <c r="J1919" s="2" t="s">
        <v>31165</v>
      </c>
      <c r="K1919" s="3">
        <v>1.9099999999999999E-6</v>
      </c>
      <c r="L1919" s="2" t="s">
        <v>1178</v>
      </c>
      <c r="M1919" s="4" t="s">
        <v>31166</v>
      </c>
    </row>
    <row r="1920" spans="1:13">
      <c r="A1920" s="2">
        <v>1962</v>
      </c>
      <c r="B1920" s="2" t="s">
        <v>14821</v>
      </c>
      <c r="C1920" s="2">
        <v>18</v>
      </c>
      <c r="D1920" s="2">
        <v>568</v>
      </c>
      <c r="E1920" s="2">
        <v>200</v>
      </c>
      <c r="F1920" s="2">
        <v>32441</v>
      </c>
      <c r="G1920" s="2">
        <v>5.1402992960000002</v>
      </c>
      <c r="H1920" s="3">
        <v>5.2399999999999999E-8</v>
      </c>
      <c r="I1920" s="2" t="s">
        <v>31167</v>
      </c>
      <c r="J1920" s="2" t="s">
        <v>31168</v>
      </c>
      <c r="K1920" s="3">
        <v>1.9099999999999999E-6</v>
      </c>
      <c r="L1920" s="2" t="s">
        <v>1178</v>
      </c>
      <c r="M1920" s="4" t="s">
        <v>14824</v>
      </c>
    </row>
    <row r="1921" spans="1:13">
      <c r="A1921" s="2">
        <v>1976</v>
      </c>
      <c r="B1921" s="2" t="s">
        <v>31169</v>
      </c>
      <c r="C1921" s="2">
        <v>18</v>
      </c>
      <c r="D1921" s="2">
        <v>568</v>
      </c>
      <c r="E1921" s="2">
        <v>200</v>
      </c>
      <c r="F1921" s="2">
        <v>32441</v>
      </c>
      <c r="G1921" s="2">
        <v>5.1402992960000002</v>
      </c>
      <c r="H1921" s="3">
        <v>5.2399999999999999E-8</v>
      </c>
      <c r="I1921" s="2" t="s">
        <v>31170</v>
      </c>
      <c r="J1921" s="2" t="s">
        <v>31171</v>
      </c>
      <c r="K1921" s="3">
        <v>1.9099999999999999E-6</v>
      </c>
      <c r="L1921" s="2" t="s">
        <v>1178</v>
      </c>
      <c r="M1921" s="4" t="s">
        <v>31172</v>
      </c>
    </row>
    <row r="1922" spans="1:13">
      <c r="A1922" s="2">
        <v>22631</v>
      </c>
      <c r="B1922" s="2" t="s">
        <v>15887</v>
      </c>
      <c r="C1922" s="2">
        <v>18</v>
      </c>
      <c r="D1922" s="2">
        <v>568</v>
      </c>
      <c r="E1922" s="2">
        <v>200</v>
      </c>
      <c r="F1922" s="2">
        <v>32441</v>
      </c>
      <c r="G1922" s="2">
        <v>5.1402992960000002</v>
      </c>
      <c r="H1922" s="3">
        <v>5.2399999999999999E-8</v>
      </c>
      <c r="I1922" s="2" t="s">
        <v>31173</v>
      </c>
      <c r="J1922" s="2" t="s">
        <v>31174</v>
      </c>
      <c r="K1922" s="3">
        <v>1.9099999999999999E-6</v>
      </c>
      <c r="L1922" s="2" t="s">
        <v>1178</v>
      </c>
      <c r="M1922" s="4" t="s">
        <v>15890</v>
      </c>
    </row>
    <row r="1923" spans="1:13">
      <c r="A1923" s="2">
        <v>2383</v>
      </c>
      <c r="B1923" s="2" t="s">
        <v>31175</v>
      </c>
      <c r="C1923" s="2">
        <v>18</v>
      </c>
      <c r="D1923" s="2">
        <v>568</v>
      </c>
      <c r="E1923" s="2">
        <v>200</v>
      </c>
      <c r="F1923" s="2">
        <v>32441</v>
      </c>
      <c r="G1923" s="2">
        <v>5.1402992960000002</v>
      </c>
      <c r="H1923" s="3">
        <v>5.2399999999999999E-8</v>
      </c>
      <c r="I1923" s="2" t="s">
        <v>31176</v>
      </c>
      <c r="J1923" s="2" t="s">
        <v>31177</v>
      </c>
      <c r="K1923" s="3">
        <v>1.9099999999999999E-6</v>
      </c>
      <c r="L1923" s="2" t="s">
        <v>1178</v>
      </c>
      <c r="M1923" s="4" t="s">
        <v>31178</v>
      </c>
    </row>
    <row r="1924" spans="1:13">
      <c r="A1924" s="2">
        <v>2622</v>
      </c>
      <c r="B1924" s="2" t="s">
        <v>19897</v>
      </c>
      <c r="C1924" s="2">
        <v>18</v>
      </c>
      <c r="D1924" s="2">
        <v>568</v>
      </c>
      <c r="E1924" s="2">
        <v>200</v>
      </c>
      <c r="F1924" s="2">
        <v>32441</v>
      </c>
      <c r="G1924" s="2">
        <v>5.1402992960000002</v>
      </c>
      <c r="H1924" s="3">
        <v>5.2399999999999999E-8</v>
      </c>
      <c r="I1924" s="2" t="s">
        <v>31179</v>
      </c>
      <c r="J1924" s="2" t="s">
        <v>31180</v>
      </c>
      <c r="K1924" s="3">
        <v>1.9099999999999999E-6</v>
      </c>
      <c r="L1924" s="2" t="s">
        <v>1178</v>
      </c>
      <c r="M1924" s="4" t="s">
        <v>19900</v>
      </c>
    </row>
    <row r="1925" spans="1:13">
      <c r="A1925" s="2">
        <v>2906</v>
      </c>
      <c r="B1925" s="2" t="s">
        <v>31181</v>
      </c>
      <c r="C1925" s="2">
        <v>18</v>
      </c>
      <c r="D1925" s="2">
        <v>568</v>
      </c>
      <c r="E1925" s="2">
        <v>199</v>
      </c>
      <c r="F1925" s="2">
        <v>32441</v>
      </c>
      <c r="G1925" s="2">
        <v>5.1661299459999999</v>
      </c>
      <c r="H1925" s="3">
        <v>4.88E-8</v>
      </c>
      <c r="I1925" s="2" t="s">
        <v>31182</v>
      </c>
      <c r="J1925" s="2" t="s">
        <v>31183</v>
      </c>
      <c r="K1925" s="3">
        <v>1.9099999999999999E-6</v>
      </c>
      <c r="L1925" s="2" t="s">
        <v>1178</v>
      </c>
      <c r="M1925" s="4" t="s">
        <v>31184</v>
      </c>
    </row>
    <row r="1926" spans="1:13">
      <c r="A1926" s="2">
        <v>3031</v>
      </c>
      <c r="B1926" s="2" t="s">
        <v>22340</v>
      </c>
      <c r="C1926" s="2">
        <v>18</v>
      </c>
      <c r="D1926" s="2">
        <v>568</v>
      </c>
      <c r="E1926" s="2">
        <v>200</v>
      </c>
      <c r="F1926" s="2">
        <v>32441</v>
      </c>
      <c r="G1926" s="2">
        <v>5.1402992960000002</v>
      </c>
      <c r="H1926" s="3">
        <v>5.2399999999999999E-8</v>
      </c>
      <c r="I1926" s="2" t="s">
        <v>31185</v>
      </c>
      <c r="J1926" s="2" t="s">
        <v>31186</v>
      </c>
      <c r="K1926" s="3">
        <v>1.9099999999999999E-6</v>
      </c>
      <c r="L1926" s="2" t="s">
        <v>1178</v>
      </c>
      <c r="M1926" s="4" t="s">
        <v>22343</v>
      </c>
    </row>
    <row r="1927" spans="1:13">
      <c r="A1927" s="2">
        <v>3125</v>
      </c>
      <c r="B1927" s="2" t="s">
        <v>31187</v>
      </c>
      <c r="C1927" s="2">
        <v>18</v>
      </c>
      <c r="D1927" s="2">
        <v>568</v>
      </c>
      <c r="E1927" s="2">
        <v>199</v>
      </c>
      <c r="F1927" s="2">
        <v>32441</v>
      </c>
      <c r="G1927" s="2">
        <v>5.1661299459999999</v>
      </c>
      <c r="H1927" s="3">
        <v>4.88E-8</v>
      </c>
      <c r="I1927" s="2" t="s">
        <v>31188</v>
      </c>
      <c r="J1927" s="2" t="s">
        <v>31189</v>
      </c>
      <c r="K1927" s="3">
        <v>1.9099999999999999E-6</v>
      </c>
      <c r="L1927" s="2" t="s">
        <v>1178</v>
      </c>
      <c r="M1927" s="4" t="s">
        <v>31190</v>
      </c>
    </row>
    <row r="1928" spans="1:13">
      <c r="A1928" s="2">
        <v>3223</v>
      </c>
      <c r="B1928" s="2" t="s">
        <v>3216</v>
      </c>
      <c r="C1928" s="2">
        <v>18</v>
      </c>
      <c r="D1928" s="2">
        <v>568</v>
      </c>
      <c r="E1928" s="2">
        <v>200</v>
      </c>
      <c r="F1928" s="2">
        <v>32441</v>
      </c>
      <c r="G1928" s="2">
        <v>5.1402992960000002</v>
      </c>
      <c r="H1928" s="3">
        <v>5.2399999999999999E-8</v>
      </c>
      <c r="I1928" s="2" t="s">
        <v>31191</v>
      </c>
      <c r="J1928" s="2" t="s">
        <v>31192</v>
      </c>
      <c r="K1928" s="3">
        <v>1.9099999999999999E-6</v>
      </c>
      <c r="L1928" s="2" t="s">
        <v>1178</v>
      </c>
      <c r="M1928" s="4" t="s">
        <v>3219</v>
      </c>
    </row>
    <row r="1929" spans="1:13">
      <c r="A1929" s="2">
        <v>3298</v>
      </c>
      <c r="B1929" s="2" t="s">
        <v>31193</v>
      </c>
      <c r="C1929" s="2">
        <v>15</v>
      </c>
      <c r="D1929" s="2">
        <v>568</v>
      </c>
      <c r="E1929" s="2">
        <v>134</v>
      </c>
      <c r="F1929" s="2">
        <v>32441</v>
      </c>
      <c r="G1929" s="2">
        <v>6.3934070839999997</v>
      </c>
      <c r="H1929" s="3">
        <v>5.03E-8</v>
      </c>
      <c r="I1929" s="2" t="s">
        <v>31194</v>
      </c>
      <c r="J1929" s="2" t="s">
        <v>31195</v>
      </c>
      <c r="K1929" s="3">
        <v>1.9099999999999999E-6</v>
      </c>
      <c r="L1929" s="2" t="s">
        <v>1178</v>
      </c>
      <c r="M1929" s="4" t="s">
        <v>31196</v>
      </c>
    </row>
    <row r="1930" spans="1:13">
      <c r="A1930" s="2">
        <v>33511</v>
      </c>
      <c r="B1930" s="2" t="s">
        <v>31197</v>
      </c>
      <c r="C1930" s="2">
        <v>18</v>
      </c>
      <c r="D1930" s="2">
        <v>568</v>
      </c>
      <c r="E1930" s="2">
        <v>200</v>
      </c>
      <c r="F1930" s="2">
        <v>32441</v>
      </c>
      <c r="G1930" s="2">
        <v>5.1402992960000002</v>
      </c>
      <c r="H1930" s="3">
        <v>5.2399999999999999E-8</v>
      </c>
      <c r="I1930" s="2" t="s">
        <v>31198</v>
      </c>
      <c r="J1930" s="2" t="s">
        <v>31199</v>
      </c>
      <c r="K1930" s="3">
        <v>1.9099999999999999E-6</v>
      </c>
      <c r="L1930" s="2" t="s">
        <v>1178</v>
      </c>
      <c r="M1930" s="4" t="s">
        <v>31200</v>
      </c>
    </row>
    <row r="1931" spans="1:13">
      <c r="A1931" s="2">
        <v>3514</v>
      </c>
      <c r="B1931" s="2" t="s">
        <v>31201</v>
      </c>
      <c r="C1931" s="2">
        <v>18</v>
      </c>
      <c r="D1931" s="2">
        <v>568</v>
      </c>
      <c r="E1931" s="2">
        <v>200</v>
      </c>
      <c r="F1931" s="2">
        <v>32441</v>
      </c>
      <c r="G1931" s="2">
        <v>5.1402992960000002</v>
      </c>
      <c r="H1931" s="3">
        <v>5.2399999999999999E-8</v>
      </c>
      <c r="I1931" s="2" t="s">
        <v>31202</v>
      </c>
      <c r="J1931" s="2" t="s">
        <v>31203</v>
      </c>
      <c r="K1931" s="3">
        <v>1.9099999999999999E-6</v>
      </c>
      <c r="L1931" s="2" t="s">
        <v>1178</v>
      </c>
      <c r="M1931" s="4" t="s">
        <v>31204</v>
      </c>
    </row>
    <row r="1932" spans="1:13">
      <c r="A1932" s="2">
        <v>3772</v>
      </c>
      <c r="B1932" s="2" t="s">
        <v>22539</v>
      </c>
      <c r="C1932" s="2">
        <v>18</v>
      </c>
      <c r="D1932" s="2">
        <v>568</v>
      </c>
      <c r="E1932" s="2">
        <v>200</v>
      </c>
      <c r="F1932" s="2">
        <v>32441</v>
      </c>
      <c r="G1932" s="2">
        <v>5.1402992960000002</v>
      </c>
      <c r="H1932" s="3">
        <v>5.2399999999999999E-8</v>
      </c>
      <c r="I1932" s="2" t="s">
        <v>31205</v>
      </c>
      <c r="J1932" s="2" t="s">
        <v>31206</v>
      </c>
      <c r="K1932" s="3">
        <v>1.9099999999999999E-6</v>
      </c>
      <c r="L1932" s="2" t="s">
        <v>1178</v>
      </c>
      <c r="M1932" s="4" t="s">
        <v>22542</v>
      </c>
    </row>
    <row r="1933" spans="1:13">
      <c r="A1933" s="2">
        <v>4185</v>
      </c>
      <c r="B1933" s="2" t="s">
        <v>31207</v>
      </c>
      <c r="C1933" s="2">
        <v>18</v>
      </c>
      <c r="D1933" s="2">
        <v>568</v>
      </c>
      <c r="E1933" s="2">
        <v>200</v>
      </c>
      <c r="F1933" s="2">
        <v>32441</v>
      </c>
      <c r="G1933" s="2">
        <v>5.1402992960000002</v>
      </c>
      <c r="H1933" s="3">
        <v>5.2399999999999999E-8</v>
      </c>
      <c r="I1933" s="2" t="s">
        <v>31208</v>
      </c>
      <c r="J1933" s="2" t="s">
        <v>31209</v>
      </c>
      <c r="K1933" s="3">
        <v>1.9099999999999999E-6</v>
      </c>
      <c r="L1933" s="2" t="s">
        <v>1178</v>
      </c>
      <c r="M1933" s="4" t="s">
        <v>31210</v>
      </c>
    </row>
    <row r="1934" spans="1:13">
      <c r="A1934" s="2">
        <v>43371</v>
      </c>
      <c r="B1934" s="2" t="s">
        <v>2700</v>
      </c>
      <c r="C1934" s="2">
        <v>18</v>
      </c>
      <c r="D1934" s="2">
        <v>568</v>
      </c>
      <c r="E1934" s="2">
        <v>200</v>
      </c>
      <c r="F1934" s="2">
        <v>32441</v>
      </c>
      <c r="G1934" s="2">
        <v>5.1402992960000002</v>
      </c>
      <c r="H1934" s="3">
        <v>5.2399999999999999E-8</v>
      </c>
      <c r="I1934" s="2" t="s">
        <v>31211</v>
      </c>
      <c r="J1934" s="2" t="s">
        <v>31212</v>
      </c>
      <c r="K1934" s="3">
        <v>1.9099999999999999E-6</v>
      </c>
      <c r="L1934" s="2" t="s">
        <v>1178</v>
      </c>
      <c r="M1934" s="4" t="s">
        <v>31213</v>
      </c>
    </row>
    <row r="1935" spans="1:13">
      <c r="A1935" s="2">
        <v>4535</v>
      </c>
      <c r="B1935" s="2" t="s">
        <v>21433</v>
      </c>
      <c r="C1935" s="2">
        <v>18</v>
      </c>
      <c r="D1935" s="2">
        <v>568</v>
      </c>
      <c r="E1935" s="2">
        <v>200</v>
      </c>
      <c r="F1935" s="2">
        <v>32441</v>
      </c>
      <c r="G1935" s="2">
        <v>5.1402992960000002</v>
      </c>
      <c r="H1935" s="3">
        <v>5.2399999999999999E-8</v>
      </c>
      <c r="I1935" s="2" t="s">
        <v>31214</v>
      </c>
      <c r="J1935" s="2" t="s">
        <v>31215</v>
      </c>
      <c r="K1935" s="3">
        <v>1.9099999999999999E-6</v>
      </c>
      <c r="L1935" s="2" t="s">
        <v>1178</v>
      </c>
      <c r="M1935" s="4" t="s">
        <v>21436</v>
      </c>
    </row>
    <row r="1936" spans="1:13">
      <c r="A1936" s="2">
        <v>47261</v>
      </c>
      <c r="B1936" s="2" t="s">
        <v>15522</v>
      </c>
      <c r="C1936" s="2">
        <v>18</v>
      </c>
      <c r="D1936" s="2">
        <v>568</v>
      </c>
      <c r="E1936" s="2">
        <v>199</v>
      </c>
      <c r="F1936" s="2">
        <v>32441</v>
      </c>
      <c r="G1936" s="2">
        <v>5.1661299459999999</v>
      </c>
      <c r="H1936" s="3">
        <v>4.88E-8</v>
      </c>
      <c r="I1936" s="2" t="s">
        <v>31216</v>
      </c>
      <c r="J1936" s="2" t="s">
        <v>31217</v>
      </c>
      <c r="K1936" s="3">
        <v>1.9099999999999999E-6</v>
      </c>
      <c r="L1936" s="2" t="s">
        <v>1178</v>
      </c>
      <c r="M1936" s="4" t="s">
        <v>15525</v>
      </c>
    </row>
    <row r="1937" spans="1:13">
      <c r="A1937" s="2">
        <v>4795</v>
      </c>
      <c r="B1937" s="2" t="s">
        <v>31218</v>
      </c>
      <c r="C1937" s="2">
        <v>18</v>
      </c>
      <c r="D1937" s="2">
        <v>568</v>
      </c>
      <c r="E1937" s="2">
        <v>200</v>
      </c>
      <c r="F1937" s="2">
        <v>32441</v>
      </c>
      <c r="G1937" s="2">
        <v>5.1402992960000002</v>
      </c>
      <c r="H1937" s="3">
        <v>5.2399999999999999E-8</v>
      </c>
      <c r="I1937" s="2" t="s">
        <v>31219</v>
      </c>
      <c r="J1937" s="2" t="s">
        <v>31220</v>
      </c>
      <c r="K1937" s="3">
        <v>1.9099999999999999E-6</v>
      </c>
      <c r="L1937" s="2" t="s">
        <v>1178</v>
      </c>
      <c r="M1937" s="4" t="s">
        <v>31221</v>
      </c>
    </row>
    <row r="1938" spans="1:13">
      <c r="A1938" s="2">
        <v>4087</v>
      </c>
      <c r="B1938" s="2" t="s">
        <v>31222</v>
      </c>
      <c r="C1938" s="2">
        <v>17</v>
      </c>
      <c r="D1938" s="2">
        <v>568</v>
      </c>
      <c r="E1938" s="2">
        <v>180</v>
      </c>
      <c r="F1938" s="2">
        <v>32441</v>
      </c>
      <c r="G1938" s="2">
        <v>5.3941412360000003</v>
      </c>
      <c r="H1938" s="3">
        <v>6.4599999999999996E-8</v>
      </c>
      <c r="I1938" s="2" t="s">
        <v>31223</v>
      </c>
      <c r="J1938" s="2" t="s">
        <v>31224</v>
      </c>
      <c r="K1938" s="3">
        <v>2.3300000000000001E-6</v>
      </c>
      <c r="L1938" s="2" t="s">
        <v>1178</v>
      </c>
      <c r="M1938" s="4" t="s">
        <v>31225</v>
      </c>
    </row>
    <row r="1939" spans="1:13">
      <c r="A1939" s="2">
        <v>4172</v>
      </c>
      <c r="B1939" s="2" t="s">
        <v>21607</v>
      </c>
      <c r="C1939" s="2">
        <v>16</v>
      </c>
      <c r="D1939" s="2">
        <v>568</v>
      </c>
      <c r="E1939" s="2">
        <v>161</v>
      </c>
      <c r="F1939" s="2">
        <v>32441</v>
      </c>
      <c r="G1939" s="2">
        <v>5.675968857</v>
      </c>
      <c r="H1939" s="3">
        <v>8.2599999999999998E-8</v>
      </c>
      <c r="I1939" s="2" t="s">
        <v>31226</v>
      </c>
      <c r="J1939" s="2" t="s">
        <v>31227</v>
      </c>
      <c r="K1939" s="3">
        <v>2.96E-6</v>
      </c>
      <c r="L1939" s="2" t="s">
        <v>1178</v>
      </c>
      <c r="M1939" s="4" t="s">
        <v>21610</v>
      </c>
    </row>
    <row r="1940" spans="1:13">
      <c r="A1940" s="2">
        <v>24242</v>
      </c>
      <c r="B1940" s="2" t="s">
        <v>3149</v>
      </c>
      <c r="C1940" s="2">
        <v>16</v>
      </c>
      <c r="D1940" s="2">
        <v>568</v>
      </c>
      <c r="E1940" s="2">
        <v>166</v>
      </c>
      <c r="F1940" s="2">
        <v>32441</v>
      </c>
      <c r="G1940" s="2">
        <v>5.5050059390000001</v>
      </c>
      <c r="H1940" s="3">
        <v>1.2200000000000001E-7</v>
      </c>
      <c r="I1940" s="2" t="s">
        <v>31228</v>
      </c>
      <c r="J1940" s="2" t="s">
        <v>31229</v>
      </c>
      <c r="K1940" s="3">
        <v>4.3200000000000001E-6</v>
      </c>
      <c r="L1940" s="2" t="s">
        <v>1178</v>
      </c>
      <c r="M1940" s="4" t="s">
        <v>3152</v>
      </c>
    </row>
    <row r="1941" spans="1:13">
      <c r="A1941" s="2">
        <v>21691</v>
      </c>
      <c r="B1941" s="2" t="s">
        <v>18491</v>
      </c>
      <c r="C1941" s="2">
        <v>16</v>
      </c>
      <c r="D1941" s="2">
        <v>568</v>
      </c>
      <c r="E1941" s="2">
        <v>168</v>
      </c>
      <c r="F1941" s="2">
        <v>32441</v>
      </c>
      <c r="G1941" s="2">
        <v>5.4394701540000003</v>
      </c>
      <c r="H1941" s="3">
        <v>1.4100000000000001E-7</v>
      </c>
      <c r="I1941" s="2" t="s">
        <v>31230</v>
      </c>
      <c r="J1941" s="2" t="s">
        <v>31231</v>
      </c>
      <c r="K1941" s="3">
        <v>4.9899999999999997E-6</v>
      </c>
      <c r="L1941" s="2" t="s">
        <v>1178</v>
      </c>
      <c r="M1941" s="4" t="s">
        <v>18494</v>
      </c>
    </row>
    <row r="1942" spans="1:13">
      <c r="A1942" s="2">
        <v>44531</v>
      </c>
      <c r="B1942" s="2" t="s">
        <v>31232</v>
      </c>
      <c r="C1942" s="2">
        <v>16</v>
      </c>
      <c r="D1942" s="2">
        <v>568</v>
      </c>
      <c r="E1942" s="2">
        <v>170</v>
      </c>
      <c r="F1942" s="2">
        <v>32441</v>
      </c>
      <c r="G1942" s="2">
        <v>5.375476388</v>
      </c>
      <c r="H1942" s="3">
        <v>1.6400000000000001E-7</v>
      </c>
      <c r="I1942" s="2" t="s">
        <v>31233</v>
      </c>
      <c r="J1942" s="2" t="s">
        <v>31234</v>
      </c>
      <c r="K1942" s="3">
        <v>5.75E-6</v>
      </c>
      <c r="L1942" s="2" t="s">
        <v>1178</v>
      </c>
      <c r="M1942" s="4" t="s">
        <v>31235</v>
      </c>
    </row>
    <row r="1943" spans="1:13">
      <c r="A1943" s="2">
        <v>41021</v>
      </c>
      <c r="B1943" s="2" t="s">
        <v>15077</v>
      </c>
      <c r="C1943" s="2">
        <v>16</v>
      </c>
      <c r="D1943" s="2">
        <v>568</v>
      </c>
      <c r="E1943" s="2">
        <v>171</v>
      </c>
      <c r="F1943" s="2">
        <v>32441</v>
      </c>
      <c r="G1943" s="2">
        <v>5.3440408530000001</v>
      </c>
      <c r="H1943" s="3">
        <v>1.7700000000000001E-7</v>
      </c>
      <c r="I1943" s="2" t="s">
        <v>31236</v>
      </c>
      <c r="J1943" s="2" t="s">
        <v>31237</v>
      </c>
      <c r="K1943" s="3">
        <v>6.1500000000000004E-6</v>
      </c>
      <c r="L1943" s="2" t="s">
        <v>1178</v>
      </c>
      <c r="M1943" s="4" t="s">
        <v>15080</v>
      </c>
    </row>
    <row r="1944" spans="1:13">
      <c r="A1944" s="2">
        <v>1732</v>
      </c>
      <c r="B1944" s="2" t="s">
        <v>15629</v>
      </c>
      <c r="C1944" s="2">
        <v>17</v>
      </c>
      <c r="D1944" s="2">
        <v>568</v>
      </c>
      <c r="E1944" s="2">
        <v>200</v>
      </c>
      <c r="F1944" s="2">
        <v>32441</v>
      </c>
      <c r="G1944" s="2">
        <v>4.854727113</v>
      </c>
      <c r="H1944" s="3">
        <v>2.6100000000000002E-7</v>
      </c>
      <c r="I1944" s="2" t="s">
        <v>31238</v>
      </c>
      <c r="J1944" s="2" t="s">
        <v>31239</v>
      </c>
      <c r="K1944" s="3">
        <v>7.52E-6</v>
      </c>
      <c r="L1944" s="2" t="s">
        <v>1178</v>
      </c>
      <c r="M1944" s="4" t="s">
        <v>15632</v>
      </c>
    </row>
    <row r="1945" spans="1:13">
      <c r="A1945" s="2">
        <v>177</v>
      </c>
      <c r="B1945" s="2" t="s">
        <v>22892</v>
      </c>
      <c r="C1945" s="2">
        <v>17</v>
      </c>
      <c r="D1945" s="2">
        <v>568</v>
      </c>
      <c r="E1945" s="2">
        <v>200</v>
      </c>
      <c r="F1945" s="2">
        <v>32441</v>
      </c>
      <c r="G1945" s="2">
        <v>4.854727113</v>
      </c>
      <c r="H1945" s="3">
        <v>2.6100000000000002E-7</v>
      </c>
      <c r="I1945" s="2" t="s">
        <v>31240</v>
      </c>
      <c r="J1945" s="2" t="s">
        <v>31241</v>
      </c>
      <c r="K1945" s="3">
        <v>7.52E-6</v>
      </c>
      <c r="L1945" s="2" t="s">
        <v>1178</v>
      </c>
      <c r="M1945" s="4" t="s">
        <v>22895</v>
      </c>
    </row>
    <row r="1946" spans="1:13">
      <c r="A1946" s="2">
        <v>2251</v>
      </c>
      <c r="B1946" s="2" t="s">
        <v>31242</v>
      </c>
      <c r="C1946" s="2">
        <v>17</v>
      </c>
      <c r="D1946" s="2">
        <v>568</v>
      </c>
      <c r="E1946" s="2">
        <v>200</v>
      </c>
      <c r="F1946" s="2">
        <v>32441</v>
      </c>
      <c r="G1946" s="2">
        <v>4.854727113</v>
      </c>
      <c r="H1946" s="3">
        <v>2.6100000000000002E-7</v>
      </c>
      <c r="I1946" s="2" t="s">
        <v>31243</v>
      </c>
      <c r="J1946" s="2" t="s">
        <v>31244</v>
      </c>
      <c r="K1946" s="3">
        <v>7.52E-6</v>
      </c>
      <c r="L1946" s="2" t="s">
        <v>1178</v>
      </c>
      <c r="M1946" s="4" t="s">
        <v>31245</v>
      </c>
    </row>
    <row r="1947" spans="1:13">
      <c r="A1947" s="2">
        <v>2601</v>
      </c>
      <c r="B1947" s="2" t="s">
        <v>21703</v>
      </c>
      <c r="C1947" s="2">
        <v>17</v>
      </c>
      <c r="D1947" s="2">
        <v>568</v>
      </c>
      <c r="E1947" s="2">
        <v>200</v>
      </c>
      <c r="F1947" s="2">
        <v>32441</v>
      </c>
      <c r="G1947" s="2">
        <v>4.854727113</v>
      </c>
      <c r="H1947" s="3">
        <v>2.6100000000000002E-7</v>
      </c>
      <c r="I1947" s="2" t="s">
        <v>31246</v>
      </c>
      <c r="J1947" s="2" t="s">
        <v>31247</v>
      </c>
      <c r="K1947" s="3">
        <v>7.52E-6</v>
      </c>
      <c r="L1947" s="2" t="s">
        <v>1178</v>
      </c>
      <c r="M1947" s="4" t="s">
        <v>21706</v>
      </c>
    </row>
    <row r="1948" spans="1:13">
      <c r="A1948" s="2">
        <v>3443</v>
      </c>
      <c r="B1948" s="2" t="s">
        <v>18525</v>
      </c>
      <c r="C1948" s="2">
        <v>17</v>
      </c>
      <c r="D1948" s="2">
        <v>568</v>
      </c>
      <c r="E1948" s="2">
        <v>200</v>
      </c>
      <c r="F1948" s="2">
        <v>32441</v>
      </c>
      <c r="G1948" s="2">
        <v>4.854727113</v>
      </c>
      <c r="H1948" s="3">
        <v>2.6100000000000002E-7</v>
      </c>
      <c r="I1948" s="2" t="s">
        <v>31248</v>
      </c>
      <c r="J1948" s="2" t="s">
        <v>31249</v>
      </c>
      <c r="K1948" s="3">
        <v>7.52E-6</v>
      </c>
      <c r="L1948" s="2" t="s">
        <v>1178</v>
      </c>
      <c r="M1948" s="4" t="s">
        <v>18528</v>
      </c>
    </row>
    <row r="1949" spans="1:13">
      <c r="A1949" s="2">
        <v>6461</v>
      </c>
      <c r="B1949" s="2" t="s">
        <v>20592</v>
      </c>
      <c r="C1949" s="2">
        <v>17</v>
      </c>
      <c r="D1949" s="2">
        <v>568</v>
      </c>
      <c r="E1949" s="2">
        <v>200</v>
      </c>
      <c r="F1949" s="2">
        <v>32441</v>
      </c>
      <c r="G1949" s="2">
        <v>4.854727113</v>
      </c>
      <c r="H1949" s="3">
        <v>2.6100000000000002E-7</v>
      </c>
      <c r="I1949" s="2" t="s">
        <v>31250</v>
      </c>
      <c r="J1949" s="2" t="s">
        <v>31251</v>
      </c>
      <c r="K1949" s="3">
        <v>7.52E-6</v>
      </c>
      <c r="L1949" s="2" t="s">
        <v>1178</v>
      </c>
      <c r="M1949" s="4" t="s">
        <v>20595</v>
      </c>
    </row>
    <row r="1950" spans="1:13">
      <c r="A1950" s="2">
        <v>875</v>
      </c>
      <c r="B1950" s="2" t="s">
        <v>31252</v>
      </c>
      <c r="C1950" s="2">
        <v>17</v>
      </c>
      <c r="D1950" s="2">
        <v>568</v>
      </c>
      <c r="E1950" s="2">
        <v>200</v>
      </c>
      <c r="F1950" s="2">
        <v>32441</v>
      </c>
      <c r="G1950" s="2">
        <v>4.854727113</v>
      </c>
      <c r="H1950" s="3">
        <v>2.6100000000000002E-7</v>
      </c>
      <c r="I1950" s="2" t="s">
        <v>31253</v>
      </c>
      <c r="J1950" s="2" t="s">
        <v>31254</v>
      </c>
      <c r="K1950" s="3">
        <v>7.52E-6</v>
      </c>
      <c r="L1950" s="2" t="s">
        <v>1178</v>
      </c>
      <c r="M1950" s="4" t="s">
        <v>31255</v>
      </c>
    </row>
    <row r="1951" spans="1:13">
      <c r="A1951" s="2">
        <v>948</v>
      </c>
      <c r="B1951" s="2" t="s">
        <v>16383</v>
      </c>
      <c r="C1951" s="2">
        <v>17</v>
      </c>
      <c r="D1951" s="2">
        <v>568</v>
      </c>
      <c r="E1951" s="2">
        <v>200</v>
      </c>
      <c r="F1951" s="2">
        <v>32441</v>
      </c>
      <c r="G1951" s="2">
        <v>4.854727113</v>
      </c>
      <c r="H1951" s="3">
        <v>2.6100000000000002E-7</v>
      </c>
      <c r="I1951" s="2" t="s">
        <v>31256</v>
      </c>
      <c r="J1951" s="2" t="s">
        <v>31257</v>
      </c>
      <c r="K1951" s="3">
        <v>7.52E-6</v>
      </c>
      <c r="L1951" s="2" t="s">
        <v>1178</v>
      </c>
      <c r="M1951" s="4" t="s">
        <v>16386</v>
      </c>
    </row>
    <row r="1952" spans="1:13">
      <c r="A1952" s="2">
        <v>11481</v>
      </c>
      <c r="B1952" s="2" t="s">
        <v>16420</v>
      </c>
      <c r="C1952" s="2">
        <v>17</v>
      </c>
      <c r="D1952" s="2">
        <v>568</v>
      </c>
      <c r="E1952" s="2">
        <v>200</v>
      </c>
      <c r="F1952" s="2">
        <v>32441</v>
      </c>
      <c r="G1952" s="2">
        <v>4.854727113</v>
      </c>
      <c r="H1952" s="3">
        <v>2.6100000000000002E-7</v>
      </c>
      <c r="I1952" s="2" t="s">
        <v>31258</v>
      </c>
      <c r="J1952" s="2" t="s">
        <v>31259</v>
      </c>
      <c r="K1952" s="3">
        <v>7.52E-6</v>
      </c>
      <c r="L1952" s="2" t="s">
        <v>1178</v>
      </c>
      <c r="M1952" s="4" t="s">
        <v>16423</v>
      </c>
    </row>
    <row r="1953" spans="1:13">
      <c r="A1953" s="2">
        <v>12611</v>
      </c>
      <c r="B1953" s="2" t="s">
        <v>31260</v>
      </c>
      <c r="C1953" s="2">
        <v>17</v>
      </c>
      <c r="D1953" s="2">
        <v>568</v>
      </c>
      <c r="E1953" s="2">
        <v>200</v>
      </c>
      <c r="F1953" s="2">
        <v>32441</v>
      </c>
      <c r="G1953" s="2">
        <v>4.854727113</v>
      </c>
      <c r="H1953" s="3">
        <v>2.6100000000000002E-7</v>
      </c>
      <c r="I1953" s="2" t="s">
        <v>31261</v>
      </c>
      <c r="J1953" s="2" t="s">
        <v>31262</v>
      </c>
      <c r="K1953" s="3">
        <v>7.52E-6</v>
      </c>
      <c r="L1953" s="2" t="s">
        <v>1178</v>
      </c>
      <c r="M1953" s="4" t="s">
        <v>31263</v>
      </c>
    </row>
    <row r="1954" spans="1:13">
      <c r="A1954" s="2">
        <v>17251</v>
      </c>
      <c r="B1954" s="2" t="s">
        <v>31264</v>
      </c>
      <c r="C1954" s="2">
        <v>17</v>
      </c>
      <c r="D1954" s="2">
        <v>568</v>
      </c>
      <c r="E1954" s="2">
        <v>200</v>
      </c>
      <c r="F1954" s="2">
        <v>32441</v>
      </c>
      <c r="G1954" s="2">
        <v>4.854727113</v>
      </c>
      <c r="H1954" s="3">
        <v>2.6100000000000002E-7</v>
      </c>
      <c r="I1954" s="2" t="s">
        <v>31265</v>
      </c>
      <c r="J1954" s="2" t="s">
        <v>31266</v>
      </c>
      <c r="K1954" s="3">
        <v>7.52E-6</v>
      </c>
      <c r="L1954" s="2" t="s">
        <v>1178</v>
      </c>
      <c r="M1954" s="4" t="s">
        <v>31267</v>
      </c>
    </row>
    <row r="1955" spans="1:13">
      <c r="A1955" s="2">
        <v>1846</v>
      </c>
      <c r="B1955" s="2" t="s">
        <v>22108</v>
      </c>
      <c r="C1955" s="2">
        <v>17</v>
      </c>
      <c r="D1955" s="2">
        <v>568</v>
      </c>
      <c r="E1955" s="2">
        <v>200</v>
      </c>
      <c r="F1955" s="2">
        <v>32441</v>
      </c>
      <c r="G1955" s="2">
        <v>4.854727113</v>
      </c>
      <c r="H1955" s="3">
        <v>2.6100000000000002E-7</v>
      </c>
      <c r="I1955" s="2" t="s">
        <v>31268</v>
      </c>
      <c r="J1955" s="2" t="s">
        <v>31269</v>
      </c>
      <c r="K1955" s="3">
        <v>7.52E-6</v>
      </c>
      <c r="L1955" s="2" t="s">
        <v>1178</v>
      </c>
      <c r="M1955" s="4" t="s">
        <v>22111</v>
      </c>
    </row>
    <row r="1956" spans="1:13">
      <c r="A1956" s="2">
        <v>1915</v>
      </c>
      <c r="B1956" s="2" t="s">
        <v>3420</v>
      </c>
      <c r="C1956" s="2">
        <v>17</v>
      </c>
      <c r="D1956" s="2">
        <v>568</v>
      </c>
      <c r="E1956" s="2">
        <v>200</v>
      </c>
      <c r="F1956" s="2">
        <v>32441</v>
      </c>
      <c r="G1956" s="2">
        <v>4.854727113</v>
      </c>
      <c r="H1956" s="3">
        <v>2.6100000000000002E-7</v>
      </c>
      <c r="I1956" s="2" t="s">
        <v>31270</v>
      </c>
      <c r="J1956" s="2" t="s">
        <v>31271</v>
      </c>
      <c r="K1956" s="3">
        <v>7.52E-6</v>
      </c>
      <c r="L1956" s="2" t="s">
        <v>1178</v>
      </c>
      <c r="M1956" s="4" t="s">
        <v>3423</v>
      </c>
    </row>
    <row r="1957" spans="1:13">
      <c r="A1957" s="2">
        <v>1929</v>
      </c>
      <c r="B1957" s="2" t="s">
        <v>31272</v>
      </c>
      <c r="C1957" s="2">
        <v>17</v>
      </c>
      <c r="D1957" s="2">
        <v>568</v>
      </c>
      <c r="E1957" s="2">
        <v>200</v>
      </c>
      <c r="F1957" s="2">
        <v>32441</v>
      </c>
      <c r="G1957" s="2">
        <v>4.854727113</v>
      </c>
      <c r="H1957" s="3">
        <v>2.6100000000000002E-7</v>
      </c>
      <c r="I1957" s="2" t="s">
        <v>31273</v>
      </c>
      <c r="J1957" s="2" t="s">
        <v>31274</v>
      </c>
      <c r="K1957" s="3">
        <v>7.52E-6</v>
      </c>
      <c r="L1957" s="2" t="s">
        <v>1178</v>
      </c>
      <c r="M1957" s="4" t="s">
        <v>31275</v>
      </c>
    </row>
    <row r="1958" spans="1:13">
      <c r="A1958" s="2">
        <v>1964</v>
      </c>
      <c r="B1958" s="2" t="s">
        <v>31276</v>
      </c>
      <c r="C1958" s="2">
        <v>17</v>
      </c>
      <c r="D1958" s="2">
        <v>568</v>
      </c>
      <c r="E1958" s="2">
        <v>200</v>
      </c>
      <c r="F1958" s="2">
        <v>32441</v>
      </c>
      <c r="G1958" s="2">
        <v>4.854727113</v>
      </c>
      <c r="H1958" s="3">
        <v>2.6100000000000002E-7</v>
      </c>
      <c r="I1958" s="2" t="s">
        <v>31277</v>
      </c>
      <c r="J1958" s="2" t="s">
        <v>31278</v>
      </c>
      <c r="K1958" s="3">
        <v>7.52E-6</v>
      </c>
      <c r="L1958" s="2" t="s">
        <v>1178</v>
      </c>
      <c r="M1958" s="4" t="s">
        <v>31279</v>
      </c>
    </row>
    <row r="1959" spans="1:13">
      <c r="A1959" s="2">
        <v>19911</v>
      </c>
      <c r="B1959" s="2" t="s">
        <v>31280</v>
      </c>
      <c r="C1959" s="2">
        <v>17</v>
      </c>
      <c r="D1959" s="2">
        <v>568</v>
      </c>
      <c r="E1959" s="2">
        <v>199</v>
      </c>
      <c r="F1959" s="2">
        <v>32441</v>
      </c>
      <c r="G1959" s="2">
        <v>4.8791227260000003</v>
      </c>
      <c r="H1959" s="3">
        <v>2.4400000000000001E-7</v>
      </c>
      <c r="I1959" s="2" t="s">
        <v>31281</v>
      </c>
      <c r="J1959" s="2" t="s">
        <v>31282</v>
      </c>
      <c r="K1959" s="3">
        <v>7.52E-6</v>
      </c>
      <c r="L1959" s="2" t="s">
        <v>1178</v>
      </c>
      <c r="M1959" s="4" t="s">
        <v>31283</v>
      </c>
    </row>
    <row r="1960" spans="1:13">
      <c r="A1960" s="2">
        <v>2052</v>
      </c>
      <c r="B1960" s="2" t="s">
        <v>31284</v>
      </c>
      <c r="C1960" s="2">
        <v>17</v>
      </c>
      <c r="D1960" s="2">
        <v>568</v>
      </c>
      <c r="E1960" s="2">
        <v>200</v>
      </c>
      <c r="F1960" s="2">
        <v>32441</v>
      </c>
      <c r="G1960" s="2">
        <v>4.854727113</v>
      </c>
      <c r="H1960" s="3">
        <v>2.6100000000000002E-7</v>
      </c>
      <c r="I1960" s="2" t="s">
        <v>31285</v>
      </c>
      <c r="J1960" s="2" t="s">
        <v>31286</v>
      </c>
      <c r="K1960" s="3">
        <v>7.52E-6</v>
      </c>
      <c r="L1960" s="2" t="s">
        <v>1178</v>
      </c>
      <c r="M1960" s="4" t="s">
        <v>31287</v>
      </c>
    </row>
    <row r="1961" spans="1:13">
      <c r="A1961" s="2">
        <v>2361</v>
      </c>
      <c r="B1961" s="2" t="s">
        <v>17305</v>
      </c>
      <c r="C1961" s="2">
        <v>17</v>
      </c>
      <c r="D1961" s="2">
        <v>568</v>
      </c>
      <c r="E1961" s="2">
        <v>200</v>
      </c>
      <c r="F1961" s="2">
        <v>32441</v>
      </c>
      <c r="G1961" s="2">
        <v>4.854727113</v>
      </c>
      <c r="H1961" s="3">
        <v>2.6100000000000002E-7</v>
      </c>
      <c r="I1961" s="2" t="s">
        <v>31288</v>
      </c>
      <c r="J1961" s="2" t="s">
        <v>31289</v>
      </c>
      <c r="K1961" s="3">
        <v>7.52E-6</v>
      </c>
      <c r="L1961" s="2" t="s">
        <v>1178</v>
      </c>
      <c r="M1961" s="4" t="s">
        <v>17308</v>
      </c>
    </row>
    <row r="1962" spans="1:13">
      <c r="A1962" s="2">
        <v>2618</v>
      </c>
      <c r="B1962" s="2" t="s">
        <v>31290</v>
      </c>
      <c r="C1962" s="2">
        <v>17</v>
      </c>
      <c r="D1962" s="2">
        <v>568</v>
      </c>
      <c r="E1962" s="2">
        <v>200</v>
      </c>
      <c r="F1962" s="2">
        <v>32441</v>
      </c>
      <c r="G1962" s="2">
        <v>4.854727113</v>
      </c>
      <c r="H1962" s="3">
        <v>2.6100000000000002E-7</v>
      </c>
      <c r="I1962" s="2" t="s">
        <v>31291</v>
      </c>
      <c r="J1962" s="2" t="s">
        <v>31292</v>
      </c>
      <c r="K1962" s="3">
        <v>7.52E-6</v>
      </c>
      <c r="L1962" s="2" t="s">
        <v>1178</v>
      </c>
      <c r="M1962" s="4" t="s">
        <v>31293</v>
      </c>
    </row>
    <row r="1963" spans="1:13">
      <c r="A1963" s="2">
        <v>2783</v>
      </c>
      <c r="B1963" s="2" t="s">
        <v>15938</v>
      </c>
      <c r="C1963" s="2">
        <v>16</v>
      </c>
      <c r="D1963" s="2">
        <v>568</v>
      </c>
      <c r="E1963" s="2">
        <v>174</v>
      </c>
      <c r="F1963" s="2">
        <v>32441</v>
      </c>
      <c r="G1963" s="2">
        <v>5.2519022179999997</v>
      </c>
      <c r="H1963" s="3">
        <v>2.2000000000000001E-7</v>
      </c>
      <c r="I1963" s="2" t="s">
        <v>31294</v>
      </c>
      <c r="J1963" s="2" t="s">
        <v>31295</v>
      </c>
      <c r="K1963" s="3">
        <v>7.52E-6</v>
      </c>
      <c r="L1963" s="2" t="s">
        <v>1178</v>
      </c>
      <c r="M1963" s="4" t="s">
        <v>15941</v>
      </c>
    </row>
    <row r="1964" spans="1:13">
      <c r="A1964" s="2">
        <v>2881</v>
      </c>
      <c r="B1964" s="2" t="s">
        <v>31296</v>
      </c>
      <c r="C1964" s="2">
        <v>17</v>
      </c>
      <c r="D1964" s="2">
        <v>568</v>
      </c>
      <c r="E1964" s="2">
        <v>200</v>
      </c>
      <c r="F1964" s="2">
        <v>32441</v>
      </c>
      <c r="G1964" s="2">
        <v>4.854727113</v>
      </c>
      <c r="H1964" s="3">
        <v>2.6100000000000002E-7</v>
      </c>
      <c r="I1964" s="2" t="s">
        <v>31297</v>
      </c>
      <c r="J1964" s="2" t="s">
        <v>31298</v>
      </c>
      <c r="K1964" s="3">
        <v>7.52E-6</v>
      </c>
      <c r="L1964" s="2" t="s">
        <v>1178</v>
      </c>
      <c r="M1964" s="4" t="s">
        <v>31299</v>
      </c>
    </row>
    <row r="1965" spans="1:13">
      <c r="A1965" s="2">
        <v>3027</v>
      </c>
      <c r="B1965" s="2" t="s">
        <v>31300</v>
      </c>
      <c r="C1965" s="2">
        <v>17</v>
      </c>
      <c r="D1965" s="2">
        <v>568</v>
      </c>
      <c r="E1965" s="2">
        <v>200</v>
      </c>
      <c r="F1965" s="2">
        <v>32441</v>
      </c>
      <c r="G1965" s="2">
        <v>4.854727113</v>
      </c>
      <c r="H1965" s="3">
        <v>2.6100000000000002E-7</v>
      </c>
      <c r="I1965" s="2" t="s">
        <v>31301</v>
      </c>
      <c r="J1965" s="2" t="s">
        <v>31302</v>
      </c>
      <c r="K1965" s="3">
        <v>7.52E-6</v>
      </c>
      <c r="L1965" s="2" t="s">
        <v>1178</v>
      </c>
      <c r="M1965" s="4" t="s">
        <v>31303</v>
      </c>
    </row>
    <row r="1966" spans="1:13">
      <c r="A1966" s="2">
        <v>3083</v>
      </c>
      <c r="B1966" s="2" t="s">
        <v>31304</v>
      </c>
      <c r="C1966" s="2">
        <v>17</v>
      </c>
      <c r="D1966" s="2">
        <v>568</v>
      </c>
      <c r="E1966" s="2">
        <v>200</v>
      </c>
      <c r="F1966" s="2">
        <v>32441</v>
      </c>
      <c r="G1966" s="2">
        <v>4.854727113</v>
      </c>
      <c r="H1966" s="3">
        <v>2.6100000000000002E-7</v>
      </c>
      <c r="I1966" s="2" t="s">
        <v>31305</v>
      </c>
      <c r="J1966" s="2" t="s">
        <v>31306</v>
      </c>
      <c r="K1966" s="3">
        <v>7.52E-6</v>
      </c>
      <c r="L1966" s="2" t="s">
        <v>1178</v>
      </c>
      <c r="M1966" s="4" t="s">
        <v>31307</v>
      </c>
    </row>
    <row r="1967" spans="1:13">
      <c r="A1967" s="2">
        <v>32911</v>
      </c>
      <c r="B1967" s="2" t="s">
        <v>31308</v>
      </c>
      <c r="C1967" s="2">
        <v>17</v>
      </c>
      <c r="D1967" s="2">
        <v>568</v>
      </c>
      <c r="E1967" s="2">
        <v>200</v>
      </c>
      <c r="F1967" s="2">
        <v>32441</v>
      </c>
      <c r="G1967" s="2">
        <v>4.854727113</v>
      </c>
      <c r="H1967" s="3">
        <v>2.6100000000000002E-7</v>
      </c>
      <c r="I1967" s="2" t="s">
        <v>31309</v>
      </c>
      <c r="J1967" s="2" t="s">
        <v>31310</v>
      </c>
      <c r="K1967" s="3">
        <v>7.52E-6</v>
      </c>
      <c r="L1967" s="2" t="s">
        <v>1178</v>
      </c>
      <c r="M1967" s="4" t="s">
        <v>31311</v>
      </c>
    </row>
    <row r="1968" spans="1:13">
      <c r="A1968" s="2">
        <v>3499</v>
      </c>
      <c r="B1968" s="2" t="s">
        <v>1605</v>
      </c>
      <c r="C1968" s="2">
        <v>17</v>
      </c>
      <c r="D1968" s="2">
        <v>568</v>
      </c>
      <c r="E1968" s="2">
        <v>198</v>
      </c>
      <c r="F1968" s="2">
        <v>32441</v>
      </c>
      <c r="G1968" s="2">
        <v>4.9037647599999996</v>
      </c>
      <c r="H1968" s="3">
        <v>2.28E-7</v>
      </c>
      <c r="I1968" s="2" t="s">
        <v>31312</v>
      </c>
      <c r="J1968" s="2" t="s">
        <v>31313</v>
      </c>
      <c r="K1968" s="3">
        <v>7.52E-6</v>
      </c>
      <c r="L1968" s="2" t="s">
        <v>1178</v>
      </c>
      <c r="M1968" s="4" t="s">
        <v>31314</v>
      </c>
    </row>
    <row r="1969" spans="1:13">
      <c r="A1969" s="2">
        <v>4345</v>
      </c>
      <c r="B1969" s="2" t="s">
        <v>31315</v>
      </c>
      <c r="C1969" s="2">
        <v>17</v>
      </c>
      <c r="D1969" s="2">
        <v>568</v>
      </c>
      <c r="E1969" s="2">
        <v>200</v>
      </c>
      <c r="F1969" s="2">
        <v>32441</v>
      </c>
      <c r="G1969" s="2">
        <v>4.854727113</v>
      </c>
      <c r="H1969" s="3">
        <v>2.6100000000000002E-7</v>
      </c>
      <c r="I1969" s="2" t="s">
        <v>31316</v>
      </c>
      <c r="J1969" s="2" t="s">
        <v>31317</v>
      </c>
      <c r="K1969" s="3">
        <v>7.52E-6</v>
      </c>
      <c r="L1969" s="2" t="s">
        <v>1178</v>
      </c>
      <c r="M1969" s="4" t="s">
        <v>31318</v>
      </c>
    </row>
    <row r="1970" spans="1:13">
      <c r="A1970" s="2">
        <v>4404</v>
      </c>
      <c r="B1970" s="2" t="s">
        <v>31319</v>
      </c>
      <c r="C1970" s="2">
        <v>17</v>
      </c>
      <c r="D1970" s="2">
        <v>568</v>
      </c>
      <c r="E1970" s="2">
        <v>200</v>
      </c>
      <c r="F1970" s="2">
        <v>32441</v>
      </c>
      <c r="G1970" s="2">
        <v>4.854727113</v>
      </c>
      <c r="H1970" s="3">
        <v>2.6100000000000002E-7</v>
      </c>
      <c r="I1970" s="2" t="s">
        <v>31320</v>
      </c>
      <c r="J1970" s="2" t="s">
        <v>31321</v>
      </c>
      <c r="K1970" s="3">
        <v>7.52E-6</v>
      </c>
      <c r="L1970" s="2" t="s">
        <v>1178</v>
      </c>
      <c r="M1970" s="4" t="s">
        <v>31322</v>
      </c>
    </row>
    <row r="1971" spans="1:13">
      <c r="A1971" s="2">
        <v>4479</v>
      </c>
      <c r="B1971" s="2" t="s">
        <v>16133</v>
      </c>
      <c r="C1971" s="2">
        <v>17</v>
      </c>
      <c r="D1971" s="2">
        <v>568</v>
      </c>
      <c r="E1971" s="2">
        <v>200</v>
      </c>
      <c r="F1971" s="2">
        <v>32441</v>
      </c>
      <c r="G1971" s="2">
        <v>4.854727113</v>
      </c>
      <c r="H1971" s="3">
        <v>2.6100000000000002E-7</v>
      </c>
      <c r="I1971" s="2" t="s">
        <v>31323</v>
      </c>
      <c r="J1971" s="2" t="s">
        <v>31324</v>
      </c>
      <c r="K1971" s="3">
        <v>7.52E-6</v>
      </c>
      <c r="L1971" s="2" t="s">
        <v>1178</v>
      </c>
      <c r="M1971" s="4" t="s">
        <v>16136</v>
      </c>
    </row>
    <row r="1972" spans="1:13">
      <c r="A1972" s="2">
        <v>4843</v>
      </c>
      <c r="B1972" s="2" t="s">
        <v>31325</v>
      </c>
      <c r="C1972" s="2">
        <v>17</v>
      </c>
      <c r="D1972" s="2">
        <v>568</v>
      </c>
      <c r="E1972" s="2">
        <v>200</v>
      </c>
      <c r="F1972" s="2">
        <v>32441</v>
      </c>
      <c r="G1972" s="2">
        <v>4.854727113</v>
      </c>
      <c r="H1972" s="3">
        <v>2.6100000000000002E-7</v>
      </c>
      <c r="I1972" s="2" t="s">
        <v>31326</v>
      </c>
      <c r="J1972" s="2" t="s">
        <v>31327</v>
      </c>
      <c r="K1972" s="3">
        <v>7.52E-6</v>
      </c>
      <c r="L1972" s="2" t="s">
        <v>1178</v>
      </c>
      <c r="M1972" s="4" t="s">
        <v>31328</v>
      </c>
    </row>
    <row r="1973" spans="1:13">
      <c r="A1973" s="2">
        <v>4029</v>
      </c>
      <c r="B1973" s="2" t="s">
        <v>31329</v>
      </c>
      <c r="C1973" s="2">
        <v>16</v>
      </c>
      <c r="D1973" s="2">
        <v>568</v>
      </c>
      <c r="E1973" s="2">
        <v>179</v>
      </c>
      <c r="F1973" s="2">
        <v>32441</v>
      </c>
      <c r="G1973" s="2">
        <v>5.1052010389999998</v>
      </c>
      <c r="H1973" s="3">
        <v>3.1300000000000001E-7</v>
      </c>
      <c r="I1973" s="2" t="s">
        <v>31330</v>
      </c>
      <c r="J1973" s="2" t="s">
        <v>31331</v>
      </c>
      <c r="K1973" s="3">
        <v>8.9700000000000005E-6</v>
      </c>
      <c r="L1973" s="2" t="s">
        <v>1178</v>
      </c>
      <c r="M1973" s="4" t="s">
        <v>31332</v>
      </c>
    </row>
    <row r="1974" spans="1:13">
      <c r="A1974" s="2">
        <v>25381</v>
      </c>
      <c r="B1974" s="2" t="s">
        <v>21568</v>
      </c>
      <c r="C1974" s="2">
        <v>15</v>
      </c>
      <c r="D1974" s="2">
        <v>568</v>
      </c>
      <c r="E1974" s="2">
        <v>157</v>
      </c>
      <c r="F1974" s="2">
        <v>32441</v>
      </c>
      <c r="G1974" s="2">
        <v>5.456793308</v>
      </c>
      <c r="H1974" s="3">
        <v>3.34E-7</v>
      </c>
      <c r="I1974" s="2" t="s">
        <v>31333</v>
      </c>
      <c r="J1974" s="2" t="s">
        <v>31334</v>
      </c>
      <c r="K1974" s="3">
        <v>9.5000000000000005E-6</v>
      </c>
      <c r="L1974" s="2" t="s">
        <v>1178</v>
      </c>
      <c r="M1974" s="4" t="s">
        <v>21571</v>
      </c>
    </row>
    <row r="1975" spans="1:13">
      <c r="A1975" s="2">
        <v>39291</v>
      </c>
      <c r="B1975" s="2" t="s">
        <v>19330</v>
      </c>
      <c r="C1975" s="2">
        <v>16</v>
      </c>
      <c r="D1975" s="2">
        <v>568</v>
      </c>
      <c r="E1975" s="2">
        <v>181</v>
      </c>
      <c r="F1975" s="2">
        <v>32441</v>
      </c>
      <c r="G1975" s="2">
        <v>5.0487899770000002</v>
      </c>
      <c r="H1975" s="3">
        <v>3.5900000000000003E-7</v>
      </c>
      <c r="I1975" s="2" t="s">
        <v>31335</v>
      </c>
      <c r="J1975" s="2" t="s">
        <v>31336</v>
      </c>
      <c r="K1975" s="3">
        <v>1.0200000000000001E-5</v>
      </c>
      <c r="L1975" s="2" t="s">
        <v>1178</v>
      </c>
      <c r="M1975" s="4" t="s">
        <v>19333</v>
      </c>
    </row>
    <row r="1976" spans="1:13">
      <c r="A1976" s="2">
        <v>21751</v>
      </c>
      <c r="B1976" s="2" t="s">
        <v>1221</v>
      </c>
      <c r="C1976" s="2">
        <v>15</v>
      </c>
      <c r="D1976" s="2">
        <v>568</v>
      </c>
      <c r="E1976" s="2">
        <v>162</v>
      </c>
      <c r="F1976" s="2">
        <v>32441</v>
      </c>
      <c r="G1976" s="2">
        <v>5.2883737609999999</v>
      </c>
      <c r="H1976" s="3">
        <v>4.8299999999999997E-7</v>
      </c>
      <c r="I1976" s="2" t="s">
        <v>31337</v>
      </c>
      <c r="J1976" s="2" t="s">
        <v>31338</v>
      </c>
      <c r="K1976" s="3">
        <v>1.36E-5</v>
      </c>
      <c r="L1976" s="2" t="s">
        <v>1178</v>
      </c>
      <c r="M1976" s="4" t="s">
        <v>22200</v>
      </c>
    </row>
    <row r="1977" spans="1:13">
      <c r="A1977" s="2">
        <v>2831</v>
      </c>
      <c r="B1977" s="2" t="s">
        <v>16222</v>
      </c>
      <c r="C1977" s="2">
        <v>15</v>
      </c>
      <c r="D1977" s="2">
        <v>568</v>
      </c>
      <c r="E1977" s="2">
        <v>166</v>
      </c>
      <c r="F1977" s="2">
        <v>32441</v>
      </c>
      <c r="G1977" s="2">
        <v>5.1609430679999999</v>
      </c>
      <c r="H1977" s="3">
        <v>6.4300000000000003E-7</v>
      </c>
      <c r="I1977" s="2" t="s">
        <v>31339</v>
      </c>
      <c r="J1977" s="2" t="s">
        <v>31340</v>
      </c>
      <c r="K1977" s="3">
        <v>1.8E-5</v>
      </c>
      <c r="L1977" s="2" t="s">
        <v>1178</v>
      </c>
      <c r="M1977" s="4" t="s">
        <v>16225</v>
      </c>
    </row>
    <row r="1978" spans="1:13">
      <c r="A1978" s="2">
        <v>1071</v>
      </c>
      <c r="B1978" s="2" t="s">
        <v>18495</v>
      </c>
      <c r="C1978" s="2">
        <v>16</v>
      </c>
      <c r="D1978" s="2">
        <v>568</v>
      </c>
      <c r="E1978" s="2">
        <v>200</v>
      </c>
      <c r="F1978" s="2">
        <v>32441</v>
      </c>
      <c r="G1978" s="2">
        <v>4.5691549299999998</v>
      </c>
      <c r="H1978" s="3">
        <v>1.2300000000000001E-6</v>
      </c>
      <c r="I1978" s="2" t="s">
        <v>31341</v>
      </c>
      <c r="J1978" s="2" t="s">
        <v>31342</v>
      </c>
      <c r="K1978" s="3">
        <v>2.8E-5</v>
      </c>
      <c r="L1978" s="2" t="s">
        <v>1178</v>
      </c>
      <c r="M1978" s="4" t="s">
        <v>18498</v>
      </c>
    </row>
    <row r="1979" spans="1:13">
      <c r="A1979" s="2">
        <v>2635</v>
      </c>
      <c r="B1979" s="2" t="s">
        <v>31343</v>
      </c>
      <c r="C1979" s="2">
        <v>16</v>
      </c>
      <c r="D1979" s="2">
        <v>568</v>
      </c>
      <c r="E1979" s="2">
        <v>200</v>
      </c>
      <c r="F1979" s="2">
        <v>32441</v>
      </c>
      <c r="G1979" s="2">
        <v>4.5691549299999998</v>
      </c>
      <c r="H1979" s="3">
        <v>1.2300000000000001E-6</v>
      </c>
      <c r="I1979" s="2" t="s">
        <v>31344</v>
      </c>
      <c r="J1979" s="2" t="s">
        <v>31345</v>
      </c>
      <c r="K1979" s="3">
        <v>2.8E-5</v>
      </c>
      <c r="L1979" s="2" t="s">
        <v>1178</v>
      </c>
      <c r="M1979" s="4" t="s">
        <v>31346</v>
      </c>
    </row>
    <row r="1980" spans="1:13">
      <c r="A1980" s="2">
        <v>348</v>
      </c>
      <c r="B1980" s="2" t="s">
        <v>31347</v>
      </c>
      <c r="C1980" s="2">
        <v>16</v>
      </c>
      <c r="D1980" s="2">
        <v>568</v>
      </c>
      <c r="E1980" s="2">
        <v>200</v>
      </c>
      <c r="F1980" s="2">
        <v>32441</v>
      </c>
      <c r="G1980" s="2">
        <v>4.5691549299999998</v>
      </c>
      <c r="H1980" s="3">
        <v>1.2300000000000001E-6</v>
      </c>
      <c r="I1980" s="2" t="s">
        <v>31348</v>
      </c>
      <c r="J1980" s="2" t="s">
        <v>31349</v>
      </c>
      <c r="K1980" s="3">
        <v>2.8E-5</v>
      </c>
      <c r="L1980" s="2" t="s">
        <v>1178</v>
      </c>
      <c r="M1980" s="4" t="s">
        <v>31350</v>
      </c>
    </row>
    <row r="1981" spans="1:13">
      <c r="A1981" s="2">
        <v>3901</v>
      </c>
      <c r="B1981" s="2" t="s">
        <v>18541</v>
      </c>
      <c r="C1981" s="2">
        <v>16</v>
      </c>
      <c r="D1981" s="2">
        <v>568</v>
      </c>
      <c r="E1981" s="2">
        <v>200</v>
      </c>
      <c r="F1981" s="2">
        <v>32441</v>
      </c>
      <c r="G1981" s="2">
        <v>4.5691549299999998</v>
      </c>
      <c r="H1981" s="3">
        <v>1.2300000000000001E-6</v>
      </c>
      <c r="I1981" s="2" t="s">
        <v>31351</v>
      </c>
      <c r="J1981" s="2" t="s">
        <v>31352</v>
      </c>
      <c r="K1981" s="3">
        <v>2.8E-5</v>
      </c>
      <c r="L1981" s="2" t="s">
        <v>1178</v>
      </c>
      <c r="M1981" s="4" t="s">
        <v>18544</v>
      </c>
    </row>
    <row r="1982" spans="1:13">
      <c r="A1982" s="2">
        <v>4832</v>
      </c>
      <c r="B1982" s="2" t="s">
        <v>31353</v>
      </c>
      <c r="C1982" s="2">
        <v>16</v>
      </c>
      <c r="D1982" s="2">
        <v>568</v>
      </c>
      <c r="E1982" s="2">
        <v>200</v>
      </c>
      <c r="F1982" s="2">
        <v>32441</v>
      </c>
      <c r="G1982" s="2">
        <v>4.5691549299999998</v>
      </c>
      <c r="H1982" s="3">
        <v>1.2300000000000001E-6</v>
      </c>
      <c r="I1982" s="2" t="s">
        <v>31354</v>
      </c>
      <c r="J1982" s="2" t="s">
        <v>31355</v>
      </c>
      <c r="K1982" s="3">
        <v>2.8E-5</v>
      </c>
      <c r="L1982" s="2" t="s">
        <v>1178</v>
      </c>
      <c r="M1982" s="4" t="s">
        <v>31356</v>
      </c>
    </row>
    <row r="1983" spans="1:13">
      <c r="A1983" s="2">
        <v>5321</v>
      </c>
      <c r="B1983" s="2" t="s">
        <v>2349</v>
      </c>
      <c r="C1983" s="2">
        <v>16</v>
      </c>
      <c r="D1983" s="2">
        <v>568</v>
      </c>
      <c r="E1983" s="2">
        <v>200</v>
      </c>
      <c r="F1983" s="2">
        <v>32441</v>
      </c>
      <c r="G1983" s="2">
        <v>4.5691549299999998</v>
      </c>
      <c r="H1983" s="3">
        <v>1.2300000000000001E-6</v>
      </c>
      <c r="I1983" s="2" t="s">
        <v>31357</v>
      </c>
      <c r="J1983" s="2" t="s">
        <v>31358</v>
      </c>
      <c r="K1983" s="3">
        <v>2.8E-5</v>
      </c>
      <c r="L1983" s="2" t="s">
        <v>1178</v>
      </c>
      <c r="M1983" s="4" t="s">
        <v>21798</v>
      </c>
    </row>
    <row r="1984" spans="1:13">
      <c r="A1984" s="2">
        <v>6941</v>
      </c>
      <c r="B1984" s="2" t="s">
        <v>31359</v>
      </c>
      <c r="C1984" s="2">
        <v>16</v>
      </c>
      <c r="D1984" s="2">
        <v>568</v>
      </c>
      <c r="E1984" s="2">
        <v>200</v>
      </c>
      <c r="F1984" s="2">
        <v>32441</v>
      </c>
      <c r="G1984" s="2">
        <v>4.5691549299999998</v>
      </c>
      <c r="H1984" s="3">
        <v>1.2300000000000001E-6</v>
      </c>
      <c r="I1984" s="2" t="s">
        <v>31360</v>
      </c>
      <c r="J1984" s="2" t="s">
        <v>31361</v>
      </c>
      <c r="K1984" s="3">
        <v>2.8E-5</v>
      </c>
      <c r="L1984" s="2" t="s">
        <v>1178</v>
      </c>
      <c r="M1984" s="4" t="s">
        <v>31362</v>
      </c>
    </row>
    <row r="1985" spans="1:13">
      <c r="A1985" s="2">
        <v>8571</v>
      </c>
      <c r="B1985" s="2" t="s">
        <v>31363</v>
      </c>
      <c r="C1985" s="2">
        <v>16</v>
      </c>
      <c r="D1985" s="2">
        <v>568</v>
      </c>
      <c r="E1985" s="2">
        <v>200</v>
      </c>
      <c r="F1985" s="2">
        <v>32441</v>
      </c>
      <c r="G1985" s="2">
        <v>4.5691549299999998</v>
      </c>
      <c r="H1985" s="3">
        <v>1.2300000000000001E-6</v>
      </c>
      <c r="I1985" s="2" t="s">
        <v>31364</v>
      </c>
      <c r="J1985" s="2" t="s">
        <v>31365</v>
      </c>
      <c r="K1985" s="3">
        <v>2.8E-5</v>
      </c>
      <c r="L1985" s="2" t="s">
        <v>1178</v>
      </c>
      <c r="M1985" s="4" t="s">
        <v>31366</v>
      </c>
    </row>
    <row r="1986" spans="1:13">
      <c r="A1986" s="2">
        <v>1018</v>
      </c>
      <c r="B1986" s="2" t="s">
        <v>31367</v>
      </c>
      <c r="C1986" s="2">
        <v>16</v>
      </c>
      <c r="D1986" s="2">
        <v>568</v>
      </c>
      <c r="E1986" s="2">
        <v>200</v>
      </c>
      <c r="F1986" s="2">
        <v>32441</v>
      </c>
      <c r="G1986" s="2">
        <v>4.5691549299999998</v>
      </c>
      <c r="H1986" s="3">
        <v>1.2300000000000001E-6</v>
      </c>
      <c r="I1986" s="2" t="s">
        <v>31368</v>
      </c>
      <c r="J1986" s="2" t="s">
        <v>31369</v>
      </c>
      <c r="K1986" s="3">
        <v>2.8E-5</v>
      </c>
      <c r="L1986" s="2" t="s">
        <v>1178</v>
      </c>
      <c r="M1986" s="4" t="s">
        <v>31370</v>
      </c>
    </row>
    <row r="1987" spans="1:13">
      <c r="A1987" s="2">
        <v>12251</v>
      </c>
      <c r="B1987" s="2" t="s">
        <v>23283</v>
      </c>
      <c r="C1987" s="2">
        <v>16</v>
      </c>
      <c r="D1987" s="2">
        <v>568</v>
      </c>
      <c r="E1987" s="2">
        <v>200</v>
      </c>
      <c r="F1987" s="2">
        <v>32441</v>
      </c>
      <c r="G1987" s="2">
        <v>4.5691549299999998</v>
      </c>
      <c r="H1987" s="3">
        <v>1.2300000000000001E-6</v>
      </c>
      <c r="I1987" s="2" t="s">
        <v>31371</v>
      </c>
      <c r="J1987" s="2" t="s">
        <v>31372</v>
      </c>
      <c r="K1987" s="3">
        <v>2.8E-5</v>
      </c>
      <c r="L1987" s="2" t="s">
        <v>1178</v>
      </c>
      <c r="M1987" s="4" t="s">
        <v>23286</v>
      </c>
    </row>
    <row r="1988" spans="1:13">
      <c r="A1988" s="2">
        <v>1298</v>
      </c>
      <c r="B1988" s="2" t="s">
        <v>23299</v>
      </c>
      <c r="C1988" s="2">
        <v>16</v>
      </c>
      <c r="D1988" s="2">
        <v>568</v>
      </c>
      <c r="E1988" s="2">
        <v>200</v>
      </c>
      <c r="F1988" s="2">
        <v>32441</v>
      </c>
      <c r="G1988" s="2">
        <v>4.5691549299999998</v>
      </c>
      <c r="H1988" s="3">
        <v>1.2300000000000001E-6</v>
      </c>
      <c r="I1988" s="2" t="s">
        <v>31373</v>
      </c>
      <c r="J1988" s="2" t="s">
        <v>31374</v>
      </c>
      <c r="K1988" s="3">
        <v>2.8E-5</v>
      </c>
      <c r="L1988" s="2" t="s">
        <v>1178</v>
      </c>
      <c r="M1988" s="4" t="s">
        <v>23302</v>
      </c>
    </row>
    <row r="1989" spans="1:13">
      <c r="A1989" s="2">
        <v>1458</v>
      </c>
      <c r="B1989" s="2" t="s">
        <v>23367</v>
      </c>
      <c r="C1989" s="2">
        <v>16</v>
      </c>
      <c r="D1989" s="2">
        <v>568</v>
      </c>
      <c r="E1989" s="2">
        <v>200</v>
      </c>
      <c r="F1989" s="2">
        <v>32441</v>
      </c>
      <c r="G1989" s="2">
        <v>4.5691549299999998</v>
      </c>
      <c r="H1989" s="3">
        <v>1.2300000000000001E-6</v>
      </c>
      <c r="I1989" s="2" t="s">
        <v>31375</v>
      </c>
      <c r="J1989" s="2" t="s">
        <v>31376</v>
      </c>
      <c r="K1989" s="3">
        <v>2.8E-5</v>
      </c>
      <c r="L1989" s="2" t="s">
        <v>1178</v>
      </c>
      <c r="M1989" s="4" t="s">
        <v>23370</v>
      </c>
    </row>
    <row r="1990" spans="1:13">
      <c r="A1990" s="2">
        <v>1815</v>
      </c>
      <c r="B1990" s="2" t="s">
        <v>31377</v>
      </c>
      <c r="C1990" s="2">
        <v>16</v>
      </c>
      <c r="D1990" s="2">
        <v>568</v>
      </c>
      <c r="E1990" s="2">
        <v>200</v>
      </c>
      <c r="F1990" s="2">
        <v>32441</v>
      </c>
      <c r="G1990" s="2">
        <v>4.5691549299999998</v>
      </c>
      <c r="H1990" s="3">
        <v>1.2300000000000001E-6</v>
      </c>
      <c r="I1990" s="2" t="s">
        <v>31378</v>
      </c>
      <c r="J1990" s="2" t="s">
        <v>31379</v>
      </c>
      <c r="K1990" s="3">
        <v>2.8E-5</v>
      </c>
      <c r="L1990" s="2" t="s">
        <v>1178</v>
      </c>
      <c r="M1990" s="4" t="s">
        <v>31380</v>
      </c>
    </row>
    <row r="1991" spans="1:13">
      <c r="A1991" s="2">
        <v>19041</v>
      </c>
      <c r="B1991" s="2" t="s">
        <v>15827</v>
      </c>
      <c r="C1991" s="2">
        <v>16</v>
      </c>
      <c r="D1991" s="2">
        <v>568</v>
      </c>
      <c r="E1991" s="2">
        <v>200</v>
      </c>
      <c r="F1991" s="2">
        <v>32441</v>
      </c>
      <c r="G1991" s="2">
        <v>4.5691549299999998</v>
      </c>
      <c r="H1991" s="3">
        <v>1.2300000000000001E-6</v>
      </c>
      <c r="I1991" s="2" t="s">
        <v>31381</v>
      </c>
      <c r="J1991" s="2" t="s">
        <v>31382</v>
      </c>
      <c r="K1991" s="3">
        <v>2.8E-5</v>
      </c>
      <c r="L1991" s="2" t="s">
        <v>1178</v>
      </c>
      <c r="M1991" s="4" t="s">
        <v>15830</v>
      </c>
    </row>
    <row r="1992" spans="1:13">
      <c r="A1992" s="2">
        <v>2013</v>
      </c>
      <c r="B1992" s="2" t="s">
        <v>15337</v>
      </c>
      <c r="C1992" s="2">
        <v>16</v>
      </c>
      <c r="D1992" s="2">
        <v>568</v>
      </c>
      <c r="E1992" s="2">
        <v>200</v>
      </c>
      <c r="F1992" s="2">
        <v>32441</v>
      </c>
      <c r="G1992" s="2">
        <v>4.5691549299999998</v>
      </c>
      <c r="H1992" s="3">
        <v>1.2300000000000001E-6</v>
      </c>
      <c r="I1992" s="2" t="s">
        <v>31383</v>
      </c>
      <c r="J1992" s="2" t="s">
        <v>31384</v>
      </c>
      <c r="K1992" s="3">
        <v>2.8E-5</v>
      </c>
      <c r="L1992" s="2" t="s">
        <v>1178</v>
      </c>
      <c r="M1992" s="4" t="s">
        <v>15340</v>
      </c>
    </row>
    <row r="1993" spans="1:13">
      <c r="A1993" s="2">
        <v>2018</v>
      </c>
      <c r="B1993" s="2" t="s">
        <v>31385</v>
      </c>
      <c r="C1993" s="2">
        <v>16</v>
      </c>
      <c r="D1993" s="2">
        <v>568</v>
      </c>
      <c r="E1993" s="2">
        <v>199</v>
      </c>
      <c r="F1993" s="2">
        <v>32441</v>
      </c>
      <c r="G1993" s="2">
        <v>4.5921155069999999</v>
      </c>
      <c r="H1993" s="3">
        <v>1.1599999999999999E-6</v>
      </c>
      <c r="I1993" s="2" t="s">
        <v>31386</v>
      </c>
      <c r="J1993" s="2" t="s">
        <v>31387</v>
      </c>
      <c r="K1993" s="3">
        <v>2.8E-5</v>
      </c>
      <c r="L1993" s="2" t="s">
        <v>1178</v>
      </c>
      <c r="M1993" s="4" t="s">
        <v>31388</v>
      </c>
    </row>
    <row r="1994" spans="1:13">
      <c r="A1994" s="2">
        <v>2203</v>
      </c>
      <c r="B1994" s="2" t="s">
        <v>20990</v>
      </c>
      <c r="C1994" s="2">
        <v>16</v>
      </c>
      <c r="D1994" s="2">
        <v>568</v>
      </c>
      <c r="E1994" s="2">
        <v>200</v>
      </c>
      <c r="F1994" s="2">
        <v>32441</v>
      </c>
      <c r="G1994" s="2">
        <v>4.5691549299999998</v>
      </c>
      <c r="H1994" s="3">
        <v>1.2300000000000001E-6</v>
      </c>
      <c r="I1994" s="2" t="s">
        <v>31389</v>
      </c>
      <c r="J1994" s="2" t="s">
        <v>31390</v>
      </c>
      <c r="K1994" s="3">
        <v>2.8E-5</v>
      </c>
      <c r="L1994" s="2" t="s">
        <v>1178</v>
      </c>
      <c r="M1994" s="4" t="s">
        <v>20993</v>
      </c>
    </row>
    <row r="1995" spans="1:13">
      <c r="A1995" s="2">
        <v>2273</v>
      </c>
      <c r="B1995" s="2" t="s">
        <v>13295</v>
      </c>
      <c r="C1995" s="2">
        <v>16</v>
      </c>
      <c r="D1995" s="2">
        <v>568</v>
      </c>
      <c r="E1995" s="2">
        <v>199</v>
      </c>
      <c r="F1995" s="2">
        <v>32441</v>
      </c>
      <c r="G1995" s="2">
        <v>4.5921155069999999</v>
      </c>
      <c r="H1995" s="3">
        <v>1.1599999999999999E-6</v>
      </c>
      <c r="I1995" s="2" t="s">
        <v>31391</v>
      </c>
      <c r="J1995" s="2" t="s">
        <v>31392</v>
      </c>
      <c r="K1995" s="3">
        <v>2.8E-5</v>
      </c>
      <c r="L1995" s="2" t="s">
        <v>1178</v>
      </c>
      <c r="M1995" s="4" t="s">
        <v>13298</v>
      </c>
    </row>
    <row r="1996" spans="1:13">
      <c r="A1996" s="2">
        <v>2339</v>
      </c>
      <c r="B1996" s="2" t="s">
        <v>1917</v>
      </c>
      <c r="C1996" s="2">
        <v>16</v>
      </c>
      <c r="D1996" s="2">
        <v>568</v>
      </c>
      <c r="E1996" s="2">
        <v>199</v>
      </c>
      <c r="F1996" s="2">
        <v>32441</v>
      </c>
      <c r="G1996" s="2">
        <v>4.5921155069999999</v>
      </c>
      <c r="H1996" s="3">
        <v>1.1599999999999999E-6</v>
      </c>
      <c r="I1996" s="2" t="s">
        <v>31393</v>
      </c>
      <c r="J1996" s="2" t="s">
        <v>31394</v>
      </c>
      <c r="K1996" s="3">
        <v>2.8E-5</v>
      </c>
      <c r="L1996" s="2" t="s">
        <v>1178</v>
      </c>
      <c r="M1996" s="4" t="s">
        <v>31395</v>
      </c>
    </row>
    <row r="1997" spans="1:13">
      <c r="A1997" s="2">
        <v>2450</v>
      </c>
      <c r="B1997" s="2" t="s">
        <v>18086</v>
      </c>
      <c r="C1997" s="2">
        <v>16</v>
      </c>
      <c r="D1997" s="2">
        <v>568</v>
      </c>
      <c r="E1997" s="2">
        <v>198</v>
      </c>
      <c r="F1997" s="2">
        <v>32441</v>
      </c>
      <c r="G1997" s="2">
        <v>4.6153080099999997</v>
      </c>
      <c r="H1997" s="3">
        <v>1.0899999999999999E-6</v>
      </c>
      <c r="I1997" s="2" t="s">
        <v>31396</v>
      </c>
      <c r="J1997" s="2" t="s">
        <v>31397</v>
      </c>
      <c r="K1997" s="3">
        <v>2.8E-5</v>
      </c>
      <c r="L1997" s="2" t="s">
        <v>1178</v>
      </c>
      <c r="M1997" s="4" t="s">
        <v>18089</v>
      </c>
    </row>
    <row r="1998" spans="1:13">
      <c r="A1998" s="2">
        <v>2606</v>
      </c>
      <c r="B1998" s="2" t="s">
        <v>22270</v>
      </c>
      <c r="C1998" s="2">
        <v>16</v>
      </c>
      <c r="D1998" s="2">
        <v>568</v>
      </c>
      <c r="E1998" s="2">
        <v>200</v>
      </c>
      <c r="F1998" s="2">
        <v>32441</v>
      </c>
      <c r="G1998" s="2">
        <v>4.5691549299999998</v>
      </c>
      <c r="H1998" s="3">
        <v>1.2300000000000001E-6</v>
      </c>
      <c r="I1998" s="2" t="s">
        <v>31398</v>
      </c>
      <c r="J1998" s="2" t="s">
        <v>31399</v>
      </c>
      <c r="K1998" s="3">
        <v>2.8E-5</v>
      </c>
      <c r="L1998" s="2" t="s">
        <v>1178</v>
      </c>
      <c r="M1998" s="4" t="s">
        <v>22273</v>
      </c>
    </row>
    <row r="1999" spans="1:13">
      <c r="A1999" s="2">
        <v>2624</v>
      </c>
      <c r="B1999" s="2" t="s">
        <v>31400</v>
      </c>
      <c r="C1999" s="2">
        <v>16</v>
      </c>
      <c r="D1999" s="2">
        <v>568</v>
      </c>
      <c r="E1999" s="2">
        <v>200</v>
      </c>
      <c r="F1999" s="2">
        <v>32441</v>
      </c>
      <c r="G1999" s="2">
        <v>4.5691549299999998</v>
      </c>
      <c r="H1999" s="3">
        <v>1.2300000000000001E-6</v>
      </c>
      <c r="I1999" s="2" t="s">
        <v>31401</v>
      </c>
      <c r="J1999" s="2" t="s">
        <v>31402</v>
      </c>
      <c r="K1999" s="3">
        <v>2.8E-5</v>
      </c>
      <c r="L1999" s="2" t="s">
        <v>1178</v>
      </c>
      <c r="M1999" s="4" t="s">
        <v>31403</v>
      </c>
    </row>
    <row r="2000" spans="1:13">
      <c r="A2000" s="2">
        <v>2885</v>
      </c>
      <c r="B2000" s="2" t="s">
        <v>31404</v>
      </c>
      <c r="C2000" s="2">
        <v>16</v>
      </c>
      <c r="D2000" s="2">
        <v>568</v>
      </c>
      <c r="E2000" s="2">
        <v>200</v>
      </c>
      <c r="F2000" s="2">
        <v>32441</v>
      </c>
      <c r="G2000" s="2">
        <v>4.5691549299999998</v>
      </c>
      <c r="H2000" s="3">
        <v>1.2300000000000001E-6</v>
      </c>
      <c r="I2000" s="2" t="s">
        <v>31405</v>
      </c>
      <c r="J2000" s="2" t="s">
        <v>31406</v>
      </c>
      <c r="K2000" s="3">
        <v>2.8E-5</v>
      </c>
      <c r="L2000" s="2" t="s">
        <v>1178</v>
      </c>
      <c r="M2000" s="4" t="s">
        <v>31407</v>
      </c>
    </row>
    <row r="2001" spans="1:13">
      <c r="A2001" s="2">
        <v>3081</v>
      </c>
      <c r="B2001" s="2" t="s">
        <v>12990</v>
      </c>
      <c r="C2001" s="2">
        <v>16</v>
      </c>
      <c r="D2001" s="2">
        <v>568</v>
      </c>
      <c r="E2001" s="2">
        <v>198</v>
      </c>
      <c r="F2001" s="2">
        <v>32441</v>
      </c>
      <c r="G2001" s="2">
        <v>4.6153080099999997</v>
      </c>
      <c r="H2001" s="3">
        <v>1.0899999999999999E-6</v>
      </c>
      <c r="I2001" s="2" t="s">
        <v>31408</v>
      </c>
      <c r="J2001" s="2" t="s">
        <v>31409</v>
      </c>
      <c r="K2001" s="3">
        <v>2.8E-5</v>
      </c>
      <c r="L2001" s="2" t="s">
        <v>1178</v>
      </c>
      <c r="M2001" s="4" t="s">
        <v>12993</v>
      </c>
    </row>
    <row r="2002" spans="1:13">
      <c r="A2002" s="2">
        <v>3230</v>
      </c>
      <c r="B2002" s="2" t="s">
        <v>31410</v>
      </c>
      <c r="C2002" s="2">
        <v>16</v>
      </c>
      <c r="D2002" s="2">
        <v>568</v>
      </c>
      <c r="E2002" s="2">
        <v>200</v>
      </c>
      <c r="F2002" s="2">
        <v>32441</v>
      </c>
      <c r="G2002" s="2">
        <v>4.5691549299999998</v>
      </c>
      <c r="H2002" s="3">
        <v>1.2300000000000001E-6</v>
      </c>
      <c r="I2002" s="2" t="s">
        <v>31411</v>
      </c>
      <c r="J2002" s="2" t="s">
        <v>31412</v>
      </c>
      <c r="K2002" s="3">
        <v>2.8E-5</v>
      </c>
      <c r="L2002" s="2" t="s">
        <v>1178</v>
      </c>
      <c r="M2002" s="4" t="s">
        <v>31413</v>
      </c>
    </row>
    <row r="2003" spans="1:13">
      <c r="A2003" s="2">
        <v>3269</v>
      </c>
      <c r="B2003" s="2" t="s">
        <v>2637</v>
      </c>
      <c r="C2003" s="2">
        <v>16</v>
      </c>
      <c r="D2003" s="2">
        <v>568</v>
      </c>
      <c r="E2003" s="2">
        <v>200</v>
      </c>
      <c r="F2003" s="2">
        <v>32441</v>
      </c>
      <c r="G2003" s="2">
        <v>4.5691549299999998</v>
      </c>
      <c r="H2003" s="3">
        <v>1.2300000000000001E-6</v>
      </c>
      <c r="I2003" s="2" t="s">
        <v>31414</v>
      </c>
      <c r="J2003" s="2" t="s">
        <v>31415</v>
      </c>
      <c r="K2003" s="3">
        <v>2.8E-5</v>
      </c>
      <c r="L2003" s="2" t="s">
        <v>1178</v>
      </c>
      <c r="M2003" s="4" t="s">
        <v>22390</v>
      </c>
    </row>
    <row r="2004" spans="1:13">
      <c r="A2004" s="2">
        <v>3345</v>
      </c>
      <c r="B2004" s="2" t="s">
        <v>31416</v>
      </c>
      <c r="C2004" s="2">
        <v>16</v>
      </c>
      <c r="D2004" s="2">
        <v>568</v>
      </c>
      <c r="E2004" s="2">
        <v>200</v>
      </c>
      <c r="F2004" s="2">
        <v>32441</v>
      </c>
      <c r="G2004" s="2">
        <v>4.5691549299999998</v>
      </c>
      <c r="H2004" s="3">
        <v>1.2300000000000001E-6</v>
      </c>
      <c r="I2004" s="2" t="s">
        <v>31417</v>
      </c>
      <c r="J2004" s="2" t="s">
        <v>31418</v>
      </c>
      <c r="K2004" s="3">
        <v>2.8E-5</v>
      </c>
      <c r="L2004" s="2" t="s">
        <v>1178</v>
      </c>
      <c r="M2004" s="4" t="s">
        <v>31419</v>
      </c>
    </row>
    <row r="2005" spans="1:13">
      <c r="A2005" s="2">
        <v>3381</v>
      </c>
      <c r="B2005" s="2" t="s">
        <v>16005</v>
      </c>
      <c r="C2005" s="2">
        <v>16</v>
      </c>
      <c r="D2005" s="2">
        <v>568</v>
      </c>
      <c r="E2005" s="2">
        <v>200</v>
      </c>
      <c r="F2005" s="2">
        <v>32441</v>
      </c>
      <c r="G2005" s="2">
        <v>4.5691549299999998</v>
      </c>
      <c r="H2005" s="3">
        <v>1.2300000000000001E-6</v>
      </c>
      <c r="I2005" s="2" t="s">
        <v>31420</v>
      </c>
      <c r="J2005" s="2" t="s">
        <v>31421</v>
      </c>
      <c r="K2005" s="3">
        <v>2.8E-5</v>
      </c>
      <c r="L2005" s="2" t="s">
        <v>1178</v>
      </c>
      <c r="M2005" s="4" t="s">
        <v>16008</v>
      </c>
    </row>
    <row r="2006" spans="1:13">
      <c r="A2006" s="2">
        <v>33871</v>
      </c>
      <c r="B2006" s="2" t="s">
        <v>18180</v>
      </c>
      <c r="C2006" s="2">
        <v>16</v>
      </c>
      <c r="D2006" s="2">
        <v>568</v>
      </c>
      <c r="E2006" s="2">
        <v>200</v>
      </c>
      <c r="F2006" s="2">
        <v>32441</v>
      </c>
      <c r="G2006" s="2">
        <v>4.5691549299999998</v>
      </c>
      <c r="H2006" s="3">
        <v>1.2300000000000001E-6</v>
      </c>
      <c r="I2006" s="2" t="s">
        <v>31422</v>
      </c>
      <c r="J2006" s="2" t="s">
        <v>31423</v>
      </c>
      <c r="K2006" s="3">
        <v>2.8E-5</v>
      </c>
      <c r="L2006" s="2" t="s">
        <v>1178</v>
      </c>
      <c r="M2006" s="4" t="s">
        <v>18183</v>
      </c>
    </row>
    <row r="2007" spans="1:13">
      <c r="A2007" s="2">
        <v>3497</v>
      </c>
      <c r="B2007" s="2" t="s">
        <v>1956</v>
      </c>
      <c r="C2007" s="2">
        <v>16</v>
      </c>
      <c r="D2007" s="2">
        <v>568</v>
      </c>
      <c r="E2007" s="2">
        <v>199</v>
      </c>
      <c r="F2007" s="2">
        <v>32441</v>
      </c>
      <c r="G2007" s="2">
        <v>4.5921155069999999</v>
      </c>
      <c r="H2007" s="3">
        <v>1.1599999999999999E-6</v>
      </c>
      <c r="I2007" s="2" t="s">
        <v>31424</v>
      </c>
      <c r="J2007" s="2" t="s">
        <v>31425</v>
      </c>
      <c r="K2007" s="3">
        <v>2.8E-5</v>
      </c>
      <c r="L2007" s="2" t="s">
        <v>1178</v>
      </c>
      <c r="M2007" s="4" t="s">
        <v>31426</v>
      </c>
    </row>
    <row r="2008" spans="1:13">
      <c r="A2008" s="2">
        <v>3678</v>
      </c>
      <c r="B2008" s="2" t="s">
        <v>31427</v>
      </c>
      <c r="C2008" s="2">
        <v>16</v>
      </c>
      <c r="D2008" s="2">
        <v>568</v>
      </c>
      <c r="E2008" s="2">
        <v>200</v>
      </c>
      <c r="F2008" s="2">
        <v>32441</v>
      </c>
      <c r="G2008" s="2">
        <v>4.5691549299999998</v>
      </c>
      <c r="H2008" s="3">
        <v>1.2300000000000001E-6</v>
      </c>
      <c r="I2008" s="2" t="s">
        <v>31428</v>
      </c>
      <c r="J2008" s="2" t="s">
        <v>31429</v>
      </c>
      <c r="K2008" s="3">
        <v>2.8E-5</v>
      </c>
      <c r="L2008" s="2" t="s">
        <v>1178</v>
      </c>
      <c r="M2008" s="4" t="s">
        <v>31430</v>
      </c>
    </row>
    <row r="2009" spans="1:13">
      <c r="A2009" s="2">
        <v>3760</v>
      </c>
      <c r="B2009" s="2" t="s">
        <v>18240</v>
      </c>
      <c r="C2009" s="2">
        <v>16</v>
      </c>
      <c r="D2009" s="2">
        <v>568</v>
      </c>
      <c r="E2009" s="2">
        <v>200</v>
      </c>
      <c r="F2009" s="2">
        <v>32441</v>
      </c>
      <c r="G2009" s="2">
        <v>4.5691549299999998</v>
      </c>
      <c r="H2009" s="3">
        <v>1.2300000000000001E-6</v>
      </c>
      <c r="I2009" s="2" t="s">
        <v>31431</v>
      </c>
      <c r="J2009" s="2" t="s">
        <v>31432</v>
      </c>
      <c r="K2009" s="3">
        <v>2.8E-5</v>
      </c>
      <c r="L2009" s="2" t="s">
        <v>1178</v>
      </c>
      <c r="M2009" s="4" t="s">
        <v>18243</v>
      </c>
    </row>
    <row r="2010" spans="1:13">
      <c r="A2010" s="2">
        <v>37872</v>
      </c>
      <c r="B2010" s="2" t="s">
        <v>23880</v>
      </c>
      <c r="C2010" s="2">
        <v>16</v>
      </c>
      <c r="D2010" s="2">
        <v>568</v>
      </c>
      <c r="E2010" s="2">
        <v>199</v>
      </c>
      <c r="F2010" s="2">
        <v>32441</v>
      </c>
      <c r="G2010" s="2">
        <v>4.5921155069999999</v>
      </c>
      <c r="H2010" s="3">
        <v>1.1599999999999999E-6</v>
      </c>
      <c r="I2010" s="2" t="s">
        <v>31433</v>
      </c>
      <c r="J2010" s="2" t="s">
        <v>31434</v>
      </c>
      <c r="K2010" s="3">
        <v>2.8E-5</v>
      </c>
      <c r="L2010" s="2" t="s">
        <v>1178</v>
      </c>
      <c r="M2010" s="4" t="s">
        <v>23883</v>
      </c>
    </row>
    <row r="2011" spans="1:13">
      <c r="A2011" s="2">
        <v>3888</v>
      </c>
      <c r="B2011" s="2" t="s">
        <v>2259</v>
      </c>
      <c r="C2011" s="2">
        <v>16</v>
      </c>
      <c r="D2011" s="2">
        <v>568</v>
      </c>
      <c r="E2011" s="2">
        <v>200</v>
      </c>
      <c r="F2011" s="2">
        <v>32441</v>
      </c>
      <c r="G2011" s="2">
        <v>4.5691549299999998</v>
      </c>
      <c r="H2011" s="3">
        <v>1.2300000000000001E-6</v>
      </c>
      <c r="I2011" s="2" t="s">
        <v>31435</v>
      </c>
      <c r="J2011" s="2" t="s">
        <v>31436</v>
      </c>
      <c r="K2011" s="3">
        <v>2.8E-5</v>
      </c>
      <c r="L2011" s="2" t="s">
        <v>1178</v>
      </c>
      <c r="M2011" s="4" t="s">
        <v>31437</v>
      </c>
    </row>
    <row r="2012" spans="1:13">
      <c r="A2012" s="2">
        <v>42911</v>
      </c>
      <c r="B2012" s="2" t="s">
        <v>20176</v>
      </c>
      <c r="C2012" s="2">
        <v>16</v>
      </c>
      <c r="D2012" s="2">
        <v>568</v>
      </c>
      <c r="E2012" s="2">
        <v>200</v>
      </c>
      <c r="F2012" s="2">
        <v>32441</v>
      </c>
      <c r="G2012" s="2">
        <v>4.5691549299999998</v>
      </c>
      <c r="H2012" s="3">
        <v>1.2300000000000001E-6</v>
      </c>
      <c r="I2012" s="2" t="s">
        <v>31438</v>
      </c>
      <c r="J2012" s="2" t="s">
        <v>31439</v>
      </c>
      <c r="K2012" s="3">
        <v>2.8E-5</v>
      </c>
      <c r="L2012" s="2" t="s">
        <v>1178</v>
      </c>
      <c r="M2012" s="4" t="s">
        <v>20179</v>
      </c>
    </row>
    <row r="2013" spans="1:13">
      <c r="A2013" s="2">
        <v>4494</v>
      </c>
      <c r="B2013" s="2" t="s">
        <v>31440</v>
      </c>
      <c r="C2013" s="2">
        <v>16</v>
      </c>
      <c r="D2013" s="2">
        <v>568</v>
      </c>
      <c r="E2013" s="2">
        <v>200</v>
      </c>
      <c r="F2013" s="2">
        <v>32441</v>
      </c>
      <c r="G2013" s="2">
        <v>4.5691549299999998</v>
      </c>
      <c r="H2013" s="3">
        <v>1.2300000000000001E-6</v>
      </c>
      <c r="I2013" s="2" t="s">
        <v>31441</v>
      </c>
      <c r="J2013" s="2" t="s">
        <v>31442</v>
      </c>
      <c r="K2013" s="3">
        <v>2.8E-5</v>
      </c>
      <c r="L2013" s="2" t="s">
        <v>1178</v>
      </c>
      <c r="M2013" s="4" t="s">
        <v>31443</v>
      </c>
    </row>
    <row r="2014" spans="1:13">
      <c r="A2014" s="2">
        <v>4503</v>
      </c>
      <c r="B2014" s="2" t="s">
        <v>19213</v>
      </c>
      <c r="C2014" s="2">
        <v>16</v>
      </c>
      <c r="D2014" s="2">
        <v>568</v>
      </c>
      <c r="E2014" s="2">
        <v>200</v>
      </c>
      <c r="F2014" s="2">
        <v>32441</v>
      </c>
      <c r="G2014" s="2">
        <v>4.5691549299999998</v>
      </c>
      <c r="H2014" s="3">
        <v>1.2300000000000001E-6</v>
      </c>
      <c r="I2014" s="2" t="s">
        <v>31444</v>
      </c>
      <c r="J2014" s="2" t="s">
        <v>31445</v>
      </c>
      <c r="K2014" s="3">
        <v>2.8E-5</v>
      </c>
      <c r="L2014" s="2" t="s">
        <v>1178</v>
      </c>
      <c r="M2014" s="4" t="s">
        <v>19216</v>
      </c>
    </row>
    <row r="2015" spans="1:13">
      <c r="A2015" s="2">
        <v>45961</v>
      </c>
      <c r="B2015" s="2" t="s">
        <v>16798</v>
      </c>
      <c r="C2015" s="2">
        <v>16</v>
      </c>
      <c r="D2015" s="2">
        <v>568</v>
      </c>
      <c r="E2015" s="2">
        <v>200</v>
      </c>
      <c r="F2015" s="2">
        <v>32441</v>
      </c>
      <c r="G2015" s="2">
        <v>4.5691549299999998</v>
      </c>
      <c r="H2015" s="3">
        <v>1.2300000000000001E-6</v>
      </c>
      <c r="I2015" s="2" t="s">
        <v>31446</v>
      </c>
      <c r="J2015" s="2" t="s">
        <v>31447</v>
      </c>
      <c r="K2015" s="3">
        <v>2.8E-5</v>
      </c>
      <c r="L2015" s="2" t="s">
        <v>1178</v>
      </c>
      <c r="M2015" s="4" t="s">
        <v>16801</v>
      </c>
    </row>
    <row r="2016" spans="1:13">
      <c r="A2016" s="2">
        <v>4753</v>
      </c>
      <c r="B2016" s="2" t="s">
        <v>1530</v>
      </c>
      <c r="C2016" s="2">
        <v>16</v>
      </c>
      <c r="D2016" s="2">
        <v>568</v>
      </c>
      <c r="E2016" s="2">
        <v>200</v>
      </c>
      <c r="F2016" s="2">
        <v>32441</v>
      </c>
      <c r="G2016" s="2">
        <v>4.5691549299999998</v>
      </c>
      <c r="H2016" s="3">
        <v>1.2300000000000001E-6</v>
      </c>
      <c r="I2016" s="2" t="s">
        <v>31448</v>
      </c>
      <c r="J2016" s="2" t="s">
        <v>31449</v>
      </c>
      <c r="K2016" s="3">
        <v>2.8E-5</v>
      </c>
      <c r="L2016" s="2" t="s">
        <v>1178</v>
      </c>
      <c r="M2016" s="4" t="s">
        <v>24073</v>
      </c>
    </row>
    <row r="2017" spans="1:13">
      <c r="A2017" s="2">
        <v>4766</v>
      </c>
      <c r="B2017" s="2" t="s">
        <v>31450</v>
      </c>
      <c r="C2017" s="2">
        <v>16</v>
      </c>
      <c r="D2017" s="2">
        <v>568</v>
      </c>
      <c r="E2017" s="2">
        <v>200</v>
      </c>
      <c r="F2017" s="2">
        <v>32441</v>
      </c>
      <c r="G2017" s="2">
        <v>4.5691549299999998</v>
      </c>
      <c r="H2017" s="3">
        <v>1.2300000000000001E-6</v>
      </c>
      <c r="I2017" s="2" t="s">
        <v>31451</v>
      </c>
      <c r="J2017" s="2" t="s">
        <v>31452</v>
      </c>
      <c r="K2017" s="3">
        <v>2.8E-5</v>
      </c>
      <c r="L2017" s="2" t="s">
        <v>1178</v>
      </c>
      <c r="M2017" s="4" t="s">
        <v>31453</v>
      </c>
    </row>
    <row r="2018" spans="1:13">
      <c r="A2018" s="2">
        <v>2702</v>
      </c>
      <c r="B2018" s="2" t="s">
        <v>22742</v>
      </c>
      <c r="C2018" s="2">
        <v>13</v>
      </c>
      <c r="D2018" s="2">
        <v>568</v>
      </c>
      <c r="E2018" s="2">
        <v>134</v>
      </c>
      <c r="F2018" s="2">
        <v>32441</v>
      </c>
      <c r="G2018" s="2">
        <v>5.540952806</v>
      </c>
      <c r="H2018" s="3">
        <v>1.72E-6</v>
      </c>
      <c r="I2018" s="2" t="s">
        <v>31454</v>
      </c>
      <c r="J2018" s="2" t="s">
        <v>31455</v>
      </c>
      <c r="K2018" s="3">
        <v>3.9100000000000002E-5</v>
      </c>
      <c r="L2018" s="2" t="s">
        <v>1178</v>
      </c>
      <c r="M2018" s="4" t="s">
        <v>22745</v>
      </c>
    </row>
    <row r="2019" spans="1:13">
      <c r="A2019" s="2">
        <v>1745</v>
      </c>
      <c r="B2019" s="2" t="s">
        <v>20315</v>
      </c>
      <c r="C2019" s="2">
        <v>15</v>
      </c>
      <c r="D2019" s="2">
        <v>568</v>
      </c>
      <c r="E2019" s="2">
        <v>182</v>
      </c>
      <c r="F2019" s="2">
        <v>32441</v>
      </c>
      <c r="G2019" s="2">
        <v>4.7072337869999998</v>
      </c>
      <c r="H2019" s="3">
        <v>1.8700000000000001E-6</v>
      </c>
      <c r="I2019" s="2" t="s">
        <v>31456</v>
      </c>
      <c r="J2019" s="2" t="s">
        <v>31457</v>
      </c>
      <c r="K2019" s="3">
        <v>4.2200000000000003E-5</v>
      </c>
      <c r="L2019" s="2" t="s">
        <v>1178</v>
      </c>
      <c r="M2019" s="4" t="s">
        <v>20318</v>
      </c>
    </row>
    <row r="2020" spans="1:13">
      <c r="A2020" s="2">
        <v>25231</v>
      </c>
      <c r="B2020" s="2" t="s">
        <v>31458</v>
      </c>
      <c r="C2020" s="2">
        <v>14</v>
      </c>
      <c r="D2020" s="2">
        <v>568</v>
      </c>
      <c r="E2020" s="2">
        <v>159</v>
      </c>
      <c r="F2020" s="2">
        <v>32441</v>
      </c>
      <c r="G2020" s="2">
        <v>5.0289441049999999</v>
      </c>
      <c r="H2020" s="3">
        <v>2.0099999999999998E-6</v>
      </c>
      <c r="I2020" s="2" t="s">
        <v>31459</v>
      </c>
      <c r="J2020" s="2" t="s">
        <v>31460</v>
      </c>
      <c r="K2020" s="3">
        <v>4.5000000000000003E-5</v>
      </c>
      <c r="L2020" s="2" t="s">
        <v>1178</v>
      </c>
      <c r="M2020" s="4" t="s">
        <v>31461</v>
      </c>
    </row>
    <row r="2021" spans="1:13">
      <c r="A2021" s="2">
        <v>3576</v>
      </c>
      <c r="B2021" s="2" t="s">
        <v>31462</v>
      </c>
      <c r="C2021" s="2">
        <v>14</v>
      </c>
      <c r="D2021" s="2">
        <v>568</v>
      </c>
      <c r="E2021" s="2">
        <v>162</v>
      </c>
      <c r="F2021" s="2">
        <v>32441</v>
      </c>
      <c r="G2021" s="2">
        <v>4.9358155100000003</v>
      </c>
      <c r="H2021" s="3">
        <v>2.4600000000000002E-6</v>
      </c>
      <c r="I2021" s="2" t="s">
        <v>31463</v>
      </c>
      <c r="J2021" s="2" t="s">
        <v>31464</v>
      </c>
      <c r="K2021" s="3">
        <v>5.49E-5</v>
      </c>
      <c r="L2021" s="2" t="s">
        <v>1178</v>
      </c>
      <c r="M2021" s="4" t="s">
        <v>31465</v>
      </c>
    </row>
    <row r="2022" spans="1:13">
      <c r="A2022" s="2">
        <v>2541</v>
      </c>
      <c r="B2022" s="2" t="s">
        <v>31466</v>
      </c>
      <c r="C2022" s="2">
        <v>14</v>
      </c>
      <c r="D2022" s="2">
        <v>568</v>
      </c>
      <c r="E2022" s="2">
        <v>164</v>
      </c>
      <c r="F2022" s="2">
        <v>32441</v>
      </c>
      <c r="G2022" s="2">
        <v>4.8756226380000003</v>
      </c>
      <c r="H2022" s="3">
        <v>2.8100000000000002E-6</v>
      </c>
      <c r="I2022" s="2" t="s">
        <v>31467</v>
      </c>
      <c r="J2022" s="2" t="s">
        <v>31468</v>
      </c>
      <c r="K2022" s="3">
        <v>6.2500000000000001E-5</v>
      </c>
      <c r="L2022" s="2" t="s">
        <v>1178</v>
      </c>
      <c r="M2022" s="4" t="s">
        <v>31469</v>
      </c>
    </row>
    <row r="2023" spans="1:13">
      <c r="A2023" s="2">
        <v>2675</v>
      </c>
      <c r="B2023" s="2" t="s">
        <v>21097</v>
      </c>
      <c r="C2023" s="2">
        <v>14</v>
      </c>
      <c r="D2023" s="2">
        <v>568</v>
      </c>
      <c r="E2023" s="2">
        <v>166</v>
      </c>
      <c r="F2023" s="2">
        <v>32441</v>
      </c>
      <c r="G2023" s="2">
        <v>4.8168801969999997</v>
      </c>
      <c r="H2023" s="3">
        <v>3.1999999999999999E-6</v>
      </c>
      <c r="I2023" s="2" t="s">
        <v>31470</v>
      </c>
      <c r="J2023" s="2" t="s">
        <v>31471</v>
      </c>
      <c r="K2023" s="3">
        <v>7.0599999999999995E-5</v>
      </c>
      <c r="L2023" s="2" t="s">
        <v>1178</v>
      </c>
      <c r="M2023" s="4" t="s">
        <v>21100</v>
      </c>
    </row>
    <row r="2024" spans="1:13">
      <c r="A2024" s="2">
        <v>3660</v>
      </c>
      <c r="B2024" s="2" t="s">
        <v>16901</v>
      </c>
      <c r="C2024" s="2">
        <v>14</v>
      </c>
      <c r="D2024" s="2">
        <v>568</v>
      </c>
      <c r="E2024" s="2">
        <v>166</v>
      </c>
      <c r="F2024" s="2">
        <v>32441</v>
      </c>
      <c r="G2024" s="2">
        <v>4.8168801969999997</v>
      </c>
      <c r="H2024" s="3">
        <v>3.1999999999999999E-6</v>
      </c>
      <c r="I2024" s="2" t="s">
        <v>31472</v>
      </c>
      <c r="J2024" s="2" t="s">
        <v>31473</v>
      </c>
      <c r="K2024" s="3">
        <v>7.0599999999999995E-5</v>
      </c>
      <c r="L2024" s="2" t="s">
        <v>1178</v>
      </c>
      <c r="M2024" s="4" t="s">
        <v>16904</v>
      </c>
    </row>
    <row r="2025" spans="1:13">
      <c r="A2025" s="2">
        <v>3583</v>
      </c>
      <c r="B2025" s="2" t="s">
        <v>31474</v>
      </c>
      <c r="C2025" s="2">
        <v>15</v>
      </c>
      <c r="D2025" s="2">
        <v>568</v>
      </c>
      <c r="E2025" s="2">
        <v>193</v>
      </c>
      <c r="F2025" s="2">
        <v>32441</v>
      </c>
      <c r="G2025" s="2">
        <v>4.4389458509999997</v>
      </c>
      <c r="H2025" s="3">
        <v>3.6600000000000001E-6</v>
      </c>
      <c r="I2025" s="2" t="s">
        <v>31475</v>
      </c>
      <c r="J2025" s="2" t="s">
        <v>31476</v>
      </c>
      <c r="K2025" s="3">
        <v>8.0400000000000003E-5</v>
      </c>
      <c r="L2025" s="2" t="s">
        <v>1178</v>
      </c>
      <c r="M2025" s="4" t="s">
        <v>31477</v>
      </c>
    </row>
    <row r="2026" spans="1:13">
      <c r="A2026" s="2">
        <v>2791</v>
      </c>
      <c r="B2026" s="2" t="s">
        <v>1635</v>
      </c>
      <c r="C2026" s="2">
        <v>14</v>
      </c>
      <c r="D2026" s="2">
        <v>568</v>
      </c>
      <c r="E2026" s="2">
        <v>170</v>
      </c>
      <c r="F2026" s="2">
        <v>32441</v>
      </c>
      <c r="G2026" s="2">
        <v>4.7035418389999997</v>
      </c>
      <c r="H2026" s="3">
        <v>4.1400000000000002E-6</v>
      </c>
      <c r="I2026" s="2" t="s">
        <v>31478</v>
      </c>
      <c r="J2026" s="2" t="s">
        <v>31479</v>
      </c>
      <c r="K2026" s="3">
        <v>9.0000000000000006E-5</v>
      </c>
      <c r="L2026" s="2" t="s">
        <v>1178</v>
      </c>
      <c r="M2026" s="4" t="s">
        <v>16239</v>
      </c>
    </row>
    <row r="2027" spans="1:13">
      <c r="A2027" s="2">
        <v>3792</v>
      </c>
      <c r="B2027" s="2" t="s">
        <v>19387</v>
      </c>
      <c r="C2027" s="2">
        <v>15</v>
      </c>
      <c r="D2027" s="2">
        <v>568</v>
      </c>
      <c r="E2027" s="2">
        <v>195</v>
      </c>
      <c r="F2027" s="2">
        <v>32441</v>
      </c>
      <c r="G2027" s="2">
        <v>4.3934182020000003</v>
      </c>
      <c r="H2027" s="3">
        <v>4.1200000000000004E-6</v>
      </c>
      <c r="I2027" s="2" t="s">
        <v>31480</v>
      </c>
      <c r="J2027" s="2" t="s">
        <v>31481</v>
      </c>
      <c r="K2027" s="3">
        <v>9.0000000000000006E-5</v>
      </c>
      <c r="L2027" s="2" t="s">
        <v>1178</v>
      </c>
      <c r="M2027" s="4" t="s">
        <v>19390</v>
      </c>
    </row>
    <row r="2028" spans="1:13">
      <c r="A2028" s="2">
        <v>2110</v>
      </c>
      <c r="B2028" s="2" t="s">
        <v>31482</v>
      </c>
      <c r="C2028" s="2">
        <v>15</v>
      </c>
      <c r="D2028" s="2">
        <v>568</v>
      </c>
      <c r="E2028" s="2">
        <v>200</v>
      </c>
      <c r="F2028" s="2">
        <v>32441</v>
      </c>
      <c r="G2028" s="2">
        <v>4.2835827460000004</v>
      </c>
      <c r="H2028" s="3">
        <v>5.49E-6</v>
      </c>
      <c r="I2028" s="2" t="s">
        <v>31483</v>
      </c>
      <c r="J2028" s="2" t="s">
        <v>31484</v>
      </c>
      <c r="K2028" s="3">
        <v>9.09E-5</v>
      </c>
      <c r="L2028" s="2" t="s">
        <v>1178</v>
      </c>
      <c r="M2028" s="4" t="s">
        <v>31485</v>
      </c>
    </row>
    <row r="2029" spans="1:13">
      <c r="A2029" s="2">
        <v>309</v>
      </c>
      <c r="B2029" s="2" t="s">
        <v>31486</v>
      </c>
      <c r="C2029" s="2">
        <v>15</v>
      </c>
      <c r="D2029" s="2">
        <v>568</v>
      </c>
      <c r="E2029" s="2">
        <v>200</v>
      </c>
      <c r="F2029" s="2">
        <v>32441</v>
      </c>
      <c r="G2029" s="2">
        <v>4.2835827460000004</v>
      </c>
      <c r="H2029" s="3">
        <v>5.49E-6</v>
      </c>
      <c r="I2029" s="2" t="s">
        <v>31487</v>
      </c>
      <c r="J2029" s="2" t="s">
        <v>31488</v>
      </c>
      <c r="K2029" s="3">
        <v>9.09E-5</v>
      </c>
      <c r="L2029" s="2" t="s">
        <v>1178</v>
      </c>
      <c r="M2029" s="4" t="s">
        <v>31489</v>
      </c>
    </row>
    <row r="2030" spans="1:13">
      <c r="A2030" s="2">
        <v>1322</v>
      </c>
      <c r="B2030" s="2" t="s">
        <v>31490</v>
      </c>
      <c r="C2030" s="2">
        <v>15</v>
      </c>
      <c r="D2030" s="2">
        <v>568</v>
      </c>
      <c r="E2030" s="2">
        <v>200</v>
      </c>
      <c r="F2030" s="2">
        <v>32441</v>
      </c>
      <c r="G2030" s="2">
        <v>4.2835827460000004</v>
      </c>
      <c r="H2030" s="3">
        <v>5.49E-6</v>
      </c>
      <c r="I2030" s="2" t="s">
        <v>31491</v>
      </c>
      <c r="J2030" s="2" t="s">
        <v>31492</v>
      </c>
      <c r="K2030" s="3">
        <v>9.09E-5</v>
      </c>
      <c r="L2030" s="2" t="s">
        <v>1178</v>
      </c>
      <c r="M2030" s="4" t="s">
        <v>31493</v>
      </c>
    </row>
    <row r="2031" spans="1:13">
      <c r="A2031" s="2">
        <v>2112</v>
      </c>
      <c r="B2031" s="2" t="s">
        <v>3321</v>
      </c>
      <c r="C2031" s="2">
        <v>15</v>
      </c>
      <c r="D2031" s="2">
        <v>568</v>
      </c>
      <c r="E2031" s="2">
        <v>200</v>
      </c>
      <c r="F2031" s="2">
        <v>32441</v>
      </c>
      <c r="G2031" s="2">
        <v>4.2835827460000004</v>
      </c>
      <c r="H2031" s="3">
        <v>5.49E-6</v>
      </c>
      <c r="I2031" s="2" t="s">
        <v>31494</v>
      </c>
      <c r="J2031" s="2" t="s">
        <v>31495</v>
      </c>
      <c r="K2031" s="3">
        <v>9.09E-5</v>
      </c>
      <c r="L2031" s="2" t="s">
        <v>1178</v>
      </c>
      <c r="M2031" s="4" t="s">
        <v>3324</v>
      </c>
    </row>
    <row r="2032" spans="1:13">
      <c r="A2032" s="2">
        <v>2174</v>
      </c>
      <c r="B2032" s="2" t="s">
        <v>3325</v>
      </c>
      <c r="C2032" s="2">
        <v>15</v>
      </c>
      <c r="D2032" s="2">
        <v>568</v>
      </c>
      <c r="E2032" s="2">
        <v>200</v>
      </c>
      <c r="F2032" s="2">
        <v>32441</v>
      </c>
      <c r="G2032" s="2">
        <v>4.2835827460000004</v>
      </c>
      <c r="H2032" s="3">
        <v>5.49E-6</v>
      </c>
      <c r="I2032" s="2" t="s">
        <v>31496</v>
      </c>
      <c r="J2032" s="2" t="s">
        <v>31497</v>
      </c>
      <c r="K2032" s="3">
        <v>9.09E-5</v>
      </c>
      <c r="L2032" s="2" t="s">
        <v>1178</v>
      </c>
      <c r="M2032" s="4" t="s">
        <v>3328</v>
      </c>
    </row>
    <row r="2033" spans="1:13">
      <c r="A2033" s="2">
        <v>2291</v>
      </c>
      <c r="B2033" s="2" t="s">
        <v>31498</v>
      </c>
      <c r="C2033" s="2">
        <v>15</v>
      </c>
      <c r="D2033" s="2">
        <v>568</v>
      </c>
      <c r="E2033" s="2">
        <v>200</v>
      </c>
      <c r="F2033" s="2">
        <v>32441</v>
      </c>
      <c r="G2033" s="2">
        <v>4.2835827460000004</v>
      </c>
      <c r="H2033" s="3">
        <v>5.49E-6</v>
      </c>
      <c r="I2033" s="2" t="s">
        <v>31499</v>
      </c>
      <c r="J2033" s="2" t="s">
        <v>31500</v>
      </c>
      <c r="K2033" s="3">
        <v>9.09E-5</v>
      </c>
      <c r="L2033" s="2" t="s">
        <v>1178</v>
      </c>
      <c r="M2033" s="4" t="s">
        <v>31501</v>
      </c>
    </row>
    <row r="2034" spans="1:13">
      <c r="A2034" s="2">
        <v>2571</v>
      </c>
      <c r="B2034" s="2" t="s">
        <v>2325</v>
      </c>
      <c r="C2034" s="2">
        <v>15</v>
      </c>
      <c r="D2034" s="2">
        <v>568</v>
      </c>
      <c r="E2034" s="2">
        <v>200</v>
      </c>
      <c r="F2034" s="2">
        <v>32441</v>
      </c>
      <c r="G2034" s="2">
        <v>4.2835827460000004</v>
      </c>
      <c r="H2034" s="3">
        <v>5.49E-6</v>
      </c>
      <c r="I2034" s="2" t="s">
        <v>31502</v>
      </c>
      <c r="J2034" s="2" t="s">
        <v>31503</v>
      </c>
      <c r="K2034" s="3">
        <v>9.09E-5</v>
      </c>
      <c r="L2034" s="2" t="s">
        <v>1178</v>
      </c>
      <c r="M2034" s="4" t="s">
        <v>31504</v>
      </c>
    </row>
    <row r="2035" spans="1:13">
      <c r="A2035" s="2">
        <v>3112</v>
      </c>
      <c r="B2035" s="2" t="s">
        <v>31505</v>
      </c>
      <c r="C2035" s="2">
        <v>15</v>
      </c>
      <c r="D2035" s="2">
        <v>568</v>
      </c>
      <c r="E2035" s="2">
        <v>200</v>
      </c>
      <c r="F2035" s="2">
        <v>32441</v>
      </c>
      <c r="G2035" s="2">
        <v>4.2835827460000004</v>
      </c>
      <c r="H2035" s="3">
        <v>5.49E-6</v>
      </c>
      <c r="I2035" s="2" t="s">
        <v>31506</v>
      </c>
      <c r="J2035" s="2" t="s">
        <v>31507</v>
      </c>
      <c r="K2035" s="3">
        <v>9.09E-5</v>
      </c>
      <c r="L2035" s="2" t="s">
        <v>1178</v>
      </c>
      <c r="M2035" s="4" t="s">
        <v>31508</v>
      </c>
    </row>
    <row r="2036" spans="1:13">
      <c r="A2036" s="2">
        <v>3462</v>
      </c>
      <c r="B2036" s="2" t="s">
        <v>19482</v>
      </c>
      <c r="C2036" s="2">
        <v>15</v>
      </c>
      <c r="D2036" s="2">
        <v>568</v>
      </c>
      <c r="E2036" s="2">
        <v>200</v>
      </c>
      <c r="F2036" s="2">
        <v>32441</v>
      </c>
      <c r="G2036" s="2">
        <v>4.2835827460000004</v>
      </c>
      <c r="H2036" s="3">
        <v>5.49E-6</v>
      </c>
      <c r="I2036" s="2" t="s">
        <v>31509</v>
      </c>
      <c r="J2036" s="2" t="s">
        <v>31510</v>
      </c>
      <c r="K2036" s="3">
        <v>9.09E-5</v>
      </c>
      <c r="L2036" s="2" t="s">
        <v>1178</v>
      </c>
      <c r="M2036" s="4" t="s">
        <v>19485</v>
      </c>
    </row>
    <row r="2037" spans="1:13">
      <c r="A2037" s="2">
        <v>6731</v>
      </c>
      <c r="B2037" s="2" t="s">
        <v>2067</v>
      </c>
      <c r="C2037" s="2">
        <v>15</v>
      </c>
      <c r="D2037" s="2">
        <v>568</v>
      </c>
      <c r="E2037" s="2">
        <v>200</v>
      </c>
      <c r="F2037" s="2">
        <v>32441</v>
      </c>
      <c r="G2037" s="2">
        <v>4.2835827460000004</v>
      </c>
      <c r="H2037" s="3">
        <v>5.49E-6</v>
      </c>
      <c r="I2037" s="2" t="s">
        <v>31511</v>
      </c>
      <c r="J2037" s="2" t="s">
        <v>31512</v>
      </c>
      <c r="K2037" s="3">
        <v>9.09E-5</v>
      </c>
      <c r="L2037" s="2" t="s">
        <v>1178</v>
      </c>
      <c r="M2037" s="4" t="s">
        <v>23084</v>
      </c>
    </row>
    <row r="2038" spans="1:13">
      <c r="A2038" s="2">
        <v>6901</v>
      </c>
      <c r="B2038" s="2" t="s">
        <v>31513</v>
      </c>
      <c r="C2038" s="2">
        <v>15</v>
      </c>
      <c r="D2038" s="2">
        <v>568</v>
      </c>
      <c r="E2038" s="2">
        <v>200</v>
      </c>
      <c r="F2038" s="2">
        <v>32441</v>
      </c>
      <c r="G2038" s="2">
        <v>4.2835827460000004</v>
      </c>
      <c r="H2038" s="3">
        <v>5.49E-6</v>
      </c>
      <c r="I2038" s="2" t="s">
        <v>31514</v>
      </c>
      <c r="J2038" s="2" t="s">
        <v>31515</v>
      </c>
      <c r="K2038" s="3">
        <v>9.09E-5</v>
      </c>
      <c r="L2038" s="2" t="s">
        <v>1178</v>
      </c>
      <c r="M2038" s="4" t="s">
        <v>31516</v>
      </c>
    </row>
    <row r="2039" spans="1:13">
      <c r="A2039" s="2">
        <v>6921</v>
      </c>
      <c r="B2039" s="2" t="s">
        <v>31517</v>
      </c>
      <c r="C2039" s="2">
        <v>15</v>
      </c>
      <c r="D2039" s="2">
        <v>568</v>
      </c>
      <c r="E2039" s="2">
        <v>200</v>
      </c>
      <c r="F2039" s="2">
        <v>32441</v>
      </c>
      <c r="G2039" s="2">
        <v>4.2835827460000004</v>
      </c>
      <c r="H2039" s="3">
        <v>5.49E-6</v>
      </c>
      <c r="I2039" s="2" t="s">
        <v>31518</v>
      </c>
      <c r="J2039" s="2" t="s">
        <v>31519</v>
      </c>
      <c r="K2039" s="3">
        <v>9.09E-5</v>
      </c>
      <c r="L2039" s="2" t="s">
        <v>1178</v>
      </c>
      <c r="M2039" s="4" t="s">
        <v>31520</v>
      </c>
    </row>
    <row r="2040" spans="1:13">
      <c r="A2040" s="2">
        <v>8961</v>
      </c>
      <c r="B2040" s="2" t="s">
        <v>21911</v>
      </c>
      <c r="C2040" s="2">
        <v>15</v>
      </c>
      <c r="D2040" s="2">
        <v>568</v>
      </c>
      <c r="E2040" s="2">
        <v>200</v>
      </c>
      <c r="F2040" s="2">
        <v>32441</v>
      </c>
      <c r="G2040" s="2">
        <v>4.2835827460000004</v>
      </c>
      <c r="H2040" s="3">
        <v>5.49E-6</v>
      </c>
      <c r="I2040" s="2" t="s">
        <v>31521</v>
      </c>
      <c r="J2040" s="2" t="s">
        <v>31522</v>
      </c>
      <c r="K2040" s="3">
        <v>9.09E-5</v>
      </c>
      <c r="L2040" s="2" t="s">
        <v>1178</v>
      </c>
      <c r="M2040" s="4" t="s">
        <v>21914</v>
      </c>
    </row>
    <row r="2041" spans="1:13">
      <c r="A2041" s="2">
        <v>934</v>
      </c>
      <c r="B2041" s="2" t="s">
        <v>14709</v>
      </c>
      <c r="C2041" s="2">
        <v>15</v>
      </c>
      <c r="D2041" s="2">
        <v>568</v>
      </c>
      <c r="E2041" s="2">
        <v>200</v>
      </c>
      <c r="F2041" s="2">
        <v>32441</v>
      </c>
      <c r="G2041" s="2">
        <v>4.2835827460000004</v>
      </c>
      <c r="H2041" s="3">
        <v>5.49E-6</v>
      </c>
      <c r="I2041" s="2" t="s">
        <v>31523</v>
      </c>
      <c r="J2041" s="2" t="s">
        <v>31524</v>
      </c>
      <c r="K2041" s="3">
        <v>9.09E-5</v>
      </c>
      <c r="L2041" s="2" t="s">
        <v>1178</v>
      </c>
      <c r="M2041" s="4" t="s">
        <v>14712</v>
      </c>
    </row>
    <row r="2042" spans="1:13">
      <c r="A2042" s="2">
        <v>936</v>
      </c>
      <c r="B2042" s="2" t="s">
        <v>21919</v>
      </c>
      <c r="C2042" s="2">
        <v>15</v>
      </c>
      <c r="D2042" s="2">
        <v>568</v>
      </c>
      <c r="E2042" s="2">
        <v>200</v>
      </c>
      <c r="F2042" s="2">
        <v>32441</v>
      </c>
      <c r="G2042" s="2">
        <v>4.2835827460000004</v>
      </c>
      <c r="H2042" s="3">
        <v>5.49E-6</v>
      </c>
      <c r="I2042" s="2" t="s">
        <v>31525</v>
      </c>
      <c r="J2042" s="2" t="s">
        <v>31526</v>
      </c>
      <c r="K2042" s="3">
        <v>9.09E-5</v>
      </c>
      <c r="L2042" s="2" t="s">
        <v>1178</v>
      </c>
      <c r="M2042" s="4" t="s">
        <v>21922</v>
      </c>
    </row>
    <row r="2043" spans="1:13">
      <c r="A2043" s="2">
        <v>951</v>
      </c>
      <c r="B2043" s="2" t="s">
        <v>1572</v>
      </c>
      <c r="C2043" s="2">
        <v>15</v>
      </c>
      <c r="D2043" s="2">
        <v>568</v>
      </c>
      <c r="E2043" s="2">
        <v>200</v>
      </c>
      <c r="F2043" s="2">
        <v>32441</v>
      </c>
      <c r="G2043" s="2">
        <v>4.2835827460000004</v>
      </c>
      <c r="H2043" s="3">
        <v>5.49E-6</v>
      </c>
      <c r="I2043" s="2" t="s">
        <v>31527</v>
      </c>
      <c r="J2043" s="2" t="s">
        <v>31528</v>
      </c>
      <c r="K2043" s="3">
        <v>9.09E-5</v>
      </c>
      <c r="L2043" s="2" t="s">
        <v>1178</v>
      </c>
      <c r="M2043" s="4" t="s">
        <v>13462</v>
      </c>
    </row>
    <row r="2044" spans="1:13">
      <c r="A2044" s="2">
        <v>963</v>
      </c>
      <c r="B2044" s="2" t="s">
        <v>3138</v>
      </c>
      <c r="C2044" s="2">
        <v>15</v>
      </c>
      <c r="D2044" s="2">
        <v>568</v>
      </c>
      <c r="E2044" s="2">
        <v>200</v>
      </c>
      <c r="F2044" s="2">
        <v>32441</v>
      </c>
      <c r="G2044" s="2">
        <v>4.2835827460000004</v>
      </c>
      <c r="H2044" s="3">
        <v>5.49E-6</v>
      </c>
      <c r="I2044" s="2" t="s">
        <v>31529</v>
      </c>
      <c r="J2044" s="2" t="s">
        <v>31530</v>
      </c>
      <c r="K2044" s="3">
        <v>9.09E-5</v>
      </c>
      <c r="L2044" s="2" t="s">
        <v>1178</v>
      </c>
      <c r="M2044" s="4" t="s">
        <v>3141</v>
      </c>
    </row>
    <row r="2045" spans="1:13">
      <c r="A2045" s="2">
        <v>1051</v>
      </c>
      <c r="B2045" s="2" t="s">
        <v>23211</v>
      </c>
      <c r="C2045" s="2">
        <v>15</v>
      </c>
      <c r="D2045" s="2">
        <v>568</v>
      </c>
      <c r="E2045" s="2">
        <v>200</v>
      </c>
      <c r="F2045" s="2">
        <v>32441</v>
      </c>
      <c r="G2045" s="2">
        <v>4.2835827460000004</v>
      </c>
      <c r="H2045" s="3">
        <v>5.49E-6</v>
      </c>
      <c r="I2045" s="2" t="s">
        <v>31531</v>
      </c>
      <c r="J2045" s="2" t="s">
        <v>31532</v>
      </c>
      <c r="K2045" s="3">
        <v>9.09E-5</v>
      </c>
      <c r="L2045" s="2" t="s">
        <v>1178</v>
      </c>
      <c r="M2045" s="4" t="s">
        <v>23214</v>
      </c>
    </row>
    <row r="2046" spans="1:13">
      <c r="A2046" s="2">
        <v>1110</v>
      </c>
      <c r="B2046" s="2" t="s">
        <v>31533</v>
      </c>
      <c r="C2046" s="2">
        <v>15</v>
      </c>
      <c r="D2046" s="2">
        <v>568</v>
      </c>
      <c r="E2046" s="2">
        <v>200</v>
      </c>
      <c r="F2046" s="2">
        <v>32441</v>
      </c>
      <c r="G2046" s="2">
        <v>4.2835827460000004</v>
      </c>
      <c r="H2046" s="3">
        <v>5.49E-6</v>
      </c>
      <c r="I2046" s="2" t="s">
        <v>31534</v>
      </c>
      <c r="J2046" s="2" t="s">
        <v>31535</v>
      </c>
      <c r="K2046" s="3">
        <v>9.09E-5</v>
      </c>
      <c r="L2046" s="2" t="s">
        <v>1178</v>
      </c>
      <c r="M2046" s="4" t="s">
        <v>31536</v>
      </c>
    </row>
    <row r="2047" spans="1:13">
      <c r="A2047" s="2">
        <v>1162</v>
      </c>
      <c r="B2047" s="2" t="s">
        <v>1872</v>
      </c>
      <c r="C2047" s="2">
        <v>15</v>
      </c>
      <c r="D2047" s="2">
        <v>568</v>
      </c>
      <c r="E2047" s="2">
        <v>200</v>
      </c>
      <c r="F2047" s="2">
        <v>32441</v>
      </c>
      <c r="G2047" s="2">
        <v>4.2835827460000004</v>
      </c>
      <c r="H2047" s="3">
        <v>5.49E-6</v>
      </c>
      <c r="I2047" s="2" t="s">
        <v>31537</v>
      </c>
      <c r="J2047" s="2" t="s">
        <v>31538</v>
      </c>
      <c r="K2047" s="3">
        <v>9.09E-5</v>
      </c>
      <c r="L2047" s="2" t="s">
        <v>1178</v>
      </c>
      <c r="M2047" s="4" t="s">
        <v>17904</v>
      </c>
    </row>
    <row r="2048" spans="1:13">
      <c r="A2048" s="2">
        <v>11831</v>
      </c>
      <c r="B2048" s="2" t="s">
        <v>31539</v>
      </c>
      <c r="C2048" s="2">
        <v>15</v>
      </c>
      <c r="D2048" s="2">
        <v>568</v>
      </c>
      <c r="E2048" s="2">
        <v>200</v>
      </c>
      <c r="F2048" s="2">
        <v>32441</v>
      </c>
      <c r="G2048" s="2">
        <v>4.2835827460000004</v>
      </c>
      <c r="H2048" s="3">
        <v>5.49E-6</v>
      </c>
      <c r="I2048" s="2" t="s">
        <v>31540</v>
      </c>
      <c r="J2048" s="2" t="s">
        <v>31541</v>
      </c>
      <c r="K2048" s="3">
        <v>9.09E-5</v>
      </c>
      <c r="L2048" s="2" t="s">
        <v>1178</v>
      </c>
      <c r="M2048" s="4" t="s">
        <v>31542</v>
      </c>
    </row>
    <row r="2049" spans="1:13">
      <c r="A2049" s="2">
        <v>11871</v>
      </c>
      <c r="B2049" s="2" t="s">
        <v>3376</v>
      </c>
      <c r="C2049" s="2">
        <v>15</v>
      </c>
      <c r="D2049" s="2">
        <v>568</v>
      </c>
      <c r="E2049" s="2">
        <v>200</v>
      </c>
      <c r="F2049" s="2">
        <v>32441</v>
      </c>
      <c r="G2049" s="2">
        <v>4.2835827460000004</v>
      </c>
      <c r="H2049" s="3">
        <v>5.49E-6</v>
      </c>
      <c r="I2049" s="2" t="s">
        <v>31543</v>
      </c>
      <c r="J2049" s="2" t="s">
        <v>31544</v>
      </c>
      <c r="K2049" s="3">
        <v>9.09E-5</v>
      </c>
      <c r="L2049" s="2" t="s">
        <v>1178</v>
      </c>
      <c r="M2049" s="4" t="s">
        <v>3379</v>
      </c>
    </row>
    <row r="2050" spans="1:13">
      <c r="A2050" s="2">
        <v>1197</v>
      </c>
      <c r="B2050" s="2" t="s">
        <v>20746</v>
      </c>
      <c r="C2050" s="2">
        <v>15</v>
      </c>
      <c r="D2050" s="2">
        <v>568</v>
      </c>
      <c r="E2050" s="2">
        <v>200</v>
      </c>
      <c r="F2050" s="2">
        <v>32441</v>
      </c>
      <c r="G2050" s="2">
        <v>4.2835827460000004</v>
      </c>
      <c r="H2050" s="3">
        <v>5.49E-6</v>
      </c>
      <c r="I2050" s="2" t="s">
        <v>31545</v>
      </c>
      <c r="J2050" s="2" t="s">
        <v>31546</v>
      </c>
      <c r="K2050" s="3">
        <v>9.09E-5</v>
      </c>
      <c r="L2050" s="2" t="s">
        <v>1178</v>
      </c>
      <c r="M2050" s="4" t="s">
        <v>20749</v>
      </c>
    </row>
    <row r="2051" spans="1:13">
      <c r="A2051" s="2">
        <v>11991</v>
      </c>
      <c r="B2051" s="2" t="s">
        <v>3380</v>
      </c>
      <c r="C2051" s="2">
        <v>15</v>
      </c>
      <c r="D2051" s="2">
        <v>568</v>
      </c>
      <c r="E2051" s="2">
        <v>200</v>
      </c>
      <c r="F2051" s="2">
        <v>32441</v>
      </c>
      <c r="G2051" s="2">
        <v>4.2835827460000004</v>
      </c>
      <c r="H2051" s="3">
        <v>5.49E-6</v>
      </c>
      <c r="I2051" s="2" t="s">
        <v>31547</v>
      </c>
      <c r="J2051" s="2" t="s">
        <v>31548</v>
      </c>
      <c r="K2051" s="3">
        <v>9.09E-5</v>
      </c>
      <c r="L2051" s="2" t="s">
        <v>1178</v>
      </c>
      <c r="M2051" s="4" t="s">
        <v>3383</v>
      </c>
    </row>
    <row r="2052" spans="1:13">
      <c r="A2052" s="2">
        <v>1201</v>
      </c>
      <c r="B2052" s="2" t="s">
        <v>23251</v>
      </c>
      <c r="C2052" s="2">
        <v>15</v>
      </c>
      <c r="D2052" s="2">
        <v>568</v>
      </c>
      <c r="E2052" s="2">
        <v>200</v>
      </c>
      <c r="F2052" s="2">
        <v>32441</v>
      </c>
      <c r="G2052" s="2">
        <v>4.2835827460000004</v>
      </c>
      <c r="H2052" s="3">
        <v>5.49E-6</v>
      </c>
      <c r="I2052" s="2" t="s">
        <v>31549</v>
      </c>
      <c r="J2052" s="2" t="s">
        <v>31550</v>
      </c>
      <c r="K2052" s="3">
        <v>9.09E-5</v>
      </c>
      <c r="L2052" s="2" t="s">
        <v>1178</v>
      </c>
      <c r="M2052" s="4" t="s">
        <v>23254</v>
      </c>
    </row>
    <row r="2053" spans="1:13">
      <c r="A2053" s="2">
        <v>12111</v>
      </c>
      <c r="B2053" s="2" t="s">
        <v>20754</v>
      </c>
      <c r="C2053" s="2">
        <v>15</v>
      </c>
      <c r="D2053" s="2">
        <v>568</v>
      </c>
      <c r="E2053" s="2">
        <v>200</v>
      </c>
      <c r="F2053" s="2">
        <v>32441</v>
      </c>
      <c r="G2053" s="2">
        <v>4.2835827460000004</v>
      </c>
      <c r="H2053" s="3">
        <v>5.49E-6</v>
      </c>
      <c r="I2053" s="2" t="s">
        <v>31551</v>
      </c>
      <c r="J2053" s="2" t="s">
        <v>31552</v>
      </c>
      <c r="K2053" s="3">
        <v>9.09E-5</v>
      </c>
      <c r="L2053" s="2" t="s">
        <v>1178</v>
      </c>
      <c r="M2053" s="4" t="s">
        <v>20757</v>
      </c>
    </row>
    <row r="2054" spans="1:13">
      <c r="A2054" s="2">
        <v>1230</v>
      </c>
      <c r="B2054" s="2" t="s">
        <v>31553</v>
      </c>
      <c r="C2054" s="2">
        <v>15</v>
      </c>
      <c r="D2054" s="2">
        <v>568</v>
      </c>
      <c r="E2054" s="2">
        <v>200</v>
      </c>
      <c r="F2054" s="2">
        <v>32441</v>
      </c>
      <c r="G2054" s="2">
        <v>4.2835827460000004</v>
      </c>
      <c r="H2054" s="3">
        <v>5.49E-6</v>
      </c>
      <c r="I2054" s="2" t="s">
        <v>31554</v>
      </c>
      <c r="J2054" s="2" t="s">
        <v>31555</v>
      </c>
      <c r="K2054" s="3">
        <v>9.09E-5</v>
      </c>
      <c r="L2054" s="2" t="s">
        <v>1178</v>
      </c>
      <c r="M2054" s="4" t="s">
        <v>31556</v>
      </c>
    </row>
    <row r="2055" spans="1:13">
      <c r="A2055" s="2">
        <v>1301</v>
      </c>
      <c r="B2055" s="2" t="s">
        <v>2436</v>
      </c>
      <c r="C2055" s="2">
        <v>15</v>
      </c>
      <c r="D2055" s="2">
        <v>568</v>
      </c>
      <c r="E2055" s="2">
        <v>200</v>
      </c>
      <c r="F2055" s="2">
        <v>32441</v>
      </c>
      <c r="G2055" s="2">
        <v>4.2835827460000004</v>
      </c>
      <c r="H2055" s="3">
        <v>5.49E-6</v>
      </c>
      <c r="I2055" s="2" t="s">
        <v>31557</v>
      </c>
      <c r="J2055" s="2" t="s">
        <v>31558</v>
      </c>
      <c r="K2055" s="3">
        <v>9.09E-5</v>
      </c>
      <c r="L2055" s="2" t="s">
        <v>1178</v>
      </c>
      <c r="M2055" s="4" t="s">
        <v>17925</v>
      </c>
    </row>
    <row r="2056" spans="1:13">
      <c r="A2056" s="2">
        <v>13531</v>
      </c>
      <c r="B2056" s="2" t="s">
        <v>31559</v>
      </c>
      <c r="C2056" s="2">
        <v>15</v>
      </c>
      <c r="D2056" s="2">
        <v>568</v>
      </c>
      <c r="E2056" s="2">
        <v>200</v>
      </c>
      <c r="F2056" s="2">
        <v>32441</v>
      </c>
      <c r="G2056" s="2">
        <v>4.2835827460000004</v>
      </c>
      <c r="H2056" s="3">
        <v>5.49E-6</v>
      </c>
      <c r="I2056" s="2" t="s">
        <v>31560</v>
      </c>
      <c r="J2056" s="2" t="s">
        <v>31561</v>
      </c>
      <c r="K2056" s="3">
        <v>9.09E-5</v>
      </c>
      <c r="L2056" s="2" t="s">
        <v>1178</v>
      </c>
      <c r="M2056" s="4" t="s">
        <v>31562</v>
      </c>
    </row>
    <row r="2057" spans="1:13">
      <c r="A2057" s="2">
        <v>1374</v>
      </c>
      <c r="B2057" s="2" t="s">
        <v>16448</v>
      </c>
      <c r="C2057" s="2">
        <v>15</v>
      </c>
      <c r="D2057" s="2">
        <v>568</v>
      </c>
      <c r="E2057" s="2">
        <v>200</v>
      </c>
      <c r="F2057" s="2">
        <v>32441</v>
      </c>
      <c r="G2057" s="2">
        <v>4.2835827460000004</v>
      </c>
      <c r="H2057" s="3">
        <v>5.49E-6</v>
      </c>
      <c r="I2057" s="2" t="s">
        <v>31563</v>
      </c>
      <c r="J2057" s="2" t="s">
        <v>31564</v>
      </c>
      <c r="K2057" s="3">
        <v>9.09E-5</v>
      </c>
      <c r="L2057" s="2" t="s">
        <v>1178</v>
      </c>
      <c r="M2057" s="4" t="s">
        <v>16451</v>
      </c>
    </row>
    <row r="2058" spans="1:13">
      <c r="A2058" s="2">
        <v>1551</v>
      </c>
      <c r="B2058" s="2" t="s">
        <v>17187</v>
      </c>
      <c r="C2058" s="2">
        <v>15</v>
      </c>
      <c r="D2058" s="2">
        <v>568</v>
      </c>
      <c r="E2058" s="2">
        <v>199</v>
      </c>
      <c r="F2058" s="2">
        <v>32441</v>
      </c>
      <c r="G2058" s="2">
        <v>4.3051082879999996</v>
      </c>
      <c r="H2058" s="3">
        <v>5.1900000000000003E-6</v>
      </c>
      <c r="I2058" s="2" t="s">
        <v>31565</v>
      </c>
      <c r="J2058" s="2" t="s">
        <v>31566</v>
      </c>
      <c r="K2058" s="3">
        <v>9.09E-5</v>
      </c>
      <c r="L2058" s="2" t="s">
        <v>1178</v>
      </c>
      <c r="M2058" s="4" t="s">
        <v>17190</v>
      </c>
    </row>
    <row r="2059" spans="1:13">
      <c r="A2059" s="2">
        <v>1579</v>
      </c>
      <c r="B2059" s="2" t="s">
        <v>22059</v>
      </c>
      <c r="C2059" s="2">
        <v>15</v>
      </c>
      <c r="D2059" s="2">
        <v>568</v>
      </c>
      <c r="E2059" s="2">
        <v>200</v>
      </c>
      <c r="F2059" s="2">
        <v>32441</v>
      </c>
      <c r="G2059" s="2">
        <v>4.2835827460000004</v>
      </c>
      <c r="H2059" s="3">
        <v>5.49E-6</v>
      </c>
      <c r="I2059" s="2" t="s">
        <v>31567</v>
      </c>
      <c r="J2059" s="2" t="s">
        <v>31568</v>
      </c>
      <c r="K2059" s="3">
        <v>9.09E-5</v>
      </c>
      <c r="L2059" s="2" t="s">
        <v>1178</v>
      </c>
      <c r="M2059" s="4" t="s">
        <v>22062</v>
      </c>
    </row>
    <row r="2060" spans="1:13">
      <c r="A2060" s="2">
        <v>1821</v>
      </c>
      <c r="B2060" s="2" t="s">
        <v>31569</v>
      </c>
      <c r="C2060" s="2">
        <v>15</v>
      </c>
      <c r="D2060" s="2">
        <v>568</v>
      </c>
      <c r="E2060" s="2">
        <v>200</v>
      </c>
      <c r="F2060" s="2">
        <v>32441</v>
      </c>
      <c r="G2060" s="2">
        <v>4.2835827460000004</v>
      </c>
      <c r="H2060" s="3">
        <v>5.49E-6</v>
      </c>
      <c r="I2060" s="2" t="s">
        <v>31570</v>
      </c>
      <c r="J2060" s="2" t="s">
        <v>31571</v>
      </c>
      <c r="K2060" s="3">
        <v>9.09E-5</v>
      </c>
      <c r="L2060" s="2" t="s">
        <v>1178</v>
      </c>
      <c r="M2060" s="4" t="s">
        <v>31572</v>
      </c>
    </row>
    <row r="2061" spans="1:13">
      <c r="A2061" s="2">
        <v>18581</v>
      </c>
      <c r="B2061" s="2" t="s">
        <v>17259</v>
      </c>
      <c r="C2061" s="2">
        <v>15</v>
      </c>
      <c r="D2061" s="2">
        <v>568</v>
      </c>
      <c r="E2061" s="2">
        <v>200</v>
      </c>
      <c r="F2061" s="2">
        <v>32441</v>
      </c>
      <c r="G2061" s="2">
        <v>4.2835827460000004</v>
      </c>
      <c r="H2061" s="3">
        <v>5.49E-6</v>
      </c>
      <c r="I2061" s="2" t="s">
        <v>31573</v>
      </c>
      <c r="J2061" s="2" t="s">
        <v>31574</v>
      </c>
      <c r="K2061" s="3">
        <v>9.09E-5</v>
      </c>
      <c r="L2061" s="2" t="s">
        <v>1178</v>
      </c>
      <c r="M2061" s="4" t="s">
        <v>17262</v>
      </c>
    </row>
    <row r="2062" spans="1:13">
      <c r="A2062" s="2">
        <v>1946</v>
      </c>
      <c r="B2062" s="2" t="s">
        <v>31575</v>
      </c>
      <c r="C2062" s="2">
        <v>15</v>
      </c>
      <c r="D2062" s="2">
        <v>568</v>
      </c>
      <c r="E2062" s="2">
        <v>199</v>
      </c>
      <c r="F2062" s="2">
        <v>32441</v>
      </c>
      <c r="G2062" s="2">
        <v>4.3051082879999996</v>
      </c>
      <c r="H2062" s="3">
        <v>5.1900000000000003E-6</v>
      </c>
      <c r="I2062" s="2" t="s">
        <v>31576</v>
      </c>
      <c r="J2062" s="2" t="s">
        <v>31577</v>
      </c>
      <c r="K2062" s="3">
        <v>9.09E-5</v>
      </c>
      <c r="L2062" s="2" t="s">
        <v>1178</v>
      </c>
      <c r="M2062" s="4" t="s">
        <v>31578</v>
      </c>
    </row>
    <row r="2063" spans="1:13">
      <c r="A2063" s="2">
        <v>1949</v>
      </c>
      <c r="B2063" s="2" t="s">
        <v>15835</v>
      </c>
      <c r="C2063" s="2">
        <v>15</v>
      </c>
      <c r="D2063" s="2">
        <v>568</v>
      </c>
      <c r="E2063" s="2">
        <v>200</v>
      </c>
      <c r="F2063" s="2">
        <v>32441</v>
      </c>
      <c r="G2063" s="2">
        <v>4.2835827460000004</v>
      </c>
      <c r="H2063" s="3">
        <v>5.49E-6</v>
      </c>
      <c r="I2063" s="2" t="s">
        <v>31579</v>
      </c>
      <c r="J2063" s="2" t="s">
        <v>31580</v>
      </c>
      <c r="K2063" s="3">
        <v>9.09E-5</v>
      </c>
      <c r="L2063" s="2" t="s">
        <v>1178</v>
      </c>
      <c r="M2063" s="4" t="s">
        <v>15838</v>
      </c>
    </row>
    <row r="2064" spans="1:13">
      <c r="A2064" s="2">
        <v>1986</v>
      </c>
      <c r="B2064" s="2" t="s">
        <v>23519</v>
      </c>
      <c r="C2064" s="2">
        <v>15</v>
      </c>
      <c r="D2064" s="2">
        <v>568</v>
      </c>
      <c r="E2064" s="2">
        <v>198</v>
      </c>
      <c r="F2064" s="2">
        <v>32441</v>
      </c>
      <c r="G2064" s="2">
        <v>4.3268512589999997</v>
      </c>
      <c r="H2064" s="3">
        <v>4.8999999999999997E-6</v>
      </c>
      <c r="I2064" s="2" t="s">
        <v>31581</v>
      </c>
      <c r="J2064" s="2" t="s">
        <v>31582</v>
      </c>
      <c r="K2064" s="3">
        <v>9.09E-5</v>
      </c>
      <c r="L2064" s="2" t="s">
        <v>1178</v>
      </c>
      <c r="M2064" s="4" t="s">
        <v>23522</v>
      </c>
    </row>
    <row r="2065" spans="1:13">
      <c r="A2065" s="2">
        <v>2021</v>
      </c>
      <c r="B2065" s="2" t="s">
        <v>16517</v>
      </c>
      <c r="C2065" s="2">
        <v>15</v>
      </c>
      <c r="D2065" s="2">
        <v>568</v>
      </c>
      <c r="E2065" s="2">
        <v>200</v>
      </c>
      <c r="F2065" s="2">
        <v>32441</v>
      </c>
      <c r="G2065" s="2">
        <v>4.2835827460000004</v>
      </c>
      <c r="H2065" s="3">
        <v>5.49E-6</v>
      </c>
      <c r="I2065" s="2" t="s">
        <v>31583</v>
      </c>
      <c r="J2065" s="2" t="s">
        <v>31584</v>
      </c>
      <c r="K2065" s="3">
        <v>9.09E-5</v>
      </c>
      <c r="L2065" s="2" t="s">
        <v>1178</v>
      </c>
      <c r="M2065" s="4" t="s">
        <v>16520</v>
      </c>
    </row>
    <row r="2066" spans="1:13">
      <c r="A2066" s="2">
        <v>2155</v>
      </c>
      <c r="B2066" s="2" t="s">
        <v>1539</v>
      </c>
      <c r="C2066" s="2">
        <v>14</v>
      </c>
      <c r="D2066" s="2">
        <v>568</v>
      </c>
      <c r="E2066" s="2">
        <v>173</v>
      </c>
      <c r="F2066" s="2">
        <v>32441</v>
      </c>
      <c r="G2066" s="2">
        <v>4.6219775299999997</v>
      </c>
      <c r="H2066" s="3">
        <v>4.9899999999999997E-6</v>
      </c>
      <c r="I2066" s="2" t="s">
        <v>31585</v>
      </c>
      <c r="J2066" s="2" t="s">
        <v>31586</v>
      </c>
      <c r="K2066" s="3">
        <v>9.09E-5</v>
      </c>
      <c r="L2066" s="2" t="s">
        <v>1178</v>
      </c>
      <c r="M2066" s="4" t="s">
        <v>31587</v>
      </c>
    </row>
    <row r="2067" spans="1:13">
      <c r="A2067" s="2">
        <v>2222</v>
      </c>
      <c r="B2067" s="2" t="s">
        <v>3208</v>
      </c>
      <c r="C2067" s="2">
        <v>15</v>
      </c>
      <c r="D2067" s="2">
        <v>568</v>
      </c>
      <c r="E2067" s="2">
        <v>200</v>
      </c>
      <c r="F2067" s="2">
        <v>32441</v>
      </c>
      <c r="G2067" s="2">
        <v>4.2835827460000004</v>
      </c>
      <c r="H2067" s="3">
        <v>5.49E-6</v>
      </c>
      <c r="I2067" s="2" t="s">
        <v>31588</v>
      </c>
      <c r="J2067" s="2" t="s">
        <v>31589</v>
      </c>
      <c r="K2067" s="3">
        <v>9.09E-5</v>
      </c>
      <c r="L2067" s="2" t="s">
        <v>1178</v>
      </c>
      <c r="M2067" s="4" t="s">
        <v>3211</v>
      </c>
    </row>
    <row r="2068" spans="1:13">
      <c r="A2068" s="2">
        <v>2301</v>
      </c>
      <c r="B2068" s="2" t="s">
        <v>22223</v>
      </c>
      <c r="C2068" s="2">
        <v>15</v>
      </c>
      <c r="D2068" s="2">
        <v>568</v>
      </c>
      <c r="E2068" s="2">
        <v>200</v>
      </c>
      <c r="F2068" s="2">
        <v>32441</v>
      </c>
      <c r="G2068" s="2">
        <v>4.2835827460000004</v>
      </c>
      <c r="H2068" s="3">
        <v>5.49E-6</v>
      </c>
      <c r="I2068" s="2" t="s">
        <v>31590</v>
      </c>
      <c r="J2068" s="2" t="s">
        <v>31591</v>
      </c>
      <c r="K2068" s="3">
        <v>9.09E-5</v>
      </c>
      <c r="L2068" s="2" t="s">
        <v>1178</v>
      </c>
      <c r="M2068" s="4" t="s">
        <v>22226</v>
      </c>
    </row>
    <row r="2069" spans="1:13">
      <c r="A2069" s="2">
        <v>2303</v>
      </c>
      <c r="B2069" s="2" t="s">
        <v>23601</v>
      </c>
      <c r="C2069" s="2">
        <v>15</v>
      </c>
      <c r="D2069" s="2">
        <v>568</v>
      </c>
      <c r="E2069" s="2">
        <v>199</v>
      </c>
      <c r="F2069" s="2">
        <v>32441</v>
      </c>
      <c r="G2069" s="2">
        <v>4.3051082879999996</v>
      </c>
      <c r="H2069" s="3">
        <v>5.1900000000000003E-6</v>
      </c>
      <c r="I2069" s="2" t="s">
        <v>31592</v>
      </c>
      <c r="J2069" s="2" t="s">
        <v>31593</v>
      </c>
      <c r="K2069" s="3">
        <v>9.09E-5</v>
      </c>
      <c r="L2069" s="2" t="s">
        <v>1178</v>
      </c>
      <c r="M2069" s="4" t="s">
        <v>23604</v>
      </c>
    </row>
    <row r="2070" spans="1:13">
      <c r="A2070" s="2">
        <v>2554</v>
      </c>
      <c r="B2070" s="2" t="s">
        <v>18924</v>
      </c>
      <c r="C2070" s="2">
        <v>15</v>
      </c>
      <c r="D2070" s="2">
        <v>568</v>
      </c>
      <c r="E2070" s="2">
        <v>200</v>
      </c>
      <c r="F2070" s="2">
        <v>32441</v>
      </c>
      <c r="G2070" s="2">
        <v>4.2835827460000004</v>
      </c>
      <c r="H2070" s="3">
        <v>5.49E-6</v>
      </c>
      <c r="I2070" s="2" t="s">
        <v>31594</v>
      </c>
      <c r="J2070" s="2" t="s">
        <v>31595</v>
      </c>
      <c r="K2070" s="3">
        <v>9.09E-5</v>
      </c>
      <c r="L2070" s="2" t="s">
        <v>1178</v>
      </c>
      <c r="M2070" s="4" t="s">
        <v>18927</v>
      </c>
    </row>
    <row r="2071" spans="1:13">
      <c r="A2071" s="2">
        <v>2600</v>
      </c>
      <c r="B2071" s="2" t="s">
        <v>12934</v>
      </c>
      <c r="C2071" s="2">
        <v>15</v>
      </c>
      <c r="D2071" s="2">
        <v>568</v>
      </c>
      <c r="E2071" s="2">
        <v>200</v>
      </c>
      <c r="F2071" s="2">
        <v>32441</v>
      </c>
      <c r="G2071" s="2">
        <v>4.2835827460000004</v>
      </c>
      <c r="H2071" s="3">
        <v>5.49E-6</v>
      </c>
      <c r="I2071" s="2" t="s">
        <v>31596</v>
      </c>
      <c r="J2071" s="2" t="s">
        <v>31597</v>
      </c>
      <c r="K2071" s="3">
        <v>9.09E-5</v>
      </c>
      <c r="L2071" s="2" t="s">
        <v>1178</v>
      </c>
      <c r="M2071" s="4" t="s">
        <v>12937</v>
      </c>
    </row>
    <row r="2072" spans="1:13">
      <c r="A2072" s="2">
        <v>2628</v>
      </c>
      <c r="B2072" s="2" t="s">
        <v>31598</v>
      </c>
      <c r="C2072" s="2">
        <v>15</v>
      </c>
      <c r="D2072" s="2">
        <v>568</v>
      </c>
      <c r="E2072" s="2">
        <v>200</v>
      </c>
      <c r="F2072" s="2">
        <v>32441</v>
      </c>
      <c r="G2072" s="2">
        <v>4.2835827460000004</v>
      </c>
      <c r="H2072" s="3">
        <v>5.49E-6</v>
      </c>
      <c r="I2072" s="2" t="s">
        <v>31599</v>
      </c>
      <c r="J2072" s="2" t="s">
        <v>31600</v>
      </c>
      <c r="K2072" s="3">
        <v>9.09E-5</v>
      </c>
      <c r="L2072" s="2" t="s">
        <v>1178</v>
      </c>
      <c r="M2072" s="4" t="s">
        <v>31601</v>
      </c>
    </row>
    <row r="2073" spans="1:13">
      <c r="A2073" s="2">
        <v>2680</v>
      </c>
      <c r="B2073" s="2" t="s">
        <v>15926</v>
      </c>
      <c r="C2073" s="2">
        <v>14</v>
      </c>
      <c r="D2073" s="2">
        <v>568</v>
      </c>
      <c r="E2073" s="2">
        <v>174</v>
      </c>
      <c r="F2073" s="2">
        <v>32441</v>
      </c>
      <c r="G2073" s="2">
        <v>4.595414441</v>
      </c>
      <c r="H2073" s="3">
        <v>5.31E-6</v>
      </c>
      <c r="I2073" s="2" t="s">
        <v>31602</v>
      </c>
      <c r="J2073" s="2" t="s">
        <v>31603</v>
      </c>
      <c r="K2073" s="3">
        <v>9.09E-5</v>
      </c>
      <c r="L2073" s="2" t="s">
        <v>1178</v>
      </c>
      <c r="M2073" s="4" t="s">
        <v>15929</v>
      </c>
    </row>
    <row r="2074" spans="1:13">
      <c r="A2074" s="2">
        <v>2733</v>
      </c>
      <c r="B2074" s="2" t="s">
        <v>31604</v>
      </c>
      <c r="C2074" s="2">
        <v>12</v>
      </c>
      <c r="D2074" s="2">
        <v>568</v>
      </c>
      <c r="E2074" s="2">
        <v>125</v>
      </c>
      <c r="F2074" s="2">
        <v>32441</v>
      </c>
      <c r="G2074" s="2">
        <v>5.4829859150000004</v>
      </c>
      <c r="H2074" s="3">
        <v>4.7500000000000003E-6</v>
      </c>
      <c r="I2074" s="2" t="s">
        <v>31605</v>
      </c>
      <c r="J2074" s="2" t="s">
        <v>31606</v>
      </c>
      <c r="K2074" s="3">
        <v>9.09E-5</v>
      </c>
      <c r="L2074" s="2" t="s">
        <v>1178</v>
      </c>
      <c r="M2074" s="4" t="s">
        <v>31607</v>
      </c>
    </row>
    <row r="2075" spans="1:13">
      <c r="A2075" s="2">
        <v>2877</v>
      </c>
      <c r="B2075" s="2" t="s">
        <v>23725</v>
      </c>
      <c r="C2075" s="2">
        <v>15</v>
      </c>
      <c r="D2075" s="2">
        <v>568</v>
      </c>
      <c r="E2075" s="2">
        <v>200</v>
      </c>
      <c r="F2075" s="2">
        <v>32441</v>
      </c>
      <c r="G2075" s="2">
        <v>4.2835827460000004</v>
      </c>
      <c r="H2075" s="3">
        <v>5.49E-6</v>
      </c>
      <c r="I2075" s="2" t="s">
        <v>31608</v>
      </c>
      <c r="J2075" s="2" t="s">
        <v>31609</v>
      </c>
      <c r="K2075" s="3">
        <v>9.09E-5</v>
      </c>
      <c r="L2075" s="2" t="s">
        <v>1178</v>
      </c>
      <c r="M2075" s="4" t="s">
        <v>23728</v>
      </c>
    </row>
    <row r="2076" spans="1:13">
      <c r="A2076" s="2">
        <v>30611</v>
      </c>
      <c r="B2076" s="2" t="s">
        <v>21155</v>
      </c>
      <c r="C2076" s="2">
        <v>15</v>
      </c>
      <c r="D2076" s="2">
        <v>568</v>
      </c>
      <c r="E2076" s="2">
        <v>200</v>
      </c>
      <c r="F2076" s="2">
        <v>32441</v>
      </c>
      <c r="G2076" s="2">
        <v>4.2835827460000004</v>
      </c>
      <c r="H2076" s="3">
        <v>5.49E-6</v>
      </c>
      <c r="I2076" s="2" t="s">
        <v>31610</v>
      </c>
      <c r="J2076" s="2" t="s">
        <v>31611</v>
      </c>
      <c r="K2076" s="3">
        <v>9.09E-5</v>
      </c>
      <c r="L2076" s="2" t="s">
        <v>1178</v>
      </c>
      <c r="M2076" s="4" t="s">
        <v>21158</v>
      </c>
    </row>
    <row r="2077" spans="1:13">
      <c r="A2077" s="2">
        <v>3064</v>
      </c>
      <c r="B2077" s="2" t="s">
        <v>31612</v>
      </c>
      <c r="C2077" s="2">
        <v>15</v>
      </c>
      <c r="D2077" s="2">
        <v>568</v>
      </c>
      <c r="E2077" s="2">
        <v>200</v>
      </c>
      <c r="F2077" s="2">
        <v>32441</v>
      </c>
      <c r="G2077" s="2">
        <v>4.2835827460000004</v>
      </c>
      <c r="H2077" s="3">
        <v>5.49E-6</v>
      </c>
      <c r="I2077" s="2" t="s">
        <v>31613</v>
      </c>
      <c r="J2077" s="2" t="s">
        <v>31614</v>
      </c>
      <c r="K2077" s="3">
        <v>9.09E-5</v>
      </c>
      <c r="L2077" s="2" t="s">
        <v>1178</v>
      </c>
      <c r="M2077" s="4" t="s">
        <v>31615</v>
      </c>
    </row>
    <row r="2078" spans="1:13">
      <c r="A2078" s="2">
        <v>3107</v>
      </c>
      <c r="B2078" s="2" t="s">
        <v>13839</v>
      </c>
      <c r="C2078" s="2">
        <v>15</v>
      </c>
      <c r="D2078" s="2">
        <v>568</v>
      </c>
      <c r="E2078" s="2">
        <v>200</v>
      </c>
      <c r="F2078" s="2">
        <v>32441</v>
      </c>
      <c r="G2078" s="2">
        <v>4.2835827460000004</v>
      </c>
      <c r="H2078" s="3">
        <v>5.49E-6</v>
      </c>
      <c r="I2078" s="2" t="s">
        <v>31616</v>
      </c>
      <c r="J2078" s="2" t="s">
        <v>31617</v>
      </c>
      <c r="K2078" s="3">
        <v>9.09E-5</v>
      </c>
      <c r="L2078" s="2" t="s">
        <v>1178</v>
      </c>
      <c r="M2078" s="4" t="s">
        <v>13842</v>
      </c>
    </row>
    <row r="2079" spans="1:13">
      <c r="A2079" s="2">
        <v>3169</v>
      </c>
      <c r="B2079" s="2" t="s">
        <v>3467</v>
      </c>
      <c r="C2079" s="2">
        <v>15</v>
      </c>
      <c r="D2079" s="2">
        <v>568</v>
      </c>
      <c r="E2079" s="2">
        <v>200</v>
      </c>
      <c r="F2079" s="2">
        <v>32441</v>
      </c>
      <c r="G2079" s="2">
        <v>4.2835827460000004</v>
      </c>
      <c r="H2079" s="3">
        <v>5.49E-6</v>
      </c>
      <c r="I2079" s="2" t="s">
        <v>31618</v>
      </c>
      <c r="J2079" s="2" t="s">
        <v>31619</v>
      </c>
      <c r="K2079" s="3">
        <v>9.09E-5</v>
      </c>
      <c r="L2079" s="2" t="s">
        <v>1178</v>
      </c>
      <c r="M2079" s="4" t="s">
        <v>3470</v>
      </c>
    </row>
    <row r="2080" spans="1:13">
      <c r="A2080" s="2">
        <v>3347</v>
      </c>
      <c r="B2080" s="2" t="s">
        <v>31620</v>
      </c>
      <c r="C2080" s="2">
        <v>15</v>
      </c>
      <c r="D2080" s="2">
        <v>568</v>
      </c>
      <c r="E2080" s="2">
        <v>200</v>
      </c>
      <c r="F2080" s="2">
        <v>32441</v>
      </c>
      <c r="G2080" s="2">
        <v>4.2835827460000004</v>
      </c>
      <c r="H2080" s="3">
        <v>5.49E-6</v>
      </c>
      <c r="I2080" s="2" t="s">
        <v>31621</v>
      </c>
      <c r="J2080" s="2" t="s">
        <v>31622</v>
      </c>
      <c r="K2080" s="3">
        <v>9.09E-5</v>
      </c>
      <c r="L2080" s="2" t="s">
        <v>1178</v>
      </c>
      <c r="M2080" s="4" t="s">
        <v>31623</v>
      </c>
    </row>
    <row r="2081" spans="1:13">
      <c r="A2081" s="2">
        <v>3379</v>
      </c>
      <c r="B2081" s="2" t="s">
        <v>14911</v>
      </c>
      <c r="C2081" s="2">
        <v>15</v>
      </c>
      <c r="D2081" s="2">
        <v>568</v>
      </c>
      <c r="E2081" s="2">
        <v>200</v>
      </c>
      <c r="F2081" s="2">
        <v>32441</v>
      </c>
      <c r="G2081" s="2">
        <v>4.2835827460000004</v>
      </c>
      <c r="H2081" s="3">
        <v>5.49E-6</v>
      </c>
      <c r="I2081" s="2" t="s">
        <v>31624</v>
      </c>
      <c r="J2081" s="2" t="s">
        <v>31625</v>
      </c>
      <c r="K2081" s="3">
        <v>9.09E-5</v>
      </c>
      <c r="L2081" s="2" t="s">
        <v>1178</v>
      </c>
      <c r="M2081" s="4" t="s">
        <v>14914</v>
      </c>
    </row>
    <row r="2082" spans="1:13">
      <c r="A2082" s="2">
        <v>34001</v>
      </c>
      <c r="B2082" s="2" t="s">
        <v>23816</v>
      </c>
      <c r="C2082" s="2">
        <v>15</v>
      </c>
      <c r="D2082" s="2">
        <v>568</v>
      </c>
      <c r="E2082" s="2">
        <v>200</v>
      </c>
      <c r="F2082" s="2">
        <v>32441</v>
      </c>
      <c r="G2082" s="2">
        <v>4.2835827460000004</v>
      </c>
      <c r="H2082" s="3">
        <v>5.49E-6</v>
      </c>
      <c r="I2082" s="2" t="s">
        <v>31626</v>
      </c>
      <c r="J2082" s="2" t="s">
        <v>31627</v>
      </c>
      <c r="K2082" s="3">
        <v>9.09E-5</v>
      </c>
      <c r="L2082" s="2" t="s">
        <v>1178</v>
      </c>
      <c r="M2082" s="4" t="s">
        <v>23819</v>
      </c>
    </row>
    <row r="2083" spans="1:13">
      <c r="A2083" s="2">
        <v>3512</v>
      </c>
      <c r="B2083" s="2" t="s">
        <v>18192</v>
      </c>
      <c r="C2083" s="2">
        <v>15</v>
      </c>
      <c r="D2083" s="2">
        <v>568</v>
      </c>
      <c r="E2083" s="2">
        <v>200</v>
      </c>
      <c r="F2083" s="2">
        <v>32441</v>
      </c>
      <c r="G2083" s="2">
        <v>4.2835827460000004</v>
      </c>
      <c r="H2083" s="3">
        <v>5.49E-6</v>
      </c>
      <c r="I2083" s="2" t="s">
        <v>31628</v>
      </c>
      <c r="J2083" s="2" t="s">
        <v>31629</v>
      </c>
      <c r="K2083" s="3">
        <v>9.09E-5</v>
      </c>
      <c r="L2083" s="2" t="s">
        <v>1178</v>
      </c>
      <c r="M2083" s="4" t="s">
        <v>18195</v>
      </c>
    </row>
    <row r="2084" spans="1:13">
      <c r="A2084" s="2">
        <v>35181</v>
      </c>
      <c r="B2084" s="2" t="s">
        <v>31630</v>
      </c>
      <c r="C2084" s="2">
        <v>15</v>
      </c>
      <c r="D2084" s="2">
        <v>568</v>
      </c>
      <c r="E2084" s="2">
        <v>200</v>
      </c>
      <c r="F2084" s="2">
        <v>32441</v>
      </c>
      <c r="G2084" s="2">
        <v>4.2835827460000004</v>
      </c>
      <c r="H2084" s="3">
        <v>5.49E-6</v>
      </c>
      <c r="I2084" s="2" t="s">
        <v>31631</v>
      </c>
      <c r="J2084" s="2" t="s">
        <v>31632</v>
      </c>
      <c r="K2084" s="3">
        <v>9.09E-5</v>
      </c>
      <c r="L2084" s="2" t="s">
        <v>1178</v>
      </c>
      <c r="M2084" s="4" t="s">
        <v>31633</v>
      </c>
    </row>
    <row r="2085" spans="1:13">
      <c r="A2085" s="2">
        <v>3639</v>
      </c>
      <c r="B2085" s="2" t="s">
        <v>31634</v>
      </c>
      <c r="C2085" s="2">
        <v>15</v>
      </c>
      <c r="D2085" s="2">
        <v>568</v>
      </c>
      <c r="E2085" s="2">
        <v>200</v>
      </c>
      <c r="F2085" s="2">
        <v>32441</v>
      </c>
      <c r="G2085" s="2">
        <v>4.2835827460000004</v>
      </c>
      <c r="H2085" s="3">
        <v>5.49E-6</v>
      </c>
      <c r="I2085" s="2" t="s">
        <v>31635</v>
      </c>
      <c r="J2085" s="2" t="s">
        <v>31636</v>
      </c>
      <c r="K2085" s="3">
        <v>9.09E-5</v>
      </c>
      <c r="L2085" s="2" t="s">
        <v>1178</v>
      </c>
      <c r="M2085" s="4" t="s">
        <v>31637</v>
      </c>
    </row>
    <row r="2086" spans="1:13">
      <c r="A2086" s="2">
        <v>37761</v>
      </c>
      <c r="B2086" s="2" t="s">
        <v>18248</v>
      </c>
      <c r="C2086" s="2">
        <v>15</v>
      </c>
      <c r="D2086" s="2">
        <v>568</v>
      </c>
      <c r="E2086" s="2">
        <v>200</v>
      </c>
      <c r="F2086" s="2">
        <v>32441</v>
      </c>
      <c r="G2086" s="2">
        <v>4.2835827460000004</v>
      </c>
      <c r="H2086" s="3">
        <v>5.49E-6</v>
      </c>
      <c r="I2086" s="2" t="s">
        <v>31638</v>
      </c>
      <c r="J2086" s="2" t="s">
        <v>31639</v>
      </c>
      <c r="K2086" s="3">
        <v>9.09E-5</v>
      </c>
      <c r="L2086" s="2" t="s">
        <v>1178</v>
      </c>
      <c r="M2086" s="4" t="s">
        <v>18251</v>
      </c>
    </row>
    <row r="2087" spans="1:13">
      <c r="A2087" s="2">
        <v>3917</v>
      </c>
      <c r="B2087" s="2" t="s">
        <v>21343</v>
      </c>
      <c r="C2087" s="2">
        <v>15</v>
      </c>
      <c r="D2087" s="2">
        <v>568</v>
      </c>
      <c r="E2087" s="2">
        <v>200</v>
      </c>
      <c r="F2087" s="2">
        <v>32441</v>
      </c>
      <c r="G2087" s="2">
        <v>4.2835827460000004</v>
      </c>
      <c r="H2087" s="3">
        <v>5.49E-6</v>
      </c>
      <c r="I2087" s="2" t="s">
        <v>31640</v>
      </c>
      <c r="J2087" s="2" t="s">
        <v>31641</v>
      </c>
      <c r="K2087" s="3">
        <v>9.09E-5</v>
      </c>
      <c r="L2087" s="2" t="s">
        <v>1178</v>
      </c>
      <c r="M2087" s="4" t="s">
        <v>21346</v>
      </c>
    </row>
    <row r="2088" spans="1:13">
      <c r="A2088" s="2">
        <v>39401</v>
      </c>
      <c r="B2088" s="2" t="s">
        <v>1278</v>
      </c>
      <c r="C2088" s="2">
        <v>15</v>
      </c>
      <c r="D2088" s="2">
        <v>568</v>
      </c>
      <c r="E2088" s="2">
        <v>200</v>
      </c>
      <c r="F2088" s="2">
        <v>32441</v>
      </c>
      <c r="G2088" s="2">
        <v>4.2835827460000004</v>
      </c>
      <c r="H2088" s="3">
        <v>5.49E-6</v>
      </c>
      <c r="I2088" s="2" t="s">
        <v>31642</v>
      </c>
      <c r="J2088" s="2" t="s">
        <v>31643</v>
      </c>
      <c r="K2088" s="3">
        <v>9.09E-5</v>
      </c>
      <c r="L2088" s="2" t="s">
        <v>1178</v>
      </c>
      <c r="M2088" s="4" t="s">
        <v>3492</v>
      </c>
    </row>
    <row r="2089" spans="1:13">
      <c r="A2089" s="2">
        <v>3995</v>
      </c>
      <c r="B2089" s="2" t="s">
        <v>20150</v>
      </c>
      <c r="C2089" s="2">
        <v>15</v>
      </c>
      <c r="D2089" s="2">
        <v>568</v>
      </c>
      <c r="E2089" s="2">
        <v>200</v>
      </c>
      <c r="F2089" s="2">
        <v>32441</v>
      </c>
      <c r="G2089" s="2">
        <v>4.2835827460000004</v>
      </c>
      <c r="H2089" s="3">
        <v>5.49E-6</v>
      </c>
      <c r="I2089" s="2" t="s">
        <v>31644</v>
      </c>
      <c r="J2089" s="2" t="s">
        <v>31645</v>
      </c>
      <c r="K2089" s="3">
        <v>9.09E-5</v>
      </c>
      <c r="L2089" s="2" t="s">
        <v>1178</v>
      </c>
      <c r="M2089" s="4" t="s">
        <v>20153</v>
      </c>
    </row>
    <row r="2090" spans="1:13">
      <c r="A2090" s="2">
        <v>3998</v>
      </c>
      <c r="B2090" s="2" t="s">
        <v>1968</v>
      </c>
      <c r="C2090" s="2">
        <v>15</v>
      </c>
      <c r="D2090" s="2">
        <v>568</v>
      </c>
      <c r="E2090" s="2">
        <v>200</v>
      </c>
      <c r="F2090" s="2">
        <v>32441</v>
      </c>
      <c r="G2090" s="2">
        <v>4.2835827460000004</v>
      </c>
      <c r="H2090" s="3">
        <v>5.49E-6</v>
      </c>
      <c r="I2090" s="2" t="s">
        <v>31646</v>
      </c>
      <c r="J2090" s="2" t="s">
        <v>31647</v>
      </c>
      <c r="K2090" s="3">
        <v>9.09E-5</v>
      </c>
      <c r="L2090" s="2" t="s">
        <v>1178</v>
      </c>
      <c r="M2090" s="4" t="s">
        <v>3501</v>
      </c>
    </row>
    <row r="2091" spans="1:13">
      <c r="A2091" s="2">
        <v>4059</v>
      </c>
      <c r="B2091" s="2" t="s">
        <v>21351</v>
      </c>
      <c r="C2091" s="2">
        <v>15</v>
      </c>
      <c r="D2091" s="2">
        <v>568</v>
      </c>
      <c r="E2091" s="2">
        <v>200</v>
      </c>
      <c r="F2091" s="2">
        <v>32441</v>
      </c>
      <c r="G2091" s="2">
        <v>4.2835827460000004</v>
      </c>
      <c r="H2091" s="3">
        <v>5.49E-6</v>
      </c>
      <c r="I2091" s="2" t="s">
        <v>31648</v>
      </c>
      <c r="J2091" s="2" t="s">
        <v>31649</v>
      </c>
      <c r="K2091" s="3">
        <v>9.09E-5</v>
      </c>
      <c r="L2091" s="2" t="s">
        <v>1178</v>
      </c>
      <c r="M2091" s="4" t="s">
        <v>21354</v>
      </c>
    </row>
    <row r="2092" spans="1:13">
      <c r="A2092" s="2">
        <v>4130</v>
      </c>
      <c r="B2092" s="2" t="s">
        <v>31650</v>
      </c>
      <c r="C2092" s="2">
        <v>15</v>
      </c>
      <c r="D2092" s="2">
        <v>568</v>
      </c>
      <c r="E2092" s="2">
        <v>200</v>
      </c>
      <c r="F2092" s="2">
        <v>32441</v>
      </c>
      <c r="G2092" s="2">
        <v>4.2835827460000004</v>
      </c>
      <c r="H2092" s="3">
        <v>5.49E-6</v>
      </c>
      <c r="I2092" s="2" t="s">
        <v>31651</v>
      </c>
      <c r="J2092" s="2" t="s">
        <v>31652</v>
      </c>
      <c r="K2092" s="3">
        <v>9.09E-5</v>
      </c>
      <c r="L2092" s="2" t="s">
        <v>1178</v>
      </c>
      <c r="M2092" s="4" t="s">
        <v>31653</v>
      </c>
    </row>
    <row r="2093" spans="1:13">
      <c r="A2093" s="2">
        <v>4183</v>
      </c>
      <c r="B2093" s="2" t="s">
        <v>21359</v>
      </c>
      <c r="C2093" s="2">
        <v>15</v>
      </c>
      <c r="D2093" s="2">
        <v>568</v>
      </c>
      <c r="E2093" s="2">
        <v>200</v>
      </c>
      <c r="F2093" s="2">
        <v>32441</v>
      </c>
      <c r="G2093" s="2">
        <v>4.2835827460000004</v>
      </c>
      <c r="H2093" s="3">
        <v>5.49E-6</v>
      </c>
      <c r="I2093" s="2" t="s">
        <v>31654</v>
      </c>
      <c r="J2093" s="2" t="s">
        <v>31655</v>
      </c>
      <c r="K2093" s="3">
        <v>9.09E-5</v>
      </c>
      <c r="L2093" s="2" t="s">
        <v>1178</v>
      </c>
      <c r="M2093" s="4" t="s">
        <v>21362</v>
      </c>
    </row>
    <row r="2094" spans="1:13">
      <c r="A2094" s="2">
        <v>4250</v>
      </c>
      <c r="B2094" s="2" t="s">
        <v>13612</v>
      </c>
      <c r="C2094" s="2">
        <v>15</v>
      </c>
      <c r="D2094" s="2">
        <v>568</v>
      </c>
      <c r="E2094" s="2">
        <v>200</v>
      </c>
      <c r="F2094" s="2">
        <v>32441</v>
      </c>
      <c r="G2094" s="2">
        <v>4.2835827460000004</v>
      </c>
      <c r="H2094" s="3">
        <v>5.49E-6</v>
      </c>
      <c r="I2094" s="2" t="s">
        <v>31656</v>
      </c>
      <c r="J2094" s="2" t="s">
        <v>31657</v>
      </c>
      <c r="K2094" s="3">
        <v>9.09E-5</v>
      </c>
      <c r="L2094" s="2" t="s">
        <v>1178</v>
      </c>
      <c r="M2094" s="4" t="s">
        <v>13615</v>
      </c>
    </row>
    <row r="2095" spans="1:13">
      <c r="A2095" s="2">
        <v>4343</v>
      </c>
      <c r="B2095" s="2" t="s">
        <v>16754</v>
      </c>
      <c r="C2095" s="2">
        <v>15</v>
      </c>
      <c r="D2095" s="2">
        <v>568</v>
      </c>
      <c r="E2095" s="2">
        <v>200</v>
      </c>
      <c r="F2095" s="2">
        <v>32441</v>
      </c>
      <c r="G2095" s="2">
        <v>4.2835827460000004</v>
      </c>
      <c r="H2095" s="3">
        <v>5.49E-6</v>
      </c>
      <c r="I2095" s="2" t="s">
        <v>31658</v>
      </c>
      <c r="J2095" s="2" t="s">
        <v>31659</v>
      </c>
      <c r="K2095" s="3">
        <v>9.09E-5</v>
      </c>
      <c r="L2095" s="2" t="s">
        <v>1178</v>
      </c>
      <c r="M2095" s="4" t="s">
        <v>16757</v>
      </c>
    </row>
    <row r="2096" spans="1:13">
      <c r="A2096" s="2">
        <v>4511</v>
      </c>
      <c r="B2096" s="2" t="s">
        <v>31660</v>
      </c>
      <c r="C2096" s="2">
        <v>15</v>
      </c>
      <c r="D2096" s="2">
        <v>568</v>
      </c>
      <c r="E2096" s="2">
        <v>200</v>
      </c>
      <c r="F2096" s="2">
        <v>32441</v>
      </c>
      <c r="G2096" s="2">
        <v>4.2835827460000004</v>
      </c>
      <c r="H2096" s="3">
        <v>5.49E-6</v>
      </c>
      <c r="I2096" s="2" t="s">
        <v>31661</v>
      </c>
      <c r="J2096" s="2" t="s">
        <v>31662</v>
      </c>
      <c r="K2096" s="3">
        <v>9.09E-5</v>
      </c>
      <c r="L2096" s="2" t="s">
        <v>1178</v>
      </c>
      <c r="M2096" s="4" t="s">
        <v>31663</v>
      </c>
    </row>
    <row r="2097" spans="1:13">
      <c r="A2097" s="2">
        <v>4821</v>
      </c>
      <c r="B2097" s="2" t="s">
        <v>20263</v>
      </c>
      <c r="C2097" s="2">
        <v>15</v>
      </c>
      <c r="D2097" s="2">
        <v>568</v>
      </c>
      <c r="E2097" s="2">
        <v>200</v>
      </c>
      <c r="F2097" s="2">
        <v>32441</v>
      </c>
      <c r="G2097" s="2">
        <v>4.2835827460000004</v>
      </c>
      <c r="H2097" s="3">
        <v>5.49E-6</v>
      </c>
      <c r="I2097" s="2" t="s">
        <v>31664</v>
      </c>
      <c r="J2097" s="2" t="s">
        <v>31665</v>
      </c>
      <c r="K2097" s="3">
        <v>9.09E-5</v>
      </c>
      <c r="L2097" s="2" t="s">
        <v>1178</v>
      </c>
      <c r="M2097" s="4" t="s">
        <v>20266</v>
      </c>
    </row>
    <row r="2098" spans="1:13">
      <c r="A2098" s="2">
        <v>2412</v>
      </c>
      <c r="B2098" s="2" t="s">
        <v>31666</v>
      </c>
      <c r="C2098" s="2">
        <v>12</v>
      </c>
      <c r="D2098" s="2">
        <v>568</v>
      </c>
      <c r="E2098" s="2">
        <v>142</v>
      </c>
      <c r="F2098" s="2">
        <v>32441</v>
      </c>
      <c r="G2098" s="2">
        <v>4.8265721089999998</v>
      </c>
      <c r="H2098" s="3">
        <v>1.5699999999999999E-5</v>
      </c>
      <c r="I2098" s="2" t="s">
        <v>31667</v>
      </c>
      <c r="J2098" s="2" t="s">
        <v>31668</v>
      </c>
      <c r="K2098" s="2">
        <v>2.59406E-4</v>
      </c>
      <c r="L2098" s="2" t="s">
        <v>1178</v>
      </c>
      <c r="M2098" s="4" t="s">
        <v>31669</v>
      </c>
    </row>
    <row r="2099" spans="1:13">
      <c r="A2099" s="2">
        <v>4837</v>
      </c>
      <c r="B2099" s="2" t="s">
        <v>31670</v>
      </c>
      <c r="C2099" s="2">
        <v>14</v>
      </c>
      <c r="D2099" s="2">
        <v>568</v>
      </c>
      <c r="E2099" s="2">
        <v>194</v>
      </c>
      <c r="F2099" s="2">
        <v>32441</v>
      </c>
      <c r="G2099" s="2">
        <v>4.1216603750000003</v>
      </c>
      <c r="H2099" s="3">
        <v>1.6799999999999998E-5</v>
      </c>
      <c r="I2099" s="2" t="s">
        <v>31671</v>
      </c>
      <c r="J2099" s="2" t="s">
        <v>31672</v>
      </c>
      <c r="K2099" s="2">
        <v>2.7650500000000002E-4</v>
      </c>
      <c r="L2099" s="2" t="s">
        <v>1178</v>
      </c>
      <c r="M2099" s="4" t="s">
        <v>31673</v>
      </c>
    </row>
    <row r="2100" spans="1:13">
      <c r="A2100" s="2">
        <v>4327</v>
      </c>
      <c r="B2100" s="2" t="s">
        <v>15573</v>
      </c>
      <c r="C2100" s="2">
        <v>14</v>
      </c>
      <c r="D2100" s="2">
        <v>568</v>
      </c>
      <c r="E2100" s="2">
        <v>195</v>
      </c>
      <c r="F2100" s="2">
        <v>32441</v>
      </c>
      <c r="G2100" s="2">
        <v>4.1005236549999999</v>
      </c>
      <c r="H2100" s="3">
        <v>1.77E-5</v>
      </c>
      <c r="I2100" s="2" t="s">
        <v>31674</v>
      </c>
      <c r="J2100" s="2" t="s">
        <v>31675</v>
      </c>
      <c r="K2100" s="2">
        <v>2.9078200000000001E-4</v>
      </c>
      <c r="L2100" s="2" t="s">
        <v>1178</v>
      </c>
      <c r="M2100" s="4" t="s">
        <v>15576</v>
      </c>
    </row>
    <row r="2101" spans="1:13">
      <c r="A2101" s="2">
        <v>1354</v>
      </c>
      <c r="B2101" s="2" t="s">
        <v>3314</v>
      </c>
      <c r="C2101" s="2">
        <v>14</v>
      </c>
      <c r="D2101" s="2">
        <v>568</v>
      </c>
      <c r="E2101" s="2">
        <v>200</v>
      </c>
      <c r="F2101" s="2">
        <v>32441</v>
      </c>
      <c r="G2101" s="2">
        <v>3.9980105629999998</v>
      </c>
      <c r="H2101" s="3">
        <v>2.3099999999999999E-5</v>
      </c>
      <c r="I2101" s="2" t="s">
        <v>31676</v>
      </c>
      <c r="J2101" s="2" t="s">
        <v>31677</v>
      </c>
      <c r="K2101" s="2">
        <v>2.98153E-4</v>
      </c>
      <c r="L2101" s="2" t="s">
        <v>1178</v>
      </c>
      <c r="M2101" s="4" t="s">
        <v>3317</v>
      </c>
    </row>
    <row r="2102" spans="1:13">
      <c r="A2102" s="2">
        <v>165</v>
      </c>
      <c r="B2102" s="2" t="s">
        <v>14301</v>
      </c>
      <c r="C2102" s="2">
        <v>14</v>
      </c>
      <c r="D2102" s="2">
        <v>568</v>
      </c>
      <c r="E2102" s="2">
        <v>200</v>
      </c>
      <c r="F2102" s="2">
        <v>32441</v>
      </c>
      <c r="G2102" s="2">
        <v>3.9980105629999998</v>
      </c>
      <c r="H2102" s="3">
        <v>2.3099999999999999E-5</v>
      </c>
      <c r="I2102" s="2" t="s">
        <v>31678</v>
      </c>
      <c r="J2102" s="2" t="s">
        <v>31679</v>
      </c>
      <c r="K2102" s="2">
        <v>2.98153E-4</v>
      </c>
      <c r="L2102" s="2" t="s">
        <v>1178</v>
      </c>
      <c r="M2102" s="4" t="s">
        <v>14304</v>
      </c>
    </row>
    <row r="2103" spans="1:13">
      <c r="A2103" s="2">
        <v>2753</v>
      </c>
      <c r="B2103" s="2" t="s">
        <v>31680</v>
      </c>
      <c r="C2103" s="2">
        <v>14</v>
      </c>
      <c r="D2103" s="2">
        <v>568</v>
      </c>
      <c r="E2103" s="2">
        <v>200</v>
      </c>
      <c r="F2103" s="2">
        <v>32441</v>
      </c>
      <c r="G2103" s="2">
        <v>3.9980105629999998</v>
      </c>
      <c r="H2103" s="3">
        <v>2.3099999999999999E-5</v>
      </c>
      <c r="I2103" s="2" t="s">
        <v>31681</v>
      </c>
      <c r="J2103" s="2" t="s">
        <v>31682</v>
      </c>
      <c r="K2103" s="2">
        <v>2.98153E-4</v>
      </c>
      <c r="L2103" s="2" t="s">
        <v>1178</v>
      </c>
      <c r="M2103" s="4" t="s">
        <v>31683</v>
      </c>
    </row>
    <row r="2104" spans="1:13">
      <c r="A2104" s="2">
        <v>3682</v>
      </c>
      <c r="B2104" s="2" t="s">
        <v>31684</v>
      </c>
      <c r="C2104" s="2">
        <v>14</v>
      </c>
      <c r="D2104" s="2">
        <v>568</v>
      </c>
      <c r="E2104" s="2">
        <v>200</v>
      </c>
      <c r="F2104" s="2">
        <v>32441</v>
      </c>
      <c r="G2104" s="2">
        <v>3.9980105629999998</v>
      </c>
      <c r="H2104" s="3">
        <v>2.3099999999999999E-5</v>
      </c>
      <c r="I2104" s="2" t="s">
        <v>31685</v>
      </c>
      <c r="J2104" s="2" t="s">
        <v>31686</v>
      </c>
      <c r="K2104" s="2">
        <v>2.98153E-4</v>
      </c>
      <c r="L2104" s="2" t="s">
        <v>1178</v>
      </c>
      <c r="M2104" s="4" t="s">
        <v>31687</v>
      </c>
    </row>
    <row r="2105" spans="1:13">
      <c r="A2105" s="2">
        <v>3782</v>
      </c>
      <c r="B2105" s="2" t="s">
        <v>22948</v>
      </c>
      <c r="C2105" s="2">
        <v>14</v>
      </c>
      <c r="D2105" s="2">
        <v>568</v>
      </c>
      <c r="E2105" s="2">
        <v>200</v>
      </c>
      <c r="F2105" s="2">
        <v>32441</v>
      </c>
      <c r="G2105" s="2">
        <v>3.9980105629999998</v>
      </c>
      <c r="H2105" s="3">
        <v>2.3099999999999999E-5</v>
      </c>
      <c r="I2105" s="2" t="s">
        <v>31688</v>
      </c>
      <c r="J2105" s="2" t="s">
        <v>31689</v>
      </c>
      <c r="K2105" s="2">
        <v>2.98153E-4</v>
      </c>
      <c r="L2105" s="2" t="s">
        <v>1178</v>
      </c>
      <c r="M2105" s="4" t="s">
        <v>22951</v>
      </c>
    </row>
    <row r="2106" spans="1:13">
      <c r="A2106" s="2">
        <v>4091</v>
      </c>
      <c r="B2106" s="2" t="s">
        <v>2337</v>
      </c>
      <c r="C2106" s="2">
        <v>14</v>
      </c>
      <c r="D2106" s="2">
        <v>568</v>
      </c>
      <c r="E2106" s="2">
        <v>200</v>
      </c>
      <c r="F2106" s="2">
        <v>32441</v>
      </c>
      <c r="G2106" s="2">
        <v>3.9980105629999998</v>
      </c>
      <c r="H2106" s="3">
        <v>2.3099999999999999E-5</v>
      </c>
      <c r="I2106" s="2" t="s">
        <v>31690</v>
      </c>
      <c r="J2106" s="2" t="s">
        <v>31691</v>
      </c>
      <c r="K2106" s="2">
        <v>2.98153E-4</v>
      </c>
      <c r="L2106" s="2" t="s">
        <v>1178</v>
      </c>
      <c r="M2106" s="4" t="s">
        <v>22965</v>
      </c>
    </row>
    <row r="2107" spans="1:13">
      <c r="A2107" s="2">
        <v>440</v>
      </c>
      <c r="B2107" s="2" t="s">
        <v>15666</v>
      </c>
      <c r="C2107" s="2">
        <v>14</v>
      </c>
      <c r="D2107" s="2">
        <v>568</v>
      </c>
      <c r="E2107" s="2">
        <v>200</v>
      </c>
      <c r="F2107" s="2">
        <v>32441</v>
      </c>
      <c r="G2107" s="2">
        <v>3.9980105629999998</v>
      </c>
      <c r="H2107" s="3">
        <v>2.3099999999999999E-5</v>
      </c>
      <c r="I2107" s="2" t="s">
        <v>31692</v>
      </c>
      <c r="J2107" s="2" t="s">
        <v>31693</v>
      </c>
      <c r="K2107" s="2">
        <v>2.98153E-4</v>
      </c>
      <c r="L2107" s="2" t="s">
        <v>1178</v>
      </c>
      <c r="M2107" s="4" t="s">
        <v>15669</v>
      </c>
    </row>
    <row r="2108" spans="1:13">
      <c r="A2108" s="2">
        <v>4451</v>
      </c>
      <c r="B2108" s="2" t="s">
        <v>16297</v>
      </c>
      <c r="C2108" s="2">
        <v>14</v>
      </c>
      <c r="D2108" s="2">
        <v>568</v>
      </c>
      <c r="E2108" s="2">
        <v>200</v>
      </c>
      <c r="F2108" s="2">
        <v>32441</v>
      </c>
      <c r="G2108" s="2">
        <v>3.9980105629999998</v>
      </c>
      <c r="H2108" s="3">
        <v>2.3099999999999999E-5</v>
      </c>
      <c r="I2108" s="2" t="s">
        <v>31694</v>
      </c>
      <c r="J2108" s="2" t="s">
        <v>31695</v>
      </c>
      <c r="K2108" s="2">
        <v>2.98153E-4</v>
      </c>
      <c r="L2108" s="2" t="s">
        <v>1178</v>
      </c>
      <c r="M2108" s="4" t="s">
        <v>16300</v>
      </c>
    </row>
    <row r="2109" spans="1:13">
      <c r="A2109" s="2">
        <v>5821</v>
      </c>
      <c r="B2109" s="2" t="s">
        <v>31696</v>
      </c>
      <c r="C2109" s="2">
        <v>14</v>
      </c>
      <c r="D2109" s="2">
        <v>568</v>
      </c>
      <c r="E2109" s="2">
        <v>200</v>
      </c>
      <c r="F2109" s="2">
        <v>32441</v>
      </c>
      <c r="G2109" s="2">
        <v>3.9980105629999998</v>
      </c>
      <c r="H2109" s="3">
        <v>2.3099999999999999E-5</v>
      </c>
      <c r="I2109" s="2" t="s">
        <v>31697</v>
      </c>
      <c r="J2109" s="2" t="s">
        <v>31698</v>
      </c>
      <c r="K2109" s="2">
        <v>2.98153E-4</v>
      </c>
      <c r="L2109" s="2" t="s">
        <v>1178</v>
      </c>
      <c r="M2109" s="4" t="s">
        <v>31699</v>
      </c>
    </row>
    <row r="2110" spans="1:13">
      <c r="A2110" s="2">
        <v>5921</v>
      </c>
      <c r="B2110" s="2" t="s">
        <v>31700</v>
      </c>
      <c r="C2110" s="2">
        <v>14</v>
      </c>
      <c r="D2110" s="2">
        <v>568</v>
      </c>
      <c r="E2110" s="2">
        <v>200</v>
      </c>
      <c r="F2110" s="2">
        <v>32441</v>
      </c>
      <c r="G2110" s="2">
        <v>3.9980105629999998</v>
      </c>
      <c r="H2110" s="3">
        <v>2.3099999999999999E-5</v>
      </c>
      <c r="I2110" s="2" t="s">
        <v>31701</v>
      </c>
      <c r="J2110" s="2" t="s">
        <v>31702</v>
      </c>
      <c r="K2110" s="2">
        <v>2.98153E-4</v>
      </c>
      <c r="L2110" s="2" t="s">
        <v>1178</v>
      </c>
      <c r="M2110" s="4" t="s">
        <v>31703</v>
      </c>
    </row>
    <row r="2111" spans="1:13">
      <c r="A2111" s="2">
        <v>5971</v>
      </c>
      <c r="B2111" s="2" t="s">
        <v>31704</v>
      </c>
      <c r="C2111" s="2">
        <v>14</v>
      </c>
      <c r="D2111" s="2">
        <v>568</v>
      </c>
      <c r="E2111" s="2">
        <v>200</v>
      </c>
      <c r="F2111" s="2">
        <v>32441</v>
      </c>
      <c r="G2111" s="2">
        <v>3.9980105629999998</v>
      </c>
      <c r="H2111" s="3">
        <v>2.3099999999999999E-5</v>
      </c>
      <c r="I2111" s="2" t="s">
        <v>31705</v>
      </c>
      <c r="J2111" s="2" t="s">
        <v>31706</v>
      </c>
      <c r="K2111" s="2">
        <v>2.98153E-4</v>
      </c>
      <c r="L2111" s="2" t="s">
        <v>1178</v>
      </c>
      <c r="M2111" s="4" t="s">
        <v>31707</v>
      </c>
    </row>
    <row r="2112" spans="1:13">
      <c r="A2112" s="2">
        <v>6311</v>
      </c>
      <c r="B2112" s="2" t="s">
        <v>18610</v>
      </c>
      <c r="C2112" s="2">
        <v>14</v>
      </c>
      <c r="D2112" s="2">
        <v>568</v>
      </c>
      <c r="E2112" s="2">
        <v>200</v>
      </c>
      <c r="F2112" s="2">
        <v>32441</v>
      </c>
      <c r="G2112" s="2">
        <v>3.9980105629999998</v>
      </c>
      <c r="H2112" s="3">
        <v>2.3099999999999999E-5</v>
      </c>
      <c r="I2112" s="2" t="s">
        <v>31708</v>
      </c>
      <c r="J2112" s="2" t="s">
        <v>31709</v>
      </c>
      <c r="K2112" s="2">
        <v>2.98153E-4</v>
      </c>
      <c r="L2112" s="2" t="s">
        <v>1178</v>
      </c>
      <c r="M2112" s="4" t="s">
        <v>18613</v>
      </c>
    </row>
    <row r="2113" spans="1:13">
      <c r="A2113" s="2">
        <v>7202</v>
      </c>
      <c r="B2113" s="2" t="s">
        <v>21879</v>
      </c>
      <c r="C2113" s="2">
        <v>14</v>
      </c>
      <c r="D2113" s="2">
        <v>568</v>
      </c>
      <c r="E2113" s="2">
        <v>200</v>
      </c>
      <c r="F2113" s="2">
        <v>32441</v>
      </c>
      <c r="G2113" s="2">
        <v>3.9980105629999998</v>
      </c>
      <c r="H2113" s="3">
        <v>2.3099999999999999E-5</v>
      </c>
      <c r="I2113" s="2" t="s">
        <v>31710</v>
      </c>
      <c r="J2113" s="2" t="s">
        <v>31711</v>
      </c>
      <c r="K2113" s="2">
        <v>2.98153E-4</v>
      </c>
      <c r="L2113" s="2" t="s">
        <v>1178</v>
      </c>
      <c r="M2113" s="4" t="s">
        <v>21882</v>
      </c>
    </row>
    <row r="2114" spans="1:13">
      <c r="A2114" s="2">
        <v>819</v>
      </c>
      <c r="B2114" s="2" t="s">
        <v>3353</v>
      </c>
      <c r="C2114" s="2">
        <v>14</v>
      </c>
      <c r="D2114" s="2">
        <v>568</v>
      </c>
      <c r="E2114" s="2">
        <v>200</v>
      </c>
      <c r="F2114" s="2">
        <v>32441</v>
      </c>
      <c r="G2114" s="2">
        <v>3.9980105629999998</v>
      </c>
      <c r="H2114" s="3">
        <v>2.3099999999999999E-5</v>
      </c>
      <c r="I2114" s="2" t="s">
        <v>31712</v>
      </c>
      <c r="J2114" s="2" t="s">
        <v>31713</v>
      </c>
      <c r="K2114" s="2">
        <v>2.98153E-4</v>
      </c>
      <c r="L2114" s="2" t="s">
        <v>1178</v>
      </c>
      <c r="M2114" s="4" t="s">
        <v>3356</v>
      </c>
    </row>
    <row r="2115" spans="1:13">
      <c r="A2115" s="2">
        <v>8211</v>
      </c>
      <c r="B2115" s="2" t="s">
        <v>20662</v>
      </c>
      <c r="C2115" s="2">
        <v>14</v>
      </c>
      <c r="D2115" s="2">
        <v>568</v>
      </c>
      <c r="E2115" s="2">
        <v>200</v>
      </c>
      <c r="F2115" s="2">
        <v>32441</v>
      </c>
      <c r="G2115" s="2">
        <v>3.9980105629999998</v>
      </c>
      <c r="H2115" s="3">
        <v>2.3099999999999999E-5</v>
      </c>
      <c r="I2115" s="2" t="s">
        <v>31714</v>
      </c>
      <c r="J2115" s="2" t="s">
        <v>31715</v>
      </c>
      <c r="K2115" s="2">
        <v>2.98153E-4</v>
      </c>
      <c r="L2115" s="2" t="s">
        <v>1178</v>
      </c>
      <c r="M2115" s="4" t="s">
        <v>20665</v>
      </c>
    </row>
    <row r="2116" spans="1:13">
      <c r="A2116" s="2">
        <v>843</v>
      </c>
      <c r="B2116" s="2" t="s">
        <v>31716</v>
      </c>
      <c r="C2116" s="2">
        <v>14</v>
      </c>
      <c r="D2116" s="2">
        <v>568</v>
      </c>
      <c r="E2116" s="2">
        <v>200</v>
      </c>
      <c r="F2116" s="2">
        <v>32441</v>
      </c>
      <c r="G2116" s="2">
        <v>3.9980105629999998</v>
      </c>
      <c r="H2116" s="3">
        <v>2.3099999999999999E-5</v>
      </c>
      <c r="I2116" s="2" t="s">
        <v>31717</v>
      </c>
      <c r="J2116" s="2" t="s">
        <v>31718</v>
      </c>
      <c r="K2116" s="2">
        <v>2.98153E-4</v>
      </c>
      <c r="L2116" s="2" t="s">
        <v>1178</v>
      </c>
      <c r="M2116" s="4" t="s">
        <v>31719</v>
      </c>
    </row>
    <row r="2117" spans="1:13">
      <c r="A2117" s="2">
        <v>8721</v>
      </c>
      <c r="B2117" s="2" t="s">
        <v>31720</v>
      </c>
      <c r="C2117" s="2">
        <v>14</v>
      </c>
      <c r="D2117" s="2">
        <v>568</v>
      </c>
      <c r="E2117" s="2">
        <v>200</v>
      </c>
      <c r="F2117" s="2">
        <v>32441</v>
      </c>
      <c r="G2117" s="2">
        <v>3.9980105629999998</v>
      </c>
      <c r="H2117" s="3">
        <v>2.3099999999999999E-5</v>
      </c>
      <c r="I2117" s="2" t="s">
        <v>31721</v>
      </c>
      <c r="J2117" s="2" t="s">
        <v>31722</v>
      </c>
      <c r="K2117" s="2">
        <v>2.98153E-4</v>
      </c>
      <c r="L2117" s="2" t="s">
        <v>1178</v>
      </c>
      <c r="M2117" s="4" t="s">
        <v>31723</v>
      </c>
    </row>
    <row r="2118" spans="1:13">
      <c r="A2118" s="2">
        <v>9311</v>
      </c>
      <c r="B2118" s="2" t="s">
        <v>31724</v>
      </c>
      <c r="C2118" s="2">
        <v>14</v>
      </c>
      <c r="D2118" s="2">
        <v>568</v>
      </c>
      <c r="E2118" s="2">
        <v>200</v>
      </c>
      <c r="F2118" s="2">
        <v>32441</v>
      </c>
      <c r="G2118" s="2">
        <v>3.9980105629999998</v>
      </c>
      <c r="H2118" s="3">
        <v>2.3099999999999999E-5</v>
      </c>
      <c r="I2118" s="2" t="s">
        <v>31725</v>
      </c>
      <c r="J2118" s="2" t="s">
        <v>31726</v>
      </c>
      <c r="K2118" s="2">
        <v>2.98153E-4</v>
      </c>
      <c r="L2118" s="2" t="s">
        <v>1178</v>
      </c>
      <c r="M2118" s="4" t="s">
        <v>31727</v>
      </c>
    </row>
    <row r="2119" spans="1:13">
      <c r="A2119" s="2">
        <v>9851</v>
      </c>
      <c r="B2119" s="2" t="s">
        <v>2103</v>
      </c>
      <c r="C2119" s="2">
        <v>14</v>
      </c>
      <c r="D2119" s="2">
        <v>568</v>
      </c>
      <c r="E2119" s="2">
        <v>200</v>
      </c>
      <c r="F2119" s="2">
        <v>32441</v>
      </c>
      <c r="G2119" s="2">
        <v>3.9980105629999998</v>
      </c>
      <c r="H2119" s="3">
        <v>2.3099999999999999E-5</v>
      </c>
      <c r="I2119" s="2" t="s">
        <v>31728</v>
      </c>
      <c r="J2119" s="2" t="s">
        <v>31729</v>
      </c>
      <c r="K2119" s="2">
        <v>2.98153E-4</v>
      </c>
      <c r="L2119" s="2" t="s">
        <v>1178</v>
      </c>
      <c r="M2119" s="4" t="s">
        <v>15734</v>
      </c>
    </row>
    <row r="2120" spans="1:13">
      <c r="A2120" s="2">
        <v>1007</v>
      </c>
      <c r="B2120" s="2" t="s">
        <v>1578</v>
      </c>
      <c r="C2120" s="2">
        <v>14</v>
      </c>
      <c r="D2120" s="2">
        <v>568</v>
      </c>
      <c r="E2120" s="2">
        <v>200</v>
      </c>
      <c r="F2120" s="2">
        <v>32441</v>
      </c>
      <c r="G2120" s="2">
        <v>3.9980105629999998</v>
      </c>
      <c r="H2120" s="3">
        <v>2.3099999999999999E-5</v>
      </c>
      <c r="I2120" s="2" t="s">
        <v>31730</v>
      </c>
      <c r="J2120" s="2" t="s">
        <v>31731</v>
      </c>
      <c r="K2120" s="2">
        <v>2.98153E-4</v>
      </c>
      <c r="L2120" s="2" t="s">
        <v>1178</v>
      </c>
      <c r="M2120" s="4" t="s">
        <v>3144</v>
      </c>
    </row>
    <row r="2121" spans="1:13">
      <c r="A2121" s="2">
        <v>11131</v>
      </c>
      <c r="B2121" s="2" t="s">
        <v>3368</v>
      </c>
      <c r="C2121" s="2">
        <v>14</v>
      </c>
      <c r="D2121" s="2">
        <v>568</v>
      </c>
      <c r="E2121" s="2">
        <v>200</v>
      </c>
      <c r="F2121" s="2">
        <v>32441</v>
      </c>
      <c r="G2121" s="2">
        <v>3.9980105629999998</v>
      </c>
      <c r="H2121" s="3">
        <v>2.3099999999999999E-5</v>
      </c>
      <c r="I2121" s="2" t="s">
        <v>31732</v>
      </c>
      <c r="J2121" s="2" t="s">
        <v>31733</v>
      </c>
      <c r="K2121" s="2">
        <v>2.98153E-4</v>
      </c>
      <c r="L2121" s="2" t="s">
        <v>1178</v>
      </c>
      <c r="M2121" s="4" t="s">
        <v>3371</v>
      </c>
    </row>
    <row r="2122" spans="1:13">
      <c r="A2122" s="2">
        <v>1175</v>
      </c>
      <c r="B2122" s="2" t="s">
        <v>31734</v>
      </c>
      <c r="C2122" s="2">
        <v>14</v>
      </c>
      <c r="D2122" s="2">
        <v>568</v>
      </c>
      <c r="E2122" s="2">
        <v>200</v>
      </c>
      <c r="F2122" s="2">
        <v>32441</v>
      </c>
      <c r="G2122" s="2">
        <v>3.9980105629999998</v>
      </c>
      <c r="H2122" s="3">
        <v>2.3099999999999999E-5</v>
      </c>
      <c r="I2122" s="2" t="s">
        <v>31735</v>
      </c>
      <c r="J2122" s="2" t="s">
        <v>31736</v>
      </c>
      <c r="K2122" s="2">
        <v>2.98153E-4</v>
      </c>
      <c r="L2122" s="2" t="s">
        <v>1178</v>
      </c>
      <c r="M2122" s="4" t="s">
        <v>31737</v>
      </c>
    </row>
    <row r="2123" spans="1:13">
      <c r="A2123" s="2">
        <v>1195</v>
      </c>
      <c r="B2123" s="2" t="s">
        <v>20742</v>
      </c>
      <c r="C2123" s="2">
        <v>14</v>
      </c>
      <c r="D2123" s="2">
        <v>568</v>
      </c>
      <c r="E2123" s="2">
        <v>200</v>
      </c>
      <c r="F2123" s="2">
        <v>32441</v>
      </c>
      <c r="G2123" s="2">
        <v>3.9980105629999998</v>
      </c>
      <c r="H2123" s="3">
        <v>2.3099999999999999E-5</v>
      </c>
      <c r="I2123" s="2" t="s">
        <v>31738</v>
      </c>
      <c r="J2123" s="2" t="s">
        <v>31739</v>
      </c>
      <c r="K2123" s="2">
        <v>2.98153E-4</v>
      </c>
      <c r="L2123" s="2" t="s">
        <v>1178</v>
      </c>
      <c r="M2123" s="4" t="s">
        <v>20745</v>
      </c>
    </row>
    <row r="2124" spans="1:13">
      <c r="A2124" s="2">
        <v>1207</v>
      </c>
      <c r="B2124" s="2" t="s">
        <v>21976</v>
      </c>
      <c r="C2124" s="2">
        <v>14</v>
      </c>
      <c r="D2124" s="2">
        <v>568</v>
      </c>
      <c r="E2124" s="2">
        <v>200</v>
      </c>
      <c r="F2124" s="2">
        <v>32441</v>
      </c>
      <c r="G2124" s="2">
        <v>3.9980105629999998</v>
      </c>
      <c r="H2124" s="3">
        <v>2.3099999999999999E-5</v>
      </c>
      <c r="I2124" s="2" t="s">
        <v>31740</v>
      </c>
      <c r="J2124" s="2" t="s">
        <v>31741</v>
      </c>
      <c r="K2124" s="2">
        <v>2.98153E-4</v>
      </c>
      <c r="L2124" s="2" t="s">
        <v>1178</v>
      </c>
      <c r="M2124" s="4" t="s">
        <v>21979</v>
      </c>
    </row>
    <row r="2125" spans="1:13">
      <c r="A2125" s="2">
        <v>1296</v>
      </c>
      <c r="B2125" s="2" t="s">
        <v>31742</v>
      </c>
      <c r="C2125" s="2">
        <v>14</v>
      </c>
      <c r="D2125" s="2">
        <v>568</v>
      </c>
      <c r="E2125" s="2">
        <v>200</v>
      </c>
      <c r="F2125" s="2">
        <v>32441</v>
      </c>
      <c r="G2125" s="2">
        <v>3.9980105629999998</v>
      </c>
      <c r="H2125" s="3">
        <v>2.3099999999999999E-5</v>
      </c>
      <c r="I2125" s="2" t="s">
        <v>31743</v>
      </c>
      <c r="J2125" s="2" t="s">
        <v>31744</v>
      </c>
      <c r="K2125" s="2">
        <v>2.98153E-4</v>
      </c>
      <c r="L2125" s="2" t="s">
        <v>1178</v>
      </c>
      <c r="M2125" s="4" t="s">
        <v>31745</v>
      </c>
    </row>
    <row r="2126" spans="1:13">
      <c r="A2126" s="2">
        <v>1323</v>
      </c>
      <c r="B2126" s="2" t="s">
        <v>20774</v>
      </c>
      <c r="C2126" s="2">
        <v>14</v>
      </c>
      <c r="D2126" s="2">
        <v>568</v>
      </c>
      <c r="E2126" s="2">
        <v>200</v>
      </c>
      <c r="F2126" s="2">
        <v>32441</v>
      </c>
      <c r="G2126" s="2">
        <v>3.9980105629999998</v>
      </c>
      <c r="H2126" s="3">
        <v>2.3099999999999999E-5</v>
      </c>
      <c r="I2126" s="2" t="s">
        <v>31746</v>
      </c>
      <c r="J2126" s="2" t="s">
        <v>31747</v>
      </c>
      <c r="K2126" s="2">
        <v>2.98153E-4</v>
      </c>
      <c r="L2126" s="2" t="s">
        <v>1178</v>
      </c>
      <c r="M2126" s="4" t="s">
        <v>20777</v>
      </c>
    </row>
    <row r="2127" spans="1:13">
      <c r="A2127" s="2">
        <v>1646</v>
      </c>
      <c r="B2127" s="2" t="s">
        <v>16481</v>
      </c>
      <c r="C2127" s="2">
        <v>14</v>
      </c>
      <c r="D2127" s="2">
        <v>568</v>
      </c>
      <c r="E2127" s="2">
        <v>200</v>
      </c>
      <c r="F2127" s="2">
        <v>32441</v>
      </c>
      <c r="G2127" s="2">
        <v>3.9980105629999998</v>
      </c>
      <c r="H2127" s="3">
        <v>2.3099999999999999E-5</v>
      </c>
      <c r="I2127" s="2" t="s">
        <v>31748</v>
      </c>
      <c r="J2127" s="2" t="s">
        <v>31749</v>
      </c>
      <c r="K2127" s="2">
        <v>2.98153E-4</v>
      </c>
      <c r="L2127" s="2" t="s">
        <v>1178</v>
      </c>
      <c r="M2127" s="4" t="s">
        <v>16484</v>
      </c>
    </row>
    <row r="2128" spans="1:13">
      <c r="A2128" s="2">
        <v>1693</v>
      </c>
      <c r="B2128" s="2" t="s">
        <v>15263</v>
      </c>
      <c r="C2128" s="2">
        <v>14</v>
      </c>
      <c r="D2128" s="2">
        <v>568</v>
      </c>
      <c r="E2128" s="2">
        <v>200</v>
      </c>
      <c r="F2128" s="2">
        <v>32441</v>
      </c>
      <c r="G2128" s="2">
        <v>3.9980105629999998</v>
      </c>
      <c r="H2128" s="3">
        <v>2.3099999999999999E-5</v>
      </c>
      <c r="I2128" s="2" t="s">
        <v>31750</v>
      </c>
      <c r="J2128" s="2" t="s">
        <v>31751</v>
      </c>
      <c r="K2128" s="2">
        <v>2.98153E-4</v>
      </c>
      <c r="L2128" s="2" t="s">
        <v>1178</v>
      </c>
      <c r="M2128" s="4" t="s">
        <v>15266</v>
      </c>
    </row>
    <row r="2129" spans="1:13">
      <c r="A2129" s="2">
        <v>17091</v>
      </c>
      <c r="B2129" s="2" t="s">
        <v>17988</v>
      </c>
      <c r="C2129" s="2">
        <v>14</v>
      </c>
      <c r="D2129" s="2">
        <v>568</v>
      </c>
      <c r="E2129" s="2">
        <v>200</v>
      </c>
      <c r="F2129" s="2">
        <v>32441</v>
      </c>
      <c r="G2129" s="2">
        <v>3.9980105629999998</v>
      </c>
      <c r="H2129" s="3">
        <v>2.3099999999999999E-5</v>
      </c>
      <c r="I2129" s="2" t="s">
        <v>31752</v>
      </c>
      <c r="J2129" s="2" t="s">
        <v>31753</v>
      </c>
      <c r="K2129" s="2">
        <v>2.98153E-4</v>
      </c>
      <c r="L2129" s="2" t="s">
        <v>1178</v>
      </c>
      <c r="M2129" s="4" t="s">
        <v>17991</v>
      </c>
    </row>
    <row r="2130" spans="1:13">
      <c r="A2130" s="2">
        <v>1723</v>
      </c>
      <c r="B2130" s="2" t="s">
        <v>20877</v>
      </c>
      <c r="C2130" s="2">
        <v>14</v>
      </c>
      <c r="D2130" s="2">
        <v>568</v>
      </c>
      <c r="E2130" s="2">
        <v>200</v>
      </c>
      <c r="F2130" s="2">
        <v>32441</v>
      </c>
      <c r="G2130" s="2">
        <v>3.9980105629999998</v>
      </c>
      <c r="H2130" s="3">
        <v>2.3099999999999999E-5</v>
      </c>
      <c r="I2130" s="2" t="s">
        <v>31754</v>
      </c>
      <c r="J2130" s="2" t="s">
        <v>31755</v>
      </c>
      <c r="K2130" s="2">
        <v>2.98153E-4</v>
      </c>
      <c r="L2130" s="2" t="s">
        <v>1178</v>
      </c>
      <c r="M2130" s="4" t="s">
        <v>20880</v>
      </c>
    </row>
    <row r="2131" spans="1:13">
      <c r="A2131" s="2">
        <v>1729</v>
      </c>
      <c r="B2131" s="2" t="s">
        <v>19777</v>
      </c>
      <c r="C2131" s="2">
        <v>14</v>
      </c>
      <c r="D2131" s="2">
        <v>568</v>
      </c>
      <c r="E2131" s="2">
        <v>200</v>
      </c>
      <c r="F2131" s="2">
        <v>32441</v>
      </c>
      <c r="G2131" s="2">
        <v>3.9980105629999998</v>
      </c>
      <c r="H2131" s="3">
        <v>2.3099999999999999E-5</v>
      </c>
      <c r="I2131" s="2" t="s">
        <v>31756</v>
      </c>
      <c r="J2131" s="2" t="s">
        <v>31757</v>
      </c>
      <c r="K2131" s="2">
        <v>2.98153E-4</v>
      </c>
      <c r="L2131" s="2" t="s">
        <v>1178</v>
      </c>
      <c r="M2131" s="4" t="s">
        <v>19780</v>
      </c>
    </row>
    <row r="2132" spans="1:13">
      <c r="A2132" s="2">
        <v>1738</v>
      </c>
      <c r="B2132" s="2" t="s">
        <v>2181</v>
      </c>
      <c r="C2132" s="2">
        <v>14</v>
      </c>
      <c r="D2132" s="2">
        <v>568</v>
      </c>
      <c r="E2132" s="2">
        <v>200</v>
      </c>
      <c r="F2132" s="2">
        <v>32441</v>
      </c>
      <c r="G2132" s="2">
        <v>3.9980105629999998</v>
      </c>
      <c r="H2132" s="3">
        <v>2.3099999999999999E-5</v>
      </c>
      <c r="I2132" s="2" t="s">
        <v>31758</v>
      </c>
      <c r="J2132" s="2" t="s">
        <v>31759</v>
      </c>
      <c r="K2132" s="2">
        <v>2.98153E-4</v>
      </c>
      <c r="L2132" s="2" t="s">
        <v>1178</v>
      </c>
      <c r="M2132" s="4" t="s">
        <v>31760</v>
      </c>
    </row>
    <row r="2133" spans="1:13">
      <c r="A2133" s="2">
        <v>17631</v>
      </c>
      <c r="B2133" s="2" t="s">
        <v>2184</v>
      </c>
      <c r="C2133" s="2">
        <v>14</v>
      </c>
      <c r="D2133" s="2">
        <v>568</v>
      </c>
      <c r="E2133" s="2">
        <v>200</v>
      </c>
      <c r="F2133" s="2">
        <v>32441</v>
      </c>
      <c r="G2133" s="2">
        <v>3.9980105629999998</v>
      </c>
      <c r="H2133" s="3">
        <v>2.3099999999999999E-5</v>
      </c>
      <c r="I2133" s="2" t="s">
        <v>31761</v>
      </c>
      <c r="J2133" s="2" t="s">
        <v>31762</v>
      </c>
      <c r="K2133" s="2">
        <v>2.98153E-4</v>
      </c>
      <c r="L2133" s="2" t="s">
        <v>1178</v>
      </c>
      <c r="M2133" s="4" t="s">
        <v>31763</v>
      </c>
    </row>
    <row r="2134" spans="1:13">
      <c r="A2134" s="2">
        <v>1855</v>
      </c>
      <c r="B2134" s="2" t="s">
        <v>23477</v>
      </c>
      <c r="C2134" s="2">
        <v>14</v>
      </c>
      <c r="D2134" s="2">
        <v>568</v>
      </c>
      <c r="E2134" s="2">
        <v>200</v>
      </c>
      <c r="F2134" s="2">
        <v>32441</v>
      </c>
      <c r="G2134" s="2">
        <v>3.9980105629999998</v>
      </c>
      <c r="H2134" s="3">
        <v>2.3099999999999999E-5</v>
      </c>
      <c r="I2134" s="2" t="s">
        <v>31764</v>
      </c>
      <c r="J2134" s="2" t="s">
        <v>31765</v>
      </c>
      <c r="K2134" s="2">
        <v>2.98153E-4</v>
      </c>
      <c r="L2134" s="2" t="s">
        <v>1178</v>
      </c>
      <c r="M2134" s="4" t="s">
        <v>23480</v>
      </c>
    </row>
    <row r="2135" spans="1:13">
      <c r="A2135" s="2">
        <v>1892</v>
      </c>
      <c r="B2135" s="2" t="s">
        <v>12142</v>
      </c>
      <c r="C2135" s="2">
        <v>14</v>
      </c>
      <c r="D2135" s="2">
        <v>568</v>
      </c>
      <c r="E2135" s="2">
        <v>200</v>
      </c>
      <c r="F2135" s="2">
        <v>32441</v>
      </c>
      <c r="G2135" s="2">
        <v>3.9980105629999998</v>
      </c>
      <c r="H2135" s="3">
        <v>2.3099999999999999E-5</v>
      </c>
      <c r="I2135" s="2" t="s">
        <v>31766</v>
      </c>
      <c r="J2135" s="2" t="s">
        <v>31767</v>
      </c>
      <c r="K2135" s="2">
        <v>2.98153E-4</v>
      </c>
      <c r="L2135" s="2" t="s">
        <v>1178</v>
      </c>
      <c r="M2135" s="4" t="s">
        <v>12145</v>
      </c>
    </row>
    <row r="2136" spans="1:13">
      <c r="A2136" s="2">
        <v>1898</v>
      </c>
      <c r="B2136" s="2" t="s">
        <v>14426</v>
      </c>
      <c r="C2136" s="2">
        <v>14</v>
      </c>
      <c r="D2136" s="2">
        <v>568</v>
      </c>
      <c r="E2136" s="2">
        <v>200</v>
      </c>
      <c r="F2136" s="2">
        <v>32441</v>
      </c>
      <c r="G2136" s="2">
        <v>3.9980105629999998</v>
      </c>
      <c r="H2136" s="3">
        <v>2.3099999999999999E-5</v>
      </c>
      <c r="I2136" s="2" t="s">
        <v>31768</v>
      </c>
      <c r="J2136" s="2" t="s">
        <v>31769</v>
      </c>
      <c r="K2136" s="2">
        <v>2.98153E-4</v>
      </c>
      <c r="L2136" s="2" t="s">
        <v>1178</v>
      </c>
      <c r="M2136" s="4" t="s">
        <v>14429</v>
      </c>
    </row>
    <row r="2137" spans="1:13">
      <c r="A2137" s="2">
        <v>1923</v>
      </c>
      <c r="B2137" s="2" t="s">
        <v>13784</v>
      </c>
      <c r="C2137" s="2">
        <v>14</v>
      </c>
      <c r="D2137" s="2">
        <v>568</v>
      </c>
      <c r="E2137" s="2">
        <v>200</v>
      </c>
      <c r="F2137" s="2">
        <v>32441</v>
      </c>
      <c r="G2137" s="2">
        <v>3.9980105629999998</v>
      </c>
      <c r="H2137" s="3">
        <v>2.3099999999999999E-5</v>
      </c>
      <c r="I2137" s="2" t="s">
        <v>31770</v>
      </c>
      <c r="J2137" s="2" t="s">
        <v>31771</v>
      </c>
      <c r="K2137" s="2">
        <v>2.98153E-4</v>
      </c>
      <c r="L2137" s="2" t="s">
        <v>1178</v>
      </c>
      <c r="M2137" s="4" t="s">
        <v>13787</v>
      </c>
    </row>
    <row r="2138" spans="1:13">
      <c r="A2138" s="2">
        <v>1933</v>
      </c>
      <c r="B2138" s="2" t="s">
        <v>15317</v>
      </c>
      <c r="C2138" s="2">
        <v>14</v>
      </c>
      <c r="D2138" s="2">
        <v>568</v>
      </c>
      <c r="E2138" s="2">
        <v>199</v>
      </c>
      <c r="F2138" s="2">
        <v>32441</v>
      </c>
      <c r="G2138" s="2">
        <v>4.0181010690000001</v>
      </c>
      <c r="H2138" s="3">
        <v>2.19E-5</v>
      </c>
      <c r="I2138" s="2" t="s">
        <v>31772</v>
      </c>
      <c r="J2138" s="2" t="s">
        <v>31773</v>
      </c>
      <c r="K2138" s="2">
        <v>2.98153E-4</v>
      </c>
      <c r="L2138" s="2" t="s">
        <v>1178</v>
      </c>
      <c r="M2138" s="4" t="s">
        <v>15320</v>
      </c>
    </row>
    <row r="2139" spans="1:13">
      <c r="A2139" s="2">
        <v>1968</v>
      </c>
      <c r="B2139" s="2" t="s">
        <v>31774</v>
      </c>
      <c r="C2139" s="2">
        <v>14</v>
      </c>
      <c r="D2139" s="2">
        <v>568</v>
      </c>
      <c r="E2139" s="2">
        <v>200</v>
      </c>
      <c r="F2139" s="2">
        <v>32441</v>
      </c>
      <c r="G2139" s="2">
        <v>3.9980105629999998</v>
      </c>
      <c r="H2139" s="3">
        <v>2.3099999999999999E-5</v>
      </c>
      <c r="I2139" s="2" t="s">
        <v>31775</v>
      </c>
      <c r="J2139" s="2" t="s">
        <v>31776</v>
      </c>
      <c r="K2139" s="2">
        <v>2.98153E-4</v>
      </c>
      <c r="L2139" s="2" t="s">
        <v>1178</v>
      </c>
      <c r="M2139" s="4" t="s">
        <v>31777</v>
      </c>
    </row>
    <row r="2140" spans="1:13">
      <c r="A2140" s="2">
        <v>2034</v>
      </c>
      <c r="B2140" s="2" t="s">
        <v>20967</v>
      </c>
      <c r="C2140" s="2">
        <v>14</v>
      </c>
      <c r="D2140" s="2">
        <v>568</v>
      </c>
      <c r="E2140" s="2">
        <v>200</v>
      </c>
      <c r="F2140" s="2">
        <v>32441</v>
      </c>
      <c r="G2140" s="2">
        <v>3.9980105629999998</v>
      </c>
      <c r="H2140" s="3">
        <v>2.3099999999999999E-5</v>
      </c>
      <c r="I2140" s="2" t="s">
        <v>31778</v>
      </c>
      <c r="J2140" s="2" t="s">
        <v>31779</v>
      </c>
      <c r="K2140" s="2">
        <v>2.98153E-4</v>
      </c>
      <c r="L2140" s="2" t="s">
        <v>1178</v>
      </c>
      <c r="M2140" s="4" t="s">
        <v>20970</v>
      </c>
    </row>
    <row r="2141" spans="1:13">
      <c r="A2141" s="2">
        <v>2074</v>
      </c>
      <c r="B2141" s="2" t="s">
        <v>1230</v>
      </c>
      <c r="C2141" s="2">
        <v>14</v>
      </c>
      <c r="D2141" s="2">
        <v>568</v>
      </c>
      <c r="E2141" s="2">
        <v>199</v>
      </c>
      <c r="F2141" s="2">
        <v>32441</v>
      </c>
      <c r="G2141" s="2">
        <v>4.0181010690000001</v>
      </c>
      <c r="H2141" s="3">
        <v>2.19E-5</v>
      </c>
      <c r="I2141" s="2" t="s">
        <v>31780</v>
      </c>
      <c r="J2141" s="2" t="s">
        <v>31781</v>
      </c>
      <c r="K2141" s="2">
        <v>2.98153E-4</v>
      </c>
      <c r="L2141" s="2" t="s">
        <v>1178</v>
      </c>
      <c r="M2141" s="4" t="s">
        <v>23550</v>
      </c>
    </row>
    <row r="2142" spans="1:13">
      <c r="A2142" s="2">
        <v>2089</v>
      </c>
      <c r="B2142" s="2" t="s">
        <v>3265</v>
      </c>
      <c r="C2142" s="2">
        <v>14</v>
      </c>
      <c r="D2142" s="2">
        <v>568</v>
      </c>
      <c r="E2142" s="2">
        <v>200</v>
      </c>
      <c r="F2142" s="2">
        <v>32441</v>
      </c>
      <c r="G2142" s="2">
        <v>3.9980105629999998</v>
      </c>
      <c r="H2142" s="3">
        <v>2.3099999999999999E-5</v>
      </c>
      <c r="I2142" s="2" t="s">
        <v>31782</v>
      </c>
      <c r="J2142" s="2" t="s">
        <v>31783</v>
      </c>
      <c r="K2142" s="2">
        <v>2.98153E-4</v>
      </c>
      <c r="L2142" s="2" t="s">
        <v>1178</v>
      </c>
      <c r="M2142" s="4" t="s">
        <v>3268</v>
      </c>
    </row>
    <row r="2143" spans="1:13">
      <c r="A2143" s="2">
        <v>22311</v>
      </c>
      <c r="B2143" s="2" t="s">
        <v>18048</v>
      </c>
      <c r="C2143" s="2">
        <v>14</v>
      </c>
      <c r="D2143" s="2">
        <v>568</v>
      </c>
      <c r="E2143" s="2">
        <v>200</v>
      </c>
      <c r="F2143" s="2">
        <v>32441</v>
      </c>
      <c r="G2143" s="2">
        <v>3.9980105629999998</v>
      </c>
      <c r="H2143" s="3">
        <v>2.3099999999999999E-5</v>
      </c>
      <c r="I2143" s="2" t="s">
        <v>31784</v>
      </c>
      <c r="J2143" s="2" t="s">
        <v>31785</v>
      </c>
      <c r="K2143" s="2">
        <v>2.98153E-4</v>
      </c>
      <c r="L2143" s="2" t="s">
        <v>1178</v>
      </c>
      <c r="M2143" s="4" t="s">
        <v>18051</v>
      </c>
    </row>
    <row r="2144" spans="1:13">
      <c r="A2144" s="2">
        <v>2238</v>
      </c>
      <c r="B2144" s="2" t="s">
        <v>2541</v>
      </c>
      <c r="C2144" s="2">
        <v>14</v>
      </c>
      <c r="D2144" s="2">
        <v>568</v>
      </c>
      <c r="E2144" s="2">
        <v>200</v>
      </c>
      <c r="F2144" s="2">
        <v>32441</v>
      </c>
      <c r="G2144" s="2">
        <v>3.9980105629999998</v>
      </c>
      <c r="H2144" s="3">
        <v>2.3099999999999999E-5</v>
      </c>
      <c r="I2144" s="2" t="s">
        <v>31786</v>
      </c>
      <c r="J2144" s="2" t="s">
        <v>31787</v>
      </c>
      <c r="K2144" s="2">
        <v>2.98153E-4</v>
      </c>
      <c r="L2144" s="2" t="s">
        <v>1178</v>
      </c>
      <c r="M2144" s="4" t="s">
        <v>31788</v>
      </c>
    </row>
    <row r="2145" spans="1:13">
      <c r="A2145" s="2">
        <v>2349</v>
      </c>
      <c r="B2145" s="2" t="s">
        <v>2559</v>
      </c>
      <c r="C2145" s="2">
        <v>14</v>
      </c>
      <c r="D2145" s="2">
        <v>568</v>
      </c>
      <c r="E2145" s="2">
        <v>200</v>
      </c>
      <c r="F2145" s="2">
        <v>32441</v>
      </c>
      <c r="G2145" s="2">
        <v>3.9980105629999998</v>
      </c>
      <c r="H2145" s="3">
        <v>2.3099999999999999E-5</v>
      </c>
      <c r="I2145" s="2" t="s">
        <v>31789</v>
      </c>
      <c r="J2145" s="2" t="s">
        <v>31790</v>
      </c>
      <c r="K2145" s="2">
        <v>2.98153E-4</v>
      </c>
      <c r="L2145" s="2" t="s">
        <v>1178</v>
      </c>
      <c r="M2145" s="4" t="s">
        <v>31791</v>
      </c>
    </row>
    <row r="2146" spans="1:13">
      <c r="A2146" s="2">
        <v>2610</v>
      </c>
      <c r="B2146" s="2" t="s">
        <v>12938</v>
      </c>
      <c r="C2146" s="2">
        <v>14</v>
      </c>
      <c r="D2146" s="2">
        <v>568</v>
      </c>
      <c r="E2146" s="2">
        <v>200</v>
      </c>
      <c r="F2146" s="2">
        <v>32441</v>
      </c>
      <c r="G2146" s="2">
        <v>3.9980105629999998</v>
      </c>
      <c r="H2146" s="3">
        <v>2.3099999999999999E-5</v>
      </c>
      <c r="I2146" s="2" t="s">
        <v>31792</v>
      </c>
      <c r="J2146" s="2" t="s">
        <v>31793</v>
      </c>
      <c r="K2146" s="2">
        <v>2.98153E-4</v>
      </c>
      <c r="L2146" s="2" t="s">
        <v>1178</v>
      </c>
      <c r="M2146" s="4" t="s">
        <v>12941</v>
      </c>
    </row>
    <row r="2147" spans="1:13">
      <c r="A2147" s="2">
        <v>2614</v>
      </c>
      <c r="B2147" s="2" t="s">
        <v>31794</v>
      </c>
      <c r="C2147" s="2">
        <v>14</v>
      </c>
      <c r="D2147" s="2">
        <v>568</v>
      </c>
      <c r="E2147" s="2">
        <v>200</v>
      </c>
      <c r="F2147" s="2">
        <v>32441</v>
      </c>
      <c r="G2147" s="2">
        <v>3.9980105629999998</v>
      </c>
      <c r="H2147" s="3">
        <v>2.3099999999999999E-5</v>
      </c>
      <c r="I2147" s="2" t="s">
        <v>31795</v>
      </c>
      <c r="J2147" s="2" t="s">
        <v>31796</v>
      </c>
      <c r="K2147" s="2">
        <v>2.98153E-4</v>
      </c>
      <c r="L2147" s="2" t="s">
        <v>1178</v>
      </c>
      <c r="M2147" s="4" t="s">
        <v>31797</v>
      </c>
    </row>
    <row r="2148" spans="1:13">
      <c r="A2148" s="2">
        <v>2633</v>
      </c>
      <c r="B2148" s="2" t="s">
        <v>3459</v>
      </c>
      <c r="C2148" s="2">
        <v>14</v>
      </c>
      <c r="D2148" s="2">
        <v>568</v>
      </c>
      <c r="E2148" s="2">
        <v>200</v>
      </c>
      <c r="F2148" s="2">
        <v>32441</v>
      </c>
      <c r="G2148" s="2">
        <v>3.9980105629999998</v>
      </c>
      <c r="H2148" s="3">
        <v>2.3099999999999999E-5</v>
      </c>
      <c r="I2148" s="2" t="s">
        <v>31798</v>
      </c>
      <c r="J2148" s="2" t="s">
        <v>31799</v>
      </c>
      <c r="K2148" s="2">
        <v>2.98153E-4</v>
      </c>
      <c r="L2148" s="2" t="s">
        <v>1178</v>
      </c>
      <c r="M2148" s="4" t="s">
        <v>3462</v>
      </c>
    </row>
    <row r="2149" spans="1:13">
      <c r="A2149" s="2">
        <v>27851</v>
      </c>
      <c r="B2149" s="2" t="s">
        <v>15073</v>
      </c>
      <c r="C2149" s="2">
        <v>13</v>
      </c>
      <c r="D2149" s="2">
        <v>568</v>
      </c>
      <c r="E2149" s="2">
        <v>170</v>
      </c>
      <c r="F2149" s="2">
        <v>32441</v>
      </c>
      <c r="G2149" s="2">
        <v>4.367574565</v>
      </c>
      <c r="H2149" s="3">
        <v>1.8899999999999999E-5</v>
      </c>
      <c r="I2149" s="2" t="s">
        <v>31800</v>
      </c>
      <c r="J2149" s="2" t="s">
        <v>31801</v>
      </c>
      <c r="K2149" s="2">
        <v>2.98153E-4</v>
      </c>
      <c r="L2149" s="2" t="s">
        <v>1178</v>
      </c>
      <c r="M2149" s="4" t="s">
        <v>15076</v>
      </c>
    </row>
    <row r="2150" spans="1:13">
      <c r="A2150" s="2">
        <v>2806</v>
      </c>
      <c r="B2150" s="2" t="s">
        <v>19322</v>
      </c>
      <c r="C2150" s="2">
        <v>12</v>
      </c>
      <c r="D2150" s="2">
        <v>568</v>
      </c>
      <c r="E2150" s="2">
        <v>148</v>
      </c>
      <c r="F2150" s="2">
        <v>32441</v>
      </c>
      <c r="G2150" s="2">
        <v>4.6309002660000003</v>
      </c>
      <c r="H2150" s="3">
        <v>2.3E-5</v>
      </c>
      <c r="I2150" s="2" t="s">
        <v>31802</v>
      </c>
      <c r="J2150" s="2" t="s">
        <v>31803</v>
      </c>
      <c r="K2150" s="2">
        <v>2.98153E-4</v>
      </c>
      <c r="L2150" s="2" t="s">
        <v>1178</v>
      </c>
      <c r="M2150" s="4" t="s">
        <v>19325</v>
      </c>
    </row>
    <row r="2151" spans="1:13">
      <c r="A2151" s="2">
        <v>2865</v>
      </c>
      <c r="B2151" s="2" t="s">
        <v>31804</v>
      </c>
      <c r="C2151" s="2">
        <v>14</v>
      </c>
      <c r="D2151" s="2">
        <v>568</v>
      </c>
      <c r="E2151" s="2">
        <v>200</v>
      </c>
      <c r="F2151" s="2">
        <v>32441</v>
      </c>
      <c r="G2151" s="2">
        <v>3.9980105629999998</v>
      </c>
      <c r="H2151" s="3">
        <v>2.3099999999999999E-5</v>
      </c>
      <c r="I2151" s="2" t="s">
        <v>31805</v>
      </c>
      <c r="J2151" s="2" t="s">
        <v>31806</v>
      </c>
      <c r="K2151" s="2">
        <v>2.98153E-4</v>
      </c>
      <c r="L2151" s="2" t="s">
        <v>1178</v>
      </c>
      <c r="M2151" s="4" t="s">
        <v>31807</v>
      </c>
    </row>
    <row r="2152" spans="1:13">
      <c r="A2152" s="2">
        <v>3019</v>
      </c>
      <c r="B2152" s="2" t="s">
        <v>31808</v>
      </c>
      <c r="C2152" s="2">
        <v>14</v>
      </c>
      <c r="D2152" s="2">
        <v>568</v>
      </c>
      <c r="E2152" s="2">
        <v>200</v>
      </c>
      <c r="F2152" s="2">
        <v>32441</v>
      </c>
      <c r="G2152" s="2">
        <v>3.9980105629999998</v>
      </c>
      <c r="H2152" s="3">
        <v>2.3099999999999999E-5</v>
      </c>
      <c r="I2152" s="2" t="s">
        <v>31809</v>
      </c>
      <c r="J2152" s="2" t="s">
        <v>31810</v>
      </c>
      <c r="K2152" s="2">
        <v>2.98153E-4</v>
      </c>
      <c r="L2152" s="2" t="s">
        <v>1178</v>
      </c>
      <c r="M2152" s="4" t="s">
        <v>31811</v>
      </c>
    </row>
    <row r="2153" spans="1:13">
      <c r="A2153" s="2">
        <v>3110</v>
      </c>
      <c r="B2153" s="2" t="s">
        <v>2229</v>
      </c>
      <c r="C2153" s="2">
        <v>14</v>
      </c>
      <c r="D2153" s="2">
        <v>568</v>
      </c>
      <c r="E2153" s="2">
        <v>200</v>
      </c>
      <c r="F2153" s="2">
        <v>32441</v>
      </c>
      <c r="G2153" s="2">
        <v>3.9980105629999998</v>
      </c>
      <c r="H2153" s="3">
        <v>2.3099999999999999E-5</v>
      </c>
      <c r="I2153" s="2" t="s">
        <v>31812</v>
      </c>
      <c r="J2153" s="2" t="s">
        <v>31813</v>
      </c>
      <c r="K2153" s="2">
        <v>2.98153E-4</v>
      </c>
      <c r="L2153" s="2" t="s">
        <v>1178</v>
      </c>
      <c r="M2153" s="4" t="s">
        <v>14495</v>
      </c>
    </row>
    <row r="2154" spans="1:13">
      <c r="A2154" s="2">
        <v>3143</v>
      </c>
      <c r="B2154" s="2" t="s">
        <v>31814</v>
      </c>
      <c r="C2154" s="2">
        <v>14</v>
      </c>
      <c r="D2154" s="2">
        <v>568</v>
      </c>
      <c r="E2154" s="2">
        <v>200</v>
      </c>
      <c r="F2154" s="2">
        <v>32441</v>
      </c>
      <c r="G2154" s="2">
        <v>3.9980105629999998</v>
      </c>
      <c r="H2154" s="3">
        <v>2.3099999999999999E-5</v>
      </c>
      <c r="I2154" s="2" t="s">
        <v>31815</v>
      </c>
      <c r="J2154" s="2" t="s">
        <v>31816</v>
      </c>
      <c r="K2154" s="2">
        <v>2.98153E-4</v>
      </c>
      <c r="L2154" s="2" t="s">
        <v>1178</v>
      </c>
      <c r="M2154" s="4" t="s">
        <v>31817</v>
      </c>
    </row>
    <row r="2155" spans="1:13">
      <c r="A2155" s="2">
        <v>3158</v>
      </c>
      <c r="B2155" s="2" t="s">
        <v>31818</v>
      </c>
      <c r="C2155" s="2">
        <v>14</v>
      </c>
      <c r="D2155" s="2">
        <v>568</v>
      </c>
      <c r="E2155" s="2">
        <v>200</v>
      </c>
      <c r="F2155" s="2">
        <v>32441</v>
      </c>
      <c r="G2155" s="2">
        <v>3.9980105629999998</v>
      </c>
      <c r="H2155" s="3">
        <v>2.3099999999999999E-5</v>
      </c>
      <c r="I2155" s="2" t="s">
        <v>31819</v>
      </c>
      <c r="J2155" s="2" t="s">
        <v>31820</v>
      </c>
      <c r="K2155" s="2">
        <v>2.98153E-4</v>
      </c>
      <c r="L2155" s="2" t="s">
        <v>1178</v>
      </c>
      <c r="M2155" s="4" t="s">
        <v>31821</v>
      </c>
    </row>
    <row r="2156" spans="1:13">
      <c r="A2156" s="2">
        <v>3217</v>
      </c>
      <c r="B2156" s="2" t="s">
        <v>1212</v>
      </c>
      <c r="C2156" s="2">
        <v>14</v>
      </c>
      <c r="D2156" s="2">
        <v>568</v>
      </c>
      <c r="E2156" s="2">
        <v>200</v>
      </c>
      <c r="F2156" s="2">
        <v>32441</v>
      </c>
      <c r="G2156" s="2">
        <v>3.9980105629999998</v>
      </c>
      <c r="H2156" s="3">
        <v>2.3099999999999999E-5</v>
      </c>
      <c r="I2156" s="2" t="s">
        <v>31822</v>
      </c>
      <c r="J2156" s="2" t="s">
        <v>31823</v>
      </c>
      <c r="K2156" s="2">
        <v>2.98153E-4</v>
      </c>
      <c r="L2156" s="2" t="s">
        <v>1178</v>
      </c>
      <c r="M2156" s="4" t="s">
        <v>31824</v>
      </c>
    </row>
    <row r="2157" spans="1:13">
      <c r="A2157" s="2">
        <v>3264</v>
      </c>
      <c r="B2157" s="2" t="s">
        <v>31825</v>
      </c>
      <c r="C2157" s="2">
        <v>14</v>
      </c>
      <c r="D2157" s="2">
        <v>568</v>
      </c>
      <c r="E2157" s="2">
        <v>200</v>
      </c>
      <c r="F2157" s="2">
        <v>32441</v>
      </c>
      <c r="G2157" s="2">
        <v>3.9980105629999998</v>
      </c>
      <c r="H2157" s="3">
        <v>2.3099999999999999E-5</v>
      </c>
      <c r="I2157" s="2" t="s">
        <v>31826</v>
      </c>
      <c r="J2157" s="2" t="s">
        <v>31827</v>
      </c>
      <c r="K2157" s="2">
        <v>2.98153E-4</v>
      </c>
      <c r="L2157" s="2" t="s">
        <v>1178</v>
      </c>
      <c r="M2157" s="4" t="s">
        <v>31828</v>
      </c>
    </row>
    <row r="2158" spans="1:13">
      <c r="A2158" s="2">
        <v>3344</v>
      </c>
      <c r="B2158" s="2" t="s">
        <v>31829</v>
      </c>
      <c r="C2158" s="2">
        <v>14</v>
      </c>
      <c r="D2158" s="2">
        <v>568</v>
      </c>
      <c r="E2158" s="2">
        <v>200</v>
      </c>
      <c r="F2158" s="2">
        <v>32441</v>
      </c>
      <c r="G2158" s="2">
        <v>3.9980105629999998</v>
      </c>
      <c r="H2158" s="3">
        <v>2.3099999999999999E-5</v>
      </c>
      <c r="I2158" s="2" t="s">
        <v>31830</v>
      </c>
      <c r="J2158" s="2" t="s">
        <v>31831</v>
      </c>
      <c r="K2158" s="2">
        <v>2.98153E-4</v>
      </c>
      <c r="L2158" s="2" t="s">
        <v>1178</v>
      </c>
      <c r="M2158" s="4" t="s">
        <v>31832</v>
      </c>
    </row>
    <row r="2159" spans="1:13">
      <c r="A2159" s="2">
        <v>3378</v>
      </c>
      <c r="B2159" s="2" t="s">
        <v>31833</v>
      </c>
      <c r="C2159" s="2">
        <v>14</v>
      </c>
      <c r="D2159" s="2">
        <v>568</v>
      </c>
      <c r="E2159" s="2">
        <v>200</v>
      </c>
      <c r="F2159" s="2">
        <v>32441</v>
      </c>
      <c r="G2159" s="2">
        <v>3.9980105629999998</v>
      </c>
      <c r="H2159" s="3">
        <v>2.3099999999999999E-5</v>
      </c>
      <c r="I2159" s="2" t="s">
        <v>31834</v>
      </c>
      <c r="J2159" s="2" t="s">
        <v>31835</v>
      </c>
      <c r="K2159" s="2">
        <v>2.98153E-4</v>
      </c>
      <c r="L2159" s="2" t="s">
        <v>1178</v>
      </c>
      <c r="M2159" s="4" t="s">
        <v>31836</v>
      </c>
    </row>
    <row r="2160" spans="1:13">
      <c r="A2160" s="2">
        <v>3393</v>
      </c>
      <c r="B2160" s="2" t="s">
        <v>19049</v>
      </c>
      <c r="C2160" s="2">
        <v>14</v>
      </c>
      <c r="D2160" s="2">
        <v>568</v>
      </c>
      <c r="E2160" s="2">
        <v>200</v>
      </c>
      <c r="F2160" s="2">
        <v>32441</v>
      </c>
      <c r="G2160" s="2">
        <v>3.9980105629999998</v>
      </c>
      <c r="H2160" s="3">
        <v>2.3099999999999999E-5</v>
      </c>
      <c r="I2160" s="2" t="s">
        <v>31837</v>
      </c>
      <c r="J2160" s="2" t="s">
        <v>31838</v>
      </c>
      <c r="K2160" s="2">
        <v>2.98153E-4</v>
      </c>
      <c r="L2160" s="2" t="s">
        <v>1178</v>
      </c>
      <c r="M2160" s="4" t="s">
        <v>19052</v>
      </c>
    </row>
    <row r="2161" spans="1:13">
      <c r="A2161" s="2">
        <v>34171</v>
      </c>
      <c r="B2161" s="2" t="s">
        <v>31839</v>
      </c>
      <c r="C2161" s="2">
        <v>14</v>
      </c>
      <c r="D2161" s="2">
        <v>568</v>
      </c>
      <c r="E2161" s="2">
        <v>200</v>
      </c>
      <c r="F2161" s="2">
        <v>32441</v>
      </c>
      <c r="G2161" s="2">
        <v>3.9980105629999998</v>
      </c>
      <c r="H2161" s="3">
        <v>2.3099999999999999E-5</v>
      </c>
      <c r="I2161" s="2" t="s">
        <v>31840</v>
      </c>
      <c r="J2161" s="2" t="s">
        <v>31841</v>
      </c>
      <c r="K2161" s="2">
        <v>2.98153E-4</v>
      </c>
      <c r="L2161" s="2" t="s">
        <v>1178</v>
      </c>
      <c r="M2161" s="4" t="s">
        <v>31842</v>
      </c>
    </row>
    <row r="2162" spans="1:13">
      <c r="A2162" s="2">
        <v>3423</v>
      </c>
      <c r="B2162" s="2" t="s">
        <v>31843</v>
      </c>
      <c r="C2162" s="2">
        <v>14</v>
      </c>
      <c r="D2162" s="2">
        <v>568</v>
      </c>
      <c r="E2162" s="2">
        <v>200</v>
      </c>
      <c r="F2162" s="2">
        <v>32441</v>
      </c>
      <c r="G2162" s="2">
        <v>3.9980105629999998</v>
      </c>
      <c r="H2162" s="3">
        <v>2.3099999999999999E-5</v>
      </c>
      <c r="I2162" s="2" t="s">
        <v>31844</v>
      </c>
      <c r="J2162" s="2" t="s">
        <v>31845</v>
      </c>
      <c r="K2162" s="2">
        <v>2.98153E-4</v>
      </c>
      <c r="L2162" s="2" t="s">
        <v>1178</v>
      </c>
      <c r="M2162" s="4" t="s">
        <v>31846</v>
      </c>
    </row>
    <row r="2163" spans="1:13">
      <c r="A2163" s="2">
        <v>3426</v>
      </c>
      <c r="B2163" s="2" t="s">
        <v>1734</v>
      </c>
      <c r="C2163" s="2">
        <v>14</v>
      </c>
      <c r="D2163" s="2">
        <v>568</v>
      </c>
      <c r="E2163" s="2">
        <v>200</v>
      </c>
      <c r="F2163" s="2">
        <v>32441</v>
      </c>
      <c r="G2163" s="2">
        <v>3.9980105629999998</v>
      </c>
      <c r="H2163" s="3">
        <v>2.3099999999999999E-5</v>
      </c>
      <c r="I2163" s="2" t="s">
        <v>31847</v>
      </c>
      <c r="J2163" s="2" t="s">
        <v>31848</v>
      </c>
      <c r="K2163" s="2">
        <v>2.98153E-4</v>
      </c>
      <c r="L2163" s="2" t="s">
        <v>1178</v>
      </c>
      <c r="M2163" s="4" t="s">
        <v>31849</v>
      </c>
    </row>
    <row r="2164" spans="1:13">
      <c r="A2164" s="2">
        <v>34611</v>
      </c>
      <c r="B2164" s="2" t="s">
        <v>1737</v>
      </c>
      <c r="C2164" s="2">
        <v>14</v>
      </c>
      <c r="D2164" s="2">
        <v>568</v>
      </c>
      <c r="E2164" s="2">
        <v>200</v>
      </c>
      <c r="F2164" s="2">
        <v>32441</v>
      </c>
      <c r="G2164" s="2">
        <v>3.9980105629999998</v>
      </c>
      <c r="H2164" s="3">
        <v>2.3099999999999999E-5</v>
      </c>
      <c r="I2164" s="2" t="s">
        <v>31850</v>
      </c>
      <c r="J2164" s="2" t="s">
        <v>31851</v>
      </c>
      <c r="K2164" s="2">
        <v>2.98153E-4</v>
      </c>
      <c r="L2164" s="2" t="s">
        <v>1178</v>
      </c>
      <c r="M2164" s="4" t="s">
        <v>3283</v>
      </c>
    </row>
    <row r="2165" spans="1:13">
      <c r="A2165" s="2">
        <v>3524</v>
      </c>
      <c r="B2165" s="2" t="s">
        <v>20025</v>
      </c>
      <c r="C2165" s="2">
        <v>14</v>
      </c>
      <c r="D2165" s="2">
        <v>568</v>
      </c>
      <c r="E2165" s="2">
        <v>200</v>
      </c>
      <c r="F2165" s="2">
        <v>32441</v>
      </c>
      <c r="G2165" s="2">
        <v>3.9980105629999998</v>
      </c>
      <c r="H2165" s="3">
        <v>2.3099999999999999E-5</v>
      </c>
      <c r="I2165" s="2" t="s">
        <v>31852</v>
      </c>
      <c r="J2165" s="2" t="s">
        <v>31853</v>
      </c>
      <c r="K2165" s="2">
        <v>2.98153E-4</v>
      </c>
      <c r="L2165" s="2" t="s">
        <v>1178</v>
      </c>
      <c r="M2165" s="4" t="s">
        <v>20028</v>
      </c>
    </row>
    <row r="2166" spans="1:13">
      <c r="A2166" s="2">
        <v>3550</v>
      </c>
      <c r="B2166" s="2" t="s">
        <v>13584</v>
      </c>
      <c r="C2166" s="2">
        <v>14</v>
      </c>
      <c r="D2166" s="2">
        <v>568</v>
      </c>
      <c r="E2166" s="2">
        <v>200</v>
      </c>
      <c r="F2166" s="2">
        <v>32441</v>
      </c>
      <c r="G2166" s="2">
        <v>3.9980105629999998</v>
      </c>
      <c r="H2166" s="3">
        <v>2.3099999999999999E-5</v>
      </c>
      <c r="I2166" s="2" t="s">
        <v>31854</v>
      </c>
      <c r="J2166" s="2" t="s">
        <v>31855</v>
      </c>
      <c r="K2166" s="2">
        <v>2.98153E-4</v>
      </c>
      <c r="L2166" s="2" t="s">
        <v>1178</v>
      </c>
      <c r="M2166" s="4" t="s">
        <v>13587</v>
      </c>
    </row>
    <row r="2167" spans="1:13">
      <c r="A2167" s="2">
        <v>3648</v>
      </c>
      <c r="B2167" s="2" t="s">
        <v>31856</v>
      </c>
      <c r="C2167" s="2">
        <v>14</v>
      </c>
      <c r="D2167" s="2">
        <v>568</v>
      </c>
      <c r="E2167" s="2">
        <v>200</v>
      </c>
      <c r="F2167" s="2">
        <v>32441</v>
      </c>
      <c r="G2167" s="2">
        <v>3.9980105629999998</v>
      </c>
      <c r="H2167" s="3">
        <v>2.3099999999999999E-5</v>
      </c>
      <c r="I2167" s="2" t="s">
        <v>31857</v>
      </c>
      <c r="J2167" s="2" t="s">
        <v>31858</v>
      </c>
      <c r="K2167" s="2">
        <v>2.98153E-4</v>
      </c>
      <c r="L2167" s="2" t="s">
        <v>1178</v>
      </c>
      <c r="M2167" s="4" t="s">
        <v>31859</v>
      </c>
    </row>
    <row r="2168" spans="1:13">
      <c r="A2168" s="2">
        <v>3745</v>
      </c>
      <c r="B2168" s="2" t="s">
        <v>31860</v>
      </c>
      <c r="C2168" s="2">
        <v>14</v>
      </c>
      <c r="D2168" s="2">
        <v>568</v>
      </c>
      <c r="E2168" s="2">
        <v>199</v>
      </c>
      <c r="F2168" s="2">
        <v>32441</v>
      </c>
      <c r="G2168" s="2">
        <v>4.0181010690000001</v>
      </c>
      <c r="H2168" s="3">
        <v>2.19E-5</v>
      </c>
      <c r="I2168" s="2" t="s">
        <v>31861</v>
      </c>
      <c r="J2168" s="2" t="s">
        <v>31862</v>
      </c>
      <c r="K2168" s="2">
        <v>2.98153E-4</v>
      </c>
      <c r="L2168" s="2" t="s">
        <v>1178</v>
      </c>
      <c r="M2168" s="4" t="s">
        <v>31863</v>
      </c>
    </row>
    <row r="2169" spans="1:13">
      <c r="A2169" s="2">
        <v>37571</v>
      </c>
      <c r="B2169" s="2" t="s">
        <v>20099</v>
      </c>
      <c r="C2169" s="2">
        <v>14</v>
      </c>
      <c r="D2169" s="2">
        <v>568</v>
      </c>
      <c r="E2169" s="2">
        <v>200</v>
      </c>
      <c r="F2169" s="2">
        <v>32441</v>
      </c>
      <c r="G2169" s="2">
        <v>3.9980105629999998</v>
      </c>
      <c r="H2169" s="3">
        <v>2.3099999999999999E-5</v>
      </c>
      <c r="I2169" s="2" t="s">
        <v>31864</v>
      </c>
      <c r="J2169" s="2" t="s">
        <v>31865</v>
      </c>
      <c r="K2169" s="2">
        <v>2.98153E-4</v>
      </c>
      <c r="L2169" s="2" t="s">
        <v>1178</v>
      </c>
      <c r="M2169" s="4" t="s">
        <v>20102</v>
      </c>
    </row>
    <row r="2170" spans="1:13">
      <c r="A2170" s="2">
        <v>3904</v>
      </c>
      <c r="B2170" s="2" t="s">
        <v>21627</v>
      </c>
      <c r="C2170" s="2">
        <v>14</v>
      </c>
      <c r="D2170" s="2">
        <v>568</v>
      </c>
      <c r="E2170" s="2">
        <v>196</v>
      </c>
      <c r="F2170" s="2">
        <v>32441</v>
      </c>
      <c r="G2170" s="2">
        <v>4.0796026159999998</v>
      </c>
      <c r="H2170" s="3">
        <v>1.8700000000000001E-5</v>
      </c>
      <c r="I2170" s="2" t="s">
        <v>31866</v>
      </c>
      <c r="J2170" s="2" t="s">
        <v>31867</v>
      </c>
      <c r="K2170" s="2">
        <v>2.98153E-4</v>
      </c>
      <c r="L2170" s="2" t="s">
        <v>1178</v>
      </c>
      <c r="M2170" s="4" t="s">
        <v>21630</v>
      </c>
    </row>
    <row r="2171" spans="1:13">
      <c r="A2171" s="2">
        <v>4284</v>
      </c>
      <c r="B2171" s="2" t="s">
        <v>31868</v>
      </c>
      <c r="C2171" s="2">
        <v>14</v>
      </c>
      <c r="D2171" s="2">
        <v>568</v>
      </c>
      <c r="E2171" s="2">
        <v>200</v>
      </c>
      <c r="F2171" s="2">
        <v>32441</v>
      </c>
      <c r="G2171" s="2">
        <v>3.9980105629999998</v>
      </c>
      <c r="H2171" s="3">
        <v>2.3099999999999999E-5</v>
      </c>
      <c r="I2171" s="2" t="s">
        <v>31869</v>
      </c>
      <c r="J2171" s="2" t="s">
        <v>31870</v>
      </c>
      <c r="K2171" s="2">
        <v>2.98153E-4</v>
      </c>
      <c r="L2171" s="2" t="s">
        <v>1178</v>
      </c>
      <c r="M2171" s="4" t="s">
        <v>31871</v>
      </c>
    </row>
    <row r="2172" spans="1:13">
      <c r="A2172" s="2">
        <v>43071</v>
      </c>
      <c r="B2172" s="2" t="s">
        <v>2694</v>
      </c>
      <c r="C2172" s="2">
        <v>14</v>
      </c>
      <c r="D2172" s="2">
        <v>568</v>
      </c>
      <c r="E2172" s="2">
        <v>199</v>
      </c>
      <c r="F2172" s="2">
        <v>32441</v>
      </c>
      <c r="G2172" s="2">
        <v>4.0181010690000001</v>
      </c>
      <c r="H2172" s="3">
        <v>2.19E-5</v>
      </c>
      <c r="I2172" s="2" t="s">
        <v>31872</v>
      </c>
      <c r="J2172" s="2" t="s">
        <v>31873</v>
      </c>
      <c r="K2172" s="2">
        <v>2.98153E-4</v>
      </c>
      <c r="L2172" s="2" t="s">
        <v>1178</v>
      </c>
      <c r="M2172" s="4" t="s">
        <v>31874</v>
      </c>
    </row>
    <row r="2173" spans="1:13">
      <c r="A2173" s="2">
        <v>4341</v>
      </c>
      <c r="B2173" s="2" t="s">
        <v>20183</v>
      </c>
      <c r="C2173" s="2">
        <v>14</v>
      </c>
      <c r="D2173" s="2">
        <v>568</v>
      </c>
      <c r="E2173" s="2">
        <v>200</v>
      </c>
      <c r="F2173" s="2">
        <v>32441</v>
      </c>
      <c r="G2173" s="2">
        <v>3.9980105629999998</v>
      </c>
      <c r="H2173" s="3">
        <v>2.3099999999999999E-5</v>
      </c>
      <c r="I2173" s="2" t="s">
        <v>31875</v>
      </c>
      <c r="J2173" s="2" t="s">
        <v>31876</v>
      </c>
      <c r="K2173" s="2">
        <v>2.98153E-4</v>
      </c>
      <c r="L2173" s="2" t="s">
        <v>1178</v>
      </c>
      <c r="M2173" s="4" t="s">
        <v>20186</v>
      </c>
    </row>
    <row r="2174" spans="1:13">
      <c r="A2174" s="2">
        <v>4379</v>
      </c>
      <c r="B2174" s="2" t="s">
        <v>17538</v>
      </c>
      <c r="C2174" s="2">
        <v>14</v>
      </c>
      <c r="D2174" s="2">
        <v>568</v>
      </c>
      <c r="E2174" s="2">
        <v>200</v>
      </c>
      <c r="F2174" s="2">
        <v>32441</v>
      </c>
      <c r="G2174" s="2">
        <v>3.9980105629999998</v>
      </c>
      <c r="H2174" s="3">
        <v>2.3099999999999999E-5</v>
      </c>
      <c r="I2174" s="2" t="s">
        <v>31877</v>
      </c>
      <c r="J2174" s="2" t="s">
        <v>31878</v>
      </c>
      <c r="K2174" s="2">
        <v>2.98153E-4</v>
      </c>
      <c r="L2174" s="2" t="s">
        <v>1178</v>
      </c>
      <c r="M2174" s="4" t="s">
        <v>17541</v>
      </c>
    </row>
    <row r="2175" spans="1:13">
      <c r="A2175" s="2">
        <v>4392</v>
      </c>
      <c r="B2175" s="2" t="s">
        <v>19186</v>
      </c>
      <c r="C2175" s="2">
        <v>14</v>
      </c>
      <c r="D2175" s="2">
        <v>568</v>
      </c>
      <c r="E2175" s="2">
        <v>200</v>
      </c>
      <c r="F2175" s="2">
        <v>32441</v>
      </c>
      <c r="G2175" s="2">
        <v>3.9980105629999998</v>
      </c>
      <c r="H2175" s="3">
        <v>2.3099999999999999E-5</v>
      </c>
      <c r="I2175" s="2" t="s">
        <v>31879</v>
      </c>
      <c r="J2175" s="2" t="s">
        <v>31880</v>
      </c>
      <c r="K2175" s="2">
        <v>2.98153E-4</v>
      </c>
      <c r="L2175" s="2" t="s">
        <v>1178</v>
      </c>
      <c r="M2175" s="4" t="s">
        <v>19189</v>
      </c>
    </row>
    <row r="2176" spans="1:13">
      <c r="A2176" s="2">
        <v>4467</v>
      </c>
      <c r="B2176" s="2" t="s">
        <v>16129</v>
      </c>
      <c r="C2176" s="2">
        <v>14</v>
      </c>
      <c r="D2176" s="2">
        <v>568</v>
      </c>
      <c r="E2176" s="2">
        <v>200</v>
      </c>
      <c r="F2176" s="2">
        <v>32441</v>
      </c>
      <c r="G2176" s="2">
        <v>3.9980105629999998</v>
      </c>
      <c r="H2176" s="3">
        <v>2.3099999999999999E-5</v>
      </c>
      <c r="I2176" s="2" t="s">
        <v>31881</v>
      </c>
      <c r="J2176" s="2" t="s">
        <v>31882</v>
      </c>
      <c r="K2176" s="2">
        <v>2.98153E-4</v>
      </c>
      <c r="L2176" s="2" t="s">
        <v>1178</v>
      </c>
      <c r="M2176" s="4" t="s">
        <v>16132</v>
      </c>
    </row>
    <row r="2177" spans="1:13">
      <c r="A2177" s="2">
        <v>4486</v>
      </c>
      <c r="B2177" s="2" t="s">
        <v>3513</v>
      </c>
      <c r="C2177" s="2">
        <v>14</v>
      </c>
      <c r="D2177" s="2">
        <v>568</v>
      </c>
      <c r="E2177" s="2">
        <v>200</v>
      </c>
      <c r="F2177" s="2">
        <v>32441</v>
      </c>
      <c r="G2177" s="2">
        <v>3.9980105629999998</v>
      </c>
      <c r="H2177" s="3">
        <v>2.3099999999999999E-5</v>
      </c>
      <c r="I2177" s="2" t="s">
        <v>31883</v>
      </c>
      <c r="J2177" s="2" t="s">
        <v>31884</v>
      </c>
      <c r="K2177" s="2">
        <v>2.98153E-4</v>
      </c>
      <c r="L2177" s="2" t="s">
        <v>1178</v>
      </c>
      <c r="M2177" s="4" t="s">
        <v>3516</v>
      </c>
    </row>
    <row r="2178" spans="1:13">
      <c r="A2178" s="2">
        <v>4698</v>
      </c>
      <c r="B2178" s="2" t="s">
        <v>31885</v>
      </c>
      <c r="C2178" s="2">
        <v>14</v>
      </c>
      <c r="D2178" s="2">
        <v>568</v>
      </c>
      <c r="E2178" s="2">
        <v>200</v>
      </c>
      <c r="F2178" s="2">
        <v>32441</v>
      </c>
      <c r="G2178" s="2">
        <v>3.9980105629999998</v>
      </c>
      <c r="H2178" s="3">
        <v>2.3099999999999999E-5</v>
      </c>
      <c r="I2178" s="2" t="s">
        <v>31886</v>
      </c>
      <c r="J2178" s="2" t="s">
        <v>31887</v>
      </c>
      <c r="K2178" s="2">
        <v>2.98153E-4</v>
      </c>
      <c r="L2178" s="2" t="s">
        <v>1178</v>
      </c>
      <c r="M2178" s="4" t="s">
        <v>31888</v>
      </c>
    </row>
    <row r="2179" spans="1:13">
      <c r="A2179" s="2">
        <v>4733</v>
      </c>
      <c r="B2179" s="2" t="s">
        <v>20252</v>
      </c>
      <c r="C2179" s="2">
        <v>14</v>
      </c>
      <c r="D2179" s="2">
        <v>568</v>
      </c>
      <c r="E2179" s="2">
        <v>200</v>
      </c>
      <c r="F2179" s="2">
        <v>32441</v>
      </c>
      <c r="G2179" s="2">
        <v>3.9980105629999998</v>
      </c>
      <c r="H2179" s="3">
        <v>2.3099999999999999E-5</v>
      </c>
      <c r="I2179" s="2" t="s">
        <v>31889</v>
      </c>
      <c r="J2179" s="2" t="s">
        <v>31890</v>
      </c>
      <c r="K2179" s="2">
        <v>2.98153E-4</v>
      </c>
      <c r="L2179" s="2" t="s">
        <v>1178</v>
      </c>
      <c r="M2179" s="4" t="s">
        <v>20255</v>
      </c>
    </row>
    <row r="2180" spans="1:13">
      <c r="A2180" s="2">
        <v>4767</v>
      </c>
      <c r="B2180" s="2" t="s">
        <v>3525</v>
      </c>
      <c r="C2180" s="2">
        <v>14</v>
      </c>
      <c r="D2180" s="2">
        <v>568</v>
      </c>
      <c r="E2180" s="2">
        <v>200</v>
      </c>
      <c r="F2180" s="2">
        <v>32441</v>
      </c>
      <c r="G2180" s="2">
        <v>3.9980105629999998</v>
      </c>
      <c r="H2180" s="3">
        <v>2.3099999999999999E-5</v>
      </c>
      <c r="I2180" s="2" t="s">
        <v>31891</v>
      </c>
      <c r="J2180" s="2" t="s">
        <v>31892</v>
      </c>
      <c r="K2180" s="2">
        <v>2.98153E-4</v>
      </c>
      <c r="L2180" s="2" t="s">
        <v>1178</v>
      </c>
      <c r="M2180" s="4" t="s">
        <v>3528</v>
      </c>
    </row>
    <row r="2181" spans="1:13">
      <c r="A2181" s="2">
        <v>4105</v>
      </c>
      <c r="B2181" s="2" t="s">
        <v>18407</v>
      </c>
      <c r="C2181" s="2">
        <v>13</v>
      </c>
      <c r="D2181" s="2">
        <v>568</v>
      </c>
      <c r="E2181" s="2">
        <v>174</v>
      </c>
      <c r="F2181" s="2">
        <v>32441</v>
      </c>
      <c r="G2181" s="2">
        <v>4.2671705519999996</v>
      </c>
      <c r="H2181" s="3">
        <v>2.3799999999999999E-5</v>
      </c>
      <c r="I2181" s="2" t="s">
        <v>31893</v>
      </c>
      <c r="J2181" s="2" t="s">
        <v>31894</v>
      </c>
      <c r="K2181" s="2">
        <v>3.0675400000000001E-4</v>
      </c>
      <c r="L2181" s="2" t="s">
        <v>1178</v>
      </c>
      <c r="M2181" s="4" t="s">
        <v>18410</v>
      </c>
    </row>
    <row r="2182" spans="1:13">
      <c r="A2182" s="2">
        <v>2279</v>
      </c>
      <c r="B2182" s="2" t="s">
        <v>20299</v>
      </c>
      <c r="C2182" s="2">
        <v>12</v>
      </c>
      <c r="D2182" s="2">
        <v>568</v>
      </c>
      <c r="E2182" s="2">
        <v>149</v>
      </c>
      <c r="F2182" s="2">
        <v>32441</v>
      </c>
      <c r="G2182" s="2">
        <v>4.5998203990000004</v>
      </c>
      <c r="H2182" s="3">
        <v>2.4499999999999999E-5</v>
      </c>
      <c r="I2182" s="2" t="s">
        <v>31895</v>
      </c>
      <c r="J2182" s="2" t="s">
        <v>31896</v>
      </c>
      <c r="K2182" s="2">
        <v>3.1495500000000001E-4</v>
      </c>
      <c r="L2182" s="2" t="s">
        <v>1178</v>
      </c>
      <c r="M2182" s="4" t="s">
        <v>20302</v>
      </c>
    </row>
    <row r="2183" spans="1:13">
      <c r="A2183" s="2">
        <v>2171</v>
      </c>
      <c r="B2183" s="2" t="s">
        <v>1446</v>
      </c>
      <c r="C2183" s="2">
        <v>13</v>
      </c>
      <c r="D2183" s="2">
        <v>568</v>
      </c>
      <c r="E2183" s="2">
        <v>177</v>
      </c>
      <c r="F2183" s="2">
        <v>32441</v>
      </c>
      <c r="G2183" s="2">
        <v>4.1948456270000003</v>
      </c>
      <c r="H2183" s="3">
        <v>2.8099999999999999E-5</v>
      </c>
      <c r="I2183" s="2" t="s">
        <v>31897</v>
      </c>
      <c r="J2183" s="2" t="s">
        <v>31898</v>
      </c>
      <c r="K2183" s="2">
        <v>3.59706E-4</v>
      </c>
      <c r="L2183" s="2" t="s">
        <v>1178</v>
      </c>
      <c r="M2183" s="4" t="s">
        <v>16205</v>
      </c>
    </row>
    <row r="2184" spans="1:13">
      <c r="A2184" s="2">
        <v>4031</v>
      </c>
      <c r="B2184" s="2" t="s">
        <v>31899</v>
      </c>
      <c r="C2184" s="2">
        <v>13</v>
      </c>
      <c r="D2184" s="2">
        <v>568</v>
      </c>
      <c r="E2184" s="2">
        <v>177</v>
      </c>
      <c r="F2184" s="2">
        <v>32441</v>
      </c>
      <c r="G2184" s="2">
        <v>4.1948456270000003</v>
      </c>
      <c r="H2184" s="3">
        <v>2.8099999999999999E-5</v>
      </c>
      <c r="I2184" s="2" t="s">
        <v>31900</v>
      </c>
      <c r="J2184" s="2" t="s">
        <v>31901</v>
      </c>
      <c r="K2184" s="2">
        <v>3.59706E-4</v>
      </c>
      <c r="L2184" s="2" t="s">
        <v>1178</v>
      </c>
      <c r="M2184" s="4" t="s">
        <v>31902</v>
      </c>
    </row>
    <row r="2185" spans="1:13">
      <c r="A2185" s="2">
        <v>2699</v>
      </c>
      <c r="B2185" s="2" t="s">
        <v>21595</v>
      </c>
      <c r="C2185" s="2">
        <v>12</v>
      </c>
      <c r="D2185" s="2">
        <v>568</v>
      </c>
      <c r="E2185" s="2">
        <v>160</v>
      </c>
      <c r="F2185" s="2">
        <v>32441</v>
      </c>
      <c r="G2185" s="2">
        <v>4.2835827460000004</v>
      </c>
      <c r="H2185" s="3">
        <v>4.6900000000000002E-5</v>
      </c>
      <c r="I2185" s="2" t="s">
        <v>31903</v>
      </c>
      <c r="J2185" s="2" t="s">
        <v>31904</v>
      </c>
      <c r="K2185" s="2">
        <v>5.9878399999999999E-4</v>
      </c>
      <c r="L2185" s="2" t="s">
        <v>1178</v>
      </c>
      <c r="M2185" s="4" t="s">
        <v>21598</v>
      </c>
    </row>
    <row r="2186" spans="1:13">
      <c r="A2186" s="2">
        <v>24941</v>
      </c>
      <c r="B2186" s="2" t="s">
        <v>31905</v>
      </c>
      <c r="C2186" s="2">
        <v>10</v>
      </c>
      <c r="D2186" s="2">
        <v>568</v>
      </c>
      <c r="E2186" s="2">
        <v>111</v>
      </c>
      <c r="F2186" s="2">
        <v>32441</v>
      </c>
      <c r="G2186" s="2">
        <v>5.1454447410000004</v>
      </c>
      <c r="H2186" s="3">
        <v>4.8199999999999999E-5</v>
      </c>
      <c r="I2186" s="2" t="s">
        <v>31906</v>
      </c>
      <c r="J2186" s="2" t="s">
        <v>31907</v>
      </c>
      <c r="K2186" s="2">
        <v>6.1341100000000001E-4</v>
      </c>
      <c r="L2186" s="2" t="s">
        <v>1178</v>
      </c>
      <c r="M2186" s="4" t="s">
        <v>31908</v>
      </c>
    </row>
    <row r="2187" spans="1:13">
      <c r="A2187" s="2">
        <v>2666</v>
      </c>
      <c r="B2187" s="2" t="s">
        <v>31909</v>
      </c>
      <c r="C2187" s="2">
        <v>12</v>
      </c>
      <c r="D2187" s="2">
        <v>568</v>
      </c>
      <c r="E2187" s="2">
        <v>163</v>
      </c>
      <c r="F2187" s="2">
        <v>32441</v>
      </c>
      <c r="G2187" s="2">
        <v>4.2047438000000001</v>
      </c>
      <c r="H2187" s="3">
        <v>5.5500000000000001E-5</v>
      </c>
      <c r="I2187" s="2" t="s">
        <v>31910</v>
      </c>
      <c r="J2187" s="2" t="s">
        <v>31911</v>
      </c>
      <c r="K2187" s="2">
        <v>7.0462900000000002E-4</v>
      </c>
      <c r="L2187" s="2" t="s">
        <v>1178</v>
      </c>
      <c r="M2187" s="4" t="s">
        <v>31912</v>
      </c>
    </row>
    <row r="2188" spans="1:13">
      <c r="A2188" s="2">
        <v>2430</v>
      </c>
      <c r="B2188" s="2" t="s">
        <v>3235</v>
      </c>
      <c r="C2188" s="2">
        <v>12</v>
      </c>
      <c r="D2188" s="2">
        <v>568</v>
      </c>
      <c r="E2188" s="2">
        <v>164</v>
      </c>
      <c r="F2188" s="2">
        <v>32441</v>
      </c>
      <c r="G2188" s="2">
        <v>4.1791051189999999</v>
      </c>
      <c r="H2188" s="3">
        <v>5.8699999999999997E-5</v>
      </c>
      <c r="I2188" s="2" t="s">
        <v>31913</v>
      </c>
      <c r="J2188" s="2" t="s">
        <v>31914</v>
      </c>
      <c r="K2188" s="2">
        <v>7.4265300000000002E-4</v>
      </c>
      <c r="L2188" s="2" t="s">
        <v>1178</v>
      </c>
      <c r="M2188" s="4" t="s">
        <v>3238</v>
      </c>
    </row>
    <row r="2189" spans="1:13">
      <c r="A2189" s="2">
        <v>4325</v>
      </c>
      <c r="B2189" s="2" t="s">
        <v>14262</v>
      </c>
      <c r="C2189" s="2">
        <v>13</v>
      </c>
      <c r="D2189" s="2">
        <v>568</v>
      </c>
      <c r="E2189" s="2">
        <v>193</v>
      </c>
      <c r="F2189" s="2">
        <v>32441</v>
      </c>
      <c r="G2189" s="2">
        <v>3.8470864040000001</v>
      </c>
      <c r="H2189" s="3">
        <v>6.4900000000000005E-5</v>
      </c>
      <c r="I2189" s="2" t="s">
        <v>31915</v>
      </c>
      <c r="J2189" s="2" t="s">
        <v>31916</v>
      </c>
      <c r="K2189" s="2">
        <v>8.1896599999999996E-4</v>
      </c>
      <c r="L2189" s="2" t="s">
        <v>1178</v>
      </c>
      <c r="M2189" s="4" t="s">
        <v>14265</v>
      </c>
    </row>
    <row r="2190" spans="1:13">
      <c r="A2190" s="2">
        <v>361</v>
      </c>
      <c r="B2190" s="2" t="s">
        <v>31917</v>
      </c>
      <c r="C2190" s="2">
        <v>13</v>
      </c>
      <c r="D2190" s="2">
        <v>568</v>
      </c>
      <c r="E2190" s="2">
        <v>199</v>
      </c>
      <c r="F2190" s="2">
        <v>32441</v>
      </c>
      <c r="G2190" s="2">
        <v>3.7310938500000002</v>
      </c>
      <c r="H2190" s="3">
        <v>8.6799999999999996E-5</v>
      </c>
      <c r="I2190" s="2" t="s">
        <v>31918</v>
      </c>
      <c r="J2190" s="2" t="s">
        <v>31919</v>
      </c>
      <c r="K2190" s="2">
        <v>9.3580400000000004E-4</v>
      </c>
      <c r="L2190" s="2" t="s">
        <v>1178</v>
      </c>
      <c r="M2190" s="4" t="s">
        <v>31920</v>
      </c>
    </row>
    <row r="2191" spans="1:13">
      <c r="A2191" s="2">
        <v>952</v>
      </c>
      <c r="B2191" s="2" t="s">
        <v>21667</v>
      </c>
      <c r="C2191" s="2">
        <v>13</v>
      </c>
      <c r="D2191" s="2">
        <v>568</v>
      </c>
      <c r="E2191" s="2">
        <v>200</v>
      </c>
      <c r="F2191" s="2">
        <v>32441</v>
      </c>
      <c r="G2191" s="2">
        <v>3.71243838</v>
      </c>
      <c r="H2191" s="3">
        <v>9.1000000000000003E-5</v>
      </c>
      <c r="I2191" s="2" t="s">
        <v>31921</v>
      </c>
      <c r="J2191" s="2" t="s">
        <v>31922</v>
      </c>
      <c r="K2191" s="2">
        <v>9.3580400000000004E-4</v>
      </c>
      <c r="L2191" s="2" t="s">
        <v>1178</v>
      </c>
      <c r="M2191" s="4" t="s">
        <v>21670</v>
      </c>
    </row>
    <row r="2192" spans="1:13">
      <c r="A2192" s="2">
        <v>1062</v>
      </c>
      <c r="B2192" s="2" t="s">
        <v>31923</v>
      </c>
      <c r="C2192" s="2">
        <v>13</v>
      </c>
      <c r="D2192" s="2">
        <v>568</v>
      </c>
      <c r="E2192" s="2">
        <v>200</v>
      </c>
      <c r="F2192" s="2">
        <v>32441</v>
      </c>
      <c r="G2192" s="2">
        <v>3.71243838</v>
      </c>
      <c r="H2192" s="3">
        <v>9.1000000000000003E-5</v>
      </c>
      <c r="I2192" s="2" t="s">
        <v>31924</v>
      </c>
      <c r="J2192" s="2" t="s">
        <v>31925</v>
      </c>
      <c r="K2192" s="2">
        <v>9.3580400000000004E-4</v>
      </c>
      <c r="L2192" s="2" t="s">
        <v>1178</v>
      </c>
      <c r="M2192" s="4" t="s">
        <v>31926</v>
      </c>
    </row>
    <row r="2193" spans="1:13">
      <c r="A2193" s="2">
        <v>170</v>
      </c>
      <c r="B2193" s="2" t="s">
        <v>18506</v>
      </c>
      <c r="C2193" s="2">
        <v>13</v>
      </c>
      <c r="D2193" s="2">
        <v>568</v>
      </c>
      <c r="E2193" s="2">
        <v>200</v>
      </c>
      <c r="F2193" s="2">
        <v>32441</v>
      </c>
      <c r="G2193" s="2">
        <v>3.71243838</v>
      </c>
      <c r="H2193" s="3">
        <v>9.1000000000000003E-5</v>
      </c>
      <c r="I2193" s="2" t="s">
        <v>31927</v>
      </c>
      <c r="J2193" s="2" t="s">
        <v>31928</v>
      </c>
      <c r="K2193" s="2">
        <v>9.3580400000000004E-4</v>
      </c>
      <c r="L2193" s="2" t="s">
        <v>1178</v>
      </c>
      <c r="M2193" s="4" t="s">
        <v>18509</v>
      </c>
    </row>
    <row r="2194" spans="1:13">
      <c r="A2194" s="2">
        <v>2563</v>
      </c>
      <c r="B2194" s="2" t="s">
        <v>22913</v>
      </c>
      <c r="C2194" s="2">
        <v>13</v>
      </c>
      <c r="D2194" s="2">
        <v>568</v>
      </c>
      <c r="E2194" s="2">
        <v>200</v>
      </c>
      <c r="F2194" s="2">
        <v>32441</v>
      </c>
      <c r="G2194" s="2">
        <v>3.71243838</v>
      </c>
      <c r="H2194" s="3">
        <v>9.1000000000000003E-5</v>
      </c>
      <c r="I2194" s="2" t="s">
        <v>31929</v>
      </c>
      <c r="J2194" s="2" t="s">
        <v>31930</v>
      </c>
      <c r="K2194" s="2">
        <v>9.3580400000000004E-4</v>
      </c>
      <c r="L2194" s="2" t="s">
        <v>1178</v>
      </c>
      <c r="M2194" s="4" t="s">
        <v>22916</v>
      </c>
    </row>
    <row r="2195" spans="1:13">
      <c r="A2195" s="2">
        <v>3401</v>
      </c>
      <c r="B2195" s="2" t="s">
        <v>17756</v>
      </c>
      <c r="C2195" s="2">
        <v>13</v>
      </c>
      <c r="D2195" s="2">
        <v>568</v>
      </c>
      <c r="E2195" s="2">
        <v>200</v>
      </c>
      <c r="F2195" s="2">
        <v>32441</v>
      </c>
      <c r="G2195" s="2">
        <v>3.71243838</v>
      </c>
      <c r="H2195" s="3">
        <v>9.1000000000000003E-5</v>
      </c>
      <c r="I2195" s="2" t="s">
        <v>31931</v>
      </c>
      <c r="J2195" s="2" t="s">
        <v>31932</v>
      </c>
      <c r="K2195" s="2">
        <v>9.3580400000000004E-4</v>
      </c>
      <c r="L2195" s="2" t="s">
        <v>1178</v>
      </c>
      <c r="M2195" s="4" t="s">
        <v>17759</v>
      </c>
    </row>
    <row r="2196" spans="1:13">
      <c r="A2196" s="2">
        <v>372</v>
      </c>
      <c r="B2196" s="2" t="s">
        <v>20499</v>
      </c>
      <c r="C2196" s="2">
        <v>13</v>
      </c>
      <c r="D2196" s="2">
        <v>568</v>
      </c>
      <c r="E2196" s="2">
        <v>200</v>
      </c>
      <c r="F2196" s="2">
        <v>32441</v>
      </c>
      <c r="G2196" s="2">
        <v>3.71243838</v>
      </c>
      <c r="H2196" s="3">
        <v>9.1000000000000003E-5</v>
      </c>
      <c r="I2196" s="2" t="s">
        <v>31933</v>
      </c>
      <c r="J2196" s="2" t="s">
        <v>31934</v>
      </c>
      <c r="K2196" s="2">
        <v>9.3580400000000004E-4</v>
      </c>
      <c r="L2196" s="2" t="s">
        <v>1178</v>
      </c>
      <c r="M2196" s="4" t="s">
        <v>20502</v>
      </c>
    </row>
    <row r="2197" spans="1:13">
      <c r="A2197" s="2">
        <v>4492</v>
      </c>
      <c r="B2197" s="2" t="s">
        <v>31935</v>
      </c>
      <c r="C2197" s="2">
        <v>13</v>
      </c>
      <c r="D2197" s="2">
        <v>568</v>
      </c>
      <c r="E2197" s="2">
        <v>200</v>
      </c>
      <c r="F2197" s="2">
        <v>32441</v>
      </c>
      <c r="G2197" s="2">
        <v>3.71243838</v>
      </c>
      <c r="H2197" s="3">
        <v>9.1000000000000003E-5</v>
      </c>
      <c r="I2197" s="2" t="s">
        <v>31936</v>
      </c>
      <c r="J2197" s="2" t="s">
        <v>31937</v>
      </c>
      <c r="K2197" s="2">
        <v>9.3580400000000004E-4</v>
      </c>
      <c r="L2197" s="2" t="s">
        <v>1178</v>
      </c>
      <c r="M2197" s="4" t="s">
        <v>31938</v>
      </c>
    </row>
    <row r="2198" spans="1:13">
      <c r="A2198" s="2">
        <v>546</v>
      </c>
      <c r="B2198" s="2" t="s">
        <v>2358</v>
      </c>
      <c r="C2198" s="2">
        <v>13</v>
      </c>
      <c r="D2198" s="2">
        <v>568</v>
      </c>
      <c r="E2198" s="2">
        <v>200</v>
      </c>
      <c r="F2198" s="2">
        <v>32441</v>
      </c>
      <c r="G2198" s="2">
        <v>3.71243838</v>
      </c>
      <c r="H2198" s="3">
        <v>9.1000000000000003E-5</v>
      </c>
      <c r="I2198" s="2" t="s">
        <v>31939</v>
      </c>
      <c r="J2198" s="2" t="s">
        <v>31940</v>
      </c>
      <c r="K2198" s="2">
        <v>9.3580400000000004E-4</v>
      </c>
      <c r="L2198" s="2" t="s">
        <v>1178</v>
      </c>
      <c r="M2198" s="4" t="s">
        <v>31941</v>
      </c>
    </row>
    <row r="2199" spans="1:13">
      <c r="A2199" s="2">
        <v>5532</v>
      </c>
      <c r="B2199" s="2" t="s">
        <v>16312</v>
      </c>
      <c r="C2199" s="2">
        <v>13</v>
      </c>
      <c r="D2199" s="2">
        <v>568</v>
      </c>
      <c r="E2199" s="2">
        <v>200</v>
      </c>
      <c r="F2199" s="2">
        <v>32441</v>
      </c>
      <c r="G2199" s="2">
        <v>3.71243838</v>
      </c>
      <c r="H2199" s="3">
        <v>9.1000000000000003E-5</v>
      </c>
      <c r="I2199" s="2" t="s">
        <v>31942</v>
      </c>
      <c r="J2199" s="2" t="s">
        <v>31943</v>
      </c>
      <c r="K2199" s="2">
        <v>9.3580400000000004E-4</v>
      </c>
      <c r="L2199" s="2" t="s">
        <v>1178</v>
      </c>
      <c r="M2199" s="4" t="s">
        <v>16315</v>
      </c>
    </row>
    <row r="2200" spans="1:13">
      <c r="A2200" s="2">
        <v>6002</v>
      </c>
      <c r="B2200" s="2" t="s">
        <v>20563</v>
      </c>
      <c r="C2200" s="2">
        <v>13</v>
      </c>
      <c r="D2200" s="2">
        <v>568</v>
      </c>
      <c r="E2200" s="2">
        <v>200</v>
      </c>
      <c r="F2200" s="2">
        <v>32441</v>
      </c>
      <c r="G2200" s="2">
        <v>3.71243838</v>
      </c>
      <c r="H2200" s="3">
        <v>9.1000000000000003E-5</v>
      </c>
      <c r="I2200" s="2" t="s">
        <v>31944</v>
      </c>
      <c r="J2200" s="2" t="s">
        <v>31945</v>
      </c>
      <c r="K2200" s="2">
        <v>9.3580400000000004E-4</v>
      </c>
      <c r="L2200" s="2" t="s">
        <v>1178</v>
      </c>
      <c r="M2200" s="4" t="s">
        <v>20566</v>
      </c>
    </row>
    <row r="2201" spans="1:13">
      <c r="A2201" s="2">
        <v>7082</v>
      </c>
      <c r="B2201" s="2" t="s">
        <v>19594</v>
      </c>
      <c r="C2201" s="2">
        <v>13</v>
      </c>
      <c r="D2201" s="2">
        <v>568</v>
      </c>
      <c r="E2201" s="2">
        <v>200</v>
      </c>
      <c r="F2201" s="2">
        <v>32441</v>
      </c>
      <c r="G2201" s="2">
        <v>3.71243838</v>
      </c>
      <c r="H2201" s="3">
        <v>9.1000000000000003E-5</v>
      </c>
      <c r="I2201" s="2" t="s">
        <v>31946</v>
      </c>
      <c r="J2201" s="2" t="s">
        <v>31947</v>
      </c>
      <c r="K2201" s="2">
        <v>9.3580400000000004E-4</v>
      </c>
      <c r="L2201" s="2" t="s">
        <v>1178</v>
      </c>
      <c r="M2201" s="4" t="s">
        <v>19597</v>
      </c>
    </row>
    <row r="2202" spans="1:13">
      <c r="A2202" s="2">
        <v>8231</v>
      </c>
      <c r="B2202" s="2" t="s">
        <v>23141</v>
      </c>
      <c r="C2202" s="2">
        <v>13</v>
      </c>
      <c r="D2202" s="2">
        <v>568</v>
      </c>
      <c r="E2202" s="2">
        <v>200</v>
      </c>
      <c r="F2202" s="2">
        <v>32441</v>
      </c>
      <c r="G2202" s="2">
        <v>3.71243838</v>
      </c>
      <c r="H2202" s="3">
        <v>9.1000000000000003E-5</v>
      </c>
      <c r="I2202" s="2" t="s">
        <v>31948</v>
      </c>
      <c r="J2202" s="2" t="s">
        <v>31949</v>
      </c>
      <c r="K2202" s="2">
        <v>9.3580400000000004E-4</v>
      </c>
      <c r="L2202" s="2" t="s">
        <v>1178</v>
      </c>
      <c r="M2202" s="4" t="s">
        <v>23144</v>
      </c>
    </row>
    <row r="2203" spans="1:13">
      <c r="A2203" s="2">
        <v>8271</v>
      </c>
      <c r="B2203" s="2" t="s">
        <v>23149</v>
      </c>
      <c r="C2203" s="2">
        <v>13</v>
      </c>
      <c r="D2203" s="2">
        <v>568</v>
      </c>
      <c r="E2203" s="2">
        <v>200</v>
      </c>
      <c r="F2203" s="2">
        <v>32441</v>
      </c>
      <c r="G2203" s="2">
        <v>3.71243838</v>
      </c>
      <c r="H2203" s="3">
        <v>9.1000000000000003E-5</v>
      </c>
      <c r="I2203" s="2" t="s">
        <v>31950</v>
      </c>
      <c r="J2203" s="2" t="s">
        <v>31951</v>
      </c>
      <c r="K2203" s="2">
        <v>9.3580400000000004E-4</v>
      </c>
      <c r="L2203" s="2" t="s">
        <v>1178</v>
      </c>
      <c r="M2203" s="4" t="s">
        <v>23152</v>
      </c>
    </row>
    <row r="2204" spans="1:13">
      <c r="A2204" s="2">
        <v>8511</v>
      </c>
      <c r="B2204" s="2" t="s">
        <v>20674</v>
      </c>
      <c r="C2204" s="2">
        <v>13</v>
      </c>
      <c r="D2204" s="2">
        <v>568</v>
      </c>
      <c r="E2204" s="2">
        <v>200</v>
      </c>
      <c r="F2204" s="2">
        <v>32441</v>
      </c>
      <c r="G2204" s="2">
        <v>3.71243838</v>
      </c>
      <c r="H2204" s="3">
        <v>9.1000000000000003E-5</v>
      </c>
      <c r="I2204" s="2" t="s">
        <v>31952</v>
      </c>
      <c r="J2204" s="2" t="s">
        <v>31953</v>
      </c>
      <c r="K2204" s="2">
        <v>9.3580400000000004E-4</v>
      </c>
      <c r="L2204" s="2" t="s">
        <v>1178</v>
      </c>
      <c r="M2204" s="4" t="s">
        <v>20677</v>
      </c>
    </row>
    <row r="2205" spans="1:13">
      <c r="A2205" s="2">
        <v>864</v>
      </c>
      <c r="B2205" s="2" t="s">
        <v>31954</v>
      </c>
      <c r="C2205" s="2">
        <v>13</v>
      </c>
      <c r="D2205" s="2">
        <v>568</v>
      </c>
      <c r="E2205" s="2">
        <v>200</v>
      </c>
      <c r="F2205" s="2">
        <v>32441</v>
      </c>
      <c r="G2205" s="2">
        <v>3.71243838</v>
      </c>
      <c r="H2205" s="3">
        <v>9.1000000000000003E-5</v>
      </c>
      <c r="I2205" s="2" t="s">
        <v>31955</v>
      </c>
      <c r="J2205" s="2" t="s">
        <v>31956</v>
      </c>
      <c r="K2205" s="2">
        <v>9.3580400000000004E-4</v>
      </c>
      <c r="L2205" s="2" t="s">
        <v>1178</v>
      </c>
      <c r="M2205" s="4" t="s">
        <v>31957</v>
      </c>
    </row>
    <row r="2206" spans="1:13">
      <c r="A2206" s="2">
        <v>878</v>
      </c>
      <c r="B2206" s="2" t="s">
        <v>20678</v>
      </c>
      <c r="C2206" s="2">
        <v>13</v>
      </c>
      <c r="D2206" s="2">
        <v>568</v>
      </c>
      <c r="E2206" s="2">
        <v>200</v>
      </c>
      <c r="F2206" s="2">
        <v>32441</v>
      </c>
      <c r="G2206" s="2">
        <v>3.71243838</v>
      </c>
      <c r="H2206" s="3">
        <v>9.1000000000000003E-5</v>
      </c>
      <c r="I2206" s="2" t="s">
        <v>31958</v>
      </c>
      <c r="J2206" s="2" t="s">
        <v>31959</v>
      </c>
      <c r="K2206" s="2">
        <v>9.3580400000000004E-4</v>
      </c>
      <c r="L2206" s="2" t="s">
        <v>1178</v>
      </c>
      <c r="M2206" s="4" t="s">
        <v>20681</v>
      </c>
    </row>
    <row r="2207" spans="1:13">
      <c r="A2207" s="2">
        <v>965</v>
      </c>
      <c r="B2207" s="2" t="s">
        <v>3192</v>
      </c>
      <c r="C2207" s="2">
        <v>13</v>
      </c>
      <c r="D2207" s="2">
        <v>568</v>
      </c>
      <c r="E2207" s="2">
        <v>200</v>
      </c>
      <c r="F2207" s="2">
        <v>32441</v>
      </c>
      <c r="G2207" s="2">
        <v>3.71243838</v>
      </c>
      <c r="H2207" s="3">
        <v>9.1000000000000003E-5</v>
      </c>
      <c r="I2207" s="2" t="s">
        <v>31960</v>
      </c>
      <c r="J2207" s="2" t="s">
        <v>31961</v>
      </c>
      <c r="K2207" s="2">
        <v>9.3580400000000004E-4</v>
      </c>
      <c r="L2207" s="2" t="s">
        <v>1178</v>
      </c>
      <c r="M2207" s="4" t="s">
        <v>3195</v>
      </c>
    </row>
    <row r="2208" spans="1:13">
      <c r="A2208" s="2">
        <v>1005</v>
      </c>
      <c r="B2208" s="2" t="s">
        <v>2106</v>
      </c>
      <c r="C2208" s="2">
        <v>13</v>
      </c>
      <c r="D2208" s="2">
        <v>568</v>
      </c>
      <c r="E2208" s="2">
        <v>200</v>
      </c>
      <c r="F2208" s="2">
        <v>32441</v>
      </c>
      <c r="G2208" s="2">
        <v>3.71243838</v>
      </c>
      <c r="H2208" s="3">
        <v>9.1000000000000003E-5</v>
      </c>
      <c r="I2208" s="2" t="s">
        <v>31962</v>
      </c>
      <c r="J2208" s="2" t="s">
        <v>31963</v>
      </c>
      <c r="K2208" s="2">
        <v>9.3580400000000004E-4</v>
      </c>
      <c r="L2208" s="2" t="s">
        <v>1178</v>
      </c>
      <c r="M2208" s="4" t="s">
        <v>3167</v>
      </c>
    </row>
    <row r="2209" spans="1:13">
      <c r="A2209" s="2">
        <v>1013</v>
      </c>
      <c r="B2209" s="2" t="s">
        <v>2400</v>
      </c>
      <c r="C2209" s="2">
        <v>13</v>
      </c>
      <c r="D2209" s="2">
        <v>568</v>
      </c>
      <c r="E2209" s="2">
        <v>200</v>
      </c>
      <c r="F2209" s="2">
        <v>32441</v>
      </c>
      <c r="G2209" s="2">
        <v>3.71243838</v>
      </c>
      <c r="H2209" s="3">
        <v>9.1000000000000003E-5</v>
      </c>
      <c r="I2209" s="2" t="s">
        <v>31964</v>
      </c>
      <c r="J2209" s="2" t="s">
        <v>31965</v>
      </c>
      <c r="K2209" s="2">
        <v>9.3580400000000004E-4</v>
      </c>
      <c r="L2209" s="2" t="s">
        <v>1178</v>
      </c>
      <c r="M2209" s="4" t="s">
        <v>3363</v>
      </c>
    </row>
    <row r="2210" spans="1:13">
      <c r="A2210" s="2">
        <v>1164</v>
      </c>
      <c r="B2210" s="2" t="s">
        <v>15201</v>
      </c>
      <c r="C2210" s="2">
        <v>13</v>
      </c>
      <c r="D2210" s="2">
        <v>568</v>
      </c>
      <c r="E2210" s="2">
        <v>200</v>
      </c>
      <c r="F2210" s="2">
        <v>32441</v>
      </c>
      <c r="G2210" s="2">
        <v>3.71243838</v>
      </c>
      <c r="H2210" s="3">
        <v>9.1000000000000003E-5</v>
      </c>
      <c r="I2210" s="2" t="s">
        <v>31966</v>
      </c>
      <c r="J2210" s="2" t="s">
        <v>31967</v>
      </c>
      <c r="K2210" s="2">
        <v>9.3580400000000004E-4</v>
      </c>
      <c r="L2210" s="2" t="s">
        <v>1178</v>
      </c>
      <c r="M2210" s="4" t="s">
        <v>15204</v>
      </c>
    </row>
    <row r="2211" spans="1:13">
      <c r="A2211" s="2">
        <v>1177</v>
      </c>
      <c r="B2211" s="2" t="s">
        <v>31968</v>
      </c>
      <c r="C2211" s="2">
        <v>13</v>
      </c>
      <c r="D2211" s="2">
        <v>568</v>
      </c>
      <c r="E2211" s="2">
        <v>200</v>
      </c>
      <c r="F2211" s="2">
        <v>32441</v>
      </c>
      <c r="G2211" s="2">
        <v>3.71243838</v>
      </c>
      <c r="H2211" s="3">
        <v>9.1000000000000003E-5</v>
      </c>
      <c r="I2211" s="2" t="s">
        <v>31969</v>
      </c>
      <c r="J2211" s="2" t="s">
        <v>31970</v>
      </c>
      <c r="K2211" s="2">
        <v>9.3580400000000004E-4</v>
      </c>
      <c r="L2211" s="2" t="s">
        <v>1178</v>
      </c>
      <c r="M2211" s="4" t="s">
        <v>31971</v>
      </c>
    </row>
    <row r="2212" spans="1:13">
      <c r="A2212" s="2">
        <v>1219</v>
      </c>
      <c r="B2212" s="2" t="s">
        <v>2427</v>
      </c>
      <c r="C2212" s="2">
        <v>13</v>
      </c>
      <c r="D2212" s="2">
        <v>568</v>
      </c>
      <c r="E2212" s="2">
        <v>200</v>
      </c>
      <c r="F2212" s="2">
        <v>32441</v>
      </c>
      <c r="G2212" s="2">
        <v>3.71243838</v>
      </c>
      <c r="H2212" s="3">
        <v>9.1000000000000003E-5</v>
      </c>
      <c r="I2212" s="2" t="s">
        <v>31972</v>
      </c>
      <c r="J2212" s="2" t="s">
        <v>31973</v>
      </c>
      <c r="K2212" s="2">
        <v>9.3580400000000004E-4</v>
      </c>
      <c r="L2212" s="2" t="s">
        <v>1178</v>
      </c>
      <c r="M2212" s="4" t="s">
        <v>17116</v>
      </c>
    </row>
    <row r="2213" spans="1:13">
      <c r="A2213" s="2">
        <v>1306</v>
      </c>
      <c r="B2213" s="2" t="s">
        <v>23307</v>
      </c>
      <c r="C2213" s="2">
        <v>13</v>
      </c>
      <c r="D2213" s="2">
        <v>568</v>
      </c>
      <c r="E2213" s="2">
        <v>200</v>
      </c>
      <c r="F2213" s="2">
        <v>32441</v>
      </c>
      <c r="G2213" s="2">
        <v>3.71243838</v>
      </c>
      <c r="H2213" s="3">
        <v>9.1000000000000003E-5</v>
      </c>
      <c r="I2213" s="2" t="s">
        <v>31974</v>
      </c>
      <c r="J2213" s="2" t="s">
        <v>31975</v>
      </c>
      <c r="K2213" s="2">
        <v>9.3580400000000004E-4</v>
      </c>
      <c r="L2213" s="2" t="s">
        <v>1178</v>
      </c>
      <c r="M2213" s="4" t="s">
        <v>23310</v>
      </c>
    </row>
    <row r="2214" spans="1:13">
      <c r="A2214" s="2">
        <v>1312</v>
      </c>
      <c r="B2214" s="2" t="s">
        <v>2439</v>
      </c>
      <c r="C2214" s="2">
        <v>13</v>
      </c>
      <c r="D2214" s="2">
        <v>568</v>
      </c>
      <c r="E2214" s="2">
        <v>200</v>
      </c>
      <c r="F2214" s="2">
        <v>32441</v>
      </c>
      <c r="G2214" s="2">
        <v>3.71243838</v>
      </c>
      <c r="H2214" s="3">
        <v>9.1000000000000003E-5</v>
      </c>
      <c r="I2214" s="2" t="s">
        <v>31976</v>
      </c>
      <c r="J2214" s="2" t="s">
        <v>31977</v>
      </c>
      <c r="K2214" s="2">
        <v>9.3580400000000004E-4</v>
      </c>
      <c r="L2214" s="2" t="s">
        <v>1178</v>
      </c>
      <c r="M2214" s="4" t="s">
        <v>21982</v>
      </c>
    </row>
    <row r="2215" spans="1:13">
      <c r="A2215" s="2">
        <v>1436</v>
      </c>
      <c r="B2215" s="2" t="s">
        <v>23352</v>
      </c>
      <c r="C2215" s="2">
        <v>13</v>
      </c>
      <c r="D2215" s="2">
        <v>568</v>
      </c>
      <c r="E2215" s="2">
        <v>200</v>
      </c>
      <c r="F2215" s="2">
        <v>32441</v>
      </c>
      <c r="G2215" s="2">
        <v>3.71243838</v>
      </c>
      <c r="H2215" s="3">
        <v>9.1000000000000003E-5</v>
      </c>
      <c r="I2215" s="2" t="s">
        <v>31978</v>
      </c>
      <c r="J2215" s="2" t="s">
        <v>31979</v>
      </c>
      <c r="K2215" s="2">
        <v>9.3580400000000004E-4</v>
      </c>
      <c r="L2215" s="2" t="s">
        <v>1178</v>
      </c>
      <c r="M2215" s="4" t="s">
        <v>23355</v>
      </c>
    </row>
    <row r="2216" spans="1:13">
      <c r="A2216" s="2">
        <v>1460</v>
      </c>
      <c r="B2216" s="2" t="s">
        <v>31980</v>
      </c>
      <c r="C2216" s="2">
        <v>13</v>
      </c>
      <c r="D2216" s="2">
        <v>568</v>
      </c>
      <c r="E2216" s="2">
        <v>200</v>
      </c>
      <c r="F2216" s="2">
        <v>32441</v>
      </c>
      <c r="G2216" s="2">
        <v>3.71243838</v>
      </c>
      <c r="H2216" s="3">
        <v>9.1000000000000003E-5</v>
      </c>
      <c r="I2216" s="2" t="s">
        <v>31981</v>
      </c>
      <c r="J2216" s="2" t="s">
        <v>31982</v>
      </c>
      <c r="K2216" s="2">
        <v>9.3580400000000004E-4</v>
      </c>
      <c r="L2216" s="2" t="s">
        <v>1178</v>
      </c>
      <c r="M2216" s="4" t="s">
        <v>31983</v>
      </c>
    </row>
    <row r="2217" spans="1:13">
      <c r="A2217" s="2">
        <v>1541</v>
      </c>
      <c r="B2217" s="2" t="s">
        <v>19732</v>
      </c>
      <c r="C2217" s="2">
        <v>13</v>
      </c>
      <c r="D2217" s="2">
        <v>568</v>
      </c>
      <c r="E2217" s="2">
        <v>200</v>
      </c>
      <c r="F2217" s="2">
        <v>32441</v>
      </c>
      <c r="G2217" s="2">
        <v>3.71243838</v>
      </c>
      <c r="H2217" s="3">
        <v>9.1000000000000003E-5</v>
      </c>
      <c r="I2217" s="2" t="s">
        <v>31984</v>
      </c>
      <c r="J2217" s="2" t="s">
        <v>31985</v>
      </c>
      <c r="K2217" s="2">
        <v>9.3580400000000004E-4</v>
      </c>
      <c r="L2217" s="2" t="s">
        <v>1178</v>
      </c>
      <c r="M2217" s="4" t="s">
        <v>19735</v>
      </c>
    </row>
    <row r="2218" spans="1:13">
      <c r="A2218" s="2">
        <v>1546</v>
      </c>
      <c r="B2218" s="2" t="s">
        <v>31986</v>
      </c>
      <c r="C2218" s="2">
        <v>13</v>
      </c>
      <c r="D2218" s="2">
        <v>568</v>
      </c>
      <c r="E2218" s="2">
        <v>200</v>
      </c>
      <c r="F2218" s="2">
        <v>32441</v>
      </c>
      <c r="G2218" s="2">
        <v>3.71243838</v>
      </c>
      <c r="H2218" s="3">
        <v>9.1000000000000003E-5</v>
      </c>
      <c r="I2218" s="2" t="s">
        <v>31987</v>
      </c>
      <c r="J2218" s="2" t="s">
        <v>31988</v>
      </c>
      <c r="K2218" s="2">
        <v>9.3580400000000004E-4</v>
      </c>
      <c r="L2218" s="2" t="s">
        <v>1178</v>
      </c>
      <c r="M2218" s="4" t="s">
        <v>31989</v>
      </c>
    </row>
    <row r="2219" spans="1:13">
      <c r="A2219" s="2">
        <v>1569</v>
      </c>
      <c r="B2219" s="2" t="s">
        <v>31990</v>
      </c>
      <c r="C2219" s="2">
        <v>13</v>
      </c>
      <c r="D2219" s="2">
        <v>568</v>
      </c>
      <c r="E2219" s="2">
        <v>200</v>
      </c>
      <c r="F2219" s="2">
        <v>32441</v>
      </c>
      <c r="G2219" s="2">
        <v>3.71243838</v>
      </c>
      <c r="H2219" s="3">
        <v>9.1000000000000003E-5</v>
      </c>
      <c r="I2219" s="2" t="s">
        <v>31991</v>
      </c>
      <c r="J2219" s="2" t="s">
        <v>31992</v>
      </c>
      <c r="K2219" s="2">
        <v>9.3580400000000004E-4</v>
      </c>
      <c r="L2219" s="2" t="s">
        <v>1178</v>
      </c>
      <c r="M2219" s="4" t="s">
        <v>31993</v>
      </c>
    </row>
    <row r="2220" spans="1:13">
      <c r="A2220" s="2">
        <v>16731</v>
      </c>
      <c r="B2220" s="2" t="s">
        <v>19769</v>
      </c>
      <c r="C2220" s="2">
        <v>13</v>
      </c>
      <c r="D2220" s="2">
        <v>568</v>
      </c>
      <c r="E2220" s="2">
        <v>200</v>
      </c>
      <c r="F2220" s="2">
        <v>32441</v>
      </c>
      <c r="G2220" s="2">
        <v>3.71243838</v>
      </c>
      <c r="H2220" s="3">
        <v>9.1000000000000003E-5</v>
      </c>
      <c r="I2220" s="2" t="s">
        <v>31994</v>
      </c>
      <c r="J2220" s="2" t="s">
        <v>31995</v>
      </c>
      <c r="K2220" s="2">
        <v>9.3580400000000004E-4</v>
      </c>
      <c r="L2220" s="2" t="s">
        <v>1178</v>
      </c>
      <c r="M2220" s="4" t="s">
        <v>19772</v>
      </c>
    </row>
    <row r="2221" spans="1:13">
      <c r="A2221" s="2">
        <v>1674</v>
      </c>
      <c r="B2221" s="2" t="s">
        <v>2178</v>
      </c>
      <c r="C2221" s="2">
        <v>13</v>
      </c>
      <c r="D2221" s="2">
        <v>568</v>
      </c>
      <c r="E2221" s="2">
        <v>200</v>
      </c>
      <c r="F2221" s="2">
        <v>32441</v>
      </c>
      <c r="G2221" s="2">
        <v>3.71243838</v>
      </c>
      <c r="H2221" s="3">
        <v>9.1000000000000003E-5</v>
      </c>
      <c r="I2221" s="2" t="s">
        <v>31996</v>
      </c>
      <c r="J2221" s="2" t="s">
        <v>31997</v>
      </c>
      <c r="K2221" s="2">
        <v>9.3580400000000004E-4</v>
      </c>
      <c r="L2221" s="2" t="s">
        <v>1178</v>
      </c>
      <c r="M2221" s="4" t="s">
        <v>31998</v>
      </c>
    </row>
    <row r="2222" spans="1:13">
      <c r="A2222" s="2">
        <v>1703</v>
      </c>
      <c r="B2222" s="2" t="s">
        <v>31999</v>
      </c>
      <c r="C2222" s="2">
        <v>13</v>
      </c>
      <c r="D2222" s="2">
        <v>568</v>
      </c>
      <c r="E2222" s="2">
        <v>200</v>
      </c>
      <c r="F2222" s="2">
        <v>32441</v>
      </c>
      <c r="G2222" s="2">
        <v>3.71243838</v>
      </c>
      <c r="H2222" s="3">
        <v>9.1000000000000003E-5</v>
      </c>
      <c r="I2222" s="2" t="s">
        <v>32000</v>
      </c>
      <c r="J2222" s="2" t="s">
        <v>32001</v>
      </c>
      <c r="K2222" s="2">
        <v>9.3580400000000004E-4</v>
      </c>
      <c r="L2222" s="2" t="s">
        <v>1178</v>
      </c>
      <c r="M2222" s="4" t="s">
        <v>32002</v>
      </c>
    </row>
    <row r="2223" spans="1:13">
      <c r="A2223" s="2">
        <v>17701</v>
      </c>
      <c r="B2223" s="2" t="s">
        <v>17251</v>
      </c>
      <c r="C2223" s="2">
        <v>13</v>
      </c>
      <c r="D2223" s="2">
        <v>568</v>
      </c>
      <c r="E2223" s="2">
        <v>200</v>
      </c>
      <c r="F2223" s="2">
        <v>32441</v>
      </c>
      <c r="G2223" s="2">
        <v>3.71243838</v>
      </c>
      <c r="H2223" s="3">
        <v>9.1000000000000003E-5</v>
      </c>
      <c r="I2223" s="2" t="s">
        <v>32003</v>
      </c>
      <c r="J2223" s="2" t="s">
        <v>32004</v>
      </c>
      <c r="K2223" s="2">
        <v>9.3580400000000004E-4</v>
      </c>
      <c r="L2223" s="2" t="s">
        <v>1178</v>
      </c>
      <c r="M2223" s="4" t="s">
        <v>17254</v>
      </c>
    </row>
    <row r="2224" spans="1:13">
      <c r="A2224" s="2">
        <v>1837</v>
      </c>
      <c r="B2224" s="2" t="s">
        <v>18801</v>
      </c>
      <c r="C2224" s="2">
        <v>13</v>
      </c>
      <c r="D2224" s="2">
        <v>568</v>
      </c>
      <c r="E2224" s="2">
        <v>200</v>
      </c>
      <c r="F2224" s="2">
        <v>32441</v>
      </c>
      <c r="G2224" s="2">
        <v>3.71243838</v>
      </c>
      <c r="H2224" s="3">
        <v>9.1000000000000003E-5</v>
      </c>
      <c r="I2224" s="2" t="s">
        <v>32005</v>
      </c>
      <c r="J2224" s="2" t="s">
        <v>32006</v>
      </c>
      <c r="K2224" s="2">
        <v>9.3580400000000004E-4</v>
      </c>
      <c r="L2224" s="2" t="s">
        <v>1178</v>
      </c>
      <c r="M2224" s="4" t="s">
        <v>18804</v>
      </c>
    </row>
    <row r="2225" spans="1:13">
      <c r="A2225" s="2">
        <v>1863</v>
      </c>
      <c r="B2225" s="2" t="s">
        <v>32007</v>
      </c>
      <c r="C2225" s="2">
        <v>13</v>
      </c>
      <c r="D2225" s="2">
        <v>568</v>
      </c>
      <c r="E2225" s="2">
        <v>200</v>
      </c>
      <c r="F2225" s="2">
        <v>32441</v>
      </c>
      <c r="G2225" s="2">
        <v>3.71243838</v>
      </c>
      <c r="H2225" s="3">
        <v>9.1000000000000003E-5</v>
      </c>
      <c r="I2225" s="2" t="s">
        <v>32008</v>
      </c>
      <c r="J2225" s="2" t="s">
        <v>32009</v>
      </c>
      <c r="K2225" s="2">
        <v>9.3580400000000004E-4</v>
      </c>
      <c r="L2225" s="2" t="s">
        <v>1178</v>
      </c>
      <c r="M2225" s="4" t="s">
        <v>32010</v>
      </c>
    </row>
    <row r="2226" spans="1:13">
      <c r="A2226" s="2">
        <v>19081</v>
      </c>
      <c r="B2226" s="2" t="s">
        <v>14434</v>
      </c>
      <c r="C2226" s="2">
        <v>13</v>
      </c>
      <c r="D2226" s="2">
        <v>568</v>
      </c>
      <c r="E2226" s="2">
        <v>200</v>
      </c>
      <c r="F2226" s="2">
        <v>32441</v>
      </c>
      <c r="G2226" s="2">
        <v>3.71243838</v>
      </c>
      <c r="H2226" s="3">
        <v>9.1000000000000003E-5</v>
      </c>
      <c r="I2226" s="2" t="s">
        <v>32011</v>
      </c>
      <c r="J2226" s="2" t="s">
        <v>32012</v>
      </c>
      <c r="K2226" s="2">
        <v>9.3580400000000004E-4</v>
      </c>
      <c r="L2226" s="2" t="s">
        <v>1178</v>
      </c>
      <c r="M2226" s="4" t="s">
        <v>14437</v>
      </c>
    </row>
    <row r="2227" spans="1:13">
      <c r="A2227" s="2">
        <v>1940</v>
      </c>
      <c r="B2227" s="2" t="s">
        <v>22149</v>
      </c>
      <c r="C2227" s="2">
        <v>13</v>
      </c>
      <c r="D2227" s="2">
        <v>568</v>
      </c>
      <c r="E2227" s="2">
        <v>200</v>
      </c>
      <c r="F2227" s="2">
        <v>32441</v>
      </c>
      <c r="G2227" s="2">
        <v>3.71243838</v>
      </c>
      <c r="H2227" s="3">
        <v>9.1000000000000003E-5</v>
      </c>
      <c r="I2227" s="2" t="s">
        <v>32013</v>
      </c>
      <c r="J2227" s="2" t="s">
        <v>32014</v>
      </c>
      <c r="K2227" s="2">
        <v>9.3580400000000004E-4</v>
      </c>
      <c r="L2227" s="2" t="s">
        <v>1178</v>
      </c>
      <c r="M2227" s="4" t="s">
        <v>22152</v>
      </c>
    </row>
    <row r="2228" spans="1:13">
      <c r="A2228" s="2">
        <v>1941</v>
      </c>
      <c r="B2228" s="2" t="s">
        <v>23497</v>
      </c>
      <c r="C2228" s="2">
        <v>13</v>
      </c>
      <c r="D2228" s="2">
        <v>568</v>
      </c>
      <c r="E2228" s="2">
        <v>200</v>
      </c>
      <c r="F2228" s="2">
        <v>32441</v>
      </c>
      <c r="G2228" s="2">
        <v>3.71243838</v>
      </c>
      <c r="H2228" s="3">
        <v>9.1000000000000003E-5</v>
      </c>
      <c r="I2228" s="2" t="s">
        <v>32015</v>
      </c>
      <c r="J2228" s="2" t="s">
        <v>32016</v>
      </c>
      <c r="K2228" s="2">
        <v>9.3580400000000004E-4</v>
      </c>
      <c r="L2228" s="2" t="s">
        <v>1178</v>
      </c>
      <c r="M2228" s="4" t="s">
        <v>23500</v>
      </c>
    </row>
    <row r="2229" spans="1:13">
      <c r="A2229" s="2">
        <v>19821</v>
      </c>
      <c r="B2229" s="2" t="s">
        <v>1425</v>
      </c>
      <c r="C2229" s="2">
        <v>13</v>
      </c>
      <c r="D2229" s="2">
        <v>568</v>
      </c>
      <c r="E2229" s="2">
        <v>200</v>
      </c>
      <c r="F2229" s="2">
        <v>32441</v>
      </c>
      <c r="G2229" s="2">
        <v>3.71243838</v>
      </c>
      <c r="H2229" s="3">
        <v>9.1000000000000003E-5</v>
      </c>
      <c r="I2229" s="2" t="s">
        <v>32017</v>
      </c>
      <c r="J2229" s="2" t="s">
        <v>32018</v>
      </c>
      <c r="K2229" s="2">
        <v>9.3580400000000004E-4</v>
      </c>
      <c r="L2229" s="2" t="s">
        <v>1178</v>
      </c>
      <c r="M2229" s="4" t="s">
        <v>23518</v>
      </c>
    </row>
    <row r="2230" spans="1:13">
      <c r="A2230" s="2">
        <v>2020</v>
      </c>
      <c r="B2230" s="2" t="s">
        <v>2520</v>
      </c>
      <c r="C2230" s="2">
        <v>13</v>
      </c>
      <c r="D2230" s="2">
        <v>568</v>
      </c>
      <c r="E2230" s="2">
        <v>200</v>
      </c>
      <c r="F2230" s="2">
        <v>32441</v>
      </c>
      <c r="G2230" s="2">
        <v>3.71243838</v>
      </c>
      <c r="H2230" s="3">
        <v>9.1000000000000003E-5</v>
      </c>
      <c r="I2230" s="2" t="s">
        <v>32019</v>
      </c>
      <c r="J2230" s="2" t="s">
        <v>32020</v>
      </c>
      <c r="K2230" s="2">
        <v>9.3580400000000004E-4</v>
      </c>
      <c r="L2230" s="2" t="s">
        <v>1178</v>
      </c>
      <c r="M2230" s="4" t="s">
        <v>32021</v>
      </c>
    </row>
    <row r="2231" spans="1:13">
      <c r="A2231" s="2">
        <v>2062</v>
      </c>
      <c r="B2231" s="2" t="s">
        <v>3432</v>
      </c>
      <c r="C2231" s="2">
        <v>13</v>
      </c>
      <c r="D2231" s="2">
        <v>568</v>
      </c>
      <c r="E2231" s="2">
        <v>200</v>
      </c>
      <c r="F2231" s="2">
        <v>32441</v>
      </c>
      <c r="G2231" s="2">
        <v>3.71243838</v>
      </c>
      <c r="H2231" s="3">
        <v>9.1000000000000003E-5</v>
      </c>
      <c r="I2231" s="2" t="s">
        <v>32022</v>
      </c>
      <c r="J2231" s="2" t="s">
        <v>32023</v>
      </c>
      <c r="K2231" s="2">
        <v>9.3580400000000004E-4</v>
      </c>
      <c r="L2231" s="2" t="s">
        <v>1178</v>
      </c>
      <c r="M2231" s="4" t="s">
        <v>3435</v>
      </c>
    </row>
    <row r="2232" spans="1:13">
      <c r="A2232" s="2">
        <v>2198</v>
      </c>
      <c r="B2232" s="2" t="s">
        <v>20986</v>
      </c>
      <c r="C2232" s="2">
        <v>13</v>
      </c>
      <c r="D2232" s="2">
        <v>568</v>
      </c>
      <c r="E2232" s="2">
        <v>200</v>
      </c>
      <c r="F2232" s="2">
        <v>32441</v>
      </c>
      <c r="G2232" s="2">
        <v>3.71243838</v>
      </c>
      <c r="H2232" s="3">
        <v>9.1000000000000003E-5</v>
      </c>
      <c r="I2232" s="2" t="s">
        <v>32024</v>
      </c>
      <c r="J2232" s="2" t="s">
        <v>32025</v>
      </c>
      <c r="K2232" s="2">
        <v>9.3580400000000004E-4</v>
      </c>
      <c r="L2232" s="2" t="s">
        <v>1178</v>
      </c>
      <c r="M2232" s="4" t="s">
        <v>20989</v>
      </c>
    </row>
    <row r="2233" spans="1:13">
      <c r="A2233" s="2">
        <v>22591</v>
      </c>
      <c r="B2233" s="2" t="s">
        <v>16563</v>
      </c>
      <c r="C2233" s="2">
        <v>13</v>
      </c>
      <c r="D2233" s="2">
        <v>568</v>
      </c>
      <c r="E2233" s="2">
        <v>200</v>
      </c>
      <c r="F2233" s="2">
        <v>32441</v>
      </c>
      <c r="G2233" s="2">
        <v>3.71243838</v>
      </c>
      <c r="H2233" s="3">
        <v>9.1000000000000003E-5</v>
      </c>
      <c r="I2233" s="2" t="s">
        <v>32026</v>
      </c>
      <c r="J2233" s="2" t="s">
        <v>32027</v>
      </c>
      <c r="K2233" s="2">
        <v>9.3580400000000004E-4</v>
      </c>
      <c r="L2233" s="2" t="s">
        <v>1178</v>
      </c>
      <c r="M2233" s="4" t="s">
        <v>16566</v>
      </c>
    </row>
    <row r="2234" spans="1:13">
      <c r="A2234" s="2">
        <v>23212</v>
      </c>
      <c r="B2234" s="2" t="s">
        <v>13800</v>
      </c>
      <c r="C2234" s="2">
        <v>13</v>
      </c>
      <c r="D2234" s="2">
        <v>568</v>
      </c>
      <c r="E2234" s="2">
        <v>200</v>
      </c>
      <c r="F2234" s="2">
        <v>32441</v>
      </c>
      <c r="G2234" s="2">
        <v>3.71243838</v>
      </c>
      <c r="H2234" s="3">
        <v>9.1000000000000003E-5</v>
      </c>
      <c r="I2234" s="2" t="s">
        <v>32028</v>
      </c>
      <c r="J2234" s="2" t="s">
        <v>32029</v>
      </c>
      <c r="K2234" s="2">
        <v>9.3580400000000004E-4</v>
      </c>
      <c r="L2234" s="2" t="s">
        <v>1178</v>
      </c>
      <c r="M2234" s="4" t="s">
        <v>13803</v>
      </c>
    </row>
    <row r="2235" spans="1:13">
      <c r="A2235" s="2">
        <v>2344</v>
      </c>
      <c r="B2235" s="2" t="s">
        <v>32030</v>
      </c>
      <c r="C2235" s="2">
        <v>13</v>
      </c>
      <c r="D2235" s="2">
        <v>568</v>
      </c>
      <c r="E2235" s="2">
        <v>197</v>
      </c>
      <c r="F2235" s="2">
        <v>32441</v>
      </c>
      <c r="G2235" s="2">
        <v>3.7689729750000001</v>
      </c>
      <c r="H2235" s="3">
        <v>7.8899999999999993E-5</v>
      </c>
      <c r="I2235" s="2" t="s">
        <v>32031</v>
      </c>
      <c r="J2235" s="2" t="s">
        <v>32032</v>
      </c>
      <c r="K2235" s="2">
        <v>9.3580400000000004E-4</v>
      </c>
      <c r="L2235" s="2" t="s">
        <v>1178</v>
      </c>
      <c r="M2235" s="4" t="s">
        <v>32033</v>
      </c>
    </row>
    <row r="2236" spans="1:13">
      <c r="A2236" s="2">
        <v>23751</v>
      </c>
      <c r="B2236" s="2" t="s">
        <v>32034</v>
      </c>
      <c r="C2236" s="2">
        <v>13</v>
      </c>
      <c r="D2236" s="2">
        <v>568</v>
      </c>
      <c r="E2236" s="2">
        <v>200</v>
      </c>
      <c r="F2236" s="2">
        <v>32441</v>
      </c>
      <c r="G2236" s="2">
        <v>3.71243838</v>
      </c>
      <c r="H2236" s="3">
        <v>9.1000000000000003E-5</v>
      </c>
      <c r="I2236" s="2" t="s">
        <v>32035</v>
      </c>
      <c r="J2236" s="2" t="s">
        <v>32036</v>
      </c>
      <c r="K2236" s="2">
        <v>9.3580400000000004E-4</v>
      </c>
      <c r="L2236" s="2" t="s">
        <v>1178</v>
      </c>
      <c r="M2236" s="4" t="s">
        <v>32037</v>
      </c>
    </row>
    <row r="2237" spans="1:13">
      <c r="A2237" s="2">
        <v>2378</v>
      </c>
      <c r="B2237" s="2" t="s">
        <v>32038</v>
      </c>
      <c r="C2237" s="2">
        <v>13</v>
      </c>
      <c r="D2237" s="2">
        <v>568</v>
      </c>
      <c r="E2237" s="2">
        <v>200</v>
      </c>
      <c r="F2237" s="2">
        <v>32441</v>
      </c>
      <c r="G2237" s="2">
        <v>3.71243838</v>
      </c>
      <c r="H2237" s="3">
        <v>9.1000000000000003E-5</v>
      </c>
      <c r="I2237" s="2" t="s">
        <v>32039</v>
      </c>
      <c r="J2237" s="2" t="s">
        <v>32040</v>
      </c>
      <c r="K2237" s="2">
        <v>9.3580400000000004E-4</v>
      </c>
      <c r="L2237" s="2" t="s">
        <v>1178</v>
      </c>
      <c r="M2237" s="4" t="s">
        <v>32041</v>
      </c>
    </row>
    <row r="2238" spans="1:13">
      <c r="A2238" s="2">
        <v>2400</v>
      </c>
      <c r="B2238" s="2" t="s">
        <v>21047</v>
      </c>
      <c r="C2238" s="2">
        <v>13</v>
      </c>
      <c r="D2238" s="2">
        <v>568</v>
      </c>
      <c r="E2238" s="2">
        <v>200</v>
      </c>
      <c r="F2238" s="2">
        <v>32441</v>
      </c>
      <c r="G2238" s="2">
        <v>3.71243838</v>
      </c>
      <c r="H2238" s="3">
        <v>9.1000000000000003E-5</v>
      </c>
      <c r="I2238" s="2" t="s">
        <v>32042</v>
      </c>
      <c r="J2238" s="2" t="s">
        <v>32043</v>
      </c>
      <c r="K2238" s="2">
        <v>9.3580400000000004E-4</v>
      </c>
      <c r="L2238" s="2" t="s">
        <v>1178</v>
      </c>
      <c r="M2238" s="4" t="s">
        <v>21050</v>
      </c>
    </row>
    <row r="2239" spans="1:13">
      <c r="A2239" s="2">
        <v>2415</v>
      </c>
      <c r="B2239" s="2" t="s">
        <v>19871</v>
      </c>
      <c r="C2239" s="2">
        <v>13</v>
      </c>
      <c r="D2239" s="2">
        <v>568</v>
      </c>
      <c r="E2239" s="2">
        <v>200</v>
      </c>
      <c r="F2239" s="2">
        <v>32441</v>
      </c>
      <c r="G2239" s="2">
        <v>3.71243838</v>
      </c>
      <c r="H2239" s="3">
        <v>9.1000000000000003E-5</v>
      </c>
      <c r="I2239" s="2" t="s">
        <v>32044</v>
      </c>
      <c r="J2239" s="2" t="s">
        <v>32045</v>
      </c>
      <c r="K2239" s="2">
        <v>9.3580400000000004E-4</v>
      </c>
      <c r="L2239" s="2" t="s">
        <v>1178</v>
      </c>
      <c r="M2239" s="4" t="s">
        <v>19874</v>
      </c>
    </row>
    <row r="2240" spans="1:13">
      <c r="A2240" s="2">
        <v>24911</v>
      </c>
      <c r="B2240" s="2" t="s">
        <v>16581</v>
      </c>
      <c r="C2240" s="2">
        <v>13</v>
      </c>
      <c r="D2240" s="2">
        <v>568</v>
      </c>
      <c r="E2240" s="2">
        <v>199</v>
      </c>
      <c r="F2240" s="2">
        <v>32441</v>
      </c>
      <c r="G2240" s="2">
        <v>3.7310938500000002</v>
      </c>
      <c r="H2240" s="3">
        <v>8.6799999999999996E-5</v>
      </c>
      <c r="I2240" s="2" t="s">
        <v>32046</v>
      </c>
      <c r="J2240" s="2" t="s">
        <v>32047</v>
      </c>
      <c r="K2240" s="2">
        <v>9.3580400000000004E-4</v>
      </c>
      <c r="L2240" s="2" t="s">
        <v>1178</v>
      </c>
      <c r="M2240" s="4" t="s">
        <v>16584</v>
      </c>
    </row>
    <row r="2241" spans="1:13">
      <c r="A2241" s="2">
        <v>2602</v>
      </c>
      <c r="B2241" s="2" t="s">
        <v>21083</v>
      </c>
      <c r="C2241" s="2">
        <v>13</v>
      </c>
      <c r="D2241" s="2">
        <v>568</v>
      </c>
      <c r="E2241" s="2">
        <v>200</v>
      </c>
      <c r="F2241" s="2">
        <v>32441</v>
      </c>
      <c r="G2241" s="2">
        <v>3.71243838</v>
      </c>
      <c r="H2241" s="3">
        <v>9.1000000000000003E-5</v>
      </c>
      <c r="I2241" s="2" t="s">
        <v>32048</v>
      </c>
      <c r="J2241" s="2" t="s">
        <v>32049</v>
      </c>
      <c r="K2241" s="2">
        <v>9.3580400000000004E-4</v>
      </c>
      <c r="L2241" s="2" t="s">
        <v>1178</v>
      </c>
      <c r="M2241" s="4" t="s">
        <v>21086</v>
      </c>
    </row>
    <row r="2242" spans="1:13">
      <c r="A2242" s="2">
        <v>26081</v>
      </c>
      <c r="B2242" s="2" t="s">
        <v>32050</v>
      </c>
      <c r="C2242" s="2">
        <v>13</v>
      </c>
      <c r="D2242" s="2">
        <v>568</v>
      </c>
      <c r="E2242" s="2">
        <v>200</v>
      </c>
      <c r="F2242" s="2">
        <v>32441</v>
      </c>
      <c r="G2242" s="2">
        <v>3.71243838</v>
      </c>
      <c r="H2242" s="3">
        <v>9.1000000000000003E-5</v>
      </c>
      <c r="I2242" s="2" t="s">
        <v>32051</v>
      </c>
      <c r="J2242" s="2" t="s">
        <v>32052</v>
      </c>
      <c r="K2242" s="2">
        <v>9.3580400000000004E-4</v>
      </c>
      <c r="L2242" s="2" t="s">
        <v>1178</v>
      </c>
      <c r="M2242" s="4" t="s">
        <v>32053</v>
      </c>
    </row>
    <row r="2243" spans="1:13">
      <c r="A2243" s="2">
        <v>2616</v>
      </c>
      <c r="B2243" s="2" t="s">
        <v>2583</v>
      </c>
      <c r="C2243" s="2">
        <v>13</v>
      </c>
      <c r="D2243" s="2">
        <v>568</v>
      </c>
      <c r="E2243" s="2">
        <v>200</v>
      </c>
      <c r="F2243" s="2">
        <v>32441</v>
      </c>
      <c r="G2243" s="2">
        <v>3.71243838</v>
      </c>
      <c r="H2243" s="3">
        <v>9.1000000000000003E-5</v>
      </c>
      <c r="I2243" s="2" t="s">
        <v>32054</v>
      </c>
      <c r="J2243" s="2" t="s">
        <v>32055</v>
      </c>
      <c r="K2243" s="2">
        <v>9.3580400000000004E-4</v>
      </c>
      <c r="L2243" s="2" t="s">
        <v>1178</v>
      </c>
      <c r="M2243" s="4" t="s">
        <v>19893</v>
      </c>
    </row>
    <row r="2244" spans="1:13">
      <c r="A2244" s="2">
        <v>2631</v>
      </c>
      <c r="B2244" s="2" t="s">
        <v>13552</v>
      </c>
      <c r="C2244" s="2">
        <v>13</v>
      </c>
      <c r="D2244" s="2">
        <v>568</v>
      </c>
      <c r="E2244" s="2">
        <v>200</v>
      </c>
      <c r="F2244" s="2">
        <v>32441</v>
      </c>
      <c r="G2244" s="2">
        <v>3.71243838</v>
      </c>
      <c r="H2244" s="3">
        <v>9.1000000000000003E-5</v>
      </c>
      <c r="I2244" s="2" t="s">
        <v>32056</v>
      </c>
      <c r="J2244" s="2" t="s">
        <v>32057</v>
      </c>
      <c r="K2244" s="2">
        <v>9.3580400000000004E-4</v>
      </c>
      <c r="L2244" s="2" t="s">
        <v>1178</v>
      </c>
      <c r="M2244" s="4" t="s">
        <v>13555</v>
      </c>
    </row>
    <row r="2245" spans="1:13">
      <c r="A2245" s="2">
        <v>2637</v>
      </c>
      <c r="B2245" s="2" t="s">
        <v>24337</v>
      </c>
      <c r="C2245" s="2">
        <v>13</v>
      </c>
      <c r="D2245" s="2">
        <v>568</v>
      </c>
      <c r="E2245" s="2">
        <v>200</v>
      </c>
      <c r="F2245" s="2">
        <v>32441</v>
      </c>
      <c r="G2245" s="2">
        <v>3.71243838</v>
      </c>
      <c r="H2245" s="3">
        <v>9.1000000000000003E-5</v>
      </c>
      <c r="I2245" s="2" t="s">
        <v>32058</v>
      </c>
      <c r="J2245" s="2" t="s">
        <v>32059</v>
      </c>
      <c r="K2245" s="2">
        <v>9.3580400000000004E-4</v>
      </c>
      <c r="L2245" s="2" t="s">
        <v>1178</v>
      </c>
      <c r="M2245" s="4" t="s">
        <v>24340</v>
      </c>
    </row>
    <row r="2246" spans="1:13">
      <c r="A2246" s="2">
        <v>26401</v>
      </c>
      <c r="B2246" s="2" t="s">
        <v>13815</v>
      </c>
      <c r="C2246" s="2">
        <v>13</v>
      </c>
      <c r="D2246" s="2">
        <v>568</v>
      </c>
      <c r="E2246" s="2">
        <v>200</v>
      </c>
      <c r="F2246" s="2">
        <v>32441</v>
      </c>
      <c r="G2246" s="2">
        <v>3.71243838</v>
      </c>
      <c r="H2246" s="3">
        <v>9.1000000000000003E-5</v>
      </c>
      <c r="I2246" s="2" t="s">
        <v>32060</v>
      </c>
      <c r="J2246" s="2" t="s">
        <v>32061</v>
      </c>
      <c r="K2246" s="2">
        <v>9.3580400000000004E-4</v>
      </c>
      <c r="L2246" s="2" t="s">
        <v>1178</v>
      </c>
      <c r="M2246" s="4" t="s">
        <v>13818</v>
      </c>
    </row>
    <row r="2247" spans="1:13">
      <c r="A2247" s="2">
        <v>2649</v>
      </c>
      <c r="B2247" s="2" t="s">
        <v>32062</v>
      </c>
      <c r="C2247" s="2">
        <v>13</v>
      </c>
      <c r="D2247" s="2">
        <v>568</v>
      </c>
      <c r="E2247" s="2">
        <v>200</v>
      </c>
      <c r="F2247" s="2">
        <v>32441</v>
      </c>
      <c r="G2247" s="2">
        <v>3.71243838</v>
      </c>
      <c r="H2247" s="3">
        <v>9.1000000000000003E-5</v>
      </c>
      <c r="I2247" s="2" t="s">
        <v>32063</v>
      </c>
      <c r="J2247" s="2" t="s">
        <v>32064</v>
      </c>
      <c r="K2247" s="2">
        <v>9.3580400000000004E-4</v>
      </c>
      <c r="L2247" s="2" t="s">
        <v>1178</v>
      </c>
      <c r="M2247" s="4" t="s">
        <v>32065</v>
      </c>
    </row>
    <row r="2248" spans="1:13">
      <c r="A2248" s="2">
        <v>2673</v>
      </c>
      <c r="B2248" s="2" t="s">
        <v>16597</v>
      </c>
      <c r="C2248" s="2">
        <v>13</v>
      </c>
      <c r="D2248" s="2">
        <v>568</v>
      </c>
      <c r="E2248" s="2">
        <v>200</v>
      </c>
      <c r="F2248" s="2">
        <v>32441</v>
      </c>
      <c r="G2248" s="2">
        <v>3.71243838</v>
      </c>
      <c r="H2248" s="3">
        <v>9.1000000000000003E-5</v>
      </c>
      <c r="I2248" s="2" t="s">
        <v>32066</v>
      </c>
      <c r="J2248" s="2" t="s">
        <v>32067</v>
      </c>
      <c r="K2248" s="2">
        <v>9.3580400000000004E-4</v>
      </c>
      <c r="L2248" s="2" t="s">
        <v>1178</v>
      </c>
      <c r="M2248" s="4" t="s">
        <v>16600</v>
      </c>
    </row>
    <row r="2249" spans="1:13">
      <c r="A2249" s="2">
        <v>2787</v>
      </c>
      <c r="B2249" s="2" t="s">
        <v>15577</v>
      </c>
      <c r="C2249" s="2">
        <v>12</v>
      </c>
      <c r="D2249" s="2">
        <v>568</v>
      </c>
      <c r="E2249" s="2">
        <v>171</v>
      </c>
      <c r="F2249" s="2">
        <v>32441</v>
      </c>
      <c r="G2249" s="2">
        <v>4.0080306400000003</v>
      </c>
      <c r="H2249" s="3">
        <v>8.5400000000000002E-5</v>
      </c>
      <c r="I2249" s="2" t="s">
        <v>32068</v>
      </c>
      <c r="J2249" s="2" t="s">
        <v>32069</v>
      </c>
      <c r="K2249" s="2">
        <v>9.3580400000000004E-4</v>
      </c>
      <c r="L2249" s="2" t="s">
        <v>1178</v>
      </c>
      <c r="M2249" s="4" t="s">
        <v>15580</v>
      </c>
    </row>
    <row r="2250" spans="1:13">
      <c r="A2250" s="2">
        <v>2869</v>
      </c>
      <c r="B2250" s="2" t="s">
        <v>23717</v>
      </c>
      <c r="C2250" s="2">
        <v>13</v>
      </c>
      <c r="D2250" s="2">
        <v>568</v>
      </c>
      <c r="E2250" s="2">
        <v>200</v>
      </c>
      <c r="F2250" s="2">
        <v>32441</v>
      </c>
      <c r="G2250" s="2">
        <v>3.71243838</v>
      </c>
      <c r="H2250" s="3">
        <v>9.1000000000000003E-5</v>
      </c>
      <c r="I2250" s="2" t="s">
        <v>32070</v>
      </c>
      <c r="J2250" s="2" t="s">
        <v>32071</v>
      </c>
      <c r="K2250" s="2">
        <v>9.3580400000000004E-4</v>
      </c>
      <c r="L2250" s="2" t="s">
        <v>1178</v>
      </c>
      <c r="M2250" s="4" t="s">
        <v>23720</v>
      </c>
    </row>
    <row r="2251" spans="1:13">
      <c r="A2251" s="2">
        <v>2874</v>
      </c>
      <c r="B2251" s="2" t="s">
        <v>32072</v>
      </c>
      <c r="C2251" s="2">
        <v>13</v>
      </c>
      <c r="D2251" s="2">
        <v>568</v>
      </c>
      <c r="E2251" s="2">
        <v>200</v>
      </c>
      <c r="F2251" s="2">
        <v>32441</v>
      </c>
      <c r="G2251" s="2">
        <v>3.71243838</v>
      </c>
      <c r="H2251" s="3">
        <v>9.1000000000000003E-5</v>
      </c>
      <c r="I2251" s="2" t="s">
        <v>32073</v>
      </c>
      <c r="J2251" s="2" t="s">
        <v>32074</v>
      </c>
      <c r="K2251" s="2">
        <v>9.3580400000000004E-4</v>
      </c>
      <c r="L2251" s="2" t="s">
        <v>1178</v>
      </c>
      <c r="M2251" s="4" t="s">
        <v>32075</v>
      </c>
    </row>
    <row r="2252" spans="1:13">
      <c r="A2252" s="2">
        <v>2875</v>
      </c>
      <c r="B2252" s="2" t="s">
        <v>22297</v>
      </c>
      <c r="C2252" s="2">
        <v>13</v>
      </c>
      <c r="D2252" s="2">
        <v>568</v>
      </c>
      <c r="E2252" s="2">
        <v>200</v>
      </c>
      <c r="F2252" s="2">
        <v>32441</v>
      </c>
      <c r="G2252" s="2">
        <v>3.71243838</v>
      </c>
      <c r="H2252" s="3">
        <v>9.1000000000000003E-5</v>
      </c>
      <c r="I2252" s="2" t="s">
        <v>32076</v>
      </c>
      <c r="J2252" s="2" t="s">
        <v>32077</v>
      </c>
      <c r="K2252" s="2">
        <v>9.3580400000000004E-4</v>
      </c>
      <c r="L2252" s="2" t="s">
        <v>1178</v>
      </c>
      <c r="M2252" s="4" t="s">
        <v>22300</v>
      </c>
    </row>
    <row r="2253" spans="1:13">
      <c r="A2253" s="2">
        <v>2989</v>
      </c>
      <c r="B2253" s="2" t="s">
        <v>32078</v>
      </c>
      <c r="C2253" s="2">
        <v>13</v>
      </c>
      <c r="D2253" s="2">
        <v>568</v>
      </c>
      <c r="E2253" s="2">
        <v>200</v>
      </c>
      <c r="F2253" s="2">
        <v>32441</v>
      </c>
      <c r="G2253" s="2">
        <v>3.71243838</v>
      </c>
      <c r="H2253" s="3">
        <v>9.1000000000000003E-5</v>
      </c>
      <c r="I2253" s="2" t="s">
        <v>32079</v>
      </c>
      <c r="J2253" s="2" t="s">
        <v>32080</v>
      </c>
      <c r="K2253" s="2">
        <v>9.3580400000000004E-4</v>
      </c>
      <c r="L2253" s="2" t="s">
        <v>1178</v>
      </c>
      <c r="M2253" s="4" t="s">
        <v>32081</v>
      </c>
    </row>
    <row r="2254" spans="1:13">
      <c r="A2254" s="2">
        <v>30691</v>
      </c>
      <c r="B2254" s="2" t="s">
        <v>19956</v>
      </c>
      <c r="C2254" s="2">
        <v>13</v>
      </c>
      <c r="D2254" s="2">
        <v>568</v>
      </c>
      <c r="E2254" s="2">
        <v>198</v>
      </c>
      <c r="F2254" s="2">
        <v>32441</v>
      </c>
      <c r="G2254" s="2">
        <v>3.7499377580000002</v>
      </c>
      <c r="H2254" s="3">
        <v>8.2799999999999993E-5</v>
      </c>
      <c r="I2254" s="2" t="s">
        <v>32082</v>
      </c>
      <c r="J2254" s="2" t="s">
        <v>32083</v>
      </c>
      <c r="K2254" s="2">
        <v>9.3580400000000004E-4</v>
      </c>
      <c r="L2254" s="2" t="s">
        <v>1178</v>
      </c>
      <c r="M2254" s="4" t="s">
        <v>19959</v>
      </c>
    </row>
    <row r="2255" spans="1:13">
      <c r="A2255" s="2">
        <v>3266</v>
      </c>
      <c r="B2255" s="2" t="s">
        <v>32084</v>
      </c>
      <c r="C2255" s="2">
        <v>13</v>
      </c>
      <c r="D2255" s="2">
        <v>568</v>
      </c>
      <c r="E2255" s="2">
        <v>199</v>
      </c>
      <c r="F2255" s="2">
        <v>32441</v>
      </c>
      <c r="G2255" s="2">
        <v>3.7310938500000002</v>
      </c>
      <c r="H2255" s="3">
        <v>8.6799999999999996E-5</v>
      </c>
      <c r="I2255" s="2" t="s">
        <v>32085</v>
      </c>
      <c r="J2255" s="2" t="s">
        <v>32086</v>
      </c>
      <c r="K2255" s="2">
        <v>9.3580400000000004E-4</v>
      </c>
      <c r="L2255" s="2" t="s">
        <v>1178</v>
      </c>
      <c r="M2255" s="4" t="s">
        <v>32087</v>
      </c>
    </row>
    <row r="2256" spans="1:13">
      <c r="A2256" s="2">
        <v>33361</v>
      </c>
      <c r="B2256" s="2" t="s">
        <v>19037</v>
      </c>
      <c r="C2256" s="2">
        <v>13</v>
      </c>
      <c r="D2256" s="2">
        <v>568</v>
      </c>
      <c r="E2256" s="2">
        <v>198</v>
      </c>
      <c r="F2256" s="2">
        <v>32441</v>
      </c>
      <c r="G2256" s="2">
        <v>3.7499377580000002</v>
      </c>
      <c r="H2256" s="3">
        <v>8.2799999999999993E-5</v>
      </c>
      <c r="I2256" s="2" t="s">
        <v>32088</v>
      </c>
      <c r="J2256" s="2" t="s">
        <v>32089</v>
      </c>
      <c r="K2256" s="2">
        <v>9.3580400000000004E-4</v>
      </c>
      <c r="L2256" s="2" t="s">
        <v>1178</v>
      </c>
      <c r="M2256" s="4" t="s">
        <v>19040</v>
      </c>
    </row>
    <row r="2257" spans="1:13">
      <c r="A2257" s="2">
        <v>33911</v>
      </c>
      <c r="B2257" s="2" t="s">
        <v>18184</v>
      </c>
      <c r="C2257" s="2">
        <v>13</v>
      </c>
      <c r="D2257" s="2">
        <v>568</v>
      </c>
      <c r="E2257" s="2">
        <v>200</v>
      </c>
      <c r="F2257" s="2">
        <v>32441</v>
      </c>
      <c r="G2257" s="2">
        <v>3.71243838</v>
      </c>
      <c r="H2257" s="3">
        <v>9.1000000000000003E-5</v>
      </c>
      <c r="I2257" s="2" t="s">
        <v>32090</v>
      </c>
      <c r="J2257" s="2" t="s">
        <v>32091</v>
      </c>
      <c r="K2257" s="2">
        <v>9.3580400000000004E-4</v>
      </c>
      <c r="L2257" s="2" t="s">
        <v>1178</v>
      </c>
      <c r="M2257" s="4" t="s">
        <v>18187</v>
      </c>
    </row>
    <row r="2258" spans="1:13">
      <c r="A2258" s="2">
        <v>34251</v>
      </c>
      <c r="B2258" s="2" t="s">
        <v>22415</v>
      </c>
      <c r="C2258" s="2">
        <v>13</v>
      </c>
      <c r="D2258" s="2">
        <v>568</v>
      </c>
      <c r="E2258" s="2">
        <v>200</v>
      </c>
      <c r="F2258" s="2">
        <v>32441</v>
      </c>
      <c r="G2258" s="2">
        <v>3.71243838</v>
      </c>
      <c r="H2258" s="3">
        <v>9.1000000000000003E-5</v>
      </c>
      <c r="I2258" s="2" t="s">
        <v>32092</v>
      </c>
      <c r="J2258" s="2" t="s">
        <v>32093</v>
      </c>
      <c r="K2258" s="2">
        <v>9.3580400000000004E-4</v>
      </c>
      <c r="L2258" s="2" t="s">
        <v>1178</v>
      </c>
      <c r="M2258" s="4" t="s">
        <v>22418</v>
      </c>
    </row>
    <row r="2259" spans="1:13">
      <c r="A2259" s="2">
        <v>3429</v>
      </c>
      <c r="B2259" s="2" t="s">
        <v>32094</v>
      </c>
      <c r="C2259" s="2">
        <v>13</v>
      </c>
      <c r="D2259" s="2">
        <v>568</v>
      </c>
      <c r="E2259" s="2">
        <v>200</v>
      </c>
      <c r="F2259" s="2">
        <v>32441</v>
      </c>
      <c r="G2259" s="2">
        <v>3.71243838</v>
      </c>
      <c r="H2259" s="3">
        <v>9.1000000000000003E-5</v>
      </c>
      <c r="I2259" s="2" t="s">
        <v>32095</v>
      </c>
      <c r="J2259" s="2" t="s">
        <v>32096</v>
      </c>
      <c r="K2259" s="2">
        <v>9.3580400000000004E-4</v>
      </c>
      <c r="L2259" s="2" t="s">
        <v>1178</v>
      </c>
      <c r="M2259" s="4" t="s">
        <v>32097</v>
      </c>
    </row>
    <row r="2260" spans="1:13">
      <c r="A2260" s="2">
        <v>34931</v>
      </c>
      <c r="B2260" s="2" t="s">
        <v>32098</v>
      </c>
      <c r="C2260" s="2">
        <v>13</v>
      </c>
      <c r="D2260" s="2">
        <v>568</v>
      </c>
      <c r="E2260" s="2">
        <v>197</v>
      </c>
      <c r="F2260" s="2">
        <v>32441</v>
      </c>
      <c r="G2260" s="2">
        <v>3.7689729750000001</v>
      </c>
      <c r="H2260" s="3">
        <v>7.8899999999999993E-5</v>
      </c>
      <c r="I2260" s="2" t="s">
        <v>32099</v>
      </c>
      <c r="J2260" s="2" t="s">
        <v>32100</v>
      </c>
      <c r="K2260" s="2">
        <v>9.3580400000000004E-4</v>
      </c>
      <c r="L2260" s="2" t="s">
        <v>1178</v>
      </c>
      <c r="M2260" s="4" t="s">
        <v>32101</v>
      </c>
    </row>
    <row r="2261" spans="1:13">
      <c r="A2261" s="2">
        <v>3669</v>
      </c>
      <c r="B2261" s="2" t="s">
        <v>2652</v>
      </c>
      <c r="C2261" s="2">
        <v>13</v>
      </c>
      <c r="D2261" s="2">
        <v>568</v>
      </c>
      <c r="E2261" s="2">
        <v>200</v>
      </c>
      <c r="F2261" s="2">
        <v>32441</v>
      </c>
      <c r="G2261" s="2">
        <v>3.71243838</v>
      </c>
      <c r="H2261" s="3">
        <v>9.1000000000000003E-5</v>
      </c>
      <c r="I2261" s="2" t="s">
        <v>32102</v>
      </c>
      <c r="J2261" s="2" t="s">
        <v>32103</v>
      </c>
      <c r="K2261" s="2">
        <v>9.3580400000000004E-4</v>
      </c>
      <c r="L2261" s="2" t="s">
        <v>1178</v>
      </c>
      <c r="M2261" s="4" t="s">
        <v>22483</v>
      </c>
    </row>
    <row r="2262" spans="1:13">
      <c r="A2262" s="2">
        <v>3755</v>
      </c>
      <c r="B2262" s="2" t="s">
        <v>17443</v>
      </c>
      <c r="C2262" s="2">
        <v>13</v>
      </c>
      <c r="D2262" s="2">
        <v>568</v>
      </c>
      <c r="E2262" s="2">
        <v>200</v>
      </c>
      <c r="F2262" s="2">
        <v>32441</v>
      </c>
      <c r="G2262" s="2">
        <v>3.71243838</v>
      </c>
      <c r="H2262" s="3">
        <v>9.1000000000000003E-5</v>
      </c>
      <c r="I2262" s="2" t="s">
        <v>32104</v>
      </c>
      <c r="J2262" s="2" t="s">
        <v>32105</v>
      </c>
      <c r="K2262" s="2">
        <v>9.3580400000000004E-4</v>
      </c>
      <c r="L2262" s="2" t="s">
        <v>1178</v>
      </c>
      <c r="M2262" s="4" t="s">
        <v>17446</v>
      </c>
    </row>
    <row r="2263" spans="1:13">
      <c r="A2263" s="2">
        <v>3761</v>
      </c>
      <c r="B2263" s="2" t="s">
        <v>20103</v>
      </c>
      <c r="C2263" s="2">
        <v>13</v>
      </c>
      <c r="D2263" s="2">
        <v>568</v>
      </c>
      <c r="E2263" s="2">
        <v>200</v>
      </c>
      <c r="F2263" s="2">
        <v>32441</v>
      </c>
      <c r="G2263" s="2">
        <v>3.71243838</v>
      </c>
      <c r="H2263" s="3">
        <v>9.1000000000000003E-5</v>
      </c>
      <c r="I2263" s="2" t="s">
        <v>32106</v>
      </c>
      <c r="J2263" s="2" t="s">
        <v>32107</v>
      </c>
      <c r="K2263" s="2">
        <v>9.3580400000000004E-4</v>
      </c>
      <c r="L2263" s="2" t="s">
        <v>1178</v>
      </c>
      <c r="M2263" s="4" t="s">
        <v>20106</v>
      </c>
    </row>
    <row r="2264" spans="1:13">
      <c r="A2264" s="2">
        <v>3807</v>
      </c>
      <c r="B2264" s="2" t="s">
        <v>32108</v>
      </c>
      <c r="C2264" s="2">
        <v>13</v>
      </c>
      <c r="D2264" s="2">
        <v>568</v>
      </c>
      <c r="E2264" s="2">
        <v>200</v>
      </c>
      <c r="F2264" s="2">
        <v>32441</v>
      </c>
      <c r="G2264" s="2">
        <v>3.71243838</v>
      </c>
      <c r="H2264" s="3">
        <v>9.1000000000000003E-5</v>
      </c>
      <c r="I2264" s="2" t="s">
        <v>32109</v>
      </c>
      <c r="J2264" s="2" t="s">
        <v>32110</v>
      </c>
      <c r="K2264" s="2">
        <v>9.3580400000000004E-4</v>
      </c>
      <c r="L2264" s="2" t="s">
        <v>1178</v>
      </c>
      <c r="M2264" s="4" t="s">
        <v>32111</v>
      </c>
    </row>
    <row r="2265" spans="1:13">
      <c r="A2265" s="2">
        <v>38951</v>
      </c>
      <c r="B2265" s="2" t="s">
        <v>2673</v>
      </c>
      <c r="C2265" s="2">
        <v>13</v>
      </c>
      <c r="D2265" s="2">
        <v>568</v>
      </c>
      <c r="E2265" s="2">
        <v>199</v>
      </c>
      <c r="F2265" s="2">
        <v>32441</v>
      </c>
      <c r="G2265" s="2">
        <v>3.7310938500000002</v>
      </c>
      <c r="H2265" s="3">
        <v>8.6799999999999996E-5</v>
      </c>
      <c r="I2265" s="2" t="s">
        <v>32112</v>
      </c>
      <c r="J2265" s="2" t="s">
        <v>32113</v>
      </c>
      <c r="K2265" s="2">
        <v>9.3580400000000004E-4</v>
      </c>
      <c r="L2265" s="2" t="s">
        <v>1178</v>
      </c>
      <c r="M2265" s="4" t="s">
        <v>22561</v>
      </c>
    </row>
    <row r="2266" spans="1:13">
      <c r="A2266" s="2">
        <v>39122</v>
      </c>
      <c r="B2266" s="2" t="s">
        <v>16061</v>
      </c>
      <c r="C2266" s="2">
        <v>13</v>
      </c>
      <c r="D2266" s="2">
        <v>568</v>
      </c>
      <c r="E2266" s="2">
        <v>200</v>
      </c>
      <c r="F2266" s="2">
        <v>32441</v>
      </c>
      <c r="G2266" s="2">
        <v>3.71243838</v>
      </c>
      <c r="H2266" s="3">
        <v>9.1000000000000003E-5</v>
      </c>
      <c r="I2266" s="2" t="s">
        <v>32114</v>
      </c>
      <c r="J2266" s="2" t="s">
        <v>32115</v>
      </c>
      <c r="K2266" s="2">
        <v>9.3580400000000004E-4</v>
      </c>
      <c r="L2266" s="2" t="s">
        <v>1178</v>
      </c>
      <c r="M2266" s="4" t="s">
        <v>16064</v>
      </c>
    </row>
    <row r="2267" spans="1:13">
      <c r="A2267" s="2">
        <v>39861</v>
      </c>
      <c r="B2267" s="2" t="s">
        <v>17474</v>
      </c>
      <c r="C2267" s="2">
        <v>13</v>
      </c>
      <c r="D2267" s="2">
        <v>568</v>
      </c>
      <c r="E2267" s="2">
        <v>200</v>
      </c>
      <c r="F2267" s="2">
        <v>32441</v>
      </c>
      <c r="G2267" s="2">
        <v>3.71243838</v>
      </c>
      <c r="H2267" s="3">
        <v>9.1000000000000003E-5</v>
      </c>
      <c r="I2267" s="2" t="s">
        <v>32116</v>
      </c>
      <c r="J2267" s="2" t="s">
        <v>32117</v>
      </c>
      <c r="K2267" s="2">
        <v>9.3580400000000004E-4</v>
      </c>
      <c r="L2267" s="2" t="s">
        <v>1178</v>
      </c>
      <c r="M2267" s="4" t="s">
        <v>17477</v>
      </c>
    </row>
    <row r="2268" spans="1:13">
      <c r="A2268" s="2">
        <v>4001</v>
      </c>
      <c r="B2268" s="2" t="s">
        <v>3502</v>
      </c>
      <c r="C2268" s="2">
        <v>13</v>
      </c>
      <c r="D2268" s="2">
        <v>568</v>
      </c>
      <c r="E2268" s="2">
        <v>199</v>
      </c>
      <c r="F2268" s="2">
        <v>32441</v>
      </c>
      <c r="G2268" s="2">
        <v>3.7310938500000002</v>
      </c>
      <c r="H2268" s="3">
        <v>8.6799999999999996E-5</v>
      </c>
      <c r="I2268" s="2" t="s">
        <v>32118</v>
      </c>
      <c r="J2268" s="2" t="s">
        <v>32119</v>
      </c>
      <c r="K2268" s="2">
        <v>9.3580400000000004E-4</v>
      </c>
      <c r="L2268" s="2" t="s">
        <v>1178</v>
      </c>
      <c r="M2268" s="4" t="s">
        <v>3505</v>
      </c>
    </row>
    <row r="2269" spans="1:13">
      <c r="A2269" s="2">
        <v>4089</v>
      </c>
      <c r="B2269" s="2" t="s">
        <v>2292</v>
      </c>
      <c r="C2269" s="2">
        <v>12</v>
      </c>
      <c r="D2269" s="2">
        <v>568</v>
      </c>
      <c r="E2269" s="2">
        <v>170</v>
      </c>
      <c r="F2269" s="2">
        <v>32441</v>
      </c>
      <c r="G2269" s="2">
        <v>4.0316072910000003</v>
      </c>
      <c r="H2269" s="3">
        <v>8.1000000000000004E-5</v>
      </c>
      <c r="I2269" s="2" t="s">
        <v>32120</v>
      </c>
      <c r="J2269" s="2" t="s">
        <v>32121</v>
      </c>
      <c r="K2269" s="2">
        <v>9.3580400000000004E-4</v>
      </c>
      <c r="L2269" s="2" t="s">
        <v>1178</v>
      </c>
      <c r="M2269" s="4" t="s">
        <v>19154</v>
      </c>
    </row>
    <row r="2270" spans="1:13">
      <c r="A2270" s="2">
        <v>4142</v>
      </c>
      <c r="B2270" s="2" t="s">
        <v>22605</v>
      </c>
      <c r="C2270" s="2">
        <v>13</v>
      </c>
      <c r="D2270" s="2">
        <v>568</v>
      </c>
      <c r="E2270" s="2">
        <v>200</v>
      </c>
      <c r="F2270" s="2">
        <v>32441</v>
      </c>
      <c r="G2270" s="2">
        <v>3.71243838</v>
      </c>
      <c r="H2270" s="3">
        <v>9.1000000000000003E-5</v>
      </c>
      <c r="I2270" s="2" t="s">
        <v>32122</v>
      </c>
      <c r="J2270" s="2" t="s">
        <v>32123</v>
      </c>
      <c r="K2270" s="2">
        <v>9.3580400000000004E-4</v>
      </c>
      <c r="L2270" s="2" t="s">
        <v>1178</v>
      </c>
      <c r="M2270" s="4" t="s">
        <v>22608</v>
      </c>
    </row>
    <row r="2271" spans="1:13">
      <c r="A2271" s="2">
        <v>4299</v>
      </c>
      <c r="B2271" s="2" t="s">
        <v>16105</v>
      </c>
      <c r="C2271" s="2">
        <v>13</v>
      </c>
      <c r="D2271" s="2">
        <v>568</v>
      </c>
      <c r="E2271" s="2">
        <v>200</v>
      </c>
      <c r="F2271" s="2">
        <v>32441</v>
      </c>
      <c r="G2271" s="2">
        <v>3.71243838</v>
      </c>
      <c r="H2271" s="3">
        <v>9.1000000000000003E-5</v>
      </c>
      <c r="I2271" s="2" t="s">
        <v>32124</v>
      </c>
      <c r="J2271" s="2" t="s">
        <v>32125</v>
      </c>
      <c r="K2271" s="2">
        <v>9.3580400000000004E-4</v>
      </c>
      <c r="L2271" s="2" t="s">
        <v>1178</v>
      </c>
      <c r="M2271" s="4" t="s">
        <v>16108</v>
      </c>
    </row>
    <row r="2272" spans="1:13">
      <c r="A2272" s="2">
        <v>4309</v>
      </c>
      <c r="B2272" s="2" t="s">
        <v>32126</v>
      </c>
      <c r="C2272" s="2">
        <v>13</v>
      </c>
      <c r="D2272" s="2">
        <v>568</v>
      </c>
      <c r="E2272" s="2">
        <v>200</v>
      </c>
      <c r="F2272" s="2">
        <v>32441</v>
      </c>
      <c r="G2272" s="2">
        <v>3.71243838</v>
      </c>
      <c r="H2272" s="3">
        <v>9.1000000000000003E-5</v>
      </c>
      <c r="I2272" s="2" t="s">
        <v>32127</v>
      </c>
      <c r="J2272" s="2" t="s">
        <v>32128</v>
      </c>
      <c r="K2272" s="2">
        <v>9.3580400000000004E-4</v>
      </c>
      <c r="L2272" s="2" t="s">
        <v>1178</v>
      </c>
      <c r="M2272" s="4" t="s">
        <v>32129</v>
      </c>
    </row>
    <row r="2273" spans="1:13">
      <c r="A2273" s="2">
        <v>45271</v>
      </c>
      <c r="B2273" s="2" t="s">
        <v>1620</v>
      </c>
      <c r="C2273" s="2">
        <v>13</v>
      </c>
      <c r="D2273" s="2">
        <v>568</v>
      </c>
      <c r="E2273" s="2">
        <v>200</v>
      </c>
      <c r="F2273" s="2">
        <v>32441</v>
      </c>
      <c r="G2273" s="2">
        <v>3.71243838</v>
      </c>
      <c r="H2273" s="3">
        <v>9.1000000000000003E-5</v>
      </c>
      <c r="I2273" s="2" t="s">
        <v>32130</v>
      </c>
      <c r="J2273" s="2" t="s">
        <v>32131</v>
      </c>
      <c r="K2273" s="2">
        <v>9.3580400000000004E-4</v>
      </c>
      <c r="L2273" s="2" t="s">
        <v>1178</v>
      </c>
      <c r="M2273" s="4" t="s">
        <v>13909</v>
      </c>
    </row>
    <row r="2274" spans="1:13">
      <c r="A2274" s="2">
        <v>4676</v>
      </c>
      <c r="B2274" s="2" t="s">
        <v>13373</v>
      </c>
      <c r="C2274" s="2">
        <v>13</v>
      </c>
      <c r="D2274" s="2">
        <v>568</v>
      </c>
      <c r="E2274" s="2">
        <v>200</v>
      </c>
      <c r="F2274" s="2">
        <v>32441</v>
      </c>
      <c r="G2274" s="2">
        <v>3.71243838</v>
      </c>
      <c r="H2274" s="3">
        <v>9.1000000000000003E-5</v>
      </c>
      <c r="I2274" s="2" t="s">
        <v>32132</v>
      </c>
      <c r="J2274" s="2" t="s">
        <v>32133</v>
      </c>
      <c r="K2274" s="2">
        <v>9.3580400000000004E-4</v>
      </c>
      <c r="L2274" s="2" t="s">
        <v>1178</v>
      </c>
      <c r="M2274" s="4" t="s">
        <v>13376</v>
      </c>
    </row>
    <row r="2275" spans="1:13">
      <c r="A2275" s="2">
        <v>4691</v>
      </c>
      <c r="B2275" s="2" t="s">
        <v>16173</v>
      </c>
      <c r="C2275" s="2">
        <v>13</v>
      </c>
      <c r="D2275" s="2">
        <v>568</v>
      </c>
      <c r="E2275" s="2">
        <v>200</v>
      </c>
      <c r="F2275" s="2">
        <v>32441</v>
      </c>
      <c r="G2275" s="2">
        <v>3.71243838</v>
      </c>
      <c r="H2275" s="3">
        <v>9.1000000000000003E-5</v>
      </c>
      <c r="I2275" s="2" t="s">
        <v>32134</v>
      </c>
      <c r="J2275" s="2" t="s">
        <v>32135</v>
      </c>
      <c r="K2275" s="2">
        <v>9.3580400000000004E-4</v>
      </c>
      <c r="L2275" s="2" t="s">
        <v>1178</v>
      </c>
      <c r="M2275" s="4" t="s">
        <v>16176</v>
      </c>
    </row>
    <row r="2276" spans="1:13">
      <c r="A2276" s="2">
        <v>4720</v>
      </c>
      <c r="B2276" s="2" t="s">
        <v>32136</v>
      </c>
      <c r="C2276" s="2">
        <v>13</v>
      </c>
      <c r="D2276" s="2">
        <v>568</v>
      </c>
      <c r="E2276" s="2">
        <v>200</v>
      </c>
      <c r="F2276" s="2">
        <v>32441</v>
      </c>
      <c r="G2276" s="2">
        <v>3.71243838</v>
      </c>
      <c r="H2276" s="3">
        <v>9.1000000000000003E-5</v>
      </c>
      <c r="I2276" s="2" t="s">
        <v>32137</v>
      </c>
      <c r="J2276" s="2" t="s">
        <v>32138</v>
      </c>
      <c r="K2276" s="2">
        <v>9.3580400000000004E-4</v>
      </c>
      <c r="L2276" s="2" t="s">
        <v>1178</v>
      </c>
      <c r="M2276" s="4" t="s">
        <v>32139</v>
      </c>
    </row>
    <row r="2277" spans="1:13">
      <c r="A2277" s="2">
        <v>4793</v>
      </c>
      <c r="B2277" s="2" t="s">
        <v>17613</v>
      </c>
      <c r="C2277" s="2">
        <v>13</v>
      </c>
      <c r="D2277" s="2">
        <v>568</v>
      </c>
      <c r="E2277" s="2">
        <v>200</v>
      </c>
      <c r="F2277" s="2">
        <v>32441</v>
      </c>
      <c r="G2277" s="2">
        <v>3.71243838</v>
      </c>
      <c r="H2277" s="3">
        <v>9.1000000000000003E-5</v>
      </c>
      <c r="I2277" s="2" t="s">
        <v>32140</v>
      </c>
      <c r="J2277" s="2" t="s">
        <v>32141</v>
      </c>
      <c r="K2277" s="2">
        <v>9.3580400000000004E-4</v>
      </c>
      <c r="L2277" s="2" t="s">
        <v>1178</v>
      </c>
      <c r="M2277" s="4" t="s">
        <v>17616</v>
      </c>
    </row>
    <row r="2278" spans="1:13">
      <c r="A2278" s="2">
        <v>2173</v>
      </c>
      <c r="B2278" s="2" t="s">
        <v>1356</v>
      </c>
      <c r="C2278" s="2">
        <v>12</v>
      </c>
      <c r="D2278" s="2">
        <v>568</v>
      </c>
      <c r="E2278" s="2">
        <v>173</v>
      </c>
      <c r="F2278" s="2">
        <v>32441</v>
      </c>
      <c r="G2278" s="2">
        <v>3.9616950260000001</v>
      </c>
      <c r="H2278" s="3">
        <v>9.4699999999999998E-5</v>
      </c>
      <c r="I2278" s="2" t="s">
        <v>32142</v>
      </c>
      <c r="J2278" s="2" t="s">
        <v>32143</v>
      </c>
      <c r="K2278" s="2">
        <v>9.6924200000000004E-4</v>
      </c>
      <c r="L2278" s="2" t="s">
        <v>1178</v>
      </c>
      <c r="M2278" s="4" t="s">
        <v>15599</v>
      </c>
    </row>
    <row r="2279" spans="1:13">
      <c r="A2279" s="2">
        <v>3301</v>
      </c>
      <c r="B2279" s="2" t="s">
        <v>16636</v>
      </c>
      <c r="C2279" s="2">
        <v>12</v>
      </c>
      <c r="D2279" s="2">
        <v>568</v>
      </c>
      <c r="E2279" s="2">
        <v>173</v>
      </c>
      <c r="F2279" s="2">
        <v>32441</v>
      </c>
      <c r="G2279" s="2">
        <v>3.9616950260000001</v>
      </c>
      <c r="H2279" s="3">
        <v>9.4699999999999998E-5</v>
      </c>
      <c r="I2279" s="2" t="s">
        <v>32144</v>
      </c>
      <c r="J2279" s="2" t="s">
        <v>32145</v>
      </c>
      <c r="K2279" s="2">
        <v>9.6924200000000004E-4</v>
      </c>
      <c r="L2279" s="2" t="s">
        <v>1178</v>
      </c>
      <c r="M2279" s="4" t="s">
        <v>16639</v>
      </c>
    </row>
    <row r="2280" spans="1:13">
      <c r="A2280" s="2">
        <v>4160</v>
      </c>
      <c r="B2280" s="2" t="s">
        <v>32146</v>
      </c>
      <c r="C2280" s="2">
        <v>12</v>
      </c>
      <c r="D2280" s="2">
        <v>568</v>
      </c>
      <c r="E2280" s="2">
        <v>176</v>
      </c>
      <c r="F2280" s="2">
        <v>32441</v>
      </c>
      <c r="G2280" s="2">
        <v>3.8941661330000001</v>
      </c>
      <c r="H2280" s="2">
        <v>1.10313E-4</v>
      </c>
      <c r="I2280" s="2" t="s">
        <v>32147</v>
      </c>
      <c r="J2280" s="2" t="s">
        <v>32148</v>
      </c>
      <c r="K2280" s="2">
        <v>1.1267180000000001E-3</v>
      </c>
      <c r="L2280" s="2" t="s">
        <v>1178</v>
      </c>
      <c r="M2280" s="4" t="s">
        <v>32149</v>
      </c>
    </row>
    <row r="2281" spans="1:13">
      <c r="A2281" s="2">
        <v>2705</v>
      </c>
      <c r="B2281" s="2" t="s">
        <v>32150</v>
      </c>
      <c r="C2281" s="2">
        <v>11</v>
      </c>
      <c r="D2281" s="2">
        <v>568</v>
      </c>
      <c r="E2281" s="2">
        <v>151</v>
      </c>
      <c r="F2281" s="2">
        <v>32441</v>
      </c>
      <c r="G2281" s="2">
        <v>4.1606543230000002</v>
      </c>
      <c r="H2281" s="2">
        <v>1.22679E-4</v>
      </c>
      <c r="I2281" s="2" t="s">
        <v>32151</v>
      </c>
      <c r="J2281" s="2" t="s">
        <v>32152</v>
      </c>
      <c r="K2281" s="2">
        <v>1.2477899999999999E-3</v>
      </c>
      <c r="L2281" s="2" t="s">
        <v>1178</v>
      </c>
      <c r="M2281" s="4" t="s">
        <v>32153</v>
      </c>
    </row>
    <row r="2282" spans="1:13">
      <c r="A2282" s="2">
        <v>2724</v>
      </c>
      <c r="B2282" s="2" t="s">
        <v>32154</v>
      </c>
      <c r="C2282" s="2">
        <v>11</v>
      </c>
      <c r="D2282" s="2">
        <v>568</v>
      </c>
      <c r="E2282" s="2">
        <v>151</v>
      </c>
      <c r="F2282" s="2">
        <v>32441</v>
      </c>
      <c r="G2282" s="2">
        <v>4.1606543230000002</v>
      </c>
      <c r="H2282" s="2">
        <v>1.22679E-4</v>
      </c>
      <c r="I2282" s="2" t="s">
        <v>32155</v>
      </c>
      <c r="J2282" s="2" t="s">
        <v>32156</v>
      </c>
      <c r="K2282" s="2">
        <v>1.2477899999999999E-3</v>
      </c>
      <c r="L2282" s="2" t="s">
        <v>1178</v>
      </c>
      <c r="M2282" s="4" t="s">
        <v>32157</v>
      </c>
    </row>
    <row r="2283" spans="1:13">
      <c r="A2283" s="2">
        <v>24231</v>
      </c>
      <c r="B2283" s="2" t="s">
        <v>32158</v>
      </c>
      <c r="C2283" s="2">
        <v>12</v>
      </c>
      <c r="D2283" s="2">
        <v>568</v>
      </c>
      <c r="E2283" s="2">
        <v>180</v>
      </c>
      <c r="F2283" s="2">
        <v>32441</v>
      </c>
      <c r="G2283" s="2">
        <v>3.807629108</v>
      </c>
      <c r="H2283" s="2">
        <v>1.3453799999999999E-4</v>
      </c>
      <c r="I2283" s="2" t="s">
        <v>32159</v>
      </c>
      <c r="J2283" s="2" t="s">
        <v>32160</v>
      </c>
      <c r="K2283" s="2">
        <v>1.3655589999999999E-3</v>
      </c>
      <c r="L2283" s="2" t="s">
        <v>1178</v>
      </c>
      <c r="M2283" s="4" t="s">
        <v>32161</v>
      </c>
    </row>
    <row r="2284" spans="1:13">
      <c r="A2284" s="2">
        <v>3299</v>
      </c>
      <c r="B2284" s="2" t="s">
        <v>13847</v>
      </c>
      <c r="C2284" s="2">
        <v>11</v>
      </c>
      <c r="D2284" s="2">
        <v>568</v>
      </c>
      <c r="E2284" s="2">
        <v>159</v>
      </c>
      <c r="F2284" s="2">
        <v>32441</v>
      </c>
      <c r="G2284" s="2">
        <v>3.9513132249999998</v>
      </c>
      <c r="H2284" s="2">
        <v>1.8749000000000001E-4</v>
      </c>
      <c r="I2284" s="2" t="s">
        <v>32162</v>
      </c>
      <c r="J2284" s="2" t="s">
        <v>32163</v>
      </c>
      <c r="K2284" s="2">
        <v>1.8990700000000001E-3</v>
      </c>
      <c r="L2284" s="2" t="s">
        <v>1178</v>
      </c>
      <c r="M2284" s="4" t="s">
        <v>13850</v>
      </c>
    </row>
    <row r="2285" spans="1:13">
      <c r="A2285" s="2">
        <v>1749</v>
      </c>
      <c r="B2285" s="2" t="s">
        <v>22096</v>
      </c>
      <c r="C2285" s="2">
        <v>11</v>
      </c>
      <c r="D2285" s="2">
        <v>568</v>
      </c>
      <c r="E2285" s="2">
        <v>162</v>
      </c>
      <c r="F2285" s="2">
        <v>32441</v>
      </c>
      <c r="G2285" s="2">
        <v>3.8781407579999998</v>
      </c>
      <c r="H2285" s="2">
        <v>2.1832899999999999E-4</v>
      </c>
      <c r="I2285" s="2" t="s">
        <v>32164</v>
      </c>
      <c r="J2285" s="2" t="s">
        <v>32165</v>
      </c>
      <c r="K2285" s="2">
        <v>2.2022769999999999E-3</v>
      </c>
      <c r="L2285" s="2" t="s">
        <v>1178</v>
      </c>
      <c r="M2285" s="4" t="s">
        <v>22099</v>
      </c>
    </row>
    <row r="2286" spans="1:13">
      <c r="A2286" s="2">
        <v>2532</v>
      </c>
      <c r="B2286" s="2" t="s">
        <v>17672</v>
      </c>
      <c r="C2286" s="2">
        <v>11</v>
      </c>
      <c r="D2286" s="2">
        <v>568</v>
      </c>
      <c r="E2286" s="2">
        <v>162</v>
      </c>
      <c r="F2286" s="2">
        <v>32441</v>
      </c>
      <c r="G2286" s="2">
        <v>3.8781407579999998</v>
      </c>
      <c r="H2286" s="2">
        <v>2.1832899999999999E-4</v>
      </c>
      <c r="I2286" s="2" t="s">
        <v>32166</v>
      </c>
      <c r="J2286" s="2" t="s">
        <v>32167</v>
      </c>
      <c r="K2286" s="2">
        <v>2.2022769999999999E-3</v>
      </c>
      <c r="L2286" s="2" t="s">
        <v>1178</v>
      </c>
      <c r="M2286" s="4" t="s">
        <v>17675</v>
      </c>
    </row>
    <row r="2287" spans="1:13">
      <c r="A2287" s="2">
        <v>2414</v>
      </c>
      <c r="B2287" s="2" t="s">
        <v>19369</v>
      </c>
      <c r="C2287" s="2">
        <v>11</v>
      </c>
      <c r="D2287" s="2">
        <v>568</v>
      </c>
      <c r="E2287" s="2">
        <v>163</v>
      </c>
      <c r="F2287" s="2">
        <v>32441</v>
      </c>
      <c r="G2287" s="2">
        <v>3.854348484</v>
      </c>
      <c r="H2287" s="2">
        <v>2.2951800000000001E-4</v>
      </c>
      <c r="I2287" s="2" t="s">
        <v>32168</v>
      </c>
      <c r="J2287" s="2" t="s">
        <v>32169</v>
      </c>
      <c r="K2287" s="2">
        <v>2.3103519999999999E-3</v>
      </c>
      <c r="L2287" s="2" t="s">
        <v>1178</v>
      </c>
      <c r="M2287" s="4" t="s">
        <v>19372</v>
      </c>
    </row>
    <row r="2288" spans="1:13">
      <c r="A2288" s="2">
        <v>2833</v>
      </c>
      <c r="B2288" s="2" t="s">
        <v>18459</v>
      </c>
      <c r="C2288" s="2">
        <v>11</v>
      </c>
      <c r="D2288" s="2">
        <v>568</v>
      </c>
      <c r="E2288" s="2">
        <v>164</v>
      </c>
      <c r="F2288" s="2">
        <v>32441</v>
      </c>
      <c r="G2288" s="2">
        <v>3.8308463590000001</v>
      </c>
      <c r="H2288" s="2">
        <v>2.4118699999999999E-4</v>
      </c>
      <c r="I2288" s="2" t="s">
        <v>32170</v>
      </c>
      <c r="J2288" s="2" t="s">
        <v>32171</v>
      </c>
      <c r="K2288" s="2">
        <v>2.4228119999999999E-3</v>
      </c>
      <c r="L2288" s="2" t="s">
        <v>1178</v>
      </c>
      <c r="M2288" s="4" t="s">
        <v>18462</v>
      </c>
    </row>
    <row r="2289" spans="1:13">
      <c r="A2289" s="2">
        <v>2286</v>
      </c>
      <c r="B2289" s="2" t="s">
        <v>13405</v>
      </c>
      <c r="C2289" s="2">
        <v>12</v>
      </c>
      <c r="D2289" s="2">
        <v>568</v>
      </c>
      <c r="E2289" s="2">
        <v>193</v>
      </c>
      <c r="F2289" s="2">
        <v>32441</v>
      </c>
      <c r="G2289" s="2">
        <v>3.5511566810000001</v>
      </c>
      <c r="H2289" s="2">
        <v>2.4720999999999999E-4</v>
      </c>
      <c r="I2289" s="2" t="s">
        <v>32172</v>
      </c>
      <c r="J2289" s="2" t="s">
        <v>32173</v>
      </c>
      <c r="K2289" s="2">
        <v>2.4731190000000002E-3</v>
      </c>
      <c r="L2289" s="2" t="s">
        <v>1178</v>
      </c>
      <c r="M2289" s="4" t="s">
        <v>13408</v>
      </c>
    </row>
    <row r="2290" spans="1:13">
      <c r="A2290" s="2">
        <v>3893</v>
      </c>
      <c r="B2290" s="2" t="s">
        <v>3223</v>
      </c>
      <c r="C2290" s="2">
        <v>12</v>
      </c>
      <c r="D2290" s="2">
        <v>568</v>
      </c>
      <c r="E2290" s="2">
        <v>193</v>
      </c>
      <c r="F2290" s="2">
        <v>32441</v>
      </c>
      <c r="G2290" s="2">
        <v>3.5511566810000001</v>
      </c>
      <c r="H2290" s="2">
        <v>2.4720999999999999E-4</v>
      </c>
      <c r="I2290" s="2" t="s">
        <v>32174</v>
      </c>
      <c r="J2290" s="2" t="s">
        <v>32175</v>
      </c>
      <c r="K2290" s="2">
        <v>2.4731190000000002E-3</v>
      </c>
      <c r="L2290" s="2" t="s">
        <v>1178</v>
      </c>
      <c r="M2290" s="4" t="s">
        <v>3226</v>
      </c>
    </row>
    <row r="2291" spans="1:13">
      <c r="A2291" s="2">
        <v>3212</v>
      </c>
      <c r="B2291" s="2" t="s">
        <v>32176</v>
      </c>
      <c r="C2291" s="2">
        <v>12</v>
      </c>
      <c r="D2291" s="2">
        <v>568</v>
      </c>
      <c r="E2291" s="2">
        <v>194</v>
      </c>
      <c r="F2291" s="2">
        <v>32441</v>
      </c>
      <c r="G2291" s="2">
        <v>3.5328517499999998</v>
      </c>
      <c r="H2291" s="2">
        <v>2.5848800000000002E-4</v>
      </c>
      <c r="I2291" s="2" t="s">
        <v>32177</v>
      </c>
      <c r="J2291" s="2" t="s">
        <v>32178</v>
      </c>
      <c r="K2291" s="2">
        <v>2.5806449999999999E-3</v>
      </c>
      <c r="L2291" s="2" t="s">
        <v>1178</v>
      </c>
      <c r="M2291" s="4" t="s">
        <v>32179</v>
      </c>
    </row>
    <row r="2292" spans="1:13">
      <c r="A2292" s="2">
        <v>11</v>
      </c>
      <c r="B2292" s="2" t="s">
        <v>1455</v>
      </c>
      <c r="C2292" s="2">
        <v>12</v>
      </c>
      <c r="D2292" s="2">
        <v>568</v>
      </c>
      <c r="E2292" s="2">
        <v>200</v>
      </c>
      <c r="F2292" s="2">
        <v>32441</v>
      </c>
      <c r="G2292" s="2">
        <v>3.4268661969999998</v>
      </c>
      <c r="H2292" s="2">
        <v>3.3575400000000001E-4</v>
      </c>
      <c r="I2292" s="2" t="s">
        <v>32180</v>
      </c>
      <c r="J2292" s="2" t="s">
        <v>32181</v>
      </c>
      <c r="K2292" s="2">
        <v>2.5964970000000001E-3</v>
      </c>
      <c r="L2292" s="2" t="s">
        <v>1178</v>
      </c>
      <c r="M2292" s="4" t="s">
        <v>22859</v>
      </c>
    </row>
    <row r="2293" spans="1:13">
      <c r="A2293" s="2">
        <v>52</v>
      </c>
      <c r="B2293" s="2" t="s">
        <v>21635</v>
      </c>
      <c r="C2293" s="2">
        <v>12</v>
      </c>
      <c r="D2293" s="2">
        <v>568</v>
      </c>
      <c r="E2293" s="2">
        <v>200</v>
      </c>
      <c r="F2293" s="2">
        <v>32441</v>
      </c>
      <c r="G2293" s="2">
        <v>3.4268661969999998</v>
      </c>
      <c r="H2293" s="2">
        <v>3.3575400000000001E-4</v>
      </c>
      <c r="I2293" s="2" t="s">
        <v>32182</v>
      </c>
      <c r="J2293" s="2" t="s">
        <v>32183</v>
      </c>
      <c r="K2293" s="2">
        <v>2.5964970000000001E-3</v>
      </c>
      <c r="L2293" s="2" t="s">
        <v>1178</v>
      </c>
      <c r="M2293" s="4" t="s">
        <v>21638</v>
      </c>
    </row>
    <row r="2294" spans="1:13">
      <c r="A2294" s="2">
        <v>1311</v>
      </c>
      <c r="B2294" s="2" t="s">
        <v>2001</v>
      </c>
      <c r="C2294" s="2">
        <v>12</v>
      </c>
      <c r="D2294" s="2">
        <v>568</v>
      </c>
      <c r="E2294" s="2">
        <v>200</v>
      </c>
      <c r="F2294" s="2">
        <v>32441</v>
      </c>
      <c r="G2294" s="2">
        <v>3.4268661969999998</v>
      </c>
      <c r="H2294" s="2">
        <v>3.3575400000000001E-4</v>
      </c>
      <c r="I2294" s="2" t="s">
        <v>32184</v>
      </c>
      <c r="J2294" s="2" t="s">
        <v>32185</v>
      </c>
      <c r="K2294" s="2">
        <v>2.5964970000000001E-3</v>
      </c>
      <c r="L2294" s="2" t="s">
        <v>1178</v>
      </c>
      <c r="M2294" s="4" t="s">
        <v>15109</v>
      </c>
    </row>
    <row r="2295" spans="1:13">
      <c r="A2295" s="2">
        <v>328</v>
      </c>
      <c r="B2295" s="2" t="s">
        <v>15610</v>
      </c>
      <c r="C2295" s="2">
        <v>12</v>
      </c>
      <c r="D2295" s="2">
        <v>568</v>
      </c>
      <c r="E2295" s="2">
        <v>200</v>
      </c>
      <c r="F2295" s="2">
        <v>32441</v>
      </c>
      <c r="G2295" s="2">
        <v>3.4268661969999998</v>
      </c>
      <c r="H2295" s="2">
        <v>3.3575400000000001E-4</v>
      </c>
      <c r="I2295" s="2" t="s">
        <v>32186</v>
      </c>
      <c r="J2295" s="2" t="s">
        <v>32187</v>
      </c>
      <c r="K2295" s="2">
        <v>2.5964970000000001E-3</v>
      </c>
      <c r="L2295" s="2" t="s">
        <v>1178</v>
      </c>
      <c r="M2295" s="4" t="s">
        <v>15613</v>
      </c>
    </row>
    <row r="2296" spans="1:13">
      <c r="A2296" s="2">
        <v>114</v>
      </c>
      <c r="B2296" s="2" t="s">
        <v>1551</v>
      </c>
      <c r="C2296" s="2">
        <v>12</v>
      </c>
      <c r="D2296" s="2">
        <v>568</v>
      </c>
      <c r="E2296" s="2">
        <v>200</v>
      </c>
      <c r="F2296" s="2">
        <v>32441</v>
      </c>
      <c r="G2296" s="2">
        <v>3.4268661969999998</v>
      </c>
      <c r="H2296" s="2">
        <v>3.3575400000000001E-4</v>
      </c>
      <c r="I2296" s="2" t="s">
        <v>32188</v>
      </c>
      <c r="J2296" s="2" t="s">
        <v>32189</v>
      </c>
      <c r="K2296" s="2">
        <v>2.5964970000000001E-3</v>
      </c>
      <c r="L2296" s="2" t="s">
        <v>1178</v>
      </c>
      <c r="M2296" s="4" t="s">
        <v>13983</v>
      </c>
    </row>
    <row r="2297" spans="1:13">
      <c r="A2297" s="2">
        <v>1571</v>
      </c>
      <c r="B2297" s="2" t="s">
        <v>32190</v>
      </c>
      <c r="C2297" s="2">
        <v>12</v>
      </c>
      <c r="D2297" s="2">
        <v>568</v>
      </c>
      <c r="E2297" s="2">
        <v>200</v>
      </c>
      <c r="F2297" s="2">
        <v>32441</v>
      </c>
      <c r="G2297" s="2">
        <v>3.4268661969999998</v>
      </c>
      <c r="H2297" s="2">
        <v>3.3575400000000001E-4</v>
      </c>
      <c r="I2297" s="2" t="s">
        <v>32191</v>
      </c>
      <c r="J2297" s="2" t="s">
        <v>32192</v>
      </c>
      <c r="K2297" s="2">
        <v>2.5964970000000001E-3</v>
      </c>
      <c r="L2297" s="2" t="s">
        <v>1178</v>
      </c>
      <c r="M2297" s="4" t="s">
        <v>32193</v>
      </c>
    </row>
    <row r="2298" spans="1:13">
      <c r="A2298" s="2">
        <v>1761</v>
      </c>
      <c r="B2298" s="2" t="s">
        <v>1362</v>
      </c>
      <c r="C2298" s="2">
        <v>12</v>
      </c>
      <c r="D2298" s="2">
        <v>568</v>
      </c>
      <c r="E2298" s="2">
        <v>200</v>
      </c>
      <c r="F2298" s="2">
        <v>32441</v>
      </c>
      <c r="G2298" s="2">
        <v>3.4268661969999998</v>
      </c>
      <c r="H2298" s="2">
        <v>3.3575400000000001E-4</v>
      </c>
      <c r="I2298" s="2" t="s">
        <v>32194</v>
      </c>
      <c r="J2298" s="2" t="s">
        <v>32195</v>
      </c>
      <c r="K2298" s="2">
        <v>2.5964970000000001E-3</v>
      </c>
      <c r="L2298" s="2" t="s">
        <v>1178</v>
      </c>
      <c r="M2298" s="4" t="s">
        <v>12359</v>
      </c>
    </row>
    <row r="2299" spans="1:13">
      <c r="A2299" s="2">
        <v>1791</v>
      </c>
      <c r="B2299" s="2" t="s">
        <v>1650</v>
      </c>
      <c r="C2299" s="2">
        <v>12</v>
      </c>
      <c r="D2299" s="2">
        <v>568</v>
      </c>
      <c r="E2299" s="2">
        <v>200</v>
      </c>
      <c r="F2299" s="2">
        <v>32441</v>
      </c>
      <c r="G2299" s="2">
        <v>3.4268661969999998</v>
      </c>
      <c r="H2299" s="2">
        <v>3.3575400000000001E-4</v>
      </c>
      <c r="I2299" s="2" t="s">
        <v>32196</v>
      </c>
      <c r="J2299" s="2" t="s">
        <v>32197</v>
      </c>
      <c r="K2299" s="2">
        <v>2.5964970000000001E-3</v>
      </c>
      <c r="L2299" s="2" t="s">
        <v>1178</v>
      </c>
      <c r="M2299" s="4" t="s">
        <v>22898</v>
      </c>
    </row>
    <row r="2300" spans="1:13">
      <c r="A2300" s="2">
        <v>2132</v>
      </c>
      <c r="B2300" s="2" t="s">
        <v>18510</v>
      </c>
      <c r="C2300" s="2">
        <v>12</v>
      </c>
      <c r="D2300" s="2">
        <v>568</v>
      </c>
      <c r="E2300" s="2">
        <v>200</v>
      </c>
      <c r="F2300" s="2">
        <v>32441</v>
      </c>
      <c r="G2300" s="2">
        <v>3.4268661969999998</v>
      </c>
      <c r="H2300" s="2">
        <v>3.3575400000000001E-4</v>
      </c>
      <c r="I2300" s="2" t="s">
        <v>32198</v>
      </c>
      <c r="J2300" s="2" t="s">
        <v>32199</v>
      </c>
      <c r="K2300" s="2">
        <v>2.5964970000000001E-3</v>
      </c>
      <c r="L2300" s="2" t="s">
        <v>1178</v>
      </c>
      <c r="M2300" s="4" t="s">
        <v>18513</v>
      </c>
    </row>
    <row r="2301" spans="1:13">
      <c r="A2301" s="2">
        <v>2332</v>
      </c>
      <c r="B2301" s="2" t="s">
        <v>32200</v>
      </c>
      <c r="C2301" s="2">
        <v>12</v>
      </c>
      <c r="D2301" s="2">
        <v>568</v>
      </c>
      <c r="E2301" s="2">
        <v>200</v>
      </c>
      <c r="F2301" s="2">
        <v>32441</v>
      </c>
      <c r="G2301" s="2">
        <v>3.4268661969999998</v>
      </c>
      <c r="H2301" s="2">
        <v>3.3575400000000001E-4</v>
      </c>
      <c r="I2301" s="2" t="s">
        <v>32201</v>
      </c>
      <c r="J2301" s="2" t="s">
        <v>32202</v>
      </c>
      <c r="K2301" s="2">
        <v>2.5964970000000001E-3</v>
      </c>
      <c r="L2301" s="2" t="s">
        <v>1178</v>
      </c>
      <c r="M2301" s="4" t="s">
        <v>32203</v>
      </c>
    </row>
    <row r="2302" spans="1:13">
      <c r="A2302" s="2">
        <v>2393</v>
      </c>
      <c r="B2302" s="2" t="s">
        <v>2016</v>
      </c>
      <c r="C2302" s="2">
        <v>12</v>
      </c>
      <c r="D2302" s="2">
        <v>568</v>
      </c>
      <c r="E2302" s="2">
        <v>200</v>
      </c>
      <c r="F2302" s="2">
        <v>32441</v>
      </c>
      <c r="G2302" s="2">
        <v>3.4268661969999998</v>
      </c>
      <c r="H2302" s="2">
        <v>3.3575400000000001E-4</v>
      </c>
      <c r="I2302" s="2" t="s">
        <v>32204</v>
      </c>
      <c r="J2302" s="2" t="s">
        <v>32205</v>
      </c>
      <c r="K2302" s="2">
        <v>2.5964970000000001E-3</v>
      </c>
      <c r="L2302" s="2" t="s">
        <v>1178</v>
      </c>
      <c r="M2302" s="4" t="s">
        <v>18516</v>
      </c>
    </row>
    <row r="2303" spans="1:13">
      <c r="A2303" s="2">
        <v>2402</v>
      </c>
      <c r="B2303" s="2" t="s">
        <v>32206</v>
      </c>
      <c r="C2303" s="2">
        <v>12</v>
      </c>
      <c r="D2303" s="2">
        <v>568</v>
      </c>
      <c r="E2303" s="2">
        <v>200</v>
      </c>
      <c r="F2303" s="2">
        <v>32441</v>
      </c>
      <c r="G2303" s="2">
        <v>3.4268661969999998</v>
      </c>
      <c r="H2303" s="2">
        <v>3.3575400000000001E-4</v>
      </c>
      <c r="I2303" s="2" t="s">
        <v>32207</v>
      </c>
      <c r="J2303" s="2" t="s">
        <v>32208</v>
      </c>
      <c r="K2303" s="2">
        <v>2.5964970000000001E-3</v>
      </c>
      <c r="L2303" s="2" t="s">
        <v>1178</v>
      </c>
      <c r="M2303" s="4" t="s">
        <v>32209</v>
      </c>
    </row>
    <row r="2304" spans="1:13">
      <c r="A2304" s="2">
        <v>2431</v>
      </c>
      <c r="B2304" s="2" t="s">
        <v>32210</v>
      </c>
      <c r="C2304" s="2">
        <v>12</v>
      </c>
      <c r="D2304" s="2">
        <v>568</v>
      </c>
      <c r="E2304" s="2">
        <v>199</v>
      </c>
      <c r="F2304" s="2">
        <v>32441</v>
      </c>
      <c r="G2304" s="2">
        <v>3.4440866300000001</v>
      </c>
      <c r="H2304" s="2">
        <v>3.2166399999999999E-4</v>
      </c>
      <c r="I2304" s="2" t="s">
        <v>32211</v>
      </c>
      <c r="J2304" s="2" t="s">
        <v>32212</v>
      </c>
      <c r="K2304" s="2">
        <v>2.5964970000000001E-3</v>
      </c>
      <c r="L2304" s="2" t="s">
        <v>1178</v>
      </c>
      <c r="M2304" s="4" t="s">
        <v>32213</v>
      </c>
    </row>
    <row r="2305" spans="1:13">
      <c r="A2305" s="2">
        <v>2521</v>
      </c>
      <c r="B2305" s="2" t="s">
        <v>20472</v>
      </c>
      <c r="C2305" s="2">
        <v>12</v>
      </c>
      <c r="D2305" s="2">
        <v>568</v>
      </c>
      <c r="E2305" s="2">
        <v>200</v>
      </c>
      <c r="F2305" s="2">
        <v>32441</v>
      </c>
      <c r="G2305" s="2">
        <v>3.4268661969999998</v>
      </c>
      <c r="H2305" s="2">
        <v>3.3575400000000001E-4</v>
      </c>
      <c r="I2305" s="2" t="s">
        <v>32214</v>
      </c>
      <c r="J2305" s="2" t="s">
        <v>32215</v>
      </c>
      <c r="K2305" s="2">
        <v>2.5964970000000001E-3</v>
      </c>
      <c r="L2305" s="2" t="s">
        <v>1178</v>
      </c>
      <c r="M2305" s="4" t="s">
        <v>20475</v>
      </c>
    </row>
    <row r="2306" spans="1:13">
      <c r="A2306" s="2">
        <v>3032</v>
      </c>
      <c r="B2306" s="2" t="s">
        <v>32216</v>
      </c>
      <c r="C2306" s="2">
        <v>12</v>
      </c>
      <c r="D2306" s="2">
        <v>568</v>
      </c>
      <c r="E2306" s="2">
        <v>200</v>
      </c>
      <c r="F2306" s="2">
        <v>32441</v>
      </c>
      <c r="G2306" s="2">
        <v>3.4268661969999998</v>
      </c>
      <c r="H2306" s="2">
        <v>3.3575400000000001E-4</v>
      </c>
      <c r="I2306" s="2" t="s">
        <v>32217</v>
      </c>
      <c r="J2306" s="2" t="s">
        <v>32218</v>
      </c>
      <c r="K2306" s="2">
        <v>2.5964970000000001E-3</v>
      </c>
      <c r="L2306" s="2" t="s">
        <v>1178</v>
      </c>
      <c r="M2306" s="4" t="s">
        <v>32219</v>
      </c>
    </row>
    <row r="2307" spans="1:13">
      <c r="A2307" s="2">
        <v>3503</v>
      </c>
      <c r="B2307" s="2" t="s">
        <v>32220</v>
      </c>
      <c r="C2307" s="2">
        <v>12</v>
      </c>
      <c r="D2307" s="2">
        <v>568</v>
      </c>
      <c r="E2307" s="2">
        <v>200</v>
      </c>
      <c r="F2307" s="2">
        <v>32441</v>
      </c>
      <c r="G2307" s="2">
        <v>3.4268661969999998</v>
      </c>
      <c r="H2307" s="2">
        <v>3.3575400000000001E-4</v>
      </c>
      <c r="I2307" s="2" t="s">
        <v>32221</v>
      </c>
      <c r="J2307" s="2" t="s">
        <v>32222</v>
      </c>
      <c r="K2307" s="2">
        <v>2.5964970000000001E-3</v>
      </c>
      <c r="L2307" s="2" t="s">
        <v>1178</v>
      </c>
      <c r="M2307" s="4" t="s">
        <v>32223</v>
      </c>
    </row>
    <row r="2308" spans="1:13">
      <c r="A2308" s="2">
        <v>437</v>
      </c>
      <c r="B2308" s="2" t="s">
        <v>16963</v>
      </c>
      <c r="C2308" s="2">
        <v>12</v>
      </c>
      <c r="D2308" s="2">
        <v>568</v>
      </c>
      <c r="E2308" s="2">
        <v>200</v>
      </c>
      <c r="F2308" s="2">
        <v>32441</v>
      </c>
      <c r="G2308" s="2">
        <v>3.4268661969999998</v>
      </c>
      <c r="H2308" s="2">
        <v>3.3575400000000001E-4</v>
      </c>
      <c r="I2308" s="2" t="s">
        <v>32224</v>
      </c>
      <c r="J2308" s="2" t="s">
        <v>32225</v>
      </c>
      <c r="K2308" s="2">
        <v>2.5964970000000001E-3</v>
      </c>
      <c r="L2308" s="2" t="s">
        <v>1178</v>
      </c>
      <c r="M2308" s="4" t="s">
        <v>16966</v>
      </c>
    </row>
    <row r="2309" spans="1:13">
      <c r="A2309" s="2">
        <v>5301</v>
      </c>
      <c r="B2309" s="2" t="s">
        <v>3345</v>
      </c>
      <c r="C2309" s="2">
        <v>12</v>
      </c>
      <c r="D2309" s="2">
        <v>568</v>
      </c>
      <c r="E2309" s="2">
        <v>200</v>
      </c>
      <c r="F2309" s="2">
        <v>32441</v>
      </c>
      <c r="G2309" s="2">
        <v>3.4268661969999998</v>
      </c>
      <c r="H2309" s="2">
        <v>3.3575400000000001E-4</v>
      </c>
      <c r="I2309" s="2" t="s">
        <v>32226</v>
      </c>
      <c r="J2309" s="2" t="s">
        <v>32227</v>
      </c>
      <c r="K2309" s="2">
        <v>2.5964970000000001E-3</v>
      </c>
      <c r="L2309" s="2" t="s">
        <v>1178</v>
      </c>
      <c r="M2309" s="4" t="s">
        <v>3348</v>
      </c>
    </row>
    <row r="2310" spans="1:13">
      <c r="A2310" s="2">
        <v>5692</v>
      </c>
      <c r="B2310" s="2" t="s">
        <v>32228</v>
      </c>
      <c r="C2310" s="2">
        <v>12</v>
      </c>
      <c r="D2310" s="2">
        <v>568</v>
      </c>
      <c r="E2310" s="2">
        <v>200</v>
      </c>
      <c r="F2310" s="2">
        <v>32441</v>
      </c>
      <c r="G2310" s="2">
        <v>3.4268661969999998</v>
      </c>
      <c r="H2310" s="2">
        <v>3.3575400000000001E-4</v>
      </c>
      <c r="I2310" s="2" t="s">
        <v>32229</v>
      </c>
      <c r="J2310" s="2" t="s">
        <v>32230</v>
      </c>
      <c r="K2310" s="2">
        <v>2.5964970000000001E-3</v>
      </c>
      <c r="L2310" s="2" t="s">
        <v>1178</v>
      </c>
      <c r="M2310" s="4" t="s">
        <v>32231</v>
      </c>
    </row>
    <row r="2311" spans="1:13">
      <c r="A2311" s="2">
        <v>5741</v>
      </c>
      <c r="B2311" s="2" t="s">
        <v>16316</v>
      </c>
      <c r="C2311" s="2">
        <v>12</v>
      </c>
      <c r="D2311" s="2">
        <v>568</v>
      </c>
      <c r="E2311" s="2">
        <v>200</v>
      </c>
      <c r="F2311" s="2">
        <v>32441</v>
      </c>
      <c r="G2311" s="2">
        <v>3.4268661969999998</v>
      </c>
      <c r="H2311" s="2">
        <v>3.3575400000000001E-4</v>
      </c>
      <c r="I2311" s="2" t="s">
        <v>32232</v>
      </c>
      <c r="J2311" s="2" t="s">
        <v>32233</v>
      </c>
      <c r="K2311" s="2">
        <v>2.5964970000000001E-3</v>
      </c>
      <c r="L2311" s="2" t="s">
        <v>1178</v>
      </c>
      <c r="M2311" s="4" t="s">
        <v>16319</v>
      </c>
    </row>
    <row r="2312" spans="1:13">
      <c r="A2312" s="2">
        <v>577</v>
      </c>
      <c r="B2312" s="2" t="s">
        <v>32234</v>
      </c>
      <c r="C2312" s="2">
        <v>12</v>
      </c>
      <c r="D2312" s="2">
        <v>568</v>
      </c>
      <c r="E2312" s="2">
        <v>200</v>
      </c>
      <c r="F2312" s="2">
        <v>32441</v>
      </c>
      <c r="G2312" s="2">
        <v>3.4268661969999998</v>
      </c>
      <c r="H2312" s="2">
        <v>3.3575400000000001E-4</v>
      </c>
      <c r="I2312" s="2" t="s">
        <v>32235</v>
      </c>
      <c r="J2312" s="2" t="s">
        <v>32236</v>
      </c>
      <c r="K2312" s="2">
        <v>2.5964970000000001E-3</v>
      </c>
      <c r="L2312" s="2" t="s">
        <v>1178</v>
      </c>
      <c r="M2312" s="4" t="s">
        <v>32237</v>
      </c>
    </row>
    <row r="2313" spans="1:13">
      <c r="A2313" s="2">
        <v>6061</v>
      </c>
      <c r="B2313" s="2" t="s">
        <v>32238</v>
      </c>
      <c r="C2313" s="2">
        <v>12</v>
      </c>
      <c r="D2313" s="2">
        <v>568</v>
      </c>
      <c r="E2313" s="2">
        <v>200</v>
      </c>
      <c r="F2313" s="2">
        <v>32441</v>
      </c>
      <c r="G2313" s="2">
        <v>3.4268661969999998</v>
      </c>
      <c r="H2313" s="2">
        <v>3.3575400000000001E-4</v>
      </c>
      <c r="I2313" s="2" t="s">
        <v>32239</v>
      </c>
      <c r="J2313" s="2" t="s">
        <v>32240</v>
      </c>
      <c r="K2313" s="2">
        <v>2.5964970000000001E-3</v>
      </c>
      <c r="L2313" s="2" t="s">
        <v>1178</v>
      </c>
      <c r="M2313" s="4" t="s">
        <v>32241</v>
      </c>
    </row>
    <row r="2314" spans="1:13">
      <c r="A2314" s="2">
        <v>6191</v>
      </c>
      <c r="B2314" s="2" t="s">
        <v>32242</v>
      </c>
      <c r="C2314" s="2">
        <v>12</v>
      </c>
      <c r="D2314" s="2">
        <v>568</v>
      </c>
      <c r="E2314" s="2">
        <v>200</v>
      </c>
      <c r="F2314" s="2">
        <v>32441</v>
      </c>
      <c r="G2314" s="2">
        <v>3.4268661969999998</v>
      </c>
      <c r="H2314" s="2">
        <v>3.3575400000000001E-4</v>
      </c>
      <c r="I2314" s="2" t="s">
        <v>32243</v>
      </c>
      <c r="J2314" s="2" t="s">
        <v>32244</v>
      </c>
      <c r="K2314" s="2">
        <v>2.5964970000000001E-3</v>
      </c>
      <c r="L2314" s="2" t="s">
        <v>1178</v>
      </c>
      <c r="M2314" s="4" t="s">
        <v>32245</v>
      </c>
    </row>
    <row r="2315" spans="1:13">
      <c r="A2315" s="2">
        <v>6211</v>
      </c>
      <c r="B2315" s="2" t="s">
        <v>32246</v>
      </c>
      <c r="C2315" s="2">
        <v>12</v>
      </c>
      <c r="D2315" s="2">
        <v>568</v>
      </c>
      <c r="E2315" s="2">
        <v>200</v>
      </c>
      <c r="F2315" s="2">
        <v>32441</v>
      </c>
      <c r="G2315" s="2">
        <v>3.4268661969999998</v>
      </c>
      <c r="H2315" s="2">
        <v>3.3575400000000001E-4</v>
      </c>
      <c r="I2315" s="2" t="s">
        <v>32247</v>
      </c>
      <c r="J2315" s="2" t="s">
        <v>32248</v>
      </c>
      <c r="K2315" s="2">
        <v>2.5964970000000001E-3</v>
      </c>
      <c r="L2315" s="2" t="s">
        <v>1178</v>
      </c>
      <c r="M2315" s="4" t="s">
        <v>32249</v>
      </c>
    </row>
    <row r="2316" spans="1:13">
      <c r="A2316" s="2">
        <v>623</v>
      </c>
      <c r="B2316" s="2" t="s">
        <v>1569</v>
      </c>
      <c r="C2316" s="2">
        <v>12</v>
      </c>
      <c r="D2316" s="2">
        <v>568</v>
      </c>
      <c r="E2316" s="2">
        <v>200</v>
      </c>
      <c r="F2316" s="2">
        <v>32441</v>
      </c>
      <c r="G2316" s="2">
        <v>3.4268661969999998</v>
      </c>
      <c r="H2316" s="2">
        <v>3.3575400000000001E-4</v>
      </c>
      <c r="I2316" s="2" t="s">
        <v>32250</v>
      </c>
      <c r="J2316" s="2" t="s">
        <v>32251</v>
      </c>
      <c r="K2316" s="2">
        <v>2.5964970000000001E-3</v>
      </c>
      <c r="L2316" s="2" t="s">
        <v>1178</v>
      </c>
      <c r="M2316" s="4" t="s">
        <v>21829</v>
      </c>
    </row>
    <row r="2317" spans="1:13">
      <c r="A2317" s="2">
        <v>640</v>
      </c>
      <c r="B2317" s="2" t="s">
        <v>21842</v>
      </c>
      <c r="C2317" s="2">
        <v>12</v>
      </c>
      <c r="D2317" s="2">
        <v>568</v>
      </c>
      <c r="E2317" s="2">
        <v>200</v>
      </c>
      <c r="F2317" s="2">
        <v>32441</v>
      </c>
      <c r="G2317" s="2">
        <v>3.4268661969999998</v>
      </c>
      <c r="H2317" s="2">
        <v>3.3575400000000001E-4</v>
      </c>
      <c r="I2317" s="2" t="s">
        <v>32252</v>
      </c>
      <c r="J2317" s="2" t="s">
        <v>32253</v>
      </c>
      <c r="K2317" s="2">
        <v>2.5964970000000001E-3</v>
      </c>
      <c r="L2317" s="2" t="s">
        <v>1178</v>
      </c>
      <c r="M2317" s="4" t="s">
        <v>21845</v>
      </c>
    </row>
    <row r="2318" spans="1:13">
      <c r="A2318" s="2">
        <v>779</v>
      </c>
      <c r="B2318" s="2" t="s">
        <v>17846</v>
      </c>
      <c r="C2318" s="2">
        <v>12</v>
      </c>
      <c r="D2318" s="2">
        <v>568</v>
      </c>
      <c r="E2318" s="2">
        <v>200</v>
      </c>
      <c r="F2318" s="2">
        <v>32441</v>
      </c>
      <c r="G2318" s="2">
        <v>3.4268661969999998</v>
      </c>
      <c r="H2318" s="2">
        <v>3.3575400000000001E-4</v>
      </c>
      <c r="I2318" s="2" t="s">
        <v>32254</v>
      </c>
      <c r="J2318" s="2" t="s">
        <v>32255</v>
      </c>
      <c r="K2318" s="2">
        <v>2.5964970000000001E-3</v>
      </c>
      <c r="L2318" s="2" t="s">
        <v>1178</v>
      </c>
      <c r="M2318" s="4" t="s">
        <v>17849</v>
      </c>
    </row>
    <row r="2319" spans="1:13">
      <c r="A2319" s="2">
        <v>799</v>
      </c>
      <c r="B2319" s="2" t="s">
        <v>15698</v>
      </c>
      <c r="C2319" s="2">
        <v>12</v>
      </c>
      <c r="D2319" s="2">
        <v>568</v>
      </c>
      <c r="E2319" s="2">
        <v>200</v>
      </c>
      <c r="F2319" s="2">
        <v>32441</v>
      </c>
      <c r="G2319" s="2">
        <v>3.4268661969999998</v>
      </c>
      <c r="H2319" s="2">
        <v>3.3575400000000001E-4</v>
      </c>
      <c r="I2319" s="2" t="s">
        <v>32256</v>
      </c>
      <c r="J2319" s="2" t="s">
        <v>32257</v>
      </c>
      <c r="K2319" s="2">
        <v>2.5964970000000001E-3</v>
      </c>
      <c r="L2319" s="2" t="s">
        <v>1178</v>
      </c>
      <c r="M2319" s="4" t="s">
        <v>15701</v>
      </c>
    </row>
    <row r="2320" spans="1:13">
      <c r="A2320" s="2">
        <v>845</v>
      </c>
      <c r="B2320" s="2" t="s">
        <v>23165</v>
      </c>
      <c r="C2320" s="2">
        <v>12</v>
      </c>
      <c r="D2320" s="2">
        <v>568</v>
      </c>
      <c r="E2320" s="2">
        <v>200</v>
      </c>
      <c r="F2320" s="2">
        <v>32441</v>
      </c>
      <c r="G2320" s="2">
        <v>3.4268661969999998</v>
      </c>
      <c r="H2320" s="2">
        <v>3.3575400000000001E-4</v>
      </c>
      <c r="I2320" s="2" t="s">
        <v>32258</v>
      </c>
      <c r="J2320" s="2" t="s">
        <v>32259</v>
      </c>
      <c r="K2320" s="2">
        <v>2.5964970000000001E-3</v>
      </c>
      <c r="L2320" s="2" t="s">
        <v>1178</v>
      </c>
      <c r="M2320" s="4" t="s">
        <v>23168</v>
      </c>
    </row>
    <row r="2321" spans="1:13">
      <c r="A2321" s="2">
        <v>861</v>
      </c>
      <c r="B2321" s="2" t="s">
        <v>32260</v>
      </c>
      <c r="C2321" s="2">
        <v>12</v>
      </c>
      <c r="D2321" s="2">
        <v>568</v>
      </c>
      <c r="E2321" s="2">
        <v>200</v>
      </c>
      <c r="F2321" s="2">
        <v>32441</v>
      </c>
      <c r="G2321" s="2">
        <v>3.4268661969999998</v>
      </c>
      <c r="H2321" s="2">
        <v>3.3575400000000001E-4</v>
      </c>
      <c r="I2321" s="2" t="s">
        <v>32261</v>
      </c>
      <c r="J2321" s="2" t="s">
        <v>32262</v>
      </c>
      <c r="K2321" s="2">
        <v>2.5964970000000001E-3</v>
      </c>
      <c r="L2321" s="2" t="s">
        <v>1178</v>
      </c>
      <c r="M2321" s="4" t="s">
        <v>32263</v>
      </c>
    </row>
    <row r="2322" spans="1:13">
      <c r="A2322" s="2">
        <v>879</v>
      </c>
      <c r="B2322" s="2" t="s">
        <v>19637</v>
      </c>
      <c r="C2322" s="2">
        <v>12</v>
      </c>
      <c r="D2322" s="2">
        <v>568</v>
      </c>
      <c r="E2322" s="2">
        <v>200</v>
      </c>
      <c r="F2322" s="2">
        <v>32441</v>
      </c>
      <c r="G2322" s="2">
        <v>3.4268661969999998</v>
      </c>
      <c r="H2322" s="2">
        <v>3.3575400000000001E-4</v>
      </c>
      <c r="I2322" s="2" t="s">
        <v>32264</v>
      </c>
      <c r="J2322" s="2" t="s">
        <v>32265</v>
      </c>
      <c r="K2322" s="2">
        <v>2.5964970000000001E-3</v>
      </c>
      <c r="L2322" s="2" t="s">
        <v>1178</v>
      </c>
      <c r="M2322" s="4" t="s">
        <v>19640</v>
      </c>
    </row>
    <row r="2323" spans="1:13">
      <c r="A2323" s="2">
        <v>926</v>
      </c>
      <c r="B2323" s="2" t="s">
        <v>32266</v>
      </c>
      <c r="C2323" s="2">
        <v>12</v>
      </c>
      <c r="D2323" s="2">
        <v>568</v>
      </c>
      <c r="E2323" s="2">
        <v>200</v>
      </c>
      <c r="F2323" s="2">
        <v>32441</v>
      </c>
      <c r="G2323" s="2">
        <v>3.4268661969999998</v>
      </c>
      <c r="H2323" s="2">
        <v>3.3575400000000001E-4</v>
      </c>
      <c r="I2323" s="2" t="s">
        <v>32267</v>
      </c>
      <c r="J2323" s="2" t="s">
        <v>32268</v>
      </c>
      <c r="K2323" s="2">
        <v>2.5964970000000001E-3</v>
      </c>
      <c r="L2323" s="2" t="s">
        <v>1178</v>
      </c>
      <c r="M2323" s="4" t="s">
        <v>32269</v>
      </c>
    </row>
    <row r="2324" spans="1:13">
      <c r="A2324" s="2">
        <v>955</v>
      </c>
      <c r="B2324" s="2" t="s">
        <v>2100</v>
      </c>
      <c r="C2324" s="2">
        <v>12</v>
      </c>
      <c r="D2324" s="2">
        <v>568</v>
      </c>
      <c r="E2324" s="2">
        <v>200</v>
      </c>
      <c r="F2324" s="2">
        <v>32441</v>
      </c>
      <c r="G2324" s="2">
        <v>3.4268661969999998</v>
      </c>
      <c r="H2324" s="2">
        <v>3.3575400000000001E-4</v>
      </c>
      <c r="I2324" s="2" t="s">
        <v>32270</v>
      </c>
      <c r="J2324" s="2" t="s">
        <v>32271</v>
      </c>
      <c r="K2324" s="2">
        <v>2.5964970000000001E-3</v>
      </c>
      <c r="L2324" s="2" t="s">
        <v>1178</v>
      </c>
      <c r="M2324" s="4" t="s">
        <v>3249</v>
      </c>
    </row>
    <row r="2325" spans="1:13">
      <c r="A2325" s="2">
        <v>10091</v>
      </c>
      <c r="B2325" s="2" t="s">
        <v>3168</v>
      </c>
      <c r="C2325" s="2">
        <v>12</v>
      </c>
      <c r="D2325" s="2">
        <v>568</v>
      </c>
      <c r="E2325" s="2">
        <v>200</v>
      </c>
      <c r="F2325" s="2">
        <v>32441</v>
      </c>
      <c r="G2325" s="2">
        <v>3.4268661969999998</v>
      </c>
      <c r="H2325" s="2">
        <v>3.3575400000000001E-4</v>
      </c>
      <c r="I2325" s="2" t="s">
        <v>32272</v>
      </c>
      <c r="J2325" s="2" t="s">
        <v>32273</v>
      </c>
      <c r="K2325" s="2">
        <v>2.5964970000000001E-3</v>
      </c>
      <c r="L2325" s="2" t="s">
        <v>1178</v>
      </c>
      <c r="M2325" s="4" t="s">
        <v>3171</v>
      </c>
    </row>
    <row r="2326" spans="1:13">
      <c r="A2326" s="2">
        <v>1117</v>
      </c>
      <c r="B2326" s="2" t="s">
        <v>3372</v>
      </c>
      <c r="C2326" s="2">
        <v>12</v>
      </c>
      <c r="D2326" s="2">
        <v>568</v>
      </c>
      <c r="E2326" s="2">
        <v>200</v>
      </c>
      <c r="F2326" s="2">
        <v>32441</v>
      </c>
      <c r="G2326" s="2">
        <v>3.4268661969999998</v>
      </c>
      <c r="H2326" s="2">
        <v>3.3575400000000001E-4</v>
      </c>
      <c r="I2326" s="2" t="s">
        <v>32274</v>
      </c>
      <c r="J2326" s="2" t="s">
        <v>32275</v>
      </c>
      <c r="K2326" s="2">
        <v>2.5964970000000001E-3</v>
      </c>
      <c r="L2326" s="2" t="s">
        <v>1178</v>
      </c>
      <c r="M2326" s="4" t="s">
        <v>3375</v>
      </c>
    </row>
    <row r="2327" spans="1:13">
      <c r="A2327" s="2">
        <v>1121</v>
      </c>
      <c r="B2327" s="2" t="s">
        <v>3176</v>
      </c>
      <c r="C2327" s="2">
        <v>12</v>
      </c>
      <c r="D2327" s="2">
        <v>568</v>
      </c>
      <c r="E2327" s="2">
        <v>200</v>
      </c>
      <c r="F2327" s="2">
        <v>32441</v>
      </c>
      <c r="G2327" s="2">
        <v>3.4268661969999998</v>
      </c>
      <c r="H2327" s="2">
        <v>3.3575400000000001E-4</v>
      </c>
      <c r="I2327" s="2" t="s">
        <v>32276</v>
      </c>
      <c r="J2327" s="2" t="s">
        <v>32277</v>
      </c>
      <c r="K2327" s="2">
        <v>2.5964970000000001E-3</v>
      </c>
      <c r="L2327" s="2" t="s">
        <v>1178</v>
      </c>
      <c r="M2327" s="4" t="s">
        <v>3179</v>
      </c>
    </row>
    <row r="2328" spans="1:13">
      <c r="A2328" s="2">
        <v>11541</v>
      </c>
      <c r="B2328" s="2" t="s">
        <v>1869</v>
      </c>
      <c r="C2328" s="2">
        <v>12</v>
      </c>
      <c r="D2328" s="2">
        <v>568</v>
      </c>
      <c r="E2328" s="2">
        <v>200</v>
      </c>
      <c r="F2328" s="2">
        <v>32441</v>
      </c>
      <c r="G2328" s="2">
        <v>3.4268661969999998</v>
      </c>
      <c r="H2328" s="2">
        <v>3.3575400000000001E-4</v>
      </c>
      <c r="I2328" s="2" t="s">
        <v>32278</v>
      </c>
      <c r="J2328" s="2" t="s">
        <v>32279</v>
      </c>
      <c r="K2328" s="2">
        <v>2.5964970000000001E-3</v>
      </c>
      <c r="L2328" s="2" t="s">
        <v>1178</v>
      </c>
      <c r="M2328" s="4" t="s">
        <v>19668</v>
      </c>
    </row>
    <row r="2329" spans="1:13">
      <c r="A2329" s="2">
        <v>1170</v>
      </c>
      <c r="B2329" s="2" t="s">
        <v>19677</v>
      </c>
      <c r="C2329" s="2">
        <v>12</v>
      </c>
      <c r="D2329" s="2">
        <v>568</v>
      </c>
      <c r="E2329" s="2">
        <v>200</v>
      </c>
      <c r="F2329" s="2">
        <v>32441</v>
      </c>
      <c r="G2329" s="2">
        <v>3.4268661969999998</v>
      </c>
      <c r="H2329" s="2">
        <v>3.3575400000000001E-4</v>
      </c>
      <c r="I2329" s="2" t="s">
        <v>32280</v>
      </c>
      <c r="J2329" s="2" t="s">
        <v>32281</v>
      </c>
      <c r="K2329" s="2">
        <v>2.5964970000000001E-3</v>
      </c>
      <c r="L2329" s="2" t="s">
        <v>1178</v>
      </c>
      <c r="M2329" s="4" t="s">
        <v>19680</v>
      </c>
    </row>
    <row r="2330" spans="1:13">
      <c r="A2330" s="2">
        <v>1180</v>
      </c>
      <c r="B2330" s="2" t="s">
        <v>2424</v>
      </c>
      <c r="C2330" s="2">
        <v>12</v>
      </c>
      <c r="D2330" s="2">
        <v>568</v>
      </c>
      <c r="E2330" s="2">
        <v>200</v>
      </c>
      <c r="F2330" s="2">
        <v>32441</v>
      </c>
      <c r="G2330" s="2">
        <v>3.4268661969999998</v>
      </c>
      <c r="H2330" s="2">
        <v>3.3575400000000001E-4</v>
      </c>
      <c r="I2330" s="2" t="s">
        <v>32282</v>
      </c>
      <c r="J2330" s="2" t="s">
        <v>32283</v>
      </c>
      <c r="K2330" s="2">
        <v>2.5964970000000001E-3</v>
      </c>
      <c r="L2330" s="2" t="s">
        <v>1178</v>
      </c>
      <c r="M2330" s="4" t="s">
        <v>21967</v>
      </c>
    </row>
    <row r="2331" spans="1:13">
      <c r="A2331" s="2">
        <v>11811</v>
      </c>
      <c r="B2331" s="2" t="s">
        <v>32284</v>
      </c>
      <c r="C2331" s="2">
        <v>12</v>
      </c>
      <c r="D2331" s="2">
        <v>568</v>
      </c>
      <c r="E2331" s="2">
        <v>200</v>
      </c>
      <c r="F2331" s="2">
        <v>32441</v>
      </c>
      <c r="G2331" s="2">
        <v>3.4268661969999998</v>
      </c>
      <c r="H2331" s="2">
        <v>3.3575400000000001E-4</v>
      </c>
      <c r="I2331" s="2" t="s">
        <v>32285</v>
      </c>
      <c r="J2331" s="2" t="s">
        <v>32286</v>
      </c>
      <c r="K2331" s="2">
        <v>2.5964970000000001E-3</v>
      </c>
      <c r="L2331" s="2" t="s">
        <v>1178</v>
      </c>
      <c r="M2331" s="4" t="s">
        <v>32287</v>
      </c>
    </row>
    <row r="2332" spans="1:13">
      <c r="A2332" s="2">
        <v>12231</v>
      </c>
      <c r="B2332" s="2" t="s">
        <v>32288</v>
      </c>
      <c r="C2332" s="2">
        <v>12</v>
      </c>
      <c r="D2332" s="2">
        <v>568</v>
      </c>
      <c r="E2332" s="2">
        <v>200</v>
      </c>
      <c r="F2332" s="2">
        <v>32441</v>
      </c>
      <c r="G2332" s="2">
        <v>3.4268661969999998</v>
      </c>
      <c r="H2332" s="2">
        <v>3.3575400000000001E-4</v>
      </c>
      <c r="I2332" s="2" t="s">
        <v>32289</v>
      </c>
      <c r="J2332" s="2" t="s">
        <v>32290</v>
      </c>
      <c r="K2332" s="2">
        <v>2.5964970000000001E-3</v>
      </c>
      <c r="L2332" s="2" t="s">
        <v>1178</v>
      </c>
      <c r="M2332" s="4" t="s">
        <v>32291</v>
      </c>
    </row>
    <row r="2333" spans="1:13">
      <c r="A2333" s="2">
        <v>12351</v>
      </c>
      <c r="B2333" s="2" t="s">
        <v>32292</v>
      </c>
      <c r="C2333" s="2">
        <v>12</v>
      </c>
      <c r="D2333" s="2">
        <v>568</v>
      </c>
      <c r="E2333" s="2">
        <v>200</v>
      </c>
      <c r="F2333" s="2">
        <v>32441</v>
      </c>
      <c r="G2333" s="2">
        <v>3.4268661969999998</v>
      </c>
      <c r="H2333" s="2">
        <v>3.3575400000000001E-4</v>
      </c>
      <c r="I2333" s="2" t="s">
        <v>32293</v>
      </c>
      <c r="J2333" s="2" t="s">
        <v>32294</v>
      </c>
      <c r="K2333" s="2">
        <v>2.5964970000000001E-3</v>
      </c>
      <c r="L2333" s="2" t="s">
        <v>1178</v>
      </c>
      <c r="M2333" s="4" t="s">
        <v>32295</v>
      </c>
    </row>
    <row r="2334" spans="1:13">
      <c r="A2334" s="2">
        <v>12811</v>
      </c>
      <c r="B2334" s="2" t="s">
        <v>1680</v>
      </c>
      <c r="C2334" s="2">
        <v>12</v>
      </c>
      <c r="D2334" s="2">
        <v>568</v>
      </c>
      <c r="E2334" s="2">
        <v>200</v>
      </c>
      <c r="F2334" s="2">
        <v>32441</v>
      </c>
      <c r="G2334" s="2">
        <v>3.4268661969999998</v>
      </c>
      <c r="H2334" s="2">
        <v>3.3575400000000001E-4</v>
      </c>
      <c r="I2334" s="2" t="s">
        <v>32296</v>
      </c>
      <c r="J2334" s="2" t="s">
        <v>32297</v>
      </c>
      <c r="K2334" s="2">
        <v>2.5964970000000001E-3</v>
      </c>
      <c r="L2334" s="2" t="s">
        <v>1178</v>
      </c>
      <c r="M2334" s="4" t="s">
        <v>14734</v>
      </c>
    </row>
    <row r="2335" spans="1:13">
      <c r="A2335" s="2">
        <v>1285</v>
      </c>
      <c r="B2335" s="2" t="s">
        <v>14735</v>
      </c>
      <c r="C2335" s="2">
        <v>12</v>
      </c>
      <c r="D2335" s="2">
        <v>568</v>
      </c>
      <c r="E2335" s="2">
        <v>200</v>
      </c>
      <c r="F2335" s="2">
        <v>32441</v>
      </c>
      <c r="G2335" s="2">
        <v>3.4268661969999998</v>
      </c>
      <c r="H2335" s="2">
        <v>3.3575400000000001E-4</v>
      </c>
      <c r="I2335" s="2" t="s">
        <v>32298</v>
      </c>
      <c r="J2335" s="2" t="s">
        <v>32299</v>
      </c>
      <c r="K2335" s="2">
        <v>2.5964970000000001E-3</v>
      </c>
      <c r="L2335" s="2" t="s">
        <v>1178</v>
      </c>
      <c r="M2335" s="4" t="s">
        <v>14738</v>
      </c>
    </row>
    <row r="2336" spans="1:13">
      <c r="A2336" s="2">
        <v>12881</v>
      </c>
      <c r="B2336" s="2" t="s">
        <v>17919</v>
      </c>
      <c r="C2336" s="2">
        <v>12</v>
      </c>
      <c r="D2336" s="2">
        <v>568</v>
      </c>
      <c r="E2336" s="2">
        <v>200</v>
      </c>
      <c r="F2336" s="2">
        <v>32441</v>
      </c>
      <c r="G2336" s="2">
        <v>3.4268661969999998</v>
      </c>
      <c r="H2336" s="2">
        <v>3.3575400000000001E-4</v>
      </c>
      <c r="I2336" s="2" t="s">
        <v>32300</v>
      </c>
      <c r="J2336" s="2" t="s">
        <v>32301</v>
      </c>
      <c r="K2336" s="2">
        <v>2.5964970000000001E-3</v>
      </c>
      <c r="L2336" s="2" t="s">
        <v>1178</v>
      </c>
      <c r="M2336" s="4" t="s">
        <v>17922</v>
      </c>
    </row>
    <row r="2337" spans="1:13">
      <c r="A2337" s="2">
        <v>1310</v>
      </c>
      <c r="B2337" s="2" t="s">
        <v>32302</v>
      </c>
      <c r="C2337" s="2">
        <v>12</v>
      </c>
      <c r="D2337" s="2">
        <v>568</v>
      </c>
      <c r="E2337" s="2">
        <v>200</v>
      </c>
      <c r="F2337" s="2">
        <v>32441</v>
      </c>
      <c r="G2337" s="2">
        <v>3.4268661969999998</v>
      </c>
      <c r="H2337" s="2">
        <v>3.3575400000000001E-4</v>
      </c>
      <c r="I2337" s="2" t="s">
        <v>32303</v>
      </c>
      <c r="J2337" s="2" t="s">
        <v>32304</v>
      </c>
      <c r="K2337" s="2">
        <v>2.5964970000000001E-3</v>
      </c>
      <c r="L2337" s="2" t="s">
        <v>1178</v>
      </c>
      <c r="M2337" s="4" t="s">
        <v>32305</v>
      </c>
    </row>
    <row r="2338" spans="1:13">
      <c r="A2338" s="2">
        <v>1321</v>
      </c>
      <c r="B2338" s="2" t="s">
        <v>3196</v>
      </c>
      <c r="C2338" s="2">
        <v>12</v>
      </c>
      <c r="D2338" s="2">
        <v>568</v>
      </c>
      <c r="E2338" s="2">
        <v>200</v>
      </c>
      <c r="F2338" s="2">
        <v>32441</v>
      </c>
      <c r="G2338" s="2">
        <v>3.4268661969999998</v>
      </c>
      <c r="H2338" s="2">
        <v>3.3575400000000001E-4</v>
      </c>
      <c r="I2338" s="2" t="s">
        <v>32306</v>
      </c>
      <c r="J2338" s="2" t="s">
        <v>32307</v>
      </c>
      <c r="K2338" s="2">
        <v>2.5964970000000001E-3</v>
      </c>
      <c r="L2338" s="2" t="s">
        <v>1178</v>
      </c>
      <c r="M2338" s="4" t="s">
        <v>3199</v>
      </c>
    </row>
    <row r="2339" spans="1:13">
      <c r="A2339" s="2">
        <v>1347</v>
      </c>
      <c r="B2339" s="2" t="s">
        <v>2445</v>
      </c>
      <c r="C2339" s="2">
        <v>12</v>
      </c>
      <c r="D2339" s="2">
        <v>568</v>
      </c>
      <c r="E2339" s="2">
        <v>200</v>
      </c>
      <c r="F2339" s="2">
        <v>32441</v>
      </c>
      <c r="G2339" s="2">
        <v>3.4268661969999998</v>
      </c>
      <c r="H2339" s="2">
        <v>3.3575400000000001E-4</v>
      </c>
      <c r="I2339" s="2" t="s">
        <v>32308</v>
      </c>
      <c r="J2339" s="2" t="s">
        <v>32309</v>
      </c>
      <c r="K2339" s="2">
        <v>2.5964970000000001E-3</v>
      </c>
      <c r="L2339" s="2" t="s">
        <v>1178</v>
      </c>
      <c r="M2339" s="4" t="s">
        <v>32310</v>
      </c>
    </row>
    <row r="2340" spans="1:13">
      <c r="A2340" s="2">
        <v>1403</v>
      </c>
      <c r="B2340" s="2" t="s">
        <v>1209</v>
      </c>
      <c r="C2340" s="2">
        <v>12</v>
      </c>
      <c r="D2340" s="2">
        <v>568</v>
      </c>
      <c r="E2340" s="2">
        <v>200</v>
      </c>
      <c r="F2340" s="2">
        <v>32441</v>
      </c>
      <c r="G2340" s="2">
        <v>3.4268661969999998</v>
      </c>
      <c r="H2340" s="2">
        <v>3.3575400000000001E-4</v>
      </c>
      <c r="I2340" s="2" t="s">
        <v>32311</v>
      </c>
      <c r="J2340" s="2" t="s">
        <v>32312</v>
      </c>
      <c r="K2340" s="2">
        <v>2.5964970000000001E-3</v>
      </c>
      <c r="L2340" s="2" t="s">
        <v>1178</v>
      </c>
      <c r="M2340" s="4" t="s">
        <v>22001</v>
      </c>
    </row>
    <row r="2341" spans="1:13">
      <c r="A2341" s="2">
        <v>14311</v>
      </c>
      <c r="B2341" s="2" t="s">
        <v>22017</v>
      </c>
      <c r="C2341" s="2">
        <v>12</v>
      </c>
      <c r="D2341" s="2">
        <v>568</v>
      </c>
      <c r="E2341" s="2">
        <v>200</v>
      </c>
      <c r="F2341" s="2">
        <v>32441</v>
      </c>
      <c r="G2341" s="2">
        <v>3.4268661969999998</v>
      </c>
      <c r="H2341" s="2">
        <v>3.3575400000000001E-4</v>
      </c>
      <c r="I2341" s="2" t="s">
        <v>32313</v>
      </c>
      <c r="J2341" s="2" t="s">
        <v>32314</v>
      </c>
      <c r="K2341" s="2">
        <v>2.5964970000000001E-3</v>
      </c>
      <c r="L2341" s="2" t="s">
        <v>1178</v>
      </c>
      <c r="M2341" s="4" t="s">
        <v>22020</v>
      </c>
    </row>
    <row r="2342" spans="1:13">
      <c r="A2342" s="2">
        <v>1479</v>
      </c>
      <c r="B2342" s="2" t="s">
        <v>19711</v>
      </c>
      <c r="C2342" s="2">
        <v>12</v>
      </c>
      <c r="D2342" s="2">
        <v>568</v>
      </c>
      <c r="E2342" s="2">
        <v>200</v>
      </c>
      <c r="F2342" s="2">
        <v>32441</v>
      </c>
      <c r="G2342" s="2">
        <v>3.4268661969999998</v>
      </c>
      <c r="H2342" s="2">
        <v>3.3575400000000001E-4</v>
      </c>
      <c r="I2342" s="2" t="s">
        <v>32315</v>
      </c>
      <c r="J2342" s="2" t="s">
        <v>32316</v>
      </c>
      <c r="K2342" s="2">
        <v>2.5964970000000001E-3</v>
      </c>
      <c r="L2342" s="2" t="s">
        <v>1178</v>
      </c>
      <c r="M2342" s="4" t="s">
        <v>19714</v>
      </c>
    </row>
    <row r="2343" spans="1:13">
      <c r="A2343" s="2">
        <v>1488</v>
      </c>
      <c r="B2343" s="2" t="s">
        <v>2142</v>
      </c>
      <c r="C2343" s="2">
        <v>12</v>
      </c>
      <c r="D2343" s="2">
        <v>568</v>
      </c>
      <c r="E2343" s="2">
        <v>200</v>
      </c>
      <c r="F2343" s="2">
        <v>32441</v>
      </c>
      <c r="G2343" s="2">
        <v>3.4268661969999998</v>
      </c>
      <c r="H2343" s="2">
        <v>3.3575400000000001E-4</v>
      </c>
      <c r="I2343" s="2" t="s">
        <v>32317</v>
      </c>
      <c r="J2343" s="2" t="s">
        <v>32318</v>
      </c>
      <c r="K2343" s="2">
        <v>2.5964970000000001E-3</v>
      </c>
      <c r="L2343" s="2" t="s">
        <v>1178</v>
      </c>
      <c r="M2343" s="4" t="s">
        <v>32319</v>
      </c>
    </row>
    <row r="2344" spans="1:13">
      <c r="A2344" s="2">
        <v>1490</v>
      </c>
      <c r="B2344" s="2" t="s">
        <v>32320</v>
      </c>
      <c r="C2344" s="2">
        <v>12</v>
      </c>
      <c r="D2344" s="2">
        <v>568</v>
      </c>
      <c r="E2344" s="2">
        <v>200</v>
      </c>
      <c r="F2344" s="2">
        <v>32441</v>
      </c>
      <c r="G2344" s="2">
        <v>3.4268661969999998</v>
      </c>
      <c r="H2344" s="2">
        <v>3.3575400000000001E-4</v>
      </c>
      <c r="I2344" s="2" t="s">
        <v>32321</v>
      </c>
      <c r="J2344" s="2" t="s">
        <v>32322</v>
      </c>
      <c r="K2344" s="2">
        <v>2.5964970000000001E-3</v>
      </c>
      <c r="L2344" s="2" t="s">
        <v>1178</v>
      </c>
      <c r="M2344" s="4" t="s">
        <v>32323</v>
      </c>
    </row>
    <row r="2345" spans="1:13">
      <c r="A2345" s="2">
        <v>1495</v>
      </c>
      <c r="B2345" s="2" t="s">
        <v>23386</v>
      </c>
      <c r="C2345" s="2">
        <v>12</v>
      </c>
      <c r="D2345" s="2">
        <v>568</v>
      </c>
      <c r="E2345" s="2">
        <v>200</v>
      </c>
      <c r="F2345" s="2">
        <v>32441</v>
      </c>
      <c r="G2345" s="2">
        <v>3.4268661969999998</v>
      </c>
      <c r="H2345" s="2">
        <v>3.3575400000000001E-4</v>
      </c>
      <c r="I2345" s="2" t="s">
        <v>32324</v>
      </c>
      <c r="J2345" s="2" t="s">
        <v>32325</v>
      </c>
      <c r="K2345" s="2">
        <v>2.5964970000000001E-3</v>
      </c>
      <c r="L2345" s="2" t="s">
        <v>1178</v>
      </c>
      <c r="M2345" s="4" t="s">
        <v>23389</v>
      </c>
    </row>
    <row r="2346" spans="1:13">
      <c r="A2346" s="2">
        <v>1536</v>
      </c>
      <c r="B2346" s="2" t="s">
        <v>3153</v>
      </c>
      <c r="C2346" s="2">
        <v>12</v>
      </c>
      <c r="D2346" s="2">
        <v>568</v>
      </c>
      <c r="E2346" s="2">
        <v>200</v>
      </c>
      <c r="F2346" s="2">
        <v>32441</v>
      </c>
      <c r="G2346" s="2">
        <v>3.4268661969999998</v>
      </c>
      <c r="H2346" s="2">
        <v>3.3575400000000001E-4</v>
      </c>
      <c r="I2346" s="2" t="s">
        <v>32326</v>
      </c>
      <c r="J2346" s="2" t="s">
        <v>32327</v>
      </c>
      <c r="K2346" s="2">
        <v>2.5964970000000001E-3</v>
      </c>
      <c r="L2346" s="2" t="s">
        <v>1178</v>
      </c>
      <c r="M2346" s="4" t="s">
        <v>3156</v>
      </c>
    </row>
    <row r="2347" spans="1:13">
      <c r="A2347" s="2">
        <v>1548</v>
      </c>
      <c r="B2347" s="2" t="s">
        <v>2154</v>
      </c>
      <c r="C2347" s="2">
        <v>12</v>
      </c>
      <c r="D2347" s="2">
        <v>568</v>
      </c>
      <c r="E2347" s="2">
        <v>200</v>
      </c>
      <c r="F2347" s="2">
        <v>32441</v>
      </c>
      <c r="G2347" s="2">
        <v>3.4268661969999998</v>
      </c>
      <c r="H2347" s="2">
        <v>3.3575400000000001E-4</v>
      </c>
      <c r="I2347" s="2" t="s">
        <v>32328</v>
      </c>
      <c r="J2347" s="2" t="s">
        <v>32329</v>
      </c>
      <c r="K2347" s="2">
        <v>2.5964970000000001E-3</v>
      </c>
      <c r="L2347" s="2" t="s">
        <v>1178</v>
      </c>
      <c r="M2347" s="4" t="s">
        <v>32330</v>
      </c>
    </row>
    <row r="2348" spans="1:13">
      <c r="A2348" s="2">
        <v>1550</v>
      </c>
      <c r="B2348" s="2" t="s">
        <v>22055</v>
      </c>
      <c r="C2348" s="2">
        <v>12</v>
      </c>
      <c r="D2348" s="2">
        <v>568</v>
      </c>
      <c r="E2348" s="2">
        <v>200</v>
      </c>
      <c r="F2348" s="2">
        <v>32441</v>
      </c>
      <c r="G2348" s="2">
        <v>3.4268661969999998</v>
      </c>
      <c r="H2348" s="2">
        <v>3.3575400000000001E-4</v>
      </c>
      <c r="I2348" s="2" t="s">
        <v>32331</v>
      </c>
      <c r="J2348" s="2" t="s">
        <v>32332</v>
      </c>
      <c r="K2348" s="2">
        <v>2.5964970000000001E-3</v>
      </c>
      <c r="L2348" s="2" t="s">
        <v>1178</v>
      </c>
      <c r="M2348" s="4" t="s">
        <v>22058</v>
      </c>
    </row>
    <row r="2349" spans="1:13">
      <c r="A2349" s="2">
        <v>15521</v>
      </c>
      <c r="B2349" s="2" t="s">
        <v>18770</v>
      </c>
      <c r="C2349" s="2">
        <v>12</v>
      </c>
      <c r="D2349" s="2">
        <v>568</v>
      </c>
      <c r="E2349" s="2">
        <v>200</v>
      </c>
      <c r="F2349" s="2">
        <v>32441</v>
      </c>
      <c r="G2349" s="2">
        <v>3.4268661969999998</v>
      </c>
      <c r="H2349" s="2">
        <v>3.3575400000000001E-4</v>
      </c>
      <c r="I2349" s="2" t="s">
        <v>32333</v>
      </c>
      <c r="J2349" s="2" t="s">
        <v>32334</v>
      </c>
      <c r="K2349" s="2">
        <v>2.5964970000000001E-3</v>
      </c>
      <c r="L2349" s="2" t="s">
        <v>1178</v>
      </c>
      <c r="M2349" s="4" t="s">
        <v>18773</v>
      </c>
    </row>
    <row r="2350" spans="1:13">
      <c r="A2350" s="2">
        <v>1566</v>
      </c>
      <c r="B2350" s="2" t="s">
        <v>1890</v>
      </c>
      <c r="C2350" s="2">
        <v>12</v>
      </c>
      <c r="D2350" s="2">
        <v>568</v>
      </c>
      <c r="E2350" s="2">
        <v>200</v>
      </c>
      <c r="F2350" s="2">
        <v>32441</v>
      </c>
      <c r="G2350" s="2">
        <v>3.4268661969999998</v>
      </c>
      <c r="H2350" s="2">
        <v>3.3575400000000001E-4</v>
      </c>
      <c r="I2350" s="2" t="s">
        <v>32335</v>
      </c>
      <c r="J2350" s="2" t="s">
        <v>32336</v>
      </c>
      <c r="K2350" s="2">
        <v>2.5964970000000001E-3</v>
      </c>
      <c r="L2350" s="2" t="s">
        <v>1178</v>
      </c>
      <c r="M2350" s="4" t="s">
        <v>32337</v>
      </c>
    </row>
    <row r="2351" spans="1:13">
      <c r="A2351" s="2">
        <v>1585</v>
      </c>
      <c r="B2351" s="2" t="s">
        <v>14057</v>
      </c>
      <c r="C2351" s="2">
        <v>12</v>
      </c>
      <c r="D2351" s="2">
        <v>568</v>
      </c>
      <c r="E2351" s="2">
        <v>200</v>
      </c>
      <c r="F2351" s="2">
        <v>32441</v>
      </c>
      <c r="G2351" s="2">
        <v>3.4268661969999998</v>
      </c>
      <c r="H2351" s="2">
        <v>3.3575400000000001E-4</v>
      </c>
      <c r="I2351" s="2" t="s">
        <v>32338</v>
      </c>
      <c r="J2351" s="2" t="s">
        <v>32339</v>
      </c>
      <c r="K2351" s="2">
        <v>2.5964970000000001E-3</v>
      </c>
      <c r="L2351" s="2" t="s">
        <v>1178</v>
      </c>
      <c r="M2351" s="4" t="s">
        <v>14060</v>
      </c>
    </row>
    <row r="2352" spans="1:13">
      <c r="A2352" s="2">
        <v>1609</v>
      </c>
      <c r="B2352" s="2" t="s">
        <v>2163</v>
      </c>
      <c r="C2352" s="2">
        <v>12</v>
      </c>
      <c r="D2352" s="2">
        <v>568</v>
      </c>
      <c r="E2352" s="2">
        <v>200</v>
      </c>
      <c r="F2352" s="2">
        <v>32441</v>
      </c>
      <c r="G2352" s="2">
        <v>3.4268661969999998</v>
      </c>
      <c r="H2352" s="2">
        <v>3.3575400000000001E-4</v>
      </c>
      <c r="I2352" s="2" t="s">
        <v>32340</v>
      </c>
      <c r="J2352" s="2" t="s">
        <v>32341</v>
      </c>
      <c r="K2352" s="2">
        <v>2.5964970000000001E-3</v>
      </c>
      <c r="L2352" s="2" t="s">
        <v>1178</v>
      </c>
      <c r="M2352" s="4" t="s">
        <v>23406</v>
      </c>
    </row>
    <row r="2353" spans="1:13">
      <c r="A2353" s="2">
        <v>1664</v>
      </c>
      <c r="B2353" s="2" t="s">
        <v>1701</v>
      </c>
      <c r="C2353" s="2">
        <v>12</v>
      </c>
      <c r="D2353" s="2">
        <v>568</v>
      </c>
      <c r="E2353" s="2">
        <v>200</v>
      </c>
      <c r="F2353" s="2">
        <v>32441</v>
      </c>
      <c r="G2353" s="2">
        <v>3.4268661969999998</v>
      </c>
      <c r="H2353" s="2">
        <v>3.3575400000000001E-4</v>
      </c>
      <c r="I2353" s="2" t="s">
        <v>32342</v>
      </c>
      <c r="J2353" s="2" t="s">
        <v>32343</v>
      </c>
      <c r="K2353" s="2">
        <v>2.5964970000000001E-3</v>
      </c>
      <c r="L2353" s="2" t="s">
        <v>1178</v>
      </c>
      <c r="M2353" s="4" t="s">
        <v>32344</v>
      </c>
    </row>
    <row r="2354" spans="1:13">
      <c r="A2354" s="2">
        <v>16661</v>
      </c>
      <c r="B2354" s="2" t="s">
        <v>1491</v>
      </c>
      <c r="C2354" s="2">
        <v>12</v>
      </c>
      <c r="D2354" s="2">
        <v>568</v>
      </c>
      <c r="E2354" s="2">
        <v>200</v>
      </c>
      <c r="F2354" s="2">
        <v>32441</v>
      </c>
      <c r="G2354" s="2">
        <v>3.4268661969999998</v>
      </c>
      <c r="H2354" s="2">
        <v>3.3575400000000001E-4</v>
      </c>
      <c r="I2354" s="2" t="s">
        <v>32345</v>
      </c>
      <c r="J2354" s="2" t="s">
        <v>32346</v>
      </c>
      <c r="K2354" s="2">
        <v>2.5964970000000001E-3</v>
      </c>
      <c r="L2354" s="2" t="s">
        <v>1178</v>
      </c>
      <c r="M2354" s="4" t="s">
        <v>32347</v>
      </c>
    </row>
    <row r="2355" spans="1:13">
      <c r="A2355" s="2">
        <v>16681</v>
      </c>
      <c r="B2355" s="2" t="s">
        <v>1899</v>
      </c>
      <c r="C2355" s="2">
        <v>12</v>
      </c>
      <c r="D2355" s="2">
        <v>568</v>
      </c>
      <c r="E2355" s="2">
        <v>200</v>
      </c>
      <c r="F2355" s="2">
        <v>32441</v>
      </c>
      <c r="G2355" s="2">
        <v>3.4268661969999998</v>
      </c>
      <c r="H2355" s="2">
        <v>3.3575400000000001E-4</v>
      </c>
      <c r="I2355" s="2" t="s">
        <v>32348</v>
      </c>
      <c r="J2355" s="2" t="s">
        <v>32349</v>
      </c>
      <c r="K2355" s="2">
        <v>2.5964970000000001E-3</v>
      </c>
      <c r="L2355" s="2" t="s">
        <v>1178</v>
      </c>
      <c r="M2355" s="4" t="s">
        <v>32350</v>
      </c>
    </row>
    <row r="2356" spans="1:13">
      <c r="A2356" s="2">
        <v>1695</v>
      </c>
      <c r="B2356" s="2" t="s">
        <v>14785</v>
      </c>
      <c r="C2356" s="2">
        <v>12</v>
      </c>
      <c r="D2356" s="2">
        <v>568</v>
      </c>
      <c r="E2356" s="2">
        <v>200</v>
      </c>
      <c r="F2356" s="2">
        <v>32441</v>
      </c>
      <c r="G2356" s="2">
        <v>3.4268661969999998</v>
      </c>
      <c r="H2356" s="2">
        <v>3.3575400000000001E-4</v>
      </c>
      <c r="I2356" s="2" t="s">
        <v>32351</v>
      </c>
      <c r="J2356" s="2" t="s">
        <v>32352</v>
      </c>
      <c r="K2356" s="2">
        <v>2.5964970000000001E-3</v>
      </c>
      <c r="L2356" s="2" t="s">
        <v>1178</v>
      </c>
      <c r="M2356" s="4" t="s">
        <v>14788</v>
      </c>
    </row>
    <row r="2357" spans="1:13">
      <c r="A2357" s="2">
        <v>1794</v>
      </c>
      <c r="B2357" s="2" t="s">
        <v>20899</v>
      </c>
      <c r="C2357" s="2">
        <v>12</v>
      </c>
      <c r="D2357" s="2">
        <v>568</v>
      </c>
      <c r="E2357" s="2">
        <v>200</v>
      </c>
      <c r="F2357" s="2">
        <v>32441</v>
      </c>
      <c r="G2357" s="2">
        <v>3.4268661969999998</v>
      </c>
      <c r="H2357" s="2">
        <v>3.3575400000000001E-4</v>
      </c>
      <c r="I2357" s="2" t="s">
        <v>32353</v>
      </c>
      <c r="J2357" s="2" t="s">
        <v>32354</v>
      </c>
      <c r="K2357" s="2">
        <v>2.5964970000000001E-3</v>
      </c>
      <c r="L2357" s="2" t="s">
        <v>1178</v>
      </c>
      <c r="M2357" s="4" t="s">
        <v>20902</v>
      </c>
    </row>
    <row r="2358" spans="1:13">
      <c r="A2358" s="2">
        <v>19181</v>
      </c>
      <c r="B2358" s="2" t="s">
        <v>22129</v>
      </c>
      <c r="C2358" s="2">
        <v>12</v>
      </c>
      <c r="D2358" s="2">
        <v>568</v>
      </c>
      <c r="E2358" s="2">
        <v>200</v>
      </c>
      <c r="F2358" s="2">
        <v>32441</v>
      </c>
      <c r="G2358" s="2">
        <v>3.4268661969999998</v>
      </c>
      <c r="H2358" s="2">
        <v>3.3575400000000001E-4</v>
      </c>
      <c r="I2358" s="2" t="s">
        <v>32355</v>
      </c>
      <c r="J2358" s="2" t="s">
        <v>32356</v>
      </c>
      <c r="K2358" s="2">
        <v>2.5964970000000001E-3</v>
      </c>
      <c r="L2358" s="2" t="s">
        <v>1178</v>
      </c>
      <c r="M2358" s="4" t="s">
        <v>22132</v>
      </c>
    </row>
    <row r="2359" spans="1:13">
      <c r="A2359" s="2">
        <v>1953</v>
      </c>
      <c r="B2359" s="2" t="s">
        <v>15839</v>
      </c>
      <c r="C2359" s="2">
        <v>12</v>
      </c>
      <c r="D2359" s="2">
        <v>568</v>
      </c>
      <c r="E2359" s="2">
        <v>200</v>
      </c>
      <c r="F2359" s="2">
        <v>32441</v>
      </c>
      <c r="G2359" s="2">
        <v>3.4268661969999998</v>
      </c>
      <c r="H2359" s="2">
        <v>3.3575400000000001E-4</v>
      </c>
      <c r="I2359" s="2" t="s">
        <v>32357</v>
      </c>
      <c r="J2359" s="2" t="s">
        <v>32358</v>
      </c>
      <c r="K2359" s="2">
        <v>2.5964970000000001E-3</v>
      </c>
      <c r="L2359" s="2" t="s">
        <v>1178</v>
      </c>
      <c r="M2359" s="4" t="s">
        <v>15842</v>
      </c>
    </row>
    <row r="2360" spans="1:13">
      <c r="A2360" s="2">
        <v>20321</v>
      </c>
      <c r="B2360" s="2" t="s">
        <v>23534</v>
      </c>
      <c r="C2360" s="2">
        <v>12</v>
      </c>
      <c r="D2360" s="2">
        <v>568</v>
      </c>
      <c r="E2360" s="2">
        <v>200</v>
      </c>
      <c r="F2360" s="2">
        <v>32441</v>
      </c>
      <c r="G2360" s="2">
        <v>3.4268661969999998</v>
      </c>
      <c r="H2360" s="2">
        <v>3.3575400000000001E-4</v>
      </c>
      <c r="I2360" s="2" t="s">
        <v>32359</v>
      </c>
      <c r="J2360" s="2" t="s">
        <v>32360</v>
      </c>
      <c r="K2360" s="2">
        <v>2.5964970000000001E-3</v>
      </c>
      <c r="L2360" s="2" t="s">
        <v>1178</v>
      </c>
      <c r="M2360" s="4" t="s">
        <v>23537</v>
      </c>
    </row>
    <row r="2361" spans="1:13">
      <c r="A2361" s="2">
        <v>2044</v>
      </c>
      <c r="B2361" s="2" t="s">
        <v>32361</v>
      </c>
      <c r="C2361" s="2">
        <v>12</v>
      </c>
      <c r="D2361" s="2">
        <v>568</v>
      </c>
      <c r="E2361" s="2">
        <v>199</v>
      </c>
      <c r="F2361" s="2">
        <v>32441</v>
      </c>
      <c r="G2361" s="2">
        <v>3.4440866300000001</v>
      </c>
      <c r="H2361" s="2">
        <v>3.2166399999999999E-4</v>
      </c>
      <c r="I2361" s="2" t="s">
        <v>32362</v>
      </c>
      <c r="J2361" s="2" t="s">
        <v>32363</v>
      </c>
      <c r="K2361" s="2">
        <v>2.5964970000000001E-3</v>
      </c>
      <c r="L2361" s="2" t="s">
        <v>1178</v>
      </c>
      <c r="M2361" s="4" t="s">
        <v>32364</v>
      </c>
    </row>
    <row r="2362" spans="1:13">
      <c r="A2362" s="2">
        <v>2053</v>
      </c>
      <c r="B2362" s="2" t="s">
        <v>32365</v>
      </c>
      <c r="C2362" s="2">
        <v>12</v>
      </c>
      <c r="D2362" s="2">
        <v>568</v>
      </c>
      <c r="E2362" s="2">
        <v>200</v>
      </c>
      <c r="F2362" s="2">
        <v>32441</v>
      </c>
      <c r="G2362" s="2">
        <v>3.4268661969999998</v>
      </c>
      <c r="H2362" s="2">
        <v>3.3575400000000001E-4</v>
      </c>
      <c r="I2362" s="2" t="s">
        <v>32366</v>
      </c>
      <c r="J2362" s="2" t="s">
        <v>32367</v>
      </c>
      <c r="K2362" s="2">
        <v>2.5964970000000001E-3</v>
      </c>
      <c r="L2362" s="2" t="s">
        <v>1178</v>
      </c>
      <c r="M2362" s="4" t="s">
        <v>32368</v>
      </c>
    </row>
    <row r="2363" spans="1:13">
      <c r="A2363" s="2">
        <v>2094</v>
      </c>
      <c r="B2363" s="2" t="s">
        <v>32369</v>
      </c>
      <c r="C2363" s="2">
        <v>12</v>
      </c>
      <c r="D2363" s="2">
        <v>568</v>
      </c>
      <c r="E2363" s="2">
        <v>195</v>
      </c>
      <c r="F2363" s="2">
        <v>32441</v>
      </c>
      <c r="G2363" s="2">
        <v>3.514734561</v>
      </c>
      <c r="H2363" s="2">
        <v>2.7020000000000001E-4</v>
      </c>
      <c r="I2363" s="2" t="s">
        <v>32370</v>
      </c>
      <c r="J2363" s="2" t="s">
        <v>32371</v>
      </c>
      <c r="K2363" s="2">
        <v>2.5964970000000001E-3</v>
      </c>
      <c r="L2363" s="2" t="s">
        <v>1178</v>
      </c>
      <c r="M2363" s="4" t="s">
        <v>32372</v>
      </c>
    </row>
    <row r="2364" spans="1:13">
      <c r="A2364" s="2">
        <v>2157</v>
      </c>
      <c r="B2364" s="2" t="s">
        <v>15341</v>
      </c>
      <c r="C2364" s="2">
        <v>12</v>
      </c>
      <c r="D2364" s="2">
        <v>568</v>
      </c>
      <c r="E2364" s="2">
        <v>200</v>
      </c>
      <c r="F2364" s="2">
        <v>32441</v>
      </c>
      <c r="G2364" s="2">
        <v>3.4268661969999998</v>
      </c>
      <c r="H2364" s="2">
        <v>3.3575400000000001E-4</v>
      </c>
      <c r="I2364" s="2" t="s">
        <v>32373</v>
      </c>
      <c r="J2364" s="2" t="s">
        <v>32374</v>
      </c>
      <c r="K2364" s="2">
        <v>2.5964970000000001E-3</v>
      </c>
      <c r="L2364" s="2" t="s">
        <v>1178</v>
      </c>
      <c r="M2364" s="4" t="s">
        <v>15344</v>
      </c>
    </row>
    <row r="2365" spans="1:13">
      <c r="A2365" s="2">
        <v>2167</v>
      </c>
      <c r="B2365" s="2" t="s">
        <v>20275</v>
      </c>
      <c r="C2365" s="2">
        <v>11</v>
      </c>
      <c r="D2365" s="2">
        <v>568</v>
      </c>
      <c r="E2365" s="2">
        <v>170</v>
      </c>
      <c r="F2365" s="2">
        <v>32441</v>
      </c>
      <c r="G2365" s="2">
        <v>3.6956400170000001</v>
      </c>
      <c r="H2365" s="2">
        <v>3.2224899999999998E-4</v>
      </c>
      <c r="I2365" s="2" t="s">
        <v>32375</v>
      </c>
      <c r="J2365" s="2" t="s">
        <v>32376</v>
      </c>
      <c r="K2365" s="2">
        <v>2.5964970000000001E-3</v>
      </c>
      <c r="L2365" s="2" t="s">
        <v>1178</v>
      </c>
      <c r="M2365" s="4" t="s">
        <v>20278</v>
      </c>
    </row>
    <row r="2366" spans="1:13">
      <c r="A2366" s="2">
        <v>2188</v>
      </c>
      <c r="B2366" s="2" t="s">
        <v>23567</v>
      </c>
      <c r="C2366" s="2">
        <v>12</v>
      </c>
      <c r="D2366" s="2">
        <v>568</v>
      </c>
      <c r="E2366" s="2">
        <v>200</v>
      </c>
      <c r="F2366" s="2">
        <v>32441</v>
      </c>
      <c r="G2366" s="2">
        <v>3.4268661969999998</v>
      </c>
      <c r="H2366" s="2">
        <v>3.3575400000000001E-4</v>
      </c>
      <c r="I2366" s="2" t="s">
        <v>32377</v>
      </c>
      <c r="J2366" s="2" t="s">
        <v>32378</v>
      </c>
      <c r="K2366" s="2">
        <v>2.5964970000000001E-3</v>
      </c>
      <c r="L2366" s="2" t="s">
        <v>1178</v>
      </c>
      <c r="M2366" s="4" t="s">
        <v>23570</v>
      </c>
    </row>
    <row r="2367" spans="1:13">
      <c r="A2367" s="2">
        <v>2191</v>
      </c>
      <c r="B2367" s="2" t="s">
        <v>15867</v>
      </c>
      <c r="C2367" s="2">
        <v>12</v>
      </c>
      <c r="D2367" s="2">
        <v>568</v>
      </c>
      <c r="E2367" s="2">
        <v>200</v>
      </c>
      <c r="F2367" s="2">
        <v>32441</v>
      </c>
      <c r="G2367" s="2">
        <v>3.4268661969999998</v>
      </c>
      <c r="H2367" s="2">
        <v>3.3575400000000001E-4</v>
      </c>
      <c r="I2367" s="2" t="s">
        <v>32379</v>
      </c>
      <c r="J2367" s="2" t="s">
        <v>32380</v>
      </c>
      <c r="K2367" s="2">
        <v>2.5964970000000001E-3</v>
      </c>
      <c r="L2367" s="2" t="s">
        <v>1178</v>
      </c>
      <c r="M2367" s="4" t="s">
        <v>15870</v>
      </c>
    </row>
    <row r="2368" spans="1:13">
      <c r="A2368" s="2">
        <v>2224</v>
      </c>
      <c r="B2368" s="2" t="s">
        <v>19852</v>
      </c>
      <c r="C2368" s="2">
        <v>12</v>
      </c>
      <c r="D2368" s="2">
        <v>568</v>
      </c>
      <c r="E2368" s="2">
        <v>200</v>
      </c>
      <c r="F2368" s="2">
        <v>32441</v>
      </c>
      <c r="G2368" s="2">
        <v>3.4268661969999998</v>
      </c>
      <c r="H2368" s="2">
        <v>3.3575400000000001E-4</v>
      </c>
      <c r="I2368" s="2" t="s">
        <v>32381</v>
      </c>
      <c r="J2368" s="2" t="s">
        <v>32382</v>
      </c>
      <c r="K2368" s="2">
        <v>2.5964970000000001E-3</v>
      </c>
      <c r="L2368" s="2" t="s">
        <v>1178</v>
      </c>
      <c r="M2368" s="4" t="s">
        <v>19855</v>
      </c>
    </row>
    <row r="2369" spans="1:13">
      <c r="A2369" s="2">
        <v>2225</v>
      </c>
      <c r="B2369" s="2" t="s">
        <v>19856</v>
      </c>
      <c r="C2369" s="2">
        <v>12</v>
      </c>
      <c r="D2369" s="2">
        <v>568</v>
      </c>
      <c r="E2369" s="2">
        <v>200</v>
      </c>
      <c r="F2369" s="2">
        <v>32441</v>
      </c>
      <c r="G2369" s="2">
        <v>3.4268661969999998</v>
      </c>
      <c r="H2369" s="2">
        <v>3.3575400000000001E-4</v>
      </c>
      <c r="I2369" s="2" t="s">
        <v>32383</v>
      </c>
      <c r="J2369" s="2" t="s">
        <v>32384</v>
      </c>
      <c r="K2369" s="2">
        <v>2.5964970000000001E-3</v>
      </c>
      <c r="L2369" s="2" t="s">
        <v>1178</v>
      </c>
      <c r="M2369" s="4" t="s">
        <v>19859</v>
      </c>
    </row>
    <row r="2370" spans="1:13">
      <c r="A2370" s="2">
        <v>2283</v>
      </c>
      <c r="B2370" s="2" t="s">
        <v>23597</v>
      </c>
      <c r="C2370" s="2">
        <v>12</v>
      </c>
      <c r="D2370" s="2">
        <v>568</v>
      </c>
      <c r="E2370" s="2">
        <v>200</v>
      </c>
      <c r="F2370" s="2">
        <v>32441</v>
      </c>
      <c r="G2370" s="2">
        <v>3.4268661969999998</v>
      </c>
      <c r="H2370" s="2">
        <v>3.3575400000000001E-4</v>
      </c>
      <c r="I2370" s="2" t="s">
        <v>32385</v>
      </c>
      <c r="J2370" s="2" t="s">
        <v>32386</v>
      </c>
      <c r="K2370" s="2">
        <v>2.5964970000000001E-3</v>
      </c>
      <c r="L2370" s="2" t="s">
        <v>1178</v>
      </c>
      <c r="M2370" s="4" t="s">
        <v>23600</v>
      </c>
    </row>
    <row r="2371" spans="1:13">
      <c r="A2371" s="2">
        <v>23581</v>
      </c>
      <c r="B2371" s="2" t="s">
        <v>32387</v>
      </c>
      <c r="C2371" s="2">
        <v>12</v>
      </c>
      <c r="D2371" s="2">
        <v>568</v>
      </c>
      <c r="E2371" s="2">
        <v>200</v>
      </c>
      <c r="F2371" s="2">
        <v>32441</v>
      </c>
      <c r="G2371" s="2">
        <v>3.4268661969999998</v>
      </c>
      <c r="H2371" s="2">
        <v>3.3575400000000001E-4</v>
      </c>
      <c r="I2371" s="2" t="s">
        <v>32388</v>
      </c>
      <c r="J2371" s="2" t="s">
        <v>32389</v>
      </c>
      <c r="K2371" s="2">
        <v>2.5964970000000001E-3</v>
      </c>
      <c r="L2371" s="2" t="s">
        <v>1178</v>
      </c>
      <c r="M2371" s="4" t="s">
        <v>32390</v>
      </c>
    </row>
    <row r="2372" spans="1:13">
      <c r="A2372" s="2">
        <v>2363</v>
      </c>
      <c r="B2372" s="2" t="s">
        <v>32391</v>
      </c>
      <c r="C2372" s="2">
        <v>12</v>
      </c>
      <c r="D2372" s="2">
        <v>568</v>
      </c>
      <c r="E2372" s="2">
        <v>200</v>
      </c>
      <c r="F2372" s="2">
        <v>32441</v>
      </c>
      <c r="G2372" s="2">
        <v>3.4268661969999998</v>
      </c>
      <c r="H2372" s="2">
        <v>3.3575400000000001E-4</v>
      </c>
      <c r="I2372" s="2" t="s">
        <v>32392</v>
      </c>
      <c r="J2372" s="2" t="s">
        <v>32393</v>
      </c>
      <c r="K2372" s="2">
        <v>2.5964970000000001E-3</v>
      </c>
      <c r="L2372" s="2" t="s">
        <v>1178</v>
      </c>
      <c r="M2372" s="4" t="s">
        <v>32394</v>
      </c>
    </row>
    <row r="2373" spans="1:13">
      <c r="A2373" s="2">
        <v>2367</v>
      </c>
      <c r="B2373" s="2" t="s">
        <v>21032</v>
      </c>
      <c r="C2373" s="2">
        <v>12</v>
      </c>
      <c r="D2373" s="2">
        <v>568</v>
      </c>
      <c r="E2373" s="2">
        <v>200</v>
      </c>
      <c r="F2373" s="2">
        <v>32441</v>
      </c>
      <c r="G2373" s="2">
        <v>3.4268661969999998</v>
      </c>
      <c r="H2373" s="2">
        <v>3.3575400000000001E-4</v>
      </c>
      <c r="I2373" s="2" t="s">
        <v>32395</v>
      </c>
      <c r="J2373" s="2" t="s">
        <v>32396</v>
      </c>
      <c r="K2373" s="2">
        <v>2.5964970000000001E-3</v>
      </c>
      <c r="L2373" s="2" t="s">
        <v>1178</v>
      </c>
      <c r="M2373" s="4" t="s">
        <v>21035</v>
      </c>
    </row>
    <row r="2374" spans="1:13">
      <c r="A2374" s="2">
        <v>2454</v>
      </c>
      <c r="B2374" s="2" t="s">
        <v>18916</v>
      </c>
      <c r="C2374" s="2">
        <v>12</v>
      </c>
      <c r="D2374" s="2">
        <v>568</v>
      </c>
      <c r="E2374" s="2">
        <v>200</v>
      </c>
      <c r="F2374" s="2">
        <v>32441</v>
      </c>
      <c r="G2374" s="2">
        <v>3.4268661969999998</v>
      </c>
      <c r="H2374" s="2">
        <v>3.3575400000000001E-4</v>
      </c>
      <c r="I2374" s="2" t="s">
        <v>32397</v>
      </c>
      <c r="J2374" s="2" t="s">
        <v>32398</v>
      </c>
      <c r="K2374" s="2">
        <v>2.5964970000000001E-3</v>
      </c>
      <c r="L2374" s="2" t="s">
        <v>1178</v>
      </c>
      <c r="M2374" s="4" t="s">
        <v>18919</v>
      </c>
    </row>
    <row r="2375" spans="1:13">
      <c r="A2375" s="2">
        <v>2514</v>
      </c>
      <c r="B2375" s="2" t="s">
        <v>21063</v>
      </c>
      <c r="C2375" s="2">
        <v>12</v>
      </c>
      <c r="D2375" s="2">
        <v>568</v>
      </c>
      <c r="E2375" s="2">
        <v>200</v>
      </c>
      <c r="F2375" s="2">
        <v>32441</v>
      </c>
      <c r="G2375" s="2">
        <v>3.4268661969999998</v>
      </c>
      <c r="H2375" s="2">
        <v>3.3575400000000001E-4</v>
      </c>
      <c r="I2375" s="2" t="s">
        <v>32399</v>
      </c>
      <c r="J2375" s="2" t="s">
        <v>32400</v>
      </c>
      <c r="K2375" s="2">
        <v>2.5964970000000001E-3</v>
      </c>
      <c r="L2375" s="2" t="s">
        <v>1178</v>
      </c>
      <c r="M2375" s="4" t="s">
        <v>21066</v>
      </c>
    </row>
    <row r="2376" spans="1:13">
      <c r="A2376" s="2">
        <v>2529</v>
      </c>
      <c r="B2376" s="2" t="s">
        <v>22735</v>
      </c>
      <c r="C2376" s="2">
        <v>11</v>
      </c>
      <c r="D2376" s="2">
        <v>568</v>
      </c>
      <c r="E2376" s="2">
        <v>167</v>
      </c>
      <c r="F2376" s="2">
        <v>32441</v>
      </c>
      <c r="G2376" s="2">
        <v>3.7620287590000001</v>
      </c>
      <c r="H2376" s="2">
        <v>2.7924699999999999E-4</v>
      </c>
      <c r="I2376" s="2" t="s">
        <v>32401</v>
      </c>
      <c r="J2376" s="2" t="s">
        <v>32402</v>
      </c>
      <c r="K2376" s="2">
        <v>2.5964970000000001E-3</v>
      </c>
      <c r="L2376" s="2" t="s">
        <v>1178</v>
      </c>
      <c r="M2376" s="4" t="s">
        <v>22738</v>
      </c>
    </row>
    <row r="2377" spans="1:13">
      <c r="A2377" s="2">
        <v>26041</v>
      </c>
      <c r="B2377" s="2" t="s">
        <v>2577</v>
      </c>
      <c r="C2377" s="2">
        <v>12</v>
      </c>
      <c r="D2377" s="2">
        <v>568</v>
      </c>
      <c r="E2377" s="2">
        <v>200</v>
      </c>
      <c r="F2377" s="2">
        <v>32441</v>
      </c>
      <c r="G2377" s="2">
        <v>3.4268661969999998</v>
      </c>
      <c r="H2377" s="2">
        <v>3.3575400000000001E-4</v>
      </c>
      <c r="I2377" s="2" t="s">
        <v>32403</v>
      </c>
      <c r="J2377" s="2" t="s">
        <v>32404</v>
      </c>
      <c r="K2377" s="2">
        <v>2.5964970000000001E-3</v>
      </c>
      <c r="L2377" s="2" t="s">
        <v>1178</v>
      </c>
      <c r="M2377" s="4" t="s">
        <v>21089</v>
      </c>
    </row>
    <row r="2378" spans="1:13">
      <c r="A2378" s="2">
        <v>2634</v>
      </c>
      <c r="B2378" s="2" t="s">
        <v>15918</v>
      </c>
      <c r="C2378" s="2">
        <v>12</v>
      </c>
      <c r="D2378" s="2">
        <v>568</v>
      </c>
      <c r="E2378" s="2">
        <v>200</v>
      </c>
      <c r="F2378" s="2">
        <v>32441</v>
      </c>
      <c r="G2378" s="2">
        <v>3.4268661969999998</v>
      </c>
      <c r="H2378" s="2">
        <v>3.3575400000000001E-4</v>
      </c>
      <c r="I2378" s="2" t="s">
        <v>32405</v>
      </c>
      <c r="J2378" s="2" t="s">
        <v>32406</v>
      </c>
      <c r="K2378" s="2">
        <v>2.5964970000000001E-3</v>
      </c>
      <c r="L2378" s="2" t="s">
        <v>1178</v>
      </c>
      <c r="M2378" s="4" t="s">
        <v>15921</v>
      </c>
    </row>
    <row r="2379" spans="1:13">
      <c r="A2379" s="2">
        <v>2845</v>
      </c>
      <c r="B2379" s="2" t="s">
        <v>18952</v>
      </c>
      <c r="C2379" s="2">
        <v>12</v>
      </c>
      <c r="D2379" s="2">
        <v>568</v>
      </c>
      <c r="E2379" s="2">
        <v>200</v>
      </c>
      <c r="F2379" s="2">
        <v>32441</v>
      </c>
      <c r="G2379" s="2">
        <v>3.4268661969999998</v>
      </c>
      <c r="H2379" s="2">
        <v>3.3575400000000001E-4</v>
      </c>
      <c r="I2379" s="2" t="s">
        <v>32407</v>
      </c>
      <c r="J2379" s="2" t="s">
        <v>32408</v>
      </c>
      <c r="K2379" s="2">
        <v>2.5964970000000001E-3</v>
      </c>
      <c r="L2379" s="2" t="s">
        <v>1178</v>
      </c>
      <c r="M2379" s="4" t="s">
        <v>18955</v>
      </c>
    </row>
    <row r="2380" spans="1:13">
      <c r="A2380" s="2">
        <v>28521</v>
      </c>
      <c r="B2380" s="2" t="s">
        <v>32409</v>
      </c>
      <c r="C2380" s="2">
        <v>12</v>
      </c>
      <c r="D2380" s="2">
        <v>568</v>
      </c>
      <c r="E2380" s="2">
        <v>200</v>
      </c>
      <c r="F2380" s="2">
        <v>32441</v>
      </c>
      <c r="G2380" s="2">
        <v>3.4268661969999998</v>
      </c>
      <c r="H2380" s="2">
        <v>3.3575400000000001E-4</v>
      </c>
      <c r="I2380" s="2" t="s">
        <v>32410</v>
      </c>
      <c r="J2380" s="2" t="s">
        <v>32411</v>
      </c>
      <c r="K2380" s="2">
        <v>2.5964970000000001E-3</v>
      </c>
      <c r="L2380" s="2" t="s">
        <v>1178</v>
      </c>
      <c r="M2380" s="4" t="s">
        <v>32412</v>
      </c>
    </row>
    <row r="2381" spans="1:13">
      <c r="A2381" s="2">
        <v>2853</v>
      </c>
      <c r="B2381" s="2" t="s">
        <v>17333</v>
      </c>
      <c r="C2381" s="2">
        <v>12</v>
      </c>
      <c r="D2381" s="2">
        <v>568</v>
      </c>
      <c r="E2381" s="2">
        <v>200</v>
      </c>
      <c r="F2381" s="2">
        <v>32441</v>
      </c>
      <c r="G2381" s="2">
        <v>3.4268661969999998</v>
      </c>
      <c r="H2381" s="2">
        <v>3.3575400000000001E-4</v>
      </c>
      <c r="I2381" s="2" t="s">
        <v>32413</v>
      </c>
      <c r="J2381" s="2" t="s">
        <v>32414</v>
      </c>
      <c r="K2381" s="2">
        <v>2.5964970000000001E-3</v>
      </c>
      <c r="L2381" s="2" t="s">
        <v>1178</v>
      </c>
      <c r="M2381" s="4" t="s">
        <v>17336</v>
      </c>
    </row>
    <row r="2382" spans="1:13">
      <c r="A2382" s="2">
        <v>28551</v>
      </c>
      <c r="B2382" s="2" t="s">
        <v>21116</v>
      </c>
      <c r="C2382" s="2">
        <v>12</v>
      </c>
      <c r="D2382" s="2">
        <v>568</v>
      </c>
      <c r="E2382" s="2">
        <v>200</v>
      </c>
      <c r="F2382" s="2">
        <v>32441</v>
      </c>
      <c r="G2382" s="2">
        <v>3.4268661969999998</v>
      </c>
      <c r="H2382" s="2">
        <v>3.3575400000000001E-4</v>
      </c>
      <c r="I2382" s="2" t="s">
        <v>32415</v>
      </c>
      <c r="J2382" s="2" t="s">
        <v>32416</v>
      </c>
      <c r="K2382" s="2">
        <v>2.5964970000000001E-3</v>
      </c>
      <c r="L2382" s="2" t="s">
        <v>1178</v>
      </c>
      <c r="M2382" s="4" t="s">
        <v>21119</v>
      </c>
    </row>
    <row r="2383" spans="1:13">
      <c r="A2383" s="2">
        <v>2863</v>
      </c>
      <c r="B2383" s="2" t="s">
        <v>18956</v>
      </c>
      <c r="C2383" s="2">
        <v>12</v>
      </c>
      <c r="D2383" s="2">
        <v>568</v>
      </c>
      <c r="E2383" s="2">
        <v>200</v>
      </c>
      <c r="F2383" s="2">
        <v>32441</v>
      </c>
      <c r="G2383" s="2">
        <v>3.4268661969999998</v>
      </c>
      <c r="H2383" s="2">
        <v>3.3575400000000001E-4</v>
      </c>
      <c r="I2383" s="2" t="s">
        <v>32417</v>
      </c>
      <c r="J2383" s="2" t="s">
        <v>32418</v>
      </c>
      <c r="K2383" s="2">
        <v>2.5964970000000001E-3</v>
      </c>
      <c r="L2383" s="2" t="s">
        <v>1178</v>
      </c>
      <c r="M2383" s="4" t="s">
        <v>18959</v>
      </c>
    </row>
    <row r="2384" spans="1:13">
      <c r="A2384" s="2">
        <v>2879</v>
      </c>
      <c r="B2384" s="2" t="s">
        <v>32419</v>
      </c>
      <c r="C2384" s="2">
        <v>12</v>
      </c>
      <c r="D2384" s="2">
        <v>568</v>
      </c>
      <c r="E2384" s="2">
        <v>200</v>
      </c>
      <c r="F2384" s="2">
        <v>32441</v>
      </c>
      <c r="G2384" s="2">
        <v>3.4268661969999998</v>
      </c>
      <c r="H2384" s="2">
        <v>3.3575400000000001E-4</v>
      </c>
      <c r="I2384" s="2" t="s">
        <v>32420</v>
      </c>
      <c r="J2384" s="2" t="s">
        <v>32421</v>
      </c>
      <c r="K2384" s="2">
        <v>2.5964970000000001E-3</v>
      </c>
      <c r="L2384" s="2" t="s">
        <v>1178</v>
      </c>
      <c r="M2384" s="4" t="s">
        <v>32422</v>
      </c>
    </row>
    <row r="2385" spans="1:13">
      <c r="A2385" s="2">
        <v>29141</v>
      </c>
      <c r="B2385" s="2" t="s">
        <v>22313</v>
      </c>
      <c r="C2385" s="2">
        <v>12</v>
      </c>
      <c r="D2385" s="2">
        <v>568</v>
      </c>
      <c r="E2385" s="2">
        <v>200</v>
      </c>
      <c r="F2385" s="2">
        <v>32441</v>
      </c>
      <c r="G2385" s="2">
        <v>3.4268661969999998</v>
      </c>
      <c r="H2385" s="2">
        <v>3.3575400000000001E-4</v>
      </c>
      <c r="I2385" s="2" t="s">
        <v>32423</v>
      </c>
      <c r="J2385" s="2" t="s">
        <v>32424</v>
      </c>
      <c r="K2385" s="2">
        <v>2.5964970000000001E-3</v>
      </c>
      <c r="L2385" s="2" t="s">
        <v>1178</v>
      </c>
      <c r="M2385" s="4" t="s">
        <v>22316</v>
      </c>
    </row>
    <row r="2386" spans="1:13">
      <c r="A2386" s="2">
        <v>3043</v>
      </c>
      <c r="B2386" s="2" t="s">
        <v>3180</v>
      </c>
      <c r="C2386" s="2">
        <v>12</v>
      </c>
      <c r="D2386" s="2">
        <v>568</v>
      </c>
      <c r="E2386" s="2">
        <v>200</v>
      </c>
      <c r="F2386" s="2">
        <v>32441</v>
      </c>
      <c r="G2386" s="2">
        <v>3.4268661969999998</v>
      </c>
      <c r="H2386" s="2">
        <v>3.3575400000000001E-4</v>
      </c>
      <c r="I2386" s="2" t="s">
        <v>32425</v>
      </c>
      <c r="J2386" s="2" t="s">
        <v>32426</v>
      </c>
      <c r="K2386" s="2">
        <v>2.5964970000000001E-3</v>
      </c>
      <c r="L2386" s="2" t="s">
        <v>1178</v>
      </c>
      <c r="M2386" s="4" t="s">
        <v>3183</v>
      </c>
    </row>
    <row r="2387" spans="1:13">
      <c r="A2387" s="2">
        <v>3058</v>
      </c>
      <c r="B2387" s="2" t="s">
        <v>32427</v>
      </c>
      <c r="C2387" s="2">
        <v>12</v>
      </c>
      <c r="D2387" s="2">
        <v>568</v>
      </c>
      <c r="E2387" s="2">
        <v>200</v>
      </c>
      <c r="F2387" s="2">
        <v>32441</v>
      </c>
      <c r="G2387" s="2">
        <v>3.4268661969999998</v>
      </c>
      <c r="H2387" s="2">
        <v>3.3575400000000001E-4</v>
      </c>
      <c r="I2387" s="2" t="s">
        <v>32428</v>
      </c>
      <c r="J2387" s="2" t="s">
        <v>32429</v>
      </c>
      <c r="K2387" s="2">
        <v>2.5964970000000001E-3</v>
      </c>
      <c r="L2387" s="2" t="s">
        <v>1178</v>
      </c>
      <c r="M2387" s="4" t="s">
        <v>32430</v>
      </c>
    </row>
    <row r="2388" spans="1:13">
      <c r="A2388" s="2">
        <v>3092</v>
      </c>
      <c r="B2388" s="2" t="s">
        <v>15968</v>
      </c>
      <c r="C2388" s="2">
        <v>12</v>
      </c>
      <c r="D2388" s="2">
        <v>568</v>
      </c>
      <c r="E2388" s="2">
        <v>200</v>
      </c>
      <c r="F2388" s="2">
        <v>32441</v>
      </c>
      <c r="G2388" s="2">
        <v>3.4268661969999998</v>
      </c>
      <c r="H2388" s="2">
        <v>3.3575400000000001E-4</v>
      </c>
      <c r="I2388" s="2" t="s">
        <v>32431</v>
      </c>
      <c r="J2388" s="2" t="s">
        <v>32432</v>
      </c>
      <c r="K2388" s="2">
        <v>2.5964970000000001E-3</v>
      </c>
      <c r="L2388" s="2" t="s">
        <v>1178</v>
      </c>
      <c r="M2388" s="4" t="s">
        <v>15971</v>
      </c>
    </row>
    <row r="2389" spans="1:13">
      <c r="A2389" s="2">
        <v>3102</v>
      </c>
      <c r="B2389" s="2" t="s">
        <v>13084</v>
      </c>
      <c r="C2389" s="2">
        <v>12</v>
      </c>
      <c r="D2389" s="2">
        <v>568</v>
      </c>
      <c r="E2389" s="2">
        <v>200</v>
      </c>
      <c r="F2389" s="2">
        <v>32441</v>
      </c>
      <c r="G2389" s="2">
        <v>3.4268661969999998</v>
      </c>
      <c r="H2389" s="2">
        <v>3.3575400000000001E-4</v>
      </c>
      <c r="I2389" s="2" t="s">
        <v>32433</v>
      </c>
      <c r="J2389" s="2" t="s">
        <v>32434</v>
      </c>
      <c r="K2389" s="2">
        <v>2.5964970000000001E-3</v>
      </c>
      <c r="L2389" s="2" t="s">
        <v>1178</v>
      </c>
      <c r="M2389" s="4" t="s">
        <v>13087</v>
      </c>
    </row>
    <row r="2390" spans="1:13">
      <c r="A2390" s="2">
        <v>3113</v>
      </c>
      <c r="B2390" s="2" t="s">
        <v>32435</v>
      </c>
      <c r="C2390" s="2">
        <v>12</v>
      </c>
      <c r="D2390" s="2">
        <v>568</v>
      </c>
      <c r="E2390" s="2">
        <v>200</v>
      </c>
      <c r="F2390" s="2">
        <v>32441</v>
      </c>
      <c r="G2390" s="2">
        <v>3.4268661969999998</v>
      </c>
      <c r="H2390" s="2">
        <v>3.3575400000000001E-4</v>
      </c>
      <c r="I2390" s="2" t="s">
        <v>32436</v>
      </c>
      <c r="J2390" s="2" t="s">
        <v>32437</v>
      </c>
      <c r="K2390" s="2">
        <v>2.5964970000000001E-3</v>
      </c>
      <c r="L2390" s="2" t="s">
        <v>1178</v>
      </c>
      <c r="M2390" s="4" t="s">
        <v>32438</v>
      </c>
    </row>
    <row r="2391" spans="1:13">
      <c r="A2391" s="2">
        <v>3202</v>
      </c>
      <c r="B2391" s="2" t="s">
        <v>32439</v>
      </c>
      <c r="C2391" s="2">
        <v>12</v>
      </c>
      <c r="D2391" s="2">
        <v>568</v>
      </c>
      <c r="E2391" s="2">
        <v>197</v>
      </c>
      <c r="F2391" s="2">
        <v>32441</v>
      </c>
      <c r="G2391" s="2">
        <v>3.4790519770000001</v>
      </c>
      <c r="H2391" s="2">
        <v>2.9498099999999999E-4</v>
      </c>
      <c r="I2391" s="2" t="s">
        <v>32440</v>
      </c>
      <c r="J2391" s="2" t="s">
        <v>32441</v>
      </c>
      <c r="K2391" s="2">
        <v>2.5964970000000001E-3</v>
      </c>
      <c r="L2391" s="2" t="s">
        <v>1178</v>
      </c>
      <c r="M2391" s="4" t="s">
        <v>32442</v>
      </c>
    </row>
    <row r="2392" spans="1:13">
      <c r="A2392" s="2">
        <v>3259</v>
      </c>
      <c r="B2392" s="2" t="s">
        <v>1725</v>
      </c>
      <c r="C2392" s="2">
        <v>12</v>
      </c>
      <c r="D2392" s="2">
        <v>568</v>
      </c>
      <c r="E2392" s="2">
        <v>200</v>
      </c>
      <c r="F2392" s="2">
        <v>32441</v>
      </c>
      <c r="G2392" s="2">
        <v>3.4268661969999998</v>
      </c>
      <c r="H2392" s="2">
        <v>3.3575400000000001E-4</v>
      </c>
      <c r="I2392" s="2" t="s">
        <v>32443</v>
      </c>
      <c r="J2392" s="2" t="s">
        <v>32444</v>
      </c>
      <c r="K2392" s="2">
        <v>2.5964970000000001E-3</v>
      </c>
      <c r="L2392" s="2" t="s">
        <v>1178</v>
      </c>
      <c r="M2392" s="4" t="s">
        <v>15996</v>
      </c>
    </row>
    <row r="2393" spans="1:13">
      <c r="A2393" s="2">
        <v>3282</v>
      </c>
      <c r="B2393" s="2" t="s">
        <v>21183</v>
      </c>
      <c r="C2393" s="2">
        <v>12</v>
      </c>
      <c r="D2393" s="2">
        <v>568</v>
      </c>
      <c r="E2393" s="2">
        <v>200</v>
      </c>
      <c r="F2393" s="2">
        <v>32441</v>
      </c>
      <c r="G2393" s="2">
        <v>3.4268661969999998</v>
      </c>
      <c r="H2393" s="2">
        <v>3.3575400000000001E-4</v>
      </c>
      <c r="I2393" s="2" t="s">
        <v>32445</v>
      </c>
      <c r="J2393" s="2" t="s">
        <v>32446</v>
      </c>
      <c r="K2393" s="2">
        <v>2.5964970000000001E-3</v>
      </c>
      <c r="L2393" s="2" t="s">
        <v>1178</v>
      </c>
      <c r="M2393" s="4" t="s">
        <v>21186</v>
      </c>
    </row>
    <row r="2394" spans="1:13">
      <c r="A2394" s="2">
        <v>3289</v>
      </c>
      <c r="B2394" s="2" t="s">
        <v>32447</v>
      </c>
      <c r="C2394" s="2">
        <v>12</v>
      </c>
      <c r="D2394" s="2">
        <v>568</v>
      </c>
      <c r="E2394" s="2">
        <v>200</v>
      </c>
      <c r="F2394" s="2">
        <v>32441</v>
      </c>
      <c r="G2394" s="2">
        <v>3.4268661969999998</v>
      </c>
      <c r="H2394" s="2">
        <v>3.3575400000000001E-4</v>
      </c>
      <c r="I2394" s="2" t="s">
        <v>32448</v>
      </c>
      <c r="J2394" s="2" t="s">
        <v>32449</v>
      </c>
      <c r="K2394" s="2">
        <v>2.5964970000000001E-3</v>
      </c>
      <c r="L2394" s="2" t="s">
        <v>1178</v>
      </c>
      <c r="M2394" s="4" t="s">
        <v>32450</v>
      </c>
    </row>
    <row r="2395" spans="1:13">
      <c r="A2395" s="2">
        <v>33131</v>
      </c>
      <c r="B2395" s="2" t="s">
        <v>19025</v>
      </c>
      <c r="C2395" s="2">
        <v>12</v>
      </c>
      <c r="D2395" s="2">
        <v>568</v>
      </c>
      <c r="E2395" s="2">
        <v>200</v>
      </c>
      <c r="F2395" s="2">
        <v>32441</v>
      </c>
      <c r="G2395" s="2">
        <v>3.4268661969999998</v>
      </c>
      <c r="H2395" s="2">
        <v>3.3575400000000001E-4</v>
      </c>
      <c r="I2395" s="2" t="s">
        <v>32451</v>
      </c>
      <c r="J2395" s="2" t="s">
        <v>32452</v>
      </c>
      <c r="K2395" s="2">
        <v>2.5964970000000001E-3</v>
      </c>
      <c r="L2395" s="2" t="s">
        <v>1178</v>
      </c>
      <c r="M2395" s="4" t="s">
        <v>19028</v>
      </c>
    </row>
    <row r="2396" spans="1:13">
      <c r="A2396" s="2">
        <v>3349</v>
      </c>
      <c r="B2396" s="2" t="s">
        <v>19041</v>
      </c>
      <c r="C2396" s="2">
        <v>12</v>
      </c>
      <c r="D2396" s="2">
        <v>568</v>
      </c>
      <c r="E2396" s="2">
        <v>200</v>
      </c>
      <c r="F2396" s="2">
        <v>32441</v>
      </c>
      <c r="G2396" s="2">
        <v>3.4268661969999998</v>
      </c>
      <c r="H2396" s="2">
        <v>3.3575400000000001E-4</v>
      </c>
      <c r="I2396" s="2" t="s">
        <v>32453</v>
      </c>
      <c r="J2396" s="2" t="s">
        <v>32454</v>
      </c>
      <c r="K2396" s="2">
        <v>2.5964970000000001E-3</v>
      </c>
      <c r="L2396" s="2" t="s">
        <v>1178</v>
      </c>
      <c r="M2396" s="4" t="s">
        <v>19044</v>
      </c>
    </row>
    <row r="2397" spans="1:13">
      <c r="A2397" s="2">
        <v>3355</v>
      </c>
      <c r="B2397" s="2" t="s">
        <v>32455</v>
      </c>
      <c r="C2397" s="2">
        <v>12</v>
      </c>
      <c r="D2397" s="2">
        <v>568</v>
      </c>
      <c r="E2397" s="2">
        <v>200</v>
      </c>
      <c r="F2397" s="2">
        <v>32441</v>
      </c>
      <c r="G2397" s="2">
        <v>3.4268661969999998</v>
      </c>
      <c r="H2397" s="2">
        <v>3.3575400000000001E-4</v>
      </c>
      <c r="I2397" s="2" t="s">
        <v>32456</v>
      </c>
      <c r="J2397" s="2" t="s">
        <v>32457</v>
      </c>
      <c r="K2397" s="2">
        <v>2.5964970000000001E-3</v>
      </c>
      <c r="L2397" s="2" t="s">
        <v>1178</v>
      </c>
      <c r="M2397" s="4" t="s">
        <v>32458</v>
      </c>
    </row>
    <row r="2398" spans="1:13">
      <c r="A2398" s="2">
        <v>3472</v>
      </c>
      <c r="B2398" s="2" t="s">
        <v>16021</v>
      </c>
      <c r="C2398" s="2">
        <v>12</v>
      </c>
      <c r="D2398" s="2">
        <v>568</v>
      </c>
      <c r="E2398" s="2">
        <v>200</v>
      </c>
      <c r="F2398" s="2">
        <v>32441</v>
      </c>
      <c r="G2398" s="2">
        <v>3.4268661969999998</v>
      </c>
      <c r="H2398" s="2">
        <v>3.3575400000000001E-4</v>
      </c>
      <c r="I2398" s="2" t="s">
        <v>32459</v>
      </c>
      <c r="J2398" s="2" t="s">
        <v>32460</v>
      </c>
      <c r="K2398" s="2">
        <v>2.5964970000000001E-3</v>
      </c>
      <c r="L2398" s="2" t="s">
        <v>1178</v>
      </c>
      <c r="M2398" s="4" t="s">
        <v>16024</v>
      </c>
    </row>
    <row r="2399" spans="1:13">
      <c r="A2399" s="2">
        <v>35161</v>
      </c>
      <c r="B2399" s="2" t="s">
        <v>22453</v>
      </c>
      <c r="C2399" s="2">
        <v>12</v>
      </c>
      <c r="D2399" s="2">
        <v>568</v>
      </c>
      <c r="E2399" s="2">
        <v>200</v>
      </c>
      <c r="F2399" s="2">
        <v>32441</v>
      </c>
      <c r="G2399" s="2">
        <v>3.4268661969999998</v>
      </c>
      <c r="H2399" s="2">
        <v>3.3575400000000001E-4</v>
      </c>
      <c r="I2399" s="2" t="s">
        <v>32461</v>
      </c>
      <c r="J2399" s="2" t="s">
        <v>32462</v>
      </c>
      <c r="K2399" s="2">
        <v>2.5964970000000001E-3</v>
      </c>
      <c r="L2399" s="2" t="s">
        <v>1178</v>
      </c>
      <c r="M2399" s="4" t="s">
        <v>22456</v>
      </c>
    </row>
    <row r="2400" spans="1:13">
      <c r="A2400" s="2">
        <v>3685</v>
      </c>
      <c r="B2400" s="2" t="s">
        <v>23853</v>
      </c>
      <c r="C2400" s="2">
        <v>12</v>
      </c>
      <c r="D2400" s="2">
        <v>568</v>
      </c>
      <c r="E2400" s="2">
        <v>198</v>
      </c>
      <c r="F2400" s="2">
        <v>32441</v>
      </c>
      <c r="G2400" s="2">
        <v>3.4614810070000002</v>
      </c>
      <c r="H2400" s="2">
        <v>3.0807799999999999E-4</v>
      </c>
      <c r="I2400" s="2" t="s">
        <v>32463</v>
      </c>
      <c r="J2400" s="2" t="s">
        <v>32464</v>
      </c>
      <c r="K2400" s="2">
        <v>2.5964970000000001E-3</v>
      </c>
      <c r="L2400" s="2" t="s">
        <v>1178</v>
      </c>
      <c r="M2400" s="4" t="s">
        <v>23856</v>
      </c>
    </row>
    <row r="2401" spans="1:13">
      <c r="A2401" s="2">
        <v>3718</v>
      </c>
      <c r="B2401" s="2" t="s">
        <v>22499</v>
      </c>
      <c r="C2401" s="2">
        <v>12</v>
      </c>
      <c r="D2401" s="2">
        <v>568</v>
      </c>
      <c r="E2401" s="2">
        <v>200</v>
      </c>
      <c r="F2401" s="2">
        <v>32441</v>
      </c>
      <c r="G2401" s="2">
        <v>3.4268661969999998</v>
      </c>
      <c r="H2401" s="2">
        <v>3.3575400000000001E-4</v>
      </c>
      <c r="I2401" s="2" t="s">
        <v>32465</v>
      </c>
      <c r="J2401" s="2" t="s">
        <v>32466</v>
      </c>
      <c r="K2401" s="2">
        <v>2.5964970000000001E-3</v>
      </c>
      <c r="L2401" s="2" t="s">
        <v>1178</v>
      </c>
      <c r="M2401" s="4" t="s">
        <v>22502</v>
      </c>
    </row>
    <row r="2402" spans="1:13">
      <c r="A2402" s="2">
        <v>3788</v>
      </c>
      <c r="B2402" s="2" t="s">
        <v>23884</v>
      </c>
      <c r="C2402" s="2">
        <v>12</v>
      </c>
      <c r="D2402" s="2">
        <v>568</v>
      </c>
      <c r="E2402" s="2">
        <v>199</v>
      </c>
      <c r="F2402" s="2">
        <v>32441</v>
      </c>
      <c r="G2402" s="2">
        <v>3.4440866300000001</v>
      </c>
      <c r="H2402" s="2">
        <v>3.2166399999999999E-4</v>
      </c>
      <c r="I2402" s="2" t="s">
        <v>32467</v>
      </c>
      <c r="J2402" s="2" t="s">
        <v>32468</v>
      </c>
      <c r="K2402" s="2">
        <v>2.5964970000000001E-3</v>
      </c>
      <c r="L2402" s="2" t="s">
        <v>1178</v>
      </c>
      <c r="M2402" s="4" t="s">
        <v>23887</v>
      </c>
    </row>
    <row r="2403" spans="1:13">
      <c r="A2403" s="2">
        <v>3794</v>
      </c>
      <c r="B2403" s="2" t="s">
        <v>13871</v>
      </c>
      <c r="C2403" s="2">
        <v>12</v>
      </c>
      <c r="D2403" s="2">
        <v>568</v>
      </c>
      <c r="E2403" s="2">
        <v>199</v>
      </c>
      <c r="F2403" s="2">
        <v>32441</v>
      </c>
      <c r="G2403" s="2">
        <v>3.4440866300000001</v>
      </c>
      <c r="H2403" s="2">
        <v>3.2166399999999999E-4</v>
      </c>
      <c r="I2403" s="2" t="s">
        <v>32469</v>
      </c>
      <c r="J2403" s="2" t="s">
        <v>32470</v>
      </c>
      <c r="K2403" s="2">
        <v>2.5964970000000001E-3</v>
      </c>
      <c r="L2403" s="2" t="s">
        <v>1178</v>
      </c>
      <c r="M2403" s="4" t="s">
        <v>13874</v>
      </c>
    </row>
    <row r="2404" spans="1:13">
      <c r="A2404" s="2">
        <v>3805</v>
      </c>
      <c r="B2404" s="2" t="s">
        <v>32471</v>
      </c>
      <c r="C2404" s="2">
        <v>12</v>
      </c>
      <c r="D2404" s="2">
        <v>568</v>
      </c>
      <c r="E2404" s="2">
        <v>200</v>
      </c>
      <c r="F2404" s="2">
        <v>32441</v>
      </c>
      <c r="G2404" s="2">
        <v>3.4268661969999998</v>
      </c>
      <c r="H2404" s="2">
        <v>3.3575400000000001E-4</v>
      </c>
      <c r="I2404" s="2" t="s">
        <v>32472</v>
      </c>
      <c r="J2404" s="2" t="s">
        <v>32473</v>
      </c>
      <c r="K2404" s="2">
        <v>2.5964970000000001E-3</v>
      </c>
      <c r="L2404" s="2" t="s">
        <v>1178</v>
      </c>
      <c r="M2404" s="4" t="s">
        <v>32474</v>
      </c>
    </row>
    <row r="2405" spans="1:13">
      <c r="A2405" s="2">
        <v>3855</v>
      </c>
      <c r="B2405" s="2" t="s">
        <v>15427</v>
      </c>
      <c r="C2405" s="2">
        <v>12</v>
      </c>
      <c r="D2405" s="2">
        <v>568</v>
      </c>
      <c r="E2405" s="2">
        <v>200</v>
      </c>
      <c r="F2405" s="2">
        <v>32441</v>
      </c>
      <c r="G2405" s="2">
        <v>3.4268661969999998</v>
      </c>
      <c r="H2405" s="2">
        <v>3.3575400000000001E-4</v>
      </c>
      <c r="I2405" s="2" t="s">
        <v>32475</v>
      </c>
      <c r="J2405" s="2" t="s">
        <v>32476</v>
      </c>
      <c r="K2405" s="2">
        <v>2.5964970000000001E-3</v>
      </c>
      <c r="L2405" s="2" t="s">
        <v>1178</v>
      </c>
      <c r="M2405" s="4" t="s">
        <v>15430</v>
      </c>
    </row>
    <row r="2406" spans="1:13">
      <c r="A2406" s="2">
        <v>3860</v>
      </c>
      <c r="B2406" s="2" t="s">
        <v>14946</v>
      </c>
      <c r="C2406" s="2">
        <v>12</v>
      </c>
      <c r="D2406" s="2">
        <v>568</v>
      </c>
      <c r="E2406" s="2">
        <v>200</v>
      </c>
      <c r="F2406" s="2">
        <v>32441</v>
      </c>
      <c r="G2406" s="2">
        <v>3.4268661969999998</v>
      </c>
      <c r="H2406" s="2">
        <v>3.3575400000000001E-4</v>
      </c>
      <c r="I2406" s="2" t="s">
        <v>32477</v>
      </c>
      <c r="J2406" s="2" t="s">
        <v>32478</v>
      </c>
      <c r="K2406" s="2">
        <v>2.5964970000000001E-3</v>
      </c>
      <c r="L2406" s="2" t="s">
        <v>1178</v>
      </c>
      <c r="M2406" s="4" t="s">
        <v>14949</v>
      </c>
    </row>
    <row r="2407" spans="1:13">
      <c r="A2407" s="2">
        <v>3899</v>
      </c>
      <c r="B2407" s="2" t="s">
        <v>32479</v>
      </c>
      <c r="C2407" s="2">
        <v>12</v>
      </c>
      <c r="D2407" s="2">
        <v>568</v>
      </c>
      <c r="E2407" s="2">
        <v>198</v>
      </c>
      <c r="F2407" s="2">
        <v>32441</v>
      </c>
      <c r="G2407" s="2">
        <v>3.4614810070000002</v>
      </c>
      <c r="H2407" s="2">
        <v>3.0807799999999999E-4</v>
      </c>
      <c r="I2407" s="2" t="s">
        <v>32480</v>
      </c>
      <c r="J2407" s="2" t="s">
        <v>32481</v>
      </c>
      <c r="K2407" s="2">
        <v>2.5964970000000001E-3</v>
      </c>
      <c r="L2407" s="2" t="s">
        <v>1178</v>
      </c>
      <c r="M2407" s="4" t="s">
        <v>32482</v>
      </c>
    </row>
    <row r="2408" spans="1:13">
      <c r="A2408" s="2">
        <v>3988</v>
      </c>
      <c r="B2408" s="2" t="s">
        <v>16081</v>
      </c>
      <c r="C2408" s="2">
        <v>12</v>
      </c>
      <c r="D2408" s="2">
        <v>568</v>
      </c>
      <c r="E2408" s="2">
        <v>199</v>
      </c>
      <c r="F2408" s="2">
        <v>32441</v>
      </c>
      <c r="G2408" s="2">
        <v>3.4440866300000001</v>
      </c>
      <c r="H2408" s="2">
        <v>3.2166399999999999E-4</v>
      </c>
      <c r="I2408" s="2" t="s">
        <v>32483</v>
      </c>
      <c r="J2408" s="2" t="s">
        <v>32484</v>
      </c>
      <c r="K2408" s="2">
        <v>2.5964970000000001E-3</v>
      </c>
      <c r="L2408" s="2" t="s">
        <v>1178</v>
      </c>
      <c r="M2408" s="4" t="s">
        <v>16084</v>
      </c>
    </row>
    <row r="2409" spans="1:13">
      <c r="A2409" s="2">
        <v>4003</v>
      </c>
      <c r="B2409" s="2" t="s">
        <v>16726</v>
      </c>
      <c r="C2409" s="2">
        <v>12</v>
      </c>
      <c r="D2409" s="2">
        <v>568</v>
      </c>
      <c r="E2409" s="2">
        <v>200</v>
      </c>
      <c r="F2409" s="2">
        <v>32441</v>
      </c>
      <c r="G2409" s="2">
        <v>3.4268661969999998</v>
      </c>
      <c r="H2409" s="2">
        <v>3.3575400000000001E-4</v>
      </c>
      <c r="I2409" s="2" t="s">
        <v>32485</v>
      </c>
      <c r="J2409" s="2" t="s">
        <v>32486</v>
      </c>
      <c r="K2409" s="2">
        <v>2.5964970000000001E-3</v>
      </c>
      <c r="L2409" s="2" t="s">
        <v>1178</v>
      </c>
      <c r="M2409" s="4" t="s">
        <v>16729</v>
      </c>
    </row>
    <row r="2410" spans="1:13">
      <c r="A2410" s="2">
        <v>4047</v>
      </c>
      <c r="B2410" s="2" t="s">
        <v>23938</v>
      </c>
      <c r="C2410" s="2">
        <v>12</v>
      </c>
      <c r="D2410" s="2">
        <v>568</v>
      </c>
      <c r="E2410" s="2">
        <v>200</v>
      </c>
      <c r="F2410" s="2">
        <v>32441</v>
      </c>
      <c r="G2410" s="2">
        <v>3.4268661969999998</v>
      </c>
      <c r="H2410" s="2">
        <v>3.3575400000000001E-4</v>
      </c>
      <c r="I2410" s="2" t="s">
        <v>32487</v>
      </c>
      <c r="J2410" s="2" t="s">
        <v>32488</v>
      </c>
      <c r="K2410" s="2">
        <v>2.5964970000000001E-3</v>
      </c>
      <c r="L2410" s="2" t="s">
        <v>1178</v>
      </c>
      <c r="M2410" s="4" t="s">
        <v>23941</v>
      </c>
    </row>
    <row r="2411" spans="1:13">
      <c r="A2411" s="2">
        <v>4063</v>
      </c>
      <c r="B2411" s="2" t="s">
        <v>17485</v>
      </c>
      <c r="C2411" s="2">
        <v>12</v>
      </c>
      <c r="D2411" s="2">
        <v>568</v>
      </c>
      <c r="E2411" s="2">
        <v>200</v>
      </c>
      <c r="F2411" s="2">
        <v>32441</v>
      </c>
      <c r="G2411" s="2">
        <v>3.4268661969999998</v>
      </c>
      <c r="H2411" s="2">
        <v>3.3575400000000001E-4</v>
      </c>
      <c r="I2411" s="2" t="s">
        <v>32489</v>
      </c>
      <c r="J2411" s="2" t="s">
        <v>32490</v>
      </c>
      <c r="K2411" s="2">
        <v>2.5964970000000001E-3</v>
      </c>
      <c r="L2411" s="2" t="s">
        <v>1178</v>
      </c>
      <c r="M2411" s="4" t="s">
        <v>17488</v>
      </c>
    </row>
    <row r="2412" spans="1:13">
      <c r="A2412" s="2">
        <v>4135</v>
      </c>
      <c r="B2412" s="2" t="s">
        <v>32491</v>
      </c>
      <c r="C2412" s="2">
        <v>12</v>
      </c>
      <c r="D2412" s="2">
        <v>568</v>
      </c>
      <c r="E2412" s="2">
        <v>200</v>
      </c>
      <c r="F2412" s="2">
        <v>32441</v>
      </c>
      <c r="G2412" s="2">
        <v>3.4268661969999998</v>
      </c>
      <c r="H2412" s="2">
        <v>3.3575400000000001E-4</v>
      </c>
      <c r="I2412" s="2" t="s">
        <v>32492</v>
      </c>
      <c r="J2412" s="2" t="s">
        <v>32493</v>
      </c>
      <c r="K2412" s="2">
        <v>2.5964970000000001E-3</v>
      </c>
      <c r="L2412" s="2" t="s">
        <v>1178</v>
      </c>
      <c r="M2412" s="4" t="s">
        <v>32494</v>
      </c>
    </row>
    <row r="2413" spans="1:13">
      <c r="A2413" s="2">
        <v>41471</v>
      </c>
      <c r="B2413" s="2" t="s">
        <v>32495</v>
      </c>
      <c r="C2413" s="2">
        <v>12</v>
      </c>
      <c r="D2413" s="2">
        <v>568</v>
      </c>
      <c r="E2413" s="2">
        <v>200</v>
      </c>
      <c r="F2413" s="2">
        <v>32441</v>
      </c>
      <c r="G2413" s="2">
        <v>3.4268661969999998</v>
      </c>
      <c r="H2413" s="2">
        <v>3.3575400000000001E-4</v>
      </c>
      <c r="I2413" s="2" t="s">
        <v>32496</v>
      </c>
      <c r="J2413" s="2" t="s">
        <v>32497</v>
      </c>
      <c r="K2413" s="2">
        <v>2.5964970000000001E-3</v>
      </c>
      <c r="L2413" s="2" t="s">
        <v>1178</v>
      </c>
      <c r="M2413" s="4" t="s">
        <v>32498</v>
      </c>
    </row>
    <row r="2414" spans="1:13">
      <c r="A2414" s="2">
        <v>4174</v>
      </c>
      <c r="B2414" s="2" t="s">
        <v>22621</v>
      </c>
      <c r="C2414" s="2">
        <v>12</v>
      </c>
      <c r="D2414" s="2">
        <v>568</v>
      </c>
      <c r="E2414" s="2">
        <v>200</v>
      </c>
      <c r="F2414" s="2">
        <v>32441</v>
      </c>
      <c r="G2414" s="2">
        <v>3.4268661969999998</v>
      </c>
      <c r="H2414" s="2">
        <v>3.3575400000000001E-4</v>
      </c>
      <c r="I2414" s="2" t="s">
        <v>32499</v>
      </c>
      <c r="J2414" s="2" t="s">
        <v>32500</v>
      </c>
      <c r="K2414" s="2">
        <v>2.5964970000000001E-3</v>
      </c>
      <c r="L2414" s="2" t="s">
        <v>1178</v>
      </c>
      <c r="M2414" s="4" t="s">
        <v>22624</v>
      </c>
    </row>
    <row r="2415" spans="1:13">
      <c r="A2415" s="2">
        <v>4254</v>
      </c>
      <c r="B2415" s="2" t="s">
        <v>14191</v>
      </c>
      <c r="C2415" s="2">
        <v>12</v>
      </c>
      <c r="D2415" s="2">
        <v>568</v>
      </c>
      <c r="E2415" s="2">
        <v>200</v>
      </c>
      <c r="F2415" s="2">
        <v>32441</v>
      </c>
      <c r="G2415" s="2">
        <v>3.4268661969999998</v>
      </c>
      <c r="H2415" s="2">
        <v>3.3575400000000001E-4</v>
      </c>
      <c r="I2415" s="2" t="s">
        <v>32501</v>
      </c>
      <c r="J2415" s="2" t="s">
        <v>32502</v>
      </c>
      <c r="K2415" s="2">
        <v>2.5964970000000001E-3</v>
      </c>
      <c r="L2415" s="2" t="s">
        <v>1178</v>
      </c>
      <c r="M2415" s="4" t="s">
        <v>14194</v>
      </c>
    </row>
    <row r="2416" spans="1:13">
      <c r="A2416" s="2">
        <v>4274</v>
      </c>
      <c r="B2416" s="2" t="s">
        <v>23960</v>
      </c>
      <c r="C2416" s="2">
        <v>12</v>
      </c>
      <c r="D2416" s="2">
        <v>568</v>
      </c>
      <c r="E2416" s="2">
        <v>200</v>
      </c>
      <c r="F2416" s="2">
        <v>32441</v>
      </c>
      <c r="G2416" s="2">
        <v>3.4268661969999998</v>
      </c>
      <c r="H2416" s="2">
        <v>3.3575400000000001E-4</v>
      </c>
      <c r="I2416" s="2" t="s">
        <v>32503</v>
      </c>
      <c r="J2416" s="2" t="s">
        <v>32504</v>
      </c>
      <c r="K2416" s="2">
        <v>2.5964970000000001E-3</v>
      </c>
      <c r="L2416" s="2" t="s">
        <v>1178</v>
      </c>
      <c r="M2416" s="4" t="s">
        <v>23963</v>
      </c>
    </row>
    <row r="2417" spans="1:13">
      <c r="A2417" s="2">
        <v>4297</v>
      </c>
      <c r="B2417" s="2" t="s">
        <v>23972</v>
      </c>
      <c r="C2417" s="2">
        <v>12</v>
      </c>
      <c r="D2417" s="2">
        <v>568</v>
      </c>
      <c r="E2417" s="2">
        <v>200</v>
      </c>
      <c r="F2417" s="2">
        <v>32441</v>
      </c>
      <c r="G2417" s="2">
        <v>3.4268661969999998</v>
      </c>
      <c r="H2417" s="2">
        <v>3.3575400000000001E-4</v>
      </c>
      <c r="I2417" s="2" t="s">
        <v>32505</v>
      </c>
      <c r="J2417" s="2" t="s">
        <v>32506</v>
      </c>
      <c r="K2417" s="2">
        <v>2.5964970000000001E-3</v>
      </c>
      <c r="L2417" s="2" t="s">
        <v>1178</v>
      </c>
      <c r="M2417" s="4" t="s">
        <v>23975</v>
      </c>
    </row>
    <row r="2418" spans="1:13">
      <c r="A2418" s="2">
        <v>4469</v>
      </c>
      <c r="B2418" s="2" t="s">
        <v>21421</v>
      </c>
      <c r="C2418" s="2">
        <v>12</v>
      </c>
      <c r="D2418" s="2">
        <v>568</v>
      </c>
      <c r="E2418" s="2">
        <v>200</v>
      </c>
      <c r="F2418" s="2">
        <v>32441</v>
      </c>
      <c r="G2418" s="2">
        <v>3.4268661969999998</v>
      </c>
      <c r="H2418" s="2">
        <v>3.3575400000000001E-4</v>
      </c>
      <c r="I2418" s="2" t="s">
        <v>32507</v>
      </c>
      <c r="J2418" s="2" t="s">
        <v>32508</v>
      </c>
      <c r="K2418" s="2">
        <v>2.5964970000000001E-3</v>
      </c>
      <c r="L2418" s="2" t="s">
        <v>1178</v>
      </c>
      <c r="M2418" s="4" t="s">
        <v>21424</v>
      </c>
    </row>
    <row r="2419" spans="1:13">
      <c r="A2419" s="2">
        <v>4472</v>
      </c>
      <c r="B2419" s="2" t="s">
        <v>32509</v>
      </c>
      <c r="C2419" s="2">
        <v>12</v>
      </c>
      <c r="D2419" s="2">
        <v>568</v>
      </c>
      <c r="E2419" s="2">
        <v>200</v>
      </c>
      <c r="F2419" s="2">
        <v>32441</v>
      </c>
      <c r="G2419" s="2">
        <v>3.4268661969999998</v>
      </c>
      <c r="H2419" s="2">
        <v>3.3575400000000001E-4</v>
      </c>
      <c r="I2419" s="2" t="s">
        <v>32510</v>
      </c>
      <c r="J2419" s="2" t="s">
        <v>32511</v>
      </c>
      <c r="K2419" s="2">
        <v>2.5964970000000001E-3</v>
      </c>
      <c r="L2419" s="2" t="s">
        <v>1178</v>
      </c>
      <c r="M2419" s="4" t="s">
        <v>32512</v>
      </c>
    </row>
    <row r="2420" spans="1:13">
      <c r="A2420" s="2">
        <v>45161</v>
      </c>
      <c r="B2420" s="2" t="s">
        <v>32513</v>
      </c>
      <c r="C2420" s="2">
        <v>12</v>
      </c>
      <c r="D2420" s="2">
        <v>568</v>
      </c>
      <c r="E2420" s="2">
        <v>199</v>
      </c>
      <c r="F2420" s="2">
        <v>32441</v>
      </c>
      <c r="G2420" s="2">
        <v>3.4440866300000001</v>
      </c>
      <c r="H2420" s="2">
        <v>3.2166399999999999E-4</v>
      </c>
      <c r="I2420" s="2" t="s">
        <v>32514</v>
      </c>
      <c r="J2420" s="2" t="s">
        <v>32515</v>
      </c>
      <c r="K2420" s="2">
        <v>2.5964970000000001E-3</v>
      </c>
      <c r="L2420" s="2" t="s">
        <v>1178</v>
      </c>
      <c r="M2420" s="4" t="s">
        <v>32516</v>
      </c>
    </row>
    <row r="2421" spans="1:13">
      <c r="A2421" s="2">
        <v>4591</v>
      </c>
      <c r="B2421" s="2" t="s">
        <v>20217</v>
      </c>
      <c r="C2421" s="2">
        <v>12</v>
      </c>
      <c r="D2421" s="2">
        <v>568</v>
      </c>
      <c r="E2421" s="2">
        <v>200</v>
      </c>
      <c r="F2421" s="2">
        <v>32441</v>
      </c>
      <c r="G2421" s="2">
        <v>3.4268661969999998</v>
      </c>
      <c r="H2421" s="2">
        <v>3.3575400000000001E-4</v>
      </c>
      <c r="I2421" s="2" t="s">
        <v>32517</v>
      </c>
      <c r="J2421" s="2" t="s">
        <v>32518</v>
      </c>
      <c r="K2421" s="2">
        <v>2.5964970000000001E-3</v>
      </c>
      <c r="L2421" s="2" t="s">
        <v>1178</v>
      </c>
      <c r="M2421" s="4" t="s">
        <v>20220</v>
      </c>
    </row>
    <row r="2422" spans="1:13">
      <c r="A2422" s="2">
        <v>4602</v>
      </c>
      <c r="B2422" s="2" t="s">
        <v>14203</v>
      </c>
      <c r="C2422" s="2">
        <v>12</v>
      </c>
      <c r="D2422" s="2">
        <v>568</v>
      </c>
      <c r="E2422" s="2">
        <v>200</v>
      </c>
      <c r="F2422" s="2">
        <v>32441</v>
      </c>
      <c r="G2422" s="2">
        <v>3.4268661969999998</v>
      </c>
      <c r="H2422" s="2">
        <v>3.3575400000000001E-4</v>
      </c>
      <c r="I2422" s="2" t="s">
        <v>32519</v>
      </c>
      <c r="J2422" s="2" t="s">
        <v>32520</v>
      </c>
      <c r="K2422" s="2">
        <v>2.5964970000000001E-3</v>
      </c>
      <c r="L2422" s="2" t="s">
        <v>1178</v>
      </c>
      <c r="M2422" s="4" t="s">
        <v>14206</v>
      </c>
    </row>
    <row r="2423" spans="1:13">
      <c r="A2423" s="2">
        <v>4610</v>
      </c>
      <c r="B2423" s="2" t="s">
        <v>32521</v>
      </c>
      <c r="C2423" s="2">
        <v>12</v>
      </c>
      <c r="D2423" s="2">
        <v>568</v>
      </c>
      <c r="E2423" s="2">
        <v>200</v>
      </c>
      <c r="F2423" s="2">
        <v>32441</v>
      </c>
      <c r="G2423" s="2">
        <v>3.4268661969999998</v>
      </c>
      <c r="H2423" s="2">
        <v>3.3575400000000001E-4</v>
      </c>
      <c r="I2423" s="2" t="s">
        <v>32522</v>
      </c>
      <c r="J2423" s="2" t="s">
        <v>32523</v>
      </c>
      <c r="K2423" s="2">
        <v>2.5964970000000001E-3</v>
      </c>
      <c r="L2423" s="2" t="s">
        <v>1178</v>
      </c>
      <c r="M2423" s="4" t="s">
        <v>32524</v>
      </c>
    </row>
    <row r="2424" spans="1:13">
      <c r="A2424" s="2">
        <v>4661</v>
      </c>
      <c r="B2424" s="2" t="s">
        <v>32525</v>
      </c>
      <c r="C2424" s="2">
        <v>12</v>
      </c>
      <c r="D2424" s="2">
        <v>568</v>
      </c>
      <c r="E2424" s="2">
        <v>200</v>
      </c>
      <c r="F2424" s="2">
        <v>32441</v>
      </c>
      <c r="G2424" s="2">
        <v>3.4268661969999998</v>
      </c>
      <c r="H2424" s="2">
        <v>3.3575400000000001E-4</v>
      </c>
      <c r="I2424" s="2" t="s">
        <v>32526</v>
      </c>
      <c r="J2424" s="2" t="s">
        <v>32527</v>
      </c>
      <c r="K2424" s="2">
        <v>2.5964970000000001E-3</v>
      </c>
      <c r="L2424" s="2" t="s">
        <v>1178</v>
      </c>
      <c r="M2424" s="4" t="s">
        <v>32528</v>
      </c>
    </row>
    <row r="2425" spans="1:13">
      <c r="A2425" s="2">
        <v>4670</v>
      </c>
      <c r="B2425" s="2" t="s">
        <v>22700</v>
      </c>
      <c r="C2425" s="2">
        <v>12</v>
      </c>
      <c r="D2425" s="2">
        <v>568</v>
      </c>
      <c r="E2425" s="2">
        <v>200</v>
      </c>
      <c r="F2425" s="2">
        <v>32441</v>
      </c>
      <c r="G2425" s="2">
        <v>3.4268661969999998</v>
      </c>
      <c r="H2425" s="2">
        <v>3.3575400000000001E-4</v>
      </c>
      <c r="I2425" s="2" t="s">
        <v>32529</v>
      </c>
      <c r="J2425" s="2" t="s">
        <v>32530</v>
      </c>
      <c r="K2425" s="2">
        <v>2.5964970000000001E-3</v>
      </c>
      <c r="L2425" s="2" t="s">
        <v>1178</v>
      </c>
      <c r="M2425" s="4" t="s">
        <v>22703</v>
      </c>
    </row>
    <row r="2426" spans="1:13">
      <c r="A2426" s="2">
        <v>4701</v>
      </c>
      <c r="B2426" s="2" t="s">
        <v>32531</v>
      </c>
      <c r="C2426" s="2">
        <v>12</v>
      </c>
      <c r="D2426" s="2">
        <v>568</v>
      </c>
      <c r="E2426" s="2">
        <v>200</v>
      </c>
      <c r="F2426" s="2">
        <v>32441</v>
      </c>
      <c r="G2426" s="2">
        <v>3.4268661969999998</v>
      </c>
      <c r="H2426" s="2">
        <v>3.3575400000000001E-4</v>
      </c>
      <c r="I2426" s="2" t="s">
        <v>32532</v>
      </c>
      <c r="J2426" s="2" t="s">
        <v>32533</v>
      </c>
      <c r="K2426" s="2">
        <v>2.5964970000000001E-3</v>
      </c>
      <c r="L2426" s="2" t="s">
        <v>1178</v>
      </c>
      <c r="M2426" s="4" t="s">
        <v>32534</v>
      </c>
    </row>
    <row r="2427" spans="1:13">
      <c r="A2427" s="2">
        <v>4708</v>
      </c>
      <c r="B2427" s="2" t="s">
        <v>24063</v>
      </c>
      <c r="C2427" s="2">
        <v>12</v>
      </c>
      <c r="D2427" s="2">
        <v>568</v>
      </c>
      <c r="E2427" s="2">
        <v>200</v>
      </c>
      <c r="F2427" s="2">
        <v>32441</v>
      </c>
      <c r="G2427" s="2">
        <v>3.4268661969999998</v>
      </c>
      <c r="H2427" s="2">
        <v>3.3575400000000001E-4</v>
      </c>
      <c r="I2427" s="2" t="s">
        <v>32535</v>
      </c>
      <c r="J2427" s="2" t="s">
        <v>32536</v>
      </c>
      <c r="K2427" s="2">
        <v>2.5964970000000001E-3</v>
      </c>
      <c r="L2427" s="2" t="s">
        <v>1178</v>
      </c>
      <c r="M2427" s="4" t="s">
        <v>24066</v>
      </c>
    </row>
    <row r="2428" spans="1:13">
      <c r="A2428" s="2">
        <v>4722</v>
      </c>
      <c r="B2428" s="2" t="s">
        <v>24067</v>
      </c>
      <c r="C2428" s="2">
        <v>12</v>
      </c>
      <c r="D2428" s="2">
        <v>568</v>
      </c>
      <c r="E2428" s="2">
        <v>199</v>
      </c>
      <c r="F2428" s="2">
        <v>32441</v>
      </c>
      <c r="G2428" s="2">
        <v>3.4440866300000001</v>
      </c>
      <c r="H2428" s="2">
        <v>3.2166399999999999E-4</v>
      </c>
      <c r="I2428" s="2" t="s">
        <v>32537</v>
      </c>
      <c r="J2428" s="2" t="s">
        <v>32538</v>
      </c>
      <c r="K2428" s="2">
        <v>2.5964970000000001E-3</v>
      </c>
      <c r="L2428" s="2" t="s">
        <v>1178</v>
      </c>
      <c r="M2428" s="4" t="s">
        <v>24070</v>
      </c>
    </row>
    <row r="2429" spans="1:13">
      <c r="A2429" s="2">
        <v>4747</v>
      </c>
      <c r="B2429" s="2" t="s">
        <v>3521</v>
      </c>
      <c r="C2429" s="2">
        <v>12</v>
      </c>
      <c r="D2429" s="2">
        <v>568</v>
      </c>
      <c r="E2429" s="2">
        <v>200</v>
      </c>
      <c r="F2429" s="2">
        <v>32441</v>
      </c>
      <c r="G2429" s="2">
        <v>3.4268661969999998</v>
      </c>
      <c r="H2429" s="2">
        <v>3.3575400000000001E-4</v>
      </c>
      <c r="I2429" s="2" t="s">
        <v>32539</v>
      </c>
      <c r="J2429" s="2" t="s">
        <v>32540</v>
      </c>
      <c r="K2429" s="2">
        <v>2.5964970000000001E-3</v>
      </c>
      <c r="L2429" s="2" t="s">
        <v>1178</v>
      </c>
      <c r="M2429" s="4" t="s">
        <v>3524</v>
      </c>
    </row>
    <row r="2430" spans="1:13">
      <c r="A2430" s="2">
        <v>47641</v>
      </c>
      <c r="B2430" s="2" t="s">
        <v>19268</v>
      </c>
      <c r="C2430" s="2">
        <v>12</v>
      </c>
      <c r="D2430" s="2">
        <v>568</v>
      </c>
      <c r="E2430" s="2">
        <v>200</v>
      </c>
      <c r="F2430" s="2">
        <v>32441</v>
      </c>
      <c r="G2430" s="2">
        <v>3.4268661969999998</v>
      </c>
      <c r="H2430" s="2">
        <v>3.3575400000000001E-4</v>
      </c>
      <c r="I2430" s="2" t="s">
        <v>32541</v>
      </c>
      <c r="J2430" s="2" t="s">
        <v>32542</v>
      </c>
      <c r="K2430" s="2">
        <v>2.5964970000000001E-3</v>
      </c>
      <c r="L2430" s="2" t="s">
        <v>1178</v>
      </c>
      <c r="M2430" s="4" t="s">
        <v>19271</v>
      </c>
    </row>
    <row r="2431" spans="1:13">
      <c r="A2431" s="2">
        <v>4773</v>
      </c>
      <c r="B2431" s="2" t="s">
        <v>32543</v>
      </c>
      <c r="C2431" s="2">
        <v>12</v>
      </c>
      <c r="D2431" s="2">
        <v>568</v>
      </c>
      <c r="E2431" s="2">
        <v>200</v>
      </c>
      <c r="F2431" s="2">
        <v>32441</v>
      </c>
      <c r="G2431" s="2">
        <v>3.4268661969999998</v>
      </c>
      <c r="H2431" s="2">
        <v>3.3575400000000001E-4</v>
      </c>
      <c r="I2431" s="2" t="s">
        <v>32544</v>
      </c>
      <c r="J2431" s="2" t="s">
        <v>32545</v>
      </c>
      <c r="K2431" s="2">
        <v>2.5964970000000001E-3</v>
      </c>
      <c r="L2431" s="2" t="s">
        <v>1178</v>
      </c>
      <c r="M2431" s="4" t="s">
        <v>32546</v>
      </c>
    </row>
    <row r="2432" spans="1:13">
      <c r="A2432" s="2">
        <v>4826</v>
      </c>
      <c r="B2432" s="2" t="s">
        <v>16199</v>
      </c>
      <c r="C2432" s="2">
        <v>12</v>
      </c>
      <c r="D2432" s="2">
        <v>568</v>
      </c>
      <c r="E2432" s="2">
        <v>200</v>
      </c>
      <c r="F2432" s="2">
        <v>32441</v>
      </c>
      <c r="G2432" s="2">
        <v>3.4268661969999998</v>
      </c>
      <c r="H2432" s="2">
        <v>3.3575400000000001E-4</v>
      </c>
      <c r="I2432" s="2" t="s">
        <v>32547</v>
      </c>
      <c r="J2432" s="2" t="s">
        <v>32548</v>
      </c>
      <c r="K2432" s="2">
        <v>2.5964970000000001E-3</v>
      </c>
      <c r="L2432" s="2" t="s">
        <v>1178</v>
      </c>
      <c r="M2432" s="4" t="s">
        <v>16202</v>
      </c>
    </row>
    <row r="2433" spans="1:13">
      <c r="A2433" s="2">
        <v>4870</v>
      </c>
      <c r="B2433" s="2" t="s">
        <v>32549</v>
      </c>
      <c r="C2433" s="2">
        <v>12</v>
      </c>
      <c r="D2433" s="2">
        <v>568</v>
      </c>
      <c r="E2433" s="2">
        <v>200</v>
      </c>
      <c r="F2433" s="2">
        <v>32441</v>
      </c>
      <c r="G2433" s="2">
        <v>3.4268661969999998</v>
      </c>
      <c r="H2433" s="2">
        <v>3.3575400000000001E-4</v>
      </c>
      <c r="I2433" s="2" t="s">
        <v>32550</v>
      </c>
      <c r="J2433" s="2" t="s">
        <v>32551</v>
      </c>
      <c r="K2433" s="2">
        <v>2.5964970000000001E-3</v>
      </c>
      <c r="L2433" s="2" t="s">
        <v>1178</v>
      </c>
      <c r="M2433" s="4" t="s">
        <v>32552</v>
      </c>
    </row>
    <row r="2434" spans="1:13">
      <c r="A2434" s="2">
        <v>1741</v>
      </c>
      <c r="B2434" s="2" t="s">
        <v>1236</v>
      </c>
      <c r="C2434" s="2">
        <v>11</v>
      </c>
      <c r="D2434" s="2">
        <v>568</v>
      </c>
      <c r="E2434" s="2">
        <v>172</v>
      </c>
      <c r="F2434" s="2">
        <v>32441</v>
      </c>
      <c r="G2434" s="2">
        <v>3.6526674579999998</v>
      </c>
      <c r="H2434" s="2">
        <v>3.53908E-4</v>
      </c>
      <c r="I2434" s="2" t="s">
        <v>32553</v>
      </c>
      <c r="J2434" s="2" t="s">
        <v>32554</v>
      </c>
      <c r="K2434" s="2">
        <v>2.7325539999999999E-3</v>
      </c>
      <c r="L2434" s="2" t="s">
        <v>1178</v>
      </c>
      <c r="M2434" s="4" t="s">
        <v>32555</v>
      </c>
    </row>
    <row r="2435" spans="1:13">
      <c r="A2435" s="2">
        <v>3934</v>
      </c>
      <c r="B2435" s="2" t="s">
        <v>32556</v>
      </c>
      <c r="C2435" s="2">
        <v>11</v>
      </c>
      <c r="D2435" s="2">
        <v>568</v>
      </c>
      <c r="E2435" s="2">
        <v>173</v>
      </c>
      <c r="F2435" s="2">
        <v>32441</v>
      </c>
      <c r="G2435" s="2">
        <v>3.6315537739999999</v>
      </c>
      <c r="H2435" s="2">
        <v>3.7069300000000001E-4</v>
      </c>
      <c r="I2435" s="2" t="s">
        <v>32557</v>
      </c>
      <c r="J2435" s="2" t="s">
        <v>32558</v>
      </c>
      <c r="K2435" s="2">
        <v>2.8576209999999999E-3</v>
      </c>
      <c r="L2435" s="2" t="s">
        <v>1178</v>
      </c>
      <c r="M2435" s="4" t="s">
        <v>32559</v>
      </c>
    </row>
    <row r="2436" spans="1:13">
      <c r="A2436" s="2">
        <v>2419</v>
      </c>
      <c r="B2436" s="2" t="s">
        <v>13176</v>
      </c>
      <c r="C2436" s="2">
        <v>11</v>
      </c>
      <c r="D2436" s="2">
        <v>568</v>
      </c>
      <c r="E2436" s="2">
        <v>175</v>
      </c>
      <c r="F2436" s="2">
        <v>32441</v>
      </c>
      <c r="G2436" s="2">
        <v>3.5900503019999999</v>
      </c>
      <c r="H2436" s="2">
        <v>4.0627300000000002E-4</v>
      </c>
      <c r="I2436" s="2" t="s">
        <v>32560</v>
      </c>
      <c r="J2436" s="2" t="s">
        <v>32561</v>
      </c>
      <c r="K2436" s="2">
        <v>3.1269560000000002E-3</v>
      </c>
      <c r="L2436" s="2" t="s">
        <v>1178</v>
      </c>
      <c r="M2436" s="4" t="s">
        <v>13179</v>
      </c>
    </row>
    <row r="2437" spans="1:13">
      <c r="A2437" s="2">
        <v>2781</v>
      </c>
      <c r="B2437" s="2" t="s">
        <v>18411</v>
      </c>
      <c r="C2437" s="2">
        <v>10</v>
      </c>
      <c r="D2437" s="2">
        <v>568</v>
      </c>
      <c r="E2437" s="2">
        <v>148</v>
      </c>
      <c r="F2437" s="2">
        <v>32441</v>
      </c>
      <c r="G2437" s="2">
        <v>3.8590835550000002</v>
      </c>
      <c r="H2437" s="2">
        <v>4.3322E-4</v>
      </c>
      <c r="I2437" s="2" t="s">
        <v>32562</v>
      </c>
      <c r="J2437" s="2" t="s">
        <v>32563</v>
      </c>
      <c r="K2437" s="2">
        <v>3.3290949999999998E-3</v>
      </c>
      <c r="L2437" s="2" t="s">
        <v>1178</v>
      </c>
      <c r="M2437" s="4" t="s">
        <v>18414</v>
      </c>
    </row>
    <row r="2438" spans="1:13">
      <c r="A2438" s="2">
        <v>3931</v>
      </c>
      <c r="B2438" s="2" t="s">
        <v>13949</v>
      </c>
      <c r="C2438" s="2">
        <v>10</v>
      </c>
      <c r="D2438" s="2">
        <v>568</v>
      </c>
      <c r="E2438" s="2">
        <v>154</v>
      </c>
      <c r="F2438" s="2">
        <v>32441</v>
      </c>
      <c r="G2438" s="2">
        <v>3.7087296510000001</v>
      </c>
      <c r="H2438" s="2">
        <v>5.8036800000000005E-4</v>
      </c>
      <c r="I2438" s="2" t="s">
        <v>32564</v>
      </c>
      <c r="J2438" s="2" t="s">
        <v>32565</v>
      </c>
      <c r="K2438" s="2">
        <v>4.4528390000000001E-3</v>
      </c>
      <c r="L2438" s="2" t="s">
        <v>1178</v>
      </c>
      <c r="M2438" s="4" t="s">
        <v>13952</v>
      </c>
    </row>
    <row r="2439" spans="1:13">
      <c r="A2439" s="2">
        <v>2281</v>
      </c>
      <c r="B2439" s="2" t="s">
        <v>32566</v>
      </c>
      <c r="C2439" s="2">
        <v>10</v>
      </c>
      <c r="D2439" s="2">
        <v>568</v>
      </c>
      <c r="E2439" s="2">
        <v>157</v>
      </c>
      <c r="F2439" s="2">
        <v>32441</v>
      </c>
      <c r="G2439" s="2">
        <v>3.6378622049999998</v>
      </c>
      <c r="H2439" s="2">
        <v>6.6815699999999995E-4</v>
      </c>
      <c r="I2439" s="2" t="s">
        <v>32567</v>
      </c>
      <c r="J2439" s="2" t="s">
        <v>32568</v>
      </c>
      <c r="K2439" s="2">
        <v>5.1183349999999999E-3</v>
      </c>
      <c r="L2439" s="2" t="s">
        <v>1178</v>
      </c>
      <c r="M2439" s="4" t="s">
        <v>32569</v>
      </c>
    </row>
    <row r="2440" spans="1:13">
      <c r="A2440" s="2">
        <v>25241</v>
      </c>
      <c r="B2440" s="2" t="s">
        <v>32570</v>
      </c>
      <c r="C2440" s="2">
        <v>10</v>
      </c>
      <c r="D2440" s="2">
        <v>568</v>
      </c>
      <c r="E2440" s="2">
        <v>159</v>
      </c>
      <c r="F2440" s="2">
        <v>32441</v>
      </c>
      <c r="G2440" s="2">
        <v>3.592102932</v>
      </c>
      <c r="H2440" s="2">
        <v>7.3255599999999998E-4</v>
      </c>
      <c r="I2440" s="2" t="s">
        <v>32571</v>
      </c>
      <c r="J2440" s="2" t="s">
        <v>32572</v>
      </c>
      <c r="K2440" s="2">
        <v>5.6028450000000004E-3</v>
      </c>
      <c r="L2440" s="2" t="s">
        <v>1178</v>
      </c>
      <c r="M2440" s="4" t="s">
        <v>32573</v>
      </c>
    </row>
    <row r="2441" spans="1:13">
      <c r="A2441" s="2">
        <v>2467</v>
      </c>
      <c r="B2441" s="2" t="s">
        <v>23646</v>
      </c>
      <c r="C2441" s="2">
        <v>10</v>
      </c>
      <c r="D2441" s="2">
        <v>568</v>
      </c>
      <c r="E2441" s="2">
        <v>160</v>
      </c>
      <c r="F2441" s="2">
        <v>32441</v>
      </c>
      <c r="G2441" s="2">
        <v>3.569652289</v>
      </c>
      <c r="H2441" s="2">
        <v>7.6662200000000001E-4</v>
      </c>
      <c r="I2441" s="2" t="s">
        <v>32574</v>
      </c>
      <c r="J2441" s="2" t="s">
        <v>32575</v>
      </c>
      <c r="K2441" s="2">
        <v>5.8450459999999996E-3</v>
      </c>
      <c r="L2441" s="2" t="s">
        <v>1178</v>
      </c>
      <c r="M2441" s="4" t="s">
        <v>23649</v>
      </c>
    </row>
    <row r="2442" spans="1:13">
      <c r="A2442" s="2">
        <v>28291</v>
      </c>
      <c r="B2442" s="2" t="s">
        <v>16210</v>
      </c>
      <c r="C2442" s="2">
        <v>10</v>
      </c>
      <c r="D2442" s="2">
        <v>568</v>
      </c>
      <c r="E2442" s="2">
        <v>160</v>
      </c>
      <c r="F2442" s="2">
        <v>32441</v>
      </c>
      <c r="G2442" s="2">
        <v>3.569652289</v>
      </c>
      <c r="H2442" s="2">
        <v>7.6662200000000001E-4</v>
      </c>
      <c r="I2442" s="2" t="s">
        <v>32576</v>
      </c>
      <c r="J2442" s="2" t="s">
        <v>32577</v>
      </c>
      <c r="K2442" s="2">
        <v>5.8450459999999996E-3</v>
      </c>
      <c r="L2442" s="2" t="s">
        <v>1178</v>
      </c>
      <c r="M2442" s="4" t="s">
        <v>16213</v>
      </c>
    </row>
    <row r="2443" spans="1:13">
      <c r="A2443" s="2">
        <v>4033</v>
      </c>
      <c r="B2443" s="2" t="s">
        <v>23930</v>
      </c>
      <c r="C2443" s="2">
        <v>10</v>
      </c>
      <c r="D2443" s="2">
        <v>568</v>
      </c>
      <c r="E2443" s="2">
        <v>161</v>
      </c>
      <c r="F2443" s="2">
        <v>32441</v>
      </c>
      <c r="G2443" s="2">
        <v>3.547480535</v>
      </c>
      <c r="H2443" s="2">
        <v>8.0198200000000002E-4</v>
      </c>
      <c r="I2443" s="2" t="s">
        <v>32578</v>
      </c>
      <c r="J2443" s="2" t="s">
        <v>32579</v>
      </c>
      <c r="K2443" s="2">
        <v>6.1050890000000002E-3</v>
      </c>
      <c r="L2443" s="2" t="s">
        <v>1178</v>
      </c>
      <c r="M2443" s="4" t="s">
        <v>23933</v>
      </c>
    </row>
    <row r="2444" spans="1:13">
      <c r="A2444" s="2">
        <v>2410</v>
      </c>
      <c r="B2444" s="2" t="s">
        <v>32580</v>
      </c>
      <c r="C2444" s="2">
        <v>9</v>
      </c>
      <c r="D2444" s="2">
        <v>568</v>
      </c>
      <c r="E2444" s="2">
        <v>133</v>
      </c>
      <c r="F2444" s="2">
        <v>32441</v>
      </c>
      <c r="G2444" s="2">
        <v>3.864886689</v>
      </c>
      <c r="H2444" s="2">
        <v>8.2039099999999996E-4</v>
      </c>
      <c r="I2444" s="2" t="s">
        <v>32581</v>
      </c>
      <c r="J2444" s="2" t="s">
        <v>32582</v>
      </c>
      <c r="K2444" s="2">
        <v>6.235483E-3</v>
      </c>
      <c r="L2444" s="2" t="s">
        <v>1178</v>
      </c>
      <c r="M2444" s="4" t="s">
        <v>32583</v>
      </c>
    </row>
    <row r="2445" spans="1:13">
      <c r="A2445" s="2">
        <v>231</v>
      </c>
      <c r="B2445" s="2" t="s">
        <v>1290</v>
      </c>
      <c r="C2445" s="2">
        <v>11</v>
      </c>
      <c r="D2445" s="2">
        <v>568</v>
      </c>
      <c r="E2445" s="2">
        <v>200</v>
      </c>
      <c r="F2445" s="2">
        <v>32441</v>
      </c>
      <c r="G2445" s="2">
        <v>3.1412940140000001</v>
      </c>
      <c r="H2445" s="2">
        <v>1.151348E-3</v>
      </c>
      <c r="I2445" s="2" t="s">
        <v>32584</v>
      </c>
      <c r="J2445" s="2" t="s">
        <v>32585</v>
      </c>
      <c r="K2445" s="2">
        <v>6.6461719999999997E-3</v>
      </c>
      <c r="L2445" s="2" t="s">
        <v>1178</v>
      </c>
      <c r="M2445" s="4" t="s">
        <v>19416</v>
      </c>
    </row>
    <row r="2446" spans="1:13">
      <c r="A2446" s="2">
        <v>281</v>
      </c>
      <c r="B2446" s="2" t="s">
        <v>32586</v>
      </c>
      <c r="C2446" s="2">
        <v>11</v>
      </c>
      <c r="D2446" s="2">
        <v>568</v>
      </c>
      <c r="E2446" s="2">
        <v>200</v>
      </c>
      <c r="F2446" s="2">
        <v>32441</v>
      </c>
      <c r="G2446" s="2">
        <v>3.1412940140000001</v>
      </c>
      <c r="H2446" s="2">
        <v>1.151348E-3</v>
      </c>
      <c r="I2446" s="2" t="s">
        <v>32587</v>
      </c>
      <c r="J2446" s="2" t="s">
        <v>32588</v>
      </c>
      <c r="K2446" s="2">
        <v>6.6461719999999997E-3</v>
      </c>
      <c r="L2446" s="2" t="s">
        <v>1178</v>
      </c>
      <c r="M2446" s="4" t="s">
        <v>32589</v>
      </c>
    </row>
    <row r="2447" spans="1:13">
      <c r="A2447" s="2">
        <v>5711</v>
      </c>
      <c r="B2447" s="2" t="s">
        <v>3306</v>
      </c>
      <c r="C2447" s="2">
        <v>11</v>
      </c>
      <c r="D2447" s="2">
        <v>568</v>
      </c>
      <c r="E2447" s="2">
        <v>199</v>
      </c>
      <c r="F2447" s="2">
        <v>32441</v>
      </c>
      <c r="G2447" s="2">
        <v>3.1570794109999998</v>
      </c>
      <c r="H2447" s="2">
        <v>1.1080949999999999E-3</v>
      </c>
      <c r="I2447" s="2" t="s">
        <v>32590</v>
      </c>
      <c r="J2447" s="2" t="s">
        <v>32591</v>
      </c>
      <c r="K2447" s="2">
        <v>6.6461719999999997E-3</v>
      </c>
      <c r="L2447" s="2" t="s">
        <v>1178</v>
      </c>
      <c r="M2447" s="4" t="s">
        <v>3309</v>
      </c>
    </row>
    <row r="2448" spans="1:13">
      <c r="A2448" s="2">
        <v>784</v>
      </c>
      <c r="B2448" s="2" t="s">
        <v>32592</v>
      </c>
      <c r="C2448" s="2">
        <v>11</v>
      </c>
      <c r="D2448" s="2">
        <v>568</v>
      </c>
      <c r="E2448" s="2">
        <v>200</v>
      </c>
      <c r="F2448" s="2">
        <v>32441</v>
      </c>
      <c r="G2448" s="2">
        <v>3.1412940140000001</v>
      </c>
      <c r="H2448" s="2">
        <v>1.151348E-3</v>
      </c>
      <c r="I2448" s="2" t="s">
        <v>32593</v>
      </c>
      <c r="J2448" s="2" t="s">
        <v>32594</v>
      </c>
      <c r="K2448" s="2">
        <v>6.6461719999999997E-3</v>
      </c>
      <c r="L2448" s="2" t="s">
        <v>1178</v>
      </c>
      <c r="M2448" s="4" t="s">
        <v>32595</v>
      </c>
    </row>
    <row r="2449" spans="1:13">
      <c r="A2449" s="2">
        <v>855</v>
      </c>
      <c r="B2449" s="2" t="s">
        <v>20429</v>
      </c>
      <c r="C2449" s="2">
        <v>11</v>
      </c>
      <c r="D2449" s="2">
        <v>568</v>
      </c>
      <c r="E2449" s="2">
        <v>200</v>
      </c>
      <c r="F2449" s="2">
        <v>32441</v>
      </c>
      <c r="G2449" s="2">
        <v>3.1412940140000001</v>
      </c>
      <c r="H2449" s="2">
        <v>1.151348E-3</v>
      </c>
      <c r="I2449" s="2" t="s">
        <v>32596</v>
      </c>
      <c r="J2449" s="2" t="s">
        <v>32597</v>
      </c>
      <c r="K2449" s="2">
        <v>6.6461719999999997E-3</v>
      </c>
      <c r="L2449" s="2" t="s">
        <v>1178</v>
      </c>
      <c r="M2449" s="4" t="s">
        <v>20432</v>
      </c>
    </row>
    <row r="2450" spans="1:13">
      <c r="A2450" s="2">
        <v>1242</v>
      </c>
      <c r="B2450" s="2" t="s">
        <v>32598</v>
      </c>
      <c r="C2450" s="2">
        <v>11</v>
      </c>
      <c r="D2450" s="2">
        <v>568</v>
      </c>
      <c r="E2450" s="2">
        <v>200</v>
      </c>
      <c r="F2450" s="2">
        <v>32441</v>
      </c>
      <c r="G2450" s="2">
        <v>3.1412940140000001</v>
      </c>
      <c r="H2450" s="2">
        <v>1.151348E-3</v>
      </c>
      <c r="I2450" s="2" t="s">
        <v>32599</v>
      </c>
      <c r="J2450" s="2" t="s">
        <v>32600</v>
      </c>
      <c r="K2450" s="2">
        <v>6.6461719999999997E-3</v>
      </c>
      <c r="L2450" s="2" t="s">
        <v>1178</v>
      </c>
      <c r="M2450" s="4" t="s">
        <v>32601</v>
      </c>
    </row>
    <row r="2451" spans="1:13">
      <c r="A2451" s="2">
        <v>1262</v>
      </c>
      <c r="B2451" s="2" t="s">
        <v>32602</v>
      </c>
      <c r="C2451" s="2">
        <v>11</v>
      </c>
      <c r="D2451" s="2">
        <v>568</v>
      </c>
      <c r="E2451" s="2">
        <v>200</v>
      </c>
      <c r="F2451" s="2">
        <v>32441</v>
      </c>
      <c r="G2451" s="2">
        <v>3.1412940140000001</v>
      </c>
      <c r="H2451" s="2">
        <v>1.151348E-3</v>
      </c>
      <c r="I2451" s="2" t="s">
        <v>32603</v>
      </c>
      <c r="J2451" s="2" t="s">
        <v>32604</v>
      </c>
      <c r="K2451" s="2">
        <v>6.6461719999999997E-3</v>
      </c>
      <c r="L2451" s="2" t="s">
        <v>1178</v>
      </c>
      <c r="M2451" s="4" t="s">
        <v>32605</v>
      </c>
    </row>
    <row r="2452" spans="1:13">
      <c r="A2452" s="2">
        <v>1282</v>
      </c>
      <c r="B2452" s="2" t="s">
        <v>21675</v>
      </c>
      <c r="C2452" s="2">
        <v>11</v>
      </c>
      <c r="D2452" s="2">
        <v>568</v>
      </c>
      <c r="E2452" s="2">
        <v>200</v>
      </c>
      <c r="F2452" s="2">
        <v>32441</v>
      </c>
      <c r="G2452" s="2">
        <v>3.1412940140000001</v>
      </c>
      <c r="H2452" s="2">
        <v>1.151348E-3</v>
      </c>
      <c r="I2452" s="2" t="s">
        <v>32606</v>
      </c>
      <c r="J2452" s="2" t="s">
        <v>32607</v>
      </c>
      <c r="K2452" s="2">
        <v>6.6461719999999997E-3</v>
      </c>
      <c r="L2452" s="2" t="s">
        <v>1178</v>
      </c>
      <c r="M2452" s="4" t="s">
        <v>21678</v>
      </c>
    </row>
    <row r="2453" spans="1:13">
      <c r="A2453" s="2">
        <v>1393</v>
      </c>
      <c r="B2453" s="2" t="s">
        <v>32608</v>
      </c>
      <c r="C2453" s="2">
        <v>11</v>
      </c>
      <c r="D2453" s="2">
        <v>568</v>
      </c>
      <c r="E2453" s="2">
        <v>200</v>
      </c>
      <c r="F2453" s="2">
        <v>32441</v>
      </c>
      <c r="G2453" s="2">
        <v>3.1412940140000001</v>
      </c>
      <c r="H2453" s="2">
        <v>1.151348E-3</v>
      </c>
      <c r="I2453" s="2" t="s">
        <v>32609</v>
      </c>
      <c r="J2453" s="2" t="s">
        <v>32610</v>
      </c>
      <c r="K2453" s="2">
        <v>6.6461719999999997E-3</v>
      </c>
      <c r="L2453" s="2" t="s">
        <v>1178</v>
      </c>
      <c r="M2453" s="4" t="s">
        <v>32611</v>
      </c>
    </row>
    <row r="2454" spans="1:13">
      <c r="A2454" s="2">
        <v>145</v>
      </c>
      <c r="B2454" s="2" t="s">
        <v>18502</v>
      </c>
      <c r="C2454" s="2">
        <v>11</v>
      </c>
      <c r="D2454" s="2">
        <v>568</v>
      </c>
      <c r="E2454" s="2">
        <v>200</v>
      </c>
      <c r="F2454" s="2">
        <v>32441</v>
      </c>
      <c r="G2454" s="2">
        <v>3.1412940140000001</v>
      </c>
      <c r="H2454" s="2">
        <v>1.151348E-3</v>
      </c>
      <c r="I2454" s="2" t="s">
        <v>32612</v>
      </c>
      <c r="J2454" s="2" t="s">
        <v>32613</v>
      </c>
      <c r="K2454" s="2">
        <v>6.6461719999999997E-3</v>
      </c>
      <c r="L2454" s="2" t="s">
        <v>1178</v>
      </c>
      <c r="M2454" s="4" t="s">
        <v>18505</v>
      </c>
    </row>
    <row r="2455" spans="1:13">
      <c r="A2455" s="2">
        <v>155</v>
      </c>
      <c r="B2455" s="2" t="s">
        <v>32614</v>
      </c>
      <c r="C2455" s="2">
        <v>11</v>
      </c>
      <c r="D2455" s="2">
        <v>568</v>
      </c>
      <c r="E2455" s="2">
        <v>200</v>
      </c>
      <c r="F2455" s="2">
        <v>32441</v>
      </c>
      <c r="G2455" s="2">
        <v>3.1412940140000001</v>
      </c>
      <c r="H2455" s="2">
        <v>1.151348E-3</v>
      </c>
      <c r="I2455" s="2" t="s">
        <v>32615</v>
      </c>
      <c r="J2455" s="2" t="s">
        <v>32616</v>
      </c>
      <c r="K2455" s="2">
        <v>6.6461719999999997E-3</v>
      </c>
      <c r="L2455" s="2" t="s">
        <v>1178</v>
      </c>
      <c r="M2455" s="4" t="s">
        <v>32617</v>
      </c>
    </row>
    <row r="2456" spans="1:13">
      <c r="A2456" s="2">
        <v>181</v>
      </c>
      <c r="B2456" s="2" t="s">
        <v>20452</v>
      </c>
      <c r="C2456" s="2">
        <v>11</v>
      </c>
      <c r="D2456" s="2">
        <v>568</v>
      </c>
      <c r="E2456" s="2">
        <v>200</v>
      </c>
      <c r="F2456" s="2">
        <v>32441</v>
      </c>
      <c r="G2456" s="2">
        <v>3.1412940140000001</v>
      </c>
      <c r="H2456" s="2">
        <v>1.151348E-3</v>
      </c>
      <c r="I2456" s="2" t="s">
        <v>32618</v>
      </c>
      <c r="J2456" s="2" t="s">
        <v>32619</v>
      </c>
      <c r="K2456" s="2">
        <v>6.6461719999999997E-3</v>
      </c>
      <c r="L2456" s="2" t="s">
        <v>1178</v>
      </c>
      <c r="M2456" s="4" t="s">
        <v>20455</v>
      </c>
    </row>
    <row r="2457" spans="1:13">
      <c r="A2457" s="2">
        <v>183</v>
      </c>
      <c r="B2457" s="2" t="s">
        <v>16274</v>
      </c>
      <c r="C2457" s="2">
        <v>11</v>
      </c>
      <c r="D2457" s="2">
        <v>568</v>
      </c>
      <c r="E2457" s="2">
        <v>200</v>
      </c>
      <c r="F2457" s="2">
        <v>32441</v>
      </c>
      <c r="G2457" s="2">
        <v>3.1412940140000001</v>
      </c>
      <c r="H2457" s="2">
        <v>1.151348E-3</v>
      </c>
      <c r="I2457" s="2" t="s">
        <v>32620</v>
      </c>
      <c r="J2457" s="2" t="s">
        <v>32621</v>
      </c>
      <c r="K2457" s="2">
        <v>6.6461719999999997E-3</v>
      </c>
      <c r="L2457" s="2" t="s">
        <v>1178</v>
      </c>
      <c r="M2457" s="4" t="s">
        <v>16277</v>
      </c>
    </row>
    <row r="2458" spans="1:13">
      <c r="A2458" s="2">
        <v>1861</v>
      </c>
      <c r="B2458" s="2" t="s">
        <v>1812</v>
      </c>
      <c r="C2458" s="2">
        <v>11</v>
      </c>
      <c r="D2458" s="2">
        <v>568</v>
      </c>
      <c r="E2458" s="2">
        <v>200</v>
      </c>
      <c r="F2458" s="2">
        <v>32441</v>
      </c>
      <c r="G2458" s="2">
        <v>3.1412940140000001</v>
      </c>
      <c r="H2458" s="2">
        <v>1.151348E-3</v>
      </c>
      <c r="I2458" s="2" t="s">
        <v>32622</v>
      </c>
      <c r="J2458" s="2" t="s">
        <v>32623</v>
      </c>
      <c r="K2458" s="2">
        <v>6.6461719999999997E-3</v>
      </c>
      <c r="L2458" s="2" t="s">
        <v>1178</v>
      </c>
      <c r="M2458" s="4" t="s">
        <v>16280</v>
      </c>
    </row>
    <row r="2459" spans="1:13">
      <c r="A2459" s="2">
        <v>195</v>
      </c>
      <c r="B2459" s="2" t="s">
        <v>32624</v>
      </c>
      <c r="C2459" s="2">
        <v>11</v>
      </c>
      <c r="D2459" s="2">
        <v>568</v>
      </c>
      <c r="E2459" s="2">
        <v>200</v>
      </c>
      <c r="F2459" s="2">
        <v>32441</v>
      </c>
      <c r="G2459" s="2">
        <v>3.1412940140000001</v>
      </c>
      <c r="H2459" s="2">
        <v>1.151348E-3</v>
      </c>
      <c r="I2459" s="2" t="s">
        <v>32625</v>
      </c>
      <c r="J2459" s="2" t="s">
        <v>32626</v>
      </c>
      <c r="K2459" s="2">
        <v>6.6461719999999997E-3</v>
      </c>
      <c r="L2459" s="2" t="s">
        <v>1178</v>
      </c>
      <c r="M2459" s="4" t="s">
        <v>32627</v>
      </c>
    </row>
    <row r="2460" spans="1:13">
      <c r="A2460" s="2">
        <v>2372</v>
      </c>
      <c r="B2460" s="2" t="s">
        <v>2322</v>
      </c>
      <c r="C2460" s="2">
        <v>11</v>
      </c>
      <c r="D2460" s="2">
        <v>568</v>
      </c>
      <c r="E2460" s="2">
        <v>200</v>
      </c>
      <c r="F2460" s="2">
        <v>32441</v>
      </c>
      <c r="G2460" s="2">
        <v>3.1412940140000001</v>
      </c>
      <c r="H2460" s="2">
        <v>1.151348E-3</v>
      </c>
      <c r="I2460" s="2" t="s">
        <v>32628</v>
      </c>
      <c r="J2460" s="2" t="s">
        <v>32629</v>
      </c>
      <c r="K2460" s="2">
        <v>6.6461719999999997E-3</v>
      </c>
      <c r="L2460" s="2" t="s">
        <v>1178</v>
      </c>
      <c r="M2460" s="4" t="s">
        <v>15124</v>
      </c>
    </row>
    <row r="2461" spans="1:13">
      <c r="A2461" s="2">
        <v>2623</v>
      </c>
      <c r="B2461" s="2" t="s">
        <v>19465</v>
      </c>
      <c r="C2461" s="2">
        <v>11</v>
      </c>
      <c r="D2461" s="2">
        <v>568</v>
      </c>
      <c r="E2461" s="2">
        <v>200</v>
      </c>
      <c r="F2461" s="2">
        <v>32441</v>
      </c>
      <c r="G2461" s="2">
        <v>3.1412940140000001</v>
      </c>
      <c r="H2461" s="2">
        <v>1.151348E-3</v>
      </c>
      <c r="I2461" s="2" t="s">
        <v>32630</v>
      </c>
      <c r="J2461" s="2" t="s">
        <v>32631</v>
      </c>
      <c r="K2461" s="2">
        <v>6.6461719999999997E-3</v>
      </c>
      <c r="L2461" s="2" t="s">
        <v>1178</v>
      </c>
      <c r="M2461" s="4" t="s">
        <v>19468</v>
      </c>
    </row>
    <row r="2462" spans="1:13">
      <c r="A2462" s="2">
        <v>2674</v>
      </c>
      <c r="B2462" s="2" t="s">
        <v>3329</v>
      </c>
      <c r="C2462" s="2">
        <v>11</v>
      </c>
      <c r="D2462" s="2">
        <v>568</v>
      </c>
      <c r="E2462" s="2">
        <v>200</v>
      </c>
      <c r="F2462" s="2">
        <v>32441</v>
      </c>
      <c r="G2462" s="2">
        <v>3.1412940140000001</v>
      </c>
      <c r="H2462" s="2">
        <v>1.151348E-3</v>
      </c>
      <c r="I2462" s="2" t="s">
        <v>32632</v>
      </c>
      <c r="J2462" s="2" t="s">
        <v>32633</v>
      </c>
      <c r="K2462" s="2">
        <v>6.6461719999999997E-3</v>
      </c>
      <c r="L2462" s="2" t="s">
        <v>1178</v>
      </c>
      <c r="M2462" s="4" t="s">
        <v>3332</v>
      </c>
    </row>
    <row r="2463" spans="1:13">
      <c r="A2463" s="2">
        <v>2971</v>
      </c>
      <c r="B2463" s="2" t="s">
        <v>20484</v>
      </c>
      <c r="C2463" s="2">
        <v>11</v>
      </c>
      <c r="D2463" s="2">
        <v>568</v>
      </c>
      <c r="E2463" s="2">
        <v>200</v>
      </c>
      <c r="F2463" s="2">
        <v>32441</v>
      </c>
      <c r="G2463" s="2">
        <v>3.1412940140000001</v>
      </c>
      <c r="H2463" s="2">
        <v>1.151348E-3</v>
      </c>
      <c r="I2463" s="2" t="s">
        <v>32634</v>
      </c>
      <c r="J2463" s="2" t="s">
        <v>32635</v>
      </c>
      <c r="K2463" s="2">
        <v>6.6461719999999997E-3</v>
      </c>
      <c r="L2463" s="2" t="s">
        <v>1178</v>
      </c>
      <c r="M2463" s="4" t="s">
        <v>20487</v>
      </c>
    </row>
    <row r="2464" spans="1:13">
      <c r="A2464" s="2">
        <v>3072</v>
      </c>
      <c r="B2464" s="2" t="s">
        <v>21711</v>
      </c>
      <c r="C2464" s="2">
        <v>11</v>
      </c>
      <c r="D2464" s="2">
        <v>568</v>
      </c>
      <c r="E2464" s="2">
        <v>200</v>
      </c>
      <c r="F2464" s="2">
        <v>32441</v>
      </c>
      <c r="G2464" s="2">
        <v>3.1412940140000001</v>
      </c>
      <c r="H2464" s="2">
        <v>1.151348E-3</v>
      </c>
      <c r="I2464" s="2" t="s">
        <v>32636</v>
      </c>
      <c r="J2464" s="2" t="s">
        <v>32637</v>
      </c>
      <c r="K2464" s="2">
        <v>6.6461719999999997E-3</v>
      </c>
      <c r="L2464" s="2" t="s">
        <v>1178</v>
      </c>
      <c r="M2464" s="4" t="s">
        <v>21714</v>
      </c>
    </row>
    <row r="2465" spans="1:13">
      <c r="A2465" s="2">
        <v>316</v>
      </c>
      <c r="B2465" s="2" t="s">
        <v>2331</v>
      </c>
      <c r="C2465" s="2">
        <v>11</v>
      </c>
      <c r="D2465" s="2">
        <v>568</v>
      </c>
      <c r="E2465" s="2">
        <v>200</v>
      </c>
      <c r="F2465" s="2">
        <v>32441</v>
      </c>
      <c r="G2465" s="2">
        <v>3.1412940140000001</v>
      </c>
      <c r="H2465" s="2">
        <v>1.151348E-3</v>
      </c>
      <c r="I2465" s="2" t="s">
        <v>32638</v>
      </c>
      <c r="J2465" s="2" t="s">
        <v>32639</v>
      </c>
      <c r="K2465" s="2">
        <v>6.6461719999999997E-3</v>
      </c>
      <c r="L2465" s="2" t="s">
        <v>1178</v>
      </c>
      <c r="M2465" s="4" t="s">
        <v>32640</v>
      </c>
    </row>
    <row r="2466" spans="1:13">
      <c r="A2466" s="2">
        <v>317</v>
      </c>
      <c r="B2466" s="2" t="s">
        <v>32641</v>
      </c>
      <c r="C2466" s="2">
        <v>11</v>
      </c>
      <c r="D2466" s="2">
        <v>568</v>
      </c>
      <c r="E2466" s="2">
        <v>200</v>
      </c>
      <c r="F2466" s="2">
        <v>32441</v>
      </c>
      <c r="G2466" s="2">
        <v>3.1412940140000001</v>
      </c>
      <c r="H2466" s="2">
        <v>1.151348E-3</v>
      </c>
      <c r="I2466" s="2" t="s">
        <v>32642</v>
      </c>
      <c r="J2466" s="2" t="s">
        <v>32643</v>
      </c>
      <c r="K2466" s="2">
        <v>6.6461719999999997E-3</v>
      </c>
      <c r="L2466" s="2" t="s">
        <v>1178</v>
      </c>
      <c r="M2466" s="4" t="s">
        <v>32644</v>
      </c>
    </row>
    <row r="2467" spans="1:13">
      <c r="A2467" s="2">
        <v>3271</v>
      </c>
      <c r="B2467" s="2" t="s">
        <v>2022</v>
      </c>
      <c r="C2467" s="2">
        <v>11</v>
      </c>
      <c r="D2467" s="2">
        <v>568</v>
      </c>
      <c r="E2467" s="2">
        <v>200</v>
      </c>
      <c r="F2467" s="2">
        <v>32441</v>
      </c>
      <c r="G2467" s="2">
        <v>3.1412940140000001</v>
      </c>
      <c r="H2467" s="2">
        <v>1.151348E-3</v>
      </c>
      <c r="I2467" s="2" t="s">
        <v>32645</v>
      </c>
      <c r="J2467" s="2" t="s">
        <v>32646</v>
      </c>
      <c r="K2467" s="2">
        <v>6.6461719999999997E-3</v>
      </c>
      <c r="L2467" s="2" t="s">
        <v>1178</v>
      </c>
      <c r="M2467" s="4" t="s">
        <v>16958</v>
      </c>
    </row>
    <row r="2468" spans="1:13">
      <c r="A2468" s="2">
        <v>330</v>
      </c>
      <c r="B2468" s="2" t="s">
        <v>19478</v>
      </c>
      <c r="C2468" s="2">
        <v>11</v>
      </c>
      <c r="D2468" s="2">
        <v>568</v>
      </c>
      <c r="E2468" s="2">
        <v>200</v>
      </c>
      <c r="F2468" s="2">
        <v>32441</v>
      </c>
      <c r="G2468" s="2">
        <v>3.1412940140000001</v>
      </c>
      <c r="H2468" s="2">
        <v>1.151348E-3</v>
      </c>
      <c r="I2468" s="2" t="s">
        <v>32647</v>
      </c>
      <c r="J2468" s="2" t="s">
        <v>32648</v>
      </c>
      <c r="K2468" s="2">
        <v>6.6461719999999997E-3</v>
      </c>
      <c r="L2468" s="2" t="s">
        <v>1178</v>
      </c>
      <c r="M2468" s="4" t="s">
        <v>19481</v>
      </c>
    </row>
    <row r="2469" spans="1:13">
      <c r="A2469" s="2">
        <v>3521</v>
      </c>
      <c r="B2469" s="2" t="s">
        <v>32649</v>
      </c>
      <c r="C2469" s="2">
        <v>11</v>
      </c>
      <c r="D2469" s="2">
        <v>568</v>
      </c>
      <c r="E2469" s="2">
        <v>200</v>
      </c>
      <c r="F2469" s="2">
        <v>32441</v>
      </c>
      <c r="G2469" s="2">
        <v>3.1412940140000001</v>
      </c>
      <c r="H2469" s="2">
        <v>1.151348E-3</v>
      </c>
      <c r="I2469" s="2" t="s">
        <v>32650</v>
      </c>
      <c r="J2469" s="2" t="s">
        <v>32651</v>
      </c>
      <c r="K2469" s="2">
        <v>6.6461719999999997E-3</v>
      </c>
      <c r="L2469" s="2" t="s">
        <v>1178</v>
      </c>
      <c r="M2469" s="4" t="s">
        <v>32652</v>
      </c>
    </row>
    <row r="2470" spans="1:13">
      <c r="A2470" s="2">
        <v>3802</v>
      </c>
      <c r="B2470" s="2" t="s">
        <v>19486</v>
      </c>
      <c r="C2470" s="2">
        <v>11</v>
      </c>
      <c r="D2470" s="2">
        <v>568</v>
      </c>
      <c r="E2470" s="2">
        <v>200</v>
      </c>
      <c r="F2470" s="2">
        <v>32441</v>
      </c>
      <c r="G2470" s="2">
        <v>3.1412940140000001</v>
      </c>
      <c r="H2470" s="2">
        <v>1.151348E-3</v>
      </c>
      <c r="I2470" s="2" t="s">
        <v>32653</v>
      </c>
      <c r="J2470" s="2" t="s">
        <v>32654</v>
      </c>
      <c r="K2470" s="2">
        <v>6.6461719999999997E-3</v>
      </c>
      <c r="L2470" s="2" t="s">
        <v>1178</v>
      </c>
      <c r="M2470" s="4" t="s">
        <v>19489</v>
      </c>
    </row>
    <row r="2471" spans="1:13">
      <c r="A2471" s="2">
        <v>4162</v>
      </c>
      <c r="B2471" s="2" t="s">
        <v>32655</v>
      </c>
      <c r="C2471" s="2">
        <v>11</v>
      </c>
      <c r="D2471" s="2">
        <v>568</v>
      </c>
      <c r="E2471" s="2">
        <v>200</v>
      </c>
      <c r="F2471" s="2">
        <v>32441</v>
      </c>
      <c r="G2471" s="2">
        <v>3.1412940140000001</v>
      </c>
      <c r="H2471" s="2">
        <v>1.151348E-3</v>
      </c>
      <c r="I2471" s="2" t="s">
        <v>32656</v>
      </c>
      <c r="J2471" s="2" t="s">
        <v>32657</v>
      </c>
      <c r="K2471" s="2">
        <v>6.6461719999999997E-3</v>
      </c>
      <c r="L2471" s="2" t="s">
        <v>1178</v>
      </c>
      <c r="M2471" s="4" t="s">
        <v>32658</v>
      </c>
    </row>
    <row r="2472" spans="1:13">
      <c r="A2472" s="2">
        <v>4531</v>
      </c>
      <c r="B2472" s="2" t="s">
        <v>32659</v>
      </c>
      <c r="C2472" s="2">
        <v>11</v>
      </c>
      <c r="D2472" s="2">
        <v>568</v>
      </c>
      <c r="E2472" s="2">
        <v>200</v>
      </c>
      <c r="F2472" s="2">
        <v>32441</v>
      </c>
      <c r="G2472" s="2">
        <v>3.1412940140000001</v>
      </c>
      <c r="H2472" s="2">
        <v>1.151348E-3</v>
      </c>
      <c r="I2472" s="2" t="s">
        <v>32660</v>
      </c>
      <c r="J2472" s="2" t="s">
        <v>32661</v>
      </c>
      <c r="K2472" s="2">
        <v>6.6461719999999997E-3</v>
      </c>
      <c r="L2472" s="2" t="s">
        <v>1178</v>
      </c>
      <c r="M2472" s="4" t="s">
        <v>32662</v>
      </c>
    </row>
    <row r="2473" spans="1:13">
      <c r="A2473" s="2">
        <v>4881</v>
      </c>
      <c r="B2473" s="2" t="s">
        <v>32663</v>
      </c>
      <c r="C2473" s="2">
        <v>11</v>
      </c>
      <c r="D2473" s="2">
        <v>568</v>
      </c>
      <c r="E2473" s="2">
        <v>200</v>
      </c>
      <c r="F2473" s="2">
        <v>32441</v>
      </c>
      <c r="G2473" s="2">
        <v>3.1412940140000001</v>
      </c>
      <c r="H2473" s="2">
        <v>1.151348E-3</v>
      </c>
      <c r="I2473" s="2" t="s">
        <v>32664</v>
      </c>
      <c r="J2473" s="2" t="s">
        <v>32665</v>
      </c>
      <c r="K2473" s="2">
        <v>6.6461719999999997E-3</v>
      </c>
      <c r="L2473" s="2" t="s">
        <v>1178</v>
      </c>
      <c r="M2473" s="4" t="s">
        <v>32666</v>
      </c>
    </row>
    <row r="2474" spans="1:13">
      <c r="A2474" s="2">
        <v>5111</v>
      </c>
      <c r="B2474" s="2" t="s">
        <v>32667</v>
      </c>
      <c r="C2474" s="2">
        <v>11</v>
      </c>
      <c r="D2474" s="2">
        <v>568</v>
      </c>
      <c r="E2474" s="2">
        <v>200</v>
      </c>
      <c r="F2474" s="2">
        <v>32441</v>
      </c>
      <c r="G2474" s="2">
        <v>3.1412940140000001</v>
      </c>
      <c r="H2474" s="2">
        <v>1.151348E-3</v>
      </c>
      <c r="I2474" s="2" t="s">
        <v>32668</v>
      </c>
      <c r="J2474" s="2" t="s">
        <v>32669</v>
      </c>
      <c r="K2474" s="2">
        <v>6.6461719999999997E-3</v>
      </c>
      <c r="L2474" s="2" t="s">
        <v>1178</v>
      </c>
      <c r="M2474" s="4" t="s">
        <v>32670</v>
      </c>
    </row>
    <row r="2475" spans="1:13">
      <c r="A2475" s="2">
        <v>5131</v>
      </c>
      <c r="B2475" s="2" t="s">
        <v>32671</v>
      </c>
      <c r="C2475" s="2">
        <v>11</v>
      </c>
      <c r="D2475" s="2">
        <v>568</v>
      </c>
      <c r="E2475" s="2">
        <v>200</v>
      </c>
      <c r="F2475" s="2">
        <v>32441</v>
      </c>
      <c r="G2475" s="2">
        <v>3.1412940140000001</v>
      </c>
      <c r="H2475" s="2">
        <v>1.151348E-3</v>
      </c>
      <c r="I2475" s="2" t="s">
        <v>32672</v>
      </c>
      <c r="J2475" s="2" t="s">
        <v>32673</v>
      </c>
      <c r="K2475" s="2">
        <v>6.6461719999999997E-3</v>
      </c>
      <c r="L2475" s="2" t="s">
        <v>1178</v>
      </c>
      <c r="M2475" s="4" t="s">
        <v>32674</v>
      </c>
    </row>
    <row r="2476" spans="1:13">
      <c r="A2476" s="2">
        <v>5521</v>
      </c>
      <c r="B2476" s="2" t="s">
        <v>18591</v>
      </c>
      <c r="C2476" s="2">
        <v>11</v>
      </c>
      <c r="D2476" s="2">
        <v>568</v>
      </c>
      <c r="E2476" s="2">
        <v>199</v>
      </c>
      <c r="F2476" s="2">
        <v>32441</v>
      </c>
      <c r="G2476" s="2">
        <v>3.1570794109999998</v>
      </c>
      <c r="H2476" s="2">
        <v>1.1080949999999999E-3</v>
      </c>
      <c r="I2476" s="2" t="s">
        <v>32675</v>
      </c>
      <c r="J2476" s="2" t="s">
        <v>32676</v>
      </c>
      <c r="K2476" s="2">
        <v>6.6461719999999997E-3</v>
      </c>
      <c r="L2476" s="2" t="s">
        <v>1178</v>
      </c>
      <c r="M2476" s="4" t="s">
        <v>18594</v>
      </c>
    </row>
    <row r="2477" spans="1:13">
      <c r="A2477" s="2">
        <v>5611</v>
      </c>
      <c r="B2477" s="2" t="s">
        <v>16979</v>
      </c>
      <c r="C2477" s="2">
        <v>11</v>
      </c>
      <c r="D2477" s="2">
        <v>568</v>
      </c>
      <c r="E2477" s="2">
        <v>200</v>
      </c>
      <c r="F2477" s="2">
        <v>32441</v>
      </c>
      <c r="G2477" s="2">
        <v>3.1412940140000001</v>
      </c>
      <c r="H2477" s="2">
        <v>1.151348E-3</v>
      </c>
      <c r="I2477" s="2" t="s">
        <v>32677</v>
      </c>
      <c r="J2477" s="2" t="s">
        <v>32678</v>
      </c>
      <c r="K2477" s="2">
        <v>6.6461719999999997E-3</v>
      </c>
      <c r="L2477" s="2" t="s">
        <v>1178</v>
      </c>
      <c r="M2477" s="4" t="s">
        <v>16982</v>
      </c>
    </row>
    <row r="2478" spans="1:13">
      <c r="A2478" s="2">
        <v>5632</v>
      </c>
      <c r="B2478" s="2" t="s">
        <v>32679</v>
      </c>
      <c r="C2478" s="2">
        <v>11</v>
      </c>
      <c r="D2478" s="2">
        <v>568</v>
      </c>
      <c r="E2478" s="2">
        <v>200</v>
      </c>
      <c r="F2478" s="2">
        <v>32441</v>
      </c>
      <c r="G2478" s="2">
        <v>3.1412940140000001</v>
      </c>
      <c r="H2478" s="2">
        <v>1.151348E-3</v>
      </c>
      <c r="I2478" s="2" t="s">
        <v>32680</v>
      </c>
      <c r="J2478" s="2" t="s">
        <v>32681</v>
      </c>
      <c r="K2478" s="2">
        <v>6.6461719999999997E-3</v>
      </c>
      <c r="L2478" s="2" t="s">
        <v>1178</v>
      </c>
      <c r="M2478" s="4" t="s">
        <v>32682</v>
      </c>
    </row>
    <row r="2479" spans="1:13">
      <c r="A2479" s="2">
        <v>5871</v>
      </c>
      <c r="B2479" s="2" t="s">
        <v>16320</v>
      </c>
      <c r="C2479" s="2">
        <v>11</v>
      </c>
      <c r="D2479" s="2">
        <v>568</v>
      </c>
      <c r="E2479" s="2">
        <v>200</v>
      </c>
      <c r="F2479" s="2">
        <v>32441</v>
      </c>
      <c r="G2479" s="2">
        <v>3.1412940140000001</v>
      </c>
      <c r="H2479" s="2">
        <v>1.151348E-3</v>
      </c>
      <c r="I2479" s="2" t="s">
        <v>32683</v>
      </c>
      <c r="J2479" s="2" t="s">
        <v>32684</v>
      </c>
      <c r="K2479" s="2">
        <v>6.6461719999999997E-3</v>
      </c>
      <c r="L2479" s="2" t="s">
        <v>1178</v>
      </c>
      <c r="M2479" s="4" t="s">
        <v>16323</v>
      </c>
    </row>
    <row r="2480" spans="1:13">
      <c r="A2480" s="2">
        <v>6432</v>
      </c>
      <c r="B2480" s="2" t="s">
        <v>32685</v>
      </c>
      <c r="C2480" s="2">
        <v>11</v>
      </c>
      <c r="D2480" s="2">
        <v>568</v>
      </c>
      <c r="E2480" s="2">
        <v>200</v>
      </c>
      <c r="F2480" s="2">
        <v>32441</v>
      </c>
      <c r="G2480" s="2">
        <v>3.1412940140000001</v>
      </c>
      <c r="H2480" s="2">
        <v>1.151348E-3</v>
      </c>
      <c r="I2480" s="2" t="s">
        <v>32686</v>
      </c>
      <c r="J2480" s="2" t="s">
        <v>32687</v>
      </c>
      <c r="K2480" s="2">
        <v>6.6461719999999997E-3</v>
      </c>
      <c r="L2480" s="2" t="s">
        <v>1178</v>
      </c>
      <c r="M2480" s="4" t="s">
        <v>32688</v>
      </c>
    </row>
    <row r="2481" spans="1:13">
      <c r="A2481" s="2">
        <v>6871</v>
      </c>
      <c r="B2481" s="2" t="s">
        <v>18614</v>
      </c>
      <c r="C2481" s="2">
        <v>11</v>
      </c>
      <c r="D2481" s="2">
        <v>568</v>
      </c>
      <c r="E2481" s="2">
        <v>200</v>
      </c>
      <c r="F2481" s="2">
        <v>32441</v>
      </c>
      <c r="G2481" s="2">
        <v>3.1412940140000001</v>
      </c>
      <c r="H2481" s="2">
        <v>1.151348E-3</v>
      </c>
      <c r="I2481" s="2" t="s">
        <v>32689</v>
      </c>
      <c r="J2481" s="2" t="s">
        <v>32690</v>
      </c>
      <c r="K2481" s="2">
        <v>6.6461719999999997E-3</v>
      </c>
      <c r="L2481" s="2" t="s">
        <v>1178</v>
      </c>
      <c r="M2481" s="4" t="s">
        <v>18617</v>
      </c>
    </row>
    <row r="2482" spans="1:13">
      <c r="A2482" s="2">
        <v>7241</v>
      </c>
      <c r="B2482" s="2" t="s">
        <v>17027</v>
      </c>
      <c r="C2482" s="2">
        <v>11</v>
      </c>
      <c r="D2482" s="2">
        <v>568</v>
      </c>
      <c r="E2482" s="2">
        <v>200</v>
      </c>
      <c r="F2482" s="2">
        <v>32441</v>
      </c>
      <c r="G2482" s="2">
        <v>3.1412940140000001</v>
      </c>
      <c r="H2482" s="2">
        <v>1.151348E-3</v>
      </c>
      <c r="I2482" s="2" t="s">
        <v>32691</v>
      </c>
      <c r="J2482" s="2" t="s">
        <v>32692</v>
      </c>
      <c r="K2482" s="2">
        <v>6.6461719999999997E-3</v>
      </c>
      <c r="L2482" s="2" t="s">
        <v>1178</v>
      </c>
      <c r="M2482" s="4" t="s">
        <v>17030</v>
      </c>
    </row>
    <row r="2483" spans="1:13">
      <c r="A2483" s="2">
        <v>7261</v>
      </c>
      <c r="B2483" s="2" t="s">
        <v>20619</v>
      </c>
      <c r="C2483" s="2">
        <v>11</v>
      </c>
      <c r="D2483" s="2">
        <v>568</v>
      </c>
      <c r="E2483" s="2">
        <v>200</v>
      </c>
      <c r="F2483" s="2">
        <v>32441</v>
      </c>
      <c r="G2483" s="2">
        <v>3.1412940140000001</v>
      </c>
      <c r="H2483" s="2">
        <v>1.151348E-3</v>
      </c>
      <c r="I2483" s="2" t="s">
        <v>32693</v>
      </c>
      <c r="J2483" s="2" t="s">
        <v>32694</v>
      </c>
      <c r="K2483" s="2">
        <v>6.6461719999999997E-3</v>
      </c>
      <c r="L2483" s="2" t="s">
        <v>1178</v>
      </c>
      <c r="M2483" s="4" t="s">
        <v>20622</v>
      </c>
    </row>
    <row r="2484" spans="1:13">
      <c r="A2484" s="2">
        <v>834</v>
      </c>
      <c r="B2484" s="2" t="s">
        <v>32695</v>
      </c>
      <c r="C2484" s="2">
        <v>11</v>
      </c>
      <c r="D2484" s="2">
        <v>568</v>
      </c>
      <c r="E2484" s="2">
        <v>200</v>
      </c>
      <c r="F2484" s="2">
        <v>32441</v>
      </c>
      <c r="G2484" s="2">
        <v>3.1412940140000001</v>
      </c>
      <c r="H2484" s="2">
        <v>1.151348E-3</v>
      </c>
      <c r="I2484" s="2" t="s">
        <v>32696</v>
      </c>
      <c r="J2484" s="2" t="s">
        <v>32697</v>
      </c>
      <c r="K2484" s="2">
        <v>6.6461719999999997E-3</v>
      </c>
      <c r="L2484" s="2" t="s">
        <v>1178</v>
      </c>
      <c r="M2484" s="4" t="s">
        <v>32698</v>
      </c>
    </row>
    <row r="2485" spans="1:13">
      <c r="A2485" s="2">
        <v>849</v>
      </c>
      <c r="B2485" s="2" t="s">
        <v>21895</v>
      </c>
      <c r="C2485" s="2">
        <v>11</v>
      </c>
      <c r="D2485" s="2">
        <v>568</v>
      </c>
      <c r="E2485" s="2">
        <v>200</v>
      </c>
      <c r="F2485" s="2">
        <v>32441</v>
      </c>
      <c r="G2485" s="2">
        <v>3.1412940140000001</v>
      </c>
      <c r="H2485" s="2">
        <v>1.151348E-3</v>
      </c>
      <c r="I2485" s="2" t="s">
        <v>32699</v>
      </c>
      <c r="J2485" s="2" t="s">
        <v>32700</v>
      </c>
      <c r="K2485" s="2">
        <v>6.6461719999999997E-3</v>
      </c>
      <c r="L2485" s="2" t="s">
        <v>1178</v>
      </c>
      <c r="M2485" s="4" t="s">
        <v>21898</v>
      </c>
    </row>
    <row r="2486" spans="1:13">
      <c r="A2486" s="2">
        <v>8591</v>
      </c>
      <c r="B2486" s="2" t="s">
        <v>32701</v>
      </c>
      <c r="C2486" s="2">
        <v>11</v>
      </c>
      <c r="D2486" s="2">
        <v>568</v>
      </c>
      <c r="E2486" s="2">
        <v>200</v>
      </c>
      <c r="F2486" s="2">
        <v>32441</v>
      </c>
      <c r="G2486" s="2">
        <v>3.1412940140000001</v>
      </c>
      <c r="H2486" s="2">
        <v>1.151348E-3</v>
      </c>
      <c r="I2486" s="2" t="s">
        <v>32702</v>
      </c>
      <c r="J2486" s="2" t="s">
        <v>32703</v>
      </c>
      <c r="K2486" s="2">
        <v>6.6461719999999997E-3</v>
      </c>
      <c r="L2486" s="2" t="s">
        <v>1178</v>
      </c>
      <c r="M2486" s="4" t="s">
        <v>32704</v>
      </c>
    </row>
    <row r="2487" spans="1:13">
      <c r="A2487" s="2">
        <v>868</v>
      </c>
      <c r="B2487" s="2" t="s">
        <v>32705</v>
      </c>
      <c r="C2487" s="2">
        <v>11</v>
      </c>
      <c r="D2487" s="2">
        <v>568</v>
      </c>
      <c r="E2487" s="2">
        <v>199</v>
      </c>
      <c r="F2487" s="2">
        <v>32441</v>
      </c>
      <c r="G2487" s="2">
        <v>3.1570794109999998</v>
      </c>
      <c r="H2487" s="2">
        <v>1.1080949999999999E-3</v>
      </c>
      <c r="I2487" s="2" t="s">
        <v>32706</v>
      </c>
      <c r="J2487" s="2" t="s">
        <v>32707</v>
      </c>
      <c r="K2487" s="2">
        <v>6.6461719999999997E-3</v>
      </c>
      <c r="L2487" s="2" t="s">
        <v>1178</v>
      </c>
      <c r="M2487" s="4" t="s">
        <v>32708</v>
      </c>
    </row>
    <row r="2488" spans="1:13">
      <c r="A2488" s="2">
        <v>884</v>
      </c>
      <c r="B2488" s="2" t="s">
        <v>14705</v>
      </c>
      <c r="C2488" s="2">
        <v>11</v>
      </c>
      <c r="D2488" s="2">
        <v>568</v>
      </c>
      <c r="E2488" s="2">
        <v>200</v>
      </c>
      <c r="F2488" s="2">
        <v>32441</v>
      </c>
      <c r="G2488" s="2">
        <v>3.1412940140000001</v>
      </c>
      <c r="H2488" s="2">
        <v>1.151348E-3</v>
      </c>
      <c r="I2488" s="2" t="s">
        <v>32709</v>
      </c>
      <c r="J2488" s="2" t="s">
        <v>32710</v>
      </c>
      <c r="K2488" s="2">
        <v>6.6461719999999997E-3</v>
      </c>
      <c r="L2488" s="2" t="s">
        <v>1178</v>
      </c>
      <c r="M2488" s="4" t="s">
        <v>14708</v>
      </c>
    </row>
    <row r="2489" spans="1:13">
      <c r="A2489" s="2">
        <v>898</v>
      </c>
      <c r="B2489" s="2" t="s">
        <v>32711</v>
      </c>
      <c r="C2489" s="2">
        <v>11</v>
      </c>
      <c r="D2489" s="2">
        <v>568</v>
      </c>
      <c r="E2489" s="2">
        <v>200</v>
      </c>
      <c r="F2489" s="2">
        <v>32441</v>
      </c>
      <c r="G2489" s="2">
        <v>3.1412940140000001</v>
      </c>
      <c r="H2489" s="2">
        <v>1.151348E-3</v>
      </c>
      <c r="I2489" s="2" t="s">
        <v>32712</v>
      </c>
      <c r="J2489" s="2" t="s">
        <v>32713</v>
      </c>
      <c r="K2489" s="2">
        <v>6.6461719999999997E-3</v>
      </c>
      <c r="L2489" s="2" t="s">
        <v>1178</v>
      </c>
      <c r="M2489" s="4" t="s">
        <v>32714</v>
      </c>
    </row>
    <row r="2490" spans="1:13">
      <c r="A2490" s="2">
        <v>915</v>
      </c>
      <c r="B2490" s="2" t="s">
        <v>18645</v>
      </c>
      <c r="C2490" s="2">
        <v>11</v>
      </c>
      <c r="D2490" s="2">
        <v>568</v>
      </c>
      <c r="E2490" s="2">
        <v>200</v>
      </c>
      <c r="F2490" s="2">
        <v>32441</v>
      </c>
      <c r="G2490" s="2">
        <v>3.1412940140000001</v>
      </c>
      <c r="H2490" s="2">
        <v>1.151348E-3</v>
      </c>
      <c r="I2490" s="2" t="s">
        <v>32715</v>
      </c>
      <c r="J2490" s="2" t="s">
        <v>32716</v>
      </c>
      <c r="K2490" s="2">
        <v>6.6461719999999997E-3</v>
      </c>
      <c r="L2490" s="2" t="s">
        <v>1178</v>
      </c>
      <c r="M2490" s="4" t="s">
        <v>18648</v>
      </c>
    </row>
    <row r="2491" spans="1:13">
      <c r="A2491" s="2">
        <v>975</v>
      </c>
      <c r="B2491" s="2" t="s">
        <v>1197</v>
      </c>
      <c r="C2491" s="2">
        <v>11</v>
      </c>
      <c r="D2491" s="2">
        <v>568</v>
      </c>
      <c r="E2491" s="2">
        <v>200</v>
      </c>
      <c r="F2491" s="2">
        <v>32441</v>
      </c>
      <c r="G2491" s="2">
        <v>3.1412940140000001</v>
      </c>
      <c r="H2491" s="2">
        <v>1.151348E-3</v>
      </c>
      <c r="I2491" s="2" t="s">
        <v>32717</v>
      </c>
      <c r="J2491" s="2" t="s">
        <v>32718</v>
      </c>
      <c r="K2491" s="2">
        <v>6.6461719999999997E-3</v>
      </c>
      <c r="L2491" s="2" t="s">
        <v>1178</v>
      </c>
      <c r="M2491" s="4" t="s">
        <v>13714</v>
      </c>
    </row>
    <row r="2492" spans="1:13">
      <c r="A2492" s="2">
        <v>1000</v>
      </c>
      <c r="B2492" s="2" t="s">
        <v>20705</v>
      </c>
      <c r="C2492" s="2">
        <v>11</v>
      </c>
      <c r="D2492" s="2">
        <v>568</v>
      </c>
      <c r="E2492" s="2">
        <v>200</v>
      </c>
      <c r="F2492" s="2">
        <v>32441</v>
      </c>
      <c r="G2492" s="2">
        <v>3.1412940140000001</v>
      </c>
      <c r="H2492" s="2">
        <v>1.151348E-3</v>
      </c>
      <c r="I2492" s="2" t="s">
        <v>32719</v>
      </c>
      <c r="J2492" s="2" t="s">
        <v>32720</v>
      </c>
      <c r="K2492" s="2">
        <v>6.6461719999999997E-3</v>
      </c>
      <c r="L2492" s="2" t="s">
        <v>1178</v>
      </c>
      <c r="M2492" s="4" t="s">
        <v>20708</v>
      </c>
    </row>
    <row r="2493" spans="1:13">
      <c r="A2493" s="2">
        <v>1061</v>
      </c>
      <c r="B2493" s="2" t="s">
        <v>13730</v>
      </c>
      <c r="C2493" s="2">
        <v>11</v>
      </c>
      <c r="D2493" s="2">
        <v>568</v>
      </c>
      <c r="E2493" s="2">
        <v>200</v>
      </c>
      <c r="F2493" s="2">
        <v>32441</v>
      </c>
      <c r="G2493" s="2">
        <v>3.1412940140000001</v>
      </c>
      <c r="H2493" s="2">
        <v>1.151348E-3</v>
      </c>
      <c r="I2493" s="2" t="s">
        <v>32721</v>
      </c>
      <c r="J2493" s="2" t="s">
        <v>32722</v>
      </c>
      <c r="K2493" s="2">
        <v>6.6461719999999997E-3</v>
      </c>
      <c r="L2493" s="2" t="s">
        <v>1178</v>
      </c>
      <c r="M2493" s="4" t="s">
        <v>13733</v>
      </c>
    </row>
    <row r="2494" spans="1:13">
      <c r="A2494" s="2">
        <v>1159</v>
      </c>
      <c r="B2494" s="2" t="s">
        <v>2421</v>
      </c>
      <c r="C2494" s="2">
        <v>11</v>
      </c>
      <c r="D2494" s="2">
        <v>568</v>
      </c>
      <c r="E2494" s="2">
        <v>200</v>
      </c>
      <c r="F2494" s="2">
        <v>32441</v>
      </c>
      <c r="G2494" s="2">
        <v>3.1412940140000001</v>
      </c>
      <c r="H2494" s="2">
        <v>1.151348E-3</v>
      </c>
      <c r="I2494" s="2" t="s">
        <v>32723</v>
      </c>
      <c r="J2494" s="2" t="s">
        <v>32724</v>
      </c>
      <c r="K2494" s="2">
        <v>6.6461719999999997E-3</v>
      </c>
      <c r="L2494" s="2" t="s">
        <v>1178</v>
      </c>
      <c r="M2494" s="4" t="s">
        <v>32725</v>
      </c>
    </row>
    <row r="2495" spans="1:13">
      <c r="A2495" s="2">
        <v>1171</v>
      </c>
      <c r="B2495" s="2" t="s">
        <v>18702</v>
      </c>
      <c r="C2495" s="2">
        <v>11</v>
      </c>
      <c r="D2495" s="2">
        <v>568</v>
      </c>
      <c r="E2495" s="2">
        <v>200</v>
      </c>
      <c r="F2495" s="2">
        <v>32441</v>
      </c>
      <c r="G2495" s="2">
        <v>3.1412940140000001</v>
      </c>
      <c r="H2495" s="2">
        <v>1.151348E-3</v>
      </c>
      <c r="I2495" s="2" t="s">
        <v>32726</v>
      </c>
      <c r="J2495" s="2" t="s">
        <v>32727</v>
      </c>
      <c r="K2495" s="2">
        <v>6.6461719999999997E-3</v>
      </c>
      <c r="L2495" s="2" t="s">
        <v>1178</v>
      </c>
      <c r="M2495" s="4" t="s">
        <v>18705</v>
      </c>
    </row>
    <row r="2496" spans="1:13">
      <c r="A2496" s="2">
        <v>1179</v>
      </c>
      <c r="B2496" s="2" t="s">
        <v>32728</v>
      </c>
      <c r="C2496" s="2">
        <v>11</v>
      </c>
      <c r="D2496" s="2">
        <v>568</v>
      </c>
      <c r="E2496" s="2">
        <v>200</v>
      </c>
      <c r="F2496" s="2">
        <v>32441</v>
      </c>
      <c r="G2496" s="2">
        <v>3.1412940140000001</v>
      </c>
      <c r="H2496" s="2">
        <v>1.151348E-3</v>
      </c>
      <c r="I2496" s="2" t="s">
        <v>32729</v>
      </c>
      <c r="J2496" s="2" t="s">
        <v>32730</v>
      </c>
      <c r="K2496" s="2">
        <v>6.6461719999999997E-3</v>
      </c>
      <c r="L2496" s="2" t="s">
        <v>1178</v>
      </c>
      <c r="M2496" s="4" t="s">
        <v>32731</v>
      </c>
    </row>
    <row r="2497" spans="1:13">
      <c r="A2497" s="2">
        <v>1185</v>
      </c>
      <c r="B2497" s="2" t="s">
        <v>21968</v>
      </c>
      <c r="C2497" s="2">
        <v>11</v>
      </c>
      <c r="D2497" s="2">
        <v>568</v>
      </c>
      <c r="E2497" s="2">
        <v>200</v>
      </c>
      <c r="F2497" s="2">
        <v>32441</v>
      </c>
      <c r="G2497" s="2">
        <v>3.1412940140000001</v>
      </c>
      <c r="H2497" s="2">
        <v>1.151348E-3</v>
      </c>
      <c r="I2497" s="2" t="s">
        <v>32732</v>
      </c>
      <c r="J2497" s="2" t="s">
        <v>32733</v>
      </c>
      <c r="K2497" s="2">
        <v>6.6461719999999997E-3</v>
      </c>
      <c r="L2497" s="2" t="s">
        <v>1178</v>
      </c>
      <c r="M2497" s="4" t="s">
        <v>21971</v>
      </c>
    </row>
    <row r="2498" spans="1:13">
      <c r="A2498" s="2">
        <v>11931</v>
      </c>
      <c r="B2498" s="2" t="s">
        <v>23247</v>
      </c>
      <c r="C2498" s="2">
        <v>11</v>
      </c>
      <c r="D2498" s="2">
        <v>568</v>
      </c>
      <c r="E2498" s="2">
        <v>200</v>
      </c>
      <c r="F2498" s="2">
        <v>32441</v>
      </c>
      <c r="G2498" s="2">
        <v>3.1412940140000001</v>
      </c>
      <c r="H2498" s="2">
        <v>1.151348E-3</v>
      </c>
      <c r="I2498" s="2" t="s">
        <v>32734</v>
      </c>
      <c r="J2498" s="2" t="s">
        <v>32735</v>
      </c>
      <c r="K2498" s="2">
        <v>6.6461719999999997E-3</v>
      </c>
      <c r="L2498" s="2" t="s">
        <v>1178</v>
      </c>
      <c r="M2498" s="4" t="s">
        <v>23250</v>
      </c>
    </row>
    <row r="2499" spans="1:13">
      <c r="A2499" s="2">
        <v>12051</v>
      </c>
      <c r="B2499" s="2" t="s">
        <v>2118</v>
      </c>
      <c r="C2499" s="2">
        <v>11</v>
      </c>
      <c r="D2499" s="2">
        <v>568</v>
      </c>
      <c r="E2499" s="2">
        <v>200</v>
      </c>
      <c r="F2499" s="2">
        <v>32441</v>
      </c>
      <c r="G2499" s="2">
        <v>3.1412940140000001</v>
      </c>
      <c r="H2499" s="2">
        <v>1.151348E-3</v>
      </c>
      <c r="I2499" s="2" t="s">
        <v>32736</v>
      </c>
      <c r="J2499" s="2" t="s">
        <v>32737</v>
      </c>
      <c r="K2499" s="2">
        <v>6.6461719999999997E-3</v>
      </c>
      <c r="L2499" s="2" t="s">
        <v>1178</v>
      </c>
      <c r="M2499" s="4" t="s">
        <v>32738</v>
      </c>
    </row>
    <row r="2500" spans="1:13">
      <c r="A2500" s="2">
        <v>12271</v>
      </c>
      <c r="B2500" s="2" t="s">
        <v>32739</v>
      </c>
      <c r="C2500" s="2">
        <v>11</v>
      </c>
      <c r="D2500" s="2">
        <v>568</v>
      </c>
      <c r="E2500" s="2">
        <v>199</v>
      </c>
      <c r="F2500" s="2">
        <v>32441</v>
      </c>
      <c r="G2500" s="2">
        <v>3.1570794109999998</v>
      </c>
      <c r="H2500" s="2">
        <v>1.1080949999999999E-3</v>
      </c>
      <c r="I2500" s="2" t="s">
        <v>32740</v>
      </c>
      <c r="J2500" s="2" t="s">
        <v>32741</v>
      </c>
      <c r="K2500" s="2">
        <v>6.6461719999999997E-3</v>
      </c>
      <c r="L2500" s="2" t="s">
        <v>1178</v>
      </c>
      <c r="M2500" s="4" t="s">
        <v>32742</v>
      </c>
    </row>
    <row r="2501" spans="1:13">
      <c r="A2501" s="2">
        <v>1300</v>
      </c>
      <c r="B2501" s="2" t="s">
        <v>20762</v>
      </c>
      <c r="C2501" s="2">
        <v>11</v>
      </c>
      <c r="D2501" s="2">
        <v>568</v>
      </c>
      <c r="E2501" s="2">
        <v>200</v>
      </c>
      <c r="F2501" s="2">
        <v>32441</v>
      </c>
      <c r="G2501" s="2">
        <v>3.1412940140000001</v>
      </c>
      <c r="H2501" s="2">
        <v>1.151348E-3</v>
      </c>
      <c r="I2501" s="2" t="s">
        <v>32743</v>
      </c>
      <c r="J2501" s="2" t="s">
        <v>32744</v>
      </c>
      <c r="K2501" s="2">
        <v>6.6461719999999997E-3</v>
      </c>
      <c r="L2501" s="2" t="s">
        <v>1178</v>
      </c>
      <c r="M2501" s="4" t="s">
        <v>20765</v>
      </c>
    </row>
    <row r="2502" spans="1:13">
      <c r="A2502" s="2">
        <v>1349</v>
      </c>
      <c r="B2502" s="2" t="s">
        <v>32745</v>
      </c>
      <c r="C2502" s="2">
        <v>11</v>
      </c>
      <c r="D2502" s="2">
        <v>568</v>
      </c>
      <c r="E2502" s="2">
        <v>200</v>
      </c>
      <c r="F2502" s="2">
        <v>32441</v>
      </c>
      <c r="G2502" s="2">
        <v>3.1412940140000001</v>
      </c>
      <c r="H2502" s="2">
        <v>1.151348E-3</v>
      </c>
      <c r="I2502" s="2" t="s">
        <v>32746</v>
      </c>
      <c r="J2502" s="2" t="s">
        <v>32747</v>
      </c>
      <c r="K2502" s="2">
        <v>6.6461719999999997E-3</v>
      </c>
      <c r="L2502" s="2" t="s">
        <v>1178</v>
      </c>
      <c r="M2502" s="4" t="s">
        <v>32748</v>
      </c>
    </row>
    <row r="2503" spans="1:13">
      <c r="A2503" s="2">
        <v>1382</v>
      </c>
      <c r="B2503" s="2" t="s">
        <v>2454</v>
      </c>
      <c r="C2503" s="2">
        <v>11</v>
      </c>
      <c r="D2503" s="2">
        <v>568</v>
      </c>
      <c r="E2503" s="2">
        <v>199</v>
      </c>
      <c r="F2503" s="2">
        <v>32441</v>
      </c>
      <c r="G2503" s="2">
        <v>3.1570794109999998</v>
      </c>
      <c r="H2503" s="2">
        <v>1.1080949999999999E-3</v>
      </c>
      <c r="I2503" s="2" t="s">
        <v>32749</v>
      </c>
      <c r="J2503" s="2" t="s">
        <v>32750</v>
      </c>
      <c r="K2503" s="2">
        <v>6.6461719999999997E-3</v>
      </c>
      <c r="L2503" s="2" t="s">
        <v>1178</v>
      </c>
      <c r="M2503" s="4" t="s">
        <v>32751</v>
      </c>
    </row>
    <row r="2504" spans="1:13">
      <c r="A2504" s="2">
        <v>1420</v>
      </c>
      <c r="B2504" s="2" t="s">
        <v>32752</v>
      </c>
      <c r="C2504" s="2">
        <v>11</v>
      </c>
      <c r="D2504" s="2">
        <v>568</v>
      </c>
      <c r="E2504" s="2">
        <v>200</v>
      </c>
      <c r="F2504" s="2">
        <v>32441</v>
      </c>
      <c r="G2504" s="2">
        <v>3.1412940140000001</v>
      </c>
      <c r="H2504" s="2">
        <v>1.151348E-3</v>
      </c>
      <c r="I2504" s="2" t="s">
        <v>32753</v>
      </c>
      <c r="J2504" s="2" t="s">
        <v>32754</v>
      </c>
      <c r="K2504" s="2">
        <v>6.6461719999999997E-3</v>
      </c>
      <c r="L2504" s="2" t="s">
        <v>1178</v>
      </c>
      <c r="M2504" s="4" t="s">
        <v>32755</v>
      </c>
    </row>
    <row r="2505" spans="1:13">
      <c r="A2505" s="2">
        <v>14341</v>
      </c>
      <c r="B2505" s="2" t="s">
        <v>13263</v>
      </c>
      <c r="C2505" s="2">
        <v>11</v>
      </c>
      <c r="D2505" s="2">
        <v>568</v>
      </c>
      <c r="E2505" s="2">
        <v>200</v>
      </c>
      <c r="F2505" s="2">
        <v>32441</v>
      </c>
      <c r="G2505" s="2">
        <v>3.1412940140000001</v>
      </c>
      <c r="H2505" s="2">
        <v>1.151348E-3</v>
      </c>
      <c r="I2505" s="2" t="s">
        <v>32756</v>
      </c>
      <c r="J2505" s="2" t="s">
        <v>32757</v>
      </c>
      <c r="K2505" s="2">
        <v>6.6461719999999997E-3</v>
      </c>
      <c r="L2505" s="2" t="s">
        <v>1178</v>
      </c>
      <c r="M2505" s="4" t="s">
        <v>13266</v>
      </c>
    </row>
    <row r="2506" spans="1:13">
      <c r="A2506" s="2">
        <v>1445</v>
      </c>
      <c r="B2506" s="2" t="s">
        <v>32758</v>
      </c>
      <c r="C2506" s="2">
        <v>11</v>
      </c>
      <c r="D2506" s="2">
        <v>568</v>
      </c>
      <c r="E2506" s="2">
        <v>200</v>
      </c>
      <c r="F2506" s="2">
        <v>32441</v>
      </c>
      <c r="G2506" s="2">
        <v>3.1412940140000001</v>
      </c>
      <c r="H2506" s="2">
        <v>1.151348E-3</v>
      </c>
      <c r="I2506" s="2" t="s">
        <v>32759</v>
      </c>
      <c r="J2506" s="2" t="s">
        <v>32760</v>
      </c>
      <c r="K2506" s="2">
        <v>6.6461719999999997E-3</v>
      </c>
      <c r="L2506" s="2" t="s">
        <v>1178</v>
      </c>
      <c r="M2506" s="4" t="s">
        <v>32761</v>
      </c>
    </row>
    <row r="2507" spans="1:13">
      <c r="A2507" s="2">
        <v>1475</v>
      </c>
      <c r="B2507" s="2" t="s">
        <v>32762</v>
      </c>
      <c r="C2507" s="2">
        <v>11</v>
      </c>
      <c r="D2507" s="2">
        <v>568</v>
      </c>
      <c r="E2507" s="2">
        <v>200</v>
      </c>
      <c r="F2507" s="2">
        <v>32441</v>
      </c>
      <c r="G2507" s="2">
        <v>3.1412940140000001</v>
      </c>
      <c r="H2507" s="2">
        <v>1.151348E-3</v>
      </c>
      <c r="I2507" s="2" t="s">
        <v>32763</v>
      </c>
      <c r="J2507" s="2" t="s">
        <v>32764</v>
      </c>
      <c r="K2507" s="2">
        <v>6.6461719999999997E-3</v>
      </c>
      <c r="L2507" s="2" t="s">
        <v>1178</v>
      </c>
      <c r="M2507" s="4" t="s">
        <v>32765</v>
      </c>
    </row>
    <row r="2508" spans="1:13">
      <c r="A2508" s="2">
        <v>1517</v>
      </c>
      <c r="B2508" s="2" t="s">
        <v>2475</v>
      </c>
      <c r="C2508" s="2">
        <v>11</v>
      </c>
      <c r="D2508" s="2">
        <v>568</v>
      </c>
      <c r="E2508" s="2">
        <v>200</v>
      </c>
      <c r="F2508" s="2">
        <v>32441</v>
      </c>
      <c r="G2508" s="2">
        <v>3.1412940140000001</v>
      </c>
      <c r="H2508" s="2">
        <v>1.151348E-3</v>
      </c>
      <c r="I2508" s="2" t="s">
        <v>32766</v>
      </c>
      <c r="J2508" s="2" t="s">
        <v>32767</v>
      </c>
      <c r="K2508" s="2">
        <v>6.6461719999999997E-3</v>
      </c>
      <c r="L2508" s="2" t="s">
        <v>1178</v>
      </c>
      <c r="M2508" s="4" t="s">
        <v>14052</v>
      </c>
    </row>
    <row r="2509" spans="1:13">
      <c r="A2509" s="2">
        <v>1519</v>
      </c>
      <c r="B2509" s="2" t="s">
        <v>2478</v>
      </c>
      <c r="C2509" s="2">
        <v>11</v>
      </c>
      <c r="D2509" s="2">
        <v>568</v>
      </c>
      <c r="E2509" s="2">
        <v>200</v>
      </c>
      <c r="F2509" s="2">
        <v>32441</v>
      </c>
      <c r="G2509" s="2">
        <v>3.1412940140000001</v>
      </c>
      <c r="H2509" s="2">
        <v>1.151348E-3</v>
      </c>
      <c r="I2509" s="2" t="s">
        <v>32768</v>
      </c>
      <c r="J2509" s="2" t="s">
        <v>32769</v>
      </c>
      <c r="K2509" s="2">
        <v>6.6461719999999997E-3</v>
      </c>
      <c r="L2509" s="2" t="s">
        <v>1178</v>
      </c>
      <c r="M2509" s="4" t="s">
        <v>16477</v>
      </c>
    </row>
    <row r="2510" spans="1:13">
      <c r="A2510" s="2">
        <v>15211</v>
      </c>
      <c r="B2510" s="2" t="s">
        <v>3253</v>
      </c>
      <c r="C2510" s="2">
        <v>11</v>
      </c>
      <c r="D2510" s="2">
        <v>568</v>
      </c>
      <c r="E2510" s="2">
        <v>200</v>
      </c>
      <c r="F2510" s="2">
        <v>32441</v>
      </c>
      <c r="G2510" s="2">
        <v>3.1412940140000001</v>
      </c>
      <c r="H2510" s="2">
        <v>1.151348E-3</v>
      </c>
      <c r="I2510" s="2" t="s">
        <v>32770</v>
      </c>
      <c r="J2510" s="2" t="s">
        <v>32771</v>
      </c>
      <c r="K2510" s="2">
        <v>6.6461719999999997E-3</v>
      </c>
      <c r="L2510" s="2" t="s">
        <v>1178</v>
      </c>
      <c r="M2510" s="4" t="s">
        <v>3256</v>
      </c>
    </row>
    <row r="2511" spans="1:13">
      <c r="A2511" s="2">
        <v>1543</v>
      </c>
      <c r="B2511" s="2" t="s">
        <v>18762</v>
      </c>
      <c r="C2511" s="2">
        <v>11</v>
      </c>
      <c r="D2511" s="2">
        <v>568</v>
      </c>
      <c r="E2511" s="2">
        <v>200</v>
      </c>
      <c r="F2511" s="2">
        <v>32441</v>
      </c>
      <c r="G2511" s="2">
        <v>3.1412940140000001</v>
      </c>
      <c r="H2511" s="2">
        <v>1.151348E-3</v>
      </c>
      <c r="I2511" s="2" t="s">
        <v>32772</v>
      </c>
      <c r="J2511" s="2" t="s">
        <v>32773</v>
      </c>
      <c r="K2511" s="2">
        <v>6.6461719999999997E-3</v>
      </c>
      <c r="L2511" s="2" t="s">
        <v>1178</v>
      </c>
      <c r="M2511" s="4" t="s">
        <v>18765</v>
      </c>
    </row>
    <row r="2512" spans="1:13">
      <c r="A2512" s="2">
        <v>15491</v>
      </c>
      <c r="B2512" s="2" t="s">
        <v>3392</v>
      </c>
      <c r="C2512" s="2">
        <v>11</v>
      </c>
      <c r="D2512" s="2">
        <v>568</v>
      </c>
      <c r="E2512" s="2">
        <v>200</v>
      </c>
      <c r="F2512" s="2">
        <v>32441</v>
      </c>
      <c r="G2512" s="2">
        <v>3.1412940140000001</v>
      </c>
      <c r="H2512" s="2">
        <v>1.151348E-3</v>
      </c>
      <c r="I2512" s="2" t="s">
        <v>32774</v>
      </c>
      <c r="J2512" s="2" t="s">
        <v>32775</v>
      </c>
      <c r="K2512" s="2">
        <v>6.6461719999999997E-3</v>
      </c>
      <c r="L2512" s="2" t="s">
        <v>1178</v>
      </c>
      <c r="M2512" s="4" t="s">
        <v>3395</v>
      </c>
    </row>
    <row r="2513" spans="1:13">
      <c r="A2513" s="2">
        <v>15831</v>
      </c>
      <c r="B2513" s="2" t="s">
        <v>1587</v>
      </c>
      <c r="C2513" s="2">
        <v>11</v>
      </c>
      <c r="D2513" s="2">
        <v>568</v>
      </c>
      <c r="E2513" s="2">
        <v>200</v>
      </c>
      <c r="F2513" s="2">
        <v>32441</v>
      </c>
      <c r="G2513" s="2">
        <v>3.1412940140000001</v>
      </c>
      <c r="H2513" s="2">
        <v>1.151348E-3</v>
      </c>
      <c r="I2513" s="2" t="s">
        <v>32776</v>
      </c>
      <c r="J2513" s="2" t="s">
        <v>32777</v>
      </c>
      <c r="K2513" s="2">
        <v>6.6461719999999997E-3</v>
      </c>
      <c r="L2513" s="2" t="s">
        <v>1178</v>
      </c>
      <c r="M2513" s="4" t="s">
        <v>32778</v>
      </c>
    </row>
    <row r="2514" spans="1:13">
      <c r="A2514" s="2">
        <v>1632</v>
      </c>
      <c r="B2514" s="2" t="s">
        <v>15248</v>
      </c>
      <c r="C2514" s="2">
        <v>11</v>
      </c>
      <c r="D2514" s="2">
        <v>568</v>
      </c>
      <c r="E2514" s="2">
        <v>200</v>
      </c>
      <c r="F2514" s="2">
        <v>32441</v>
      </c>
      <c r="G2514" s="2">
        <v>3.1412940140000001</v>
      </c>
      <c r="H2514" s="2">
        <v>1.151348E-3</v>
      </c>
      <c r="I2514" s="2" t="s">
        <v>32779</v>
      </c>
      <c r="J2514" s="2" t="s">
        <v>32780</v>
      </c>
      <c r="K2514" s="2">
        <v>6.6461719999999997E-3</v>
      </c>
      <c r="L2514" s="2" t="s">
        <v>1178</v>
      </c>
      <c r="M2514" s="4" t="s">
        <v>15251</v>
      </c>
    </row>
    <row r="2515" spans="1:13">
      <c r="A2515" s="2">
        <v>16341</v>
      </c>
      <c r="B2515" s="2" t="s">
        <v>17211</v>
      </c>
      <c r="C2515" s="2">
        <v>11</v>
      </c>
      <c r="D2515" s="2">
        <v>568</v>
      </c>
      <c r="E2515" s="2">
        <v>200</v>
      </c>
      <c r="F2515" s="2">
        <v>32441</v>
      </c>
      <c r="G2515" s="2">
        <v>3.1412940140000001</v>
      </c>
      <c r="H2515" s="2">
        <v>1.151348E-3</v>
      </c>
      <c r="I2515" s="2" t="s">
        <v>32781</v>
      </c>
      <c r="J2515" s="2" t="s">
        <v>32782</v>
      </c>
      <c r="K2515" s="2">
        <v>6.6461719999999997E-3</v>
      </c>
      <c r="L2515" s="2" t="s">
        <v>1178</v>
      </c>
      <c r="M2515" s="4" t="s">
        <v>17214</v>
      </c>
    </row>
    <row r="2516" spans="1:13">
      <c r="A2516" s="2">
        <v>1636</v>
      </c>
      <c r="B2516" s="2" t="s">
        <v>1896</v>
      </c>
      <c r="C2516" s="2">
        <v>11</v>
      </c>
      <c r="D2516" s="2">
        <v>568</v>
      </c>
      <c r="E2516" s="2">
        <v>200</v>
      </c>
      <c r="F2516" s="2">
        <v>32441</v>
      </c>
      <c r="G2516" s="2">
        <v>3.1412940140000001</v>
      </c>
      <c r="H2516" s="2">
        <v>1.151348E-3</v>
      </c>
      <c r="I2516" s="2" t="s">
        <v>32783</v>
      </c>
      <c r="J2516" s="2" t="s">
        <v>32784</v>
      </c>
      <c r="K2516" s="2">
        <v>6.6461719999999997E-3</v>
      </c>
      <c r="L2516" s="2" t="s">
        <v>1178</v>
      </c>
      <c r="M2516" s="4" t="s">
        <v>15787</v>
      </c>
    </row>
    <row r="2517" spans="1:13">
      <c r="A2517" s="2">
        <v>1662</v>
      </c>
      <c r="B2517" s="2" t="s">
        <v>1299</v>
      </c>
      <c r="C2517" s="2">
        <v>11</v>
      </c>
      <c r="D2517" s="2">
        <v>568</v>
      </c>
      <c r="E2517" s="2">
        <v>200</v>
      </c>
      <c r="F2517" s="2">
        <v>32441</v>
      </c>
      <c r="G2517" s="2">
        <v>3.1412940140000001</v>
      </c>
      <c r="H2517" s="2">
        <v>1.151348E-3</v>
      </c>
      <c r="I2517" s="2" t="s">
        <v>32785</v>
      </c>
      <c r="J2517" s="2" t="s">
        <v>32786</v>
      </c>
      <c r="K2517" s="2">
        <v>6.6461719999999997E-3</v>
      </c>
      <c r="L2517" s="2" t="s">
        <v>1178</v>
      </c>
      <c r="M2517" s="4" t="s">
        <v>23420</v>
      </c>
    </row>
    <row r="2518" spans="1:13">
      <c r="A2518" s="2">
        <v>1687</v>
      </c>
      <c r="B2518" s="2" t="s">
        <v>15804</v>
      </c>
      <c r="C2518" s="2">
        <v>11</v>
      </c>
      <c r="D2518" s="2">
        <v>568</v>
      </c>
      <c r="E2518" s="2">
        <v>200</v>
      </c>
      <c r="F2518" s="2">
        <v>32441</v>
      </c>
      <c r="G2518" s="2">
        <v>3.1412940140000001</v>
      </c>
      <c r="H2518" s="2">
        <v>1.151348E-3</v>
      </c>
      <c r="I2518" s="2" t="s">
        <v>32787</v>
      </c>
      <c r="J2518" s="2" t="s">
        <v>32788</v>
      </c>
      <c r="K2518" s="2">
        <v>6.6461719999999997E-3</v>
      </c>
      <c r="L2518" s="2" t="s">
        <v>1178</v>
      </c>
      <c r="M2518" s="4" t="s">
        <v>15807</v>
      </c>
    </row>
    <row r="2519" spans="1:13">
      <c r="A2519" s="2">
        <v>1788</v>
      </c>
      <c r="B2519" s="2" t="s">
        <v>20895</v>
      </c>
      <c r="C2519" s="2">
        <v>11</v>
      </c>
      <c r="D2519" s="2">
        <v>568</v>
      </c>
      <c r="E2519" s="2">
        <v>200</v>
      </c>
      <c r="F2519" s="2">
        <v>32441</v>
      </c>
      <c r="G2519" s="2">
        <v>3.1412940140000001</v>
      </c>
      <c r="H2519" s="2">
        <v>1.151348E-3</v>
      </c>
      <c r="I2519" s="2" t="s">
        <v>32789</v>
      </c>
      <c r="J2519" s="2" t="s">
        <v>32790</v>
      </c>
      <c r="K2519" s="2">
        <v>6.6461719999999997E-3</v>
      </c>
      <c r="L2519" s="2" t="s">
        <v>1178</v>
      </c>
      <c r="M2519" s="4" t="s">
        <v>20898</v>
      </c>
    </row>
    <row r="2520" spans="1:13">
      <c r="A2520" s="2">
        <v>1793</v>
      </c>
      <c r="B2520" s="2" t="s">
        <v>17255</v>
      </c>
      <c r="C2520" s="2">
        <v>11</v>
      </c>
      <c r="D2520" s="2">
        <v>568</v>
      </c>
      <c r="E2520" s="2">
        <v>200</v>
      </c>
      <c r="F2520" s="2">
        <v>32441</v>
      </c>
      <c r="G2520" s="2">
        <v>3.1412940140000001</v>
      </c>
      <c r="H2520" s="2">
        <v>1.151348E-3</v>
      </c>
      <c r="I2520" s="2" t="s">
        <v>32791</v>
      </c>
      <c r="J2520" s="2" t="s">
        <v>32792</v>
      </c>
      <c r="K2520" s="2">
        <v>6.6461719999999997E-3</v>
      </c>
      <c r="L2520" s="2" t="s">
        <v>1178</v>
      </c>
      <c r="M2520" s="4" t="s">
        <v>17258</v>
      </c>
    </row>
    <row r="2521" spans="1:13">
      <c r="A2521" s="2">
        <v>1795</v>
      </c>
      <c r="B2521" s="2" t="s">
        <v>20903</v>
      </c>
      <c r="C2521" s="2">
        <v>11</v>
      </c>
      <c r="D2521" s="2">
        <v>568</v>
      </c>
      <c r="E2521" s="2">
        <v>200</v>
      </c>
      <c r="F2521" s="2">
        <v>32441</v>
      </c>
      <c r="G2521" s="2">
        <v>3.1412940140000001</v>
      </c>
      <c r="H2521" s="2">
        <v>1.151348E-3</v>
      </c>
      <c r="I2521" s="2" t="s">
        <v>32793</v>
      </c>
      <c r="J2521" s="2" t="s">
        <v>32794</v>
      </c>
      <c r="K2521" s="2">
        <v>6.6461719999999997E-3</v>
      </c>
      <c r="L2521" s="2" t="s">
        <v>1178</v>
      </c>
      <c r="M2521" s="4" t="s">
        <v>20906</v>
      </c>
    </row>
    <row r="2522" spans="1:13">
      <c r="A2522" s="2">
        <v>1804</v>
      </c>
      <c r="B2522" s="2" t="s">
        <v>18008</v>
      </c>
      <c r="C2522" s="2">
        <v>11</v>
      </c>
      <c r="D2522" s="2">
        <v>568</v>
      </c>
      <c r="E2522" s="2">
        <v>200</v>
      </c>
      <c r="F2522" s="2">
        <v>32441</v>
      </c>
      <c r="G2522" s="2">
        <v>3.1412940140000001</v>
      </c>
      <c r="H2522" s="2">
        <v>1.151348E-3</v>
      </c>
      <c r="I2522" s="2" t="s">
        <v>32795</v>
      </c>
      <c r="J2522" s="2" t="s">
        <v>32796</v>
      </c>
      <c r="K2522" s="2">
        <v>6.6461719999999997E-3</v>
      </c>
      <c r="L2522" s="2" t="s">
        <v>1178</v>
      </c>
      <c r="M2522" s="4" t="s">
        <v>18011</v>
      </c>
    </row>
    <row r="2523" spans="1:13">
      <c r="A2523" s="2">
        <v>1806</v>
      </c>
      <c r="B2523" s="2" t="s">
        <v>13776</v>
      </c>
      <c r="C2523" s="2">
        <v>11</v>
      </c>
      <c r="D2523" s="2">
        <v>568</v>
      </c>
      <c r="E2523" s="2">
        <v>200</v>
      </c>
      <c r="F2523" s="2">
        <v>32441</v>
      </c>
      <c r="G2523" s="2">
        <v>3.1412940140000001</v>
      </c>
      <c r="H2523" s="2">
        <v>1.151348E-3</v>
      </c>
      <c r="I2523" s="2" t="s">
        <v>32797</v>
      </c>
      <c r="J2523" s="2" t="s">
        <v>32798</v>
      </c>
      <c r="K2523" s="2">
        <v>6.6461719999999997E-3</v>
      </c>
      <c r="L2523" s="2" t="s">
        <v>1178</v>
      </c>
      <c r="M2523" s="4" t="s">
        <v>13779</v>
      </c>
    </row>
    <row r="2524" spans="1:13">
      <c r="A2524" s="2">
        <v>1841</v>
      </c>
      <c r="B2524" s="2" t="s">
        <v>32799</v>
      </c>
      <c r="C2524" s="2">
        <v>11</v>
      </c>
      <c r="D2524" s="2">
        <v>568</v>
      </c>
      <c r="E2524" s="2">
        <v>200</v>
      </c>
      <c r="F2524" s="2">
        <v>32441</v>
      </c>
      <c r="G2524" s="2">
        <v>3.1412940140000001</v>
      </c>
      <c r="H2524" s="2">
        <v>1.151348E-3</v>
      </c>
      <c r="I2524" s="2" t="s">
        <v>32800</v>
      </c>
      <c r="J2524" s="2" t="s">
        <v>32801</v>
      </c>
      <c r="K2524" s="2">
        <v>6.6461719999999997E-3</v>
      </c>
      <c r="L2524" s="2" t="s">
        <v>1178</v>
      </c>
      <c r="M2524" s="4" t="s">
        <v>32802</v>
      </c>
    </row>
    <row r="2525" spans="1:13">
      <c r="A2525" s="2">
        <v>1869</v>
      </c>
      <c r="B2525" s="2" t="s">
        <v>1902</v>
      </c>
      <c r="C2525" s="2">
        <v>11</v>
      </c>
      <c r="D2525" s="2">
        <v>568</v>
      </c>
      <c r="E2525" s="2">
        <v>200</v>
      </c>
      <c r="F2525" s="2">
        <v>32441</v>
      </c>
      <c r="G2525" s="2">
        <v>3.1412940140000001</v>
      </c>
      <c r="H2525" s="2">
        <v>1.151348E-3</v>
      </c>
      <c r="I2525" s="2" t="s">
        <v>32803</v>
      </c>
      <c r="J2525" s="2" t="s">
        <v>32804</v>
      </c>
      <c r="K2525" s="2">
        <v>6.6461719999999997E-3</v>
      </c>
      <c r="L2525" s="2" t="s">
        <v>1178</v>
      </c>
      <c r="M2525" s="4" t="s">
        <v>22122</v>
      </c>
    </row>
    <row r="2526" spans="1:13">
      <c r="A2526" s="2">
        <v>1873</v>
      </c>
      <c r="B2526" s="2" t="s">
        <v>19808</v>
      </c>
      <c r="C2526" s="2">
        <v>11</v>
      </c>
      <c r="D2526" s="2">
        <v>568</v>
      </c>
      <c r="E2526" s="2">
        <v>200</v>
      </c>
      <c r="F2526" s="2">
        <v>32441</v>
      </c>
      <c r="G2526" s="2">
        <v>3.1412940140000001</v>
      </c>
      <c r="H2526" s="2">
        <v>1.151348E-3</v>
      </c>
      <c r="I2526" s="2" t="s">
        <v>32805</v>
      </c>
      <c r="J2526" s="2" t="s">
        <v>32806</v>
      </c>
      <c r="K2526" s="2">
        <v>6.6461719999999997E-3</v>
      </c>
      <c r="L2526" s="2" t="s">
        <v>1178</v>
      </c>
      <c r="M2526" s="4" t="s">
        <v>19811</v>
      </c>
    </row>
    <row r="2527" spans="1:13">
      <c r="A2527" s="2">
        <v>1900</v>
      </c>
      <c r="B2527" s="2" t="s">
        <v>12691</v>
      </c>
      <c r="C2527" s="2">
        <v>11</v>
      </c>
      <c r="D2527" s="2">
        <v>568</v>
      </c>
      <c r="E2527" s="2">
        <v>200</v>
      </c>
      <c r="F2527" s="2">
        <v>32441</v>
      </c>
      <c r="G2527" s="2">
        <v>3.1412940140000001</v>
      </c>
      <c r="H2527" s="2">
        <v>1.151348E-3</v>
      </c>
      <c r="I2527" s="2" t="s">
        <v>32807</v>
      </c>
      <c r="J2527" s="2" t="s">
        <v>32808</v>
      </c>
      <c r="K2527" s="2">
        <v>6.6461719999999997E-3</v>
      </c>
      <c r="L2527" s="2" t="s">
        <v>1178</v>
      </c>
      <c r="M2527" s="4" t="s">
        <v>12694</v>
      </c>
    </row>
    <row r="2528" spans="1:13">
      <c r="A2528" s="2">
        <v>1912</v>
      </c>
      <c r="B2528" s="2" t="s">
        <v>32809</v>
      </c>
      <c r="C2528" s="2">
        <v>11</v>
      </c>
      <c r="D2528" s="2">
        <v>568</v>
      </c>
      <c r="E2528" s="2">
        <v>200</v>
      </c>
      <c r="F2528" s="2">
        <v>32441</v>
      </c>
      <c r="G2528" s="2">
        <v>3.1412940140000001</v>
      </c>
      <c r="H2528" s="2">
        <v>1.151348E-3</v>
      </c>
      <c r="I2528" s="2" t="s">
        <v>32810</v>
      </c>
      <c r="J2528" s="2" t="s">
        <v>32811</v>
      </c>
      <c r="K2528" s="2">
        <v>6.6461719999999997E-3</v>
      </c>
      <c r="L2528" s="2" t="s">
        <v>1178</v>
      </c>
      <c r="M2528" s="4" t="s">
        <v>32812</v>
      </c>
    </row>
    <row r="2529" spans="1:13">
      <c r="A2529" s="2">
        <v>1927</v>
      </c>
      <c r="B2529" s="2" t="s">
        <v>14817</v>
      </c>
      <c r="C2529" s="2">
        <v>11</v>
      </c>
      <c r="D2529" s="2">
        <v>568</v>
      </c>
      <c r="E2529" s="2">
        <v>200</v>
      </c>
      <c r="F2529" s="2">
        <v>32441</v>
      </c>
      <c r="G2529" s="2">
        <v>3.1412940140000001</v>
      </c>
      <c r="H2529" s="2">
        <v>1.151348E-3</v>
      </c>
      <c r="I2529" s="2" t="s">
        <v>32813</v>
      </c>
      <c r="J2529" s="2" t="s">
        <v>32814</v>
      </c>
      <c r="K2529" s="2">
        <v>6.6461719999999997E-3</v>
      </c>
      <c r="L2529" s="2" t="s">
        <v>1178</v>
      </c>
      <c r="M2529" s="4" t="s">
        <v>14820</v>
      </c>
    </row>
    <row r="2530" spans="1:13">
      <c r="A2530" s="2">
        <v>1935</v>
      </c>
      <c r="B2530" s="2" t="s">
        <v>23493</v>
      </c>
      <c r="C2530" s="2">
        <v>11</v>
      </c>
      <c r="D2530" s="2">
        <v>568</v>
      </c>
      <c r="E2530" s="2">
        <v>200</v>
      </c>
      <c r="F2530" s="2">
        <v>32441</v>
      </c>
      <c r="G2530" s="2">
        <v>3.1412940140000001</v>
      </c>
      <c r="H2530" s="2">
        <v>1.151348E-3</v>
      </c>
      <c r="I2530" s="2" t="s">
        <v>32815</v>
      </c>
      <c r="J2530" s="2" t="s">
        <v>32816</v>
      </c>
      <c r="K2530" s="2">
        <v>6.6461719999999997E-3</v>
      </c>
      <c r="L2530" s="2" t="s">
        <v>1178</v>
      </c>
      <c r="M2530" s="4" t="s">
        <v>23496</v>
      </c>
    </row>
    <row r="2531" spans="1:13">
      <c r="A2531" s="2">
        <v>1955</v>
      </c>
      <c r="B2531" s="2" t="s">
        <v>18024</v>
      </c>
      <c r="C2531" s="2">
        <v>11</v>
      </c>
      <c r="D2531" s="2">
        <v>568</v>
      </c>
      <c r="E2531" s="2">
        <v>200</v>
      </c>
      <c r="F2531" s="2">
        <v>32441</v>
      </c>
      <c r="G2531" s="2">
        <v>3.1412940140000001</v>
      </c>
      <c r="H2531" s="2">
        <v>1.151348E-3</v>
      </c>
      <c r="I2531" s="2" t="s">
        <v>32817</v>
      </c>
      <c r="J2531" s="2" t="s">
        <v>32818</v>
      </c>
      <c r="K2531" s="2">
        <v>6.6461719999999997E-3</v>
      </c>
      <c r="L2531" s="2" t="s">
        <v>1178</v>
      </c>
      <c r="M2531" s="4" t="s">
        <v>18027</v>
      </c>
    </row>
    <row r="2532" spans="1:13">
      <c r="A2532" s="2">
        <v>1965</v>
      </c>
      <c r="B2532" s="2" t="s">
        <v>15333</v>
      </c>
      <c r="C2532" s="2">
        <v>11</v>
      </c>
      <c r="D2532" s="2">
        <v>568</v>
      </c>
      <c r="E2532" s="2">
        <v>200</v>
      </c>
      <c r="F2532" s="2">
        <v>32441</v>
      </c>
      <c r="G2532" s="2">
        <v>3.1412940140000001</v>
      </c>
      <c r="H2532" s="2">
        <v>1.151348E-3</v>
      </c>
      <c r="I2532" s="2" t="s">
        <v>32819</v>
      </c>
      <c r="J2532" s="2" t="s">
        <v>32820</v>
      </c>
      <c r="K2532" s="2">
        <v>6.6461719999999997E-3</v>
      </c>
      <c r="L2532" s="2" t="s">
        <v>1178</v>
      </c>
      <c r="M2532" s="4" t="s">
        <v>15336</v>
      </c>
    </row>
    <row r="2533" spans="1:13">
      <c r="A2533" s="2">
        <v>2012</v>
      </c>
      <c r="B2533" s="2" t="s">
        <v>18825</v>
      </c>
      <c r="C2533" s="2">
        <v>11</v>
      </c>
      <c r="D2533" s="2">
        <v>568</v>
      </c>
      <c r="E2533" s="2">
        <v>200</v>
      </c>
      <c r="F2533" s="2">
        <v>32441</v>
      </c>
      <c r="G2533" s="2">
        <v>3.1412940140000001</v>
      </c>
      <c r="H2533" s="2">
        <v>1.151348E-3</v>
      </c>
      <c r="I2533" s="2" t="s">
        <v>32821</v>
      </c>
      <c r="J2533" s="2" t="s">
        <v>32822</v>
      </c>
      <c r="K2533" s="2">
        <v>6.6461719999999997E-3</v>
      </c>
      <c r="L2533" s="2" t="s">
        <v>1178</v>
      </c>
      <c r="M2533" s="4" t="s">
        <v>18828</v>
      </c>
    </row>
    <row r="2534" spans="1:13">
      <c r="A2534" s="2">
        <v>2017</v>
      </c>
      <c r="B2534" s="2" t="s">
        <v>3428</v>
      </c>
      <c r="C2534" s="2">
        <v>11</v>
      </c>
      <c r="D2534" s="2">
        <v>568</v>
      </c>
      <c r="E2534" s="2">
        <v>200</v>
      </c>
      <c r="F2534" s="2">
        <v>32441</v>
      </c>
      <c r="G2534" s="2">
        <v>3.1412940140000001</v>
      </c>
      <c r="H2534" s="2">
        <v>1.151348E-3</v>
      </c>
      <c r="I2534" s="2" t="s">
        <v>32823</v>
      </c>
      <c r="J2534" s="2" t="s">
        <v>32824</v>
      </c>
      <c r="K2534" s="2">
        <v>6.6461719999999997E-3</v>
      </c>
      <c r="L2534" s="2" t="s">
        <v>1178</v>
      </c>
      <c r="M2534" s="4" t="s">
        <v>3431</v>
      </c>
    </row>
    <row r="2535" spans="1:13">
      <c r="A2535" s="2">
        <v>2030</v>
      </c>
      <c r="B2535" s="2" t="s">
        <v>19830</v>
      </c>
      <c r="C2535" s="2">
        <v>11</v>
      </c>
      <c r="D2535" s="2">
        <v>568</v>
      </c>
      <c r="E2535" s="2">
        <v>199</v>
      </c>
      <c r="F2535" s="2">
        <v>32441</v>
      </c>
      <c r="G2535" s="2">
        <v>3.1570794109999998</v>
      </c>
      <c r="H2535" s="2">
        <v>1.1080949999999999E-3</v>
      </c>
      <c r="I2535" s="2" t="s">
        <v>32825</v>
      </c>
      <c r="J2535" s="2" t="s">
        <v>32826</v>
      </c>
      <c r="K2535" s="2">
        <v>6.6461719999999997E-3</v>
      </c>
      <c r="L2535" s="2" t="s">
        <v>1178</v>
      </c>
      <c r="M2535" s="4" t="s">
        <v>19833</v>
      </c>
    </row>
    <row r="2536" spans="1:13">
      <c r="A2536" s="2">
        <v>20461</v>
      </c>
      <c r="B2536" s="2" t="s">
        <v>22158</v>
      </c>
      <c r="C2536" s="2">
        <v>11</v>
      </c>
      <c r="D2536" s="2">
        <v>568</v>
      </c>
      <c r="E2536" s="2">
        <v>200</v>
      </c>
      <c r="F2536" s="2">
        <v>32441</v>
      </c>
      <c r="G2536" s="2">
        <v>3.1412940140000001</v>
      </c>
      <c r="H2536" s="2">
        <v>1.151348E-3</v>
      </c>
      <c r="I2536" s="2" t="s">
        <v>32827</v>
      </c>
      <c r="J2536" s="2" t="s">
        <v>32828</v>
      </c>
      <c r="K2536" s="2">
        <v>6.6461719999999997E-3</v>
      </c>
      <c r="L2536" s="2" t="s">
        <v>1178</v>
      </c>
      <c r="M2536" s="4" t="s">
        <v>22161</v>
      </c>
    </row>
    <row r="2537" spans="1:13">
      <c r="A2537" s="2">
        <v>2114</v>
      </c>
      <c r="B2537" s="2" t="s">
        <v>19838</v>
      </c>
      <c r="C2537" s="2">
        <v>11</v>
      </c>
      <c r="D2537" s="2">
        <v>568</v>
      </c>
      <c r="E2537" s="2">
        <v>200</v>
      </c>
      <c r="F2537" s="2">
        <v>32441</v>
      </c>
      <c r="G2537" s="2">
        <v>3.1412940140000001</v>
      </c>
      <c r="H2537" s="2">
        <v>1.151348E-3</v>
      </c>
      <c r="I2537" s="2" t="s">
        <v>32829</v>
      </c>
      <c r="J2537" s="2" t="s">
        <v>32830</v>
      </c>
      <c r="K2537" s="2">
        <v>6.6461719999999997E-3</v>
      </c>
      <c r="L2537" s="2" t="s">
        <v>1178</v>
      </c>
      <c r="M2537" s="4" t="s">
        <v>19841</v>
      </c>
    </row>
    <row r="2538" spans="1:13">
      <c r="A2538" s="2">
        <v>21181</v>
      </c>
      <c r="B2538" s="2" t="s">
        <v>14446</v>
      </c>
      <c r="C2538" s="2">
        <v>11</v>
      </c>
      <c r="D2538" s="2">
        <v>568</v>
      </c>
      <c r="E2538" s="2">
        <v>200</v>
      </c>
      <c r="F2538" s="2">
        <v>32441</v>
      </c>
      <c r="G2538" s="2">
        <v>3.1412940140000001</v>
      </c>
      <c r="H2538" s="2">
        <v>1.151348E-3</v>
      </c>
      <c r="I2538" s="2" t="s">
        <v>32831</v>
      </c>
      <c r="J2538" s="2" t="s">
        <v>32832</v>
      </c>
      <c r="K2538" s="2">
        <v>6.6461719999999997E-3</v>
      </c>
      <c r="L2538" s="2" t="s">
        <v>1178</v>
      </c>
      <c r="M2538" s="4" t="s">
        <v>14449</v>
      </c>
    </row>
    <row r="2539" spans="1:13">
      <c r="A2539" s="2">
        <v>2190</v>
      </c>
      <c r="B2539" s="2" t="s">
        <v>32833</v>
      </c>
      <c r="C2539" s="2">
        <v>11</v>
      </c>
      <c r="D2539" s="2">
        <v>568</v>
      </c>
      <c r="E2539" s="2">
        <v>199</v>
      </c>
      <c r="F2539" s="2">
        <v>32441</v>
      </c>
      <c r="G2539" s="2">
        <v>3.1570794109999998</v>
      </c>
      <c r="H2539" s="2">
        <v>1.1080949999999999E-3</v>
      </c>
      <c r="I2539" s="2" t="s">
        <v>32834</v>
      </c>
      <c r="J2539" s="2" t="s">
        <v>32835</v>
      </c>
      <c r="K2539" s="2">
        <v>6.6461719999999997E-3</v>
      </c>
      <c r="L2539" s="2" t="s">
        <v>1178</v>
      </c>
      <c r="M2539" s="4" t="s">
        <v>32836</v>
      </c>
    </row>
    <row r="2540" spans="1:13">
      <c r="A2540" s="2">
        <v>21951</v>
      </c>
      <c r="B2540" s="2" t="s">
        <v>3436</v>
      </c>
      <c r="C2540" s="2">
        <v>11</v>
      </c>
      <c r="D2540" s="2">
        <v>568</v>
      </c>
      <c r="E2540" s="2">
        <v>200</v>
      </c>
      <c r="F2540" s="2">
        <v>32441</v>
      </c>
      <c r="G2540" s="2">
        <v>3.1412940140000001</v>
      </c>
      <c r="H2540" s="2">
        <v>1.151348E-3</v>
      </c>
      <c r="I2540" s="2" t="s">
        <v>32837</v>
      </c>
      <c r="J2540" s="2" t="s">
        <v>32838</v>
      </c>
      <c r="K2540" s="2">
        <v>6.6461719999999997E-3</v>
      </c>
      <c r="L2540" s="2" t="s">
        <v>1178</v>
      </c>
      <c r="M2540" s="4" t="s">
        <v>3439</v>
      </c>
    </row>
    <row r="2541" spans="1:13">
      <c r="A2541" s="2">
        <v>2200</v>
      </c>
      <c r="B2541" s="2" t="s">
        <v>16545</v>
      </c>
      <c r="C2541" s="2">
        <v>11</v>
      </c>
      <c r="D2541" s="2">
        <v>568</v>
      </c>
      <c r="E2541" s="2">
        <v>200</v>
      </c>
      <c r="F2541" s="2">
        <v>32441</v>
      </c>
      <c r="G2541" s="2">
        <v>3.1412940140000001</v>
      </c>
      <c r="H2541" s="2">
        <v>1.151348E-3</v>
      </c>
      <c r="I2541" s="2" t="s">
        <v>32839</v>
      </c>
      <c r="J2541" s="2" t="s">
        <v>32840</v>
      </c>
      <c r="K2541" s="2">
        <v>6.6461719999999997E-3</v>
      </c>
      <c r="L2541" s="2" t="s">
        <v>1178</v>
      </c>
      <c r="M2541" s="4" t="s">
        <v>16548</v>
      </c>
    </row>
    <row r="2542" spans="1:13">
      <c r="A2542" s="2">
        <v>2220</v>
      </c>
      <c r="B2542" s="2" t="s">
        <v>3444</v>
      </c>
      <c r="C2542" s="2">
        <v>11</v>
      </c>
      <c r="D2542" s="2">
        <v>568</v>
      </c>
      <c r="E2542" s="2">
        <v>200</v>
      </c>
      <c r="F2542" s="2">
        <v>32441</v>
      </c>
      <c r="G2542" s="2">
        <v>3.1412940140000001</v>
      </c>
      <c r="H2542" s="2">
        <v>1.151348E-3</v>
      </c>
      <c r="I2542" s="2" t="s">
        <v>32841</v>
      </c>
      <c r="J2542" s="2" t="s">
        <v>32842</v>
      </c>
      <c r="K2542" s="2">
        <v>6.6461719999999997E-3</v>
      </c>
      <c r="L2542" s="2" t="s">
        <v>1178</v>
      </c>
      <c r="M2542" s="4" t="s">
        <v>3447</v>
      </c>
    </row>
    <row r="2543" spans="1:13">
      <c r="A2543" s="2">
        <v>2239</v>
      </c>
      <c r="B2543" s="2" t="s">
        <v>13788</v>
      </c>
      <c r="C2543" s="2">
        <v>11</v>
      </c>
      <c r="D2543" s="2">
        <v>568</v>
      </c>
      <c r="E2543" s="2">
        <v>200</v>
      </c>
      <c r="F2543" s="2">
        <v>32441</v>
      </c>
      <c r="G2543" s="2">
        <v>3.1412940140000001</v>
      </c>
      <c r="H2543" s="2">
        <v>1.151348E-3</v>
      </c>
      <c r="I2543" s="2" t="s">
        <v>32843</v>
      </c>
      <c r="J2543" s="2" t="s">
        <v>32844</v>
      </c>
      <c r="K2543" s="2">
        <v>6.6461719999999997E-3</v>
      </c>
      <c r="L2543" s="2" t="s">
        <v>1178</v>
      </c>
      <c r="M2543" s="4" t="s">
        <v>13791</v>
      </c>
    </row>
    <row r="2544" spans="1:13">
      <c r="A2544" s="2">
        <v>22651</v>
      </c>
      <c r="B2544" s="2" t="s">
        <v>32845</v>
      </c>
      <c r="C2544" s="2">
        <v>11</v>
      </c>
      <c r="D2544" s="2">
        <v>568</v>
      </c>
      <c r="E2544" s="2">
        <v>200</v>
      </c>
      <c r="F2544" s="2">
        <v>32441</v>
      </c>
      <c r="G2544" s="2">
        <v>3.1412940140000001</v>
      </c>
      <c r="H2544" s="2">
        <v>1.151348E-3</v>
      </c>
      <c r="I2544" s="2" t="s">
        <v>32846</v>
      </c>
      <c r="J2544" s="2" t="s">
        <v>32847</v>
      </c>
      <c r="K2544" s="2">
        <v>6.6461719999999997E-3</v>
      </c>
      <c r="L2544" s="2" t="s">
        <v>1178</v>
      </c>
      <c r="M2544" s="4" t="s">
        <v>32848</v>
      </c>
    </row>
    <row r="2545" spans="1:13">
      <c r="A2545" s="2">
        <v>23711</v>
      </c>
      <c r="B2545" s="2" t="s">
        <v>23623</v>
      </c>
      <c r="C2545" s="2">
        <v>11</v>
      </c>
      <c r="D2545" s="2">
        <v>568</v>
      </c>
      <c r="E2545" s="2">
        <v>200</v>
      </c>
      <c r="F2545" s="2">
        <v>32441</v>
      </c>
      <c r="G2545" s="2">
        <v>3.1412940140000001</v>
      </c>
      <c r="H2545" s="2">
        <v>1.151348E-3</v>
      </c>
      <c r="I2545" s="2" t="s">
        <v>32849</v>
      </c>
      <c r="J2545" s="2" t="s">
        <v>32850</v>
      </c>
      <c r="K2545" s="2">
        <v>6.6461719999999997E-3</v>
      </c>
      <c r="L2545" s="2" t="s">
        <v>1178</v>
      </c>
      <c r="M2545" s="4" t="s">
        <v>23626</v>
      </c>
    </row>
    <row r="2546" spans="1:13">
      <c r="A2546" s="2">
        <v>2388</v>
      </c>
      <c r="B2546" s="2" t="s">
        <v>32851</v>
      </c>
      <c r="C2546" s="2">
        <v>11</v>
      </c>
      <c r="D2546" s="2">
        <v>568</v>
      </c>
      <c r="E2546" s="2">
        <v>200</v>
      </c>
      <c r="F2546" s="2">
        <v>32441</v>
      </c>
      <c r="G2546" s="2">
        <v>3.1412940140000001</v>
      </c>
      <c r="H2546" s="2">
        <v>1.151348E-3</v>
      </c>
      <c r="I2546" s="2" t="s">
        <v>32852</v>
      </c>
      <c r="J2546" s="2" t="s">
        <v>32853</v>
      </c>
      <c r="K2546" s="2">
        <v>6.6461719999999997E-3</v>
      </c>
      <c r="L2546" s="2" t="s">
        <v>1178</v>
      </c>
      <c r="M2546" s="4" t="s">
        <v>32854</v>
      </c>
    </row>
    <row r="2547" spans="1:13">
      <c r="A2547" s="2">
        <v>2395</v>
      </c>
      <c r="B2547" s="2" t="s">
        <v>21043</v>
      </c>
      <c r="C2547" s="2">
        <v>11</v>
      </c>
      <c r="D2547" s="2">
        <v>568</v>
      </c>
      <c r="E2547" s="2">
        <v>200</v>
      </c>
      <c r="F2547" s="2">
        <v>32441</v>
      </c>
      <c r="G2547" s="2">
        <v>3.1412940140000001</v>
      </c>
      <c r="H2547" s="2">
        <v>1.151348E-3</v>
      </c>
      <c r="I2547" s="2" t="s">
        <v>32855</v>
      </c>
      <c r="J2547" s="2" t="s">
        <v>32856</v>
      </c>
      <c r="K2547" s="2">
        <v>6.6461719999999997E-3</v>
      </c>
      <c r="L2547" s="2" t="s">
        <v>1178</v>
      </c>
      <c r="M2547" s="4" t="s">
        <v>21046</v>
      </c>
    </row>
    <row r="2548" spans="1:13">
      <c r="A2548" s="2">
        <v>2403</v>
      </c>
      <c r="B2548" s="2" t="s">
        <v>18082</v>
      </c>
      <c r="C2548" s="2">
        <v>11</v>
      </c>
      <c r="D2548" s="2">
        <v>568</v>
      </c>
      <c r="E2548" s="2">
        <v>200</v>
      </c>
      <c r="F2548" s="2">
        <v>32441</v>
      </c>
      <c r="G2548" s="2">
        <v>3.1412940140000001</v>
      </c>
      <c r="H2548" s="2">
        <v>1.151348E-3</v>
      </c>
      <c r="I2548" s="2" t="s">
        <v>32857</v>
      </c>
      <c r="J2548" s="2" t="s">
        <v>32858</v>
      </c>
      <c r="K2548" s="2">
        <v>6.6461719999999997E-3</v>
      </c>
      <c r="L2548" s="2" t="s">
        <v>1178</v>
      </c>
      <c r="M2548" s="4" t="s">
        <v>18085</v>
      </c>
    </row>
    <row r="2549" spans="1:13">
      <c r="A2549" s="2">
        <v>2416</v>
      </c>
      <c r="B2549" s="2" t="s">
        <v>32859</v>
      </c>
      <c r="C2549" s="2">
        <v>11</v>
      </c>
      <c r="D2549" s="2">
        <v>568</v>
      </c>
      <c r="E2549" s="2">
        <v>200</v>
      </c>
      <c r="F2549" s="2">
        <v>32441</v>
      </c>
      <c r="G2549" s="2">
        <v>3.1412940140000001</v>
      </c>
      <c r="H2549" s="2">
        <v>1.151348E-3</v>
      </c>
      <c r="I2549" s="2" t="s">
        <v>32860</v>
      </c>
      <c r="J2549" s="2" t="s">
        <v>32861</v>
      </c>
      <c r="K2549" s="2">
        <v>6.6461719999999997E-3</v>
      </c>
      <c r="L2549" s="2" t="s">
        <v>1178</v>
      </c>
      <c r="M2549" s="4" t="s">
        <v>32862</v>
      </c>
    </row>
    <row r="2550" spans="1:13">
      <c r="A2550" s="2">
        <v>2519</v>
      </c>
      <c r="B2550" s="2" t="s">
        <v>23658</v>
      </c>
      <c r="C2550" s="2">
        <v>11</v>
      </c>
      <c r="D2550" s="2">
        <v>568</v>
      </c>
      <c r="E2550" s="2">
        <v>200</v>
      </c>
      <c r="F2550" s="2">
        <v>32441</v>
      </c>
      <c r="G2550" s="2">
        <v>3.1412940140000001</v>
      </c>
      <c r="H2550" s="2">
        <v>1.151348E-3</v>
      </c>
      <c r="I2550" s="2" t="s">
        <v>32863</v>
      </c>
      <c r="J2550" s="2" t="s">
        <v>32864</v>
      </c>
      <c r="K2550" s="2">
        <v>6.6461719999999997E-3</v>
      </c>
      <c r="L2550" s="2" t="s">
        <v>1178</v>
      </c>
      <c r="M2550" s="4" t="s">
        <v>23661</v>
      </c>
    </row>
    <row r="2551" spans="1:13">
      <c r="A2551" s="2">
        <v>2527</v>
      </c>
      <c r="B2551" s="2" t="s">
        <v>16897</v>
      </c>
      <c r="C2551" s="2">
        <v>10</v>
      </c>
      <c r="D2551" s="2">
        <v>568</v>
      </c>
      <c r="E2551" s="2">
        <v>166</v>
      </c>
      <c r="F2551" s="2">
        <v>32441</v>
      </c>
      <c r="G2551" s="2">
        <v>3.4406287120000001</v>
      </c>
      <c r="H2551" s="2">
        <v>9.9949799999999992E-4</v>
      </c>
      <c r="I2551" s="2" t="s">
        <v>32865</v>
      </c>
      <c r="J2551" s="2" t="s">
        <v>32866</v>
      </c>
      <c r="K2551" s="2">
        <v>6.6461719999999997E-3</v>
      </c>
      <c r="L2551" s="2" t="s">
        <v>1178</v>
      </c>
      <c r="M2551" s="4" t="s">
        <v>16900</v>
      </c>
    </row>
    <row r="2552" spans="1:13">
      <c r="A2552" s="2">
        <v>2570</v>
      </c>
      <c r="B2552" s="2" t="s">
        <v>17694</v>
      </c>
      <c r="C2552" s="2">
        <v>10</v>
      </c>
      <c r="D2552" s="2">
        <v>568</v>
      </c>
      <c r="E2552" s="2">
        <v>166</v>
      </c>
      <c r="F2552" s="2">
        <v>32441</v>
      </c>
      <c r="G2552" s="2">
        <v>3.4406287120000001</v>
      </c>
      <c r="H2552" s="2">
        <v>9.9949799999999992E-4</v>
      </c>
      <c r="I2552" s="2" t="s">
        <v>32867</v>
      </c>
      <c r="J2552" s="2" t="s">
        <v>32868</v>
      </c>
      <c r="K2552" s="2">
        <v>6.6461719999999997E-3</v>
      </c>
      <c r="L2552" s="2" t="s">
        <v>1178</v>
      </c>
      <c r="M2552" s="4" t="s">
        <v>17697</v>
      </c>
    </row>
    <row r="2553" spans="1:13">
      <c r="A2553" s="2">
        <v>2574</v>
      </c>
      <c r="B2553" s="2" t="s">
        <v>21075</v>
      </c>
      <c r="C2553" s="2">
        <v>11</v>
      </c>
      <c r="D2553" s="2">
        <v>568</v>
      </c>
      <c r="E2553" s="2">
        <v>200</v>
      </c>
      <c r="F2553" s="2">
        <v>32441</v>
      </c>
      <c r="G2553" s="2">
        <v>3.1412940140000001</v>
      </c>
      <c r="H2553" s="2">
        <v>1.151348E-3</v>
      </c>
      <c r="I2553" s="2" t="s">
        <v>32869</v>
      </c>
      <c r="J2553" s="2" t="s">
        <v>32870</v>
      </c>
      <c r="K2553" s="2">
        <v>6.6461719999999997E-3</v>
      </c>
      <c r="L2553" s="2" t="s">
        <v>1178</v>
      </c>
      <c r="M2553" s="4" t="s">
        <v>21078</v>
      </c>
    </row>
    <row r="2554" spans="1:13">
      <c r="A2554" s="2">
        <v>2626</v>
      </c>
      <c r="B2554" s="2" t="s">
        <v>18940</v>
      </c>
      <c r="C2554" s="2">
        <v>11</v>
      </c>
      <c r="D2554" s="2">
        <v>568</v>
      </c>
      <c r="E2554" s="2">
        <v>200</v>
      </c>
      <c r="F2554" s="2">
        <v>32441</v>
      </c>
      <c r="G2554" s="2">
        <v>3.1412940140000001</v>
      </c>
      <c r="H2554" s="2">
        <v>1.151348E-3</v>
      </c>
      <c r="I2554" s="2" t="s">
        <v>32871</v>
      </c>
      <c r="J2554" s="2" t="s">
        <v>32872</v>
      </c>
      <c r="K2554" s="2">
        <v>6.6461719999999997E-3</v>
      </c>
      <c r="L2554" s="2" t="s">
        <v>1178</v>
      </c>
      <c r="M2554" s="4" t="s">
        <v>18943</v>
      </c>
    </row>
    <row r="2555" spans="1:13">
      <c r="A2555" s="2">
        <v>26421</v>
      </c>
      <c r="B2555" s="2" t="s">
        <v>32873</v>
      </c>
      <c r="C2555" s="2">
        <v>11</v>
      </c>
      <c r="D2555" s="2">
        <v>568</v>
      </c>
      <c r="E2555" s="2">
        <v>200</v>
      </c>
      <c r="F2555" s="2">
        <v>32441</v>
      </c>
      <c r="G2555" s="2">
        <v>3.1412940140000001</v>
      </c>
      <c r="H2555" s="2">
        <v>1.151348E-3</v>
      </c>
      <c r="I2555" s="2" t="s">
        <v>32874</v>
      </c>
      <c r="J2555" s="2" t="s">
        <v>32875</v>
      </c>
      <c r="K2555" s="2">
        <v>6.6461719999999997E-3</v>
      </c>
      <c r="L2555" s="2" t="s">
        <v>1178</v>
      </c>
      <c r="M2555" s="4" t="s">
        <v>32876</v>
      </c>
    </row>
    <row r="2556" spans="1:13">
      <c r="A2556" s="2">
        <v>2801</v>
      </c>
      <c r="B2556" s="2" t="s">
        <v>32877</v>
      </c>
      <c r="C2556" s="2">
        <v>10</v>
      </c>
      <c r="D2556" s="2">
        <v>568</v>
      </c>
      <c r="E2556" s="2">
        <v>167</v>
      </c>
      <c r="F2556" s="2">
        <v>32441</v>
      </c>
      <c r="G2556" s="2">
        <v>3.420026145</v>
      </c>
      <c r="H2556" s="2">
        <v>1.0434179999999999E-3</v>
      </c>
      <c r="I2556" s="2" t="s">
        <v>32878</v>
      </c>
      <c r="J2556" s="2" t="s">
        <v>32879</v>
      </c>
      <c r="K2556" s="2">
        <v>6.6461719999999997E-3</v>
      </c>
      <c r="L2556" s="2" t="s">
        <v>1178</v>
      </c>
      <c r="M2556" s="4" t="s">
        <v>32880</v>
      </c>
    </row>
    <row r="2557" spans="1:13">
      <c r="A2557" s="2">
        <v>2847</v>
      </c>
      <c r="B2557" s="2" t="s">
        <v>32881</v>
      </c>
      <c r="C2557" s="2">
        <v>11</v>
      </c>
      <c r="D2557" s="2">
        <v>568</v>
      </c>
      <c r="E2557" s="2">
        <v>200</v>
      </c>
      <c r="F2557" s="2">
        <v>32441</v>
      </c>
      <c r="G2557" s="2">
        <v>3.1412940140000001</v>
      </c>
      <c r="H2557" s="2">
        <v>1.151348E-3</v>
      </c>
      <c r="I2557" s="2" t="s">
        <v>32882</v>
      </c>
      <c r="J2557" s="2" t="s">
        <v>32883</v>
      </c>
      <c r="K2557" s="2">
        <v>6.6461719999999997E-3</v>
      </c>
      <c r="L2557" s="2" t="s">
        <v>1178</v>
      </c>
      <c r="M2557" s="4" t="s">
        <v>32884</v>
      </c>
    </row>
    <row r="2558" spans="1:13">
      <c r="A2558" s="2">
        <v>2851</v>
      </c>
      <c r="B2558" s="2" t="s">
        <v>23709</v>
      </c>
      <c r="C2558" s="2">
        <v>11</v>
      </c>
      <c r="D2558" s="2">
        <v>568</v>
      </c>
      <c r="E2558" s="2">
        <v>200</v>
      </c>
      <c r="F2558" s="2">
        <v>32441</v>
      </c>
      <c r="G2558" s="2">
        <v>3.1412940140000001</v>
      </c>
      <c r="H2558" s="2">
        <v>1.151348E-3</v>
      </c>
      <c r="I2558" s="2" t="s">
        <v>32885</v>
      </c>
      <c r="J2558" s="2" t="s">
        <v>32886</v>
      </c>
      <c r="K2558" s="2">
        <v>6.6461719999999997E-3</v>
      </c>
      <c r="L2558" s="2" t="s">
        <v>1178</v>
      </c>
      <c r="M2558" s="4" t="s">
        <v>23712</v>
      </c>
    </row>
    <row r="2559" spans="1:13">
      <c r="A2559" s="2">
        <v>2859</v>
      </c>
      <c r="B2559" s="2" t="s">
        <v>32887</v>
      </c>
      <c r="C2559" s="2">
        <v>11</v>
      </c>
      <c r="D2559" s="2">
        <v>568</v>
      </c>
      <c r="E2559" s="2">
        <v>200</v>
      </c>
      <c r="F2559" s="2">
        <v>32441</v>
      </c>
      <c r="G2559" s="2">
        <v>3.1412940140000001</v>
      </c>
      <c r="H2559" s="2">
        <v>1.151348E-3</v>
      </c>
      <c r="I2559" s="2" t="s">
        <v>32888</v>
      </c>
      <c r="J2559" s="2" t="s">
        <v>32889</v>
      </c>
      <c r="K2559" s="2">
        <v>6.6461719999999997E-3</v>
      </c>
      <c r="L2559" s="2" t="s">
        <v>1178</v>
      </c>
      <c r="M2559" s="4" t="s">
        <v>32890</v>
      </c>
    </row>
    <row r="2560" spans="1:13">
      <c r="A2560" s="2">
        <v>2867</v>
      </c>
      <c r="B2560" s="2" t="s">
        <v>32891</v>
      </c>
      <c r="C2560" s="2">
        <v>11</v>
      </c>
      <c r="D2560" s="2">
        <v>568</v>
      </c>
      <c r="E2560" s="2">
        <v>200</v>
      </c>
      <c r="F2560" s="2">
        <v>32441</v>
      </c>
      <c r="G2560" s="2">
        <v>3.1412940140000001</v>
      </c>
      <c r="H2560" s="2">
        <v>1.151348E-3</v>
      </c>
      <c r="I2560" s="2" t="s">
        <v>32892</v>
      </c>
      <c r="J2560" s="2" t="s">
        <v>32893</v>
      </c>
      <c r="K2560" s="2">
        <v>6.6461719999999997E-3</v>
      </c>
      <c r="L2560" s="2" t="s">
        <v>1178</v>
      </c>
      <c r="M2560" s="4" t="s">
        <v>32894</v>
      </c>
    </row>
    <row r="2561" spans="1:13">
      <c r="A2561" s="2">
        <v>29181</v>
      </c>
      <c r="B2561" s="2" t="s">
        <v>32895</v>
      </c>
      <c r="C2561" s="2">
        <v>11</v>
      </c>
      <c r="D2561" s="2">
        <v>568</v>
      </c>
      <c r="E2561" s="2">
        <v>200</v>
      </c>
      <c r="F2561" s="2">
        <v>32441</v>
      </c>
      <c r="G2561" s="2">
        <v>3.1412940140000001</v>
      </c>
      <c r="H2561" s="2">
        <v>1.151348E-3</v>
      </c>
      <c r="I2561" s="2" t="s">
        <v>32896</v>
      </c>
      <c r="J2561" s="2" t="s">
        <v>32897</v>
      </c>
      <c r="K2561" s="2">
        <v>6.6461719999999997E-3</v>
      </c>
      <c r="L2561" s="2" t="s">
        <v>1178</v>
      </c>
      <c r="M2561" s="4" t="s">
        <v>32898</v>
      </c>
    </row>
    <row r="2562" spans="1:13">
      <c r="A2562" s="2">
        <v>2951</v>
      </c>
      <c r="B2562" s="2" t="s">
        <v>18136</v>
      </c>
      <c r="C2562" s="2">
        <v>11</v>
      </c>
      <c r="D2562" s="2">
        <v>568</v>
      </c>
      <c r="E2562" s="2">
        <v>200</v>
      </c>
      <c r="F2562" s="2">
        <v>32441</v>
      </c>
      <c r="G2562" s="2">
        <v>3.1412940140000001</v>
      </c>
      <c r="H2562" s="2">
        <v>1.151348E-3</v>
      </c>
      <c r="I2562" s="2" t="s">
        <v>32899</v>
      </c>
      <c r="J2562" s="2" t="s">
        <v>32900</v>
      </c>
      <c r="K2562" s="2">
        <v>6.6461719999999997E-3</v>
      </c>
      <c r="L2562" s="2" t="s">
        <v>1178</v>
      </c>
      <c r="M2562" s="4" t="s">
        <v>18139</v>
      </c>
    </row>
    <row r="2563" spans="1:13">
      <c r="A2563" s="2">
        <v>2953</v>
      </c>
      <c r="B2563" s="2" t="s">
        <v>12824</v>
      </c>
      <c r="C2563" s="2">
        <v>11</v>
      </c>
      <c r="D2563" s="2">
        <v>568</v>
      </c>
      <c r="E2563" s="2">
        <v>200</v>
      </c>
      <c r="F2563" s="2">
        <v>32441</v>
      </c>
      <c r="G2563" s="2">
        <v>3.1412940140000001</v>
      </c>
      <c r="H2563" s="2">
        <v>1.151348E-3</v>
      </c>
      <c r="I2563" s="2" t="s">
        <v>32901</v>
      </c>
      <c r="J2563" s="2" t="s">
        <v>32902</v>
      </c>
      <c r="K2563" s="2">
        <v>6.6461719999999997E-3</v>
      </c>
      <c r="L2563" s="2" t="s">
        <v>1178</v>
      </c>
      <c r="M2563" s="4" t="s">
        <v>12827</v>
      </c>
    </row>
    <row r="2564" spans="1:13">
      <c r="A2564" s="2">
        <v>2968</v>
      </c>
      <c r="B2564" s="2" t="s">
        <v>13831</v>
      </c>
      <c r="C2564" s="2">
        <v>11</v>
      </c>
      <c r="D2564" s="2">
        <v>568</v>
      </c>
      <c r="E2564" s="2">
        <v>200</v>
      </c>
      <c r="F2564" s="2">
        <v>32441</v>
      </c>
      <c r="G2564" s="2">
        <v>3.1412940140000001</v>
      </c>
      <c r="H2564" s="2">
        <v>1.151348E-3</v>
      </c>
      <c r="I2564" s="2" t="s">
        <v>32903</v>
      </c>
      <c r="J2564" s="2" t="s">
        <v>32904</v>
      </c>
      <c r="K2564" s="2">
        <v>6.6461719999999997E-3</v>
      </c>
      <c r="L2564" s="2" t="s">
        <v>1178</v>
      </c>
      <c r="M2564" s="4" t="s">
        <v>13834</v>
      </c>
    </row>
    <row r="2565" spans="1:13">
      <c r="A2565" s="2">
        <v>2994</v>
      </c>
      <c r="B2565" s="2" t="s">
        <v>18144</v>
      </c>
      <c r="C2565" s="2">
        <v>11</v>
      </c>
      <c r="D2565" s="2">
        <v>568</v>
      </c>
      <c r="E2565" s="2">
        <v>199</v>
      </c>
      <c r="F2565" s="2">
        <v>32441</v>
      </c>
      <c r="G2565" s="2">
        <v>3.1570794109999998</v>
      </c>
      <c r="H2565" s="2">
        <v>1.1080949999999999E-3</v>
      </c>
      <c r="I2565" s="2" t="s">
        <v>32905</v>
      </c>
      <c r="J2565" s="2" t="s">
        <v>32906</v>
      </c>
      <c r="K2565" s="2">
        <v>6.6461719999999997E-3</v>
      </c>
      <c r="L2565" s="2" t="s">
        <v>1178</v>
      </c>
      <c r="M2565" s="4" t="s">
        <v>18147</v>
      </c>
    </row>
    <row r="2566" spans="1:13">
      <c r="A2566" s="2">
        <v>3014</v>
      </c>
      <c r="B2566" s="2" t="s">
        <v>32907</v>
      </c>
      <c r="C2566" s="2">
        <v>11</v>
      </c>
      <c r="D2566" s="2">
        <v>568</v>
      </c>
      <c r="E2566" s="2">
        <v>198</v>
      </c>
      <c r="F2566" s="2">
        <v>32441</v>
      </c>
      <c r="G2566" s="2">
        <v>3.1730242569999998</v>
      </c>
      <c r="H2566" s="2">
        <v>1.0661889999999999E-3</v>
      </c>
      <c r="I2566" s="2" t="s">
        <v>32908</v>
      </c>
      <c r="J2566" s="2" t="s">
        <v>32909</v>
      </c>
      <c r="K2566" s="2">
        <v>6.6461719999999997E-3</v>
      </c>
      <c r="L2566" s="2" t="s">
        <v>1178</v>
      </c>
      <c r="M2566" s="4" t="s">
        <v>32910</v>
      </c>
    </row>
    <row r="2567" spans="1:13">
      <c r="A2567" s="2">
        <v>3021</v>
      </c>
      <c r="B2567" s="2" t="s">
        <v>22329</v>
      </c>
      <c r="C2567" s="2">
        <v>11</v>
      </c>
      <c r="D2567" s="2">
        <v>568</v>
      </c>
      <c r="E2567" s="2">
        <v>200</v>
      </c>
      <c r="F2567" s="2">
        <v>32441</v>
      </c>
      <c r="G2567" s="2">
        <v>3.1412940140000001</v>
      </c>
      <c r="H2567" s="2">
        <v>1.151348E-3</v>
      </c>
      <c r="I2567" s="2" t="s">
        <v>32911</v>
      </c>
      <c r="J2567" s="2" t="s">
        <v>32912</v>
      </c>
      <c r="K2567" s="2">
        <v>6.6461719999999997E-3</v>
      </c>
      <c r="L2567" s="2" t="s">
        <v>1178</v>
      </c>
      <c r="M2567" s="4" t="s">
        <v>22332</v>
      </c>
    </row>
    <row r="2568" spans="1:13">
      <c r="A2568" s="2">
        <v>3024</v>
      </c>
      <c r="B2568" s="2" t="s">
        <v>1602</v>
      </c>
      <c r="C2568" s="2">
        <v>11</v>
      </c>
      <c r="D2568" s="2">
        <v>568</v>
      </c>
      <c r="E2568" s="2">
        <v>200</v>
      </c>
      <c r="F2568" s="2">
        <v>32441</v>
      </c>
      <c r="G2568" s="2">
        <v>3.1412940140000001</v>
      </c>
      <c r="H2568" s="2">
        <v>1.151348E-3</v>
      </c>
      <c r="I2568" s="2" t="s">
        <v>32913</v>
      </c>
      <c r="J2568" s="2" t="s">
        <v>32914</v>
      </c>
      <c r="K2568" s="2">
        <v>6.6461719999999997E-3</v>
      </c>
      <c r="L2568" s="2" t="s">
        <v>1178</v>
      </c>
      <c r="M2568" s="4" t="s">
        <v>22335</v>
      </c>
    </row>
    <row r="2569" spans="1:13">
      <c r="A2569" s="2">
        <v>30651</v>
      </c>
      <c r="B2569" s="2" t="s">
        <v>18152</v>
      </c>
      <c r="C2569" s="2">
        <v>11</v>
      </c>
      <c r="D2569" s="2">
        <v>568</v>
      </c>
      <c r="E2569" s="2">
        <v>200</v>
      </c>
      <c r="F2569" s="2">
        <v>32441</v>
      </c>
      <c r="G2569" s="2">
        <v>3.1412940140000001</v>
      </c>
      <c r="H2569" s="2">
        <v>1.151348E-3</v>
      </c>
      <c r="I2569" s="2" t="s">
        <v>32915</v>
      </c>
      <c r="J2569" s="2" t="s">
        <v>32916</v>
      </c>
      <c r="K2569" s="2">
        <v>6.6461719999999997E-3</v>
      </c>
      <c r="L2569" s="2" t="s">
        <v>1178</v>
      </c>
      <c r="M2569" s="4" t="s">
        <v>18155</v>
      </c>
    </row>
    <row r="2570" spans="1:13">
      <c r="A2570" s="2">
        <v>3067</v>
      </c>
      <c r="B2570" s="2" t="s">
        <v>32917</v>
      </c>
      <c r="C2570" s="2">
        <v>11</v>
      </c>
      <c r="D2570" s="2">
        <v>568</v>
      </c>
      <c r="E2570" s="2">
        <v>199</v>
      </c>
      <c r="F2570" s="2">
        <v>32441</v>
      </c>
      <c r="G2570" s="2">
        <v>3.1570794109999998</v>
      </c>
      <c r="H2570" s="2">
        <v>1.1080949999999999E-3</v>
      </c>
      <c r="I2570" s="2" t="s">
        <v>32918</v>
      </c>
      <c r="J2570" s="2" t="s">
        <v>32919</v>
      </c>
      <c r="K2570" s="2">
        <v>6.6461719999999997E-3</v>
      </c>
      <c r="L2570" s="2" t="s">
        <v>1178</v>
      </c>
      <c r="M2570" s="4" t="s">
        <v>32920</v>
      </c>
    </row>
    <row r="2571" spans="1:13">
      <c r="A2571" s="2">
        <v>3093</v>
      </c>
      <c r="B2571" s="2" t="s">
        <v>19004</v>
      </c>
      <c r="C2571" s="2">
        <v>11</v>
      </c>
      <c r="D2571" s="2">
        <v>568</v>
      </c>
      <c r="E2571" s="2">
        <v>200</v>
      </c>
      <c r="F2571" s="2">
        <v>32441</v>
      </c>
      <c r="G2571" s="2">
        <v>3.1412940140000001</v>
      </c>
      <c r="H2571" s="2">
        <v>1.151348E-3</v>
      </c>
      <c r="I2571" s="2" t="s">
        <v>32921</v>
      </c>
      <c r="J2571" s="2" t="s">
        <v>32922</v>
      </c>
      <c r="K2571" s="2">
        <v>6.6461719999999997E-3</v>
      </c>
      <c r="L2571" s="2" t="s">
        <v>1178</v>
      </c>
      <c r="M2571" s="4" t="s">
        <v>19007</v>
      </c>
    </row>
    <row r="2572" spans="1:13">
      <c r="A2572" s="2">
        <v>3104</v>
      </c>
      <c r="B2572" s="2" t="s">
        <v>17376</v>
      </c>
      <c r="C2572" s="2">
        <v>11</v>
      </c>
      <c r="D2572" s="2">
        <v>568</v>
      </c>
      <c r="E2572" s="2">
        <v>200</v>
      </c>
      <c r="F2572" s="2">
        <v>32441</v>
      </c>
      <c r="G2572" s="2">
        <v>3.1412940140000001</v>
      </c>
      <c r="H2572" s="2">
        <v>1.151348E-3</v>
      </c>
      <c r="I2572" s="2" t="s">
        <v>32923</v>
      </c>
      <c r="J2572" s="2" t="s">
        <v>32924</v>
      </c>
      <c r="K2572" s="2">
        <v>6.6461719999999997E-3</v>
      </c>
      <c r="L2572" s="2" t="s">
        <v>1178</v>
      </c>
      <c r="M2572" s="4" t="s">
        <v>17379</v>
      </c>
    </row>
    <row r="2573" spans="1:13">
      <c r="A2573" s="2">
        <v>3106</v>
      </c>
      <c r="B2573" s="2" t="s">
        <v>32925</v>
      </c>
      <c r="C2573" s="2">
        <v>11</v>
      </c>
      <c r="D2573" s="2">
        <v>568</v>
      </c>
      <c r="E2573" s="2">
        <v>199</v>
      </c>
      <c r="F2573" s="2">
        <v>32441</v>
      </c>
      <c r="G2573" s="2">
        <v>3.1570794109999998</v>
      </c>
      <c r="H2573" s="2">
        <v>1.1080949999999999E-3</v>
      </c>
      <c r="I2573" s="2" t="s">
        <v>32926</v>
      </c>
      <c r="J2573" s="2" t="s">
        <v>32927</v>
      </c>
      <c r="K2573" s="2">
        <v>6.6461719999999997E-3</v>
      </c>
      <c r="L2573" s="2" t="s">
        <v>1178</v>
      </c>
      <c r="M2573" s="4" t="s">
        <v>32928</v>
      </c>
    </row>
    <row r="2574" spans="1:13">
      <c r="A2574" s="2">
        <v>3118</v>
      </c>
      <c r="B2574" s="2" t="s">
        <v>15097</v>
      </c>
      <c r="C2574" s="2">
        <v>11</v>
      </c>
      <c r="D2574" s="2">
        <v>568</v>
      </c>
      <c r="E2574" s="2">
        <v>197</v>
      </c>
      <c r="F2574" s="2">
        <v>32441</v>
      </c>
      <c r="G2574" s="2">
        <v>3.1891309790000002</v>
      </c>
      <c r="H2574" s="2">
        <v>1.0255990000000001E-3</v>
      </c>
      <c r="I2574" s="2" t="s">
        <v>32929</v>
      </c>
      <c r="J2574" s="2" t="s">
        <v>32930</v>
      </c>
      <c r="K2574" s="2">
        <v>6.6461719999999997E-3</v>
      </c>
      <c r="L2574" s="2" t="s">
        <v>1178</v>
      </c>
      <c r="M2574" s="4" t="s">
        <v>15100</v>
      </c>
    </row>
    <row r="2575" spans="1:13">
      <c r="A2575" s="2">
        <v>31201</v>
      </c>
      <c r="B2575" s="2" t="s">
        <v>32931</v>
      </c>
      <c r="C2575" s="2">
        <v>11</v>
      </c>
      <c r="D2575" s="2">
        <v>568</v>
      </c>
      <c r="E2575" s="2">
        <v>197</v>
      </c>
      <c r="F2575" s="2">
        <v>32441</v>
      </c>
      <c r="G2575" s="2">
        <v>3.1891309790000002</v>
      </c>
      <c r="H2575" s="2">
        <v>1.0255990000000001E-3</v>
      </c>
      <c r="I2575" s="2" t="s">
        <v>32932</v>
      </c>
      <c r="J2575" s="2" t="s">
        <v>32933</v>
      </c>
      <c r="K2575" s="2">
        <v>6.6461719999999997E-3</v>
      </c>
      <c r="L2575" s="2" t="s">
        <v>1178</v>
      </c>
      <c r="M2575" s="4" t="s">
        <v>32934</v>
      </c>
    </row>
    <row r="2576" spans="1:13">
      <c r="A2576" s="2">
        <v>3133</v>
      </c>
      <c r="B2576" s="2" t="s">
        <v>32935</v>
      </c>
      <c r="C2576" s="2">
        <v>11</v>
      </c>
      <c r="D2576" s="2">
        <v>568</v>
      </c>
      <c r="E2576" s="2">
        <v>200</v>
      </c>
      <c r="F2576" s="2">
        <v>32441</v>
      </c>
      <c r="G2576" s="2">
        <v>3.1412940140000001</v>
      </c>
      <c r="H2576" s="2">
        <v>1.151348E-3</v>
      </c>
      <c r="I2576" s="2" t="s">
        <v>32936</v>
      </c>
      <c r="J2576" s="2" t="s">
        <v>32937</v>
      </c>
      <c r="K2576" s="2">
        <v>6.6461719999999997E-3</v>
      </c>
      <c r="L2576" s="2" t="s">
        <v>1178</v>
      </c>
      <c r="M2576" s="4" t="s">
        <v>32938</v>
      </c>
    </row>
    <row r="2577" spans="1:13">
      <c r="A2577" s="2">
        <v>31351</v>
      </c>
      <c r="B2577" s="2" t="s">
        <v>21171</v>
      </c>
      <c r="C2577" s="2">
        <v>11</v>
      </c>
      <c r="D2577" s="2">
        <v>568</v>
      </c>
      <c r="E2577" s="2">
        <v>200</v>
      </c>
      <c r="F2577" s="2">
        <v>32441</v>
      </c>
      <c r="G2577" s="2">
        <v>3.1412940140000001</v>
      </c>
      <c r="H2577" s="2">
        <v>1.151348E-3</v>
      </c>
      <c r="I2577" s="2" t="s">
        <v>32939</v>
      </c>
      <c r="J2577" s="2" t="s">
        <v>32940</v>
      </c>
      <c r="K2577" s="2">
        <v>6.6461719999999997E-3</v>
      </c>
      <c r="L2577" s="2" t="s">
        <v>1178</v>
      </c>
      <c r="M2577" s="4" t="s">
        <v>21174</v>
      </c>
    </row>
    <row r="2578" spans="1:13">
      <c r="A2578" s="2">
        <v>3164</v>
      </c>
      <c r="B2578" s="2" t="s">
        <v>19016</v>
      </c>
      <c r="C2578" s="2">
        <v>11</v>
      </c>
      <c r="D2578" s="2">
        <v>568</v>
      </c>
      <c r="E2578" s="2">
        <v>200</v>
      </c>
      <c r="F2578" s="2">
        <v>32441</v>
      </c>
      <c r="G2578" s="2">
        <v>3.1412940140000001</v>
      </c>
      <c r="H2578" s="2">
        <v>1.151348E-3</v>
      </c>
      <c r="I2578" s="2" t="s">
        <v>32941</v>
      </c>
      <c r="J2578" s="2" t="s">
        <v>32942</v>
      </c>
      <c r="K2578" s="2">
        <v>6.6461719999999997E-3</v>
      </c>
      <c r="L2578" s="2" t="s">
        <v>1178</v>
      </c>
      <c r="M2578" s="4" t="s">
        <v>19019</v>
      </c>
    </row>
    <row r="2579" spans="1:13">
      <c r="A2579" s="2">
        <v>3171</v>
      </c>
      <c r="B2579" s="2" t="s">
        <v>32943</v>
      </c>
      <c r="C2579" s="2">
        <v>11</v>
      </c>
      <c r="D2579" s="2">
        <v>568</v>
      </c>
      <c r="E2579" s="2">
        <v>199</v>
      </c>
      <c r="F2579" s="2">
        <v>32441</v>
      </c>
      <c r="G2579" s="2">
        <v>3.1570794109999998</v>
      </c>
      <c r="H2579" s="2">
        <v>1.1080949999999999E-3</v>
      </c>
      <c r="I2579" s="2" t="s">
        <v>32944</v>
      </c>
      <c r="J2579" s="2" t="s">
        <v>32945</v>
      </c>
      <c r="K2579" s="2">
        <v>6.6461719999999997E-3</v>
      </c>
      <c r="L2579" s="2" t="s">
        <v>1178</v>
      </c>
      <c r="M2579" s="4" t="s">
        <v>32946</v>
      </c>
    </row>
    <row r="2580" spans="1:13">
      <c r="A2580" s="2">
        <v>3206</v>
      </c>
      <c r="B2580" s="2" t="s">
        <v>32947</v>
      </c>
      <c r="C2580" s="2">
        <v>11</v>
      </c>
      <c r="D2580" s="2">
        <v>568</v>
      </c>
      <c r="E2580" s="2">
        <v>199</v>
      </c>
      <c r="F2580" s="2">
        <v>32441</v>
      </c>
      <c r="G2580" s="2">
        <v>3.1570794109999998</v>
      </c>
      <c r="H2580" s="2">
        <v>1.1080949999999999E-3</v>
      </c>
      <c r="I2580" s="2" t="s">
        <v>32948</v>
      </c>
      <c r="J2580" s="2" t="s">
        <v>32949</v>
      </c>
      <c r="K2580" s="2">
        <v>6.6461719999999997E-3</v>
      </c>
      <c r="L2580" s="2" t="s">
        <v>1178</v>
      </c>
      <c r="M2580" s="4" t="s">
        <v>32950</v>
      </c>
    </row>
    <row r="2581" spans="1:13">
      <c r="A2581" s="2">
        <v>3208</v>
      </c>
      <c r="B2581" s="2" t="s">
        <v>32951</v>
      </c>
      <c r="C2581" s="2">
        <v>11</v>
      </c>
      <c r="D2581" s="2">
        <v>568</v>
      </c>
      <c r="E2581" s="2">
        <v>199</v>
      </c>
      <c r="F2581" s="2">
        <v>32441</v>
      </c>
      <c r="G2581" s="2">
        <v>3.1570794109999998</v>
      </c>
      <c r="H2581" s="2">
        <v>1.1080949999999999E-3</v>
      </c>
      <c r="I2581" s="2" t="s">
        <v>32952</v>
      </c>
      <c r="J2581" s="2" t="s">
        <v>32953</v>
      </c>
      <c r="K2581" s="2">
        <v>6.6461719999999997E-3</v>
      </c>
      <c r="L2581" s="2" t="s">
        <v>1178</v>
      </c>
      <c r="M2581" s="4" t="s">
        <v>32954</v>
      </c>
    </row>
    <row r="2582" spans="1:13">
      <c r="A2582" s="2">
        <v>3228</v>
      </c>
      <c r="B2582" s="2" t="s">
        <v>32955</v>
      </c>
      <c r="C2582" s="2">
        <v>11</v>
      </c>
      <c r="D2582" s="2">
        <v>568</v>
      </c>
      <c r="E2582" s="2">
        <v>200</v>
      </c>
      <c r="F2582" s="2">
        <v>32441</v>
      </c>
      <c r="G2582" s="2">
        <v>3.1412940140000001</v>
      </c>
      <c r="H2582" s="2">
        <v>1.151348E-3</v>
      </c>
      <c r="I2582" s="2" t="s">
        <v>32956</v>
      </c>
      <c r="J2582" s="2" t="s">
        <v>32957</v>
      </c>
      <c r="K2582" s="2">
        <v>6.6461719999999997E-3</v>
      </c>
      <c r="L2582" s="2" t="s">
        <v>1178</v>
      </c>
      <c r="M2582" s="4" t="s">
        <v>32958</v>
      </c>
    </row>
    <row r="2583" spans="1:13">
      <c r="A2583" s="2">
        <v>3272</v>
      </c>
      <c r="B2583" s="2" t="s">
        <v>32959</v>
      </c>
      <c r="C2583" s="2">
        <v>11</v>
      </c>
      <c r="D2583" s="2">
        <v>568</v>
      </c>
      <c r="E2583" s="2">
        <v>200</v>
      </c>
      <c r="F2583" s="2">
        <v>32441</v>
      </c>
      <c r="G2583" s="2">
        <v>3.1412940140000001</v>
      </c>
      <c r="H2583" s="2">
        <v>1.151348E-3</v>
      </c>
      <c r="I2583" s="2" t="s">
        <v>32960</v>
      </c>
      <c r="J2583" s="2" t="s">
        <v>32961</v>
      </c>
      <c r="K2583" s="2">
        <v>6.6461719999999997E-3</v>
      </c>
      <c r="L2583" s="2" t="s">
        <v>1178</v>
      </c>
      <c r="M2583" s="4" t="s">
        <v>32962</v>
      </c>
    </row>
    <row r="2584" spans="1:13">
      <c r="A2584" s="2">
        <v>3288</v>
      </c>
      <c r="B2584" s="2" t="s">
        <v>32963</v>
      </c>
      <c r="C2584" s="2">
        <v>11</v>
      </c>
      <c r="D2584" s="2">
        <v>568</v>
      </c>
      <c r="E2584" s="2">
        <v>200</v>
      </c>
      <c r="F2584" s="2">
        <v>32441</v>
      </c>
      <c r="G2584" s="2">
        <v>3.1412940140000001</v>
      </c>
      <c r="H2584" s="2">
        <v>1.151348E-3</v>
      </c>
      <c r="I2584" s="2" t="s">
        <v>32964</v>
      </c>
      <c r="J2584" s="2" t="s">
        <v>32965</v>
      </c>
      <c r="K2584" s="2">
        <v>6.6461719999999997E-3</v>
      </c>
      <c r="L2584" s="2" t="s">
        <v>1178</v>
      </c>
      <c r="M2584" s="4" t="s">
        <v>32966</v>
      </c>
    </row>
    <row r="2585" spans="1:13">
      <c r="A2585" s="2">
        <v>3290</v>
      </c>
      <c r="B2585" s="2" t="s">
        <v>23785</v>
      </c>
      <c r="C2585" s="2">
        <v>11</v>
      </c>
      <c r="D2585" s="2">
        <v>568</v>
      </c>
      <c r="E2585" s="2">
        <v>200</v>
      </c>
      <c r="F2585" s="2">
        <v>32441</v>
      </c>
      <c r="G2585" s="2">
        <v>3.1412940140000001</v>
      </c>
      <c r="H2585" s="2">
        <v>1.151348E-3</v>
      </c>
      <c r="I2585" s="2" t="s">
        <v>32967</v>
      </c>
      <c r="J2585" s="2" t="s">
        <v>32968</v>
      </c>
      <c r="K2585" s="2">
        <v>6.6461719999999997E-3</v>
      </c>
      <c r="L2585" s="2" t="s">
        <v>1178</v>
      </c>
      <c r="M2585" s="4" t="s">
        <v>23788</v>
      </c>
    </row>
    <row r="2586" spans="1:13">
      <c r="A2586" s="2">
        <v>32921</v>
      </c>
      <c r="B2586" s="2" t="s">
        <v>21187</v>
      </c>
      <c r="C2586" s="2">
        <v>11</v>
      </c>
      <c r="D2586" s="2">
        <v>568</v>
      </c>
      <c r="E2586" s="2">
        <v>200</v>
      </c>
      <c r="F2586" s="2">
        <v>32441</v>
      </c>
      <c r="G2586" s="2">
        <v>3.1412940140000001</v>
      </c>
      <c r="H2586" s="2">
        <v>1.151348E-3</v>
      </c>
      <c r="I2586" s="2" t="s">
        <v>32969</v>
      </c>
      <c r="J2586" s="2" t="s">
        <v>32970</v>
      </c>
      <c r="K2586" s="2">
        <v>6.6461719999999997E-3</v>
      </c>
      <c r="L2586" s="2" t="s">
        <v>1178</v>
      </c>
      <c r="M2586" s="4" t="s">
        <v>21190</v>
      </c>
    </row>
    <row r="2587" spans="1:13">
      <c r="A2587" s="2">
        <v>33171</v>
      </c>
      <c r="B2587" s="2" t="s">
        <v>2238</v>
      </c>
      <c r="C2587" s="2">
        <v>11</v>
      </c>
      <c r="D2587" s="2">
        <v>568</v>
      </c>
      <c r="E2587" s="2">
        <v>200</v>
      </c>
      <c r="F2587" s="2">
        <v>32441</v>
      </c>
      <c r="G2587" s="2">
        <v>3.1412940140000001</v>
      </c>
      <c r="H2587" s="2">
        <v>1.151348E-3</v>
      </c>
      <c r="I2587" s="2" t="s">
        <v>32971</v>
      </c>
      <c r="J2587" s="2" t="s">
        <v>32972</v>
      </c>
      <c r="K2587" s="2">
        <v>6.6461719999999997E-3</v>
      </c>
      <c r="L2587" s="2" t="s">
        <v>1178</v>
      </c>
      <c r="M2587" s="4" t="s">
        <v>32973</v>
      </c>
    </row>
    <row r="2588" spans="1:13">
      <c r="A2588" s="2">
        <v>33231</v>
      </c>
      <c r="B2588" s="2" t="s">
        <v>3471</v>
      </c>
      <c r="C2588" s="2">
        <v>11</v>
      </c>
      <c r="D2588" s="2">
        <v>568</v>
      </c>
      <c r="E2588" s="2">
        <v>200</v>
      </c>
      <c r="F2588" s="2">
        <v>32441</v>
      </c>
      <c r="G2588" s="2">
        <v>3.1412940140000001</v>
      </c>
      <c r="H2588" s="2">
        <v>1.151348E-3</v>
      </c>
      <c r="I2588" s="2" t="s">
        <v>32974</v>
      </c>
      <c r="J2588" s="2" t="s">
        <v>32975</v>
      </c>
      <c r="K2588" s="2">
        <v>6.6461719999999997E-3</v>
      </c>
      <c r="L2588" s="2" t="s">
        <v>1178</v>
      </c>
      <c r="M2588" s="4" t="s">
        <v>3474</v>
      </c>
    </row>
    <row r="2589" spans="1:13">
      <c r="A2589" s="2">
        <v>3330</v>
      </c>
      <c r="B2589" s="2" t="s">
        <v>32976</v>
      </c>
      <c r="C2589" s="2">
        <v>11</v>
      </c>
      <c r="D2589" s="2">
        <v>568</v>
      </c>
      <c r="E2589" s="2">
        <v>200</v>
      </c>
      <c r="F2589" s="2">
        <v>32441</v>
      </c>
      <c r="G2589" s="2">
        <v>3.1412940140000001</v>
      </c>
      <c r="H2589" s="2">
        <v>1.151348E-3</v>
      </c>
      <c r="I2589" s="2" t="s">
        <v>32977</v>
      </c>
      <c r="J2589" s="2" t="s">
        <v>32978</v>
      </c>
      <c r="K2589" s="2">
        <v>6.6461719999999997E-3</v>
      </c>
      <c r="L2589" s="2" t="s">
        <v>1178</v>
      </c>
      <c r="M2589" s="4" t="s">
        <v>32979</v>
      </c>
    </row>
    <row r="2590" spans="1:13">
      <c r="A2590" s="2">
        <v>3340</v>
      </c>
      <c r="B2590" s="2" t="s">
        <v>32980</v>
      </c>
      <c r="C2590" s="2">
        <v>11</v>
      </c>
      <c r="D2590" s="2">
        <v>568</v>
      </c>
      <c r="E2590" s="2">
        <v>200</v>
      </c>
      <c r="F2590" s="2">
        <v>32441</v>
      </c>
      <c r="G2590" s="2">
        <v>3.1412940140000001</v>
      </c>
      <c r="H2590" s="2">
        <v>1.151348E-3</v>
      </c>
      <c r="I2590" s="2" t="s">
        <v>32981</v>
      </c>
      <c r="J2590" s="2" t="s">
        <v>32982</v>
      </c>
      <c r="K2590" s="2">
        <v>6.6461719999999997E-3</v>
      </c>
      <c r="L2590" s="2" t="s">
        <v>1178</v>
      </c>
      <c r="M2590" s="4" t="s">
        <v>32983</v>
      </c>
    </row>
    <row r="2591" spans="1:13">
      <c r="A2591" s="2">
        <v>3363</v>
      </c>
      <c r="B2591" s="2" t="s">
        <v>32984</v>
      </c>
      <c r="C2591" s="2">
        <v>11</v>
      </c>
      <c r="D2591" s="2">
        <v>568</v>
      </c>
      <c r="E2591" s="2">
        <v>199</v>
      </c>
      <c r="F2591" s="2">
        <v>32441</v>
      </c>
      <c r="G2591" s="2">
        <v>3.1570794109999998</v>
      </c>
      <c r="H2591" s="2">
        <v>1.1080949999999999E-3</v>
      </c>
      <c r="I2591" s="2" t="s">
        <v>32985</v>
      </c>
      <c r="J2591" s="2" t="s">
        <v>32986</v>
      </c>
      <c r="K2591" s="2">
        <v>6.6461719999999997E-3</v>
      </c>
      <c r="L2591" s="2" t="s">
        <v>1178</v>
      </c>
      <c r="M2591" s="4" t="s">
        <v>32987</v>
      </c>
    </row>
    <row r="2592" spans="1:13">
      <c r="A2592" s="2">
        <v>3375</v>
      </c>
      <c r="B2592" s="2" t="s">
        <v>13851</v>
      </c>
      <c r="C2592" s="2">
        <v>11</v>
      </c>
      <c r="D2592" s="2">
        <v>568</v>
      </c>
      <c r="E2592" s="2">
        <v>200</v>
      </c>
      <c r="F2592" s="2">
        <v>32441</v>
      </c>
      <c r="G2592" s="2">
        <v>3.1412940140000001</v>
      </c>
      <c r="H2592" s="2">
        <v>1.151348E-3</v>
      </c>
      <c r="I2592" s="2" t="s">
        <v>32988</v>
      </c>
      <c r="J2592" s="2" t="s">
        <v>32989</v>
      </c>
      <c r="K2592" s="2">
        <v>6.6461719999999997E-3</v>
      </c>
      <c r="L2592" s="2" t="s">
        <v>1178</v>
      </c>
      <c r="M2592" s="4" t="s">
        <v>13854</v>
      </c>
    </row>
    <row r="2593" spans="1:13">
      <c r="A2593" s="2">
        <v>3407</v>
      </c>
      <c r="B2593" s="2" t="s">
        <v>32990</v>
      </c>
      <c r="C2593" s="2">
        <v>11</v>
      </c>
      <c r="D2593" s="2">
        <v>568</v>
      </c>
      <c r="E2593" s="2">
        <v>200</v>
      </c>
      <c r="F2593" s="2">
        <v>32441</v>
      </c>
      <c r="G2593" s="2">
        <v>3.1412940140000001</v>
      </c>
      <c r="H2593" s="2">
        <v>1.151348E-3</v>
      </c>
      <c r="I2593" s="2" t="s">
        <v>32991</v>
      </c>
      <c r="J2593" s="2" t="s">
        <v>32992</v>
      </c>
      <c r="K2593" s="2">
        <v>6.6461719999999997E-3</v>
      </c>
      <c r="L2593" s="2" t="s">
        <v>1178</v>
      </c>
      <c r="M2593" s="4" t="s">
        <v>32993</v>
      </c>
    </row>
    <row r="2594" spans="1:13">
      <c r="A2594" s="2">
        <v>3416</v>
      </c>
      <c r="B2594" s="2" t="s">
        <v>1731</v>
      </c>
      <c r="C2594" s="2">
        <v>11</v>
      </c>
      <c r="D2594" s="2">
        <v>568</v>
      </c>
      <c r="E2594" s="2">
        <v>200</v>
      </c>
      <c r="F2594" s="2">
        <v>32441</v>
      </c>
      <c r="G2594" s="2">
        <v>3.1412940140000001</v>
      </c>
      <c r="H2594" s="2">
        <v>1.151348E-3</v>
      </c>
      <c r="I2594" s="2" t="s">
        <v>32994</v>
      </c>
      <c r="J2594" s="2" t="s">
        <v>32995</v>
      </c>
      <c r="K2594" s="2">
        <v>6.6461719999999997E-3</v>
      </c>
      <c r="L2594" s="2" t="s">
        <v>1178</v>
      </c>
      <c r="M2594" s="4" t="s">
        <v>32996</v>
      </c>
    </row>
    <row r="2595" spans="1:13">
      <c r="A2595" s="2">
        <v>3418</v>
      </c>
      <c r="B2595" s="2" t="s">
        <v>23820</v>
      </c>
      <c r="C2595" s="2">
        <v>11</v>
      </c>
      <c r="D2595" s="2">
        <v>568</v>
      </c>
      <c r="E2595" s="2">
        <v>200</v>
      </c>
      <c r="F2595" s="2">
        <v>32441</v>
      </c>
      <c r="G2595" s="2">
        <v>3.1412940140000001</v>
      </c>
      <c r="H2595" s="2">
        <v>1.151348E-3</v>
      </c>
      <c r="I2595" s="2" t="s">
        <v>32997</v>
      </c>
      <c r="J2595" s="2" t="s">
        <v>32998</v>
      </c>
      <c r="K2595" s="2">
        <v>6.6461719999999997E-3</v>
      </c>
      <c r="L2595" s="2" t="s">
        <v>1178</v>
      </c>
      <c r="M2595" s="4" t="s">
        <v>23823</v>
      </c>
    </row>
    <row r="2596" spans="1:13">
      <c r="A2596" s="2">
        <v>3422</v>
      </c>
      <c r="B2596" s="2" t="s">
        <v>1950</v>
      </c>
      <c r="C2596" s="2">
        <v>11</v>
      </c>
      <c r="D2596" s="2">
        <v>568</v>
      </c>
      <c r="E2596" s="2">
        <v>200</v>
      </c>
      <c r="F2596" s="2">
        <v>32441</v>
      </c>
      <c r="G2596" s="2">
        <v>3.1412940140000001</v>
      </c>
      <c r="H2596" s="2">
        <v>1.151348E-3</v>
      </c>
      <c r="I2596" s="2" t="s">
        <v>32999</v>
      </c>
      <c r="J2596" s="2" t="s">
        <v>33000</v>
      </c>
      <c r="K2596" s="2">
        <v>6.6461719999999997E-3</v>
      </c>
      <c r="L2596" s="2" t="s">
        <v>1178</v>
      </c>
      <c r="M2596" s="4" t="s">
        <v>33001</v>
      </c>
    </row>
    <row r="2597" spans="1:13">
      <c r="A2597" s="2">
        <v>34242</v>
      </c>
      <c r="B2597" s="2" t="s">
        <v>33002</v>
      </c>
      <c r="C2597" s="2">
        <v>11</v>
      </c>
      <c r="D2597" s="2">
        <v>568</v>
      </c>
      <c r="E2597" s="2">
        <v>200</v>
      </c>
      <c r="F2597" s="2">
        <v>32441</v>
      </c>
      <c r="G2597" s="2">
        <v>3.1412940140000001</v>
      </c>
      <c r="H2597" s="2">
        <v>1.151348E-3</v>
      </c>
      <c r="I2597" s="2" t="s">
        <v>33003</v>
      </c>
      <c r="J2597" s="2" t="s">
        <v>33004</v>
      </c>
      <c r="K2597" s="2">
        <v>6.6461719999999997E-3</v>
      </c>
      <c r="L2597" s="2" t="s">
        <v>1178</v>
      </c>
      <c r="M2597" s="4" t="s">
        <v>33005</v>
      </c>
    </row>
    <row r="2598" spans="1:13">
      <c r="A2598" s="2">
        <v>3427</v>
      </c>
      <c r="B2598" s="2" t="s">
        <v>21223</v>
      </c>
      <c r="C2598" s="2">
        <v>11</v>
      </c>
      <c r="D2598" s="2">
        <v>568</v>
      </c>
      <c r="E2598" s="2">
        <v>200</v>
      </c>
      <c r="F2598" s="2">
        <v>32441</v>
      </c>
      <c r="G2598" s="2">
        <v>3.1412940140000001</v>
      </c>
      <c r="H2598" s="2">
        <v>1.151348E-3</v>
      </c>
      <c r="I2598" s="2" t="s">
        <v>33006</v>
      </c>
      <c r="J2598" s="2" t="s">
        <v>33007</v>
      </c>
      <c r="K2598" s="2">
        <v>6.6461719999999997E-3</v>
      </c>
      <c r="L2598" s="2" t="s">
        <v>1178</v>
      </c>
      <c r="M2598" s="4" t="s">
        <v>21226</v>
      </c>
    </row>
    <row r="2599" spans="1:13">
      <c r="A2599" s="2">
        <v>3428</v>
      </c>
      <c r="B2599" s="2" t="s">
        <v>33008</v>
      </c>
      <c r="C2599" s="2">
        <v>11</v>
      </c>
      <c r="D2599" s="2">
        <v>568</v>
      </c>
      <c r="E2599" s="2">
        <v>200</v>
      </c>
      <c r="F2599" s="2">
        <v>32441</v>
      </c>
      <c r="G2599" s="2">
        <v>3.1412940140000001</v>
      </c>
      <c r="H2599" s="2">
        <v>1.151348E-3</v>
      </c>
      <c r="I2599" s="2" t="s">
        <v>33009</v>
      </c>
      <c r="J2599" s="2" t="s">
        <v>33010</v>
      </c>
      <c r="K2599" s="2">
        <v>6.6461719999999997E-3</v>
      </c>
      <c r="L2599" s="2" t="s">
        <v>1178</v>
      </c>
      <c r="M2599" s="4" t="s">
        <v>33011</v>
      </c>
    </row>
    <row r="2600" spans="1:13">
      <c r="A2600" s="2">
        <v>34511</v>
      </c>
      <c r="B2600" s="2" t="s">
        <v>16660</v>
      </c>
      <c r="C2600" s="2">
        <v>11</v>
      </c>
      <c r="D2600" s="2">
        <v>568</v>
      </c>
      <c r="E2600" s="2">
        <v>200</v>
      </c>
      <c r="F2600" s="2">
        <v>32441</v>
      </c>
      <c r="G2600" s="2">
        <v>3.1412940140000001</v>
      </c>
      <c r="H2600" s="2">
        <v>1.151348E-3</v>
      </c>
      <c r="I2600" s="2" t="s">
        <v>33012</v>
      </c>
      <c r="J2600" s="2" t="s">
        <v>33013</v>
      </c>
      <c r="K2600" s="2">
        <v>6.6461719999999997E-3</v>
      </c>
      <c r="L2600" s="2" t="s">
        <v>1178</v>
      </c>
      <c r="M2600" s="4" t="s">
        <v>16663</v>
      </c>
    </row>
    <row r="2601" spans="1:13">
      <c r="A2601" s="2">
        <v>3474</v>
      </c>
      <c r="B2601" s="2" t="s">
        <v>33014</v>
      </c>
      <c r="C2601" s="2">
        <v>11</v>
      </c>
      <c r="D2601" s="2">
        <v>568</v>
      </c>
      <c r="E2601" s="2">
        <v>200</v>
      </c>
      <c r="F2601" s="2">
        <v>32441</v>
      </c>
      <c r="G2601" s="2">
        <v>3.1412940140000001</v>
      </c>
      <c r="H2601" s="2">
        <v>1.151348E-3</v>
      </c>
      <c r="I2601" s="2" t="s">
        <v>33015</v>
      </c>
      <c r="J2601" s="2" t="s">
        <v>33016</v>
      </c>
      <c r="K2601" s="2">
        <v>6.6461719999999997E-3</v>
      </c>
      <c r="L2601" s="2" t="s">
        <v>1178</v>
      </c>
      <c r="M2601" s="4" t="s">
        <v>33017</v>
      </c>
    </row>
    <row r="2602" spans="1:13">
      <c r="A2602" s="2">
        <v>3481</v>
      </c>
      <c r="B2602" s="2" t="s">
        <v>23830</v>
      </c>
      <c r="C2602" s="2">
        <v>11</v>
      </c>
      <c r="D2602" s="2">
        <v>568</v>
      </c>
      <c r="E2602" s="2">
        <v>200</v>
      </c>
      <c r="F2602" s="2">
        <v>32441</v>
      </c>
      <c r="G2602" s="2">
        <v>3.1412940140000001</v>
      </c>
      <c r="H2602" s="2">
        <v>1.151348E-3</v>
      </c>
      <c r="I2602" s="2" t="s">
        <v>33018</v>
      </c>
      <c r="J2602" s="2" t="s">
        <v>33019</v>
      </c>
      <c r="K2602" s="2">
        <v>6.6461719999999997E-3</v>
      </c>
      <c r="L2602" s="2" t="s">
        <v>1178</v>
      </c>
      <c r="M2602" s="4" t="s">
        <v>23833</v>
      </c>
    </row>
    <row r="2603" spans="1:13">
      <c r="A2603" s="2">
        <v>3528</v>
      </c>
      <c r="B2603" s="2" t="s">
        <v>14156</v>
      </c>
      <c r="C2603" s="2">
        <v>11</v>
      </c>
      <c r="D2603" s="2">
        <v>568</v>
      </c>
      <c r="E2603" s="2">
        <v>200</v>
      </c>
      <c r="F2603" s="2">
        <v>32441</v>
      </c>
      <c r="G2603" s="2">
        <v>3.1412940140000001</v>
      </c>
      <c r="H2603" s="2">
        <v>1.151348E-3</v>
      </c>
      <c r="I2603" s="2" t="s">
        <v>33020</v>
      </c>
      <c r="J2603" s="2" t="s">
        <v>33021</v>
      </c>
      <c r="K2603" s="2">
        <v>6.6461719999999997E-3</v>
      </c>
      <c r="L2603" s="2" t="s">
        <v>1178</v>
      </c>
      <c r="M2603" s="4" t="s">
        <v>14159</v>
      </c>
    </row>
    <row r="2604" spans="1:13">
      <c r="A2604" s="2">
        <v>3593</v>
      </c>
      <c r="B2604" s="2" t="s">
        <v>33022</v>
      </c>
      <c r="C2604" s="2">
        <v>11</v>
      </c>
      <c r="D2604" s="2">
        <v>568</v>
      </c>
      <c r="E2604" s="2">
        <v>200</v>
      </c>
      <c r="F2604" s="2">
        <v>32441</v>
      </c>
      <c r="G2604" s="2">
        <v>3.1412940140000001</v>
      </c>
      <c r="H2604" s="2">
        <v>1.151348E-3</v>
      </c>
      <c r="I2604" s="2" t="s">
        <v>33023</v>
      </c>
      <c r="J2604" s="2" t="s">
        <v>33024</v>
      </c>
      <c r="K2604" s="2">
        <v>6.6461719999999997E-3</v>
      </c>
      <c r="L2604" s="2" t="s">
        <v>1178</v>
      </c>
      <c r="M2604" s="4" t="s">
        <v>33025</v>
      </c>
    </row>
    <row r="2605" spans="1:13">
      <c r="A2605" s="2">
        <v>3623</v>
      </c>
      <c r="B2605" s="2" t="s">
        <v>23849</v>
      </c>
      <c r="C2605" s="2">
        <v>11</v>
      </c>
      <c r="D2605" s="2">
        <v>568</v>
      </c>
      <c r="E2605" s="2">
        <v>196</v>
      </c>
      <c r="F2605" s="2">
        <v>32441</v>
      </c>
      <c r="G2605" s="2">
        <v>3.205402055</v>
      </c>
      <c r="H2605" s="2">
        <v>9.8629300000000007E-4</v>
      </c>
      <c r="I2605" s="2" t="s">
        <v>33026</v>
      </c>
      <c r="J2605" s="2" t="s">
        <v>33027</v>
      </c>
      <c r="K2605" s="2">
        <v>6.6461719999999997E-3</v>
      </c>
      <c r="L2605" s="2" t="s">
        <v>1178</v>
      </c>
      <c r="M2605" s="4" t="s">
        <v>23852</v>
      </c>
    </row>
    <row r="2606" spans="1:13">
      <c r="A2606" s="2">
        <v>3701</v>
      </c>
      <c r="B2606" s="2" t="s">
        <v>1611</v>
      </c>
      <c r="C2606" s="2">
        <v>11</v>
      </c>
      <c r="D2606" s="2">
        <v>568</v>
      </c>
      <c r="E2606" s="2">
        <v>200</v>
      </c>
      <c r="F2606" s="2">
        <v>32441</v>
      </c>
      <c r="G2606" s="2">
        <v>3.1412940140000001</v>
      </c>
      <c r="H2606" s="2">
        <v>1.151348E-3</v>
      </c>
      <c r="I2606" s="2" t="s">
        <v>33028</v>
      </c>
      <c r="J2606" s="2" t="s">
        <v>33029</v>
      </c>
      <c r="K2606" s="2">
        <v>6.6461719999999997E-3</v>
      </c>
      <c r="L2606" s="2" t="s">
        <v>1178</v>
      </c>
      <c r="M2606" s="4" t="s">
        <v>19115</v>
      </c>
    </row>
    <row r="2607" spans="1:13">
      <c r="A2607" s="2">
        <v>3751</v>
      </c>
      <c r="B2607" s="2" t="s">
        <v>16687</v>
      </c>
      <c r="C2607" s="2">
        <v>11</v>
      </c>
      <c r="D2607" s="2">
        <v>568</v>
      </c>
      <c r="E2607" s="2">
        <v>200</v>
      </c>
      <c r="F2607" s="2">
        <v>32441</v>
      </c>
      <c r="G2607" s="2">
        <v>3.1412940140000001</v>
      </c>
      <c r="H2607" s="2">
        <v>1.151348E-3</v>
      </c>
      <c r="I2607" s="2" t="s">
        <v>33030</v>
      </c>
      <c r="J2607" s="2" t="s">
        <v>33031</v>
      </c>
      <c r="K2607" s="2">
        <v>6.6461719999999997E-3</v>
      </c>
      <c r="L2607" s="2" t="s">
        <v>1178</v>
      </c>
      <c r="M2607" s="4" t="s">
        <v>16690</v>
      </c>
    </row>
    <row r="2608" spans="1:13">
      <c r="A2608" s="2">
        <v>3778</v>
      </c>
      <c r="B2608" s="2" t="s">
        <v>21296</v>
      </c>
      <c r="C2608" s="2">
        <v>11</v>
      </c>
      <c r="D2608" s="2">
        <v>568</v>
      </c>
      <c r="E2608" s="2">
        <v>200</v>
      </c>
      <c r="F2608" s="2">
        <v>32441</v>
      </c>
      <c r="G2608" s="2">
        <v>3.1412940140000001</v>
      </c>
      <c r="H2608" s="2">
        <v>1.151348E-3</v>
      </c>
      <c r="I2608" s="2" t="s">
        <v>33032</v>
      </c>
      <c r="J2608" s="2" t="s">
        <v>33033</v>
      </c>
      <c r="K2608" s="2">
        <v>6.6461719999999997E-3</v>
      </c>
      <c r="L2608" s="2" t="s">
        <v>1178</v>
      </c>
      <c r="M2608" s="4" t="s">
        <v>21299</v>
      </c>
    </row>
    <row r="2609" spans="1:13">
      <c r="A2609" s="2">
        <v>37811</v>
      </c>
      <c r="B2609" s="2" t="s">
        <v>19122</v>
      </c>
      <c r="C2609" s="2">
        <v>11</v>
      </c>
      <c r="D2609" s="2">
        <v>568</v>
      </c>
      <c r="E2609" s="2">
        <v>200</v>
      </c>
      <c r="F2609" s="2">
        <v>32441</v>
      </c>
      <c r="G2609" s="2">
        <v>3.1412940140000001</v>
      </c>
      <c r="H2609" s="2">
        <v>1.151348E-3</v>
      </c>
      <c r="I2609" s="2" t="s">
        <v>33034</v>
      </c>
      <c r="J2609" s="2" t="s">
        <v>33035</v>
      </c>
      <c r="K2609" s="2">
        <v>6.6461719999999997E-3</v>
      </c>
      <c r="L2609" s="2" t="s">
        <v>1178</v>
      </c>
      <c r="M2609" s="4" t="s">
        <v>19125</v>
      </c>
    </row>
    <row r="2610" spans="1:13">
      <c r="A2610" s="2">
        <v>37891</v>
      </c>
      <c r="B2610" s="2" t="s">
        <v>21300</v>
      </c>
      <c r="C2610" s="2">
        <v>11</v>
      </c>
      <c r="D2610" s="2">
        <v>568</v>
      </c>
      <c r="E2610" s="2">
        <v>198</v>
      </c>
      <c r="F2610" s="2">
        <v>32441</v>
      </c>
      <c r="G2610" s="2">
        <v>3.1730242569999998</v>
      </c>
      <c r="H2610" s="2">
        <v>1.0661889999999999E-3</v>
      </c>
      <c r="I2610" s="2" t="s">
        <v>33036</v>
      </c>
      <c r="J2610" s="2" t="s">
        <v>33037</v>
      </c>
      <c r="K2610" s="2">
        <v>6.6461719999999997E-3</v>
      </c>
      <c r="L2610" s="2" t="s">
        <v>1178</v>
      </c>
      <c r="M2610" s="4" t="s">
        <v>21303</v>
      </c>
    </row>
    <row r="2611" spans="1:13">
      <c r="A2611" s="2">
        <v>37901</v>
      </c>
      <c r="B2611" s="2" t="s">
        <v>33038</v>
      </c>
      <c r="C2611" s="2">
        <v>11</v>
      </c>
      <c r="D2611" s="2">
        <v>568</v>
      </c>
      <c r="E2611" s="2">
        <v>200</v>
      </c>
      <c r="F2611" s="2">
        <v>32441</v>
      </c>
      <c r="G2611" s="2">
        <v>3.1412940140000001</v>
      </c>
      <c r="H2611" s="2">
        <v>1.151348E-3</v>
      </c>
      <c r="I2611" s="2" t="s">
        <v>33039</v>
      </c>
      <c r="J2611" s="2" t="s">
        <v>33040</v>
      </c>
      <c r="K2611" s="2">
        <v>6.6461719999999997E-3</v>
      </c>
      <c r="L2611" s="2" t="s">
        <v>1178</v>
      </c>
      <c r="M2611" s="4" t="s">
        <v>33041</v>
      </c>
    </row>
    <row r="2612" spans="1:13">
      <c r="A2612" s="2">
        <v>3846</v>
      </c>
      <c r="B2612" s="2" t="s">
        <v>22555</v>
      </c>
      <c r="C2612" s="2">
        <v>11</v>
      </c>
      <c r="D2612" s="2">
        <v>568</v>
      </c>
      <c r="E2612" s="2">
        <v>200</v>
      </c>
      <c r="F2612" s="2">
        <v>32441</v>
      </c>
      <c r="G2612" s="2">
        <v>3.1412940140000001</v>
      </c>
      <c r="H2612" s="2">
        <v>1.151348E-3</v>
      </c>
      <c r="I2612" s="2" t="s">
        <v>33042</v>
      </c>
      <c r="J2612" s="2" t="s">
        <v>33043</v>
      </c>
      <c r="K2612" s="2">
        <v>6.6461719999999997E-3</v>
      </c>
      <c r="L2612" s="2" t="s">
        <v>1178</v>
      </c>
      <c r="M2612" s="4" t="s">
        <v>22558</v>
      </c>
    </row>
    <row r="2613" spans="1:13">
      <c r="A2613" s="2">
        <v>3923</v>
      </c>
      <c r="B2613" s="2" t="s">
        <v>14554</v>
      </c>
      <c r="C2613" s="2">
        <v>11</v>
      </c>
      <c r="D2613" s="2">
        <v>568</v>
      </c>
      <c r="E2613" s="2">
        <v>200</v>
      </c>
      <c r="F2613" s="2">
        <v>32441</v>
      </c>
      <c r="G2613" s="2">
        <v>3.1412940140000001</v>
      </c>
      <c r="H2613" s="2">
        <v>1.151348E-3</v>
      </c>
      <c r="I2613" s="2" t="s">
        <v>33044</v>
      </c>
      <c r="J2613" s="2" t="s">
        <v>33045</v>
      </c>
      <c r="K2613" s="2">
        <v>6.6461719999999997E-3</v>
      </c>
      <c r="L2613" s="2" t="s">
        <v>1178</v>
      </c>
      <c r="M2613" s="4" t="s">
        <v>14557</v>
      </c>
    </row>
    <row r="2614" spans="1:13">
      <c r="A2614" s="2">
        <v>39251</v>
      </c>
      <c r="B2614" s="2" t="s">
        <v>18272</v>
      </c>
      <c r="C2614" s="2">
        <v>11</v>
      </c>
      <c r="D2614" s="2">
        <v>568</v>
      </c>
      <c r="E2614" s="2">
        <v>200</v>
      </c>
      <c r="F2614" s="2">
        <v>32441</v>
      </c>
      <c r="G2614" s="2">
        <v>3.1412940140000001</v>
      </c>
      <c r="H2614" s="2">
        <v>1.151348E-3</v>
      </c>
      <c r="I2614" s="2" t="s">
        <v>33046</v>
      </c>
      <c r="J2614" s="2" t="s">
        <v>33047</v>
      </c>
      <c r="K2614" s="2">
        <v>6.6461719999999997E-3</v>
      </c>
      <c r="L2614" s="2" t="s">
        <v>1178</v>
      </c>
      <c r="M2614" s="4" t="s">
        <v>18275</v>
      </c>
    </row>
    <row r="2615" spans="1:13">
      <c r="A2615" s="2">
        <v>3968</v>
      </c>
      <c r="B2615" s="2" t="s">
        <v>13879</v>
      </c>
      <c r="C2615" s="2">
        <v>11</v>
      </c>
      <c r="D2615" s="2">
        <v>568</v>
      </c>
      <c r="E2615" s="2">
        <v>200</v>
      </c>
      <c r="F2615" s="2">
        <v>32441</v>
      </c>
      <c r="G2615" s="2">
        <v>3.1412940140000001</v>
      </c>
      <c r="H2615" s="2">
        <v>1.151348E-3</v>
      </c>
      <c r="I2615" s="2" t="s">
        <v>33048</v>
      </c>
      <c r="J2615" s="2" t="s">
        <v>33049</v>
      </c>
      <c r="K2615" s="2">
        <v>6.6461719999999997E-3</v>
      </c>
      <c r="L2615" s="2" t="s">
        <v>1178</v>
      </c>
      <c r="M2615" s="4" t="s">
        <v>13882</v>
      </c>
    </row>
    <row r="2616" spans="1:13">
      <c r="A2616" s="2">
        <v>4005</v>
      </c>
      <c r="B2616" s="2" t="s">
        <v>22586</v>
      </c>
      <c r="C2616" s="2">
        <v>11</v>
      </c>
      <c r="D2616" s="2">
        <v>568</v>
      </c>
      <c r="E2616" s="2">
        <v>200</v>
      </c>
      <c r="F2616" s="2">
        <v>32441</v>
      </c>
      <c r="G2616" s="2">
        <v>3.1412940140000001</v>
      </c>
      <c r="H2616" s="2">
        <v>1.151348E-3</v>
      </c>
      <c r="I2616" s="2" t="s">
        <v>33050</v>
      </c>
      <c r="J2616" s="2" t="s">
        <v>33051</v>
      </c>
      <c r="K2616" s="2">
        <v>6.6461719999999997E-3</v>
      </c>
      <c r="L2616" s="2" t="s">
        <v>1178</v>
      </c>
      <c r="M2616" s="4" t="s">
        <v>22589</v>
      </c>
    </row>
    <row r="2617" spans="1:13">
      <c r="A2617" s="2">
        <v>4052</v>
      </c>
      <c r="B2617" s="2" t="s">
        <v>33052</v>
      </c>
      <c r="C2617" s="2">
        <v>11</v>
      </c>
      <c r="D2617" s="2">
        <v>568</v>
      </c>
      <c r="E2617" s="2">
        <v>200</v>
      </c>
      <c r="F2617" s="2">
        <v>32441</v>
      </c>
      <c r="G2617" s="2">
        <v>3.1412940140000001</v>
      </c>
      <c r="H2617" s="2">
        <v>1.151348E-3</v>
      </c>
      <c r="I2617" s="2" t="s">
        <v>33053</v>
      </c>
      <c r="J2617" s="2" t="s">
        <v>33054</v>
      </c>
      <c r="K2617" s="2">
        <v>6.6461719999999997E-3</v>
      </c>
      <c r="L2617" s="2" t="s">
        <v>1178</v>
      </c>
      <c r="M2617" s="4" t="s">
        <v>33055</v>
      </c>
    </row>
    <row r="2618" spans="1:13">
      <c r="A2618" s="2">
        <v>4053</v>
      </c>
      <c r="B2618" s="2" t="s">
        <v>33056</v>
      </c>
      <c r="C2618" s="2">
        <v>11</v>
      </c>
      <c r="D2618" s="2">
        <v>568</v>
      </c>
      <c r="E2618" s="2">
        <v>200</v>
      </c>
      <c r="F2618" s="2">
        <v>32441</v>
      </c>
      <c r="G2618" s="2">
        <v>3.1412940140000001</v>
      </c>
      <c r="H2618" s="2">
        <v>1.151348E-3</v>
      </c>
      <c r="I2618" s="2" t="s">
        <v>33057</v>
      </c>
      <c r="J2618" s="2" t="s">
        <v>33058</v>
      </c>
      <c r="K2618" s="2">
        <v>6.6461719999999997E-3</v>
      </c>
      <c r="L2618" s="2" t="s">
        <v>1178</v>
      </c>
      <c r="M2618" s="4" t="s">
        <v>33059</v>
      </c>
    </row>
    <row r="2619" spans="1:13">
      <c r="A2619" s="2">
        <v>4131</v>
      </c>
      <c r="B2619" s="2" t="s">
        <v>22601</v>
      </c>
      <c r="C2619" s="2">
        <v>11</v>
      </c>
      <c r="D2619" s="2">
        <v>568</v>
      </c>
      <c r="E2619" s="2">
        <v>199</v>
      </c>
      <c r="F2619" s="2">
        <v>32441</v>
      </c>
      <c r="G2619" s="2">
        <v>3.1570794109999998</v>
      </c>
      <c r="H2619" s="2">
        <v>1.1080949999999999E-3</v>
      </c>
      <c r="I2619" s="2" t="s">
        <v>33060</v>
      </c>
      <c r="J2619" s="2" t="s">
        <v>33061</v>
      </c>
      <c r="K2619" s="2">
        <v>6.6461719999999997E-3</v>
      </c>
      <c r="L2619" s="2" t="s">
        <v>1178</v>
      </c>
      <c r="M2619" s="4" t="s">
        <v>22604</v>
      </c>
    </row>
    <row r="2620" spans="1:13">
      <c r="A2620" s="2">
        <v>4149</v>
      </c>
      <c r="B2620" s="2" t="s">
        <v>33062</v>
      </c>
      <c r="C2620" s="2">
        <v>11</v>
      </c>
      <c r="D2620" s="2">
        <v>568</v>
      </c>
      <c r="E2620" s="2">
        <v>200</v>
      </c>
      <c r="F2620" s="2">
        <v>32441</v>
      </c>
      <c r="G2620" s="2">
        <v>3.1412940140000001</v>
      </c>
      <c r="H2620" s="2">
        <v>1.151348E-3</v>
      </c>
      <c r="I2620" s="2" t="s">
        <v>33063</v>
      </c>
      <c r="J2620" s="2" t="s">
        <v>33064</v>
      </c>
      <c r="K2620" s="2">
        <v>6.6461719999999997E-3</v>
      </c>
      <c r="L2620" s="2" t="s">
        <v>1178</v>
      </c>
      <c r="M2620" s="4" t="s">
        <v>33065</v>
      </c>
    </row>
    <row r="2621" spans="1:13">
      <c r="A2621" s="2">
        <v>4302</v>
      </c>
      <c r="B2621" s="2" t="s">
        <v>19171</v>
      </c>
      <c r="C2621" s="2">
        <v>11</v>
      </c>
      <c r="D2621" s="2">
        <v>568</v>
      </c>
      <c r="E2621" s="2">
        <v>200</v>
      </c>
      <c r="F2621" s="2">
        <v>32441</v>
      </c>
      <c r="G2621" s="2">
        <v>3.1412940140000001</v>
      </c>
      <c r="H2621" s="2">
        <v>1.151348E-3</v>
      </c>
      <c r="I2621" s="2" t="s">
        <v>33066</v>
      </c>
      <c r="J2621" s="2" t="s">
        <v>33067</v>
      </c>
      <c r="K2621" s="2">
        <v>6.6461719999999997E-3</v>
      </c>
      <c r="L2621" s="2" t="s">
        <v>1178</v>
      </c>
      <c r="M2621" s="4" t="s">
        <v>19174</v>
      </c>
    </row>
    <row r="2622" spans="1:13">
      <c r="A2622" s="2">
        <v>43191</v>
      </c>
      <c r="B2622" s="2" t="s">
        <v>18311</v>
      </c>
      <c r="C2622" s="2">
        <v>11</v>
      </c>
      <c r="D2622" s="2">
        <v>568</v>
      </c>
      <c r="E2622" s="2">
        <v>198</v>
      </c>
      <c r="F2622" s="2">
        <v>32441</v>
      </c>
      <c r="G2622" s="2">
        <v>3.1730242569999998</v>
      </c>
      <c r="H2622" s="2">
        <v>1.0661889999999999E-3</v>
      </c>
      <c r="I2622" s="2" t="s">
        <v>33068</v>
      </c>
      <c r="J2622" s="2" t="s">
        <v>33069</v>
      </c>
      <c r="K2622" s="2">
        <v>6.6461719999999997E-3</v>
      </c>
      <c r="L2622" s="2" t="s">
        <v>1178</v>
      </c>
      <c r="M2622" s="4" t="s">
        <v>18314</v>
      </c>
    </row>
    <row r="2623" spans="1:13">
      <c r="A2623" s="2">
        <v>4360</v>
      </c>
      <c r="B2623" s="2" t="s">
        <v>20187</v>
      </c>
      <c r="C2623" s="2">
        <v>11</v>
      </c>
      <c r="D2623" s="2">
        <v>568</v>
      </c>
      <c r="E2623" s="2">
        <v>200</v>
      </c>
      <c r="F2623" s="2">
        <v>32441</v>
      </c>
      <c r="G2623" s="2">
        <v>3.1412940140000001</v>
      </c>
      <c r="H2623" s="2">
        <v>1.151348E-3</v>
      </c>
      <c r="I2623" s="2" t="s">
        <v>33070</v>
      </c>
      <c r="J2623" s="2" t="s">
        <v>33071</v>
      </c>
      <c r="K2623" s="2">
        <v>6.6461719999999997E-3</v>
      </c>
      <c r="L2623" s="2" t="s">
        <v>1178</v>
      </c>
      <c r="M2623" s="4" t="s">
        <v>20190</v>
      </c>
    </row>
    <row r="2624" spans="1:13">
      <c r="A2624" s="2">
        <v>43851</v>
      </c>
      <c r="B2624" s="2" t="s">
        <v>16109</v>
      </c>
      <c r="C2624" s="2">
        <v>11</v>
      </c>
      <c r="D2624" s="2">
        <v>568</v>
      </c>
      <c r="E2624" s="2">
        <v>200</v>
      </c>
      <c r="F2624" s="2">
        <v>32441</v>
      </c>
      <c r="G2624" s="2">
        <v>3.1412940140000001</v>
      </c>
      <c r="H2624" s="2">
        <v>1.151348E-3</v>
      </c>
      <c r="I2624" s="2" t="s">
        <v>33072</v>
      </c>
      <c r="J2624" s="2" t="s">
        <v>33073</v>
      </c>
      <c r="K2624" s="2">
        <v>6.6461719999999997E-3</v>
      </c>
      <c r="L2624" s="2" t="s">
        <v>1178</v>
      </c>
      <c r="M2624" s="4" t="s">
        <v>16112</v>
      </c>
    </row>
    <row r="2625" spans="1:13">
      <c r="A2625" s="2">
        <v>4395</v>
      </c>
      <c r="B2625" s="2" t="s">
        <v>33074</v>
      </c>
      <c r="C2625" s="2">
        <v>11</v>
      </c>
      <c r="D2625" s="2">
        <v>568</v>
      </c>
      <c r="E2625" s="2">
        <v>200</v>
      </c>
      <c r="F2625" s="2">
        <v>32441</v>
      </c>
      <c r="G2625" s="2">
        <v>3.1412940140000001</v>
      </c>
      <c r="H2625" s="2">
        <v>1.151348E-3</v>
      </c>
      <c r="I2625" s="2" t="s">
        <v>33075</v>
      </c>
      <c r="J2625" s="2" t="s">
        <v>33076</v>
      </c>
      <c r="K2625" s="2">
        <v>6.6461719999999997E-3</v>
      </c>
      <c r="L2625" s="2" t="s">
        <v>1178</v>
      </c>
      <c r="M2625" s="4" t="s">
        <v>33077</v>
      </c>
    </row>
    <row r="2626" spans="1:13">
      <c r="A2626" s="2">
        <v>4400</v>
      </c>
      <c r="B2626" s="2" t="s">
        <v>23980</v>
      </c>
      <c r="C2626" s="2">
        <v>11</v>
      </c>
      <c r="D2626" s="2">
        <v>568</v>
      </c>
      <c r="E2626" s="2">
        <v>200</v>
      </c>
      <c r="F2626" s="2">
        <v>32441</v>
      </c>
      <c r="G2626" s="2">
        <v>3.1412940140000001</v>
      </c>
      <c r="H2626" s="2">
        <v>1.151348E-3</v>
      </c>
      <c r="I2626" s="2" t="s">
        <v>33078</v>
      </c>
      <c r="J2626" s="2" t="s">
        <v>33079</v>
      </c>
      <c r="K2626" s="2">
        <v>6.6461719999999997E-3</v>
      </c>
      <c r="L2626" s="2" t="s">
        <v>1178</v>
      </c>
      <c r="M2626" s="4" t="s">
        <v>23983</v>
      </c>
    </row>
    <row r="2627" spans="1:13">
      <c r="A2627" s="2">
        <v>44061</v>
      </c>
      <c r="B2627" s="2" t="s">
        <v>20199</v>
      </c>
      <c r="C2627" s="2">
        <v>11</v>
      </c>
      <c r="D2627" s="2">
        <v>568</v>
      </c>
      <c r="E2627" s="2">
        <v>200</v>
      </c>
      <c r="F2627" s="2">
        <v>32441</v>
      </c>
      <c r="G2627" s="2">
        <v>3.1412940140000001</v>
      </c>
      <c r="H2627" s="2">
        <v>1.151348E-3</v>
      </c>
      <c r="I2627" s="2" t="s">
        <v>33080</v>
      </c>
      <c r="J2627" s="2" t="s">
        <v>33081</v>
      </c>
      <c r="K2627" s="2">
        <v>6.6461719999999997E-3</v>
      </c>
      <c r="L2627" s="2" t="s">
        <v>1178</v>
      </c>
      <c r="M2627" s="4" t="s">
        <v>20202</v>
      </c>
    </row>
    <row r="2628" spans="1:13">
      <c r="A2628" s="2">
        <v>44471</v>
      </c>
      <c r="B2628" s="2" t="s">
        <v>17554</v>
      </c>
      <c r="C2628" s="2">
        <v>11</v>
      </c>
      <c r="D2628" s="2">
        <v>568</v>
      </c>
      <c r="E2628" s="2">
        <v>200</v>
      </c>
      <c r="F2628" s="2">
        <v>32441</v>
      </c>
      <c r="G2628" s="2">
        <v>3.1412940140000001</v>
      </c>
      <c r="H2628" s="2">
        <v>1.151348E-3</v>
      </c>
      <c r="I2628" s="2" t="s">
        <v>33082</v>
      </c>
      <c r="J2628" s="2" t="s">
        <v>33083</v>
      </c>
      <c r="K2628" s="2">
        <v>6.6461719999999997E-3</v>
      </c>
      <c r="L2628" s="2" t="s">
        <v>1178</v>
      </c>
      <c r="M2628" s="4" t="s">
        <v>17557</v>
      </c>
    </row>
    <row r="2629" spans="1:13">
      <c r="A2629" s="2">
        <v>4468</v>
      </c>
      <c r="B2629" s="2" t="s">
        <v>33084</v>
      </c>
      <c r="C2629" s="2">
        <v>11</v>
      </c>
      <c r="D2629" s="2">
        <v>568</v>
      </c>
      <c r="E2629" s="2">
        <v>200</v>
      </c>
      <c r="F2629" s="2">
        <v>32441</v>
      </c>
      <c r="G2629" s="2">
        <v>3.1412940140000001</v>
      </c>
      <c r="H2629" s="2">
        <v>1.151348E-3</v>
      </c>
      <c r="I2629" s="2" t="s">
        <v>33085</v>
      </c>
      <c r="J2629" s="2" t="s">
        <v>33086</v>
      </c>
      <c r="K2629" s="2">
        <v>6.6461719999999997E-3</v>
      </c>
      <c r="L2629" s="2" t="s">
        <v>1178</v>
      </c>
      <c r="M2629" s="4" t="s">
        <v>33087</v>
      </c>
    </row>
    <row r="2630" spans="1:13">
      <c r="A2630" s="2">
        <v>4482</v>
      </c>
      <c r="B2630" s="2" t="s">
        <v>33088</v>
      </c>
      <c r="C2630" s="2">
        <v>11</v>
      </c>
      <c r="D2630" s="2">
        <v>568</v>
      </c>
      <c r="E2630" s="2">
        <v>200</v>
      </c>
      <c r="F2630" s="2">
        <v>32441</v>
      </c>
      <c r="G2630" s="2">
        <v>3.1412940140000001</v>
      </c>
      <c r="H2630" s="2">
        <v>1.151348E-3</v>
      </c>
      <c r="I2630" s="2" t="s">
        <v>33089</v>
      </c>
      <c r="J2630" s="2" t="s">
        <v>33090</v>
      </c>
      <c r="K2630" s="2">
        <v>6.6461719999999997E-3</v>
      </c>
      <c r="L2630" s="2" t="s">
        <v>1178</v>
      </c>
      <c r="M2630" s="4" t="s">
        <v>33091</v>
      </c>
    </row>
    <row r="2631" spans="1:13">
      <c r="A2631" s="2">
        <v>4489</v>
      </c>
      <c r="B2631" s="2" t="s">
        <v>33092</v>
      </c>
      <c r="C2631" s="2">
        <v>11</v>
      </c>
      <c r="D2631" s="2">
        <v>568</v>
      </c>
      <c r="E2631" s="2">
        <v>199</v>
      </c>
      <c r="F2631" s="2">
        <v>32441</v>
      </c>
      <c r="G2631" s="2">
        <v>3.1570794109999998</v>
      </c>
      <c r="H2631" s="2">
        <v>1.1080949999999999E-3</v>
      </c>
      <c r="I2631" s="2" t="s">
        <v>33093</v>
      </c>
      <c r="J2631" s="2" t="s">
        <v>33094</v>
      </c>
      <c r="K2631" s="2">
        <v>6.6461719999999997E-3</v>
      </c>
      <c r="L2631" s="2" t="s">
        <v>1178</v>
      </c>
      <c r="M2631" s="4" t="s">
        <v>33095</v>
      </c>
    </row>
    <row r="2632" spans="1:13">
      <c r="A2632" s="2">
        <v>44981</v>
      </c>
      <c r="B2632" s="2" t="s">
        <v>15002</v>
      </c>
      <c r="C2632" s="2">
        <v>11</v>
      </c>
      <c r="D2632" s="2">
        <v>568</v>
      </c>
      <c r="E2632" s="2">
        <v>200</v>
      </c>
      <c r="F2632" s="2">
        <v>32441</v>
      </c>
      <c r="G2632" s="2">
        <v>3.1412940140000001</v>
      </c>
      <c r="H2632" s="2">
        <v>1.151348E-3</v>
      </c>
      <c r="I2632" s="2" t="s">
        <v>33096</v>
      </c>
      <c r="J2632" s="2" t="s">
        <v>33097</v>
      </c>
      <c r="K2632" s="2">
        <v>6.6461719999999997E-3</v>
      </c>
      <c r="L2632" s="2" t="s">
        <v>1178</v>
      </c>
      <c r="M2632" s="4" t="s">
        <v>15005</v>
      </c>
    </row>
    <row r="2633" spans="1:13">
      <c r="A2633" s="2">
        <v>4500</v>
      </c>
      <c r="B2633" s="2" t="s">
        <v>23992</v>
      </c>
      <c r="C2633" s="2">
        <v>11</v>
      </c>
      <c r="D2633" s="2">
        <v>568</v>
      </c>
      <c r="E2633" s="2">
        <v>200</v>
      </c>
      <c r="F2633" s="2">
        <v>32441</v>
      </c>
      <c r="G2633" s="2">
        <v>3.1412940140000001</v>
      </c>
      <c r="H2633" s="2">
        <v>1.151348E-3</v>
      </c>
      <c r="I2633" s="2" t="s">
        <v>33098</v>
      </c>
      <c r="J2633" s="2" t="s">
        <v>33099</v>
      </c>
      <c r="K2633" s="2">
        <v>6.6461719999999997E-3</v>
      </c>
      <c r="L2633" s="2" t="s">
        <v>1178</v>
      </c>
      <c r="M2633" s="4" t="s">
        <v>23995</v>
      </c>
    </row>
    <row r="2634" spans="1:13">
      <c r="A2634" s="2">
        <v>4522</v>
      </c>
      <c r="B2634" s="2" t="s">
        <v>33100</v>
      </c>
      <c r="C2634" s="2">
        <v>11</v>
      </c>
      <c r="D2634" s="2">
        <v>568</v>
      </c>
      <c r="E2634" s="2">
        <v>200</v>
      </c>
      <c r="F2634" s="2">
        <v>32441</v>
      </c>
      <c r="G2634" s="2">
        <v>3.1412940140000001</v>
      </c>
      <c r="H2634" s="2">
        <v>1.151348E-3</v>
      </c>
      <c r="I2634" s="2" t="s">
        <v>33101</v>
      </c>
      <c r="J2634" s="2" t="s">
        <v>33102</v>
      </c>
      <c r="K2634" s="2">
        <v>6.6461719999999997E-3</v>
      </c>
      <c r="L2634" s="2" t="s">
        <v>1178</v>
      </c>
      <c r="M2634" s="4" t="s">
        <v>33103</v>
      </c>
    </row>
    <row r="2635" spans="1:13">
      <c r="A2635" s="2">
        <v>45251</v>
      </c>
      <c r="B2635" s="2" t="s">
        <v>14594</v>
      </c>
      <c r="C2635" s="2">
        <v>11</v>
      </c>
      <c r="D2635" s="2">
        <v>568</v>
      </c>
      <c r="E2635" s="2">
        <v>200</v>
      </c>
      <c r="F2635" s="2">
        <v>32441</v>
      </c>
      <c r="G2635" s="2">
        <v>3.1412940140000001</v>
      </c>
      <c r="H2635" s="2">
        <v>1.151348E-3</v>
      </c>
      <c r="I2635" s="2" t="s">
        <v>33104</v>
      </c>
      <c r="J2635" s="2" t="s">
        <v>33105</v>
      </c>
      <c r="K2635" s="2">
        <v>6.6461719999999997E-3</v>
      </c>
      <c r="L2635" s="2" t="s">
        <v>1178</v>
      </c>
      <c r="M2635" s="4" t="s">
        <v>14597</v>
      </c>
    </row>
    <row r="2636" spans="1:13">
      <c r="A2636" s="2">
        <v>4549</v>
      </c>
      <c r="B2636" s="2" t="s">
        <v>33106</v>
      </c>
      <c r="C2636" s="2">
        <v>11</v>
      </c>
      <c r="D2636" s="2">
        <v>568</v>
      </c>
      <c r="E2636" s="2">
        <v>200</v>
      </c>
      <c r="F2636" s="2">
        <v>32441</v>
      </c>
      <c r="G2636" s="2">
        <v>3.1412940140000001</v>
      </c>
      <c r="H2636" s="2">
        <v>1.151348E-3</v>
      </c>
      <c r="I2636" s="2" t="s">
        <v>33107</v>
      </c>
      <c r="J2636" s="2" t="s">
        <v>33108</v>
      </c>
      <c r="K2636" s="2">
        <v>6.6461719999999997E-3</v>
      </c>
      <c r="L2636" s="2" t="s">
        <v>1178</v>
      </c>
      <c r="M2636" s="4" t="s">
        <v>33109</v>
      </c>
    </row>
    <row r="2637" spans="1:13">
      <c r="A2637" s="2">
        <v>4553</v>
      </c>
      <c r="B2637" s="2" t="s">
        <v>33110</v>
      </c>
      <c r="C2637" s="2">
        <v>11</v>
      </c>
      <c r="D2637" s="2">
        <v>568</v>
      </c>
      <c r="E2637" s="2">
        <v>200</v>
      </c>
      <c r="F2637" s="2">
        <v>32441</v>
      </c>
      <c r="G2637" s="2">
        <v>3.1412940140000001</v>
      </c>
      <c r="H2637" s="2">
        <v>1.151348E-3</v>
      </c>
      <c r="I2637" s="2" t="s">
        <v>33111</v>
      </c>
      <c r="J2637" s="2" t="s">
        <v>33112</v>
      </c>
      <c r="K2637" s="2">
        <v>6.6461719999999997E-3</v>
      </c>
      <c r="L2637" s="2" t="s">
        <v>1178</v>
      </c>
      <c r="M2637" s="4" t="s">
        <v>33113</v>
      </c>
    </row>
    <row r="2638" spans="1:13">
      <c r="A2638" s="2">
        <v>4641</v>
      </c>
      <c r="B2638" s="2" t="s">
        <v>19248</v>
      </c>
      <c r="C2638" s="2">
        <v>11</v>
      </c>
      <c r="D2638" s="2">
        <v>568</v>
      </c>
      <c r="E2638" s="2">
        <v>200</v>
      </c>
      <c r="F2638" s="2">
        <v>32441</v>
      </c>
      <c r="G2638" s="2">
        <v>3.1412940140000001</v>
      </c>
      <c r="H2638" s="2">
        <v>1.151348E-3</v>
      </c>
      <c r="I2638" s="2" t="s">
        <v>33114</v>
      </c>
      <c r="J2638" s="2" t="s">
        <v>33115</v>
      </c>
      <c r="K2638" s="2">
        <v>6.6461719999999997E-3</v>
      </c>
      <c r="L2638" s="2" t="s">
        <v>1178</v>
      </c>
      <c r="M2638" s="4" t="s">
        <v>19251</v>
      </c>
    </row>
    <row r="2639" spans="1:13">
      <c r="A2639" s="2">
        <v>4665</v>
      </c>
      <c r="B2639" s="2" t="s">
        <v>33116</v>
      </c>
      <c r="C2639" s="2">
        <v>11</v>
      </c>
      <c r="D2639" s="2">
        <v>568</v>
      </c>
      <c r="E2639" s="2">
        <v>200</v>
      </c>
      <c r="F2639" s="2">
        <v>32441</v>
      </c>
      <c r="G2639" s="2">
        <v>3.1412940140000001</v>
      </c>
      <c r="H2639" s="2">
        <v>1.151348E-3</v>
      </c>
      <c r="I2639" s="2" t="s">
        <v>33117</v>
      </c>
      <c r="J2639" s="2" t="s">
        <v>33118</v>
      </c>
      <c r="K2639" s="2">
        <v>6.6461719999999997E-3</v>
      </c>
      <c r="L2639" s="2" t="s">
        <v>1178</v>
      </c>
      <c r="M2639" s="4" t="s">
        <v>33119</v>
      </c>
    </row>
    <row r="2640" spans="1:13">
      <c r="A2640" s="2">
        <v>46811</v>
      </c>
      <c r="B2640" s="2" t="s">
        <v>14614</v>
      </c>
      <c r="C2640" s="2">
        <v>11</v>
      </c>
      <c r="D2640" s="2">
        <v>568</v>
      </c>
      <c r="E2640" s="2">
        <v>200</v>
      </c>
      <c r="F2640" s="2">
        <v>32441</v>
      </c>
      <c r="G2640" s="2">
        <v>3.1412940140000001</v>
      </c>
      <c r="H2640" s="2">
        <v>1.151348E-3</v>
      </c>
      <c r="I2640" s="2" t="s">
        <v>33120</v>
      </c>
      <c r="J2640" s="2" t="s">
        <v>33121</v>
      </c>
      <c r="K2640" s="2">
        <v>6.6461719999999997E-3</v>
      </c>
      <c r="L2640" s="2" t="s">
        <v>1178</v>
      </c>
      <c r="M2640" s="4" t="s">
        <v>14617</v>
      </c>
    </row>
    <row r="2641" spans="1:13">
      <c r="A2641" s="2">
        <v>46831</v>
      </c>
      <c r="B2641" s="2" t="s">
        <v>18378</v>
      </c>
      <c r="C2641" s="2">
        <v>11</v>
      </c>
      <c r="D2641" s="2">
        <v>568</v>
      </c>
      <c r="E2641" s="2">
        <v>200</v>
      </c>
      <c r="F2641" s="2">
        <v>32441</v>
      </c>
      <c r="G2641" s="2">
        <v>3.1412940140000001</v>
      </c>
      <c r="H2641" s="2">
        <v>1.151348E-3</v>
      </c>
      <c r="I2641" s="2" t="s">
        <v>33122</v>
      </c>
      <c r="J2641" s="2" t="s">
        <v>33123</v>
      </c>
      <c r="K2641" s="2">
        <v>6.6461719999999997E-3</v>
      </c>
      <c r="L2641" s="2" t="s">
        <v>1178</v>
      </c>
      <c r="M2641" s="4" t="s">
        <v>18381</v>
      </c>
    </row>
    <row r="2642" spans="1:13">
      <c r="A2642" s="2">
        <v>4707</v>
      </c>
      <c r="B2642" s="2" t="s">
        <v>2280</v>
      </c>
      <c r="C2642" s="2">
        <v>11</v>
      </c>
      <c r="D2642" s="2">
        <v>568</v>
      </c>
      <c r="E2642" s="2">
        <v>200</v>
      </c>
      <c r="F2642" s="2">
        <v>32441</v>
      </c>
      <c r="G2642" s="2">
        <v>3.1412940140000001</v>
      </c>
      <c r="H2642" s="2">
        <v>1.151348E-3</v>
      </c>
      <c r="I2642" s="2" t="s">
        <v>33124</v>
      </c>
      <c r="J2642" s="2" t="s">
        <v>33125</v>
      </c>
      <c r="K2642" s="2">
        <v>6.6461719999999997E-3</v>
      </c>
      <c r="L2642" s="2" t="s">
        <v>1178</v>
      </c>
      <c r="M2642" s="4" t="s">
        <v>33126</v>
      </c>
    </row>
    <row r="2643" spans="1:13">
      <c r="A2643" s="2">
        <v>47371</v>
      </c>
      <c r="B2643" s="2" t="s">
        <v>1773</v>
      </c>
      <c r="C2643" s="2">
        <v>11</v>
      </c>
      <c r="D2643" s="2">
        <v>568</v>
      </c>
      <c r="E2643" s="2">
        <v>200</v>
      </c>
      <c r="F2643" s="2">
        <v>32441</v>
      </c>
      <c r="G2643" s="2">
        <v>3.1412940140000001</v>
      </c>
      <c r="H2643" s="2">
        <v>1.151348E-3</v>
      </c>
      <c r="I2643" s="2" t="s">
        <v>33127</v>
      </c>
      <c r="J2643" s="2" t="s">
        <v>33128</v>
      </c>
      <c r="K2643" s="2">
        <v>6.6461719999999997E-3</v>
      </c>
      <c r="L2643" s="2" t="s">
        <v>1178</v>
      </c>
      <c r="M2643" s="4" t="s">
        <v>22710</v>
      </c>
    </row>
    <row r="2644" spans="1:13">
      <c r="A2644" s="2">
        <v>47412</v>
      </c>
      <c r="B2644" s="2" t="s">
        <v>18386</v>
      </c>
      <c r="C2644" s="2">
        <v>11</v>
      </c>
      <c r="D2644" s="2">
        <v>568</v>
      </c>
      <c r="E2644" s="2">
        <v>200</v>
      </c>
      <c r="F2644" s="2">
        <v>32441</v>
      </c>
      <c r="G2644" s="2">
        <v>3.1412940140000001</v>
      </c>
      <c r="H2644" s="2">
        <v>1.151348E-3</v>
      </c>
      <c r="I2644" s="2" t="s">
        <v>33129</v>
      </c>
      <c r="J2644" s="2" t="s">
        <v>33130</v>
      </c>
      <c r="K2644" s="2">
        <v>6.6461719999999997E-3</v>
      </c>
      <c r="L2644" s="2" t="s">
        <v>1178</v>
      </c>
      <c r="M2644" s="4" t="s">
        <v>18389</v>
      </c>
    </row>
    <row r="2645" spans="1:13">
      <c r="A2645" s="2">
        <v>4755</v>
      </c>
      <c r="B2645" s="2" t="s">
        <v>33131</v>
      </c>
      <c r="C2645" s="2">
        <v>11</v>
      </c>
      <c r="D2645" s="2">
        <v>568</v>
      </c>
      <c r="E2645" s="2">
        <v>200</v>
      </c>
      <c r="F2645" s="2">
        <v>32441</v>
      </c>
      <c r="G2645" s="2">
        <v>3.1412940140000001</v>
      </c>
      <c r="H2645" s="2">
        <v>1.151348E-3</v>
      </c>
      <c r="I2645" s="2" t="s">
        <v>33132</v>
      </c>
      <c r="J2645" s="2" t="s">
        <v>33133</v>
      </c>
      <c r="K2645" s="2">
        <v>6.6461719999999997E-3</v>
      </c>
      <c r="L2645" s="2" t="s">
        <v>1178</v>
      </c>
      <c r="M2645" s="4" t="s">
        <v>33134</v>
      </c>
    </row>
    <row r="2646" spans="1:13">
      <c r="A2646" s="2">
        <v>4846</v>
      </c>
      <c r="B2646" s="2" t="s">
        <v>33135</v>
      </c>
      <c r="C2646" s="2">
        <v>11</v>
      </c>
      <c r="D2646" s="2">
        <v>568</v>
      </c>
      <c r="E2646" s="2">
        <v>198</v>
      </c>
      <c r="F2646" s="2">
        <v>32441</v>
      </c>
      <c r="G2646" s="2">
        <v>3.1730242569999998</v>
      </c>
      <c r="H2646" s="2">
        <v>1.0661889999999999E-3</v>
      </c>
      <c r="I2646" s="2" t="s">
        <v>33136</v>
      </c>
      <c r="J2646" s="2" t="s">
        <v>33137</v>
      </c>
      <c r="K2646" s="2">
        <v>6.6461719999999997E-3</v>
      </c>
      <c r="L2646" s="2" t="s">
        <v>1178</v>
      </c>
      <c r="M2646" s="4" t="s">
        <v>33138</v>
      </c>
    </row>
    <row r="2647" spans="1:13">
      <c r="A2647" s="2">
        <v>4859</v>
      </c>
      <c r="B2647" s="2" t="s">
        <v>33139</v>
      </c>
      <c r="C2647" s="2">
        <v>11</v>
      </c>
      <c r="D2647" s="2">
        <v>568</v>
      </c>
      <c r="E2647" s="2">
        <v>199</v>
      </c>
      <c r="F2647" s="2">
        <v>32441</v>
      </c>
      <c r="G2647" s="2">
        <v>3.1570794109999998</v>
      </c>
      <c r="H2647" s="2">
        <v>1.1080949999999999E-3</v>
      </c>
      <c r="I2647" s="2" t="s">
        <v>33140</v>
      </c>
      <c r="J2647" s="2" t="s">
        <v>33141</v>
      </c>
      <c r="K2647" s="2">
        <v>6.6461719999999997E-3</v>
      </c>
      <c r="L2647" s="2" t="s">
        <v>1178</v>
      </c>
      <c r="M2647" s="4" t="s">
        <v>33142</v>
      </c>
    </row>
    <row r="2648" spans="1:13">
      <c r="A2648" s="2">
        <v>3884</v>
      </c>
      <c r="B2648" s="2" t="s">
        <v>18264</v>
      </c>
      <c r="C2648" s="2">
        <v>10</v>
      </c>
      <c r="D2648" s="2">
        <v>568</v>
      </c>
      <c r="E2648" s="2">
        <v>170</v>
      </c>
      <c r="F2648" s="2">
        <v>32441</v>
      </c>
      <c r="G2648" s="2">
        <v>3.3596727419999999</v>
      </c>
      <c r="H2648" s="2">
        <v>1.1847439999999999E-3</v>
      </c>
      <c r="I2648" s="2" t="s">
        <v>33143</v>
      </c>
      <c r="J2648" s="2" t="s">
        <v>33144</v>
      </c>
      <c r="K2648" s="2">
        <v>6.822781E-3</v>
      </c>
      <c r="L2648" s="2" t="s">
        <v>1178</v>
      </c>
      <c r="M2648" s="4" t="s">
        <v>18267</v>
      </c>
    </row>
    <row r="2649" spans="1:13">
      <c r="A2649" s="2">
        <v>4108</v>
      </c>
      <c r="B2649" s="2" t="s">
        <v>24127</v>
      </c>
      <c r="C2649" s="2">
        <v>10</v>
      </c>
      <c r="D2649" s="2">
        <v>568</v>
      </c>
      <c r="E2649" s="2">
        <v>170</v>
      </c>
      <c r="F2649" s="2">
        <v>32441</v>
      </c>
      <c r="G2649" s="2">
        <v>3.3596727419999999</v>
      </c>
      <c r="H2649" s="2">
        <v>1.1847439999999999E-3</v>
      </c>
      <c r="I2649" s="2" t="s">
        <v>33145</v>
      </c>
      <c r="J2649" s="2" t="s">
        <v>33146</v>
      </c>
      <c r="K2649" s="2">
        <v>6.822781E-3</v>
      </c>
      <c r="L2649" s="2" t="s">
        <v>1178</v>
      </c>
      <c r="M2649" s="4" t="s">
        <v>24130</v>
      </c>
    </row>
    <row r="2650" spans="1:13">
      <c r="A2650" s="2">
        <v>2548</v>
      </c>
      <c r="B2650" s="2" t="s">
        <v>33147</v>
      </c>
      <c r="C2650" s="2">
        <v>9</v>
      </c>
      <c r="D2650" s="2">
        <v>568</v>
      </c>
      <c r="E2650" s="2">
        <v>143</v>
      </c>
      <c r="F2650" s="2">
        <v>32441</v>
      </c>
      <c r="G2650" s="2">
        <v>3.5946148920000001</v>
      </c>
      <c r="H2650" s="2">
        <v>1.32525E-3</v>
      </c>
      <c r="I2650" s="2" t="s">
        <v>33148</v>
      </c>
      <c r="J2650" s="2" t="s">
        <v>33149</v>
      </c>
      <c r="K2650" s="2">
        <v>7.6139379999999998E-3</v>
      </c>
      <c r="L2650" s="2" t="s">
        <v>1178</v>
      </c>
      <c r="M2650" s="4" t="s">
        <v>33150</v>
      </c>
    </row>
    <row r="2651" spans="1:13">
      <c r="A2651" s="2">
        <v>26701</v>
      </c>
      <c r="B2651" s="2" t="s">
        <v>33151</v>
      </c>
      <c r="C2651" s="2">
        <v>9</v>
      </c>
      <c r="D2651" s="2">
        <v>568</v>
      </c>
      <c r="E2651" s="2">
        <v>143</v>
      </c>
      <c r="F2651" s="2">
        <v>32441</v>
      </c>
      <c r="G2651" s="2">
        <v>3.5946148920000001</v>
      </c>
      <c r="H2651" s="2">
        <v>1.32525E-3</v>
      </c>
      <c r="I2651" s="2" t="s">
        <v>33152</v>
      </c>
      <c r="J2651" s="2" t="s">
        <v>33153</v>
      </c>
      <c r="K2651" s="2">
        <v>7.6139379999999998E-3</v>
      </c>
      <c r="L2651" s="2" t="s">
        <v>1178</v>
      </c>
      <c r="M2651" s="4" t="s">
        <v>33154</v>
      </c>
    </row>
    <row r="2652" spans="1:13">
      <c r="A2652" s="2">
        <v>1743</v>
      </c>
      <c r="B2652" s="2" t="s">
        <v>20287</v>
      </c>
      <c r="C2652" s="2">
        <v>10</v>
      </c>
      <c r="D2652" s="2">
        <v>568</v>
      </c>
      <c r="E2652" s="2">
        <v>173</v>
      </c>
      <c r="F2652" s="2">
        <v>32441</v>
      </c>
      <c r="G2652" s="2">
        <v>3.301412521</v>
      </c>
      <c r="H2652" s="2">
        <v>1.3413139999999999E-3</v>
      </c>
      <c r="I2652" s="2" t="s">
        <v>33155</v>
      </c>
      <c r="J2652" s="2" t="s">
        <v>33156</v>
      </c>
      <c r="K2652" s="2">
        <v>7.6971519999999996E-3</v>
      </c>
      <c r="L2652" s="2" t="s">
        <v>1178</v>
      </c>
      <c r="M2652" s="4" t="s">
        <v>20290</v>
      </c>
    </row>
    <row r="2653" spans="1:13">
      <c r="A2653" s="2">
        <v>26781</v>
      </c>
      <c r="B2653" s="2" t="s">
        <v>21504</v>
      </c>
      <c r="C2653" s="2">
        <v>9</v>
      </c>
      <c r="D2653" s="2">
        <v>568</v>
      </c>
      <c r="E2653" s="2">
        <v>145</v>
      </c>
      <c r="F2653" s="2">
        <v>32441</v>
      </c>
      <c r="G2653" s="2">
        <v>3.545033997</v>
      </c>
      <c r="H2653" s="2">
        <v>1.4512559999999999E-3</v>
      </c>
      <c r="I2653" s="2" t="s">
        <v>33157</v>
      </c>
      <c r="J2653" s="2" t="s">
        <v>33158</v>
      </c>
      <c r="K2653" s="2">
        <v>8.3182559999999996E-3</v>
      </c>
      <c r="L2653" s="2" t="s">
        <v>1178</v>
      </c>
      <c r="M2653" s="4" t="s">
        <v>21507</v>
      </c>
    </row>
    <row r="2654" spans="1:13">
      <c r="A2654" s="2">
        <v>2418</v>
      </c>
      <c r="B2654" s="2" t="s">
        <v>3455</v>
      </c>
      <c r="C2654" s="2">
        <v>10</v>
      </c>
      <c r="D2654" s="2">
        <v>568</v>
      </c>
      <c r="E2654" s="2">
        <v>175</v>
      </c>
      <c r="F2654" s="2">
        <v>32441</v>
      </c>
      <c r="G2654" s="2">
        <v>3.2636820929999999</v>
      </c>
      <c r="H2654" s="2">
        <v>1.4547519999999999E-3</v>
      </c>
      <c r="I2654" s="2" t="s">
        <v>33159</v>
      </c>
      <c r="J2654" s="2" t="s">
        <v>33160</v>
      </c>
      <c r="K2654" s="2">
        <v>8.3187199999999999E-3</v>
      </c>
      <c r="L2654" s="2" t="s">
        <v>1178</v>
      </c>
      <c r="M2654" s="4" t="s">
        <v>3458</v>
      </c>
    </row>
    <row r="2655" spans="1:13">
      <c r="A2655" s="2">
        <v>2429</v>
      </c>
      <c r="B2655" s="2" t="s">
        <v>33161</v>
      </c>
      <c r="C2655" s="2">
        <v>10</v>
      </c>
      <c r="D2655" s="2">
        <v>568</v>
      </c>
      <c r="E2655" s="2">
        <v>175</v>
      </c>
      <c r="F2655" s="2">
        <v>32441</v>
      </c>
      <c r="G2655" s="2">
        <v>3.2636820929999999</v>
      </c>
      <c r="H2655" s="2">
        <v>1.4547519999999999E-3</v>
      </c>
      <c r="I2655" s="2" t="s">
        <v>33162</v>
      </c>
      <c r="J2655" s="2" t="s">
        <v>33163</v>
      </c>
      <c r="K2655" s="2">
        <v>8.3187199999999999E-3</v>
      </c>
      <c r="L2655" s="2" t="s">
        <v>1178</v>
      </c>
      <c r="M2655" s="4" t="s">
        <v>33164</v>
      </c>
    </row>
    <row r="2656" spans="1:13">
      <c r="A2656" s="2">
        <v>3620</v>
      </c>
      <c r="B2656" s="2" t="s">
        <v>12388</v>
      </c>
      <c r="C2656" s="2">
        <v>10</v>
      </c>
      <c r="D2656" s="2">
        <v>568</v>
      </c>
      <c r="E2656" s="2">
        <v>177</v>
      </c>
      <c r="F2656" s="2">
        <v>32441</v>
      </c>
      <c r="G2656" s="2">
        <v>3.2268043290000001</v>
      </c>
      <c r="H2656" s="2">
        <v>1.5758619999999999E-3</v>
      </c>
      <c r="I2656" s="2" t="s">
        <v>33165</v>
      </c>
      <c r="J2656" s="2" t="s">
        <v>33166</v>
      </c>
      <c r="K2656" s="2">
        <v>9.0007009999999998E-3</v>
      </c>
      <c r="L2656" s="2" t="s">
        <v>1178</v>
      </c>
      <c r="M2656" s="4" t="s">
        <v>12391</v>
      </c>
    </row>
    <row r="2657" spans="1:13">
      <c r="A2657" s="2">
        <v>2277</v>
      </c>
      <c r="B2657" s="2" t="s">
        <v>20291</v>
      </c>
      <c r="C2657" s="2">
        <v>9</v>
      </c>
      <c r="D2657" s="2">
        <v>568</v>
      </c>
      <c r="E2657" s="2">
        <v>147</v>
      </c>
      <c r="F2657" s="2">
        <v>32441</v>
      </c>
      <c r="G2657" s="2">
        <v>3.4968022419999998</v>
      </c>
      <c r="H2657" s="2">
        <v>1.586718E-3</v>
      </c>
      <c r="I2657" s="2" t="s">
        <v>33167</v>
      </c>
      <c r="J2657" s="2" t="s">
        <v>33168</v>
      </c>
      <c r="K2657" s="2">
        <v>9.0520949999999996E-3</v>
      </c>
      <c r="L2657" s="2" t="s">
        <v>1178</v>
      </c>
      <c r="M2657" s="4" t="s">
        <v>20294</v>
      </c>
    </row>
    <row r="2658" spans="1:13">
      <c r="A2658" s="2">
        <v>4117</v>
      </c>
      <c r="B2658" s="2" t="s">
        <v>33169</v>
      </c>
      <c r="C2658" s="2">
        <v>9</v>
      </c>
      <c r="D2658" s="2">
        <v>568</v>
      </c>
      <c r="E2658" s="2">
        <v>150</v>
      </c>
      <c r="F2658" s="2">
        <v>32441</v>
      </c>
      <c r="G2658" s="2">
        <v>3.4268661969999998</v>
      </c>
      <c r="H2658" s="2">
        <v>1.8087509999999999E-3</v>
      </c>
      <c r="I2658" s="2" t="s">
        <v>33170</v>
      </c>
      <c r="J2658" s="2" t="s">
        <v>33171</v>
      </c>
      <c r="K2658" s="2">
        <v>1.0306706000000001E-2</v>
      </c>
      <c r="L2658" s="2" t="s">
        <v>1178</v>
      </c>
      <c r="M2658" s="4" t="s">
        <v>33172</v>
      </c>
    </row>
    <row r="2659" spans="1:13">
      <c r="A2659" s="2">
        <v>2495</v>
      </c>
      <c r="B2659" s="2" t="s">
        <v>33173</v>
      </c>
      <c r="C2659" s="2">
        <v>10</v>
      </c>
      <c r="D2659" s="2">
        <v>568</v>
      </c>
      <c r="E2659" s="2">
        <v>186</v>
      </c>
      <c r="F2659" s="2">
        <v>32441</v>
      </c>
      <c r="G2659" s="2">
        <v>3.0706686350000001</v>
      </c>
      <c r="H2659" s="2">
        <v>2.2261619999999998E-3</v>
      </c>
      <c r="I2659" s="2" t="s">
        <v>33174</v>
      </c>
      <c r="J2659" s="2" t="s">
        <v>33175</v>
      </c>
      <c r="K2659" s="2">
        <v>1.2670399000000001E-2</v>
      </c>
      <c r="L2659" s="2" t="s">
        <v>1178</v>
      </c>
      <c r="M2659" s="4" t="s">
        <v>33176</v>
      </c>
    </row>
    <row r="2660" spans="1:13">
      <c r="A2660" s="2">
        <v>4070</v>
      </c>
      <c r="B2660" s="2" t="s">
        <v>19342</v>
      </c>
      <c r="C2660" s="2">
        <v>9</v>
      </c>
      <c r="D2660" s="2">
        <v>568</v>
      </c>
      <c r="E2660" s="2">
        <v>155</v>
      </c>
      <c r="F2660" s="2">
        <v>32441</v>
      </c>
      <c r="G2660" s="2">
        <v>3.3163221260000002</v>
      </c>
      <c r="H2660" s="2">
        <v>2.2334389999999998E-3</v>
      </c>
      <c r="I2660" s="2" t="s">
        <v>33177</v>
      </c>
      <c r="J2660" s="2" t="s">
        <v>33178</v>
      </c>
      <c r="K2660" s="2">
        <v>1.2696983E-2</v>
      </c>
      <c r="L2660" s="2" t="s">
        <v>1178</v>
      </c>
      <c r="M2660" s="4" t="s">
        <v>19345</v>
      </c>
    </row>
    <row r="2661" spans="1:13">
      <c r="A2661" s="2">
        <v>2894</v>
      </c>
      <c r="B2661" s="2" t="s">
        <v>16863</v>
      </c>
      <c r="C2661" s="2">
        <v>9</v>
      </c>
      <c r="D2661" s="2">
        <v>568</v>
      </c>
      <c r="E2661" s="2">
        <v>156</v>
      </c>
      <c r="F2661" s="2">
        <v>32441</v>
      </c>
      <c r="G2661" s="2">
        <v>3.295063651</v>
      </c>
      <c r="H2661" s="2">
        <v>2.3271849999999998E-3</v>
      </c>
      <c r="I2661" s="2" t="s">
        <v>33179</v>
      </c>
      <c r="J2661" s="2" t="s">
        <v>33180</v>
      </c>
      <c r="K2661" s="2">
        <v>1.3214506000000001E-2</v>
      </c>
      <c r="L2661" s="2" t="s">
        <v>1178</v>
      </c>
      <c r="M2661" s="4" t="s">
        <v>16866</v>
      </c>
    </row>
    <row r="2662" spans="1:13">
      <c r="A2662" s="2">
        <v>2827</v>
      </c>
      <c r="B2662" s="2" t="s">
        <v>18451</v>
      </c>
      <c r="C2662" s="2">
        <v>9</v>
      </c>
      <c r="D2662" s="2">
        <v>568</v>
      </c>
      <c r="E2662" s="2">
        <v>158</v>
      </c>
      <c r="F2662" s="2">
        <v>32441</v>
      </c>
      <c r="G2662" s="2">
        <v>3.2533539849999999</v>
      </c>
      <c r="H2662" s="2">
        <v>2.5240499999999999E-3</v>
      </c>
      <c r="I2662" s="2" t="s">
        <v>33181</v>
      </c>
      <c r="J2662" s="2" t="s">
        <v>33182</v>
      </c>
      <c r="K2662" s="2">
        <v>1.4315682E-2</v>
      </c>
      <c r="L2662" s="2" t="s">
        <v>1178</v>
      </c>
      <c r="M2662" s="4" t="s">
        <v>18454</v>
      </c>
    </row>
    <row r="2663" spans="1:13">
      <c r="A2663" s="2">
        <v>4156</v>
      </c>
      <c r="B2663" s="2" t="s">
        <v>3298</v>
      </c>
      <c r="C2663" s="2">
        <v>9</v>
      </c>
      <c r="D2663" s="2">
        <v>568</v>
      </c>
      <c r="E2663" s="2">
        <v>159</v>
      </c>
      <c r="F2663" s="2">
        <v>32441</v>
      </c>
      <c r="G2663" s="2">
        <v>3.2328926390000001</v>
      </c>
      <c r="H2663" s="2">
        <v>2.6273120000000001E-3</v>
      </c>
      <c r="I2663" s="2" t="s">
        <v>33183</v>
      </c>
      <c r="J2663" s="2" t="s">
        <v>33184</v>
      </c>
      <c r="K2663" s="2">
        <v>1.4884029999999999E-2</v>
      </c>
      <c r="L2663" s="2" t="s">
        <v>1178</v>
      </c>
      <c r="M2663" s="4" t="s">
        <v>3301</v>
      </c>
    </row>
    <row r="2664" spans="1:13">
      <c r="A2664" s="2">
        <v>21021</v>
      </c>
      <c r="B2664" s="2" t="s">
        <v>33185</v>
      </c>
      <c r="C2664" s="2">
        <v>10</v>
      </c>
      <c r="D2664" s="2">
        <v>568</v>
      </c>
      <c r="E2664" s="2">
        <v>192</v>
      </c>
      <c r="F2664" s="2">
        <v>32441</v>
      </c>
      <c r="G2664" s="2">
        <v>2.9747102409999999</v>
      </c>
      <c r="H2664" s="2">
        <v>2.7684850000000002E-3</v>
      </c>
      <c r="I2664" s="2" t="s">
        <v>33186</v>
      </c>
      <c r="J2664" s="2" t="s">
        <v>33187</v>
      </c>
      <c r="K2664" s="2">
        <v>1.5665575000000001E-2</v>
      </c>
      <c r="L2664" s="2" t="s">
        <v>1178</v>
      </c>
      <c r="M2664" s="4" t="s">
        <v>33188</v>
      </c>
    </row>
    <row r="2665" spans="1:13">
      <c r="A2665" s="2">
        <v>2822</v>
      </c>
      <c r="B2665" s="2" t="s">
        <v>14239</v>
      </c>
      <c r="C2665" s="2">
        <v>9</v>
      </c>
      <c r="D2665" s="2">
        <v>568</v>
      </c>
      <c r="E2665" s="2">
        <v>161</v>
      </c>
      <c r="F2665" s="2">
        <v>32441</v>
      </c>
      <c r="G2665" s="2">
        <v>3.1927324819999998</v>
      </c>
      <c r="H2665" s="2">
        <v>2.8438640000000002E-3</v>
      </c>
      <c r="I2665" s="2" t="s">
        <v>33189</v>
      </c>
      <c r="J2665" s="2" t="s">
        <v>33190</v>
      </c>
      <c r="K2665" s="2">
        <v>1.6054815E-2</v>
      </c>
      <c r="L2665" s="2" t="s">
        <v>1178</v>
      </c>
      <c r="M2665" s="4" t="s">
        <v>14242</v>
      </c>
    </row>
    <row r="2666" spans="1:13">
      <c r="A2666" s="2">
        <v>3653</v>
      </c>
      <c r="B2666" s="2" t="s">
        <v>33191</v>
      </c>
      <c r="C2666" s="2">
        <v>9</v>
      </c>
      <c r="D2666" s="2">
        <v>568</v>
      </c>
      <c r="E2666" s="2">
        <v>161</v>
      </c>
      <c r="F2666" s="2">
        <v>32441</v>
      </c>
      <c r="G2666" s="2">
        <v>3.1927324819999998</v>
      </c>
      <c r="H2666" s="2">
        <v>2.8438640000000002E-3</v>
      </c>
      <c r="I2666" s="2" t="s">
        <v>33192</v>
      </c>
      <c r="J2666" s="2" t="s">
        <v>33193</v>
      </c>
      <c r="K2666" s="2">
        <v>1.6054815E-2</v>
      </c>
      <c r="L2666" s="2" t="s">
        <v>1178</v>
      </c>
      <c r="M2666" s="4" t="s">
        <v>33194</v>
      </c>
    </row>
    <row r="2667" spans="1:13">
      <c r="A2667" s="2">
        <v>2737</v>
      </c>
      <c r="B2667" s="2" t="s">
        <v>24119</v>
      </c>
      <c r="C2667" s="2">
        <v>8</v>
      </c>
      <c r="D2667" s="2">
        <v>568</v>
      </c>
      <c r="E2667" s="2">
        <v>131</v>
      </c>
      <c r="F2667" s="2">
        <v>32441</v>
      </c>
      <c r="G2667" s="2">
        <v>3.4879045259999999</v>
      </c>
      <c r="H2667" s="2">
        <v>2.8841190000000001E-3</v>
      </c>
      <c r="I2667" s="2" t="s">
        <v>33195</v>
      </c>
      <c r="J2667" s="2" t="s">
        <v>33196</v>
      </c>
      <c r="K2667" s="2">
        <v>1.6263228000000001E-2</v>
      </c>
      <c r="L2667" s="2" t="s">
        <v>1178</v>
      </c>
      <c r="M2667" s="4" t="s">
        <v>24122</v>
      </c>
    </row>
    <row r="2668" spans="1:13">
      <c r="A2668" s="2">
        <v>332</v>
      </c>
      <c r="B2668" s="2" t="s">
        <v>1218</v>
      </c>
      <c r="C2668" s="2">
        <v>10</v>
      </c>
      <c r="D2668" s="2">
        <v>568</v>
      </c>
      <c r="E2668" s="2">
        <v>200</v>
      </c>
      <c r="F2668" s="2">
        <v>32441</v>
      </c>
      <c r="G2668" s="2">
        <v>2.8557218309999999</v>
      </c>
      <c r="H2668" s="2">
        <v>3.650529E-3</v>
      </c>
      <c r="I2668" s="2" t="s">
        <v>33197</v>
      </c>
      <c r="J2668" s="2" t="s">
        <v>33198</v>
      </c>
      <c r="K2668" s="2">
        <v>1.6513811999999999E-2</v>
      </c>
      <c r="L2668" s="2" t="s">
        <v>1178</v>
      </c>
      <c r="M2668" s="4" t="s">
        <v>17704</v>
      </c>
    </row>
    <row r="2669" spans="1:13">
      <c r="A2669" s="2">
        <v>69</v>
      </c>
      <c r="B2669" s="2" t="s">
        <v>15614</v>
      </c>
      <c r="C2669" s="2">
        <v>10</v>
      </c>
      <c r="D2669" s="2">
        <v>568</v>
      </c>
      <c r="E2669" s="2">
        <v>200</v>
      </c>
      <c r="F2669" s="2">
        <v>32441</v>
      </c>
      <c r="G2669" s="2">
        <v>2.8557218309999999</v>
      </c>
      <c r="H2669" s="2">
        <v>3.650529E-3</v>
      </c>
      <c r="I2669" s="2" t="s">
        <v>33199</v>
      </c>
      <c r="J2669" s="2" t="s">
        <v>33200</v>
      </c>
      <c r="K2669" s="2">
        <v>1.6513811999999999E-2</v>
      </c>
      <c r="L2669" s="2" t="s">
        <v>1178</v>
      </c>
      <c r="M2669" s="4" t="s">
        <v>15617</v>
      </c>
    </row>
    <row r="2670" spans="1:13">
      <c r="A2670" s="2">
        <v>761</v>
      </c>
      <c r="B2670" s="2" t="s">
        <v>20417</v>
      </c>
      <c r="C2670" s="2">
        <v>10</v>
      </c>
      <c r="D2670" s="2">
        <v>568</v>
      </c>
      <c r="E2670" s="2">
        <v>200</v>
      </c>
      <c r="F2670" s="2">
        <v>32441</v>
      </c>
      <c r="G2670" s="2">
        <v>2.8557218309999999</v>
      </c>
      <c r="H2670" s="2">
        <v>3.650529E-3</v>
      </c>
      <c r="I2670" s="2" t="s">
        <v>33201</v>
      </c>
      <c r="J2670" s="2" t="s">
        <v>33202</v>
      </c>
      <c r="K2670" s="2">
        <v>1.6513811999999999E-2</v>
      </c>
      <c r="L2670" s="2" t="s">
        <v>1178</v>
      </c>
      <c r="M2670" s="4" t="s">
        <v>20420</v>
      </c>
    </row>
    <row r="2671" spans="1:13">
      <c r="A2671" s="2">
        <v>796</v>
      </c>
      <c r="B2671" s="2" t="s">
        <v>21647</v>
      </c>
      <c r="C2671" s="2">
        <v>10</v>
      </c>
      <c r="D2671" s="2">
        <v>568</v>
      </c>
      <c r="E2671" s="2">
        <v>200</v>
      </c>
      <c r="F2671" s="2">
        <v>32441</v>
      </c>
      <c r="G2671" s="2">
        <v>2.8557218309999999</v>
      </c>
      <c r="H2671" s="2">
        <v>3.650529E-3</v>
      </c>
      <c r="I2671" s="2" t="s">
        <v>33203</v>
      </c>
      <c r="J2671" s="2" t="s">
        <v>33204</v>
      </c>
      <c r="K2671" s="2">
        <v>1.6513811999999999E-2</v>
      </c>
      <c r="L2671" s="2" t="s">
        <v>1178</v>
      </c>
      <c r="M2671" s="4" t="s">
        <v>21650</v>
      </c>
    </row>
    <row r="2672" spans="1:13">
      <c r="A2672" s="2">
        <v>873</v>
      </c>
      <c r="B2672" s="2" t="s">
        <v>33205</v>
      </c>
      <c r="C2672" s="2">
        <v>10</v>
      </c>
      <c r="D2672" s="2">
        <v>568</v>
      </c>
      <c r="E2672" s="2">
        <v>200</v>
      </c>
      <c r="F2672" s="2">
        <v>32441</v>
      </c>
      <c r="G2672" s="2">
        <v>2.8557218309999999</v>
      </c>
      <c r="H2672" s="2">
        <v>3.650529E-3</v>
      </c>
      <c r="I2672" s="2" t="s">
        <v>33206</v>
      </c>
      <c r="J2672" s="2" t="s">
        <v>33207</v>
      </c>
      <c r="K2672" s="2">
        <v>1.6513811999999999E-2</v>
      </c>
      <c r="L2672" s="2" t="s">
        <v>1178</v>
      </c>
      <c r="M2672" s="4" t="s">
        <v>33208</v>
      </c>
    </row>
    <row r="2673" spans="1:13">
      <c r="A2673" s="2">
        <v>1011</v>
      </c>
      <c r="B2673" s="2" t="s">
        <v>33209</v>
      </c>
      <c r="C2673" s="2">
        <v>10</v>
      </c>
      <c r="D2673" s="2">
        <v>568</v>
      </c>
      <c r="E2673" s="2">
        <v>200</v>
      </c>
      <c r="F2673" s="2">
        <v>32441</v>
      </c>
      <c r="G2673" s="2">
        <v>2.8557218309999999</v>
      </c>
      <c r="H2673" s="2">
        <v>3.650529E-3</v>
      </c>
      <c r="I2673" s="2" t="s">
        <v>33210</v>
      </c>
      <c r="J2673" s="2" t="s">
        <v>33211</v>
      </c>
      <c r="K2673" s="2">
        <v>1.6513811999999999E-2</v>
      </c>
      <c r="L2673" s="2" t="s">
        <v>1178</v>
      </c>
      <c r="M2673" s="4" t="s">
        <v>33212</v>
      </c>
    </row>
    <row r="2674" spans="1:13">
      <c r="A2674" s="2">
        <v>1091</v>
      </c>
      <c r="B2674" s="2" t="s">
        <v>33213</v>
      </c>
      <c r="C2674" s="2">
        <v>10</v>
      </c>
      <c r="D2674" s="2">
        <v>568</v>
      </c>
      <c r="E2674" s="2">
        <v>200</v>
      </c>
      <c r="F2674" s="2">
        <v>32441</v>
      </c>
      <c r="G2674" s="2">
        <v>2.8557218309999999</v>
      </c>
      <c r="H2674" s="2">
        <v>3.650529E-3</v>
      </c>
      <c r="I2674" s="2" t="s">
        <v>33214</v>
      </c>
      <c r="J2674" s="2" t="s">
        <v>33215</v>
      </c>
      <c r="K2674" s="2">
        <v>1.6513811999999999E-2</v>
      </c>
      <c r="L2674" s="2" t="s">
        <v>1178</v>
      </c>
      <c r="M2674" s="4" t="s">
        <v>33216</v>
      </c>
    </row>
    <row r="2675" spans="1:13">
      <c r="A2675" s="2">
        <v>1531</v>
      </c>
      <c r="B2675" s="2" t="s">
        <v>33217</v>
      </c>
      <c r="C2675" s="2">
        <v>10</v>
      </c>
      <c r="D2675" s="2">
        <v>568</v>
      </c>
      <c r="E2675" s="2">
        <v>200</v>
      </c>
      <c r="F2675" s="2">
        <v>32441</v>
      </c>
      <c r="G2675" s="2">
        <v>2.8557218309999999</v>
      </c>
      <c r="H2675" s="2">
        <v>3.650529E-3</v>
      </c>
      <c r="I2675" s="2" t="s">
        <v>33218</v>
      </c>
      <c r="J2675" s="2" t="s">
        <v>33219</v>
      </c>
      <c r="K2675" s="2">
        <v>1.6513811999999999E-2</v>
      </c>
      <c r="L2675" s="2" t="s">
        <v>1178</v>
      </c>
      <c r="M2675" s="4" t="s">
        <v>33220</v>
      </c>
    </row>
    <row r="2676" spans="1:13">
      <c r="A2676" s="2">
        <v>1891</v>
      </c>
      <c r="B2676" s="2" t="s">
        <v>33221</v>
      </c>
      <c r="C2676" s="2">
        <v>10</v>
      </c>
      <c r="D2676" s="2">
        <v>568</v>
      </c>
      <c r="E2676" s="2">
        <v>200</v>
      </c>
      <c r="F2676" s="2">
        <v>32441</v>
      </c>
      <c r="G2676" s="2">
        <v>2.8557218309999999</v>
      </c>
      <c r="H2676" s="2">
        <v>3.650529E-3</v>
      </c>
      <c r="I2676" s="2" t="s">
        <v>33222</v>
      </c>
      <c r="J2676" s="2" t="s">
        <v>33223</v>
      </c>
      <c r="K2676" s="2">
        <v>1.6513811999999999E-2</v>
      </c>
      <c r="L2676" s="2" t="s">
        <v>1178</v>
      </c>
      <c r="M2676" s="4" t="s">
        <v>33224</v>
      </c>
    </row>
    <row r="2677" spans="1:13">
      <c r="A2677" s="2">
        <v>2496</v>
      </c>
      <c r="B2677" s="2" t="s">
        <v>33225</v>
      </c>
      <c r="C2677" s="2">
        <v>10</v>
      </c>
      <c r="D2677" s="2">
        <v>568</v>
      </c>
      <c r="E2677" s="2">
        <v>199</v>
      </c>
      <c r="F2677" s="2">
        <v>32441</v>
      </c>
      <c r="G2677" s="2">
        <v>2.8700721919999999</v>
      </c>
      <c r="H2677" s="2">
        <v>3.5294599999999999E-3</v>
      </c>
      <c r="I2677" s="2" t="s">
        <v>33226</v>
      </c>
      <c r="J2677" s="2" t="s">
        <v>33227</v>
      </c>
      <c r="K2677" s="2">
        <v>1.6513811999999999E-2</v>
      </c>
      <c r="L2677" s="2" t="s">
        <v>1178</v>
      </c>
      <c r="M2677" s="4" t="s">
        <v>33228</v>
      </c>
    </row>
    <row r="2678" spans="1:13">
      <c r="A2678" s="2">
        <v>3861</v>
      </c>
      <c r="B2678" s="2" t="s">
        <v>22952</v>
      </c>
      <c r="C2678" s="2">
        <v>10</v>
      </c>
      <c r="D2678" s="2">
        <v>568</v>
      </c>
      <c r="E2678" s="2">
        <v>200</v>
      </c>
      <c r="F2678" s="2">
        <v>32441</v>
      </c>
      <c r="G2678" s="2">
        <v>2.8557218309999999</v>
      </c>
      <c r="H2678" s="2">
        <v>3.650529E-3</v>
      </c>
      <c r="I2678" s="2" t="s">
        <v>33229</v>
      </c>
      <c r="J2678" s="2" t="s">
        <v>33230</v>
      </c>
      <c r="K2678" s="2">
        <v>1.6513811999999999E-2</v>
      </c>
      <c r="L2678" s="2" t="s">
        <v>1178</v>
      </c>
      <c r="M2678" s="4" t="s">
        <v>22955</v>
      </c>
    </row>
    <row r="2679" spans="1:13">
      <c r="A2679" s="2">
        <v>4433</v>
      </c>
      <c r="B2679" s="2" t="s">
        <v>15133</v>
      </c>
      <c r="C2679" s="2">
        <v>10</v>
      </c>
      <c r="D2679" s="2">
        <v>568</v>
      </c>
      <c r="E2679" s="2">
        <v>200</v>
      </c>
      <c r="F2679" s="2">
        <v>32441</v>
      </c>
      <c r="G2679" s="2">
        <v>2.8557218309999999</v>
      </c>
      <c r="H2679" s="2">
        <v>3.650529E-3</v>
      </c>
      <c r="I2679" s="2" t="s">
        <v>33231</v>
      </c>
      <c r="J2679" s="2" t="s">
        <v>33232</v>
      </c>
      <c r="K2679" s="2">
        <v>1.6513811999999999E-2</v>
      </c>
      <c r="L2679" s="2" t="s">
        <v>1178</v>
      </c>
      <c r="M2679" s="4" t="s">
        <v>15136</v>
      </c>
    </row>
    <row r="2680" spans="1:13">
      <c r="A2680" s="2">
        <v>4471</v>
      </c>
      <c r="B2680" s="2" t="s">
        <v>20515</v>
      </c>
      <c r="C2680" s="2">
        <v>10</v>
      </c>
      <c r="D2680" s="2">
        <v>568</v>
      </c>
      <c r="E2680" s="2">
        <v>200</v>
      </c>
      <c r="F2680" s="2">
        <v>32441</v>
      </c>
      <c r="G2680" s="2">
        <v>2.8557218309999999</v>
      </c>
      <c r="H2680" s="2">
        <v>3.650529E-3</v>
      </c>
      <c r="I2680" s="2" t="s">
        <v>33233</v>
      </c>
      <c r="J2680" s="2" t="s">
        <v>33234</v>
      </c>
      <c r="K2680" s="2">
        <v>1.6513811999999999E-2</v>
      </c>
      <c r="L2680" s="2" t="s">
        <v>1178</v>
      </c>
      <c r="M2680" s="4" t="s">
        <v>20518</v>
      </c>
    </row>
    <row r="2681" spans="1:13">
      <c r="A2681" s="2">
        <v>4721</v>
      </c>
      <c r="B2681" s="2" t="s">
        <v>18565</v>
      </c>
      <c r="C2681" s="2">
        <v>10</v>
      </c>
      <c r="D2681" s="2">
        <v>568</v>
      </c>
      <c r="E2681" s="2">
        <v>200</v>
      </c>
      <c r="F2681" s="2">
        <v>32441</v>
      </c>
      <c r="G2681" s="2">
        <v>2.8557218309999999</v>
      </c>
      <c r="H2681" s="2">
        <v>3.650529E-3</v>
      </c>
      <c r="I2681" s="2" t="s">
        <v>33235</v>
      </c>
      <c r="J2681" s="2" t="s">
        <v>33236</v>
      </c>
      <c r="K2681" s="2">
        <v>1.6513811999999999E-2</v>
      </c>
      <c r="L2681" s="2" t="s">
        <v>1178</v>
      </c>
      <c r="M2681" s="4" t="s">
        <v>18568</v>
      </c>
    </row>
    <row r="2682" spans="1:13">
      <c r="A2682" s="2">
        <v>477</v>
      </c>
      <c r="B2682" s="2" t="s">
        <v>1824</v>
      </c>
      <c r="C2682" s="2">
        <v>10</v>
      </c>
      <c r="D2682" s="2">
        <v>568</v>
      </c>
      <c r="E2682" s="2">
        <v>200</v>
      </c>
      <c r="F2682" s="2">
        <v>32441</v>
      </c>
      <c r="G2682" s="2">
        <v>2.8557218309999999</v>
      </c>
      <c r="H2682" s="2">
        <v>3.650529E-3</v>
      </c>
      <c r="I2682" s="2" t="s">
        <v>33237</v>
      </c>
      <c r="J2682" s="2" t="s">
        <v>33238</v>
      </c>
      <c r="K2682" s="2">
        <v>1.6513811999999999E-2</v>
      </c>
      <c r="L2682" s="2" t="s">
        <v>1178</v>
      </c>
      <c r="M2682" s="4" t="s">
        <v>33239</v>
      </c>
    </row>
    <row r="2683" spans="1:13">
      <c r="A2683" s="2">
        <v>5491</v>
      </c>
      <c r="B2683" s="2" t="s">
        <v>16308</v>
      </c>
      <c r="C2683" s="2">
        <v>10</v>
      </c>
      <c r="D2683" s="2">
        <v>568</v>
      </c>
      <c r="E2683" s="2">
        <v>200</v>
      </c>
      <c r="F2683" s="2">
        <v>32441</v>
      </c>
      <c r="G2683" s="2">
        <v>2.8557218309999999</v>
      </c>
      <c r="H2683" s="2">
        <v>3.650529E-3</v>
      </c>
      <c r="I2683" s="2" t="s">
        <v>33240</v>
      </c>
      <c r="J2683" s="2" t="s">
        <v>33241</v>
      </c>
      <c r="K2683" s="2">
        <v>1.6513811999999999E-2</v>
      </c>
      <c r="L2683" s="2" t="s">
        <v>1178</v>
      </c>
      <c r="M2683" s="4" t="s">
        <v>16311</v>
      </c>
    </row>
    <row r="2684" spans="1:13">
      <c r="A2684" s="2">
        <v>5511</v>
      </c>
      <c r="B2684" s="2" t="s">
        <v>16975</v>
      </c>
      <c r="C2684" s="2">
        <v>10</v>
      </c>
      <c r="D2684" s="2">
        <v>568</v>
      </c>
      <c r="E2684" s="2">
        <v>200</v>
      </c>
      <c r="F2684" s="2">
        <v>32441</v>
      </c>
      <c r="G2684" s="2">
        <v>2.8557218309999999</v>
      </c>
      <c r="H2684" s="2">
        <v>3.650529E-3</v>
      </c>
      <c r="I2684" s="2" t="s">
        <v>33242</v>
      </c>
      <c r="J2684" s="2" t="s">
        <v>33243</v>
      </c>
      <c r="K2684" s="2">
        <v>1.6513811999999999E-2</v>
      </c>
      <c r="L2684" s="2" t="s">
        <v>1178</v>
      </c>
      <c r="M2684" s="4" t="s">
        <v>16978</v>
      </c>
    </row>
    <row r="2685" spans="1:13">
      <c r="A2685" s="2">
        <v>5552</v>
      </c>
      <c r="B2685" s="2" t="s">
        <v>21799</v>
      </c>
      <c r="C2685" s="2">
        <v>10</v>
      </c>
      <c r="D2685" s="2">
        <v>568</v>
      </c>
      <c r="E2685" s="2">
        <v>200</v>
      </c>
      <c r="F2685" s="2">
        <v>32441</v>
      </c>
      <c r="G2685" s="2">
        <v>2.8557218309999999</v>
      </c>
      <c r="H2685" s="2">
        <v>3.650529E-3</v>
      </c>
      <c r="I2685" s="2" t="s">
        <v>33244</v>
      </c>
      <c r="J2685" s="2" t="s">
        <v>33245</v>
      </c>
      <c r="K2685" s="2">
        <v>1.6513811999999999E-2</v>
      </c>
      <c r="L2685" s="2" t="s">
        <v>1178</v>
      </c>
      <c r="M2685" s="4" t="s">
        <v>21802</v>
      </c>
    </row>
    <row r="2686" spans="1:13">
      <c r="A2686" s="2">
        <v>5713</v>
      </c>
      <c r="B2686" s="2" t="s">
        <v>33246</v>
      </c>
      <c r="C2686" s="2">
        <v>10</v>
      </c>
      <c r="D2686" s="2">
        <v>568</v>
      </c>
      <c r="E2686" s="2">
        <v>200</v>
      </c>
      <c r="F2686" s="2">
        <v>32441</v>
      </c>
      <c r="G2686" s="2">
        <v>2.8557218309999999</v>
      </c>
      <c r="H2686" s="2">
        <v>3.650529E-3</v>
      </c>
      <c r="I2686" s="2" t="s">
        <v>33247</v>
      </c>
      <c r="J2686" s="2" t="s">
        <v>33248</v>
      </c>
      <c r="K2686" s="2">
        <v>1.6513811999999999E-2</v>
      </c>
      <c r="L2686" s="2" t="s">
        <v>1178</v>
      </c>
      <c r="M2686" s="4" t="s">
        <v>33249</v>
      </c>
    </row>
    <row r="2687" spans="1:13">
      <c r="A2687" s="2">
        <v>5841</v>
      </c>
      <c r="B2687" s="2" t="s">
        <v>33250</v>
      </c>
      <c r="C2687" s="2">
        <v>10</v>
      </c>
      <c r="D2687" s="2">
        <v>568</v>
      </c>
      <c r="E2687" s="2">
        <v>200</v>
      </c>
      <c r="F2687" s="2">
        <v>32441</v>
      </c>
      <c r="G2687" s="2">
        <v>2.8557218309999999</v>
      </c>
      <c r="H2687" s="2">
        <v>3.650529E-3</v>
      </c>
      <c r="I2687" s="2" t="s">
        <v>33251</v>
      </c>
      <c r="J2687" s="2" t="s">
        <v>33252</v>
      </c>
      <c r="K2687" s="2">
        <v>1.6513811999999999E-2</v>
      </c>
      <c r="L2687" s="2" t="s">
        <v>1178</v>
      </c>
      <c r="M2687" s="4" t="s">
        <v>33253</v>
      </c>
    </row>
    <row r="2688" spans="1:13">
      <c r="A2688" s="2">
        <v>586</v>
      </c>
      <c r="B2688" s="2" t="s">
        <v>33254</v>
      </c>
      <c r="C2688" s="2">
        <v>10</v>
      </c>
      <c r="D2688" s="2">
        <v>568</v>
      </c>
      <c r="E2688" s="2">
        <v>200</v>
      </c>
      <c r="F2688" s="2">
        <v>32441</v>
      </c>
      <c r="G2688" s="2">
        <v>2.8557218309999999</v>
      </c>
      <c r="H2688" s="2">
        <v>3.650529E-3</v>
      </c>
      <c r="I2688" s="2" t="s">
        <v>33255</v>
      </c>
      <c r="J2688" s="2" t="s">
        <v>33256</v>
      </c>
      <c r="K2688" s="2">
        <v>1.6513811999999999E-2</v>
      </c>
      <c r="L2688" s="2" t="s">
        <v>1178</v>
      </c>
      <c r="M2688" s="4" t="s">
        <v>33257</v>
      </c>
    </row>
    <row r="2689" spans="1:13">
      <c r="A2689" s="2">
        <v>6261</v>
      </c>
      <c r="B2689" s="2" t="s">
        <v>21830</v>
      </c>
      <c r="C2689" s="2">
        <v>10</v>
      </c>
      <c r="D2689" s="2">
        <v>568</v>
      </c>
      <c r="E2689" s="2">
        <v>200</v>
      </c>
      <c r="F2689" s="2">
        <v>32441</v>
      </c>
      <c r="G2689" s="2">
        <v>2.8557218309999999</v>
      </c>
      <c r="H2689" s="2">
        <v>3.650529E-3</v>
      </c>
      <c r="I2689" s="2" t="s">
        <v>33258</v>
      </c>
      <c r="J2689" s="2" t="s">
        <v>33259</v>
      </c>
      <c r="K2689" s="2">
        <v>1.6513811999999999E-2</v>
      </c>
      <c r="L2689" s="2" t="s">
        <v>1178</v>
      </c>
      <c r="M2689" s="4" t="s">
        <v>21833</v>
      </c>
    </row>
    <row r="2690" spans="1:13">
      <c r="A2690" s="2">
        <v>628</v>
      </c>
      <c r="B2690" s="2" t="s">
        <v>33260</v>
      </c>
      <c r="C2690" s="2">
        <v>10</v>
      </c>
      <c r="D2690" s="2">
        <v>568</v>
      </c>
      <c r="E2690" s="2">
        <v>200</v>
      </c>
      <c r="F2690" s="2">
        <v>32441</v>
      </c>
      <c r="G2690" s="2">
        <v>2.8557218309999999</v>
      </c>
      <c r="H2690" s="2">
        <v>3.650529E-3</v>
      </c>
      <c r="I2690" s="2" t="s">
        <v>33261</v>
      </c>
      <c r="J2690" s="2" t="s">
        <v>33262</v>
      </c>
      <c r="K2690" s="2">
        <v>1.6513811999999999E-2</v>
      </c>
      <c r="L2690" s="2" t="s">
        <v>1178</v>
      </c>
      <c r="M2690" s="4" t="s">
        <v>33263</v>
      </c>
    </row>
    <row r="2691" spans="1:13">
      <c r="A2691" s="2">
        <v>6531</v>
      </c>
      <c r="B2691" s="2" t="s">
        <v>33264</v>
      </c>
      <c r="C2691" s="2">
        <v>10</v>
      </c>
      <c r="D2691" s="2">
        <v>568</v>
      </c>
      <c r="E2691" s="2">
        <v>200</v>
      </c>
      <c r="F2691" s="2">
        <v>32441</v>
      </c>
      <c r="G2691" s="2">
        <v>2.8557218309999999</v>
      </c>
      <c r="H2691" s="2">
        <v>3.650529E-3</v>
      </c>
      <c r="I2691" s="2" t="s">
        <v>33265</v>
      </c>
      <c r="J2691" s="2" t="s">
        <v>33266</v>
      </c>
      <c r="K2691" s="2">
        <v>1.6513811999999999E-2</v>
      </c>
      <c r="L2691" s="2" t="s">
        <v>1178</v>
      </c>
      <c r="M2691" s="4" t="s">
        <v>33267</v>
      </c>
    </row>
    <row r="2692" spans="1:13">
      <c r="A2692" s="2">
        <v>6591</v>
      </c>
      <c r="B2692" s="2" t="s">
        <v>20596</v>
      </c>
      <c r="C2692" s="2">
        <v>10</v>
      </c>
      <c r="D2692" s="2">
        <v>568</v>
      </c>
      <c r="E2692" s="2">
        <v>200</v>
      </c>
      <c r="F2692" s="2">
        <v>32441</v>
      </c>
      <c r="G2692" s="2">
        <v>2.8557218309999999</v>
      </c>
      <c r="H2692" s="2">
        <v>3.650529E-3</v>
      </c>
      <c r="I2692" s="2" t="s">
        <v>33268</v>
      </c>
      <c r="J2692" s="2" t="s">
        <v>33269</v>
      </c>
      <c r="K2692" s="2">
        <v>1.6513811999999999E-2</v>
      </c>
      <c r="L2692" s="2" t="s">
        <v>1178</v>
      </c>
      <c r="M2692" s="4" t="s">
        <v>20599</v>
      </c>
    </row>
    <row r="2693" spans="1:13">
      <c r="A2693" s="2">
        <v>6631</v>
      </c>
      <c r="B2693" s="2" t="s">
        <v>16328</v>
      </c>
      <c r="C2693" s="2">
        <v>10</v>
      </c>
      <c r="D2693" s="2">
        <v>568</v>
      </c>
      <c r="E2693" s="2">
        <v>200</v>
      </c>
      <c r="F2693" s="2">
        <v>32441</v>
      </c>
      <c r="G2693" s="2">
        <v>2.8557218309999999</v>
      </c>
      <c r="H2693" s="2">
        <v>3.650529E-3</v>
      </c>
      <c r="I2693" s="2" t="s">
        <v>33270</v>
      </c>
      <c r="J2693" s="2" t="s">
        <v>33271</v>
      </c>
      <c r="K2693" s="2">
        <v>1.6513811999999999E-2</v>
      </c>
      <c r="L2693" s="2" t="s">
        <v>1178</v>
      </c>
      <c r="M2693" s="4" t="s">
        <v>16331</v>
      </c>
    </row>
    <row r="2694" spans="1:13">
      <c r="A2694" s="2">
        <v>6851</v>
      </c>
      <c r="B2694" s="2" t="s">
        <v>17007</v>
      </c>
      <c r="C2694" s="2">
        <v>10</v>
      </c>
      <c r="D2694" s="2">
        <v>568</v>
      </c>
      <c r="E2694" s="2">
        <v>200</v>
      </c>
      <c r="F2694" s="2">
        <v>32441</v>
      </c>
      <c r="G2694" s="2">
        <v>2.8557218309999999</v>
      </c>
      <c r="H2694" s="2">
        <v>3.650529E-3</v>
      </c>
      <c r="I2694" s="2" t="s">
        <v>33272</v>
      </c>
      <c r="J2694" s="2" t="s">
        <v>33273</v>
      </c>
      <c r="K2694" s="2">
        <v>1.6513811999999999E-2</v>
      </c>
      <c r="L2694" s="2" t="s">
        <v>1178</v>
      </c>
      <c r="M2694" s="4" t="s">
        <v>17010</v>
      </c>
    </row>
    <row r="2695" spans="1:13">
      <c r="A2695" s="2">
        <v>7001</v>
      </c>
      <c r="B2695" s="2" t="s">
        <v>20604</v>
      </c>
      <c r="C2695" s="2">
        <v>10</v>
      </c>
      <c r="D2695" s="2">
        <v>568</v>
      </c>
      <c r="E2695" s="2">
        <v>200</v>
      </c>
      <c r="F2695" s="2">
        <v>32441</v>
      </c>
      <c r="G2695" s="2">
        <v>2.8557218309999999</v>
      </c>
      <c r="H2695" s="2">
        <v>3.650529E-3</v>
      </c>
      <c r="I2695" s="2" t="s">
        <v>33274</v>
      </c>
      <c r="J2695" s="2" t="s">
        <v>33275</v>
      </c>
      <c r="K2695" s="2">
        <v>1.6513811999999999E-2</v>
      </c>
      <c r="L2695" s="2" t="s">
        <v>1178</v>
      </c>
      <c r="M2695" s="4" t="s">
        <v>20607</v>
      </c>
    </row>
    <row r="2696" spans="1:13">
      <c r="A2696" s="2">
        <v>7121</v>
      </c>
      <c r="B2696" s="2" t="s">
        <v>17019</v>
      </c>
      <c r="C2696" s="2">
        <v>10</v>
      </c>
      <c r="D2696" s="2">
        <v>568</v>
      </c>
      <c r="E2696" s="2">
        <v>200</v>
      </c>
      <c r="F2696" s="2">
        <v>32441</v>
      </c>
      <c r="G2696" s="2">
        <v>2.8557218309999999</v>
      </c>
      <c r="H2696" s="2">
        <v>3.650529E-3</v>
      </c>
      <c r="I2696" s="2" t="s">
        <v>33276</v>
      </c>
      <c r="J2696" s="2" t="s">
        <v>33277</v>
      </c>
      <c r="K2696" s="2">
        <v>1.6513811999999999E-2</v>
      </c>
      <c r="L2696" s="2" t="s">
        <v>1178</v>
      </c>
      <c r="M2696" s="4" t="s">
        <v>17022</v>
      </c>
    </row>
    <row r="2697" spans="1:13">
      <c r="A2697" s="2">
        <v>7541</v>
      </c>
      <c r="B2697" s="2" t="s">
        <v>3349</v>
      </c>
      <c r="C2697" s="2">
        <v>10</v>
      </c>
      <c r="D2697" s="2">
        <v>568</v>
      </c>
      <c r="E2697" s="2">
        <v>200</v>
      </c>
      <c r="F2697" s="2">
        <v>32441</v>
      </c>
      <c r="G2697" s="2">
        <v>2.8557218309999999</v>
      </c>
      <c r="H2697" s="2">
        <v>3.650529E-3</v>
      </c>
      <c r="I2697" s="2" t="s">
        <v>33278</v>
      </c>
      <c r="J2697" s="2" t="s">
        <v>33279</v>
      </c>
      <c r="K2697" s="2">
        <v>1.6513811999999999E-2</v>
      </c>
      <c r="L2697" s="2" t="s">
        <v>1178</v>
      </c>
      <c r="M2697" s="4" t="s">
        <v>3352</v>
      </c>
    </row>
    <row r="2698" spans="1:13">
      <c r="A2698" s="2">
        <v>7601</v>
      </c>
      <c r="B2698" s="2" t="s">
        <v>23117</v>
      </c>
      <c r="C2698" s="2">
        <v>10</v>
      </c>
      <c r="D2698" s="2">
        <v>568</v>
      </c>
      <c r="E2698" s="2">
        <v>199</v>
      </c>
      <c r="F2698" s="2">
        <v>32441</v>
      </c>
      <c r="G2698" s="2">
        <v>2.8700721919999999</v>
      </c>
      <c r="H2698" s="2">
        <v>3.5294599999999999E-3</v>
      </c>
      <c r="I2698" s="2" t="s">
        <v>33280</v>
      </c>
      <c r="J2698" s="2" t="s">
        <v>33281</v>
      </c>
      <c r="K2698" s="2">
        <v>1.6513811999999999E-2</v>
      </c>
      <c r="L2698" s="2" t="s">
        <v>1178</v>
      </c>
      <c r="M2698" s="4" t="s">
        <v>23120</v>
      </c>
    </row>
    <row r="2699" spans="1:13">
      <c r="A2699" s="2">
        <v>840</v>
      </c>
      <c r="B2699" s="2" t="s">
        <v>14008</v>
      </c>
      <c r="C2699" s="2">
        <v>10</v>
      </c>
      <c r="D2699" s="2">
        <v>568</v>
      </c>
      <c r="E2699" s="2">
        <v>200</v>
      </c>
      <c r="F2699" s="2">
        <v>32441</v>
      </c>
      <c r="G2699" s="2">
        <v>2.8557218309999999</v>
      </c>
      <c r="H2699" s="2">
        <v>3.650529E-3</v>
      </c>
      <c r="I2699" s="2" t="s">
        <v>33282</v>
      </c>
      <c r="J2699" s="2" t="s">
        <v>33283</v>
      </c>
      <c r="K2699" s="2">
        <v>1.6513811999999999E-2</v>
      </c>
      <c r="L2699" s="2" t="s">
        <v>1178</v>
      </c>
      <c r="M2699" s="4" t="s">
        <v>14011</v>
      </c>
    </row>
    <row r="2700" spans="1:13">
      <c r="A2700" s="2">
        <v>847</v>
      </c>
      <c r="B2700" s="2" t="s">
        <v>20670</v>
      </c>
      <c r="C2700" s="2">
        <v>10</v>
      </c>
      <c r="D2700" s="2">
        <v>568</v>
      </c>
      <c r="E2700" s="2">
        <v>200</v>
      </c>
      <c r="F2700" s="2">
        <v>32441</v>
      </c>
      <c r="G2700" s="2">
        <v>2.8557218309999999</v>
      </c>
      <c r="H2700" s="2">
        <v>3.650529E-3</v>
      </c>
      <c r="I2700" s="2" t="s">
        <v>33284</v>
      </c>
      <c r="J2700" s="2" t="s">
        <v>33285</v>
      </c>
      <c r="K2700" s="2">
        <v>1.6513811999999999E-2</v>
      </c>
      <c r="L2700" s="2" t="s">
        <v>1178</v>
      </c>
      <c r="M2700" s="4" t="s">
        <v>20673</v>
      </c>
    </row>
    <row r="2701" spans="1:13">
      <c r="A2701" s="2">
        <v>904</v>
      </c>
      <c r="B2701" s="2" t="s">
        <v>33286</v>
      </c>
      <c r="C2701" s="2">
        <v>10</v>
      </c>
      <c r="D2701" s="2">
        <v>568</v>
      </c>
      <c r="E2701" s="2">
        <v>200</v>
      </c>
      <c r="F2701" s="2">
        <v>32441</v>
      </c>
      <c r="G2701" s="2">
        <v>2.8557218309999999</v>
      </c>
      <c r="H2701" s="2">
        <v>3.650529E-3</v>
      </c>
      <c r="I2701" s="2" t="s">
        <v>33287</v>
      </c>
      <c r="J2701" s="2" t="s">
        <v>33288</v>
      </c>
      <c r="K2701" s="2">
        <v>1.6513811999999999E-2</v>
      </c>
      <c r="L2701" s="2" t="s">
        <v>1178</v>
      </c>
      <c r="M2701" s="4" t="s">
        <v>33289</v>
      </c>
    </row>
    <row r="2702" spans="1:13">
      <c r="A2702" s="2">
        <v>923</v>
      </c>
      <c r="B2702" s="2" t="s">
        <v>15163</v>
      </c>
      <c r="C2702" s="2">
        <v>10</v>
      </c>
      <c r="D2702" s="2">
        <v>568</v>
      </c>
      <c r="E2702" s="2">
        <v>200</v>
      </c>
      <c r="F2702" s="2">
        <v>32441</v>
      </c>
      <c r="G2702" s="2">
        <v>2.8557218309999999</v>
      </c>
      <c r="H2702" s="2">
        <v>3.650529E-3</v>
      </c>
      <c r="I2702" s="2" t="s">
        <v>33290</v>
      </c>
      <c r="J2702" s="2" t="s">
        <v>33291</v>
      </c>
      <c r="K2702" s="2">
        <v>1.6513811999999999E-2</v>
      </c>
      <c r="L2702" s="2" t="s">
        <v>1178</v>
      </c>
      <c r="M2702" s="4" t="s">
        <v>15166</v>
      </c>
    </row>
    <row r="2703" spans="1:13">
      <c r="A2703" s="2">
        <v>977</v>
      </c>
      <c r="B2703" s="2" t="s">
        <v>12594</v>
      </c>
      <c r="C2703" s="2">
        <v>10</v>
      </c>
      <c r="D2703" s="2">
        <v>568</v>
      </c>
      <c r="E2703" s="2">
        <v>200</v>
      </c>
      <c r="F2703" s="2">
        <v>32441</v>
      </c>
      <c r="G2703" s="2">
        <v>2.8557218309999999</v>
      </c>
      <c r="H2703" s="2">
        <v>3.650529E-3</v>
      </c>
      <c r="I2703" s="2" t="s">
        <v>33292</v>
      </c>
      <c r="J2703" s="2" t="s">
        <v>33293</v>
      </c>
      <c r="K2703" s="2">
        <v>1.6513811999999999E-2</v>
      </c>
      <c r="L2703" s="2" t="s">
        <v>1178</v>
      </c>
      <c r="M2703" s="4" t="s">
        <v>12597</v>
      </c>
    </row>
    <row r="2704" spans="1:13">
      <c r="A2704" s="2">
        <v>997</v>
      </c>
      <c r="B2704" s="2" t="s">
        <v>20697</v>
      </c>
      <c r="C2704" s="2">
        <v>10</v>
      </c>
      <c r="D2704" s="2">
        <v>568</v>
      </c>
      <c r="E2704" s="2">
        <v>200</v>
      </c>
      <c r="F2704" s="2">
        <v>32441</v>
      </c>
      <c r="G2704" s="2">
        <v>2.8557218309999999</v>
      </c>
      <c r="H2704" s="2">
        <v>3.650529E-3</v>
      </c>
      <c r="I2704" s="2" t="s">
        <v>33294</v>
      </c>
      <c r="J2704" s="2" t="s">
        <v>33295</v>
      </c>
      <c r="K2704" s="2">
        <v>1.6513811999999999E-2</v>
      </c>
      <c r="L2704" s="2" t="s">
        <v>1178</v>
      </c>
      <c r="M2704" s="4" t="s">
        <v>20700</v>
      </c>
    </row>
    <row r="2705" spans="1:13">
      <c r="A2705" s="2">
        <v>10212</v>
      </c>
      <c r="B2705" s="2" t="s">
        <v>23207</v>
      </c>
      <c r="C2705" s="2">
        <v>10</v>
      </c>
      <c r="D2705" s="2">
        <v>568</v>
      </c>
      <c r="E2705" s="2">
        <v>200</v>
      </c>
      <c r="F2705" s="2">
        <v>32441</v>
      </c>
      <c r="G2705" s="2">
        <v>2.8557218309999999</v>
      </c>
      <c r="H2705" s="2">
        <v>3.650529E-3</v>
      </c>
      <c r="I2705" s="2" t="s">
        <v>33296</v>
      </c>
      <c r="J2705" s="2" t="s">
        <v>33297</v>
      </c>
      <c r="K2705" s="2">
        <v>1.6513811999999999E-2</v>
      </c>
      <c r="L2705" s="2" t="s">
        <v>1178</v>
      </c>
      <c r="M2705" s="4" t="s">
        <v>23210</v>
      </c>
    </row>
    <row r="2706" spans="1:13">
      <c r="A2706" s="2">
        <v>10291</v>
      </c>
      <c r="B2706" s="2" t="s">
        <v>12404</v>
      </c>
      <c r="C2706" s="2">
        <v>10</v>
      </c>
      <c r="D2706" s="2">
        <v>568</v>
      </c>
      <c r="E2706" s="2">
        <v>200</v>
      </c>
      <c r="F2706" s="2">
        <v>32441</v>
      </c>
      <c r="G2706" s="2">
        <v>2.8557218309999999</v>
      </c>
      <c r="H2706" s="2">
        <v>3.650529E-3</v>
      </c>
      <c r="I2706" s="2" t="s">
        <v>33298</v>
      </c>
      <c r="J2706" s="2" t="s">
        <v>33299</v>
      </c>
      <c r="K2706" s="2">
        <v>1.6513811999999999E-2</v>
      </c>
      <c r="L2706" s="2" t="s">
        <v>1178</v>
      </c>
      <c r="M2706" s="4" t="s">
        <v>12407</v>
      </c>
    </row>
    <row r="2707" spans="1:13">
      <c r="A2707" s="2">
        <v>1049</v>
      </c>
      <c r="B2707" s="2" t="s">
        <v>1419</v>
      </c>
      <c r="C2707" s="2">
        <v>10</v>
      </c>
      <c r="D2707" s="2">
        <v>568</v>
      </c>
      <c r="E2707" s="2">
        <v>200</v>
      </c>
      <c r="F2707" s="2">
        <v>32441</v>
      </c>
      <c r="G2707" s="2">
        <v>2.8557218309999999</v>
      </c>
      <c r="H2707" s="2">
        <v>3.650529E-3</v>
      </c>
      <c r="I2707" s="2" t="s">
        <v>33300</v>
      </c>
      <c r="J2707" s="2" t="s">
        <v>33301</v>
      </c>
      <c r="K2707" s="2">
        <v>1.6513811999999999E-2</v>
      </c>
      <c r="L2707" s="2" t="s">
        <v>1178</v>
      </c>
      <c r="M2707" s="4" t="s">
        <v>21936</v>
      </c>
    </row>
    <row r="2708" spans="1:13">
      <c r="A2708" s="2">
        <v>1106</v>
      </c>
      <c r="B2708" s="2" t="s">
        <v>23227</v>
      </c>
      <c r="C2708" s="2">
        <v>10</v>
      </c>
      <c r="D2708" s="2">
        <v>568</v>
      </c>
      <c r="E2708" s="2">
        <v>200</v>
      </c>
      <c r="F2708" s="2">
        <v>32441</v>
      </c>
      <c r="G2708" s="2">
        <v>2.8557218309999999</v>
      </c>
      <c r="H2708" s="2">
        <v>3.650529E-3</v>
      </c>
      <c r="I2708" s="2" t="s">
        <v>33302</v>
      </c>
      <c r="J2708" s="2" t="s">
        <v>33303</v>
      </c>
      <c r="K2708" s="2">
        <v>1.6513811999999999E-2</v>
      </c>
      <c r="L2708" s="2" t="s">
        <v>1178</v>
      </c>
      <c r="M2708" s="4" t="s">
        <v>23230</v>
      </c>
    </row>
    <row r="2709" spans="1:13">
      <c r="A2709" s="2">
        <v>1108</v>
      </c>
      <c r="B2709" s="2" t="s">
        <v>33304</v>
      </c>
      <c r="C2709" s="2">
        <v>10</v>
      </c>
      <c r="D2709" s="2">
        <v>568</v>
      </c>
      <c r="E2709" s="2">
        <v>200</v>
      </c>
      <c r="F2709" s="2">
        <v>32441</v>
      </c>
      <c r="G2709" s="2">
        <v>2.8557218309999999</v>
      </c>
      <c r="H2709" s="2">
        <v>3.650529E-3</v>
      </c>
      <c r="I2709" s="2" t="s">
        <v>33305</v>
      </c>
      <c r="J2709" s="2" t="s">
        <v>33306</v>
      </c>
      <c r="K2709" s="2">
        <v>1.6513811999999999E-2</v>
      </c>
      <c r="L2709" s="2" t="s">
        <v>1178</v>
      </c>
      <c r="M2709" s="4" t="s">
        <v>33307</v>
      </c>
    </row>
    <row r="2710" spans="1:13">
      <c r="A2710" s="2">
        <v>1146</v>
      </c>
      <c r="B2710" s="2" t="s">
        <v>2418</v>
      </c>
      <c r="C2710" s="2">
        <v>10</v>
      </c>
      <c r="D2710" s="2">
        <v>568</v>
      </c>
      <c r="E2710" s="2">
        <v>200</v>
      </c>
      <c r="F2710" s="2">
        <v>32441</v>
      </c>
      <c r="G2710" s="2">
        <v>2.8557218309999999</v>
      </c>
      <c r="H2710" s="2">
        <v>3.650529E-3</v>
      </c>
      <c r="I2710" s="2" t="s">
        <v>33308</v>
      </c>
      <c r="J2710" s="2" t="s">
        <v>33309</v>
      </c>
      <c r="K2710" s="2">
        <v>1.6513811999999999E-2</v>
      </c>
      <c r="L2710" s="2" t="s">
        <v>1178</v>
      </c>
      <c r="M2710" s="4" t="s">
        <v>20737</v>
      </c>
    </row>
    <row r="2711" spans="1:13">
      <c r="A2711" s="2">
        <v>1150</v>
      </c>
      <c r="B2711" s="2" t="s">
        <v>1482</v>
      </c>
      <c r="C2711" s="2">
        <v>10</v>
      </c>
      <c r="D2711" s="2">
        <v>568</v>
      </c>
      <c r="E2711" s="2">
        <v>200</v>
      </c>
      <c r="F2711" s="2">
        <v>32441</v>
      </c>
      <c r="G2711" s="2">
        <v>2.8557218309999999</v>
      </c>
      <c r="H2711" s="2">
        <v>3.650529E-3</v>
      </c>
      <c r="I2711" s="2" t="s">
        <v>33310</v>
      </c>
      <c r="J2711" s="2" t="s">
        <v>33311</v>
      </c>
      <c r="K2711" s="2">
        <v>1.6513811999999999E-2</v>
      </c>
      <c r="L2711" s="2" t="s">
        <v>1178</v>
      </c>
      <c r="M2711" s="4" t="s">
        <v>18701</v>
      </c>
    </row>
    <row r="2712" spans="1:13">
      <c r="A2712" s="2">
        <v>1155</v>
      </c>
      <c r="B2712" s="2" t="s">
        <v>33312</v>
      </c>
      <c r="C2712" s="2">
        <v>10</v>
      </c>
      <c r="D2712" s="2">
        <v>568</v>
      </c>
      <c r="E2712" s="2">
        <v>200</v>
      </c>
      <c r="F2712" s="2">
        <v>32441</v>
      </c>
      <c r="G2712" s="2">
        <v>2.8557218309999999</v>
      </c>
      <c r="H2712" s="2">
        <v>3.650529E-3</v>
      </c>
      <c r="I2712" s="2" t="s">
        <v>33313</v>
      </c>
      <c r="J2712" s="2" t="s">
        <v>33314</v>
      </c>
      <c r="K2712" s="2">
        <v>1.6513811999999999E-2</v>
      </c>
      <c r="L2712" s="2" t="s">
        <v>1178</v>
      </c>
      <c r="M2712" s="4" t="s">
        <v>33315</v>
      </c>
    </row>
    <row r="2713" spans="1:13">
      <c r="A2713" s="2">
        <v>1158</v>
      </c>
      <c r="B2713" s="2" t="s">
        <v>19669</v>
      </c>
      <c r="C2713" s="2">
        <v>10</v>
      </c>
      <c r="D2713" s="2">
        <v>568</v>
      </c>
      <c r="E2713" s="2">
        <v>200</v>
      </c>
      <c r="F2713" s="2">
        <v>32441</v>
      </c>
      <c r="G2713" s="2">
        <v>2.8557218309999999</v>
      </c>
      <c r="H2713" s="2">
        <v>3.650529E-3</v>
      </c>
      <c r="I2713" s="2" t="s">
        <v>33316</v>
      </c>
      <c r="J2713" s="2" t="s">
        <v>33317</v>
      </c>
      <c r="K2713" s="2">
        <v>1.6513811999999999E-2</v>
      </c>
      <c r="L2713" s="2" t="s">
        <v>1178</v>
      </c>
      <c r="M2713" s="4" t="s">
        <v>19672</v>
      </c>
    </row>
    <row r="2714" spans="1:13">
      <c r="A2714" s="2">
        <v>12091</v>
      </c>
      <c r="B2714" s="2" t="s">
        <v>33318</v>
      </c>
      <c r="C2714" s="2">
        <v>10</v>
      </c>
      <c r="D2714" s="2">
        <v>568</v>
      </c>
      <c r="E2714" s="2">
        <v>200</v>
      </c>
      <c r="F2714" s="2">
        <v>32441</v>
      </c>
      <c r="G2714" s="2">
        <v>2.8557218309999999</v>
      </c>
      <c r="H2714" s="2">
        <v>3.650529E-3</v>
      </c>
      <c r="I2714" s="2" t="s">
        <v>33319</v>
      </c>
      <c r="J2714" s="2" t="s">
        <v>33320</v>
      </c>
      <c r="K2714" s="2">
        <v>1.6513811999999999E-2</v>
      </c>
      <c r="L2714" s="2" t="s">
        <v>1178</v>
      </c>
      <c r="M2714" s="4" t="s">
        <v>33321</v>
      </c>
    </row>
    <row r="2715" spans="1:13">
      <c r="A2715" s="2">
        <v>1214</v>
      </c>
      <c r="B2715" s="2" t="s">
        <v>33322</v>
      </c>
      <c r="C2715" s="2">
        <v>10</v>
      </c>
      <c r="D2715" s="2">
        <v>568</v>
      </c>
      <c r="E2715" s="2">
        <v>200</v>
      </c>
      <c r="F2715" s="2">
        <v>32441</v>
      </c>
      <c r="G2715" s="2">
        <v>2.8557218309999999</v>
      </c>
      <c r="H2715" s="2">
        <v>3.650529E-3</v>
      </c>
      <c r="I2715" s="2" t="s">
        <v>33323</v>
      </c>
      <c r="J2715" s="2" t="s">
        <v>33324</v>
      </c>
      <c r="K2715" s="2">
        <v>1.6513811999999999E-2</v>
      </c>
      <c r="L2715" s="2" t="s">
        <v>1178</v>
      </c>
      <c r="M2715" s="4" t="s">
        <v>33325</v>
      </c>
    </row>
    <row r="2716" spans="1:13">
      <c r="A2716" s="2">
        <v>1215</v>
      </c>
      <c r="B2716" s="2" t="s">
        <v>20758</v>
      </c>
      <c r="C2716" s="2">
        <v>10</v>
      </c>
      <c r="D2716" s="2">
        <v>568</v>
      </c>
      <c r="E2716" s="2">
        <v>200</v>
      </c>
      <c r="F2716" s="2">
        <v>32441</v>
      </c>
      <c r="G2716" s="2">
        <v>2.8557218309999999</v>
      </c>
      <c r="H2716" s="2">
        <v>3.650529E-3</v>
      </c>
      <c r="I2716" s="2" t="s">
        <v>33326</v>
      </c>
      <c r="J2716" s="2" t="s">
        <v>33327</v>
      </c>
      <c r="K2716" s="2">
        <v>1.6513811999999999E-2</v>
      </c>
      <c r="L2716" s="2" t="s">
        <v>1178</v>
      </c>
      <c r="M2716" s="4" t="s">
        <v>20761</v>
      </c>
    </row>
    <row r="2717" spans="1:13">
      <c r="A2717" s="2">
        <v>12211</v>
      </c>
      <c r="B2717" s="2" t="s">
        <v>23275</v>
      </c>
      <c r="C2717" s="2">
        <v>10</v>
      </c>
      <c r="D2717" s="2">
        <v>568</v>
      </c>
      <c r="E2717" s="2">
        <v>200</v>
      </c>
      <c r="F2717" s="2">
        <v>32441</v>
      </c>
      <c r="G2717" s="2">
        <v>2.8557218309999999</v>
      </c>
      <c r="H2717" s="2">
        <v>3.650529E-3</v>
      </c>
      <c r="I2717" s="2" t="s">
        <v>33328</v>
      </c>
      <c r="J2717" s="2" t="s">
        <v>33329</v>
      </c>
      <c r="K2717" s="2">
        <v>1.6513811999999999E-2</v>
      </c>
      <c r="L2717" s="2" t="s">
        <v>1178</v>
      </c>
      <c r="M2717" s="4" t="s">
        <v>23278</v>
      </c>
    </row>
    <row r="2718" spans="1:13">
      <c r="A2718" s="2">
        <v>12241</v>
      </c>
      <c r="B2718" s="2" t="s">
        <v>23279</v>
      </c>
      <c r="C2718" s="2">
        <v>10</v>
      </c>
      <c r="D2718" s="2">
        <v>568</v>
      </c>
      <c r="E2718" s="2">
        <v>200</v>
      </c>
      <c r="F2718" s="2">
        <v>32441</v>
      </c>
      <c r="G2718" s="2">
        <v>2.8557218309999999</v>
      </c>
      <c r="H2718" s="2">
        <v>3.650529E-3</v>
      </c>
      <c r="I2718" s="2" t="s">
        <v>33330</v>
      </c>
      <c r="J2718" s="2" t="s">
        <v>33331</v>
      </c>
      <c r="K2718" s="2">
        <v>1.6513811999999999E-2</v>
      </c>
      <c r="L2718" s="2" t="s">
        <v>1178</v>
      </c>
      <c r="M2718" s="4" t="s">
        <v>23282</v>
      </c>
    </row>
    <row r="2719" spans="1:13">
      <c r="A2719" s="2">
        <v>12531</v>
      </c>
      <c r="B2719" s="2" t="s">
        <v>33332</v>
      </c>
      <c r="C2719" s="2">
        <v>10</v>
      </c>
      <c r="D2719" s="2">
        <v>568</v>
      </c>
      <c r="E2719" s="2">
        <v>200</v>
      </c>
      <c r="F2719" s="2">
        <v>32441</v>
      </c>
      <c r="G2719" s="2">
        <v>2.8557218309999999</v>
      </c>
      <c r="H2719" s="2">
        <v>3.650529E-3</v>
      </c>
      <c r="I2719" s="2" t="s">
        <v>33333</v>
      </c>
      <c r="J2719" s="2" t="s">
        <v>33334</v>
      </c>
      <c r="K2719" s="2">
        <v>1.6513811999999999E-2</v>
      </c>
      <c r="L2719" s="2" t="s">
        <v>1178</v>
      </c>
      <c r="M2719" s="4" t="s">
        <v>33335</v>
      </c>
    </row>
    <row r="2720" spans="1:13">
      <c r="A2720" s="2">
        <v>1268</v>
      </c>
      <c r="B2720" s="2" t="s">
        <v>3145</v>
      </c>
      <c r="C2720" s="2">
        <v>10</v>
      </c>
      <c r="D2720" s="2">
        <v>568</v>
      </c>
      <c r="E2720" s="2">
        <v>200</v>
      </c>
      <c r="F2720" s="2">
        <v>32441</v>
      </c>
      <c r="G2720" s="2">
        <v>2.8557218309999999</v>
      </c>
      <c r="H2720" s="2">
        <v>3.650529E-3</v>
      </c>
      <c r="I2720" s="2" t="s">
        <v>33336</v>
      </c>
      <c r="J2720" s="2" t="s">
        <v>33337</v>
      </c>
      <c r="K2720" s="2">
        <v>1.6513811999999999E-2</v>
      </c>
      <c r="L2720" s="2" t="s">
        <v>1178</v>
      </c>
      <c r="M2720" s="4" t="s">
        <v>3148</v>
      </c>
    </row>
    <row r="2721" spans="1:13">
      <c r="A2721" s="2">
        <v>1269</v>
      </c>
      <c r="B2721" s="2" t="s">
        <v>1584</v>
      </c>
      <c r="C2721" s="2">
        <v>10</v>
      </c>
      <c r="D2721" s="2">
        <v>568</v>
      </c>
      <c r="E2721" s="2">
        <v>200</v>
      </c>
      <c r="F2721" s="2">
        <v>32441</v>
      </c>
      <c r="G2721" s="2">
        <v>2.8557218309999999</v>
      </c>
      <c r="H2721" s="2">
        <v>3.650529E-3</v>
      </c>
      <c r="I2721" s="2" t="s">
        <v>33338</v>
      </c>
      <c r="J2721" s="2" t="s">
        <v>33339</v>
      </c>
      <c r="K2721" s="2">
        <v>1.6513811999999999E-2</v>
      </c>
      <c r="L2721" s="2" t="s">
        <v>1178</v>
      </c>
      <c r="M2721" s="4" t="s">
        <v>13483</v>
      </c>
    </row>
    <row r="2722" spans="1:13">
      <c r="A2722" s="2">
        <v>1276</v>
      </c>
      <c r="B2722" s="2" t="s">
        <v>15746</v>
      </c>
      <c r="C2722" s="2">
        <v>10</v>
      </c>
      <c r="D2722" s="2">
        <v>568</v>
      </c>
      <c r="E2722" s="2">
        <v>200</v>
      </c>
      <c r="F2722" s="2">
        <v>32441</v>
      </c>
      <c r="G2722" s="2">
        <v>2.8557218309999999</v>
      </c>
      <c r="H2722" s="2">
        <v>3.650529E-3</v>
      </c>
      <c r="I2722" s="2" t="s">
        <v>33340</v>
      </c>
      <c r="J2722" s="2" t="s">
        <v>33341</v>
      </c>
      <c r="K2722" s="2">
        <v>1.6513811999999999E-2</v>
      </c>
      <c r="L2722" s="2" t="s">
        <v>1178</v>
      </c>
      <c r="M2722" s="4" t="s">
        <v>15749</v>
      </c>
    </row>
    <row r="2723" spans="1:13">
      <c r="A2723" s="2">
        <v>1308</v>
      </c>
      <c r="B2723" s="2" t="s">
        <v>33342</v>
      </c>
      <c r="C2723" s="2">
        <v>10</v>
      </c>
      <c r="D2723" s="2">
        <v>568</v>
      </c>
      <c r="E2723" s="2">
        <v>200</v>
      </c>
      <c r="F2723" s="2">
        <v>32441</v>
      </c>
      <c r="G2723" s="2">
        <v>2.8557218309999999</v>
      </c>
      <c r="H2723" s="2">
        <v>3.650529E-3</v>
      </c>
      <c r="I2723" s="2" t="s">
        <v>33343</v>
      </c>
      <c r="J2723" s="2" t="s">
        <v>33344</v>
      </c>
      <c r="K2723" s="2">
        <v>1.6513811999999999E-2</v>
      </c>
      <c r="L2723" s="2" t="s">
        <v>1178</v>
      </c>
      <c r="M2723" s="4" t="s">
        <v>33345</v>
      </c>
    </row>
    <row r="2724" spans="1:13">
      <c r="A2724" s="2">
        <v>1360</v>
      </c>
      <c r="B2724" s="2" t="s">
        <v>33346</v>
      </c>
      <c r="C2724" s="2">
        <v>10</v>
      </c>
      <c r="D2724" s="2">
        <v>568</v>
      </c>
      <c r="E2724" s="2">
        <v>200</v>
      </c>
      <c r="F2724" s="2">
        <v>32441</v>
      </c>
      <c r="G2724" s="2">
        <v>2.8557218309999999</v>
      </c>
      <c r="H2724" s="2">
        <v>3.650529E-3</v>
      </c>
      <c r="I2724" s="2" t="s">
        <v>33347</v>
      </c>
      <c r="J2724" s="2" t="s">
        <v>33348</v>
      </c>
      <c r="K2724" s="2">
        <v>1.6513811999999999E-2</v>
      </c>
      <c r="L2724" s="2" t="s">
        <v>1178</v>
      </c>
      <c r="M2724" s="4" t="s">
        <v>33349</v>
      </c>
    </row>
    <row r="2725" spans="1:13">
      <c r="A2725" s="2">
        <v>1394</v>
      </c>
      <c r="B2725" s="2" t="s">
        <v>20806</v>
      </c>
      <c r="C2725" s="2">
        <v>10</v>
      </c>
      <c r="D2725" s="2">
        <v>568</v>
      </c>
      <c r="E2725" s="2">
        <v>200</v>
      </c>
      <c r="F2725" s="2">
        <v>32441</v>
      </c>
      <c r="G2725" s="2">
        <v>2.8557218309999999</v>
      </c>
      <c r="H2725" s="2">
        <v>3.650529E-3</v>
      </c>
      <c r="I2725" s="2" t="s">
        <v>33350</v>
      </c>
      <c r="J2725" s="2" t="s">
        <v>33351</v>
      </c>
      <c r="K2725" s="2">
        <v>1.6513811999999999E-2</v>
      </c>
      <c r="L2725" s="2" t="s">
        <v>1178</v>
      </c>
      <c r="M2725" s="4" t="s">
        <v>20809</v>
      </c>
    </row>
    <row r="2726" spans="1:13">
      <c r="A2726" s="2">
        <v>13972</v>
      </c>
      <c r="B2726" s="2" t="s">
        <v>17941</v>
      </c>
      <c r="C2726" s="2">
        <v>10</v>
      </c>
      <c r="D2726" s="2">
        <v>568</v>
      </c>
      <c r="E2726" s="2">
        <v>200</v>
      </c>
      <c r="F2726" s="2">
        <v>32441</v>
      </c>
      <c r="G2726" s="2">
        <v>2.8557218309999999</v>
      </c>
      <c r="H2726" s="2">
        <v>3.650529E-3</v>
      </c>
      <c r="I2726" s="2" t="s">
        <v>33352</v>
      </c>
      <c r="J2726" s="2" t="s">
        <v>33353</v>
      </c>
      <c r="K2726" s="2">
        <v>1.6513811999999999E-2</v>
      </c>
      <c r="L2726" s="2" t="s">
        <v>1178</v>
      </c>
      <c r="M2726" s="4" t="s">
        <v>17944</v>
      </c>
    </row>
    <row r="2727" spans="1:13">
      <c r="A2727" s="2">
        <v>14011</v>
      </c>
      <c r="B2727" s="2" t="s">
        <v>1257</v>
      </c>
      <c r="C2727" s="2">
        <v>10</v>
      </c>
      <c r="D2727" s="2">
        <v>568</v>
      </c>
      <c r="E2727" s="2">
        <v>200</v>
      </c>
      <c r="F2727" s="2">
        <v>32441</v>
      </c>
      <c r="G2727" s="2">
        <v>2.8557218309999999</v>
      </c>
      <c r="H2727" s="2">
        <v>3.650529E-3</v>
      </c>
      <c r="I2727" s="2" t="s">
        <v>33354</v>
      </c>
      <c r="J2727" s="2" t="s">
        <v>33355</v>
      </c>
      <c r="K2727" s="2">
        <v>1.6513811999999999E-2</v>
      </c>
      <c r="L2727" s="2" t="s">
        <v>1178</v>
      </c>
      <c r="M2727" s="4" t="s">
        <v>13047</v>
      </c>
    </row>
    <row r="2728" spans="1:13">
      <c r="A2728" s="2">
        <v>1423</v>
      </c>
      <c r="B2728" s="2" t="s">
        <v>14757</v>
      </c>
      <c r="C2728" s="2">
        <v>10</v>
      </c>
      <c r="D2728" s="2">
        <v>568</v>
      </c>
      <c r="E2728" s="2">
        <v>200</v>
      </c>
      <c r="F2728" s="2">
        <v>32441</v>
      </c>
      <c r="G2728" s="2">
        <v>2.8557218309999999</v>
      </c>
      <c r="H2728" s="2">
        <v>3.650529E-3</v>
      </c>
      <c r="I2728" s="2" t="s">
        <v>33356</v>
      </c>
      <c r="J2728" s="2" t="s">
        <v>33357</v>
      </c>
      <c r="K2728" s="2">
        <v>1.6513811999999999E-2</v>
      </c>
      <c r="L2728" s="2" t="s">
        <v>1178</v>
      </c>
      <c r="M2728" s="4" t="s">
        <v>14760</v>
      </c>
    </row>
    <row r="2729" spans="1:13">
      <c r="A2729" s="2">
        <v>1441</v>
      </c>
      <c r="B2729" s="2" t="s">
        <v>2466</v>
      </c>
      <c r="C2729" s="2">
        <v>10</v>
      </c>
      <c r="D2729" s="2">
        <v>568</v>
      </c>
      <c r="E2729" s="2">
        <v>200</v>
      </c>
      <c r="F2729" s="2">
        <v>32441</v>
      </c>
      <c r="G2729" s="2">
        <v>2.8557218309999999</v>
      </c>
      <c r="H2729" s="2">
        <v>3.650529E-3</v>
      </c>
      <c r="I2729" s="2" t="s">
        <v>33358</v>
      </c>
      <c r="J2729" s="2" t="s">
        <v>33359</v>
      </c>
      <c r="K2729" s="2">
        <v>1.6513811999999999E-2</v>
      </c>
      <c r="L2729" s="2" t="s">
        <v>1178</v>
      </c>
      <c r="M2729" s="4" t="s">
        <v>23358</v>
      </c>
    </row>
    <row r="2730" spans="1:13">
      <c r="A2730" s="2">
        <v>14501</v>
      </c>
      <c r="B2730" s="2" t="s">
        <v>17155</v>
      </c>
      <c r="C2730" s="2">
        <v>10</v>
      </c>
      <c r="D2730" s="2">
        <v>568</v>
      </c>
      <c r="E2730" s="2">
        <v>200</v>
      </c>
      <c r="F2730" s="2">
        <v>32441</v>
      </c>
      <c r="G2730" s="2">
        <v>2.8557218309999999</v>
      </c>
      <c r="H2730" s="2">
        <v>3.650529E-3</v>
      </c>
      <c r="I2730" s="2" t="s">
        <v>33360</v>
      </c>
      <c r="J2730" s="2" t="s">
        <v>33361</v>
      </c>
      <c r="K2730" s="2">
        <v>1.6513811999999999E-2</v>
      </c>
      <c r="L2730" s="2" t="s">
        <v>1178</v>
      </c>
      <c r="M2730" s="4" t="s">
        <v>17158</v>
      </c>
    </row>
    <row r="2731" spans="1:13">
      <c r="A2731" s="2">
        <v>1462</v>
      </c>
      <c r="B2731" s="2" t="s">
        <v>22025</v>
      </c>
      <c r="C2731" s="2">
        <v>10</v>
      </c>
      <c r="D2731" s="2">
        <v>568</v>
      </c>
      <c r="E2731" s="2">
        <v>200</v>
      </c>
      <c r="F2731" s="2">
        <v>32441</v>
      </c>
      <c r="G2731" s="2">
        <v>2.8557218309999999</v>
      </c>
      <c r="H2731" s="2">
        <v>3.650529E-3</v>
      </c>
      <c r="I2731" s="2" t="s">
        <v>33362</v>
      </c>
      <c r="J2731" s="2" t="s">
        <v>33363</v>
      </c>
      <c r="K2731" s="2">
        <v>1.6513811999999999E-2</v>
      </c>
      <c r="L2731" s="2" t="s">
        <v>1178</v>
      </c>
      <c r="M2731" s="4" t="s">
        <v>22028</v>
      </c>
    </row>
    <row r="2732" spans="1:13">
      <c r="A2732" s="2">
        <v>1483</v>
      </c>
      <c r="B2732" s="2" t="s">
        <v>18755</v>
      </c>
      <c r="C2732" s="2">
        <v>10</v>
      </c>
      <c r="D2732" s="2">
        <v>568</v>
      </c>
      <c r="E2732" s="2">
        <v>200</v>
      </c>
      <c r="F2732" s="2">
        <v>32441</v>
      </c>
      <c r="G2732" s="2">
        <v>2.8557218309999999</v>
      </c>
      <c r="H2732" s="2">
        <v>3.650529E-3</v>
      </c>
      <c r="I2732" s="2" t="s">
        <v>33364</v>
      </c>
      <c r="J2732" s="2" t="s">
        <v>33365</v>
      </c>
      <c r="K2732" s="2">
        <v>1.6513811999999999E-2</v>
      </c>
      <c r="L2732" s="2" t="s">
        <v>1178</v>
      </c>
      <c r="M2732" s="4" t="s">
        <v>18758</v>
      </c>
    </row>
    <row r="2733" spans="1:13">
      <c r="A2733" s="2">
        <v>15081</v>
      </c>
      <c r="B2733" s="2" t="s">
        <v>33366</v>
      </c>
      <c r="C2733" s="2">
        <v>10</v>
      </c>
      <c r="D2733" s="2">
        <v>568</v>
      </c>
      <c r="E2733" s="2">
        <v>200</v>
      </c>
      <c r="F2733" s="2">
        <v>32441</v>
      </c>
      <c r="G2733" s="2">
        <v>2.8557218309999999</v>
      </c>
      <c r="H2733" s="2">
        <v>3.650529E-3</v>
      </c>
      <c r="I2733" s="2" t="s">
        <v>33367</v>
      </c>
      <c r="J2733" s="2" t="s">
        <v>33368</v>
      </c>
      <c r="K2733" s="2">
        <v>1.6513811999999999E-2</v>
      </c>
      <c r="L2733" s="2" t="s">
        <v>1178</v>
      </c>
      <c r="M2733" s="4" t="s">
        <v>33369</v>
      </c>
    </row>
    <row r="2734" spans="1:13">
      <c r="A2734" s="2">
        <v>15651</v>
      </c>
      <c r="B2734" s="2" t="s">
        <v>1695</v>
      </c>
      <c r="C2734" s="2">
        <v>10</v>
      </c>
      <c r="D2734" s="2">
        <v>568</v>
      </c>
      <c r="E2734" s="2">
        <v>200</v>
      </c>
      <c r="F2734" s="2">
        <v>32441</v>
      </c>
      <c r="G2734" s="2">
        <v>2.8557218309999999</v>
      </c>
      <c r="H2734" s="2">
        <v>3.650529E-3</v>
      </c>
      <c r="I2734" s="2" t="s">
        <v>33370</v>
      </c>
      <c r="J2734" s="2" t="s">
        <v>33371</v>
      </c>
      <c r="K2734" s="2">
        <v>1.6513811999999999E-2</v>
      </c>
      <c r="L2734" s="2" t="s">
        <v>1178</v>
      </c>
      <c r="M2734" s="4" t="s">
        <v>33372</v>
      </c>
    </row>
    <row r="2735" spans="1:13">
      <c r="A2735" s="2">
        <v>1591</v>
      </c>
      <c r="B2735" s="2" t="s">
        <v>1893</v>
      </c>
      <c r="C2735" s="2">
        <v>10</v>
      </c>
      <c r="D2735" s="2">
        <v>568</v>
      </c>
      <c r="E2735" s="2">
        <v>200</v>
      </c>
      <c r="F2735" s="2">
        <v>32441</v>
      </c>
      <c r="G2735" s="2">
        <v>2.8557218309999999</v>
      </c>
      <c r="H2735" s="2">
        <v>3.650529E-3</v>
      </c>
      <c r="I2735" s="2" t="s">
        <v>33373</v>
      </c>
      <c r="J2735" s="2" t="s">
        <v>33374</v>
      </c>
      <c r="K2735" s="2">
        <v>1.6513811999999999E-2</v>
      </c>
      <c r="L2735" s="2" t="s">
        <v>1178</v>
      </c>
      <c r="M2735" s="4" t="s">
        <v>33375</v>
      </c>
    </row>
    <row r="2736" spans="1:13">
      <c r="A2736" s="2">
        <v>1596</v>
      </c>
      <c r="B2736" s="2" t="s">
        <v>1377</v>
      </c>
      <c r="C2736" s="2">
        <v>10</v>
      </c>
      <c r="D2736" s="2">
        <v>568</v>
      </c>
      <c r="E2736" s="2">
        <v>200</v>
      </c>
      <c r="F2736" s="2">
        <v>32441</v>
      </c>
      <c r="G2736" s="2">
        <v>2.8557218309999999</v>
      </c>
      <c r="H2736" s="2">
        <v>3.650529E-3</v>
      </c>
      <c r="I2736" s="2" t="s">
        <v>33376</v>
      </c>
      <c r="J2736" s="2" t="s">
        <v>33377</v>
      </c>
      <c r="K2736" s="2">
        <v>1.6513811999999999E-2</v>
      </c>
      <c r="L2736" s="2" t="s">
        <v>1178</v>
      </c>
      <c r="M2736" s="4" t="s">
        <v>23403</v>
      </c>
    </row>
    <row r="2737" spans="1:13">
      <c r="A2737" s="2">
        <v>1603</v>
      </c>
      <c r="B2737" s="2" t="s">
        <v>22067</v>
      </c>
      <c r="C2737" s="2">
        <v>10</v>
      </c>
      <c r="D2737" s="2">
        <v>568</v>
      </c>
      <c r="E2737" s="2">
        <v>200</v>
      </c>
      <c r="F2737" s="2">
        <v>32441</v>
      </c>
      <c r="G2737" s="2">
        <v>2.8557218309999999</v>
      </c>
      <c r="H2737" s="2">
        <v>3.650529E-3</v>
      </c>
      <c r="I2737" s="2" t="s">
        <v>33378</v>
      </c>
      <c r="J2737" s="2" t="s">
        <v>33379</v>
      </c>
      <c r="K2737" s="2">
        <v>1.6513811999999999E-2</v>
      </c>
      <c r="L2737" s="2" t="s">
        <v>1178</v>
      </c>
      <c r="M2737" s="4" t="s">
        <v>22070</v>
      </c>
    </row>
    <row r="2738" spans="1:13">
      <c r="A2738" s="2">
        <v>16111</v>
      </c>
      <c r="B2738" s="2" t="s">
        <v>2166</v>
      </c>
      <c r="C2738" s="2">
        <v>10</v>
      </c>
      <c r="D2738" s="2">
        <v>568</v>
      </c>
      <c r="E2738" s="2">
        <v>199</v>
      </c>
      <c r="F2738" s="2">
        <v>32441</v>
      </c>
      <c r="G2738" s="2">
        <v>2.8700721919999999</v>
      </c>
      <c r="H2738" s="2">
        <v>3.5294599999999999E-3</v>
      </c>
      <c r="I2738" s="2" t="s">
        <v>33380</v>
      </c>
      <c r="J2738" s="2" t="s">
        <v>33381</v>
      </c>
      <c r="K2738" s="2">
        <v>1.6513811999999999E-2</v>
      </c>
      <c r="L2738" s="2" t="s">
        <v>1178</v>
      </c>
      <c r="M2738" s="4" t="s">
        <v>33382</v>
      </c>
    </row>
    <row r="2739" spans="1:13">
      <c r="A2739" s="2">
        <v>1616</v>
      </c>
      <c r="B2739" s="2" t="s">
        <v>2490</v>
      </c>
      <c r="C2739" s="2">
        <v>10</v>
      </c>
      <c r="D2739" s="2">
        <v>568</v>
      </c>
      <c r="E2739" s="2">
        <v>200</v>
      </c>
      <c r="F2739" s="2">
        <v>32441</v>
      </c>
      <c r="G2739" s="2">
        <v>2.8557218309999999</v>
      </c>
      <c r="H2739" s="2">
        <v>3.650529E-3</v>
      </c>
      <c r="I2739" s="2" t="s">
        <v>33383</v>
      </c>
      <c r="J2739" s="2" t="s">
        <v>33384</v>
      </c>
      <c r="K2739" s="2">
        <v>1.6513811999999999E-2</v>
      </c>
      <c r="L2739" s="2" t="s">
        <v>1178</v>
      </c>
      <c r="M2739" s="4" t="s">
        <v>14397</v>
      </c>
    </row>
    <row r="2740" spans="1:13">
      <c r="A2740" s="2">
        <v>1626</v>
      </c>
      <c r="B2740" s="2" t="s">
        <v>20862</v>
      </c>
      <c r="C2740" s="2">
        <v>10</v>
      </c>
      <c r="D2740" s="2">
        <v>568</v>
      </c>
      <c r="E2740" s="2">
        <v>200</v>
      </c>
      <c r="F2740" s="2">
        <v>32441</v>
      </c>
      <c r="G2740" s="2">
        <v>2.8557218309999999</v>
      </c>
      <c r="H2740" s="2">
        <v>3.650529E-3</v>
      </c>
      <c r="I2740" s="2" t="s">
        <v>33385</v>
      </c>
      <c r="J2740" s="2" t="s">
        <v>33386</v>
      </c>
      <c r="K2740" s="2">
        <v>1.6513811999999999E-2</v>
      </c>
      <c r="L2740" s="2" t="s">
        <v>1178</v>
      </c>
      <c r="M2740" s="4" t="s">
        <v>20865</v>
      </c>
    </row>
    <row r="2741" spans="1:13">
      <c r="A2741" s="2">
        <v>1627</v>
      </c>
      <c r="B2741" s="2" t="s">
        <v>19765</v>
      </c>
      <c r="C2741" s="2">
        <v>10</v>
      </c>
      <c r="D2741" s="2">
        <v>568</v>
      </c>
      <c r="E2741" s="2">
        <v>200</v>
      </c>
      <c r="F2741" s="2">
        <v>32441</v>
      </c>
      <c r="G2741" s="2">
        <v>2.8557218309999999</v>
      </c>
      <c r="H2741" s="2">
        <v>3.650529E-3</v>
      </c>
      <c r="I2741" s="2" t="s">
        <v>33387</v>
      </c>
      <c r="J2741" s="2" t="s">
        <v>33388</v>
      </c>
      <c r="K2741" s="2">
        <v>1.6513811999999999E-2</v>
      </c>
      <c r="L2741" s="2" t="s">
        <v>1178</v>
      </c>
      <c r="M2741" s="4" t="s">
        <v>19768</v>
      </c>
    </row>
    <row r="2742" spans="1:13">
      <c r="A2742" s="2">
        <v>1629</v>
      </c>
      <c r="B2742" s="2" t="s">
        <v>1593</v>
      </c>
      <c r="C2742" s="2">
        <v>10</v>
      </c>
      <c r="D2742" s="2">
        <v>568</v>
      </c>
      <c r="E2742" s="2">
        <v>200</v>
      </c>
      <c r="F2742" s="2">
        <v>32441</v>
      </c>
      <c r="G2742" s="2">
        <v>2.8557218309999999</v>
      </c>
      <c r="H2742" s="2">
        <v>3.650529E-3</v>
      </c>
      <c r="I2742" s="2" t="s">
        <v>33389</v>
      </c>
      <c r="J2742" s="2" t="s">
        <v>33390</v>
      </c>
      <c r="K2742" s="2">
        <v>1.6513811999999999E-2</v>
      </c>
      <c r="L2742" s="2" t="s">
        <v>1178</v>
      </c>
      <c r="M2742" s="4" t="s">
        <v>33391</v>
      </c>
    </row>
    <row r="2743" spans="1:13">
      <c r="A2743" s="2">
        <v>1638</v>
      </c>
      <c r="B2743" s="2" t="s">
        <v>2169</v>
      </c>
      <c r="C2743" s="2">
        <v>10</v>
      </c>
      <c r="D2743" s="2">
        <v>568</v>
      </c>
      <c r="E2743" s="2">
        <v>200</v>
      </c>
      <c r="F2743" s="2">
        <v>32441</v>
      </c>
      <c r="G2743" s="2">
        <v>2.8557218309999999</v>
      </c>
      <c r="H2743" s="2">
        <v>3.650529E-3</v>
      </c>
      <c r="I2743" s="2" t="s">
        <v>33392</v>
      </c>
      <c r="J2743" s="2" t="s">
        <v>33393</v>
      </c>
      <c r="K2743" s="2">
        <v>1.6513811999999999E-2</v>
      </c>
      <c r="L2743" s="2" t="s">
        <v>1178</v>
      </c>
      <c r="M2743" s="4" t="s">
        <v>16480</v>
      </c>
    </row>
    <row r="2744" spans="1:13">
      <c r="A2744" s="2">
        <v>16481</v>
      </c>
      <c r="B2744" s="2" t="s">
        <v>1596</v>
      </c>
      <c r="C2744" s="2">
        <v>10</v>
      </c>
      <c r="D2744" s="2">
        <v>568</v>
      </c>
      <c r="E2744" s="2">
        <v>200</v>
      </c>
      <c r="F2744" s="2">
        <v>32441</v>
      </c>
      <c r="G2744" s="2">
        <v>2.8557218309999999</v>
      </c>
      <c r="H2744" s="2">
        <v>3.650529E-3</v>
      </c>
      <c r="I2744" s="2" t="s">
        <v>33394</v>
      </c>
      <c r="J2744" s="2" t="s">
        <v>33395</v>
      </c>
      <c r="K2744" s="2">
        <v>1.6513811999999999E-2</v>
      </c>
      <c r="L2744" s="2" t="s">
        <v>1178</v>
      </c>
      <c r="M2744" s="4" t="s">
        <v>23409</v>
      </c>
    </row>
    <row r="2745" spans="1:13">
      <c r="A2745" s="2">
        <v>1652</v>
      </c>
      <c r="B2745" s="2" t="s">
        <v>23414</v>
      </c>
      <c r="C2745" s="2">
        <v>10</v>
      </c>
      <c r="D2745" s="2">
        <v>568</v>
      </c>
      <c r="E2745" s="2">
        <v>200</v>
      </c>
      <c r="F2745" s="2">
        <v>32441</v>
      </c>
      <c r="G2745" s="2">
        <v>2.8557218309999999</v>
      </c>
      <c r="H2745" s="2">
        <v>3.650529E-3</v>
      </c>
      <c r="I2745" s="2" t="s">
        <v>33396</v>
      </c>
      <c r="J2745" s="2" t="s">
        <v>33397</v>
      </c>
      <c r="K2745" s="2">
        <v>1.6513811999999999E-2</v>
      </c>
      <c r="L2745" s="2" t="s">
        <v>1178</v>
      </c>
      <c r="M2745" s="4" t="s">
        <v>23417</v>
      </c>
    </row>
    <row r="2746" spans="1:13">
      <c r="A2746" s="2">
        <v>16701</v>
      </c>
      <c r="B2746" s="2" t="s">
        <v>2496</v>
      </c>
      <c r="C2746" s="2">
        <v>10</v>
      </c>
      <c r="D2746" s="2">
        <v>568</v>
      </c>
      <c r="E2746" s="2">
        <v>200</v>
      </c>
      <c r="F2746" s="2">
        <v>32441</v>
      </c>
      <c r="G2746" s="2">
        <v>2.8557218309999999</v>
      </c>
      <c r="H2746" s="2">
        <v>3.650529E-3</v>
      </c>
      <c r="I2746" s="2" t="s">
        <v>33398</v>
      </c>
      <c r="J2746" s="2" t="s">
        <v>33399</v>
      </c>
      <c r="K2746" s="2">
        <v>1.6513811999999999E-2</v>
      </c>
      <c r="L2746" s="2" t="s">
        <v>1178</v>
      </c>
      <c r="M2746" s="4" t="s">
        <v>33400</v>
      </c>
    </row>
    <row r="2747" spans="1:13">
      <c r="A2747" s="2">
        <v>1680</v>
      </c>
      <c r="B2747" s="2" t="s">
        <v>22075</v>
      </c>
      <c r="C2747" s="2">
        <v>10</v>
      </c>
      <c r="D2747" s="2">
        <v>568</v>
      </c>
      <c r="E2747" s="2">
        <v>200</v>
      </c>
      <c r="F2747" s="2">
        <v>32441</v>
      </c>
      <c r="G2747" s="2">
        <v>2.8557218309999999</v>
      </c>
      <c r="H2747" s="2">
        <v>3.650529E-3</v>
      </c>
      <c r="I2747" s="2" t="s">
        <v>33401</v>
      </c>
      <c r="J2747" s="2" t="s">
        <v>33402</v>
      </c>
      <c r="K2747" s="2">
        <v>1.6513811999999999E-2</v>
      </c>
      <c r="L2747" s="2" t="s">
        <v>1178</v>
      </c>
      <c r="M2747" s="4" t="s">
        <v>22078</v>
      </c>
    </row>
    <row r="2748" spans="1:13">
      <c r="A2748" s="2">
        <v>1731</v>
      </c>
      <c r="B2748" s="2" t="s">
        <v>19784</v>
      </c>
      <c r="C2748" s="2">
        <v>10</v>
      </c>
      <c r="D2748" s="2">
        <v>568</v>
      </c>
      <c r="E2748" s="2">
        <v>200</v>
      </c>
      <c r="F2748" s="2">
        <v>32441</v>
      </c>
      <c r="G2748" s="2">
        <v>2.8557218309999999</v>
      </c>
      <c r="H2748" s="2">
        <v>3.650529E-3</v>
      </c>
      <c r="I2748" s="2" t="s">
        <v>33403</v>
      </c>
      <c r="J2748" s="2" t="s">
        <v>33404</v>
      </c>
      <c r="K2748" s="2">
        <v>1.6513811999999999E-2</v>
      </c>
      <c r="L2748" s="2" t="s">
        <v>1178</v>
      </c>
      <c r="M2748" s="4" t="s">
        <v>19787</v>
      </c>
    </row>
    <row r="2749" spans="1:13">
      <c r="A2749" s="2">
        <v>1735</v>
      </c>
      <c r="B2749" s="2" t="s">
        <v>33405</v>
      </c>
      <c r="C2749" s="2">
        <v>10</v>
      </c>
      <c r="D2749" s="2">
        <v>568</v>
      </c>
      <c r="E2749" s="2">
        <v>199</v>
      </c>
      <c r="F2749" s="2">
        <v>32441</v>
      </c>
      <c r="G2749" s="2">
        <v>2.8700721919999999</v>
      </c>
      <c r="H2749" s="2">
        <v>3.5294599999999999E-3</v>
      </c>
      <c r="I2749" s="2" t="s">
        <v>33406</v>
      </c>
      <c r="J2749" s="2" t="s">
        <v>33407</v>
      </c>
      <c r="K2749" s="2">
        <v>1.6513811999999999E-2</v>
      </c>
      <c r="L2749" s="2" t="s">
        <v>1178</v>
      </c>
      <c r="M2749" s="4" t="s">
        <v>33408</v>
      </c>
    </row>
    <row r="2750" spans="1:13">
      <c r="A2750" s="2">
        <v>17391</v>
      </c>
      <c r="B2750" s="2" t="s">
        <v>1494</v>
      </c>
      <c r="C2750" s="2">
        <v>10</v>
      </c>
      <c r="D2750" s="2">
        <v>568</v>
      </c>
      <c r="E2750" s="2">
        <v>200</v>
      </c>
      <c r="F2750" s="2">
        <v>32441</v>
      </c>
      <c r="G2750" s="2">
        <v>2.8557218309999999</v>
      </c>
      <c r="H2750" s="2">
        <v>3.650529E-3</v>
      </c>
      <c r="I2750" s="2" t="s">
        <v>33409</v>
      </c>
      <c r="J2750" s="2" t="s">
        <v>33410</v>
      </c>
      <c r="K2750" s="2">
        <v>1.6513811999999999E-2</v>
      </c>
      <c r="L2750" s="2" t="s">
        <v>1178</v>
      </c>
      <c r="M2750" s="4" t="s">
        <v>33411</v>
      </c>
    </row>
    <row r="2751" spans="1:13">
      <c r="A2751" s="2">
        <v>1777</v>
      </c>
      <c r="B2751" s="2" t="s">
        <v>15278</v>
      </c>
      <c r="C2751" s="2">
        <v>10</v>
      </c>
      <c r="D2751" s="2">
        <v>568</v>
      </c>
      <c r="E2751" s="2">
        <v>200</v>
      </c>
      <c r="F2751" s="2">
        <v>32441</v>
      </c>
      <c r="G2751" s="2">
        <v>2.8557218309999999</v>
      </c>
      <c r="H2751" s="2">
        <v>3.650529E-3</v>
      </c>
      <c r="I2751" s="2" t="s">
        <v>33412</v>
      </c>
      <c r="J2751" s="2" t="s">
        <v>33413</v>
      </c>
      <c r="K2751" s="2">
        <v>1.6513811999999999E-2</v>
      </c>
      <c r="L2751" s="2" t="s">
        <v>1178</v>
      </c>
      <c r="M2751" s="4" t="s">
        <v>15281</v>
      </c>
    </row>
    <row r="2752" spans="1:13">
      <c r="A2752" s="2">
        <v>1783</v>
      </c>
      <c r="B2752" s="2" t="s">
        <v>23449</v>
      </c>
      <c r="C2752" s="2">
        <v>10</v>
      </c>
      <c r="D2752" s="2">
        <v>568</v>
      </c>
      <c r="E2752" s="2">
        <v>200</v>
      </c>
      <c r="F2752" s="2">
        <v>32441</v>
      </c>
      <c r="G2752" s="2">
        <v>2.8557218309999999</v>
      </c>
      <c r="H2752" s="2">
        <v>3.650529E-3</v>
      </c>
      <c r="I2752" s="2" t="s">
        <v>33414</v>
      </c>
      <c r="J2752" s="2" t="s">
        <v>33415</v>
      </c>
      <c r="K2752" s="2">
        <v>1.6513811999999999E-2</v>
      </c>
      <c r="L2752" s="2" t="s">
        <v>1178</v>
      </c>
      <c r="M2752" s="4" t="s">
        <v>23452</v>
      </c>
    </row>
    <row r="2753" spans="1:13">
      <c r="A2753" s="2">
        <v>1789</v>
      </c>
      <c r="B2753" s="2" t="s">
        <v>14077</v>
      </c>
      <c r="C2753" s="2">
        <v>10</v>
      </c>
      <c r="D2753" s="2">
        <v>568</v>
      </c>
      <c r="E2753" s="2">
        <v>200</v>
      </c>
      <c r="F2753" s="2">
        <v>32441</v>
      </c>
      <c r="G2753" s="2">
        <v>2.8557218309999999</v>
      </c>
      <c r="H2753" s="2">
        <v>3.650529E-3</v>
      </c>
      <c r="I2753" s="2" t="s">
        <v>33416</v>
      </c>
      <c r="J2753" s="2" t="s">
        <v>33417</v>
      </c>
      <c r="K2753" s="2">
        <v>1.6513811999999999E-2</v>
      </c>
      <c r="L2753" s="2" t="s">
        <v>1178</v>
      </c>
      <c r="M2753" s="4" t="s">
        <v>14080</v>
      </c>
    </row>
    <row r="2754" spans="1:13">
      <c r="A2754" s="2">
        <v>1792</v>
      </c>
      <c r="B2754" s="2" t="s">
        <v>33418</v>
      </c>
      <c r="C2754" s="2">
        <v>10</v>
      </c>
      <c r="D2754" s="2">
        <v>568</v>
      </c>
      <c r="E2754" s="2">
        <v>200</v>
      </c>
      <c r="F2754" s="2">
        <v>32441</v>
      </c>
      <c r="G2754" s="2">
        <v>2.8557218309999999</v>
      </c>
      <c r="H2754" s="2">
        <v>3.650529E-3</v>
      </c>
      <c r="I2754" s="2" t="s">
        <v>33419</v>
      </c>
      <c r="J2754" s="2" t="s">
        <v>33420</v>
      </c>
      <c r="K2754" s="2">
        <v>1.6513811999999999E-2</v>
      </c>
      <c r="L2754" s="2" t="s">
        <v>1178</v>
      </c>
      <c r="M2754" s="4" t="s">
        <v>33421</v>
      </c>
    </row>
    <row r="2755" spans="1:13">
      <c r="A2755" s="2">
        <v>1796</v>
      </c>
      <c r="B2755" s="2" t="s">
        <v>23453</v>
      </c>
      <c r="C2755" s="2">
        <v>10</v>
      </c>
      <c r="D2755" s="2">
        <v>568</v>
      </c>
      <c r="E2755" s="2">
        <v>200</v>
      </c>
      <c r="F2755" s="2">
        <v>32441</v>
      </c>
      <c r="G2755" s="2">
        <v>2.8557218309999999</v>
      </c>
      <c r="H2755" s="2">
        <v>3.650529E-3</v>
      </c>
      <c r="I2755" s="2" t="s">
        <v>33422</v>
      </c>
      <c r="J2755" s="2" t="s">
        <v>33423</v>
      </c>
      <c r="K2755" s="2">
        <v>1.6513811999999999E-2</v>
      </c>
      <c r="L2755" s="2" t="s">
        <v>1178</v>
      </c>
      <c r="M2755" s="4" t="s">
        <v>23456</v>
      </c>
    </row>
    <row r="2756" spans="1:13">
      <c r="A2756" s="2">
        <v>1847</v>
      </c>
      <c r="B2756" s="2" t="s">
        <v>33424</v>
      </c>
      <c r="C2756" s="2">
        <v>10</v>
      </c>
      <c r="D2756" s="2">
        <v>568</v>
      </c>
      <c r="E2756" s="2">
        <v>200</v>
      </c>
      <c r="F2756" s="2">
        <v>32441</v>
      </c>
      <c r="G2756" s="2">
        <v>2.8557218309999999</v>
      </c>
      <c r="H2756" s="2">
        <v>3.650529E-3</v>
      </c>
      <c r="I2756" s="2" t="s">
        <v>33425</v>
      </c>
      <c r="J2756" s="2" t="s">
        <v>33426</v>
      </c>
      <c r="K2756" s="2">
        <v>1.6513811999999999E-2</v>
      </c>
      <c r="L2756" s="2" t="s">
        <v>1178</v>
      </c>
      <c r="M2756" s="4" t="s">
        <v>33427</v>
      </c>
    </row>
    <row r="2757" spans="1:13">
      <c r="A2757" s="2">
        <v>1865</v>
      </c>
      <c r="B2757" s="2" t="s">
        <v>33428</v>
      </c>
      <c r="C2757" s="2">
        <v>10</v>
      </c>
      <c r="D2757" s="2">
        <v>568</v>
      </c>
      <c r="E2757" s="2">
        <v>200</v>
      </c>
      <c r="F2757" s="2">
        <v>32441</v>
      </c>
      <c r="G2757" s="2">
        <v>2.8557218309999999</v>
      </c>
      <c r="H2757" s="2">
        <v>3.650529E-3</v>
      </c>
      <c r="I2757" s="2" t="s">
        <v>33429</v>
      </c>
      <c r="J2757" s="2" t="s">
        <v>33430</v>
      </c>
      <c r="K2757" s="2">
        <v>1.6513811999999999E-2</v>
      </c>
      <c r="L2757" s="2" t="s">
        <v>1178</v>
      </c>
      <c r="M2757" s="4" t="s">
        <v>33431</v>
      </c>
    </row>
    <row r="2758" spans="1:13">
      <c r="A2758" s="2">
        <v>1867</v>
      </c>
      <c r="B2758" s="2" t="s">
        <v>23481</v>
      </c>
      <c r="C2758" s="2">
        <v>10</v>
      </c>
      <c r="D2758" s="2">
        <v>568</v>
      </c>
      <c r="E2758" s="2">
        <v>200</v>
      </c>
      <c r="F2758" s="2">
        <v>32441</v>
      </c>
      <c r="G2758" s="2">
        <v>2.8557218309999999</v>
      </c>
      <c r="H2758" s="2">
        <v>3.650529E-3</v>
      </c>
      <c r="I2758" s="2" t="s">
        <v>33432</v>
      </c>
      <c r="J2758" s="2" t="s">
        <v>33433</v>
      </c>
      <c r="K2758" s="2">
        <v>1.6513811999999999E-2</v>
      </c>
      <c r="L2758" s="2" t="s">
        <v>1178</v>
      </c>
      <c r="M2758" s="4" t="s">
        <v>23484</v>
      </c>
    </row>
    <row r="2759" spans="1:13">
      <c r="A2759" s="2">
        <v>1906</v>
      </c>
      <c r="B2759" s="2" t="s">
        <v>12695</v>
      </c>
      <c r="C2759" s="2">
        <v>10</v>
      </c>
      <c r="D2759" s="2">
        <v>568</v>
      </c>
      <c r="E2759" s="2">
        <v>200</v>
      </c>
      <c r="F2759" s="2">
        <v>32441</v>
      </c>
      <c r="G2759" s="2">
        <v>2.8557218309999999</v>
      </c>
      <c r="H2759" s="2">
        <v>3.650529E-3</v>
      </c>
      <c r="I2759" s="2" t="s">
        <v>33434</v>
      </c>
      <c r="J2759" s="2" t="s">
        <v>33435</v>
      </c>
      <c r="K2759" s="2">
        <v>1.6513811999999999E-2</v>
      </c>
      <c r="L2759" s="2" t="s">
        <v>1178</v>
      </c>
      <c r="M2759" s="4" t="s">
        <v>12698</v>
      </c>
    </row>
    <row r="2760" spans="1:13">
      <c r="A2760" s="2">
        <v>1934</v>
      </c>
      <c r="B2760" s="2" t="s">
        <v>33436</v>
      </c>
      <c r="C2760" s="2">
        <v>10</v>
      </c>
      <c r="D2760" s="2">
        <v>568</v>
      </c>
      <c r="E2760" s="2">
        <v>199</v>
      </c>
      <c r="F2760" s="2">
        <v>32441</v>
      </c>
      <c r="G2760" s="2">
        <v>2.8700721919999999</v>
      </c>
      <c r="H2760" s="2">
        <v>3.5294599999999999E-3</v>
      </c>
      <c r="I2760" s="2" t="s">
        <v>33437</v>
      </c>
      <c r="J2760" s="2" t="s">
        <v>33438</v>
      </c>
      <c r="K2760" s="2">
        <v>1.6513811999999999E-2</v>
      </c>
      <c r="L2760" s="2" t="s">
        <v>1178</v>
      </c>
      <c r="M2760" s="4" t="s">
        <v>33439</v>
      </c>
    </row>
    <row r="2761" spans="1:13">
      <c r="A2761" s="2">
        <v>1936</v>
      </c>
      <c r="B2761" s="2" t="s">
        <v>33440</v>
      </c>
      <c r="C2761" s="2">
        <v>10</v>
      </c>
      <c r="D2761" s="2">
        <v>568</v>
      </c>
      <c r="E2761" s="2">
        <v>200</v>
      </c>
      <c r="F2761" s="2">
        <v>32441</v>
      </c>
      <c r="G2761" s="2">
        <v>2.8557218309999999</v>
      </c>
      <c r="H2761" s="2">
        <v>3.650529E-3</v>
      </c>
      <c r="I2761" s="2" t="s">
        <v>33441</v>
      </c>
      <c r="J2761" s="2" t="s">
        <v>33442</v>
      </c>
      <c r="K2761" s="2">
        <v>1.6513811999999999E-2</v>
      </c>
      <c r="L2761" s="2" t="s">
        <v>1178</v>
      </c>
      <c r="M2761" s="4" t="s">
        <v>33443</v>
      </c>
    </row>
    <row r="2762" spans="1:13">
      <c r="A2762" s="2">
        <v>1945</v>
      </c>
      <c r="B2762" s="2" t="s">
        <v>23505</v>
      </c>
      <c r="C2762" s="2">
        <v>10</v>
      </c>
      <c r="D2762" s="2">
        <v>568</v>
      </c>
      <c r="E2762" s="2">
        <v>200</v>
      </c>
      <c r="F2762" s="2">
        <v>32441</v>
      </c>
      <c r="G2762" s="2">
        <v>2.8557218309999999</v>
      </c>
      <c r="H2762" s="2">
        <v>3.650529E-3</v>
      </c>
      <c r="I2762" s="2" t="s">
        <v>33444</v>
      </c>
      <c r="J2762" s="2" t="s">
        <v>33445</v>
      </c>
      <c r="K2762" s="2">
        <v>1.6513811999999999E-2</v>
      </c>
      <c r="L2762" s="2" t="s">
        <v>1178</v>
      </c>
      <c r="M2762" s="4" t="s">
        <v>23508</v>
      </c>
    </row>
    <row r="2763" spans="1:13">
      <c r="A2763" s="2">
        <v>1999</v>
      </c>
      <c r="B2763" s="2" t="s">
        <v>1275</v>
      </c>
      <c r="C2763" s="2">
        <v>10</v>
      </c>
      <c r="D2763" s="2">
        <v>568</v>
      </c>
      <c r="E2763" s="2">
        <v>200</v>
      </c>
      <c r="F2763" s="2">
        <v>32441</v>
      </c>
      <c r="G2763" s="2">
        <v>2.8557218309999999</v>
      </c>
      <c r="H2763" s="2">
        <v>3.650529E-3</v>
      </c>
      <c r="I2763" s="2" t="s">
        <v>33446</v>
      </c>
      <c r="J2763" s="2" t="s">
        <v>33447</v>
      </c>
      <c r="K2763" s="2">
        <v>1.6513811999999999E-2</v>
      </c>
      <c r="L2763" s="2" t="s">
        <v>1178</v>
      </c>
      <c r="M2763" s="4" t="s">
        <v>33448</v>
      </c>
    </row>
    <row r="2764" spans="1:13">
      <c r="A2764" s="2">
        <v>2058</v>
      </c>
      <c r="B2764" s="2" t="s">
        <v>18841</v>
      </c>
      <c r="C2764" s="2">
        <v>10</v>
      </c>
      <c r="D2764" s="2">
        <v>568</v>
      </c>
      <c r="E2764" s="2">
        <v>200</v>
      </c>
      <c r="F2764" s="2">
        <v>32441</v>
      </c>
      <c r="G2764" s="2">
        <v>2.8557218309999999</v>
      </c>
      <c r="H2764" s="2">
        <v>3.650529E-3</v>
      </c>
      <c r="I2764" s="2" t="s">
        <v>33449</v>
      </c>
      <c r="J2764" s="2" t="s">
        <v>33450</v>
      </c>
      <c r="K2764" s="2">
        <v>1.6513811999999999E-2</v>
      </c>
      <c r="L2764" s="2" t="s">
        <v>1178</v>
      </c>
      <c r="M2764" s="4" t="s">
        <v>18844</v>
      </c>
    </row>
    <row r="2765" spans="1:13">
      <c r="A2765" s="2">
        <v>2083</v>
      </c>
      <c r="B2765" s="2" t="s">
        <v>33451</v>
      </c>
      <c r="C2765" s="2">
        <v>10</v>
      </c>
      <c r="D2765" s="2">
        <v>568</v>
      </c>
      <c r="E2765" s="2">
        <v>200</v>
      </c>
      <c r="F2765" s="2">
        <v>32441</v>
      </c>
      <c r="G2765" s="2">
        <v>2.8557218309999999</v>
      </c>
      <c r="H2765" s="2">
        <v>3.650529E-3</v>
      </c>
      <c r="I2765" s="2" t="s">
        <v>33452</v>
      </c>
      <c r="J2765" s="2" t="s">
        <v>33453</v>
      </c>
      <c r="K2765" s="2">
        <v>1.6513811999999999E-2</v>
      </c>
      <c r="L2765" s="2" t="s">
        <v>1178</v>
      </c>
      <c r="M2765" s="4" t="s">
        <v>33454</v>
      </c>
    </row>
    <row r="2766" spans="1:13">
      <c r="A2766" s="2">
        <v>21001</v>
      </c>
      <c r="B2766" s="2" t="s">
        <v>33455</v>
      </c>
      <c r="C2766" s="2">
        <v>10</v>
      </c>
      <c r="D2766" s="2">
        <v>568</v>
      </c>
      <c r="E2766" s="2">
        <v>194</v>
      </c>
      <c r="F2766" s="2">
        <v>32441</v>
      </c>
      <c r="G2766" s="2">
        <v>2.9440431249999999</v>
      </c>
      <c r="H2766" s="2">
        <v>2.9710499999999998E-3</v>
      </c>
      <c r="I2766" s="2" t="s">
        <v>33456</v>
      </c>
      <c r="J2766" s="2" t="s">
        <v>33457</v>
      </c>
      <c r="K2766" s="2">
        <v>1.6513811999999999E-2</v>
      </c>
      <c r="L2766" s="2" t="s">
        <v>1178</v>
      </c>
      <c r="M2766" s="4" t="s">
        <v>33458</v>
      </c>
    </row>
    <row r="2767" spans="1:13">
      <c r="A2767" s="2">
        <v>2129</v>
      </c>
      <c r="B2767" s="2" t="s">
        <v>33459</v>
      </c>
      <c r="C2767" s="2">
        <v>10</v>
      </c>
      <c r="D2767" s="2">
        <v>568</v>
      </c>
      <c r="E2767" s="2">
        <v>200</v>
      </c>
      <c r="F2767" s="2">
        <v>32441</v>
      </c>
      <c r="G2767" s="2">
        <v>2.8557218309999999</v>
      </c>
      <c r="H2767" s="2">
        <v>3.650529E-3</v>
      </c>
      <c r="I2767" s="2" t="s">
        <v>33460</v>
      </c>
      <c r="J2767" s="2" t="s">
        <v>33461</v>
      </c>
      <c r="K2767" s="2">
        <v>1.6513811999999999E-2</v>
      </c>
      <c r="L2767" s="2" t="s">
        <v>1178</v>
      </c>
      <c r="M2767" s="4" t="s">
        <v>33462</v>
      </c>
    </row>
    <row r="2768" spans="1:13">
      <c r="A2768" s="2">
        <v>2159</v>
      </c>
      <c r="B2768" s="2" t="s">
        <v>33463</v>
      </c>
      <c r="C2768" s="2">
        <v>10</v>
      </c>
      <c r="D2768" s="2">
        <v>568</v>
      </c>
      <c r="E2768" s="2">
        <v>200</v>
      </c>
      <c r="F2768" s="2">
        <v>32441</v>
      </c>
      <c r="G2768" s="2">
        <v>2.8557218309999999</v>
      </c>
      <c r="H2768" s="2">
        <v>3.650529E-3</v>
      </c>
      <c r="I2768" s="2" t="s">
        <v>33464</v>
      </c>
      <c r="J2768" s="2" t="s">
        <v>33465</v>
      </c>
      <c r="K2768" s="2">
        <v>1.6513811999999999E-2</v>
      </c>
      <c r="L2768" s="2" t="s">
        <v>1178</v>
      </c>
      <c r="M2768" s="4" t="s">
        <v>33466</v>
      </c>
    </row>
    <row r="2769" spans="1:13">
      <c r="A2769" s="2">
        <v>2184</v>
      </c>
      <c r="B2769" s="2" t="s">
        <v>3533</v>
      </c>
      <c r="C2769" s="2">
        <v>8</v>
      </c>
      <c r="D2769" s="2">
        <v>568</v>
      </c>
      <c r="E2769" s="2">
        <v>132</v>
      </c>
      <c r="F2769" s="2">
        <v>32441</v>
      </c>
      <c r="G2769" s="2">
        <v>3.4614810070000002</v>
      </c>
      <c r="H2769" s="2">
        <v>3.0139860000000002E-3</v>
      </c>
      <c r="I2769" s="2" t="s">
        <v>33467</v>
      </c>
      <c r="J2769" s="2" t="s">
        <v>33468</v>
      </c>
      <c r="K2769" s="2">
        <v>1.6513811999999999E-2</v>
      </c>
      <c r="L2769" s="2" t="s">
        <v>1178</v>
      </c>
      <c r="M2769" s="4" t="s">
        <v>3536</v>
      </c>
    </row>
    <row r="2770" spans="1:13">
      <c r="A2770" s="2">
        <v>22021</v>
      </c>
      <c r="B2770" s="2" t="s">
        <v>15871</v>
      </c>
      <c r="C2770" s="2">
        <v>10</v>
      </c>
      <c r="D2770" s="2">
        <v>568</v>
      </c>
      <c r="E2770" s="2">
        <v>200</v>
      </c>
      <c r="F2770" s="2">
        <v>32441</v>
      </c>
      <c r="G2770" s="2">
        <v>2.8557218309999999</v>
      </c>
      <c r="H2770" s="2">
        <v>3.650529E-3</v>
      </c>
      <c r="I2770" s="2" t="s">
        <v>33469</v>
      </c>
      <c r="J2770" s="2" t="s">
        <v>33470</v>
      </c>
      <c r="K2770" s="2">
        <v>1.6513811999999999E-2</v>
      </c>
      <c r="L2770" s="2" t="s">
        <v>1178</v>
      </c>
      <c r="M2770" s="4" t="s">
        <v>15874</v>
      </c>
    </row>
    <row r="2771" spans="1:13">
      <c r="A2771" s="2">
        <v>2210</v>
      </c>
      <c r="B2771" s="2" t="s">
        <v>3440</v>
      </c>
      <c r="C2771" s="2">
        <v>10</v>
      </c>
      <c r="D2771" s="2">
        <v>568</v>
      </c>
      <c r="E2771" s="2">
        <v>200</v>
      </c>
      <c r="F2771" s="2">
        <v>32441</v>
      </c>
      <c r="G2771" s="2">
        <v>2.8557218309999999</v>
      </c>
      <c r="H2771" s="2">
        <v>3.650529E-3</v>
      </c>
      <c r="I2771" s="2" t="s">
        <v>33471</v>
      </c>
      <c r="J2771" s="2" t="s">
        <v>33472</v>
      </c>
      <c r="K2771" s="2">
        <v>1.6513811999999999E-2</v>
      </c>
      <c r="L2771" s="2" t="s">
        <v>1178</v>
      </c>
      <c r="M2771" s="4" t="s">
        <v>3443</v>
      </c>
    </row>
    <row r="2772" spans="1:13">
      <c r="A2772" s="2">
        <v>22331</v>
      </c>
      <c r="B2772" s="2" t="s">
        <v>15879</v>
      </c>
      <c r="C2772" s="2">
        <v>10</v>
      </c>
      <c r="D2772" s="2">
        <v>568</v>
      </c>
      <c r="E2772" s="2">
        <v>200</v>
      </c>
      <c r="F2772" s="2">
        <v>32441</v>
      </c>
      <c r="G2772" s="2">
        <v>2.8557218309999999</v>
      </c>
      <c r="H2772" s="2">
        <v>3.650529E-3</v>
      </c>
      <c r="I2772" s="2" t="s">
        <v>33473</v>
      </c>
      <c r="J2772" s="2" t="s">
        <v>33474</v>
      </c>
      <c r="K2772" s="2">
        <v>1.6513811999999999E-2</v>
      </c>
      <c r="L2772" s="2" t="s">
        <v>1178</v>
      </c>
      <c r="M2772" s="4" t="s">
        <v>15882</v>
      </c>
    </row>
    <row r="2773" spans="1:13">
      <c r="A2773" s="2">
        <v>2284</v>
      </c>
      <c r="B2773" s="2" t="s">
        <v>33475</v>
      </c>
      <c r="C2773" s="2">
        <v>10</v>
      </c>
      <c r="D2773" s="2">
        <v>568</v>
      </c>
      <c r="E2773" s="2">
        <v>199</v>
      </c>
      <c r="F2773" s="2">
        <v>32441</v>
      </c>
      <c r="G2773" s="2">
        <v>2.8700721919999999</v>
      </c>
      <c r="H2773" s="2">
        <v>3.5294599999999999E-3</v>
      </c>
      <c r="I2773" s="2" t="s">
        <v>33476</v>
      </c>
      <c r="J2773" s="2" t="s">
        <v>33477</v>
      </c>
      <c r="K2773" s="2">
        <v>1.6513811999999999E-2</v>
      </c>
      <c r="L2773" s="2" t="s">
        <v>1178</v>
      </c>
      <c r="M2773" s="4" t="s">
        <v>33478</v>
      </c>
    </row>
    <row r="2774" spans="1:13">
      <c r="A2774" s="2">
        <v>23071</v>
      </c>
      <c r="B2774" s="2" t="s">
        <v>33479</v>
      </c>
      <c r="C2774" s="2">
        <v>10</v>
      </c>
      <c r="D2774" s="2">
        <v>568</v>
      </c>
      <c r="E2774" s="2">
        <v>200</v>
      </c>
      <c r="F2774" s="2">
        <v>32441</v>
      </c>
      <c r="G2774" s="2">
        <v>2.8557218309999999</v>
      </c>
      <c r="H2774" s="2">
        <v>3.650529E-3</v>
      </c>
      <c r="I2774" s="2" t="s">
        <v>33480</v>
      </c>
      <c r="J2774" s="2" t="s">
        <v>33481</v>
      </c>
      <c r="K2774" s="2">
        <v>1.6513811999999999E-2</v>
      </c>
      <c r="L2774" s="2" t="s">
        <v>1178</v>
      </c>
      <c r="M2774" s="4" t="s">
        <v>33482</v>
      </c>
    </row>
    <row r="2775" spans="1:13">
      <c r="A2775" s="2">
        <v>23371</v>
      </c>
      <c r="B2775" s="2" t="s">
        <v>1914</v>
      </c>
      <c r="C2775" s="2">
        <v>10</v>
      </c>
      <c r="D2775" s="2">
        <v>568</v>
      </c>
      <c r="E2775" s="2">
        <v>200</v>
      </c>
      <c r="F2775" s="2">
        <v>32441</v>
      </c>
      <c r="G2775" s="2">
        <v>2.8557218309999999</v>
      </c>
      <c r="H2775" s="2">
        <v>3.650529E-3</v>
      </c>
      <c r="I2775" s="2" t="s">
        <v>33483</v>
      </c>
      <c r="J2775" s="2" t="s">
        <v>33484</v>
      </c>
      <c r="K2775" s="2">
        <v>1.6513811999999999E-2</v>
      </c>
      <c r="L2775" s="2" t="s">
        <v>1178</v>
      </c>
      <c r="M2775" s="4" t="s">
        <v>23607</v>
      </c>
    </row>
    <row r="2776" spans="1:13">
      <c r="A2776" s="2">
        <v>2348</v>
      </c>
      <c r="B2776" s="2" t="s">
        <v>23615</v>
      </c>
      <c r="C2776" s="2">
        <v>10</v>
      </c>
      <c r="D2776" s="2">
        <v>568</v>
      </c>
      <c r="E2776" s="2">
        <v>196</v>
      </c>
      <c r="F2776" s="2">
        <v>32441</v>
      </c>
      <c r="G2776" s="2">
        <v>2.9140018680000002</v>
      </c>
      <c r="H2776" s="2">
        <v>3.185266E-3</v>
      </c>
      <c r="I2776" s="2" t="s">
        <v>33485</v>
      </c>
      <c r="J2776" s="2" t="s">
        <v>33486</v>
      </c>
      <c r="K2776" s="2">
        <v>1.6513811999999999E-2</v>
      </c>
      <c r="L2776" s="2" t="s">
        <v>1178</v>
      </c>
      <c r="M2776" s="4" t="s">
        <v>23618</v>
      </c>
    </row>
    <row r="2777" spans="1:13">
      <c r="A2777" s="2">
        <v>2351</v>
      </c>
      <c r="B2777" s="2" t="s">
        <v>33487</v>
      </c>
      <c r="C2777" s="2">
        <v>10</v>
      </c>
      <c r="D2777" s="2">
        <v>568</v>
      </c>
      <c r="E2777" s="2">
        <v>200</v>
      </c>
      <c r="F2777" s="2">
        <v>32441</v>
      </c>
      <c r="G2777" s="2">
        <v>2.8557218309999999</v>
      </c>
      <c r="H2777" s="2">
        <v>3.650529E-3</v>
      </c>
      <c r="I2777" s="2" t="s">
        <v>33488</v>
      </c>
      <c r="J2777" s="2" t="s">
        <v>33489</v>
      </c>
      <c r="K2777" s="2">
        <v>1.6513811999999999E-2</v>
      </c>
      <c r="L2777" s="2" t="s">
        <v>1178</v>
      </c>
      <c r="M2777" s="4" t="s">
        <v>33490</v>
      </c>
    </row>
    <row r="2778" spans="1:13">
      <c r="A2778" s="2">
        <v>23621</v>
      </c>
      <c r="B2778" s="2" t="s">
        <v>33491</v>
      </c>
      <c r="C2778" s="2">
        <v>10</v>
      </c>
      <c r="D2778" s="2">
        <v>568</v>
      </c>
      <c r="E2778" s="2">
        <v>200</v>
      </c>
      <c r="F2778" s="2">
        <v>32441</v>
      </c>
      <c r="G2778" s="2">
        <v>2.8557218309999999</v>
      </c>
      <c r="H2778" s="2">
        <v>3.650529E-3</v>
      </c>
      <c r="I2778" s="2" t="s">
        <v>33492</v>
      </c>
      <c r="J2778" s="2" t="s">
        <v>33493</v>
      </c>
      <c r="K2778" s="2">
        <v>1.6513811999999999E-2</v>
      </c>
      <c r="L2778" s="2" t="s">
        <v>1178</v>
      </c>
      <c r="M2778" s="4" t="s">
        <v>33494</v>
      </c>
    </row>
    <row r="2779" spans="1:13">
      <c r="A2779" s="2">
        <v>2385</v>
      </c>
      <c r="B2779" s="2" t="s">
        <v>33495</v>
      </c>
      <c r="C2779" s="2">
        <v>10</v>
      </c>
      <c r="D2779" s="2">
        <v>568</v>
      </c>
      <c r="E2779" s="2">
        <v>200</v>
      </c>
      <c r="F2779" s="2">
        <v>32441</v>
      </c>
      <c r="G2779" s="2">
        <v>2.8557218309999999</v>
      </c>
      <c r="H2779" s="2">
        <v>3.650529E-3</v>
      </c>
      <c r="I2779" s="2" t="s">
        <v>33496</v>
      </c>
      <c r="J2779" s="2" t="s">
        <v>33497</v>
      </c>
      <c r="K2779" s="2">
        <v>1.6513811999999999E-2</v>
      </c>
      <c r="L2779" s="2" t="s">
        <v>1178</v>
      </c>
      <c r="M2779" s="4" t="s">
        <v>33498</v>
      </c>
    </row>
    <row r="2780" spans="1:13">
      <c r="A2780" s="2">
        <v>2435</v>
      </c>
      <c r="B2780" s="2" t="s">
        <v>33499</v>
      </c>
      <c r="C2780" s="2">
        <v>10</v>
      </c>
      <c r="D2780" s="2">
        <v>568</v>
      </c>
      <c r="E2780" s="2">
        <v>200</v>
      </c>
      <c r="F2780" s="2">
        <v>32441</v>
      </c>
      <c r="G2780" s="2">
        <v>2.8557218309999999</v>
      </c>
      <c r="H2780" s="2">
        <v>3.650529E-3</v>
      </c>
      <c r="I2780" s="2" t="s">
        <v>33500</v>
      </c>
      <c r="J2780" s="2" t="s">
        <v>33501</v>
      </c>
      <c r="K2780" s="2">
        <v>1.6513811999999999E-2</v>
      </c>
      <c r="L2780" s="2" t="s">
        <v>1178</v>
      </c>
      <c r="M2780" s="4" t="s">
        <v>33502</v>
      </c>
    </row>
    <row r="2781" spans="1:13">
      <c r="A2781" s="2">
        <v>2448</v>
      </c>
      <c r="B2781" s="2" t="s">
        <v>23635</v>
      </c>
      <c r="C2781" s="2">
        <v>10</v>
      </c>
      <c r="D2781" s="2">
        <v>568</v>
      </c>
      <c r="E2781" s="2">
        <v>197</v>
      </c>
      <c r="F2781" s="2">
        <v>32441</v>
      </c>
      <c r="G2781" s="2">
        <v>2.8992099809999998</v>
      </c>
      <c r="H2781" s="2">
        <v>3.2968889999999999E-3</v>
      </c>
      <c r="I2781" s="2" t="s">
        <v>33503</v>
      </c>
      <c r="J2781" s="2" t="s">
        <v>33504</v>
      </c>
      <c r="K2781" s="2">
        <v>1.6513811999999999E-2</v>
      </c>
      <c r="L2781" s="2" t="s">
        <v>1178</v>
      </c>
      <c r="M2781" s="4" t="s">
        <v>23638</v>
      </c>
    </row>
    <row r="2782" spans="1:13">
      <c r="A2782" s="2">
        <v>2480</v>
      </c>
      <c r="B2782" s="2" t="s">
        <v>33505</v>
      </c>
      <c r="C2782" s="2">
        <v>10</v>
      </c>
      <c r="D2782" s="2">
        <v>568</v>
      </c>
      <c r="E2782" s="2">
        <v>200</v>
      </c>
      <c r="F2782" s="2">
        <v>32441</v>
      </c>
      <c r="G2782" s="2">
        <v>2.8557218309999999</v>
      </c>
      <c r="H2782" s="2">
        <v>3.650529E-3</v>
      </c>
      <c r="I2782" s="2" t="s">
        <v>33506</v>
      </c>
      <c r="J2782" s="2" t="s">
        <v>33507</v>
      </c>
      <c r="K2782" s="2">
        <v>1.6513811999999999E-2</v>
      </c>
      <c r="L2782" s="2" t="s">
        <v>1178</v>
      </c>
      <c r="M2782" s="4" t="s">
        <v>33508</v>
      </c>
    </row>
    <row r="2783" spans="1:13">
      <c r="A2783" s="2">
        <v>2485</v>
      </c>
      <c r="B2783" s="2" t="s">
        <v>23654</v>
      </c>
      <c r="C2783" s="2">
        <v>10</v>
      </c>
      <c r="D2783" s="2">
        <v>568</v>
      </c>
      <c r="E2783" s="2">
        <v>200</v>
      </c>
      <c r="F2783" s="2">
        <v>32441</v>
      </c>
      <c r="G2783" s="2">
        <v>2.8557218309999999</v>
      </c>
      <c r="H2783" s="2">
        <v>3.650529E-3</v>
      </c>
      <c r="I2783" s="2" t="s">
        <v>33509</v>
      </c>
      <c r="J2783" s="2" t="s">
        <v>33510</v>
      </c>
      <c r="K2783" s="2">
        <v>1.6513811999999999E-2</v>
      </c>
      <c r="L2783" s="2" t="s">
        <v>1178</v>
      </c>
      <c r="M2783" s="4" t="s">
        <v>23657</v>
      </c>
    </row>
    <row r="2784" spans="1:13">
      <c r="A2784" s="2">
        <v>25891</v>
      </c>
      <c r="B2784" s="2" t="s">
        <v>15910</v>
      </c>
      <c r="C2784" s="2">
        <v>10</v>
      </c>
      <c r="D2784" s="2">
        <v>568</v>
      </c>
      <c r="E2784" s="2">
        <v>200</v>
      </c>
      <c r="F2784" s="2">
        <v>32441</v>
      </c>
      <c r="G2784" s="2">
        <v>2.8557218309999999</v>
      </c>
      <c r="H2784" s="2">
        <v>3.650529E-3</v>
      </c>
      <c r="I2784" s="2" t="s">
        <v>33511</v>
      </c>
      <c r="J2784" s="2" t="s">
        <v>33512</v>
      </c>
      <c r="K2784" s="2">
        <v>1.6513811999999999E-2</v>
      </c>
      <c r="L2784" s="2" t="s">
        <v>1178</v>
      </c>
      <c r="M2784" s="4" t="s">
        <v>15913</v>
      </c>
    </row>
    <row r="2785" spans="1:13">
      <c r="A2785" s="2">
        <v>2644</v>
      </c>
      <c r="B2785" s="2" t="s">
        <v>23677</v>
      </c>
      <c r="C2785" s="2">
        <v>10</v>
      </c>
      <c r="D2785" s="2">
        <v>568</v>
      </c>
      <c r="E2785" s="2">
        <v>200</v>
      </c>
      <c r="F2785" s="2">
        <v>32441</v>
      </c>
      <c r="G2785" s="2">
        <v>2.8557218309999999</v>
      </c>
      <c r="H2785" s="2">
        <v>3.650529E-3</v>
      </c>
      <c r="I2785" s="2" t="s">
        <v>33513</v>
      </c>
      <c r="J2785" s="2" t="s">
        <v>33514</v>
      </c>
      <c r="K2785" s="2">
        <v>1.6513811999999999E-2</v>
      </c>
      <c r="L2785" s="2" t="s">
        <v>1178</v>
      </c>
      <c r="M2785" s="4" t="s">
        <v>23680</v>
      </c>
    </row>
    <row r="2786" spans="1:13">
      <c r="A2786" s="2">
        <v>2650</v>
      </c>
      <c r="B2786" s="2" t="s">
        <v>33515</v>
      </c>
      <c r="C2786" s="2">
        <v>10</v>
      </c>
      <c r="D2786" s="2">
        <v>568</v>
      </c>
      <c r="E2786" s="2">
        <v>200</v>
      </c>
      <c r="F2786" s="2">
        <v>32441</v>
      </c>
      <c r="G2786" s="2">
        <v>2.8557218309999999</v>
      </c>
      <c r="H2786" s="2">
        <v>3.650529E-3</v>
      </c>
      <c r="I2786" s="2" t="s">
        <v>33516</v>
      </c>
      <c r="J2786" s="2" t="s">
        <v>33517</v>
      </c>
      <c r="K2786" s="2">
        <v>1.6513811999999999E-2</v>
      </c>
      <c r="L2786" s="2" t="s">
        <v>1178</v>
      </c>
      <c r="M2786" s="4" t="s">
        <v>33518</v>
      </c>
    </row>
    <row r="2787" spans="1:13">
      <c r="A2787" s="2">
        <v>2780</v>
      </c>
      <c r="B2787" s="2" t="s">
        <v>14868</v>
      </c>
      <c r="C2787" s="2">
        <v>10</v>
      </c>
      <c r="D2787" s="2">
        <v>568</v>
      </c>
      <c r="E2787" s="2">
        <v>200</v>
      </c>
      <c r="F2787" s="2">
        <v>32441</v>
      </c>
      <c r="G2787" s="2">
        <v>2.8557218309999999</v>
      </c>
      <c r="H2787" s="2">
        <v>3.650529E-3</v>
      </c>
      <c r="I2787" s="2" t="s">
        <v>33519</v>
      </c>
      <c r="J2787" s="2" t="s">
        <v>33520</v>
      </c>
      <c r="K2787" s="2">
        <v>1.6513811999999999E-2</v>
      </c>
      <c r="L2787" s="2" t="s">
        <v>1178</v>
      </c>
      <c r="M2787" s="4" t="s">
        <v>14871</v>
      </c>
    </row>
    <row r="2788" spans="1:13">
      <c r="A2788" s="2">
        <v>2880</v>
      </c>
      <c r="B2788" s="2" t="s">
        <v>33521</v>
      </c>
      <c r="C2788" s="2">
        <v>10</v>
      </c>
      <c r="D2788" s="2">
        <v>568</v>
      </c>
      <c r="E2788" s="2">
        <v>200</v>
      </c>
      <c r="F2788" s="2">
        <v>32441</v>
      </c>
      <c r="G2788" s="2">
        <v>2.8557218309999999</v>
      </c>
      <c r="H2788" s="2">
        <v>3.650529E-3</v>
      </c>
      <c r="I2788" s="2" t="s">
        <v>33522</v>
      </c>
      <c r="J2788" s="2" t="s">
        <v>33523</v>
      </c>
      <c r="K2788" s="2">
        <v>1.6513811999999999E-2</v>
      </c>
      <c r="L2788" s="2" t="s">
        <v>1178</v>
      </c>
      <c r="M2788" s="4" t="s">
        <v>33524</v>
      </c>
    </row>
    <row r="2789" spans="1:13">
      <c r="A2789" s="2">
        <v>2907</v>
      </c>
      <c r="B2789" s="2" t="s">
        <v>2592</v>
      </c>
      <c r="C2789" s="2">
        <v>10</v>
      </c>
      <c r="D2789" s="2">
        <v>568</v>
      </c>
      <c r="E2789" s="2">
        <v>200</v>
      </c>
      <c r="F2789" s="2">
        <v>32441</v>
      </c>
      <c r="G2789" s="2">
        <v>2.8557218309999999</v>
      </c>
      <c r="H2789" s="2">
        <v>3.650529E-3</v>
      </c>
      <c r="I2789" s="2" t="s">
        <v>33525</v>
      </c>
      <c r="J2789" s="2" t="s">
        <v>33526</v>
      </c>
      <c r="K2789" s="2">
        <v>1.6513811999999999E-2</v>
      </c>
      <c r="L2789" s="2" t="s">
        <v>1178</v>
      </c>
      <c r="M2789" s="4" t="s">
        <v>33527</v>
      </c>
    </row>
    <row r="2790" spans="1:13">
      <c r="A2790" s="2">
        <v>2919</v>
      </c>
      <c r="B2790" s="2" t="s">
        <v>13303</v>
      </c>
      <c r="C2790" s="2">
        <v>10</v>
      </c>
      <c r="D2790" s="2">
        <v>568</v>
      </c>
      <c r="E2790" s="2">
        <v>200</v>
      </c>
      <c r="F2790" s="2">
        <v>32441</v>
      </c>
      <c r="G2790" s="2">
        <v>2.8557218309999999</v>
      </c>
      <c r="H2790" s="2">
        <v>3.650529E-3</v>
      </c>
      <c r="I2790" s="2" t="s">
        <v>33528</v>
      </c>
      <c r="J2790" s="2" t="s">
        <v>33529</v>
      </c>
      <c r="K2790" s="2">
        <v>1.6513811999999999E-2</v>
      </c>
      <c r="L2790" s="2" t="s">
        <v>1178</v>
      </c>
      <c r="M2790" s="4" t="s">
        <v>13306</v>
      </c>
    </row>
    <row r="2791" spans="1:13">
      <c r="A2791" s="2">
        <v>29781</v>
      </c>
      <c r="B2791" s="2" t="s">
        <v>15377</v>
      </c>
      <c r="C2791" s="2">
        <v>10</v>
      </c>
      <c r="D2791" s="2">
        <v>568</v>
      </c>
      <c r="E2791" s="2">
        <v>200</v>
      </c>
      <c r="F2791" s="2">
        <v>32441</v>
      </c>
      <c r="G2791" s="2">
        <v>2.8557218309999999</v>
      </c>
      <c r="H2791" s="2">
        <v>3.650529E-3</v>
      </c>
      <c r="I2791" s="2" t="s">
        <v>33530</v>
      </c>
      <c r="J2791" s="2" t="s">
        <v>33531</v>
      </c>
      <c r="K2791" s="2">
        <v>1.6513811999999999E-2</v>
      </c>
      <c r="L2791" s="2" t="s">
        <v>1178</v>
      </c>
      <c r="M2791" s="4" t="s">
        <v>15380</v>
      </c>
    </row>
    <row r="2792" spans="1:13">
      <c r="A2792" s="2">
        <v>2987</v>
      </c>
      <c r="B2792" s="2" t="s">
        <v>33532</v>
      </c>
      <c r="C2792" s="2">
        <v>10</v>
      </c>
      <c r="D2792" s="2">
        <v>568</v>
      </c>
      <c r="E2792" s="2">
        <v>199</v>
      </c>
      <c r="F2792" s="2">
        <v>32441</v>
      </c>
      <c r="G2792" s="2">
        <v>2.8700721919999999</v>
      </c>
      <c r="H2792" s="2">
        <v>3.5294599999999999E-3</v>
      </c>
      <c r="I2792" s="2" t="s">
        <v>33533</v>
      </c>
      <c r="J2792" s="2" t="s">
        <v>33534</v>
      </c>
      <c r="K2792" s="2">
        <v>1.6513811999999999E-2</v>
      </c>
      <c r="L2792" s="2" t="s">
        <v>1178</v>
      </c>
      <c r="M2792" s="4" t="s">
        <v>33535</v>
      </c>
    </row>
    <row r="2793" spans="1:13">
      <c r="A2793" s="2">
        <v>2991</v>
      </c>
      <c r="B2793" s="2" t="s">
        <v>33536</v>
      </c>
      <c r="C2793" s="2">
        <v>10</v>
      </c>
      <c r="D2793" s="2">
        <v>568</v>
      </c>
      <c r="E2793" s="2">
        <v>200</v>
      </c>
      <c r="F2793" s="2">
        <v>32441</v>
      </c>
      <c r="G2793" s="2">
        <v>2.8557218309999999</v>
      </c>
      <c r="H2793" s="2">
        <v>3.650529E-3</v>
      </c>
      <c r="I2793" s="2" t="s">
        <v>33537</v>
      </c>
      <c r="J2793" s="2" t="s">
        <v>33538</v>
      </c>
      <c r="K2793" s="2">
        <v>1.6513811999999999E-2</v>
      </c>
      <c r="L2793" s="2" t="s">
        <v>1178</v>
      </c>
      <c r="M2793" s="4" t="s">
        <v>33539</v>
      </c>
    </row>
    <row r="2794" spans="1:13">
      <c r="A2794" s="2">
        <v>2996</v>
      </c>
      <c r="B2794" s="2" t="s">
        <v>33540</v>
      </c>
      <c r="C2794" s="2">
        <v>10</v>
      </c>
      <c r="D2794" s="2">
        <v>568</v>
      </c>
      <c r="E2794" s="2">
        <v>200</v>
      </c>
      <c r="F2794" s="2">
        <v>32441</v>
      </c>
      <c r="G2794" s="2">
        <v>2.8557218309999999</v>
      </c>
      <c r="H2794" s="2">
        <v>3.650529E-3</v>
      </c>
      <c r="I2794" s="2" t="s">
        <v>33541</v>
      </c>
      <c r="J2794" s="2" t="s">
        <v>33542</v>
      </c>
      <c r="K2794" s="2">
        <v>1.6513811999999999E-2</v>
      </c>
      <c r="L2794" s="2" t="s">
        <v>1178</v>
      </c>
      <c r="M2794" s="4" t="s">
        <v>33543</v>
      </c>
    </row>
    <row r="2795" spans="1:13">
      <c r="A2795" s="2">
        <v>3002</v>
      </c>
      <c r="B2795" s="2" t="s">
        <v>14891</v>
      </c>
      <c r="C2795" s="2">
        <v>10</v>
      </c>
      <c r="D2795" s="2">
        <v>568</v>
      </c>
      <c r="E2795" s="2">
        <v>200</v>
      </c>
      <c r="F2795" s="2">
        <v>32441</v>
      </c>
      <c r="G2795" s="2">
        <v>2.8557218309999999</v>
      </c>
      <c r="H2795" s="2">
        <v>3.650529E-3</v>
      </c>
      <c r="I2795" s="2" t="s">
        <v>33544</v>
      </c>
      <c r="J2795" s="2" t="s">
        <v>33545</v>
      </c>
      <c r="K2795" s="2">
        <v>1.6513811999999999E-2</v>
      </c>
      <c r="L2795" s="2" t="s">
        <v>1178</v>
      </c>
      <c r="M2795" s="4" t="s">
        <v>14894</v>
      </c>
    </row>
    <row r="2796" spans="1:13">
      <c r="A2796" s="2">
        <v>3018</v>
      </c>
      <c r="B2796" s="2" t="s">
        <v>18984</v>
      </c>
      <c r="C2796" s="2">
        <v>10</v>
      </c>
      <c r="D2796" s="2">
        <v>568</v>
      </c>
      <c r="E2796" s="2">
        <v>200</v>
      </c>
      <c r="F2796" s="2">
        <v>32441</v>
      </c>
      <c r="G2796" s="2">
        <v>2.8557218309999999</v>
      </c>
      <c r="H2796" s="2">
        <v>3.650529E-3</v>
      </c>
      <c r="I2796" s="2" t="s">
        <v>33546</v>
      </c>
      <c r="J2796" s="2" t="s">
        <v>33547</v>
      </c>
      <c r="K2796" s="2">
        <v>1.6513811999999999E-2</v>
      </c>
      <c r="L2796" s="2" t="s">
        <v>1178</v>
      </c>
      <c r="M2796" s="4" t="s">
        <v>18987</v>
      </c>
    </row>
    <row r="2797" spans="1:13">
      <c r="A2797" s="2">
        <v>3048</v>
      </c>
      <c r="B2797" s="2" t="s">
        <v>33548</v>
      </c>
      <c r="C2797" s="2">
        <v>10</v>
      </c>
      <c r="D2797" s="2">
        <v>568</v>
      </c>
      <c r="E2797" s="2">
        <v>199</v>
      </c>
      <c r="F2797" s="2">
        <v>32441</v>
      </c>
      <c r="G2797" s="2">
        <v>2.8700721919999999</v>
      </c>
      <c r="H2797" s="2">
        <v>3.5294599999999999E-3</v>
      </c>
      <c r="I2797" s="2" t="s">
        <v>33549</v>
      </c>
      <c r="J2797" s="2" t="s">
        <v>33550</v>
      </c>
      <c r="K2797" s="2">
        <v>1.6513811999999999E-2</v>
      </c>
      <c r="L2797" s="2" t="s">
        <v>1178</v>
      </c>
      <c r="M2797" s="4" t="s">
        <v>33551</v>
      </c>
    </row>
    <row r="2798" spans="1:13">
      <c r="A2798" s="2">
        <v>3078</v>
      </c>
      <c r="B2798" s="2" t="s">
        <v>1722</v>
      </c>
      <c r="C2798" s="2">
        <v>10</v>
      </c>
      <c r="D2798" s="2">
        <v>568</v>
      </c>
      <c r="E2798" s="2">
        <v>200</v>
      </c>
      <c r="F2798" s="2">
        <v>32441</v>
      </c>
      <c r="G2798" s="2">
        <v>2.8557218309999999</v>
      </c>
      <c r="H2798" s="2">
        <v>3.650529E-3</v>
      </c>
      <c r="I2798" s="2" t="s">
        <v>33552</v>
      </c>
      <c r="J2798" s="2" t="s">
        <v>33553</v>
      </c>
      <c r="K2798" s="2">
        <v>1.6513811999999999E-2</v>
      </c>
      <c r="L2798" s="2" t="s">
        <v>1178</v>
      </c>
      <c r="M2798" s="4" t="s">
        <v>33554</v>
      </c>
    </row>
    <row r="2799" spans="1:13">
      <c r="A2799" s="2">
        <v>3090</v>
      </c>
      <c r="B2799" s="2" t="s">
        <v>19000</v>
      </c>
      <c r="C2799" s="2">
        <v>10</v>
      </c>
      <c r="D2799" s="2">
        <v>568</v>
      </c>
      <c r="E2799" s="2">
        <v>200</v>
      </c>
      <c r="F2799" s="2">
        <v>32441</v>
      </c>
      <c r="G2799" s="2">
        <v>2.8557218309999999</v>
      </c>
      <c r="H2799" s="2">
        <v>3.650529E-3</v>
      </c>
      <c r="I2799" s="2" t="s">
        <v>33555</v>
      </c>
      <c r="J2799" s="2" t="s">
        <v>33556</v>
      </c>
      <c r="K2799" s="2">
        <v>1.6513811999999999E-2</v>
      </c>
      <c r="L2799" s="2" t="s">
        <v>1178</v>
      </c>
      <c r="M2799" s="4" t="s">
        <v>19003</v>
      </c>
    </row>
    <row r="2800" spans="1:13">
      <c r="A2800" s="2">
        <v>3095</v>
      </c>
      <c r="B2800" s="2" t="s">
        <v>21163</v>
      </c>
      <c r="C2800" s="2">
        <v>10</v>
      </c>
      <c r="D2800" s="2">
        <v>568</v>
      </c>
      <c r="E2800" s="2">
        <v>200</v>
      </c>
      <c r="F2800" s="2">
        <v>32441</v>
      </c>
      <c r="G2800" s="2">
        <v>2.8557218309999999</v>
      </c>
      <c r="H2800" s="2">
        <v>3.650529E-3</v>
      </c>
      <c r="I2800" s="2" t="s">
        <v>33557</v>
      </c>
      <c r="J2800" s="2" t="s">
        <v>33558</v>
      </c>
      <c r="K2800" s="2">
        <v>1.6513811999999999E-2</v>
      </c>
      <c r="L2800" s="2" t="s">
        <v>1178</v>
      </c>
      <c r="M2800" s="4" t="s">
        <v>21166</v>
      </c>
    </row>
    <row r="2801" spans="1:13">
      <c r="A2801" s="2">
        <v>3115</v>
      </c>
      <c r="B2801" s="2" t="s">
        <v>21167</v>
      </c>
      <c r="C2801" s="2">
        <v>10</v>
      </c>
      <c r="D2801" s="2">
        <v>568</v>
      </c>
      <c r="E2801" s="2">
        <v>200</v>
      </c>
      <c r="F2801" s="2">
        <v>32441</v>
      </c>
      <c r="G2801" s="2">
        <v>2.8557218309999999</v>
      </c>
      <c r="H2801" s="2">
        <v>3.650529E-3</v>
      </c>
      <c r="I2801" s="2" t="s">
        <v>33559</v>
      </c>
      <c r="J2801" s="2" t="s">
        <v>33560</v>
      </c>
      <c r="K2801" s="2">
        <v>1.6513811999999999E-2</v>
      </c>
      <c r="L2801" s="2" t="s">
        <v>1178</v>
      </c>
      <c r="M2801" s="4" t="s">
        <v>21170</v>
      </c>
    </row>
    <row r="2802" spans="1:13">
      <c r="A2802" s="2">
        <v>3165</v>
      </c>
      <c r="B2802" s="2" t="s">
        <v>33561</v>
      </c>
      <c r="C2802" s="2">
        <v>10</v>
      </c>
      <c r="D2802" s="2">
        <v>568</v>
      </c>
      <c r="E2802" s="2">
        <v>200</v>
      </c>
      <c r="F2802" s="2">
        <v>32441</v>
      </c>
      <c r="G2802" s="2">
        <v>2.8557218309999999</v>
      </c>
      <c r="H2802" s="2">
        <v>3.650529E-3</v>
      </c>
      <c r="I2802" s="2" t="s">
        <v>33562</v>
      </c>
      <c r="J2802" s="2" t="s">
        <v>33563</v>
      </c>
      <c r="K2802" s="2">
        <v>1.6513811999999999E-2</v>
      </c>
      <c r="L2802" s="2" t="s">
        <v>1178</v>
      </c>
      <c r="M2802" s="4" t="s">
        <v>33564</v>
      </c>
    </row>
    <row r="2803" spans="1:13">
      <c r="A2803" s="2">
        <v>31701</v>
      </c>
      <c r="B2803" s="2" t="s">
        <v>33565</v>
      </c>
      <c r="C2803" s="2">
        <v>10</v>
      </c>
      <c r="D2803" s="2">
        <v>568</v>
      </c>
      <c r="E2803" s="2">
        <v>200</v>
      </c>
      <c r="F2803" s="2">
        <v>32441</v>
      </c>
      <c r="G2803" s="2">
        <v>2.8557218309999999</v>
      </c>
      <c r="H2803" s="2">
        <v>3.650529E-3</v>
      </c>
      <c r="I2803" s="2" t="s">
        <v>33566</v>
      </c>
      <c r="J2803" s="2" t="s">
        <v>33567</v>
      </c>
      <c r="K2803" s="2">
        <v>1.6513811999999999E-2</v>
      </c>
      <c r="L2803" s="2" t="s">
        <v>1178</v>
      </c>
      <c r="M2803" s="4" t="s">
        <v>33568</v>
      </c>
    </row>
    <row r="2804" spans="1:13">
      <c r="A2804" s="2">
        <v>31901</v>
      </c>
      <c r="B2804" s="2" t="s">
        <v>33569</v>
      </c>
      <c r="C2804" s="2">
        <v>10</v>
      </c>
      <c r="D2804" s="2">
        <v>568</v>
      </c>
      <c r="E2804" s="2">
        <v>200</v>
      </c>
      <c r="F2804" s="2">
        <v>32441</v>
      </c>
      <c r="G2804" s="2">
        <v>2.8557218309999999</v>
      </c>
      <c r="H2804" s="2">
        <v>3.650529E-3</v>
      </c>
      <c r="I2804" s="2" t="s">
        <v>33570</v>
      </c>
      <c r="J2804" s="2" t="s">
        <v>33571</v>
      </c>
      <c r="K2804" s="2">
        <v>1.6513811999999999E-2</v>
      </c>
      <c r="L2804" s="2" t="s">
        <v>1178</v>
      </c>
      <c r="M2804" s="4" t="s">
        <v>33572</v>
      </c>
    </row>
    <row r="2805" spans="1:13">
      <c r="A2805" s="2">
        <v>32142</v>
      </c>
      <c r="B2805" s="2" t="s">
        <v>21615</v>
      </c>
      <c r="C2805" s="2">
        <v>10</v>
      </c>
      <c r="D2805" s="2">
        <v>568</v>
      </c>
      <c r="E2805" s="2">
        <v>196</v>
      </c>
      <c r="F2805" s="2">
        <v>32441</v>
      </c>
      <c r="G2805" s="2">
        <v>2.9140018680000002</v>
      </c>
      <c r="H2805" s="2">
        <v>3.185266E-3</v>
      </c>
      <c r="I2805" s="2" t="s">
        <v>33573</v>
      </c>
      <c r="J2805" s="2" t="s">
        <v>33574</v>
      </c>
      <c r="K2805" s="2">
        <v>1.6513811999999999E-2</v>
      </c>
      <c r="L2805" s="2" t="s">
        <v>1178</v>
      </c>
      <c r="M2805" s="4" t="s">
        <v>21618</v>
      </c>
    </row>
    <row r="2806" spans="1:13">
      <c r="A2806" s="2">
        <v>3261</v>
      </c>
      <c r="B2806" s="2" t="s">
        <v>33575</v>
      </c>
      <c r="C2806" s="2">
        <v>10</v>
      </c>
      <c r="D2806" s="2">
        <v>568</v>
      </c>
      <c r="E2806" s="2">
        <v>200</v>
      </c>
      <c r="F2806" s="2">
        <v>32441</v>
      </c>
      <c r="G2806" s="2">
        <v>2.8557218309999999</v>
      </c>
      <c r="H2806" s="2">
        <v>3.650529E-3</v>
      </c>
      <c r="I2806" s="2" t="s">
        <v>33576</v>
      </c>
      <c r="J2806" s="2" t="s">
        <v>33577</v>
      </c>
      <c r="K2806" s="2">
        <v>1.6513811999999999E-2</v>
      </c>
      <c r="L2806" s="2" t="s">
        <v>1178</v>
      </c>
      <c r="M2806" s="4" t="s">
        <v>33578</v>
      </c>
    </row>
    <row r="2807" spans="1:13">
      <c r="A2807" s="2">
        <v>3268</v>
      </c>
      <c r="B2807" s="2" t="s">
        <v>33579</v>
      </c>
      <c r="C2807" s="2">
        <v>10</v>
      </c>
      <c r="D2807" s="2">
        <v>568</v>
      </c>
      <c r="E2807" s="2">
        <v>200</v>
      </c>
      <c r="F2807" s="2">
        <v>32441</v>
      </c>
      <c r="G2807" s="2">
        <v>2.8557218309999999</v>
      </c>
      <c r="H2807" s="2">
        <v>3.650529E-3</v>
      </c>
      <c r="I2807" s="2" t="s">
        <v>33580</v>
      </c>
      <c r="J2807" s="2" t="s">
        <v>33581</v>
      </c>
      <c r="K2807" s="2">
        <v>1.6513811999999999E-2</v>
      </c>
      <c r="L2807" s="2" t="s">
        <v>1178</v>
      </c>
      <c r="M2807" s="4" t="s">
        <v>33582</v>
      </c>
    </row>
    <row r="2808" spans="1:13">
      <c r="A2808" s="2">
        <v>3273</v>
      </c>
      <c r="B2808" s="2" t="s">
        <v>33583</v>
      </c>
      <c r="C2808" s="2">
        <v>10</v>
      </c>
      <c r="D2808" s="2">
        <v>568</v>
      </c>
      <c r="E2808" s="2">
        <v>200</v>
      </c>
      <c r="F2808" s="2">
        <v>32441</v>
      </c>
      <c r="G2808" s="2">
        <v>2.8557218309999999</v>
      </c>
      <c r="H2808" s="2">
        <v>3.650529E-3</v>
      </c>
      <c r="I2808" s="2" t="s">
        <v>33584</v>
      </c>
      <c r="J2808" s="2" t="s">
        <v>33585</v>
      </c>
      <c r="K2808" s="2">
        <v>1.6513811999999999E-2</v>
      </c>
      <c r="L2808" s="2" t="s">
        <v>1178</v>
      </c>
      <c r="M2808" s="4" t="s">
        <v>33586</v>
      </c>
    </row>
    <row r="2809" spans="1:13">
      <c r="A2809" s="2">
        <v>3274</v>
      </c>
      <c r="B2809" s="2" t="s">
        <v>33587</v>
      </c>
      <c r="C2809" s="2">
        <v>10</v>
      </c>
      <c r="D2809" s="2">
        <v>568</v>
      </c>
      <c r="E2809" s="2">
        <v>200</v>
      </c>
      <c r="F2809" s="2">
        <v>32441</v>
      </c>
      <c r="G2809" s="2">
        <v>2.8557218309999999</v>
      </c>
      <c r="H2809" s="2">
        <v>3.650529E-3</v>
      </c>
      <c r="I2809" s="2" t="s">
        <v>33588</v>
      </c>
      <c r="J2809" s="2" t="s">
        <v>33589</v>
      </c>
      <c r="K2809" s="2">
        <v>1.6513811999999999E-2</v>
      </c>
      <c r="L2809" s="2" t="s">
        <v>1178</v>
      </c>
      <c r="M2809" s="4" t="s">
        <v>33590</v>
      </c>
    </row>
    <row r="2810" spans="1:13">
      <c r="A2810" s="2">
        <v>3280</v>
      </c>
      <c r="B2810" s="2" t="s">
        <v>33591</v>
      </c>
      <c r="C2810" s="2">
        <v>10</v>
      </c>
      <c r="D2810" s="2">
        <v>568</v>
      </c>
      <c r="E2810" s="2">
        <v>200</v>
      </c>
      <c r="F2810" s="2">
        <v>32441</v>
      </c>
      <c r="G2810" s="2">
        <v>2.8557218309999999</v>
      </c>
      <c r="H2810" s="2">
        <v>3.650529E-3</v>
      </c>
      <c r="I2810" s="2" t="s">
        <v>33592</v>
      </c>
      <c r="J2810" s="2" t="s">
        <v>33593</v>
      </c>
      <c r="K2810" s="2">
        <v>1.6513811999999999E-2</v>
      </c>
      <c r="L2810" s="2" t="s">
        <v>1178</v>
      </c>
      <c r="M2810" s="4" t="s">
        <v>33594</v>
      </c>
    </row>
    <row r="2811" spans="1:13">
      <c r="A2811" s="2">
        <v>3284</v>
      </c>
      <c r="B2811" s="2" t="s">
        <v>33595</v>
      </c>
      <c r="C2811" s="2">
        <v>10</v>
      </c>
      <c r="D2811" s="2">
        <v>568</v>
      </c>
      <c r="E2811" s="2">
        <v>200</v>
      </c>
      <c r="F2811" s="2">
        <v>32441</v>
      </c>
      <c r="G2811" s="2">
        <v>2.8557218309999999</v>
      </c>
      <c r="H2811" s="2">
        <v>3.650529E-3</v>
      </c>
      <c r="I2811" s="2" t="s">
        <v>33596</v>
      </c>
      <c r="J2811" s="2" t="s">
        <v>33597</v>
      </c>
      <c r="K2811" s="2">
        <v>1.6513811999999999E-2</v>
      </c>
      <c r="L2811" s="2" t="s">
        <v>1178</v>
      </c>
      <c r="M2811" s="4" t="s">
        <v>33598</v>
      </c>
    </row>
    <row r="2812" spans="1:13">
      <c r="A2812" s="2">
        <v>32861</v>
      </c>
      <c r="B2812" s="2" t="s">
        <v>33599</v>
      </c>
      <c r="C2812" s="2">
        <v>10</v>
      </c>
      <c r="D2812" s="2">
        <v>568</v>
      </c>
      <c r="E2812" s="2">
        <v>200</v>
      </c>
      <c r="F2812" s="2">
        <v>32441</v>
      </c>
      <c r="G2812" s="2">
        <v>2.8557218309999999</v>
      </c>
      <c r="H2812" s="2">
        <v>3.650529E-3</v>
      </c>
      <c r="I2812" s="2" t="s">
        <v>33600</v>
      </c>
      <c r="J2812" s="2" t="s">
        <v>33601</v>
      </c>
      <c r="K2812" s="2">
        <v>1.6513811999999999E-2</v>
      </c>
      <c r="L2812" s="2" t="s">
        <v>1178</v>
      </c>
      <c r="M2812" s="4" t="s">
        <v>33602</v>
      </c>
    </row>
    <row r="2813" spans="1:13">
      <c r="A2813" s="2">
        <v>3294</v>
      </c>
      <c r="B2813" s="2" t="s">
        <v>33603</v>
      </c>
      <c r="C2813" s="2">
        <v>10</v>
      </c>
      <c r="D2813" s="2">
        <v>568</v>
      </c>
      <c r="E2813" s="2">
        <v>200</v>
      </c>
      <c r="F2813" s="2">
        <v>32441</v>
      </c>
      <c r="G2813" s="2">
        <v>2.8557218309999999</v>
      </c>
      <c r="H2813" s="2">
        <v>3.650529E-3</v>
      </c>
      <c r="I2813" s="2" t="s">
        <v>33604</v>
      </c>
      <c r="J2813" s="2" t="s">
        <v>33605</v>
      </c>
      <c r="K2813" s="2">
        <v>1.6513811999999999E-2</v>
      </c>
      <c r="L2813" s="2" t="s">
        <v>1178</v>
      </c>
      <c r="M2813" s="4" t="s">
        <v>33606</v>
      </c>
    </row>
    <row r="2814" spans="1:13">
      <c r="A2814" s="2">
        <v>3295</v>
      </c>
      <c r="B2814" s="2" t="s">
        <v>33607</v>
      </c>
      <c r="C2814" s="2">
        <v>10</v>
      </c>
      <c r="D2814" s="2">
        <v>568</v>
      </c>
      <c r="E2814" s="2">
        <v>200</v>
      </c>
      <c r="F2814" s="2">
        <v>32441</v>
      </c>
      <c r="G2814" s="2">
        <v>2.8557218309999999</v>
      </c>
      <c r="H2814" s="2">
        <v>3.650529E-3</v>
      </c>
      <c r="I2814" s="2" t="s">
        <v>33608</v>
      </c>
      <c r="J2814" s="2" t="s">
        <v>33609</v>
      </c>
      <c r="K2814" s="2">
        <v>1.6513811999999999E-2</v>
      </c>
      <c r="L2814" s="2" t="s">
        <v>1178</v>
      </c>
      <c r="M2814" s="4" t="s">
        <v>33610</v>
      </c>
    </row>
    <row r="2815" spans="1:13">
      <c r="A2815" s="2">
        <v>33391</v>
      </c>
      <c r="B2815" s="2" t="s">
        <v>19977</v>
      </c>
      <c r="C2815" s="2">
        <v>10</v>
      </c>
      <c r="D2815" s="2">
        <v>568</v>
      </c>
      <c r="E2815" s="2">
        <v>200</v>
      </c>
      <c r="F2815" s="2">
        <v>32441</v>
      </c>
      <c r="G2815" s="2">
        <v>2.8557218309999999</v>
      </c>
      <c r="H2815" s="2">
        <v>3.650529E-3</v>
      </c>
      <c r="I2815" s="2" t="s">
        <v>33611</v>
      </c>
      <c r="J2815" s="2" t="s">
        <v>33612</v>
      </c>
      <c r="K2815" s="2">
        <v>1.6513811999999999E-2</v>
      </c>
      <c r="L2815" s="2" t="s">
        <v>1178</v>
      </c>
      <c r="M2815" s="4" t="s">
        <v>19980</v>
      </c>
    </row>
    <row r="2816" spans="1:13">
      <c r="A2816" s="2">
        <v>3343</v>
      </c>
      <c r="B2816" s="2" t="s">
        <v>21207</v>
      </c>
      <c r="C2816" s="2">
        <v>10</v>
      </c>
      <c r="D2816" s="2">
        <v>568</v>
      </c>
      <c r="E2816" s="2">
        <v>200</v>
      </c>
      <c r="F2816" s="2">
        <v>32441</v>
      </c>
      <c r="G2816" s="2">
        <v>2.8557218309999999</v>
      </c>
      <c r="H2816" s="2">
        <v>3.650529E-3</v>
      </c>
      <c r="I2816" s="2" t="s">
        <v>33613</v>
      </c>
      <c r="J2816" s="2" t="s">
        <v>33614</v>
      </c>
      <c r="K2816" s="2">
        <v>1.6513811999999999E-2</v>
      </c>
      <c r="L2816" s="2" t="s">
        <v>1178</v>
      </c>
      <c r="M2816" s="4" t="s">
        <v>21210</v>
      </c>
    </row>
    <row r="2817" spans="1:13">
      <c r="A2817" s="2">
        <v>3372</v>
      </c>
      <c r="B2817" s="2" t="s">
        <v>33615</v>
      </c>
      <c r="C2817" s="2">
        <v>10</v>
      </c>
      <c r="D2817" s="2">
        <v>568</v>
      </c>
      <c r="E2817" s="2">
        <v>200</v>
      </c>
      <c r="F2817" s="2">
        <v>32441</v>
      </c>
      <c r="G2817" s="2">
        <v>2.8557218309999999</v>
      </c>
      <c r="H2817" s="2">
        <v>3.650529E-3</v>
      </c>
      <c r="I2817" s="2" t="s">
        <v>33616</v>
      </c>
      <c r="J2817" s="2" t="s">
        <v>33617</v>
      </c>
      <c r="K2817" s="2">
        <v>1.6513811999999999E-2</v>
      </c>
      <c r="L2817" s="2" t="s">
        <v>1178</v>
      </c>
      <c r="M2817" s="4" t="s">
        <v>33618</v>
      </c>
    </row>
    <row r="2818" spans="1:13">
      <c r="A2818" s="2">
        <v>3409</v>
      </c>
      <c r="B2818" s="2" t="s">
        <v>2244</v>
      </c>
      <c r="C2818" s="2">
        <v>10</v>
      </c>
      <c r="D2818" s="2">
        <v>568</v>
      </c>
      <c r="E2818" s="2">
        <v>200</v>
      </c>
      <c r="F2818" s="2">
        <v>32441</v>
      </c>
      <c r="G2818" s="2">
        <v>2.8557218309999999</v>
      </c>
      <c r="H2818" s="2">
        <v>3.650529E-3</v>
      </c>
      <c r="I2818" s="2" t="s">
        <v>33619</v>
      </c>
      <c r="J2818" s="2" t="s">
        <v>33620</v>
      </c>
      <c r="K2818" s="2">
        <v>1.6513811999999999E-2</v>
      </c>
      <c r="L2818" s="2" t="s">
        <v>1178</v>
      </c>
      <c r="M2818" s="4" t="s">
        <v>33621</v>
      </c>
    </row>
    <row r="2819" spans="1:13">
      <c r="A2819" s="2">
        <v>3437</v>
      </c>
      <c r="B2819" s="2" t="s">
        <v>20009</v>
      </c>
      <c r="C2819" s="2">
        <v>10</v>
      </c>
      <c r="D2819" s="2">
        <v>568</v>
      </c>
      <c r="E2819" s="2">
        <v>199</v>
      </c>
      <c r="F2819" s="2">
        <v>32441</v>
      </c>
      <c r="G2819" s="2">
        <v>2.8700721919999999</v>
      </c>
      <c r="H2819" s="2">
        <v>3.5294599999999999E-3</v>
      </c>
      <c r="I2819" s="2" t="s">
        <v>33622</v>
      </c>
      <c r="J2819" s="2" t="s">
        <v>33623</v>
      </c>
      <c r="K2819" s="2">
        <v>1.6513811999999999E-2</v>
      </c>
      <c r="L2819" s="2" t="s">
        <v>1178</v>
      </c>
      <c r="M2819" s="4" t="s">
        <v>20012</v>
      </c>
    </row>
    <row r="2820" spans="1:13">
      <c r="A2820" s="2">
        <v>3449</v>
      </c>
      <c r="B2820" s="2" t="s">
        <v>14915</v>
      </c>
      <c r="C2820" s="2">
        <v>10</v>
      </c>
      <c r="D2820" s="2">
        <v>568</v>
      </c>
      <c r="E2820" s="2">
        <v>199</v>
      </c>
      <c r="F2820" s="2">
        <v>32441</v>
      </c>
      <c r="G2820" s="2">
        <v>2.8700721919999999</v>
      </c>
      <c r="H2820" s="2">
        <v>3.5294599999999999E-3</v>
      </c>
      <c r="I2820" s="2" t="s">
        <v>33624</v>
      </c>
      <c r="J2820" s="2" t="s">
        <v>33625</v>
      </c>
      <c r="K2820" s="2">
        <v>1.6513811999999999E-2</v>
      </c>
      <c r="L2820" s="2" t="s">
        <v>1178</v>
      </c>
      <c r="M2820" s="4" t="s">
        <v>14918</v>
      </c>
    </row>
    <row r="2821" spans="1:13">
      <c r="A2821" s="2">
        <v>34801</v>
      </c>
      <c r="B2821" s="2" t="s">
        <v>17404</v>
      </c>
      <c r="C2821" s="2">
        <v>10</v>
      </c>
      <c r="D2821" s="2">
        <v>568</v>
      </c>
      <c r="E2821" s="2">
        <v>200</v>
      </c>
      <c r="F2821" s="2">
        <v>32441</v>
      </c>
      <c r="G2821" s="2">
        <v>2.8557218309999999</v>
      </c>
      <c r="H2821" s="2">
        <v>3.650529E-3</v>
      </c>
      <c r="I2821" s="2" t="s">
        <v>33626</v>
      </c>
      <c r="J2821" s="2" t="s">
        <v>33627</v>
      </c>
      <c r="K2821" s="2">
        <v>1.6513811999999999E-2</v>
      </c>
      <c r="L2821" s="2" t="s">
        <v>1178</v>
      </c>
      <c r="M2821" s="4" t="s">
        <v>17407</v>
      </c>
    </row>
    <row r="2822" spans="1:13">
      <c r="A2822" s="2">
        <v>3488</v>
      </c>
      <c r="B2822" s="2" t="s">
        <v>18487</v>
      </c>
      <c r="C2822" s="2">
        <v>10</v>
      </c>
      <c r="D2822" s="2">
        <v>568</v>
      </c>
      <c r="E2822" s="2">
        <v>197</v>
      </c>
      <c r="F2822" s="2">
        <v>32441</v>
      </c>
      <c r="G2822" s="2">
        <v>2.8992099809999998</v>
      </c>
      <c r="H2822" s="2">
        <v>3.2968889999999999E-3</v>
      </c>
      <c r="I2822" s="2" t="s">
        <v>33628</v>
      </c>
      <c r="J2822" s="2" t="s">
        <v>33629</v>
      </c>
      <c r="K2822" s="2">
        <v>1.6513811999999999E-2</v>
      </c>
      <c r="L2822" s="2" t="s">
        <v>1178</v>
      </c>
      <c r="M2822" s="4" t="s">
        <v>18490</v>
      </c>
    </row>
    <row r="2823" spans="1:13">
      <c r="A2823" s="2">
        <v>3526</v>
      </c>
      <c r="B2823" s="2" t="s">
        <v>17416</v>
      </c>
      <c r="C2823" s="2">
        <v>10</v>
      </c>
      <c r="D2823" s="2">
        <v>568</v>
      </c>
      <c r="E2823" s="2">
        <v>200</v>
      </c>
      <c r="F2823" s="2">
        <v>32441</v>
      </c>
      <c r="G2823" s="2">
        <v>2.8557218309999999</v>
      </c>
      <c r="H2823" s="2">
        <v>3.650529E-3</v>
      </c>
      <c r="I2823" s="2" t="s">
        <v>33630</v>
      </c>
      <c r="J2823" s="2" t="s">
        <v>33631</v>
      </c>
      <c r="K2823" s="2">
        <v>1.6513811999999999E-2</v>
      </c>
      <c r="L2823" s="2" t="s">
        <v>1178</v>
      </c>
      <c r="M2823" s="4" t="s">
        <v>17419</v>
      </c>
    </row>
    <row r="2824" spans="1:13">
      <c r="A2824" s="2">
        <v>3529</v>
      </c>
      <c r="B2824" s="2" t="s">
        <v>13580</v>
      </c>
      <c r="C2824" s="2">
        <v>10</v>
      </c>
      <c r="D2824" s="2">
        <v>568</v>
      </c>
      <c r="E2824" s="2">
        <v>200</v>
      </c>
      <c r="F2824" s="2">
        <v>32441</v>
      </c>
      <c r="G2824" s="2">
        <v>2.8557218309999999</v>
      </c>
      <c r="H2824" s="2">
        <v>3.650529E-3</v>
      </c>
      <c r="I2824" s="2" t="s">
        <v>33632</v>
      </c>
      <c r="J2824" s="2" t="s">
        <v>33633</v>
      </c>
      <c r="K2824" s="2">
        <v>1.6513811999999999E-2</v>
      </c>
      <c r="L2824" s="2" t="s">
        <v>1178</v>
      </c>
      <c r="M2824" s="4" t="s">
        <v>13583</v>
      </c>
    </row>
    <row r="2825" spans="1:13">
      <c r="A2825" s="2">
        <v>3537</v>
      </c>
      <c r="B2825" s="2" t="s">
        <v>33634</v>
      </c>
      <c r="C2825" s="2">
        <v>10</v>
      </c>
      <c r="D2825" s="2">
        <v>568</v>
      </c>
      <c r="E2825" s="2">
        <v>200</v>
      </c>
      <c r="F2825" s="2">
        <v>32441</v>
      </c>
      <c r="G2825" s="2">
        <v>2.8557218309999999</v>
      </c>
      <c r="H2825" s="2">
        <v>3.650529E-3</v>
      </c>
      <c r="I2825" s="2" t="s">
        <v>33635</v>
      </c>
      <c r="J2825" s="2" t="s">
        <v>33636</v>
      </c>
      <c r="K2825" s="2">
        <v>1.6513811999999999E-2</v>
      </c>
      <c r="L2825" s="2" t="s">
        <v>1178</v>
      </c>
      <c r="M2825" s="4" t="s">
        <v>33637</v>
      </c>
    </row>
    <row r="2826" spans="1:13">
      <c r="A2826" s="2">
        <v>3543</v>
      </c>
      <c r="B2826" s="2" t="s">
        <v>1437</v>
      </c>
      <c r="C2826" s="2">
        <v>10</v>
      </c>
      <c r="D2826" s="2">
        <v>568</v>
      </c>
      <c r="E2826" s="2">
        <v>200</v>
      </c>
      <c r="F2826" s="2">
        <v>32441</v>
      </c>
      <c r="G2826" s="2">
        <v>2.8557218309999999</v>
      </c>
      <c r="H2826" s="2">
        <v>3.650529E-3</v>
      </c>
      <c r="I2826" s="2" t="s">
        <v>33638</v>
      </c>
      <c r="J2826" s="2" t="s">
        <v>33639</v>
      </c>
      <c r="K2826" s="2">
        <v>1.6513811999999999E-2</v>
      </c>
      <c r="L2826" s="2" t="s">
        <v>1178</v>
      </c>
      <c r="M2826" s="4" t="s">
        <v>16670</v>
      </c>
    </row>
    <row r="2827" spans="1:13">
      <c r="A2827" s="2">
        <v>3595</v>
      </c>
      <c r="B2827" s="2" t="s">
        <v>33640</v>
      </c>
      <c r="C2827" s="2">
        <v>10</v>
      </c>
      <c r="D2827" s="2">
        <v>568</v>
      </c>
      <c r="E2827" s="2">
        <v>200</v>
      </c>
      <c r="F2827" s="2">
        <v>32441</v>
      </c>
      <c r="G2827" s="2">
        <v>2.8557218309999999</v>
      </c>
      <c r="H2827" s="2">
        <v>3.650529E-3</v>
      </c>
      <c r="I2827" s="2" t="s">
        <v>33641</v>
      </c>
      <c r="J2827" s="2" t="s">
        <v>33642</v>
      </c>
      <c r="K2827" s="2">
        <v>1.6513811999999999E-2</v>
      </c>
      <c r="L2827" s="2" t="s">
        <v>1178</v>
      </c>
      <c r="M2827" s="4" t="s">
        <v>33643</v>
      </c>
    </row>
    <row r="2828" spans="1:13">
      <c r="A2828" s="2">
        <v>3607</v>
      </c>
      <c r="B2828" s="2" t="s">
        <v>16029</v>
      </c>
      <c r="C2828" s="2">
        <v>10</v>
      </c>
      <c r="D2828" s="2">
        <v>568</v>
      </c>
      <c r="E2828" s="2">
        <v>200</v>
      </c>
      <c r="F2828" s="2">
        <v>32441</v>
      </c>
      <c r="G2828" s="2">
        <v>2.8557218309999999</v>
      </c>
      <c r="H2828" s="2">
        <v>3.650529E-3</v>
      </c>
      <c r="I2828" s="2" t="s">
        <v>33644</v>
      </c>
      <c r="J2828" s="2" t="s">
        <v>33645</v>
      </c>
      <c r="K2828" s="2">
        <v>1.6513811999999999E-2</v>
      </c>
      <c r="L2828" s="2" t="s">
        <v>1178</v>
      </c>
      <c r="M2828" s="4" t="s">
        <v>16032</v>
      </c>
    </row>
    <row r="2829" spans="1:13">
      <c r="A2829" s="2">
        <v>3671</v>
      </c>
      <c r="B2829" s="2" t="s">
        <v>33646</v>
      </c>
      <c r="C2829" s="2">
        <v>10</v>
      </c>
      <c r="D2829" s="2">
        <v>568</v>
      </c>
      <c r="E2829" s="2">
        <v>200</v>
      </c>
      <c r="F2829" s="2">
        <v>32441</v>
      </c>
      <c r="G2829" s="2">
        <v>2.8557218309999999</v>
      </c>
      <c r="H2829" s="2">
        <v>3.650529E-3</v>
      </c>
      <c r="I2829" s="2" t="s">
        <v>33647</v>
      </c>
      <c r="J2829" s="2" t="s">
        <v>33648</v>
      </c>
      <c r="K2829" s="2">
        <v>1.6513811999999999E-2</v>
      </c>
      <c r="L2829" s="2" t="s">
        <v>1178</v>
      </c>
      <c r="M2829" s="4" t="s">
        <v>33649</v>
      </c>
    </row>
    <row r="2830" spans="1:13">
      <c r="A2830" s="2">
        <v>3704</v>
      </c>
      <c r="B2830" s="2" t="s">
        <v>14934</v>
      </c>
      <c r="C2830" s="2">
        <v>10</v>
      </c>
      <c r="D2830" s="2">
        <v>568</v>
      </c>
      <c r="E2830" s="2">
        <v>200</v>
      </c>
      <c r="F2830" s="2">
        <v>32441</v>
      </c>
      <c r="G2830" s="2">
        <v>2.8557218309999999</v>
      </c>
      <c r="H2830" s="2">
        <v>3.650529E-3</v>
      </c>
      <c r="I2830" s="2" t="s">
        <v>33650</v>
      </c>
      <c r="J2830" s="2" t="s">
        <v>33651</v>
      </c>
      <c r="K2830" s="2">
        <v>1.6513811999999999E-2</v>
      </c>
      <c r="L2830" s="2" t="s">
        <v>1178</v>
      </c>
      <c r="M2830" s="4" t="s">
        <v>14937</v>
      </c>
    </row>
    <row r="2831" spans="1:13">
      <c r="A2831" s="2">
        <v>3739</v>
      </c>
      <c r="B2831" s="2" t="s">
        <v>14524</v>
      </c>
      <c r="C2831" s="2">
        <v>10</v>
      </c>
      <c r="D2831" s="2">
        <v>568</v>
      </c>
      <c r="E2831" s="2">
        <v>200</v>
      </c>
      <c r="F2831" s="2">
        <v>32441</v>
      </c>
      <c r="G2831" s="2">
        <v>2.8557218309999999</v>
      </c>
      <c r="H2831" s="2">
        <v>3.650529E-3</v>
      </c>
      <c r="I2831" s="2" t="s">
        <v>33652</v>
      </c>
      <c r="J2831" s="2" t="s">
        <v>33653</v>
      </c>
      <c r="K2831" s="2">
        <v>1.6513811999999999E-2</v>
      </c>
      <c r="L2831" s="2" t="s">
        <v>1178</v>
      </c>
      <c r="M2831" s="4" t="s">
        <v>14527</v>
      </c>
    </row>
    <row r="2832" spans="1:13">
      <c r="A2832" s="2">
        <v>3779</v>
      </c>
      <c r="B2832" s="2" t="s">
        <v>20115</v>
      </c>
      <c r="C2832" s="2">
        <v>10</v>
      </c>
      <c r="D2832" s="2">
        <v>568</v>
      </c>
      <c r="E2832" s="2">
        <v>200</v>
      </c>
      <c r="F2832" s="2">
        <v>32441</v>
      </c>
      <c r="G2832" s="2">
        <v>2.8557218309999999</v>
      </c>
      <c r="H2832" s="2">
        <v>3.650529E-3</v>
      </c>
      <c r="I2832" s="2" t="s">
        <v>33654</v>
      </c>
      <c r="J2832" s="2" t="s">
        <v>33655</v>
      </c>
      <c r="K2832" s="2">
        <v>1.6513811999999999E-2</v>
      </c>
      <c r="L2832" s="2" t="s">
        <v>1178</v>
      </c>
      <c r="M2832" s="4" t="s">
        <v>20118</v>
      </c>
    </row>
    <row r="2833" spans="1:13">
      <c r="A2833" s="2">
        <v>3827</v>
      </c>
      <c r="B2833" s="2" t="s">
        <v>18252</v>
      </c>
      <c r="C2833" s="2">
        <v>10</v>
      </c>
      <c r="D2833" s="2">
        <v>568</v>
      </c>
      <c r="E2833" s="2">
        <v>200</v>
      </c>
      <c r="F2833" s="2">
        <v>32441</v>
      </c>
      <c r="G2833" s="2">
        <v>2.8557218309999999</v>
      </c>
      <c r="H2833" s="2">
        <v>3.650529E-3</v>
      </c>
      <c r="I2833" s="2" t="s">
        <v>33656</v>
      </c>
      <c r="J2833" s="2" t="s">
        <v>33657</v>
      </c>
      <c r="K2833" s="2">
        <v>1.6513811999999999E-2</v>
      </c>
      <c r="L2833" s="2" t="s">
        <v>1178</v>
      </c>
      <c r="M2833" s="4" t="s">
        <v>18255</v>
      </c>
    </row>
    <row r="2834" spans="1:13">
      <c r="A2834" s="2">
        <v>38851</v>
      </c>
      <c r="B2834" s="2" t="s">
        <v>13922</v>
      </c>
      <c r="C2834" s="2">
        <v>9</v>
      </c>
      <c r="D2834" s="2">
        <v>568</v>
      </c>
      <c r="E2834" s="2">
        <v>165</v>
      </c>
      <c r="F2834" s="2">
        <v>32441</v>
      </c>
      <c r="G2834" s="2">
        <v>3.115332907</v>
      </c>
      <c r="H2834" s="2">
        <v>3.3191710000000001E-3</v>
      </c>
      <c r="I2834" s="2" t="s">
        <v>33658</v>
      </c>
      <c r="J2834" s="2" t="s">
        <v>33659</v>
      </c>
      <c r="K2834" s="2">
        <v>1.6513811999999999E-2</v>
      </c>
      <c r="L2834" s="2" t="s">
        <v>1178</v>
      </c>
      <c r="M2834" s="4" t="s">
        <v>13925</v>
      </c>
    </row>
    <row r="2835" spans="1:13">
      <c r="A2835" s="2">
        <v>3891</v>
      </c>
      <c r="B2835" s="2" t="s">
        <v>33660</v>
      </c>
      <c r="C2835" s="2">
        <v>10</v>
      </c>
      <c r="D2835" s="2">
        <v>568</v>
      </c>
      <c r="E2835" s="2">
        <v>200</v>
      </c>
      <c r="F2835" s="2">
        <v>32441</v>
      </c>
      <c r="G2835" s="2">
        <v>2.8557218309999999</v>
      </c>
      <c r="H2835" s="2">
        <v>3.650529E-3</v>
      </c>
      <c r="I2835" s="2" t="s">
        <v>33661</v>
      </c>
      <c r="J2835" s="2" t="s">
        <v>33662</v>
      </c>
      <c r="K2835" s="2">
        <v>1.6513811999999999E-2</v>
      </c>
      <c r="L2835" s="2" t="s">
        <v>1178</v>
      </c>
      <c r="M2835" s="4" t="s">
        <v>33663</v>
      </c>
    </row>
    <row r="2836" spans="1:13">
      <c r="A2836" s="2">
        <v>39061</v>
      </c>
      <c r="B2836" s="2" t="s">
        <v>16702</v>
      </c>
      <c r="C2836" s="2">
        <v>10</v>
      </c>
      <c r="D2836" s="2">
        <v>568</v>
      </c>
      <c r="E2836" s="2">
        <v>200</v>
      </c>
      <c r="F2836" s="2">
        <v>32441</v>
      </c>
      <c r="G2836" s="2">
        <v>2.8557218309999999</v>
      </c>
      <c r="H2836" s="2">
        <v>3.650529E-3</v>
      </c>
      <c r="I2836" s="2" t="s">
        <v>33664</v>
      </c>
      <c r="J2836" s="2" t="s">
        <v>33665</v>
      </c>
      <c r="K2836" s="2">
        <v>1.6513811999999999E-2</v>
      </c>
      <c r="L2836" s="2" t="s">
        <v>1178</v>
      </c>
      <c r="M2836" s="4" t="s">
        <v>16705</v>
      </c>
    </row>
    <row r="2837" spans="1:13">
      <c r="A2837" s="2">
        <v>3913</v>
      </c>
      <c r="B2837" s="2" t="s">
        <v>22566</v>
      </c>
      <c r="C2837" s="2">
        <v>10</v>
      </c>
      <c r="D2837" s="2">
        <v>568</v>
      </c>
      <c r="E2837" s="2">
        <v>200</v>
      </c>
      <c r="F2837" s="2">
        <v>32441</v>
      </c>
      <c r="G2837" s="2">
        <v>2.8557218309999999</v>
      </c>
      <c r="H2837" s="2">
        <v>3.650529E-3</v>
      </c>
      <c r="I2837" s="2" t="s">
        <v>33666</v>
      </c>
      <c r="J2837" s="2" t="s">
        <v>33667</v>
      </c>
      <c r="K2837" s="2">
        <v>1.6513811999999999E-2</v>
      </c>
      <c r="L2837" s="2" t="s">
        <v>1178</v>
      </c>
      <c r="M2837" s="4" t="s">
        <v>22569</v>
      </c>
    </row>
    <row r="2838" spans="1:13">
      <c r="A2838" s="2">
        <v>3948</v>
      </c>
      <c r="B2838" s="2" t="s">
        <v>1335</v>
      </c>
      <c r="C2838" s="2">
        <v>10</v>
      </c>
      <c r="D2838" s="2">
        <v>568</v>
      </c>
      <c r="E2838" s="2">
        <v>198</v>
      </c>
      <c r="F2838" s="2">
        <v>32441</v>
      </c>
      <c r="G2838" s="2">
        <v>2.8845675059999998</v>
      </c>
      <c r="H2838" s="2">
        <v>3.4115999999999999E-3</v>
      </c>
      <c r="I2838" s="2" t="s">
        <v>33668</v>
      </c>
      <c r="J2838" s="2" t="s">
        <v>33669</v>
      </c>
      <c r="K2838" s="2">
        <v>1.6513811999999999E-2</v>
      </c>
      <c r="L2838" s="2" t="s">
        <v>1178</v>
      </c>
      <c r="M2838" s="4" t="s">
        <v>3289</v>
      </c>
    </row>
    <row r="2839" spans="1:13">
      <c r="A2839" s="2">
        <v>39581</v>
      </c>
      <c r="B2839" s="2" t="s">
        <v>15439</v>
      </c>
      <c r="C2839" s="2">
        <v>10</v>
      </c>
      <c r="D2839" s="2">
        <v>568</v>
      </c>
      <c r="E2839" s="2">
        <v>200</v>
      </c>
      <c r="F2839" s="2">
        <v>32441</v>
      </c>
      <c r="G2839" s="2">
        <v>2.8557218309999999</v>
      </c>
      <c r="H2839" s="2">
        <v>3.650529E-3</v>
      </c>
      <c r="I2839" s="2" t="s">
        <v>33670</v>
      </c>
      <c r="J2839" s="2" t="s">
        <v>33671</v>
      </c>
      <c r="K2839" s="2">
        <v>1.6513811999999999E-2</v>
      </c>
      <c r="L2839" s="2" t="s">
        <v>1178</v>
      </c>
      <c r="M2839" s="4" t="s">
        <v>15442</v>
      </c>
    </row>
    <row r="2840" spans="1:13">
      <c r="A2840" s="2">
        <v>3966</v>
      </c>
      <c r="B2840" s="2" t="s">
        <v>12966</v>
      </c>
      <c r="C2840" s="2">
        <v>10</v>
      </c>
      <c r="D2840" s="2">
        <v>568</v>
      </c>
      <c r="E2840" s="2">
        <v>200</v>
      </c>
      <c r="F2840" s="2">
        <v>32441</v>
      </c>
      <c r="G2840" s="2">
        <v>2.8557218309999999</v>
      </c>
      <c r="H2840" s="2">
        <v>3.650529E-3</v>
      </c>
      <c r="I2840" s="2" t="s">
        <v>33672</v>
      </c>
      <c r="J2840" s="2" t="s">
        <v>33673</v>
      </c>
      <c r="K2840" s="2">
        <v>1.6513811999999999E-2</v>
      </c>
      <c r="L2840" s="2" t="s">
        <v>1178</v>
      </c>
      <c r="M2840" s="4" t="s">
        <v>12969</v>
      </c>
    </row>
    <row r="2841" spans="1:13">
      <c r="A2841" s="2">
        <v>3978</v>
      </c>
      <c r="B2841" s="2" t="s">
        <v>12424</v>
      </c>
      <c r="C2841" s="2">
        <v>10</v>
      </c>
      <c r="D2841" s="2">
        <v>568</v>
      </c>
      <c r="E2841" s="2">
        <v>200</v>
      </c>
      <c r="F2841" s="2">
        <v>32441</v>
      </c>
      <c r="G2841" s="2">
        <v>2.8557218309999999</v>
      </c>
      <c r="H2841" s="2">
        <v>3.650529E-3</v>
      </c>
      <c r="I2841" s="2" t="s">
        <v>33674</v>
      </c>
      <c r="J2841" s="2" t="s">
        <v>33675</v>
      </c>
      <c r="K2841" s="2">
        <v>1.6513811999999999E-2</v>
      </c>
      <c r="L2841" s="2" t="s">
        <v>1178</v>
      </c>
      <c r="M2841" s="4" t="s">
        <v>12427</v>
      </c>
    </row>
    <row r="2842" spans="1:13">
      <c r="A2842" s="2">
        <v>39911</v>
      </c>
      <c r="B2842" s="2" t="s">
        <v>15451</v>
      </c>
      <c r="C2842" s="2">
        <v>10</v>
      </c>
      <c r="D2842" s="2">
        <v>568</v>
      </c>
      <c r="E2842" s="2">
        <v>199</v>
      </c>
      <c r="F2842" s="2">
        <v>32441</v>
      </c>
      <c r="G2842" s="2">
        <v>2.8700721919999999</v>
      </c>
      <c r="H2842" s="2">
        <v>3.5294599999999999E-3</v>
      </c>
      <c r="I2842" s="2" t="s">
        <v>33676</v>
      </c>
      <c r="J2842" s="2" t="s">
        <v>33677</v>
      </c>
      <c r="K2842" s="2">
        <v>1.6513811999999999E-2</v>
      </c>
      <c r="L2842" s="2" t="s">
        <v>1178</v>
      </c>
      <c r="M2842" s="4" t="s">
        <v>15454</v>
      </c>
    </row>
    <row r="2843" spans="1:13">
      <c r="A2843" s="2">
        <v>3993</v>
      </c>
      <c r="B2843" s="2" t="s">
        <v>12551</v>
      </c>
      <c r="C2843" s="2">
        <v>10</v>
      </c>
      <c r="D2843" s="2">
        <v>568</v>
      </c>
      <c r="E2843" s="2">
        <v>200</v>
      </c>
      <c r="F2843" s="2">
        <v>32441</v>
      </c>
      <c r="G2843" s="2">
        <v>2.8557218309999999</v>
      </c>
      <c r="H2843" s="2">
        <v>3.650529E-3</v>
      </c>
      <c r="I2843" s="2" t="s">
        <v>33678</v>
      </c>
      <c r="J2843" s="2" t="s">
        <v>33679</v>
      </c>
      <c r="K2843" s="2">
        <v>1.6513811999999999E-2</v>
      </c>
      <c r="L2843" s="2" t="s">
        <v>1178</v>
      </c>
      <c r="M2843" s="4" t="s">
        <v>12554</v>
      </c>
    </row>
    <row r="2844" spans="1:13">
      <c r="A2844" s="2">
        <v>4036</v>
      </c>
      <c r="B2844" s="2" t="s">
        <v>33680</v>
      </c>
      <c r="C2844" s="2">
        <v>10</v>
      </c>
      <c r="D2844" s="2">
        <v>568</v>
      </c>
      <c r="E2844" s="2">
        <v>200</v>
      </c>
      <c r="F2844" s="2">
        <v>32441</v>
      </c>
      <c r="G2844" s="2">
        <v>2.8557218309999999</v>
      </c>
      <c r="H2844" s="2">
        <v>3.650529E-3</v>
      </c>
      <c r="I2844" s="2" t="s">
        <v>33681</v>
      </c>
      <c r="J2844" s="2" t="s">
        <v>33682</v>
      </c>
      <c r="K2844" s="2">
        <v>1.6513811999999999E-2</v>
      </c>
      <c r="L2844" s="2" t="s">
        <v>1178</v>
      </c>
      <c r="M2844" s="4" t="s">
        <v>33683</v>
      </c>
    </row>
    <row r="2845" spans="1:13">
      <c r="A2845" s="2">
        <v>40381</v>
      </c>
      <c r="B2845" s="2" t="s">
        <v>33684</v>
      </c>
      <c r="C2845" s="2">
        <v>10</v>
      </c>
      <c r="D2845" s="2">
        <v>568</v>
      </c>
      <c r="E2845" s="2">
        <v>200</v>
      </c>
      <c r="F2845" s="2">
        <v>32441</v>
      </c>
      <c r="G2845" s="2">
        <v>2.8557218309999999</v>
      </c>
      <c r="H2845" s="2">
        <v>3.650529E-3</v>
      </c>
      <c r="I2845" s="2" t="s">
        <v>33685</v>
      </c>
      <c r="J2845" s="2" t="s">
        <v>33686</v>
      </c>
      <c r="K2845" s="2">
        <v>1.6513811999999999E-2</v>
      </c>
      <c r="L2845" s="2" t="s">
        <v>1178</v>
      </c>
      <c r="M2845" s="4" t="s">
        <v>33687</v>
      </c>
    </row>
    <row r="2846" spans="1:13">
      <c r="A2846" s="2">
        <v>4132</v>
      </c>
      <c r="B2846" s="2" t="s">
        <v>33688</v>
      </c>
      <c r="C2846" s="2">
        <v>10</v>
      </c>
      <c r="D2846" s="2">
        <v>568</v>
      </c>
      <c r="E2846" s="2">
        <v>200</v>
      </c>
      <c r="F2846" s="2">
        <v>32441</v>
      </c>
      <c r="G2846" s="2">
        <v>2.8557218309999999</v>
      </c>
      <c r="H2846" s="2">
        <v>3.650529E-3</v>
      </c>
      <c r="I2846" s="2" t="s">
        <v>33689</v>
      </c>
      <c r="J2846" s="2" t="s">
        <v>33690</v>
      </c>
      <c r="K2846" s="2">
        <v>1.6513811999999999E-2</v>
      </c>
      <c r="L2846" s="2" t="s">
        <v>1178</v>
      </c>
      <c r="M2846" s="4" t="s">
        <v>33691</v>
      </c>
    </row>
    <row r="2847" spans="1:13">
      <c r="A2847" s="2">
        <v>41461</v>
      </c>
      <c r="B2847" s="2" t="s">
        <v>33692</v>
      </c>
      <c r="C2847" s="2">
        <v>10</v>
      </c>
      <c r="D2847" s="2">
        <v>568</v>
      </c>
      <c r="E2847" s="2">
        <v>200</v>
      </c>
      <c r="F2847" s="2">
        <v>32441</v>
      </c>
      <c r="G2847" s="2">
        <v>2.8557218309999999</v>
      </c>
      <c r="H2847" s="2">
        <v>3.650529E-3</v>
      </c>
      <c r="I2847" s="2" t="s">
        <v>33693</v>
      </c>
      <c r="J2847" s="2" t="s">
        <v>33694</v>
      </c>
      <c r="K2847" s="2">
        <v>1.6513811999999999E-2</v>
      </c>
      <c r="L2847" s="2" t="s">
        <v>1178</v>
      </c>
      <c r="M2847" s="4" t="s">
        <v>33695</v>
      </c>
    </row>
    <row r="2848" spans="1:13">
      <c r="A2848" s="2">
        <v>4178</v>
      </c>
      <c r="B2848" s="2" t="s">
        <v>14566</v>
      </c>
      <c r="C2848" s="2">
        <v>10</v>
      </c>
      <c r="D2848" s="2">
        <v>568</v>
      </c>
      <c r="E2848" s="2">
        <v>200</v>
      </c>
      <c r="F2848" s="2">
        <v>32441</v>
      </c>
      <c r="G2848" s="2">
        <v>2.8557218309999999</v>
      </c>
      <c r="H2848" s="2">
        <v>3.650529E-3</v>
      </c>
      <c r="I2848" s="2" t="s">
        <v>33696</v>
      </c>
      <c r="J2848" s="2" t="s">
        <v>33697</v>
      </c>
      <c r="K2848" s="2">
        <v>1.6513811999999999E-2</v>
      </c>
      <c r="L2848" s="2" t="s">
        <v>1178</v>
      </c>
      <c r="M2848" s="4" t="s">
        <v>14569</v>
      </c>
    </row>
    <row r="2849" spans="1:13">
      <c r="A2849" s="2">
        <v>4196</v>
      </c>
      <c r="B2849" s="2" t="s">
        <v>15467</v>
      </c>
      <c r="C2849" s="2">
        <v>10</v>
      </c>
      <c r="D2849" s="2">
        <v>568</v>
      </c>
      <c r="E2849" s="2">
        <v>200</v>
      </c>
      <c r="F2849" s="2">
        <v>32441</v>
      </c>
      <c r="G2849" s="2">
        <v>2.8557218309999999</v>
      </c>
      <c r="H2849" s="2">
        <v>3.650529E-3</v>
      </c>
      <c r="I2849" s="2" t="s">
        <v>33698</v>
      </c>
      <c r="J2849" s="2" t="s">
        <v>33699</v>
      </c>
      <c r="K2849" s="2">
        <v>1.6513811999999999E-2</v>
      </c>
      <c r="L2849" s="2" t="s">
        <v>1178</v>
      </c>
      <c r="M2849" s="4" t="s">
        <v>15470</v>
      </c>
    </row>
    <row r="2850" spans="1:13">
      <c r="A2850" s="2">
        <v>4198</v>
      </c>
      <c r="B2850" s="2" t="s">
        <v>33700</v>
      </c>
      <c r="C2850" s="2">
        <v>10</v>
      </c>
      <c r="D2850" s="2">
        <v>568</v>
      </c>
      <c r="E2850" s="2">
        <v>200</v>
      </c>
      <c r="F2850" s="2">
        <v>32441</v>
      </c>
      <c r="G2850" s="2">
        <v>2.8557218309999999</v>
      </c>
      <c r="H2850" s="2">
        <v>3.650529E-3</v>
      </c>
      <c r="I2850" s="2" t="s">
        <v>33701</v>
      </c>
      <c r="J2850" s="2" t="s">
        <v>33702</v>
      </c>
      <c r="K2850" s="2">
        <v>1.6513811999999999E-2</v>
      </c>
      <c r="L2850" s="2" t="s">
        <v>1178</v>
      </c>
      <c r="M2850" s="4" t="s">
        <v>33703</v>
      </c>
    </row>
    <row r="2851" spans="1:13">
      <c r="A2851" s="2">
        <v>4215</v>
      </c>
      <c r="B2851" s="2" t="s">
        <v>33704</v>
      </c>
      <c r="C2851" s="2">
        <v>10</v>
      </c>
      <c r="D2851" s="2">
        <v>568</v>
      </c>
      <c r="E2851" s="2">
        <v>200</v>
      </c>
      <c r="F2851" s="2">
        <v>32441</v>
      </c>
      <c r="G2851" s="2">
        <v>2.8557218309999999</v>
      </c>
      <c r="H2851" s="2">
        <v>3.650529E-3</v>
      </c>
      <c r="I2851" s="2" t="s">
        <v>33705</v>
      </c>
      <c r="J2851" s="2" t="s">
        <v>33706</v>
      </c>
      <c r="K2851" s="2">
        <v>1.6513811999999999E-2</v>
      </c>
      <c r="L2851" s="2" t="s">
        <v>1178</v>
      </c>
      <c r="M2851" s="4" t="s">
        <v>33707</v>
      </c>
    </row>
    <row r="2852" spans="1:13">
      <c r="A2852" s="2">
        <v>4252</v>
      </c>
      <c r="B2852" s="2" t="s">
        <v>15475</v>
      </c>
      <c r="C2852" s="2">
        <v>10</v>
      </c>
      <c r="D2852" s="2">
        <v>568</v>
      </c>
      <c r="E2852" s="2">
        <v>200</v>
      </c>
      <c r="F2852" s="2">
        <v>32441</v>
      </c>
      <c r="G2852" s="2">
        <v>2.8557218309999999</v>
      </c>
      <c r="H2852" s="2">
        <v>3.650529E-3</v>
      </c>
      <c r="I2852" s="2" t="s">
        <v>33708</v>
      </c>
      <c r="J2852" s="2" t="s">
        <v>33709</v>
      </c>
      <c r="K2852" s="2">
        <v>1.6513811999999999E-2</v>
      </c>
      <c r="L2852" s="2" t="s">
        <v>1178</v>
      </c>
      <c r="M2852" s="4" t="s">
        <v>15478</v>
      </c>
    </row>
    <row r="2853" spans="1:13">
      <c r="A2853" s="2">
        <v>4281</v>
      </c>
      <c r="B2853" s="2" t="s">
        <v>20172</v>
      </c>
      <c r="C2853" s="2">
        <v>10</v>
      </c>
      <c r="D2853" s="2">
        <v>568</v>
      </c>
      <c r="E2853" s="2">
        <v>200</v>
      </c>
      <c r="F2853" s="2">
        <v>32441</v>
      </c>
      <c r="G2853" s="2">
        <v>2.8557218309999999</v>
      </c>
      <c r="H2853" s="2">
        <v>3.650529E-3</v>
      </c>
      <c r="I2853" s="2" t="s">
        <v>33710</v>
      </c>
      <c r="J2853" s="2" t="s">
        <v>33711</v>
      </c>
      <c r="K2853" s="2">
        <v>1.6513811999999999E-2</v>
      </c>
      <c r="L2853" s="2" t="s">
        <v>1178</v>
      </c>
      <c r="M2853" s="4" t="s">
        <v>20175</v>
      </c>
    </row>
    <row r="2854" spans="1:13">
      <c r="A2854" s="2">
        <v>4293</v>
      </c>
      <c r="B2854" s="2" t="s">
        <v>22636</v>
      </c>
      <c r="C2854" s="2">
        <v>10</v>
      </c>
      <c r="D2854" s="2">
        <v>568</v>
      </c>
      <c r="E2854" s="2">
        <v>200</v>
      </c>
      <c r="F2854" s="2">
        <v>32441</v>
      </c>
      <c r="G2854" s="2">
        <v>2.8557218309999999</v>
      </c>
      <c r="H2854" s="2">
        <v>3.650529E-3</v>
      </c>
      <c r="I2854" s="2" t="s">
        <v>33712</v>
      </c>
      <c r="J2854" s="2" t="s">
        <v>33713</v>
      </c>
      <c r="K2854" s="2">
        <v>1.6513811999999999E-2</v>
      </c>
      <c r="L2854" s="2" t="s">
        <v>1178</v>
      </c>
      <c r="M2854" s="4" t="s">
        <v>22639</v>
      </c>
    </row>
    <row r="2855" spans="1:13">
      <c r="A2855" s="2">
        <v>4377</v>
      </c>
      <c r="B2855" s="2" t="s">
        <v>18323</v>
      </c>
      <c r="C2855" s="2">
        <v>10</v>
      </c>
      <c r="D2855" s="2">
        <v>568</v>
      </c>
      <c r="E2855" s="2">
        <v>200</v>
      </c>
      <c r="F2855" s="2">
        <v>32441</v>
      </c>
      <c r="G2855" s="2">
        <v>2.8557218309999999</v>
      </c>
      <c r="H2855" s="2">
        <v>3.650529E-3</v>
      </c>
      <c r="I2855" s="2" t="s">
        <v>33714</v>
      </c>
      <c r="J2855" s="2" t="s">
        <v>33715</v>
      </c>
      <c r="K2855" s="2">
        <v>1.6513811999999999E-2</v>
      </c>
      <c r="L2855" s="2" t="s">
        <v>1178</v>
      </c>
      <c r="M2855" s="4" t="s">
        <v>18326</v>
      </c>
    </row>
    <row r="2856" spans="1:13">
      <c r="A2856" s="2">
        <v>44251</v>
      </c>
      <c r="B2856" s="2" t="s">
        <v>33716</v>
      </c>
      <c r="C2856" s="2">
        <v>10</v>
      </c>
      <c r="D2856" s="2">
        <v>568</v>
      </c>
      <c r="E2856" s="2">
        <v>200</v>
      </c>
      <c r="F2856" s="2">
        <v>32441</v>
      </c>
      <c r="G2856" s="2">
        <v>2.8557218309999999</v>
      </c>
      <c r="H2856" s="2">
        <v>3.650529E-3</v>
      </c>
      <c r="I2856" s="2" t="s">
        <v>33717</v>
      </c>
      <c r="J2856" s="2" t="s">
        <v>33718</v>
      </c>
      <c r="K2856" s="2">
        <v>1.6513811999999999E-2</v>
      </c>
      <c r="L2856" s="2" t="s">
        <v>1178</v>
      </c>
      <c r="M2856" s="4" t="s">
        <v>33719</v>
      </c>
    </row>
    <row r="2857" spans="1:13">
      <c r="A2857" s="2">
        <v>44451</v>
      </c>
      <c r="B2857" s="2" t="s">
        <v>18343</v>
      </c>
      <c r="C2857" s="2">
        <v>10</v>
      </c>
      <c r="D2857" s="2">
        <v>568</v>
      </c>
      <c r="E2857" s="2">
        <v>200</v>
      </c>
      <c r="F2857" s="2">
        <v>32441</v>
      </c>
      <c r="G2857" s="2">
        <v>2.8557218309999999</v>
      </c>
      <c r="H2857" s="2">
        <v>3.650529E-3</v>
      </c>
      <c r="I2857" s="2" t="s">
        <v>33720</v>
      </c>
      <c r="J2857" s="2" t="s">
        <v>33721</v>
      </c>
      <c r="K2857" s="2">
        <v>1.6513811999999999E-2</v>
      </c>
      <c r="L2857" s="2" t="s">
        <v>1178</v>
      </c>
      <c r="M2857" s="4" t="s">
        <v>18346</v>
      </c>
    </row>
    <row r="2858" spans="1:13">
      <c r="A2858" s="2">
        <v>4485</v>
      </c>
      <c r="B2858" s="2" t="s">
        <v>33722</v>
      </c>
      <c r="C2858" s="2">
        <v>10</v>
      </c>
      <c r="D2858" s="2">
        <v>568</v>
      </c>
      <c r="E2858" s="2">
        <v>199</v>
      </c>
      <c r="F2858" s="2">
        <v>32441</v>
      </c>
      <c r="G2858" s="2">
        <v>2.8700721919999999</v>
      </c>
      <c r="H2858" s="2">
        <v>3.5294599999999999E-3</v>
      </c>
      <c r="I2858" s="2" t="s">
        <v>33723</v>
      </c>
      <c r="J2858" s="2" t="s">
        <v>33724</v>
      </c>
      <c r="K2858" s="2">
        <v>1.6513811999999999E-2</v>
      </c>
      <c r="L2858" s="2" t="s">
        <v>1178</v>
      </c>
      <c r="M2858" s="4" t="s">
        <v>33725</v>
      </c>
    </row>
    <row r="2859" spans="1:13">
      <c r="A2859" s="2">
        <v>4509</v>
      </c>
      <c r="B2859" s="2" t="s">
        <v>33726</v>
      </c>
      <c r="C2859" s="2">
        <v>10</v>
      </c>
      <c r="D2859" s="2">
        <v>568</v>
      </c>
      <c r="E2859" s="2">
        <v>196</v>
      </c>
      <c r="F2859" s="2">
        <v>32441</v>
      </c>
      <c r="G2859" s="2">
        <v>2.9140018680000002</v>
      </c>
      <c r="H2859" s="2">
        <v>3.185266E-3</v>
      </c>
      <c r="I2859" s="2" t="s">
        <v>33727</v>
      </c>
      <c r="J2859" s="2" t="s">
        <v>33728</v>
      </c>
      <c r="K2859" s="2">
        <v>1.6513811999999999E-2</v>
      </c>
      <c r="L2859" s="2" t="s">
        <v>1178</v>
      </c>
      <c r="M2859" s="4" t="s">
        <v>33729</v>
      </c>
    </row>
    <row r="2860" spans="1:13">
      <c r="A2860" s="2">
        <v>4529</v>
      </c>
      <c r="B2860" s="2" t="s">
        <v>14199</v>
      </c>
      <c r="C2860" s="2">
        <v>10</v>
      </c>
      <c r="D2860" s="2">
        <v>568</v>
      </c>
      <c r="E2860" s="2">
        <v>200</v>
      </c>
      <c r="F2860" s="2">
        <v>32441</v>
      </c>
      <c r="G2860" s="2">
        <v>2.8557218309999999</v>
      </c>
      <c r="H2860" s="2">
        <v>3.650529E-3</v>
      </c>
      <c r="I2860" s="2" t="s">
        <v>33730</v>
      </c>
      <c r="J2860" s="2" t="s">
        <v>33731</v>
      </c>
      <c r="K2860" s="2">
        <v>1.6513811999999999E-2</v>
      </c>
      <c r="L2860" s="2" t="s">
        <v>1178</v>
      </c>
      <c r="M2860" s="4" t="s">
        <v>14202</v>
      </c>
    </row>
    <row r="2861" spans="1:13">
      <c r="A2861" s="2">
        <v>45591</v>
      </c>
      <c r="B2861" s="2" t="s">
        <v>24012</v>
      </c>
      <c r="C2861" s="2">
        <v>10</v>
      </c>
      <c r="D2861" s="2">
        <v>568</v>
      </c>
      <c r="E2861" s="2">
        <v>200</v>
      </c>
      <c r="F2861" s="2">
        <v>32441</v>
      </c>
      <c r="G2861" s="2">
        <v>2.8557218309999999</v>
      </c>
      <c r="H2861" s="2">
        <v>3.650529E-3</v>
      </c>
      <c r="I2861" s="2" t="s">
        <v>33732</v>
      </c>
      <c r="J2861" s="2" t="s">
        <v>33733</v>
      </c>
      <c r="K2861" s="2">
        <v>1.6513811999999999E-2</v>
      </c>
      <c r="L2861" s="2" t="s">
        <v>1178</v>
      </c>
      <c r="M2861" s="4" t="s">
        <v>24015</v>
      </c>
    </row>
    <row r="2862" spans="1:13">
      <c r="A2862" s="2">
        <v>4580</v>
      </c>
      <c r="B2862" s="2" t="s">
        <v>22676</v>
      </c>
      <c r="C2862" s="2">
        <v>10</v>
      </c>
      <c r="D2862" s="2">
        <v>568</v>
      </c>
      <c r="E2862" s="2">
        <v>200</v>
      </c>
      <c r="F2862" s="2">
        <v>32441</v>
      </c>
      <c r="G2862" s="2">
        <v>2.8557218309999999</v>
      </c>
      <c r="H2862" s="2">
        <v>3.650529E-3</v>
      </c>
      <c r="I2862" s="2" t="s">
        <v>33734</v>
      </c>
      <c r="J2862" s="2" t="s">
        <v>33735</v>
      </c>
      <c r="K2862" s="2">
        <v>1.6513811999999999E-2</v>
      </c>
      <c r="L2862" s="2" t="s">
        <v>1178</v>
      </c>
      <c r="M2862" s="4" t="s">
        <v>22679</v>
      </c>
    </row>
    <row r="2863" spans="1:13">
      <c r="A2863" s="2">
        <v>4606</v>
      </c>
      <c r="B2863" s="2" t="s">
        <v>24024</v>
      </c>
      <c r="C2863" s="2">
        <v>10</v>
      </c>
      <c r="D2863" s="2">
        <v>568</v>
      </c>
      <c r="E2863" s="2">
        <v>200</v>
      </c>
      <c r="F2863" s="2">
        <v>32441</v>
      </c>
      <c r="G2863" s="2">
        <v>2.8557218309999999</v>
      </c>
      <c r="H2863" s="2">
        <v>3.650529E-3</v>
      </c>
      <c r="I2863" s="2" t="s">
        <v>33736</v>
      </c>
      <c r="J2863" s="2" t="s">
        <v>33737</v>
      </c>
      <c r="K2863" s="2">
        <v>1.6513811999999999E-2</v>
      </c>
      <c r="L2863" s="2" t="s">
        <v>1178</v>
      </c>
      <c r="M2863" s="4" t="s">
        <v>24027</v>
      </c>
    </row>
    <row r="2864" spans="1:13">
      <c r="A2864" s="2">
        <v>4614</v>
      </c>
      <c r="B2864" s="2" t="s">
        <v>33738</v>
      </c>
      <c r="C2864" s="2">
        <v>10</v>
      </c>
      <c r="D2864" s="2">
        <v>568</v>
      </c>
      <c r="E2864" s="2">
        <v>200</v>
      </c>
      <c r="F2864" s="2">
        <v>32441</v>
      </c>
      <c r="G2864" s="2">
        <v>2.8557218309999999</v>
      </c>
      <c r="H2864" s="2">
        <v>3.650529E-3</v>
      </c>
      <c r="I2864" s="2" t="s">
        <v>33739</v>
      </c>
      <c r="J2864" s="2" t="s">
        <v>33740</v>
      </c>
      <c r="K2864" s="2">
        <v>1.6513811999999999E-2</v>
      </c>
      <c r="L2864" s="2" t="s">
        <v>1178</v>
      </c>
      <c r="M2864" s="4" t="s">
        <v>33741</v>
      </c>
    </row>
    <row r="2865" spans="1:13">
      <c r="A2865" s="2">
        <v>4618</v>
      </c>
      <c r="B2865" s="2" t="s">
        <v>15510</v>
      </c>
      <c r="C2865" s="2">
        <v>10</v>
      </c>
      <c r="D2865" s="2">
        <v>568</v>
      </c>
      <c r="E2865" s="2">
        <v>200</v>
      </c>
      <c r="F2865" s="2">
        <v>32441</v>
      </c>
      <c r="G2865" s="2">
        <v>2.8557218309999999</v>
      </c>
      <c r="H2865" s="2">
        <v>3.650529E-3</v>
      </c>
      <c r="I2865" s="2" t="s">
        <v>33742</v>
      </c>
      <c r="J2865" s="2" t="s">
        <v>33743</v>
      </c>
      <c r="K2865" s="2">
        <v>1.6513811999999999E-2</v>
      </c>
      <c r="L2865" s="2" t="s">
        <v>1178</v>
      </c>
      <c r="M2865" s="4" t="s">
        <v>15513</v>
      </c>
    </row>
    <row r="2866" spans="1:13">
      <c r="A2866" s="2">
        <v>4620</v>
      </c>
      <c r="B2866" s="2" t="s">
        <v>14610</v>
      </c>
      <c r="C2866" s="2">
        <v>10</v>
      </c>
      <c r="D2866" s="2">
        <v>568</v>
      </c>
      <c r="E2866" s="2">
        <v>200</v>
      </c>
      <c r="F2866" s="2">
        <v>32441</v>
      </c>
      <c r="G2866" s="2">
        <v>2.8557218309999999</v>
      </c>
      <c r="H2866" s="2">
        <v>3.650529E-3</v>
      </c>
      <c r="I2866" s="2" t="s">
        <v>33744</v>
      </c>
      <c r="J2866" s="2" t="s">
        <v>33745</v>
      </c>
      <c r="K2866" s="2">
        <v>1.6513811999999999E-2</v>
      </c>
      <c r="L2866" s="2" t="s">
        <v>1178</v>
      </c>
      <c r="M2866" s="4" t="s">
        <v>14613</v>
      </c>
    </row>
    <row r="2867" spans="1:13">
      <c r="A2867" s="2">
        <v>46311</v>
      </c>
      <c r="B2867" s="2" t="s">
        <v>19244</v>
      </c>
      <c r="C2867" s="2">
        <v>10</v>
      </c>
      <c r="D2867" s="2">
        <v>568</v>
      </c>
      <c r="E2867" s="2">
        <v>200</v>
      </c>
      <c r="F2867" s="2">
        <v>32441</v>
      </c>
      <c r="G2867" s="2">
        <v>2.8557218309999999</v>
      </c>
      <c r="H2867" s="2">
        <v>3.650529E-3</v>
      </c>
      <c r="I2867" s="2" t="s">
        <v>33746</v>
      </c>
      <c r="J2867" s="2" t="s">
        <v>33747</v>
      </c>
      <c r="K2867" s="2">
        <v>1.6513811999999999E-2</v>
      </c>
      <c r="L2867" s="2" t="s">
        <v>1178</v>
      </c>
      <c r="M2867" s="4" t="s">
        <v>19247</v>
      </c>
    </row>
    <row r="2868" spans="1:13">
      <c r="A2868" s="2">
        <v>4663</v>
      </c>
      <c r="B2868" s="2" t="s">
        <v>33748</v>
      </c>
      <c r="C2868" s="2">
        <v>10</v>
      </c>
      <c r="D2868" s="2">
        <v>568</v>
      </c>
      <c r="E2868" s="2">
        <v>199</v>
      </c>
      <c r="F2868" s="2">
        <v>32441</v>
      </c>
      <c r="G2868" s="2">
        <v>2.8700721919999999</v>
      </c>
      <c r="H2868" s="2">
        <v>3.5294599999999999E-3</v>
      </c>
      <c r="I2868" s="2" t="s">
        <v>33749</v>
      </c>
      <c r="J2868" s="2" t="s">
        <v>33750</v>
      </c>
      <c r="K2868" s="2">
        <v>1.6513811999999999E-2</v>
      </c>
      <c r="L2868" s="2" t="s">
        <v>1178</v>
      </c>
      <c r="M2868" s="4" t="s">
        <v>33751</v>
      </c>
    </row>
    <row r="2869" spans="1:13">
      <c r="A2869" s="2">
        <v>4674</v>
      </c>
      <c r="B2869" s="2" t="s">
        <v>33752</v>
      </c>
      <c r="C2869" s="2">
        <v>10</v>
      </c>
      <c r="D2869" s="2">
        <v>568</v>
      </c>
      <c r="E2869" s="2">
        <v>200</v>
      </c>
      <c r="F2869" s="2">
        <v>32441</v>
      </c>
      <c r="G2869" s="2">
        <v>2.8557218309999999</v>
      </c>
      <c r="H2869" s="2">
        <v>3.650529E-3</v>
      </c>
      <c r="I2869" s="2" t="s">
        <v>33753</v>
      </c>
      <c r="J2869" s="2" t="s">
        <v>33754</v>
      </c>
      <c r="K2869" s="2">
        <v>1.6513811999999999E-2</v>
      </c>
      <c r="L2869" s="2" t="s">
        <v>1178</v>
      </c>
      <c r="M2869" s="4" t="s">
        <v>33755</v>
      </c>
    </row>
    <row r="2870" spans="1:13">
      <c r="A2870" s="2">
        <v>47111</v>
      </c>
      <c r="B2870" s="2" t="s">
        <v>1770</v>
      </c>
      <c r="C2870" s="2">
        <v>10</v>
      </c>
      <c r="D2870" s="2">
        <v>568</v>
      </c>
      <c r="E2870" s="2">
        <v>200</v>
      </c>
      <c r="F2870" s="2">
        <v>32441</v>
      </c>
      <c r="G2870" s="2">
        <v>2.8557218309999999</v>
      </c>
      <c r="H2870" s="2">
        <v>3.650529E-3</v>
      </c>
      <c r="I2870" s="2" t="s">
        <v>33756</v>
      </c>
      <c r="J2870" s="2" t="s">
        <v>33757</v>
      </c>
      <c r="K2870" s="2">
        <v>1.6513811999999999E-2</v>
      </c>
      <c r="L2870" s="2" t="s">
        <v>1178</v>
      </c>
      <c r="M2870" s="4" t="s">
        <v>20247</v>
      </c>
    </row>
    <row r="2871" spans="1:13">
      <c r="A2871" s="2">
        <v>47352</v>
      </c>
      <c r="B2871" s="2" t="s">
        <v>21464</v>
      </c>
      <c r="C2871" s="2">
        <v>10</v>
      </c>
      <c r="D2871" s="2">
        <v>568</v>
      </c>
      <c r="E2871" s="2">
        <v>200</v>
      </c>
      <c r="F2871" s="2">
        <v>32441</v>
      </c>
      <c r="G2871" s="2">
        <v>2.8557218309999999</v>
      </c>
      <c r="H2871" s="2">
        <v>3.650529E-3</v>
      </c>
      <c r="I2871" s="2" t="s">
        <v>33758</v>
      </c>
      <c r="J2871" s="2" t="s">
        <v>33759</v>
      </c>
      <c r="K2871" s="2">
        <v>1.6513811999999999E-2</v>
      </c>
      <c r="L2871" s="2" t="s">
        <v>1178</v>
      </c>
      <c r="M2871" s="4" t="s">
        <v>21467</v>
      </c>
    </row>
    <row r="2872" spans="1:13">
      <c r="A2872" s="2">
        <v>4744</v>
      </c>
      <c r="B2872" s="2" t="s">
        <v>14215</v>
      </c>
      <c r="C2872" s="2">
        <v>10</v>
      </c>
      <c r="D2872" s="2">
        <v>568</v>
      </c>
      <c r="E2872" s="2">
        <v>200</v>
      </c>
      <c r="F2872" s="2">
        <v>32441</v>
      </c>
      <c r="G2872" s="2">
        <v>2.8557218309999999</v>
      </c>
      <c r="H2872" s="2">
        <v>3.650529E-3</v>
      </c>
      <c r="I2872" s="2" t="s">
        <v>33760</v>
      </c>
      <c r="J2872" s="2" t="s">
        <v>33761</v>
      </c>
      <c r="K2872" s="2">
        <v>1.6513811999999999E-2</v>
      </c>
      <c r="L2872" s="2" t="s">
        <v>1178</v>
      </c>
      <c r="M2872" s="4" t="s">
        <v>14218</v>
      </c>
    </row>
    <row r="2873" spans="1:13">
      <c r="A2873" s="2">
        <v>4749</v>
      </c>
      <c r="B2873" s="2" t="s">
        <v>1527</v>
      </c>
      <c r="C2873" s="2">
        <v>10</v>
      </c>
      <c r="D2873" s="2">
        <v>568</v>
      </c>
      <c r="E2873" s="2">
        <v>200</v>
      </c>
      <c r="F2873" s="2">
        <v>32441</v>
      </c>
      <c r="G2873" s="2">
        <v>2.8557218309999999</v>
      </c>
      <c r="H2873" s="2">
        <v>3.650529E-3</v>
      </c>
      <c r="I2873" s="2" t="s">
        <v>33762</v>
      </c>
      <c r="J2873" s="2" t="s">
        <v>33763</v>
      </c>
      <c r="K2873" s="2">
        <v>1.6513811999999999E-2</v>
      </c>
      <c r="L2873" s="2" t="s">
        <v>1178</v>
      </c>
      <c r="M2873" s="4" t="s">
        <v>22715</v>
      </c>
    </row>
    <row r="2874" spans="1:13">
      <c r="A2874" s="2">
        <v>4751</v>
      </c>
      <c r="B2874" s="2" t="s">
        <v>22716</v>
      </c>
      <c r="C2874" s="2">
        <v>10</v>
      </c>
      <c r="D2874" s="2">
        <v>568</v>
      </c>
      <c r="E2874" s="2">
        <v>200</v>
      </c>
      <c r="F2874" s="2">
        <v>32441</v>
      </c>
      <c r="G2874" s="2">
        <v>2.8557218309999999</v>
      </c>
      <c r="H2874" s="2">
        <v>3.650529E-3</v>
      </c>
      <c r="I2874" s="2" t="s">
        <v>33764</v>
      </c>
      <c r="J2874" s="2" t="s">
        <v>33765</v>
      </c>
      <c r="K2874" s="2">
        <v>1.6513811999999999E-2</v>
      </c>
      <c r="L2874" s="2" t="s">
        <v>1178</v>
      </c>
      <c r="M2874" s="4" t="s">
        <v>22719</v>
      </c>
    </row>
    <row r="2875" spans="1:13">
      <c r="A2875" s="2">
        <v>4787</v>
      </c>
      <c r="B2875" s="2" t="s">
        <v>18390</v>
      </c>
      <c r="C2875" s="2">
        <v>10</v>
      </c>
      <c r="D2875" s="2">
        <v>568</v>
      </c>
      <c r="E2875" s="2">
        <v>200</v>
      </c>
      <c r="F2875" s="2">
        <v>32441</v>
      </c>
      <c r="G2875" s="2">
        <v>2.8557218309999999</v>
      </c>
      <c r="H2875" s="2">
        <v>3.650529E-3</v>
      </c>
      <c r="I2875" s="2" t="s">
        <v>33766</v>
      </c>
      <c r="J2875" s="2" t="s">
        <v>33767</v>
      </c>
      <c r="K2875" s="2">
        <v>1.6513811999999999E-2</v>
      </c>
      <c r="L2875" s="2" t="s">
        <v>1178</v>
      </c>
      <c r="M2875" s="4" t="s">
        <v>18393</v>
      </c>
    </row>
    <row r="2876" spans="1:13">
      <c r="A2876" s="2">
        <v>4792</v>
      </c>
      <c r="B2876" s="2" t="s">
        <v>15038</v>
      </c>
      <c r="C2876" s="2">
        <v>10</v>
      </c>
      <c r="D2876" s="2">
        <v>568</v>
      </c>
      <c r="E2876" s="2">
        <v>200</v>
      </c>
      <c r="F2876" s="2">
        <v>32441</v>
      </c>
      <c r="G2876" s="2">
        <v>2.8557218309999999</v>
      </c>
      <c r="H2876" s="2">
        <v>3.650529E-3</v>
      </c>
      <c r="I2876" s="2" t="s">
        <v>33768</v>
      </c>
      <c r="J2876" s="2" t="s">
        <v>33769</v>
      </c>
      <c r="K2876" s="2">
        <v>1.6513811999999999E-2</v>
      </c>
      <c r="L2876" s="2" t="s">
        <v>1178</v>
      </c>
      <c r="M2876" s="4" t="s">
        <v>15041</v>
      </c>
    </row>
    <row r="2877" spans="1:13">
      <c r="A2877" s="2">
        <v>4796</v>
      </c>
      <c r="B2877" s="2" t="s">
        <v>2733</v>
      </c>
      <c r="C2877" s="2">
        <v>10</v>
      </c>
      <c r="D2877" s="2">
        <v>568</v>
      </c>
      <c r="E2877" s="2">
        <v>200</v>
      </c>
      <c r="F2877" s="2">
        <v>32441</v>
      </c>
      <c r="G2877" s="2">
        <v>2.8557218309999999</v>
      </c>
      <c r="H2877" s="2">
        <v>3.650529E-3</v>
      </c>
      <c r="I2877" s="2" t="s">
        <v>33770</v>
      </c>
      <c r="J2877" s="2" t="s">
        <v>33771</v>
      </c>
      <c r="K2877" s="2">
        <v>1.6513811999999999E-2</v>
      </c>
      <c r="L2877" s="2" t="s">
        <v>1178</v>
      </c>
      <c r="M2877" s="4" t="s">
        <v>16836</v>
      </c>
    </row>
    <row r="2878" spans="1:13">
      <c r="A2878" s="2">
        <v>4802</v>
      </c>
      <c r="B2878" s="2" t="s">
        <v>33772</v>
      </c>
      <c r="C2878" s="2">
        <v>10</v>
      </c>
      <c r="D2878" s="2">
        <v>568</v>
      </c>
      <c r="E2878" s="2">
        <v>200</v>
      </c>
      <c r="F2878" s="2">
        <v>32441</v>
      </c>
      <c r="G2878" s="2">
        <v>2.8557218309999999</v>
      </c>
      <c r="H2878" s="2">
        <v>3.650529E-3</v>
      </c>
      <c r="I2878" s="2" t="s">
        <v>33773</v>
      </c>
      <c r="J2878" s="2" t="s">
        <v>33774</v>
      </c>
      <c r="K2878" s="2">
        <v>1.6513811999999999E-2</v>
      </c>
      <c r="L2878" s="2" t="s">
        <v>1178</v>
      </c>
      <c r="M2878" s="4" t="s">
        <v>33775</v>
      </c>
    </row>
    <row r="2879" spans="1:13">
      <c r="A2879" s="2">
        <v>4847</v>
      </c>
      <c r="B2879" s="2" t="s">
        <v>33776</v>
      </c>
      <c r="C2879" s="2">
        <v>10</v>
      </c>
      <c r="D2879" s="2">
        <v>568</v>
      </c>
      <c r="E2879" s="2">
        <v>200</v>
      </c>
      <c r="F2879" s="2">
        <v>32441</v>
      </c>
      <c r="G2879" s="2">
        <v>2.8557218309999999</v>
      </c>
      <c r="H2879" s="2">
        <v>3.650529E-3</v>
      </c>
      <c r="I2879" s="2" t="s">
        <v>33777</v>
      </c>
      <c r="J2879" s="2" t="s">
        <v>33778</v>
      </c>
      <c r="K2879" s="2">
        <v>1.6513811999999999E-2</v>
      </c>
      <c r="L2879" s="2" t="s">
        <v>1178</v>
      </c>
      <c r="M2879" s="4" t="s">
        <v>33779</v>
      </c>
    </row>
    <row r="2880" spans="1:13">
      <c r="A2880" s="2">
        <v>4862</v>
      </c>
      <c r="B2880" s="2" t="s">
        <v>1989</v>
      </c>
      <c r="C2880" s="2">
        <v>10</v>
      </c>
      <c r="D2880" s="2">
        <v>568</v>
      </c>
      <c r="E2880" s="2">
        <v>199</v>
      </c>
      <c r="F2880" s="2">
        <v>32441</v>
      </c>
      <c r="G2880" s="2">
        <v>2.8700721919999999</v>
      </c>
      <c r="H2880" s="2">
        <v>3.5294599999999999E-3</v>
      </c>
      <c r="I2880" s="2" t="s">
        <v>33780</v>
      </c>
      <c r="J2880" s="2" t="s">
        <v>33781</v>
      </c>
      <c r="K2880" s="2">
        <v>1.6513811999999999E-2</v>
      </c>
      <c r="L2880" s="2" t="s">
        <v>1178</v>
      </c>
      <c r="M2880" s="4" t="s">
        <v>33782</v>
      </c>
    </row>
    <row r="2881" spans="1:13">
      <c r="A2881" s="2">
        <v>24721</v>
      </c>
      <c r="B2881" s="2" t="s">
        <v>14648</v>
      </c>
      <c r="C2881" s="2">
        <v>9</v>
      </c>
      <c r="D2881" s="2">
        <v>568</v>
      </c>
      <c r="E2881" s="2">
        <v>168</v>
      </c>
      <c r="F2881" s="2">
        <v>32441</v>
      </c>
      <c r="G2881" s="2">
        <v>3.0597019620000001</v>
      </c>
      <c r="H2881" s="2">
        <v>3.714991E-3</v>
      </c>
      <c r="I2881" s="2" t="s">
        <v>33783</v>
      </c>
      <c r="J2881" s="2" t="s">
        <v>33784</v>
      </c>
      <c r="K2881" s="2">
        <v>1.6789829999999999E-2</v>
      </c>
      <c r="L2881" s="2" t="s">
        <v>1178</v>
      </c>
      <c r="M2881" s="4" t="s">
        <v>14651</v>
      </c>
    </row>
    <row r="2882" spans="1:13">
      <c r="A2882" s="2">
        <v>4080</v>
      </c>
      <c r="B2882" s="2" t="s">
        <v>17698</v>
      </c>
      <c r="C2882" s="2">
        <v>9</v>
      </c>
      <c r="D2882" s="2">
        <v>568</v>
      </c>
      <c r="E2882" s="2">
        <v>169</v>
      </c>
      <c r="F2882" s="2">
        <v>32441</v>
      </c>
      <c r="G2882" s="2">
        <v>3.041597216</v>
      </c>
      <c r="H2882" s="2">
        <v>3.8548419999999998E-3</v>
      </c>
      <c r="I2882" s="2" t="s">
        <v>33785</v>
      </c>
      <c r="J2882" s="2" t="s">
        <v>33786</v>
      </c>
      <c r="K2882" s="2">
        <v>1.7405736000000002E-2</v>
      </c>
      <c r="L2882" s="2" t="s">
        <v>1178</v>
      </c>
      <c r="M2882" s="4" t="s">
        <v>17701</v>
      </c>
    </row>
    <row r="2883" spans="1:13">
      <c r="A2883" s="2">
        <v>2793</v>
      </c>
      <c r="B2883" s="2" t="s">
        <v>18113</v>
      </c>
      <c r="C2883" s="2">
        <v>9</v>
      </c>
      <c r="D2883" s="2">
        <v>568</v>
      </c>
      <c r="E2883" s="2">
        <v>170</v>
      </c>
      <c r="F2883" s="2">
        <v>32441</v>
      </c>
      <c r="G2883" s="2">
        <v>3.0237054680000002</v>
      </c>
      <c r="H2883" s="2">
        <v>3.9987809999999999E-3</v>
      </c>
      <c r="I2883" s="2" t="s">
        <v>33787</v>
      </c>
      <c r="J2883" s="2" t="s">
        <v>33788</v>
      </c>
      <c r="K2883" s="2">
        <v>1.8038943000000002E-2</v>
      </c>
      <c r="L2883" s="2" t="s">
        <v>1178</v>
      </c>
      <c r="M2883" s="4" t="s">
        <v>18116</v>
      </c>
    </row>
    <row r="2884" spans="1:13">
      <c r="A2884" s="2">
        <v>3652</v>
      </c>
      <c r="B2884" s="2" t="s">
        <v>13401</v>
      </c>
      <c r="C2884" s="2">
        <v>9</v>
      </c>
      <c r="D2884" s="2">
        <v>568</v>
      </c>
      <c r="E2884" s="2">
        <v>171</v>
      </c>
      <c r="F2884" s="2">
        <v>32441</v>
      </c>
      <c r="G2884" s="2">
        <v>3.00602298</v>
      </c>
      <c r="H2884" s="2">
        <v>4.1468879999999996E-3</v>
      </c>
      <c r="I2884" s="2" t="s">
        <v>33789</v>
      </c>
      <c r="J2884" s="2" t="s">
        <v>33790</v>
      </c>
      <c r="K2884" s="2">
        <v>1.8689766E-2</v>
      </c>
      <c r="L2884" s="2" t="s">
        <v>1178</v>
      </c>
      <c r="M2884" s="4" t="s">
        <v>13404</v>
      </c>
    </row>
    <row r="2885" spans="1:13">
      <c r="A2885" s="2">
        <v>2508</v>
      </c>
      <c r="B2885" s="2" t="s">
        <v>3157</v>
      </c>
      <c r="C2885" s="2">
        <v>8</v>
      </c>
      <c r="D2885" s="2">
        <v>568</v>
      </c>
      <c r="E2885" s="2">
        <v>142</v>
      </c>
      <c r="F2885" s="2">
        <v>32441</v>
      </c>
      <c r="G2885" s="2">
        <v>3.2177147389999998</v>
      </c>
      <c r="H2885" s="2">
        <v>4.5779779999999999E-3</v>
      </c>
      <c r="I2885" s="2" t="s">
        <v>33791</v>
      </c>
      <c r="J2885" s="2" t="s">
        <v>33792</v>
      </c>
      <c r="K2885" s="2">
        <v>2.0613593999999999E-2</v>
      </c>
      <c r="L2885" s="2" t="s">
        <v>1178</v>
      </c>
      <c r="M2885" s="4" t="s">
        <v>3160</v>
      </c>
    </row>
    <row r="2886" spans="1:13">
      <c r="A2886" s="2">
        <v>4258</v>
      </c>
      <c r="B2886" s="2" t="s">
        <v>14255</v>
      </c>
      <c r="C2886" s="2">
        <v>8</v>
      </c>
      <c r="D2886" s="2">
        <v>568</v>
      </c>
      <c r="E2886" s="2">
        <v>145</v>
      </c>
      <c r="F2886" s="2">
        <v>32441</v>
      </c>
      <c r="G2886" s="2">
        <v>3.1511413309999998</v>
      </c>
      <c r="H2886" s="2">
        <v>5.151096E-3</v>
      </c>
      <c r="I2886" s="2" t="s">
        <v>33793</v>
      </c>
      <c r="J2886" s="2" t="s">
        <v>33794</v>
      </c>
      <c r="K2886" s="2">
        <v>2.3172795999999999E-2</v>
      </c>
      <c r="L2886" s="2" t="s">
        <v>1178</v>
      </c>
      <c r="M2886" s="4" t="s">
        <v>14258</v>
      </c>
    </row>
    <row r="2887" spans="1:13">
      <c r="A2887" s="2">
        <v>2544</v>
      </c>
      <c r="B2887" s="2" t="s">
        <v>13540</v>
      </c>
      <c r="C2887" s="2">
        <v>9</v>
      </c>
      <c r="D2887" s="2">
        <v>568</v>
      </c>
      <c r="E2887" s="2">
        <v>179</v>
      </c>
      <c r="F2887" s="2">
        <v>32441</v>
      </c>
      <c r="G2887" s="2">
        <v>2.8716755840000001</v>
      </c>
      <c r="H2887" s="2">
        <v>5.491643E-3</v>
      </c>
      <c r="I2887" s="2" t="s">
        <v>33795</v>
      </c>
      <c r="J2887" s="2" t="s">
        <v>33796</v>
      </c>
      <c r="K2887" s="2">
        <v>2.4681998E-2</v>
      </c>
      <c r="L2887" s="2" t="s">
        <v>1178</v>
      </c>
      <c r="M2887" s="4" t="s">
        <v>13543</v>
      </c>
    </row>
    <row r="2888" spans="1:13">
      <c r="A2888" s="2">
        <v>2719</v>
      </c>
      <c r="B2888" s="2" t="s">
        <v>20307</v>
      </c>
      <c r="C2888" s="2">
        <v>8</v>
      </c>
      <c r="D2888" s="2">
        <v>568</v>
      </c>
      <c r="E2888" s="2">
        <v>149</v>
      </c>
      <c r="F2888" s="2">
        <v>32441</v>
      </c>
      <c r="G2888" s="2">
        <v>3.0665469330000001</v>
      </c>
      <c r="H2888" s="2">
        <v>5.998677E-3</v>
      </c>
      <c r="I2888" s="2" t="s">
        <v>33797</v>
      </c>
      <c r="J2888" s="2" t="s">
        <v>33798</v>
      </c>
      <c r="K2888" s="2">
        <v>2.6911191000000001E-2</v>
      </c>
      <c r="L2888" s="2" t="s">
        <v>1178</v>
      </c>
      <c r="M2888" s="4" t="s">
        <v>20310</v>
      </c>
    </row>
    <row r="2889" spans="1:13">
      <c r="A2889" s="2">
        <v>28041</v>
      </c>
      <c r="B2889" s="2" t="s">
        <v>19326</v>
      </c>
      <c r="C2889" s="2">
        <v>8</v>
      </c>
      <c r="D2889" s="2">
        <v>568</v>
      </c>
      <c r="E2889" s="2">
        <v>149</v>
      </c>
      <c r="F2889" s="2">
        <v>32441</v>
      </c>
      <c r="G2889" s="2">
        <v>3.0665469330000001</v>
      </c>
      <c r="H2889" s="2">
        <v>5.998677E-3</v>
      </c>
      <c r="I2889" s="2" t="s">
        <v>33799</v>
      </c>
      <c r="J2889" s="2" t="s">
        <v>33800</v>
      </c>
      <c r="K2889" s="2">
        <v>2.6911191000000001E-2</v>
      </c>
      <c r="L2889" s="2" t="s">
        <v>1178</v>
      </c>
      <c r="M2889" s="4" t="s">
        <v>19329</v>
      </c>
    </row>
    <row r="2890" spans="1:13">
      <c r="A2890" s="2">
        <v>4199</v>
      </c>
      <c r="B2890" s="2" t="s">
        <v>33801</v>
      </c>
      <c r="C2890" s="2">
        <v>9</v>
      </c>
      <c r="D2890" s="2">
        <v>568</v>
      </c>
      <c r="E2890" s="2">
        <v>185</v>
      </c>
      <c r="F2890" s="2">
        <v>32441</v>
      </c>
      <c r="G2890" s="2">
        <v>2.7785401599999999</v>
      </c>
      <c r="H2890" s="2">
        <v>6.7043609999999998E-3</v>
      </c>
      <c r="I2890" s="2" t="s">
        <v>33802</v>
      </c>
      <c r="J2890" s="2" t="s">
        <v>33803</v>
      </c>
      <c r="K2890" s="2">
        <v>3.0049353000000001E-2</v>
      </c>
      <c r="L2890" s="2" t="s">
        <v>1178</v>
      </c>
      <c r="M2890" s="4" t="s">
        <v>33804</v>
      </c>
    </row>
    <row r="2891" spans="1:13">
      <c r="A2891" s="2">
        <v>40241</v>
      </c>
      <c r="B2891" s="2" t="s">
        <v>21552</v>
      </c>
      <c r="C2891" s="2">
        <v>8</v>
      </c>
      <c r="D2891" s="2">
        <v>568</v>
      </c>
      <c r="E2891" s="2">
        <v>153</v>
      </c>
      <c r="F2891" s="2">
        <v>32441</v>
      </c>
      <c r="G2891" s="2">
        <v>2.9863757710000001</v>
      </c>
      <c r="H2891" s="2">
        <v>6.9482700000000003E-3</v>
      </c>
      <c r="I2891" s="2" t="s">
        <v>33805</v>
      </c>
      <c r="J2891" s="2" t="s">
        <v>33806</v>
      </c>
      <c r="K2891" s="2">
        <v>3.1113941999999999E-2</v>
      </c>
      <c r="L2891" s="2" t="s">
        <v>1178</v>
      </c>
      <c r="M2891" s="4" t="s">
        <v>21555</v>
      </c>
    </row>
    <row r="2892" spans="1:13">
      <c r="A2892" s="2">
        <v>2497</v>
      </c>
      <c r="B2892" s="2" t="s">
        <v>33807</v>
      </c>
      <c r="C2892" s="2">
        <v>9</v>
      </c>
      <c r="D2892" s="2">
        <v>568</v>
      </c>
      <c r="E2892" s="2">
        <v>187</v>
      </c>
      <c r="F2892" s="2">
        <v>32441</v>
      </c>
      <c r="G2892" s="2">
        <v>2.748823153</v>
      </c>
      <c r="H2892" s="2">
        <v>7.1511350000000003E-3</v>
      </c>
      <c r="I2892" s="2" t="s">
        <v>33808</v>
      </c>
      <c r="J2892" s="2" t="s">
        <v>33809</v>
      </c>
      <c r="K2892" s="2">
        <v>3.1992957000000002E-2</v>
      </c>
      <c r="L2892" s="2" t="s">
        <v>1178</v>
      </c>
      <c r="M2892" s="4" t="s">
        <v>33810</v>
      </c>
    </row>
    <row r="2893" spans="1:13">
      <c r="A2893" s="2">
        <v>25361</v>
      </c>
      <c r="B2893" s="2" t="s">
        <v>33811</v>
      </c>
      <c r="C2893" s="2">
        <v>8</v>
      </c>
      <c r="D2893" s="2">
        <v>568</v>
      </c>
      <c r="E2893" s="2">
        <v>155</v>
      </c>
      <c r="F2893" s="2">
        <v>32441</v>
      </c>
      <c r="G2893" s="2">
        <v>2.9478418899999999</v>
      </c>
      <c r="H2893" s="2">
        <v>7.4636149999999998E-3</v>
      </c>
      <c r="I2893" s="2" t="s">
        <v>33812</v>
      </c>
      <c r="J2893" s="2" t="s">
        <v>33813</v>
      </c>
      <c r="K2893" s="2">
        <v>3.3360306999999999E-2</v>
      </c>
      <c r="L2893" s="2" t="s">
        <v>1178</v>
      </c>
      <c r="M2893" s="4" t="s">
        <v>33814</v>
      </c>
    </row>
    <row r="2894" spans="1:13">
      <c r="A2894" s="2">
        <v>2565</v>
      </c>
      <c r="B2894" s="2" t="s">
        <v>20366</v>
      </c>
      <c r="C2894" s="2">
        <v>8</v>
      </c>
      <c r="D2894" s="2">
        <v>568</v>
      </c>
      <c r="E2894" s="2">
        <v>158</v>
      </c>
      <c r="F2894" s="2">
        <v>32441</v>
      </c>
      <c r="G2894" s="2">
        <v>2.8918702089999999</v>
      </c>
      <c r="H2894" s="2">
        <v>8.2899189999999998E-3</v>
      </c>
      <c r="I2894" s="2" t="s">
        <v>33815</v>
      </c>
      <c r="J2894" s="2" t="s">
        <v>33816</v>
      </c>
      <c r="K2894" s="2">
        <v>3.7019692999999999E-2</v>
      </c>
      <c r="L2894" s="2" t="s">
        <v>1178</v>
      </c>
      <c r="M2894" s="4" t="s">
        <v>20369</v>
      </c>
    </row>
    <row r="2895" spans="1:13">
      <c r="A2895" s="2">
        <v>315</v>
      </c>
      <c r="B2895" s="2" t="s">
        <v>1638</v>
      </c>
      <c r="C2895" s="2">
        <v>9</v>
      </c>
      <c r="D2895" s="2">
        <v>568</v>
      </c>
      <c r="E2895" s="2">
        <v>200</v>
      </c>
      <c r="F2895" s="2">
        <v>32441</v>
      </c>
      <c r="G2895" s="2">
        <v>2.5701496480000001</v>
      </c>
      <c r="H2895" s="2">
        <v>1.0633287999999999E-2</v>
      </c>
      <c r="I2895" s="2" t="s">
        <v>33817</v>
      </c>
      <c r="J2895" s="2" t="s">
        <v>33818</v>
      </c>
      <c r="K2895" s="2">
        <v>3.8317589999999999E-2</v>
      </c>
      <c r="L2895" s="2" t="s">
        <v>1178</v>
      </c>
      <c r="M2895" s="4" t="s">
        <v>19413</v>
      </c>
    </row>
    <row r="2896" spans="1:13">
      <c r="A2896" s="2">
        <v>18</v>
      </c>
      <c r="B2896" s="2" t="s">
        <v>1458</v>
      </c>
      <c r="C2896" s="2">
        <v>9</v>
      </c>
      <c r="D2896" s="2">
        <v>568</v>
      </c>
      <c r="E2896" s="2">
        <v>200</v>
      </c>
      <c r="F2896" s="2">
        <v>32441</v>
      </c>
      <c r="G2896" s="2">
        <v>2.5701496480000001</v>
      </c>
      <c r="H2896" s="2">
        <v>1.0633287999999999E-2</v>
      </c>
      <c r="I2896" s="2" t="s">
        <v>33819</v>
      </c>
      <c r="J2896" s="2" t="s">
        <v>33820</v>
      </c>
      <c r="K2896" s="2">
        <v>3.8317589999999999E-2</v>
      </c>
      <c r="L2896" s="2" t="s">
        <v>1178</v>
      </c>
      <c r="M2896" s="4" t="s">
        <v>15606</v>
      </c>
    </row>
    <row r="2897" spans="1:13">
      <c r="A2897" s="2">
        <v>471</v>
      </c>
      <c r="B2897" s="2" t="s">
        <v>1644</v>
      </c>
      <c r="C2897" s="2">
        <v>9</v>
      </c>
      <c r="D2897" s="2">
        <v>568</v>
      </c>
      <c r="E2897" s="2">
        <v>200</v>
      </c>
      <c r="F2897" s="2">
        <v>32441</v>
      </c>
      <c r="G2897" s="2">
        <v>2.5701496480000001</v>
      </c>
      <c r="H2897" s="2">
        <v>1.0633287999999999E-2</v>
      </c>
      <c r="I2897" s="2" t="s">
        <v>33821</v>
      </c>
      <c r="J2897" s="2" t="s">
        <v>33822</v>
      </c>
      <c r="K2897" s="2">
        <v>3.8317589999999999E-2</v>
      </c>
      <c r="L2897" s="2" t="s">
        <v>1178</v>
      </c>
      <c r="M2897" s="4" t="s">
        <v>20416</v>
      </c>
    </row>
    <row r="2898" spans="1:13">
      <c r="A2898" s="2">
        <v>59</v>
      </c>
      <c r="B2898" s="2" t="s">
        <v>33823</v>
      </c>
      <c r="C2898" s="2">
        <v>9</v>
      </c>
      <c r="D2898" s="2">
        <v>568</v>
      </c>
      <c r="E2898" s="2">
        <v>200</v>
      </c>
      <c r="F2898" s="2">
        <v>32441</v>
      </c>
      <c r="G2898" s="2">
        <v>2.5701496480000001</v>
      </c>
      <c r="H2898" s="2">
        <v>1.0633287999999999E-2</v>
      </c>
      <c r="I2898" s="2" t="s">
        <v>33824</v>
      </c>
      <c r="J2898" s="2" t="s">
        <v>33825</v>
      </c>
      <c r="K2898" s="2">
        <v>3.8317589999999999E-2</v>
      </c>
      <c r="L2898" s="2" t="s">
        <v>1178</v>
      </c>
      <c r="M2898" s="4" t="s">
        <v>33826</v>
      </c>
    </row>
    <row r="2899" spans="1:13">
      <c r="A2899" s="2">
        <v>633</v>
      </c>
      <c r="B2899" s="2" t="s">
        <v>19420</v>
      </c>
      <c r="C2899" s="2">
        <v>9</v>
      </c>
      <c r="D2899" s="2">
        <v>568</v>
      </c>
      <c r="E2899" s="2">
        <v>200</v>
      </c>
      <c r="F2899" s="2">
        <v>32441</v>
      </c>
      <c r="G2899" s="2">
        <v>2.5701496480000001</v>
      </c>
      <c r="H2899" s="2">
        <v>1.0633287999999999E-2</v>
      </c>
      <c r="I2899" s="2" t="s">
        <v>33827</v>
      </c>
      <c r="J2899" s="2" t="s">
        <v>33828</v>
      </c>
      <c r="K2899" s="2">
        <v>3.8317589999999999E-2</v>
      </c>
      <c r="L2899" s="2" t="s">
        <v>1178</v>
      </c>
      <c r="M2899" s="4" t="s">
        <v>19423</v>
      </c>
    </row>
    <row r="2900" spans="1:13">
      <c r="A2900" s="2">
        <v>1251</v>
      </c>
      <c r="B2900" s="2" t="s">
        <v>2013</v>
      </c>
      <c r="C2900" s="2">
        <v>9</v>
      </c>
      <c r="D2900" s="2">
        <v>568</v>
      </c>
      <c r="E2900" s="2">
        <v>200</v>
      </c>
      <c r="F2900" s="2">
        <v>32441</v>
      </c>
      <c r="G2900" s="2">
        <v>2.5701496480000001</v>
      </c>
      <c r="H2900" s="2">
        <v>1.0633287999999999E-2</v>
      </c>
      <c r="I2900" s="2" t="s">
        <v>33829</v>
      </c>
      <c r="J2900" s="2" t="s">
        <v>33830</v>
      </c>
      <c r="K2900" s="2">
        <v>3.8317589999999999E-2</v>
      </c>
      <c r="L2900" s="2" t="s">
        <v>1178</v>
      </c>
      <c r="M2900" s="4" t="s">
        <v>18501</v>
      </c>
    </row>
    <row r="2901" spans="1:13">
      <c r="A2901" s="2">
        <v>1331</v>
      </c>
      <c r="B2901" s="2" t="s">
        <v>33831</v>
      </c>
      <c r="C2901" s="2">
        <v>9</v>
      </c>
      <c r="D2901" s="2">
        <v>568</v>
      </c>
      <c r="E2901" s="2">
        <v>200</v>
      </c>
      <c r="F2901" s="2">
        <v>32441</v>
      </c>
      <c r="G2901" s="2">
        <v>2.5701496480000001</v>
      </c>
      <c r="H2901" s="2">
        <v>1.0633287999999999E-2</v>
      </c>
      <c r="I2901" s="2" t="s">
        <v>33832</v>
      </c>
      <c r="J2901" s="2" t="s">
        <v>33833</v>
      </c>
      <c r="K2901" s="2">
        <v>3.8317589999999999E-2</v>
      </c>
      <c r="L2901" s="2" t="s">
        <v>1178</v>
      </c>
      <c r="M2901" s="4" t="s">
        <v>33834</v>
      </c>
    </row>
    <row r="2902" spans="1:13">
      <c r="A2902" s="2">
        <v>137</v>
      </c>
      <c r="B2902" s="2" t="s">
        <v>12456</v>
      </c>
      <c r="C2902" s="2">
        <v>9</v>
      </c>
      <c r="D2902" s="2">
        <v>568</v>
      </c>
      <c r="E2902" s="2">
        <v>200</v>
      </c>
      <c r="F2902" s="2">
        <v>32441</v>
      </c>
      <c r="G2902" s="2">
        <v>2.5701496480000001</v>
      </c>
      <c r="H2902" s="2">
        <v>1.0633287999999999E-2</v>
      </c>
      <c r="I2902" s="2" t="s">
        <v>33835</v>
      </c>
      <c r="J2902" s="2" t="s">
        <v>33836</v>
      </c>
      <c r="K2902" s="2">
        <v>3.8317589999999999E-2</v>
      </c>
      <c r="L2902" s="2" t="s">
        <v>1178</v>
      </c>
      <c r="M2902" s="4" t="s">
        <v>12459</v>
      </c>
    </row>
    <row r="2903" spans="1:13">
      <c r="A2903" s="2">
        <v>1381</v>
      </c>
      <c r="B2903" s="2" t="s">
        <v>33837</v>
      </c>
      <c r="C2903" s="2">
        <v>9</v>
      </c>
      <c r="D2903" s="2">
        <v>568</v>
      </c>
      <c r="E2903" s="2">
        <v>200</v>
      </c>
      <c r="F2903" s="2">
        <v>32441</v>
      </c>
      <c r="G2903" s="2">
        <v>2.5701496480000001</v>
      </c>
      <c r="H2903" s="2">
        <v>1.0633287999999999E-2</v>
      </c>
      <c r="I2903" s="2" t="s">
        <v>33838</v>
      </c>
      <c r="J2903" s="2" t="s">
        <v>33839</v>
      </c>
      <c r="K2903" s="2">
        <v>3.8317589999999999E-2</v>
      </c>
      <c r="L2903" s="2" t="s">
        <v>1178</v>
      </c>
      <c r="M2903" s="4" t="s">
        <v>33840</v>
      </c>
    </row>
    <row r="2904" spans="1:13">
      <c r="A2904" s="2">
        <v>159</v>
      </c>
      <c r="B2904" s="2" t="s">
        <v>12666</v>
      </c>
      <c r="C2904" s="2">
        <v>9</v>
      </c>
      <c r="D2904" s="2">
        <v>568</v>
      </c>
      <c r="E2904" s="2">
        <v>200</v>
      </c>
      <c r="F2904" s="2">
        <v>32441</v>
      </c>
      <c r="G2904" s="2">
        <v>2.5701496480000001</v>
      </c>
      <c r="H2904" s="2">
        <v>1.0633287999999999E-2</v>
      </c>
      <c r="I2904" s="2" t="s">
        <v>33841</v>
      </c>
      <c r="J2904" s="2" t="s">
        <v>33842</v>
      </c>
      <c r="K2904" s="2">
        <v>3.8317589999999999E-2</v>
      </c>
      <c r="L2904" s="2" t="s">
        <v>1178</v>
      </c>
      <c r="M2904" s="4" t="s">
        <v>12669</v>
      </c>
    </row>
    <row r="2905" spans="1:13">
      <c r="A2905" s="2">
        <v>1711</v>
      </c>
      <c r="B2905" s="2" t="s">
        <v>1647</v>
      </c>
      <c r="C2905" s="2">
        <v>9</v>
      </c>
      <c r="D2905" s="2">
        <v>568</v>
      </c>
      <c r="E2905" s="2">
        <v>200</v>
      </c>
      <c r="F2905" s="2">
        <v>32441</v>
      </c>
      <c r="G2905" s="2">
        <v>2.5701496480000001</v>
      </c>
      <c r="H2905" s="2">
        <v>1.0633287999999999E-2</v>
      </c>
      <c r="I2905" s="2" t="s">
        <v>33843</v>
      </c>
      <c r="J2905" s="2" t="s">
        <v>33844</v>
      </c>
      <c r="K2905" s="2">
        <v>3.8317589999999999E-2</v>
      </c>
      <c r="L2905" s="2" t="s">
        <v>1178</v>
      </c>
      <c r="M2905" s="4" t="s">
        <v>16273</v>
      </c>
    </row>
    <row r="2906" spans="1:13">
      <c r="A2906" s="2">
        <v>1852</v>
      </c>
      <c r="B2906" s="2" t="s">
        <v>19446</v>
      </c>
      <c r="C2906" s="2">
        <v>9</v>
      </c>
      <c r="D2906" s="2">
        <v>568</v>
      </c>
      <c r="E2906" s="2">
        <v>200</v>
      </c>
      <c r="F2906" s="2">
        <v>32441</v>
      </c>
      <c r="G2906" s="2">
        <v>2.5701496480000001</v>
      </c>
      <c r="H2906" s="2">
        <v>1.0633287999999999E-2</v>
      </c>
      <c r="I2906" s="2" t="s">
        <v>33845</v>
      </c>
      <c r="J2906" s="2" t="s">
        <v>33846</v>
      </c>
      <c r="K2906" s="2">
        <v>3.8317589999999999E-2</v>
      </c>
      <c r="L2906" s="2" t="s">
        <v>1178</v>
      </c>
      <c r="M2906" s="4" t="s">
        <v>19449</v>
      </c>
    </row>
    <row r="2907" spans="1:13">
      <c r="A2907" s="2">
        <v>2091</v>
      </c>
      <c r="B2907" s="2" t="s">
        <v>33847</v>
      </c>
      <c r="C2907" s="2">
        <v>9</v>
      </c>
      <c r="D2907" s="2">
        <v>568</v>
      </c>
      <c r="E2907" s="2">
        <v>200</v>
      </c>
      <c r="F2907" s="2">
        <v>32441</v>
      </c>
      <c r="G2907" s="2">
        <v>2.5701496480000001</v>
      </c>
      <c r="H2907" s="2">
        <v>1.0633287999999999E-2</v>
      </c>
      <c r="I2907" s="2" t="s">
        <v>33848</v>
      </c>
      <c r="J2907" s="2" t="s">
        <v>33849</v>
      </c>
      <c r="K2907" s="2">
        <v>3.8317589999999999E-2</v>
      </c>
      <c r="L2907" s="2" t="s">
        <v>1178</v>
      </c>
      <c r="M2907" s="4" t="s">
        <v>33850</v>
      </c>
    </row>
    <row r="2908" spans="1:13">
      <c r="A2908" s="2">
        <v>2123</v>
      </c>
      <c r="B2908" s="2" t="s">
        <v>22901</v>
      </c>
      <c r="C2908" s="2">
        <v>9</v>
      </c>
      <c r="D2908" s="2">
        <v>568</v>
      </c>
      <c r="E2908" s="2">
        <v>200</v>
      </c>
      <c r="F2908" s="2">
        <v>32441</v>
      </c>
      <c r="G2908" s="2">
        <v>2.5701496480000001</v>
      </c>
      <c r="H2908" s="2">
        <v>1.0633287999999999E-2</v>
      </c>
      <c r="I2908" s="2" t="s">
        <v>33851</v>
      </c>
      <c r="J2908" s="2" t="s">
        <v>33852</v>
      </c>
      <c r="K2908" s="2">
        <v>3.8317589999999999E-2</v>
      </c>
      <c r="L2908" s="2" t="s">
        <v>1178</v>
      </c>
      <c r="M2908" s="4" t="s">
        <v>22904</v>
      </c>
    </row>
    <row r="2909" spans="1:13">
      <c r="A2909" s="2">
        <v>2662</v>
      </c>
      <c r="B2909" s="2" t="s">
        <v>22917</v>
      </c>
      <c r="C2909" s="2">
        <v>9</v>
      </c>
      <c r="D2909" s="2">
        <v>568</v>
      </c>
      <c r="E2909" s="2">
        <v>200</v>
      </c>
      <c r="F2909" s="2">
        <v>32441</v>
      </c>
      <c r="G2909" s="2">
        <v>2.5701496480000001</v>
      </c>
      <c r="H2909" s="2">
        <v>1.0633287999999999E-2</v>
      </c>
      <c r="I2909" s="2" t="s">
        <v>33853</v>
      </c>
      <c r="J2909" s="2" t="s">
        <v>33854</v>
      </c>
      <c r="K2909" s="2">
        <v>3.8317589999999999E-2</v>
      </c>
      <c r="L2909" s="2" t="s">
        <v>1178</v>
      </c>
      <c r="M2909" s="4" t="s">
        <v>22920</v>
      </c>
    </row>
    <row r="2910" spans="1:13">
      <c r="A2910" s="2">
        <v>268</v>
      </c>
      <c r="B2910" s="2" t="s">
        <v>33855</v>
      </c>
      <c r="C2910" s="2">
        <v>9</v>
      </c>
      <c r="D2910" s="2">
        <v>568</v>
      </c>
      <c r="E2910" s="2">
        <v>200</v>
      </c>
      <c r="F2910" s="2">
        <v>32441</v>
      </c>
      <c r="G2910" s="2">
        <v>2.5701496480000001</v>
      </c>
      <c r="H2910" s="2">
        <v>1.0633287999999999E-2</v>
      </c>
      <c r="I2910" s="2" t="s">
        <v>33856</v>
      </c>
      <c r="J2910" s="2" t="s">
        <v>33857</v>
      </c>
      <c r="K2910" s="2">
        <v>3.8317589999999999E-2</v>
      </c>
      <c r="L2910" s="2" t="s">
        <v>1178</v>
      </c>
      <c r="M2910" s="4" t="s">
        <v>33858</v>
      </c>
    </row>
    <row r="2911" spans="1:13">
      <c r="A2911" s="2">
        <v>2802</v>
      </c>
      <c r="B2911" s="2" t="s">
        <v>14313</v>
      </c>
      <c r="C2911" s="2">
        <v>9</v>
      </c>
      <c r="D2911" s="2">
        <v>568</v>
      </c>
      <c r="E2911" s="2">
        <v>200</v>
      </c>
      <c r="F2911" s="2">
        <v>32441</v>
      </c>
      <c r="G2911" s="2">
        <v>2.5701496480000001</v>
      </c>
      <c r="H2911" s="2">
        <v>1.0633287999999999E-2</v>
      </c>
      <c r="I2911" s="2" t="s">
        <v>33859</v>
      </c>
      <c r="J2911" s="2" t="s">
        <v>33860</v>
      </c>
      <c r="K2911" s="2">
        <v>3.8317589999999999E-2</v>
      </c>
      <c r="L2911" s="2" t="s">
        <v>1178</v>
      </c>
      <c r="M2911" s="4" t="s">
        <v>14316</v>
      </c>
    </row>
    <row r="2912" spans="1:13">
      <c r="A2912" s="2">
        <v>2931</v>
      </c>
      <c r="B2912" s="2" t="s">
        <v>33861</v>
      </c>
      <c r="C2912" s="2">
        <v>9</v>
      </c>
      <c r="D2912" s="2">
        <v>568</v>
      </c>
      <c r="E2912" s="2">
        <v>200</v>
      </c>
      <c r="F2912" s="2">
        <v>32441</v>
      </c>
      <c r="G2912" s="2">
        <v>2.5701496480000001</v>
      </c>
      <c r="H2912" s="2">
        <v>1.0633287999999999E-2</v>
      </c>
      <c r="I2912" s="2" t="s">
        <v>33862</v>
      </c>
      <c r="J2912" s="2" t="s">
        <v>33863</v>
      </c>
      <c r="K2912" s="2">
        <v>3.8317589999999999E-2</v>
      </c>
      <c r="L2912" s="2" t="s">
        <v>1178</v>
      </c>
      <c r="M2912" s="4" t="s">
        <v>33864</v>
      </c>
    </row>
    <row r="2913" spans="1:13">
      <c r="A2913" s="2">
        <v>3215</v>
      </c>
      <c r="B2913" s="2" t="s">
        <v>17752</v>
      </c>
      <c r="C2913" s="2">
        <v>9</v>
      </c>
      <c r="D2913" s="2">
        <v>568</v>
      </c>
      <c r="E2913" s="2">
        <v>200</v>
      </c>
      <c r="F2913" s="2">
        <v>32441</v>
      </c>
      <c r="G2913" s="2">
        <v>2.5701496480000001</v>
      </c>
      <c r="H2913" s="2">
        <v>1.0633287999999999E-2</v>
      </c>
      <c r="I2913" s="2" t="s">
        <v>33865</v>
      </c>
      <c r="J2913" s="2" t="s">
        <v>33866</v>
      </c>
      <c r="K2913" s="2">
        <v>3.8317589999999999E-2</v>
      </c>
      <c r="L2913" s="2" t="s">
        <v>1178</v>
      </c>
      <c r="M2913" s="4" t="s">
        <v>17755</v>
      </c>
    </row>
    <row r="2914" spans="1:13">
      <c r="A2914" s="2">
        <v>3231</v>
      </c>
      <c r="B2914" s="2" t="s">
        <v>33867</v>
      </c>
      <c r="C2914" s="2">
        <v>9</v>
      </c>
      <c r="D2914" s="2">
        <v>568</v>
      </c>
      <c r="E2914" s="2">
        <v>200</v>
      </c>
      <c r="F2914" s="2">
        <v>32441</v>
      </c>
      <c r="G2914" s="2">
        <v>2.5701496480000001</v>
      </c>
      <c r="H2914" s="2">
        <v>1.0633287999999999E-2</v>
      </c>
      <c r="I2914" s="2" t="s">
        <v>33868</v>
      </c>
      <c r="J2914" s="2" t="s">
        <v>33869</v>
      </c>
      <c r="K2914" s="2">
        <v>3.8317589999999999E-2</v>
      </c>
      <c r="L2914" s="2" t="s">
        <v>1178</v>
      </c>
      <c r="M2914" s="4" t="s">
        <v>33870</v>
      </c>
    </row>
    <row r="2915" spans="1:13">
      <c r="A2915" s="2">
        <v>3241</v>
      </c>
      <c r="B2915" s="2" t="s">
        <v>1818</v>
      </c>
      <c r="C2915" s="2">
        <v>9</v>
      </c>
      <c r="D2915" s="2">
        <v>568</v>
      </c>
      <c r="E2915" s="2">
        <v>200</v>
      </c>
      <c r="F2915" s="2">
        <v>32441</v>
      </c>
      <c r="G2915" s="2">
        <v>2.5701496480000001</v>
      </c>
      <c r="H2915" s="2">
        <v>1.0633287999999999E-2</v>
      </c>
      <c r="I2915" s="2" t="s">
        <v>33871</v>
      </c>
      <c r="J2915" s="2" t="s">
        <v>33872</v>
      </c>
      <c r="K2915" s="2">
        <v>3.8317589999999999E-2</v>
      </c>
      <c r="L2915" s="2" t="s">
        <v>1178</v>
      </c>
      <c r="M2915" s="4" t="s">
        <v>21717</v>
      </c>
    </row>
    <row r="2916" spans="1:13">
      <c r="A2916" s="2">
        <v>3932</v>
      </c>
      <c r="B2916" s="2" t="s">
        <v>20503</v>
      </c>
      <c r="C2916" s="2">
        <v>9</v>
      </c>
      <c r="D2916" s="2">
        <v>568</v>
      </c>
      <c r="E2916" s="2">
        <v>200</v>
      </c>
      <c r="F2916" s="2">
        <v>32441</v>
      </c>
      <c r="G2916" s="2">
        <v>2.5701496480000001</v>
      </c>
      <c r="H2916" s="2">
        <v>1.0633287999999999E-2</v>
      </c>
      <c r="I2916" s="2" t="s">
        <v>33873</v>
      </c>
      <c r="J2916" s="2" t="s">
        <v>33874</v>
      </c>
      <c r="K2916" s="2">
        <v>3.8317589999999999E-2</v>
      </c>
      <c r="L2916" s="2" t="s">
        <v>1178</v>
      </c>
      <c r="M2916" s="4" t="s">
        <v>20506</v>
      </c>
    </row>
    <row r="2917" spans="1:13">
      <c r="A2917" s="2">
        <v>3996</v>
      </c>
      <c r="B2917" s="2" t="s">
        <v>2028</v>
      </c>
      <c r="C2917" s="2">
        <v>9</v>
      </c>
      <c r="D2917" s="2">
        <v>568</v>
      </c>
      <c r="E2917" s="2">
        <v>200</v>
      </c>
      <c r="F2917" s="2">
        <v>32441</v>
      </c>
      <c r="G2917" s="2">
        <v>2.5701496480000001</v>
      </c>
      <c r="H2917" s="2">
        <v>1.0633287999999999E-2</v>
      </c>
      <c r="I2917" s="2" t="s">
        <v>33875</v>
      </c>
      <c r="J2917" s="2" t="s">
        <v>33876</v>
      </c>
      <c r="K2917" s="2">
        <v>3.8317589999999999E-2</v>
      </c>
      <c r="L2917" s="2" t="s">
        <v>1178</v>
      </c>
      <c r="M2917" s="4" t="s">
        <v>22958</v>
      </c>
    </row>
    <row r="2918" spans="1:13">
      <c r="A2918" s="2">
        <v>4011</v>
      </c>
      <c r="B2918" s="2" t="s">
        <v>33877</v>
      </c>
      <c r="C2918" s="2">
        <v>9</v>
      </c>
      <c r="D2918" s="2">
        <v>568</v>
      </c>
      <c r="E2918" s="2">
        <v>200</v>
      </c>
      <c r="F2918" s="2">
        <v>32441</v>
      </c>
      <c r="G2918" s="2">
        <v>2.5701496480000001</v>
      </c>
      <c r="H2918" s="2">
        <v>1.0633287999999999E-2</v>
      </c>
      <c r="I2918" s="2" t="s">
        <v>33878</v>
      </c>
      <c r="J2918" s="2" t="s">
        <v>33879</v>
      </c>
      <c r="K2918" s="2">
        <v>3.8317589999999999E-2</v>
      </c>
      <c r="L2918" s="2" t="s">
        <v>1178</v>
      </c>
      <c r="M2918" s="4" t="s">
        <v>33880</v>
      </c>
    </row>
    <row r="2919" spans="1:13">
      <c r="A2919" s="2">
        <v>4054</v>
      </c>
      <c r="B2919" s="2" t="s">
        <v>22959</v>
      </c>
      <c r="C2919" s="2">
        <v>9</v>
      </c>
      <c r="D2919" s="2">
        <v>568</v>
      </c>
      <c r="E2919" s="2">
        <v>200</v>
      </c>
      <c r="F2919" s="2">
        <v>32441</v>
      </c>
      <c r="G2919" s="2">
        <v>2.5701496480000001</v>
      </c>
      <c r="H2919" s="2">
        <v>1.0633287999999999E-2</v>
      </c>
      <c r="I2919" s="2" t="s">
        <v>33881</v>
      </c>
      <c r="J2919" s="2" t="s">
        <v>33882</v>
      </c>
      <c r="K2919" s="2">
        <v>3.8317589999999999E-2</v>
      </c>
      <c r="L2919" s="2" t="s">
        <v>1178</v>
      </c>
      <c r="M2919" s="4" t="s">
        <v>22962</v>
      </c>
    </row>
    <row r="2920" spans="1:13">
      <c r="A2920" s="2">
        <v>479</v>
      </c>
      <c r="B2920" s="2" t="s">
        <v>22997</v>
      </c>
      <c r="C2920" s="2">
        <v>9</v>
      </c>
      <c r="D2920" s="2">
        <v>568</v>
      </c>
      <c r="E2920" s="2">
        <v>200</v>
      </c>
      <c r="F2920" s="2">
        <v>32441</v>
      </c>
      <c r="G2920" s="2">
        <v>2.5701496480000001</v>
      </c>
      <c r="H2920" s="2">
        <v>1.0633287999999999E-2</v>
      </c>
      <c r="I2920" s="2" t="s">
        <v>33883</v>
      </c>
      <c r="J2920" s="2" t="s">
        <v>33884</v>
      </c>
      <c r="K2920" s="2">
        <v>3.8317589999999999E-2</v>
      </c>
      <c r="L2920" s="2" t="s">
        <v>1178</v>
      </c>
      <c r="M2920" s="4" t="s">
        <v>23000</v>
      </c>
    </row>
    <row r="2921" spans="1:13">
      <c r="A2921" s="2">
        <v>4903</v>
      </c>
      <c r="B2921" s="2" t="s">
        <v>33885</v>
      </c>
      <c r="C2921" s="2">
        <v>9</v>
      </c>
      <c r="D2921" s="2">
        <v>568</v>
      </c>
      <c r="E2921" s="2">
        <v>200</v>
      </c>
      <c r="F2921" s="2">
        <v>32441</v>
      </c>
      <c r="G2921" s="2">
        <v>2.5701496480000001</v>
      </c>
      <c r="H2921" s="2">
        <v>1.0633287999999999E-2</v>
      </c>
      <c r="I2921" s="2" t="s">
        <v>33886</v>
      </c>
      <c r="J2921" s="2" t="s">
        <v>33887</v>
      </c>
      <c r="K2921" s="2">
        <v>3.8317589999999999E-2</v>
      </c>
      <c r="L2921" s="2" t="s">
        <v>1178</v>
      </c>
      <c r="M2921" s="4" t="s">
        <v>33888</v>
      </c>
    </row>
    <row r="2922" spans="1:13">
      <c r="A2922" s="2">
        <v>4983</v>
      </c>
      <c r="B2922" s="2" t="s">
        <v>23013</v>
      </c>
      <c r="C2922" s="2">
        <v>9</v>
      </c>
      <c r="D2922" s="2">
        <v>568</v>
      </c>
      <c r="E2922" s="2">
        <v>200</v>
      </c>
      <c r="F2922" s="2">
        <v>32441</v>
      </c>
      <c r="G2922" s="2">
        <v>2.5701496480000001</v>
      </c>
      <c r="H2922" s="2">
        <v>1.0633287999999999E-2</v>
      </c>
      <c r="I2922" s="2" t="s">
        <v>33889</v>
      </c>
      <c r="J2922" s="2" t="s">
        <v>33890</v>
      </c>
      <c r="K2922" s="2">
        <v>3.8317589999999999E-2</v>
      </c>
      <c r="L2922" s="2" t="s">
        <v>1178</v>
      </c>
      <c r="M2922" s="4" t="s">
        <v>23016</v>
      </c>
    </row>
    <row r="2923" spans="1:13">
      <c r="A2923" s="2">
        <v>5051</v>
      </c>
      <c r="B2923" s="2" t="s">
        <v>20527</v>
      </c>
      <c r="C2923" s="2">
        <v>9</v>
      </c>
      <c r="D2923" s="2">
        <v>568</v>
      </c>
      <c r="E2923" s="2">
        <v>200</v>
      </c>
      <c r="F2923" s="2">
        <v>32441</v>
      </c>
      <c r="G2923" s="2">
        <v>2.5701496480000001</v>
      </c>
      <c r="H2923" s="2">
        <v>1.0633287999999999E-2</v>
      </c>
      <c r="I2923" s="2" t="s">
        <v>33891</v>
      </c>
      <c r="J2923" s="2" t="s">
        <v>33892</v>
      </c>
      <c r="K2923" s="2">
        <v>3.8317589999999999E-2</v>
      </c>
      <c r="L2923" s="2" t="s">
        <v>1178</v>
      </c>
      <c r="M2923" s="4" t="s">
        <v>20530</v>
      </c>
    </row>
    <row r="2924" spans="1:13">
      <c r="A2924" s="2">
        <v>5221</v>
      </c>
      <c r="B2924" s="2" t="s">
        <v>15670</v>
      </c>
      <c r="C2924" s="2">
        <v>9</v>
      </c>
      <c r="D2924" s="2">
        <v>568</v>
      </c>
      <c r="E2924" s="2">
        <v>200</v>
      </c>
      <c r="F2924" s="2">
        <v>32441</v>
      </c>
      <c r="G2924" s="2">
        <v>2.5701496480000001</v>
      </c>
      <c r="H2924" s="2">
        <v>1.0633287999999999E-2</v>
      </c>
      <c r="I2924" s="2" t="s">
        <v>33893</v>
      </c>
      <c r="J2924" s="2" t="s">
        <v>33894</v>
      </c>
      <c r="K2924" s="2">
        <v>3.8317589999999999E-2</v>
      </c>
      <c r="L2924" s="2" t="s">
        <v>1178</v>
      </c>
      <c r="M2924" s="4" t="s">
        <v>15673</v>
      </c>
    </row>
    <row r="2925" spans="1:13">
      <c r="A2925" s="2">
        <v>5261</v>
      </c>
      <c r="B2925" s="2" t="s">
        <v>21792</v>
      </c>
      <c r="C2925" s="2">
        <v>9</v>
      </c>
      <c r="D2925" s="2">
        <v>568</v>
      </c>
      <c r="E2925" s="2">
        <v>199</v>
      </c>
      <c r="F2925" s="2">
        <v>32441</v>
      </c>
      <c r="G2925" s="2">
        <v>2.5830649729999999</v>
      </c>
      <c r="H2925" s="2">
        <v>1.0327382E-2</v>
      </c>
      <c r="I2925" s="2" t="s">
        <v>33895</v>
      </c>
      <c r="J2925" s="2" t="s">
        <v>33896</v>
      </c>
      <c r="K2925" s="2">
        <v>3.8317589999999999E-2</v>
      </c>
      <c r="L2925" s="2" t="s">
        <v>1178</v>
      </c>
      <c r="M2925" s="4" t="s">
        <v>21795</v>
      </c>
    </row>
    <row r="2926" spans="1:13">
      <c r="A2926" s="2">
        <v>5351</v>
      </c>
      <c r="B2926" s="2" t="s">
        <v>19535</v>
      </c>
      <c r="C2926" s="2">
        <v>9</v>
      </c>
      <c r="D2926" s="2">
        <v>568</v>
      </c>
      <c r="E2926" s="2">
        <v>200</v>
      </c>
      <c r="F2926" s="2">
        <v>32441</v>
      </c>
      <c r="G2926" s="2">
        <v>2.5701496480000001</v>
      </c>
      <c r="H2926" s="2">
        <v>1.0633287999999999E-2</v>
      </c>
      <c r="I2926" s="2" t="s">
        <v>33897</v>
      </c>
      <c r="J2926" s="2" t="s">
        <v>33898</v>
      </c>
      <c r="K2926" s="2">
        <v>3.8317589999999999E-2</v>
      </c>
      <c r="L2926" s="2" t="s">
        <v>1178</v>
      </c>
      <c r="M2926" s="4" t="s">
        <v>19538</v>
      </c>
    </row>
    <row r="2927" spans="1:13">
      <c r="A2927" s="2">
        <v>5373</v>
      </c>
      <c r="B2927" s="2" t="s">
        <v>20539</v>
      </c>
      <c r="C2927" s="2">
        <v>9</v>
      </c>
      <c r="D2927" s="2">
        <v>568</v>
      </c>
      <c r="E2927" s="2">
        <v>200</v>
      </c>
      <c r="F2927" s="2">
        <v>32441</v>
      </c>
      <c r="G2927" s="2">
        <v>2.5701496480000001</v>
      </c>
      <c r="H2927" s="2">
        <v>1.0633287999999999E-2</v>
      </c>
      <c r="I2927" s="2" t="s">
        <v>33899</v>
      </c>
      <c r="J2927" s="2" t="s">
        <v>33900</v>
      </c>
      <c r="K2927" s="2">
        <v>3.8317589999999999E-2</v>
      </c>
      <c r="L2927" s="2" t="s">
        <v>1178</v>
      </c>
      <c r="M2927" s="4" t="s">
        <v>20542</v>
      </c>
    </row>
    <row r="2928" spans="1:13">
      <c r="A2928" s="2">
        <v>5391</v>
      </c>
      <c r="B2928" s="2" t="s">
        <v>23033</v>
      </c>
      <c r="C2928" s="2">
        <v>9</v>
      </c>
      <c r="D2928" s="2">
        <v>568</v>
      </c>
      <c r="E2928" s="2">
        <v>200</v>
      </c>
      <c r="F2928" s="2">
        <v>32441</v>
      </c>
      <c r="G2928" s="2">
        <v>2.5701496480000001</v>
      </c>
      <c r="H2928" s="2">
        <v>1.0633287999999999E-2</v>
      </c>
      <c r="I2928" s="2" t="s">
        <v>33901</v>
      </c>
      <c r="J2928" s="2" t="s">
        <v>33902</v>
      </c>
      <c r="K2928" s="2">
        <v>3.8317589999999999E-2</v>
      </c>
      <c r="L2928" s="2" t="s">
        <v>1178</v>
      </c>
      <c r="M2928" s="4" t="s">
        <v>23036</v>
      </c>
    </row>
    <row r="2929" spans="1:13">
      <c r="A2929" s="2">
        <v>5472</v>
      </c>
      <c r="B2929" s="2" t="s">
        <v>2361</v>
      </c>
      <c r="C2929" s="2">
        <v>9</v>
      </c>
      <c r="D2929" s="2">
        <v>568</v>
      </c>
      <c r="E2929" s="2">
        <v>200</v>
      </c>
      <c r="F2929" s="2">
        <v>32441</v>
      </c>
      <c r="G2929" s="2">
        <v>2.5701496480000001</v>
      </c>
      <c r="H2929" s="2">
        <v>1.0633287999999999E-2</v>
      </c>
      <c r="I2929" s="2" t="s">
        <v>33903</v>
      </c>
      <c r="J2929" s="2" t="s">
        <v>33904</v>
      </c>
      <c r="K2929" s="2">
        <v>3.8317589999999999E-2</v>
      </c>
      <c r="L2929" s="2" t="s">
        <v>1178</v>
      </c>
      <c r="M2929" s="4" t="s">
        <v>33905</v>
      </c>
    </row>
    <row r="2930" spans="1:13">
      <c r="A2930" s="2">
        <v>5891</v>
      </c>
      <c r="B2930" s="2" t="s">
        <v>21811</v>
      </c>
      <c r="C2930" s="2">
        <v>9</v>
      </c>
      <c r="D2930" s="2">
        <v>568</v>
      </c>
      <c r="E2930" s="2">
        <v>200</v>
      </c>
      <c r="F2930" s="2">
        <v>32441</v>
      </c>
      <c r="G2930" s="2">
        <v>2.5701496480000001</v>
      </c>
      <c r="H2930" s="2">
        <v>1.0633287999999999E-2</v>
      </c>
      <c r="I2930" s="2" t="s">
        <v>33906</v>
      </c>
      <c r="J2930" s="2" t="s">
        <v>33907</v>
      </c>
      <c r="K2930" s="2">
        <v>3.8317589999999999E-2</v>
      </c>
      <c r="L2930" s="2" t="s">
        <v>1178</v>
      </c>
      <c r="M2930" s="4" t="s">
        <v>21814</v>
      </c>
    </row>
    <row r="2931" spans="1:13">
      <c r="A2931" s="2">
        <v>6071</v>
      </c>
      <c r="B2931" s="2" t="s">
        <v>16324</v>
      </c>
      <c r="C2931" s="2">
        <v>9</v>
      </c>
      <c r="D2931" s="2">
        <v>568</v>
      </c>
      <c r="E2931" s="2">
        <v>200</v>
      </c>
      <c r="F2931" s="2">
        <v>32441</v>
      </c>
      <c r="G2931" s="2">
        <v>2.5701496480000001</v>
      </c>
      <c r="H2931" s="2">
        <v>1.0633287999999999E-2</v>
      </c>
      <c r="I2931" s="2" t="s">
        <v>33908</v>
      </c>
      <c r="J2931" s="2" t="s">
        <v>33909</v>
      </c>
      <c r="K2931" s="2">
        <v>3.8317589999999999E-2</v>
      </c>
      <c r="L2931" s="2" t="s">
        <v>1178</v>
      </c>
      <c r="M2931" s="4" t="s">
        <v>16327</v>
      </c>
    </row>
    <row r="2932" spans="1:13">
      <c r="A2932" s="2">
        <v>629</v>
      </c>
      <c r="B2932" s="2" t="s">
        <v>21834</v>
      </c>
      <c r="C2932" s="2">
        <v>9</v>
      </c>
      <c r="D2932" s="2">
        <v>568</v>
      </c>
      <c r="E2932" s="2">
        <v>200</v>
      </c>
      <c r="F2932" s="2">
        <v>32441</v>
      </c>
      <c r="G2932" s="2">
        <v>2.5701496480000001</v>
      </c>
      <c r="H2932" s="2">
        <v>1.0633287999999999E-2</v>
      </c>
      <c r="I2932" s="2" t="s">
        <v>33910</v>
      </c>
      <c r="J2932" s="2" t="s">
        <v>33911</v>
      </c>
      <c r="K2932" s="2">
        <v>3.8317589999999999E-2</v>
      </c>
      <c r="L2932" s="2" t="s">
        <v>1178</v>
      </c>
      <c r="M2932" s="4" t="s">
        <v>21837</v>
      </c>
    </row>
    <row r="2933" spans="1:13">
      <c r="A2933" s="2">
        <v>6361</v>
      </c>
      <c r="B2933" s="2" t="s">
        <v>20581</v>
      </c>
      <c r="C2933" s="2">
        <v>9</v>
      </c>
      <c r="D2933" s="2">
        <v>568</v>
      </c>
      <c r="E2933" s="2">
        <v>200</v>
      </c>
      <c r="F2933" s="2">
        <v>32441</v>
      </c>
      <c r="G2933" s="2">
        <v>2.5701496480000001</v>
      </c>
      <c r="H2933" s="2">
        <v>1.0633287999999999E-2</v>
      </c>
      <c r="I2933" s="2" t="s">
        <v>33912</v>
      </c>
      <c r="J2933" s="2" t="s">
        <v>33913</v>
      </c>
      <c r="K2933" s="2">
        <v>3.8317589999999999E-2</v>
      </c>
      <c r="L2933" s="2" t="s">
        <v>1178</v>
      </c>
      <c r="M2933" s="4" t="s">
        <v>20584</v>
      </c>
    </row>
    <row r="2934" spans="1:13">
      <c r="A2934" s="2">
        <v>6411</v>
      </c>
      <c r="B2934" s="2" t="s">
        <v>20585</v>
      </c>
      <c r="C2934" s="2">
        <v>9</v>
      </c>
      <c r="D2934" s="2">
        <v>568</v>
      </c>
      <c r="E2934" s="2">
        <v>200</v>
      </c>
      <c r="F2934" s="2">
        <v>32441</v>
      </c>
      <c r="G2934" s="2">
        <v>2.5701496480000001</v>
      </c>
      <c r="H2934" s="2">
        <v>1.0633287999999999E-2</v>
      </c>
      <c r="I2934" s="2" t="s">
        <v>33914</v>
      </c>
      <c r="J2934" s="2" t="s">
        <v>33915</v>
      </c>
      <c r="K2934" s="2">
        <v>3.8317589999999999E-2</v>
      </c>
      <c r="L2934" s="2" t="s">
        <v>1178</v>
      </c>
      <c r="M2934" s="4" t="s">
        <v>20588</v>
      </c>
    </row>
    <row r="2935" spans="1:13">
      <c r="A2935" s="2">
        <v>6503</v>
      </c>
      <c r="B2935" s="2" t="s">
        <v>17810</v>
      </c>
      <c r="C2935" s="2">
        <v>9</v>
      </c>
      <c r="D2935" s="2">
        <v>568</v>
      </c>
      <c r="E2935" s="2">
        <v>200</v>
      </c>
      <c r="F2935" s="2">
        <v>32441</v>
      </c>
      <c r="G2935" s="2">
        <v>2.5701496480000001</v>
      </c>
      <c r="H2935" s="2">
        <v>1.0633287999999999E-2</v>
      </c>
      <c r="I2935" s="2" t="s">
        <v>33916</v>
      </c>
      <c r="J2935" s="2" t="s">
        <v>33917</v>
      </c>
      <c r="K2935" s="2">
        <v>3.8317589999999999E-2</v>
      </c>
      <c r="L2935" s="2" t="s">
        <v>1178</v>
      </c>
      <c r="M2935" s="4" t="s">
        <v>17813</v>
      </c>
    </row>
    <row r="2936" spans="1:13">
      <c r="A2936" s="2">
        <v>665</v>
      </c>
      <c r="B2936" s="2" t="s">
        <v>15149</v>
      </c>
      <c r="C2936" s="2">
        <v>9</v>
      </c>
      <c r="D2936" s="2">
        <v>568</v>
      </c>
      <c r="E2936" s="2">
        <v>200</v>
      </c>
      <c r="F2936" s="2">
        <v>32441</v>
      </c>
      <c r="G2936" s="2">
        <v>2.5701496480000001</v>
      </c>
      <c r="H2936" s="2">
        <v>1.0633287999999999E-2</v>
      </c>
      <c r="I2936" s="2" t="s">
        <v>33918</v>
      </c>
      <c r="J2936" s="2" t="s">
        <v>33919</v>
      </c>
      <c r="K2936" s="2">
        <v>3.8317589999999999E-2</v>
      </c>
      <c r="L2936" s="2" t="s">
        <v>1178</v>
      </c>
      <c r="M2936" s="4" t="s">
        <v>15152</v>
      </c>
    </row>
    <row r="2937" spans="1:13">
      <c r="A2937" s="2">
        <v>677</v>
      </c>
      <c r="B2937" s="2" t="s">
        <v>23085</v>
      </c>
      <c r="C2937" s="2">
        <v>9</v>
      </c>
      <c r="D2937" s="2">
        <v>568</v>
      </c>
      <c r="E2937" s="2">
        <v>200</v>
      </c>
      <c r="F2937" s="2">
        <v>32441</v>
      </c>
      <c r="G2937" s="2">
        <v>2.5701496480000001</v>
      </c>
      <c r="H2937" s="2">
        <v>1.0633287999999999E-2</v>
      </c>
      <c r="I2937" s="2" t="s">
        <v>33920</v>
      </c>
      <c r="J2937" s="2" t="s">
        <v>33921</v>
      </c>
      <c r="K2937" s="2">
        <v>3.8317589999999999E-2</v>
      </c>
      <c r="L2937" s="2" t="s">
        <v>1178</v>
      </c>
      <c r="M2937" s="4" t="s">
        <v>23088</v>
      </c>
    </row>
    <row r="2938" spans="1:13">
      <c r="A2938" s="2">
        <v>6801</v>
      </c>
      <c r="B2938" s="2" t="s">
        <v>33922</v>
      </c>
      <c r="C2938" s="2">
        <v>9</v>
      </c>
      <c r="D2938" s="2">
        <v>568</v>
      </c>
      <c r="E2938" s="2">
        <v>200</v>
      </c>
      <c r="F2938" s="2">
        <v>32441</v>
      </c>
      <c r="G2938" s="2">
        <v>2.5701496480000001</v>
      </c>
      <c r="H2938" s="2">
        <v>1.0633287999999999E-2</v>
      </c>
      <c r="I2938" s="2" t="s">
        <v>33923</v>
      </c>
      <c r="J2938" s="2" t="s">
        <v>33924</v>
      </c>
      <c r="K2938" s="2">
        <v>3.8317589999999999E-2</v>
      </c>
      <c r="L2938" s="2" t="s">
        <v>1178</v>
      </c>
      <c r="M2938" s="4" t="s">
        <v>33925</v>
      </c>
    </row>
    <row r="2939" spans="1:13">
      <c r="A2939" s="2">
        <v>6961</v>
      </c>
      <c r="B2939" s="2" t="s">
        <v>33926</v>
      </c>
      <c r="C2939" s="2">
        <v>9</v>
      </c>
      <c r="D2939" s="2">
        <v>568</v>
      </c>
      <c r="E2939" s="2">
        <v>199</v>
      </c>
      <c r="F2939" s="2">
        <v>32441</v>
      </c>
      <c r="G2939" s="2">
        <v>2.5830649729999999</v>
      </c>
      <c r="H2939" s="2">
        <v>1.0327382E-2</v>
      </c>
      <c r="I2939" s="2" t="s">
        <v>33927</v>
      </c>
      <c r="J2939" s="2" t="s">
        <v>33928</v>
      </c>
      <c r="K2939" s="2">
        <v>3.8317589999999999E-2</v>
      </c>
      <c r="L2939" s="2" t="s">
        <v>1178</v>
      </c>
      <c r="M2939" s="4" t="s">
        <v>33929</v>
      </c>
    </row>
    <row r="2940" spans="1:13">
      <c r="A2940" s="2">
        <v>706</v>
      </c>
      <c r="B2940" s="2" t="s">
        <v>17826</v>
      </c>
      <c r="C2940" s="2">
        <v>9</v>
      </c>
      <c r="D2940" s="2">
        <v>568</v>
      </c>
      <c r="E2940" s="2">
        <v>200</v>
      </c>
      <c r="F2940" s="2">
        <v>32441</v>
      </c>
      <c r="G2940" s="2">
        <v>2.5701496480000001</v>
      </c>
      <c r="H2940" s="2">
        <v>1.0633287999999999E-2</v>
      </c>
      <c r="I2940" s="2" t="s">
        <v>33930</v>
      </c>
      <c r="J2940" s="2" t="s">
        <v>33931</v>
      </c>
      <c r="K2940" s="2">
        <v>3.8317589999999999E-2</v>
      </c>
      <c r="L2940" s="2" t="s">
        <v>1178</v>
      </c>
      <c r="M2940" s="4" t="s">
        <v>17829</v>
      </c>
    </row>
    <row r="2941" spans="1:13">
      <c r="A2941" s="2">
        <v>7322</v>
      </c>
      <c r="B2941" s="2" t="s">
        <v>23110</v>
      </c>
      <c r="C2941" s="2">
        <v>9</v>
      </c>
      <c r="D2941" s="2">
        <v>568</v>
      </c>
      <c r="E2941" s="2">
        <v>200</v>
      </c>
      <c r="F2941" s="2">
        <v>32441</v>
      </c>
      <c r="G2941" s="2">
        <v>2.5701496480000001</v>
      </c>
      <c r="H2941" s="2">
        <v>1.0633287999999999E-2</v>
      </c>
      <c r="I2941" s="2" t="s">
        <v>33932</v>
      </c>
      <c r="J2941" s="2" t="s">
        <v>33933</v>
      </c>
      <c r="K2941" s="2">
        <v>3.8317589999999999E-2</v>
      </c>
      <c r="L2941" s="2" t="s">
        <v>1178</v>
      </c>
      <c r="M2941" s="4" t="s">
        <v>23113</v>
      </c>
    </row>
    <row r="2942" spans="1:13">
      <c r="A2942" s="2">
        <v>7341</v>
      </c>
      <c r="B2942" s="2" t="s">
        <v>33934</v>
      </c>
      <c r="C2942" s="2">
        <v>9</v>
      </c>
      <c r="D2942" s="2">
        <v>568</v>
      </c>
      <c r="E2942" s="2">
        <v>200</v>
      </c>
      <c r="F2942" s="2">
        <v>32441</v>
      </c>
      <c r="G2942" s="2">
        <v>2.5701496480000001</v>
      </c>
      <c r="H2942" s="2">
        <v>1.0633287999999999E-2</v>
      </c>
      <c r="I2942" s="2" t="s">
        <v>33935</v>
      </c>
      <c r="J2942" s="2" t="s">
        <v>33936</v>
      </c>
      <c r="K2942" s="2">
        <v>3.8317589999999999E-2</v>
      </c>
      <c r="L2942" s="2" t="s">
        <v>1178</v>
      </c>
      <c r="M2942" s="4" t="s">
        <v>33937</v>
      </c>
    </row>
    <row r="2943" spans="1:13">
      <c r="A2943" s="2">
        <v>7362</v>
      </c>
      <c r="B2943" s="2" t="s">
        <v>33938</v>
      </c>
      <c r="C2943" s="2">
        <v>9</v>
      </c>
      <c r="D2943" s="2">
        <v>568</v>
      </c>
      <c r="E2943" s="2">
        <v>200</v>
      </c>
      <c r="F2943" s="2">
        <v>32441</v>
      </c>
      <c r="G2943" s="2">
        <v>2.5701496480000001</v>
      </c>
      <c r="H2943" s="2">
        <v>1.0633287999999999E-2</v>
      </c>
      <c r="I2943" s="2" t="s">
        <v>33939</v>
      </c>
      <c r="J2943" s="2" t="s">
        <v>33940</v>
      </c>
      <c r="K2943" s="2">
        <v>3.8317589999999999E-2</v>
      </c>
      <c r="L2943" s="2" t="s">
        <v>1178</v>
      </c>
      <c r="M2943" s="4" t="s">
        <v>33941</v>
      </c>
    </row>
    <row r="2944" spans="1:13">
      <c r="A2944" s="2">
        <v>7371</v>
      </c>
      <c r="B2944" s="2" t="s">
        <v>13996</v>
      </c>
      <c r="C2944" s="2">
        <v>9</v>
      </c>
      <c r="D2944" s="2">
        <v>568</v>
      </c>
      <c r="E2944" s="2">
        <v>200</v>
      </c>
      <c r="F2944" s="2">
        <v>32441</v>
      </c>
      <c r="G2944" s="2">
        <v>2.5701496480000001</v>
      </c>
      <c r="H2944" s="2">
        <v>1.0633287999999999E-2</v>
      </c>
      <c r="I2944" s="2" t="s">
        <v>33942</v>
      </c>
      <c r="J2944" s="2" t="s">
        <v>33943</v>
      </c>
      <c r="K2944" s="2">
        <v>3.8317589999999999E-2</v>
      </c>
      <c r="L2944" s="2" t="s">
        <v>1178</v>
      </c>
      <c r="M2944" s="4" t="s">
        <v>13999</v>
      </c>
    </row>
    <row r="2945" spans="1:13">
      <c r="A2945" s="2">
        <v>746</v>
      </c>
      <c r="B2945" s="2" t="s">
        <v>14337</v>
      </c>
      <c r="C2945" s="2">
        <v>9</v>
      </c>
      <c r="D2945" s="2">
        <v>568</v>
      </c>
      <c r="E2945" s="2">
        <v>200</v>
      </c>
      <c r="F2945" s="2">
        <v>32441</v>
      </c>
      <c r="G2945" s="2">
        <v>2.5701496480000001</v>
      </c>
      <c r="H2945" s="2">
        <v>1.0633287999999999E-2</v>
      </c>
      <c r="I2945" s="2" t="s">
        <v>33944</v>
      </c>
      <c r="J2945" s="2" t="s">
        <v>33945</v>
      </c>
      <c r="K2945" s="2">
        <v>3.8317589999999999E-2</v>
      </c>
      <c r="L2945" s="2" t="s">
        <v>1178</v>
      </c>
      <c r="M2945" s="4" t="s">
        <v>14340</v>
      </c>
    </row>
    <row r="2946" spans="1:13">
      <c r="A2946" s="2">
        <v>750</v>
      </c>
      <c r="B2946" s="2" t="s">
        <v>21883</v>
      </c>
      <c r="C2946" s="2">
        <v>9</v>
      </c>
      <c r="D2946" s="2">
        <v>568</v>
      </c>
      <c r="E2946" s="2">
        <v>200</v>
      </c>
      <c r="F2946" s="2">
        <v>32441</v>
      </c>
      <c r="G2946" s="2">
        <v>2.5701496480000001</v>
      </c>
      <c r="H2946" s="2">
        <v>1.0633287999999999E-2</v>
      </c>
      <c r="I2946" s="2" t="s">
        <v>33946</v>
      </c>
      <c r="J2946" s="2" t="s">
        <v>33947</v>
      </c>
      <c r="K2946" s="2">
        <v>3.8317589999999999E-2</v>
      </c>
      <c r="L2946" s="2" t="s">
        <v>1178</v>
      </c>
      <c r="M2946" s="4" t="s">
        <v>21886</v>
      </c>
    </row>
    <row r="2947" spans="1:13">
      <c r="A2947" s="2">
        <v>758</v>
      </c>
      <c r="B2947" s="2" t="s">
        <v>33948</v>
      </c>
      <c r="C2947" s="2">
        <v>9</v>
      </c>
      <c r="D2947" s="2">
        <v>568</v>
      </c>
      <c r="E2947" s="2">
        <v>200</v>
      </c>
      <c r="F2947" s="2">
        <v>32441</v>
      </c>
      <c r="G2947" s="2">
        <v>2.5701496480000001</v>
      </c>
      <c r="H2947" s="2">
        <v>1.0633287999999999E-2</v>
      </c>
      <c r="I2947" s="2" t="s">
        <v>33949</v>
      </c>
      <c r="J2947" s="2" t="s">
        <v>33950</v>
      </c>
      <c r="K2947" s="2">
        <v>3.8317589999999999E-2</v>
      </c>
      <c r="L2947" s="2" t="s">
        <v>1178</v>
      </c>
      <c r="M2947" s="4" t="s">
        <v>33951</v>
      </c>
    </row>
    <row r="2948" spans="1:13">
      <c r="A2948" s="2">
        <v>7591</v>
      </c>
      <c r="B2948" s="2" t="s">
        <v>1665</v>
      </c>
      <c r="C2948" s="2">
        <v>9</v>
      </c>
      <c r="D2948" s="2">
        <v>568</v>
      </c>
      <c r="E2948" s="2">
        <v>200</v>
      </c>
      <c r="F2948" s="2">
        <v>32441</v>
      </c>
      <c r="G2948" s="2">
        <v>2.5701496480000001</v>
      </c>
      <c r="H2948" s="2">
        <v>1.0633287999999999E-2</v>
      </c>
      <c r="I2948" s="2" t="s">
        <v>33952</v>
      </c>
      <c r="J2948" s="2" t="s">
        <v>33953</v>
      </c>
      <c r="K2948" s="2">
        <v>3.8317589999999999E-2</v>
      </c>
      <c r="L2948" s="2" t="s">
        <v>1178</v>
      </c>
      <c r="M2948" s="4" t="s">
        <v>20641</v>
      </c>
    </row>
    <row r="2949" spans="1:13">
      <c r="A2949" s="2">
        <v>8111</v>
      </c>
      <c r="B2949" s="2" t="s">
        <v>18637</v>
      </c>
      <c r="C2949" s="2">
        <v>9</v>
      </c>
      <c r="D2949" s="2">
        <v>568</v>
      </c>
      <c r="E2949" s="2">
        <v>200</v>
      </c>
      <c r="F2949" s="2">
        <v>32441</v>
      </c>
      <c r="G2949" s="2">
        <v>2.5701496480000001</v>
      </c>
      <c r="H2949" s="2">
        <v>1.0633287999999999E-2</v>
      </c>
      <c r="I2949" s="2" t="s">
        <v>33954</v>
      </c>
      <c r="J2949" s="2" t="s">
        <v>33955</v>
      </c>
      <c r="K2949" s="2">
        <v>3.8317589999999999E-2</v>
      </c>
      <c r="L2949" s="2" t="s">
        <v>1178</v>
      </c>
      <c r="M2949" s="4" t="s">
        <v>18640</v>
      </c>
    </row>
    <row r="2950" spans="1:13">
      <c r="A2950" s="2">
        <v>8291</v>
      </c>
      <c r="B2950" s="2" t="s">
        <v>20666</v>
      </c>
      <c r="C2950" s="2">
        <v>9</v>
      </c>
      <c r="D2950" s="2">
        <v>568</v>
      </c>
      <c r="E2950" s="2">
        <v>200</v>
      </c>
      <c r="F2950" s="2">
        <v>32441</v>
      </c>
      <c r="G2950" s="2">
        <v>2.5701496480000001</v>
      </c>
      <c r="H2950" s="2">
        <v>1.0633287999999999E-2</v>
      </c>
      <c r="I2950" s="2" t="s">
        <v>33956</v>
      </c>
      <c r="J2950" s="2" t="s">
        <v>33957</v>
      </c>
      <c r="K2950" s="2">
        <v>3.8317589999999999E-2</v>
      </c>
      <c r="L2950" s="2" t="s">
        <v>1178</v>
      </c>
      <c r="M2950" s="4" t="s">
        <v>20669</v>
      </c>
    </row>
    <row r="2951" spans="1:13">
      <c r="A2951" s="2">
        <v>9001</v>
      </c>
      <c r="B2951" s="2" t="s">
        <v>23181</v>
      </c>
      <c r="C2951" s="2">
        <v>9</v>
      </c>
      <c r="D2951" s="2">
        <v>568</v>
      </c>
      <c r="E2951" s="2">
        <v>200</v>
      </c>
      <c r="F2951" s="2">
        <v>32441</v>
      </c>
      <c r="G2951" s="2">
        <v>2.5701496480000001</v>
      </c>
      <c r="H2951" s="2">
        <v>1.0633287999999999E-2</v>
      </c>
      <c r="I2951" s="2" t="s">
        <v>33958</v>
      </c>
      <c r="J2951" s="2" t="s">
        <v>33959</v>
      </c>
      <c r="K2951" s="2">
        <v>3.8317589999999999E-2</v>
      </c>
      <c r="L2951" s="2" t="s">
        <v>1178</v>
      </c>
      <c r="M2951" s="4" t="s">
        <v>23184</v>
      </c>
    </row>
    <row r="2952" spans="1:13">
      <c r="A2952" s="2">
        <v>9031</v>
      </c>
      <c r="B2952" s="2" t="s">
        <v>15710</v>
      </c>
      <c r="C2952" s="2">
        <v>9</v>
      </c>
      <c r="D2952" s="2">
        <v>568</v>
      </c>
      <c r="E2952" s="2">
        <v>200</v>
      </c>
      <c r="F2952" s="2">
        <v>32441</v>
      </c>
      <c r="G2952" s="2">
        <v>2.5701496480000001</v>
      </c>
      <c r="H2952" s="2">
        <v>1.0633287999999999E-2</v>
      </c>
      <c r="I2952" s="2" t="s">
        <v>33960</v>
      </c>
      <c r="J2952" s="2" t="s">
        <v>33961</v>
      </c>
      <c r="K2952" s="2">
        <v>3.8317589999999999E-2</v>
      </c>
      <c r="L2952" s="2" t="s">
        <v>1178</v>
      </c>
      <c r="M2952" s="4" t="s">
        <v>15713</v>
      </c>
    </row>
    <row r="2953" spans="1:13">
      <c r="A2953" s="2">
        <v>910</v>
      </c>
      <c r="B2953" s="2" t="s">
        <v>33962</v>
      </c>
      <c r="C2953" s="2">
        <v>9</v>
      </c>
      <c r="D2953" s="2">
        <v>568</v>
      </c>
      <c r="E2953" s="2">
        <v>200</v>
      </c>
      <c r="F2953" s="2">
        <v>32441</v>
      </c>
      <c r="G2953" s="2">
        <v>2.5701496480000001</v>
      </c>
      <c r="H2953" s="2">
        <v>1.0633287999999999E-2</v>
      </c>
      <c r="I2953" s="2" t="s">
        <v>33963</v>
      </c>
      <c r="J2953" s="2" t="s">
        <v>33964</v>
      </c>
      <c r="K2953" s="2">
        <v>3.8317589999999999E-2</v>
      </c>
      <c r="L2953" s="2" t="s">
        <v>1178</v>
      </c>
      <c r="M2953" s="4" t="s">
        <v>33965</v>
      </c>
    </row>
    <row r="2954" spans="1:13">
      <c r="A2954" s="2">
        <v>916</v>
      </c>
      <c r="B2954" s="2" t="s">
        <v>33966</v>
      </c>
      <c r="C2954" s="2">
        <v>9</v>
      </c>
      <c r="D2954" s="2">
        <v>568</v>
      </c>
      <c r="E2954" s="2">
        <v>199</v>
      </c>
      <c r="F2954" s="2">
        <v>32441</v>
      </c>
      <c r="G2954" s="2">
        <v>2.5830649729999999</v>
      </c>
      <c r="H2954" s="2">
        <v>1.0327382E-2</v>
      </c>
      <c r="I2954" s="2" t="s">
        <v>33967</v>
      </c>
      <c r="J2954" s="2" t="s">
        <v>33968</v>
      </c>
      <c r="K2954" s="2">
        <v>3.8317589999999999E-2</v>
      </c>
      <c r="L2954" s="2" t="s">
        <v>1178</v>
      </c>
      <c r="M2954" s="4" t="s">
        <v>33969</v>
      </c>
    </row>
    <row r="2955" spans="1:13">
      <c r="A2955" s="2">
        <v>953</v>
      </c>
      <c r="B2955" s="2" t="s">
        <v>2097</v>
      </c>
      <c r="C2955" s="2">
        <v>9</v>
      </c>
      <c r="D2955" s="2">
        <v>568</v>
      </c>
      <c r="E2955" s="2">
        <v>200</v>
      </c>
      <c r="F2955" s="2">
        <v>32441</v>
      </c>
      <c r="G2955" s="2">
        <v>2.5701496480000001</v>
      </c>
      <c r="H2955" s="2">
        <v>1.0633287999999999E-2</v>
      </c>
      <c r="I2955" s="2" t="s">
        <v>33970</v>
      </c>
      <c r="J2955" s="2" t="s">
        <v>33971</v>
      </c>
      <c r="K2955" s="2">
        <v>3.8317589999999999E-2</v>
      </c>
      <c r="L2955" s="2" t="s">
        <v>1178</v>
      </c>
      <c r="M2955" s="4" t="s">
        <v>16389</v>
      </c>
    </row>
    <row r="2956" spans="1:13">
      <c r="A2956" s="2">
        <v>979</v>
      </c>
      <c r="B2956" s="2" t="s">
        <v>1194</v>
      </c>
      <c r="C2956" s="2">
        <v>9</v>
      </c>
      <c r="D2956" s="2">
        <v>568</v>
      </c>
      <c r="E2956" s="2">
        <v>200</v>
      </c>
      <c r="F2956" s="2">
        <v>32441</v>
      </c>
      <c r="G2956" s="2">
        <v>2.5701496480000001</v>
      </c>
      <c r="H2956" s="2">
        <v>1.0633287999999999E-2</v>
      </c>
      <c r="I2956" s="2" t="s">
        <v>33972</v>
      </c>
      <c r="J2956" s="2" t="s">
        <v>33973</v>
      </c>
      <c r="K2956" s="2">
        <v>3.8317589999999999E-2</v>
      </c>
      <c r="L2956" s="2" t="s">
        <v>1178</v>
      </c>
      <c r="M2956" s="4" t="s">
        <v>15731</v>
      </c>
    </row>
    <row r="2957" spans="1:13">
      <c r="A2957" s="2">
        <v>991</v>
      </c>
      <c r="B2957" s="2" t="s">
        <v>16390</v>
      </c>
      <c r="C2957" s="2">
        <v>9</v>
      </c>
      <c r="D2957" s="2">
        <v>568</v>
      </c>
      <c r="E2957" s="2">
        <v>200</v>
      </c>
      <c r="F2957" s="2">
        <v>32441</v>
      </c>
      <c r="G2957" s="2">
        <v>2.5701496480000001</v>
      </c>
      <c r="H2957" s="2">
        <v>1.0633287999999999E-2</v>
      </c>
      <c r="I2957" s="2" t="s">
        <v>33974</v>
      </c>
      <c r="J2957" s="2" t="s">
        <v>33975</v>
      </c>
      <c r="K2957" s="2">
        <v>3.8317589999999999E-2</v>
      </c>
      <c r="L2957" s="2" t="s">
        <v>1178</v>
      </c>
      <c r="M2957" s="4" t="s">
        <v>16393</v>
      </c>
    </row>
    <row r="2958" spans="1:13">
      <c r="A2958" s="2">
        <v>1045</v>
      </c>
      <c r="B2958" s="2" t="s">
        <v>20715</v>
      </c>
      <c r="C2958" s="2">
        <v>9</v>
      </c>
      <c r="D2958" s="2">
        <v>568</v>
      </c>
      <c r="E2958" s="2">
        <v>200</v>
      </c>
      <c r="F2958" s="2">
        <v>32441</v>
      </c>
      <c r="G2958" s="2">
        <v>2.5701496480000001</v>
      </c>
      <c r="H2958" s="2">
        <v>1.0633287999999999E-2</v>
      </c>
      <c r="I2958" s="2" t="s">
        <v>33976</v>
      </c>
      <c r="J2958" s="2" t="s">
        <v>33977</v>
      </c>
      <c r="K2958" s="2">
        <v>3.8317589999999999E-2</v>
      </c>
      <c r="L2958" s="2" t="s">
        <v>1178</v>
      </c>
      <c r="M2958" s="4" t="s">
        <v>20718</v>
      </c>
    </row>
    <row r="2959" spans="1:13">
      <c r="A2959" s="2">
        <v>10481</v>
      </c>
      <c r="B2959" s="2" t="s">
        <v>18675</v>
      </c>
      <c r="C2959" s="2">
        <v>9</v>
      </c>
      <c r="D2959" s="2">
        <v>568</v>
      </c>
      <c r="E2959" s="2">
        <v>200</v>
      </c>
      <c r="F2959" s="2">
        <v>32441</v>
      </c>
      <c r="G2959" s="2">
        <v>2.5701496480000001</v>
      </c>
      <c r="H2959" s="2">
        <v>1.0633287999999999E-2</v>
      </c>
      <c r="I2959" s="2" t="s">
        <v>33978</v>
      </c>
      <c r="J2959" s="2" t="s">
        <v>33979</v>
      </c>
      <c r="K2959" s="2">
        <v>3.8317589999999999E-2</v>
      </c>
      <c r="L2959" s="2" t="s">
        <v>1178</v>
      </c>
      <c r="M2959" s="4" t="s">
        <v>18678</v>
      </c>
    </row>
    <row r="2960" spans="1:13">
      <c r="A2960" s="2">
        <v>1094</v>
      </c>
      <c r="B2960" s="2" t="s">
        <v>19651</v>
      </c>
      <c r="C2960" s="2">
        <v>9</v>
      </c>
      <c r="D2960" s="2">
        <v>568</v>
      </c>
      <c r="E2960" s="2">
        <v>200</v>
      </c>
      <c r="F2960" s="2">
        <v>32441</v>
      </c>
      <c r="G2960" s="2">
        <v>2.5701496480000001</v>
      </c>
      <c r="H2960" s="2">
        <v>1.0633287999999999E-2</v>
      </c>
      <c r="I2960" s="2" t="s">
        <v>33980</v>
      </c>
      <c r="J2960" s="2" t="s">
        <v>33981</v>
      </c>
      <c r="K2960" s="2">
        <v>3.8317589999999999E-2</v>
      </c>
      <c r="L2960" s="2" t="s">
        <v>1178</v>
      </c>
      <c r="M2960" s="4" t="s">
        <v>19654</v>
      </c>
    </row>
    <row r="2961" spans="1:13">
      <c r="A2961" s="2">
        <v>10991</v>
      </c>
      <c r="B2961" s="2" t="s">
        <v>33982</v>
      </c>
      <c r="C2961" s="2">
        <v>9</v>
      </c>
      <c r="D2961" s="2">
        <v>568</v>
      </c>
      <c r="E2961" s="2">
        <v>200</v>
      </c>
      <c r="F2961" s="2">
        <v>32441</v>
      </c>
      <c r="G2961" s="2">
        <v>2.5701496480000001</v>
      </c>
      <c r="H2961" s="2">
        <v>1.0633287999999999E-2</v>
      </c>
      <c r="I2961" s="2" t="s">
        <v>33983</v>
      </c>
      <c r="J2961" s="2" t="s">
        <v>33984</v>
      </c>
      <c r="K2961" s="2">
        <v>3.8317589999999999E-2</v>
      </c>
      <c r="L2961" s="2" t="s">
        <v>1178</v>
      </c>
      <c r="M2961" s="4" t="s">
        <v>33985</v>
      </c>
    </row>
    <row r="2962" spans="1:13">
      <c r="A2962" s="2">
        <v>1103</v>
      </c>
      <c r="B2962" s="2" t="s">
        <v>33986</v>
      </c>
      <c r="C2962" s="2">
        <v>9</v>
      </c>
      <c r="D2962" s="2">
        <v>568</v>
      </c>
      <c r="E2962" s="2">
        <v>200</v>
      </c>
      <c r="F2962" s="2">
        <v>32441</v>
      </c>
      <c r="G2962" s="2">
        <v>2.5701496480000001</v>
      </c>
      <c r="H2962" s="2">
        <v>1.0633287999999999E-2</v>
      </c>
      <c r="I2962" s="2" t="s">
        <v>33987</v>
      </c>
      <c r="J2962" s="2" t="s">
        <v>33988</v>
      </c>
      <c r="K2962" s="2">
        <v>3.8317589999999999E-2</v>
      </c>
      <c r="L2962" s="2" t="s">
        <v>1178</v>
      </c>
      <c r="M2962" s="4" t="s">
        <v>33989</v>
      </c>
    </row>
    <row r="2963" spans="1:13">
      <c r="A2963" s="2">
        <v>1152</v>
      </c>
      <c r="B2963" s="2" t="s">
        <v>2112</v>
      </c>
      <c r="C2963" s="2">
        <v>9</v>
      </c>
      <c r="D2963" s="2">
        <v>568</v>
      </c>
      <c r="E2963" s="2">
        <v>200</v>
      </c>
      <c r="F2963" s="2">
        <v>32441</v>
      </c>
      <c r="G2963" s="2">
        <v>2.5701496480000001</v>
      </c>
      <c r="H2963" s="2">
        <v>1.0633287999999999E-2</v>
      </c>
      <c r="I2963" s="2" t="s">
        <v>33990</v>
      </c>
      <c r="J2963" s="2" t="s">
        <v>33991</v>
      </c>
      <c r="K2963" s="2">
        <v>3.8317589999999999E-2</v>
      </c>
      <c r="L2963" s="2" t="s">
        <v>1178</v>
      </c>
      <c r="M2963" s="4" t="s">
        <v>21960</v>
      </c>
    </row>
    <row r="2964" spans="1:13">
      <c r="A2964" s="2">
        <v>1178</v>
      </c>
      <c r="B2964" s="2" t="s">
        <v>17102</v>
      </c>
      <c r="C2964" s="2">
        <v>9</v>
      </c>
      <c r="D2964" s="2">
        <v>568</v>
      </c>
      <c r="E2964" s="2">
        <v>200</v>
      </c>
      <c r="F2964" s="2">
        <v>32441</v>
      </c>
      <c r="G2964" s="2">
        <v>2.5701496480000001</v>
      </c>
      <c r="H2964" s="2">
        <v>1.0633287999999999E-2</v>
      </c>
      <c r="I2964" s="2" t="s">
        <v>33992</v>
      </c>
      <c r="J2964" s="2" t="s">
        <v>33993</v>
      </c>
      <c r="K2964" s="2">
        <v>3.8317589999999999E-2</v>
      </c>
      <c r="L2964" s="2" t="s">
        <v>1178</v>
      </c>
      <c r="M2964" s="4" t="s">
        <v>17105</v>
      </c>
    </row>
    <row r="2965" spans="1:13">
      <c r="A2965" s="2">
        <v>1203</v>
      </c>
      <c r="B2965" s="2" t="s">
        <v>23259</v>
      </c>
      <c r="C2965" s="2">
        <v>9</v>
      </c>
      <c r="D2965" s="2">
        <v>568</v>
      </c>
      <c r="E2965" s="2">
        <v>200</v>
      </c>
      <c r="F2965" s="2">
        <v>32441</v>
      </c>
      <c r="G2965" s="2">
        <v>2.5701496480000001</v>
      </c>
      <c r="H2965" s="2">
        <v>1.0633287999999999E-2</v>
      </c>
      <c r="I2965" s="2" t="s">
        <v>33994</v>
      </c>
      <c r="J2965" s="2" t="s">
        <v>33995</v>
      </c>
      <c r="K2965" s="2">
        <v>3.8317589999999999E-2</v>
      </c>
      <c r="L2965" s="2" t="s">
        <v>1178</v>
      </c>
      <c r="M2965" s="4" t="s">
        <v>23262</v>
      </c>
    </row>
    <row r="2966" spans="1:13">
      <c r="A2966" s="2">
        <v>1236</v>
      </c>
      <c r="B2966" s="2" t="s">
        <v>23287</v>
      </c>
      <c r="C2966" s="2">
        <v>9</v>
      </c>
      <c r="D2966" s="2">
        <v>568</v>
      </c>
      <c r="E2966" s="2">
        <v>200</v>
      </c>
      <c r="F2966" s="2">
        <v>32441</v>
      </c>
      <c r="G2966" s="2">
        <v>2.5701496480000001</v>
      </c>
      <c r="H2966" s="2">
        <v>1.0633287999999999E-2</v>
      </c>
      <c r="I2966" s="2" t="s">
        <v>33996</v>
      </c>
      <c r="J2966" s="2" t="s">
        <v>33997</v>
      </c>
      <c r="K2966" s="2">
        <v>3.8317589999999999E-2</v>
      </c>
      <c r="L2966" s="2" t="s">
        <v>1178</v>
      </c>
      <c r="M2966" s="4" t="s">
        <v>23290</v>
      </c>
    </row>
    <row r="2967" spans="1:13">
      <c r="A2967" s="2">
        <v>1237</v>
      </c>
      <c r="B2967" s="2" t="s">
        <v>33998</v>
      </c>
      <c r="C2967" s="2">
        <v>9</v>
      </c>
      <c r="D2967" s="2">
        <v>568</v>
      </c>
      <c r="E2967" s="2">
        <v>200</v>
      </c>
      <c r="F2967" s="2">
        <v>32441</v>
      </c>
      <c r="G2967" s="2">
        <v>2.5701496480000001</v>
      </c>
      <c r="H2967" s="2">
        <v>1.0633287999999999E-2</v>
      </c>
      <c r="I2967" s="2" t="s">
        <v>33999</v>
      </c>
      <c r="J2967" s="2" t="s">
        <v>34000</v>
      </c>
      <c r="K2967" s="2">
        <v>3.8317589999999999E-2</v>
      </c>
      <c r="L2967" s="2" t="s">
        <v>1178</v>
      </c>
      <c r="M2967" s="4" t="s">
        <v>34001</v>
      </c>
    </row>
    <row r="2968" spans="1:13">
      <c r="A2968" s="2">
        <v>1241</v>
      </c>
      <c r="B2968" s="2" t="s">
        <v>19681</v>
      </c>
      <c r="C2968" s="2">
        <v>9</v>
      </c>
      <c r="D2968" s="2">
        <v>568</v>
      </c>
      <c r="E2968" s="2">
        <v>200</v>
      </c>
      <c r="F2968" s="2">
        <v>32441</v>
      </c>
      <c r="G2968" s="2">
        <v>2.5701496480000001</v>
      </c>
      <c r="H2968" s="2">
        <v>1.0633287999999999E-2</v>
      </c>
      <c r="I2968" s="2" t="s">
        <v>34002</v>
      </c>
      <c r="J2968" s="2" t="s">
        <v>34003</v>
      </c>
      <c r="K2968" s="2">
        <v>3.8317589999999999E-2</v>
      </c>
      <c r="L2968" s="2" t="s">
        <v>1178</v>
      </c>
      <c r="M2968" s="4" t="s">
        <v>19684</v>
      </c>
    </row>
    <row r="2969" spans="1:13">
      <c r="A2969" s="2">
        <v>1254</v>
      </c>
      <c r="B2969" s="2" t="s">
        <v>34004</v>
      </c>
      <c r="C2969" s="2">
        <v>9</v>
      </c>
      <c r="D2969" s="2">
        <v>568</v>
      </c>
      <c r="E2969" s="2">
        <v>200</v>
      </c>
      <c r="F2969" s="2">
        <v>32441</v>
      </c>
      <c r="G2969" s="2">
        <v>2.5701496480000001</v>
      </c>
      <c r="H2969" s="2">
        <v>1.0633287999999999E-2</v>
      </c>
      <c r="I2969" s="2" t="s">
        <v>34005</v>
      </c>
      <c r="J2969" s="2" t="s">
        <v>34006</v>
      </c>
      <c r="K2969" s="2">
        <v>3.8317589999999999E-2</v>
      </c>
      <c r="L2969" s="2" t="s">
        <v>1178</v>
      </c>
      <c r="M2969" s="4" t="s">
        <v>34007</v>
      </c>
    </row>
    <row r="2970" spans="1:13">
      <c r="A2970" s="2">
        <v>1265</v>
      </c>
      <c r="B2970" s="2" t="s">
        <v>17915</v>
      </c>
      <c r="C2970" s="2">
        <v>9</v>
      </c>
      <c r="D2970" s="2">
        <v>568</v>
      </c>
      <c r="E2970" s="2">
        <v>200</v>
      </c>
      <c r="F2970" s="2">
        <v>32441</v>
      </c>
      <c r="G2970" s="2">
        <v>2.5701496480000001</v>
      </c>
      <c r="H2970" s="2">
        <v>1.0633287999999999E-2</v>
      </c>
      <c r="I2970" s="2" t="s">
        <v>34008</v>
      </c>
      <c r="J2970" s="2" t="s">
        <v>34009</v>
      </c>
      <c r="K2970" s="2">
        <v>3.8317589999999999E-2</v>
      </c>
      <c r="L2970" s="2" t="s">
        <v>1178</v>
      </c>
      <c r="M2970" s="4" t="s">
        <v>17918</v>
      </c>
    </row>
    <row r="2971" spans="1:13">
      <c r="A2971" s="2">
        <v>1279</v>
      </c>
      <c r="B2971" s="2" t="s">
        <v>15750</v>
      </c>
      <c r="C2971" s="2">
        <v>9</v>
      </c>
      <c r="D2971" s="2">
        <v>568</v>
      </c>
      <c r="E2971" s="2">
        <v>200</v>
      </c>
      <c r="F2971" s="2">
        <v>32441</v>
      </c>
      <c r="G2971" s="2">
        <v>2.5701496480000001</v>
      </c>
      <c r="H2971" s="2">
        <v>1.0633287999999999E-2</v>
      </c>
      <c r="I2971" s="2" t="s">
        <v>34010</v>
      </c>
      <c r="J2971" s="2" t="s">
        <v>34011</v>
      </c>
      <c r="K2971" s="2">
        <v>3.8317589999999999E-2</v>
      </c>
      <c r="L2971" s="2" t="s">
        <v>1178</v>
      </c>
      <c r="M2971" s="4" t="s">
        <v>15753</v>
      </c>
    </row>
    <row r="2972" spans="1:13">
      <c r="A2972" s="2">
        <v>1294</v>
      </c>
      <c r="B2972" s="2" t="s">
        <v>34012</v>
      </c>
      <c r="C2972" s="2">
        <v>9</v>
      </c>
      <c r="D2972" s="2">
        <v>568</v>
      </c>
      <c r="E2972" s="2">
        <v>200</v>
      </c>
      <c r="F2972" s="2">
        <v>32441</v>
      </c>
      <c r="G2972" s="2">
        <v>2.5701496480000001</v>
      </c>
      <c r="H2972" s="2">
        <v>1.0633287999999999E-2</v>
      </c>
      <c r="I2972" s="2" t="s">
        <v>34013</v>
      </c>
      <c r="J2972" s="2" t="s">
        <v>34014</v>
      </c>
      <c r="K2972" s="2">
        <v>3.8317589999999999E-2</v>
      </c>
      <c r="L2972" s="2" t="s">
        <v>1178</v>
      </c>
      <c r="M2972" s="4" t="s">
        <v>34015</v>
      </c>
    </row>
    <row r="2973" spans="1:13">
      <c r="A2973" s="2">
        <v>1314</v>
      </c>
      <c r="B2973" s="2" t="s">
        <v>21983</v>
      </c>
      <c r="C2973" s="2">
        <v>9</v>
      </c>
      <c r="D2973" s="2">
        <v>568</v>
      </c>
      <c r="E2973" s="2">
        <v>200</v>
      </c>
      <c r="F2973" s="2">
        <v>32441</v>
      </c>
      <c r="G2973" s="2">
        <v>2.5701496480000001</v>
      </c>
      <c r="H2973" s="2">
        <v>1.0633287999999999E-2</v>
      </c>
      <c r="I2973" s="2" t="s">
        <v>34016</v>
      </c>
      <c r="J2973" s="2" t="s">
        <v>34017</v>
      </c>
      <c r="K2973" s="2">
        <v>3.8317589999999999E-2</v>
      </c>
      <c r="L2973" s="2" t="s">
        <v>1178</v>
      </c>
      <c r="M2973" s="4" t="s">
        <v>21986</v>
      </c>
    </row>
    <row r="2974" spans="1:13">
      <c r="A2974" s="2">
        <v>13381</v>
      </c>
      <c r="B2974" s="2" t="s">
        <v>23328</v>
      </c>
      <c r="C2974" s="2">
        <v>9</v>
      </c>
      <c r="D2974" s="2">
        <v>568</v>
      </c>
      <c r="E2974" s="2">
        <v>200</v>
      </c>
      <c r="F2974" s="2">
        <v>32441</v>
      </c>
      <c r="G2974" s="2">
        <v>2.5701496480000001</v>
      </c>
      <c r="H2974" s="2">
        <v>1.0633287999999999E-2</v>
      </c>
      <c r="I2974" s="2" t="s">
        <v>34018</v>
      </c>
      <c r="J2974" s="2" t="s">
        <v>34019</v>
      </c>
      <c r="K2974" s="2">
        <v>3.8317589999999999E-2</v>
      </c>
      <c r="L2974" s="2" t="s">
        <v>1178</v>
      </c>
      <c r="M2974" s="4" t="s">
        <v>23331</v>
      </c>
    </row>
    <row r="2975" spans="1:13">
      <c r="A2975" s="2">
        <v>1348</v>
      </c>
      <c r="B2975" s="2" t="s">
        <v>18726</v>
      </c>
      <c r="C2975" s="2">
        <v>9</v>
      </c>
      <c r="D2975" s="2">
        <v>568</v>
      </c>
      <c r="E2975" s="2">
        <v>200</v>
      </c>
      <c r="F2975" s="2">
        <v>32441</v>
      </c>
      <c r="G2975" s="2">
        <v>2.5701496480000001</v>
      </c>
      <c r="H2975" s="2">
        <v>1.0633287999999999E-2</v>
      </c>
      <c r="I2975" s="2" t="s">
        <v>34020</v>
      </c>
      <c r="J2975" s="2" t="s">
        <v>34021</v>
      </c>
      <c r="K2975" s="2">
        <v>3.8317589999999999E-2</v>
      </c>
      <c r="L2975" s="2" t="s">
        <v>1178</v>
      </c>
      <c r="M2975" s="4" t="s">
        <v>18729</v>
      </c>
    </row>
    <row r="2976" spans="1:13">
      <c r="A2976" s="2">
        <v>13502</v>
      </c>
      <c r="B2976" s="2" t="s">
        <v>14743</v>
      </c>
      <c r="C2976" s="2">
        <v>9</v>
      </c>
      <c r="D2976" s="2">
        <v>568</v>
      </c>
      <c r="E2976" s="2">
        <v>200</v>
      </c>
      <c r="F2976" s="2">
        <v>32441</v>
      </c>
      <c r="G2976" s="2">
        <v>2.5701496480000001</v>
      </c>
      <c r="H2976" s="2">
        <v>1.0633287999999999E-2</v>
      </c>
      <c r="I2976" s="2" t="s">
        <v>34022</v>
      </c>
      <c r="J2976" s="2" t="s">
        <v>34023</v>
      </c>
      <c r="K2976" s="2">
        <v>3.8317589999999999E-2</v>
      </c>
      <c r="L2976" s="2" t="s">
        <v>1178</v>
      </c>
      <c r="M2976" s="4" t="s">
        <v>14746</v>
      </c>
    </row>
    <row r="2977" spans="1:13">
      <c r="A2977" s="2">
        <v>1365</v>
      </c>
      <c r="B2977" s="2" t="s">
        <v>20790</v>
      </c>
      <c r="C2977" s="2">
        <v>9</v>
      </c>
      <c r="D2977" s="2">
        <v>568</v>
      </c>
      <c r="E2977" s="2">
        <v>200</v>
      </c>
      <c r="F2977" s="2">
        <v>32441</v>
      </c>
      <c r="G2977" s="2">
        <v>2.5701496480000001</v>
      </c>
      <c r="H2977" s="2">
        <v>1.0633287999999999E-2</v>
      </c>
      <c r="I2977" s="2" t="s">
        <v>34024</v>
      </c>
      <c r="J2977" s="2" t="s">
        <v>34025</v>
      </c>
      <c r="K2977" s="2">
        <v>3.8317589999999999E-2</v>
      </c>
      <c r="L2977" s="2" t="s">
        <v>1178</v>
      </c>
      <c r="M2977" s="4" t="s">
        <v>20793</v>
      </c>
    </row>
    <row r="2978" spans="1:13">
      <c r="A2978" s="2">
        <v>1371</v>
      </c>
      <c r="B2978" s="2" t="s">
        <v>21987</v>
      </c>
      <c r="C2978" s="2">
        <v>9</v>
      </c>
      <c r="D2978" s="2">
        <v>568</v>
      </c>
      <c r="E2978" s="2">
        <v>200</v>
      </c>
      <c r="F2978" s="2">
        <v>32441</v>
      </c>
      <c r="G2978" s="2">
        <v>2.5701496480000001</v>
      </c>
      <c r="H2978" s="2">
        <v>1.0633287999999999E-2</v>
      </c>
      <c r="I2978" s="2" t="s">
        <v>34026</v>
      </c>
      <c r="J2978" s="2" t="s">
        <v>34027</v>
      </c>
      <c r="K2978" s="2">
        <v>3.8317589999999999E-2</v>
      </c>
      <c r="L2978" s="2" t="s">
        <v>1178</v>
      </c>
      <c r="M2978" s="4" t="s">
        <v>21990</v>
      </c>
    </row>
    <row r="2979" spans="1:13">
      <c r="A2979" s="2">
        <v>1409</v>
      </c>
      <c r="B2979" s="2" t="s">
        <v>1881</v>
      </c>
      <c r="C2979" s="2">
        <v>9</v>
      </c>
      <c r="D2979" s="2">
        <v>568</v>
      </c>
      <c r="E2979" s="2">
        <v>200</v>
      </c>
      <c r="F2979" s="2">
        <v>32441</v>
      </c>
      <c r="G2979" s="2">
        <v>2.5701496480000001</v>
      </c>
      <c r="H2979" s="2">
        <v>1.0633287999999999E-2</v>
      </c>
      <c r="I2979" s="2" t="s">
        <v>34028</v>
      </c>
      <c r="J2979" s="2" t="s">
        <v>34029</v>
      </c>
      <c r="K2979" s="2">
        <v>3.8317589999999999E-2</v>
      </c>
      <c r="L2979" s="2" t="s">
        <v>1178</v>
      </c>
      <c r="M2979" s="4" t="s">
        <v>16454</v>
      </c>
    </row>
    <row r="2980" spans="1:13">
      <c r="A2980" s="2">
        <v>1413</v>
      </c>
      <c r="B2980" s="2" t="s">
        <v>18743</v>
      </c>
      <c r="C2980" s="2">
        <v>9</v>
      </c>
      <c r="D2980" s="2">
        <v>568</v>
      </c>
      <c r="E2980" s="2">
        <v>200</v>
      </c>
      <c r="F2980" s="2">
        <v>32441</v>
      </c>
      <c r="G2980" s="2">
        <v>2.5701496480000001</v>
      </c>
      <c r="H2980" s="2">
        <v>1.0633287999999999E-2</v>
      </c>
      <c r="I2980" s="2" t="s">
        <v>34030</v>
      </c>
      <c r="J2980" s="2" t="s">
        <v>34031</v>
      </c>
      <c r="K2980" s="2">
        <v>3.8317589999999999E-2</v>
      </c>
      <c r="L2980" s="2" t="s">
        <v>1178</v>
      </c>
      <c r="M2980" s="4" t="s">
        <v>18746</v>
      </c>
    </row>
    <row r="2981" spans="1:13">
      <c r="A2981" s="2">
        <v>14171</v>
      </c>
      <c r="B2981" s="2" t="s">
        <v>1683</v>
      </c>
      <c r="C2981" s="2">
        <v>9</v>
      </c>
      <c r="D2981" s="2">
        <v>568</v>
      </c>
      <c r="E2981" s="2">
        <v>200</v>
      </c>
      <c r="F2981" s="2">
        <v>32441</v>
      </c>
      <c r="G2981" s="2">
        <v>2.5701496480000001</v>
      </c>
      <c r="H2981" s="2">
        <v>1.0633287999999999E-2</v>
      </c>
      <c r="I2981" s="2" t="s">
        <v>34032</v>
      </c>
      <c r="J2981" s="2" t="s">
        <v>34033</v>
      </c>
      <c r="K2981" s="2">
        <v>3.8317589999999999E-2</v>
      </c>
      <c r="L2981" s="2" t="s">
        <v>1178</v>
      </c>
      <c r="M2981" s="4" t="s">
        <v>15756</v>
      </c>
    </row>
    <row r="2982" spans="1:13">
      <c r="A2982" s="2">
        <v>1421</v>
      </c>
      <c r="B2982" s="2" t="s">
        <v>1884</v>
      </c>
      <c r="C2982" s="2">
        <v>9</v>
      </c>
      <c r="D2982" s="2">
        <v>568</v>
      </c>
      <c r="E2982" s="2">
        <v>200</v>
      </c>
      <c r="F2982" s="2">
        <v>32441</v>
      </c>
      <c r="G2982" s="2">
        <v>2.5701496480000001</v>
      </c>
      <c r="H2982" s="2">
        <v>1.0633287999999999E-2</v>
      </c>
      <c r="I2982" s="2" t="s">
        <v>34034</v>
      </c>
      <c r="J2982" s="2" t="s">
        <v>34035</v>
      </c>
      <c r="K2982" s="2">
        <v>3.8317589999999999E-2</v>
      </c>
      <c r="L2982" s="2" t="s">
        <v>1178</v>
      </c>
      <c r="M2982" s="4" t="s">
        <v>22012</v>
      </c>
    </row>
    <row r="2983" spans="1:13">
      <c r="A2983" s="2">
        <v>1428</v>
      </c>
      <c r="B2983" s="2" t="s">
        <v>34036</v>
      </c>
      <c r="C2983" s="2">
        <v>9</v>
      </c>
      <c r="D2983" s="2">
        <v>568</v>
      </c>
      <c r="E2983" s="2">
        <v>200</v>
      </c>
      <c r="F2983" s="2">
        <v>32441</v>
      </c>
      <c r="G2983" s="2">
        <v>2.5701496480000001</v>
      </c>
      <c r="H2983" s="2">
        <v>1.0633287999999999E-2</v>
      </c>
      <c r="I2983" s="2" t="s">
        <v>34037</v>
      </c>
      <c r="J2983" s="2" t="s">
        <v>34038</v>
      </c>
      <c r="K2983" s="2">
        <v>3.8317589999999999E-2</v>
      </c>
      <c r="L2983" s="2" t="s">
        <v>1178</v>
      </c>
      <c r="M2983" s="4" t="s">
        <v>34039</v>
      </c>
    </row>
    <row r="2984" spans="1:13">
      <c r="A2984" s="2">
        <v>14291</v>
      </c>
      <c r="B2984" s="2" t="s">
        <v>2136</v>
      </c>
      <c r="C2984" s="2">
        <v>9</v>
      </c>
      <c r="D2984" s="2">
        <v>568</v>
      </c>
      <c r="E2984" s="2">
        <v>200</v>
      </c>
      <c r="F2984" s="2">
        <v>32441</v>
      </c>
      <c r="G2984" s="2">
        <v>2.5701496480000001</v>
      </c>
      <c r="H2984" s="2">
        <v>1.0633287999999999E-2</v>
      </c>
      <c r="I2984" s="2" t="s">
        <v>34040</v>
      </c>
      <c r="J2984" s="2" t="s">
        <v>34041</v>
      </c>
      <c r="K2984" s="2">
        <v>3.8317589999999999E-2</v>
      </c>
      <c r="L2984" s="2" t="s">
        <v>1178</v>
      </c>
      <c r="M2984" s="4" t="s">
        <v>17951</v>
      </c>
    </row>
    <row r="2985" spans="1:13">
      <c r="A2985" s="2">
        <v>1430</v>
      </c>
      <c r="B2985" s="2" t="s">
        <v>22013</v>
      </c>
      <c r="C2985" s="2">
        <v>9</v>
      </c>
      <c r="D2985" s="2">
        <v>568</v>
      </c>
      <c r="E2985" s="2">
        <v>200</v>
      </c>
      <c r="F2985" s="2">
        <v>32441</v>
      </c>
      <c r="G2985" s="2">
        <v>2.5701496480000001</v>
      </c>
      <c r="H2985" s="2">
        <v>1.0633287999999999E-2</v>
      </c>
      <c r="I2985" s="2" t="s">
        <v>34042</v>
      </c>
      <c r="J2985" s="2" t="s">
        <v>34043</v>
      </c>
      <c r="K2985" s="2">
        <v>3.8317589999999999E-2</v>
      </c>
      <c r="L2985" s="2" t="s">
        <v>1178</v>
      </c>
      <c r="M2985" s="4" t="s">
        <v>22016</v>
      </c>
    </row>
    <row r="2986" spans="1:13">
      <c r="A2986" s="2">
        <v>14441</v>
      </c>
      <c r="B2986" s="2" t="s">
        <v>16459</v>
      </c>
      <c r="C2986" s="2">
        <v>9</v>
      </c>
      <c r="D2986" s="2">
        <v>568</v>
      </c>
      <c r="E2986" s="2">
        <v>200</v>
      </c>
      <c r="F2986" s="2">
        <v>32441</v>
      </c>
      <c r="G2986" s="2">
        <v>2.5701496480000001</v>
      </c>
      <c r="H2986" s="2">
        <v>1.0633287999999999E-2</v>
      </c>
      <c r="I2986" s="2" t="s">
        <v>34044</v>
      </c>
      <c r="J2986" s="2" t="s">
        <v>34045</v>
      </c>
      <c r="K2986" s="2">
        <v>3.8317589999999999E-2</v>
      </c>
      <c r="L2986" s="2" t="s">
        <v>1178</v>
      </c>
      <c r="M2986" s="4" t="s">
        <v>16462</v>
      </c>
    </row>
    <row r="2987" spans="1:13">
      <c r="A2987" s="2">
        <v>1471</v>
      </c>
      <c r="B2987" s="2" t="s">
        <v>18751</v>
      </c>
      <c r="C2987" s="2">
        <v>9</v>
      </c>
      <c r="D2987" s="2">
        <v>568</v>
      </c>
      <c r="E2987" s="2">
        <v>200</v>
      </c>
      <c r="F2987" s="2">
        <v>32441</v>
      </c>
      <c r="G2987" s="2">
        <v>2.5701496480000001</v>
      </c>
      <c r="H2987" s="2">
        <v>1.0633287999999999E-2</v>
      </c>
      <c r="I2987" s="2" t="s">
        <v>34046</v>
      </c>
      <c r="J2987" s="2" t="s">
        <v>34047</v>
      </c>
      <c r="K2987" s="2">
        <v>3.8317589999999999E-2</v>
      </c>
      <c r="L2987" s="2" t="s">
        <v>1178</v>
      </c>
      <c r="M2987" s="4" t="s">
        <v>18754</v>
      </c>
    </row>
    <row r="2988" spans="1:13">
      <c r="A2988" s="2">
        <v>14811</v>
      </c>
      <c r="B2988" s="2" t="s">
        <v>20828</v>
      </c>
      <c r="C2988" s="2">
        <v>9</v>
      </c>
      <c r="D2988" s="2">
        <v>568</v>
      </c>
      <c r="E2988" s="2">
        <v>200</v>
      </c>
      <c r="F2988" s="2">
        <v>32441</v>
      </c>
      <c r="G2988" s="2">
        <v>2.5701496480000001</v>
      </c>
      <c r="H2988" s="2">
        <v>1.0633287999999999E-2</v>
      </c>
      <c r="I2988" s="2" t="s">
        <v>34048</v>
      </c>
      <c r="J2988" s="2" t="s">
        <v>34049</v>
      </c>
      <c r="K2988" s="2">
        <v>3.8317589999999999E-2</v>
      </c>
      <c r="L2988" s="2" t="s">
        <v>1178</v>
      </c>
      <c r="M2988" s="4" t="s">
        <v>20831</v>
      </c>
    </row>
    <row r="2989" spans="1:13">
      <c r="A2989" s="2">
        <v>1504</v>
      </c>
      <c r="B2989" s="2" t="s">
        <v>17171</v>
      </c>
      <c r="C2989" s="2">
        <v>9</v>
      </c>
      <c r="D2989" s="2">
        <v>568</v>
      </c>
      <c r="E2989" s="2">
        <v>200</v>
      </c>
      <c r="F2989" s="2">
        <v>32441</v>
      </c>
      <c r="G2989" s="2">
        <v>2.5701496480000001</v>
      </c>
      <c r="H2989" s="2">
        <v>1.0633287999999999E-2</v>
      </c>
      <c r="I2989" s="2" t="s">
        <v>34050</v>
      </c>
      <c r="J2989" s="2" t="s">
        <v>34051</v>
      </c>
      <c r="K2989" s="2">
        <v>3.8317589999999999E-2</v>
      </c>
      <c r="L2989" s="2" t="s">
        <v>1178</v>
      </c>
      <c r="M2989" s="4" t="s">
        <v>17174</v>
      </c>
    </row>
    <row r="2990" spans="1:13">
      <c r="A2990" s="2">
        <v>1515</v>
      </c>
      <c r="B2990" s="2" t="s">
        <v>3388</v>
      </c>
      <c r="C2990" s="2">
        <v>9</v>
      </c>
      <c r="D2990" s="2">
        <v>568</v>
      </c>
      <c r="E2990" s="2">
        <v>200</v>
      </c>
      <c r="F2990" s="2">
        <v>32441</v>
      </c>
      <c r="G2990" s="2">
        <v>2.5701496480000001</v>
      </c>
      <c r="H2990" s="2">
        <v>1.0633287999999999E-2</v>
      </c>
      <c r="I2990" s="2" t="s">
        <v>34052</v>
      </c>
      <c r="J2990" s="2" t="s">
        <v>34053</v>
      </c>
      <c r="K2990" s="2">
        <v>3.8317589999999999E-2</v>
      </c>
      <c r="L2990" s="2" t="s">
        <v>1178</v>
      </c>
      <c r="M2990" s="4" t="s">
        <v>3391</v>
      </c>
    </row>
    <row r="2991" spans="1:13">
      <c r="A2991" s="2">
        <v>1523</v>
      </c>
      <c r="B2991" s="2" t="s">
        <v>15232</v>
      </c>
      <c r="C2991" s="2">
        <v>9</v>
      </c>
      <c r="D2991" s="2">
        <v>568</v>
      </c>
      <c r="E2991" s="2">
        <v>200</v>
      </c>
      <c r="F2991" s="2">
        <v>32441</v>
      </c>
      <c r="G2991" s="2">
        <v>2.5701496480000001</v>
      </c>
      <c r="H2991" s="2">
        <v>1.0633287999999999E-2</v>
      </c>
      <c r="I2991" s="2" t="s">
        <v>34054</v>
      </c>
      <c r="J2991" s="2" t="s">
        <v>34055</v>
      </c>
      <c r="K2991" s="2">
        <v>3.8317589999999999E-2</v>
      </c>
      <c r="L2991" s="2" t="s">
        <v>1178</v>
      </c>
      <c r="M2991" s="4" t="s">
        <v>15235</v>
      </c>
    </row>
    <row r="2992" spans="1:13">
      <c r="A2992" s="2">
        <v>1532</v>
      </c>
      <c r="B2992" s="2" t="s">
        <v>3257</v>
      </c>
      <c r="C2992" s="2">
        <v>9</v>
      </c>
      <c r="D2992" s="2">
        <v>568</v>
      </c>
      <c r="E2992" s="2">
        <v>200</v>
      </c>
      <c r="F2992" s="2">
        <v>32441</v>
      </c>
      <c r="G2992" s="2">
        <v>2.5701496480000001</v>
      </c>
      <c r="H2992" s="2">
        <v>1.0633287999999999E-2</v>
      </c>
      <c r="I2992" s="2" t="s">
        <v>34056</v>
      </c>
      <c r="J2992" s="2" t="s">
        <v>34057</v>
      </c>
      <c r="K2992" s="2">
        <v>3.8317589999999999E-2</v>
      </c>
      <c r="L2992" s="2" t="s">
        <v>1178</v>
      </c>
      <c r="M2992" s="4" t="s">
        <v>3260</v>
      </c>
    </row>
    <row r="2993" spans="1:13">
      <c r="A2993" s="2">
        <v>1534</v>
      </c>
      <c r="B2993" s="2" t="s">
        <v>2481</v>
      </c>
      <c r="C2993" s="2">
        <v>9</v>
      </c>
      <c r="D2993" s="2">
        <v>568</v>
      </c>
      <c r="E2993" s="2">
        <v>200</v>
      </c>
      <c r="F2993" s="2">
        <v>32441</v>
      </c>
      <c r="G2993" s="2">
        <v>2.5701496480000001</v>
      </c>
      <c r="H2993" s="2">
        <v>1.0633287999999999E-2</v>
      </c>
      <c r="I2993" s="2" t="s">
        <v>34058</v>
      </c>
      <c r="J2993" s="2" t="s">
        <v>34059</v>
      </c>
      <c r="K2993" s="2">
        <v>3.8317589999999999E-2</v>
      </c>
      <c r="L2993" s="2" t="s">
        <v>1178</v>
      </c>
      <c r="M2993" s="4" t="s">
        <v>22054</v>
      </c>
    </row>
    <row r="2994" spans="1:13">
      <c r="A2994" s="2">
        <v>1556</v>
      </c>
      <c r="B2994" s="2" t="s">
        <v>34060</v>
      </c>
      <c r="C2994" s="2">
        <v>9</v>
      </c>
      <c r="D2994" s="2">
        <v>568</v>
      </c>
      <c r="E2994" s="2">
        <v>200</v>
      </c>
      <c r="F2994" s="2">
        <v>32441</v>
      </c>
      <c r="G2994" s="2">
        <v>2.5701496480000001</v>
      </c>
      <c r="H2994" s="2">
        <v>1.0633287999999999E-2</v>
      </c>
      <c r="I2994" s="2" t="s">
        <v>34061</v>
      </c>
      <c r="J2994" s="2" t="s">
        <v>34062</v>
      </c>
      <c r="K2994" s="2">
        <v>3.8317589999999999E-2</v>
      </c>
      <c r="L2994" s="2" t="s">
        <v>1178</v>
      </c>
      <c r="M2994" s="4" t="s">
        <v>34063</v>
      </c>
    </row>
    <row r="2995" spans="1:13">
      <c r="A2995" s="2">
        <v>15571</v>
      </c>
      <c r="B2995" s="2" t="s">
        <v>14765</v>
      </c>
      <c r="C2995" s="2">
        <v>9</v>
      </c>
      <c r="D2995" s="2">
        <v>568</v>
      </c>
      <c r="E2995" s="2">
        <v>200</v>
      </c>
      <c r="F2995" s="2">
        <v>32441</v>
      </c>
      <c r="G2995" s="2">
        <v>2.5701496480000001</v>
      </c>
      <c r="H2995" s="2">
        <v>1.0633287999999999E-2</v>
      </c>
      <c r="I2995" s="2" t="s">
        <v>34064</v>
      </c>
      <c r="J2995" s="2" t="s">
        <v>34065</v>
      </c>
      <c r="K2995" s="2">
        <v>3.8317589999999999E-2</v>
      </c>
      <c r="L2995" s="2" t="s">
        <v>1178</v>
      </c>
      <c r="M2995" s="4" t="s">
        <v>14768</v>
      </c>
    </row>
    <row r="2996" spans="1:13">
      <c r="A2996" s="2">
        <v>15871</v>
      </c>
      <c r="B2996" s="2" t="s">
        <v>15761</v>
      </c>
      <c r="C2996" s="2">
        <v>9</v>
      </c>
      <c r="D2996" s="2">
        <v>568</v>
      </c>
      <c r="E2996" s="2">
        <v>200</v>
      </c>
      <c r="F2996" s="2">
        <v>32441</v>
      </c>
      <c r="G2996" s="2">
        <v>2.5701496480000001</v>
      </c>
      <c r="H2996" s="2">
        <v>1.0633287999999999E-2</v>
      </c>
      <c r="I2996" s="2" t="s">
        <v>34066</v>
      </c>
      <c r="J2996" s="2" t="s">
        <v>34067</v>
      </c>
      <c r="K2996" s="2">
        <v>3.8317589999999999E-2</v>
      </c>
      <c r="L2996" s="2" t="s">
        <v>1178</v>
      </c>
      <c r="M2996" s="4" t="s">
        <v>15764</v>
      </c>
    </row>
    <row r="2997" spans="1:13">
      <c r="A2997" s="2">
        <v>1589</v>
      </c>
      <c r="B2997" s="2" t="s">
        <v>3200</v>
      </c>
      <c r="C2997" s="2">
        <v>9</v>
      </c>
      <c r="D2997" s="2">
        <v>568</v>
      </c>
      <c r="E2997" s="2">
        <v>200</v>
      </c>
      <c r="F2997" s="2">
        <v>32441</v>
      </c>
      <c r="G2997" s="2">
        <v>2.5701496480000001</v>
      </c>
      <c r="H2997" s="2">
        <v>1.0633287999999999E-2</v>
      </c>
      <c r="I2997" s="2" t="s">
        <v>34068</v>
      </c>
      <c r="J2997" s="2" t="s">
        <v>34069</v>
      </c>
      <c r="K2997" s="2">
        <v>3.8317589999999999E-2</v>
      </c>
      <c r="L2997" s="2" t="s">
        <v>1178</v>
      </c>
      <c r="M2997" s="4" t="s">
        <v>3203</v>
      </c>
    </row>
    <row r="2998" spans="1:13">
      <c r="A2998" s="2">
        <v>16121</v>
      </c>
      <c r="B2998" s="2" t="s">
        <v>14387</v>
      </c>
      <c r="C2998" s="2">
        <v>9</v>
      </c>
      <c r="D2998" s="2">
        <v>568</v>
      </c>
      <c r="E2998" s="2">
        <v>200</v>
      </c>
      <c r="F2998" s="2">
        <v>32441</v>
      </c>
      <c r="G2998" s="2">
        <v>2.5701496480000001</v>
      </c>
      <c r="H2998" s="2">
        <v>1.0633287999999999E-2</v>
      </c>
      <c r="I2998" s="2" t="s">
        <v>34070</v>
      </c>
      <c r="J2998" s="2" t="s">
        <v>34071</v>
      </c>
      <c r="K2998" s="2">
        <v>3.8317589999999999E-2</v>
      </c>
      <c r="L2998" s="2" t="s">
        <v>1178</v>
      </c>
      <c r="M2998" s="4" t="s">
        <v>14390</v>
      </c>
    </row>
    <row r="2999" spans="1:13">
      <c r="A2999" s="2">
        <v>1624</v>
      </c>
      <c r="B2999" s="2" t="s">
        <v>14773</v>
      </c>
      <c r="C2999" s="2">
        <v>9</v>
      </c>
      <c r="D2999" s="2">
        <v>568</v>
      </c>
      <c r="E2999" s="2">
        <v>200</v>
      </c>
      <c r="F2999" s="2">
        <v>32441</v>
      </c>
      <c r="G2999" s="2">
        <v>2.5701496480000001</v>
      </c>
      <c r="H2999" s="2">
        <v>1.0633287999999999E-2</v>
      </c>
      <c r="I2999" s="2" t="s">
        <v>34072</v>
      </c>
      <c r="J2999" s="2" t="s">
        <v>34073</v>
      </c>
      <c r="K2999" s="2">
        <v>3.8317589999999999E-2</v>
      </c>
      <c r="L2999" s="2" t="s">
        <v>1178</v>
      </c>
      <c r="M2999" s="4" t="s">
        <v>14776</v>
      </c>
    </row>
    <row r="3000" spans="1:13">
      <c r="A3000" s="2">
        <v>1640</v>
      </c>
      <c r="B3000" s="2" t="s">
        <v>17215</v>
      </c>
      <c r="C3000" s="2">
        <v>9</v>
      </c>
      <c r="D3000" s="2">
        <v>568</v>
      </c>
      <c r="E3000" s="2">
        <v>200</v>
      </c>
      <c r="F3000" s="2">
        <v>32441</v>
      </c>
      <c r="G3000" s="2">
        <v>2.5701496480000001</v>
      </c>
      <c r="H3000" s="2">
        <v>1.0633287999999999E-2</v>
      </c>
      <c r="I3000" s="2" t="s">
        <v>34074</v>
      </c>
      <c r="J3000" s="2" t="s">
        <v>34075</v>
      </c>
      <c r="K3000" s="2">
        <v>3.8317589999999999E-2</v>
      </c>
      <c r="L3000" s="2" t="s">
        <v>1178</v>
      </c>
      <c r="M3000" s="4" t="s">
        <v>17218</v>
      </c>
    </row>
    <row r="3001" spans="1:13">
      <c r="A3001" s="2">
        <v>1645</v>
      </c>
      <c r="B3001" s="2" t="s">
        <v>34076</v>
      </c>
      <c r="C3001" s="2">
        <v>9</v>
      </c>
      <c r="D3001" s="2">
        <v>568</v>
      </c>
      <c r="E3001" s="2">
        <v>199</v>
      </c>
      <c r="F3001" s="2">
        <v>32441</v>
      </c>
      <c r="G3001" s="2">
        <v>2.5830649729999999</v>
      </c>
      <c r="H3001" s="2">
        <v>1.0327382E-2</v>
      </c>
      <c r="I3001" s="2" t="s">
        <v>34077</v>
      </c>
      <c r="J3001" s="2" t="s">
        <v>34078</v>
      </c>
      <c r="K3001" s="2">
        <v>3.8317589999999999E-2</v>
      </c>
      <c r="L3001" s="2" t="s">
        <v>1178</v>
      </c>
      <c r="M3001" s="4" t="s">
        <v>34079</v>
      </c>
    </row>
    <row r="3002" spans="1:13">
      <c r="A3002" s="2">
        <v>16541</v>
      </c>
      <c r="B3002" s="2" t="s">
        <v>1599</v>
      </c>
      <c r="C3002" s="2">
        <v>9</v>
      </c>
      <c r="D3002" s="2">
        <v>568</v>
      </c>
      <c r="E3002" s="2">
        <v>200</v>
      </c>
      <c r="F3002" s="2">
        <v>32441</v>
      </c>
      <c r="G3002" s="2">
        <v>2.5701496480000001</v>
      </c>
      <c r="H3002" s="2">
        <v>1.0633287999999999E-2</v>
      </c>
      <c r="I3002" s="2" t="s">
        <v>34080</v>
      </c>
      <c r="J3002" s="2" t="s">
        <v>34081</v>
      </c>
      <c r="K3002" s="2">
        <v>3.8317589999999999E-2</v>
      </c>
      <c r="L3002" s="2" t="s">
        <v>1178</v>
      </c>
      <c r="M3002" s="4" t="s">
        <v>18776</v>
      </c>
    </row>
    <row r="3003" spans="1:13">
      <c r="A3003" s="2">
        <v>1659</v>
      </c>
      <c r="B3003" s="2" t="s">
        <v>16489</v>
      </c>
      <c r="C3003" s="2">
        <v>9</v>
      </c>
      <c r="D3003" s="2">
        <v>568</v>
      </c>
      <c r="E3003" s="2">
        <v>199</v>
      </c>
      <c r="F3003" s="2">
        <v>32441</v>
      </c>
      <c r="G3003" s="2">
        <v>2.5830649729999999</v>
      </c>
      <c r="H3003" s="2">
        <v>1.0327382E-2</v>
      </c>
      <c r="I3003" s="2" t="s">
        <v>34082</v>
      </c>
      <c r="J3003" s="2" t="s">
        <v>34083</v>
      </c>
      <c r="K3003" s="2">
        <v>3.8317589999999999E-2</v>
      </c>
      <c r="L3003" s="2" t="s">
        <v>1178</v>
      </c>
      <c r="M3003" s="4" t="s">
        <v>16492</v>
      </c>
    </row>
    <row r="3004" spans="1:13">
      <c r="A3004" s="2">
        <v>16711</v>
      </c>
      <c r="B3004" s="2" t="s">
        <v>20866</v>
      </c>
      <c r="C3004" s="2">
        <v>9</v>
      </c>
      <c r="D3004" s="2">
        <v>568</v>
      </c>
      <c r="E3004" s="2">
        <v>200</v>
      </c>
      <c r="F3004" s="2">
        <v>32441</v>
      </c>
      <c r="G3004" s="2">
        <v>2.5701496480000001</v>
      </c>
      <c r="H3004" s="2">
        <v>1.0633287999999999E-2</v>
      </c>
      <c r="I3004" s="2" t="s">
        <v>34084</v>
      </c>
      <c r="J3004" s="2" t="s">
        <v>34085</v>
      </c>
      <c r="K3004" s="2">
        <v>3.8317589999999999E-2</v>
      </c>
      <c r="L3004" s="2" t="s">
        <v>1178</v>
      </c>
      <c r="M3004" s="4" t="s">
        <v>20869</v>
      </c>
    </row>
    <row r="3005" spans="1:13">
      <c r="A3005" s="2">
        <v>1689</v>
      </c>
      <c r="B3005" s="2" t="s">
        <v>14781</v>
      </c>
      <c r="C3005" s="2">
        <v>9</v>
      </c>
      <c r="D3005" s="2">
        <v>568</v>
      </c>
      <c r="E3005" s="2">
        <v>200</v>
      </c>
      <c r="F3005" s="2">
        <v>32441</v>
      </c>
      <c r="G3005" s="2">
        <v>2.5701496480000001</v>
      </c>
      <c r="H3005" s="2">
        <v>1.0633287999999999E-2</v>
      </c>
      <c r="I3005" s="2" t="s">
        <v>34086</v>
      </c>
      <c r="J3005" s="2" t="s">
        <v>34087</v>
      </c>
      <c r="K3005" s="2">
        <v>3.8317589999999999E-2</v>
      </c>
      <c r="L3005" s="2" t="s">
        <v>1178</v>
      </c>
      <c r="M3005" s="4" t="s">
        <v>14784</v>
      </c>
    </row>
    <row r="3006" spans="1:13">
      <c r="A3006" s="2">
        <v>17011</v>
      </c>
      <c r="B3006" s="2" t="s">
        <v>34088</v>
      </c>
      <c r="C3006" s="2">
        <v>9</v>
      </c>
      <c r="D3006" s="2">
        <v>568</v>
      </c>
      <c r="E3006" s="2">
        <v>200</v>
      </c>
      <c r="F3006" s="2">
        <v>32441</v>
      </c>
      <c r="G3006" s="2">
        <v>2.5701496480000001</v>
      </c>
      <c r="H3006" s="2">
        <v>1.0633287999999999E-2</v>
      </c>
      <c r="I3006" s="2" t="s">
        <v>34089</v>
      </c>
      <c r="J3006" s="2" t="s">
        <v>34090</v>
      </c>
      <c r="K3006" s="2">
        <v>3.8317589999999999E-2</v>
      </c>
      <c r="L3006" s="2" t="s">
        <v>1178</v>
      </c>
      <c r="M3006" s="4" t="s">
        <v>34091</v>
      </c>
    </row>
    <row r="3007" spans="1:13">
      <c r="A3007" s="2">
        <v>1707</v>
      </c>
      <c r="B3007" s="2" t="s">
        <v>3400</v>
      </c>
      <c r="C3007" s="2">
        <v>9</v>
      </c>
      <c r="D3007" s="2">
        <v>568</v>
      </c>
      <c r="E3007" s="2">
        <v>200</v>
      </c>
      <c r="F3007" s="2">
        <v>32441</v>
      </c>
      <c r="G3007" s="2">
        <v>2.5701496480000001</v>
      </c>
      <c r="H3007" s="2">
        <v>1.0633287999999999E-2</v>
      </c>
      <c r="I3007" s="2" t="s">
        <v>34092</v>
      </c>
      <c r="J3007" s="2" t="s">
        <v>34093</v>
      </c>
      <c r="K3007" s="2">
        <v>3.8317589999999999E-2</v>
      </c>
      <c r="L3007" s="2" t="s">
        <v>1178</v>
      </c>
      <c r="M3007" s="4" t="s">
        <v>3403</v>
      </c>
    </row>
    <row r="3008" spans="1:13">
      <c r="A3008" s="2">
        <v>1715</v>
      </c>
      <c r="B3008" s="2" t="s">
        <v>15267</v>
      </c>
      <c r="C3008" s="2">
        <v>9</v>
      </c>
      <c r="D3008" s="2">
        <v>568</v>
      </c>
      <c r="E3008" s="2">
        <v>200</v>
      </c>
      <c r="F3008" s="2">
        <v>32441</v>
      </c>
      <c r="G3008" s="2">
        <v>2.5701496480000001</v>
      </c>
      <c r="H3008" s="2">
        <v>1.0633287999999999E-2</v>
      </c>
      <c r="I3008" s="2" t="s">
        <v>34094</v>
      </c>
      <c r="J3008" s="2" t="s">
        <v>34095</v>
      </c>
      <c r="K3008" s="2">
        <v>3.8317589999999999E-2</v>
      </c>
      <c r="L3008" s="2" t="s">
        <v>1178</v>
      </c>
      <c r="M3008" s="4" t="s">
        <v>15270</v>
      </c>
    </row>
    <row r="3009" spans="1:13">
      <c r="A3009" s="2">
        <v>1717</v>
      </c>
      <c r="B3009" s="2" t="s">
        <v>14073</v>
      </c>
      <c r="C3009" s="2">
        <v>9</v>
      </c>
      <c r="D3009" s="2">
        <v>568</v>
      </c>
      <c r="E3009" s="2">
        <v>200</v>
      </c>
      <c r="F3009" s="2">
        <v>32441</v>
      </c>
      <c r="G3009" s="2">
        <v>2.5701496480000001</v>
      </c>
      <c r="H3009" s="2">
        <v>1.0633287999999999E-2</v>
      </c>
      <c r="I3009" s="2" t="s">
        <v>34096</v>
      </c>
      <c r="J3009" s="2" t="s">
        <v>34097</v>
      </c>
      <c r="K3009" s="2">
        <v>3.8317589999999999E-2</v>
      </c>
      <c r="L3009" s="2" t="s">
        <v>1178</v>
      </c>
      <c r="M3009" s="4" t="s">
        <v>14076</v>
      </c>
    </row>
    <row r="3010" spans="1:13">
      <c r="A3010" s="2">
        <v>1774</v>
      </c>
      <c r="B3010" s="2" t="s">
        <v>34098</v>
      </c>
      <c r="C3010" s="2">
        <v>9</v>
      </c>
      <c r="D3010" s="2">
        <v>568</v>
      </c>
      <c r="E3010" s="2">
        <v>199</v>
      </c>
      <c r="F3010" s="2">
        <v>32441</v>
      </c>
      <c r="G3010" s="2">
        <v>2.5830649729999999</v>
      </c>
      <c r="H3010" s="2">
        <v>1.0327382E-2</v>
      </c>
      <c r="I3010" s="2" t="s">
        <v>34099</v>
      </c>
      <c r="J3010" s="2" t="s">
        <v>34100</v>
      </c>
      <c r="K3010" s="2">
        <v>3.8317589999999999E-2</v>
      </c>
      <c r="L3010" s="2" t="s">
        <v>1178</v>
      </c>
      <c r="M3010" s="4" t="s">
        <v>34101</v>
      </c>
    </row>
    <row r="3011" spans="1:13">
      <c r="A3011" s="2">
        <v>17761</v>
      </c>
      <c r="B3011" s="2" t="s">
        <v>22104</v>
      </c>
      <c r="C3011" s="2">
        <v>9</v>
      </c>
      <c r="D3011" s="2">
        <v>568</v>
      </c>
      <c r="E3011" s="2">
        <v>200</v>
      </c>
      <c r="F3011" s="2">
        <v>32441</v>
      </c>
      <c r="G3011" s="2">
        <v>2.5701496480000001</v>
      </c>
      <c r="H3011" s="2">
        <v>1.0633287999999999E-2</v>
      </c>
      <c r="I3011" s="2" t="s">
        <v>34102</v>
      </c>
      <c r="J3011" s="2" t="s">
        <v>34103</v>
      </c>
      <c r="K3011" s="2">
        <v>3.8317589999999999E-2</v>
      </c>
      <c r="L3011" s="2" t="s">
        <v>1178</v>
      </c>
      <c r="M3011" s="4" t="s">
        <v>22107</v>
      </c>
    </row>
    <row r="3012" spans="1:13">
      <c r="A3012" s="2">
        <v>1790</v>
      </c>
      <c r="B3012" s="2" t="s">
        <v>18004</v>
      </c>
      <c r="C3012" s="2">
        <v>9</v>
      </c>
      <c r="D3012" s="2">
        <v>568</v>
      </c>
      <c r="E3012" s="2">
        <v>200</v>
      </c>
      <c r="F3012" s="2">
        <v>32441</v>
      </c>
      <c r="G3012" s="2">
        <v>2.5701496480000001</v>
      </c>
      <c r="H3012" s="2">
        <v>1.0633287999999999E-2</v>
      </c>
      <c r="I3012" s="2" t="s">
        <v>34104</v>
      </c>
      <c r="J3012" s="2" t="s">
        <v>34105</v>
      </c>
      <c r="K3012" s="2">
        <v>3.8317589999999999E-2</v>
      </c>
      <c r="L3012" s="2" t="s">
        <v>1178</v>
      </c>
      <c r="M3012" s="4" t="s">
        <v>18007</v>
      </c>
    </row>
    <row r="3013" spans="1:13">
      <c r="A3013" s="2">
        <v>1810</v>
      </c>
      <c r="B3013" s="2" t="s">
        <v>23461</v>
      </c>
      <c r="C3013" s="2">
        <v>9</v>
      </c>
      <c r="D3013" s="2">
        <v>568</v>
      </c>
      <c r="E3013" s="2">
        <v>200</v>
      </c>
      <c r="F3013" s="2">
        <v>32441</v>
      </c>
      <c r="G3013" s="2">
        <v>2.5701496480000001</v>
      </c>
      <c r="H3013" s="2">
        <v>1.0633287999999999E-2</v>
      </c>
      <c r="I3013" s="2" t="s">
        <v>34106</v>
      </c>
      <c r="J3013" s="2" t="s">
        <v>34107</v>
      </c>
      <c r="K3013" s="2">
        <v>3.8317589999999999E-2</v>
      </c>
      <c r="L3013" s="2" t="s">
        <v>1178</v>
      </c>
      <c r="M3013" s="4" t="s">
        <v>23464</v>
      </c>
    </row>
    <row r="3014" spans="1:13">
      <c r="A3014" s="2">
        <v>1826</v>
      </c>
      <c r="B3014" s="2" t="s">
        <v>13780</v>
      </c>
      <c r="C3014" s="2">
        <v>9</v>
      </c>
      <c r="D3014" s="2">
        <v>568</v>
      </c>
      <c r="E3014" s="2">
        <v>200</v>
      </c>
      <c r="F3014" s="2">
        <v>32441</v>
      </c>
      <c r="G3014" s="2">
        <v>2.5701496480000001</v>
      </c>
      <c r="H3014" s="2">
        <v>1.0633287999999999E-2</v>
      </c>
      <c r="I3014" s="2" t="s">
        <v>34108</v>
      </c>
      <c r="J3014" s="2" t="s">
        <v>34109</v>
      </c>
      <c r="K3014" s="2">
        <v>3.8317589999999999E-2</v>
      </c>
      <c r="L3014" s="2" t="s">
        <v>1178</v>
      </c>
      <c r="M3014" s="4" t="s">
        <v>13783</v>
      </c>
    </row>
    <row r="3015" spans="1:13">
      <c r="A3015" s="2">
        <v>1828</v>
      </c>
      <c r="B3015" s="2" t="s">
        <v>2508</v>
      </c>
      <c r="C3015" s="2">
        <v>9</v>
      </c>
      <c r="D3015" s="2">
        <v>568</v>
      </c>
      <c r="E3015" s="2">
        <v>200</v>
      </c>
      <c r="F3015" s="2">
        <v>32441</v>
      </c>
      <c r="G3015" s="2">
        <v>2.5701496480000001</v>
      </c>
      <c r="H3015" s="2">
        <v>1.0633287999999999E-2</v>
      </c>
      <c r="I3015" s="2" t="s">
        <v>34110</v>
      </c>
      <c r="J3015" s="2" t="s">
        <v>34111</v>
      </c>
      <c r="K3015" s="2">
        <v>3.8317589999999999E-2</v>
      </c>
      <c r="L3015" s="2" t="s">
        <v>1178</v>
      </c>
      <c r="M3015" s="4" t="s">
        <v>15296</v>
      </c>
    </row>
    <row r="3016" spans="1:13">
      <c r="A3016" s="2">
        <v>1833</v>
      </c>
      <c r="B3016" s="2" t="s">
        <v>14805</v>
      </c>
      <c r="C3016" s="2">
        <v>9</v>
      </c>
      <c r="D3016" s="2">
        <v>568</v>
      </c>
      <c r="E3016" s="2">
        <v>200</v>
      </c>
      <c r="F3016" s="2">
        <v>32441</v>
      </c>
      <c r="G3016" s="2">
        <v>2.5701496480000001</v>
      </c>
      <c r="H3016" s="2">
        <v>1.0633287999999999E-2</v>
      </c>
      <c r="I3016" s="2" t="s">
        <v>34112</v>
      </c>
      <c r="J3016" s="2" t="s">
        <v>34113</v>
      </c>
      <c r="K3016" s="2">
        <v>3.8317589999999999E-2</v>
      </c>
      <c r="L3016" s="2" t="s">
        <v>1178</v>
      </c>
      <c r="M3016" s="4" t="s">
        <v>14808</v>
      </c>
    </row>
    <row r="3017" spans="1:13">
      <c r="A3017" s="2">
        <v>1862</v>
      </c>
      <c r="B3017" s="2" t="s">
        <v>22112</v>
      </c>
      <c r="C3017" s="2">
        <v>9</v>
      </c>
      <c r="D3017" s="2">
        <v>568</v>
      </c>
      <c r="E3017" s="2">
        <v>200</v>
      </c>
      <c r="F3017" s="2">
        <v>32441</v>
      </c>
      <c r="G3017" s="2">
        <v>2.5701496480000001</v>
      </c>
      <c r="H3017" s="2">
        <v>1.0633287999999999E-2</v>
      </c>
      <c r="I3017" s="2" t="s">
        <v>34114</v>
      </c>
      <c r="J3017" s="2" t="s">
        <v>34115</v>
      </c>
      <c r="K3017" s="2">
        <v>3.8317589999999999E-2</v>
      </c>
      <c r="L3017" s="2" t="s">
        <v>1178</v>
      </c>
      <c r="M3017" s="4" t="s">
        <v>22115</v>
      </c>
    </row>
    <row r="3018" spans="1:13">
      <c r="A3018" s="2">
        <v>1942</v>
      </c>
      <c r="B3018" s="2" t="s">
        <v>23501</v>
      </c>
      <c r="C3018" s="2">
        <v>9</v>
      </c>
      <c r="D3018" s="2">
        <v>568</v>
      </c>
      <c r="E3018" s="2">
        <v>200</v>
      </c>
      <c r="F3018" s="2">
        <v>32441</v>
      </c>
      <c r="G3018" s="2">
        <v>2.5701496480000001</v>
      </c>
      <c r="H3018" s="2">
        <v>1.0633287999999999E-2</v>
      </c>
      <c r="I3018" s="2" t="s">
        <v>34116</v>
      </c>
      <c r="J3018" s="2" t="s">
        <v>34117</v>
      </c>
      <c r="K3018" s="2">
        <v>3.8317589999999999E-2</v>
      </c>
      <c r="L3018" s="2" t="s">
        <v>1178</v>
      </c>
      <c r="M3018" s="4" t="s">
        <v>23504</v>
      </c>
    </row>
    <row r="3019" spans="1:13">
      <c r="A3019" s="2">
        <v>19721</v>
      </c>
      <c r="B3019" s="2" t="s">
        <v>14825</v>
      </c>
      <c r="C3019" s="2">
        <v>9</v>
      </c>
      <c r="D3019" s="2">
        <v>568</v>
      </c>
      <c r="E3019" s="2">
        <v>200</v>
      </c>
      <c r="F3019" s="2">
        <v>32441</v>
      </c>
      <c r="G3019" s="2">
        <v>2.5701496480000001</v>
      </c>
      <c r="H3019" s="2">
        <v>1.0633287999999999E-2</v>
      </c>
      <c r="I3019" s="2" t="s">
        <v>34118</v>
      </c>
      <c r="J3019" s="2" t="s">
        <v>34119</v>
      </c>
      <c r="K3019" s="2">
        <v>3.8317589999999999E-2</v>
      </c>
      <c r="L3019" s="2" t="s">
        <v>1178</v>
      </c>
      <c r="M3019" s="4" t="s">
        <v>14828</v>
      </c>
    </row>
    <row r="3020" spans="1:13">
      <c r="A3020" s="2">
        <v>1973</v>
      </c>
      <c r="B3020" s="2" t="s">
        <v>34120</v>
      </c>
      <c r="C3020" s="2">
        <v>9</v>
      </c>
      <c r="D3020" s="2">
        <v>568</v>
      </c>
      <c r="E3020" s="2">
        <v>199</v>
      </c>
      <c r="F3020" s="2">
        <v>32441</v>
      </c>
      <c r="G3020" s="2">
        <v>2.5830649729999999</v>
      </c>
      <c r="H3020" s="2">
        <v>1.0327382E-2</v>
      </c>
      <c r="I3020" s="2" t="s">
        <v>34121</v>
      </c>
      <c r="J3020" s="2" t="s">
        <v>34122</v>
      </c>
      <c r="K3020" s="2">
        <v>3.8317589999999999E-2</v>
      </c>
      <c r="L3020" s="2" t="s">
        <v>1178</v>
      </c>
      <c r="M3020" s="4" t="s">
        <v>34123</v>
      </c>
    </row>
    <row r="3021" spans="1:13">
      <c r="A3021" s="2">
        <v>2022</v>
      </c>
      <c r="B3021" s="2" t="s">
        <v>34124</v>
      </c>
      <c r="C3021" s="2">
        <v>9</v>
      </c>
      <c r="D3021" s="2">
        <v>568</v>
      </c>
      <c r="E3021" s="2">
        <v>199</v>
      </c>
      <c r="F3021" s="2">
        <v>32441</v>
      </c>
      <c r="G3021" s="2">
        <v>2.5830649729999999</v>
      </c>
      <c r="H3021" s="2">
        <v>1.0327382E-2</v>
      </c>
      <c r="I3021" s="2" t="s">
        <v>34125</v>
      </c>
      <c r="J3021" s="2" t="s">
        <v>34126</v>
      </c>
      <c r="K3021" s="2">
        <v>3.8317589999999999E-2</v>
      </c>
      <c r="L3021" s="2" t="s">
        <v>1178</v>
      </c>
      <c r="M3021" s="4" t="s">
        <v>34127</v>
      </c>
    </row>
    <row r="3022" spans="1:13">
      <c r="A3022" s="2">
        <v>2075</v>
      </c>
      <c r="B3022" s="2" t="s">
        <v>18849</v>
      </c>
      <c r="C3022" s="2">
        <v>9</v>
      </c>
      <c r="D3022" s="2">
        <v>568</v>
      </c>
      <c r="E3022" s="2">
        <v>200</v>
      </c>
      <c r="F3022" s="2">
        <v>32441</v>
      </c>
      <c r="G3022" s="2">
        <v>2.5701496480000001</v>
      </c>
      <c r="H3022" s="2">
        <v>1.0633287999999999E-2</v>
      </c>
      <c r="I3022" s="2" t="s">
        <v>34128</v>
      </c>
      <c r="J3022" s="2" t="s">
        <v>34129</v>
      </c>
      <c r="K3022" s="2">
        <v>3.8317589999999999E-2</v>
      </c>
      <c r="L3022" s="2" t="s">
        <v>1178</v>
      </c>
      <c r="M3022" s="4" t="s">
        <v>18852</v>
      </c>
    </row>
    <row r="3023" spans="1:13">
      <c r="A3023" s="2">
        <v>2096</v>
      </c>
      <c r="B3023" s="2" t="s">
        <v>34130</v>
      </c>
      <c r="C3023" s="2">
        <v>9</v>
      </c>
      <c r="D3023" s="2">
        <v>568</v>
      </c>
      <c r="E3023" s="2">
        <v>195</v>
      </c>
      <c r="F3023" s="2">
        <v>32441</v>
      </c>
      <c r="G3023" s="2">
        <v>2.6360509209999998</v>
      </c>
      <c r="H3023" s="2">
        <v>9.1695300000000004E-3</v>
      </c>
      <c r="I3023" s="2" t="s">
        <v>34131</v>
      </c>
      <c r="J3023" s="2" t="s">
        <v>34132</v>
      </c>
      <c r="K3023" s="2">
        <v>3.8317589999999999E-2</v>
      </c>
      <c r="L3023" s="2" t="s">
        <v>1178</v>
      </c>
      <c r="M3023" s="4" t="s">
        <v>34133</v>
      </c>
    </row>
    <row r="3024" spans="1:13">
      <c r="A3024" s="2">
        <v>2106</v>
      </c>
      <c r="B3024" s="2" t="s">
        <v>34134</v>
      </c>
      <c r="C3024" s="2">
        <v>9</v>
      </c>
      <c r="D3024" s="2">
        <v>568</v>
      </c>
      <c r="E3024" s="2">
        <v>194</v>
      </c>
      <c r="F3024" s="2">
        <v>32441</v>
      </c>
      <c r="G3024" s="2">
        <v>2.6496388120000001</v>
      </c>
      <c r="H3024" s="2">
        <v>8.8960670000000006E-3</v>
      </c>
      <c r="I3024" s="2" t="s">
        <v>34135</v>
      </c>
      <c r="J3024" s="2" t="s">
        <v>34136</v>
      </c>
      <c r="K3024" s="2">
        <v>3.8317589999999999E-2</v>
      </c>
      <c r="L3024" s="2" t="s">
        <v>1178</v>
      </c>
      <c r="M3024" s="4" t="s">
        <v>34137</v>
      </c>
    </row>
    <row r="3025" spans="1:13">
      <c r="A3025" s="2">
        <v>2117</v>
      </c>
      <c r="B3025" s="2" t="s">
        <v>34138</v>
      </c>
      <c r="C3025" s="2">
        <v>9</v>
      </c>
      <c r="D3025" s="2">
        <v>568</v>
      </c>
      <c r="E3025" s="2">
        <v>200</v>
      </c>
      <c r="F3025" s="2">
        <v>32441</v>
      </c>
      <c r="G3025" s="2">
        <v>2.5701496480000001</v>
      </c>
      <c r="H3025" s="2">
        <v>1.0633287999999999E-2</v>
      </c>
      <c r="I3025" s="2" t="s">
        <v>34139</v>
      </c>
      <c r="J3025" s="2" t="s">
        <v>34140</v>
      </c>
      <c r="K3025" s="2">
        <v>3.8317589999999999E-2</v>
      </c>
      <c r="L3025" s="2" t="s">
        <v>1178</v>
      </c>
      <c r="M3025" s="4" t="s">
        <v>34141</v>
      </c>
    </row>
    <row r="3026" spans="1:13">
      <c r="A3026" s="2">
        <v>2119</v>
      </c>
      <c r="B3026" s="2" t="s">
        <v>34142</v>
      </c>
      <c r="C3026" s="2">
        <v>9</v>
      </c>
      <c r="D3026" s="2">
        <v>568</v>
      </c>
      <c r="E3026" s="2">
        <v>200</v>
      </c>
      <c r="F3026" s="2">
        <v>32441</v>
      </c>
      <c r="G3026" s="2">
        <v>2.5701496480000001</v>
      </c>
      <c r="H3026" s="2">
        <v>1.0633287999999999E-2</v>
      </c>
      <c r="I3026" s="2" t="s">
        <v>34143</v>
      </c>
      <c r="J3026" s="2" t="s">
        <v>34144</v>
      </c>
      <c r="K3026" s="2">
        <v>3.8317589999999999E-2</v>
      </c>
      <c r="L3026" s="2" t="s">
        <v>1178</v>
      </c>
      <c r="M3026" s="4" t="s">
        <v>34145</v>
      </c>
    </row>
    <row r="3027" spans="1:13">
      <c r="A3027" s="2">
        <v>2127</v>
      </c>
      <c r="B3027" s="2" t="s">
        <v>20975</v>
      </c>
      <c r="C3027" s="2">
        <v>9</v>
      </c>
      <c r="D3027" s="2">
        <v>568</v>
      </c>
      <c r="E3027" s="2">
        <v>200</v>
      </c>
      <c r="F3027" s="2">
        <v>32441</v>
      </c>
      <c r="G3027" s="2">
        <v>2.5701496480000001</v>
      </c>
      <c r="H3027" s="2">
        <v>1.0633287999999999E-2</v>
      </c>
      <c r="I3027" s="2" t="s">
        <v>34146</v>
      </c>
      <c r="J3027" s="2" t="s">
        <v>34147</v>
      </c>
      <c r="K3027" s="2">
        <v>3.8317589999999999E-2</v>
      </c>
      <c r="L3027" s="2" t="s">
        <v>1178</v>
      </c>
      <c r="M3027" s="4" t="s">
        <v>20978</v>
      </c>
    </row>
    <row r="3028" spans="1:13">
      <c r="A3028" s="2">
        <v>2146</v>
      </c>
      <c r="B3028" s="2" t="s">
        <v>18877</v>
      </c>
      <c r="C3028" s="2">
        <v>9</v>
      </c>
      <c r="D3028" s="2">
        <v>568</v>
      </c>
      <c r="E3028" s="2">
        <v>200</v>
      </c>
      <c r="F3028" s="2">
        <v>32441</v>
      </c>
      <c r="G3028" s="2">
        <v>2.5701496480000001</v>
      </c>
      <c r="H3028" s="2">
        <v>1.0633287999999999E-2</v>
      </c>
      <c r="I3028" s="2" t="s">
        <v>34148</v>
      </c>
      <c r="J3028" s="2" t="s">
        <v>34149</v>
      </c>
      <c r="K3028" s="2">
        <v>3.8317589999999999E-2</v>
      </c>
      <c r="L3028" s="2" t="s">
        <v>1178</v>
      </c>
      <c r="M3028" s="4" t="s">
        <v>18880</v>
      </c>
    </row>
    <row r="3029" spans="1:13">
      <c r="A3029" s="2">
        <v>2160</v>
      </c>
      <c r="B3029" s="2" t="s">
        <v>2205</v>
      </c>
      <c r="C3029" s="2">
        <v>9</v>
      </c>
      <c r="D3029" s="2">
        <v>568</v>
      </c>
      <c r="E3029" s="2">
        <v>200</v>
      </c>
      <c r="F3029" s="2">
        <v>32441</v>
      </c>
      <c r="G3029" s="2">
        <v>2.5701496480000001</v>
      </c>
      <c r="H3029" s="2">
        <v>1.0633287999999999E-2</v>
      </c>
      <c r="I3029" s="2" t="s">
        <v>34150</v>
      </c>
      <c r="J3029" s="2" t="s">
        <v>34151</v>
      </c>
      <c r="K3029" s="2">
        <v>3.8317589999999999E-2</v>
      </c>
      <c r="L3029" s="2" t="s">
        <v>1178</v>
      </c>
      <c r="M3029" s="4" t="s">
        <v>14831</v>
      </c>
    </row>
    <row r="3030" spans="1:13">
      <c r="A3030" s="2">
        <v>2204</v>
      </c>
      <c r="B3030" s="2" t="s">
        <v>16549</v>
      </c>
      <c r="C3030" s="2">
        <v>9</v>
      </c>
      <c r="D3030" s="2">
        <v>568</v>
      </c>
      <c r="E3030" s="2">
        <v>200</v>
      </c>
      <c r="F3030" s="2">
        <v>32441</v>
      </c>
      <c r="G3030" s="2">
        <v>2.5701496480000001</v>
      </c>
      <c r="H3030" s="2">
        <v>1.0633287999999999E-2</v>
      </c>
      <c r="I3030" s="2" t="s">
        <v>34152</v>
      </c>
      <c r="J3030" s="2" t="s">
        <v>34153</v>
      </c>
      <c r="K3030" s="2">
        <v>3.8317589999999999E-2</v>
      </c>
      <c r="L3030" s="2" t="s">
        <v>1178</v>
      </c>
      <c r="M3030" s="4" t="s">
        <v>16552</v>
      </c>
    </row>
    <row r="3031" spans="1:13">
      <c r="A3031" s="2">
        <v>22061</v>
      </c>
      <c r="B3031" s="2" t="s">
        <v>23587</v>
      </c>
      <c r="C3031" s="2">
        <v>9</v>
      </c>
      <c r="D3031" s="2">
        <v>568</v>
      </c>
      <c r="E3031" s="2">
        <v>200</v>
      </c>
      <c r="F3031" s="2">
        <v>32441</v>
      </c>
      <c r="G3031" s="2">
        <v>2.5701496480000001</v>
      </c>
      <c r="H3031" s="2">
        <v>1.0633287999999999E-2</v>
      </c>
      <c r="I3031" s="2" t="s">
        <v>34154</v>
      </c>
      <c r="J3031" s="2" t="s">
        <v>34155</v>
      </c>
      <c r="K3031" s="2">
        <v>3.8317589999999999E-2</v>
      </c>
      <c r="L3031" s="2" t="s">
        <v>1178</v>
      </c>
      <c r="M3031" s="4" t="s">
        <v>23590</v>
      </c>
    </row>
    <row r="3032" spans="1:13">
      <c r="A3032" s="2">
        <v>2218</v>
      </c>
      <c r="B3032" s="2" t="s">
        <v>15875</v>
      </c>
      <c r="C3032" s="2">
        <v>9</v>
      </c>
      <c r="D3032" s="2">
        <v>568</v>
      </c>
      <c r="E3032" s="2">
        <v>200</v>
      </c>
      <c r="F3032" s="2">
        <v>32441</v>
      </c>
      <c r="G3032" s="2">
        <v>2.5701496480000001</v>
      </c>
      <c r="H3032" s="2">
        <v>1.0633287999999999E-2</v>
      </c>
      <c r="I3032" s="2" t="s">
        <v>34156</v>
      </c>
      <c r="J3032" s="2" t="s">
        <v>34157</v>
      </c>
      <c r="K3032" s="2">
        <v>3.8317589999999999E-2</v>
      </c>
      <c r="L3032" s="2" t="s">
        <v>1178</v>
      </c>
      <c r="M3032" s="4" t="s">
        <v>15878</v>
      </c>
    </row>
    <row r="3033" spans="1:13">
      <c r="A3033" s="2">
        <v>2235</v>
      </c>
      <c r="B3033" s="2" t="s">
        <v>21001</v>
      </c>
      <c r="C3033" s="2">
        <v>9</v>
      </c>
      <c r="D3033" s="2">
        <v>568</v>
      </c>
      <c r="E3033" s="2">
        <v>200</v>
      </c>
      <c r="F3033" s="2">
        <v>32441</v>
      </c>
      <c r="G3033" s="2">
        <v>2.5701496480000001</v>
      </c>
      <c r="H3033" s="2">
        <v>1.0633287999999999E-2</v>
      </c>
      <c r="I3033" s="2" t="s">
        <v>34158</v>
      </c>
      <c r="J3033" s="2" t="s">
        <v>34159</v>
      </c>
      <c r="K3033" s="2">
        <v>3.8317589999999999E-2</v>
      </c>
      <c r="L3033" s="2" t="s">
        <v>1178</v>
      </c>
      <c r="M3033" s="4" t="s">
        <v>21004</v>
      </c>
    </row>
    <row r="3034" spans="1:13">
      <c r="A3034" s="2">
        <v>2270</v>
      </c>
      <c r="B3034" s="2" t="s">
        <v>3269</v>
      </c>
      <c r="C3034" s="2">
        <v>9</v>
      </c>
      <c r="D3034" s="2">
        <v>568</v>
      </c>
      <c r="E3034" s="2">
        <v>200</v>
      </c>
      <c r="F3034" s="2">
        <v>32441</v>
      </c>
      <c r="G3034" s="2">
        <v>2.5701496480000001</v>
      </c>
      <c r="H3034" s="2">
        <v>1.0633287999999999E-2</v>
      </c>
      <c r="I3034" s="2" t="s">
        <v>34160</v>
      </c>
      <c r="J3034" s="2" t="s">
        <v>34161</v>
      </c>
      <c r="K3034" s="2">
        <v>3.8317589999999999E-2</v>
      </c>
      <c r="L3034" s="2" t="s">
        <v>1178</v>
      </c>
      <c r="M3034" s="4" t="s">
        <v>3272</v>
      </c>
    </row>
    <row r="3035" spans="1:13">
      <c r="A3035" s="2">
        <v>2298</v>
      </c>
      <c r="B3035" s="2" t="s">
        <v>21016</v>
      </c>
      <c r="C3035" s="2">
        <v>9</v>
      </c>
      <c r="D3035" s="2">
        <v>568</v>
      </c>
      <c r="E3035" s="2">
        <v>200</v>
      </c>
      <c r="F3035" s="2">
        <v>32441</v>
      </c>
      <c r="G3035" s="2">
        <v>2.5701496480000001</v>
      </c>
      <c r="H3035" s="2">
        <v>1.0633287999999999E-2</v>
      </c>
      <c r="I3035" s="2" t="s">
        <v>34162</v>
      </c>
      <c r="J3035" s="2" t="s">
        <v>34163</v>
      </c>
      <c r="K3035" s="2">
        <v>3.8317589999999999E-2</v>
      </c>
      <c r="L3035" s="2" t="s">
        <v>1178</v>
      </c>
      <c r="M3035" s="4" t="s">
        <v>21019</v>
      </c>
    </row>
    <row r="3036" spans="1:13">
      <c r="A3036" s="2">
        <v>2299</v>
      </c>
      <c r="B3036" s="2" t="s">
        <v>21020</v>
      </c>
      <c r="C3036" s="2">
        <v>9</v>
      </c>
      <c r="D3036" s="2">
        <v>568</v>
      </c>
      <c r="E3036" s="2">
        <v>200</v>
      </c>
      <c r="F3036" s="2">
        <v>32441</v>
      </c>
      <c r="G3036" s="2">
        <v>2.5701496480000001</v>
      </c>
      <c r="H3036" s="2">
        <v>1.0633287999999999E-2</v>
      </c>
      <c r="I3036" s="2" t="s">
        <v>34164</v>
      </c>
      <c r="J3036" s="2" t="s">
        <v>34165</v>
      </c>
      <c r="K3036" s="2">
        <v>3.8317589999999999E-2</v>
      </c>
      <c r="L3036" s="2" t="s">
        <v>1178</v>
      </c>
      <c r="M3036" s="4" t="s">
        <v>21023</v>
      </c>
    </row>
    <row r="3037" spans="1:13">
      <c r="A3037" s="2">
        <v>23141</v>
      </c>
      <c r="B3037" s="2" t="s">
        <v>21024</v>
      </c>
      <c r="C3037" s="2">
        <v>9</v>
      </c>
      <c r="D3037" s="2">
        <v>568</v>
      </c>
      <c r="E3037" s="2">
        <v>200</v>
      </c>
      <c r="F3037" s="2">
        <v>32441</v>
      </c>
      <c r="G3037" s="2">
        <v>2.5701496480000001</v>
      </c>
      <c r="H3037" s="2">
        <v>1.0633287999999999E-2</v>
      </c>
      <c r="I3037" s="2" t="s">
        <v>34166</v>
      </c>
      <c r="J3037" s="2" t="s">
        <v>34167</v>
      </c>
      <c r="K3037" s="2">
        <v>3.8317589999999999E-2</v>
      </c>
      <c r="L3037" s="2" t="s">
        <v>1178</v>
      </c>
      <c r="M3037" s="4" t="s">
        <v>21027</v>
      </c>
    </row>
    <row r="3038" spans="1:13">
      <c r="A3038" s="2">
        <v>2318</v>
      </c>
      <c r="B3038" s="2" t="s">
        <v>3212</v>
      </c>
      <c r="C3038" s="2">
        <v>9</v>
      </c>
      <c r="D3038" s="2">
        <v>568</v>
      </c>
      <c r="E3038" s="2">
        <v>200</v>
      </c>
      <c r="F3038" s="2">
        <v>32441</v>
      </c>
      <c r="G3038" s="2">
        <v>2.5701496480000001</v>
      </c>
      <c r="H3038" s="2">
        <v>1.0633287999999999E-2</v>
      </c>
      <c r="I3038" s="2" t="s">
        <v>34168</v>
      </c>
      <c r="J3038" s="2" t="s">
        <v>34169</v>
      </c>
      <c r="K3038" s="2">
        <v>3.8317589999999999E-2</v>
      </c>
      <c r="L3038" s="2" t="s">
        <v>1178</v>
      </c>
      <c r="M3038" s="4" t="s">
        <v>3215</v>
      </c>
    </row>
    <row r="3039" spans="1:13">
      <c r="A3039" s="2">
        <v>2326</v>
      </c>
      <c r="B3039" s="2" t="s">
        <v>18067</v>
      </c>
      <c r="C3039" s="2">
        <v>9</v>
      </c>
      <c r="D3039" s="2">
        <v>568</v>
      </c>
      <c r="E3039" s="2">
        <v>199</v>
      </c>
      <c r="F3039" s="2">
        <v>32441</v>
      </c>
      <c r="G3039" s="2">
        <v>2.5830649729999999</v>
      </c>
      <c r="H3039" s="2">
        <v>1.0327382E-2</v>
      </c>
      <c r="I3039" s="2" t="s">
        <v>34170</v>
      </c>
      <c r="J3039" s="2" t="s">
        <v>34171</v>
      </c>
      <c r="K3039" s="2">
        <v>3.8317589999999999E-2</v>
      </c>
      <c r="L3039" s="2" t="s">
        <v>1178</v>
      </c>
      <c r="M3039" s="4" t="s">
        <v>18070</v>
      </c>
    </row>
    <row r="3040" spans="1:13">
      <c r="A3040" s="2">
        <v>2330</v>
      </c>
      <c r="B3040" s="2" t="s">
        <v>34172</v>
      </c>
      <c r="C3040" s="2">
        <v>9</v>
      </c>
      <c r="D3040" s="2">
        <v>568</v>
      </c>
      <c r="E3040" s="2">
        <v>199</v>
      </c>
      <c r="F3040" s="2">
        <v>32441</v>
      </c>
      <c r="G3040" s="2">
        <v>2.5830649729999999</v>
      </c>
      <c r="H3040" s="2">
        <v>1.0327382E-2</v>
      </c>
      <c r="I3040" s="2" t="s">
        <v>34173</v>
      </c>
      <c r="J3040" s="2" t="s">
        <v>34174</v>
      </c>
      <c r="K3040" s="2">
        <v>3.8317589999999999E-2</v>
      </c>
      <c r="L3040" s="2" t="s">
        <v>1178</v>
      </c>
      <c r="M3040" s="4" t="s">
        <v>34175</v>
      </c>
    </row>
    <row r="3041" spans="1:13">
      <c r="A3041" s="2">
        <v>2336</v>
      </c>
      <c r="B3041" s="2" t="s">
        <v>17297</v>
      </c>
      <c r="C3041" s="2">
        <v>9</v>
      </c>
      <c r="D3041" s="2">
        <v>568</v>
      </c>
      <c r="E3041" s="2">
        <v>200</v>
      </c>
      <c r="F3041" s="2">
        <v>32441</v>
      </c>
      <c r="G3041" s="2">
        <v>2.5701496480000001</v>
      </c>
      <c r="H3041" s="2">
        <v>1.0633287999999999E-2</v>
      </c>
      <c r="I3041" s="2" t="s">
        <v>34176</v>
      </c>
      <c r="J3041" s="2" t="s">
        <v>34177</v>
      </c>
      <c r="K3041" s="2">
        <v>3.8317589999999999E-2</v>
      </c>
      <c r="L3041" s="2" t="s">
        <v>1178</v>
      </c>
      <c r="M3041" s="4" t="s">
        <v>17300</v>
      </c>
    </row>
    <row r="3042" spans="1:13">
      <c r="A3042" s="2">
        <v>2346</v>
      </c>
      <c r="B3042" s="2" t="s">
        <v>23611</v>
      </c>
      <c r="C3042" s="2">
        <v>9</v>
      </c>
      <c r="D3042" s="2">
        <v>568</v>
      </c>
      <c r="E3042" s="2">
        <v>196</v>
      </c>
      <c r="F3042" s="2">
        <v>32441</v>
      </c>
      <c r="G3042" s="2">
        <v>2.622601682</v>
      </c>
      <c r="H3042" s="2">
        <v>9.4493040000000004E-3</v>
      </c>
      <c r="I3042" s="2" t="s">
        <v>34178</v>
      </c>
      <c r="J3042" s="2" t="s">
        <v>34179</v>
      </c>
      <c r="K3042" s="2">
        <v>3.8317589999999999E-2</v>
      </c>
      <c r="L3042" s="2" t="s">
        <v>1178</v>
      </c>
      <c r="M3042" s="4" t="s">
        <v>23614</v>
      </c>
    </row>
    <row r="3043" spans="1:13">
      <c r="A3043" s="2">
        <v>2352</v>
      </c>
      <c r="B3043" s="2" t="s">
        <v>15891</v>
      </c>
      <c r="C3043" s="2">
        <v>9</v>
      </c>
      <c r="D3043" s="2">
        <v>568</v>
      </c>
      <c r="E3043" s="2">
        <v>200</v>
      </c>
      <c r="F3043" s="2">
        <v>32441</v>
      </c>
      <c r="G3043" s="2">
        <v>2.5701496480000001</v>
      </c>
      <c r="H3043" s="2">
        <v>1.0633287999999999E-2</v>
      </c>
      <c r="I3043" s="2" t="s">
        <v>34180</v>
      </c>
      <c r="J3043" s="2" t="s">
        <v>34181</v>
      </c>
      <c r="K3043" s="2">
        <v>3.8317589999999999E-2</v>
      </c>
      <c r="L3043" s="2" t="s">
        <v>1178</v>
      </c>
      <c r="M3043" s="4" t="s">
        <v>15894</v>
      </c>
    </row>
    <row r="3044" spans="1:13">
      <c r="A3044" s="2">
        <v>2355</v>
      </c>
      <c r="B3044" s="2" t="s">
        <v>34182</v>
      </c>
      <c r="C3044" s="2">
        <v>9</v>
      </c>
      <c r="D3044" s="2">
        <v>568</v>
      </c>
      <c r="E3044" s="2">
        <v>200</v>
      </c>
      <c r="F3044" s="2">
        <v>32441</v>
      </c>
      <c r="G3044" s="2">
        <v>2.5701496480000001</v>
      </c>
      <c r="H3044" s="2">
        <v>1.0633287999999999E-2</v>
      </c>
      <c r="I3044" s="2" t="s">
        <v>34183</v>
      </c>
      <c r="J3044" s="2" t="s">
        <v>34184</v>
      </c>
      <c r="K3044" s="2">
        <v>3.8317589999999999E-2</v>
      </c>
      <c r="L3044" s="2" t="s">
        <v>1178</v>
      </c>
      <c r="M3044" s="4" t="s">
        <v>34185</v>
      </c>
    </row>
    <row r="3045" spans="1:13">
      <c r="A3045" s="2">
        <v>2356</v>
      </c>
      <c r="B3045" s="2" t="s">
        <v>14844</v>
      </c>
      <c r="C3045" s="2">
        <v>9</v>
      </c>
      <c r="D3045" s="2">
        <v>568</v>
      </c>
      <c r="E3045" s="2">
        <v>200</v>
      </c>
      <c r="F3045" s="2">
        <v>32441</v>
      </c>
      <c r="G3045" s="2">
        <v>2.5701496480000001</v>
      </c>
      <c r="H3045" s="2">
        <v>1.0633287999999999E-2</v>
      </c>
      <c r="I3045" s="2" t="s">
        <v>34186</v>
      </c>
      <c r="J3045" s="2" t="s">
        <v>34187</v>
      </c>
      <c r="K3045" s="2">
        <v>3.8317589999999999E-2</v>
      </c>
      <c r="L3045" s="2" t="s">
        <v>1178</v>
      </c>
      <c r="M3045" s="4" t="s">
        <v>14847</v>
      </c>
    </row>
    <row r="3046" spans="1:13">
      <c r="A3046" s="2">
        <v>2357</v>
      </c>
      <c r="B3046" s="2" t="s">
        <v>17301</v>
      </c>
      <c r="C3046" s="2">
        <v>9</v>
      </c>
      <c r="D3046" s="2">
        <v>568</v>
      </c>
      <c r="E3046" s="2">
        <v>200</v>
      </c>
      <c r="F3046" s="2">
        <v>32441</v>
      </c>
      <c r="G3046" s="2">
        <v>2.5701496480000001</v>
      </c>
      <c r="H3046" s="2">
        <v>1.0633287999999999E-2</v>
      </c>
      <c r="I3046" s="2" t="s">
        <v>34188</v>
      </c>
      <c r="J3046" s="2" t="s">
        <v>34189</v>
      </c>
      <c r="K3046" s="2">
        <v>3.8317589999999999E-2</v>
      </c>
      <c r="L3046" s="2" t="s">
        <v>1178</v>
      </c>
      <c r="M3046" s="4" t="s">
        <v>17304</v>
      </c>
    </row>
    <row r="3047" spans="1:13">
      <c r="A3047" s="2">
        <v>2390</v>
      </c>
      <c r="B3047" s="2" t="s">
        <v>34190</v>
      </c>
      <c r="C3047" s="2">
        <v>9</v>
      </c>
      <c r="D3047" s="2">
        <v>568</v>
      </c>
      <c r="E3047" s="2">
        <v>200</v>
      </c>
      <c r="F3047" s="2">
        <v>32441</v>
      </c>
      <c r="G3047" s="2">
        <v>2.5701496480000001</v>
      </c>
      <c r="H3047" s="2">
        <v>1.0633287999999999E-2</v>
      </c>
      <c r="I3047" s="2" t="s">
        <v>34191</v>
      </c>
      <c r="J3047" s="2" t="s">
        <v>34192</v>
      </c>
      <c r="K3047" s="2">
        <v>3.8317589999999999E-2</v>
      </c>
      <c r="L3047" s="2" t="s">
        <v>1178</v>
      </c>
      <c r="M3047" s="4" t="s">
        <v>34193</v>
      </c>
    </row>
    <row r="3048" spans="1:13">
      <c r="A3048" s="2">
        <v>2394</v>
      </c>
      <c r="B3048" s="2" t="s">
        <v>2565</v>
      </c>
      <c r="C3048" s="2">
        <v>9</v>
      </c>
      <c r="D3048" s="2">
        <v>568</v>
      </c>
      <c r="E3048" s="2">
        <v>199</v>
      </c>
      <c r="F3048" s="2">
        <v>32441</v>
      </c>
      <c r="G3048" s="2">
        <v>2.5830649729999999</v>
      </c>
      <c r="H3048" s="2">
        <v>1.0327382E-2</v>
      </c>
      <c r="I3048" s="2" t="s">
        <v>34194</v>
      </c>
      <c r="J3048" s="2" t="s">
        <v>34195</v>
      </c>
      <c r="K3048" s="2">
        <v>3.8317589999999999E-2</v>
      </c>
      <c r="L3048" s="2" t="s">
        <v>1178</v>
      </c>
      <c r="M3048" s="4" t="s">
        <v>21042</v>
      </c>
    </row>
    <row r="3049" spans="1:13">
      <c r="A3049" s="2">
        <v>2434</v>
      </c>
      <c r="B3049" s="2" t="s">
        <v>13076</v>
      </c>
      <c r="C3049" s="2">
        <v>9</v>
      </c>
      <c r="D3049" s="2">
        <v>568</v>
      </c>
      <c r="E3049" s="2">
        <v>199</v>
      </c>
      <c r="F3049" s="2">
        <v>32441</v>
      </c>
      <c r="G3049" s="2">
        <v>2.5830649729999999</v>
      </c>
      <c r="H3049" s="2">
        <v>1.0327382E-2</v>
      </c>
      <c r="I3049" s="2" t="s">
        <v>34196</v>
      </c>
      <c r="J3049" s="2" t="s">
        <v>34197</v>
      </c>
      <c r="K3049" s="2">
        <v>3.8317589999999999E-2</v>
      </c>
      <c r="L3049" s="2" t="s">
        <v>1178</v>
      </c>
      <c r="M3049" s="4" t="s">
        <v>13079</v>
      </c>
    </row>
    <row r="3050" spans="1:13">
      <c r="A3050" s="2">
        <v>2474</v>
      </c>
      <c r="B3050" s="2" t="s">
        <v>34198</v>
      </c>
      <c r="C3050" s="2">
        <v>9</v>
      </c>
      <c r="D3050" s="2">
        <v>568</v>
      </c>
      <c r="E3050" s="2">
        <v>200</v>
      </c>
      <c r="F3050" s="2">
        <v>32441</v>
      </c>
      <c r="G3050" s="2">
        <v>2.5701496480000001</v>
      </c>
      <c r="H3050" s="2">
        <v>1.0633287999999999E-2</v>
      </c>
      <c r="I3050" s="2" t="s">
        <v>34199</v>
      </c>
      <c r="J3050" s="2" t="s">
        <v>34200</v>
      </c>
      <c r="K3050" s="2">
        <v>3.8317589999999999E-2</v>
      </c>
      <c r="L3050" s="2" t="s">
        <v>1178</v>
      </c>
      <c r="M3050" s="4" t="s">
        <v>34201</v>
      </c>
    </row>
    <row r="3051" spans="1:13">
      <c r="A3051" s="2">
        <v>2487</v>
      </c>
      <c r="B3051" s="2" t="s">
        <v>34202</v>
      </c>
      <c r="C3051" s="2">
        <v>9</v>
      </c>
      <c r="D3051" s="2">
        <v>568</v>
      </c>
      <c r="E3051" s="2">
        <v>200</v>
      </c>
      <c r="F3051" s="2">
        <v>32441</v>
      </c>
      <c r="G3051" s="2">
        <v>2.5701496480000001</v>
      </c>
      <c r="H3051" s="2">
        <v>1.0633287999999999E-2</v>
      </c>
      <c r="I3051" s="2" t="s">
        <v>34203</v>
      </c>
      <c r="J3051" s="2" t="s">
        <v>34204</v>
      </c>
      <c r="K3051" s="2">
        <v>3.8317589999999999E-2</v>
      </c>
      <c r="L3051" s="2" t="s">
        <v>1178</v>
      </c>
      <c r="M3051" s="4" t="s">
        <v>34205</v>
      </c>
    </row>
    <row r="3052" spans="1:13">
      <c r="A3052" s="2">
        <v>24991</v>
      </c>
      <c r="B3052" s="2" t="s">
        <v>34206</v>
      </c>
      <c r="C3052" s="2">
        <v>8</v>
      </c>
      <c r="D3052" s="2">
        <v>568</v>
      </c>
      <c r="E3052" s="2">
        <v>162</v>
      </c>
      <c r="F3052" s="2">
        <v>32441</v>
      </c>
      <c r="G3052" s="2">
        <v>2.8204660060000002</v>
      </c>
      <c r="H3052" s="2">
        <v>9.495982E-3</v>
      </c>
      <c r="I3052" s="2" t="s">
        <v>34207</v>
      </c>
      <c r="J3052" s="2" t="s">
        <v>34208</v>
      </c>
      <c r="K3052" s="2">
        <v>3.8317589999999999E-2</v>
      </c>
      <c r="L3052" s="2" t="s">
        <v>1178</v>
      </c>
      <c r="M3052" s="4" t="s">
        <v>34209</v>
      </c>
    </row>
    <row r="3053" spans="1:13">
      <c r="A3053" s="2">
        <v>2513</v>
      </c>
      <c r="B3053" s="2" t="s">
        <v>34210</v>
      </c>
      <c r="C3053" s="2">
        <v>9</v>
      </c>
      <c r="D3053" s="2">
        <v>568</v>
      </c>
      <c r="E3053" s="2">
        <v>200</v>
      </c>
      <c r="F3053" s="2">
        <v>32441</v>
      </c>
      <c r="G3053" s="2">
        <v>2.5701496480000001</v>
      </c>
      <c r="H3053" s="2">
        <v>1.0633287999999999E-2</v>
      </c>
      <c r="I3053" s="2" t="s">
        <v>34211</v>
      </c>
      <c r="J3053" s="2" t="s">
        <v>34212</v>
      </c>
      <c r="K3053" s="2">
        <v>3.8317589999999999E-2</v>
      </c>
      <c r="L3053" s="2" t="s">
        <v>1178</v>
      </c>
      <c r="M3053" s="4" t="s">
        <v>34213</v>
      </c>
    </row>
    <row r="3054" spans="1:13">
      <c r="A3054" s="2">
        <v>2516</v>
      </c>
      <c r="B3054" s="2" t="s">
        <v>18090</v>
      </c>
      <c r="C3054" s="2">
        <v>9</v>
      </c>
      <c r="D3054" s="2">
        <v>568</v>
      </c>
      <c r="E3054" s="2">
        <v>200</v>
      </c>
      <c r="F3054" s="2">
        <v>32441</v>
      </c>
      <c r="G3054" s="2">
        <v>2.5701496480000001</v>
      </c>
      <c r="H3054" s="2">
        <v>1.0633287999999999E-2</v>
      </c>
      <c r="I3054" s="2" t="s">
        <v>34214</v>
      </c>
      <c r="J3054" s="2" t="s">
        <v>34215</v>
      </c>
      <c r="K3054" s="2">
        <v>3.8317589999999999E-2</v>
      </c>
      <c r="L3054" s="2" t="s">
        <v>1178</v>
      </c>
      <c r="M3054" s="4" t="s">
        <v>18093</v>
      </c>
    </row>
    <row r="3055" spans="1:13">
      <c r="A3055" s="2">
        <v>2556</v>
      </c>
      <c r="B3055" s="2" t="s">
        <v>34216</v>
      </c>
      <c r="C3055" s="2">
        <v>9</v>
      </c>
      <c r="D3055" s="2">
        <v>568</v>
      </c>
      <c r="E3055" s="2">
        <v>200</v>
      </c>
      <c r="F3055" s="2">
        <v>32441</v>
      </c>
      <c r="G3055" s="2">
        <v>2.5701496480000001</v>
      </c>
      <c r="H3055" s="2">
        <v>1.0633287999999999E-2</v>
      </c>
      <c r="I3055" s="2" t="s">
        <v>34217</v>
      </c>
      <c r="J3055" s="2" t="s">
        <v>34218</v>
      </c>
      <c r="K3055" s="2">
        <v>3.8317589999999999E-2</v>
      </c>
      <c r="L3055" s="2" t="s">
        <v>1178</v>
      </c>
      <c r="M3055" s="4" t="s">
        <v>34219</v>
      </c>
    </row>
    <row r="3056" spans="1:13">
      <c r="A3056" s="2">
        <v>2578</v>
      </c>
      <c r="B3056" s="2" t="s">
        <v>34220</v>
      </c>
      <c r="C3056" s="2">
        <v>9</v>
      </c>
      <c r="D3056" s="2">
        <v>568</v>
      </c>
      <c r="E3056" s="2">
        <v>200</v>
      </c>
      <c r="F3056" s="2">
        <v>32441</v>
      </c>
      <c r="G3056" s="2">
        <v>2.5701496480000001</v>
      </c>
      <c r="H3056" s="2">
        <v>1.0633287999999999E-2</v>
      </c>
      <c r="I3056" s="2" t="s">
        <v>34221</v>
      </c>
      <c r="J3056" s="2" t="s">
        <v>34222</v>
      </c>
      <c r="K3056" s="2">
        <v>3.8317589999999999E-2</v>
      </c>
      <c r="L3056" s="2" t="s">
        <v>1178</v>
      </c>
      <c r="M3056" s="4" t="s">
        <v>34223</v>
      </c>
    </row>
    <row r="3057" spans="1:13">
      <c r="A3057" s="2">
        <v>2582</v>
      </c>
      <c r="B3057" s="2" t="s">
        <v>22262</v>
      </c>
      <c r="C3057" s="2">
        <v>9</v>
      </c>
      <c r="D3057" s="2">
        <v>568</v>
      </c>
      <c r="E3057" s="2">
        <v>200</v>
      </c>
      <c r="F3057" s="2">
        <v>32441</v>
      </c>
      <c r="G3057" s="2">
        <v>2.5701496480000001</v>
      </c>
      <c r="H3057" s="2">
        <v>1.0633287999999999E-2</v>
      </c>
      <c r="I3057" s="2" t="s">
        <v>34224</v>
      </c>
      <c r="J3057" s="2" t="s">
        <v>34225</v>
      </c>
      <c r="K3057" s="2">
        <v>3.8317589999999999E-2</v>
      </c>
      <c r="L3057" s="2" t="s">
        <v>1178</v>
      </c>
      <c r="M3057" s="4" t="s">
        <v>22265</v>
      </c>
    </row>
    <row r="3058" spans="1:13">
      <c r="A3058" s="2">
        <v>2585</v>
      </c>
      <c r="B3058" s="2" t="s">
        <v>12707</v>
      </c>
      <c r="C3058" s="2">
        <v>9</v>
      </c>
      <c r="D3058" s="2">
        <v>568</v>
      </c>
      <c r="E3058" s="2">
        <v>200</v>
      </c>
      <c r="F3058" s="2">
        <v>32441</v>
      </c>
      <c r="G3058" s="2">
        <v>2.5701496480000001</v>
      </c>
      <c r="H3058" s="2">
        <v>1.0633287999999999E-2</v>
      </c>
      <c r="I3058" s="2" t="s">
        <v>34226</v>
      </c>
      <c r="J3058" s="2" t="s">
        <v>34227</v>
      </c>
      <c r="K3058" s="2">
        <v>3.8317589999999999E-2</v>
      </c>
      <c r="L3058" s="2" t="s">
        <v>1178</v>
      </c>
      <c r="M3058" s="4" t="s">
        <v>12710</v>
      </c>
    </row>
    <row r="3059" spans="1:13">
      <c r="A3059" s="2">
        <v>2620</v>
      </c>
      <c r="B3059" s="2" t="s">
        <v>2214</v>
      </c>
      <c r="C3059" s="2">
        <v>9</v>
      </c>
      <c r="D3059" s="2">
        <v>568</v>
      </c>
      <c r="E3059" s="2">
        <v>200</v>
      </c>
      <c r="F3059" s="2">
        <v>32441</v>
      </c>
      <c r="G3059" s="2">
        <v>2.5701496480000001</v>
      </c>
      <c r="H3059" s="2">
        <v>1.0633287999999999E-2</v>
      </c>
      <c r="I3059" s="2" t="s">
        <v>34228</v>
      </c>
      <c r="J3059" s="2" t="s">
        <v>34229</v>
      </c>
      <c r="K3059" s="2">
        <v>3.8317589999999999E-2</v>
      </c>
      <c r="L3059" s="2" t="s">
        <v>1178</v>
      </c>
      <c r="M3059" s="4" t="s">
        <v>18100</v>
      </c>
    </row>
    <row r="3060" spans="1:13">
      <c r="A3060" s="2">
        <v>2645</v>
      </c>
      <c r="B3060" s="2" t="s">
        <v>15922</v>
      </c>
      <c r="C3060" s="2">
        <v>9</v>
      </c>
      <c r="D3060" s="2">
        <v>568</v>
      </c>
      <c r="E3060" s="2">
        <v>200</v>
      </c>
      <c r="F3060" s="2">
        <v>32441</v>
      </c>
      <c r="G3060" s="2">
        <v>2.5701496480000001</v>
      </c>
      <c r="H3060" s="2">
        <v>1.0633287999999999E-2</v>
      </c>
      <c r="I3060" s="2" t="s">
        <v>34230</v>
      </c>
      <c r="J3060" s="2" t="s">
        <v>34231</v>
      </c>
      <c r="K3060" s="2">
        <v>3.8317589999999999E-2</v>
      </c>
      <c r="L3060" s="2" t="s">
        <v>1178</v>
      </c>
      <c r="M3060" s="4" t="s">
        <v>15925</v>
      </c>
    </row>
    <row r="3061" spans="1:13">
      <c r="A3061" s="2">
        <v>2838</v>
      </c>
      <c r="B3061" s="2" t="s">
        <v>15942</v>
      </c>
      <c r="C3061" s="2">
        <v>9</v>
      </c>
      <c r="D3061" s="2">
        <v>568</v>
      </c>
      <c r="E3061" s="2">
        <v>200</v>
      </c>
      <c r="F3061" s="2">
        <v>32441</v>
      </c>
      <c r="G3061" s="2">
        <v>2.5701496480000001</v>
      </c>
      <c r="H3061" s="2">
        <v>1.0633287999999999E-2</v>
      </c>
      <c r="I3061" s="2" t="s">
        <v>34232</v>
      </c>
      <c r="J3061" s="2" t="s">
        <v>34233</v>
      </c>
      <c r="K3061" s="2">
        <v>3.8317589999999999E-2</v>
      </c>
      <c r="L3061" s="2" t="s">
        <v>1178</v>
      </c>
      <c r="M3061" s="4" t="s">
        <v>15945</v>
      </c>
    </row>
    <row r="3062" spans="1:13">
      <c r="A3062" s="2">
        <v>2849</v>
      </c>
      <c r="B3062" s="2" t="s">
        <v>21108</v>
      </c>
      <c r="C3062" s="2">
        <v>9</v>
      </c>
      <c r="D3062" s="2">
        <v>568</v>
      </c>
      <c r="E3062" s="2">
        <v>200</v>
      </c>
      <c r="F3062" s="2">
        <v>32441</v>
      </c>
      <c r="G3062" s="2">
        <v>2.5701496480000001</v>
      </c>
      <c r="H3062" s="2">
        <v>1.0633287999999999E-2</v>
      </c>
      <c r="I3062" s="2" t="s">
        <v>34234</v>
      </c>
      <c r="J3062" s="2" t="s">
        <v>34235</v>
      </c>
      <c r="K3062" s="2">
        <v>3.8317589999999999E-2</v>
      </c>
      <c r="L3062" s="2" t="s">
        <v>1178</v>
      </c>
      <c r="M3062" s="4" t="s">
        <v>21111</v>
      </c>
    </row>
    <row r="3063" spans="1:13">
      <c r="A3063" s="2">
        <v>2884</v>
      </c>
      <c r="B3063" s="2" t="s">
        <v>34236</v>
      </c>
      <c r="C3063" s="2">
        <v>9</v>
      </c>
      <c r="D3063" s="2">
        <v>568</v>
      </c>
      <c r="E3063" s="2">
        <v>200</v>
      </c>
      <c r="F3063" s="2">
        <v>32441</v>
      </c>
      <c r="G3063" s="2">
        <v>2.5701496480000001</v>
      </c>
      <c r="H3063" s="2">
        <v>1.0633287999999999E-2</v>
      </c>
      <c r="I3063" s="2" t="s">
        <v>34237</v>
      </c>
      <c r="J3063" s="2" t="s">
        <v>34238</v>
      </c>
      <c r="K3063" s="2">
        <v>3.8317589999999999E-2</v>
      </c>
      <c r="L3063" s="2" t="s">
        <v>1178</v>
      </c>
      <c r="M3063" s="4" t="s">
        <v>34239</v>
      </c>
    </row>
    <row r="3064" spans="1:13">
      <c r="A3064" s="2">
        <v>2904</v>
      </c>
      <c r="B3064" s="2" t="s">
        <v>21124</v>
      </c>
      <c r="C3064" s="2">
        <v>9</v>
      </c>
      <c r="D3064" s="2">
        <v>568</v>
      </c>
      <c r="E3064" s="2">
        <v>200</v>
      </c>
      <c r="F3064" s="2">
        <v>32441</v>
      </c>
      <c r="G3064" s="2">
        <v>2.5701496480000001</v>
      </c>
      <c r="H3064" s="2">
        <v>1.0633287999999999E-2</v>
      </c>
      <c r="I3064" s="2" t="s">
        <v>34240</v>
      </c>
      <c r="J3064" s="2" t="s">
        <v>34241</v>
      </c>
      <c r="K3064" s="2">
        <v>3.8317589999999999E-2</v>
      </c>
      <c r="L3064" s="2" t="s">
        <v>1178</v>
      </c>
      <c r="M3064" s="4" t="s">
        <v>21127</v>
      </c>
    </row>
    <row r="3065" spans="1:13">
      <c r="A3065" s="2">
        <v>2948</v>
      </c>
      <c r="B3065" s="2" t="s">
        <v>2601</v>
      </c>
      <c r="C3065" s="2">
        <v>9</v>
      </c>
      <c r="D3065" s="2">
        <v>568</v>
      </c>
      <c r="E3065" s="2">
        <v>200</v>
      </c>
      <c r="F3065" s="2">
        <v>32441</v>
      </c>
      <c r="G3065" s="2">
        <v>2.5701496480000001</v>
      </c>
      <c r="H3065" s="2">
        <v>1.0633287999999999E-2</v>
      </c>
      <c r="I3065" s="2" t="s">
        <v>34242</v>
      </c>
      <c r="J3065" s="2" t="s">
        <v>34243</v>
      </c>
      <c r="K3065" s="2">
        <v>3.8317589999999999E-2</v>
      </c>
      <c r="L3065" s="2" t="s">
        <v>1178</v>
      </c>
      <c r="M3065" s="4" t="s">
        <v>18135</v>
      </c>
    </row>
    <row r="3066" spans="1:13">
      <c r="A3066" s="2">
        <v>2955</v>
      </c>
      <c r="B3066" s="2" t="s">
        <v>17356</v>
      </c>
      <c r="C3066" s="2">
        <v>9</v>
      </c>
      <c r="D3066" s="2">
        <v>568</v>
      </c>
      <c r="E3066" s="2">
        <v>200</v>
      </c>
      <c r="F3066" s="2">
        <v>32441</v>
      </c>
      <c r="G3066" s="2">
        <v>2.5701496480000001</v>
      </c>
      <c r="H3066" s="2">
        <v>1.0633287999999999E-2</v>
      </c>
      <c r="I3066" s="2" t="s">
        <v>34244</v>
      </c>
      <c r="J3066" s="2" t="s">
        <v>34245</v>
      </c>
      <c r="K3066" s="2">
        <v>3.8317589999999999E-2</v>
      </c>
      <c r="L3066" s="2" t="s">
        <v>1178</v>
      </c>
      <c r="M3066" s="4" t="s">
        <v>17359</v>
      </c>
    </row>
    <row r="3067" spans="1:13">
      <c r="A3067" s="2">
        <v>2969</v>
      </c>
      <c r="B3067" s="2" t="s">
        <v>13311</v>
      </c>
      <c r="C3067" s="2">
        <v>9</v>
      </c>
      <c r="D3067" s="2">
        <v>568</v>
      </c>
      <c r="E3067" s="2">
        <v>200</v>
      </c>
      <c r="F3067" s="2">
        <v>32441</v>
      </c>
      <c r="G3067" s="2">
        <v>2.5701496480000001</v>
      </c>
      <c r="H3067" s="2">
        <v>1.0633287999999999E-2</v>
      </c>
      <c r="I3067" s="2" t="s">
        <v>34246</v>
      </c>
      <c r="J3067" s="2" t="s">
        <v>34247</v>
      </c>
      <c r="K3067" s="2">
        <v>3.8317589999999999E-2</v>
      </c>
      <c r="L3067" s="2" t="s">
        <v>1178</v>
      </c>
      <c r="M3067" s="4" t="s">
        <v>13314</v>
      </c>
    </row>
    <row r="3068" spans="1:13">
      <c r="A3068" s="2">
        <v>2980</v>
      </c>
      <c r="B3068" s="2" t="s">
        <v>34248</v>
      </c>
      <c r="C3068" s="2">
        <v>9</v>
      </c>
      <c r="D3068" s="2">
        <v>568</v>
      </c>
      <c r="E3068" s="2">
        <v>199</v>
      </c>
      <c r="F3068" s="2">
        <v>32441</v>
      </c>
      <c r="G3068" s="2">
        <v>2.5830649729999999</v>
      </c>
      <c r="H3068" s="2">
        <v>1.0327382E-2</v>
      </c>
      <c r="I3068" s="2" t="s">
        <v>34249</v>
      </c>
      <c r="J3068" s="2" t="s">
        <v>34250</v>
      </c>
      <c r="K3068" s="2">
        <v>3.8317589999999999E-2</v>
      </c>
      <c r="L3068" s="2" t="s">
        <v>1178</v>
      </c>
      <c r="M3068" s="4" t="s">
        <v>34251</v>
      </c>
    </row>
    <row r="3069" spans="1:13">
      <c r="A3069" s="2">
        <v>2982</v>
      </c>
      <c r="B3069" s="2" t="s">
        <v>34252</v>
      </c>
      <c r="C3069" s="2">
        <v>9</v>
      </c>
      <c r="D3069" s="2">
        <v>568</v>
      </c>
      <c r="E3069" s="2">
        <v>199</v>
      </c>
      <c r="F3069" s="2">
        <v>32441</v>
      </c>
      <c r="G3069" s="2">
        <v>2.5830649729999999</v>
      </c>
      <c r="H3069" s="2">
        <v>1.0327382E-2</v>
      </c>
      <c r="I3069" s="2" t="s">
        <v>34253</v>
      </c>
      <c r="J3069" s="2" t="s">
        <v>34254</v>
      </c>
      <c r="K3069" s="2">
        <v>3.8317589999999999E-2</v>
      </c>
      <c r="L3069" s="2" t="s">
        <v>1178</v>
      </c>
      <c r="M3069" s="4" t="s">
        <v>34255</v>
      </c>
    </row>
    <row r="3070" spans="1:13">
      <c r="A3070" s="2">
        <v>2998</v>
      </c>
      <c r="B3070" s="2" t="s">
        <v>22325</v>
      </c>
      <c r="C3070" s="2">
        <v>9</v>
      </c>
      <c r="D3070" s="2">
        <v>568</v>
      </c>
      <c r="E3070" s="2">
        <v>200</v>
      </c>
      <c r="F3070" s="2">
        <v>32441</v>
      </c>
      <c r="G3070" s="2">
        <v>2.5701496480000001</v>
      </c>
      <c r="H3070" s="2">
        <v>1.0633287999999999E-2</v>
      </c>
      <c r="I3070" s="2" t="s">
        <v>34256</v>
      </c>
      <c r="J3070" s="2" t="s">
        <v>34257</v>
      </c>
      <c r="K3070" s="2">
        <v>3.8317589999999999E-2</v>
      </c>
      <c r="L3070" s="2" t="s">
        <v>1178</v>
      </c>
      <c r="M3070" s="4" t="s">
        <v>22328</v>
      </c>
    </row>
    <row r="3071" spans="1:13">
      <c r="A3071" s="2">
        <v>30251</v>
      </c>
      <c r="B3071" s="2" t="s">
        <v>34258</v>
      </c>
      <c r="C3071" s="2">
        <v>9</v>
      </c>
      <c r="D3071" s="2">
        <v>568</v>
      </c>
      <c r="E3071" s="2">
        <v>200</v>
      </c>
      <c r="F3071" s="2">
        <v>32441</v>
      </c>
      <c r="G3071" s="2">
        <v>2.5701496480000001</v>
      </c>
      <c r="H3071" s="2">
        <v>1.0633287999999999E-2</v>
      </c>
      <c r="I3071" s="2" t="s">
        <v>34259</v>
      </c>
      <c r="J3071" s="2" t="s">
        <v>34260</v>
      </c>
      <c r="K3071" s="2">
        <v>3.8317589999999999E-2</v>
      </c>
      <c r="L3071" s="2" t="s">
        <v>1178</v>
      </c>
      <c r="M3071" s="4" t="s">
        <v>34261</v>
      </c>
    </row>
    <row r="3072" spans="1:13">
      <c r="A3072" s="2">
        <v>3037</v>
      </c>
      <c r="B3072" s="2" t="s">
        <v>3273</v>
      </c>
      <c r="C3072" s="2">
        <v>9</v>
      </c>
      <c r="D3072" s="2">
        <v>568</v>
      </c>
      <c r="E3072" s="2">
        <v>200</v>
      </c>
      <c r="F3072" s="2">
        <v>32441</v>
      </c>
      <c r="G3072" s="2">
        <v>2.5701496480000001</v>
      </c>
      <c r="H3072" s="2">
        <v>1.0633287999999999E-2</v>
      </c>
      <c r="I3072" s="2" t="s">
        <v>34262</v>
      </c>
      <c r="J3072" s="2" t="s">
        <v>34263</v>
      </c>
      <c r="K3072" s="2">
        <v>3.8317589999999999E-2</v>
      </c>
      <c r="L3072" s="2" t="s">
        <v>1178</v>
      </c>
      <c r="M3072" s="4" t="s">
        <v>3276</v>
      </c>
    </row>
    <row r="3073" spans="1:13">
      <c r="A3073" s="2">
        <v>3071</v>
      </c>
      <c r="B3073" s="2" t="s">
        <v>34264</v>
      </c>
      <c r="C3073" s="2">
        <v>9</v>
      </c>
      <c r="D3073" s="2">
        <v>568</v>
      </c>
      <c r="E3073" s="2">
        <v>200</v>
      </c>
      <c r="F3073" s="2">
        <v>32441</v>
      </c>
      <c r="G3073" s="2">
        <v>2.5701496480000001</v>
      </c>
      <c r="H3073" s="2">
        <v>1.0633287999999999E-2</v>
      </c>
      <c r="I3073" s="2" t="s">
        <v>34265</v>
      </c>
      <c r="J3073" s="2" t="s">
        <v>34266</v>
      </c>
      <c r="K3073" s="2">
        <v>3.8317589999999999E-2</v>
      </c>
      <c r="L3073" s="2" t="s">
        <v>1178</v>
      </c>
      <c r="M3073" s="4" t="s">
        <v>34267</v>
      </c>
    </row>
    <row r="3074" spans="1:13">
      <c r="A3074" s="2">
        <v>3088</v>
      </c>
      <c r="B3074" s="2" t="s">
        <v>15964</v>
      </c>
      <c r="C3074" s="2">
        <v>9</v>
      </c>
      <c r="D3074" s="2">
        <v>568</v>
      </c>
      <c r="E3074" s="2">
        <v>199</v>
      </c>
      <c r="F3074" s="2">
        <v>32441</v>
      </c>
      <c r="G3074" s="2">
        <v>2.5830649729999999</v>
      </c>
      <c r="H3074" s="2">
        <v>1.0327382E-2</v>
      </c>
      <c r="I3074" s="2" t="s">
        <v>34268</v>
      </c>
      <c r="J3074" s="2" t="s">
        <v>34269</v>
      </c>
      <c r="K3074" s="2">
        <v>3.8317589999999999E-2</v>
      </c>
      <c r="L3074" s="2" t="s">
        <v>1178</v>
      </c>
      <c r="M3074" s="4" t="s">
        <v>15967</v>
      </c>
    </row>
    <row r="3075" spans="1:13">
      <c r="A3075" s="2">
        <v>3139</v>
      </c>
      <c r="B3075" s="2" t="s">
        <v>34270</v>
      </c>
      <c r="C3075" s="2">
        <v>9</v>
      </c>
      <c r="D3075" s="2">
        <v>568</v>
      </c>
      <c r="E3075" s="2">
        <v>200</v>
      </c>
      <c r="F3075" s="2">
        <v>32441</v>
      </c>
      <c r="G3075" s="2">
        <v>2.5701496480000001</v>
      </c>
      <c r="H3075" s="2">
        <v>1.0633287999999999E-2</v>
      </c>
      <c r="I3075" s="2" t="s">
        <v>34271</v>
      </c>
      <c r="J3075" s="2" t="s">
        <v>34272</v>
      </c>
      <c r="K3075" s="2">
        <v>3.8317589999999999E-2</v>
      </c>
      <c r="L3075" s="2" t="s">
        <v>1178</v>
      </c>
      <c r="M3075" s="4" t="s">
        <v>34273</v>
      </c>
    </row>
    <row r="3076" spans="1:13">
      <c r="A3076" s="2">
        <v>3145</v>
      </c>
      <c r="B3076" s="2" t="s">
        <v>13092</v>
      </c>
      <c r="C3076" s="2">
        <v>9</v>
      </c>
      <c r="D3076" s="2">
        <v>568</v>
      </c>
      <c r="E3076" s="2">
        <v>200</v>
      </c>
      <c r="F3076" s="2">
        <v>32441</v>
      </c>
      <c r="G3076" s="2">
        <v>2.5701496480000001</v>
      </c>
      <c r="H3076" s="2">
        <v>1.0633287999999999E-2</v>
      </c>
      <c r="I3076" s="2" t="s">
        <v>34274</v>
      </c>
      <c r="J3076" s="2" t="s">
        <v>34275</v>
      </c>
      <c r="K3076" s="2">
        <v>3.8317589999999999E-2</v>
      </c>
      <c r="L3076" s="2" t="s">
        <v>1178</v>
      </c>
      <c r="M3076" s="4" t="s">
        <v>13095</v>
      </c>
    </row>
    <row r="3077" spans="1:13">
      <c r="A3077" s="2">
        <v>3156</v>
      </c>
      <c r="B3077" s="2" t="s">
        <v>18164</v>
      </c>
      <c r="C3077" s="2">
        <v>9</v>
      </c>
      <c r="D3077" s="2">
        <v>568</v>
      </c>
      <c r="E3077" s="2">
        <v>200</v>
      </c>
      <c r="F3077" s="2">
        <v>32441</v>
      </c>
      <c r="G3077" s="2">
        <v>2.5701496480000001</v>
      </c>
      <c r="H3077" s="2">
        <v>1.0633287999999999E-2</v>
      </c>
      <c r="I3077" s="2" t="s">
        <v>34276</v>
      </c>
      <c r="J3077" s="2" t="s">
        <v>34277</v>
      </c>
      <c r="K3077" s="2">
        <v>3.8317589999999999E-2</v>
      </c>
      <c r="L3077" s="2" t="s">
        <v>1178</v>
      </c>
      <c r="M3077" s="4" t="s">
        <v>18167</v>
      </c>
    </row>
    <row r="3078" spans="1:13">
      <c r="A3078" s="2">
        <v>3162</v>
      </c>
      <c r="B3078" s="2" t="s">
        <v>19964</v>
      </c>
      <c r="C3078" s="2">
        <v>9</v>
      </c>
      <c r="D3078" s="2">
        <v>568</v>
      </c>
      <c r="E3078" s="2">
        <v>200</v>
      </c>
      <c r="F3078" s="2">
        <v>32441</v>
      </c>
      <c r="G3078" s="2">
        <v>2.5701496480000001</v>
      </c>
      <c r="H3078" s="2">
        <v>1.0633287999999999E-2</v>
      </c>
      <c r="I3078" s="2" t="s">
        <v>34278</v>
      </c>
      <c r="J3078" s="2" t="s">
        <v>34279</v>
      </c>
      <c r="K3078" s="2">
        <v>3.8317589999999999E-2</v>
      </c>
      <c r="L3078" s="2" t="s">
        <v>1178</v>
      </c>
      <c r="M3078" s="4" t="s">
        <v>19967</v>
      </c>
    </row>
    <row r="3079" spans="1:13">
      <c r="A3079" s="2">
        <v>3183</v>
      </c>
      <c r="B3079" s="2" t="s">
        <v>34280</v>
      </c>
      <c r="C3079" s="2">
        <v>9</v>
      </c>
      <c r="D3079" s="2">
        <v>568</v>
      </c>
      <c r="E3079" s="2">
        <v>200</v>
      </c>
      <c r="F3079" s="2">
        <v>32441</v>
      </c>
      <c r="G3079" s="2">
        <v>2.5701496480000001</v>
      </c>
      <c r="H3079" s="2">
        <v>1.0633287999999999E-2</v>
      </c>
      <c r="I3079" s="2" t="s">
        <v>34281</v>
      </c>
      <c r="J3079" s="2" t="s">
        <v>34282</v>
      </c>
      <c r="K3079" s="2">
        <v>3.8317589999999999E-2</v>
      </c>
      <c r="L3079" s="2" t="s">
        <v>1178</v>
      </c>
      <c r="M3079" s="4" t="s">
        <v>34283</v>
      </c>
    </row>
    <row r="3080" spans="1:13">
      <c r="A3080" s="2">
        <v>32051</v>
      </c>
      <c r="B3080" s="2" t="s">
        <v>34284</v>
      </c>
      <c r="C3080" s="2">
        <v>9</v>
      </c>
      <c r="D3080" s="2">
        <v>568</v>
      </c>
      <c r="E3080" s="2">
        <v>198</v>
      </c>
      <c r="F3080" s="2">
        <v>32441</v>
      </c>
      <c r="G3080" s="2">
        <v>2.5961107550000002</v>
      </c>
      <c r="H3080" s="2">
        <v>1.0028141000000001E-2</v>
      </c>
      <c r="I3080" s="2" t="s">
        <v>34285</v>
      </c>
      <c r="J3080" s="2" t="s">
        <v>34286</v>
      </c>
      <c r="K3080" s="2">
        <v>3.8317589999999999E-2</v>
      </c>
      <c r="L3080" s="2" t="s">
        <v>1178</v>
      </c>
      <c r="M3080" s="4" t="s">
        <v>34287</v>
      </c>
    </row>
    <row r="3081" spans="1:13">
      <c r="A3081" s="2">
        <v>32101</v>
      </c>
      <c r="B3081" s="2" t="s">
        <v>34288</v>
      </c>
      <c r="C3081" s="2">
        <v>9</v>
      </c>
      <c r="D3081" s="2">
        <v>568</v>
      </c>
      <c r="E3081" s="2">
        <v>198</v>
      </c>
      <c r="F3081" s="2">
        <v>32441</v>
      </c>
      <c r="G3081" s="2">
        <v>2.5961107550000002</v>
      </c>
      <c r="H3081" s="2">
        <v>1.0028141000000001E-2</v>
      </c>
      <c r="I3081" s="2" t="s">
        <v>34289</v>
      </c>
      <c r="J3081" s="2" t="s">
        <v>34290</v>
      </c>
      <c r="K3081" s="2">
        <v>3.8317589999999999E-2</v>
      </c>
      <c r="L3081" s="2" t="s">
        <v>1178</v>
      </c>
      <c r="M3081" s="4" t="s">
        <v>34291</v>
      </c>
    </row>
    <row r="3082" spans="1:13">
      <c r="A3082" s="2">
        <v>32111</v>
      </c>
      <c r="B3082" s="2" t="s">
        <v>34292</v>
      </c>
      <c r="C3082" s="2">
        <v>9</v>
      </c>
      <c r="D3082" s="2">
        <v>568</v>
      </c>
      <c r="E3082" s="2">
        <v>198</v>
      </c>
      <c r="F3082" s="2">
        <v>32441</v>
      </c>
      <c r="G3082" s="2">
        <v>2.5961107550000002</v>
      </c>
      <c r="H3082" s="2">
        <v>1.0028141000000001E-2</v>
      </c>
      <c r="I3082" s="2" t="s">
        <v>34293</v>
      </c>
      <c r="J3082" s="2" t="s">
        <v>34294</v>
      </c>
      <c r="K3082" s="2">
        <v>3.8317589999999999E-2</v>
      </c>
      <c r="L3082" s="2" t="s">
        <v>1178</v>
      </c>
      <c r="M3082" s="4" t="s">
        <v>34295</v>
      </c>
    </row>
    <row r="3083" spans="1:13">
      <c r="A3083" s="2">
        <v>3265</v>
      </c>
      <c r="B3083" s="2" t="s">
        <v>22384</v>
      </c>
      <c r="C3083" s="2">
        <v>9</v>
      </c>
      <c r="D3083" s="2">
        <v>568</v>
      </c>
      <c r="E3083" s="2">
        <v>200</v>
      </c>
      <c r="F3083" s="2">
        <v>32441</v>
      </c>
      <c r="G3083" s="2">
        <v>2.5701496480000001</v>
      </c>
      <c r="H3083" s="2">
        <v>1.0633287999999999E-2</v>
      </c>
      <c r="I3083" s="2" t="s">
        <v>34296</v>
      </c>
      <c r="J3083" s="2" t="s">
        <v>34297</v>
      </c>
      <c r="K3083" s="2">
        <v>3.8317589999999999E-2</v>
      </c>
      <c r="L3083" s="2" t="s">
        <v>1178</v>
      </c>
      <c r="M3083" s="4" t="s">
        <v>22387</v>
      </c>
    </row>
    <row r="3084" spans="1:13">
      <c r="A3084" s="2">
        <v>3279</v>
      </c>
      <c r="B3084" s="2" t="s">
        <v>34298</v>
      </c>
      <c r="C3084" s="2">
        <v>9</v>
      </c>
      <c r="D3084" s="2">
        <v>568</v>
      </c>
      <c r="E3084" s="2">
        <v>200</v>
      </c>
      <c r="F3084" s="2">
        <v>32441</v>
      </c>
      <c r="G3084" s="2">
        <v>2.5701496480000001</v>
      </c>
      <c r="H3084" s="2">
        <v>1.0633287999999999E-2</v>
      </c>
      <c r="I3084" s="2" t="s">
        <v>34299</v>
      </c>
      <c r="J3084" s="2" t="s">
        <v>34300</v>
      </c>
      <c r="K3084" s="2">
        <v>3.8317589999999999E-2</v>
      </c>
      <c r="L3084" s="2" t="s">
        <v>1178</v>
      </c>
      <c r="M3084" s="4" t="s">
        <v>34301</v>
      </c>
    </row>
    <row r="3085" spans="1:13">
      <c r="A3085" s="2">
        <v>3283</v>
      </c>
      <c r="B3085" s="2" t="s">
        <v>1938</v>
      </c>
      <c r="C3085" s="2">
        <v>9</v>
      </c>
      <c r="D3085" s="2">
        <v>568</v>
      </c>
      <c r="E3085" s="2">
        <v>200</v>
      </c>
      <c r="F3085" s="2">
        <v>32441</v>
      </c>
      <c r="G3085" s="2">
        <v>2.5701496480000001</v>
      </c>
      <c r="H3085" s="2">
        <v>1.0633287999999999E-2</v>
      </c>
      <c r="I3085" s="2" t="s">
        <v>34302</v>
      </c>
      <c r="J3085" s="2" t="s">
        <v>34303</v>
      </c>
      <c r="K3085" s="2">
        <v>3.8317589999999999E-2</v>
      </c>
      <c r="L3085" s="2" t="s">
        <v>1178</v>
      </c>
      <c r="M3085" s="4" t="s">
        <v>34304</v>
      </c>
    </row>
    <row r="3086" spans="1:13">
      <c r="A3086" s="2">
        <v>3367</v>
      </c>
      <c r="B3086" s="2" t="s">
        <v>34305</v>
      </c>
      <c r="C3086" s="2">
        <v>9</v>
      </c>
      <c r="D3086" s="2">
        <v>568</v>
      </c>
      <c r="E3086" s="2">
        <v>199</v>
      </c>
      <c r="F3086" s="2">
        <v>32441</v>
      </c>
      <c r="G3086" s="2">
        <v>2.5830649729999999</v>
      </c>
      <c r="H3086" s="2">
        <v>1.0327382E-2</v>
      </c>
      <c r="I3086" s="2" t="s">
        <v>34306</v>
      </c>
      <c r="J3086" s="2" t="s">
        <v>34307</v>
      </c>
      <c r="K3086" s="2">
        <v>3.8317589999999999E-2</v>
      </c>
      <c r="L3086" s="2" t="s">
        <v>1178</v>
      </c>
      <c r="M3086" s="4" t="s">
        <v>34308</v>
      </c>
    </row>
    <row r="3087" spans="1:13">
      <c r="A3087" s="2">
        <v>33731</v>
      </c>
      <c r="B3087" s="2" t="s">
        <v>14504</v>
      </c>
      <c r="C3087" s="2">
        <v>9</v>
      </c>
      <c r="D3087" s="2">
        <v>568</v>
      </c>
      <c r="E3087" s="2">
        <v>200</v>
      </c>
      <c r="F3087" s="2">
        <v>32441</v>
      </c>
      <c r="G3087" s="2">
        <v>2.5701496480000001</v>
      </c>
      <c r="H3087" s="2">
        <v>1.0633287999999999E-2</v>
      </c>
      <c r="I3087" s="2" t="s">
        <v>34309</v>
      </c>
      <c r="J3087" s="2" t="s">
        <v>34310</v>
      </c>
      <c r="K3087" s="2">
        <v>3.8317589999999999E-2</v>
      </c>
      <c r="L3087" s="2" t="s">
        <v>1178</v>
      </c>
      <c r="M3087" s="4" t="s">
        <v>14507</v>
      </c>
    </row>
    <row r="3088" spans="1:13">
      <c r="A3088" s="2">
        <v>33851</v>
      </c>
      <c r="B3088" s="2" t="s">
        <v>23804</v>
      </c>
      <c r="C3088" s="2">
        <v>9</v>
      </c>
      <c r="D3088" s="2">
        <v>568</v>
      </c>
      <c r="E3088" s="2">
        <v>200</v>
      </c>
      <c r="F3088" s="2">
        <v>32441</v>
      </c>
      <c r="G3088" s="2">
        <v>2.5701496480000001</v>
      </c>
      <c r="H3088" s="2">
        <v>1.0633287999999999E-2</v>
      </c>
      <c r="I3088" s="2" t="s">
        <v>34311</v>
      </c>
      <c r="J3088" s="2" t="s">
        <v>34312</v>
      </c>
      <c r="K3088" s="2">
        <v>3.8317589999999999E-2</v>
      </c>
      <c r="L3088" s="2" t="s">
        <v>1178</v>
      </c>
      <c r="M3088" s="4" t="s">
        <v>23807</v>
      </c>
    </row>
    <row r="3089" spans="1:13">
      <c r="A3089" s="2">
        <v>3398</v>
      </c>
      <c r="B3089" s="2" t="s">
        <v>34313</v>
      </c>
      <c r="C3089" s="2">
        <v>9</v>
      </c>
      <c r="D3089" s="2">
        <v>568</v>
      </c>
      <c r="E3089" s="2">
        <v>200</v>
      </c>
      <c r="F3089" s="2">
        <v>32441</v>
      </c>
      <c r="G3089" s="2">
        <v>2.5701496480000001</v>
      </c>
      <c r="H3089" s="2">
        <v>1.0633287999999999E-2</v>
      </c>
      <c r="I3089" s="2" t="s">
        <v>34314</v>
      </c>
      <c r="J3089" s="2" t="s">
        <v>34315</v>
      </c>
      <c r="K3089" s="2">
        <v>3.8317589999999999E-2</v>
      </c>
      <c r="L3089" s="2" t="s">
        <v>1178</v>
      </c>
      <c r="M3089" s="4" t="s">
        <v>34316</v>
      </c>
    </row>
    <row r="3090" spans="1:13">
      <c r="A3090" s="2">
        <v>3468</v>
      </c>
      <c r="B3090" s="2" t="s">
        <v>15399</v>
      </c>
      <c r="C3090" s="2">
        <v>9</v>
      </c>
      <c r="D3090" s="2">
        <v>568</v>
      </c>
      <c r="E3090" s="2">
        <v>200</v>
      </c>
      <c r="F3090" s="2">
        <v>32441</v>
      </c>
      <c r="G3090" s="2">
        <v>2.5701496480000001</v>
      </c>
      <c r="H3090" s="2">
        <v>1.0633287999999999E-2</v>
      </c>
      <c r="I3090" s="2" t="s">
        <v>34317</v>
      </c>
      <c r="J3090" s="2" t="s">
        <v>34318</v>
      </c>
      <c r="K3090" s="2">
        <v>3.8317589999999999E-2</v>
      </c>
      <c r="L3090" s="2" t="s">
        <v>1178</v>
      </c>
      <c r="M3090" s="4" t="s">
        <v>15402</v>
      </c>
    </row>
    <row r="3091" spans="1:13">
      <c r="A3091" s="2">
        <v>3531</v>
      </c>
      <c r="B3091" s="2" t="s">
        <v>22461</v>
      </c>
      <c r="C3091" s="2">
        <v>9</v>
      </c>
      <c r="D3091" s="2">
        <v>568</v>
      </c>
      <c r="E3091" s="2">
        <v>200</v>
      </c>
      <c r="F3091" s="2">
        <v>32441</v>
      </c>
      <c r="G3091" s="2">
        <v>2.5701496480000001</v>
      </c>
      <c r="H3091" s="2">
        <v>1.0633287999999999E-2</v>
      </c>
      <c r="I3091" s="2" t="s">
        <v>34319</v>
      </c>
      <c r="J3091" s="2" t="s">
        <v>34320</v>
      </c>
      <c r="K3091" s="2">
        <v>3.8317589999999999E-2</v>
      </c>
      <c r="L3091" s="2" t="s">
        <v>1178</v>
      </c>
      <c r="M3091" s="4" t="s">
        <v>22464</v>
      </c>
    </row>
    <row r="3092" spans="1:13">
      <c r="A3092" s="2">
        <v>3533</v>
      </c>
      <c r="B3092" s="2" t="s">
        <v>2247</v>
      </c>
      <c r="C3092" s="2">
        <v>9</v>
      </c>
      <c r="D3092" s="2">
        <v>568</v>
      </c>
      <c r="E3092" s="2">
        <v>200</v>
      </c>
      <c r="F3092" s="2">
        <v>32441</v>
      </c>
      <c r="G3092" s="2">
        <v>2.5701496480000001</v>
      </c>
      <c r="H3092" s="2">
        <v>1.0633287999999999E-2</v>
      </c>
      <c r="I3092" s="2" t="s">
        <v>34321</v>
      </c>
      <c r="J3092" s="2" t="s">
        <v>34322</v>
      </c>
      <c r="K3092" s="2">
        <v>3.8317589999999999E-2</v>
      </c>
      <c r="L3092" s="2" t="s">
        <v>1178</v>
      </c>
      <c r="M3092" s="4" t="s">
        <v>20035</v>
      </c>
    </row>
    <row r="3093" spans="1:13">
      <c r="A3093" s="2">
        <v>35581</v>
      </c>
      <c r="B3093" s="2" t="s">
        <v>22465</v>
      </c>
      <c r="C3093" s="2">
        <v>9</v>
      </c>
      <c r="D3093" s="2">
        <v>568</v>
      </c>
      <c r="E3093" s="2">
        <v>200</v>
      </c>
      <c r="F3093" s="2">
        <v>32441</v>
      </c>
      <c r="G3093" s="2">
        <v>2.5701496480000001</v>
      </c>
      <c r="H3093" s="2">
        <v>1.0633287999999999E-2</v>
      </c>
      <c r="I3093" s="2" t="s">
        <v>34323</v>
      </c>
      <c r="J3093" s="2" t="s">
        <v>34324</v>
      </c>
      <c r="K3093" s="2">
        <v>3.8317589999999999E-2</v>
      </c>
      <c r="L3093" s="2" t="s">
        <v>1178</v>
      </c>
      <c r="M3093" s="4" t="s">
        <v>22468</v>
      </c>
    </row>
    <row r="3094" spans="1:13">
      <c r="A3094" s="2">
        <v>3565</v>
      </c>
      <c r="B3094" s="2" t="s">
        <v>20044</v>
      </c>
      <c r="C3094" s="2">
        <v>9</v>
      </c>
      <c r="D3094" s="2">
        <v>568</v>
      </c>
      <c r="E3094" s="2">
        <v>199</v>
      </c>
      <c r="F3094" s="2">
        <v>32441</v>
      </c>
      <c r="G3094" s="2">
        <v>2.5830649729999999</v>
      </c>
      <c r="H3094" s="2">
        <v>1.0327382E-2</v>
      </c>
      <c r="I3094" s="2" t="s">
        <v>34325</v>
      </c>
      <c r="J3094" s="2" t="s">
        <v>34326</v>
      </c>
      <c r="K3094" s="2">
        <v>3.8317589999999999E-2</v>
      </c>
      <c r="L3094" s="2" t="s">
        <v>1178</v>
      </c>
      <c r="M3094" s="4" t="s">
        <v>20047</v>
      </c>
    </row>
    <row r="3095" spans="1:13">
      <c r="A3095" s="2">
        <v>3601</v>
      </c>
      <c r="B3095" s="2" t="s">
        <v>23842</v>
      </c>
      <c r="C3095" s="2">
        <v>9</v>
      </c>
      <c r="D3095" s="2">
        <v>568</v>
      </c>
      <c r="E3095" s="2">
        <v>200</v>
      </c>
      <c r="F3095" s="2">
        <v>32441</v>
      </c>
      <c r="G3095" s="2">
        <v>2.5701496480000001</v>
      </c>
      <c r="H3095" s="2">
        <v>1.0633287999999999E-2</v>
      </c>
      <c r="I3095" s="2" t="s">
        <v>34327</v>
      </c>
      <c r="J3095" s="2" t="s">
        <v>34328</v>
      </c>
      <c r="K3095" s="2">
        <v>3.8317589999999999E-2</v>
      </c>
      <c r="L3095" s="2" t="s">
        <v>1178</v>
      </c>
      <c r="M3095" s="4" t="s">
        <v>23845</v>
      </c>
    </row>
    <row r="3096" spans="1:13">
      <c r="A3096" s="2">
        <v>3625</v>
      </c>
      <c r="B3096" s="2" t="s">
        <v>34329</v>
      </c>
      <c r="C3096" s="2">
        <v>9</v>
      </c>
      <c r="D3096" s="2">
        <v>568</v>
      </c>
      <c r="E3096" s="2">
        <v>198</v>
      </c>
      <c r="F3096" s="2">
        <v>32441</v>
      </c>
      <c r="G3096" s="2">
        <v>2.5961107550000002</v>
      </c>
      <c r="H3096" s="2">
        <v>1.0028141000000001E-2</v>
      </c>
      <c r="I3096" s="2" t="s">
        <v>34330</v>
      </c>
      <c r="J3096" s="2" t="s">
        <v>34331</v>
      </c>
      <c r="K3096" s="2">
        <v>3.8317589999999999E-2</v>
      </c>
      <c r="L3096" s="2" t="s">
        <v>1178</v>
      </c>
      <c r="M3096" s="4" t="s">
        <v>34332</v>
      </c>
    </row>
    <row r="3097" spans="1:13">
      <c r="A3097" s="2">
        <v>36671</v>
      </c>
      <c r="B3097" s="2" t="s">
        <v>2649</v>
      </c>
      <c r="C3097" s="2">
        <v>9</v>
      </c>
      <c r="D3097" s="2">
        <v>568</v>
      </c>
      <c r="E3097" s="2">
        <v>200</v>
      </c>
      <c r="F3097" s="2">
        <v>32441</v>
      </c>
      <c r="G3097" s="2">
        <v>2.5701496480000001</v>
      </c>
      <c r="H3097" s="2">
        <v>1.0633287999999999E-2</v>
      </c>
      <c r="I3097" s="2" t="s">
        <v>34333</v>
      </c>
      <c r="J3097" s="2" t="s">
        <v>34334</v>
      </c>
      <c r="K3097" s="2">
        <v>3.8317589999999999E-2</v>
      </c>
      <c r="L3097" s="2" t="s">
        <v>1178</v>
      </c>
      <c r="M3097" s="4" t="s">
        <v>34335</v>
      </c>
    </row>
    <row r="3098" spans="1:13">
      <c r="A3098" s="2">
        <v>3687</v>
      </c>
      <c r="B3098" s="2" t="s">
        <v>22484</v>
      </c>
      <c r="C3098" s="2">
        <v>9</v>
      </c>
      <c r="D3098" s="2">
        <v>568</v>
      </c>
      <c r="E3098" s="2">
        <v>198</v>
      </c>
      <c r="F3098" s="2">
        <v>32441</v>
      </c>
      <c r="G3098" s="2">
        <v>2.5961107550000002</v>
      </c>
      <c r="H3098" s="2">
        <v>1.0028141000000001E-2</v>
      </c>
      <c r="I3098" s="2" t="s">
        <v>34336</v>
      </c>
      <c r="J3098" s="2" t="s">
        <v>34337</v>
      </c>
      <c r="K3098" s="2">
        <v>3.8317589999999999E-2</v>
      </c>
      <c r="L3098" s="2" t="s">
        <v>1178</v>
      </c>
      <c r="M3098" s="4" t="s">
        <v>22487</v>
      </c>
    </row>
    <row r="3099" spans="1:13">
      <c r="A3099" s="2">
        <v>3690</v>
      </c>
      <c r="B3099" s="2" t="s">
        <v>20060</v>
      </c>
      <c r="C3099" s="2">
        <v>9</v>
      </c>
      <c r="D3099" s="2">
        <v>568</v>
      </c>
      <c r="E3099" s="2">
        <v>198</v>
      </c>
      <c r="F3099" s="2">
        <v>32441</v>
      </c>
      <c r="G3099" s="2">
        <v>2.5961107550000002</v>
      </c>
      <c r="H3099" s="2">
        <v>1.0028141000000001E-2</v>
      </c>
      <c r="I3099" s="2" t="s">
        <v>34338</v>
      </c>
      <c r="J3099" s="2" t="s">
        <v>34339</v>
      </c>
      <c r="K3099" s="2">
        <v>3.8317589999999999E-2</v>
      </c>
      <c r="L3099" s="2" t="s">
        <v>1178</v>
      </c>
      <c r="M3099" s="4" t="s">
        <v>20063</v>
      </c>
    </row>
    <row r="3100" spans="1:13">
      <c r="A3100" s="2">
        <v>3700</v>
      </c>
      <c r="B3100" s="2" t="s">
        <v>2655</v>
      </c>
      <c r="C3100" s="2">
        <v>9</v>
      </c>
      <c r="D3100" s="2">
        <v>568</v>
      </c>
      <c r="E3100" s="2">
        <v>200</v>
      </c>
      <c r="F3100" s="2">
        <v>32441</v>
      </c>
      <c r="G3100" s="2">
        <v>2.5701496480000001</v>
      </c>
      <c r="H3100" s="2">
        <v>1.0633287999999999E-2</v>
      </c>
      <c r="I3100" s="2" t="s">
        <v>34340</v>
      </c>
      <c r="J3100" s="2" t="s">
        <v>34341</v>
      </c>
      <c r="K3100" s="2">
        <v>3.8317589999999999E-2</v>
      </c>
      <c r="L3100" s="2" t="s">
        <v>1178</v>
      </c>
      <c r="M3100" s="4" t="s">
        <v>22494</v>
      </c>
    </row>
    <row r="3101" spans="1:13">
      <c r="A3101" s="2">
        <v>37071</v>
      </c>
      <c r="B3101" s="2" t="s">
        <v>1743</v>
      </c>
      <c r="C3101" s="2">
        <v>9</v>
      </c>
      <c r="D3101" s="2">
        <v>568</v>
      </c>
      <c r="E3101" s="2">
        <v>200</v>
      </c>
      <c r="F3101" s="2">
        <v>32441</v>
      </c>
      <c r="G3101" s="2">
        <v>2.5701496480000001</v>
      </c>
      <c r="H3101" s="2">
        <v>1.0633287999999999E-2</v>
      </c>
      <c r="I3101" s="2" t="s">
        <v>34342</v>
      </c>
      <c r="J3101" s="2" t="s">
        <v>34343</v>
      </c>
      <c r="K3101" s="2">
        <v>3.8317589999999999E-2</v>
      </c>
      <c r="L3101" s="2" t="s">
        <v>1178</v>
      </c>
      <c r="M3101" s="4" t="s">
        <v>3222</v>
      </c>
    </row>
    <row r="3102" spans="1:13">
      <c r="A3102" s="2">
        <v>3732</v>
      </c>
      <c r="B3102" s="2" t="s">
        <v>18232</v>
      </c>
      <c r="C3102" s="2">
        <v>9</v>
      </c>
      <c r="D3102" s="2">
        <v>568</v>
      </c>
      <c r="E3102" s="2">
        <v>200</v>
      </c>
      <c r="F3102" s="2">
        <v>32441</v>
      </c>
      <c r="G3102" s="2">
        <v>2.5701496480000001</v>
      </c>
      <c r="H3102" s="2">
        <v>1.0633287999999999E-2</v>
      </c>
      <c r="I3102" s="2" t="s">
        <v>34344</v>
      </c>
      <c r="J3102" s="2" t="s">
        <v>34345</v>
      </c>
      <c r="K3102" s="2">
        <v>3.8317589999999999E-2</v>
      </c>
      <c r="L3102" s="2" t="s">
        <v>1178</v>
      </c>
      <c r="M3102" s="4" t="s">
        <v>18235</v>
      </c>
    </row>
    <row r="3103" spans="1:13">
      <c r="A3103" s="2">
        <v>3734</v>
      </c>
      <c r="B3103" s="2" t="s">
        <v>34346</v>
      </c>
      <c r="C3103" s="2">
        <v>9</v>
      </c>
      <c r="D3103" s="2">
        <v>568</v>
      </c>
      <c r="E3103" s="2">
        <v>199</v>
      </c>
      <c r="F3103" s="2">
        <v>32441</v>
      </c>
      <c r="G3103" s="2">
        <v>2.5830649729999999</v>
      </c>
      <c r="H3103" s="2">
        <v>1.0327382E-2</v>
      </c>
      <c r="I3103" s="2" t="s">
        <v>34347</v>
      </c>
      <c r="J3103" s="2" t="s">
        <v>34348</v>
      </c>
      <c r="K3103" s="2">
        <v>3.8317589999999999E-2</v>
      </c>
      <c r="L3103" s="2" t="s">
        <v>1178</v>
      </c>
      <c r="M3103" s="4" t="s">
        <v>34349</v>
      </c>
    </row>
    <row r="3104" spans="1:13">
      <c r="A3104" s="2">
        <v>3763</v>
      </c>
      <c r="B3104" s="2" t="s">
        <v>22527</v>
      </c>
      <c r="C3104" s="2">
        <v>9</v>
      </c>
      <c r="D3104" s="2">
        <v>568</v>
      </c>
      <c r="E3104" s="2">
        <v>199</v>
      </c>
      <c r="F3104" s="2">
        <v>32441</v>
      </c>
      <c r="G3104" s="2">
        <v>2.5830649729999999</v>
      </c>
      <c r="H3104" s="2">
        <v>1.0327382E-2</v>
      </c>
      <c r="I3104" s="2" t="s">
        <v>34350</v>
      </c>
      <c r="J3104" s="2" t="s">
        <v>34351</v>
      </c>
      <c r="K3104" s="2">
        <v>3.8317589999999999E-2</v>
      </c>
      <c r="L3104" s="2" t="s">
        <v>1178</v>
      </c>
      <c r="M3104" s="4" t="s">
        <v>22530</v>
      </c>
    </row>
    <row r="3105" spans="1:13">
      <c r="A3105" s="2">
        <v>37741</v>
      </c>
      <c r="B3105" s="2" t="s">
        <v>18244</v>
      </c>
      <c r="C3105" s="2">
        <v>9</v>
      </c>
      <c r="D3105" s="2">
        <v>568</v>
      </c>
      <c r="E3105" s="2">
        <v>200</v>
      </c>
      <c r="F3105" s="2">
        <v>32441</v>
      </c>
      <c r="G3105" s="2">
        <v>2.5701496480000001</v>
      </c>
      <c r="H3105" s="2">
        <v>1.0633287999999999E-2</v>
      </c>
      <c r="I3105" s="2" t="s">
        <v>34352</v>
      </c>
      <c r="J3105" s="2" t="s">
        <v>34353</v>
      </c>
      <c r="K3105" s="2">
        <v>3.8317589999999999E-2</v>
      </c>
      <c r="L3105" s="2" t="s">
        <v>1178</v>
      </c>
      <c r="M3105" s="4" t="s">
        <v>18247</v>
      </c>
    </row>
    <row r="3106" spans="1:13">
      <c r="A3106" s="2">
        <v>3786</v>
      </c>
      <c r="B3106" s="2" t="s">
        <v>34354</v>
      </c>
      <c r="C3106" s="2">
        <v>9</v>
      </c>
      <c r="D3106" s="2">
        <v>568</v>
      </c>
      <c r="E3106" s="2">
        <v>200</v>
      </c>
      <c r="F3106" s="2">
        <v>32441</v>
      </c>
      <c r="G3106" s="2">
        <v>2.5701496480000001</v>
      </c>
      <c r="H3106" s="2">
        <v>1.0633287999999999E-2</v>
      </c>
      <c r="I3106" s="2" t="s">
        <v>34355</v>
      </c>
      <c r="J3106" s="2" t="s">
        <v>34356</v>
      </c>
      <c r="K3106" s="2">
        <v>3.8317589999999999E-2</v>
      </c>
      <c r="L3106" s="2" t="s">
        <v>1178</v>
      </c>
      <c r="M3106" s="4" t="s">
        <v>34357</v>
      </c>
    </row>
    <row r="3107" spans="1:13">
      <c r="A3107" s="2">
        <v>3801</v>
      </c>
      <c r="B3107" s="2" t="s">
        <v>34358</v>
      </c>
      <c r="C3107" s="2">
        <v>9</v>
      </c>
      <c r="D3107" s="2">
        <v>568</v>
      </c>
      <c r="E3107" s="2">
        <v>200</v>
      </c>
      <c r="F3107" s="2">
        <v>32441</v>
      </c>
      <c r="G3107" s="2">
        <v>2.5701496480000001</v>
      </c>
      <c r="H3107" s="2">
        <v>1.0633287999999999E-2</v>
      </c>
      <c r="I3107" s="2" t="s">
        <v>34359</v>
      </c>
      <c r="J3107" s="2" t="s">
        <v>34360</v>
      </c>
      <c r="K3107" s="2">
        <v>3.8317589999999999E-2</v>
      </c>
      <c r="L3107" s="2" t="s">
        <v>1178</v>
      </c>
      <c r="M3107" s="4" t="s">
        <v>34361</v>
      </c>
    </row>
    <row r="3108" spans="1:13">
      <c r="A3108" s="2">
        <v>38031</v>
      </c>
      <c r="B3108" s="2" t="s">
        <v>14942</v>
      </c>
      <c r="C3108" s="2">
        <v>9</v>
      </c>
      <c r="D3108" s="2">
        <v>568</v>
      </c>
      <c r="E3108" s="2">
        <v>200</v>
      </c>
      <c r="F3108" s="2">
        <v>32441</v>
      </c>
      <c r="G3108" s="2">
        <v>2.5701496480000001</v>
      </c>
      <c r="H3108" s="2">
        <v>1.0633287999999999E-2</v>
      </c>
      <c r="I3108" s="2" t="s">
        <v>34362</v>
      </c>
      <c r="J3108" s="2" t="s">
        <v>34363</v>
      </c>
      <c r="K3108" s="2">
        <v>3.8317589999999999E-2</v>
      </c>
      <c r="L3108" s="2" t="s">
        <v>1178</v>
      </c>
      <c r="M3108" s="4" t="s">
        <v>14945</v>
      </c>
    </row>
    <row r="3109" spans="1:13">
      <c r="A3109" s="2">
        <v>3813</v>
      </c>
      <c r="B3109" s="2" t="s">
        <v>12531</v>
      </c>
      <c r="C3109" s="2">
        <v>9</v>
      </c>
      <c r="D3109" s="2">
        <v>568</v>
      </c>
      <c r="E3109" s="2">
        <v>200</v>
      </c>
      <c r="F3109" s="2">
        <v>32441</v>
      </c>
      <c r="G3109" s="2">
        <v>2.5701496480000001</v>
      </c>
      <c r="H3109" s="2">
        <v>1.0633287999999999E-2</v>
      </c>
      <c r="I3109" s="2" t="s">
        <v>34364</v>
      </c>
      <c r="J3109" s="2" t="s">
        <v>34365</v>
      </c>
      <c r="K3109" s="2">
        <v>3.8317589999999999E-2</v>
      </c>
      <c r="L3109" s="2" t="s">
        <v>1178</v>
      </c>
      <c r="M3109" s="4" t="s">
        <v>12534</v>
      </c>
    </row>
    <row r="3110" spans="1:13">
      <c r="A3110" s="2">
        <v>3814</v>
      </c>
      <c r="B3110" s="2" t="s">
        <v>34366</v>
      </c>
      <c r="C3110" s="2">
        <v>9</v>
      </c>
      <c r="D3110" s="2">
        <v>568</v>
      </c>
      <c r="E3110" s="2">
        <v>200</v>
      </c>
      <c r="F3110" s="2">
        <v>32441</v>
      </c>
      <c r="G3110" s="2">
        <v>2.5701496480000001</v>
      </c>
      <c r="H3110" s="2">
        <v>1.0633287999999999E-2</v>
      </c>
      <c r="I3110" s="2" t="s">
        <v>34367</v>
      </c>
      <c r="J3110" s="2" t="s">
        <v>34368</v>
      </c>
      <c r="K3110" s="2">
        <v>3.8317589999999999E-2</v>
      </c>
      <c r="L3110" s="2" t="s">
        <v>1178</v>
      </c>
      <c r="M3110" s="4" t="s">
        <v>34369</v>
      </c>
    </row>
    <row r="3111" spans="1:13">
      <c r="A3111" s="2">
        <v>3816</v>
      </c>
      <c r="B3111" s="2" t="s">
        <v>2667</v>
      </c>
      <c r="C3111" s="2">
        <v>9</v>
      </c>
      <c r="D3111" s="2">
        <v>568</v>
      </c>
      <c r="E3111" s="2">
        <v>200</v>
      </c>
      <c r="F3111" s="2">
        <v>32441</v>
      </c>
      <c r="G3111" s="2">
        <v>2.5701496480000001</v>
      </c>
      <c r="H3111" s="2">
        <v>1.0633287999999999E-2</v>
      </c>
      <c r="I3111" s="2" t="s">
        <v>34370</v>
      </c>
      <c r="J3111" s="2" t="s">
        <v>34371</v>
      </c>
      <c r="K3111" s="2">
        <v>3.8317589999999999E-2</v>
      </c>
      <c r="L3111" s="2" t="s">
        <v>1178</v>
      </c>
      <c r="M3111" s="4" t="s">
        <v>34372</v>
      </c>
    </row>
    <row r="3112" spans="1:13">
      <c r="A3112" s="2">
        <v>3890</v>
      </c>
      <c r="B3112" s="2" t="s">
        <v>34373</v>
      </c>
      <c r="C3112" s="2">
        <v>9</v>
      </c>
      <c r="D3112" s="2">
        <v>568</v>
      </c>
      <c r="E3112" s="2">
        <v>200</v>
      </c>
      <c r="F3112" s="2">
        <v>32441</v>
      </c>
      <c r="G3112" s="2">
        <v>2.5701496480000001</v>
      </c>
      <c r="H3112" s="2">
        <v>1.0633287999999999E-2</v>
      </c>
      <c r="I3112" s="2" t="s">
        <v>34374</v>
      </c>
      <c r="J3112" s="2" t="s">
        <v>34375</v>
      </c>
      <c r="K3112" s="2">
        <v>3.8317589999999999E-2</v>
      </c>
      <c r="L3112" s="2" t="s">
        <v>1178</v>
      </c>
      <c r="M3112" s="4" t="s">
        <v>34376</v>
      </c>
    </row>
    <row r="3113" spans="1:13">
      <c r="A3113" s="2">
        <v>3902</v>
      </c>
      <c r="B3113" s="2" t="s">
        <v>13604</v>
      </c>
      <c r="C3113" s="2">
        <v>9</v>
      </c>
      <c r="D3113" s="2">
        <v>568</v>
      </c>
      <c r="E3113" s="2">
        <v>200</v>
      </c>
      <c r="F3113" s="2">
        <v>32441</v>
      </c>
      <c r="G3113" s="2">
        <v>2.5701496480000001</v>
      </c>
      <c r="H3113" s="2">
        <v>1.0633287999999999E-2</v>
      </c>
      <c r="I3113" s="2" t="s">
        <v>34377</v>
      </c>
      <c r="J3113" s="2" t="s">
        <v>34378</v>
      </c>
      <c r="K3113" s="2">
        <v>3.8317589999999999E-2</v>
      </c>
      <c r="L3113" s="2" t="s">
        <v>1178</v>
      </c>
      <c r="M3113" s="4" t="s">
        <v>13607</v>
      </c>
    </row>
    <row r="3114" spans="1:13">
      <c r="A3114" s="2">
        <v>3911</v>
      </c>
      <c r="B3114" s="2" t="s">
        <v>18268</v>
      </c>
      <c r="C3114" s="2">
        <v>9</v>
      </c>
      <c r="D3114" s="2">
        <v>568</v>
      </c>
      <c r="E3114" s="2">
        <v>200</v>
      </c>
      <c r="F3114" s="2">
        <v>32441</v>
      </c>
      <c r="G3114" s="2">
        <v>2.5701496480000001</v>
      </c>
      <c r="H3114" s="2">
        <v>1.0633287999999999E-2</v>
      </c>
      <c r="I3114" s="2" t="s">
        <v>34379</v>
      </c>
      <c r="J3114" s="2" t="s">
        <v>34380</v>
      </c>
      <c r="K3114" s="2">
        <v>3.8317589999999999E-2</v>
      </c>
      <c r="L3114" s="2" t="s">
        <v>1178</v>
      </c>
      <c r="M3114" s="4" t="s">
        <v>18271</v>
      </c>
    </row>
    <row r="3115" spans="1:13">
      <c r="A3115" s="2">
        <v>39501</v>
      </c>
      <c r="B3115" s="2" t="s">
        <v>1281</v>
      </c>
      <c r="C3115" s="2">
        <v>9</v>
      </c>
      <c r="D3115" s="2">
        <v>568</v>
      </c>
      <c r="E3115" s="2">
        <v>200</v>
      </c>
      <c r="F3115" s="2">
        <v>32441</v>
      </c>
      <c r="G3115" s="2">
        <v>2.5701496480000001</v>
      </c>
      <c r="H3115" s="2">
        <v>1.0633287999999999E-2</v>
      </c>
      <c r="I3115" s="2" t="s">
        <v>34381</v>
      </c>
      <c r="J3115" s="2" t="s">
        <v>34382</v>
      </c>
      <c r="K3115" s="2">
        <v>3.8317589999999999E-2</v>
      </c>
      <c r="L3115" s="2" t="s">
        <v>1178</v>
      </c>
      <c r="M3115" s="4" t="s">
        <v>3498</v>
      </c>
    </row>
    <row r="3116" spans="1:13">
      <c r="A3116" s="2">
        <v>4049</v>
      </c>
      <c r="B3116" s="2" t="s">
        <v>34383</v>
      </c>
      <c r="C3116" s="2">
        <v>9</v>
      </c>
      <c r="D3116" s="2">
        <v>568</v>
      </c>
      <c r="E3116" s="2">
        <v>200</v>
      </c>
      <c r="F3116" s="2">
        <v>32441</v>
      </c>
      <c r="G3116" s="2">
        <v>2.5701496480000001</v>
      </c>
      <c r="H3116" s="2">
        <v>1.0633287999999999E-2</v>
      </c>
      <c r="I3116" s="2" t="s">
        <v>34384</v>
      </c>
      <c r="J3116" s="2" t="s">
        <v>34385</v>
      </c>
      <c r="K3116" s="2">
        <v>3.8317589999999999E-2</v>
      </c>
      <c r="L3116" s="2" t="s">
        <v>1178</v>
      </c>
      <c r="M3116" s="4" t="s">
        <v>34386</v>
      </c>
    </row>
    <row r="3117" spans="1:13">
      <c r="A3117" s="2">
        <v>4051</v>
      </c>
      <c r="B3117" s="2" t="s">
        <v>23942</v>
      </c>
      <c r="C3117" s="2">
        <v>9</v>
      </c>
      <c r="D3117" s="2">
        <v>568</v>
      </c>
      <c r="E3117" s="2">
        <v>200</v>
      </c>
      <c r="F3117" s="2">
        <v>32441</v>
      </c>
      <c r="G3117" s="2">
        <v>2.5701496480000001</v>
      </c>
      <c r="H3117" s="2">
        <v>1.0633287999999999E-2</v>
      </c>
      <c r="I3117" s="2" t="s">
        <v>34387</v>
      </c>
      <c r="J3117" s="2" t="s">
        <v>34388</v>
      </c>
      <c r="K3117" s="2">
        <v>3.8317589999999999E-2</v>
      </c>
      <c r="L3117" s="2" t="s">
        <v>1178</v>
      </c>
      <c r="M3117" s="4" t="s">
        <v>23945</v>
      </c>
    </row>
    <row r="3118" spans="1:13">
      <c r="A3118" s="2">
        <v>4057</v>
      </c>
      <c r="B3118" s="2" t="s">
        <v>34389</v>
      </c>
      <c r="C3118" s="2">
        <v>9</v>
      </c>
      <c r="D3118" s="2">
        <v>568</v>
      </c>
      <c r="E3118" s="2">
        <v>200</v>
      </c>
      <c r="F3118" s="2">
        <v>32441</v>
      </c>
      <c r="G3118" s="2">
        <v>2.5701496480000001</v>
      </c>
      <c r="H3118" s="2">
        <v>1.0633287999999999E-2</v>
      </c>
      <c r="I3118" s="2" t="s">
        <v>34390</v>
      </c>
      <c r="J3118" s="2" t="s">
        <v>34391</v>
      </c>
      <c r="K3118" s="2">
        <v>3.8317589999999999E-2</v>
      </c>
      <c r="L3118" s="2" t="s">
        <v>1178</v>
      </c>
      <c r="M3118" s="4" t="s">
        <v>34392</v>
      </c>
    </row>
    <row r="3119" spans="1:13">
      <c r="A3119" s="2">
        <v>4103</v>
      </c>
      <c r="B3119" s="2" t="s">
        <v>13381</v>
      </c>
      <c r="C3119" s="2">
        <v>8</v>
      </c>
      <c r="D3119" s="2">
        <v>568</v>
      </c>
      <c r="E3119" s="2">
        <v>164</v>
      </c>
      <c r="F3119" s="2">
        <v>32441</v>
      </c>
      <c r="G3119" s="2">
        <v>2.7860700789999999</v>
      </c>
      <c r="H3119" s="2">
        <v>1.0145807E-2</v>
      </c>
      <c r="I3119" s="2" t="s">
        <v>34393</v>
      </c>
      <c r="J3119" s="2" t="s">
        <v>34394</v>
      </c>
      <c r="K3119" s="2">
        <v>3.8317589999999999E-2</v>
      </c>
      <c r="L3119" s="2" t="s">
        <v>1178</v>
      </c>
      <c r="M3119" s="4" t="s">
        <v>13384</v>
      </c>
    </row>
    <row r="3120" spans="1:13">
      <c r="A3120" s="2">
        <v>4192</v>
      </c>
      <c r="B3120" s="2" t="s">
        <v>2268</v>
      </c>
      <c r="C3120" s="2">
        <v>9</v>
      </c>
      <c r="D3120" s="2">
        <v>568</v>
      </c>
      <c r="E3120" s="2">
        <v>200</v>
      </c>
      <c r="F3120" s="2">
        <v>32441</v>
      </c>
      <c r="G3120" s="2">
        <v>2.5701496480000001</v>
      </c>
      <c r="H3120" s="2">
        <v>1.0633287999999999E-2</v>
      </c>
      <c r="I3120" s="2" t="s">
        <v>34395</v>
      </c>
      <c r="J3120" s="2" t="s">
        <v>34396</v>
      </c>
      <c r="K3120" s="2">
        <v>3.8317589999999999E-2</v>
      </c>
      <c r="L3120" s="2" t="s">
        <v>1178</v>
      </c>
      <c r="M3120" s="4" t="s">
        <v>34397</v>
      </c>
    </row>
    <row r="3121" spans="1:13">
      <c r="A3121" s="2">
        <v>4209</v>
      </c>
      <c r="B3121" s="2" t="s">
        <v>21371</v>
      </c>
      <c r="C3121" s="2">
        <v>9</v>
      </c>
      <c r="D3121" s="2">
        <v>568</v>
      </c>
      <c r="E3121" s="2">
        <v>200</v>
      </c>
      <c r="F3121" s="2">
        <v>32441</v>
      </c>
      <c r="G3121" s="2">
        <v>2.5701496480000001</v>
      </c>
      <c r="H3121" s="2">
        <v>1.0633287999999999E-2</v>
      </c>
      <c r="I3121" s="2" t="s">
        <v>34398</v>
      </c>
      <c r="J3121" s="2" t="s">
        <v>34399</v>
      </c>
      <c r="K3121" s="2">
        <v>3.8317589999999999E-2</v>
      </c>
      <c r="L3121" s="2" t="s">
        <v>1178</v>
      </c>
      <c r="M3121" s="4" t="s">
        <v>21374</v>
      </c>
    </row>
    <row r="3122" spans="1:13">
      <c r="A3122" s="2">
        <v>4245</v>
      </c>
      <c r="B3122" s="2" t="s">
        <v>13895</v>
      </c>
      <c r="C3122" s="2">
        <v>9</v>
      </c>
      <c r="D3122" s="2">
        <v>568</v>
      </c>
      <c r="E3122" s="2">
        <v>200</v>
      </c>
      <c r="F3122" s="2">
        <v>32441</v>
      </c>
      <c r="G3122" s="2">
        <v>2.5701496480000001</v>
      </c>
      <c r="H3122" s="2">
        <v>1.0633287999999999E-2</v>
      </c>
      <c r="I3122" s="2" t="s">
        <v>34400</v>
      </c>
      <c r="J3122" s="2" t="s">
        <v>34401</v>
      </c>
      <c r="K3122" s="2">
        <v>3.8317589999999999E-2</v>
      </c>
      <c r="L3122" s="2" t="s">
        <v>1178</v>
      </c>
      <c r="M3122" s="4" t="s">
        <v>13898</v>
      </c>
    </row>
    <row r="3123" spans="1:13">
      <c r="A3123" s="2">
        <v>4256</v>
      </c>
      <c r="B3123" s="2" t="s">
        <v>13616</v>
      </c>
      <c r="C3123" s="2">
        <v>9</v>
      </c>
      <c r="D3123" s="2">
        <v>568</v>
      </c>
      <c r="E3123" s="2">
        <v>200</v>
      </c>
      <c r="F3123" s="2">
        <v>32441</v>
      </c>
      <c r="G3123" s="2">
        <v>2.5701496480000001</v>
      </c>
      <c r="H3123" s="2">
        <v>1.0633287999999999E-2</v>
      </c>
      <c r="I3123" s="2" t="s">
        <v>34402</v>
      </c>
      <c r="J3123" s="2" t="s">
        <v>34403</v>
      </c>
      <c r="K3123" s="2">
        <v>3.8317589999999999E-2</v>
      </c>
      <c r="L3123" s="2" t="s">
        <v>1178</v>
      </c>
      <c r="M3123" s="4" t="s">
        <v>13619</v>
      </c>
    </row>
    <row r="3124" spans="1:13">
      <c r="A3124" s="2">
        <v>4273</v>
      </c>
      <c r="B3124" s="2" t="s">
        <v>12840</v>
      </c>
      <c r="C3124" s="2">
        <v>9</v>
      </c>
      <c r="D3124" s="2">
        <v>568</v>
      </c>
      <c r="E3124" s="2">
        <v>200</v>
      </c>
      <c r="F3124" s="2">
        <v>32441</v>
      </c>
      <c r="G3124" s="2">
        <v>2.5701496480000001</v>
      </c>
      <c r="H3124" s="2">
        <v>1.0633287999999999E-2</v>
      </c>
      <c r="I3124" s="2" t="s">
        <v>34404</v>
      </c>
      <c r="J3124" s="2" t="s">
        <v>34405</v>
      </c>
      <c r="K3124" s="2">
        <v>3.8317589999999999E-2</v>
      </c>
      <c r="L3124" s="2" t="s">
        <v>1178</v>
      </c>
      <c r="M3124" s="4" t="s">
        <v>12843</v>
      </c>
    </row>
    <row r="3125" spans="1:13">
      <c r="A3125" s="2">
        <v>4275</v>
      </c>
      <c r="B3125" s="2" t="s">
        <v>14962</v>
      </c>
      <c r="C3125" s="2">
        <v>9</v>
      </c>
      <c r="D3125" s="2">
        <v>568</v>
      </c>
      <c r="E3125" s="2">
        <v>200</v>
      </c>
      <c r="F3125" s="2">
        <v>32441</v>
      </c>
      <c r="G3125" s="2">
        <v>2.5701496480000001</v>
      </c>
      <c r="H3125" s="2">
        <v>1.0633287999999999E-2</v>
      </c>
      <c r="I3125" s="2" t="s">
        <v>34406</v>
      </c>
      <c r="J3125" s="2" t="s">
        <v>34407</v>
      </c>
      <c r="K3125" s="2">
        <v>3.8317589999999999E-2</v>
      </c>
      <c r="L3125" s="2" t="s">
        <v>1178</v>
      </c>
      <c r="M3125" s="4" t="s">
        <v>14965</v>
      </c>
    </row>
    <row r="3126" spans="1:13">
      <c r="A3126" s="2">
        <v>42861</v>
      </c>
      <c r="B3126" s="2" t="s">
        <v>22632</v>
      </c>
      <c r="C3126" s="2">
        <v>9</v>
      </c>
      <c r="D3126" s="2">
        <v>568</v>
      </c>
      <c r="E3126" s="2">
        <v>200</v>
      </c>
      <c r="F3126" s="2">
        <v>32441</v>
      </c>
      <c r="G3126" s="2">
        <v>2.5701496480000001</v>
      </c>
      <c r="H3126" s="2">
        <v>1.0633287999999999E-2</v>
      </c>
      <c r="I3126" s="2" t="s">
        <v>34408</v>
      </c>
      <c r="J3126" s="2" t="s">
        <v>34409</v>
      </c>
      <c r="K3126" s="2">
        <v>3.8317589999999999E-2</v>
      </c>
      <c r="L3126" s="2" t="s">
        <v>1178</v>
      </c>
      <c r="M3126" s="4" t="s">
        <v>22635</v>
      </c>
    </row>
    <row r="3127" spans="1:13">
      <c r="A3127" s="2">
        <v>4289</v>
      </c>
      <c r="B3127" s="2" t="s">
        <v>34410</v>
      </c>
      <c r="C3127" s="2">
        <v>9</v>
      </c>
      <c r="D3127" s="2">
        <v>568</v>
      </c>
      <c r="E3127" s="2">
        <v>200</v>
      </c>
      <c r="F3127" s="2">
        <v>32441</v>
      </c>
      <c r="G3127" s="2">
        <v>2.5701496480000001</v>
      </c>
      <c r="H3127" s="2">
        <v>1.0633287999999999E-2</v>
      </c>
      <c r="I3127" s="2" t="s">
        <v>34411</v>
      </c>
      <c r="J3127" s="2" t="s">
        <v>34412</v>
      </c>
      <c r="K3127" s="2">
        <v>3.8317589999999999E-2</v>
      </c>
      <c r="L3127" s="2" t="s">
        <v>1178</v>
      </c>
      <c r="M3127" s="4" t="s">
        <v>34413</v>
      </c>
    </row>
    <row r="3128" spans="1:13">
      <c r="A3128" s="2">
        <v>4305</v>
      </c>
      <c r="B3128" s="2" t="s">
        <v>14978</v>
      </c>
      <c r="C3128" s="2">
        <v>9</v>
      </c>
      <c r="D3128" s="2">
        <v>568</v>
      </c>
      <c r="E3128" s="2">
        <v>200</v>
      </c>
      <c r="F3128" s="2">
        <v>32441</v>
      </c>
      <c r="G3128" s="2">
        <v>2.5701496480000001</v>
      </c>
      <c r="H3128" s="2">
        <v>1.0633287999999999E-2</v>
      </c>
      <c r="I3128" s="2" t="s">
        <v>34414</v>
      </c>
      <c r="J3128" s="2" t="s">
        <v>34415</v>
      </c>
      <c r="K3128" s="2">
        <v>3.8317589999999999E-2</v>
      </c>
      <c r="L3128" s="2" t="s">
        <v>1178</v>
      </c>
      <c r="M3128" s="4" t="s">
        <v>14981</v>
      </c>
    </row>
    <row r="3129" spans="1:13">
      <c r="A3129" s="2">
        <v>4362</v>
      </c>
      <c r="B3129" s="2" t="s">
        <v>1980</v>
      </c>
      <c r="C3129" s="2">
        <v>9</v>
      </c>
      <c r="D3129" s="2">
        <v>568</v>
      </c>
      <c r="E3129" s="2">
        <v>200</v>
      </c>
      <c r="F3129" s="2">
        <v>32441</v>
      </c>
      <c r="G3129" s="2">
        <v>2.5701496480000001</v>
      </c>
      <c r="H3129" s="2">
        <v>1.0633287999999999E-2</v>
      </c>
      <c r="I3129" s="2" t="s">
        <v>34416</v>
      </c>
      <c r="J3129" s="2" t="s">
        <v>34417</v>
      </c>
      <c r="K3129" s="2">
        <v>3.8317589999999999E-2</v>
      </c>
      <c r="L3129" s="2" t="s">
        <v>1178</v>
      </c>
      <c r="M3129" s="4" t="s">
        <v>34418</v>
      </c>
    </row>
    <row r="3130" spans="1:13">
      <c r="A3130" s="2">
        <v>43631</v>
      </c>
      <c r="B3130" s="2" t="s">
        <v>34419</v>
      </c>
      <c r="C3130" s="2">
        <v>9</v>
      </c>
      <c r="D3130" s="2">
        <v>568</v>
      </c>
      <c r="E3130" s="2">
        <v>200</v>
      </c>
      <c r="F3130" s="2">
        <v>32441</v>
      </c>
      <c r="G3130" s="2">
        <v>2.5701496480000001</v>
      </c>
      <c r="H3130" s="2">
        <v>1.0633287999999999E-2</v>
      </c>
      <c r="I3130" s="2" t="s">
        <v>34420</v>
      </c>
      <c r="J3130" s="2" t="s">
        <v>34421</v>
      </c>
      <c r="K3130" s="2">
        <v>3.8317589999999999E-2</v>
      </c>
      <c r="L3130" s="2" t="s">
        <v>1178</v>
      </c>
      <c r="M3130" s="4" t="s">
        <v>34422</v>
      </c>
    </row>
    <row r="3131" spans="1:13">
      <c r="A3131" s="2">
        <v>4367</v>
      </c>
      <c r="B3131" s="2" t="s">
        <v>34423</v>
      </c>
      <c r="C3131" s="2">
        <v>9</v>
      </c>
      <c r="D3131" s="2">
        <v>568</v>
      </c>
      <c r="E3131" s="2">
        <v>200</v>
      </c>
      <c r="F3131" s="2">
        <v>32441</v>
      </c>
      <c r="G3131" s="2">
        <v>2.5701496480000001</v>
      </c>
      <c r="H3131" s="2">
        <v>1.0633287999999999E-2</v>
      </c>
      <c r="I3131" s="2" t="s">
        <v>34424</v>
      </c>
      <c r="J3131" s="2" t="s">
        <v>34425</v>
      </c>
      <c r="K3131" s="2">
        <v>3.8317589999999999E-2</v>
      </c>
      <c r="L3131" s="2" t="s">
        <v>1178</v>
      </c>
      <c r="M3131" s="4" t="s">
        <v>34426</v>
      </c>
    </row>
    <row r="3132" spans="1:13">
      <c r="A3132" s="2">
        <v>43751</v>
      </c>
      <c r="B3132" s="2" t="s">
        <v>13628</v>
      </c>
      <c r="C3132" s="2">
        <v>9</v>
      </c>
      <c r="D3132" s="2">
        <v>568</v>
      </c>
      <c r="E3132" s="2">
        <v>200</v>
      </c>
      <c r="F3132" s="2">
        <v>32441</v>
      </c>
      <c r="G3132" s="2">
        <v>2.5701496480000001</v>
      </c>
      <c r="H3132" s="2">
        <v>1.0633287999999999E-2</v>
      </c>
      <c r="I3132" s="2" t="s">
        <v>34427</v>
      </c>
      <c r="J3132" s="2" t="s">
        <v>34428</v>
      </c>
      <c r="K3132" s="2">
        <v>3.8317589999999999E-2</v>
      </c>
      <c r="L3132" s="2" t="s">
        <v>1178</v>
      </c>
      <c r="M3132" s="4" t="s">
        <v>13631</v>
      </c>
    </row>
    <row r="3133" spans="1:13">
      <c r="A3133" s="2">
        <v>4398</v>
      </c>
      <c r="B3133" s="2" t="s">
        <v>34429</v>
      </c>
      <c r="C3133" s="2">
        <v>9</v>
      </c>
      <c r="D3133" s="2">
        <v>568</v>
      </c>
      <c r="E3133" s="2">
        <v>200</v>
      </c>
      <c r="F3133" s="2">
        <v>32441</v>
      </c>
      <c r="G3133" s="2">
        <v>2.5701496480000001</v>
      </c>
      <c r="H3133" s="2">
        <v>1.0633287999999999E-2</v>
      </c>
      <c r="I3133" s="2" t="s">
        <v>34430</v>
      </c>
      <c r="J3133" s="2" t="s">
        <v>34431</v>
      </c>
      <c r="K3133" s="2">
        <v>3.8317589999999999E-2</v>
      </c>
      <c r="L3133" s="2" t="s">
        <v>1178</v>
      </c>
      <c r="M3133" s="4" t="s">
        <v>34432</v>
      </c>
    </row>
    <row r="3134" spans="1:13">
      <c r="A3134" s="2">
        <v>4409</v>
      </c>
      <c r="B3134" s="2" t="s">
        <v>15487</v>
      </c>
      <c r="C3134" s="2">
        <v>9</v>
      </c>
      <c r="D3134" s="2">
        <v>568</v>
      </c>
      <c r="E3134" s="2">
        <v>200</v>
      </c>
      <c r="F3134" s="2">
        <v>32441</v>
      </c>
      <c r="G3134" s="2">
        <v>2.5701496480000001</v>
      </c>
      <c r="H3134" s="2">
        <v>1.0633287999999999E-2</v>
      </c>
      <c r="I3134" s="2" t="s">
        <v>34433</v>
      </c>
      <c r="J3134" s="2" t="s">
        <v>34434</v>
      </c>
      <c r="K3134" s="2">
        <v>3.8317589999999999E-2</v>
      </c>
      <c r="L3134" s="2" t="s">
        <v>1178</v>
      </c>
      <c r="M3134" s="4" t="s">
        <v>15490</v>
      </c>
    </row>
    <row r="3135" spans="1:13">
      <c r="A3135" s="2">
        <v>4412</v>
      </c>
      <c r="B3135" s="2" t="s">
        <v>19193</v>
      </c>
      <c r="C3135" s="2">
        <v>9</v>
      </c>
      <c r="D3135" s="2">
        <v>568</v>
      </c>
      <c r="E3135" s="2">
        <v>200</v>
      </c>
      <c r="F3135" s="2">
        <v>32441</v>
      </c>
      <c r="G3135" s="2">
        <v>2.5701496480000001</v>
      </c>
      <c r="H3135" s="2">
        <v>1.0633287999999999E-2</v>
      </c>
      <c r="I3135" s="2" t="s">
        <v>34435</v>
      </c>
      <c r="J3135" s="2" t="s">
        <v>34436</v>
      </c>
      <c r="K3135" s="2">
        <v>3.8317589999999999E-2</v>
      </c>
      <c r="L3135" s="2" t="s">
        <v>1178</v>
      </c>
      <c r="M3135" s="4" t="s">
        <v>19196</v>
      </c>
    </row>
    <row r="3136" spans="1:13">
      <c r="A3136" s="2">
        <v>4414</v>
      </c>
      <c r="B3136" s="2" t="s">
        <v>16125</v>
      </c>
      <c r="C3136" s="2">
        <v>9</v>
      </c>
      <c r="D3136" s="2">
        <v>568</v>
      </c>
      <c r="E3136" s="2">
        <v>199</v>
      </c>
      <c r="F3136" s="2">
        <v>32441</v>
      </c>
      <c r="G3136" s="2">
        <v>2.5830649729999999</v>
      </c>
      <c r="H3136" s="2">
        <v>1.0327382E-2</v>
      </c>
      <c r="I3136" s="2" t="s">
        <v>34437</v>
      </c>
      <c r="J3136" s="2" t="s">
        <v>34438</v>
      </c>
      <c r="K3136" s="2">
        <v>3.8317589999999999E-2</v>
      </c>
      <c r="L3136" s="2" t="s">
        <v>1178</v>
      </c>
      <c r="M3136" s="4" t="s">
        <v>16128</v>
      </c>
    </row>
    <row r="3137" spans="1:13">
      <c r="A3137" s="2">
        <v>4435</v>
      </c>
      <c r="B3137" s="2" t="s">
        <v>34439</v>
      </c>
      <c r="C3137" s="2">
        <v>9</v>
      </c>
      <c r="D3137" s="2">
        <v>568</v>
      </c>
      <c r="E3137" s="2">
        <v>199</v>
      </c>
      <c r="F3137" s="2">
        <v>32441</v>
      </c>
      <c r="G3137" s="2">
        <v>2.5830649729999999</v>
      </c>
      <c r="H3137" s="2">
        <v>1.0327382E-2</v>
      </c>
      <c r="I3137" s="2" t="s">
        <v>34440</v>
      </c>
      <c r="J3137" s="2" t="s">
        <v>34441</v>
      </c>
      <c r="K3137" s="2">
        <v>3.8317589999999999E-2</v>
      </c>
      <c r="L3137" s="2" t="s">
        <v>1178</v>
      </c>
      <c r="M3137" s="4" t="s">
        <v>34442</v>
      </c>
    </row>
    <row r="3138" spans="1:13">
      <c r="A3138" s="2">
        <v>4521</v>
      </c>
      <c r="B3138" s="2" t="s">
        <v>17560</v>
      </c>
      <c r="C3138" s="2">
        <v>9</v>
      </c>
      <c r="D3138" s="2">
        <v>568</v>
      </c>
      <c r="E3138" s="2">
        <v>200</v>
      </c>
      <c r="F3138" s="2">
        <v>32441</v>
      </c>
      <c r="G3138" s="2">
        <v>2.5701496480000001</v>
      </c>
      <c r="H3138" s="2">
        <v>1.0633287999999999E-2</v>
      </c>
      <c r="I3138" s="2" t="s">
        <v>34443</v>
      </c>
      <c r="J3138" s="2" t="s">
        <v>34444</v>
      </c>
      <c r="K3138" s="2">
        <v>3.8317589999999999E-2</v>
      </c>
      <c r="L3138" s="2" t="s">
        <v>1178</v>
      </c>
      <c r="M3138" s="4" t="s">
        <v>17563</v>
      </c>
    </row>
    <row r="3139" spans="1:13">
      <c r="A3139" s="2">
        <v>45381</v>
      </c>
      <c r="B3139" s="2" t="s">
        <v>34445</v>
      </c>
      <c r="C3139" s="2">
        <v>9</v>
      </c>
      <c r="D3139" s="2">
        <v>568</v>
      </c>
      <c r="E3139" s="2">
        <v>200</v>
      </c>
      <c r="F3139" s="2">
        <v>32441</v>
      </c>
      <c r="G3139" s="2">
        <v>2.5701496480000001</v>
      </c>
      <c r="H3139" s="2">
        <v>1.0633287999999999E-2</v>
      </c>
      <c r="I3139" s="2" t="s">
        <v>34446</v>
      </c>
      <c r="J3139" s="2" t="s">
        <v>34447</v>
      </c>
      <c r="K3139" s="2">
        <v>3.8317589999999999E-2</v>
      </c>
      <c r="L3139" s="2" t="s">
        <v>1178</v>
      </c>
      <c r="M3139" s="4" t="s">
        <v>34448</v>
      </c>
    </row>
    <row r="3140" spans="1:13">
      <c r="A3140" s="2">
        <v>4577</v>
      </c>
      <c r="B3140" s="2" t="s">
        <v>34449</v>
      </c>
      <c r="C3140" s="2">
        <v>9</v>
      </c>
      <c r="D3140" s="2">
        <v>568</v>
      </c>
      <c r="E3140" s="2">
        <v>200</v>
      </c>
      <c r="F3140" s="2">
        <v>32441</v>
      </c>
      <c r="G3140" s="2">
        <v>2.5701496480000001</v>
      </c>
      <c r="H3140" s="2">
        <v>1.0633287999999999E-2</v>
      </c>
      <c r="I3140" s="2" t="s">
        <v>34450</v>
      </c>
      <c r="J3140" s="2" t="s">
        <v>34451</v>
      </c>
      <c r="K3140" s="2">
        <v>3.8317589999999999E-2</v>
      </c>
      <c r="L3140" s="2" t="s">
        <v>1178</v>
      </c>
      <c r="M3140" s="4" t="s">
        <v>34452</v>
      </c>
    </row>
    <row r="3141" spans="1:13">
      <c r="A3141" s="2">
        <v>4590</v>
      </c>
      <c r="B3141" s="2" t="s">
        <v>18371</v>
      </c>
      <c r="C3141" s="2">
        <v>9</v>
      </c>
      <c r="D3141" s="2">
        <v>568</v>
      </c>
      <c r="E3141" s="2">
        <v>200</v>
      </c>
      <c r="F3141" s="2">
        <v>32441</v>
      </c>
      <c r="G3141" s="2">
        <v>2.5701496480000001</v>
      </c>
      <c r="H3141" s="2">
        <v>1.0633287999999999E-2</v>
      </c>
      <c r="I3141" s="2" t="s">
        <v>34453</v>
      </c>
      <c r="J3141" s="2" t="s">
        <v>34454</v>
      </c>
      <c r="K3141" s="2">
        <v>3.8317589999999999E-2</v>
      </c>
      <c r="L3141" s="2" t="s">
        <v>1178</v>
      </c>
      <c r="M3141" s="4" t="s">
        <v>18374</v>
      </c>
    </row>
    <row r="3142" spans="1:13">
      <c r="A3142" s="2">
        <v>4594</v>
      </c>
      <c r="B3142" s="2" t="s">
        <v>21444</v>
      </c>
      <c r="C3142" s="2">
        <v>9</v>
      </c>
      <c r="D3142" s="2">
        <v>568</v>
      </c>
      <c r="E3142" s="2">
        <v>200</v>
      </c>
      <c r="F3142" s="2">
        <v>32441</v>
      </c>
      <c r="G3142" s="2">
        <v>2.5701496480000001</v>
      </c>
      <c r="H3142" s="2">
        <v>1.0633287999999999E-2</v>
      </c>
      <c r="I3142" s="2" t="s">
        <v>34455</v>
      </c>
      <c r="J3142" s="2" t="s">
        <v>34456</v>
      </c>
      <c r="K3142" s="2">
        <v>3.8317589999999999E-2</v>
      </c>
      <c r="L3142" s="2" t="s">
        <v>1178</v>
      </c>
      <c r="M3142" s="4" t="s">
        <v>21447</v>
      </c>
    </row>
    <row r="3143" spans="1:13">
      <c r="A3143" s="2">
        <v>4601</v>
      </c>
      <c r="B3143" s="2" t="s">
        <v>34457</v>
      </c>
      <c r="C3143" s="2">
        <v>9</v>
      </c>
      <c r="D3143" s="2">
        <v>568</v>
      </c>
      <c r="E3143" s="2">
        <v>200</v>
      </c>
      <c r="F3143" s="2">
        <v>32441</v>
      </c>
      <c r="G3143" s="2">
        <v>2.5701496480000001</v>
      </c>
      <c r="H3143" s="2">
        <v>1.0633287999999999E-2</v>
      </c>
      <c r="I3143" s="2" t="s">
        <v>34458</v>
      </c>
      <c r="J3143" s="2" t="s">
        <v>34459</v>
      </c>
      <c r="K3143" s="2">
        <v>3.8317589999999999E-2</v>
      </c>
      <c r="L3143" s="2" t="s">
        <v>1178</v>
      </c>
      <c r="M3143" s="4" t="s">
        <v>34460</v>
      </c>
    </row>
    <row r="3144" spans="1:13">
      <c r="A3144" s="2">
        <v>46091</v>
      </c>
      <c r="B3144" s="2" t="s">
        <v>19237</v>
      </c>
      <c r="C3144" s="2">
        <v>9</v>
      </c>
      <c r="D3144" s="2">
        <v>568</v>
      </c>
      <c r="E3144" s="2">
        <v>200</v>
      </c>
      <c r="F3144" s="2">
        <v>32441</v>
      </c>
      <c r="G3144" s="2">
        <v>2.5701496480000001</v>
      </c>
      <c r="H3144" s="2">
        <v>1.0633287999999999E-2</v>
      </c>
      <c r="I3144" s="2" t="s">
        <v>34461</v>
      </c>
      <c r="J3144" s="2" t="s">
        <v>34462</v>
      </c>
      <c r="K3144" s="2">
        <v>3.8317589999999999E-2</v>
      </c>
      <c r="L3144" s="2" t="s">
        <v>1178</v>
      </c>
      <c r="M3144" s="4" t="s">
        <v>19240</v>
      </c>
    </row>
    <row r="3145" spans="1:13">
      <c r="A3145" s="2">
        <v>4619</v>
      </c>
      <c r="B3145" s="2" t="s">
        <v>24036</v>
      </c>
      <c r="C3145" s="2">
        <v>9</v>
      </c>
      <c r="D3145" s="2">
        <v>568</v>
      </c>
      <c r="E3145" s="2">
        <v>200</v>
      </c>
      <c r="F3145" s="2">
        <v>32441</v>
      </c>
      <c r="G3145" s="2">
        <v>2.5701496480000001</v>
      </c>
      <c r="H3145" s="2">
        <v>1.0633287999999999E-2</v>
      </c>
      <c r="I3145" s="2" t="s">
        <v>34463</v>
      </c>
      <c r="J3145" s="2" t="s">
        <v>34464</v>
      </c>
      <c r="K3145" s="2">
        <v>3.8317589999999999E-2</v>
      </c>
      <c r="L3145" s="2" t="s">
        <v>1178</v>
      </c>
      <c r="M3145" s="4" t="s">
        <v>24039</v>
      </c>
    </row>
    <row r="3146" spans="1:13">
      <c r="A3146" s="2">
        <v>46391</v>
      </c>
      <c r="B3146" s="2" t="s">
        <v>34465</v>
      </c>
      <c r="C3146" s="2">
        <v>9</v>
      </c>
      <c r="D3146" s="2">
        <v>568</v>
      </c>
      <c r="E3146" s="2">
        <v>200</v>
      </c>
      <c r="F3146" s="2">
        <v>32441</v>
      </c>
      <c r="G3146" s="2">
        <v>2.5701496480000001</v>
      </c>
      <c r="H3146" s="2">
        <v>1.0633287999999999E-2</v>
      </c>
      <c r="I3146" s="2" t="s">
        <v>34466</v>
      </c>
      <c r="J3146" s="2" t="s">
        <v>34467</v>
      </c>
      <c r="K3146" s="2">
        <v>3.8317589999999999E-2</v>
      </c>
      <c r="L3146" s="2" t="s">
        <v>1178</v>
      </c>
      <c r="M3146" s="4" t="s">
        <v>34468</v>
      </c>
    </row>
    <row r="3147" spans="1:13">
      <c r="A3147" s="2">
        <v>4644</v>
      </c>
      <c r="B3147" s="2" t="s">
        <v>22692</v>
      </c>
      <c r="C3147" s="2">
        <v>9</v>
      </c>
      <c r="D3147" s="2">
        <v>568</v>
      </c>
      <c r="E3147" s="2">
        <v>200</v>
      </c>
      <c r="F3147" s="2">
        <v>32441</v>
      </c>
      <c r="G3147" s="2">
        <v>2.5701496480000001</v>
      </c>
      <c r="H3147" s="2">
        <v>1.0633287999999999E-2</v>
      </c>
      <c r="I3147" s="2" t="s">
        <v>34469</v>
      </c>
      <c r="J3147" s="2" t="s">
        <v>34470</v>
      </c>
      <c r="K3147" s="2">
        <v>3.8317589999999999E-2</v>
      </c>
      <c r="L3147" s="2" t="s">
        <v>1178</v>
      </c>
      <c r="M3147" s="4" t="s">
        <v>22695</v>
      </c>
    </row>
    <row r="3148" spans="1:13">
      <c r="A3148" s="2">
        <v>47091</v>
      </c>
      <c r="B3148" s="2" t="s">
        <v>34471</v>
      </c>
      <c r="C3148" s="2">
        <v>9</v>
      </c>
      <c r="D3148" s="2">
        <v>568</v>
      </c>
      <c r="E3148" s="2">
        <v>200</v>
      </c>
      <c r="F3148" s="2">
        <v>32441</v>
      </c>
      <c r="G3148" s="2">
        <v>2.5701496480000001</v>
      </c>
      <c r="H3148" s="2">
        <v>1.0633287999999999E-2</v>
      </c>
      <c r="I3148" s="2" t="s">
        <v>34472</v>
      </c>
      <c r="J3148" s="2" t="s">
        <v>34473</v>
      </c>
      <c r="K3148" s="2">
        <v>3.8317589999999999E-2</v>
      </c>
      <c r="L3148" s="2" t="s">
        <v>1178</v>
      </c>
      <c r="M3148" s="4" t="s">
        <v>34474</v>
      </c>
    </row>
    <row r="3149" spans="1:13">
      <c r="A3149" s="2">
        <v>47301</v>
      </c>
      <c r="B3149" s="2" t="s">
        <v>14211</v>
      </c>
      <c r="C3149" s="2">
        <v>9</v>
      </c>
      <c r="D3149" s="2">
        <v>568</v>
      </c>
      <c r="E3149" s="2">
        <v>200</v>
      </c>
      <c r="F3149" s="2">
        <v>32441</v>
      </c>
      <c r="G3149" s="2">
        <v>2.5701496480000001</v>
      </c>
      <c r="H3149" s="2">
        <v>1.0633287999999999E-2</v>
      </c>
      <c r="I3149" s="2" t="s">
        <v>34475</v>
      </c>
      <c r="J3149" s="2" t="s">
        <v>34476</v>
      </c>
      <c r="K3149" s="2">
        <v>3.8317589999999999E-2</v>
      </c>
      <c r="L3149" s="2" t="s">
        <v>1178</v>
      </c>
      <c r="M3149" s="4" t="s">
        <v>14214</v>
      </c>
    </row>
    <row r="3150" spans="1:13">
      <c r="A3150" s="2">
        <v>4745</v>
      </c>
      <c r="B3150" s="2" t="s">
        <v>2727</v>
      </c>
      <c r="C3150" s="2">
        <v>9</v>
      </c>
      <c r="D3150" s="2">
        <v>568</v>
      </c>
      <c r="E3150" s="2">
        <v>200</v>
      </c>
      <c r="F3150" s="2">
        <v>32441</v>
      </c>
      <c r="G3150" s="2">
        <v>2.5701496480000001</v>
      </c>
      <c r="H3150" s="2">
        <v>1.0633287999999999E-2</v>
      </c>
      <c r="I3150" s="2" t="s">
        <v>34477</v>
      </c>
      <c r="J3150" s="2" t="s">
        <v>34478</v>
      </c>
      <c r="K3150" s="2">
        <v>3.8317589999999999E-2</v>
      </c>
      <c r="L3150" s="2" t="s">
        <v>1178</v>
      </c>
      <c r="M3150" s="4" t="s">
        <v>34479</v>
      </c>
    </row>
    <row r="3151" spans="1:13">
      <c r="A3151" s="2">
        <v>4762</v>
      </c>
      <c r="B3151" s="2" t="s">
        <v>24077</v>
      </c>
      <c r="C3151" s="2">
        <v>9</v>
      </c>
      <c r="D3151" s="2">
        <v>568</v>
      </c>
      <c r="E3151" s="2">
        <v>200</v>
      </c>
      <c r="F3151" s="2">
        <v>32441</v>
      </c>
      <c r="G3151" s="2">
        <v>2.5701496480000001</v>
      </c>
      <c r="H3151" s="2">
        <v>1.0633287999999999E-2</v>
      </c>
      <c r="I3151" s="2" t="s">
        <v>34480</v>
      </c>
      <c r="J3151" s="2" t="s">
        <v>34481</v>
      </c>
      <c r="K3151" s="2">
        <v>3.8317589999999999E-2</v>
      </c>
      <c r="L3151" s="2" t="s">
        <v>1178</v>
      </c>
      <c r="M3151" s="4" t="s">
        <v>24080</v>
      </c>
    </row>
    <row r="3152" spans="1:13">
      <c r="A3152" s="2">
        <v>4775</v>
      </c>
      <c r="B3152" s="2" t="s">
        <v>12848</v>
      </c>
      <c r="C3152" s="2">
        <v>9</v>
      </c>
      <c r="D3152" s="2">
        <v>568</v>
      </c>
      <c r="E3152" s="2">
        <v>200</v>
      </c>
      <c r="F3152" s="2">
        <v>32441</v>
      </c>
      <c r="G3152" s="2">
        <v>2.5701496480000001</v>
      </c>
      <c r="H3152" s="2">
        <v>1.0633287999999999E-2</v>
      </c>
      <c r="I3152" s="2" t="s">
        <v>34482</v>
      </c>
      <c r="J3152" s="2" t="s">
        <v>34483</v>
      </c>
      <c r="K3152" s="2">
        <v>3.8317589999999999E-2</v>
      </c>
      <c r="L3152" s="2" t="s">
        <v>1178</v>
      </c>
      <c r="M3152" s="4" t="s">
        <v>12851</v>
      </c>
    </row>
    <row r="3153" spans="1:13">
      <c r="A3153" s="2">
        <v>48081</v>
      </c>
      <c r="B3153" s="2" t="s">
        <v>34484</v>
      </c>
      <c r="C3153" s="2">
        <v>9</v>
      </c>
      <c r="D3153" s="2">
        <v>568</v>
      </c>
      <c r="E3153" s="2">
        <v>200</v>
      </c>
      <c r="F3153" s="2">
        <v>32441</v>
      </c>
      <c r="G3153" s="2">
        <v>2.5701496480000001</v>
      </c>
      <c r="H3153" s="2">
        <v>1.0633287999999999E-2</v>
      </c>
      <c r="I3153" s="2" t="s">
        <v>34485</v>
      </c>
      <c r="J3153" s="2" t="s">
        <v>34486</v>
      </c>
      <c r="K3153" s="2">
        <v>3.8317589999999999E-2</v>
      </c>
      <c r="L3153" s="2" t="s">
        <v>1178</v>
      </c>
      <c r="M3153" s="4" t="s">
        <v>34487</v>
      </c>
    </row>
    <row r="3154" spans="1:13">
      <c r="A3154" s="2">
        <v>48201</v>
      </c>
      <c r="B3154" s="2" t="s">
        <v>17621</v>
      </c>
      <c r="C3154" s="2">
        <v>9</v>
      </c>
      <c r="D3154" s="2">
        <v>568</v>
      </c>
      <c r="E3154" s="2">
        <v>200</v>
      </c>
      <c r="F3154" s="2">
        <v>32441</v>
      </c>
      <c r="G3154" s="2">
        <v>2.5701496480000001</v>
      </c>
      <c r="H3154" s="2">
        <v>1.0633287999999999E-2</v>
      </c>
      <c r="I3154" s="2" t="s">
        <v>34488</v>
      </c>
      <c r="J3154" s="2" t="s">
        <v>34489</v>
      </c>
      <c r="K3154" s="2">
        <v>3.8317589999999999E-2</v>
      </c>
      <c r="L3154" s="2" t="s">
        <v>1178</v>
      </c>
      <c r="M3154" s="4" t="s">
        <v>17624</v>
      </c>
    </row>
    <row r="3155" spans="1:13">
      <c r="A3155" s="2">
        <v>4835</v>
      </c>
      <c r="B3155" s="2" t="s">
        <v>24093</v>
      </c>
      <c r="C3155" s="2">
        <v>9</v>
      </c>
      <c r="D3155" s="2">
        <v>568</v>
      </c>
      <c r="E3155" s="2">
        <v>198</v>
      </c>
      <c r="F3155" s="2">
        <v>32441</v>
      </c>
      <c r="G3155" s="2">
        <v>2.5961107550000002</v>
      </c>
      <c r="H3155" s="2">
        <v>1.0028141000000001E-2</v>
      </c>
      <c r="I3155" s="2" t="s">
        <v>34490</v>
      </c>
      <c r="J3155" s="2" t="s">
        <v>34491</v>
      </c>
      <c r="K3155" s="2">
        <v>3.8317589999999999E-2</v>
      </c>
      <c r="L3155" s="2" t="s">
        <v>1178</v>
      </c>
      <c r="M3155" s="4" t="s">
        <v>24096</v>
      </c>
    </row>
    <row r="3156" spans="1:13">
      <c r="A3156" s="2">
        <v>2282</v>
      </c>
      <c r="B3156" s="2" t="s">
        <v>24109</v>
      </c>
      <c r="C3156" s="2">
        <v>8</v>
      </c>
      <c r="D3156" s="2">
        <v>568</v>
      </c>
      <c r="E3156" s="2">
        <v>166</v>
      </c>
      <c r="F3156" s="2">
        <v>32441</v>
      </c>
      <c r="G3156" s="2">
        <v>2.7525029700000001</v>
      </c>
      <c r="H3156" s="2">
        <v>1.0828058E-2</v>
      </c>
      <c r="I3156" s="2" t="s">
        <v>34492</v>
      </c>
      <c r="J3156" s="2" t="s">
        <v>34493</v>
      </c>
      <c r="K3156" s="2">
        <v>3.8961817000000003E-2</v>
      </c>
      <c r="L3156" s="2" t="s">
        <v>1178</v>
      </c>
      <c r="M3156" s="4" t="s">
        <v>24112</v>
      </c>
    </row>
    <row r="3157" spans="1:13">
      <c r="A3157" s="2">
        <v>2889</v>
      </c>
      <c r="B3157" s="2" t="s">
        <v>21120</v>
      </c>
      <c r="C3157" s="2">
        <v>8</v>
      </c>
      <c r="D3157" s="2">
        <v>568</v>
      </c>
      <c r="E3157" s="2">
        <v>166</v>
      </c>
      <c r="F3157" s="2">
        <v>32441</v>
      </c>
      <c r="G3157" s="2">
        <v>2.7525029700000001</v>
      </c>
      <c r="H3157" s="2">
        <v>1.0828058E-2</v>
      </c>
      <c r="I3157" s="2" t="s">
        <v>34494</v>
      </c>
      <c r="J3157" s="2" t="s">
        <v>34495</v>
      </c>
      <c r="K3157" s="2">
        <v>3.8961817000000003E-2</v>
      </c>
      <c r="L3157" s="2" t="s">
        <v>1178</v>
      </c>
      <c r="M3157" s="4" t="s">
        <v>21123</v>
      </c>
    </row>
    <row r="3158" spans="1:13">
      <c r="A3158" s="2">
        <v>2668</v>
      </c>
      <c r="B3158" s="2" t="s">
        <v>34496</v>
      </c>
      <c r="C3158" s="2">
        <v>8</v>
      </c>
      <c r="D3158" s="2">
        <v>568</v>
      </c>
      <c r="E3158" s="2">
        <v>169</v>
      </c>
      <c r="F3158" s="2">
        <v>32441</v>
      </c>
      <c r="G3158" s="2">
        <v>2.7036419700000001</v>
      </c>
      <c r="H3158" s="2">
        <v>1.1914241000000001E-2</v>
      </c>
      <c r="I3158" s="2" t="s">
        <v>34497</v>
      </c>
      <c r="J3158" s="2" t="s">
        <v>34498</v>
      </c>
      <c r="K3158" s="2">
        <v>4.2838512000000002E-2</v>
      </c>
      <c r="L3158" s="2" t="s">
        <v>1178</v>
      </c>
      <c r="M3158" s="4" t="s">
        <v>34499</v>
      </c>
    </row>
    <row r="3159" spans="1:13">
      <c r="A3159" s="2">
        <v>2526</v>
      </c>
      <c r="B3159" s="2" t="s">
        <v>19280</v>
      </c>
      <c r="C3159" s="2">
        <v>8</v>
      </c>
      <c r="D3159" s="2">
        <v>568</v>
      </c>
      <c r="E3159" s="2">
        <v>171</v>
      </c>
      <c r="F3159" s="2">
        <v>32441</v>
      </c>
      <c r="G3159" s="2">
        <v>2.6720204270000001</v>
      </c>
      <c r="H3159" s="2">
        <v>1.2681565000000001E-2</v>
      </c>
      <c r="I3159" s="2" t="s">
        <v>34500</v>
      </c>
      <c r="J3159" s="2" t="s">
        <v>34501</v>
      </c>
      <c r="K3159" s="2">
        <v>4.5530275000000002E-2</v>
      </c>
      <c r="L3159" s="2" t="s">
        <v>1178</v>
      </c>
      <c r="M3159" s="4" t="s">
        <v>19283</v>
      </c>
    </row>
    <row r="3160" spans="1:13">
      <c r="A3160" s="2">
        <v>2685</v>
      </c>
      <c r="B3160" s="2" t="s">
        <v>12876</v>
      </c>
      <c r="C3160" s="2">
        <v>8</v>
      </c>
      <c r="D3160" s="2">
        <v>568</v>
      </c>
      <c r="E3160" s="2">
        <v>171</v>
      </c>
      <c r="F3160" s="2">
        <v>32441</v>
      </c>
      <c r="G3160" s="2">
        <v>2.6720204270000001</v>
      </c>
      <c r="H3160" s="2">
        <v>1.2681565000000001E-2</v>
      </c>
      <c r="I3160" s="2" t="s">
        <v>34502</v>
      </c>
      <c r="J3160" s="2" t="s">
        <v>34503</v>
      </c>
      <c r="K3160" s="2">
        <v>4.5530275000000002E-2</v>
      </c>
      <c r="L3160" s="2" t="s">
        <v>1178</v>
      </c>
      <c r="M3160" s="4" t="s">
        <v>12879</v>
      </c>
    </row>
    <row r="3161" spans="1:13">
      <c r="A3161" s="2">
        <v>2003</v>
      </c>
      <c r="B3161" s="2" t="s">
        <v>34504</v>
      </c>
      <c r="C3161" s="2">
        <v>7</v>
      </c>
      <c r="D3161" s="2">
        <v>568</v>
      </c>
      <c r="E3161" s="2">
        <v>139</v>
      </c>
      <c r="F3161" s="2">
        <v>32441</v>
      </c>
      <c r="G3161" s="2">
        <v>2.8762665919999999</v>
      </c>
      <c r="H3161" s="2">
        <v>1.3476838E-2</v>
      </c>
      <c r="I3161" s="2" t="s">
        <v>34505</v>
      </c>
      <c r="J3161" s="2" t="s">
        <v>34506</v>
      </c>
      <c r="K3161" s="2">
        <v>4.8306254999999999E-2</v>
      </c>
      <c r="L3161" s="2" t="s">
        <v>1178</v>
      </c>
      <c r="M3161" s="4" t="s">
        <v>34507</v>
      </c>
    </row>
    <row r="3162" spans="1:13">
      <c r="A3162" s="2">
        <v>2654</v>
      </c>
      <c r="B3162" s="2" t="s">
        <v>18471</v>
      </c>
      <c r="C3162" s="2">
        <v>7</v>
      </c>
      <c r="D3162" s="2">
        <v>568</v>
      </c>
      <c r="E3162" s="2">
        <v>139</v>
      </c>
      <c r="F3162" s="2">
        <v>32441</v>
      </c>
      <c r="G3162" s="2">
        <v>2.8762665919999999</v>
      </c>
      <c r="H3162" s="2">
        <v>1.3476838E-2</v>
      </c>
      <c r="I3162" s="2" t="s">
        <v>34508</v>
      </c>
      <c r="J3162" s="2" t="s">
        <v>34509</v>
      </c>
      <c r="K3162" s="2">
        <v>4.8306254999999999E-2</v>
      </c>
      <c r="L3162" s="2" t="s">
        <v>1178</v>
      </c>
      <c r="M3162" s="4" t="s">
        <v>18474</v>
      </c>
    </row>
    <row r="3163" spans="1:13">
      <c r="A3163" s="2">
        <v>4123</v>
      </c>
      <c r="B3163" s="2" t="s">
        <v>19304</v>
      </c>
      <c r="C3163" s="2">
        <v>8</v>
      </c>
      <c r="D3163" s="2">
        <v>568</v>
      </c>
      <c r="E3163" s="2">
        <v>173</v>
      </c>
      <c r="F3163" s="2">
        <v>32441</v>
      </c>
      <c r="G3163" s="2">
        <v>2.6411300170000001</v>
      </c>
      <c r="H3163" s="2">
        <v>1.3484505000000001E-2</v>
      </c>
      <c r="I3163" s="2" t="s">
        <v>34510</v>
      </c>
      <c r="J3163" s="2" t="s">
        <v>34511</v>
      </c>
      <c r="K3163" s="2">
        <v>4.8306254999999999E-2</v>
      </c>
      <c r="L3163" s="2" t="s">
        <v>1178</v>
      </c>
      <c r="M3163" s="4" t="s">
        <v>19307</v>
      </c>
    </row>
    <row r="3164" spans="1:13">
      <c r="A3164" s="2">
        <v>2698</v>
      </c>
      <c r="B3164" s="2" t="s">
        <v>34512</v>
      </c>
      <c r="C3164" s="2">
        <v>8</v>
      </c>
      <c r="D3164" s="2">
        <v>568</v>
      </c>
      <c r="E3164" s="2">
        <v>174</v>
      </c>
      <c r="F3164" s="2">
        <v>32441</v>
      </c>
      <c r="G3164" s="2">
        <v>2.6259511089999998</v>
      </c>
      <c r="H3164" s="2">
        <v>1.3899612E-2</v>
      </c>
      <c r="I3164" s="2" t="s">
        <v>34513</v>
      </c>
      <c r="J3164" s="2" t="s">
        <v>34514</v>
      </c>
      <c r="K3164" s="2">
        <v>4.9683718000000002E-2</v>
      </c>
      <c r="L3164" s="2" t="s">
        <v>1178</v>
      </c>
      <c r="M3164" s="4" t="s">
        <v>34515</v>
      </c>
    </row>
    <row r="3165" spans="1:13">
      <c r="A3165" s="2">
        <v>4155</v>
      </c>
      <c r="B3165" s="2" t="s">
        <v>34516</v>
      </c>
      <c r="C3165" s="2">
        <v>8</v>
      </c>
      <c r="D3165" s="2">
        <v>568</v>
      </c>
      <c r="E3165" s="2">
        <v>174</v>
      </c>
      <c r="F3165" s="2">
        <v>32441</v>
      </c>
      <c r="G3165" s="2">
        <v>2.6259511089999998</v>
      </c>
      <c r="H3165" s="2">
        <v>1.3899612E-2</v>
      </c>
      <c r="I3165" s="2" t="s">
        <v>34517</v>
      </c>
      <c r="J3165" s="2" t="s">
        <v>34518</v>
      </c>
      <c r="K3165" s="2">
        <v>4.9683718000000002E-2</v>
      </c>
      <c r="L3165" s="2" t="s">
        <v>1178</v>
      </c>
      <c r="M3165" s="4" t="s">
        <v>34519</v>
      </c>
    </row>
    <row r="3166" spans="1:13">
      <c r="A3166" s="2">
        <v>4230</v>
      </c>
      <c r="B3166" s="2" t="s">
        <v>34520</v>
      </c>
      <c r="C3166" s="2">
        <v>8</v>
      </c>
      <c r="D3166" s="2">
        <v>568</v>
      </c>
      <c r="E3166" s="2">
        <v>174</v>
      </c>
      <c r="F3166" s="2">
        <v>32441</v>
      </c>
      <c r="G3166" s="2">
        <v>2.6259511089999998</v>
      </c>
      <c r="H3166" s="2">
        <v>1.3899612E-2</v>
      </c>
      <c r="I3166" s="2" t="s">
        <v>34521</v>
      </c>
      <c r="J3166" s="2" t="s">
        <v>34522</v>
      </c>
      <c r="K3166" s="2">
        <v>4.9683718000000002E-2</v>
      </c>
      <c r="L3166" s="2" t="s">
        <v>1178</v>
      </c>
      <c r="M3166" s="4" t="s">
        <v>34523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73"/>
  <sheetViews>
    <sheetView workbookViewId="0">
      <selection sqref="A1:M2673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27</v>
      </c>
      <c r="B2" s="2" t="s">
        <v>24379</v>
      </c>
      <c r="C2" s="2">
        <v>99</v>
      </c>
      <c r="D2" s="2">
        <v>341</v>
      </c>
      <c r="E2" s="2">
        <v>200</v>
      </c>
      <c r="F2" s="2">
        <v>32441</v>
      </c>
      <c r="G2" s="2">
        <v>47.091774190000002</v>
      </c>
      <c r="H2" s="3">
        <v>2.41E-123</v>
      </c>
      <c r="I2" s="3" t="s">
        <v>34524</v>
      </c>
      <c r="J2" s="3" t="s">
        <v>34525</v>
      </c>
      <c r="K2" s="3">
        <v>1.2100000000000001E-121</v>
      </c>
      <c r="L2" s="2" t="s">
        <v>15</v>
      </c>
      <c r="M2" s="4" t="s">
        <v>24382</v>
      </c>
    </row>
    <row r="3" spans="1:13">
      <c r="A3" s="2">
        <v>9</v>
      </c>
      <c r="B3" s="2" t="s">
        <v>24383</v>
      </c>
      <c r="C3" s="2">
        <v>84</v>
      </c>
      <c r="D3" s="2">
        <v>341</v>
      </c>
      <c r="E3" s="2">
        <v>200</v>
      </c>
      <c r="F3" s="2">
        <v>32441</v>
      </c>
      <c r="G3" s="2">
        <v>39.956656889999998</v>
      </c>
      <c r="H3" s="3">
        <v>3.6500000000000002E-99</v>
      </c>
      <c r="I3" s="3" t="s">
        <v>34526</v>
      </c>
      <c r="J3" s="3" t="s">
        <v>34527</v>
      </c>
      <c r="K3" s="3">
        <v>9.1200000000000005E-98</v>
      </c>
      <c r="L3" s="2" t="s">
        <v>15</v>
      </c>
      <c r="M3" s="4" t="s">
        <v>24386</v>
      </c>
    </row>
    <row r="4" spans="1:13">
      <c r="A4" s="2">
        <v>4</v>
      </c>
      <c r="B4" s="2" t="s">
        <v>24375</v>
      </c>
      <c r="C4" s="2">
        <v>35</v>
      </c>
      <c r="D4" s="2">
        <v>341</v>
      </c>
      <c r="E4" s="2">
        <v>200</v>
      </c>
      <c r="F4" s="2">
        <v>32441</v>
      </c>
      <c r="G4" s="2">
        <v>16.648607040000002</v>
      </c>
      <c r="H4" s="3">
        <v>6.9699999999999997E-30</v>
      </c>
      <c r="I4" s="2" t="s">
        <v>34528</v>
      </c>
      <c r="J4" s="2" t="s">
        <v>34529</v>
      </c>
      <c r="K4" s="3">
        <v>1.1600000000000001E-28</v>
      </c>
      <c r="L4" s="2" t="s">
        <v>15</v>
      </c>
      <c r="M4" s="4" t="s">
        <v>24378</v>
      </c>
    </row>
    <row r="5" spans="1:13">
      <c r="A5" s="2">
        <v>28</v>
      </c>
      <c r="B5" s="2" t="s">
        <v>12</v>
      </c>
      <c r="C5" s="2">
        <v>27</v>
      </c>
      <c r="D5" s="2">
        <v>341</v>
      </c>
      <c r="E5" s="2">
        <v>200</v>
      </c>
      <c r="F5" s="2">
        <v>32441</v>
      </c>
      <c r="G5" s="2">
        <v>12.843211139999999</v>
      </c>
      <c r="H5" s="3">
        <v>1.1899999999999999E-20</v>
      </c>
      <c r="I5" s="2" t="s">
        <v>34530</v>
      </c>
      <c r="J5" s="2" t="s">
        <v>34531</v>
      </c>
      <c r="K5" s="3">
        <v>1.4900000000000001E-19</v>
      </c>
      <c r="L5" s="2" t="s">
        <v>15</v>
      </c>
      <c r="M5" s="4" t="s">
        <v>34532</v>
      </c>
    </row>
    <row r="6" spans="1:13">
      <c r="A6" s="2">
        <v>8</v>
      </c>
      <c r="B6" s="2" t="s">
        <v>34533</v>
      </c>
      <c r="C6" s="2">
        <v>15</v>
      </c>
      <c r="D6" s="2">
        <v>341</v>
      </c>
      <c r="E6" s="2">
        <v>150</v>
      </c>
      <c r="F6" s="2">
        <v>32441</v>
      </c>
      <c r="G6" s="2">
        <v>9.5134897360000004</v>
      </c>
      <c r="H6" s="3">
        <v>2.3600000000000001E-10</v>
      </c>
      <c r="I6" s="2" t="s">
        <v>34534</v>
      </c>
      <c r="J6" s="2" t="s">
        <v>34535</v>
      </c>
      <c r="K6" s="3">
        <v>2.3600000000000001E-9</v>
      </c>
      <c r="L6" s="2" t="s">
        <v>15</v>
      </c>
      <c r="M6" s="4" t="s">
        <v>34536</v>
      </c>
    </row>
    <row r="7" spans="1:13">
      <c r="A7" s="2">
        <v>47</v>
      </c>
      <c r="B7" s="2" t="s">
        <v>34537</v>
      </c>
      <c r="C7" s="2">
        <v>13</v>
      </c>
      <c r="D7" s="2">
        <v>341</v>
      </c>
      <c r="E7" s="2">
        <v>135</v>
      </c>
      <c r="F7" s="2">
        <v>32441</v>
      </c>
      <c r="G7" s="2">
        <v>9.1611382639999999</v>
      </c>
      <c r="H7" s="3">
        <v>5.7500000000000002E-9</v>
      </c>
      <c r="I7" s="2" t="s">
        <v>34538</v>
      </c>
      <c r="J7" s="2" t="s">
        <v>34539</v>
      </c>
      <c r="K7" s="3">
        <v>4.7899999999999999E-8</v>
      </c>
      <c r="L7" s="2" t="s">
        <v>15</v>
      </c>
      <c r="M7" s="4" t="s">
        <v>34540</v>
      </c>
    </row>
    <row r="8" spans="1:13">
      <c r="A8" s="2">
        <v>26</v>
      </c>
      <c r="B8" s="2" t="s">
        <v>34541</v>
      </c>
      <c r="C8" s="2">
        <v>14</v>
      </c>
      <c r="D8" s="2">
        <v>341</v>
      </c>
      <c r="E8" s="2">
        <v>200</v>
      </c>
      <c r="F8" s="2">
        <v>32441</v>
      </c>
      <c r="G8" s="2">
        <v>6.6594428150000002</v>
      </c>
      <c r="H8" s="3">
        <v>6.4399999999999994E-8</v>
      </c>
      <c r="I8" s="2" t="s">
        <v>34542</v>
      </c>
      <c r="J8" s="2" t="s">
        <v>34543</v>
      </c>
      <c r="K8" s="3">
        <v>4.5999999999999999E-7</v>
      </c>
      <c r="L8" s="2" t="s">
        <v>15</v>
      </c>
      <c r="M8" s="4" t="s">
        <v>34544</v>
      </c>
    </row>
    <row r="9" spans="1:13">
      <c r="A9" s="2">
        <v>14</v>
      </c>
      <c r="B9" s="2" t="s">
        <v>34545</v>
      </c>
      <c r="C9" s="2">
        <v>9</v>
      </c>
      <c r="D9" s="2">
        <v>341</v>
      </c>
      <c r="E9" s="2">
        <v>200</v>
      </c>
      <c r="F9" s="2">
        <v>32441</v>
      </c>
      <c r="G9" s="2">
        <v>4.2810703810000001</v>
      </c>
      <c r="H9" s="2">
        <v>3.66826E-4</v>
      </c>
      <c r="I9" s="2" t="s">
        <v>34546</v>
      </c>
      <c r="J9" s="2" t="s">
        <v>34547</v>
      </c>
      <c r="K9" s="2">
        <v>2.2926610000000001E-3</v>
      </c>
      <c r="L9" s="2" t="s">
        <v>15</v>
      </c>
      <c r="M9" s="4" t="s">
        <v>34548</v>
      </c>
    </row>
    <row r="10" spans="1:13">
      <c r="A10" s="2">
        <v>29</v>
      </c>
      <c r="B10" s="2" t="s">
        <v>34549</v>
      </c>
      <c r="C10" s="2">
        <v>5</v>
      </c>
      <c r="D10" s="2">
        <v>341</v>
      </c>
      <c r="E10" s="2">
        <v>58</v>
      </c>
      <c r="F10" s="2">
        <v>32441</v>
      </c>
      <c r="G10" s="2">
        <v>8.2012842549999991</v>
      </c>
      <c r="H10" s="2">
        <v>5.0714200000000003E-4</v>
      </c>
      <c r="I10" s="2" t="s">
        <v>34550</v>
      </c>
      <c r="J10" s="2" t="s">
        <v>34551</v>
      </c>
      <c r="K10" s="2">
        <v>2.8174580000000001E-3</v>
      </c>
      <c r="L10" s="2" t="s">
        <v>15</v>
      </c>
      <c r="M10" s="4" t="s">
        <v>34552</v>
      </c>
    </row>
    <row r="11" spans="1:13">
      <c r="A11" s="2">
        <v>38</v>
      </c>
      <c r="B11" s="2" t="s">
        <v>34553</v>
      </c>
      <c r="C11" s="2">
        <v>7</v>
      </c>
      <c r="D11" s="2">
        <v>341</v>
      </c>
      <c r="E11" s="2">
        <v>158</v>
      </c>
      <c r="F11" s="2">
        <v>32441</v>
      </c>
      <c r="G11" s="2">
        <v>4.2148372250000001</v>
      </c>
      <c r="H11" s="2">
        <v>1.7733099999999999E-3</v>
      </c>
      <c r="I11" s="2" t="s">
        <v>34554</v>
      </c>
      <c r="J11" s="2" t="s">
        <v>34555</v>
      </c>
      <c r="K11" s="2">
        <v>8.8665500000000008E-3</v>
      </c>
      <c r="L11" s="2" t="s">
        <v>15</v>
      </c>
      <c r="M11" s="4" t="s">
        <v>34556</v>
      </c>
    </row>
    <row r="12" spans="1:13">
      <c r="A12" s="2">
        <v>4735</v>
      </c>
      <c r="B12" s="2" t="s">
        <v>24443</v>
      </c>
      <c r="C12" s="2">
        <v>265</v>
      </c>
      <c r="D12" s="2">
        <v>341</v>
      </c>
      <c r="E12" s="2">
        <v>929</v>
      </c>
      <c r="F12" s="2">
        <v>32441</v>
      </c>
      <c r="G12" s="2">
        <v>27.13751109</v>
      </c>
      <c r="H12" s="3" t="s">
        <v>34557</v>
      </c>
      <c r="I12" s="3" t="s">
        <v>34558</v>
      </c>
      <c r="J12" s="3" t="s">
        <v>34559</v>
      </c>
      <c r="K12" s="3" t="s">
        <v>34560</v>
      </c>
      <c r="L12" s="2" t="s">
        <v>35</v>
      </c>
      <c r="M12" s="4" t="s">
        <v>24446</v>
      </c>
    </row>
    <row r="13" spans="1:13">
      <c r="A13" s="2">
        <v>4538</v>
      </c>
      <c r="B13" s="2" t="s">
        <v>25732</v>
      </c>
      <c r="C13" s="2">
        <v>217</v>
      </c>
      <c r="D13" s="2">
        <v>341</v>
      </c>
      <c r="E13" s="2">
        <v>570</v>
      </c>
      <c r="F13" s="2">
        <v>32441</v>
      </c>
      <c r="G13" s="2">
        <v>36.218022329999997</v>
      </c>
      <c r="H13" s="3">
        <v>2.03E-271</v>
      </c>
      <c r="I13" s="3" t="s">
        <v>34561</v>
      </c>
      <c r="J13" s="3" t="s">
        <v>34562</v>
      </c>
      <c r="K13" s="3">
        <v>4.82E-268</v>
      </c>
      <c r="L13" s="2" t="s">
        <v>35</v>
      </c>
      <c r="M13" s="4" t="s">
        <v>25735</v>
      </c>
    </row>
    <row r="14" spans="1:13">
      <c r="A14" s="2">
        <v>4392</v>
      </c>
      <c r="B14" s="2" t="s">
        <v>34563</v>
      </c>
      <c r="C14" s="2">
        <v>166</v>
      </c>
      <c r="D14" s="2">
        <v>341</v>
      </c>
      <c r="E14" s="2">
        <v>324</v>
      </c>
      <c r="F14" s="2">
        <v>32441</v>
      </c>
      <c r="G14" s="2">
        <v>48.741953590000001</v>
      </c>
      <c r="H14" s="3">
        <v>6.94E-217</v>
      </c>
      <c r="I14" s="3" t="s">
        <v>34564</v>
      </c>
      <c r="J14" s="3" t="s">
        <v>34565</v>
      </c>
      <c r="K14" s="3">
        <v>1.1E-213</v>
      </c>
      <c r="L14" s="2" t="s">
        <v>35</v>
      </c>
      <c r="M14" s="4" t="s">
        <v>34566</v>
      </c>
    </row>
    <row r="15" spans="1:13">
      <c r="A15" s="2">
        <v>1613</v>
      </c>
      <c r="B15" s="2" t="s">
        <v>24481</v>
      </c>
      <c r="C15" s="2">
        <v>217</v>
      </c>
      <c r="D15" s="2">
        <v>341</v>
      </c>
      <c r="E15" s="2">
        <v>1278</v>
      </c>
      <c r="F15" s="2">
        <v>32441</v>
      </c>
      <c r="G15" s="2">
        <v>16.153578029999998</v>
      </c>
      <c r="H15" s="3">
        <v>5.3400000000000004E-205</v>
      </c>
      <c r="I15" s="3" t="s">
        <v>34567</v>
      </c>
      <c r="J15" s="3" t="s">
        <v>34568</v>
      </c>
      <c r="K15" s="3">
        <v>6.3600000000000001E-202</v>
      </c>
      <c r="L15" s="2" t="s">
        <v>35</v>
      </c>
      <c r="M15" s="4" t="s">
        <v>24484</v>
      </c>
    </row>
    <row r="16" spans="1:13">
      <c r="A16" s="2">
        <v>1666</v>
      </c>
      <c r="B16" s="2" t="s">
        <v>518</v>
      </c>
      <c r="C16" s="2">
        <v>217</v>
      </c>
      <c r="D16" s="2">
        <v>341</v>
      </c>
      <c r="E16" s="2">
        <v>1375</v>
      </c>
      <c r="F16" s="2">
        <v>32441</v>
      </c>
      <c r="G16" s="2">
        <v>15.014016529999999</v>
      </c>
      <c r="H16" s="3">
        <v>8.7900000000000004E-199</v>
      </c>
      <c r="I16" s="3" t="s">
        <v>34569</v>
      </c>
      <c r="J16" s="3" t="s">
        <v>34570</v>
      </c>
      <c r="K16" s="3">
        <v>8.3699999999999998E-196</v>
      </c>
      <c r="L16" s="2" t="s">
        <v>35</v>
      </c>
      <c r="M16" s="4" t="s">
        <v>4762</v>
      </c>
    </row>
    <row r="17" spans="1:13">
      <c r="A17" s="2">
        <v>3387</v>
      </c>
      <c r="B17" s="2" t="s">
        <v>24711</v>
      </c>
      <c r="C17" s="2">
        <v>184</v>
      </c>
      <c r="D17" s="2">
        <v>341</v>
      </c>
      <c r="E17" s="2">
        <v>728</v>
      </c>
      <c r="F17" s="2">
        <v>32441</v>
      </c>
      <c r="G17" s="2">
        <v>24.045083949999999</v>
      </c>
      <c r="H17" s="3">
        <v>4.5399999999999999E-196</v>
      </c>
      <c r="I17" s="3" t="s">
        <v>34571</v>
      </c>
      <c r="J17" s="3" t="s">
        <v>34572</v>
      </c>
      <c r="K17" s="3">
        <v>3.5999999999999999E-193</v>
      </c>
      <c r="L17" s="2" t="s">
        <v>35</v>
      </c>
      <c r="M17" s="4" t="s">
        <v>24714</v>
      </c>
    </row>
    <row r="18" spans="1:13">
      <c r="A18" s="2">
        <v>4157</v>
      </c>
      <c r="B18" s="2" t="s">
        <v>34573</v>
      </c>
      <c r="C18" s="2">
        <v>143</v>
      </c>
      <c r="D18" s="2">
        <v>341</v>
      </c>
      <c r="E18" s="2">
        <v>251</v>
      </c>
      <c r="F18" s="2">
        <v>32441</v>
      </c>
      <c r="G18" s="2">
        <v>54.200359849999998</v>
      </c>
      <c r="H18" s="3">
        <v>2.4900000000000001E-189</v>
      </c>
      <c r="I18" s="3" t="s">
        <v>34574</v>
      </c>
      <c r="J18" s="3" t="s">
        <v>34575</v>
      </c>
      <c r="K18" s="3">
        <v>1.6900000000000001E-186</v>
      </c>
      <c r="L18" s="2" t="s">
        <v>35</v>
      </c>
      <c r="M18" s="4" t="s">
        <v>34576</v>
      </c>
    </row>
    <row r="19" spans="1:13">
      <c r="A19" s="2">
        <v>3915</v>
      </c>
      <c r="B19" s="2" t="s">
        <v>25351</v>
      </c>
      <c r="C19" s="2">
        <v>149</v>
      </c>
      <c r="D19" s="2">
        <v>341</v>
      </c>
      <c r="E19" s="2">
        <v>456</v>
      </c>
      <c r="F19" s="2">
        <v>32441</v>
      </c>
      <c r="G19" s="2">
        <v>31.08574497</v>
      </c>
      <c r="H19" s="3">
        <v>1.2100000000000001E-168</v>
      </c>
      <c r="I19" s="3" t="s">
        <v>34577</v>
      </c>
      <c r="J19" s="3" t="s">
        <v>34578</v>
      </c>
      <c r="K19" s="3">
        <v>7.2000000000000002E-166</v>
      </c>
      <c r="L19" s="2" t="s">
        <v>35</v>
      </c>
      <c r="M19" s="4" t="s">
        <v>25354</v>
      </c>
    </row>
    <row r="20" spans="1:13">
      <c r="A20" s="2">
        <v>2307</v>
      </c>
      <c r="B20" s="2" t="s">
        <v>262</v>
      </c>
      <c r="C20" s="2">
        <v>177</v>
      </c>
      <c r="D20" s="2">
        <v>341</v>
      </c>
      <c r="E20" s="2">
        <v>1024</v>
      </c>
      <c r="F20" s="2">
        <v>32441</v>
      </c>
      <c r="G20" s="2">
        <v>16.444215660000001</v>
      </c>
      <c r="H20" s="3">
        <v>1E-161</v>
      </c>
      <c r="I20" s="3" t="s">
        <v>34579</v>
      </c>
      <c r="J20" s="3" t="s">
        <v>34580</v>
      </c>
      <c r="K20" s="3">
        <v>5.3099999999999997E-159</v>
      </c>
      <c r="L20" s="2" t="s">
        <v>35</v>
      </c>
      <c r="M20" s="4" t="s">
        <v>25017</v>
      </c>
    </row>
    <row r="21" spans="1:13">
      <c r="A21" s="2">
        <v>4760</v>
      </c>
      <c r="B21" s="2" t="s">
        <v>34581</v>
      </c>
      <c r="C21" s="2">
        <v>115</v>
      </c>
      <c r="D21" s="2">
        <v>341</v>
      </c>
      <c r="E21" s="2">
        <v>190</v>
      </c>
      <c r="F21" s="2">
        <v>32441</v>
      </c>
      <c r="G21" s="2">
        <v>57.581648399999999</v>
      </c>
      <c r="H21" s="3">
        <v>2.7999999999999998E-152</v>
      </c>
      <c r="I21" s="3" t="s">
        <v>34582</v>
      </c>
      <c r="J21" s="3" t="s">
        <v>34583</v>
      </c>
      <c r="K21" s="3">
        <v>1.33E-149</v>
      </c>
      <c r="L21" s="2" t="s">
        <v>35</v>
      </c>
      <c r="M21" s="4" t="s">
        <v>34584</v>
      </c>
    </row>
    <row r="22" spans="1:13">
      <c r="A22" s="2">
        <v>2039</v>
      </c>
      <c r="B22" s="2" t="s">
        <v>34585</v>
      </c>
      <c r="C22" s="2">
        <v>104</v>
      </c>
      <c r="D22" s="2">
        <v>341</v>
      </c>
      <c r="E22" s="2">
        <v>140</v>
      </c>
      <c r="F22" s="2">
        <v>32441</v>
      </c>
      <c r="G22" s="2">
        <v>70.671638040000005</v>
      </c>
      <c r="H22" s="3">
        <v>5.9999999999999997E-144</v>
      </c>
      <c r="I22" s="3" t="s">
        <v>34586</v>
      </c>
      <c r="J22" s="3" t="s">
        <v>34587</v>
      </c>
      <c r="K22" s="3">
        <v>2.6000000000000001E-141</v>
      </c>
      <c r="L22" s="2" t="s">
        <v>35</v>
      </c>
      <c r="M22" s="4" t="s">
        <v>34588</v>
      </c>
    </row>
    <row r="23" spans="1:13">
      <c r="A23" s="2">
        <v>1375</v>
      </c>
      <c r="B23" s="2" t="s">
        <v>34589</v>
      </c>
      <c r="C23" s="2">
        <v>104</v>
      </c>
      <c r="D23" s="2">
        <v>341</v>
      </c>
      <c r="E23" s="2">
        <v>151</v>
      </c>
      <c r="F23" s="2">
        <v>32441</v>
      </c>
      <c r="G23" s="2">
        <v>65.523373019999994</v>
      </c>
      <c r="H23" s="3">
        <v>2.06E-141</v>
      </c>
      <c r="I23" s="3" t="s">
        <v>34590</v>
      </c>
      <c r="J23" s="3" t="s">
        <v>34591</v>
      </c>
      <c r="K23" s="3">
        <v>8.1700000000000001E-139</v>
      </c>
      <c r="L23" s="2" t="s">
        <v>35</v>
      </c>
      <c r="M23" s="4" t="s">
        <v>34592</v>
      </c>
    </row>
    <row r="24" spans="1:13">
      <c r="A24" s="2">
        <v>2433</v>
      </c>
      <c r="B24" s="2" t="s">
        <v>2897</v>
      </c>
      <c r="C24" s="2">
        <v>142</v>
      </c>
      <c r="D24" s="2">
        <v>341</v>
      </c>
      <c r="E24" s="2">
        <v>648</v>
      </c>
      <c r="F24" s="2">
        <v>32441</v>
      </c>
      <c r="G24" s="2">
        <v>20.84746208</v>
      </c>
      <c r="H24" s="3">
        <v>9.9700000000000005E-139</v>
      </c>
      <c r="I24" s="3" t="s">
        <v>34593</v>
      </c>
      <c r="J24" s="3" t="s">
        <v>34594</v>
      </c>
      <c r="K24" s="3">
        <v>3.6499999999999999E-136</v>
      </c>
      <c r="L24" s="2" t="s">
        <v>35</v>
      </c>
      <c r="M24" s="4" t="s">
        <v>2900</v>
      </c>
    </row>
    <row r="25" spans="1:13">
      <c r="A25" s="2">
        <v>3924</v>
      </c>
      <c r="B25" s="2" t="s">
        <v>24801</v>
      </c>
      <c r="C25" s="2">
        <v>115</v>
      </c>
      <c r="D25" s="2">
        <v>341</v>
      </c>
      <c r="E25" s="2">
        <v>277</v>
      </c>
      <c r="F25" s="2">
        <v>32441</v>
      </c>
      <c r="G25" s="2">
        <v>39.496437530000001</v>
      </c>
      <c r="H25" s="3">
        <v>2.5699999999999999E-137</v>
      </c>
      <c r="I25" s="3" t="s">
        <v>34595</v>
      </c>
      <c r="J25" s="3" t="s">
        <v>34596</v>
      </c>
      <c r="K25" s="3">
        <v>8.7499999999999996E-135</v>
      </c>
      <c r="L25" s="2" t="s">
        <v>35</v>
      </c>
      <c r="M25" s="4" t="s">
        <v>24804</v>
      </c>
    </row>
    <row r="26" spans="1:13">
      <c r="A26" s="2">
        <v>2267</v>
      </c>
      <c r="B26" s="2" t="s">
        <v>298</v>
      </c>
      <c r="C26" s="2">
        <v>137</v>
      </c>
      <c r="D26" s="2">
        <v>341</v>
      </c>
      <c r="E26" s="2">
        <v>779</v>
      </c>
      <c r="F26" s="2">
        <v>32441</v>
      </c>
      <c r="G26" s="2">
        <v>16.731041000000001</v>
      </c>
      <c r="H26" s="3">
        <v>7.8399999999999997E-122</v>
      </c>
      <c r="I26" s="3" t="s">
        <v>34597</v>
      </c>
      <c r="J26" s="3" t="s">
        <v>34598</v>
      </c>
      <c r="K26" s="3">
        <v>2.4900000000000001E-119</v>
      </c>
      <c r="L26" s="2" t="s">
        <v>35</v>
      </c>
      <c r="M26" s="4" t="s">
        <v>24515</v>
      </c>
    </row>
    <row r="27" spans="1:13">
      <c r="A27" s="2">
        <v>3872</v>
      </c>
      <c r="B27" s="2" t="s">
        <v>34599</v>
      </c>
      <c r="C27" s="2">
        <v>92</v>
      </c>
      <c r="D27" s="2">
        <v>341</v>
      </c>
      <c r="E27" s="2">
        <v>148</v>
      </c>
      <c r="F27" s="2">
        <v>32441</v>
      </c>
      <c r="G27" s="2">
        <v>59.13790917</v>
      </c>
      <c r="H27" s="3">
        <v>2.3200000000000002E-121</v>
      </c>
      <c r="I27" s="3" t="s">
        <v>34600</v>
      </c>
      <c r="J27" s="3" t="s">
        <v>34601</v>
      </c>
      <c r="K27" s="3">
        <v>6.9100000000000005E-119</v>
      </c>
      <c r="L27" s="2" t="s">
        <v>35</v>
      </c>
      <c r="M27" s="4" t="s">
        <v>34602</v>
      </c>
    </row>
    <row r="28" spans="1:13">
      <c r="A28" s="2">
        <v>3737</v>
      </c>
      <c r="B28" s="2" t="s">
        <v>34603</v>
      </c>
      <c r="C28" s="2">
        <v>110</v>
      </c>
      <c r="D28" s="2">
        <v>341</v>
      </c>
      <c r="E28" s="2">
        <v>342</v>
      </c>
      <c r="F28" s="2">
        <v>32441</v>
      </c>
      <c r="G28" s="2">
        <v>30.598943599999998</v>
      </c>
      <c r="H28" s="3">
        <v>7.4099999999999997E-121</v>
      </c>
      <c r="I28" s="3" t="s">
        <v>34604</v>
      </c>
      <c r="J28" s="3" t="s">
        <v>34605</v>
      </c>
      <c r="K28" s="3">
        <v>2.0800000000000001E-118</v>
      </c>
      <c r="L28" s="2" t="s">
        <v>35</v>
      </c>
      <c r="M28" s="4" t="s">
        <v>34606</v>
      </c>
    </row>
    <row r="29" spans="1:13">
      <c r="A29" s="2">
        <v>2264</v>
      </c>
      <c r="B29" s="2" t="s">
        <v>108</v>
      </c>
      <c r="C29" s="2">
        <v>166</v>
      </c>
      <c r="D29" s="2">
        <v>341</v>
      </c>
      <c r="E29" s="2">
        <v>1652</v>
      </c>
      <c r="F29" s="2">
        <v>32441</v>
      </c>
      <c r="G29" s="2">
        <v>9.5595599040000003</v>
      </c>
      <c r="H29" s="3">
        <v>4.0000000000000002E-115</v>
      </c>
      <c r="I29" s="3" t="s">
        <v>34607</v>
      </c>
      <c r="J29" s="3" t="s">
        <v>34608</v>
      </c>
      <c r="K29" s="3">
        <v>9.9999999999999995E-113</v>
      </c>
      <c r="L29" s="2" t="s">
        <v>35</v>
      </c>
      <c r="M29" s="4" t="s">
        <v>6454</v>
      </c>
    </row>
    <row r="30" spans="1:13">
      <c r="A30" s="2">
        <v>2265</v>
      </c>
      <c r="B30" s="2" t="s">
        <v>24493</v>
      </c>
      <c r="C30" s="2">
        <v>112</v>
      </c>
      <c r="D30" s="2">
        <v>341</v>
      </c>
      <c r="E30" s="2">
        <v>423</v>
      </c>
      <c r="F30" s="2">
        <v>32441</v>
      </c>
      <c r="G30" s="2">
        <v>25.18938181</v>
      </c>
      <c r="H30" s="3">
        <v>3.95E-115</v>
      </c>
      <c r="I30" s="3" t="s">
        <v>34609</v>
      </c>
      <c r="J30" s="3" t="s">
        <v>34610</v>
      </c>
      <c r="K30" s="3">
        <v>9.9999999999999995E-113</v>
      </c>
      <c r="L30" s="2" t="s">
        <v>35</v>
      </c>
      <c r="M30" s="4" t="s">
        <v>24496</v>
      </c>
    </row>
    <row r="31" spans="1:13">
      <c r="A31" s="2">
        <v>1794</v>
      </c>
      <c r="B31" s="2" t="s">
        <v>34611</v>
      </c>
      <c r="C31" s="2">
        <v>118</v>
      </c>
      <c r="D31" s="2">
        <v>341</v>
      </c>
      <c r="E31" s="2">
        <v>536</v>
      </c>
      <c r="F31" s="2">
        <v>32441</v>
      </c>
      <c r="G31" s="2">
        <v>20.943876660000001</v>
      </c>
      <c r="H31" s="3">
        <v>1.5E-113</v>
      </c>
      <c r="I31" s="3" t="s">
        <v>34612</v>
      </c>
      <c r="J31" s="3" t="s">
        <v>34613</v>
      </c>
      <c r="K31" s="3">
        <v>3.5799999999999998E-111</v>
      </c>
      <c r="L31" s="2" t="s">
        <v>35</v>
      </c>
      <c r="M31" s="4" t="s">
        <v>34614</v>
      </c>
    </row>
    <row r="32" spans="1:13">
      <c r="A32" s="2">
        <v>1481</v>
      </c>
      <c r="B32" s="2" t="s">
        <v>34615</v>
      </c>
      <c r="C32" s="2">
        <v>99</v>
      </c>
      <c r="D32" s="2">
        <v>341</v>
      </c>
      <c r="E32" s="2">
        <v>290</v>
      </c>
      <c r="F32" s="2">
        <v>32441</v>
      </c>
      <c r="G32" s="2">
        <v>32.477085649999999</v>
      </c>
      <c r="H32" s="3">
        <v>2.7799999999999999E-110</v>
      </c>
      <c r="I32" s="3" t="s">
        <v>34616</v>
      </c>
      <c r="J32" s="3" t="s">
        <v>34617</v>
      </c>
      <c r="K32" s="3">
        <v>6.3099999999999998E-108</v>
      </c>
      <c r="L32" s="2" t="s">
        <v>35</v>
      </c>
      <c r="M32" s="4" t="s">
        <v>34618</v>
      </c>
    </row>
    <row r="33" spans="1:13">
      <c r="A33" s="2">
        <v>4170</v>
      </c>
      <c r="B33" s="2" t="s">
        <v>135</v>
      </c>
      <c r="C33" s="2">
        <v>117</v>
      </c>
      <c r="D33" s="2">
        <v>341</v>
      </c>
      <c r="E33" s="2">
        <v>605</v>
      </c>
      <c r="F33" s="2">
        <v>32441</v>
      </c>
      <c r="G33" s="2">
        <v>18.397988420000001</v>
      </c>
      <c r="H33" s="3">
        <v>9.4E-107</v>
      </c>
      <c r="I33" s="3" t="s">
        <v>34619</v>
      </c>
      <c r="J33" s="3" t="s">
        <v>34620</v>
      </c>
      <c r="K33" s="3">
        <v>2.0300000000000001E-104</v>
      </c>
      <c r="L33" s="2" t="s">
        <v>35</v>
      </c>
      <c r="M33" s="4" t="s">
        <v>24686</v>
      </c>
    </row>
    <row r="34" spans="1:13">
      <c r="A34" s="2">
        <v>4516</v>
      </c>
      <c r="B34" s="2" t="s">
        <v>24668</v>
      </c>
      <c r="C34" s="2">
        <v>114</v>
      </c>
      <c r="D34" s="2">
        <v>341</v>
      </c>
      <c r="E34" s="2">
        <v>553</v>
      </c>
      <c r="F34" s="2">
        <v>32441</v>
      </c>
      <c r="G34" s="2">
        <v>19.611895659999998</v>
      </c>
      <c r="H34" s="3">
        <v>1.4100000000000001E-106</v>
      </c>
      <c r="I34" s="3" t="s">
        <v>34621</v>
      </c>
      <c r="J34" s="3" t="s">
        <v>34622</v>
      </c>
      <c r="K34" s="3">
        <v>2.9199999999999999E-104</v>
      </c>
      <c r="L34" s="2" t="s">
        <v>35</v>
      </c>
      <c r="M34" s="4" t="s">
        <v>24671</v>
      </c>
    </row>
    <row r="35" spans="1:13">
      <c r="A35" s="2">
        <v>1651</v>
      </c>
      <c r="B35" s="2" t="s">
        <v>34623</v>
      </c>
      <c r="C35" s="2">
        <v>86</v>
      </c>
      <c r="D35" s="2">
        <v>341</v>
      </c>
      <c r="E35" s="2">
        <v>181</v>
      </c>
      <c r="F35" s="2">
        <v>32441</v>
      </c>
      <c r="G35" s="2">
        <v>45.20221643</v>
      </c>
      <c r="H35" s="3">
        <v>2.4999999999999998E-105</v>
      </c>
      <c r="I35" s="3" t="s">
        <v>34624</v>
      </c>
      <c r="J35" s="3" t="s">
        <v>34625</v>
      </c>
      <c r="K35" s="3">
        <v>4.9699999999999996E-103</v>
      </c>
      <c r="L35" s="2" t="s">
        <v>35</v>
      </c>
      <c r="M35" s="4" t="s">
        <v>34626</v>
      </c>
    </row>
    <row r="36" spans="1:13">
      <c r="A36" s="2">
        <v>1497</v>
      </c>
      <c r="B36" s="2" t="s">
        <v>34627</v>
      </c>
      <c r="C36" s="2">
        <v>105</v>
      </c>
      <c r="D36" s="2">
        <v>341</v>
      </c>
      <c r="E36" s="2">
        <v>430</v>
      </c>
      <c r="F36" s="2">
        <v>32441</v>
      </c>
      <c r="G36" s="2">
        <v>23.230614469999999</v>
      </c>
      <c r="H36" s="3">
        <v>2.5900000000000001E-104</v>
      </c>
      <c r="I36" s="3" t="s">
        <v>34628</v>
      </c>
      <c r="J36" s="3" t="s">
        <v>34629</v>
      </c>
      <c r="K36" s="3">
        <v>4.93E-102</v>
      </c>
      <c r="L36" s="2" t="s">
        <v>35</v>
      </c>
      <c r="M36" s="4" t="s">
        <v>34630</v>
      </c>
    </row>
    <row r="37" spans="1:13">
      <c r="A37" s="2">
        <v>708</v>
      </c>
      <c r="B37" s="2" t="s">
        <v>24640</v>
      </c>
      <c r="C37" s="2">
        <v>101</v>
      </c>
      <c r="D37" s="2">
        <v>341</v>
      </c>
      <c r="E37" s="2">
        <v>421</v>
      </c>
      <c r="F37" s="2">
        <v>32441</v>
      </c>
      <c r="G37" s="2">
        <v>22.82333642</v>
      </c>
      <c r="H37" s="3">
        <v>1.93E-99</v>
      </c>
      <c r="I37" s="3" t="s">
        <v>34631</v>
      </c>
      <c r="J37" s="3" t="s">
        <v>34632</v>
      </c>
      <c r="K37" s="3">
        <v>3.5400000000000002E-97</v>
      </c>
      <c r="L37" s="2" t="s">
        <v>35</v>
      </c>
      <c r="M37" s="4" t="s">
        <v>24643</v>
      </c>
    </row>
    <row r="38" spans="1:13">
      <c r="A38" s="2">
        <v>896</v>
      </c>
      <c r="B38" s="2" t="s">
        <v>24664</v>
      </c>
      <c r="C38" s="2">
        <v>94</v>
      </c>
      <c r="D38" s="2">
        <v>341</v>
      </c>
      <c r="E38" s="2">
        <v>325</v>
      </c>
      <c r="F38" s="2">
        <v>32441</v>
      </c>
      <c r="G38" s="2">
        <v>27.515939540000002</v>
      </c>
      <c r="H38" s="3">
        <v>9.6399999999999993E-99</v>
      </c>
      <c r="I38" s="3" t="s">
        <v>34633</v>
      </c>
      <c r="J38" s="3" t="s">
        <v>34634</v>
      </c>
      <c r="K38" s="3">
        <v>1.7E-96</v>
      </c>
      <c r="L38" s="2" t="s">
        <v>35</v>
      </c>
      <c r="M38" s="4" t="s">
        <v>24667</v>
      </c>
    </row>
    <row r="39" spans="1:13">
      <c r="A39" s="2">
        <v>4734</v>
      </c>
      <c r="B39" s="2" t="s">
        <v>34635</v>
      </c>
      <c r="C39" s="2">
        <v>86</v>
      </c>
      <c r="D39" s="2">
        <v>341</v>
      </c>
      <c r="E39" s="2">
        <v>225</v>
      </c>
      <c r="F39" s="2">
        <v>32441</v>
      </c>
      <c r="G39" s="2">
        <v>36.362671880000001</v>
      </c>
      <c r="H39" s="3">
        <v>1.01E-98</v>
      </c>
      <c r="I39" s="3" t="s">
        <v>34636</v>
      </c>
      <c r="J39" s="3" t="s">
        <v>34637</v>
      </c>
      <c r="K39" s="3">
        <v>1.72E-96</v>
      </c>
      <c r="L39" s="2" t="s">
        <v>35</v>
      </c>
      <c r="M39" s="4" t="s">
        <v>34638</v>
      </c>
    </row>
    <row r="40" spans="1:13">
      <c r="A40" s="2">
        <v>1667</v>
      </c>
      <c r="B40" s="2" t="s">
        <v>24505</v>
      </c>
      <c r="C40" s="2">
        <v>110</v>
      </c>
      <c r="D40" s="2">
        <v>341</v>
      </c>
      <c r="E40" s="2">
        <v>633</v>
      </c>
      <c r="F40" s="2">
        <v>32441</v>
      </c>
      <c r="G40" s="2">
        <v>16.53213066</v>
      </c>
      <c r="H40" s="3">
        <v>2.0599999999999998E-95</v>
      </c>
      <c r="I40" s="3" t="s">
        <v>34639</v>
      </c>
      <c r="J40" s="3" t="s">
        <v>34640</v>
      </c>
      <c r="K40" s="3">
        <v>3.37E-93</v>
      </c>
      <c r="L40" s="2" t="s">
        <v>35</v>
      </c>
      <c r="M40" s="4" t="s">
        <v>24508</v>
      </c>
    </row>
    <row r="41" spans="1:13">
      <c r="A41" s="2">
        <v>4697</v>
      </c>
      <c r="B41" s="2" t="s">
        <v>34641</v>
      </c>
      <c r="C41" s="2">
        <v>74</v>
      </c>
      <c r="D41" s="2">
        <v>341</v>
      </c>
      <c r="E41" s="2">
        <v>128</v>
      </c>
      <c r="F41" s="2">
        <v>32441</v>
      </c>
      <c r="G41" s="2">
        <v>54.999862540000002</v>
      </c>
      <c r="H41" s="3">
        <v>3.4199999999999999E-95</v>
      </c>
      <c r="I41" s="3" t="s">
        <v>34642</v>
      </c>
      <c r="J41" s="3" t="s">
        <v>34643</v>
      </c>
      <c r="K41" s="3">
        <v>5.4299999999999998E-93</v>
      </c>
      <c r="L41" s="2" t="s">
        <v>35</v>
      </c>
      <c r="M41" s="4" t="s">
        <v>34644</v>
      </c>
    </row>
    <row r="42" spans="1:13">
      <c r="A42" s="2">
        <v>1477</v>
      </c>
      <c r="B42" s="2" t="s">
        <v>524</v>
      </c>
      <c r="C42" s="2">
        <v>90</v>
      </c>
      <c r="D42" s="2">
        <v>341</v>
      </c>
      <c r="E42" s="2">
        <v>310</v>
      </c>
      <c r="F42" s="2">
        <v>32441</v>
      </c>
      <c r="G42" s="2">
        <v>27.61980891</v>
      </c>
      <c r="H42" s="3">
        <v>1.7599999999999999E-94</v>
      </c>
      <c r="I42" s="3" t="s">
        <v>34645</v>
      </c>
      <c r="J42" s="3" t="s">
        <v>34646</v>
      </c>
      <c r="K42" s="3">
        <v>2.7E-92</v>
      </c>
      <c r="L42" s="2" t="s">
        <v>35</v>
      </c>
      <c r="M42" s="4" t="s">
        <v>34647</v>
      </c>
    </row>
    <row r="43" spans="1:13">
      <c r="A43" s="2">
        <v>4380</v>
      </c>
      <c r="B43" s="2" t="s">
        <v>6560</v>
      </c>
      <c r="C43" s="2">
        <v>93</v>
      </c>
      <c r="D43" s="2">
        <v>341</v>
      </c>
      <c r="E43" s="2">
        <v>374</v>
      </c>
      <c r="F43" s="2">
        <v>32441</v>
      </c>
      <c r="G43" s="2">
        <v>23.656538650000002</v>
      </c>
      <c r="H43" s="3">
        <v>2.0400000000000001E-92</v>
      </c>
      <c r="I43" s="3" t="s">
        <v>34648</v>
      </c>
      <c r="J43" s="3" t="s">
        <v>34649</v>
      </c>
      <c r="K43" s="3">
        <v>3.0399999999999998E-90</v>
      </c>
      <c r="L43" s="2" t="s">
        <v>35</v>
      </c>
      <c r="M43" s="4" t="s">
        <v>6563</v>
      </c>
    </row>
    <row r="44" spans="1:13">
      <c r="A44" s="2">
        <v>3975</v>
      </c>
      <c r="B44" s="2" t="s">
        <v>34650</v>
      </c>
      <c r="C44" s="2">
        <v>68</v>
      </c>
      <c r="D44" s="2">
        <v>341</v>
      </c>
      <c r="E44" s="2">
        <v>98</v>
      </c>
      <c r="F44" s="2">
        <v>32441</v>
      </c>
      <c r="G44" s="2">
        <v>66.0119696</v>
      </c>
      <c r="H44" s="3">
        <v>2.0600000000000001E-91</v>
      </c>
      <c r="I44" s="3" t="s">
        <v>34651</v>
      </c>
      <c r="J44" s="3" t="s">
        <v>34652</v>
      </c>
      <c r="K44" s="3">
        <v>2.9699999999999998E-89</v>
      </c>
      <c r="L44" s="2" t="s">
        <v>35</v>
      </c>
      <c r="M44" s="4" t="s">
        <v>34653</v>
      </c>
    </row>
    <row r="45" spans="1:13">
      <c r="A45" s="2">
        <v>3511</v>
      </c>
      <c r="B45" s="2" t="s">
        <v>34654</v>
      </c>
      <c r="C45" s="2">
        <v>79</v>
      </c>
      <c r="D45" s="2">
        <v>341</v>
      </c>
      <c r="E45" s="2">
        <v>202</v>
      </c>
      <c r="F45" s="2">
        <v>32441</v>
      </c>
      <c r="G45" s="2">
        <v>37.206222240000002</v>
      </c>
      <c r="H45" s="3">
        <v>4.4200000000000001E-91</v>
      </c>
      <c r="I45" s="3" t="s">
        <v>34655</v>
      </c>
      <c r="J45" s="3" t="s">
        <v>34656</v>
      </c>
      <c r="K45" s="3">
        <v>6.1899999999999999E-89</v>
      </c>
      <c r="L45" s="2" t="s">
        <v>35</v>
      </c>
      <c r="M45" s="4" t="s">
        <v>34657</v>
      </c>
    </row>
    <row r="46" spans="1:13">
      <c r="A46" s="2">
        <v>1732</v>
      </c>
      <c r="B46" s="2" t="s">
        <v>34658</v>
      </c>
      <c r="C46" s="2">
        <v>89</v>
      </c>
      <c r="D46" s="2">
        <v>341</v>
      </c>
      <c r="E46" s="2">
        <v>329</v>
      </c>
      <c r="F46" s="2">
        <v>32441</v>
      </c>
      <c r="G46" s="2">
        <v>25.73558014</v>
      </c>
      <c r="H46" s="3">
        <v>4.65E-91</v>
      </c>
      <c r="I46" s="3" t="s">
        <v>34659</v>
      </c>
      <c r="J46" s="3" t="s">
        <v>34660</v>
      </c>
      <c r="K46" s="3">
        <v>6.3299999999999997E-89</v>
      </c>
      <c r="L46" s="2" t="s">
        <v>35</v>
      </c>
      <c r="M46" s="4" t="s">
        <v>34661</v>
      </c>
    </row>
    <row r="47" spans="1:13">
      <c r="A47" s="2">
        <v>4447</v>
      </c>
      <c r="B47" s="2" t="s">
        <v>24451</v>
      </c>
      <c r="C47" s="2">
        <v>119</v>
      </c>
      <c r="D47" s="2">
        <v>341</v>
      </c>
      <c r="E47" s="2">
        <v>918</v>
      </c>
      <c r="F47" s="2">
        <v>32441</v>
      </c>
      <c r="G47" s="2">
        <v>12.332301510000001</v>
      </c>
      <c r="H47" s="3">
        <v>1.8300000000000001E-90</v>
      </c>
      <c r="I47" s="3" t="s">
        <v>34662</v>
      </c>
      <c r="J47" s="3" t="s">
        <v>34663</v>
      </c>
      <c r="K47" s="3">
        <v>2.42E-88</v>
      </c>
      <c r="L47" s="2" t="s">
        <v>35</v>
      </c>
      <c r="M47" s="4" t="s">
        <v>24454</v>
      </c>
    </row>
    <row r="48" spans="1:13">
      <c r="A48" s="2">
        <v>1742</v>
      </c>
      <c r="B48" s="2" t="s">
        <v>24676</v>
      </c>
      <c r="C48" s="2">
        <v>81</v>
      </c>
      <c r="D48" s="2">
        <v>341</v>
      </c>
      <c r="E48" s="2">
        <v>235</v>
      </c>
      <c r="F48" s="2">
        <v>32441</v>
      </c>
      <c r="G48" s="2">
        <v>32.791177390000001</v>
      </c>
      <c r="H48" s="3">
        <v>8.8999999999999998E-90</v>
      </c>
      <c r="I48" s="3" t="s">
        <v>34664</v>
      </c>
      <c r="J48" s="3" t="s">
        <v>34665</v>
      </c>
      <c r="K48" s="3">
        <v>1.1500000000000001E-87</v>
      </c>
      <c r="L48" s="2" t="s">
        <v>35</v>
      </c>
      <c r="M48" s="4" t="s">
        <v>24679</v>
      </c>
    </row>
    <row r="49" spans="1:13">
      <c r="A49" s="2">
        <v>1899</v>
      </c>
      <c r="B49" s="2" t="s">
        <v>34666</v>
      </c>
      <c r="C49" s="2">
        <v>66</v>
      </c>
      <c r="D49" s="2">
        <v>341</v>
      </c>
      <c r="E49" s="2">
        <v>97</v>
      </c>
      <c r="F49" s="2">
        <v>32441</v>
      </c>
      <c r="G49" s="2">
        <v>64.730961089999994</v>
      </c>
      <c r="H49" s="3">
        <v>2.9200000000000002E-88</v>
      </c>
      <c r="I49" s="3" t="s">
        <v>34667</v>
      </c>
      <c r="J49" s="3" t="s">
        <v>34668</v>
      </c>
      <c r="K49" s="3">
        <v>3.6500000000000001E-86</v>
      </c>
      <c r="L49" s="2" t="s">
        <v>35</v>
      </c>
      <c r="M49" s="4" t="s">
        <v>34669</v>
      </c>
    </row>
    <row r="50" spans="1:13">
      <c r="A50" s="2">
        <v>3657</v>
      </c>
      <c r="B50" s="2" t="s">
        <v>34670</v>
      </c>
      <c r="C50" s="2">
        <v>68</v>
      </c>
      <c r="D50" s="2">
        <v>341</v>
      </c>
      <c r="E50" s="2">
        <v>116</v>
      </c>
      <c r="F50" s="2">
        <v>32441</v>
      </c>
      <c r="G50" s="2">
        <v>55.76873294</v>
      </c>
      <c r="H50" s="3">
        <v>1.2199999999999999E-87</v>
      </c>
      <c r="I50" s="3" t="s">
        <v>34671</v>
      </c>
      <c r="J50" s="3" t="s">
        <v>34672</v>
      </c>
      <c r="K50" s="3">
        <v>1.4899999999999999E-85</v>
      </c>
      <c r="L50" s="2" t="s">
        <v>35</v>
      </c>
      <c r="M50" s="4" t="s">
        <v>34673</v>
      </c>
    </row>
    <row r="51" spans="1:13">
      <c r="A51" s="2">
        <v>4039</v>
      </c>
      <c r="B51" s="2" t="s">
        <v>34674</v>
      </c>
      <c r="C51" s="2">
        <v>74</v>
      </c>
      <c r="D51" s="2">
        <v>341</v>
      </c>
      <c r="E51" s="2">
        <v>178</v>
      </c>
      <c r="F51" s="2">
        <v>32441</v>
      </c>
      <c r="G51" s="2">
        <v>39.550462949999996</v>
      </c>
      <c r="H51" s="3">
        <v>8.9999999999999992E-87</v>
      </c>
      <c r="I51" s="3" t="s">
        <v>34675</v>
      </c>
      <c r="J51" s="3" t="s">
        <v>34676</v>
      </c>
      <c r="K51" s="3">
        <v>1.0700000000000001E-84</v>
      </c>
      <c r="L51" s="2" t="s">
        <v>35</v>
      </c>
      <c r="M51" s="4" t="s">
        <v>34677</v>
      </c>
    </row>
    <row r="52" spans="1:13">
      <c r="A52" s="2">
        <v>3893</v>
      </c>
      <c r="B52" s="2" t="s">
        <v>34678</v>
      </c>
      <c r="C52" s="2">
        <v>72</v>
      </c>
      <c r="D52" s="2">
        <v>341</v>
      </c>
      <c r="E52" s="2">
        <v>163</v>
      </c>
      <c r="F52" s="2">
        <v>32441</v>
      </c>
      <c r="G52" s="2">
        <v>42.022776749999998</v>
      </c>
      <c r="H52" s="3">
        <v>6.55E-86</v>
      </c>
      <c r="I52" s="3" t="s">
        <v>34679</v>
      </c>
      <c r="J52" s="3" t="s">
        <v>34680</v>
      </c>
      <c r="K52" s="3">
        <v>7.5999999999999997E-84</v>
      </c>
      <c r="L52" s="2" t="s">
        <v>35</v>
      </c>
      <c r="M52" s="4" t="s">
        <v>34681</v>
      </c>
    </row>
    <row r="53" spans="1:13">
      <c r="A53" s="2">
        <v>3492</v>
      </c>
      <c r="B53" s="2" t="s">
        <v>34682</v>
      </c>
      <c r="C53" s="2">
        <v>73</v>
      </c>
      <c r="D53" s="2">
        <v>341</v>
      </c>
      <c r="E53" s="2">
        <v>180</v>
      </c>
      <c r="F53" s="2">
        <v>32441</v>
      </c>
      <c r="G53" s="2">
        <v>38.582486150000001</v>
      </c>
      <c r="H53" s="3">
        <v>6.2500000000000002E-85</v>
      </c>
      <c r="I53" s="3" t="s">
        <v>34683</v>
      </c>
      <c r="J53" s="3" t="s">
        <v>34684</v>
      </c>
      <c r="K53" s="3">
        <v>7.0800000000000002E-83</v>
      </c>
      <c r="L53" s="2" t="s">
        <v>35</v>
      </c>
      <c r="M53" s="4" t="s">
        <v>34685</v>
      </c>
    </row>
    <row r="54" spans="1:13">
      <c r="A54" s="2">
        <v>4181</v>
      </c>
      <c r="B54" s="2" t="s">
        <v>34686</v>
      </c>
      <c r="C54" s="2">
        <v>71</v>
      </c>
      <c r="D54" s="2">
        <v>341</v>
      </c>
      <c r="E54" s="2">
        <v>162</v>
      </c>
      <c r="F54" s="2">
        <v>32441</v>
      </c>
      <c r="G54" s="2">
        <v>41.694924149999999</v>
      </c>
      <c r="H54" s="3">
        <v>1.7000000000000001E-84</v>
      </c>
      <c r="I54" s="3" t="s">
        <v>34687</v>
      </c>
      <c r="J54" s="3" t="s">
        <v>34688</v>
      </c>
      <c r="K54" s="3">
        <v>1.8800000000000001E-82</v>
      </c>
      <c r="L54" s="2" t="s">
        <v>35</v>
      </c>
      <c r="M54" s="4" t="s">
        <v>34689</v>
      </c>
    </row>
    <row r="55" spans="1:13">
      <c r="A55" s="2">
        <v>3101</v>
      </c>
      <c r="B55" s="2" t="s">
        <v>34690</v>
      </c>
      <c r="C55" s="2">
        <v>63</v>
      </c>
      <c r="D55" s="2">
        <v>341</v>
      </c>
      <c r="E55" s="2">
        <v>101</v>
      </c>
      <c r="F55" s="2">
        <v>32441</v>
      </c>
      <c r="G55" s="2">
        <v>59.341569640000003</v>
      </c>
      <c r="H55" s="3">
        <v>2.12E-82</v>
      </c>
      <c r="I55" s="3" t="s">
        <v>34691</v>
      </c>
      <c r="J55" s="3" t="s">
        <v>34692</v>
      </c>
      <c r="K55" s="3">
        <v>2.29E-80</v>
      </c>
      <c r="L55" s="2" t="s">
        <v>35</v>
      </c>
      <c r="M55" s="4" t="s">
        <v>34693</v>
      </c>
    </row>
    <row r="56" spans="1:13">
      <c r="A56" s="2">
        <v>1654</v>
      </c>
      <c r="B56" s="2" t="s">
        <v>34694</v>
      </c>
      <c r="C56" s="2">
        <v>61</v>
      </c>
      <c r="D56" s="2">
        <v>341</v>
      </c>
      <c r="E56" s="2">
        <v>87</v>
      </c>
      <c r="F56" s="2">
        <v>32441</v>
      </c>
      <c r="G56" s="2">
        <v>66.703778610000001</v>
      </c>
      <c r="H56" s="3">
        <v>4.4100000000000001E-82</v>
      </c>
      <c r="I56" s="3" t="s">
        <v>34695</v>
      </c>
      <c r="J56" s="3" t="s">
        <v>34696</v>
      </c>
      <c r="K56" s="3">
        <v>4.6699999999999998E-80</v>
      </c>
      <c r="L56" s="2" t="s">
        <v>35</v>
      </c>
      <c r="M56" s="4" t="s">
        <v>34697</v>
      </c>
    </row>
    <row r="57" spans="1:13">
      <c r="A57" s="2">
        <v>1205</v>
      </c>
      <c r="B57" s="2" t="s">
        <v>24919</v>
      </c>
      <c r="C57" s="2">
        <v>72</v>
      </c>
      <c r="D57" s="2">
        <v>341</v>
      </c>
      <c r="E57" s="2">
        <v>192</v>
      </c>
      <c r="F57" s="2">
        <v>32441</v>
      </c>
      <c r="G57" s="2">
        <v>35.675586510000002</v>
      </c>
      <c r="H57" s="3">
        <v>9.9499999999999999E-82</v>
      </c>
      <c r="I57" s="3" t="s">
        <v>34698</v>
      </c>
      <c r="J57" s="3" t="s">
        <v>34699</v>
      </c>
      <c r="K57" s="3">
        <v>1.03E-79</v>
      </c>
      <c r="L57" s="2" t="s">
        <v>35</v>
      </c>
      <c r="M57" s="4" t="s">
        <v>24922</v>
      </c>
    </row>
    <row r="58" spans="1:13">
      <c r="A58" s="2">
        <v>3826</v>
      </c>
      <c r="B58" s="2" t="s">
        <v>3882</v>
      </c>
      <c r="C58" s="2">
        <v>82</v>
      </c>
      <c r="D58" s="2">
        <v>341</v>
      </c>
      <c r="E58" s="2">
        <v>346</v>
      </c>
      <c r="F58" s="2">
        <v>32441</v>
      </c>
      <c r="G58" s="2">
        <v>22.54642076</v>
      </c>
      <c r="H58" s="3">
        <v>1.3900000000000001E-79</v>
      </c>
      <c r="I58" s="3" t="s">
        <v>34700</v>
      </c>
      <c r="J58" s="3" t="s">
        <v>34701</v>
      </c>
      <c r="K58" s="3">
        <v>1.41E-77</v>
      </c>
      <c r="L58" s="2" t="s">
        <v>35</v>
      </c>
      <c r="M58" s="4" t="s">
        <v>3885</v>
      </c>
    </row>
    <row r="59" spans="1:13">
      <c r="A59" s="2">
        <v>3922</v>
      </c>
      <c r="B59" s="2" t="s">
        <v>24433</v>
      </c>
      <c r="C59" s="2">
        <v>69</v>
      </c>
      <c r="D59" s="2">
        <v>341</v>
      </c>
      <c r="E59" s="2">
        <v>185</v>
      </c>
      <c r="F59" s="2">
        <v>32441</v>
      </c>
      <c r="G59" s="2">
        <v>35.4827455</v>
      </c>
      <c r="H59" s="3">
        <v>4.0600000000000001E-78</v>
      </c>
      <c r="I59" s="3" t="s">
        <v>34702</v>
      </c>
      <c r="J59" s="3" t="s">
        <v>34703</v>
      </c>
      <c r="K59" s="3">
        <v>4.0299999999999999E-76</v>
      </c>
      <c r="L59" s="2" t="s">
        <v>35</v>
      </c>
      <c r="M59" s="4" t="s">
        <v>24436</v>
      </c>
    </row>
    <row r="60" spans="1:13">
      <c r="A60" s="2">
        <v>3905</v>
      </c>
      <c r="B60" s="2" t="s">
        <v>34704</v>
      </c>
      <c r="C60" s="2">
        <v>61</v>
      </c>
      <c r="D60" s="2">
        <v>341</v>
      </c>
      <c r="E60" s="2">
        <v>107</v>
      </c>
      <c r="F60" s="2">
        <v>32441</v>
      </c>
      <c r="G60" s="2">
        <v>54.235782610000001</v>
      </c>
      <c r="H60" s="3">
        <v>6.33E-78</v>
      </c>
      <c r="I60" s="3" t="s">
        <v>34705</v>
      </c>
      <c r="J60" s="3" t="s">
        <v>34706</v>
      </c>
      <c r="K60" s="3">
        <v>6.1500000000000003E-76</v>
      </c>
      <c r="L60" s="2" t="s">
        <v>35</v>
      </c>
      <c r="M60" s="4" t="s">
        <v>34707</v>
      </c>
    </row>
    <row r="61" spans="1:13">
      <c r="A61" s="2">
        <v>4696</v>
      </c>
      <c r="B61" s="2" t="s">
        <v>34708</v>
      </c>
      <c r="C61" s="2">
        <v>58</v>
      </c>
      <c r="D61" s="2">
        <v>341</v>
      </c>
      <c r="E61" s="2">
        <v>85</v>
      </c>
      <c r="F61" s="2">
        <v>32441</v>
      </c>
      <c r="G61" s="2">
        <v>64.915577020000001</v>
      </c>
      <c r="H61" s="3">
        <v>1.6999999999999999E-77</v>
      </c>
      <c r="I61" s="3" t="s">
        <v>34709</v>
      </c>
      <c r="J61" s="3" t="s">
        <v>34710</v>
      </c>
      <c r="K61" s="3">
        <v>1.62E-75</v>
      </c>
      <c r="L61" s="2" t="s">
        <v>35</v>
      </c>
      <c r="M61" s="4" t="s">
        <v>34711</v>
      </c>
    </row>
    <row r="62" spans="1:13">
      <c r="A62" s="2">
        <v>2434</v>
      </c>
      <c r="B62" s="2" t="s">
        <v>34712</v>
      </c>
      <c r="C62" s="2">
        <v>65</v>
      </c>
      <c r="D62" s="2">
        <v>341</v>
      </c>
      <c r="E62" s="2">
        <v>147</v>
      </c>
      <c r="F62" s="2">
        <v>32441</v>
      </c>
      <c r="G62" s="2">
        <v>42.066451209999997</v>
      </c>
      <c r="H62" s="3">
        <v>1.97E-77</v>
      </c>
      <c r="I62" s="3" t="s">
        <v>34713</v>
      </c>
      <c r="J62" s="3" t="s">
        <v>34714</v>
      </c>
      <c r="K62" s="3">
        <v>1.84E-75</v>
      </c>
      <c r="L62" s="2" t="s">
        <v>35</v>
      </c>
      <c r="M62" s="4" t="s">
        <v>34715</v>
      </c>
    </row>
    <row r="63" spans="1:13">
      <c r="A63" s="2">
        <v>3925</v>
      </c>
      <c r="B63" s="2" t="s">
        <v>25464</v>
      </c>
      <c r="C63" s="2">
        <v>58</v>
      </c>
      <c r="D63" s="2">
        <v>341</v>
      </c>
      <c r="E63" s="2">
        <v>89</v>
      </c>
      <c r="F63" s="2">
        <v>32441</v>
      </c>
      <c r="G63" s="2">
        <v>61.998023000000003</v>
      </c>
      <c r="H63" s="3">
        <v>1.2499999999999999E-76</v>
      </c>
      <c r="I63" s="3" t="s">
        <v>34716</v>
      </c>
      <c r="J63" s="3" t="s">
        <v>34717</v>
      </c>
      <c r="K63" s="3">
        <v>1.1499999999999999E-74</v>
      </c>
      <c r="L63" s="2" t="s">
        <v>35</v>
      </c>
      <c r="M63" s="4" t="s">
        <v>25467</v>
      </c>
    </row>
    <row r="64" spans="1:13">
      <c r="A64" s="2">
        <v>3566</v>
      </c>
      <c r="B64" s="2" t="s">
        <v>24489</v>
      </c>
      <c r="C64" s="2">
        <v>73</v>
      </c>
      <c r="D64" s="2">
        <v>341</v>
      </c>
      <c r="E64" s="2">
        <v>249</v>
      </c>
      <c r="F64" s="2">
        <v>32441</v>
      </c>
      <c r="G64" s="2">
        <v>27.890953840000002</v>
      </c>
      <c r="H64" s="3">
        <v>2.34E-76</v>
      </c>
      <c r="I64" s="3" t="s">
        <v>34718</v>
      </c>
      <c r="J64" s="3" t="s">
        <v>34719</v>
      </c>
      <c r="K64" s="3">
        <v>2.1E-74</v>
      </c>
      <c r="L64" s="2" t="s">
        <v>35</v>
      </c>
      <c r="M64" s="4" t="s">
        <v>24492</v>
      </c>
    </row>
    <row r="65" spans="1:13">
      <c r="A65" s="2">
        <v>1434</v>
      </c>
      <c r="B65" s="2" t="s">
        <v>34720</v>
      </c>
      <c r="C65" s="2">
        <v>96</v>
      </c>
      <c r="D65" s="2">
        <v>341</v>
      </c>
      <c r="E65" s="2">
        <v>663</v>
      </c>
      <c r="F65" s="2">
        <v>32441</v>
      </c>
      <c r="G65" s="2">
        <v>13.775188760000001</v>
      </c>
      <c r="H65" s="3">
        <v>7.55E-76</v>
      </c>
      <c r="I65" s="3" t="s">
        <v>34721</v>
      </c>
      <c r="J65" s="3" t="s">
        <v>34722</v>
      </c>
      <c r="K65" s="3">
        <v>6.6599999999999997E-74</v>
      </c>
      <c r="L65" s="2" t="s">
        <v>35</v>
      </c>
      <c r="M65" s="4" t="s">
        <v>34723</v>
      </c>
    </row>
    <row r="66" spans="1:13">
      <c r="A66" s="2">
        <v>2670</v>
      </c>
      <c r="B66" s="2" t="s">
        <v>25613</v>
      </c>
      <c r="C66" s="2">
        <v>75</v>
      </c>
      <c r="D66" s="2">
        <v>341</v>
      </c>
      <c r="E66" s="2">
        <v>289</v>
      </c>
      <c r="F66" s="2">
        <v>32441</v>
      </c>
      <c r="G66" s="2">
        <v>24.6889872</v>
      </c>
      <c r="H66" s="3">
        <v>4.0400000000000001E-75</v>
      </c>
      <c r="I66" s="3" t="s">
        <v>34724</v>
      </c>
      <c r="J66" s="3" t="s">
        <v>34725</v>
      </c>
      <c r="K66" s="3">
        <v>3.4899999999999999E-73</v>
      </c>
      <c r="L66" s="2" t="s">
        <v>35</v>
      </c>
      <c r="M66" s="4" t="s">
        <v>25616</v>
      </c>
    </row>
    <row r="67" spans="1:13">
      <c r="A67" s="2">
        <v>1369</v>
      </c>
      <c r="B67" s="2" t="s">
        <v>4469</v>
      </c>
      <c r="C67" s="2">
        <v>75</v>
      </c>
      <c r="D67" s="2">
        <v>341</v>
      </c>
      <c r="E67" s="2">
        <v>294</v>
      </c>
      <c r="F67" s="2">
        <v>32441</v>
      </c>
      <c r="G67" s="2">
        <v>24.269106470000001</v>
      </c>
      <c r="H67" s="3">
        <v>1.2200000000000001E-74</v>
      </c>
      <c r="I67" s="3" t="s">
        <v>34726</v>
      </c>
      <c r="J67" s="3" t="s">
        <v>34727</v>
      </c>
      <c r="K67" s="3">
        <v>1.03E-72</v>
      </c>
      <c r="L67" s="2" t="s">
        <v>35</v>
      </c>
      <c r="M67" s="4" t="s">
        <v>4472</v>
      </c>
    </row>
    <row r="68" spans="1:13">
      <c r="A68" s="2">
        <v>2263</v>
      </c>
      <c r="B68" s="2" t="s">
        <v>24596</v>
      </c>
      <c r="C68" s="2">
        <v>65</v>
      </c>
      <c r="D68" s="2">
        <v>341</v>
      </c>
      <c r="E68" s="2">
        <v>168</v>
      </c>
      <c r="F68" s="2">
        <v>32441</v>
      </c>
      <c r="G68" s="2">
        <v>36.808144810000002</v>
      </c>
      <c r="H68" s="3">
        <v>2.3100000000000002E-74</v>
      </c>
      <c r="I68" s="3" t="s">
        <v>34728</v>
      </c>
      <c r="J68" s="3" t="s">
        <v>34729</v>
      </c>
      <c r="K68" s="3">
        <v>1.9300000000000001E-72</v>
      </c>
      <c r="L68" s="2" t="s">
        <v>35</v>
      </c>
      <c r="M68" s="4" t="s">
        <v>24599</v>
      </c>
    </row>
    <row r="69" spans="1:13">
      <c r="A69" s="2">
        <v>1729</v>
      </c>
      <c r="B69" s="2" t="s">
        <v>5115</v>
      </c>
      <c r="C69" s="2">
        <v>80</v>
      </c>
      <c r="D69" s="2">
        <v>341</v>
      </c>
      <c r="E69" s="2">
        <v>378</v>
      </c>
      <c r="F69" s="2">
        <v>32441</v>
      </c>
      <c r="G69" s="2">
        <v>20.134369809999999</v>
      </c>
      <c r="H69" s="3">
        <v>3.5699999999999999E-74</v>
      </c>
      <c r="I69" s="3" t="s">
        <v>34730</v>
      </c>
      <c r="J69" s="3" t="s">
        <v>34731</v>
      </c>
      <c r="K69" s="3">
        <v>2.9299999999999998E-72</v>
      </c>
      <c r="L69" s="2" t="s">
        <v>35</v>
      </c>
      <c r="M69" s="4" t="s">
        <v>5118</v>
      </c>
    </row>
    <row r="70" spans="1:13">
      <c r="A70" s="2">
        <v>4218</v>
      </c>
      <c r="B70" s="2" t="s">
        <v>205</v>
      </c>
      <c r="C70" s="2">
        <v>77</v>
      </c>
      <c r="D70" s="2">
        <v>341</v>
      </c>
      <c r="E70" s="2">
        <v>335</v>
      </c>
      <c r="F70" s="2">
        <v>32441</v>
      </c>
      <c r="G70" s="2">
        <v>21.866827149999999</v>
      </c>
      <c r="H70" s="3">
        <v>1.09E-73</v>
      </c>
      <c r="I70" s="3" t="s">
        <v>34732</v>
      </c>
      <c r="J70" s="3" t="s">
        <v>34733</v>
      </c>
      <c r="K70" s="3">
        <v>8.7700000000000003E-72</v>
      </c>
      <c r="L70" s="2" t="s">
        <v>35</v>
      </c>
      <c r="M70" s="4" t="s">
        <v>34734</v>
      </c>
    </row>
    <row r="71" spans="1:13">
      <c r="A71" s="2">
        <v>2092</v>
      </c>
      <c r="B71" s="2" t="s">
        <v>24532</v>
      </c>
      <c r="C71" s="2">
        <v>97</v>
      </c>
      <c r="D71" s="2">
        <v>341</v>
      </c>
      <c r="E71" s="2">
        <v>747</v>
      </c>
      <c r="F71" s="2">
        <v>32441</v>
      </c>
      <c r="G71" s="2">
        <v>12.3535275</v>
      </c>
      <c r="H71" s="3">
        <v>1.2100000000000001E-72</v>
      </c>
      <c r="I71" s="3" t="s">
        <v>34735</v>
      </c>
      <c r="J71" s="3" t="s">
        <v>34736</v>
      </c>
      <c r="K71" s="3">
        <v>9.6199999999999994E-71</v>
      </c>
      <c r="L71" s="2" t="s">
        <v>35</v>
      </c>
      <c r="M71" s="4" t="s">
        <v>24535</v>
      </c>
    </row>
    <row r="72" spans="1:13">
      <c r="A72" s="2">
        <v>4504</v>
      </c>
      <c r="B72" s="2" t="s">
        <v>24516</v>
      </c>
      <c r="C72" s="2">
        <v>102</v>
      </c>
      <c r="D72" s="2">
        <v>341</v>
      </c>
      <c r="E72" s="2">
        <v>882</v>
      </c>
      <c r="F72" s="2">
        <v>32441</v>
      </c>
      <c r="G72" s="2">
        <v>11.00199493</v>
      </c>
      <c r="H72" s="3">
        <v>4.0700000000000002E-72</v>
      </c>
      <c r="I72" s="3" t="s">
        <v>34737</v>
      </c>
      <c r="J72" s="3" t="s">
        <v>34738</v>
      </c>
      <c r="K72" s="3">
        <v>3.1800000000000002E-70</v>
      </c>
      <c r="L72" s="2" t="s">
        <v>35</v>
      </c>
      <c r="M72" s="4" t="s">
        <v>24519</v>
      </c>
    </row>
    <row r="73" spans="1:13">
      <c r="A73" s="2">
        <v>2316</v>
      </c>
      <c r="B73" s="2" t="s">
        <v>25748</v>
      </c>
      <c r="C73" s="2">
        <v>63</v>
      </c>
      <c r="D73" s="2">
        <v>341</v>
      </c>
      <c r="E73" s="2">
        <v>167</v>
      </c>
      <c r="F73" s="2">
        <v>32441</v>
      </c>
      <c r="G73" s="2">
        <v>35.889212780000001</v>
      </c>
      <c r="H73" s="3">
        <v>1.8000000000000001E-71</v>
      </c>
      <c r="I73" s="3" t="s">
        <v>34739</v>
      </c>
      <c r="J73" s="3" t="s">
        <v>34740</v>
      </c>
      <c r="K73" s="3">
        <v>1.3799999999999999E-69</v>
      </c>
      <c r="L73" s="2" t="s">
        <v>35</v>
      </c>
      <c r="M73" s="4" t="s">
        <v>25751</v>
      </c>
    </row>
    <row r="74" spans="1:13">
      <c r="A74" s="2">
        <v>1589</v>
      </c>
      <c r="B74" s="2" t="s">
        <v>34741</v>
      </c>
      <c r="C74" s="2">
        <v>60</v>
      </c>
      <c r="D74" s="2">
        <v>341</v>
      </c>
      <c r="E74" s="2">
        <v>139</v>
      </c>
      <c r="F74" s="2">
        <v>32441</v>
      </c>
      <c r="G74" s="2">
        <v>41.065423320000001</v>
      </c>
      <c r="H74" s="3">
        <v>6.7899999999999998E-71</v>
      </c>
      <c r="I74" s="3" t="s">
        <v>34742</v>
      </c>
      <c r="J74" s="3" t="s">
        <v>34743</v>
      </c>
      <c r="K74" s="3">
        <v>5.1299999999999999E-69</v>
      </c>
      <c r="L74" s="2" t="s">
        <v>35</v>
      </c>
      <c r="M74" s="4" t="s">
        <v>34744</v>
      </c>
    </row>
    <row r="75" spans="1:13">
      <c r="A75" s="2">
        <v>3614</v>
      </c>
      <c r="B75" s="2" t="s">
        <v>2825</v>
      </c>
      <c r="C75" s="2">
        <v>82</v>
      </c>
      <c r="D75" s="2">
        <v>341</v>
      </c>
      <c r="E75" s="2">
        <v>463</v>
      </c>
      <c r="F75" s="2">
        <v>32441</v>
      </c>
      <c r="G75" s="2">
        <v>16.848945100000002</v>
      </c>
      <c r="H75" s="3">
        <v>1.4499999999999999E-70</v>
      </c>
      <c r="I75" s="3" t="s">
        <v>34745</v>
      </c>
      <c r="J75" s="3" t="s">
        <v>34746</v>
      </c>
      <c r="K75" s="3">
        <v>1.0799999999999999E-68</v>
      </c>
      <c r="L75" s="2" t="s">
        <v>35</v>
      </c>
      <c r="M75" s="4" t="s">
        <v>2828</v>
      </c>
    </row>
    <row r="76" spans="1:13">
      <c r="A76" s="2">
        <v>2468</v>
      </c>
      <c r="B76" s="2" t="s">
        <v>24554</v>
      </c>
      <c r="C76" s="2">
        <v>101</v>
      </c>
      <c r="D76" s="2">
        <v>341</v>
      </c>
      <c r="E76" s="2">
        <v>893</v>
      </c>
      <c r="F76" s="2">
        <v>32441</v>
      </c>
      <c r="G76" s="2">
        <v>10.759938</v>
      </c>
      <c r="H76" s="3">
        <v>1.6899999999999999E-70</v>
      </c>
      <c r="I76" s="3" t="s">
        <v>34747</v>
      </c>
      <c r="J76" s="3" t="s">
        <v>34748</v>
      </c>
      <c r="K76" s="3">
        <v>1.24E-68</v>
      </c>
      <c r="L76" s="2" t="s">
        <v>35</v>
      </c>
      <c r="M76" s="4" t="s">
        <v>24557</v>
      </c>
    </row>
    <row r="77" spans="1:13">
      <c r="A77" s="2">
        <v>3861</v>
      </c>
      <c r="B77" s="2" t="s">
        <v>34749</v>
      </c>
      <c r="C77" s="2">
        <v>60</v>
      </c>
      <c r="D77" s="2">
        <v>341</v>
      </c>
      <c r="E77" s="2">
        <v>142</v>
      </c>
      <c r="F77" s="2">
        <v>32441</v>
      </c>
      <c r="G77" s="2">
        <v>40.19784396</v>
      </c>
      <c r="H77" s="3">
        <v>1.9200000000000001E-70</v>
      </c>
      <c r="I77" s="3" t="s">
        <v>34750</v>
      </c>
      <c r="J77" s="3" t="s">
        <v>34751</v>
      </c>
      <c r="K77" s="3">
        <v>1.3799999999999999E-68</v>
      </c>
      <c r="L77" s="2" t="s">
        <v>35</v>
      </c>
      <c r="M77" s="4" t="s">
        <v>34752</v>
      </c>
    </row>
    <row r="78" spans="1:13">
      <c r="A78" s="2">
        <v>3074</v>
      </c>
      <c r="B78" s="2" t="s">
        <v>34753</v>
      </c>
      <c r="C78" s="2">
        <v>49</v>
      </c>
      <c r="D78" s="2">
        <v>341</v>
      </c>
      <c r="E78" s="2">
        <v>54</v>
      </c>
      <c r="F78" s="2">
        <v>32441</v>
      </c>
      <c r="G78" s="2">
        <v>86.326110569999997</v>
      </c>
      <c r="H78" s="3">
        <v>8.36E-70</v>
      </c>
      <c r="I78" s="3" t="s">
        <v>34754</v>
      </c>
      <c r="J78" s="3" t="s">
        <v>34755</v>
      </c>
      <c r="K78" s="3">
        <v>5.9399999999999999E-68</v>
      </c>
      <c r="L78" s="2" t="s">
        <v>35</v>
      </c>
      <c r="M78" s="4" t="s">
        <v>34756</v>
      </c>
    </row>
    <row r="79" spans="1:13">
      <c r="A79" s="2">
        <v>3979</v>
      </c>
      <c r="B79" s="2" t="s">
        <v>34757</v>
      </c>
      <c r="C79" s="2">
        <v>51</v>
      </c>
      <c r="D79" s="2">
        <v>341</v>
      </c>
      <c r="E79" s="2">
        <v>72</v>
      </c>
      <c r="F79" s="2">
        <v>32441</v>
      </c>
      <c r="G79" s="2">
        <v>67.387218959999998</v>
      </c>
      <c r="H79" s="3">
        <v>1.0299999999999999E-68</v>
      </c>
      <c r="I79" s="3" t="s">
        <v>34758</v>
      </c>
      <c r="J79" s="3" t="s">
        <v>34759</v>
      </c>
      <c r="K79" s="3">
        <v>7.2200000000000006E-67</v>
      </c>
      <c r="L79" s="2" t="s">
        <v>35</v>
      </c>
      <c r="M79" s="4" t="s">
        <v>34760</v>
      </c>
    </row>
    <row r="80" spans="1:13">
      <c r="A80" s="2">
        <v>1081</v>
      </c>
      <c r="B80" s="2" t="s">
        <v>24955</v>
      </c>
      <c r="C80" s="2">
        <v>61</v>
      </c>
      <c r="D80" s="2">
        <v>341</v>
      </c>
      <c r="E80" s="2">
        <v>172</v>
      </c>
      <c r="F80" s="2">
        <v>32441</v>
      </c>
      <c r="G80" s="2">
        <v>33.739701969999999</v>
      </c>
      <c r="H80" s="3">
        <v>8.0300000000000002E-68</v>
      </c>
      <c r="I80" s="3" t="s">
        <v>34761</v>
      </c>
      <c r="J80" s="3" t="s">
        <v>34762</v>
      </c>
      <c r="K80" s="3">
        <v>5.5399999999999997E-66</v>
      </c>
      <c r="L80" s="2" t="s">
        <v>35</v>
      </c>
      <c r="M80" s="4" t="s">
        <v>24958</v>
      </c>
    </row>
    <row r="81" spans="1:13">
      <c r="A81" s="2">
        <v>3625</v>
      </c>
      <c r="B81" s="2" t="s">
        <v>34763</v>
      </c>
      <c r="C81" s="2">
        <v>67</v>
      </c>
      <c r="D81" s="2">
        <v>341</v>
      </c>
      <c r="E81" s="2">
        <v>250</v>
      </c>
      <c r="F81" s="2">
        <v>32441</v>
      </c>
      <c r="G81" s="2">
        <v>25.49615249</v>
      </c>
      <c r="H81" s="3">
        <v>9.9300000000000008E-68</v>
      </c>
      <c r="I81" s="3" t="s">
        <v>34764</v>
      </c>
      <c r="J81" s="3" t="s">
        <v>34765</v>
      </c>
      <c r="K81" s="3">
        <v>6.7499999999999996E-66</v>
      </c>
      <c r="L81" s="2" t="s">
        <v>35</v>
      </c>
      <c r="M81" s="4" t="s">
        <v>34766</v>
      </c>
    </row>
    <row r="82" spans="1:13">
      <c r="A82" s="2">
        <v>4158</v>
      </c>
      <c r="B82" s="2" t="s">
        <v>34767</v>
      </c>
      <c r="C82" s="2">
        <v>66</v>
      </c>
      <c r="D82" s="2">
        <v>341</v>
      </c>
      <c r="E82" s="2">
        <v>277</v>
      </c>
      <c r="F82" s="2">
        <v>32441</v>
      </c>
      <c r="G82" s="2">
        <v>22.667520669999998</v>
      </c>
      <c r="H82" s="3">
        <v>8.2099999999999998E-64</v>
      </c>
      <c r="I82" s="3" t="s">
        <v>34768</v>
      </c>
      <c r="J82" s="3" t="s">
        <v>34769</v>
      </c>
      <c r="K82" s="3">
        <v>5.5099999999999997E-62</v>
      </c>
      <c r="L82" s="2" t="s">
        <v>35</v>
      </c>
      <c r="M82" s="4" t="s">
        <v>34770</v>
      </c>
    </row>
    <row r="83" spans="1:13">
      <c r="A83" s="2">
        <v>1803</v>
      </c>
      <c r="B83" s="2" t="s">
        <v>34771</v>
      </c>
      <c r="C83" s="2">
        <v>53</v>
      </c>
      <c r="D83" s="2">
        <v>341</v>
      </c>
      <c r="E83" s="2">
        <v>122</v>
      </c>
      <c r="F83" s="2">
        <v>32441</v>
      </c>
      <c r="G83" s="2">
        <v>41.329094759999997</v>
      </c>
      <c r="H83" s="3">
        <v>1.09E-62</v>
      </c>
      <c r="I83" s="3" t="s">
        <v>34772</v>
      </c>
      <c r="J83" s="3" t="s">
        <v>34773</v>
      </c>
      <c r="K83" s="3">
        <v>7.2199999999999996E-61</v>
      </c>
      <c r="L83" s="2" t="s">
        <v>35</v>
      </c>
      <c r="M83" s="4" t="s">
        <v>34774</v>
      </c>
    </row>
    <row r="84" spans="1:13">
      <c r="A84" s="2">
        <v>1383</v>
      </c>
      <c r="B84" s="2" t="s">
        <v>34775</v>
      </c>
      <c r="C84" s="2">
        <v>55</v>
      </c>
      <c r="D84" s="2">
        <v>341</v>
      </c>
      <c r="E84" s="2">
        <v>146</v>
      </c>
      <c r="F84" s="2">
        <v>32441</v>
      </c>
      <c r="G84" s="2">
        <v>35.838488730000002</v>
      </c>
      <c r="H84" s="3">
        <v>2.7500000000000001E-62</v>
      </c>
      <c r="I84" s="3" t="s">
        <v>34776</v>
      </c>
      <c r="J84" s="3" t="s">
        <v>34777</v>
      </c>
      <c r="K84" s="3">
        <v>1.7900000000000001E-60</v>
      </c>
      <c r="L84" s="2" t="s">
        <v>35</v>
      </c>
      <c r="M84" s="4" t="s">
        <v>34778</v>
      </c>
    </row>
    <row r="85" spans="1:13">
      <c r="A85" s="2">
        <v>2808</v>
      </c>
      <c r="B85" s="2" t="s">
        <v>25209</v>
      </c>
      <c r="C85" s="2">
        <v>56</v>
      </c>
      <c r="D85" s="2">
        <v>341</v>
      </c>
      <c r="E85" s="2">
        <v>163</v>
      </c>
      <c r="F85" s="2">
        <v>32441</v>
      </c>
      <c r="G85" s="2">
        <v>32.68438192</v>
      </c>
      <c r="H85" s="3">
        <v>1.43E-61</v>
      </c>
      <c r="I85" s="3" t="s">
        <v>34779</v>
      </c>
      <c r="J85" s="3" t="s">
        <v>34780</v>
      </c>
      <c r="K85" s="3">
        <v>9.1800000000000001E-60</v>
      </c>
      <c r="L85" s="2" t="s">
        <v>35</v>
      </c>
      <c r="M85" s="4" t="s">
        <v>25212</v>
      </c>
    </row>
    <row r="86" spans="1:13">
      <c r="A86" s="2">
        <v>2693</v>
      </c>
      <c r="B86" s="2" t="s">
        <v>34781</v>
      </c>
      <c r="C86" s="2">
        <v>50</v>
      </c>
      <c r="D86" s="2">
        <v>341</v>
      </c>
      <c r="E86" s="2">
        <v>108</v>
      </c>
      <c r="F86" s="2">
        <v>32441</v>
      </c>
      <c r="G86" s="2">
        <v>44.043933959999997</v>
      </c>
      <c r="H86" s="3">
        <v>3.0300000000000002E-60</v>
      </c>
      <c r="I86" s="3" t="s">
        <v>34782</v>
      </c>
      <c r="J86" s="3" t="s">
        <v>34783</v>
      </c>
      <c r="K86" s="3">
        <v>1.9300000000000001E-58</v>
      </c>
      <c r="L86" s="2" t="s">
        <v>35</v>
      </c>
      <c r="M86" s="4" t="s">
        <v>34784</v>
      </c>
    </row>
    <row r="87" spans="1:13">
      <c r="A87" s="2">
        <v>2497</v>
      </c>
      <c r="B87" s="2" t="s">
        <v>34785</v>
      </c>
      <c r="C87" s="2">
        <v>48</v>
      </c>
      <c r="D87" s="2">
        <v>341</v>
      </c>
      <c r="E87" s="2">
        <v>90</v>
      </c>
      <c r="F87" s="2">
        <v>32441</v>
      </c>
      <c r="G87" s="2">
        <v>50.738611929999998</v>
      </c>
      <c r="H87" s="3">
        <v>3.6100000000000002E-60</v>
      </c>
      <c r="I87" s="2" t="s">
        <v>34786</v>
      </c>
      <c r="J87" s="2" t="s">
        <v>34787</v>
      </c>
      <c r="K87" s="3">
        <v>2.2600000000000001E-58</v>
      </c>
      <c r="L87" s="2" t="s">
        <v>35</v>
      </c>
      <c r="M87" s="4" t="s">
        <v>34788</v>
      </c>
    </row>
    <row r="88" spans="1:13">
      <c r="A88" s="2">
        <v>1669</v>
      </c>
      <c r="B88" s="2" t="s">
        <v>24437</v>
      </c>
      <c r="C88" s="2">
        <v>85</v>
      </c>
      <c r="D88" s="2">
        <v>341</v>
      </c>
      <c r="E88" s="2">
        <v>722</v>
      </c>
      <c r="F88" s="2">
        <v>32441</v>
      </c>
      <c r="G88" s="2">
        <v>11.20009179</v>
      </c>
      <c r="H88" s="3">
        <v>5.0800000000000005E-60</v>
      </c>
      <c r="I88" s="3" t="s">
        <v>34789</v>
      </c>
      <c r="J88" s="3" t="s">
        <v>34790</v>
      </c>
      <c r="K88" s="3">
        <v>3.14E-58</v>
      </c>
      <c r="L88" s="2" t="s">
        <v>35</v>
      </c>
      <c r="M88" s="4" t="s">
        <v>24440</v>
      </c>
    </row>
    <row r="89" spans="1:13">
      <c r="A89" s="2">
        <v>1608</v>
      </c>
      <c r="B89" s="2" t="s">
        <v>25643</v>
      </c>
      <c r="C89" s="2">
        <v>77</v>
      </c>
      <c r="D89" s="2">
        <v>341</v>
      </c>
      <c r="E89" s="2">
        <v>557</v>
      </c>
      <c r="F89" s="2">
        <v>32441</v>
      </c>
      <c r="G89" s="2">
        <v>13.15150287</v>
      </c>
      <c r="H89" s="3">
        <v>7.4700000000000002E-59</v>
      </c>
      <c r="I89" s="3" t="s">
        <v>34791</v>
      </c>
      <c r="J89" s="3" t="s">
        <v>34792</v>
      </c>
      <c r="K89" s="3">
        <v>4.5600000000000003E-57</v>
      </c>
      <c r="L89" s="2" t="s">
        <v>35</v>
      </c>
      <c r="M89" s="4" t="s">
        <v>25646</v>
      </c>
    </row>
    <row r="90" spans="1:13">
      <c r="A90" s="2">
        <v>2268</v>
      </c>
      <c r="B90" s="2" t="s">
        <v>24907</v>
      </c>
      <c r="C90" s="2">
        <v>50</v>
      </c>
      <c r="D90" s="2">
        <v>341</v>
      </c>
      <c r="E90" s="2">
        <v>117</v>
      </c>
      <c r="F90" s="2">
        <v>32441</v>
      </c>
      <c r="G90" s="2">
        <v>40.65593904</v>
      </c>
      <c r="H90" s="3">
        <v>7.5900000000000002E-59</v>
      </c>
      <c r="I90" s="2" t="s">
        <v>34793</v>
      </c>
      <c r="J90" s="2" t="s">
        <v>34794</v>
      </c>
      <c r="K90" s="3">
        <v>4.5799999999999999E-57</v>
      </c>
      <c r="L90" s="2" t="s">
        <v>35</v>
      </c>
      <c r="M90" s="4" t="s">
        <v>24910</v>
      </c>
    </row>
    <row r="91" spans="1:13">
      <c r="A91" s="2">
        <v>4377</v>
      </c>
      <c r="B91" s="2" t="s">
        <v>34795</v>
      </c>
      <c r="C91" s="2">
        <v>60</v>
      </c>
      <c r="D91" s="2">
        <v>341</v>
      </c>
      <c r="E91" s="2">
        <v>243</v>
      </c>
      <c r="F91" s="2">
        <v>32441</v>
      </c>
      <c r="G91" s="2">
        <v>23.490098110000002</v>
      </c>
      <c r="H91" s="3">
        <v>9.9799999999999997E-59</v>
      </c>
      <c r="I91" s="3" t="s">
        <v>34796</v>
      </c>
      <c r="J91" s="3" t="s">
        <v>34797</v>
      </c>
      <c r="K91" s="3">
        <v>5.9399999999999995E-57</v>
      </c>
      <c r="L91" s="2" t="s">
        <v>35</v>
      </c>
      <c r="M91" s="4" t="s">
        <v>34798</v>
      </c>
    </row>
    <row r="92" spans="1:13">
      <c r="A92" s="2">
        <v>4733</v>
      </c>
      <c r="B92" s="2" t="s">
        <v>34799</v>
      </c>
      <c r="C92" s="2">
        <v>55</v>
      </c>
      <c r="D92" s="2">
        <v>341</v>
      </c>
      <c r="E92" s="2">
        <v>194</v>
      </c>
      <c r="F92" s="2">
        <v>32441</v>
      </c>
      <c r="G92" s="2">
        <v>26.971233789999999</v>
      </c>
      <c r="H92" s="3">
        <v>1.3100000000000001E-56</v>
      </c>
      <c r="I92" s="3" t="s">
        <v>34800</v>
      </c>
      <c r="J92" s="3" t="s">
        <v>34801</v>
      </c>
      <c r="K92" s="3">
        <v>7.6900000000000006E-55</v>
      </c>
      <c r="L92" s="2" t="s">
        <v>35</v>
      </c>
      <c r="M92" s="4" t="s">
        <v>34802</v>
      </c>
    </row>
    <row r="93" spans="1:13">
      <c r="A93" s="2">
        <v>2421</v>
      </c>
      <c r="B93" s="2" t="s">
        <v>25201</v>
      </c>
      <c r="C93" s="2">
        <v>66</v>
      </c>
      <c r="D93" s="2">
        <v>341</v>
      </c>
      <c r="E93" s="2">
        <v>379</v>
      </c>
      <c r="F93" s="2">
        <v>32441</v>
      </c>
      <c r="G93" s="2">
        <v>16.567026980000001</v>
      </c>
      <c r="H93" s="3">
        <v>5.11E-56</v>
      </c>
      <c r="I93" s="3" t="s">
        <v>34803</v>
      </c>
      <c r="J93" s="3" t="s">
        <v>34804</v>
      </c>
      <c r="K93" s="3">
        <v>2.9599999999999999E-54</v>
      </c>
      <c r="L93" s="2" t="s">
        <v>35</v>
      </c>
      <c r="M93" s="4" t="s">
        <v>25204</v>
      </c>
    </row>
    <row r="94" spans="1:13">
      <c r="A94" s="2">
        <v>4743</v>
      </c>
      <c r="B94" s="2" t="s">
        <v>24574</v>
      </c>
      <c r="C94" s="2">
        <v>53</v>
      </c>
      <c r="D94" s="2">
        <v>341</v>
      </c>
      <c r="E94" s="2">
        <v>174</v>
      </c>
      <c r="F94" s="2">
        <v>32441</v>
      </c>
      <c r="G94" s="2">
        <v>28.97787104</v>
      </c>
      <c r="H94" s="3">
        <v>6.13E-56</v>
      </c>
      <c r="I94" s="3" t="s">
        <v>34805</v>
      </c>
      <c r="J94" s="3" t="s">
        <v>34806</v>
      </c>
      <c r="K94" s="3">
        <v>3.5199999999999999E-54</v>
      </c>
      <c r="L94" s="2" t="s">
        <v>35</v>
      </c>
      <c r="M94" s="4" t="s">
        <v>24577</v>
      </c>
    </row>
    <row r="95" spans="1:13">
      <c r="A95" s="2">
        <v>3990</v>
      </c>
      <c r="B95" s="2" t="s">
        <v>34807</v>
      </c>
      <c r="C95" s="2">
        <v>40</v>
      </c>
      <c r="D95" s="2">
        <v>341</v>
      </c>
      <c r="E95" s="2">
        <v>53</v>
      </c>
      <c r="F95" s="2">
        <v>32441</v>
      </c>
      <c r="G95" s="2">
        <v>71.799922539999997</v>
      </c>
      <c r="H95" s="3">
        <v>9.4199999999999999E-55</v>
      </c>
      <c r="I95" s="2" t="s">
        <v>34808</v>
      </c>
      <c r="J95" s="2" t="s">
        <v>34809</v>
      </c>
      <c r="K95" s="3">
        <v>5.3400000000000003E-53</v>
      </c>
      <c r="L95" s="2" t="s">
        <v>35</v>
      </c>
      <c r="M95" s="4" t="s">
        <v>34810</v>
      </c>
    </row>
    <row r="96" spans="1:13">
      <c r="A96" s="2">
        <v>3379</v>
      </c>
      <c r="B96" s="2" t="s">
        <v>4823</v>
      </c>
      <c r="C96" s="2">
        <v>44</v>
      </c>
      <c r="D96" s="2">
        <v>341</v>
      </c>
      <c r="E96" s="2">
        <v>91</v>
      </c>
      <c r="F96" s="2">
        <v>32441</v>
      </c>
      <c r="G96" s="2">
        <v>45.999291030000002</v>
      </c>
      <c r="H96" s="3">
        <v>1.0700000000000001E-53</v>
      </c>
      <c r="I96" s="2" t="s">
        <v>34811</v>
      </c>
      <c r="J96" s="2" t="s">
        <v>34812</v>
      </c>
      <c r="K96" s="3">
        <v>5.97E-52</v>
      </c>
      <c r="L96" s="2" t="s">
        <v>35</v>
      </c>
      <c r="M96" s="4" t="s">
        <v>4826</v>
      </c>
    </row>
    <row r="97" spans="1:13">
      <c r="A97" s="2">
        <v>2819</v>
      </c>
      <c r="B97" s="2" t="s">
        <v>34813</v>
      </c>
      <c r="C97" s="2">
        <v>38</v>
      </c>
      <c r="D97" s="2">
        <v>341</v>
      </c>
      <c r="E97" s="2">
        <v>45</v>
      </c>
      <c r="F97" s="2">
        <v>32441</v>
      </c>
      <c r="G97" s="2">
        <v>80.336135549999995</v>
      </c>
      <c r="H97" s="3">
        <v>2.2499999999999999E-53</v>
      </c>
      <c r="I97" s="2" t="s">
        <v>34814</v>
      </c>
      <c r="J97" s="2" t="s">
        <v>34815</v>
      </c>
      <c r="K97" s="3">
        <v>1.25E-51</v>
      </c>
      <c r="L97" s="2" t="s">
        <v>35</v>
      </c>
      <c r="M97" s="4" t="s">
        <v>34816</v>
      </c>
    </row>
    <row r="98" spans="1:13">
      <c r="A98" s="2">
        <v>2685</v>
      </c>
      <c r="B98" s="2" t="s">
        <v>5063</v>
      </c>
      <c r="C98" s="2">
        <v>59</v>
      </c>
      <c r="D98" s="2">
        <v>341</v>
      </c>
      <c r="E98" s="2">
        <v>309</v>
      </c>
      <c r="F98" s="2">
        <v>32441</v>
      </c>
      <c r="G98" s="2">
        <v>18.16491568</v>
      </c>
      <c r="H98" s="3">
        <v>4.7599999999999998E-52</v>
      </c>
      <c r="I98" s="3" t="s">
        <v>34817</v>
      </c>
      <c r="J98" s="3" t="s">
        <v>34818</v>
      </c>
      <c r="K98" s="3">
        <v>2.6000000000000001E-50</v>
      </c>
      <c r="L98" s="2" t="s">
        <v>35</v>
      </c>
      <c r="M98" s="4" t="s">
        <v>5066</v>
      </c>
    </row>
    <row r="99" spans="1:13">
      <c r="A99" s="2">
        <v>2286</v>
      </c>
      <c r="B99" s="2" t="s">
        <v>34819</v>
      </c>
      <c r="C99" s="2">
        <v>39</v>
      </c>
      <c r="D99" s="2">
        <v>341</v>
      </c>
      <c r="E99" s="2">
        <v>61</v>
      </c>
      <c r="F99" s="2">
        <v>32441</v>
      </c>
      <c r="G99" s="2">
        <v>60.823950770000003</v>
      </c>
      <c r="H99" s="3">
        <v>2.5799999999999999E-51</v>
      </c>
      <c r="I99" s="2" t="s">
        <v>34820</v>
      </c>
      <c r="J99" s="2" t="s">
        <v>34821</v>
      </c>
      <c r="K99" s="3">
        <v>1.4E-49</v>
      </c>
      <c r="L99" s="2" t="s">
        <v>35</v>
      </c>
      <c r="M99" s="4" t="s">
        <v>34822</v>
      </c>
    </row>
    <row r="100" spans="1:13">
      <c r="A100" s="2">
        <v>3748</v>
      </c>
      <c r="B100" s="2" t="s">
        <v>25690</v>
      </c>
      <c r="C100" s="2">
        <v>57</v>
      </c>
      <c r="D100" s="2">
        <v>341</v>
      </c>
      <c r="E100" s="2">
        <v>299</v>
      </c>
      <c r="F100" s="2">
        <v>32441</v>
      </c>
      <c r="G100" s="2">
        <v>18.136084109999999</v>
      </c>
      <c r="H100" s="3">
        <v>3.1000000000000002E-50</v>
      </c>
      <c r="I100" s="3" t="s">
        <v>34823</v>
      </c>
      <c r="J100" s="3" t="s">
        <v>34824</v>
      </c>
      <c r="K100" s="3">
        <v>1.66E-48</v>
      </c>
      <c r="L100" s="2" t="s">
        <v>35</v>
      </c>
      <c r="M100" s="4" t="s">
        <v>25693</v>
      </c>
    </row>
    <row r="101" spans="1:13">
      <c r="A101" s="2">
        <v>2726</v>
      </c>
      <c r="B101" s="2" t="s">
        <v>34825</v>
      </c>
      <c r="C101" s="2">
        <v>38</v>
      </c>
      <c r="D101" s="2">
        <v>341</v>
      </c>
      <c r="E101" s="2">
        <v>61</v>
      </c>
      <c r="F101" s="2">
        <v>32441</v>
      </c>
      <c r="G101" s="2">
        <v>59.264362290000001</v>
      </c>
      <c r="H101" s="3">
        <v>1.0900000000000001E-49</v>
      </c>
      <c r="I101" s="2" t="s">
        <v>34826</v>
      </c>
      <c r="J101" s="2" t="s">
        <v>34827</v>
      </c>
      <c r="K101" s="3">
        <v>5.7399999999999996E-48</v>
      </c>
      <c r="L101" s="2" t="s">
        <v>35</v>
      </c>
      <c r="M101" s="4" t="s">
        <v>34828</v>
      </c>
    </row>
    <row r="102" spans="1:13">
      <c r="A102" s="2">
        <v>4337</v>
      </c>
      <c r="B102" s="2" t="s">
        <v>25309</v>
      </c>
      <c r="C102" s="2">
        <v>49</v>
      </c>
      <c r="D102" s="2">
        <v>341</v>
      </c>
      <c r="E102" s="2">
        <v>182</v>
      </c>
      <c r="F102" s="2">
        <v>32441</v>
      </c>
      <c r="G102" s="2">
        <v>25.613241599999998</v>
      </c>
      <c r="H102" s="3">
        <v>1.7099999999999999E-49</v>
      </c>
      <c r="I102" s="3" t="s">
        <v>34829</v>
      </c>
      <c r="J102" s="3" t="s">
        <v>34830</v>
      </c>
      <c r="K102" s="3">
        <v>8.95E-48</v>
      </c>
      <c r="L102" s="2" t="s">
        <v>35</v>
      </c>
      <c r="M102" s="4" t="s">
        <v>25312</v>
      </c>
    </row>
    <row r="103" spans="1:13">
      <c r="A103" s="2">
        <v>2492</v>
      </c>
      <c r="B103" s="2" t="s">
        <v>34831</v>
      </c>
      <c r="C103" s="2">
        <v>40</v>
      </c>
      <c r="D103" s="2">
        <v>341</v>
      </c>
      <c r="E103" s="2">
        <v>86</v>
      </c>
      <c r="F103" s="2">
        <v>32441</v>
      </c>
      <c r="G103" s="2">
        <v>44.248789469999998</v>
      </c>
      <c r="H103" s="3">
        <v>2.5300000000000001E-48</v>
      </c>
      <c r="I103" s="2" t="s">
        <v>34832</v>
      </c>
      <c r="J103" s="2" t="s">
        <v>34833</v>
      </c>
      <c r="K103" s="3">
        <v>1.31E-46</v>
      </c>
      <c r="L103" s="2" t="s">
        <v>35</v>
      </c>
      <c r="M103" s="4" t="s">
        <v>34834</v>
      </c>
    </row>
    <row r="104" spans="1:13">
      <c r="A104" s="2">
        <v>3679</v>
      </c>
      <c r="B104" s="2" t="s">
        <v>24783</v>
      </c>
      <c r="C104" s="2">
        <v>55</v>
      </c>
      <c r="D104" s="2">
        <v>341</v>
      </c>
      <c r="E104" s="2">
        <v>294</v>
      </c>
      <c r="F104" s="2">
        <v>32441</v>
      </c>
      <c r="G104" s="2">
        <v>17.79734474</v>
      </c>
      <c r="H104" s="3">
        <v>4.5099999999999998E-48</v>
      </c>
      <c r="I104" s="3" t="s">
        <v>34835</v>
      </c>
      <c r="J104" s="3" t="s">
        <v>34836</v>
      </c>
      <c r="K104" s="3">
        <v>2.31E-46</v>
      </c>
      <c r="L104" s="2" t="s">
        <v>35</v>
      </c>
      <c r="M104" s="4" t="s">
        <v>24786</v>
      </c>
    </row>
    <row r="105" spans="1:13">
      <c r="A105" s="2">
        <v>1655</v>
      </c>
      <c r="B105" s="2" t="s">
        <v>24680</v>
      </c>
      <c r="C105" s="2">
        <v>50</v>
      </c>
      <c r="D105" s="2">
        <v>341</v>
      </c>
      <c r="E105" s="2">
        <v>214</v>
      </c>
      <c r="F105" s="2">
        <v>32441</v>
      </c>
      <c r="G105" s="2">
        <v>22.227779760000001</v>
      </c>
      <c r="H105" s="3">
        <v>7.2000000000000003E-48</v>
      </c>
      <c r="I105" s="3" t="s">
        <v>34837</v>
      </c>
      <c r="J105" s="3" t="s">
        <v>34838</v>
      </c>
      <c r="K105" s="3">
        <v>3.6500000000000003E-46</v>
      </c>
      <c r="L105" s="2" t="s">
        <v>35</v>
      </c>
      <c r="M105" s="4" t="s">
        <v>24683</v>
      </c>
    </row>
    <row r="106" spans="1:13">
      <c r="A106" s="2">
        <v>2851</v>
      </c>
      <c r="B106" s="2" t="s">
        <v>34839</v>
      </c>
      <c r="C106" s="2">
        <v>51</v>
      </c>
      <c r="D106" s="2">
        <v>341</v>
      </c>
      <c r="E106" s="2">
        <v>234</v>
      </c>
      <c r="F106" s="2">
        <v>32441</v>
      </c>
      <c r="G106" s="2">
        <v>20.734528910000002</v>
      </c>
      <c r="H106" s="3">
        <v>1.6900000000000001E-47</v>
      </c>
      <c r="I106" s="3" t="s">
        <v>34840</v>
      </c>
      <c r="J106" s="3" t="s">
        <v>34841</v>
      </c>
      <c r="K106" s="3">
        <v>8.4599999999999999E-46</v>
      </c>
      <c r="L106" s="2" t="s">
        <v>35</v>
      </c>
      <c r="M106" s="4" t="s">
        <v>34842</v>
      </c>
    </row>
    <row r="107" spans="1:13">
      <c r="A107" s="2">
        <v>4315</v>
      </c>
      <c r="B107" s="2" t="s">
        <v>34843</v>
      </c>
      <c r="C107" s="2">
        <v>34</v>
      </c>
      <c r="D107" s="2">
        <v>341</v>
      </c>
      <c r="E107" s="2">
        <v>44</v>
      </c>
      <c r="F107" s="2">
        <v>32441</v>
      </c>
      <c r="G107" s="2">
        <v>73.513329780000007</v>
      </c>
      <c r="H107" s="3">
        <v>6.8299999999999997E-47</v>
      </c>
      <c r="I107" s="2" t="s">
        <v>34844</v>
      </c>
      <c r="J107" s="2" t="s">
        <v>34845</v>
      </c>
      <c r="K107" s="3">
        <v>3.39E-45</v>
      </c>
      <c r="L107" s="2" t="s">
        <v>35</v>
      </c>
      <c r="M107" s="4" t="s">
        <v>34846</v>
      </c>
    </row>
    <row r="108" spans="1:13">
      <c r="A108" s="2">
        <v>4317</v>
      </c>
      <c r="B108" s="2" t="s">
        <v>34847</v>
      </c>
      <c r="C108" s="2">
        <v>35</v>
      </c>
      <c r="D108" s="2">
        <v>341</v>
      </c>
      <c r="E108" s="2">
        <v>55</v>
      </c>
      <c r="F108" s="2">
        <v>32441</v>
      </c>
      <c r="G108" s="2">
        <v>60.540389230000002</v>
      </c>
      <c r="H108" s="3">
        <v>4.5500000000000003E-46</v>
      </c>
      <c r="I108" s="2" t="s">
        <v>34848</v>
      </c>
      <c r="J108" s="2" t="s">
        <v>34849</v>
      </c>
      <c r="K108" s="3">
        <v>2.2300000000000001E-44</v>
      </c>
      <c r="L108" s="2" t="s">
        <v>35</v>
      </c>
      <c r="M108" s="4" t="s">
        <v>34850</v>
      </c>
    </row>
    <row r="109" spans="1:13">
      <c r="A109" s="2">
        <v>2232</v>
      </c>
      <c r="B109" s="2" t="s">
        <v>34851</v>
      </c>
      <c r="C109" s="2">
        <v>37</v>
      </c>
      <c r="D109" s="2">
        <v>341</v>
      </c>
      <c r="E109" s="2">
        <v>74</v>
      </c>
      <c r="F109" s="2">
        <v>32441</v>
      </c>
      <c r="G109" s="2">
        <v>47.567448679999998</v>
      </c>
      <c r="H109" s="3">
        <v>1.1400000000000001E-45</v>
      </c>
      <c r="I109" s="2" t="s">
        <v>34852</v>
      </c>
      <c r="J109" s="2" t="s">
        <v>34853</v>
      </c>
      <c r="K109" s="3">
        <v>5.5500000000000005E-44</v>
      </c>
      <c r="L109" s="2" t="s">
        <v>35</v>
      </c>
      <c r="M109" s="4" t="s">
        <v>34854</v>
      </c>
    </row>
    <row r="110" spans="1:13">
      <c r="A110" s="2">
        <v>1805</v>
      </c>
      <c r="B110" s="2" t="s">
        <v>34855</v>
      </c>
      <c r="C110" s="2">
        <v>35</v>
      </c>
      <c r="D110" s="2">
        <v>341</v>
      </c>
      <c r="E110" s="2">
        <v>57</v>
      </c>
      <c r="F110" s="2">
        <v>32441</v>
      </c>
      <c r="G110" s="2">
        <v>58.416165049999996</v>
      </c>
      <c r="H110" s="3">
        <v>1.1699999999999999E-45</v>
      </c>
      <c r="I110" s="2" t="s">
        <v>34856</v>
      </c>
      <c r="J110" s="2" t="s">
        <v>34857</v>
      </c>
      <c r="K110" s="3">
        <v>5.6400000000000003E-44</v>
      </c>
      <c r="L110" s="2" t="s">
        <v>35</v>
      </c>
      <c r="M110" s="4" t="s">
        <v>34858</v>
      </c>
    </row>
    <row r="111" spans="1:13">
      <c r="A111" s="2">
        <v>3553</v>
      </c>
      <c r="B111" s="2" t="s">
        <v>34859</v>
      </c>
      <c r="C111" s="2">
        <v>35</v>
      </c>
      <c r="D111" s="2">
        <v>341</v>
      </c>
      <c r="E111" s="2">
        <v>58</v>
      </c>
      <c r="F111" s="2">
        <v>32441</v>
      </c>
      <c r="G111" s="2">
        <v>57.40898979</v>
      </c>
      <c r="H111" s="3">
        <v>1.8600000000000001E-45</v>
      </c>
      <c r="I111" s="2" t="s">
        <v>34860</v>
      </c>
      <c r="J111" s="2" t="s">
        <v>34861</v>
      </c>
      <c r="K111" s="3">
        <v>8.8699999999999997E-44</v>
      </c>
      <c r="L111" s="2" t="s">
        <v>35</v>
      </c>
      <c r="M111" s="4" t="s">
        <v>34862</v>
      </c>
    </row>
    <row r="112" spans="1:13">
      <c r="A112" s="2">
        <v>2509</v>
      </c>
      <c r="B112" s="2" t="s">
        <v>24759</v>
      </c>
      <c r="C112" s="2">
        <v>49</v>
      </c>
      <c r="D112" s="2">
        <v>341</v>
      </c>
      <c r="E112" s="2">
        <v>230</v>
      </c>
      <c r="F112" s="2">
        <v>32441</v>
      </c>
      <c r="G112" s="2">
        <v>20.267869439999998</v>
      </c>
      <c r="H112" s="3">
        <v>3.19E-45</v>
      </c>
      <c r="I112" s="3" t="s">
        <v>34863</v>
      </c>
      <c r="J112" s="3" t="s">
        <v>34864</v>
      </c>
      <c r="K112" s="3">
        <v>1.5E-43</v>
      </c>
      <c r="L112" s="2" t="s">
        <v>35</v>
      </c>
      <c r="M112" s="4" t="s">
        <v>24762</v>
      </c>
    </row>
    <row r="113" spans="1:13">
      <c r="A113" s="2">
        <v>2648</v>
      </c>
      <c r="B113" s="2" t="s">
        <v>25579</v>
      </c>
      <c r="C113" s="2">
        <v>46</v>
      </c>
      <c r="D113" s="2">
        <v>341</v>
      </c>
      <c r="E113" s="2">
        <v>185</v>
      </c>
      <c r="F113" s="2">
        <v>32441</v>
      </c>
      <c r="G113" s="2">
        <v>23.65516367</v>
      </c>
      <c r="H113" s="3">
        <v>4.0200000000000001E-45</v>
      </c>
      <c r="I113" s="2" t="s">
        <v>34865</v>
      </c>
      <c r="J113" s="2" t="s">
        <v>34866</v>
      </c>
      <c r="K113" s="3">
        <v>1.88E-43</v>
      </c>
      <c r="L113" s="2" t="s">
        <v>35</v>
      </c>
      <c r="M113" s="4" t="s">
        <v>25582</v>
      </c>
    </row>
    <row r="114" spans="1:13">
      <c r="A114" s="2">
        <v>3172</v>
      </c>
      <c r="B114" s="2" t="s">
        <v>34867</v>
      </c>
      <c r="C114" s="2">
        <v>35</v>
      </c>
      <c r="D114" s="2">
        <v>341</v>
      </c>
      <c r="E114" s="2">
        <v>60</v>
      </c>
      <c r="F114" s="2">
        <v>32441</v>
      </c>
      <c r="G114" s="2">
        <v>55.495356790000002</v>
      </c>
      <c r="H114" s="3">
        <v>4.6099999999999999E-45</v>
      </c>
      <c r="I114" s="2" t="s">
        <v>34868</v>
      </c>
      <c r="J114" s="2" t="s">
        <v>34869</v>
      </c>
      <c r="K114" s="3">
        <v>2.13E-43</v>
      </c>
      <c r="L114" s="2" t="s">
        <v>35</v>
      </c>
      <c r="M114" s="4" t="s">
        <v>34870</v>
      </c>
    </row>
    <row r="115" spans="1:13">
      <c r="A115" s="2">
        <v>3088</v>
      </c>
      <c r="B115" s="2" t="s">
        <v>34871</v>
      </c>
      <c r="C115" s="2">
        <v>36</v>
      </c>
      <c r="D115" s="2">
        <v>341</v>
      </c>
      <c r="E115" s="2">
        <v>69</v>
      </c>
      <c r="F115" s="2">
        <v>32441</v>
      </c>
      <c r="G115" s="2">
        <v>49.635598620000003</v>
      </c>
      <c r="H115" s="3">
        <v>5.6200000000000004E-45</v>
      </c>
      <c r="I115" s="2" t="s">
        <v>34872</v>
      </c>
      <c r="J115" s="2" t="s">
        <v>34873</v>
      </c>
      <c r="K115" s="3">
        <v>2.5700000000000001E-43</v>
      </c>
      <c r="L115" s="2" t="s">
        <v>35</v>
      </c>
      <c r="M115" s="4" t="s">
        <v>34874</v>
      </c>
    </row>
    <row r="116" spans="1:13">
      <c r="A116" s="2">
        <v>1075</v>
      </c>
      <c r="B116" s="2" t="s">
        <v>34875</v>
      </c>
      <c r="C116" s="2">
        <v>41</v>
      </c>
      <c r="D116" s="2">
        <v>341</v>
      </c>
      <c r="E116" s="2">
        <v>137</v>
      </c>
      <c r="F116" s="2">
        <v>32441</v>
      </c>
      <c r="G116" s="2">
        <v>28.471027679999999</v>
      </c>
      <c r="H116" s="3">
        <v>4.5600000000000001E-43</v>
      </c>
      <c r="I116" s="2" t="s">
        <v>34876</v>
      </c>
      <c r="J116" s="2" t="s">
        <v>34877</v>
      </c>
      <c r="K116" s="3">
        <v>2.0699999999999999E-41</v>
      </c>
      <c r="L116" s="2" t="s">
        <v>35</v>
      </c>
      <c r="M116" s="4" t="s">
        <v>34878</v>
      </c>
    </row>
    <row r="117" spans="1:13">
      <c r="A117" s="2">
        <v>4137</v>
      </c>
      <c r="B117" s="2" t="s">
        <v>34879</v>
      </c>
      <c r="C117" s="2">
        <v>33</v>
      </c>
      <c r="D117" s="2">
        <v>341</v>
      </c>
      <c r="E117" s="2">
        <v>56</v>
      </c>
      <c r="F117" s="2">
        <v>32441</v>
      </c>
      <c r="G117" s="2">
        <v>56.061635940000002</v>
      </c>
      <c r="H117" s="3">
        <v>1.21E-42</v>
      </c>
      <c r="I117" s="2" t="s">
        <v>34880</v>
      </c>
      <c r="J117" s="2" t="s">
        <v>34881</v>
      </c>
      <c r="K117" s="3">
        <v>5.4100000000000004E-41</v>
      </c>
      <c r="L117" s="2" t="s">
        <v>35</v>
      </c>
      <c r="M117" s="4" t="s">
        <v>34882</v>
      </c>
    </row>
    <row r="118" spans="1:13">
      <c r="A118" s="2">
        <v>1556</v>
      </c>
      <c r="B118" s="2" t="s">
        <v>34883</v>
      </c>
      <c r="C118" s="2">
        <v>54</v>
      </c>
      <c r="D118" s="2">
        <v>341</v>
      </c>
      <c r="E118" s="2">
        <v>362</v>
      </c>
      <c r="F118" s="2">
        <v>32441</v>
      </c>
      <c r="G118" s="2">
        <v>14.191393529999999</v>
      </c>
      <c r="H118" s="3">
        <v>1.4299999999999999E-42</v>
      </c>
      <c r="I118" s="3" t="s">
        <v>34884</v>
      </c>
      <c r="J118" s="3" t="s">
        <v>34885</v>
      </c>
      <c r="K118" s="3">
        <v>6.3799999999999996E-41</v>
      </c>
      <c r="L118" s="2" t="s">
        <v>35</v>
      </c>
      <c r="M118" s="4" t="s">
        <v>34886</v>
      </c>
    </row>
    <row r="119" spans="1:13">
      <c r="A119" s="2">
        <v>2266</v>
      </c>
      <c r="B119" s="2" t="s">
        <v>141</v>
      </c>
      <c r="C119" s="2">
        <v>90</v>
      </c>
      <c r="D119" s="2">
        <v>341</v>
      </c>
      <c r="E119" s="2">
        <v>1442</v>
      </c>
      <c r="F119" s="2">
        <v>32441</v>
      </c>
      <c r="G119" s="2">
        <v>5.937684301</v>
      </c>
      <c r="H119" s="3">
        <v>2.77E-42</v>
      </c>
      <c r="I119" s="3" t="s">
        <v>34887</v>
      </c>
      <c r="J119" s="3" t="s">
        <v>34888</v>
      </c>
      <c r="K119" s="3">
        <v>1.22E-40</v>
      </c>
      <c r="L119" s="2" t="s">
        <v>35</v>
      </c>
      <c r="M119" s="4" t="s">
        <v>2824</v>
      </c>
    </row>
    <row r="120" spans="1:13">
      <c r="A120" s="2">
        <v>4222</v>
      </c>
      <c r="B120" s="2" t="s">
        <v>34889</v>
      </c>
      <c r="C120" s="2">
        <v>36</v>
      </c>
      <c r="D120" s="2">
        <v>341</v>
      </c>
      <c r="E120" s="2">
        <v>87</v>
      </c>
      <c r="F120" s="2">
        <v>32441</v>
      </c>
      <c r="G120" s="2">
        <v>39.366164429999998</v>
      </c>
      <c r="H120" s="3">
        <v>4.3499999999999998E-42</v>
      </c>
      <c r="I120" s="2" t="s">
        <v>34890</v>
      </c>
      <c r="J120" s="2" t="s">
        <v>34891</v>
      </c>
      <c r="K120" s="3">
        <v>1.8999999999999999E-40</v>
      </c>
      <c r="L120" s="2" t="s">
        <v>35</v>
      </c>
      <c r="M120" s="4" t="s">
        <v>34892</v>
      </c>
    </row>
    <row r="121" spans="1:13">
      <c r="A121" s="2">
        <v>2853</v>
      </c>
      <c r="B121" s="2" t="s">
        <v>34893</v>
      </c>
      <c r="C121" s="2">
        <v>34</v>
      </c>
      <c r="D121" s="2">
        <v>341</v>
      </c>
      <c r="E121" s="2">
        <v>70</v>
      </c>
      <c r="F121" s="2">
        <v>32441</v>
      </c>
      <c r="G121" s="2">
        <v>46.208378719999999</v>
      </c>
      <c r="H121" s="3">
        <v>1.0900000000000001E-41</v>
      </c>
      <c r="I121" s="2" t="s">
        <v>34894</v>
      </c>
      <c r="J121" s="2" t="s">
        <v>34895</v>
      </c>
      <c r="K121" s="3">
        <v>4.7099999999999998E-40</v>
      </c>
      <c r="L121" s="2" t="s">
        <v>35</v>
      </c>
      <c r="M121" s="4" t="s">
        <v>34896</v>
      </c>
    </row>
    <row r="122" spans="1:13">
      <c r="A122" s="2">
        <v>3617</v>
      </c>
      <c r="B122" s="2" t="s">
        <v>24473</v>
      </c>
      <c r="C122" s="2">
        <v>56</v>
      </c>
      <c r="D122" s="2">
        <v>341</v>
      </c>
      <c r="E122" s="2">
        <v>425</v>
      </c>
      <c r="F122" s="2">
        <v>32441</v>
      </c>
      <c r="G122" s="2">
        <v>12.535421769999999</v>
      </c>
      <c r="H122" s="3">
        <v>1.6100000000000001E-41</v>
      </c>
      <c r="I122" s="3" t="s">
        <v>34897</v>
      </c>
      <c r="J122" s="3" t="s">
        <v>34898</v>
      </c>
      <c r="K122" s="3">
        <v>6.9200000000000002E-40</v>
      </c>
      <c r="L122" s="2" t="s">
        <v>35</v>
      </c>
      <c r="M122" s="4" t="s">
        <v>24476</v>
      </c>
    </row>
    <row r="123" spans="1:13">
      <c r="A123" s="2">
        <v>93</v>
      </c>
      <c r="B123" s="2" t="s">
        <v>25621</v>
      </c>
      <c r="C123" s="2">
        <v>39</v>
      </c>
      <c r="D123" s="2">
        <v>341</v>
      </c>
      <c r="E123" s="2">
        <v>128</v>
      </c>
      <c r="F123" s="2">
        <v>32441</v>
      </c>
      <c r="G123" s="2">
        <v>28.98641404</v>
      </c>
      <c r="H123" s="3">
        <v>2.9799999999999998E-41</v>
      </c>
      <c r="I123" s="2" t="s">
        <v>34899</v>
      </c>
      <c r="J123" s="2" t="s">
        <v>34900</v>
      </c>
      <c r="K123" s="3">
        <v>1.2699999999999999E-39</v>
      </c>
      <c r="L123" s="2" t="s">
        <v>35</v>
      </c>
      <c r="M123" s="4" t="s">
        <v>25624</v>
      </c>
    </row>
    <row r="124" spans="1:13">
      <c r="A124" s="2">
        <v>4338</v>
      </c>
      <c r="B124" s="2" t="s">
        <v>25034</v>
      </c>
      <c r="C124" s="2">
        <v>45</v>
      </c>
      <c r="D124" s="2">
        <v>341</v>
      </c>
      <c r="E124" s="2">
        <v>216</v>
      </c>
      <c r="F124" s="2">
        <v>32441</v>
      </c>
      <c r="G124" s="2">
        <v>19.81977028</v>
      </c>
      <c r="H124" s="3">
        <v>3.5400000000000002E-41</v>
      </c>
      <c r="I124" s="2" t="s">
        <v>34901</v>
      </c>
      <c r="J124" s="2" t="s">
        <v>34902</v>
      </c>
      <c r="K124" s="3">
        <v>1.4900000000000001E-39</v>
      </c>
      <c r="L124" s="2" t="s">
        <v>35</v>
      </c>
      <c r="M124" s="4" t="s">
        <v>25037</v>
      </c>
    </row>
    <row r="125" spans="1:13">
      <c r="A125" s="2">
        <v>2612</v>
      </c>
      <c r="B125" s="2" t="s">
        <v>34903</v>
      </c>
      <c r="C125" s="2">
        <v>44</v>
      </c>
      <c r="D125" s="2">
        <v>341</v>
      </c>
      <c r="E125" s="2">
        <v>200</v>
      </c>
      <c r="F125" s="2">
        <v>32441</v>
      </c>
      <c r="G125" s="2">
        <v>20.929677420000001</v>
      </c>
      <c r="H125" s="3">
        <v>3.6099999999999999E-41</v>
      </c>
      <c r="I125" s="2" t="s">
        <v>34904</v>
      </c>
      <c r="J125" s="2" t="s">
        <v>34905</v>
      </c>
      <c r="K125" s="3">
        <v>1.5099999999999999E-39</v>
      </c>
      <c r="L125" s="2" t="s">
        <v>35</v>
      </c>
      <c r="M125" s="4" t="s">
        <v>34906</v>
      </c>
    </row>
    <row r="126" spans="1:13">
      <c r="A126" s="2">
        <v>4375</v>
      </c>
      <c r="B126" s="2" t="s">
        <v>24945</v>
      </c>
      <c r="C126" s="2">
        <v>61</v>
      </c>
      <c r="D126" s="2">
        <v>341</v>
      </c>
      <c r="E126" s="2">
        <v>572</v>
      </c>
      <c r="F126" s="2">
        <v>32441</v>
      </c>
      <c r="G126" s="2">
        <v>10.14550479</v>
      </c>
      <c r="H126" s="3">
        <v>2.25E-40</v>
      </c>
      <c r="I126" s="3" t="s">
        <v>34907</v>
      </c>
      <c r="J126" s="3" t="s">
        <v>34908</v>
      </c>
      <c r="K126" s="3">
        <v>9.3100000000000005E-39</v>
      </c>
      <c r="L126" s="2" t="s">
        <v>35</v>
      </c>
      <c r="M126" s="4" t="s">
        <v>24948</v>
      </c>
    </row>
    <row r="127" spans="1:13">
      <c r="A127" s="2">
        <v>3174</v>
      </c>
      <c r="B127" s="2" t="s">
        <v>551</v>
      </c>
      <c r="C127" s="2">
        <v>55</v>
      </c>
      <c r="D127" s="2">
        <v>341</v>
      </c>
      <c r="E127" s="2">
        <v>428</v>
      </c>
      <c r="F127" s="2">
        <v>32441</v>
      </c>
      <c r="G127" s="2">
        <v>12.22527887</v>
      </c>
      <c r="H127" s="3">
        <v>2.98E-40</v>
      </c>
      <c r="I127" s="3" t="s">
        <v>34909</v>
      </c>
      <c r="J127" s="3" t="s">
        <v>34910</v>
      </c>
      <c r="K127" s="3">
        <v>1.22E-38</v>
      </c>
      <c r="L127" s="2" t="s">
        <v>35</v>
      </c>
      <c r="M127" s="4" t="s">
        <v>34911</v>
      </c>
    </row>
    <row r="128" spans="1:13">
      <c r="A128" s="2">
        <v>965</v>
      </c>
      <c r="B128" s="2" t="s">
        <v>34912</v>
      </c>
      <c r="C128" s="2">
        <v>36</v>
      </c>
      <c r="D128" s="2">
        <v>341</v>
      </c>
      <c r="E128" s="2">
        <v>112</v>
      </c>
      <c r="F128" s="2">
        <v>32441</v>
      </c>
      <c r="G128" s="2">
        <v>30.57907415</v>
      </c>
      <c r="H128" s="3">
        <v>7.7800000000000004E-39</v>
      </c>
      <c r="I128" s="2" t="s">
        <v>34913</v>
      </c>
      <c r="J128" s="2" t="s">
        <v>34914</v>
      </c>
      <c r="K128" s="3">
        <v>3.1700000000000001E-37</v>
      </c>
      <c r="L128" s="2" t="s">
        <v>35</v>
      </c>
      <c r="M128" s="4" t="s">
        <v>34915</v>
      </c>
    </row>
    <row r="129" spans="1:13">
      <c r="A129" s="2">
        <v>2510</v>
      </c>
      <c r="B129" s="2" t="s">
        <v>34916</v>
      </c>
      <c r="C129" s="2">
        <v>38</v>
      </c>
      <c r="D129" s="2">
        <v>341</v>
      </c>
      <c r="E129" s="2">
        <v>147</v>
      </c>
      <c r="F129" s="2">
        <v>32441</v>
      </c>
      <c r="G129" s="2">
        <v>24.592694560000002</v>
      </c>
      <c r="H129" s="3">
        <v>6.4499999999999995E-38</v>
      </c>
      <c r="I129" s="2" t="s">
        <v>34917</v>
      </c>
      <c r="J129" s="2" t="s">
        <v>34918</v>
      </c>
      <c r="K129" s="3">
        <v>2.6E-36</v>
      </c>
      <c r="L129" s="2" t="s">
        <v>35</v>
      </c>
      <c r="M129" s="4" t="s">
        <v>34919</v>
      </c>
    </row>
    <row r="130" spans="1:13">
      <c r="A130" s="2">
        <v>4336</v>
      </c>
      <c r="B130" s="2" t="s">
        <v>2893</v>
      </c>
      <c r="C130" s="2">
        <v>39</v>
      </c>
      <c r="D130" s="2">
        <v>341</v>
      </c>
      <c r="E130" s="2">
        <v>162</v>
      </c>
      <c r="F130" s="2">
        <v>32441</v>
      </c>
      <c r="G130" s="2">
        <v>22.902845660000001</v>
      </c>
      <c r="H130" s="3">
        <v>7.2399999999999999E-38</v>
      </c>
      <c r="I130" s="2" t="s">
        <v>34920</v>
      </c>
      <c r="J130" s="2" t="s">
        <v>34921</v>
      </c>
      <c r="K130" s="3">
        <v>2.9000000000000001E-36</v>
      </c>
      <c r="L130" s="2" t="s">
        <v>35</v>
      </c>
      <c r="M130" s="4" t="s">
        <v>2896</v>
      </c>
    </row>
    <row r="131" spans="1:13">
      <c r="A131" s="2">
        <v>4166</v>
      </c>
      <c r="B131" s="2" t="s">
        <v>2935</v>
      </c>
      <c r="C131" s="2">
        <v>41</v>
      </c>
      <c r="D131" s="2">
        <v>341</v>
      </c>
      <c r="E131" s="2">
        <v>193</v>
      </c>
      <c r="F131" s="2">
        <v>32441</v>
      </c>
      <c r="G131" s="2">
        <v>20.210004099999999</v>
      </c>
      <c r="H131" s="3">
        <v>7.3200000000000005E-38</v>
      </c>
      <c r="I131" s="2" t="s">
        <v>34922</v>
      </c>
      <c r="J131" s="2" t="s">
        <v>34923</v>
      </c>
      <c r="K131" s="3">
        <v>2.9100000000000002E-36</v>
      </c>
      <c r="L131" s="2" t="s">
        <v>35</v>
      </c>
      <c r="M131" s="4" t="s">
        <v>2938</v>
      </c>
    </row>
    <row r="132" spans="1:13">
      <c r="A132" s="2">
        <v>2679</v>
      </c>
      <c r="B132" s="2" t="s">
        <v>34924</v>
      </c>
      <c r="C132" s="2">
        <v>36</v>
      </c>
      <c r="D132" s="2">
        <v>341</v>
      </c>
      <c r="E132" s="2">
        <v>121</v>
      </c>
      <c r="F132" s="2">
        <v>32441</v>
      </c>
      <c r="G132" s="2">
        <v>28.304597560000001</v>
      </c>
      <c r="H132" s="3">
        <v>8.0200000000000001E-38</v>
      </c>
      <c r="I132" s="2" t="s">
        <v>34925</v>
      </c>
      <c r="J132" s="2" t="s">
        <v>34926</v>
      </c>
      <c r="K132" s="3">
        <v>3.1600000000000001E-36</v>
      </c>
      <c r="L132" s="2" t="s">
        <v>35</v>
      </c>
      <c r="M132" s="4" t="s">
        <v>34927</v>
      </c>
    </row>
    <row r="133" spans="1:13">
      <c r="A133" s="2">
        <v>1296</v>
      </c>
      <c r="B133" s="2" t="s">
        <v>34928</v>
      </c>
      <c r="C133" s="2">
        <v>35</v>
      </c>
      <c r="D133" s="2">
        <v>341</v>
      </c>
      <c r="E133" s="2">
        <v>109</v>
      </c>
      <c r="F133" s="2">
        <v>32441</v>
      </c>
      <c r="G133" s="2">
        <v>30.547902820000001</v>
      </c>
      <c r="H133" s="3">
        <v>9.1299999999999997E-38</v>
      </c>
      <c r="I133" s="2" t="s">
        <v>34929</v>
      </c>
      <c r="J133" s="2" t="s">
        <v>34930</v>
      </c>
      <c r="K133" s="3">
        <v>3.5600000000000002E-36</v>
      </c>
      <c r="L133" s="2" t="s">
        <v>35</v>
      </c>
      <c r="M133" s="4" t="s">
        <v>34931</v>
      </c>
    </row>
    <row r="134" spans="1:13">
      <c r="A134" s="2">
        <v>1246</v>
      </c>
      <c r="B134" s="2" t="s">
        <v>24797</v>
      </c>
      <c r="C134" s="2">
        <v>33</v>
      </c>
      <c r="D134" s="2">
        <v>341</v>
      </c>
      <c r="E134" s="2">
        <v>87</v>
      </c>
      <c r="F134" s="2">
        <v>32441</v>
      </c>
      <c r="G134" s="2">
        <v>36.085650719999997</v>
      </c>
      <c r="H134" s="3">
        <v>1.2399999999999999E-37</v>
      </c>
      <c r="I134" s="2" t="s">
        <v>34932</v>
      </c>
      <c r="J134" s="2" t="s">
        <v>34933</v>
      </c>
      <c r="K134" s="3">
        <v>4.8E-36</v>
      </c>
      <c r="L134" s="2" t="s">
        <v>35</v>
      </c>
      <c r="M134" s="4" t="s">
        <v>24800</v>
      </c>
    </row>
    <row r="135" spans="1:13">
      <c r="A135" s="2">
        <v>4015</v>
      </c>
      <c r="B135" s="2" t="s">
        <v>3612</v>
      </c>
      <c r="C135" s="2">
        <v>46</v>
      </c>
      <c r="D135" s="2">
        <v>341</v>
      </c>
      <c r="E135" s="2">
        <v>288</v>
      </c>
      <c r="F135" s="2">
        <v>32441</v>
      </c>
      <c r="G135" s="2">
        <v>15.19515722</v>
      </c>
      <c r="H135" s="3">
        <v>1.7700000000000001E-37</v>
      </c>
      <c r="I135" s="2" t="s">
        <v>34934</v>
      </c>
      <c r="J135" s="2" t="s">
        <v>34935</v>
      </c>
      <c r="K135" s="3">
        <v>6.8000000000000005E-36</v>
      </c>
      <c r="L135" s="2" t="s">
        <v>35</v>
      </c>
      <c r="M135" s="4" t="s">
        <v>3615</v>
      </c>
    </row>
    <row r="136" spans="1:13">
      <c r="A136" s="2">
        <v>3825</v>
      </c>
      <c r="B136" s="2" t="s">
        <v>34936</v>
      </c>
      <c r="C136" s="2">
        <v>29</v>
      </c>
      <c r="D136" s="2">
        <v>341</v>
      </c>
      <c r="E136" s="2">
        <v>50</v>
      </c>
      <c r="F136" s="2">
        <v>32441</v>
      </c>
      <c r="G136" s="2">
        <v>55.178240469999999</v>
      </c>
      <c r="H136" s="3">
        <v>1.95E-37</v>
      </c>
      <c r="I136" s="2" t="s">
        <v>34937</v>
      </c>
      <c r="J136" s="2" t="s">
        <v>34938</v>
      </c>
      <c r="K136" s="3">
        <v>7.4400000000000002E-36</v>
      </c>
      <c r="L136" s="2" t="s">
        <v>35</v>
      </c>
      <c r="M136" s="4" t="s">
        <v>34939</v>
      </c>
    </row>
    <row r="137" spans="1:13">
      <c r="A137" s="2">
        <v>2854</v>
      </c>
      <c r="B137" s="2" t="s">
        <v>5219</v>
      </c>
      <c r="C137" s="2">
        <v>40</v>
      </c>
      <c r="D137" s="2">
        <v>341</v>
      </c>
      <c r="E137" s="2">
        <v>184</v>
      </c>
      <c r="F137" s="2">
        <v>32441</v>
      </c>
      <c r="G137" s="2">
        <v>20.681499429999999</v>
      </c>
      <c r="H137" s="3">
        <v>2.6800000000000002E-37</v>
      </c>
      <c r="I137" s="2" t="s">
        <v>34940</v>
      </c>
      <c r="J137" s="2" t="s">
        <v>34941</v>
      </c>
      <c r="K137" s="3">
        <v>1.01E-35</v>
      </c>
      <c r="L137" s="2" t="s">
        <v>35</v>
      </c>
      <c r="M137" s="4" t="s">
        <v>5222</v>
      </c>
    </row>
    <row r="138" spans="1:13">
      <c r="A138" s="2">
        <v>1591</v>
      </c>
      <c r="B138" s="2" t="s">
        <v>34942</v>
      </c>
      <c r="C138" s="2">
        <v>28</v>
      </c>
      <c r="D138" s="2">
        <v>341</v>
      </c>
      <c r="E138" s="2">
        <v>45</v>
      </c>
      <c r="F138" s="2">
        <v>32441</v>
      </c>
      <c r="G138" s="2">
        <v>59.195047250000002</v>
      </c>
      <c r="H138" s="3">
        <v>7.8799999999999998E-37</v>
      </c>
      <c r="I138" s="2" t="s">
        <v>34943</v>
      </c>
      <c r="J138" s="2" t="s">
        <v>34944</v>
      </c>
      <c r="K138" s="3">
        <v>2.9499999999999998E-35</v>
      </c>
      <c r="L138" s="2" t="s">
        <v>35</v>
      </c>
      <c r="M138" s="4" t="s">
        <v>34945</v>
      </c>
    </row>
    <row r="139" spans="1:13">
      <c r="A139" s="2">
        <v>3590</v>
      </c>
      <c r="B139" s="2" t="s">
        <v>34946</v>
      </c>
      <c r="C139" s="2">
        <v>60</v>
      </c>
      <c r="D139" s="2">
        <v>341</v>
      </c>
      <c r="E139" s="2">
        <v>648</v>
      </c>
      <c r="F139" s="2">
        <v>32441</v>
      </c>
      <c r="G139" s="2">
        <v>8.8087867929999994</v>
      </c>
      <c r="H139" s="3">
        <v>1.6100000000000001E-36</v>
      </c>
      <c r="I139" s="3" t="s">
        <v>34947</v>
      </c>
      <c r="J139" s="3" t="s">
        <v>34948</v>
      </c>
      <c r="K139" s="3">
        <v>5.9999999999999998E-35</v>
      </c>
      <c r="L139" s="2" t="s">
        <v>35</v>
      </c>
      <c r="M139" s="4" t="s">
        <v>34949</v>
      </c>
    </row>
    <row r="140" spans="1:13">
      <c r="A140" s="2">
        <v>2897</v>
      </c>
      <c r="B140" s="2" t="s">
        <v>34950</v>
      </c>
      <c r="C140" s="2">
        <v>27</v>
      </c>
      <c r="D140" s="2">
        <v>341</v>
      </c>
      <c r="E140" s="2">
        <v>41</v>
      </c>
      <c r="F140" s="2">
        <v>32441</v>
      </c>
      <c r="G140" s="2">
        <v>62.649810459999998</v>
      </c>
      <c r="H140" s="3">
        <v>4.7399999999999998E-36</v>
      </c>
      <c r="I140" s="2" t="s">
        <v>34951</v>
      </c>
      <c r="J140" s="2" t="s">
        <v>34952</v>
      </c>
      <c r="K140" s="3">
        <v>1.7499999999999999E-34</v>
      </c>
      <c r="L140" s="2" t="s">
        <v>35</v>
      </c>
      <c r="M140" s="4" t="s">
        <v>34953</v>
      </c>
    </row>
    <row r="141" spans="1:13">
      <c r="A141" s="2">
        <v>2331</v>
      </c>
      <c r="B141" s="2" t="s">
        <v>24650</v>
      </c>
      <c r="C141" s="2">
        <v>64</v>
      </c>
      <c r="D141" s="2">
        <v>341</v>
      </c>
      <c r="E141" s="2">
        <v>795</v>
      </c>
      <c r="F141" s="2">
        <v>32441</v>
      </c>
      <c r="G141" s="2">
        <v>7.6586584039999996</v>
      </c>
      <c r="H141" s="3">
        <v>1.21E-35</v>
      </c>
      <c r="I141" s="3" t="s">
        <v>34954</v>
      </c>
      <c r="J141" s="3" t="s">
        <v>34955</v>
      </c>
      <c r="K141" s="3">
        <v>4.43E-34</v>
      </c>
      <c r="L141" s="2" t="s">
        <v>35</v>
      </c>
      <c r="M141" s="4" t="s">
        <v>24653</v>
      </c>
    </row>
    <row r="142" spans="1:13">
      <c r="A142" s="2">
        <v>1479</v>
      </c>
      <c r="B142" s="2" t="s">
        <v>3709</v>
      </c>
      <c r="C142" s="2">
        <v>42</v>
      </c>
      <c r="D142" s="2">
        <v>341</v>
      </c>
      <c r="E142" s="2">
        <v>244</v>
      </c>
      <c r="F142" s="2">
        <v>32441</v>
      </c>
      <c r="G142" s="2">
        <v>16.375679049999999</v>
      </c>
      <c r="H142" s="3">
        <v>1.9000000000000001E-35</v>
      </c>
      <c r="I142" s="2" t="s">
        <v>34956</v>
      </c>
      <c r="J142" s="2" t="s">
        <v>34957</v>
      </c>
      <c r="K142" s="3">
        <v>6.8999999999999999E-34</v>
      </c>
      <c r="L142" s="2" t="s">
        <v>35</v>
      </c>
      <c r="M142" s="4" t="s">
        <v>3712</v>
      </c>
    </row>
    <row r="143" spans="1:13">
      <c r="A143" s="2">
        <v>4390</v>
      </c>
      <c r="B143" s="2" t="s">
        <v>34958</v>
      </c>
      <c r="C143" s="2">
        <v>41</v>
      </c>
      <c r="D143" s="2">
        <v>341</v>
      </c>
      <c r="E143" s="2">
        <v>229</v>
      </c>
      <c r="F143" s="2">
        <v>32441</v>
      </c>
      <c r="G143" s="2">
        <v>17.03288555</v>
      </c>
      <c r="H143" s="3">
        <v>3.1599999999999999E-35</v>
      </c>
      <c r="I143" s="2" t="s">
        <v>34959</v>
      </c>
      <c r="J143" s="2" t="s">
        <v>34960</v>
      </c>
      <c r="K143" s="3">
        <v>1.1399999999999999E-33</v>
      </c>
      <c r="L143" s="2" t="s">
        <v>35</v>
      </c>
      <c r="M143" s="4" t="s">
        <v>34961</v>
      </c>
    </row>
    <row r="144" spans="1:13">
      <c r="A144" s="2">
        <v>4437</v>
      </c>
      <c r="B144" s="2" t="s">
        <v>3757</v>
      </c>
      <c r="C144" s="2">
        <v>94</v>
      </c>
      <c r="D144" s="2">
        <v>341</v>
      </c>
      <c r="E144" s="2">
        <v>1972</v>
      </c>
      <c r="F144" s="2">
        <v>32441</v>
      </c>
      <c r="G144" s="2">
        <v>4.5348277650000002</v>
      </c>
      <c r="H144" s="3">
        <v>3.4600000000000001E-35</v>
      </c>
      <c r="I144" s="3" t="s">
        <v>34962</v>
      </c>
      <c r="J144" s="3" t="s">
        <v>34963</v>
      </c>
      <c r="K144" s="3">
        <v>1.2399999999999999E-33</v>
      </c>
      <c r="L144" s="2" t="s">
        <v>35</v>
      </c>
      <c r="M144" s="4" t="s">
        <v>3760</v>
      </c>
    </row>
    <row r="145" spans="1:13">
      <c r="A145" s="2">
        <v>3465</v>
      </c>
      <c r="B145" s="2" t="s">
        <v>34964</v>
      </c>
      <c r="C145" s="2">
        <v>26</v>
      </c>
      <c r="D145" s="2">
        <v>341</v>
      </c>
      <c r="E145" s="2">
        <v>40</v>
      </c>
      <c r="F145" s="2">
        <v>32441</v>
      </c>
      <c r="G145" s="2">
        <v>61.83768328</v>
      </c>
      <c r="H145" s="3">
        <v>1.21E-34</v>
      </c>
      <c r="I145" s="2" t="s">
        <v>34965</v>
      </c>
      <c r="J145" s="2" t="s">
        <v>34966</v>
      </c>
      <c r="K145" s="3">
        <v>4.2900000000000003E-33</v>
      </c>
      <c r="L145" s="2" t="s">
        <v>35</v>
      </c>
      <c r="M145" s="4" t="s">
        <v>34967</v>
      </c>
    </row>
    <row r="146" spans="1:13">
      <c r="A146" s="2">
        <v>1625</v>
      </c>
      <c r="B146" s="2" t="s">
        <v>2860</v>
      </c>
      <c r="C146" s="2">
        <v>51</v>
      </c>
      <c r="D146" s="2">
        <v>341</v>
      </c>
      <c r="E146" s="2">
        <v>459</v>
      </c>
      <c r="F146" s="2">
        <v>32441</v>
      </c>
      <c r="G146" s="2">
        <v>10.57054415</v>
      </c>
      <c r="H146" s="3">
        <v>1.59E-34</v>
      </c>
      <c r="I146" s="3" t="s">
        <v>34968</v>
      </c>
      <c r="J146" s="3" t="s">
        <v>34969</v>
      </c>
      <c r="K146" s="3">
        <v>5.5999999999999998E-33</v>
      </c>
      <c r="L146" s="2" t="s">
        <v>35</v>
      </c>
      <c r="M146" s="4" t="s">
        <v>2863</v>
      </c>
    </row>
    <row r="147" spans="1:13">
      <c r="A147" s="2">
        <v>2490</v>
      </c>
      <c r="B147" s="2" t="s">
        <v>34970</v>
      </c>
      <c r="C147" s="2">
        <v>30</v>
      </c>
      <c r="D147" s="2">
        <v>341</v>
      </c>
      <c r="E147" s="2">
        <v>80</v>
      </c>
      <c r="F147" s="2">
        <v>32441</v>
      </c>
      <c r="G147" s="2">
        <v>35.675586510000002</v>
      </c>
      <c r="H147" s="3">
        <v>3.5500000000000002E-34</v>
      </c>
      <c r="I147" s="2" t="s">
        <v>34971</v>
      </c>
      <c r="J147" s="2" t="s">
        <v>34972</v>
      </c>
      <c r="K147" s="3">
        <v>1.24E-32</v>
      </c>
      <c r="L147" s="2" t="s">
        <v>35</v>
      </c>
      <c r="M147" s="4" t="s">
        <v>34973</v>
      </c>
    </row>
    <row r="148" spans="1:13">
      <c r="A148" s="2">
        <v>1901</v>
      </c>
      <c r="B148" s="2" t="s">
        <v>34974</v>
      </c>
      <c r="C148" s="2">
        <v>23</v>
      </c>
      <c r="D148" s="2">
        <v>341</v>
      </c>
      <c r="E148" s="2">
        <v>23</v>
      </c>
      <c r="F148" s="2">
        <v>32441</v>
      </c>
      <c r="G148" s="2">
        <v>95.134897359999997</v>
      </c>
      <c r="H148" s="3">
        <v>7.7600000000000006E-34</v>
      </c>
      <c r="I148" s="2" t="s">
        <v>34975</v>
      </c>
      <c r="J148" s="2" t="s">
        <v>34976</v>
      </c>
      <c r="K148" s="3">
        <v>2.6999999999999998E-32</v>
      </c>
      <c r="L148" s="2" t="s">
        <v>35</v>
      </c>
      <c r="M148" s="4" t="s">
        <v>34977</v>
      </c>
    </row>
    <row r="149" spans="1:13">
      <c r="A149" s="2">
        <v>4579</v>
      </c>
      <c r="B149" s="2" t="s">
        <v>34978</v>
      </c>
      <c r="C149" s="2">
        <v>46</v>
      </c>
      <c r="D149" s="2">
        <v>341</v>
      </c>
      <c r="E149" s="2">
        <v>364</v>
      </c>
      <c r="F149" s="2">
        <v>32441</v>
      </c>
      <c r="G149" s="2">
        <v>12.022541970000001</v>
      </c>
      <c r="H149" s="3">
        <v>2.0999999999999999E-33</v>
      </c>
      <c r="I149" s="2" t="s">
        <v>34979</v>
      </c>
      <c r="J149" s="2" t="s">
        <v>34980</v>
      </c>
      <c r="K149" s="3">
        <v>7.2300000000000005E-32</v>
      </c>
      <c r="L149" s="2" t="s">
        <v>35</v>
      </c>
      <c r="M149" s="4" t="s">
        <v>34981</v>
      </c>
    </row>
    <row r="150" spans="1:13">
      <c r="A150" s="2">
        <v>3981</v>
      </c>
      <c r="B150" s="2" t="s">
        <v>34982</v>
      </c>
      <c r="C150" s="2">
        <v>31</v>
      </c>
      <c r="D150" s="2">
        <v>341</v>
      </c>
      <c r="E150" s="2">
        <v>99</v>
      </c>
      <c r="F150" s="2">
        <v>32441</v>
      </c>
      <c r="G150" s="2">
        <v>29.789715340000001</v>
      </c>
      <c r="H150" s="3">
        <v>2.8500000000000001E-33</v>
      </c>
      <c r="I150" s="2" t="s">
        <v>34983</v>
      </c>
      <c r="J150" s="2" t="s">
        <v>34984</v>
      </c>
      <c r="K150" s="3">
        <v>9.7799999999999999E-32</v>
      </c>
      <c r="L150" s="2" t="s">
        <v>35</v>
      </c>
      <c r="M150" s="4" t="s">
        <v>34985</v>
      </c>
    </row>
    <row r="151" spans="1:13">
      <c r="A151" s="2">
        <v>2038</v>
      </c>
      <c r="B151" s="2" t="s">
        <v>34986</v>
      </c>
      <c r="C151" s="2">
        <v>24</v>
      </c>
      <c r="D151" s="2">
        <v>341</v>
      </c>
      <c r="E151" s="2">
        <v>33</v>
      </c>
      <c r="F151" s="2">
        <v>32441</v>
      </c>
      <c r="G151" s="2">
        <v>69.189016260000002</v>
      </c>
      <c r="H151" s="3">
        <v>6.2700000000000005E-33</v>
      </c>
      <c r="I151" s="2" t="s">
        <v>34987</v>
      </c>
      <c r="J151" s="2" t="s">
        <v>34988</v>
      </c>
      <c r="K151" s="3">
        <v>2.1299999999999999E-31</v>
      </c>
      <c r="L151" s="2" t="s">
        <v>35</v>
      </c>
      <c r="M151" s="4" t="s">
        <v>34989</v>
      </c>
    </row>
    <row r="152" spans="1:13">
      <c r="A152" s="2">
        <v>1044</v>
      </c>
      <c r="B152" s="2" t="s">
        <v>34990</v>
      </c>
      <c r="C152" s="2">
        <v>30</v>
      </c>
      <c r="D152" s="2">
        <v>341</v>
      </c>
      <c r="E152" s="2">
        <v>92</v>
      </c>
      <c r="F152" s="2">
        <v>32441</v>
      </c>
      <c r="G152" s="2">
        <v>31.02224914</v>
      </c>
      <c r="H152" s="3">
        <v>1.1400000000000001E-32</v>
      </c>
      <c r="I152" s="2" t="s">
        <v>34991</v>
      </c>
      <c r="J152" s="2" t="s">
        <v>34992</v>
      </c>
      <c r="K152" s="3">
        <v>3.8400000000000002E-31</v>
      </c>
      <c r="L152" s="2" t="s">
        <v>35</v>
      </c>
      <c r="M152" s="4" t="s">
        <v>34993</v>
      </c>
    </row>
    <row r="153" spans="1:13">
      <c r="A153" s="2">
        <v>2783</v>
      </c>
      <c r="B153" s="2" t="s">
        <v>34994</v>
      </c>
      <c r="C153" s="2">
        <v>25</v>
      </c>
      <c r="D153" s="2">
        <v>341</v>
      </c>
      <c r="E153" s="2">
        <v>42</v>
      </c>
      <c r="F153" s="2">
        <v>32441</v>
      </c>
      <c r="G153" s="2">
        <v>56.627915100000003</v>
      </c>
      <c r="H153" s="3">
        <v>1.24E-32</v>
      </c>
      <c r="I153" s="2" t="s">
        <v>34995</v>
      </c>
      <c r="J153" s="2" t="s">
        <v>34996</v>
      </c>
      <c r="K153" s="3">
        <v>4.1599999999999996E-31</v>
      </c>
      <c r="L153" s="2" t="s">
        <v>35</v>
      </c>
      <c r="M153" s="4" t="s">
        <v>34997</v>
      </c>
    </row>
    <row r="154" spans="1:13">
      <c r="A154" s="2">
        <v>4335</v>
      </c>
      <c r="B154" s="2" t="s">
        <v>2771</v>
      </c>
      <c r="C154" s="2">
        <v>34</v>
      </c>
      <c r="D154" s="2">
        <v>341</v>
      </c>
      <c r="E154" s="2">
        <v>147</v>
      </c>
      <c r="F154" s="2">
        <v>32441</v>
      </c>
      <c r="G154" s="2">
        <v>22.003989870000002</v>
      </c>
      <c r="H154" s="3">
        <v>1.31E-32</v>
      </c>
      <c r="I154" s="2" t="s">
        <v>34998</v>
      </c>
      <c r="J154" s="2" t="s">
        <v>34999</v>
      </c>
      <c r="K154" s="3">
        <v>4.3700000000000002E-31</v>
      </c>
      <c r="L154" s="2" t="s">
        <v>35</v>
      </c>
      <c r="M154" s="4" t="s">
        <v>2774</v>
      </c>
    </row>
    <row r="155" spans="1:13">
      <c r="A155" s="2">
        <v>911</v>
      </c>
      <c r="B155" s="2" t="s">
        <v>35000</v>
      </c>
      <c r="C155" s="2">
        <v>32</v>
      </c>
      <c r="D155" s="2">
        <v>341</v>
      </c>
      <c r="E155" s="2">
        <v>124</v>
      </c>
      <c r="F155" s="2">
        <v>32441</v>
      </c>
      <c r="G155" s="2">
        <v>24.550941250000001</v>
      </c>
      <c r="H155" s="3">
        <v>4.8100000000000001E-32</v>
      </c>
      <c r="I155" s="2" t="s">
        <v>35001</v>
      </c>
      <c r="J155" s="2" t="s">
        <v>35002</v>
      </c>
      <c r="K155" s="3">
        <v>1.5899999999999999E-30</v>
      </c>
      <c r="L155" s="2" t="s">
        <v>35</v>
      </c>
      <c r="M155" s="4" t="s">
        <v>35003</v>
      </c>
    </row>
    <row r="156" spans="1:13">
      <c r="A156" s="2">
        <v>2315</v>
      </c>
      <c r="B156" s="2" t="s">
        <v>35004</v>
      </c>
      <c r="C156" s="2">
        <v>55</v>
      </c>
      <c r="D156" s="2">
        <v>341</v>
      </c>
      <c r="E156" s="2">
        <v>637</v>
      </c>
      <c r="F156" s="2">
        <v>32441</v>
      </c>
      <c r="G156" s="2">
        <v>8.2141591129999991</v>
      </c>
      <c r="H156" s="3">
        <v>5.0100000000000003E-32</v>
      </c>
      <c r="I156" s="3" t="s">
        <v>35005</v>
      </c>
      <c r="J156" s="3" t="s">
        <v>35006</v>
      </c>
      <c r="K156" s="3">
        <v>1.6399999999999999E-30</v>
      </c>
      <c r="L156" s="2" t="s">
        <v>35</v>
      </c>
      <c r="M156" s="4" t="s">
        <v>35007</v>
      </c>
    </row>
    <row r="157" spans="1:13">
      <c r="A157" s="2">
        <v>3228</v>
      </c>
      <c r="B157" s="2" t="s">
        <v>35008</v>
      </c>
      <c r="C157" s="2">
        <v>26</v>
      </c>
      <c r="D157" s="2">
        <v>341</v>
      </c>
      <c r="E157" s="2">
        <v>56</v>
      </c>
      <c r="F157" s="2">
        <v>32441</v>
      </c>
      <c r="G157" s="2">
        <v>44.169773769999999</v>
      </c>
      <c r="H157" s="3">
        <v>1.0399999999999999E-31</v>
      </c>
      <c r="I157" s="2" t="s">
        <v>35009</v>
      </c>
      <c r="J157" s="2" t="s">
        <v>35010</v>
      </c>
      <c r="K157" s="3">
        <v>3.4000000000000003E-30</v>
      </c>
      <c r="L157" s="2" t="s">
        <v>35</v>
      </c>
      <c r="M157" s="4" t="s">
        <v>35011</v>
      </c>
    </row>
    <row r="158" spans="1:13">
      <c r="A158" s="2">
        <v>3775</v>
      </c>
      <c r="B158" s="2" t="s">
        <v>168</v>
      </c>
      <c r="C158" s="2">
        <v>35</v>
      </c>
      <c r="D158" s="2">
        <v>341</v>
      </c>
      <c r="E158" s="2">
        <v>175</v>
      </c>
      <c r="F158" s="2">
        <v>32441</v>
      </c>
      <c r="G158" s="2">
        <v>19.026979470000001</v>
      </c>
      <c r="H158" s="3">
        <v>1.2199999999999999E-31</v>
      </c>
      <c r="I158" s="2" t="s">
        <v>35012</v>
      </c>
      <c r="J158" s="2" t="s">
        <v>35013</v>
      </c>
      <c r="K158" s="3">
        <v>3.9599999999999999E-30</v>
      </c>
      <c r="L158" s="2" t="s">
        <v>35</v>
      </c>
      <c r="M158" s="4" t="s">
        <v>35014</v>
      </c>
    </row>
    <row r="159" spans="1:13">
      <c r="A159" s="2">
        <v>2633</v>
      </c>
      <c r="B159" s="2" t="s">
        <v>35015</v>
      </c>
      <c r="C159" s="2">
        <v>27</v>
      </c>
      <c r="D159" s="2">
        <v>341</v>
      </c>
      <c r="E159" s="2">
        <v>74</v>
      </c>
      <c r="F159" s="2">
        <v>32441</v>
      </c>
      <c r="G159" s="2">
        <v>34.711381469999999</v>
      </c>
      <c r="H159" s="3">
        <v>1.34E-30</v>
      </c>
      <c r="I159" s="2" t="s">
        <v>35016</v>
      </c>
      <c r="J159" s="2" t="s">
        <v>35017</v>
      </c>
      <c r="K159" s="3">
        <v>4.3100000000000001E-29</v>
      </c>
      <c r="L159" s="2" t="s">
        <v>35</v>
      </c>
      <c r="M159" s="4" t="s">
        <v>35018</v>
      </c>
    </row>
    <row r="160" spans="1:13">
      <c r="A160" s="2">
        <v>1294</v>
      </c>
      <c r="B160" s="2" t="s">
        <v>35019</v>
      </c>
      <c r="C160" s="2">
        <v>24</v>
      </c>
      <c r="D160" s="2">
        <v>341</v>
      </c>
      <c r="E160" s="2">
        <v>45</v>
      </c>
      <c r="F160" s="2">
        <v>32441</v>
      </c>
      <c r="G160" s="2">
        <v>50.738611929999998</v>
      </c>
      <c r="H160" s="3">
        <v>1.72E-30</v>
      </c>
      <c r="I160" s="2" t="s">
        <v>35020</v>
      </c>
      <c r="J160" s="2" t="s">
        <v>35021</v>
      </c>
      <c r="K160" s="3">
        <v>5.4900000000000002E-29</v>
      </c>
      <c r="L160" s="2" t="s">
        <v>35</v>
      </c>
      <c r="M160" s="4" t="s">
        <v>35022</v>
      </c>
    </row>
    <row r="161" spans="1:13">
      <c r="A161" s="2">
        <v>2160</v>
      </c>
      <c r="B161" s="2" t="s">
        <v>35023</v>
      </c>
      <c r="C161" s="2">
        <v>24</v>
      </c>
      <c r="D161" s="2">
        <v>341</v>
      </c>
      <c r="E161" s="2">
        <v>48</v>
      </c>
      <c r="F161" s="2">
        <v>32441</v>
      </c>
      <c r="G161" s="2">
        <v>47.567448679999998</v>
      </c>
      <c r="H161" s="3">
        <v>5.7600000000000001E-30</v>
      </c>
      <c r="I161" s="2" t="s">
        <v>35024</v>
      </c>
      <c r="J161" s="2" t="s">
        <v>35025</v>
      </c>
      <c r="K161" s="3">
        <v>1.83E-28</v>
      </c>
      <c r="L161" s="2" t="s">
        <v>35</v>
      </c>
      <c r="M161" s="4" t="s">
        <v>35026</v>
      </c>
    </row>
    <row r="162" spans="1:13">
      <c r="A162" s="2">
        <v>3006</v>
      </c>
      <c r="B162" s="2" t="s">
        <v>35027</v>
      </c>
      <c r="C162" s="2">
        <v>35</v>
      </c>
      <c r="D162" s="2">
        <v>341</v>
      </c>
      <c r="E162" s="2">
        <v>203</v>
      </c>
      <c r="F162" s="2">
        <v>32441</v>
      </c>
      <c r="G162" s="2">
        <v>16.402568509999998</v>
      </c>
      <c r="H162" s="3">
        <v>1.1E-29</v>
      </c>
      <c r="I162" s="2" t="s">
        <v>35028</v>
      </c>
      <c r="J162" s="2" t="s">
        <v>35029</v>
      </c>
      <c r="K162" s="3">
        <v>3.45E-28</v>
      </c>
      <c r="L162" s="2" t="s">
        <v>35</v>
      </c>
      <c r="M162" s="4" t="s">
        <v>35030</v>
      </c>
    </row>
    <row r="163" spans="1:13">
      <c r="A163" s="2">
        <v>3406</v>
      </c>
      <c r="B163" s="2" t="s">
        <v>35031</v>
      </c>
      <c r="C163" s="2">
        <v>23</v>
      </c>
      <c r="D163" s="2">
        <v>341</v>
      </c>
      <c r="E163" s="2">
        <v>41</v>
      </c>
      <c r="F163" s="2">
        <v>32441</v>
      </c>
      <c r="G163" s="2">
        <v>53.368357060000001</v>
      </c>
      <c r="H163" s="3">
        <v>1.17E-29</v>
      </c>
      <c r="I163" s="2" t="s">
        <v>35032</v>
      </c>
      <c r="J163" s="2" t="s">
        <v>35033</v>
      </c>
      <c r="K163" s="3">
        <v>3.66E-28</v>
      </c>
      <c r="L163" s="2" t="s">
        <v>35</v>
      </c>
      <c r="M163" s="4" t="s">
        <v>35034</v>
      </c>
    </row>
    <row r="164" spans="1:13">
      <c r="A164" s="2">
        <v>3138</v>
      </c>
      <c r="B164" s="2" t="s">
        <v>35035</v>
      </c>
      <c r="C164" s="2">
        <v>23</v>
      </c>
      <c r="D164" s="2">
        <v>341</v>
      </c>
      <c r="E164" s="2">
        <v>43</v>
      </c>
      <c r="F164" s="2">
        <v>32441</v>
      </c>
      <c r="G164" s="2">
        <v>50.886107889999998</v>
      </c>
      <c r="H164" s="3">
        <v>2.7200000000000002E-29</v>
      </c>
      <c r="I164" s="2" t="s">
        <v>35036</v>
      </c>
      <c r="J164" s="2" t="s">
        <v>35037</v>
      </c>
      <c r="K164" s="3">
        <v>8.4799999999999998E-28</v>
      </c>
      <c r="L164" s="2" t="s">
        <v>35</v>
      </c>
      <c r="M164" s="4" t="s">
        <v>35038</v>
      </c>
    </row>
    <row r="165" spans="1:13">
      <c r="A165" s="2">
        <v>4618</v>
      </c>
      <c r="B165" s="2" t="s">
        <v>35039</v>
      </c>
      <c r="C165" s="2">
        <v>21</v>
      </c>
      <c r="D165" s="2">
        <v>341</v>
      </c>
      <c r="E165" s="2">
        <v>28</v>
      </c>
      <c r="F165" s="2">
        <v>32441</v>
      </c>
      <c r="G165" s="2">
        <v>71.351173020000004</v>
      </c>
      <c r="H165" s="3">
        <v>3.69E-29</v>
      </c>
      <c r="I165" s="2" t="s">
        <v>35040</v>
      </c>
      <c r="J165" s="2" t="s">
        <v>35041</v>
      </c>
      <c r="K165" s="3">
        <v>1.1400000000000001E-27</v>
      </c>
      <c r="L165" s="2" t="s">
        <v>35</v>
      </c>
      <c r="M165" s="4" t="s">
        <v>35042</v>
      </c>
    </row>
    <row r="166" spans="1:13">
      <c r="A166" s="2">
        <v>2262</v>
      </c>
      <c r="B166" s="2" t="s">
        <v>24966</v>
      </c>
      <c r="C166" s="2">
        <v>28</v>
      </c>
      <c r="D166" s="2">
        <v>341</v>
      </c>
      <c r="E166" s="2">
        <v>101</v>
      </c>
      <c r="F166" s="2">
        <v>32441</v>
      </c>
      <c r="G166" s="2">
        <v>26.374030950000002</v>
      </c>
      <c r="H166" s="3">
        <v>6.62E-29</v>
      </c>
      <c r="I166" s="2" t="s">
        <v>35043</v>
      </c>
      <c r="J166" s="2" t="s">
        <v>35044</v>
      </c>
      <c r="K166" s="3">
        <v>2.0300000000000001E-27</v>
      </c>
      <c r="L166" s="2" t="s">
        <v>35</v>
      </c>
      <c r="M166" s="4" t="s">
        <v>24969</v>
      </c>
    </row>
    <row r="167" spans="1:13">
      <c r="A167" s="2">
        <v>537</v>
      </c>
      <c r="B167" s="2" t="s">
        <v>35045</v>
      </c>
      <c r="C167" s="2">
        <v>23</v>
      </c>
      <c r="D167" s="2">
        <v>341</v>
      </c>
      <c r="E167" s="2">
        <v>46</v>
      </c>
      <c r="F167" s="2">
        <v>32441</v>
      </c>
      <c r="G167" s="2">
        <v>47.567448679999998</v>
      </c>
      <c r="H167" s="3">
        <v>9.1400000000000002E-29</v>
      </c>
      <c r="I167" s="2" t="s">
        <v>35046</v>
      </c>
      <c r="J167" s="2" t="s">
        <v>35047</v>
      </c>
      <c r="K167" s="3">
        <v>2.7900000000000001E-27</v>
      </c>
      <c r="L167" s="2" t="s">
        <v>35</v>
      </c>
      <c r="M167" s="4" t="s">
        <v>35048</v>
      </c>
    </row>
    <row r="168" spans="1:13">
      <c r="A168" s="2">
        <v>4031</v>
      </c>
      <c r="B168" s="2" t="s">
        <v>35049</v>
      </c>
      <c r="C168" s="2">
        <v>23</v>
      </c>
      <c r="D168" s="2">
        <v>341</v>
      </c>
      <c r="E168" s="2">
        <v>52</v>
      </c>
      <c r="F168" s="2">
        <v>32441</v>
      </c>
      <c r="G168" s="2">
        <v>42.078896909999997</v>
      </c>
      <c r="H168" s="3">
        <v>8.5500000000000005E-28</v>
      </c>
      <c r="I168" s="2" t="s">
        <v>35050</v>
      </c>
      <c r="J168" s="2" t="s">
        <v>35051</v>
      </c>
      <c r="K168" s="3">
        <v>2.5900000000000001E-26</v>
      </c>
      <c r="L168" s="2" t="s">
        <v>35</v>
      </c>
      <c r="M168" s="4" t="s">
        <v>35052</v>
      </c>
    </row>
    <row r="169" spans="1:13">
      <c r="A169" s="2">
        <v>2845</v>
      </c>
      <c r="B169" s="2" t="s">
        <v>35053</v>
      </c>
      <c r="C169" s="2">
        <v>29</v>
      </c>
      <c r="D169" s="2">
        <v>341</v>
      </c>
      <c r="E169" s="2">
        <v>131</v>
      </c>
      <c r="F169" s="2">
        <v>32441</v>
      </c>
      <c r="G169" s="2">
        <v>21.060397129999998</v>
      </c>
      <c r="H169" s="3">
        <v>1.7400000000000002E-27</v>
      </c>
      <c r="I169" s="2" t="s">
        <v>35054</v>
      </c>
      <c r="J169" s="2" t="s">
        <v>35055</v>
      </c>
      <c r="K169" s="3">
        <v>5.26E-26</v>
      </c>
      <c r="L169" s="2" t="s">
        <v>35</v>
      </c>
      <c r="M169" s="4" t="s">
        <v>35056</v>
      </c>
    </row>
    <row r="170" spans="1:13">
      <c r="A170" s="2">
        <v>1413</v>
      </c>
      <c r="B170" s="2" t="s">
        <v>35057</v>
      </c>
      <c r="C170" s="2">
        <v>30</v>
      </c>
      <c r="D170" s="2">
        <v>341</v>
      </c>
      <c r="E170" s="2">
        <v>152</v>
      </c>
      <c r="F170" s="2">
        <v>32441</v>
      </c>
      <c r="G170" s="2">
        <v>18.776624479999999</v>
      </c>
      <c r="H170" s="3">
        <v>4.1499999999999997E-27</v>
      </c>
      <c r="I170" s="2" t="s">
        <v>35058</v>
      </c>
      <c r="J170" s="2" t="s">
        <v>35059</v>
      </c>
      <c r="K170" s="3">
        <v>1.2399999999999999E-25</v>
      </c>
      <c r="L170" s="2" t="s">
        <v>35</v>
      </c>
      <c r="M170" s="4" t="s">
        <v>35060</v>
      </c>
    </row>
    <row r="171" spans="1:13">
      <c r="A171" s="2">
        <v>1238</v>
      </c>
      <c r="B171" s="2" t="s">
        <v>35061</v>
      </c>
      <c r="C171" s="2">
        <v>21</v>
      </c>
      <c r="D171" s="2">
        <v>341</v>
      </c>
      <c r="E171" s="2">
        <v>38</v>
      </c>
      <c r="F171" s="2">
        <v>32441</v>
      </c>
      <c r="G171" s="2">
        <v>52.574548540000002</v>
      </c>
      <c r="H171" s="3">
        <v>4.4700000000000001E-27</v>
      </c>
      <c r="I171" s="2" t="s">
        <v>35062</v>
      </c>
      <c r="J171" s="2" t="s">
        <v>35063</v>
      </c>
      <c r="K171" s="3">
        <v>1.3199999999999999E-25</v>
      </c>
      <c r="L171" s="2" t="s">
        <v>35</v>
      </c>
      <c r="M171" s="4" t="s">
        <v>35064</v>
      </c>
    </row>
    <row r="172" spans="1:13">
      <c r="A172" s="2">
        <v>1299</v>
      </c>
      <c r="B172" s="2" t="s">
        <v>35065</v>
      </c>
      <c r="C172" s="2">
        <v>20</v>
      </c>
      <c r="D172" s="2">
        <v>341</v>
      </c>
      <c r="E172" s="2">
        <v>30</v>
      </c>
      <c r="F172" s="2">
        <v>32441</v>
      </c>
      <c r="G172" s="2">
        <v>63.42326491</v>
      </c>
      <c r="H172" s="3">
        <v>4.4599999999999999E-27</v>
      </c>
      <c r="I172" s="2" t="s">
        <v>35066</v>
      </c>
      <c r="J172" s="2" t="s">
        <v>35067</v>
      </c>
      <c r="K172" s="3">
        <v>1.3199999999999999E-25</v>
      </c>
      <c r="L172" s="2" t="s">
        <v>35</v>
      </c>
      <c r="M172" s="4" t="s">
        <v>35068</v>
      </c>
    </row>
    <row r="173" spans="1:13">
      <c r="A173" s="2">
        <v>959</v>
      </c>
      <c r="B173" s="2" t="s">
        <v>35069</v>
      </c>
      <c r="C173" s="2">
        <v>25</v>
      </c>
      <c r="D173" s="2">
        <v>341</v>
      </c>
      <c r="E173" s="2">
        <v>81</v>
      </c>
      <c r="F173" s="2">
        <v>32441</v>
      </c>
      <c r="G173" s="2">
        <v>29.362622640000001</v>
      </c>
      <c r="H173" s="3">
        <v>6.5700000000000006E-27</v>
      </c>
      <c r="I173" s="2" t="s">
        <v>35070</v>
      </c>
      <c r="J173" s="2" t="s">
        <v>35071</v>
      </c>
      <c r="K173" s="3">
        <v>1.93E-25</v>
      </c>
      <c r="L173" s="2" t="s">
        <v>35</v>
      </c>
      <c r="M173" s="4" t="s">
        <v>35072</v>
      </c>
    </row>
    <row r="174" spans="1:13">
      <c r="A174" s="2">
        <v>657</v>
      </c>
      <c r="B174" s="2" t="s">
        <v>35073</v>
      </c>
      <c r="C174" s="2">
        <v>20</v>
      </c>
      <c r="D174" s="2">
        <v>341</v>
      </c>
      <c r="E174" s="2">
        <v>31</v>
      </c>
      <c r="F174" s="2">
        <v>32441</v>
      </c>
      <c r="G174" s="2">
        <v>61.377353139999997</v>
      </c>
      <c r="H174" s="3">
        <v>7.2700000000000001E-27</v>
      </c>
      <c r="I174" s="2" t="s">
        <v>35074</v>
      </c>
      <c r="J174" s="2" t="s">
        <v>35075</v>
      </c>
      <c r="K174" s="3">
        <v>2.12E-25</v>
      </c>
      <c r="L174" s="2" t="s">
        <v>35</v>
      </c>
      <c r="M174" s="4" t="s">
        <v>35076</v>
      </c>
    </row>
    <row r="175" spans="1:13">
      <c r="A175" s="2">
        <v>2368</v>
      </c>
      <c r="B175" s="2" t="s">
        <v>35077</v>
      </c>
      <c r="C175" s="2">
        <v>31</v>
      </c>
      <c r="D175" s="2">
        <v>341</v>
      </c>
      <c r="E175" s="2">
        <v>176</v>
      </c>
      <c r="F175" s="2">
        <v>32441</v>
      </c>
      <c r="G175" s="2">
        <v>16.756714880000001</v>
      </c>
      <c r="H175" s="3">
        <v>1.18E-26</v>
      </c>
      <c r="I175" s="2" t="s">
        <v>35078</v>
      </c>
      <c r="J175" s="2" t="s">
        <v>35079</v>
      </c>
      <c r="K175" s="3">
        <v>3.4399999999999999E-25</v>
      </c>
      <c r="L175" s="2" t="s">
        <v>35</v>
      </c>
      <c r="M175" s="4" t="s">
        <v>35080</v>
      </c>
    </row>
    <row r="176" spans="1:13">
      <c r="A176" s="2">
        <v>3932</v>
      </c>
      <c r="B176" s="2" t="s">
        <v>35081</v>
      </c>
      <c r="C176" s="2">
        <v>39</v>
      </c>
      <c r="D176" s="2">
        <v>341</v>
      </c>
      <c r="E176" s="2">
        <v>356</v>
      </c>
      <c r="F176" s="2">
        <v>32441</v>
      </c>
      <c r="G176" s="2">
        <v>10.42208145</v>
      </c>
      <c r="H176" s="3">
        <v>2.5599999999999999E-26</v>
      </c>
      <c r="I176" s="2" t="s">
        <v>35082</v>
      </c>
      <c r="J176" s="2" t="s">
        <v>35083</v>
      </c>
      <c r="K176" s="3">
        <v>7.3900000000000002E-25</v>
      </c>
      <c r="L176" s="2" t="s">
        <v>35</v>
      </c>
      <c r="M176" s="4" t="s">
        <v>35084</v>
      </c>
    </row>
    <row r="177" spans="1:13">
      <c r="A177" s="2">
        <v>1645</v>
      </c>
      <c r="B177" s="2" t="s">
        <v>35085</v>
      </c>
      <c r="C177" s="2">
        <v>25</v>
      </c>
      <c r="D177" s="2">
        <v>341</v>
      </c>
      <c r="E177" s="2">
        <v>87</v>
      </c>
      <c r="F177" s="2">
        <v>32441</v>
      </c>
      <c r="G177" s="2">
        <v>27.337614179999999</v>
      </c>
      <c r="H177" s="3">
        <v>2.9400000000000003E-26</v>
      </c>
      <c r="I177" s="2" t="s">
        <v>35086</v>
      </c>
      <c r="J177" s="2" t="s">
        <v>35087</v>
      </c>
      <c r="K177" s="3">
        <v>8.45E-25</v>
      </c>
      <c r="L177" s="2" t="s">
        <v>35</v>
      </c>
      <c r="M177" s="4" t="s">
        <v>35088</v>
      </c>
    </row>
    <row r="178" spans="1:13">
      <c r="A178" s="2">
        <v>1763</v>
      </c>
      <c r="B178" s="2" t="s">
        <v>2931</v>
      </c>
      <c r="C178" s="2">
        <v>77</v>
      </c>
      <c r="D178" s="2">
        <v>341</v>
      </c>
      <c r="E178" s="2">
        <v>1781</v>
      </c>
      <c r="F178" s="2">
        <v>32441</v>
      </c>
      <c r="G178" s="2">
        <v>4.1130752929999996</v>
      </c>
      <c r="H178" s="3">
        <v>6.6799999999999995E-26</v>
      </c>
      <c r="I178" s="3" t="s">
        <v>35089</v>
      </c>
      <c r="J178" s="3" t="s">
        <v>35090</v>
      </c>
      <c r="K178" s="3">
        <v>1.9000000000000001E-24</v>
      </c>
      <c r="L178" s="2" t="s">
        <v>35</v>
      </c>
      <c r="M178" s="4" t="s">
        <v>2934</v>
      </c>
    </row>
    <row r="179" spans="1:13">
      <c r="A179" s="2">
        <v>2739</v>
      </c>
      <c r="B179" s="2" t="s">
        <v>5586</v>
      </c>
      <c r="C179" s="2">
        <v>30</v>
      </c>
      <c r="D179" s="2">
        <v>341</v>
      </c>
      <c r="E179" s="2">
        <v>176</v>
      </c>
      <c r="F179" s="2">
        <v>32441</v>
      </c>
      <c r="G179" s="2">
        <v>16.21617569</v>
      </c>
      <c r="H179" s="3">
        <v>1.86E-25</v>
      </c>
      <c r="I179" s="2" t="s">
        <v>35091</v>
      </c>
      <c r="J179" s="2" t="s">
        <v>35092</v>
      </c>
      <c r="K179" s="3">
        <v>5.2799999999999997E-24</v>
      </c>
      <c r="L179" s="2" t="s">
        <v>35</v>
      </c>
      <c r="M179" s="4" t="s">
        <v>5589</v>
      </c>
    </row>
    <row r="180" spans="1:13">
      <c r="A180" s="2">
        <v>1831</v>
      </c>
      <c r="B180" s="2" t="s">
        <v>24415</v>
      </c>
      <c r="C180" s="2">
        <v>46</v>
      </c>
      <c r="D180" s="2">
        <v>341</v>
      </c>
      <c r="E180" s="2">
        <v>584</v>
      </c>
      <c r="F180" s="2">
        <v>32441</v>
      </c>
      <c r="G180" s="2">
        <v>7.493502189</v>
      </c>
      <c r="H180" s="3">
        <v>2.8500000000000002E-25</v>
      </c>
      <c r="I180" s="2" t="s">
        <v>35093</v>
      </c>
      <c r="J180" s="2" t="s">
        <v>35094</v>
      </c>
      <c r="K180" s="3">
        <v>8.0200000000000001E-24</v>
      </c>
      <c r="L180" s="2" t="s">
        <v>35</v>
      </c>
      <c r="M180" s="4" t="s">
        <v>24418</v>
      </c>
    </row>
    <row r="181" spans="1:13">
      <c r="A181" s="2">
        <v>4144</v>
      </c>
      <c r="B181" s="2" t="s">
        <v>35095</v>
      </c>
      <c r="C181" s="2">
        <v>24</v>
      </c>
      <c r="D181" s="2">
        <v>341</v>
      </c>
      <c r="E181" s="2">
        <v>85</v>
      </c>
      <c r="F181" s="2">
        <v>32441</v>
      </c>
      <c r="G181" s="2">
        <v>26.86161808</v>
      </c>
      <c r="H181" s="3">
        <v>4.2399999999999999E-25</v>
      </c>
      <c r="I181" s="2" t="s">
        <v>35096</v>
      </c>
      <c r="J181" s="2" t="s">
        <v>35097</v>
      </c>
      <c r="K181" s="3">
        <v>1.1899999999999999E-23</v>
      </c>
      <c r="L181" s="2" t="s">
        <v>35</v>
      </c>
      <c r="M181" s="4" t="s">
        <v>35098</v>
      </c>
    </row>
    <row r="182" spans="1:13">
      <c r="A182" s="2">
        <v>2903</v>
      </c>
      <c r="B182" s="2" t="s">
        <v>35099</v>
      </c>
      <c r="C182" s="2">
        <v>19</v>
      </c>
      <c r="D182" s="2">
        <v>341</v>
      </c>
      <c r="E182" s="2">
        <v>33</v>
      </c>
      <c r="F182" s="2">
        <v>32441</v>
      </c>
      <c r="G182" s="2">
        <v>54.774637869999999</v>
      </c>
      <c r="H182" s="3">
        <v>7.15E-25</v>
      </c>
      <c r="I182" s="2" t="s">
        <v>35100</v>
      </c>
      <c r="J182" s="2" t="s">
        <v>35101</v>
      </c>
      <c r="K182" s="3">
        <v>1.9899999999999999E-23</v>
      </c>
      <c r="L182" s="2" t="s">
        <v>35</v>
      </c>
      <c r="M182" s="4" t="s">
        <v>35102</v>
      </c>
    </row>
    <row r="183" spans="1:13">
      <c r="A183" s="2">
        <v>4024</v>
      </c>
      <c r="B183" s="2" t="s">
        <v>25193</v>
      </c>
      <c r="C183" s="2">
        <v>30</v>
      </c>
      <c r="D183" s="2">
        <v>341</v>
      </c>
      <c r="E183" s="2">
        <v>188</v>
      </c>
      <c r="F183" s="2">
        <v>32441</v>
      </c>
      <c r="G183" s="2">
        <v>15.18110064</v>
      </c>
      <c r="H183" s="3">
        <v>1.04E-24</v>
      </c>
      <c r="I183" s="2" t="s">
        <v>35103</v>
      </c>
      <c r="J183" s="2" t="s">
        <v>35104</v>
      </c>
      <c r="K183" s="3">
        <v>2.87E-23</v>
      </c>
      <c r="L183" s="2" t="s">
        <v>35</v>
      </c>
      <c r="M183" s="4" t="s">
        <v>25196</v>
      </c>
    </row>
    <row r="184" spans="1:13">
      <c r="A184" s="2">
        <v>1104</v>
      </c>
      <c r="B184" s="2" t="s">
        <v>25553</v>
      </c>
      <c r="C184" s="2">
        <v>26</v>
      </c>
      <c r="D184" s="2">
        <v>341</v>
      </c>
      <c r="E184" s="2">
        <v>122</v>
      </c>
      <c r="F184" s="2">
        <v>32441</v>
      </c>
      <c r="G184" s="2">
        <v>20.274650260000001</v>
      </c>
      <c r="H184" s="3">
        <v>2.1800000000000001E-24</v>
      </c>
      <c r="I184" s="2" t="s">
        <v>35105</v>
      </c>
      <c r="J184" s="2" t="s">
        <v>35106</v>
      </c>
      <c r="K184" s="3">
        <v>6.0099999999999995E-23</v>
      </c>
      <c r="L184" s="2" t="s">
        <v>35</v>
      </c>
      <c r="M184" s="4" t="s">
        <v>25556</v>
      </c>
    </row>
    <row r="185" spans="1:13">
      <c r="A185" s="2">
        <v>76</v>
      </c>
      <c r="B185" s="2" t="s">
        <v>35107</v>
      </c>
      <c r="C185" s="2">
        <v>19</v>
      </c>
      <c r="D185" s="2">
        <v>341</v>
      </c>
      <c r="E185" s="2">
        <v>36</v>
      </c>
      <c r="F185" s="2">
        <v>32441</v>
      </c>
      <c r="G185" s="2">
        <v>50.210084719999998</v>
      </c>
      <c r="H185" s="3">
        <v>2.5500000000000001E-24</v>
      </c>
      <c r="I185" s="2" t="s">
        <v>35108</v>
      </c>
      <c r="J185" s="2" t="s">
        <v>35109</v>
      </c>
      <c r="K185" s="3">
        <v>6.9900000000000004E-23</v>
      </c>
      <c r="L185" s="2" t="s">
        <v>35</v>
      </c>
      <c r="M185" s="4" t="s">
        <v>35110</v>
      </c>
    </row>
    <row r="186" spans="1:13">
      <c r="A186" s="2">
        <v>1330</v>
      </c>
      <c r="B186" s="2" t="s">
        <v>35111</v>
      </c>
      <c r="C186" s="2">
        <v>34</v>
      </c>
      <c r="D186" s="2">
        <v>341</v>
      </c>
      <c r="E186" s="2">
        <v>285</v>
      </c>
      <c r="F186" s="2">
        <v>32441</v>
      </c>
      <c r="G186" s="2">
        <v>11.34942635</v>
      </c>
      <c r="H186" s="3">
        <v>3.8099999999999999E-24</v>
      </c>
      <c r="I186" s="2" t="s">
        <v>35112</v>
      </c>
      <c r="J186" s="2" t="s">
        <v>35113</v>
      </c>
      <c r="K186" s="3">
        <v>1.04E-22</v>
      </c>
      <c r="L186" s="2" t="s">
        <v>35</v>
      </c>
      <c r="M186" s="4" t="s">
        <v>35114</v>
      </c>
    </row>
    <row r="187" spans="1:13">
      <c r="A187" s="2">
        <v>458</v>
      </c>
      <c r="B187" s="2" t="s">
        <v>35115</v>
      </c>
      <c r="C187" s="2">
        <v>19</v>
      </c>
      <c r="D187" s="2">
        <v>341</v>
      </c>
      <c r="E187" s="2">
        <v>39</v>
      </c>
      <c r="F187" s="2">
        <v>32441</v>
      </c>
      <c r="G187" s="2">
        <v>46.347770509999997</v>
      </c>
      <c r="H187" s="3">
        <v>8.3800000000000005E-24</v>
      </c>
      <c r="I187" s="2" t="s">
        <v>35116</v>
      </c>
      <c r="J187" s="2" t="s">
        <v>35117</v>
      </c>
      <c r="K187" s="3">
        <v>2.2499999999999999E-22</v>
      </c>
      <c r="L187" s="2" t="s">
        <v>35</v>
      </c>
      <c r="M187" s="4" t="s">
        <v>35118</v>
      </c>
    </row>
    <row r="188" spans="1:13">
      <c r="A188" s="2">
        <v>481</v>
      </c>
      <c r="B188" s="2" t="s">
        <v>35119</v>
      </c>
      <c r="C188" s="2">
        <v>19</v>
      </c>
      <c r="D188" s="2">
        <v>341</v>
      </c>
      <c r="E188" s="2">
        <v>39</v>
      </c>
      <c r="F188" s="2">
        <v>32441</v>
      </c>
      <c r="G188" s="2">
        <v>46.347770509999997</v>
      </c>
      <c r="H188" s="3">
        <v>8.3800000000000005E-24</v>
      </c>
      <c r="I188" s="2" t="s">
        <v>35120</v>
      </c>
      <c r="J188" s="2" t="s">
        <v>35121</v>
      </c>
      <c r="K188" s="3">
        <v>2.2499999999999999E-22</v>
      </c>
      <c r="L188" s="2" t="s">
        <v>35</v>
      </c>
      <c r="M188" s="4" t="s">
        <v>35122</v>
      </c>
    </row>
    <row r="189" spans="1:13">
      <c r="A189" s="2">
        <v>1738</v>
      </c>
      <c r="B189" s="2" t="s">
        <v>35123</v>
      </c>
      <c r="C189" s="2">
        <v>20</v>
      </c>
      <c r="D189" s="2">
        <v>341</v>
      </c>
      <c r="E189" s="2">
        <v>50</v>
      </c>
      <c r="F189" s="2">
        <v>32441</v>
      </c>
      <c r="G189" s="2">
        <v>38.053958940000001</v>
      </c>
      <c r="H189" s="3">
        <v>1.27E-23</v>
      </c>
      <c r="I189" s="2" t="s">
        <v>35124</v>
      </c>
      <c r="J189" s="2" t="s">
        <v>35125</v>
      </c>
      <c r="K189" s="3">
        <v>3.3999999999999998E-22</v>
      </c>
      <c r="L189" s="2" t="s">
        <v>35</v>
      </c>
      <c r="M189" s="4" t="s">
        <v>35126</v>
      </c>
    </row>
    <row r="190" spans="1:13">
      <c r="A190" s="2">
        <v>476</v>
      </c>
      <c r="B190" s="2" t="s">
        <v>25295</v>
      </c>
      <c r="C190" s="2">
        <v>22</v>
      </c>
      <c r="D190" s="2">
        <v>341</v>
      </c>
      <c r="E190" s="2">
        <v>74</v>
      </c>
      <c r="F190" s="2">
        <v>32441</v>
      </c>
      <c r="G190" s="2">
        <v>28.283347859999999</v>
      </c>
      <c r="H190" s="3">
        <v>1.5999999999999999E-23</v>
      </c>
      <c r="I190" s="2" t="s">
        <v>35127</v>
      </c>
      <c r="J190" s="2" t="s">
        <v>35128</v>
      </c>
      <c r="K190" s="3">
        <v>4.2599999999999997E-22</v>
      </c>
      <c r="L190" s="2" t="s">
        <v>35</v>
      </c>
      <c r="M190" s="4" t="s">
        <v>25298</v>
      </c>
    </row>
    <row r="191" spans="1:13">
      <c r="A191" s="2">
        <v>1517</v>
      </c>
      <c r="B191" s="2" t="s">
        <v>35129</v>
      </c>
      <c r="C191" s="2">
        <v>20</v>
      </c>
      <c r="D191" s="2">
        <v>341</v>
      </c>
      <c r="E191" s="2">
        <v>53</v>
      </c>
      <c r="F191" s="2">
        <v>32441</v>
      </c>
      <c r="G191" s="2">
        <v>35.899961269999999</v>
      </c>
      <c r="H191" s="3">
        <v>3.2800000000000001E-23</v>
      </c>
      <c r="I191" s="2" t="s">
        <v>35130</v>
      </c>
      <c r="J191" s="2" t="s">
        <v>35131</v>
      </c>
      <c r="K191" s="3">
        <v>8.6699999999999995E-22</v>
      </c>
      <c r="L191" s="2" t="s">
        <v>35</v>
      </c>
      <c r="M191" s="4" t="s">
        <v>35132</v>
      </c>
    </row>
    <row r="192" spans="1:13">
      <c r="A192" s="2">
        <v>3661</v>
      </c>
      <c r="B192" s="2" t="s">
        <v>35133</v>
      </c>
      <c r="C192" s="2">
        <v>33</v>
      </c>
      <c r="D192" s="2">
        <v>341</v>
      </c>
      <c r="E192" s="2">
        <v>285</v>
      </c>
      <c r="F192" s="2">
        <v>32441</v>
      </c>
      <c r="G192" s="2">
        <v>11.015619689999999</v>
      </c>
      <c r="H192" s="3">
        <v>4.29E-23</v>
      </c>
      <c r="I192" s="2" t="s">
        <v>35134</v>
      </c>
      <c r="J192" s="2" t="s">
        <v>35135</v>
      </c>
      <c r="K192" s="3">
        <v>1.13E-21</v>
      </c>
      <c r="L192" s="2" t="s">
        <v>35</v>
      </c>
      <c r="M192" s="4" t="s">
        <v>35136</v>
      </c>
    </row>
    <row r="193" spans="1:13">
      <c r="A193" s="2">
        <v>1328</v>
      </c>
      <c r="B193" s="2" t="s">
        <v>2913</v>
      </c>
      <c r="C193" s="2">
        <v>23</v>
      </c>
      <c r="D193" s="2">
        <v>341</v>
      </c>
      <c r="E193" s="2">
        <v>98</v>
      </c>
      <c r="F193" s="2">
        <v>32441</v>
      </c>
      <c r="G193" s="2">
        <v>22.327577949999998</v>
      </c>
      <c r="H193" s="3">
        <v>1.5500000000000001E-22</v>
      </c>
      <c r="I193" s="2" t="s">
        <v>35137</v>
      </c>
      <c r="J193" s="2" t="s">
        <v>35138</v>
      </c>
      <c r="K193" s="3">
        <v>4.0599999999999997E-21</v>
      </c>
      <c r="L193" s="2" t="s">
        <v>35</v>
      </c>
      <c r="M193" s="4" t="s">
        <v>2916</v>
      </c>
    </row>
    <row r="194" spans="1:13">
      <c r="A194" s="2">
        <v>3306</v>
      </c>
      <c r="B194" s="2" t="s">
        <v>35139</v>
      </c>
      <c r="C194" s="2">
        <v>18</v>
      </c>
      <c r="D194" s="2">
        <v>341</v>
      </c>
      <c r="E194" s="2">
        <v>40</v>
      </c>
      <c r="F194" s="2">
        <v>32441</v>
      </c>
      <c r="G194" s="2">
        <v>42.81070381</v>
      </c>
      <c r="H194" s="3">
        <v>4.0000000000000002E-22</v>
      </c>
      <c r="I194" s="2" t="s">
        <v>35140</v>
      </c>
      <c r="J194" s="2" t="s">
        <v>35141</v>
      </c>
      <c r="K194" s="3">
        <v>1.0400000000000001E-20</v>
      </c>
      <c r="L194" s="2" t="s">
        <v>35</v>
      </c>
      <c r="M194" s="4" t="s">
        <v>35142</v>
      </c>
    </row>
    <row r="195" spans="1:13">
      <c r="A195" s="2">
        <v>2467</v>
      </c>
      <c r="B195" s="2" t="s">
        <v>35143</v>
      </c>
      <c r="C195" s="2">
        <v>20</v>
      </c>
      <c r="D195" s="2">
        <v>341</v>
      </c>
      <c r="E195" s="2">
        <v>62</v>
      </c>
      <c r="F195" s="2">
        <v>32441</v>
      </c>
      <c r="G195" s="2">
        <v>30.688676569999998</v>
      </c>
      <c r="H195" s="3">
        <v>4.3499999999999998E-22</v>
      </c>
      <c r="I195" s="2" t="s">
        <v>35144</v>
      </c>
      <c r="J195" s="2" t="s">
        <v>35145</v>
      </c>
      <c r="K195" s="3">
        <v>1.13E-20</v>
      </c>
      <c r="L195" s="2" t="s">
        <v>35</v>
      </c>
      <c r="M195" s="4" t="s">
        <v>35146</v>
      </c>
    </row>
    <row r="196" spans="1:13">
      <c r="A196" s="2">
        <v>1906</v>
      </c>
      <c r="B196" s="2" t="s">
        <v>35147</v>
      </c>
      <c r="C196" s="2">
        <v>21</v>
      </c>
      <c r="D196" s="2">
        <v>341</v>
      </c>
      <c r="E196" s="2">
        <v>77</v>
      </c>
      <c r="F196" s="2">
        <v>32441</v>
      </c>
      <c r="G196" s="2">
        <v>25.945881100000001</v>
      </c>
      <c r="H196" s="3">
        <v>7.5899999999999998E-22</v>
      </c>
      <c r="I196" s="2" t="s">
        <v>35148</v>
      </c>
      <c r="J196" s="2" t="s">
        <v>35149</v>
      </c>
      <c r="K196" s="3">
        <v>1.95E-20</v>
      </c>
      <c r="L196" s="2" t="s">
        <v>35</v>
      </c>
      <c r="M196" s="4" t="s">
        <v>35150</v>
      </c>
    </row>
    <row r="197" spans="1:13">
      <c r="A197" s="2">
        <v>1208</v>
      </c>
      <c r="B197" s="2" t="s">
        <v>35151</v>
      </c>
      <c r="C197" s="2">
        <v>17</v>
      </c>
      <c r="D197" s="2">
        <v>341</v>
      </c>
      <c r="E197" s="2">
        <v>35</v>
      </c>
      <c r="F197" s="2">
        <v>32441</v>
      </c>
      <c r="G197" s="2">
        <v>46.208378719999999</v>
      </c>
      <c r="H197" s="3">
        <v>2.0700000000000001E-21</v>
      </c>
      <c r="I197" s="2" t="s">
        <v>35152</v>
      </c>
      <c r="J197" s="2" t="s">
        <v>35153</v>
      </c>
      <c r="K197" s="3">
        <v>5.2699999999999998E-20</v>
      </c>
      <c r="L197" s="2" t="s">
        <v>35</v>
      </c>
      <c r="M197" s="4" t="s">
        <v>35154</v>
      </c>
    </row>
    <row r="198" spans="1:13">
      <c r="A198" s="2">
        <v>2146</v>
      </c>
      <c r="B198" s="2" t="s">
        <v>35155</v>
      </c>
      <c r="C198" s="2">
        <v>15</v>
      </c>
      <c r="D198" s="2">
        <v>341</v>
      </c>
      <c r="E198" s="2">
        <v>19</v>
      </c>
      <c r="F198" s="2">
        <v>32441</v>
      </c>
      <c r="G198" s="2">
        <v>75.106497919999995</v>
      </c>
      <c r="H198" s="3">
        <v>2.0599999999999999E-21</v>
      </c>
      <c r="I198" s="2" t="s">
        <v>35156</v>
      </c>
      <c r="J198" s="2" t="s">
        <v>35157</v>
      </c>
      <c r="K198" s="3">
        <v>5.2699999999999998E-20</v>
      </c>
      <c r="L198" s="2" t="s">
        <v>35</v>
      </c>
      <c r="M198" s="4" t="s">
        <v>35158</v>
      </c>
    </row>
    <row r="199" spans="1:13">
      <c r="A199" s="2">
        <v>3870</v>
      </c>
      <c r="B199" s="2" t="s">
        <v>35159</v>
      </c>
      <c r="C199" s="2">
        <v>28</v>
      </c>
      <c r="D199" s="2">
        <v>341</v>
      </c>
      <c r="E199" s="2">
        <v>212</v>
      </c>
      <c r="F199" s="2">
        <v>32441</v>
      </c>
      <c r="G199" s="2">
        <v>12.56498644</v>
      </c>
      <c r="H199" s="3">
        <v>3.84E-21</v>
      </c>
      <c r="I199" s="2" t="s">
        <v>35160</v>
      </c>
      <c r="J199" s="2" t="s">
        <v>35161</v>
      </c>
      <c r="K199" s="3">
        <v>9.7300000000000004E-20</v>
      </c>
      <c r="L199" s="2" t="s">
        <v>35</v>
      </c>
      <c r="M199" s="4" t="s">
        <v>35162</v>
      </c>
    </row>
    <row r="200" spans="1:13">
      <c r="A200" s="2">
        <v>2812</v>
      </c>
      <c r="B200" s="2" t="s">
        <v>35163</v>
      </c>
      <c r="C200" s="2">
        <v>21</v>
      </c>
      <c r="D200" s="2">
        <v>341</v>
      </c>
      <c r="E200" s="2">
        <v>87</v>
      </c>
      <c r="F200" s="2">
        <v>32441</v>
      </c>
      <c r="G200" s="2">
        <v>22.963595909999999</v>
      </c>
      <c r="H200" s="3">
        <v>6.6899999999999999E-21</v>
      </c>
      <c r="I200" s="2" t="s">
        <v>35164</v>
      </c>
      <c r="J200" s="2" t="s">
        <v>35165</v>
      </c>
      <c r="K200" s="3">
        <v>1.6799999999999999E-19</v>
      </c>
      <c r="L200" s="2" t="s">
        <v>35</v>
      </c>
      <c r="M200" s="4" t="s">
        <v>35166</v>
      </c>
    </row>
    <row r="201" spans="1:13">
      <c r="A201" s="2">
        <v>3879</v>
      </c>
      <c r="B201" s="2" t="s">
        <v>5023</v>
      </c>
      <c r="C201" s="2">
        <v>29</v>
      </c>
      <c r="D201" s="2">
        <v>341</v>
      </c>
      <c r="E201" s="2">
        <v>240</v>
      </c>
      <c r="F201" s="2">
        <v>32441</v>
      </c>
      <c r="G201" s="2">
        <v>11.495466759999999</v>
      </c>
      <c r="H201" s="3">
        <v>6.9099999999999995E-21</v>
      </c>
      <c r="I201" s="2" t="s">
        <v>35167</v>
      </c>
      <c r="J201" s="2" t="s">
        <v>35168</v>
      </c>
      <c r="K201" s="3">
        <v>1.7299999999999999E-19</v>
      </c>
      <c r="L201" s="2" t="s">
        <v>35</v>
      </c>
      <c r="M201" s="4" t="s">
        <v>5026</v>
      </c>
    </row>
    <row r="202" spans="1:13">
      <c r="A202" s="2">
        <v>2337</v>
      </c>
      <c r="B202" s="2" t="s">
        <v>35169</v>
      </c>
      <c r="C202" s="2">
        <v>15</v>
      </c>
      <c r="D202" s="2">
        <v>341</v>
      </c>
      <c r="E202" s="2">
        <v>22</v>
      </c>
      <c r="F202" s="2">
        <v>32441</v>
      </c>
      <c r="G202" s="2">
        <v>64.864702750000006</v>
      </c>
      <c r="H202" s="3">
        <v>1.01E-20</v>
      </c>
      <c r="I202" s="2" t="s">
        <v>35170</v>
      </c>
      <c r="J202" s="2" t="s">
        <v>35171</v>
      </c>
      <c r="K202" s="3">
        <v>2.5199999999999999E-19</v>
      </c>
      <c r="L202" s="2" t="s">
        <v>35</v>
      </c>
      <c r="M202" s="4" t="s">
        <v>35172</v>
      </c>
    </row>
    <row r="203" spans="1:13">
      <c r="A203" s="2">
        <v>4609</v>
      </c>
      <c r="B203" s="2" t="s">
        <v>25686</v>
      </c>
      <c r="C203" s="2">
        <v>46</v>
      </c>
      <c r="D203" s="2">
        <v>341</v>
      </c>
      <c r="E203" s="2">
        <v>770</v>
      </c>
      <c r="F203" s="2">
        <v>32441</v>
      </c>
      <c r="G203" s="2">
        <v>5.6833834789999997</v>
      </c>
      <c r="H203" s="3">
        <v>1.16E-20</v>
      </c>
      <c r="I203" s="3" t="s">
        <v>35173</v>
      </c>
      <c r="J203" s="3" t="s">
        <v>35174</v>
      </c>
      <c r="K203" s="3">
        <v>2.8699999999999999E-19</v>
      </c>
      <c r="L203" s="2" t="s">
        <v>35</v>
      </c>
      <c r="M203" s="4" t="s">
        <v>25689</v>
      </c>
    </row>
    <row r="204" spans="1:13">
      <c r="A204" s="2">
        <v>3233</v>
      </c>
      <c r="B204" s="2" t="s">
        <v>35175</v>
      </c>
      <c r="C204" s="2">
        <v>27</v>
      </c>
      <c r="D204" s="2">
        <v>341</v>
      </c>
      <c r="E204" s="2">
        <v>202</v>
      </c>
      <c r="F204" s="2">
        <v>32441</v>
      </c>
      <c r="G204" s="2">
        <v>12.716050640000001</v>
      </c>
      <c r="H204" s="3">
        <v>1.5000000000000001E-20</v>
      </c>
      <c r="I204" s="2" t="s">
        <v>35176</v>
      </c>
      <c r="J204" s="2" t="s">
        <v>35177</v>
      </c>
      <c r="K204" s="3">
        <v>3.7099999999999999E-19</v>
      </c>
      <c r="L204" s="2" t="s">
        <v>35</v>
      </c>
      <c r="M204" s="4" t="s">
        <v>35178</v>
      </c>
    </row>
    <row r="205" spans="1:13">
      <c r="A205" s="2">
        <v>3481</v>
      </c>
      <c r="B205" s="2" t="s">
        <v>35179</v>
      </c>
      <c r="C205" s="2">
        <v>14</v>
      </c>
      <c r="D205" s="2">
        <v>341</v>
      </c>
      <c r="E205" s="2">
        <v>16</v>
      </c>
      <c r="F205" s="2">
        <v>32441</v>
      </c>
      <c r="G205" s="2">
        <v>83.243035190000001</v>
      </c>
      <c r="H205" s="3">
        <v>1.66E-20</v>
      </c>
      <c r="I205" s="2" t="s">
        <v>35180</v>
      </c>
      <c r="J205" s="2" t="s">
        <v>35181</v>
      </c>
      <c r="K205" s="3">
        <v>4.0800000000000001E-19</v>
      </c>
      <c r="L205" s="2" t="s">
        <v>35</v>
      </c>
      <c r="M205" s="4" t="s">
        <v>35182</v>
      </c>
    </row>
    <row r="206" spans="1:13">
      <c r="A206" s="2">
        <v>4688</v>
      </c>
      <c r="B206" s="2" t="s">
        <v>4234</v>
      </c>
      <c r="C206" s="2">
        <v>22</v>
      </c>
      <c r="D206" s="2">
        <v>341</v>
      </c>
      <c r="E206" s="2">
        <v>114</v>
      </c>
      <c r="F206" s="2">
        <v>32441</v>
      </c>
      <c r="G206" s="2">
        <v>18.35936616</v>
      </c>
      <c r="H206" s="3">
        <v>5.2800000000000001E-20</v>
      </c>
      <c r="I206" s="2" t="s">
        <v>35183</v>
      </c>
      <c r="J206" s="2" t="s">
        <v>35184</v>
      </c>
      <c r="K206" s="3">
        <v>1.2900000000000001E-18</v>
      </c>
      <c r="L206" s="2" t="s">
        <v>35</v>
      </c>
      <c r="M206" s="4" t="s">
        <v>4237</v>
      </c>
    </row>
    <row r="207" spans="1:13">
      <c r="A207" s="2">
        <v>450</v>
      </c>
      <c r="B207" s="2" t="s">
        <v>35185</v>
      </c>
      <c r="C207" s="2">
        <v>17</v>
      </c>
      <c r="D207" s="2">
        <v>341</v>
      </c>
      <c r="E207" s="2">
        <v>47</v>
      </c>
      <c r="F207" s="2">
        <v>32441</v>
      </c>
      <c r="G207" s="2">
        <v>34.410494790000001</v>
      </c>
      <c r="H207" s="3">
        <v>1.16E-19</v>
      </c>
      <c r="I207" s="2" t="s">
        <v>35186</v>
      </c>
      <c r="J207" s="2" t="s">
        <v>35187</v>
      </c>
      <c r="K207" s="3">
        <v>2.82E-18</v>
      </c>
      <c r="L207" s="2" t="s">
        <v>35</v>
      </c>
      <c r="M207" s="4" t="s">
        <v>35188</v>
      </c>
    </row>
    <row r="208" spans="1:13">
      <c r="A208" s="2">
        <v>1468</v>
      </c>
      <c r="B208" s="2" t="s">
        <v>25171</v>
      </c>
      <c r="C208" s="2">
        <v>30</v>
      </c>
      <c r="D208" s="2">
        <v>341</v>
      </c>
      <c r="E208" s="2">
        <v>305</v>
      </c>
      <c r="F208" s="2">
        <v>32441</v>
      </c>
      <c r="G208" s="2">
        <v>9.3575308879999994</v>
      </c>
      <c r="H208" s="3">
        <v>2.9399999999999999E-19</v>
      </c>
      <c r="I208" s="2" t="s">
        <v>35189</v>
      </c>
      <c r="J208" s="2" t="s">
        <v>35190</v>
      </c>
      <c r="K208" s="3">
        <v>7.1099999999999999E-18</v>
      </c>
      <c r="L208" s="2" t="s">
        <v>35</v>
      </c>
      <c r="M208" s="4" t="s">
        <v>25174</v>
      </c>
    </row>
    <row r="209" spans="1:13">
      <c r="A209" s="2">
        <v>1712</v>
      </c>
      <c r="B209" s="2" t="s">
        <v>6626</v>
      </c>
      <c r="C209" s="2">
        <v>22</v>
      </c>
      <c r="D209" s="2">
        <v>341</v>
      </c>
      <c r="E209" s="2">
        <v>126</v>
      </c>
      <c r="F209" s="2">
        <v>32441</v>
      </c>
      <c r="G209" s="2">
        <v>16.610855090000001</v>
      </c>
      <c r="H209" s="3">
        <v>3.5300000000000002E-19</v>
      </c>
      <c r="I209" s="2" t="s">
        <v>35191</v>
      </c>
      <c r="J209" s="2" t="s">
        <v>35192</v>
      </c>
      <c r="K209" s="3">
        <v>8.4999999999999995E-18</v>
      </c>
      <c r="L209" s="2" t="s">
        <v>35</v>
      </c>
      <c r="M209" s="4" t="s">
        <v>6629</v>
      </c>
    </row>
    <row r="210" spans="1:13">
      <c r="A210" s="2">
        <v>567</v>
      </c>
      <c r="B210" s="2" t="s">
        <v>35193</v>
      </c>
      <c r="C210" s="2">
        <v>16</v>
      </c>
      <c r="D210" s="2">
        <v>341</v>
      </c>
      <c r="E210" s="2">
        <v>40</v>
      </c>
      <c r="F210" s="2">
        <v>32441</v>
      </c>
      <c r="G210" s="2">
        <v>38.053958940000001</v>
      </c>
      <c r="H210" s="3">
        <v>3.7799999999999998E-19</v>
      </c>
      <c r="I210" s="2" t="s">
        <v>35194</v>
      </c>
      <c r="J210" s="2" t="s">
        <v>35195</v>
      </c>
      <c r="K210" s="3">
        <v>9.0300000000000005E-18</v>
      </c>
      <c r="L210" s="2" t="s">
        <v>35</v>
      </c>
      <c r="M210" s="4" t="s">
        <v>35196</v>
      </c>
    </row>
    <row r="211" spans="1:13">
      <c r="A211" s="2">
        <v>3255</v>
      </c>
      <c r="B211" s="2" t="s">
        <v>35197</v>
      </c>
      <c r="C211" s="2">
        <v>13</v>
      </c>
      <c r="D211" s="2">
        <v>341</v>
      </c>
      <c r="E211" s="2">
        <v>16</v>
      </c>
      <c r="F211" s="2">
        <v>32441</v>
      </c>
      <c r="G211" s="2">
        <v>77.297104110000006</v>
      </c>
      <c r="H211" s="3">
        <v>7.7599999999999995E-19</v>
      </c>
      <c r="I211" s="2" t="s">
        <v>35198</v>
      </c>
      <c r="J211" s="2" t="s">
        <v>35199</v>
      </c>
      <c r="K211" s="3">
        <v>1.8499999999999999E-17</v>
      </c>
      <c r="L211" s="2" t="s">
        <v>35</v>
      </c>
      <c r="M211" s="4" t="s">
        <v>35200</v>
      </c>
    </row>
    <row r="212" spans="1:13">
      <c r="A212" s="2">
        <v>1740</v>
      </c>
      <c r="B212" s="2" t="s">
        <v>35201</v>
      </c>
      <c r="C212" s="2">
        <v>21</v>
      </c>
      <c r="D212" s="2">
        <v>341</v>
      </c>
      <c r="E212" s="2">
        <v>115</v>
      </c>
      <c r="F212" s="2">
        <v>32441</v>
      </c>
      <c r="G212" s="2">
        <v>17.37245952</v>
      </c>
      <c r="H212" s="3">
        <v>1.02E-18</v>
      </c>
      <c r="I212" s="2" t="s">
        <v>35202</v>
      </c>
      <c r="J212" s="2" t="s">
        <v>35203</v>
      </c>
      <c r="K212" s="3">
        <v>2.4200000000000001E-17</v>
      </c>
      <c r="L212" s="2" t="s">
        <v>35</v>
      </c>
      <c r="M212" s="4" t="s">
        <v>35204</v>
      </c>
    </row>
    <row r="213" spans="1:13">
      <c r="A213" s="2">
        <v>2166</v>
      </c>
      <c r="B213" s="2" t="s">
        <v>25471</v>
      </c>
      <c r="C213" s="2">
        <v>33</v>
      </c>
      <c r="D213" s="2">
        <v>341</v>
      </c>
      <c r="E213" s="2">
        <v>414</v>
      </c>
      <c r="F213" s="2">
        <v>32441</v>
      </c>
      <c r="G213" s="2">
        <v>7.5832164559999997</v>
      </c>
      <c r="H213" s="3">
        <v>1.6500000000000001E-18</v>
      </c>
      <c r="I213" s="2" t="s">
        <v>35205</v>
      </c>
      <c r="J213" s="2" t="s">
        <v>35206</v>
      </c>
      <c r="K213" s="3">
        <v>3.8799999999999997E-17</v>
      </c>
      <c r="L213" s="2" t="s">
        <v>35</v>
      </c>
      <c r="M213" s="4" t="s">
        <v>25474</v>
      </c>
    </row>
    <row r="214" spans="1:13">
      <c r="A214" s="2">
        <v>2294</v>
      </c>
      <c r="B214" s="2" t="s">
        <v>35207</v>
      </c>
      <c r="C214" s="2">
        <v>25</v>
      </c>
      <c r="D214" s="2">
        <v>341</v>
      </c>
      <c r="E214" s="2">
        <v>209</v>
      </c>
      <c r="F214" s="2">
        <v>32441</v>
      </c>
      <c r="G214" s="2">
        <v>11.379772409999999</v>
      </c>
      <c r="H214" s="3">
        <v>4.5299999999999998E-18</v>
      </c>
      <c r="I214" s="2" t="s">
        <v>35208</v>
      </c>
      <c r="J214" s="2" t="s">
        <v>35209</v>
      </c>
      <c r="K214" s="3">
        <v>1.06E-16</v>
      </c>
      <c r="L214" s="2" t="s">
        <v>35</v>
      </c>
      <c r="M214" s="4" t="s">
        <v>35210</v>
      </c>
    </row>
    <row r="215" spans="1:13">
      <c r="A215" s="2">
        <v>1418</v>
      </c>
      <c r="B215" s="2" t="s">
        <v>6002</v>
      </c>
      <c r="C215" s="2">
        <v>33</v>
      </c>
      <c r="D215" s="2">
        <v>341</v>
      </c>
      <c r="E215" s="2">
        <v>431</v>
      </c>
      <c r="F215" s="2">
        <v>32441</v>
      </c>
      <c r="G215" s="2">
        <v>7.284110471</v>
      </c>
      <c r="H215" s="3">
        <v>5.0500000000000001E-18</v>
      </c>
      <c r="I215" s="2" t="s">
        <v>35211</v>
      </c>
      <c r="J215" s="2" t="s">
        <v>35212</v>
      </c>
      <c r="K215" s="3">
        <v>1.1799999999999999E-16</v>
      </c>
      <c r="L215" s="2" t="s">
        <v>35</v>
      </c>
      <c r="M215" s="4" t="s">
        <v>6005</v>
      </c>
    </row>
    <row r="216" spans="1:13">
      <c r="A216" s="2">
        <v>1099</v>
      </c>
      <c r="B216" s="2" t="s">
        <v>25438</v>
      </c>
      <c r="C216" s="2">
        <v>20</v>
      </c>
      <c r="D216" s="2">
        <v>341</v>
      </c>
      <c r="E216" s="2">
        <v>112</v>
      </c>
      <c r="F216" s="2">
        <v>32441</v>
      </c>
      <c r="G216" s="2">
        <v>16.988374530000002</v>
      </c>
      <c r="H216" s="3">
        <v>1.02E-17</v>
      </c>
      <c r="I216" s="2" t="s">
        <v>35213</v>
      </c>
      <c r="J216" s="2" t="s">
        <v>35214</v>
      </c>
      <c r="K216" s="3">
        <v>2.3700000000000001E-16</v>
      </c>
      <c r="L216" s="2" t="s">
        <v>35</v>
      </c>
      <c r="M216" s="4" t="s">
        <v>25441</v>
      </c>
    </row>
    <row r="217" spans="1:13">
      <c r="A217" s="2">
        <v>1757</v>
      </c>
      <c r="B217" s="2" t="s">
        <v>35215</v>
      </c>
      <c r="C217" s="2">
        <v>23</v>
      </c>
      <c r="D217" s="2">
        <v>341</v>
      </c>
      <c r="E217" s="2">
        <v>172</v>
      </c>
      <c r="F217" s="2">
        <v>32441</v>
      </c>
      <c r="G217" s="2">
        <v>12.721526969999999</v>
      </c>
      <c r="H217" s="3">
        <v>1.1E-17</v>
      </c>
      <c r="I217" s="2" t="s">
        <v>35216</v>
      </c>
      <c r="J217" s="2" t="s">
        <v>35217</v>
      </c>
      <c r="K217" s="3">
        <v>2.5399999999999999E-16</v>
      </c>
      <c r="L217" s="2" t="s">
        <v>35</v>
      </c>
      <c r="M217" s="4" t="s">
        <v>35218</v>
      </c>
    </row>
    <row r="218" spans="1:13">
      <c r="A218" s="2">
        <v>1620</v>
      </c>
      <c r="B218" s="2" t="s">
        <v>35219</v>
      </c>
      <c r="C218" s="2">
        <v>18</v>
      </c>
      <c r="D218" s="2">
        <v>341</v>
      </c>
      <c r="E218" s="2">
        <v>81</v>
      </c>
      <c r="F218" s="2">
        <v>32441</v>
      </c>
      <c r="G218" s="2">
        <v>21.1410883</v>
      </c>
      <c r="H218" s="3">
        <v>1.5199999999999999E-17</v>
      </c>
      <c r="I218" s="2" t="s">
        <v>35220</v>
      </c>
      <c r="J218" s="2" t="s">
        <v>35221</v>
      </c>
      <c r="K218" s="3">
        <v>3.5000000000000002E-16</v>
      </c>
      <c r="L218" s="2" t="s">
        <v>35</v>
      </c>
      <c r="M218" s="4" t="s">
        <v>35222</v>
      </c>
    </row>
    <row r="219" spans="1:13">
      <c r="A219" s="2">
        <v>2479</v>
      </c>
      <c r="B219" s="2" t="s">
        <v>35223</v>
      </c>
      <c r="C219" s="2">
        <v>16</v>
      </c>
      <c r="D219" s="2">
        <v>341</v>
      </c>
      <c r="E219" s="2">
        <v>54</v>
      </c>
      <c r="F219" s="2">
        <v>32441</v>
      </c>
      <c r="G219" s="2">
        <v>28.188117739999999</v>
      </c>
      <c r="H219" s="3">
        <v>1.9700000000000001E-17</v>
      </c>
      <c r="I219" s="2" t="s">
        <v>35224</v>
      </c>
      <c r="J219" s="2" t="s">
        <v>35225</v>
      </c>
      <c r="K219" s="3">
        <v>4.5100000000000003E-16</v>
      </c>
      <c r="L219" s="2" t="s">
        <v>35</v>
      </c>
      <c r="M219" s="4" t="s">
        <v>35226</v>
      </c>
    </row>
    <row r="220" spans="1:13">
      <c r="A220" s="2">
        <v>4570</v>
      </c>
      <c r="B220" s="2" t="s">
        <v>35227</v>
      </c>
      <c r="C220" s="2">
        <v>31</v>
      </c>
      <c r="D220" s="2">
        <v>341</v>
      </c>
      <c r="E220" s="2">
        <v>403</v>
      </c>
      <c r="F220" s="2">
        <v>32441</v>
      </c>
      <c r="G220" s="2">
        <v>7.318069028</v>
      </c>
      <c r="H220" s="3">
        <v>4.7599999999999999E-17</v>
      </c>
      <c r="I220" s="2" t="s">
        <v>35228</v>
      </c>
      <c r="J220" s="2" t="s">
        <v>35229</v>
      </c>
      <c r="K220" s="3">
        <v>1.09E-15</v>
      </c>
      <c r="L220" s="2" t="s">
        <v>35</v>
      </c>
      <c r="M220" s="4" t="s">
        <v>35230</v>
      </c>
    </row>
    <row r="221" spans="1:13">
      <c r="A221" s="2">
        <v>1321</v>
      </c>
      <c r="B221" s="2" t="s">
        <v>35231</v>
      </c>
      <c r="C221" s="2">
        <v>15</v>
      </c>
      <c r="D221" s="2">
        <v>341</v>
      </c>
      <c r="E221" s="2">
        <v>46</v>
      </c>
      <c r="F221" s="2">
        <v>32441</v>
      </c>
      <c r="G221" s="2">
        <v>31.02224914</v>
      </c>
      <c r="H221" s="3">
        <v>6.0799999999999997E-17</v>
      </c>
      <c r="I221" s="2" t="s">
        <v>35232</v>
      </c>
      <c r="J221" s="2" t="s">
        <v>35233</v>
      </c>
      <c r="K221" s="3">
        <v>1.3799999999999999E-15</v>
      </c>
      <c r="L221" s="2" t="s">
        <v>35</v>
      </c>
      <c r="M221" s="4" t="s">
        <v>35234</v>
      </c>
    </row>
    <row r="222" spans="1:13">
      <c r="A222" s="2">
        <v>4207</v>
      </c>
      <c r="B222" s="2" t="s">
        <v>123</v>
      </c>
      <c r="C222" s="2">
        <v>49</v>
      </c>
      <c r="D222" s="2">
        <v>341</v>
      </c>
      <c r="E222" s="2">
        <v>1103</v>
      </c>
      <c r="F222" s="2">
        <v>32441</v>
      </c>
      <c r="G222" s="2">
        <v>4.2263009709999997</v>
      </c>
      <c r="H222" s="3">
        <v>6.1699999999999997E-17</v>
      </c>
      <c r="I222" s="2" t="s">
        <v>35235</v>
      </c>
      <c r="J222" s="2" t="s">
        <v>35236</v>
      </c>
      <c r="K222" s="3">
        <v>1.3899999999999999E-15</v>
      </c>
      <c r="L222" s="2" t="s">
        <v>35</v>
      </c>
      <c r="M222" s="4" t="s">
        <v>24858</v>
      </c>
    </row>
    <row r="223" spans="1:13">
      <c r="A223" s="2">
        <v>2499</v>
      </c>
      <c r="B223" s="2" t="s">
        <v>35237</v>
      </c>
      <c r="C223" s="2">
        <v>17</v>
      </c>
      <c r="D223" s="2">
        <v>341</v>
      </c>
      <c r="E223" s="2">
        <v>75</v>
      </c>
      <c r="F223" s="2">
        <v>32441</v>
      </c>
      <c r="G223" s="2">
        <v>21.563910069999999</v>
      </c>
      <c r="H223" s="3">
        <v>9.1199999999999995E-17</v>
      </c>
      <c r="I223" s="2" t="s">
        <v>35238</v>
      </c>
      <c r="J223" s="2" t="s">
        <v>35239</v>
      </c>
      <c r="K223" s="3">
        <v>2.0500000000000002E-15</v>
      </c>
      <c r="L223" s="2" t="s">
        <v>35</v>
      </c>
      <c r="M223" s="4" t="s">
        <v>35240</v>
      </c>
    </row>
    <row r="224" spans="1:13">
      <c r="A224" s="2">
        <v>2254</v>
      </c>
      <c r="B224" s="2" t="s">
        <v>129</v>
      </c>
      <c r="C224" s="2">
        <v>33</v>
      </c>
      <c r="D224" s="2">
        <v>341</v>
      </c>
      <c r="E224" s="2">
        <v>479</v>
      </c>
      <c r="F224" s="2">
        <v>32441</v>
      </c>
      <c r="G224" s="2">
        <v>6.5541787329999996</v>
      </c>
      <c r="H224" s="3">
        <v>9.3200000000000003E-17</v>
      </c>
      <c r="I224" s="2" t="s">
        <v>35241</v>
      </c>
      <c r="J224" s="2" t="s">
        <v>35242</v>
      </c>
      <c r="K224" s="3">
        <v>2.0799999999999999E-15</v>
      </c>
      <c r="L224" s="2" t="s">
        <v>35</v>
      </c>
      <c r="M224" s="4" t="s">
        <v>35243</v>
      </c>
    </row>
    <row r="225" spans="1:13">
      <c r="A225" s="2">
        <v>220</v>
      </c>
      <c r="B225" s="2" t="s">
        <v>35244</v>
      </c>
      <c r="C225" s="2">
        <v>12</v>
      </c>
      <c r="D225" s="2">
        <v>341</v>
      </c>
      <c r="E225" s="2">
        <v>18</v>
      </c>
      <c r="F225" s="2">
        <v>32441</v>
      </c>
      <c r="G225" s="2">
        <v>63.42326491</v>
      </c>
      <c r="H225" s="3">
        <v>9.6699999999999999E-17</v>
      </c>
      <c r="I225" s="2" t="s">
        <v>35245</v>
      </c>
      <c r="J225" s="2" t="s">
        <v>35246</v>
      </c>
      <c r="K225" s="3">
        <v>2.1499999999999998E-15</v>
      </c>
      <c r="L225" s="2" t="s">
        <v>35</v>
      </c>
      <c r="M225" s="4" t="s">
        <v>35247</v>
      </c>
    </row>
    <row r="226" spans="1:13">
      <c r="A226" s="2">
        <v>4046</v>
      </c>
      <c r="B226" s="2" t="s">
        <v>496</v>
      </c>
      <c r="C226" s="2">
        <v>23</v>
      </c>
      <c r="D226" s="2">
        <v>341</v>
      </c>
      <c r="E226" s="2">
        <v>193</v>
      </c>
      <c r="F226" s="2">
        <v>32441</v>
      </c>
      <c r="G226" s="2">
        <v>11.337319369999999</v>
      </c>
      <c r="H226" s="3">
        <v>1.09E-16</v>
      </c>
      <c r="I226" s="2" t="s">
        <v>35248</v>
      </c>
      <c r="J226" s="2" t="s">
        <v>35249</v>
      </c>
      <c r="K226" s="3">
        <v>2.4100000000000001E-15</v>
      </c>
      <c r="L226" s="2" t="s">
        <v>35</v>
      </c>
      <c r="M226" s="4" t="s">
        <v>35250</v>
      </c>
    </row>
    <row r="227" spans="1:13">
      <c r="A227" s="2">
        <v>2736</v>
      </c>
      <c r="B227" s="2" t="s">
        <v>5071</v>
      </c>
      <c r="C227" s="2">
        <v>17</v>
      </c>
      <c r="D227" s="2">
        <v>341</v>
      </c>
      <c r="E227" s="2">
        <v>76</v>
      </c>
      <c r="F227" s="2">
        <v>32441</v>
      </c>
      <c r="G227" s="2">
        <v>21.280174410000001</v>
      </c>
      <c r="H227" s="3">
        <v>1.11E-16</v>
      </c>
      <c r="I227" s="2" t="s">
        <v>35251</v>
      </c>
      <c r="J227" s="2" t="s">
        <v>35252</v>
      </c>
      <c r="K227" s="3">
        <v>2.43E-15</v>
      </c>
      <c r="L227" s="2" t="s">
        <v>35</v>
      </c>
      <c r="M227" s="4" t="s">
        <v>5074</v>
      </c>
    </row>
    <row r="228" spans="1:13">
      <c r="A228" s="2">
        <v>2990</v>
      </c>
      <c r="B228" s="2" t="s">
        <v>35253</v>
      </c>
      <c r="C228" s="2">
        <v>17</v>
      </c>
      <c r="D228" s="2">
        <v>341</v>
      </c>
      <c r="E228" s="2">
        <v>76</v>
      </c>
      <c r="F228" s="2">
        <v>32441</v>
      </c>
      <c r="G228" s="2">
        <v>21.280174410000001</v>
      </c>
      <c r="H228" s="3">
        <v>1.11E-16</v>
      </c>
      <c r="I228" s="2" t="s">
        <v>35254</v>
      </c>
      <c r="J228" s="2" t="s">
        <v>35255</v>
      </c>
      <c r="K228" s="3">
        <v>2.43E-15</v>
      </c>
      <c r="L228" s="2" t="s">
        <v>35</v>
      </c>
      <c r="M228" s="4" t="s">
        <v>35256</v>
      </c>
    </row>
    <row r="229" spans="1:13">
      <c r="A229" s="2">
        <v>2423</v>
      </c>
      <c r="B229" s="2" t="s">
        <v>406</v>
      </c>
      <c r="C229" s="2">
        <v>46</v>
      </c>
      <c r="D229" s="2">
        <v>341</v>
      </c>
      <c r="E229" s="2">
        <v>988</v>
      </c>
      <c r="F229" s="2">
        <v>32441</v>
      </c>
      <c r="G229" s="2">
        <v>4.4293575690000004</v>
      </c>
      <c r="H229" s="3">
        <v>1.14E-16</v>
      </c>
      <c r="I229" s="2" t="s">
        <v>35257</v>
      </c>
      <c r="J229" s="2" t="s">
        <v>35258</v>
      </c>
      <c r="K229" s="3">
        <v>2.4899999999999998E-15</v>
      </c>
      <c r="L229" s="2" t="s">
        <v>35</v>
      </c>
      <c r="M229" s="4" t="s">
        <v>24750</v>
      </c>
    </row>
    <row r="230" spans="1:13">
      <c r="A230" s="2">
        <v>2502</v>
      </c>
      <c r="B230" s="2" t="s">
        <v>35259</v>
      </c>
      <c r="C230" s="2">
        <v>19</v>
      </c>
      <c r="D230" s="2">
        <v>341</v>
      </c>
      <c r="E230" s="2">
        <v>110</v>
      </c>
      <c r="F230" s="2">
        <v>32441</v>
      </c>
      <c r="G230" s="2">
        <v>16.43239136</v>
      </c>
      <c r="H230" s="3">
        <v>1.17E-16</v>
      </c>
      <c r="I230" s="2" t="s">
        <v>35260</v>
      </c>
      <c r="J230" s="2" t="s">
        <v>35261</v>
      </c>
      <c r="K230" s="3">
        <v>2.5399999999999999E-15</v>
      </c>
      <c r="L230" s="2" t="s">
        <v>35</v>
      </c>
      <c r="M230" s="4" t="s">
        <v>35262</v>
      </c>
    </row>
    <row r="231" spans="1:13">
      <c r="A231" s="2">
        <v>1250</v>
      </c>
      <c r="B231" s="2" t="s">
        <v>35263</v>
      </c>
      <c r="C231" s="2">
        <v>12</v>
      </c>
      <c r="D231" s="2">
        <v>341</v>
      </c>
      <c r="E231" s="2">
        <v>19</v>
      </c>
      <c r="F231" s="2">
        <v>32441</v>
      </c>
      <c r="G231" s="2">
        <v>60.085198329999997</v>
      </c>
      <c r="H231" s="3">
        <v>1.56E-16</v>
      </c>
      <c r="I231" s="2" t="s">
        <v>35264</v>
      </c>
      <c r="J231" s="2" t="s">
        <v>35265</v>
      </c>
      <c r="K231" s="3">
        <v>3.3800000000000001E-15</v>
      </c>
      <c r="L231" s="2" t="s">
        <v>35</v>
      </c>
      <c r="M231" s="4" t="s">
        <v>35266</v>
      </c>
    </row>
    <row r="232" spans="1:13">
      <c r="A232" s="2">
        <v>3669</v>
      </c>
      <c r="B232" s="2" t="s">
        <v>35267</v>
      </c>
      <c r="C232" s="2">
        <v>19</v>
      </c>
      <c r="D232" s="2">
        <v>341</v>
      </c>
      <c r="E232" s="2">
        <v>112</v>
      </c>
      <c r="F232" s="2">
        <v>32441</v>
      </c>
      <c r="G232" s="2">
        <v>16.138955800000002</v>
      </c>
      <c r="H232" s="3">
        <v>1.5700000000000001E-16</v>
      </c>
      <c r="I232" s="2" t="s">
        <v>35268</v>
      </c>
      <c r="J232" s="2" t="s">
        <v>35269</v>
      </c>
      <c r="K232" s="3">
        <v>3.3899999999999999E-15</v>
      </c>
      <c r="L232" s="2" t="s">
        <v>35</v>
      </c>
      <c r="M232" s="4" t="s">
        <v>35270</v>
      </c>
    </row>
    <row r="233" spans="1:13">
      <c r="A233" s="2">
        <v>4068</v>
      </c>
      <c r="B233" s="2" t="s">
        <v>35271</v>
      </c>
      <c r="C233" s="2">
        <v>11</v>
      </c>
      <c r="D233" s="2">
        <v>341</v>
      </c>
      <c r="E233" s="2">
        <v>12</v>
      </c>
      <c r="F233" s="2">
        <v>32441</v>
      </c>
      <c r="G233" s="2">
        <v>87.206989250000007</v>
      </c>
      <c r="H233" s="3">
        <v>1.59E-16</v>
      </c>
      <c r="I233" s="2" t="s">
        <v>35272</v>
      </c>
      <c r="J233" s="2" t="s">
        <v>35273</v>
      </c>
      <c r="K233" s="3">
        <v>3.4100000000000002E-15</v>
      </c>
      <c r="L233" s="2" t="s">
        <v>35</v>
      </c>
      <c r="M233" s="4" t="s">
        <v>35274</v>
      </c>
    </row>
    <row r="234" spans="1:13">
      <c r="A234" s="2">
        <v>3340</v>
      </c>
      <c r="B234" s="2" t="s">
        <v>35275</v>
      </c>
      <c r="C234" s="2">
        <v>34</v>
      </c>
      <c r="D234" s="2">
        <v>341</v>
      </c>
      <c r="E234" s="2">
        <v>528</v>
      </c>
      <c r="F234" s="2">
        <v>32441</v>
      </c>
      <c r="G234" s="2">
        <v>6.1261108149999997</v>
      </c>
      <c r="H234" s="3">
        <v>2.08E-16</v>
      </c>
      <c r="I234" s="2" t="s">
        <v>35276</v>
      </c>
      <c r="J234" s="2" t="s">
        <v>35277</v>
      </c>
      <c r="K234" s="3">
        <v>4.4500000000000001E-15</v>
      </c>
      <c r="L234" s="2" t="s">
        <v>35</v>
      </c>
      <c r="M234" s="4" t="s">
        <v>35278</v>
      </c>
    </row>
    <row r="235" spans="1:13">
      <c r="A235" s="2">
        <v>4560</v>
      </c>
      <c r="B235" s="2" t="s">
        <v>35279</v>
      </c>
      <c r="C235" s="2">
        <v>20</v>
      </c>
      <c r="D235" s="2">
        <v>341</v>
      </c>
      <c r="E235" s="2">
        <v>135</v>
      </c>
      <c r="F235" s="2">
        <v>32441</v>
      </c>
      <c r="G235" s="2">
        <v>14.09405887</v>
      </c>
      <c r="H235" s="3">
        <v>2.5900000000000002E-16</v>
      </c>
      <c r="I235" s="2" t="s">
        <v>35280</v>
      </c>
      <c r="J235" s="2" t="s">
        <v>35281</v>
      </c>
      <c r="K235" s="3">
        <v>5.4499999999999998E-15</v>
      </c>
      <c r="L235" s="2" t="s">
        <v>35</v>
      </c>
      <c r="M235" s="4" t="s">
        <v>35282</v>
      </c>
    </row>
    <row r="236" spans="1:13">
      <c r="A236" s="2">
        <v>4637</v>
      </c>
      <c r="B236" s="2" t="s">
        <v>35283</v>
      </c>
      <c r="C236" s="2">
        <v>13</v>
      </c>
      <c r="D236" s="2">
        <v>341</v>
      </c>
      <c r="E236" s="2">
        <v>29</v>
      </c>
      <c r="F236" s="2">
        <v>32441</v>
      </c>
      <c r="G236" s="2">
        <v>42.646678129999998</v>
      </c>
      <c r="H236" s="3">
        <v>2.58E-16</v>
      </c>
      <c r="I236" s="2" t="s">
        <v>35284</v>
      </c>
      <c r="J236" s="2" t="s">
        <v>35285</v>
      </c>
      <c r="K236" s="3">
        <v>5.4499999999999998E-15</v>
      </c>
      <c r="L236" s="2" t="s">
        <v>35</v>
      </c>
      <c r="M236" s="4" t="s">
        <v>35286</v>
      </c>
    </row>
    <row r="237" spans="1:13">
      <c r="A237" s="2">
        <v>4728</v>
      </c>
      <c r="B237" s="2" t="s">
        <v>24825</v>
      </c>
      <c r="C237" s="2">
        <v>20</v>
      </c>
      <c r="D237" s="2">
        <v>341</v>
      </c>
      <c r="E237" s="2">
        <v>135</v>
      </c>
      <c r="F237" s="2">
        <v>32441</v>
      </c>
      <c r="G237" s="2">
        <v>14.09405887</v>
      </c>
      <c r="H237" s="3">
        <v>2.5900000000000002E-16</v>
      </c>
      <c r="I237" s="2" t="s">
        <v>35287</v>
      </c>
      <c r="J237" s="2" t="s">
        <v>35288</v>
      </c>
      <c r="K237" s="3">
        <v>5.4499999999999998E-15</v>
      </c>
      <c r="L237" s="2" t="s">
        <v>35</v>
      </c>
      <c r="M237" s="4" t="s">
        <v>24828</v>
      </c>
    </row>
    <row r="238" spans="1:13">
      <c r="A238" s="2">
        <v>2917</v>
      </c>
      <c r="B238" s="2" t="s">
        <v>35289</v>
      </c>
      <c r="C238" s="2">
        <v>13</v>
      </c>
      <c r="D238" s="2">
        <v>341</v>
      </c>
      <c r="E238" s="2">
        <v>30</v>
      </c>
      <c r="F238" s="2">
        <v>32441</v>
      </c>
      <c r="G238" s="2">
        <v>41.22512219</v>
      </c>
      <c r="H238" s="3">
        <v>3.67E-16</v>
      </c>
      <c r="I238" s="2" t="s">
        <v>35290</v>
      </c>
      <c r="J238" s="2" t="s">
        <v>35291</v>
      </c>
      <c r="K238" s="3">
        <v>7.6999999999999997E-15</v>
      </c>
      <c r="L238" s="2" t="s">
        <v>35</v>
      </c>
      <c r="M238" s="4" t="s">
        <v>35292</v>
      </c>
    </row>
    <row r="239" spans="1:13">
      <c r="A239" s="2">
        <v>3090</v>
      </c>
      <c r="B239" s="2" t="s">
        <v>35293</v>
      </c>
      <c r="C239" s="2">
        <v>23</v>
      </c>
      <c r="D239" s="2">
        <v>341</v>
      </c>
      <c r="E239" s="2">
        <v>215</v>
      </c>
      <c r="F239" s="2">
        <v>32441</v>
      </c>
      <c r="G239" s="2">
        <v>10.177221579999999</v>
      </c>
      <c r="H239" s="3">
        <v>9.2400000000000003E-16</v>
      </c>
      <c r="I239" s="2" t="s">
        <v>35294</v>
      </c>
      <c r="J239" s="2" t="s">
        <v>35295</v>
      </c>
      <c r="K239" s="3">
        <v>1.93E-14</v>
      </c>
      <c r="L239" s="2" t="s">
        <v>35</v>
      </c>
      <c r="M239" s="4" t="s">
        <v>35296</v>
      </c>
    </row>
    <row r="240" spans="1:13">
      <c r="A240" s="2">
        <v>3259</v>
      </c>
      <c r="B240" s="2" t="s">
        <v>35297</v>
      </c>
      <c r="C240" s="2">
        <v>13</v>
      </c>
      <c r="D240" s="2">
        <v>341</v>
      </c>
      <c r="E240" s="2">
        <v>35</v>
      </c>
      <c r="F240" s="2">
        <v>32441</v>
      </c>
      <c r="G240" s="2">
        <v>35.335819020000002</v>
      </c>
      <c r="H240" s="3">
        <v>1.8500000000000001E-15</v>
      </c>
      <c r="I240" s="2" t="s">
        <v>35298</v>
      </c>
      <c r="J240" s="2" t="s">
        <v>35299</v>
      </c>
      <c r="K240" s="3">
        <v>3.8399999999999999E-14</v>
      </c>
      <c r="L240" s="2" t="s">
        <v>35</v>
      </c>
      <c r="M240" s="4" t="s">
        <v>35300</v>
      </c>
    </row>
    <row r="241" spans="1:13">
      <c r="A241" s="2">
        <v>4739</v>
      </c>
      <c r="B241" s="2" t="s">
        <v>35301</v>
      </c>
      <c r="C241" s="2">
        <v>21</v>
      </c>
      <c r="D241" s="2">
        <v>341</v>
      </c>
      <c r="E241" s="2">
        <v>174</v>
      </c>
      <c r="F241" s="2">
        <v>32441</v>
      </c>
      <c r="G241" s="2">
        <v>11.48179796</v>
      </c>
      <c r="H241" s="3">
        <v>1.9000000000000001E-15</v>
      </c>
      <c r="I241" s="2" t="s">
        <v>35302</v>
      </c>
      <c r="J241" s="2" t="s">
        <v>35303</v>
      </c>
      <c r="K241" s="3">
        <v>3.93E-14</v>
      </c>
      <c r="L241" s="2" t="s">
        <v>35</v>
      </c>
      <c r="M241" s="4" t="s">
        <v>35304</v>
      </c>
    </row>
    <row r="242" spans="1:13">
      <c r="A242" s="2">
        <v>694</v>
      </c>
      <c r="B242" s="2" t="s">
        <v>35305</v>
      </c>
      <c r="C242" s="2">
        <v>12</v>
      </c>
      <c r="D242" s="2">
        <v>341</v>
      </c>
      <c r="E242" s="2">
        <v>25</v>
      </c>
      <c r="F242" s="2">
        <v>32441</v>
      </c>
      <c r="G242" s="2">
        <v>45.664750730000002</v>
      </c>
      <c r="H242" s="3">
        <v>1.94E-15</v>
      </c>
      <c r="I242" s="2" t="s">
        <v>35306</v>
      </c>
      <c r="J242" s="2" t="s">
        <v>35307</v>
      </c>
      <c r="K242" s="3">
        <v>4E-14</v>
      </c>
      <c r="L242" s="2" t="s">
        <v>35</v>
      </c>
      <c r="M242" s="4" t="s">
        <v>35308</v>
      </c>
    </row>
    <row r="243" spans="1:13">
      <c r="A243" s="2">
        <v>1765</v>
      </c>
      <c r="B243" s="2" t="s">
        <v>24558</v>
      </c>
      <c r="C243" s="2">
        <v>39</v>
      </c>
      <c r="D243" s="2">
        <v>341</v>
      </c>
      <c r="E243" s="2">
        <v>770</v>
      </c>
      <c r="F243" s="2">
        <v>32441</v>
      </c>
      <c r="G243" s="2">
        <v>4.8185207749999996</v>
      </c>
      <c r="H243" s="3">
        <v>2.21E-15</v>
      </c>
      <c r="I243" s="2" t="s">
        <v>35309</v>
      </c>
      <c r="J243" s="2" t="s">
        <v>35310</v>
      </c>
      <c r="K243" s="3">
        <v>4.53E-14</v>
      </c>
      <c r="L243" s="2" t="s">
        <v>35</v>
      </c>
      <c r="M243" s="4" t="s">
        <v>24561</v>
      </c>
    </row>
    <row r="244" spans="1:13">
      <c r="A244" s="2">
        <v>94</v>
      </c>
      <c r="B244" s="2" t="s">
        <v>35311</v>
      </c>
      <c r="C244" s="2">
        <v>18</v>
      </c>
      <c r="D244" s="2">
        <v>341</v>
      </c>
      <c r="E244" s="2">
        <v>114</v>
      </c>
      <c r="F244" s="2">
        <v>32441</v>
      </c>
      <c r="G244" s="2">
        <v>15.021299580000001</v>
      </c>
      <c r="H244" s="3">
        <v>3.0499999999999999E-15</v>
      </c>
      <c r="I244" s="2" t="s">
        <v>35312</v>
      </c>
      <c r="J244" s="2" t="s">
        <v>35313</v>
      </c>
      <c r="K244" s="3">
        <v>6.2299999999999997E-14</v>
      </c>
      <c r="L244" s="2" t="s">
        <v>35</v>
      </c>
      <c r="M244" s="4" t="s">
        <v>35314</v>
      </c>
    </row>
    <row r="245" spans="1:13">
      <c r="A245" s="2">
        <v>1888</v>
      </c>
      <c r="B245" s="2" t="s">
        <v>35315</v>
      </c>
      <c r="C245" s="2">
        <v>14</v>
      </c>
      <c r="D245" s="2">
        <v>341</v>
      </c>
      <c r="E245" s="2">
        <v>49</v>
      </c>
      <c r="F245" s="2">
        <v>32441</v>
      </c>
      <c r="G245" s="2">
        <v>27.181399249999998</v>
      </c>
      <c r="H245" s="3">
        <v>3.1400000000000001E-15</v>
      </c>
      <c r="I245" s="2" t="s">
        <v>35316</v>
      </c>
      <c r="J245" s="2" t="s">
        <v>35317</v>
      </c>
      <c r="K245" s="3">
        <v>6.3899999999999998E-14</v>
      </c>
      <c r="L245" s="2" t="s">
        <v>35</v>
      </c>
      <c r="M245" s="4" t="s">
        <v>35318</v>
      </c>
    </row>
    <row r="246" spans="1:13">
      <c r="A246" s="2">
        <v>3585</v>
      </c>
      <c r="B246" s="2" t="s">
        <v>35319</v>
      </c>
      <c r="C246" s="2">
        <v>11</v>
      </c>
      <c r="D246" s="2">
        <v>341</v>
      </c>
      <c r="E246" s="2">
        <v>18</v>
      </c>
      <c r="F246" s="2">
        <v>32441</v>
      </c>
      <c r="G246" s="2">
        <v>58.137992830000002</v>
      </c>
      <c r="H246" s="3">
        <v>3.8400000000000001E-15</v>
      </c>
      <c r="I246" s="2" t="s">
        <v>35320</v>
      </c>
      <c r="J246" s="2" t="s">
        <v>35321</v>
      </c>
      <c r="K246" s="3">
        <v>7.7900000000000001E-14</v>
      </c>
      <c r="L246" s="2" t="s">
        <v>35</v>
      </c>
      <c r="M246" s="4" t="s">
        <v>35322</v>
      </c>
    </row>
    <row r="247" spans="1:13">
      <c r="A247" s="2">
        <v>1293</v>
      </c>
      <c r="B247" s="2" t="s">
        <v>35323</v>
      </c>
      <c r="C247" s="2">
        <v>12</v>
      </c>
      <c r="D247" s="2">
        <v>341</v>
      </c>
      <c r="E247" s="2">
        <v>27</v>
      </c>
      <c r="F247" s="2">
        <v>32441</v>
      </c>
      <c r="G247" s="2">
        <v>42.2821766</v>
      </c>
      <c r="H247" s="3">
        <v>4.0199999999999998E-15</v>
      </c>
      <c r="I247" s="2" t="s">
        <v>35324</v>
      </c>
      <c r="J247" s="2" t="s">
        <v>35325</v>
      </c>
      <c r="K247" s="3">
        <v>8.1199999999999997E-14</v>
      </c>
      <c r="L247" s="2" t="s">
        <v>35</v>
      </c>
      <c r="M247" s="4" t="s">
        <v>35326</v>
      </c>
    </row>
    <row r="248" spans="1:13">
      <c r="A248" s="2">
        <v>1239</v>
      </c>
      <c r="B248" s="2" t="s">
        <v>35327</v>
      </c>
      <c r="C248" s="2">
        <v>10</v>
      </c>
      <c r="D248" s="2">
        <v>341</v>
      </c>
      <c r="E248" s="2">
        <v>11</v>
      </c>
      <c r="F248" s="2">
        <v>32441</v>
      </c>
      <c r="G248" s="2">
        <v>86.486270329999996</v>
      </c>
      <c r="H248" s="3">
        <v>4.1400000000000002E-15</v>
      </c>
      <c r="I248" s="2" t="s">
        <v>35328</v>
      </c>
      <c r="J248" s="2" t="s">
        <v>35329</v>
      </c>
      <c r="K248" s="3">
        <v>8.3200000000000001E-14</v>
      </c>
      <c r="L248" s="2" t="s">
        <v>35</v>
      </c>
      <c r="M248" s="4" t="s">
        <v>35330</v>
      </c>
    </row>
    <row r="249" spans="1:13">
      <c r="A249" s="2">
        <v>1124</v>
      </c>
      <c r="B249" s="2" t="s">
        <v>35331</v>
      </c>
      <c r="C249" s="2">
        <v>15</v>
      </c>
      <c r="D249" s="2">
        <v>341</v>
      </c>
      <c r="E249" s="2">
        <v>65</v>
      </c>
      <c r="F249" s="2">
        <v>32441</v>
      </c>
      <c r="G249" s="2">
        <v>21.95420708</v>
      </c>
      <c r="H249" s="3">
        <v>4.7900000000000001E-15</v>
      </c>
      <c r="I249" s="2" t="s">
        <v>35332</v>
      </c>
      <c r="J249" s="2" t="s">
        <v>35333</v>
      </c>
      <c r="K249" s="3">
        <v>9.5800000000000006E-14</v>
      </c>
      <c r="L249" s="2" t="s">
        <v>35</v>
      </c>
      <c r="M249" s="4" t="s">
        <v>35334</v>
      </c>
    </row>
    <row r="250" spans="1:13">
      <c r="A250" s="2">
        <v>2908</v>
      </c>
      <c r="B250" s="2" t="s">
        <v>35335</v>
      </c>
      <c r="C250" s="2">
        <v>12</v>
      </c>
      <c r="D250" s="2">
        <v>341</v>
      </c>
      <c r="E250" s="2">
        <v>28</v>
      </c>
      <c r="F250" s="2">
        <v>32441</v>
      </c>
      <c r="G250" s="2">
        <v>40.772098870000001</v>
      </c>
      <c r="H250" s="3">
        <v>5.6899999999999998E-15</v>
      </c>
      <c r="I250" s="2" t="s">
        <v>35336</v>
      </c>
      <c r="J250" s="2" t="s">
        <v>35337</v>
      </c>
      <c r="K250" s="3">
        <v>1.13E-13</v>
      </c>
      <c r="L250" s="2" t="s">
        <v>35</v>
      </c>
      <c r="M250" s="4" t="s">
        <v>35338</v>
      </c>
    </row>
    <row r="251" spans="1:13">
      <c r="A251" s="2">
        <v>1078</v>
      </c>
      <c r="B251" s="2" t="s">
        <v>35339</v>
      </c>
      <c r="C251" s="2">
        <v>16</v>
      </c>
      <c r="D251" s="2">
        <v>341</v>
      </c>
      <c r="E251" s="2">
        <v>85</v>
      </c>
      <c r="F251" s="2">
        <v>32441</v>
      </c>
      <c r="G251" s="2">
        <v>17.907745389999999</v>
      </c>
      <c r="H251" s="3">
        <v>9.5100000000000003E-15</v>
      </c>
      <c r="I251" s="2" t="s">
        <v>35340</v>
      </c>
      <c r="J251" s="2" t="s">
        <v>35341</v>
      </c>
      <c r="K251" s="3">
        <v>1.89E-13</v>
      </c>
      <c r="L251" s="2" t="s">
        <v>35</v>
      </c>
      <c r="M251" s="4" t="s">
        <v>35342</v>
      </c>
    </row>
    <row r="252" spans="1:13">
      <c r="A252" s="2">
        <v>2333</v>
      </c>
      <c r="B252" s="2" t="s">
        <v>25038</v>
      </c>
      <c r="C252" s="2">
        <v>32</v>
      </c>
      <c r="D252" s="2">
        <v>341</v>
      </c>
      <c r="E252" s="2">
        <v>539</v>
      </c>
      <c r="F252" s="2">
        <v>32441</v>
      </c>
      <c r="G252" s="2">
        <v>5.64808296</v>
      </c>
      <c r="H252" s="3">
        <v>1.4E-14</v>
      </c>
      <c r="I252" s="2" t="s">
        <v>35343</v>
      </c>
      <c r="J252" s="2" t="s">
        <v>35344</v>
      </c>
      <c r="K252" s="3">
        <v>2.7699999999999998E-13</v>
      </c>
      <c r="L252" s="2" t="s">
        <v>35</v>
      </c>
      <c r="M252" s="4" t="s">
        <v>25041</v>
      </c>
    </row>
    <row r="253" spans="1:13">
      <c r="A253" s="2">
        <v>4343</v>
      </c>
      <c r="B253" s="2" t="s">
        <v>35345</v>
      </c>
      <c r="C253" s="2">
        <v>11</v>
      </c>
      <c r="D253" s="2">
        <v>341</v>
      </c>
      <c r="E253" s="2">
        <v>22</v>
      </c>
      <c r="F253" s="2">
        <v>32441</v>
      </c>
      <c r="G253" s="2">
        <v>47.567448679999998</v>
      </c>
      <c r="H253" s="3">
        <v>2.07E-14</v>
      </c>
      <c r="I253" s="2" t="s">
        <v>35346</v>
      </c>
      <c r="J253" s="2" t="s">
        <v>35347</v>
      </c>
      <c r="K253" s="3">
        <v>4.0799999999999998E-13</v>
      </c>
      <c r="L253" s="2" t="s">
        <v>35</v>
      </c>
      <c r="M253" s="4" t="s">
        <v>35348</v>
      </c>
    </row>
    <row r="254" spans="1:13">
      <c r="A254" s="2">
        <v>1693</v>
      </c>
      <c r="B254" s="2" t="s">
        <v>35349</v>
      </c>
      <c r="C254" s="2">
        <v>15</v>
      </c>
      <c r="D254" s="2">
        <v>341</v>
      </c>
      <c r="E254" s="2">
        <v>75</v>
      </c>
      <c r="F254" s="2">
        <v>32441</v>
      </c>
      <c r="G254" s="2">
        <v>19.026979470000001</v>
      </c>
      <c r="H254" s="3">
        <v>3.0099999999999999E-14</v>
      </c>
      <c r="I254" s="2" t="s">
        <v>35350</v>
      </c>
      <c r="J254" s="2" t="s">
        <v>35351</v>
      </c>
      <c r="K254" s="3">
        <v>5.8900000000000001E-13</v>
      </c>
      <c r="L254" s="2" t="s">
        <v>35</v>
      </c>
      <c r="M254" s="4" t="s">
        <v>35352</v>
      </c>
    </row>
    <row r="255" spans="1:13">
      <c r="A255" s="2">
        <v>2305</v>
      </c>
      <c r="B255" s="2" t="s">
        <v>24632</v>
      </c>
      <c r="C255" s="2">
        <v>39</v>
      </c>
      <c r="D255" s="2">
        <v>341</v>
      </c>
      <c r="E255" s="2">
        <v>848</v>
      </c>
      <c r="F255" s="2">
        <v>32441</v>
      </c>
      <c r="G255" s="2">
        <v>4.37530778</v>
      </c>
      <c r="H255" s="3">
        <v>4.2400000000000001E-14</v>
      </c>
      <c r="I255" s="2" t="s">
        <v>35353</v>
      </c>
      <c r="J255" s="2" t="s">
        <v>35354</v>
      </c>
      <c r="K255" s="3">
        <v>8.2700000000000001E-13</v>
      </c>
      <c r="L255" s="2" t="s">
        <v>35</v>
      </c>
      <c r="M255" s="4" t="s">
        <v>24635</v>
      </c>
    </row>
    <row r="256" spans="1:13">
      <c r="A256" s="2">
        <v>2121</v>
      </c>
      <c r="B256" s="2" t="s">
        <v>24399</v>
      </c>
      <c r="C256" s="2">
        <v>39</v>
      </c>
      <c r="D256" s="2">
        <v>341</v>
      </c>
      <c r="E256" s="2">
        <v>855</v>
      </c>
      <c r="F256" s="2">
        <v>32441</v>
      </c>
      <c r="G256" s="2">
        <v>4.3394865459999998</v>
      </c>
      <c r="H256" s="3">
        <v>5.44E-14</v>
      </c>
      <c r="I256" s="2" t="s">
        <v>35355</v>
      </c>
      <c r="J256" s="2" t="s">
        <v>35356</v>
      </c>
      <c r="K256" s="3">
        <v>1.0599999999999999E-12</v>
      </c>
      <c r="L256" s="2" t="s">
        <v>35</v>
      </c>
      <c r="M256" s="4" t="s">
        <v>24402</v>
      </c>
    </row>
    <row r="257" spans="1:13">
      <c r="A257" s="2">
        <v>2971</v>
      </c>
      <c r="B257" s="2" t="s">
        <v>35357</v>
      </c>
      <c r="C257" s="2">
        <v>14</v>
      </c>
      <c r="D257" s="2">
        <v>341</v>
      </c>
      <c r="E257" s="2">
        <v>64</v>
      </c>
      <c r="F257" s="2">
        <v>32441</v>
      </c>
      <c r="G257" s="2">
        <v>20.810758799999999</v>
      </c>
      <c r="H257" s="3">
        <v>7.4799999999999994E-14</v>
      </c>
      <c r="I257" s="2" t="s">
        <v>35358</v>
      </c>
      <c r="J257" s="2" t="s">
        <v>35359</v>
      </c>
      <c r="K257" s="3">
        <v>1.4500000000000001E-12</v>
      </c>
      <c r="L257" s="2" t="s">
        <v>35</v>
      </c>
      <c r="M257" s="4" t="s">
        <v>35360</v>
      </c>
    </row>
    <row r="258" spans="1:13">
      <c r="A258" s="2">
        <v>2013</v>
      </c>
      <c r="B258" s="2" t="s">
        <v>35361</v>
      </c>
      <c r="C258" s="2">
        <v>25</v>
      </c>
      <c r="D258" s="2">
        <v>341</v>
      </c>
      <c r="E258" s="2">
        <v>330</v>
      </c>
      <c r="F258" s="2">
        <v>32441</v>
      </c>
      <c r="G258" s="2">
        <v>7.2071891939999997</v>
      </c>
      <c r="H258" s="3">
        <v>7.7799999999999994E-14</v>
      </c>
      <c r="I258" s="2" t="s">
        <v>35362</v>
      </c>
      <c r="J258" s="2" t="s">
        <v>35363</v>
      </c>
      <c r="K258" s="3">
        <v>1.5000000000000001E-12</v>
      </c>
      <c r="L258" s="2" t="s">
        <v>35</v>
      </c>
      <c r="M258" s="4" t="s">
        <v>35364</v>
      </c>
    </row>
    <row r="259" spans="1:13">
      <c r="A259" s="2">
        <v>1096</v>
      </c>
      <c r="B259" s="2" t="s">
        <v>24719</v>
      </c>
      <c r="C259" s="2">
        <v>15</v>
      </c>
      <c r="D259" s="2">
        <v>341</v>
      </c>
      <c r="E259" s="2">
        <v>81</v>
      </c>
      <c r="F259" s="2">
        <v>32441</v>
      </c>
      <c r="G259" s="2">
        <v>17.617573589999999</v>
      </c>
      <c r="H259" s="3">
        <v>8.1199999999999997E-14</v>
      </c>
      <c r="I259" s="2" t="s">
        <v>35365</v>
      </c>
      <c r="J259" s="2" t="s">
        <v>35366</v>
      </c>
      <c r="K259" s="3">
        <v>1.56E-12</v>
      </c>
      <c r="L259" s="2" t="s">
        <v>35</v>
      </c>
      <c r="M259" s="4" t="s">
        <v>24722</v>
      </c>
    </row>
    <row r="260" spans="1:13">
      <c r="A260" s="2">
        <v>3286</v>
      </c>
      <c r="B260" s="2" t="s">
        <v>24604</v>
      </c>
      <c r="C260" s="2">
        <v>23</v>
      </c>
      <c r="D260" s="2">
        <v>341</v>
      </c>
      <c r="E260" s="2">
        <v>271</v>
      </c>
      <c r="F260" s="2">
        <v>32441</v>
      </c>
      <c r="G260" s="2">
        <v>8.0741794809999998</v>
      </c>
      <c r="H260" s="3">
        <v>8.7399999999999999E-14</v>
      </c>
      <c r="I260" s="2" t="s">
        <v>35367</v>
      </c>
      <c r="J260" s="2" t="s">
        <v>35368</v>
      </c>
      <c r="K260" s="3">
        <v>1.67E-12</v>
      </c>
      <c r="L260" s="2" t="s">
        <v>35</v>
      </c>
      <c r="M260" s="4" t="s">
        <v>24607</v>
      </c>
    </row>
    <row r="261" spans="1:13">
      <c r="A261" s="2">
        <v>4376</v>
      </c>
      <c r="B261" s="2" t="s">
        <v>217</v>
      </c>
      <c r="C261" s="2">
        <v>16</v>
      </c>
      <c r="D261" s="2">
        <v>341</v>
      </c>
      <c r="E261" s="2">
        <v>100</v>
      </c>
      <c r="F261" s="2">
        <v>32441</v>
      </c>
      <c r="G261" s="2">
        <v>15.221583580000001</v>
      </c>
      <c r="H261" s="3">
        <v>8.9800000000000006E-14</v>
      </c>
      <c r="I261" s="2" t="s">
        <v>35369</v>
      </c>
      <c r="J261" s="2" t="s">
        <v>35370</v>
      </c>
      <c r="K261" s="3">
        <v>1.71E-12</v>
      </c>
      <c r="L261" s="2" t="s">
        <v>35</v>
      </c>
      <c r="M261" s="4" t="s">
        <v>35371</v>
      </c>
    </row>
    <row r="262" spans="1:13">
      <c r="A262" s="2">
        <v>3593</v>
      </c>
      <c r="B262" s="2" t="s">
        <v>35372</v>
      </c>
      <c r="C262" s="2">
        <v>9</v>
      </c>
      <c r="D262" s="2">
        <v>341</v>
      </c>
      <c r="E262" s="2">
        <v>10</v>
      </c>
      <c r="F262" s="2">
        <v>32441</v>
      </c>
      <c r="G262" s="2">
        <v>85.621407619999999</v>
      </c>
      <c r="H262" s="3">
        <v>1.0799999999999999E-13</v>
      </c>
      <c r="I262" s="2" t="s">
        <v>35373</v>
      </c>
      <c r="J262" s="2" t="s">
        <v>35374</v>
      </c>
      <c r="K262" s="3">
        <v>2.0499999999999999E-12</v>
      </c>
      <c r="L262" s="2" t="s">
        <v>35</v>
      </c>
      <c r="M262" s="4" t="s">
        <v>35375</v>
      </c>
    </row>
    <row r="263" spans="1:13">
      <c r="A263" s="2">
        <v>710</v>
      </c>
      <c r="B263" s="2" t="s">
        <v>35376</v>
      </c>
      <c r="C263" s="2">
        <v>14</v>
      </c>
      <c r="D263" s="2">
        <v>341</v>
      </c>
      <c r="E263" s="2">
        <v>67</v>
      </c>
      <c r="F263" s="2">
        <v>32441</v>
      </c>
      <c r="G263" s="2">
        <v>19.878933780000001</v>
      </c>
      <c r="H263" s="3">
        <v>1.2900000000000001E-13</v>
      </c>
      <c r="I263" s="2" t="s">
        <v>35377</v>
      </c>
      <c r="J263" s="2" t="s">
        <v>35378</v>
      </c>
      <c r="K263" s="3">
        <v>2.4499999999999999E-12</v>
      </c>
      <c r="L263" s="2" t="s">
        <v>35</v>
      </c>
      <c r="M263" s="4" t="s">
        <v>35379</v>
      </c>
    </row>
    <row r="264" spans="1:13">
      <c r="A264" s="2">
        <v>3685</v>
      </c>
      <c r="B264" s="2" t="s">
        <v>35380</v>
      </c>
      <c r="C264" s="2">
        <v>17</v>
      </c>
      <c r="D264" s="2">
        <v>341</v>
      </c>
      <c r="E264" s="2">
        <v>125</v>
      </c>
      <c r="F264" s="2">
        <v>32441</v>
      </c>
      <c r="G264" s="2">
        <v>12.938346040000001</v>
      </c>
      <c r="H264" s="3">
        <v>1.6300000000000001E-13</v>
      </c>
      <c r="I264" s="2" t="s">
        <v>35381</v>
      </c>
      <c r="J264" s="2" t="s">
        <v>35382</v>
      </c>
      <c r="K264" s="3">
        <v>3.07E-12</v>
      </c>
      <c r="L264" s="2" t="s">
        <v>35</v>
      </c>
      <c r="M264" s="4" t="s">
        <v>35383</v>
      </c>
    </row>
    <row r="265" spans="1:13">
      <c r="A265" s="2">
        <v>3183</v>
      </c>
      <c r="B265" s="2" t="s">
        <v>35384</v>
      </c>
      <c r="C265" s="2">
        <v>9</v>
      </c>
      <c r="D265" s="2">
        <v>341</v>
      </c>
      <c r="E265" s="2">
        <v>11</v>
      </c>
      <c r="F265" s="2">
        <v>32441</v>
      </c>
      <c r="G265" s="2">
        <v>77.837643299999996</v>
      </c>
      <c r="H265" s="3">
        <v>1.95E-13</v>
      </c>
      <c r="I265" s="2" t="s">
        <v>35385</v>
      </c>
      <c r="J265" s="2" t="s">
        <v>35386</v>
      </c>
      <c r="K265" s="3">
        <v>3.65E-12</v>
      </c>
      <c r="L265" s="2" t="s">
        <v>35</v>
      </c>
      <c r="M265" s="4" t="s">
        <v>35387</v>
      </c>
    </row>
    <row r="266" spans="1:13">
      <c r="A266" s="2">
        <v>1200</v>
      </c>
      <c r="B266" s="2" t="s">
        <v>35388</v>
      </c>
      <c r="C266" s="2">
        <v>10</v>
      </c>
      <c r="D266" s="2">
        <v>341</v>
      </c>
      <c r="E266" s="2">
        <v>19</v>
      </c>
      <c r="F266" s="2">
        <v>32441</v>
      </c>
      <c r="G266" s="2">
        <v>50.070998609999997</v>
      </c>
      <c r="H266" s="3">
        <v>2.19E-13</v>
      </c>
      <c r="I266" s="2" t="s">
        <v>35389</v>
      </c>
      <c r="J266" s="2" t="s">
        <v>35390</v>
      </c>
      <c r="K266" s="3">
        <v>4.0700000000000002E-12</v>
      </c>
      <c r="L266" s="2" t="s">
        <v>35</v>
      </c>
      <c r="M266" s="4" t="s">
        <v>35391</v>
      </c>
    </row>
    <row r="267" spans="1:13">
      <c r="A267" s="2">
        <v>4588</v>
      </c>
      <c r="B267" s="2" t="s">
        <v>35392</v>
      </c>
      <c r="C267" s="2">
        <v>10</v>
      </c>
      <c r="D267" s="2">
        <v>341</v>
      </c>
      <c r="E267" s="2">
        <v>19</v>
      </c>
      <c r="F267" s="2">
        <v>32441</v>
      </c>
      <c r="G267" s="2">
        <v>50.070998609999997</v>
      </c>
      <c r="H267" s="3">
        <v>2.19E-13</v>
      </c>
      <c r="I267" s="2" t="s">
        <v>35393</v>
      </c>
      <c r="J267" s="2" t="s">
        <v>35394</v>
      </c>
      <c r="K267" s="3">
        <v>4.0700000000000002E-12</v>
      </c>
      <c r="L267" s="2" t="s">
        <v>35</v>
      </c>
      <c r="M267" s="4" t="s">
        <v>35395</v>
      </c>
    </row>
    <row r="268" spans="1:13">
      <c r="A268" s="2">
        <v>3386</v>
      </c>
      <c r="B268" s="2" t="s">
        <v>3886</v>
      </c>
      <c r="C268" s="2">
        <v>46</v>
      </c>
      <c r="D268" s="2">
        <v>341</v>
      </c>
      <c r="E268" s="2">
        <v>1229</v>
      </c>
      <c r="F268" s="2">
        <v>32441</v>
      </c>
      <c r="G268" s="2">
        <v>3.560785418</v>
      </c>
      <c r="H268" s="3">
        <v>2.36E-13</v>
      </c>
      <c r="I268" s="3" t="s">
        <v>35396</v>
      </c>
      <c r="J268" s="3" t="s">
        <v>35397</v>
      </c>
      <c r="K268" s="3">
        <v>4.3800000000000003E-12</v>
      </c>
      <c r="L268" s="2" t="s">
        <v>35</v>
      </c>
      <c r="M268" s="4" t="s">
        <v>3889</v>
      </c>
    </row>
    <row r="269" spans="1:13">
      <c r="A269" s="2">
        <v>4496</v>
      </c>
      <c r="B269" s="2" t="s">
        <v>35398</v>
      </c>
      <c r="C269" s="2">
        <v>12</v>
      </c>
      <c r="D269" s="2">
        <v>341</v>
      </c>
      <c r="E269" s="2">
        <v>41</v>
      </c>
      <c r="F269" s="2">
        <v>32441</v>
      </c>
      <c r="G269" s="2">
        <v>27.844360200000001</v>
      </c>
      <c r="H269" s="3">
        <v>2.4099999999999998E-13</v>
      </c>
      <c r="I269" s="2" t="s">
        <v>35399</v>
      </c>
      <c r="J269" s="2" t="s">
        <v>35400</v>
      </c>
      <c r="K269" s="3">
        <v>4.4499999999999998E-12</v>
      </c>
      <c r="L269" s="2" t="s">
        <v>35</v>
      </c>
      <c r="M269" s="4" t="s">
        <v>35401</v>
      </c>
    </row>
    <row r="270" spans="1:13">
      <c r="A270" s="2">
        <v>2432</v>
      </c>
      <c r="B270" s="2" t="s">
        <v>132</v>
      </c>
      <c r="C270" s="2">
        <v>36</v>
      </c>
      <c r="D270" s="2">
        <v>341</v>
      </c>
      <c r="E270" s="2">
        <v>775</v>
      </c>
      <c r="F270" s="2">
        <v>32441</v>
      </c>
      <c r="G270" s="2">
        <v>4.4191694259999998</v>
      </c>
      <c r="H270" s="3">
        <v>3.2700000000000002E-13</v>
      </c>
      <c r="I270" s="2" t="s">
        <v>35402</v>
      </c>
      <c r="J270" s="2" t="s">
        <v>35403</v>
      </c>
      <c r="K270" s="3">
        <v>6.0099999999999996E-12</v>
      </c>
      <c r="L270" s="2" t="s">
        <v>35</v>
      </c>
      <c r="M270" s="4" t="s">
        <v>24691</v>
      </c>
    </row>
    <row r="271" spans="1:13">
      <c r="A271" s="2">
        <v>3558</v>
      </c>
      <c r="B271" s="2" t="s">
        <v>183</v>
      </c>
      <c r="C271" s="2">
        <v>38</v>
      </c>
      <c r="D271" s="2">
        <v>341</v>
      </c>
      <c r="E271" s="2">
        <v>863</v>
      </c>
      <c r="F271" s="2">
        <v>32441</v>
      </c>
      <c r="G271" s="2">
        <v>4.1890221319999998</v>
      </c>
      <c r="H271" s="3">
        <v>3.3000000000000001E-13</v>
      </c>
      <c r="I271" s="2" t="s">
        <v>35404</v>
      </c>
      <c r="J271" s="2" t="s">
        <v>35405</v>
      </c>
      <c r="K271" s="3">
        <v>6.0500000000000003E-12</v>
      </c>
      <c r="L271" s="2" t="s">
        <v>35</v>
      </c>
      <c r="M271" s="4" t="s">
        <v>25397</v>
      </c>
    </row>
    <row r="272" spans="1:13">
      <c r="A272" s="2">
        <v>1921</v>
      </c>
      <c r="B272" s="2" t="s">
        <v>35406</v>
      </c>
      <c r="C272" s="2">
        <v>13</v>
      </c>
      <c r="D272" s="2">
        <v>341</v>
      </c>
      <c r="E272" s="2">
        <v>58</v>
      </c>
      <c r="F272" s="2">
        <v>32441</v>
      </c>
      <c r="G272" s="2">
        <v>21.323339059999999</v>
      </c>
      <c r="H272" s="3">
        <v>4.4900000000000001E-13</v>
      </c>
      <c r="I272" s="2" t="s">
        <v>35407</v>
      </c>
      <c r="J272" s="2" t="s">
        <v>35408</v>
      </c>
      <c r="K272" s="3">
        <v>8.1899999999999996E-12</v>
      </c>
      <c r="L272" s="2" t="s">
        <v>35</v>
      </c>
      <c r="M272" s="4" t="s">
        <v>35409</v>
      </c>
    </row>
    <row r="273" spans="1:13">
      <c r="A273" s="2">
        <v>1322</v>
      </c>
      <c r="B273" s="2" t="s">
        <v>35410</v>
      </c>
      <c r="C273" s="2">
        <v>10</v>
      </c>
      <c r="D273" s="2">
        <v>341</v>
      </c>
      <c r="E273" s="2">
        <v>21</v>
      </c>
      <c r="F273" s="2">
        <v>32441</v>
      </c>
      <c r="G273" s="2">
        <v>45.302332079999999</v>
      </c>
      <c r="H273" s="3">
        <v>4.75E-13</v>
      </c>
      <c r="I273" s="2" t="s">
        <v>35411</v>
      </c>
      <c r="J273" s="2" t="s">
        <v>35412</v>
      </c>
      <c r="K273" s="3">
        <v>8.5999999999999997E-12</v>
      </c>
      <c r="L273" s="2" t="s">
        <v>35</v>
      </c>
      <c r="M273" s="4" t="s">
        <v>35413</v>
      </c>
    </row>
    <row r="274" spans="1:13">
      <c r="A274" s="2">
        <v>1363</v>
      </c>
      <c r="B274" s="2" t="s">
        <v>35414</v>
      </c>
      <c r="C274" s="2">
        <v>10</v>
      </c>
      <c r="D274" s="2">
        <v>341</v>
      </c>
      <c r="E274" s="2">
        <v>21</v>
      </c>
      <c r="F274" s="2">
        <v>32441</v>
      </c>
      <c r="G274" s="2">
        <v>45.302332079999999</v>
      </c>
      <c r="H274" s="3">
        <v>4.75E-13</v>
      </c>
      <c r="I274" s="2" t="s">
        <v>35415</v>
      </c>
      <c r="J274" s="2" t="s">
        <v>35416</v>
      </c>
      <c r="K274" s="3">
        <v>8.5999999999999997E-12</v>
      </c>
      <c r="L274" s="2" t="s">
        <v>35</v>
      </c>
      <c r="M274" s="4" t="s">
        <v>35417</v>
      </c>
    </row>
    <row r="275" spans="1:13">
      <c r="A275" s="2">
        <v>2640</v>
      </c>
      <c r="B275" s="2" t="s">
        <v>35418</v>
      </c>
      <c r="C275" s="2">
        <v>19</v>
      </c>
      <c r="D275" s="2">
        <v>341</v>
      </c>
      <c r="E275" s="2">
        <v>187</v>
      </c>
      <c r="F275" s="2">
        <v>32441</v>
      </c>
      <c r="G275" s="2">
        <v>9.6661125660000007</v>
      </c>
      <c r="H275" s="3">
        <v>7.0800000000000001E-13</v>
      </c>
      <c r="I275" s="2" t="s">
        <v>35419</v>
      </c>
      <c r="J275" s="2" t="s">
        <v>35420</v>
      </c>
      <c r="K275" s="3">
        <v>1.28E-11</v>
      </c>
      <c r="L275" s="2" t="s">
        <v>35</v>
      </c>
      <c r="M275" s="4" t="s">
        <v>35421</v>
      </c>
    </row>
    <row r="276" spans="1:13">
      <c r="A276" s="2">
        <v>1178</v>
      </c>
      <c r="B276" s="2" t="s">
        <v>35422</v>
      </c>
      <c r="C276" s="2">
        <v>10</v>
      </c>
      <c r="D276" s="2">
        <v>341</v>
      </c>
      <c r="E276" s="2">
        <v>24</v>
      </c>
      <c r="F276" s="2">
        <v>32441</v>
      </c>
      <c r="G276" s="2">
        <v>39.639540570000001</v>
      </c>
      <c r="H276" s="3">
        <v>1.37E-12</v>
      </c>
      <c r="I276" s="2" t="s">
        <v>35423</v>
      </c>
      <c r="J276" s="2" t="s">
        <v>35424</v>
      </c>
      <c r="K276" s="3">
        <v>2.4600000000000001E-11</v>
      </c>
      <c r="L276" s="2" t="s">
        <v>35</v>
      </c>
      <c r="M276" s="4" t="s">
        <v>35425</v>
      </c>
    </row>
    <row r="277" spans="1:13">
      <c r="A277" s="2">
        <v>3203</v>
      </c>
      <c r="B277" s="2" t="s">
        <v>24411</v>
      </c>
      <c r="C277" s="2">
        <v>23</v>
      </c>
      <c r="D277" s="2">
        <v>341</v>
      </c>
      <c r="E277" s="2">
        <v>318</v>
      </c>
      <c r="F277" s="2">
        <v>32441</v>
      </c>
      <c r="G277" s="2">
        <v>6.8808259100000004</v>
      </c>
      <c r="H277" s="3">
        <v>1.9300000000000001E-12</v>
      </c>
      <c r="I277" s="2" t="s">
        <v>35426</v>
      </c>
      <c r="J277" s="2" t="s">
        <v>35427</v>
      </c>
      <c r="K277" s="3">
        <v>3.4600000000000002E-11</v>
      </c>
      <c r="L277" s="2" t="s">
        <v>35</v>
      </c>
      <c r="M277" s="4" t="s">
        <v>24414</v>
      </c>
    </row>
    <row r="278" spans="1:13">
      <c r="A278" s="2">
        <v>1503</v>
      </c>
      <c r="B278" s="2" t="s">
        <v>35428</v>
      </c>
      <c r="C278" s="2">
        <v>14</v>
      </c>
      <c r="D278" s="2">
        <v>341</v>
      </c>
      <c r="E278" s="2">
        <v>84</v>
      </c>
      <c r="F278" s="2">
        <v>32441</v>
      </c>
      <c r="G278" s="2">
        <v>15.85581623</v>
      </c>
      <c r="H278" s="3">
        <v>1.98E-12</v>
      </c>
      <c r="I278" s="2" t="s">
        <v>35429</v>
      </c>
      <c r="J278" s="2" t="s">
        <v>35430</v>
      </c>
      <c r="K278" s="3">
        <v>3.5199999999999999E-11</v>
      </c>
      <c r="L278" s="2" t="s">
        <v>35</v>
      </c>
      <c r="M278" s="4" t="s">
        <v>35431</v>
      </c>
    </row>
    <row r="279" spans="1:13">
      <c r="A279" s="2">
        <v>2946</v>
      </c>
      <c r="B279" s="2" t="s">
        <v>355</v>
      </c>
      <c r="C279" s="2">
        <v>13</v>
      </c>
      <c r="D279" s="2">
        <v>341</v>
      </c>
      <c r="E279" s="2">
        <v>69</v>
      </c>
      <c r="F279" s="2">
        <v>32441</v>
      </c>
      <c r="G279" s="2">
        <v>17.92396617</v>
      </c>
      <c r="H279" s="3">
        <v>3.1099999999999999E-12</v>
      </c>
      <c r="I279" s="2" t="s">
        <v>35432</v>
      </c>
      <c r="J279" s="2" t="s">
        <v>35433</v>
      </c>
      <c r="K279" s="3">
        <v>5.5299999999999999E-11</v>
      </c>
      <c r="L279" s="2" t="s">
        <v>35</v>
      </c>
      <c r="M279" s="4" t="s">
        <v>35434</v>
      </c>
    </row>
    <row r="280" spans="1:13">
      <c r="A280" s="2">
        <v>3249</v>
      </c>
      <c r="B280" s="2" t="s">
        <v>35435</v>
      </c>
      <c r="C280" s="2">
        <v>9</v>
      </c>
      <c r="D280" s="2">
        <v>341</v>
      </c>
      <c r="E280" s="2">
        <v>17</v>
      </c>
      <c r="F280" s="2">
        <v>32441</v>
      </c>
      <c r="G280" s="2">
        <v>50.365533900000003</v>
      </c>
      <c r="H280" s="3">
        <v>3.4300000000000001E-12</v>
      </c>
      <c r="I280" s="2" t="s">
        <v>35436</v>
      </c>
      <c r="J280" s="2" t="s">
        <v>35437</v>
      </c>
      <c r="K280" s="3">
        <v>6.0799999999999999E-11</v>
      </c>
      <c r="L280" s="2" t="s">
        <v>35</v>
      </c>
      <c r="M280" s="4" t="s">
        <v>35438</v>
      </c>
    </row>
    <row r="281" spans="1:13">
      <c r="A281" s="2">
        <v>2753</v>
      </c>
      <c r="B281" s="2" t="s">
        <v>448</v>
      </c>
      <c r="C281" s="2">
        <v>14</v>
      </c>
      <c r="D281" s="2">
        <v>341</v>
      </c>
      <c r="E281" s="2">
        <v>89</v>
      </c>
      <c r="F281" s="2">
        <v>32441</v>
      </c>
      <c r="G281" s="2">
        <v>14.965040030000001</v>
      </c>
      <c r="H281" s="3">
        <v>3.9799999999999996E-12</v>
      </c>
      <c r="I281" s="2" t="s">
        <v>35439</v>
      </c>
      <c r="J281" s="2" t="s">
        <v>35440</v>
      </c>
      <c r="K281" s="3">
        <v>7.0200000000000001E-11</v>
      </c>
      <c r="L281" s="2" t="s">
        <v>35</v>
      </c>
      <c r="M281" s="4" t="s">
        <v>35441</v>
      </c>
    </row>
    <row r="282" spans="1:13">
      <c r="A282" s="2">
        <v>4185</v>
      </c>
      <c r="B282" s="2" t="s">
        <v>35442</v>
      </c>
      <c r="C282" s="2">
        <v>12</v>
      </c>
      <c r="D282" s="2">
        <v>341</v>
      </c>
      <c r="E282" s="2">
        <v>55</v>
      </c>
      <c r="F282" s="2">
        <v>32441</v>
      </c>
      <c r="G282" s="2">
        <v>20.756704880000001</v>
      </c>
      <c r="H282" s="3">
        <v>4.7499999999999998E-12</v>
      </c>
      <c r="I282" s="2" t="s">
        <v>35443</v>
      </c>
      <c r="J282" s="2" t="s">
        <v>35444</v>
      </c>
      <c r="K282" s="3">
        <v>8.3499999999999996E-11</v>
      </c>
      <c r="L282" s="2" t="s">
        <v>35</v>
      </c>
      <c r="M282" s="4" t="s">
        <v>35445</v>
      </c>
    </row>
    <row r="283" spans="1:13">
      <c r="A283" s="2">
        <v>2746</v>
      </c>
      <c r="B283" s="2" t="s">
        <v>25720</v>
      </c>
      <c r="C283" s="2">
        <v>23</v>
      </c>
      <c r="D283" s="2">
        <v>341</v>
      </c>
      <c r="E283" s="2">
        <v>337</v>
      </c>
      <c r="F283" s="2">
        <v>32441</v>
      </c>
      <c r="G283" s="2">
        <v>6.4928861700000002</v>
      </c>
      <c r="H283" s="3">
        <v>5.8599999999999997E-12</v>
      </c>
      <c r="I283" s="2" t="s">
        <v>35446</v>
      </c>
      <c r="J283" s="2" t="s">
        <v>35447</v>
      </c>
      <c r="K283" s="3">
        <v>1.0300000000000001E-10</v>
      </c>
      <c r="L283" s="2" t="s">
        <v>35</v>
      </c>
      <c r="M283" s="4" t="s">
        <v>25723</v>
      </c>
    </row>
    <row r="284" spans="1:13">
      <c r="A284" s="2">
        <v>624</v>
      </c>
      <c r="B284" s="2" t="s">
        <v>35448</v>
      </c>
      <c r="C284" s="2">
        <v>10</v>
      </c>
      <c r="D284" s="2">
        <v>341</v>
      </c>
      <c r="E284" s="2">
        <v>29</v>
      </c>
      <c r="F284" s="2">
        <v>32441</v>
      </c>
      <c r="G284" s="2">
        <v>32.805137019999997</v>
      </c>
      <c r="H284" s="3">
        <v>6.3299999999999999E-12</v>
      </c>
      <c r="I284" s="2" t="s">
        <v>35449</v>
      </c>
      <c r="J284" s="2" t="s">
        <v>35450</v>
      </c>
      <c r="K284" s="3">
        <v>1.0999999999999999E-10</v>
      </c>
      <c r="L284" s="2" t="s">
        <v>35</v>
      </c>
      <c r="M284" s="4" t="s">
        <v>35451</v>
      </c>
    </row>
    <row r="285" spans="1:13">
      <c r="A285" s="2">
        <v>1287</v>
      </c>
      <c r="B285" s="2" t="s">
        <v>35452</v>
      </c>
      <c r="C285" s="2">
        <v>13</v>
      </c>
      <c r="D285" s="2">
        <v>341</v>
      </c>
      <c r="E285" s="2">
        <v>75</v>
      </c>
      <c r="F285" s="2">
        <v>32441</v>
      </c>
      <c r="G285" s="2">
        <v>16.49004888</v>
      </c>
      <c r="H285" s="3">
        <v>7.9200000000000002E-12</v>
      </c>
      <c r="I285" s="2" t="s">
        <v>35453</v>
      </c>
      <c r="J285" s="2" t="s">
        <v>35454</v>
      </c>
      <c r="K285" s="3">
        <v>1.3799999999999999E-10</v>
      </c>
      <c r="L285" s="2" t="s">
        <v>35</v>
      </c>
      <c r="M285" s="4" t="s">
        <v>35455</v>
      </c>
    </row>
    <row r="286" spans="1:13">
      <c r="A286" s="2">
        <v>3206</v>
      </c>
      <c r="B286" s="2" t="s">
        <v>35456</v>
      </c>
      <c r="C286" s="2">
        <v>8</v>
      </c>
      <c r="D286" s="2">
        <v>341</v>
      </c>
      <c r="E286" s="2">
        <v>11</v>
      </c>
      <c r="F286" s="2">
        <v>32441</v>
      </c>
      <c r="G286" s="2">
        <v>69.189016260000002</v>
      </c>
      <c r="H286" s="3">
        <v>8.6400000000000003E-12</v>
      </c>
      <c r="I286" s="2" t="s">
        <v>35457</v>
      </c>
      <c r="J286" s="2" t="s">
        <v>35458</v>
      </c>
      <c r="K286" s="3">
        <v>1.5E-10</v>
      </c>
      <c r="L286" s="2" t="s">
        <v>35</v>
      </c>
      <c r="M286" s="4" t="s">
        <v>35459</v>
      </c>
    </row>
    <row r="287" spans="1:13">
      <c r="A287" s="2">
        <v>4419</v>
      </c>
      <c r="B287" s="2" t="s">
        <v>35460</v>
      </c>
      <c r="C287" s="2">
        <v>11</v>
      </c>
      <c r="D287" s="2">
        <v>341</v>
      </c>
      <c r="E287" s="2">
        <v>44</v>
      </c>
      <c r="F287" s="2">
        <v>32441</v>
      </c>
      <c r="G287" s="2">
        <v>23.783724339999999</v>
      </c>
      <c r="H287" s="3">
        <v>1.0499999999999999E-11</v>
      </c>
      <c r="I287" s="2" t="s">
        <v>35461</v>
      </c>
      <c r="J287" s="2" t="s">
        <v>35462</v>
      </c>
      <c r="K287" s="3">
        <v>1.8E-10</v>
      </c>
      <c r="L287" s="2" t="s">
        <v>35</v>
      </c>
      <c r="M287" s="4" t="s">
        <v>35463</v>
      </c>
    </row>
    <row r="288" spans="1:13">
      <c r="A288" s="2">
        <v>1971</v>
      </c>
      <c r="B288" s="2" t="s">
        <v>35464</v>
      </c>
      <c r="C288" s="2">
        <v>10</v>
      </c>
      <c r="D288" s="2">
        <v>341</v>
      </c>
      <c r="E288" s="2">
        <v>31</v>
      </c>
      <c r="F288" s="2">
        <v>32441</v>
      </c>
      <c r="G288" s="2">
        <v>30.688676569999998</v>
      </c>
      <c r="H288" s="3">
        <v>1.1000000000000001E-11</v>
      </c>
      <c r="I288" s="2" t="s">
        <v>35465</v>
      </c>
      <c r="J288" s="2" t="s">
        <v>35466</v>
      </c>
      <c r="K288" s="3">
        <v>1.88E-10</v>
      </c>
      <c r="L288" s="2" t="s">
        <v>35</v>
      </c>
      <c r="M288" s="4" t="s">
        <v>35467</v>
      </c>
    </row>
    <row r="289" spans="1:13">
      <c r="A289" s="2">
        <v>2347</v>
      </c>
      <c r="B289" s="2" t="s">
        <v>35468</v>
      </c>
      <c r="C289" s="2">
        <v>10</v>
      </c>
      <c r="D289" s="2">
        <v>341</v>
      </c>
      <c r="E289" s="2">
        <v>31</v>
      </c>
      <c r="F289" s="2">
        <v>32441</v>
      </c>
      <c r="G289" s="2">
        <v>30.688676569999998</v>
      </c>
      <c r="H289" s="3">
        <v>1.1000000000000001E-11</v>
      </c>
      <c r="I289" s="2" t="s">
        <v>35469</v>
      </c>
      <c r="J289" s="2" t="s">
        <v>35470</v>
      </c>
      <c r="K289" s="3">
        <v>1.88E-10</v>
      </c>
      <c r="L289" s="2" t="s">
        <v>35</v>
      </c>
      <c r="M289" s="4" t="s">
        <v>35471</v>
      </c>
    </row>
    <row r="290" spans="1:13">
      <c r="A290" s="2">
        <v>1105</v>
      </c>
      <c r="B290" s="2" t="s">
        <v>35472</v>
      </c>
      <c r="C290" s="2">
        <v>12</v>
      </c>
      <c r="D290" s="2">
        <v>341</v>
      </c>
      <c r="E290" s="2">
        <v>64</v>
      </c>
      <c r="F290" s="2">
        <v>32441</v>
      </c>
      <c r="G290" s="2">
        <v>17.837793260000002</v>
      </c>
      <c r="H290" s="3">
        <v>2.2600000000000001E-11</v>
      </c>
      <c r="I290" s="2" t="s">
        <v>35473</v>
      </c>
      <c r="J290" s="2" t="s">
        <v>35474</v>
      </c>
      <c r="K290" s="3">
        <v>3.8600000000000001E-10</v>
      </c>
      <c r="L290" s="2" t="s">
        <v>35</v>
      </c>
      <c r="M290" s="4" t="s">
        <v>35475</v>
      </c>
    </row>
    <row r="291" spans="1:13">
      <c r="A291" s="2">
        <v>968</v>
      </c>
      <c r="B291" s="2" t="s">
        <v>35476</v>
      </c>
      <c r="C291" s="2">
        <v>8</v>
      </c>
      <c r="D291" s="2">
        <v>341</v>
      </c>
      <c r="E291" s="2">
        <v>13</v>
      </c>
      <c r="F291" s="2">
        <v>32441</v>
      </c>
      <c r="G291" s="2">
        <v>58.54455222</v>
      </c>
      <c r="H291" s="3">
        <v>2.2800000000000001E-11</v>
      </c>
      <c r="I291" s="2" t="s">
        <v>35477</v>
      </c>
      <c r="J291" s="2" t="s">
        <v>35478</v>
      </c>
      <c r="K291" s="3">
        <v>3.88E-10</v>
      </c>
      <c r="L291" s="2" t="s">
        <v>35</v>
      </c>
      <c r="M291" s="4" t="s">
        <v>35479</v>
      </c>
    </row>
    <row r="292" spans="1:13">
      <c r="A292" s="2">
        <v>2856</v>
      </c>
      <c r="B292" s="2" t="s">
        <v>35480</v>
      </c>
      <c r="C292" s="2">
        <v>12</v>
      </c>
      <c r="D292" s="2">
        <v>341</v>
      </c>
      <c r="E292" s="2">
        <v>65</v>
      </c>
      <c r="F292" s="2">
        <v>32441</v>
      </c>
      <c r="G292" s="2">
        <v>17.56336567</v>
      </c>
      <c r="H292" s="3">
        <v>2.6499999999999999E-11</v>
      </c>
      <c r="I292" s="2" t="s">
        <v>35481</v>
      </c>
      <c r="J292" s="2" t="s">
        <v>35482</v>
      </c>
      <c r="K292" s="3">
        <v>4.5E-10</v>
      </c>
      <c r="L292" s="2" t="s">
        <v>35</v>
      </c>
      <c r="M292" s="4" t="s">
        <v>35483</v>
      </c>
    </row>
    <row r="293" spans="1:13">
      <c r="A293" s="2">
        <v>3076</v>
      </c>
      <c r="B293" s="2" t="s">
        <v>35484</v>
      </c>
      <c r="C293" s="2">
        <v>17</v>
      </c>
      <c r="D293" s="2">
        <v>341</v>
      </c>
      <c r="E293" s="2">
        <v>180</v>
      </c>
      <c r="F293" s="2">
        <v>32441</v>
      </c>
      <c r="G293" s="2">
        <v>8.9849625290000006</v>
      </c>
      <c r="H293" s="3">
        <v>3.3900000000000001E-11</v>
      </c>
      <c r="I293" s="2" t="s">
        <v>35485</v>
      </c>
      <c r="J293" s="2" t="s">
        <v>35486</v>
      </c>
      <c r="K293" s="3">
        <v>5.7199999999999999E-10</v>
      </c>
      <c r="L293" s="2" t="s">
        <v>35</v>
      </c>
      <c r="M293" s="4" t="s">
        <v>35487</v>
      </c>
    </row>
    <row r="294" spans="1:13">
      <c r="A294" s="2">
        <v>1543</v>
      </c>
      <c r="B294" s="2" t="s">
        <v>35488</v>
      </c>
      <c r="C294" s="2">
        <v>8</v>
      </c>
      <c r="D294" s="2">
        <v>341</v>
      </c>
      <c r="E294" s="2">
        <v>14</v>
      </c>
      <c r="F294" s="2">
        <v>32441</v>
      </c>
      <c r="G294" s="2">
        <v>54.362798490000003</v>
      </c>
      <c r="H294" s="3">
        <v>3.5599999999999999E-11</v>
      </c>
      <c r="I294" s="2" t="s">
        <v>35489</v>
      </c>
      <c r="J294" s="2" t="s">
        <v>35490</v>
      </c>
      <c r="K294" s="3">
        <v>5.99E-10</v>
      </c>
      <c r="L294" s="2" t="s">
        <v>35</v>
      </c>
      <c r="M294" s="4" t="s">
        <v>35491</v>
      </c>
    </row>
    <row r="295" spans="1:13">
      <c r="A295" s="2">
        <v>3399</v>
      </c>
      <c r="B295" s="2" t="s">
        <v>35492</v>
      </c>
      <c r="C295" s="2">
        <v>18</v>
      </c>
      <c r="D295" s="2">
        <v>341</v>
      </c>
      <c r="E295" s="2">
        <v>210</v>
      </c>
      <c r="F295" s="2">
        <v>32441</v>
      </c>
      <c r="G295" s="2">
        <v>8.1544197740000008</v>
      </c>
      <c r="H295" s="3">
        <v>3.9199999999999998E-11</v>
      </c>
      <c r="I295" s="2" t="s">
        <v>35493</v>
      </c>
      <c r="J295" s="2" t="s">
        <v>35494</v>
      </c>
      <c r="K295" s="3">
        <v>6.5700000000000001E-10</v>
      </c>
      <c r="L295" s="2" t="s">
        <v>35</v>
      </c>
      <c r="M295" s="4" t="s">
        <v>35495</v>
      </c>
    </row>
    <row r="296" spans="1:13">
      <c r="A296" s="2">
        <v>1001</v>
      </c>
      <c r="B296" s="2" t="s">
        <v>35496</v>
      </c>
      <c r="C296" s="2">
        <v>8</v>
      </c>
      <c r="D296" s="2">
        <v>341</v>
      </c>
      <c r="E296" s="2">
        <v>15</v>
      </c>
      <c r="F296" s="2">
        <v>32441</v>
      </c>
      <c r="G296" s="2">
        <v>50.738611929999998</v>
      </c>
      <c r="H296" s="3">
        <v>5.4099999999999999E-11</v>
      </c>
      <c r="I296" s="2" t="s">
        <v>35497</v>
      </c>
      <c r="J296" s="2" t="s">
        <v>35498</v>
      </c>
      <c r="K296" s="3">
        <v>9.0299999999999998E-10</v>
      </c>
      <c r="L296" s="2" t="s">
        <v>35</v>
      </c>
      <c r="M296" s="4" t="s">
        <v>35499</v>
      </c>
    </row>
    <row r="297" spans="1:13">
      <c r="A297" s="2">
        <v>3142</v>
      </c>
      <c r="B297" s="2" t="s">
        <v>24626</v>
      </c>
      <c r="C297" s="2">
        <v>21</v>
      </c>
      <c r="D297" s="2">
        <v>341</v>
      </c>
      <c r="E297" s="2">
        <v>312</v>
      </c>
      <c r="F297" s="2">
        <v>32441</v>
      </c>
      <c r="G297" s="2">
        <v>6.4033103990000004</v>
      </c>
      <c r="H297" s="3">
        <v>6.3399999999999996E-11</v>
      </c>
      <c r="I297" s="2" t="s">
        <v>35500</v>
      </c>
      <c r="J297" s="2" t="s">
        <v>35501</v>
      </c>
      <c r="K297" s="3">
        <v>1.0500000000000001E-9</v>
      </c>
      <c r="L297" s="2" t="s">
        <v>35</v>
      </c>
      <c r="M297" s="4" t="s">
        <v>24629</v>
      </c>
    </row>
    <row r="298" spans="1:13">
      <c r="A298" s="2">
        <v>2094</v>
      </c>
      <c r="B298" s="2" t="s">
        <v>35502</v>
      </c>
      <c r="C298" s="2">
        <v>10</v>
      </c>
      <c r="D298" s="2">
        <v>341</v>
      </c>
      <c r="E298" s="2">
        <v>39</v>
      </c>
      <c r="F298" s="2">
        <v>32441</v>
      </c>
      <c r="G298" s="2">
        <v>24.39356343</v>
      </c>
      <c r="H298" s="3">
        <v>7.4600000000000006E-11</v>
      </c>
      <c r="I298" s="2" t="s">
        <v>35503</v>
      </c>
      <c r="J298" s="2" t="s">
        <v>35504</v>
      </c>
      <c r="K298" s="3">
        <v>1.2400000000000001E-9</v>
      </c>
      <c r="L298" s="2" t="s">
        <v>35</v>
      </c>
      <c r="M298" s="4" t="s">
        <v>35505</v>
      </c>
    </row>
    <row r="299" spans="1:13">
      <c r="A299" s="2">
        <v>2784</v>
      </c>
      <c r="B299" s="2" t="s">
        <v>511</v>
      </c>
      <c r="C299" s="2">
        <v>12</v>
      </c>
      <c r="D299" s="2">
        <v>341</v>
      </c>
      <c r="E299" s="2">
        <v>73</v>
      </c>
      <c r="F299" s="2">
        <v>32441</v>
      </c>
      <c r="G299" s="2">
        <v>15.63861326</v>
      </c>
      <c r="H299" s="3">
        <v>8.8200000000000003E-11</v>
      </c>
      <c r="I299" s="2" t="s">
        <v>35506</v>
      </c>
      <c r="J299" s="2" t="s">
        <v>35507</v>
      </c>
      <c r="K299" s="3">
        <v>1.4599999999999999E-9</v>
      </c>
      <c r="L299" s="2" t="s">
        <v>35</v>
      </c>
      <c r="M299" s="4" t="s">
        <v>35508</v>
      </c>
    </row>
    <row r="300" spans="1:13">
      <c r="A300" s="2">
        <v>2071</v>
      </c>
      <c r="B300" s="2" t="s">
        <v>2864</v>
      </c>
      <c r="C300" s="2">
        <v>9</v>
      </c>
      <c r="D300" s="2">
        <v>341</v>
      </c>
      <c r="E300" s="2">
        <v>27</v>
      </c>
      <c r="F300" s="2">
        <v>32441</v>
      </c>
      <c r="G300" s="2">
        <v>31.71163245</v>
      </c>
      <c r="H300" s="3">
        <v>9.4400000000000005E-11</v>
      </c>
      <c r="I300" s="2" t="s">
        <v>35509</v>
      </c>
      <c r="J300" s="2" t="s">
        <v>35510</v>
      </c>
      <c r="K300" s="3">
        <v>1.55E-9</v>
      </c>
      <c r="L300" s="2" t="s">
        <v>35</v>
      </c>
      <c r="M300" s="4" t="s">
        <v>2867</v>
      </c>
    </row>
    <row r="301" spans="1:13">
      <c r="A301" s="2">
        <v>1784</v>
      </c>
      <c r="B301" s="2" t="s">
        <v>35511</v>
      </c>
      <c r="C301" s="2">
        <v>14</v>
      </c>
      <c r="D301" s="2">
        <v>341</v>
      </c>
      <c r="E301" s="2">
        <v>117</v>
      </c>
      <c r="F301" s="2">
        <v>32441</v>
      </c>
      <c r="G301" s="2">
        <v>11.38366293</v>
      </c>
      <c r="H301" s="3">
        <v>1.09E-10</v>
      </c>
      <c r="I301" s="2" t="s">
        <v>35512</v>
      </c>
      <c r="J301" s="2" t="s">
        <v>35513</v>
      </c>
      <c r="K301" s="3">
        <v>1.79E-9</v>
      </c>
      <c r="L301" s="2" t="s">
        <v>35</v>
      </c>
      <c r="M301" s="4" t="s">
        <v>35514</v>
      </c>
    </row>
    <row r="302" spans="1:13">
      <c r="A302" s="2">
        <v>2651</v>
      </c>
      <c r="B302" s="2" t="s">
        <v>35515</v>
      </c>
      <c r="C302" s="2">
        <v>11</v>
      </c>
      <c r="D302" s="2">
        <v>341</v>
      </c>
      <c r="E302" s="2">
        <v>57</v>
      </c>
      <c r="F302" s="2">
        <v>32441</v>
      </c>
      <c r="G302" s="2">
        <v>18.35936616</v>
      </c>
      <c r="H302" s="3">
        <v>1.19E-10</v>
      </c>
      <c r="I302" s="2" t="s">
        <v>35516</v>
      </c>
      <c r="J302" s="2" t="s">
        <v>35517</v>
      </c>
      <c r="K302" s="3">
        <v>1.9399999999999999E-9</v>
      </c>
      <c r="L302" s="2" t="s">
        <v>35</v>
      </c>
      <c r="M302" s="4" t="s">
        <v>35518</v>
      </c>
    </row>
    <row r="303" spans="1:13">
      <c r="A303" s="2">
        <v>2595</v>
      </c>
      <c r="B303" s="2" t="s">
        <v>6384</v>
      </c>
      <c r="C303" s="2">
        <v>15</v>
      </c>
      <c r="D303" s="2">
        <v>341</v>
      </c>
      <c r="E303" s="2">
        <v>143</v>
      </c>
      <c r="F303" s="2">
        <v>32441</v>
      </c>
      <c r="G303" s="2">
        <v>9.9791850380000007</v>
      </c>
      <c r="H303" s="3">
        <v>1.28E-10</v>
      </c>
      <c r="I303" s="2" t="s">
        <v>35519</v>
      </c>
      <c r="J303" s="2" t="s">
        <v>35520</v>
      </c>
      <c r="K303" s="3">
        <v>2.0799999999999998E-9</v>
      </c>
      <c r="L303" s="2" t="s">
        <v>35</v>
      </c>
      <c r="M303" s="4" t="s">
        <v>6387</v>
      </c>
    </row>
    <row r="304" spans="1:13">
      <c r="A304" s="2">
        <v>4205</v>
      </c>
      <c r="B304" s="2" t="s">
        <v>156</v>
      </c>
      <c r="C304" s="2">
        <v>15</v>
      </c>
      <c r="D304" s="2">
        <v>341</v>
      </c>
      <c r="E304" s="2">
        <v>143</v>
      </c>
      <c r="F304" s="2">
        <v>32441</v>
      </c>
      <c r="G304" s="2">
        <v>9.9791850380000007</v>
      </c>
      <c r="H304" s="3">
        <v>1.28E-10</v>
      </c>
      <c r="I304" s="2" t="s">
        <v>35521</v>
      </c>
      <c r="J304" s="2" t="s">
        <v>35522</v>
      </c>
      <c r="K304" s="3">
        <v>2.0799999999999998E-9</v>
      </c>
      <c r="L304" s="2" t="s">
        <v>35</v>
      </c>
      <c r="M304" s="4" t="s">
        <v>35523</v>
      </c>
    </row>
    <row r="305" spans="1:13">
      <c r="A305" s="2">
        <v>3659</v>
      </c>
      <c r="B305" s="2" t="s">
        <v>84</v>
      </c>
      <c r="C305" s="2">
        <v>34</v>
      </c>
      <c r="D305" s="2">
        <v>341</v>
      </c>
      <c r="E305" s="2">
        <v>871</v>
      </c>
      <c r="F305" s="2">
        <v>32441</v>
      </c>
      <c r="G305" s="2">
        <v>3.713646969</v>
      </c>
      <c r="H305" s="3">
        <v>1.3799999999999999E-10</v>
      </c>
      <c r="I305" s="2" t="s">
        <v>35524</v>
      </c>
      <c r="J305" s="2" t="s">
        <v>35525</v>
      </c>
      <c r="K305" s="3">
        <v>2.2400000000000001E-9</v>
      </c>
      <c r="L305" s="2" t="s">
        <v>35</v>
      </c>
      <c r="M305" s="4" t="s">
        <v>35526</v>
      </c>
    </row>
    <row r="306" spans="1:13">
      <c r="A306" s="2">
        <v>1815</v>
      </c>
      <c r="B306" s="2" t="s">
        <v>35527</v>
      </c>
      <c r="C306" s="2">
        <v>11</v>
      </c>
      <c r="D306" s="2">
        <v>341</v>
      </c>
      <c r="E306" s="2">
        <v>58</v>
      </c>
      <c r="F306" s="2">
        <v>32441</v>
      </c>
      <c r="G306" s="2">
        <v>18.042825359999998</v>
      </c>
      <c r="H306" s="3">
        <v>1.4000000000000001E-10</v>
      </c>
      <c r="I306" s="2" t="s">
        <v>35528</v>
      </c>
      <c r="J306" s="2" t="s">
        <v>35529</v>
      </c>
      <c r="K306" s="3">
        <v>2.2600000000000001E-9</v>
      </c>
      <c r="L306" s="2" t="s">
        <v>35</v>
      </c>
      <c r="M306" s="4" t="s">
        <v>35530</v>
      </c>
    </row>
    <row r="307" spans="1:13">
      <c r="A307" s="2">
        <v>2122</v>
      </c>
      <c r="B307" s="2" t="s">
        <v>24403</v>
      </c>
      <c r="C307" s="2">
        <v>25</v>
      </c>
      <c r="D307" s="2">
        <v>341</v>
      </c>
      <c r="E307" s="2">
        <v>483</v>
      </c>
      <c r="F307" s="2">
        <v>32441</v>
      </c>
      <c r="G307" s="2">
        <v>4.9241665299999999</v>
      </c>
      <c r="H307" s="3">
        <v>1.88E-10</v>
      </c>
      <c r="I307" s="2" t="s">
        <v>35531</v>
      </c>
      <c r="J307" s="2" t="s">
        <v>35532</v>
      </c>
      <c r="K307" s="3">
        <v>3.0300000000000001E-9</v>
      </c>
      <c r="L307" s="2" t="s">
        <v>35</v>
      </c>
      <c r="M307" s="4" t="s">
        <v>24406</v>
      </c>
    </row>
    <row r="308" spans="1:13">
      <c r="A308" s="2">
        <v>2442</v>
      </c>
      <c r="B308" s="2" t="s">
        <v>25625</v>
      </c>
      <c r="C308" s="2">
        <v>13</v>
      </c>
      <c r="D308" s="2">
        <v>341</v>
      </c>
      <c r="E308" s="2">
        <v>100</v>
      </c>
      <c r="F308" s="2">
        <v>32441</v>
      </c>
      <c r="G308" s="2">
        <v>12.367536660000001</v>
      </c>
      <c r="H308" s="3">
        <v>2.01E-10</v>
      </c>
      <c r="I308" s="2" t="s">
        <v>35533</v>
      </c>
      <c r="J308" s="2" t="s">
        <v>35534</v>
      </c>
      <c r="K308" s="3">
        <v>3.22E-9</v>
      </c>
      <c r="L308" s="2" t="s">
        <v>35</v>
      </c>
      <c r="M308" s="4" t="s">
        <v>25628</v>
      </c>
    </row>
    <row r="309" spans="1:13">
      <c r="A309" s="2">
        <v>1504</v>
      </c>
      <c r="B309" s="2" t="s">
        <v>35535</v>
      </c>
      <c r="C309" s="2">
        <v>10</v>
      </c>
      <c r="D309" s="2">
        <v>341</v>
      </c>
      <c r="E309" s="2">
        <v>44</v>
      </c>
      <c r="F309" s="2">
        <v>32441</v>
      </c>
      <c r="G309" s="2">
        <v>21.621567580000001</v>
      </c>
      <c r="H309" s="3">
        <v>2.0700000000000001E-10</v>
      </c>
      <c r="I309" s="2" t="s">
        <v>35536</v>
      </c>
      <c r="J309" s="2" t="s">
        <v>35537</v>
      </c>
      <c r="K309" s="3">
        <v>3.3099999999999999E-9</v>
      </c>
      <c r="L309" s="2" t="s">
        <v>35</v>
      </c>
      <c r="M309" s="4" t="s">
        <v>35538</v>
      </c>
    </row>
    <row r="310" spans="1:13">
      <c r="A310" s="2">
        <v>2217</v>
      </c>
      <c r="B310" s="2" t="s">
        <v>35539</v>
      </c>
      <c r="C310" s="2">
        <v>7</v>
      </c>
      <c r="D310" s="2">
        <v>341</v>
      </c>
      <c r="E310" s="2">
        <v>10</v>
      </c>
      <c r="F310" s="2">
        <v>32441</v>
      </c>
      <c r="G310" s="2">
        <v>66.594428149999999</v>
      </c>
      <c r="H310" s="3">
        <v>2.1999999999999999E-10</v>
      </c>
      <c r="I310" s="2" t="s">
        <v>35540</v>
      </c>
      <c r="J310" s="2" t="s">
        <v>35541</v>
      </c>
      <c r="K310" s="3">
        <v>3.5100000000000001E-9</v>
      </c>
      <c r="L310" s="2" t="s">
        <v>35</v>
      </c>
      <c r="M310" s="4" t="s">
        <v>35542</v>
      </c>
    </row>
    <row r="311" spans="1:13">
      <c r="A311" s="2">
        <v>3272</v>
      </c>
      <c r="B311" s="2" t="s">
        <v>35543</v>
      </c>
      <c r="C311" s="2">
        <v>11</v>
      </c>
      <c r="D311" s="2">
        <v>341</v>
      </c>
      <c r="E311" s="2">
        <v>61</v>
      </c>
      <c r="F311" s="2">
        <v>32441</v>
      </c>
      <c r="G311" s="2">
        <v>17.15547329</v>
      </c>
      <c r="H311" s="3">
        <v>2.26E-10</v>
      </c>
      <c r="I311" s="2" t="s">
        <v>35544</v>
      </c>
      <c r="J311" s="2" t="s">
        <v>35545</v>
      </c>
      <c r="K311" s="3">
        <v>3.58E-9</v>
      </c>
      <c r="L311" s="2" t="s">
        <v>35</v>
      </c>
      <c r="M311" s="4" t="s">
        <v>35546</v>
      </c>
    </row>
    <row r="312" spans="1:13">
      <c r="A312" s="2">
        <v>4193</v>
      </c>
      <c r="B312" s="2" t="s">
        <v>5695</v>
      </c>
      <c r="C312" s="2">
        <v>8</v>
      </c>
      <c r="D312" s="2">
        <v>341</v>
      </c>
      <c r="E312" s="2">
        <v>19</v>
      </c>
      <c r="F312" s="2">
        <v>32441</v>
      </c>
      <c r="G312" s="2">
        <v>40.056798890000003</v>
      </c>
      <c r="H312" s="3">
        <v>2.3600000000000001E-10</v>
      </c>
      <c r="I312" s="2" t="s">
        <v>35547</v>
      </c>
      <c r="J312" s="2" t="s">
        <v>35548</v>
      </c>
      <c r="K312" s="3">
        <v>3.7300000000000001E-9</v>
      </c>
      <c r="L312" s="2" t="s">
        <v>35</v>
      </c>
      <c r="M312" s="4" t="s">
        <v>5698</v>
      </c>
    </row>
    <row r="313" spans="1:13">
      <c r="A313" s="2">
        <v>4035</v>
      </c>
      <c r="B313" s="2" t="s">
        <v>35549</v>
      </c>
      <c r="C313" s="2">
        <v>10</v>
      </c>
      <c r="D313" s="2">
        <v>341</v>
      </c>
      <c r="E313" s="2">
        <v>45</v>
      </c>
      <c r="F313" s="2">
        <v>32441</v>
      </c>
      <c r="G313" s="2">
        <v>21.1410883</v>
      </c>
      <c r="H313" s="3">
        <v>2.5100000000000001E-10</v>
      </c>
      <c r="I313" s="2" t="s">
        <v>35550</v>
      </c>
      <c r="J313" s="2" t="s">
        <v>35551</v>
      </c>
      <c r="K313" s="3">
        <v>3.9499999999999998E-9</v>
      </c>
      <c r="L313" s="2" t="s">
        <v>35</v>
      </c>
      <c r="M313" s="4" t="s">
        <v>35552</v>
      </c>
    </row>
    <row r="314" spans="1:13">
      <c r="A314" s="2">
        <v>4649</v>
      </c>
      <c r="B314" s="2" t="s">
        <v>25217</v>
      </c>
      <c r="C314" s="2">
        <v>10</v>
      </c>
      <c r="D314" s="2">
        <v>341</v>
      </c>
      <c r="E314" s="2">
        <v>45</v>
      </c>
      <c r="F314" s="2">
        <v>32441</v>
      </c>
      <c r="G314" s="2">
        <v>21.1410883</v>
      </c>
      <c r="H314" s="3">
        <v>2.5100000000000001E-10</v>
      </c>
      <c r="I314" s="2" t="s">
        <v>35553</v>
      </c>
      <c r="J314" s="2" t="s">
        <v>35554</v>
      </c>
      <c r="K314" s="3">
        <v>3.9499999999999998E-9</v>
      </c>
      <c r="L314" s="2" t="s">
        <v>35</v>
      </c>
      <c r="M314" s="4" t="s">
        <v>25220</v>
      </c>
    </row>
    <row r="315" spans="1:13">
      <c r="A315" s="2">
        <v>2120</v>
      </c>
      <c r="B315" s="2" t="s">
        <v>35555</v>
      </c>
      <c r="C315" s="2">
        <v>20</v>
      </c>
      <c r="D315" s="2">
        <v>341</v>
      </c>
      <c r="E315" s="2">
        <v>309</v>
      </c>
      <c r="F315" s="2">
        <v>32441</v>
      </c>
      <c r="G315" s="2">
        <v>6.157598535</v>
      </c>
      <c r="H315" s="3">
        <v>3.4699999999999999E-10</v>
      </c>
      <c r="I315" s="2" t="s">
        <v>35556</v>
      </c>
      <c r="J315" s="2" t="s">
        <v>35557</v>
      </c>
      <c r="K315" s="3">
        <v>5.4400000000000002E-9</v>
      </c>
      <c r="L315" s="2" t="s">
        <v>35</v>
      </c>
      <c r="M315" s="4" t="s">
        <v>35558</v>
      </c>
    </row>
    <row r="316" spans="1:13">
      <c r="A316" s="2">
        <v>4593</v>
      </c>
      <c r="B316" s="2" t="s">
        <v>5922</v>
      </c>
      <c r="C316" s="2">
        <v>18</v>
      </c>
      <c r="D316" s="2">
        <v>341</v>
      </c>
      <c r="E316" s="2">
        <v>244</v>
      </c>
      <c r="F316" s="2">
        <v>32441</v>
      </c>
      <c r="G316" s="2">
        <v>7.0181481659999996</v>
      </c>
      <c r="H316" s="3">
        <v>3.8099999999999998E-10</v>
      </c>
      <c r="I316" s="2" t="s">
        <v>35559</v>
      </c>
      <c r="J316" s="2" t="s">
        <v>35560</v>
      </c>
      <c r="K316" s="3">
        <v>5.9500000000000003E-9</v>
      </c>
      <c r="L316" s="2" t="s">
        <v>35</v>
      </c>
      <c r="M316" s="4" t="s">
        <v>5925</v>
      </c>
    </row>
    <row r="317" spans="1:13">
      <c r="A317" s="2">
        <v>3309</v>
      </c>
      <c r="B317" s="2" t="s">
        <v>25541</v>
      </c>
      <c r="C317" s="2">
        <v>18</v>
      </c>
      <c r="D317" s="2">
        <v>341</v>
      </c>
      <c r="E317" s="2">
        <v>246</v>
      </c>
      <c r="F317" s="2">
        <v>32441</v>
      </c>
      <c r="G317" s="2">
        <v>6.9610900510000002</v>
      </c>
      <c r="H317" s="3">
        <v>4.3100000000000001E-10</v>
      </c>
      <c r="I317" s="2" t="s">
        <v>35561</v>
      </c>
      <c r="J317" s="2" t="s">
        <v>35562</v>
      </c>
      <c r="K317" s="3">
        <v>6.7100000000000002E-9</v>
      </c>
      <c r="L317" s="2" t="s">
        <v>35</v>
      </c>
      <c r="M317" s="4" t="s">
        <v>25544</v>
      </c>
    </row>
    <row r="318" spans="1:13">
      <c r="A318" s="2">
        <v>3556</v>
      </c>
      <c r="B318" s="2" t="s">
        <v>370</v>
      </c>
      <c r="C318" s="2">
        <v>35</v>
      </c>
      <c r="D318" s="2">
        <v>341</v>
      </c>
      <c r="E318" s="2">
        <v>973</v>
      </c>
      <c r="F318" s="2">
        <v>32441</v>
      </c>
      <c r="G318" s="2">
        <v>3.4221186100000001</v>
      </c>
      <c r="H318" s="3">
        <v>5.9300000000000002E-10</v>
      </c>
      <c r="I318" s="2" t="s">
        <v>35563</v>
      </c>
      <c r="J318" s="2" t="s">
        <v>35564</v>
      </c>
      <c r="K318" s="3">
        <v>9.1999999999999997E-9</v>
      </c>
      <c r="L318" s="2" t="s">
        <v>35</v>
      </c>
      <c r="M318" s="4" t="s">
        <v>5833</v>
      </c>
    </row>
    <row r="319" spans="1:13">
      <c r="A319" s="2">
        <v>2425</v>
      </c>
      <c r="B319" s="2" t="s">
        <v>400</v>
      </c>
      <c r="C319" s="2">
        <v>30</v>
      </c>
      <c r="D319" s="2">
        <v>341</v>
      </c>
      <c r="E319" s="2">
        <v>734</v>
      </c>
      <c r="F319" s="2">
        <v>32441</v>
      </c>
      <c r="G319" s="2">
        <v>3.8883473039999998</v>
      </c>
      <c r="H319" s="3">
        <v>6.3799999999999997E-10</v>
      </c>
      <c r="I319" s="2" t="s">
        <v>35565</v>
      </c>
      <c r="J319" s="2" t="s">
        <v>35566</v>
      </c>
      <c r="K319" s="3">
        <v>9.8600000000000003E-9</v>
      </c>
      <c r="L319" s="2" t="s">
        <v>35</v>
      </c>
      <c r="M319" s="4" t="s">
        <v>2949</v>
      </c>
    </row>
    <row r="320" spans="1:13">
      <c r="A320" s="2">
        <v>3531</v>
      </c>
      <c r="B320" s="2" t="s">
        <v>35567</v>
      </c>
      <c r="C320" s="2">
        <v>16</v>
      </c>
      <c r="D320" s="2">
        <v>341</v>
      </c>
      <c r="E320" s="2">
        <v>191</v>
      </c>
      <c r="F320" s="2">
        <v>32441</v>
      </c>
      <c r="G320" s="2">
        <v>7.9694154859999999</v>
      </c>
      <c r="H320" s="3">
        <v>6.6E-10</v>
      </c>
      <c r="I320" s="2" t="s">
        <v>35568</v>
      </c>
      <c r="J320" s="2" t="s">
        <v>35569</v>
      </c>
      <c r="K320" s="3">
        <v>1.02E-8</v>
      </c>
      <c r="L320" s="2" t="s">
        <v>35</v>
      </c>
      <c r="M320" s="4" t="s">
        <v>35570</v>
      </c>
    </row>
    <row r="321" spans="1:13">
      <c r="A321" s="2">
        <v>2790</v>
      </c>
      <c r="B321" s="2" t="s">
        <v>3998</v>
      </c>
      <c r="C321" s="2">
        <v>24</v>
      </c>
      <c r="D321" s="2">
        <v>341</v>
      </c>
      <c r="E321" s="2">
        <v>475</v>
      </c>
      <c r="F321" s="2">
        <v>32441</v>
      </c>
      <c r="G321" s="2">
        <v>4.8068158670000001</v>
      </c>
      <c r="H321" s="3">
        <v>6.9399999999999998E-10</v>
      </c>
      <c r="I321" s="2" t="s">
        <v>35571</v>
      </c>
      <c r="J321" s="2" t="s">
        <v>35572</v>
      </c>
      <c r="K321" s="3">
        <v>1.07E-8</v>
      </c>
      <c r="L321" s="2" t="s">
        <v>35</v>
      </c>
      <c r="M321" s="4" t="s">
        <v>4001</v>
      </c>
    </row>
    <row r="322" spans="1:13">
      <c r="A322" s="2">
        <v>83</v>
      </c>
      <c r="B322" s="2" t="s">
        <v>35573</v>
      </c>
      <c r="C322" s="2">
        <v>8</v>
      </c>
      <c r="D322" s="2">
        <v>341</v>
      </c>
      <c r="E322" s="2">
        <v>23</v>
      </c>
      <c r="F322" s="2">
        <v>32441</v>
      </c>
      <c r="G322" s="2">
        <v>33.090399079999997</v>
      </c>
      <c r="H322" s="3">
        <v>8.09E-10</v>
      </c>
      <c r="I322" s="2" t="s">
        <v>35574</v>
      </c>
      <c r="J322" s="2" t="s">
        <v>35575</v>
      </c>
      <c r="K322" s="3">
        <v>1.2299999999999999E-8</v>
      </c>
      <c r="L322" s="2" t="s">
        <v>35</v>
      </c>
      <c r="M322" s="4" t="s">
        <v>35576</v>
      </c>
    </row>
    <row r="323" spans="1:13">
      <c r="A323" s="2">
        <v>3281</v>
      </c>
      <c r="B323" s="2" t="s">
        <v>35577</v>
      </c>
      <c r="C323" s="2">
        <v>8</v>
      </c>
      <c r="D323" s="2">
        <v>341</v>
      </c>
      <c r="E323" s="2">
        <v>23</v>
      </c>
      <c r="F323" s="2">
        <v>32441</v>
      </c>
      <c r="G323" s="2">
        <v>33.090399079999997</v>
      </c>
      <c r="H323" s="3">
        <v>8.09E-10</v>
      </c>
      <c r="I323" s="2" t="s">
        <v>35578</v>
      </c>
      <c r="J323" s="2" t="s">
        <v>35579</v>
      </c>
      <c r="K323" s="3">
        <v>1.2299999999999999E-8</v>
      </c>
      <c r="L323" s="2" t="s">
        <v>35</v>
      </c>
      <c r="M323" s="4" t="s">
        <v>35580</v>
      </c>
    </row>
    <row r="324" spans="1:13">
      <c r="A324" s="2">
        <v>4702</v>
      </c>
      <c r="B324" s="2" t="s">
        <v>2783</v>
      </c>
      <c r="C324" s="2">
        <v>19</v>
      </c>
      <c r="D324" s="2">
        <v>341</v>
      </c>
      <c r="E324" s="2">
        <v>293</v>
      </c>
      <c r="F324" s="2">
        <v>32441</v>
      </c>
      <c r="G324" s="2">
        <v>6.1691571669999998</v>
      </c>
      <c r="H324" s="3">
        <v>9.3899999999999996E-10</v>
      </c>
      <c r="I324" s="2" t="s">
        <v>35581</v>
      </c>
      <c r="J324" s="2" t="s">
        <v>35582</v>
      </c>
      <c r="K324" s="3">
        <v>1.4300000000000001E-8</v>
      </c>
      <c r="L324" s="2" t="s">
        <v>35</v>
      </c>
      <c r="M324" s="4" t="s">
        <v>2786</v>
      </c>
    </row>
    <row r="325" spans="1:13">
      <c r="A325" s="2">
        <v>1902</v>
      </c>
      <c r="B325" s="2" t="s">
        <v>35583</v>
      </c>
      <c r="C325" s="2">
        <v>6</v>
      </c>
      <c r="D325" s="2">
        <v>341</v>
      </c>
      <c r="E325" s="2">
        <v>6</v>
      </c>
      <c r="F325" s="2">
        <v>32441</v>
      </c>
      <c r="G325" s="2">
        <v>95.134897359999997</v>
      </c>
      <c r="H325" s="3">
        <v>1.0600000000000001E-9</v>
      </c>
      <c r="I325" s="2" t="s">
        <v>35584</v>
      </c>
      <c r="J325" s="2" t="s">
        <v>35585</v>
      </c>
      <c r="K325" s="3">
        <v>1.6099999999999999E-8</v>
      </c>
      <c r="L325" s="2" t="s">
        <v>35</v>
      </c>
      <c r="M325" s="4" t="s">
        <v>35586</v>
      </c>
    </row>
    <row r="326" spans="1:13">
      <c r="A326" s="2">
        <v>222</v>
      </c>
      <c r="B326" s="2" t="s">
        <v>35587</v>
      </c>
      <c r="C326" s="2">
        <v>8</v>
      </c>
      <c r="D326" s="2">
        <v>341</v>
      </c>
      <c r="E326" s="2">
        <v>24</v>
      </c>
      <c r="F326" s="2">
        <v>32441</v>
      </c>
      <c r="G326" s="2">
        <v>31.71163245</v>
      </c>
      <c r="H326" s="3">
        <v>1.07E-9</v>
      </c>
      <c r="I326" s="2" t="s">
        <v>35588</v>
      </c>
      <c r="J326" s="2" t="s">
        <v>35589</v>
      </c>
      <c r="K326" s="3">
        <v>1.6199999999999999E-8</v>
      </c>
      <c r="L326" s="2" t="s">
        <v>35</v>
      </c>
      <c r="M326" s="4" t="s">
        <v>35590</v>
      </c>
    </row>
    <row r="327" spans="1:13">
      <c r="A327" s="2">
        <v>2061</v>
      </c>
      <c r="B327" s="2" t="s">
        <v>35591</v>
      </c>
      <c r="C327" s="2">
        <v>9</v>
      </c>
      <c r="D327" s="2">
        <v>341</v>
      </c>
      <c r="E327" s="2">
        <v>38</v>
      </c>
      <c r="F327" s="2">
        <v>32441</v>
      </c>
      <c r="G327" s="2">
        <v>22.53194937</v>
      </c>
      <c r="H327" s="3">
        <v>1.2400000000000001E-9</v>
      </c>
      <c r="I327" s="2" t="s">
        <v>35592</v>
      </c>
      <c r="J327" s="2" t="s">
        <v>35593</v>
      </c>
      <c r="K327" s="3">
        <v>1.8600000000000001E-8</v>
      </c>
      <c r="L327" s="2" t="s">
        <v>35</v>
      </c>
      <c r="M327" s="4" t="s">
        <v>35594</v>
      </c>
    </row>
    <row r="328" spans="1:13">
      <c r="A328" s="2">
        <v>1403</v>
      </c>
      <c r="B328" s="2" t="s">
        <v>35595</v>
      </c>
      <c r="C328" s="2">
        <v>11</v>
      </c>
      <c r="D328" s="2">
        <v>341</v>
      </c>
      <c r="E328" s="2">
        <v>73</v>
      </c>
      <c r="F328" s="2">
        <v>32441</v>
      </c>
      <c r="G328" s="2">
        <v>14.33539549</v>
      </c>
      <c r="H328" s="3">
        <v>1.2400000000000001E-9</v>
      </c>
      <c r="I328" s="2" t="s">
        <v>35596</v>
      </c>
      <c r="J328" s="2" t="s">
        <v>35597</v>
      </c>
      <c r="K328" s="3">
        <v>1.8600000000000001E-8</v>
      </c>
      <c r="L328" s="2" t="s">
        <v>35</v>
      </c>
      <c r="M328" s="4" t="s">
        <v>35598</v>
      </c>
    </row>
    <row r="329" spans="1:13">
      <c r="A329" s="2">
        <v>1042</v>
      </c>
      <c r="B329" s="2" t="s">
        <v>35599</v>
      </c>
      <c r="C329" s="2">
        <v>7</v>
      </c>
      <c r="D329" s="2">
        <v>341</v>
      </c>
      <c r="E329" s="2">
        <v>14</v>
      </c>
      <c r="F329" s="2">
        <v>32441</v>
      </c>
      <c r="G329" s="2">
        <v>47.567448679999998</v>
      </c>
      <c r="H329" s="3">
        <v>1.27E-9</v>
      </c>
      <c r="I329" s="2" t="s">
        <v>35600</v>
      </c>
      <c r="J329" s="2" t="s">
        <v>35601</v>
      </c>
      <c r="K329" s="3">
        <v>1.9000000000000001E-8</v>
      </c>
      <c r="L329" s="2" t="s">
        <v>35</v>
      </c>
      <c r="M329" s="4" t="s">
        <v>35602</v>
      </c>
    </row>
    <row r="330" spans="1:13">
      <c r="A330" s="2">
        <v>993</v>
      </c>
      <c r="B330" s="2" t="s">
        <v>35603</v>
      </c>
      <c r="C330" s="2">
        <v>8</v>
      </c>
      <c r="D330" s="2">
        <v>341</v>
      </c>
      <c r="E330" s="2">
        <v>25</v>
      </c>
      <c r="F330" s="2">
        <v>32441</v>
      </c>
      <c r="G330" s="2">
        <v>30.443167160000002</v>
      </c>
      <c r="H330" s="3">
        <v>1.3999999999999999E-9</v>
      </c>
      <c r="I330" s="2" t="s">
        <v>35604</v>
      </c>
      <c r="J330" s="2" t="s">
        <v>35605</v>
      </c>
      <c r="K330" s="3">
        <v>2.0899999999999999E-8</v>
      </c>
      <c r="L330" s="2" t="s">
        <v>35</v>
      </c>
      <c r="M330" s="4" t="s">
        <v>35606</v>
      </c>
    </row>
    <row r="331" spans="1:13">
      <c r="A331" s="2">
        <v>2288</v>
      </c>
      <c r="B331" s="2" t="s">
        <v>35607</v>
      </c>
      <c r="C331" s="2">
        <v>8</v>
      </c>
      <c r="D331" s="2">
        <v>341</v>
      </c>
      <c r="E331" s="2">
        <v>26</v>
      </c>
      <c r="F331" s="2">
        <v>32441</v>
      </c>
      <c r="G331" s="2">
        <v>29.27227611</v>
      </c>
      <c r="H331" s="3">
        <v>1.81E-9</v>
      </c>
      <c r="I331" s="2" t="s">
        <v>35608</v>
      </c>
      <c r="J331" s="2" t="s">
        <v>35609</v>
      </c>
      <c r="K331" s="3">
        <v>2.7E-8</v>
      </c>
      <c r="L331" s="2" t="s">
        <v>35</v>
      </c>
      <c r="M331" s="4" t="s">
        <v>35610</v>
      </c>
    </row>
    <row r="332" spans="1:13">
      <c r="A332" s="2">
        <v>2422</v>
      </c>
      <c r="B332" s="2" t="s">
        <v>35611</v>
      </c>
      <c r="C332" s="2">
        <v>9</v>
      </c>
      <c r="D332" s="2">
        <v>341</v>
      </c>
      <c r="E332" s="2">
        <v>40</v>
      </c>
      <c r="F332" s="2">
        <v>32441</v>
      </c>
      <c r="G332" s="2">
        <v>21.40535191</v>
      </c>
      <c r="H332" s="3">
        <v>1.8300000000000001E-9</v>
      </c>
      <c r="I332" s="2" t="s">
        <v>35612</v>
      </c>
      <c r="J332" s="2" t="s">
        <v>35613</v>
      </c>
      <c r="K332" s="3">
        <v>2.7100000000000001E-8</v>
      </c>
      <c r="L332" s="2" t="s">
        <v>35</v>
      </c>
      <c r="M332" s="4" t="s">
        <v>35614</v>
      </c>
    </row>
    <row r="333" spans="1:13">
      <c r="A333" s="2">
        <v>141</v>
      </c>
      <c r="B333" s="2" t="s">
        <v>35615</v>
      </c>
      <c r="C333" s="2">
        <v>12</v>
      </c>
      <c r="D333" s="2">
        <v>341</v>
      </c>
      <c r="E333" s="2">
        <v>98</v>
      </c>
      <c r="F333" s="2">
        <v>32441</v>
      </c>
      <c r="G333" s="2">
        <v>11.649171109999999</v>
      </c>
      <c r="H333" s="3">
        <v>1.87E-9</v>
      </c>
      <c r="I333" s="2" t="s">
        <v>35616</v>
      </c>
      <c r="J333" s="2" t="s">
        <v>35617</v>
      </c>
      <c r="K333" s="3">
        <v>2.77E-8</v>
      </c>
      <c r="L333" s="2" t="s">
        <v>35</v>
      </c>
      <c r="M333" s="4" t="s">
        <v>35618</v>
      </c>
    </row>
    <row r="334" spans="1:13">
      <c r="A334" s="2">
        <v>2952</v>
      </c>
      <c r="B334" s="2" t="s">
        <v>3962</v>
      </c>
      <c r="C334" s="2">
        <v>25</v>
      </c>
      <c r="D334" s="2">
        <v>341</v>
      </c>
      <c r="E334" s="2">
        <v>544</v>
      </c>
      <c r="F334" s="2">
        <v>32441</v>
      </c>
      <c r="G334" s="2">
        <v>4.3720081510000002</v>
      </c>
      <c r="H334" s="3">
        <v>1.9300000000000002E-9</v>
      </c>
      <c r="I334" s="2" t="s">
        <v>35619</v>
      </c>
      <c r="J334" s="2" t="s">
        <v>35620</v>
      </c>
      <c r="K334" s="3">
        <v>2.84E-8</v>
      </c>
      <c r="L334" s="2" t="s">
        <v>35</v>
      </c>
      <c r="M334" s="4" t="s">
        <v>3965</v>
      </c>
    </row>
    <row r="335" spans="1:13">
      <c r="A335" s="2">
        <v>463</v>
      </c>
      <c r="B335" s="2" t="s">
        <v>35621</v>
      </c>
      <c r="C335" s="2">
        <v>11</v>
      </c>
      <c r="D335" s="2">
        <v>341</v>
      </c>
      <c r="E335" s="2">
        <v>79</v>
      </c>
      <c r="F335" s="2">
        <v>32441</v>
      </c>
      <c r="G335" s="2">
        <v>13.246631280000001</v>
      </c>
      <c r="H335" s="3">
        <v>2.6299999999999998E-9</v>
      </c>
      <c r="I335" s="2" t="s">
        <v>35622</v>
      </c>
      <c r="J335" s="2" t="s">
        <v>35623</v>
      </c>
      <c r="K335" s="3">
        <v>3.8600000000000002E-8</v>
      </c>
      <c r="L335" s="2" t="s">
        <v>35</v>
      </c>
      <c r="M335" s="4" t="s">
        <v>35624</v>
      </c>
    </row>
    <row r="336" spans="1:13">
      <c r="A336" s="2">
        <v>3239</v>
      </c>
      <c r="B336" s="2" t="s">
        <v>24459</v>
      </c>
      <c r="C336" s="2">
        <v>14</v>
      </c>
      <c r="D336" s="2">
        <v>341</v>
      </c>
      <c r="E336" s="2">
        <v>153</v>
      </c>
      <c r="F336" s="2">
        <v>32441</v>
      </c>
      <c r="G336" s="2">
        <v>8.7051540070000009</v>
      </c>
      <c r="H336" s="3">
        <v>2.7299999999999999E-9</v>
      </c>
      <c r="I336" s="2" t="s">
        <v>35625</v>
      </c>
      <c r="J336" s="2" t="s">
        <v>35626</v>
      </c>
      <c r="K336" s="3">
        <v>4.0100000000000002E-8</v>
      </c>
      <c r="L336" s="2" t="s">
        <v>35</v>
      </c>
      <c r="M336" s="4" t="s">
        <v>24462</v>
      </c>
    </row>
    <row r="337" spans="1:13">
      <c r="A337" s="2">
        <v>2489</v>
      </c>
      <c r="B337" s="2" t="s">
        <v>35627</v>
      </c>
      <c r="C337" s="2">
        <v>12</v>
      </c>
      <c r="D337" s="2">
        <v>341</v>
      </c>
      <c r="E337" s="2">
        <v>103</v>
      </c>
      <c r="F337" s="2">
        <v>32441</v>
      </c>
      <c r="G337" s="2">
        <v>11.083677359999999</v>
      </c>
      <c r="H337" s="3">
        <v>3.1300000000000002E-9</v>
      </c>
      <c r="I337" s="2" t="s">
        <v>35628</v>
      </c>
      <c r="J337" s="2" t="s">
        <v>35629</v>
      </c>
      <c r="K337" s="3">
        <v>4.5699999999999999E-8</v>
      </c>
      <c r="L337" s="2" t="s">
        <v>35</v>
      </c>
      <c r="M337" s="4" t="s">
        <v>35630</v>
      </c>
    </row>
    <row r="338" spans="1:13">
      <c r="A338" s="2">
        <v>3795</v>
      </c>
      <c r="B338" s="2" t="s">
        <v>35631</v>
      </c>
      <c r="C338" s="2">
        <v>6</v>
      </c>
      <c r="D338" s="2">
        <v>341</v>
      </c>
      <c r="E338" s="2">
        <v>8</v>
      </c>
      <c r="F338" s="2">
        <v>32441</v>
      </c>
      <c r="G338" s="2">
        <v>71.351173020000004</v>
      </c>
      <c r="H338" s="3">
        <v>3.3900000000000001E-9</v>
      </c>
      <c r="I338" s="2" t="s">
        <v>35632</v>
      </c>
      <c r="J338" s="2" t="s">
        <v>35633</v>
      </c>
      <c r="K338" s="3">
        <v>4.9399999999999999E-8</v>
      </c>
      <c r="L338" s="2" t="s">
        <v>35</v>
      </c>
      <c r="M338" s="4" t="s">
        <v>35634</v>
      </c>
    </row>
    <row r="339" spans="1:13">
      <c r="A339" s="2">
        <v>3693</v>
      </c>
      <c r="B339" s="2" t="s">
        <v>35635</v>
      </c>
      <c r="C339" s="2">
        <v>12</v>
      </c>
      <c r="D339" s="2">
        <v>341</v>
      </c>
      <c r="E339" s="2">
        <v>104</v>
      </c>
      <c r="F339" s="2">
        <v>32441</v>
      </c>
      <c r="G339" s="2">
        <v>10.97710354</v>
      </c>
      <c r="H339" s="3">
        <v>3.46E-9</v>
      </c>
      <c r="I339" s="2" t="s">
        <v>35636</v>
      </c>
      <c r="J339" s="2" t="s">
        <v>35637</v>
      </c>
      <c r="K339" s="3">
        <v>5.02E-8</v>
      </c>
      <c r="L339" s="2" t="s">
        <v>35</v>
      </c>
      <c r="M339" s="4" t="s">
        <v>35638</v>
      </c>
    </row>
    <row r="340" spans="1:13">
      <c r="A340" s="2">
        <v>4355</v>
      </c>
      <c r="B340" s="2" t="s">
        <v>68</v>
      </c>
      <c r="C340" s="2">
        <v>31</v>
      </c>
      <c r="D340" s="2">
        <v>341</v>
      </c>
      <c r="E340" s="2">
        <v>841</v>
      </c>
      <c r="F340" s="2">
        <v>32441</v>
      </c>
      <c r="G340" s="2">
        <v>3.5067560260000001</v>
      </c>
      <c r="H340" s="3">
        <v>3.48E-9</v>
      </c>
      <c r="I340" s="2" t="s">
        <v>35639</v>
      </c>
      <c r="J340" s="2" t="s">
        <v>35640</v>
      </c>
      <c r="K340" s="3">
        <v>5.03E-8</v>
      </c>
      <c r="L340" s="2" t="s">
        <v>35</v>
      </c>
      <c r="M340" s="4" t="s">
        <v>2926</v>
      </c>
    </row>
    <row r="341" spans="1:13">
      <c r="A341" s="2">
        <v>1427</v>
      </c>
      <c r="B341" s="2" t="s">
        <v>35641</v>
      </c>
      <c r="C341" s="2">
        <v>11</v>
      </c>
      <c r="D341" s="2">
        <v>341</v>
      </c>
      <c r="E341" s="2">
        <v>82</v>
      </c>
      <c r="F341" s="2">
        <v>32441</v>
      </c>
      <c r="G341" s="2">
        <v>12.76199843</v>
      </c>
      <c r="H341" s="3">
        <v>3.7499999999999997E-9</v>
      </c>
      <c r="I341" s="2" t="s">
        <v>35642</v>
      </c>
      <c r="J341" s="2" t="s">
        <v>35643</v>
      </c>
      <c r="K341" s="3">
        <v>5.4100000000000001E-8</v>
      </c>
      <c r="L341" s="2" t="s">
        <v>35</v>
      </c>
      <c r="M341" s="4" t="s">
        <v>35644</v>
      </c>
    </row>
    <row r="342" spans="1:13">
      <c r="A342" s="2">
        <v>2767</v>
      </c>
      <c r="B342" s="2" t="s">
        <v>35645</v>
      </c>
      <c r="C342" s="2">
        <v>8</v>
      </c>
      <c r="D342" s="2">
        <v>341</v>
      </c>
      <c r="E342" s="2">
        <v>30</v>
      </c>
      <c r="F342" s="2">
        <v>32441</v>
      </c>
      <c r="G342" s="2">
        <v>25.369305959999998</v>
      </c>
      <c r="H342" s="3">
        <v>4.7099999999999997E-9</v>
      </c>
      <c r="I342" s="2" t="s">
        <v>35646</v>
      </c>
      <c r="J342" s="2" t="s">
        <v>35647</v>
      </c>
      <c r="K342" s="3">
        <v>6.7700000000000004E-8</v>
      </c>
      <c r="L342" s="2" t="s">
        <v>35</v>
      </c>
      <c r="M342" s="4" t="s">
        <v>35648</v>
      </c>
    </row>
    <row r="343" spans="1:13">
      <c r="A343" s="2">
        <v>2050</v>
      </c>
      <c r="B343" s="2" t="s">
        <v>35649</v>
      </c>
      <c r="C343" s="2">
        <v>7</v>
      </c>
      <c r="D343" s="2">
        <v>341</v>
      </c>
      <c r="E343" s="2">
        <v>18</v>
      </c>
      <c r="F343" s="2">
        <v>32441</v>
      </c>
      <c r="G343" s="2">
        <v>36.996904530000002</v>
      </c>
      <c r="H343" s="3">
        <v>5.0700000000000001E-9</v>
      </c>
      <c r="I343" s="2" t="s">
        <v>35650</v>
      </c>
      <c r="J343" s="2" t="s">
        <v>35651</v>
      </c>
      <c r="K343" s="3">
        <v>7.2699999999999996E-8</v>
      </c>
      <c r="L343" s="2" t="s">
        <v>35</v>
      </c>
      <c r="M343" s="4" t="s">
        <v>35652</v>
      </c>
    </row>
    <row r="344" spans="1:13">
      <c r="A344" s="2">
        <v>2319</v>
      </c>
      <c r="B344" s="2" t="s">
        <v>196</v>
      </c>
      <c r="C344" s="2">
        <v>33</v>
      </c>
      <c r="D344" s="2">
        <v>341</v>
      </c>
      <c r="E344" s="2">
        <v>957</v>
      </c>
      <c r="F344" s="2">
        <v>32441</v>
      </c>
      <c r="G344" s="2">
        <v>3.2805137019999999</v>
      </c>
      <c r="H344" s="3">
        <v>5.1499999999999998E-9</v>
      </c>
      <c r="I344" s="2" t="s">
        <v>35653</v>
      </c>
      <c r="J344" s="2" t="s">
        <v>35654</v>
      </c>
      <c r="K344" s="3">
        <v>7.3700000000000005E-8</v>
      </c>
      <c r="L344" s="2" t="s">
        <v>35</v>
      </c>
      <c r="M344" s="4" t="s">
        <v>25227</v>
      </c>
    </row>
    <row r="345" spans="1:13">
      <c r="A345" s="2">
        <v>3190</v>
      </c>
      <c r="B345" s="2" t="s">
        <v>25048</v>
      </c>
      <c r="C345" s="2">
        <v>14</v>
      </c>
      <c r="D345" s="2">
        <v>341</v>
      </c>
      <c r="E345" s="2">
        <v>163</v>
      </c>
      <c r="F345" s="2">
        <v>32441</v>
      </c>
      <c r="G345" s="2">
        <v>8.1710954789999999</v>
      </c>
      <c r="H345" s="3">
        <v>5.8100000000000004E-9</v>
      </c>
      <c r="I345" s="2" t="s">
        <v>35655</v>
      </c>
      <c r="J345" s="2" t="s">
        <v>35656</v>
      </c>
      <c r="K345" s="3">
        <v>8.28E-8</v>
      </c>
      <c r="L345" s="2" t="s">
        <v>35</v>
      </c>
      <c r="M345" s="4" t="s">
        <v>25051</v>
      </c>
    </row>
    <row r="346" spans="1:13">
      <c r="A346" s="2">
        <v>614</v>
      </c>
      <c r="B346" s="2" t="s">
        <v>35657</v>
      </c>
      <c r="C346" s="2">
        <v>8</v>
      </c>
      <c r="D346" s="2">
        <v>341</v>
      </c>
      <c r="E346" s="2">
        <v>31</v>
      </c>
      <c r="F346" s="2">
        <v>32441</v>
      </c>
      <c r="G346" s="2">
        <v>24.550941250000001</v>
      </c>
      <c r="H346" s="3">
        <v>5.8699999999999998E-9</v>
      </c>
      <c r="I346" s="2" t="s">
        <v>35658</v>
      </c>
      <c r="J346" s="2" t="s">
        <v>35659</v>
      </c>
      <c r="K346" s="3">
        <v>8.3400000000000006E-8</v>
      </c>
      <c r="L346" s="2" t="s">
        <v>35</v>
      </c>
      <c r="M346" s="4" t="s">
        <v>35660</v>
      </c>
    </row>
    <row r="347" spans="1:13">
      <c r="A347" s="2">
        <v>144</v>
      </c>
      <c r="B347" s="2" t="s">
        <v>35661</v>
      </c>
      <c r="C347" s="2">
        <v>11</v>
      </c>
      <c r="D347" s="2">
        <v>341</v>
      </c>
      <c r="E347" s="2">
        <v>86</v>
      </c>
      <c r="F347" s="2">
        <v>32441</v>
      </c>
      <c r="G347" s="2">
        <v>12.168417099999999</v>
      </c>
      <c r="H347" s="3">
        <v>5.8900000000000001E-9</v>
      </c>
      <c r="I347" s="2" t="s">
        <v>35662</v>
      </c>
      <c r="J347" s="2" t="s">
        <v>35663</v>
      </c>
      <c r="K347" s="3">
        <v>8.35E-8</v>
      </c>
      <c r="L347" s="2" t="s">
        <v>35</v>
      </c>
      <c r="M347" s="4" t="s">
        <v>35664</v>
      </c>
    </row>
    <row r="348" spans="1:13">
      <c r="A348" s="2">
        <v>933</v>
      </c>
      <c r="B348" s="2" t="s">
        <v>35665</v>
      </c>
      <c r="C348" s="2">
        <v>10</v>
      </c>
      <c r="D348" s="2">
        <v>341</v>
      </c>
      <c r="E348" s="2">
        <v>65</v>
      </c>
      <c r="F348" s="2">
        <v>32441</v>
      </c>
      <c r="G348" s="2">
        <v>14.63613806</v>
      </c>
      <c r="H348" s="3">
        <v>5.9200000000000002E-9</v>
      </c>
      <c r="I348" s="2" t="s">
        <v>35666</v>
      </c>
      <c r="J348" s="2" t="s">
        <v>35667</v>
      </c>
      <c r="K348" s="3">
        <v>8.3700000000000002E-8</v>
      </c>
      <c r="L348" s="2" t="s">
        <v>35</v>
      </c>
      <c r="M348" s="4" t="s">
        <v>35668</v>
      </c>
    </row>
    <row r="349" spans="1:13">
      <c r="A349" s="2">
        <v>3958</v>
      </c>
      <c r="B349" s="2" t="s">
        <v>35669</v>
      </c>
      <c r="C349" s="2">
        <v>35</v>
      </c>
      <c r="D349" s="2">
        <v>341</v>
      </c>
      <c r="E349" s="2">
        <v>1069</v>
      </c>
      <c r="F349" s="2">
        <v>32441</v>
      </c>
      <c r="G349" s="2">
        <v>3.1148001939999999</v>
      </c>
      <c r="H349" s="3">
        <v>6.17E-9</v>
      </c>
      <c r="I349" s="2" t="s">
        <v>35670</v>
      </c>
      <c r="J349" s="2" t="s">
        <v>35671</v>
      </c>
      <c r="K349" s="3">
        <v>8.6900000000000004E-8</v>
      </c>
      <c r="L349" s="2" t="s">
        <v>35</v>
      </c>
      <c r="M349" s="4" t="s">
        <v>35672</v>
      </c>
    </row>
    <row r="350" spans="1:13">
      <c r="A350" s="2">
        <v>3800</v>
      </c>
      <c r="B350" s="2" t="s">
        <v>574</v>
      </c>
      <c r="C350" s="2">
        <v>9</v>
      </c>
      <c r="D350" s="2">
        <v>341</v>
      </c>
      <c r="E350" s="2">
        <v>47</v>
      </c>
      <c r="F350" s="2">
        <v>32441</v>
      </c>
      <c r="G350" s="2">
        <v>18.217320770000001</v>
      </c>
      <c r="H350" s="3">
        <v>6.3300000000000003E-9</v>
      </c>
      <c r="I350" s="2" t="s">
        <v>35673</v>
      </c>
      <c r="J350" s="2" t="s">
        <v>35674</v>
      </c>
      <c r="K350" s="3">
        <v>8.8899999999999995E-8</v>
      </c>
      <c r="L350" s="2" t="s">
        <v>35</v>
      </c>
      <c r="M350" s="4" t="s">
        <v>35675</v>
      </c>
    </row>
    <row r="351" spans="1:13">
      <c r="A351" s="2">
        <v>2476</v>
      </c>
      <c r="B351" s="2" t="s">
        <v>35676</v>
      </c>
      <c r="C351" s="2">
        <v>7</v>
      </c>
      <c r="D351" s="2">
        <v>341</v>
      </c>
      <c r="E351" s="2">
        <v>19</v>
      </c>
      <c r="F351" s="2">
        <v>32441</v>
      </c>
      <c r="G351" s="2">
        <v>35.049699029999999</v>
      </c>
      <c r="H351" s="3">
        <v>6.8800000000000002E-9</v>
      </c>
      <c r="I351" s="2" t="s">
        <v>35677</v>
      </c>
      <c r="J351" s="2" t="s">
        <v>35678</v>
      </c>
      <c r="K351" s="3">
        <v>9.6299999999999995E-8</v>
      </c>
      <c r="L351" s="2" t="s">
        <v>35</v>
      </c>
      <c r="M351" s="4" t="s">
        <v>35679</v>
      </c>
    </row>
    <row r="352" spans="1:13">
      <c r="A352" s="2">
        <v>360</v>
      </c>
      <c r="B352" s="2" t="s">
        <v>35680</v>
      </c>
      <c r="C352" s="2">
        <v>6</v>
      </c>
      <c r="D352" s="2">
        <v>341</v>
      </c>
      <c r="E352" s="2">
        <v>10</v>
      </c>
      <c r="F352" s="2">
        <v>32441</v>
      </c>
      <c r="G352" s="2">
        <v>57.080938420000003</v>
      </c>
      <c r="H352" s="3">
        <v>8.8900000000000005E-9</v>
      </c>
      <c r="I352" s="2" t="s">
        <v>35681</v>
      </c>
      <c r="J352" s="2" t="s">
        <v>35682</v>
      </c>
      <c r="K352" s="3">
        <v>1.24E-7</v>
      </c>
      <c r="L352" s="2" t="s">
        <v>35</v>
      </c>
      <c r="M352" s="4" t="s">
        <v>35683</v>
      </c>
    </row>
    <row r="353" spans="1:13">
      <c r="A353" s="2">
        <v>2045</v>
      </c>
      <c r="B353" s="2" t="s">
        <v>35684</v>
      </c>
      <c r="C353" s="2">
        <v>6</v>
      </c>
      <c r="D353" s="2">
        <v>341</v>
      </c>
      <c r="E353" s="2">
        <v>10</v>
      </c>
      <c r="F353" s="2">
        <v>32441</v>
      </c>
      <c r="G353" s="2">
        <v>57.080938420000003</v>
      </c>
      <c r="H353" s="3">
        <v>8.8900000000000005E-9</v>
      </c>
      <c r="I353" s="2" t="s">
        <v>35685</v>
      </c>
      <c r="J353" s="2" t="s">
        <v>35686</v>
      </c>
      <c r="K353" s="3">
        <v>1.24E-7</v>
      </c>
      <c r="L353" s="2" t="s">
        <v>35</v>
      </c>
      <c r="M353" s="4" t="s">
        <v>35687</v>
      </c>
    </row>
    <row r="354" spans="1:13">
      <c r="A354" s="2">
        <v>2069</v>
      </c>
      <c r="B354" s="2" t="s">
        <v>35688</v>
      </c>
      <c r="C354" s="2">
        <v>7</v>
      </c>
      <c r="D354" s="2">
        <v>341</v>
      </c>
      <c r="E354" s="2">
        <v>20</v>
      </c>
      <c r="F354" s="2">
        <v>32441</v>
      </c>
      <c r="G354" s="2">
        <v>33.297214080000003</v>
      </c>
      <c r="H354" s="3">
        <v>9.1999999999999997E-9</v>
      </c>
      <c r="I354" s="2" t="s">
        <v>35689</v>
      </c>
      <c r="J354" s="2" t="s">
        <v>35690</v>
      </c>
      <c r="K354" s="3">
        <v>1.2800000000000001E-7</v>
      </c>
      <c r="L354" s="2" t="s">
        <v>35</v>
      </c>
      <c r="M354" s="4" t="s">
        <v>35691</v>
      </c>
    </row>
    <row r="355" spans="1:13">
      <c r="A355" s="2">
        <v>3137</v>
      </c>
      <c r="B355" s="2" t="s">
        <v>277</v>
      </c>
      <c r="C355" s="2">
        <v>10</v>
      </c>
      <c r="D355" s="2">
        <v>341</v>
      </c>
      <c r="E355" s="2">
        <v>69</v>
      </c>
      <c r="F355" s="2">
        <v>32441</v>
      </c>
      <c r="G355" s="2">
        <v>13.78766628</v>
      </c>
      <c r="H355" s="3">
        <v>9.9200000000000005E-9</v>
      </c>
      <c r="I355" s="2" t="s">
        <v>35692</v>
      </c>
      <c r="J355" s="2" t="s">
        <v>35693</v>
      </c>
      <c r="K355" s="3">
        <v>1.37E-7</v>
      </c>
      <c r="L355" s="2" t="s">
        <v>35</v>
      </c>
      <c r="M355" s="4" t="s">
        <v>35694</v>
      </c>
    </row>
    <row r="356" spans="1:13">
      <c r="A356" s="2">
        <v>2009</v>
      </c>
      <c r="B356" s="2" t="s">
        <v>484</v>
      </c>
      <c r="C356" s="2">
        <v>12</v>
      </c>
      <c r="D356" s="2">
        <v>341</v>
      </c>
      <c r="E356" s="2">
        <v>116</v>
      </c>
      <c r="F356" s="2">
        <v>32441</v>
      </c>
      <c r="G356" s="2">
        <v>9.8415411059999993</v>
      </c>
      <c r="H356" s="3">
        <v>1.07E-8</v>
      </c>
      <c r="I356" s="2" t="s">
        <v>35695</v>
      </c>
      <c r="J356" s="2" t="s">
        <v>35696</v>
      </c>
      <c r="K356" s="3">
        <v>1.4700000000000001E-7</v>
      </c>
      <c r="L356" s="2" t="s">
        <v>35</v>
      </c>
      <c r="M356" s="4" t="s">
        <v>35697</v>
      </c>
    </row>
    <row r="357" spans="1:13">
      <c r="A357" s="2">
        <v>2888</v>
      </c>
      <c r="B357" s="2" t="s">
        <v>25102</v>
      </c>
      <c r="C357" s="2">
        <v>14</v>
      </c>
      <c r="D357" s="2">
        <v>341</v>
      </c>
      <c r="E357" s="2">
        <v>172</v>
      </c>
      <c r="F357" s="2">
        <v>32441</v>
      </c>
      <c r="G357" s="2">
        <v>7.7435381569999997</v>
      </c>
      <c r="H357" s="3">
        <v>1.0999999999999999E-8</v>
      </c>
      <c r="I357" s="2" t="s">
        <v>35698</v>
      </c>
      <c r="J357" s="2" t="s">
        <v>35699</v>
      </c>
      <c r="K357" s="3">
        <v>1.5099999999999999E-7</v>
      </c>
      <c r="L357" s="2" t="s">
        <v>35</v>
      </c>
      <c r="M357" s="4" t="s">
        <v>25105</v>
      </c>
    </row>
    <row r="358" spans="1:13">
      <c r="A358" s="2">
        <v>3524</v>
      </c>
      <c r="B358" s="2" t="s">
        <v>415</v>
      </c>
      <c r="C358" s="2">
        <v>12</v>
      </c>
      <c r="D358" s="2">
        <v>341</v>
      </c>
      <c r="E358" s="2">
        <v>118</v>
      </c>
      <c r="F358" s="2">
        <v>32441</v>
      </c>
      <c r="G358" s="2">
        <v>9.6747353250000003</v>
      </c>
      <c r="H358" s="3">
        <v>1.27E-8</v>
      </c>
      <c r="I358" s="2" t="s">
        <v>35700</v>
      </c>
      <c r="J358" s="2" t="s">
        <v>35701</v>
      </c>
      <c r="K358" s="3">
        <v>1.7499999999999999E-7</v>
      </c>
      <c r="L358" s="2" t="s">
        <v>35</v>
      </c>
      <c r="M358" s="4" t="s">
        <v>35702</v>
      </c>
    </row>
    <row r="359" spans="1:13">
      <c r="A359" s="2">
        <v>1127</v>
      </c>
      <c r="B359" s="2" t="s">
        <v>35703</v>
      </c>
      <c r="C359" s="2">
        <v>8</v>
      </c>
      <c r="D359" s="2">
        <v>341</v>
      </c>
      <c r="E359" s="2">
        <v>35</v>
      </c>
      <c r="F359" s="2">
        <v>32441</v>
      </c>
      <c r="G359" s="2">
        <v>21.7451194</v>
      </c>
      <c r="H359" s="3">
        <v>1.33E-8</v>
      </c>
      <c r="I359" s="2" t="s">
        <v>35704</v>
      </c>
      <c r="J359" s="2" t="s">
        <v>35705</v>
      </c>
      <c r="K359" s="3">
        <v>1.8300000000000001E-7</v>
      </c>
      <c r="L359" s="2" t="s">
        <v>35</v>
      </c>
      <c r="M359" s="4" t="s">
        <v>35706</v>
      </c>
    </row>
    <row r="360" spans="1:13">
      <c r="A360" s="2">
        <v>958</v>
      </c>
      <c r="B360" s="2" t="s">
        <v>35707</v>
      </c>
      <c r="C360" s="2">
        <v>6</v>
      </c>
      <c r="D360" s="2">
        <v>341</v>
      </c>
      <c r="E360" s="2">
        <v>11</v>
      </c>
      <c r="F360" s="2">
        <v>32441</v>
      </c>
      <c r="G360" s="2">
        <v>51.891762200000002</v>
      </c>
      <c r="H360" s="3">
        <v>1.3599999999999999E-8</v>
      </c>
      <c r="I360" s="2" t="s">
        <v>35708</v>
      </c>
      <c r="J360" s="2" t="s">
        <v>35709</v>
      </c>
      <c r="K360" s="3">
        <v>1.85E-7</v>
      </c>
      <c r="L360" s="2" t="s">
        <v>35</v>
      </c>
      <c r="M360" s="4" t="s">
        <v>35710</v>
      </c>
    </row>
    <row r="361" spans="1:13">
      <c r="A361" s="2">
        <v>1950</v>
      </c>
      <c r="B361" s="2" t="s">
        <v>35711</v>
      </c>
      <c r="C361" s="2">
        <v>6</v>
      </c>
      <c r="D361" s="2">
        <v>341</v>
      </c>
      <c r="E361" s="2">
        <v>11</v>
      </c>
      <c r="F361" s="2">
        <v>32441</v>
      </c>
      <c r="G361" s="2">
        <v>51.891762200000002</v>
      </c>
      <c r="H361" s="3">
        <v>1.3599999999999999E-8</v>
      </c>
      <c r="I361" s="2" t="s">
        <v>35712</v>
      </c>
      <c r="J361" s="2" t="s">
        <v>35713</v>
      </c>
      <c r="K361" s="3">
        <v>1.85E-7</v>
      </c>
      <c r="L361" s="2" t="s">
        <v>35</v>
      </c>
      <c r="M361" s="4" t="s">
        <v>35714</v>
      </c>
    </row>
    <row r="362" spans="1:13">
      <c r="A362" s="2">
        <v>4378</v>
      </c>
      <c r="B362" s="2" t="s">
        <v>35715</v>
      </c>
      <c r="C362" s="2">
        <v>24</v>
      </c>
      <c r="D362" s="2">
        <v>341</v>
      </c>
      <c r="E362" s="2">
        <v>567</v>
      </c>
      <c r="F362" s="2">
        <v>32441</v>
      </c>
      <c r="G362" s="2">
        <v>4.0268739619999998</v>
      </c>
      <c r="H362" s="3">
        <v>1.8600000000000001E-8</v>
      </c>
      <c r="I362" s="2" t="s">
        <v>35716</v>
      </c>
      <c r="J362" s="2" t="s">
        <v>35717</v>
      </c>
      <c r="K362" s="3">
        <v>2.5199999999999998E-7</v>
      </c>
      <c r="L362" s="2" t="s">
        <v>35</v>
      </c>
      <c r="M362" s="4" t="s">
        <v>35718</v>
      </c>
    </row>
    <row r="363" spans="1:13">
      <c r="A363" s="2">
        <v>1910</v>
      </c>
      <c r="B363" s="2" t="s">
        <v>25003</v>
      </c>
      <c r="C363" s="2">
        <v>14</v>
      </c>
      <c r="D363" s="2">
        <v>341</v>
      </c>
      <c r="E363" s="2">
        <v>181</v>
      </c>
      <c r="F363" s="2">
        <v>32441</v>
      </c>
      <c r="G363" s="2">
        <v>7.3585003479999997</v>
      </c>
      <c r="H363" s="3">
        <v>2E-8</v>
      </c>
      <c r="I363" s="2" t="s">
        <v>35719</v>
      </c>
      <c r="J363" s="2" t="s">
        <v>35720</v>
      </c>
      <c r="K363" s="3">
        <v>2.7099999999999998E-7</v>
      </c>
      <c r="L363" s="2" t="s">
        <v>35</v>
      </c>
      <c r="M363" s="4" t="s">
        <v>25006</v>
      </c>
    </row>
    <row r="364" spans="1:13">
      <c r="A364" s="2">
        <v>235</v>
      </c>
      <c r="B364" s="2" t="s">
        <v>35721</v>
      </c>
      <c r="C364" s="2">
        <v>7</v>
      </c>
      <c r="D364" s="2">
        <v>341</v>
      </c>
      <c r="E364" s="2">
        <v>23</v>
      </c>
      <c r="F364" s="2">
        <v>32441</v>
      </c>
      <c r="G364" s="2">
        <v>28.954099200000002</v>
      </c>
      <c r="H364" s="3">
        <v>2.0500000000000002E-8</v>
      </c>
      <c r="I364" s="2" t="s">
        <v>35722</v>
      </c>
      <c r="J364" s="2" t="s">
        <v>35723</v>
      </c>
      <c r="K364" s="3">
        <v>2.7599999999999998E-7</v>
      </c>
      <c r="L364" s="2" t="s">
        <v>35</v>
      </c>
      <c r="M364" s="4" t="s">
        <v>35724</v>
      </c>
    </row>
    <row r="365" spans="1:13">
      <c r="A365" s="2">
        <v>3962</v>
      </c>
      <c r="B365" s="2" t="s">
        <v>35725</v>
      </c>
      <c r="C365" s="2">
        <v>7</v>
      </c>
      <c r="D365" s="2">
        <v>341</v>
      </c>
      <c r="E365" s="2">
        <v>23</v>
      </c>
      <c r="F365" s="2">
        <v>32441</v>
      </c>
      <c r="G365" s="2">
        <v>28.954099200000002</v>
      </c>
      <c r="H365" s="3">
        <v>2.0500000000000002E-8</v>
      </c>
      <c r="I365" s="2" t="s">
        <v>35726</v>
      </c>
      <c r="J365" s="2" t="s">
        <v>35727</v>
      </c>
      <c r="K365" s="3">
        <v>2.7599999999999998E-7</v>
      </c>
      <c r="L365" s="2" t="s">
        <v>35</v>
      </c>
      <c r="M365" s="4" t="s">
        <v>35728</v>
      </c>
    </row>
    <row r="366" spans="1:13">
      <c r="A366" s="2">
        <v>3385</v>
      </c>
      <c r="B366" s="2" t="s">
        <v>3805</v>
      </c>
      <c r="C366" s="2">
        <v>33</v>
      </c>
      <c r="D366" s="2">
        <v>341</v>
      </c>
      <c r="E366" s="2">
        <v>1022</v>
      </c>
      <c r="F366" s="2">
        <v>32441</v>
      </c>
      <c r="G366" s="2">
        <v>3.0718704630000002</v>
      </c>
      <c r="H366" s="3">
        <v>2.37E-8</v>
      </c>
      <c r="I366" s="2" t="s">
        <v>35729</v>
      </c>
      <c r="J366" s="2" t="s">
        <v>35730</v>
      </c>
      <c r="K366" s="3">
        <v>3.1699999999999999E-7</v>
      </c>
      <c r="L366" s="2" t="s">
        <v>35</v>
      </c>
      <c r="M366" s="4" t="s">
        <v>3808</v>
      </c>
    </row>
    <row r="367" spans="1:13">
      <c r="A367" s="2">
        <v>2760</v>
      </c>
      <c r="B367" s="2" t="s">
        <v>35731</v>
      </c>
      <c r="C367" s="2">
        <v>12</v>
      </c>
      <c r="D367" s="2">
        <v>341</v>
      </c>
      <c r="E367" s="2">
        <v>126</v>
      </c>
      <c r="F367" s="2">
        <v>32441</v>
      </c>
      <c r="G367" s="2">
        <v>9.0604664150000005</v>
      </c>
      <c r="H367" s="3">
        <v>2.4999999999999999E-8</v>
      </c>
      <c r="I367" s="2" t="s">
        <v>35732</v>
      </c>
      <c r="J367" s="2" t="s">
        <v>35733</v>
      </c>
      <c r="K367" s="3">
        <v>3.34E-7</v>
      </c>
      <c r="L367" s="2" t="s">
        <v>35</v>
      </c>
      <c r="M367" s="4" t="s">
        <v>35734</v>
      </c>
    </row>
    <row r="368" spans="1:13">
      <c r="A368" s="2">
        <v>4452</v>
      </c>
      <c r="B368" s="2" t="s">
        <v>25784</v>
      </c>
      <c r="C368" s="2">
        <v>35</v>
      </c>
      <c r="D368" s="2">
        <v>341</v>
      </c>
      <c r="E368" s="2">
        <v>1137</v>
      </c>
      <c r="F368" s="2">
        <v>32441</v>
      </c>
      <c r="G368" s="2">
        <v>2.9285148699999999</v>
      </c>
      <c r="H368" s="3">
        <v>2.7400000000000001E-8</v>
      </c>
      <c r="I368" s="2" t="s">
        <v>35735</v>
      </c>
      <c r="J368" s="2" t="s">
        <v>35736</v>
      </c>
      <c r="K368" s="3">
        <v>3.65E-7</v>
      </c>
      <c r="L368" s="2" t="s">
        <v>35</v>
      </c>
      <c r="M368" s="4" t="s">
        <v>25787</v>
      </c>
    </row>
    <row r="369" spans="1:13">
      <c r="A369" s="2">
        <v>447</v>
      </c>
      <c r="B369" s="2" t="s">
        <v>35737</v>
      </c>
      <c r="C369" s="2">
        <v>6</v>
      </c>
      <c r="D369" s="2">
        <v>341</v>
      </c>
      <c r="E369" s="2">
        <v>13</v>
      </c>
      <c r="F369" s="2">
        <v>32441</v>
      </c>
      <c r="G369" s="2">
        <v>43.90841417</v>
      </c>
      <c r="H369" s="3">
        <v>2.9300000000000001E-8</v>
      </c>
      <c r="I369" s="2" t="s">
        <v>35738</v>
      </c>
      <c r="J369" s="2" t="s">
        <v>35739</v>
      </c>
      <c r="K369" s="3">
        <v>3.89E-7</v>
      </c>
      <c r="L369" s="2" t="s">
        <v>35</v>
      </c>
      <c r="M369" s="4" t="s">
        <v>35740</v>
      </c>
    </row>
    <row r="370" spans="1:13">
      <c r="A370" s="2">
        <v>1690</v>
      </c>
      <c r="B370" s="2" t="s">
        <v>35741</v>
      </c>
      <c r="C370" s="2">
        <v>12</v>
      </c>
      <c r="D370" s="2">
        <v>341</v>
      </c>
      <c r="E370" s="2">
        <v>128</v>
      </c>
      <c r="F370" s="2">
        <v>32441</v>
      </c>
      <c r="G370" s="2">
        <v>8.9188966280000006</v>
      </c>
      <c r="H370" s="3">
        <v>2.9300000000000001E-8</v>
      </c>
      <c r="I370" s="2" t="s">
        <v>35742</v>
      </c>
      <c r="J370" s="2" t="s">
        <v>35743</v>
      </c>
      <c r="K370" s="3">
        <v>3.89E-7</v>
      </c>
      <c r="L370" s="2" t="s">
        <v>35</v>
      </c>
      <c r="M370" s="4" t="s">
        <v>35744</v>
      </c>
    </row>
    <row r="371" spans="1:13">
      <c r="A371" s="2">
        <v>2012</v>
      </c>
      <c r="B371" s="2" t="s">
        <v>35745</v>
      </c>
      <c r="C371" s="2">
        <v>18</v>
      </c>
      <c r="D371" s="2">
        <v>341</v>
      </c>
      <c r="E371" s="2">
        <v>330</v>
      </c>
      <c r="F371" s="2">
        <v>32441</v>
      </c>
      <c r="G371" s="2">
        <v>5.1891762200000002</v>
      </c>
      <c r="H371" s="3">
        <v>3.2700000000000002E-8</v>
      </c>
      <c r="I371" s="2" t="s">
        <v>35746</v>
      </c>
      <c r="J371" s="2" t="s">
        <v>35747</v>
      </c>
      <c r="K371" s="3">
        <v>4.3300000000000003E-7</v>
      </c>
      <c r="L371" s="2" t="s">
        <v>35</v>
      </c>
      <c r="M371" s="4" t="s">
        <v>35748</v>
      </c>
    </row>
    <row r="372" spans="1:13">
      <c r="A372" s="2">
        <v>1156</v>
      </c>
      <c r="B372" s="2" t="s">
        <v>35749</v>
      </c>
      <c r="C372" s="2">
        <v>12</v>
      </c>
      <c r="D372" s="2">
        <v>341</v>
      </c>
      <c r="E372" s="2">
        <v>132</v>
      </c>
      <c r="F372" s="2">
        <v>32441</v>
      </c>
      <c r="G372" s="2">
        <v>8.6486270330000004</v>
      </c>
      <c r="H372" s="3">
        <v>4.0200000000000003E-8</v>
      </c>
      <c r="I372" s="2" t="s">
        <v>35750</v>
      </c>
      <c r="J372" s="2" t="s">
        <v>35751</v>
      </c>
      <c r="K372" s="3">
        <v>5.3000000000000001E-7</v>
      </c>
      <c r="L372" s="2" t="s">
        <v>35</v>
      </c>
      <c r="M372" s="4" t="s">
        <v>35752</v>
      </c>
    </row>
    <row r="373" spans="1:13">
      <c r="A373" s="2">
        <v>732</v>
      </c>
      <c r="B373" s="2" t="s">
        <v>35753</v>
      </c>
      <c r="C373" s="2">
        <v>6</v>
      </c>
      <c r="D373" s="2">
        <v>341</v>
      </c>
      <c r="E373" s="2">
        <v>14</v>
      </c>
      <c r="F373" s="2">
        <v>32441</v>
      </c>
      <c r="G373" s="2">
        <v>40.772098870000001</v>
      </c>
      <c r="H373" s="3">
        <v>4.1600000000000002E-8</v>
      </c>
      <c r="I373" s="2" t="s">
        <v>35754</v>
      </c>
      <c r="J373" s="2" t="s">
        <v>35755</v>
      </c>
      <c r="K373" s="3">
        <v>5.4700000000000001E-7</v>
      </c>
      <c r="L373" s="2" t="s">
        <v>35</v>
      </c>
      <c r="M373" s="4" t="s">
        <v>35756</v>
      </c>
    </row>
    <row r="374" spans="1:13">
      <c r="A374" s="2">
        <v>1453</v>
      </c>
      <c r="B374" s="2" t="s">
        <v>5318</v>
      </c>
      <c r="C374" s="2">
        <v>21</v>
      </c>
      <c r="D374" s="2">
        <v>341</v>
      </c>
      <c r="E374" s="2">
        <v>460</v>
      </c>
      <c r="F374" s="2">
        <v>32441</v>
      </c>
      <c r="G374" s="2">
        <v>4.3431148799999999</v>
      </c>
      <c r="H374" s="3">
        <v>4.36E-8</v>
      </c>
      <c r="I374" s="2" t="s">
        <v>35757</v>
      </c>
      <c r="J374" s="2" t="s">
        <v>35758</v>
      </c>
      <c r="K374" s="3">
        <v>5.7199999999999999E-7</v>
      </c>
      <c r="L374" s="2" t="s">
        <v>35</v>
      </c>
      <c r="M374" s="4" t="s">
        <v>5321</v>
      </c>
    </row>
    <row r="375" spans="1:13">
      <c r="A375" s="2">
        <v>885</v>
      </c>
      <c r="B375" s="2" t="s">
        <v>35759</v>
      </c>
      <c r="C375" s="2">
        <v>6</v>
      </c>
      <c r="D375" s="2">
        <v>341</v>
      </c>
      <c r="E375" s="2">
        <v>15</v>
      </c>
      <c r="F375" s="2">
        <v>32441</v>
      </c>
      <c r="G375" s="2">
        <v>38.053958940000001</v>
      </c>
      <c r="H375" s="3">
        <v>5.7700000000000001E-8</v>
      </c>
      <c r="I375" s="2" t="s">
        <v>35760</v>
      </c>
      <c r="J375" s="2" t="s">
        <v>35761</v>
      </c>
      <c r="K375" s="3">
        <v>7.54E-7</v>
      </c>
      <c r="L375" s="2" t="s">
        <v>35</v>
      </c>
      <c r="M375" s="4" t="s">
        <v>35762</v>
      </c>
    </row>
    <row r="376" spans="1:13">
      <c r="A376" s="2">
        <v>82</v>
      </c>
      <c r="B376" s="2" t="s">
        <v>35763</v>
      </c>
      <c r="C376" s="2">
        <v>8</v>
      </c>
      <c r="D376" s="2">
        <v>341</v>
      </c>
      <c r="E376" s="2">
        <v>44</v>
      </c>
      <c r="F376" s="2">
        <v>32441</v>
      </c>
      <c r="G376" s="2">
        <v>17.297254070000001</v>
      </c>
      <c r="H376" s="3">
        <v>6.3800000000000002E-8</v>
      </c>
      <c r="I376" s="2" t="s">
        <v>35704</v>
      </c>
      <c r="J376" s="2" t="s">
        <v>35705</v>
      </c>
      <c r="K376" s="3">
        <v>8.3300000000000001E-7</v>
      </c>
      <c r="L376" s="2" t="s">
        <v>35</v>
      </c>
      <c r="M376" s="4" t="s">
        <v>35764</v>
      </c>
    </row>
    <row r="377" spans="1:13">
      <c r="A377" s="2">
        <v>84</v>
      </c>
      <c r="B377" s="2" t="s">
        <v>35765</v>
      </c>
      <c r="C377" s="2">
        <v>7</v>
      </c>
      <c r="D377" s="2">
        <v>341</v>
      </c>
      <c r="E377" s="2">
        <v>28</v>
      </c>
      <c r="F377" s="2">
        <v>32441</v>
      </c>
      <c r="G377" s="2">
        <v>23.783724339999999</v>
      </c>
      <c r="H377" s="3">
        <v>6.4900000000000005E-8</v>
      </c>
      <c r="I377" s="2" t="s">
        <v>35766</v>
      </c>
      <c r="J377" s="2" t="s">
        <v>35767</v>
      </c>
      <c r="K377" s="3">
        <v>8.4399999999999999E-7</v>
      </c>
      <c r="L377" s="2" t="s">
        <v>35</v>
      </c>
      <c r="M377" s="4" t="s">
        <v>35768</v>
      </c>
    </row>
    <row r="378" spans="1:13">
      <c r="A378" s="2">
        <v>2722</v>
      </c>
      <c r="B378" s="2" t="s">
        <v>35769</v>
      </c>
      <c r="C378" s="2">
        <v>13</v>
      </c>
      <c r="D378" s="2">
        <v>341</v>
      </c>
      <c r="E378" s="2">
        <v>169</v>
      </c>
      <c r="F378" s="2">
        <v>32441</v>
      </c>
      <c r="G378" s="2">
        <v>7.318069028</v>
      </c>
      <c r="H378" s="3">
        <v>6.8400000000000004E-8</v>
      </c>
      <c r="I378" s="2" t="s">
        <v>35770</v>
      </c>
      <c r="J378" s="2" t="s">
        <v>35771</v>
      </c>
      <c r="K378" s="3">
        <v>8.8800000000000001E-7</v>
      </c>
      <c r="L378" s="2" t="s">
        <v>35</v>
      </c>
      <c r="M378" s="4" t="s">
        <v>35772</v>
      </c>
    </row>
    <row r="379" spans="1:13">
      <c r="A379" s="2">
        <v>938</v>
      </c>
      <c r="B379" s="2" t="s">
        <v>35773</v>
      </c>
      <c r="C379" s="2">
        <v>8</v>
      </c>
      <c r="D379" s="2">
        <v>341</v>
      </c>
      <c r="E379" s="2">
        <v>45</v>
      </c>
      <c r="F379" s="2">
        <v>32441</v>
      </c>
      <c r="G379" s="2">
        <v>16.912870640000001</v>
      </c>
      <c r="H379" s="3">
        <v>7.4499999999999999E-8</v>
      </c>
      <c r="I379" s="2" t="s">
        <v>35704</v>
      </c>
      <c r="J379" s="2" t="s">
        <v>35705</v>
      </c>
      <c r="K379" s="3">
        <v>9.6099999999999999E-7</v>
      </c>
      <c r="L379" s="2" t="s">
        <v>35</v>
      </c>
      <c r="M379" s="4" t="s">
        <v>35774</v>
      </c>
    </row>
    <row r="380" spans="1:13">
      <c r="A380" s="2">
        <v>2731</v>
      </c>
      <c r="B380" s="2" t="s">
        <v>35775</v>
      </c>
      <c r="C380" s="2">
        <v>8</v>
      </c>
      <c r="D380" s="2">
        <v>341</v>
      </c>
      <c r="E380" s="2">
        <v>45</v>
      </c>
      <c r="F380" s="2">
        <v>32441</v>
      </c>
      <c r="G380" s="2">
        <v>16.912870640000001</v>
      </c>
      <c r="H380" s="3">
        <v>7.4499999999999999E-8</v>
      </c>
      <c r="I380" s="2" t="s">
        <v>35776</v>
      </c>
      <c r="J380" s="2" t="s">
        <v>35777</v>
      </c>
      <c r="K380" s="3">
        <v>9.6099999999999999E-7</v>
      </c>
      <c r="L380" s="2" t="s">
        <v>35</v>
      </c>
      <c r="M380" s="4" t="s">
        <v>35778</v>
      </c>
    </row>
    <row r="381" spans="1:13">
      <c r="A381" s="2">
        <v>640</v>
      </c>
      <c r="B381" s="2" t="s">
        <v>35779</v>
      </c>
      <c r="C381" s="2">
        <v>9</v>
      </c>
      <c r="D381" s="2">
        <v>341</v>
      </c>
      <c r="E381" s="2">
        <v>65</v>
      </c>
      <c r="F381" s="2">
        <v>32441</v>
      </c>
      <c r="G381" s="2">
        <v>13.17252425</v>
      </c>
      <c r="H381" s="3">
        <v>7.8300000000000006E-8</v>
      </c>
      <c r="I381" s="2" t="s">
        <v>35780</v>
      </c>
      <c r="J381" s="2" t="s">
        <v>35781</v>
      </c>
      <c r="K381" s="3">
        <v>1.0100000000000001E-6</v>
      </c>
      <c r="L381" s="2" t="s">
        <v>35</v>
      </c>
      <c r="M381" s="4" t="s">
        <v>35782</v>
      </c>
    </row>
    <row r="382" spans="1:13">
      <c r="A382" s="2">
        <v>1459</v>
      </c>
      <c r="B382" s="2" t="s">
        <v>35783</v>
      </c>
      <c r="C382" s="2">
        <v>15</v>
      </c>
      <c r="D382" s="2">
        <v>341</v>
      </c>
      <c r="E382" s="2">
        <v>241</v>
      </c>
      <c r="F382" s="2">
        <v>32441</v>
      </c>
      <c r="G382" s="2">
        <v>5.9212591720000001</v>
      </c>
      <c r="H382" s="3">
        <v>9.2999999999999999E-8</v>
      </c>
      <c r="I382" s="2" t="s">
        <v>35784</v>
      </c>
      <c r="J382" s="2" t="s">
        <v>35785</v>
      </c>
      <c r="K382" s="3">
        <v>1.19E-6</v>
      </c>
      <c r="L382" s="2" t="s">
        <v>35</v>
      </c>
      <c r="M382" s="4" t="s">
        <v>35786</v>
      </c>
    </row>
    <row r="383" spans="1:13">
      <c r="A383" s="2">
        <v>2179</v>
      </c>
      <c r="B383" s="2" t="s">
        <v>4795</v>
      </c>
      <c r="C383" s="2">
        <v>18</v>
      </c>
      <c r="D383" s="2">
        <v>341</v>
      </c>
      <c r="E383" s="2">
        <v>358</v>
      </c>
      <c r="F383" s="2">
        <v>32441</v>
      </c>
      <c r="G383" s="2">
        <v>4.7833188619999998</v>
      </c>
      <c r="H383" s="3">
        <v>1.05E-7</v>
      </c>
      <c r="I383" s="2" t="s">
        <v>35787</v>
      </c>
      <c r="J383" s="2" t="s">
        <v>35788</v>
      </c>
      <c r="K383" s="3">
        <v>1.3400000000000001E-6</v>
      </c>
      <c r="L383" s="2" t="s">
        <v>35</v>
      </c>
      <c r="M383" s="4" t="s">
        <v>4798</v>
      </c>
    </row>
    <row r="384" spans="1:13">
      <c r="A384" s="2">
        <v>817</v>
      </c>
      <c r="B384" s="2" t="s">
        <v>4692</v>
      </c>
      <c r="C384" s="2">
        <v>10</v>
      </c>
      <c r="D384" s="2">
        <v>341</v>
      </c>
      <c r="E384" s="2">
        <v>91</v>
      </c>
      <c r="F384" s="2">
        <v>32441</v>
      </c>
      <c r="G384" s="2">
        <v>10.45438433</v>
      </c>
      <c r="H384" s="3">
        <v>1.08E-7</v>
      </c>
      <c r="I384" s="2" t="s">
        <v>35789</v>
      </c>
      <c r="J384" s="2" t="s">
        <v>35790</v>
      </c>
      <c r="K384" s="3">
        <v>1.3799999999999999E-6</v>
      </c>
      <c r="L384" s="2" t="s">
        <v>35</v>
      </c>
      <c r="M384" s="4" t="s">
        <v>4695</v>
      </c>
    </row>
    <row r="385" spans="1:13">
      <c r="A385" s="2">
        <v>1439</v>
      </c>
      <c r="B385" s="2" t="s">
        <v>24618</v>
      </c>
      <c r="C385" s="2">
        <v>38</v>
      </c>
      <c r="D385" s="2">
        <v>341</v>
      </c>
      <c r="E385" s="2">
        <v>1382</v>
      </c>
      <c r="F385" s="2">
        <v>32441</v>
      </c>
      <c r="G385" s="2">
        <v>2.615865485</v>
      </c>
      <c r="H385" s="3">
        <v>1.15E-7</v>
      </c>
      <c r="I385" s="2" t="s">
        <v>35791</v>
      </c>
      <c r="J385" s="2" t="s">
        <v>35792</v>
      </c>
      <c r="K385" s="3">
        <v>1.46E-6</v>
      </c>
      <c r="L385" s="2" t="s">
        <v>35</v>
      </c>
      <c r="M385" s="4" t="s">
        <v>24621</v>
      </c>
    </row>
    <row r="386" spans="1:13">
      <c r="A386" s="2">
        <v>95</v>
      </c>
      <c r="B386" s="2" t="s">
        <v>35793</v>
      </c>
      <c r="C386" s="2">
        <v>9</v>
      </c>
      <c r="D386" s="2">
        <v>341</v>
      </c>
      <c r="E386" s="2">
        <v>69</v>
      </c>
      <c r="F386" s="2">
        <v>32441</v>
      </c>
      <c r="G386" s="2">
        <v>12.408899659999999</v>
      </c>
      <c r="H386" s="3">
        <v>1.2499999999999999E-7</v>
      </c>
      <c r="I386" s="2" t="s">
        <v>35794</v>
      </c>
      <c r="J386" s="2" t="s">
        <v>35795</v>
      </c>
      <c r="K386" s="3">
        <v>1.5799999999999999E-6</v>
      </c>
      <c r="L386" s="2" t="s">
        <v>35</v>
      </c>
      <c r="M386" s="4" t="s">
        <v>35796</v>
      </c>
    </row>
    <row r="387" spans="1:13">
      <c r="A387" s="2">
        <v>4332</v>
      </c>
      <c r="B387" s="2" t="s">
        <v>35797</v>
      </c>
      <c r="C387" s="2">
        <v>8</v>
      </c>
      <c r="D387" s="2">
        <v>341</v>
      </c>
      <c r="E387" s="2">
        <v>49</v>
      </c>
      <c r="F387" s="2">
        <v>32441</v>
      </c>
      <c r="G387" s="2">
        <v>15.532228140000001</v>
      </c>
      <c r="H387" s="3">
        <v>1.3400000000000001E-7</v>
      </c>
      <c r="I387" s="2" t="s">
        <v>35798</v>
      </c>
      <c r="J387" s="2" t="s">
        <v>35799</v>
      </c>
      <c r="K387" s="3">
        <v>1.7E-6</v>
      </c>
      <c r="L387" s="2" t="s">
        <v>35</v>
      </c>
      <c r="M387" s="4" t="s">
        <v>35800</v>
      </c>
    </row>
    <row r="388" spans="1:13">
      <c r="A388" s="2">
        <v>2574</v>
      </c>
      <c r="B388" s="2" t="s">
        <v>35801</v>
      </c>
      <c r="C388" s="2">
        <v>8</v>
      </c>
      <c r="D388" s="2">
        <v>341</v>
      </c>
      <c r="E388" s="2">
        <v>50</v>
      </c>
      <c r="F388" s="2">
        <v>32441</v>
      </c>
      <c r="G388" s="2">
        <v>15.221583580000001</v>
      </c>
      <c r="H388" s="3">
        <v>1.54E-7</v>
      </c>
      <c r="I388" s="2" t="s">
        <v>35802</v>
      </c>
      <c r="J388" s="2" t="s">
        <v>35803</v>
      </c>
      <c r="K388" s="3">
        <v>1.9400000000000001E-6</v>
      </c>
      <c r="L388" s="2" t="s">
        <v>35</v>
      </c>
      <c r="M388" s="4" t="s">
        <v>35804</v>
      </c>
    </row>
    <row r="389" spans="1:13">
      <c r="A389" s="2">
        <v>1237</v>
      </c>
      <c r="B389" s="2" t="s">
        <v>35805</v>
      </c>
      <c r="C389" s="2">
        <v>9</v>
      </c>
      <c r="D389" s="2">
        <v>341</v>
      </c>
      <c r="E389" s="2">
        <v>72</v>
      </c>
      <c r="F389" s="2">
        <v>32441</v>
      </c>
      <c r="G389" s="2">
        <v>11.89186217</v>
      </c>
      <c r="H389" s="3">
        <v>1.73E-7</v>
      </c>
      <c r="I389" s="2" t="s">
        <v>35806</v>
      </c>
      <c r="J389" s="2" t="s">
        <v>35807</v>
      </c>
      <c r="K389" s="3">
        <v>2.1799999999999999E-6</v>
      </c>
      <c r="L389" s="2" t="s">
        <v>35</v>
      </c>
      <c r="M389" s="4" t="s">
        <v>35808</v>
      </c>
    </row>
    <row r="390" spans="1:13">
      <c r="A390" s="2">
        <v>969</v>
      </c>
      <c r="B390" s="2" t="s">
        <v>35809</v>
      </c>
      <c r="C390" s="2">
        <v>8</v>
      </c>
      <c r="D390" s="2">
        <v>341</v>
      </c>
      <c r="E390" s="2">
        <v>51</v>
      </c>
      <c r="F390" s="2">
        <v>32441</v>
      </c>
      <c r="G390" s="2">
        <v>14.92312115</v>
      </c>
      <c r="H390" s="3">
        <v>1.7700000000000001E-7</v>
      </c>
      <c r="I390" s="2" t="s">
        <v>35704</v>
      </c>
      <c r="J390" s="2" t="s">
        <v>35705</v>
      </c>
      <c r="K390" s="3">
        <v>2.21E-6</v>
      </c>
      <c r="L390" s="2" t="s">
        <v>35</v>
      </c>
      <c r="M390" s="4" t="s">
        <v>35810</v>
      </c>
    </row>
    <row r="391" spans="1:13">
      <c r="A391" s="2">
        <v>1426</v>
      </c>
      <c r="B391" s="2" t="s">
        <v>35811</v>
      </c>
      <c r="C391" s="2">
        <v>8</v>
      </c>
      <c r="D391" s="2">
        <v>341</v>
      </c>
      <c r="E391" s="2">
        <v>51</v>
      </c>
      <c r="F391" s="2">
        <v>32441</v>
      </c>
      <c r="G391" s="2">
        <v>14.92312115</v>
      </c>
      <c r="H391" s="3">
        <v>1.7700000000000001E-7</v>
      </c>
      <c r="I391" s="2" t="s">
        <v>35812</v>
      </c>
      <c r="J391" s="2" t="s">
        <v>35813</v>
      </c>
      <c r="K391" s="3">
        <v>2.21E-6</v>
      </c>
      <c r="L391" s="2" t="s">
        <v>35</v>
      </c>
      <c r="M391" s="4" t="s">
        <v>35814</v>
      </c>
    </row>
    <row r="392" spans="1:13">
      <c r="A392" s="2">
        <v>4654</v>
      </c>
      <c r="B392" s="2" t="s">
        <v>6500</v>
      </c>
      <c r="C392" s="2">
        <v>6</v>
      </c>
      <c r="D392" s="2">
        <v>341</v>
      </c>
      <c r="E392" s="2">
        <v>19</v>
      </c>
      <c r="F392" s="2">
        <v>32441</v>
      </c>
      <c r="G392" s="2">
        <v>30.042599169999999</v>
      </c>
      <c r="H392" s="3">
        <v>1.8199999999999999E-7</v>
      </c>
      <c r="I392" s="2" t="s">
        <v>35815</v>
      </c>
      <c r="J392" s="2" t="s">
        <v>35816</v>
      </c>
      <c r="K392" s="3">
        <v>2.2699999999999999E-6</v>
      </c>
      <c r="L392" s="2" t="s">
        <v>35</v>
      </c>
      <c r="M392" s="4" t="s">
        <v>6503</v>
      </c>
    </row>
    <row r="393" spans="1:13">
      <c r="A393" s="2">
        <v>1240</v>
      </c>
      <c r="B393" s="2" t="s">
        <v>35817</v>
      </c>
      <c r="C393" s="2">
        <v>9</v>
      </c>
      <c r="D393" s="2">
        <v>341</v>
      </c>
      <c r="E393" s="2">
        <v>73</v>
      </c>
      <c r="F393" s="2">
        <v>32441</v>
      </c>
      <c r="G393" s="2">
        <v>11.72895995</v>
      </c>
      <c r="H393" s="3">
        <v>1.9299999999999999E-7</v>
      </c>
      <c r="I393" s="2" t="s">
        <v>35818</v>
      </c>
      <c r="J393" s="2" t="s">
        <v>35819</v>
      </c>
      <c r="K393" s="3">
        <v>2.4099999999999998E-6</v>
      </c>
      <c r="L393" s="2" t="s">
        <v>35</v>
      </c>
      <c r="M393" s="4" t="s">
        <v>35820</v>
      </c>
    </row>
    <row r="394" spans="1:13">
      <c r="A394" s="2">
        <v>81</v>
      </c>
      <c r="B394" s="2" t="s">
        <v>35821</v>
      </c>
      <c r="C394" s="2">
        <v>7</v>
      </c>
      <c r="D394" s="2">
        <v>341</v>
      </c>
      <c r="E394" s="2">
        <v>35</v>
      </c>
      <c r="F394" s="2">
        <v>32441</v>
      </c>
      <c r="G394" s="2">
        <v>19.026979470000001</v>
      </c>
      <c r="H394" s="3">
        <v>2.4499999999999998E-7</v>
      </c>
      <c r="I394" s="2" t="s">
        <v>35822</v>
      </c>
      <c r="J394" s="2" t="s">
        <v>35823</v>
      </c>
      <c r="K394" s="3">
        <v>3.0400000000000001E-6</v>
      </c>
      <c r="L394" s="2" t="s">
        <v>35</v>
      </c>
      <c r="M394" s="4" t="s">
        <v>35824</v>
      </c>
    </row>
    <row r="395" spans="1:13">
      <c r="A395" s="2">
        <v>4736</v>
      </c>
      <c r="B395" s="2" t="s">
        <v>24588</v>
      </c>
      <c r="C395" s="2">
        <v>30</v>
      </c>
      <c r="D395" s="2">
        <v>341</v>
      </c>
      <c r="E395" s="2">
        <v>975</v>
      </c>
      <c r="F395" s="2">
        <v>32441</v>
      </c>
      <c r="G395" s="2">
        <v>2.9272276110000002</v>
      </c>
      <c r="H395" s="3">
        <v>2.8700000000000002E-7</v>
      </c>
      <c r="I395" s="2" t="s">
        <v>35825</v>
      </c>
      <c r="J395" s="2" t="s">
        <v>35826</v>
      </c>
      <c r="K395" s="3">
        <v>3.5499999999999999E-6</v>
      </c>
      <c r="L395" s="2" t="s">
        <v>35</v>
      </c>
      <c r="M395" s="4" t="s">
        <v>24591</v>
      </c>
    </row>
    <row r="396" spans="1:13">
      <c r="A396" s="2">
        <v>350</v>
      </c>
      <c r="B396" s="2" t="s">
        <v>35827</v>
      </c>
      <c r="C396" s="2">
        <v>6</v>
      </c>
      <c r="D396" s="2">
        <v>341</v>
      </c>
      <c r="E396" s="2">
        <v>21</v>
      </c>
      <c r="F396" s="2">
        <v>32441</v>
      </c>
      <c r="G396" s="2">
        <v>27.181399249999998</v>
      </c>
      <c r="H396" s="3">
        <v>2.9799999999999999E-7</v>
      </c>
      <c r="I396" s="2" t="s">
        <v>35828</v>
      </c>
      <c r="J396" s="2" t="s">
        <v>35829</v>
      </c>
      <c r="K396" s="3">
        <v>3.6899999999999998E-6</v>
      </c>
      <c r="L396" s="2" t="s">
        <v>35</v>
      </c>
      <c r="M396" s="4" t="s">
        <v>35830</v>
      </c>
    </row>
    <row r="397" spans="1:13">
      <c r="A397" s="2">
        <v>854</v>
      </c>
      <c r="B397" s="2" t="s">
        <v>35831</v>
      </c>
      <c r="C397" s="2">
        <v>5</v>
      </c>
      <c r="D397" s="2">
        <v>341</v>
      </c>
      <c r="E397" s="2">
        <v>10</v>
      </c>
      <c r="F397" s="2">
        <v>32441</v>
      </c>
      <c r="G397" s="2">
        <v>47.567448679999998</v>
      </c>
      <c r="H397" s="3">
        <v>3.2599999999999998E-7</v>
      </c>
      <c r="I397" s="2" t="s">
        <v>35832</v>
      </c>
      <c r="J397" s="2" t="s">
        <v>35833</v>
      </c>
      <c r="K397" s="3">
        <v>4.0199999999999996E-6</v>
      </c>
      <c r="L397" s="2" t="s">
        <v>35</v>
      </c>
      <c r="M397" s="4" t="s">
        <v>35834</v>
      </c>
    </row>
    <row r="398" spans="1:13">
      <c r="A398" s="2">
        <v>1297</v>
      </c>
      <c r="B398" s="2" t="s">
        <v>35835</v>
      </c>
      <c r="C398" s="2">
        <v>8</v>
      </c>
      <c r="D398" s="2">
        <v>341</v>
      </c>
      <c r="E398" s="2">
        <v>56</v>
      </c>
      <c r="F398" s="2">
        <v>32441</v>
      </c>
      <c r="G398" s="2">
        <v>13.590699620000001</v>
      </c>
      <c r="H398" s="3">
        <v>3.3700000000000001E-7</v>
      </c>
      <c r="I398" s="2" t="s">
        <v>35836</v>
      </c>
      <c r="J398" s="2" t="s">
        <v>35837</v>
      </c>
      <c r="K398" s="3">
        <v>4.1400000000000002E-6</v>
      </c>
      <c r="L398" s="2" t="s">
        <v>35</v>
      </c>
      <c r="M398" s="4" t="s">
        <v>35838</v>
      </c>
    </row>
    <row r="399" spans="1:13">
      <c r="A399" s="2">
        <v>2129</v>
      </c>
      <c r="B399" s="2" t="s">
        <v>6227</v>
      </c>
      <c r="C399" s="2">
        <v>10</v>
      </c>
      <c r="D399" s="2">
        <v>341</v>
      </c>
      <c r="E399" s="2">
        <v>105</v>
      </c>
      <c r="F399" s="2">
        <v>32441</v>
      </c>
      <c r="G399" s="2">
        <v>9.0604664150000005</v>
      </c>
      <c r="H399" s="3">
        <v>3.6899999999999998E-7</v>
      </c>
      <c r="I399" s="2" t="s">
        <v>35839</v>
      </c>
      <c r="J399" s="2" t="s">
        <v>35840</v>
      </c>
      <c r="K399" s="3">
        <v>4.5299999999999998E-6</v>
      </c>
      <c r="L399" s="2" t="s">
        <v>35</v>
      </c>
      <c r="M399" s="4" t="s">
        <v>6230</v>
      </c>
    </row>
    <row r="400" spans="1:13">
      <c r="A400" s="2">
        <v>371</v>
      </c>
      <c r="B400" s="2" t="s">
        <v>35841</v>
      </c>
      <c r="C400" s="2">
        <v>5</v>
      </c>
      <c r="D400" s="2">
        <v>341</v>
      </c>
      <c r="E400" s="2">
        <v>11</v>
      </c>
      <c r="F400" s="2">
        <v>32441</v>
      </c>
      <c r="G400" s="2">
        <v>43.243135160000001</v>
      </c>
      <c r="H400" s="3">
        <v>4.7E-7</v>
      </c>
      <c r="I400" s="2" t="s">
        <v>35842</v>
      </c>
      <c r="J400" s="2" t="s">
        <v>35843</v>
      </c>
      <c r="K400" s="3">
        <v>5.7400000000000001E-6</v>
      </c>
      <c r="L400" s="2" t="s">
        <v>35</v>
      </c>
      <c r="M400" s="4" t="s">
        <v>35844</v>
      </c>
    </row>
    <row r="401" spans="1:13">
      <c r="A401" s="2">
        <v>3021</v>
      </c>
      <c r="B401" s="2" t="s">
        <v>35845</v>
      </c>
      <c r="C401" s="2">
        <v>5</v>
      </c>
      <c r="D401" s="2">
        <v>341</v>
      </c>
      <c r="E401" s="2">
        <v>11</v>
      </c>
      <c r="F401" s="2">
        <v>32441</v>
      </c>
      <c r="G401" s="2">
        <v>43.243135160000001</v>
      </c>
      <c r="H401" s="3">
        <v>4.7E-7</v>
      </c>
      <c r="I401" s="2" t="s">
        <v>35846</v>
      </c>
      <c r="J401" s="2" t="s">
        <v>35847</v>
      </c>
      <c r="K401" s="3">
        <v>5.7400000000000001E-6</v>
      </c>
      <c r="L401" s="2" t="s">
        <v>35</v>
      </c>
      <c r="M401" s="4" t="s">
        <v>35848</v>
      </c>
    </row>
    <row r="402" spans="1:13">
      <c r="A402" s="2">
        <v>4704</v>
      </c>
      <c r="B402" s="2" t="s">
        <v>24999</v>
      </c>
      <c r="C402" s="2">
        <v>44</v>
      </c>
      <c r="D402" s="2">
        <v>341</v>
      </c>
      <c r="E402" s="2">
        <v>1839</v>
      </c>
      <c r="F402" s="2">
        <v>32441</v>
      </c>
      <c r="G402" s="2">
        <v>2.2762020029999999</v>
      </c>
      <c r="H402" s="3">
        <v>4.7700000000000005E-7</v>
      </c>
      <c r="I402" s="2" t="s">
        <v>35849</v>
      </c>
      <c r="J402" s="2" t="s">
        <v>35850</v>
      </c>
      <c r="K402" s="3">
        <v>5.8000000000000004E-6</v>
      </c>
      <c r="L402" s="2" t="s">
        <v>35</v>
      </c>
      <c r="M402" s="4" t="s">
        <v>25002</v>
      </c>
    </row>
    <row r="403" spans="1:13">
      <c r="A403" s="2">
        <v>2355</v>
      </c>
      <c r="B403" s="2" t="s">
        <v>35851</v>
      </c>
      <c r="C403" s="2">
        <v>8</v>
      </c>
      <c r="D403" s="2">
        <v>341</v>
      </c>
      <c r="E403" s="2">
        <v>59</v>
      </c>
      <c r="F403" s="2">
        <v>32441</v>
      </c>
      <c r="G403" s="2">
        <v>12.899647099999999</v>
      </c>
      <c r="H403" s="3">
        <v>4.8299999999999997E-7</v>
      </c>
      <c r="I403" s="2" t="s">
        <v>35852</v>
      </c>
      <c r="J403" s="2" t="s">
        <v>35853</v>
      </c>
      <c r="K403" s="3">
        <v>5.8699999999999997E-6</v>
      </c>
      <c r="L403" s="2" t="s">
        <v>35</v>
      </c>
      <c r="M403" s="4" t="s">
        <v>35854</v>
      </c>
    </row>
    <row r="404" spans="1:13">
      <c r="A404" s="2">
        <v>1599</v>
      </c>
      <c r="B404" s="2" t="s">
        <v>35855</v>
      </c>
      <c r="C404" s="2">
        <v>21</v>
      </c>
      <c r="D404" s="2">
        <v>341</v>
      </c>
      <c r="E404" s="2">
        <v>536</v>
      </c>
      <c r="F404" s="2">
        <v>32441</v>
      </c>
      <c r="G404" s="2">
        <v>3.7273000829999998</v>
      </c>
      <c r="H404" s="3">
        <v>4.9399999999999995E-7</v>
      </c>
      <c r="I404" s="2" t="s">
        <v>35856</v>
      </c>
      <c r="J404" s="2" t="s">
        <v>35857</v>
      </c>
      <c r="K404" s="3">
        <v>5.9900000000000002E-6</v>
      </c>
      <c r="L404" s="2" t="s">
        <v>35</v>
      </c>
      <c r="M404" s="4" t="s">
        <v>35858</v>
      </c>
    </row>
    <row r="405" spans="1:13">
      <c r="A405" s="2">
        <v>3762</v>
      </c>
      <c r="B405" s="2" t="s">
        <v>5163</v>
      </c>
      <c r="C405" s="2">
        <v>16</v>
      </c>
      <c r="D405" s="2">
        <v>341</v>
      </c>
      <c r="E405" s="2">
        <v>323</v>
      </c>
      <c r="F405" s="2">
        <v>32441</v>
      </c>
      <c r="G405" s="2">
        <v>4.712564575</v>
      </c>
      <c r="H405" s="3">
        <v>6.5000000000000002E-7</v>
      </c>
      <c r="I405" s="2" t="s">
        <v>35859</v>
      </c>
      <c r="J405" s="2" t="s">
        <v>35860</v>
      </c>
      <c r="K405" s="3">
        <v>7.8499999999999994E-6</v>
      </c>
      <c r="L405" s="2" t="s">
        <v>35</v>
      </c>
      <c r="M405" s="4" t="s">
        <v>5166</v>
      </c>
    </row>
    <row r="406" spans="1:13">
      <c r="A406" s="2">
        <v>4674</v>
      </c>
      <c r="B406" s="2" t="s">
        <v>35861</v>
      </c>
      <c r="C406" s="2">
        <v>15</v>
      </c>
      <c r="D406" s="2">
        <v>341</v>
      </c>
      <c r="E406" s="2">
        <v>289</v>
      </c>
      <c r="F406" s="2">
        <v>32441</v>
      </c>
      <c r="G406" s="2">
        <v>4.9377974409999998</v>
      </c>
      <c r="H406" s="3">
        <v>8.3699999999999999E-7</v>
      </c>
      <c r="I406" s="2" t="s">
        <v>35862</v>
      </c>
      <c r="J406" s="2" t="s">
        <v>35863</v>
      </c>
      <c r="K406" s="3">
        <v>1.01E-5</v>
      </c>
      <c r="L406" s="2" t="s">
        <v>35</v>
      </c>
      <c r="M406" s="4" t="s">
        <v>35864</v>
      </c>
    </row>
    <row r="407" spans="1:13">
      <c r="A407" s="2">
        <v>1691</v>
      </c>
      <c r="B407" s="2" t="s">
        <v>35865</v>
      </c>
      <c r="C407" s="2">
        <v>8</v>
      </c>
      <c r="D407" s="2">
        <v>341</v>
      </c>
      <c r="E407" s="2">
        <v>64</v>
      </c>
      <c r="F407" s="2">
        <v>32441</v>
      </c>
      <c r="G407" s="2">
        <v>11.89186217</v>
      </c>
      <c r="H407" s="3">
        <v>8.47E-7</v>
      </c>
      <c r="I407" s="2" t="s">
        <v>35866</v>
      </c>
      <c r="J407" s="2" t="s">
        <v>35867</v>
      </c>
      <c r="K407" s="3">
        <v>1.0200000000000001E-5</v>
      </c>
      <c r="L407" s="2" t="s">
        <v>35</v>
      </c>
      <c r="M407" s="4" t="s">
        <v>35868</v>
      </c>
    </row>
    <row r="408" spans="1:13">
      <c r="A408" s="2">
        <v>343</v>
      </c>
      <c r="B408" s="2" t="s">
        <v>35869</v>
      </c>
      <c r="C408" s="2">
        <v>5</v>
      </c>
      <c r="D408" s="2">
        <v>341</v>
      </c>
      <c r="E408" s="2">
        <v>13</v>
      </c>
      <c r="F408" s="2">
        <v>32441</v>
      </c>
      <c r="G408" s="2">
        <v>36.590345139999997</v>
      </c>
      <c r="H408" s="3">
        <v>9.0699999999999996E-7</v>
      </c>
      <c r="I408" s="2" t="s">
        <v>35870</v>
      </c>
      <c r="J408" s="2" t="s">
        <v>35871</v>
      </c>
      <c r="K408" s="3">
        <v>1.08E-5</v>
      </c>
      <c r="L408" s="2" t="s">
        <v>35</v>
      </c>
      <c r="M408" s="4" t="s">
        <v>35872</v>
      </c>
    </row>
    <row r="409" spans="1:13">
      <c r="A409" s="2">
        <v>3758</v>
      </c>
      <c r="B409" s="2" t="s">
        <v>96</v>
      </c>
      <c r="C409" s="2">
        <v>17</v>
      </c>
      <c r="D409" s="2">
        <v>341</v>
      </c>
      <c r="E409" s="2">
        <v>374</v>
      </c>
      <c r="F409" s="2">
        <v>32441</v>
      </c>
      <c r="G409" s="2">
        <v>4.3243135160000001</v>
      </c>
      <c r="H409" s="3">
        <v>9.0500000000000002E-7</v>
      </c>
      <c r="I409" s="2" t="s">
        <v>35873</v>
      </c>
      <c r="J409" s="2" t="s">
        <v>35874</v>
      </c>
      <c r="K409" s="3">
        <v>1.08E-5</v>
      </c>
      <c r="L409" s="2" t="s">
        <v>35</v>
      </c>
      <c r="M409" s="4" t="s">
        <v>35875</v>
      </c>
    </row>
    <row r="410" spans="1:13">
      <c r="A410" s="2">
        <v>4553</v>
      </c>
      <c r="B410" s="2" t="s">
        <v>35876</v>
      </c>
      <c r="C410" s="2">
        <v>11</v>
      </c>
      <c r="D410" s="2">
        <v>341</v>
      </c>
      <c r="E410" s="2">
        <v>148</v>
      </c>
      <c r="F410" s="2">
        <v>32441</v>
      </c>
      <c r="G410" s="2">
        <v>7.0708369659999999</v>
      </c>
      <c r="H410" s="3">
        <v>9.6500000000000008E-7</v>
      </c>
      <c r="I410" s="2" t="s">
        <v>35877</v>
      </c>
      <c r="J410" s="2" t="s">
        <v>35878</v>
      </c>
      <c r="K410" s="3">
        <v>1.15E-5</v>
      </c>
      <c r="L410" s="2" t="s">
        <v>35</v>
      </c>
      <c r="M410" s="4" t="s">
        <v>35879</v>
      </c>
    </row>
    <row r="411" spans="1:13">
      <c r="A411" s="2">
        <v>3398</v>
      </c>
      <c r="B411" s="2" t="s">
        <v>35880</v>
      </c>
      <c r="C411" s="2">
        <v>13</v>
      </c>
      <c r="D411" s="2">
        <v>341</v>
      </c>
      <c r="E411" s="2">
        <v>217</v>
      </c>
      <c r="F411" s="2">
        <v>32441</v>
      </c>
      <c r="G411" s="2">
        <v>5.6993256480000003</v>
      </c>
      <c r="H411" s="3">
        <v>1.0100000000000001E-6</v>
      </c>
      <c r="I411" s="2" t="s">
        <v>35881</v>
      </c>
      <c r="J411" s="2" t="s">
        <v>35882</v>
      </c>
      <c r="K411" s="3">
        <v>1.2E-5</v>
      </c>
      <c r="L411" s="2" t="s">
        <v>35</v>
      </c>
      <c r="M411" s="4" t="s">
        <v>35883</v>
      </c>
    </row>
    <row r="412" spans="1:13">
      <c r="A412" s="2">
        <v>3214</v>
      </c>
      <c r="B412" s="2" t="s">
        <v>25007</v>
      </c>
      <c r="C412" s="2">
        <v>8</v>
      </c>
      <c r="D412" s="2">
        <v>341</v>
      </c>
      <c r="E412" s="2">
        <v>66</v>
      </c>
      <c r="F412" s="2">
        <v>32441</v>
      </c>
      <c r="G412" s="2">
        <v>11.53150271</v>
      </c>
      <c r="H412" s="3">
        <v>1.0499999999999999E-6</v>
      </c>
      <c r="I412" s="2" t="s">
        <v>35884</v>
      </c>
      <c r="J412" s="2" t="s">
        <v>35885</v>
      </c>
      <c r="K412" s="3">
        <v>1.24E-5</v>
      </c>
      <c r="L412" s="2" t="s">
        <v>35</v>
      </c>
      <c r="M412" s="4" t="s">
        <v>25010</v>
      </c>
    </row>
    <row r="413" spans="1:13">
      <c r="A413" s="2">
        <v>221</v>
      </c>
      <c r="B413" s="2" t="s">
        <v>35886</v>
      </c>
      <c r="C413" s="2">
        <v>6</v>
      </c>
      <c r="D413" s="2">
        <v>341</v>
      </c>
      <c r="E413" s="2">
        <v>28</v>
      </c>
      <c r="F413" s="2">
        <v>32441</v>
      </c>
      <c r="G413" s="2">
        <v>20.38604943</v>
      </c>
      <c r="H413" s="3">
        <v>1.28E-6</v>
      </c>
      <c r="I413" s="2" t="s">
        <v>35887</v>
      </c>
      <c r="J413" s="2" t="s">
        <v>35888</v>
      </c>
      <c r="K413" s="3">
        <v>1.5099999999999999E-5</v>
      </c>
      <c r="L413" s="2" t="s">
        <v>35</v>
      </c>
      <c r="M413" s="4" t="s">
        <v>35889</v>
      </c>
    </row>
    <row r="414" spans="1:13">
      <c r="A414" s="2">
        <v>1855</v>
      </c>
      <c r="B414" s="2" t="s">
        <v>35890</v>
      </c>
      <c r="C414" s="2">
        <v>6</v>
      </c>
      <c r="D414" s="2">
        <v>341</v>
      </c>
      <c r="E414" s="2">
        <v>29</v>
      </c>
      <c r="F414" s="2">
        <v>32441</v>
      </c>
      <c r="G414" s="2">
        <v>19.683082209999998</v>
      </c>
      <c r="H414" s="3">
        <v>1.53E-6</v>
      </c>
      <c r="I414" s="2" t="s">
        <v>35891</v>
      </c>
      <c r="J414" s="2" t="s">
        <v>35892</v>
      </c>
      <c r="K414" s="3">
        <v>1.8E-5</v>
      </c>
      <c r="L414" s="2" t="s">
        <v>35</v>
      </c>
      <c r="M414" s="4" t="s">
        <v>35893</v>
      </c>
    </row>
    <row r="415" spans="1:13">
      <c r="A415" s="2">
        <v>3089</v>
      </c>
      <c r="B415" s="2" t="s">
        <v>2879</v>
      </c>
      <c r="C415" s="2">
        <v>11</v>
      </c>
      <c r="D415" s="2">
        <v>341</v>
      </c>
      <c r="E415" s="2">
        <v>156</v>
      </c>
      <c r="F415" s="2">
        <v>32441</v>
      </c>
      <c r="G415" s="2">
        <v>6.708229942</v>
      </c>
      <c r="H415" s="3">
        <v>1.57E-6</v>
      </c>
      <c r="I415" s="2" t="s">
        <v>35894</v>
      </c>
      <c r="J415" s="2" t="s">
        <v>35895</v>
      </c>
      <c r="K415" s="3">
        <v>1.8499999999999999E-5</v>
      </c>
      <c r="L415" s="2" t="s">
        <v>35</v>
      </c>
      <c r="M415" s="4" t="s">
        <v>2882</v>
      </c>
    </row>
    <row r="416" spans="1:13">
      <c r="A416" s="2">
        <v>2185</v>
      </c>
      <c r="B416" s="2" t="s">
        <v>35896</v>
      </c>
      <c r="C416" s="2">
        <v>6</v>
      </c>
      <c r="D416" s="2">
        <v>341</v>
      </c>
      <c r="E416" s="2">
        <v>30</v>
      </c>
      <c r="F416" s="2">
        <v>32441</v>
      </c>
      <c r="G416" s="2">
        <v>19.026979470000001</v>
      </c>
      <c r="H416" s="3">
        <v>1.81E-6</v>
      </c>
      <c r="I416" s="2" t="s">
        <v>35897</v>
      </c>
      <c r="J416" s="2" t="s">
        <v>35898</v>
      </c>
      <c r="K416" s="3">
        <v>2.1299999999999999E-5</v>
      </c>
      <c r="L416" s="2" t="s">
        <v>35</v>
      </c>
      <c r="M416" s="4" t="s">
        <v>35899</v>
      </c>
    </row>
    <row r="417" spans="1:13">
      <c r="A417" s="2">
        <v>1675</v>
      </c>
      <c r="B417" s="2" t="s">
        <v>4609</v>
      </c>
      <c r="C417" s="2">
        <v>9</v>
      </c>
      <c r="D417" s="2">
        <v>341</v>
      </c>
      <c r="E417" s="2">
        <v>98</v>
      </c>
      <c r="F417" s="2">
        <v>32441</v>
      </c>
      <c r="G417" s="2">
        <v>8.7368783289999996</v>
      </c>
      <c r="H417" s="3">
        <v>1.88E-6</v>
      </c>
      <c r="I417" s="2" t="s">
        <v>35900</v>
      </c>
      <c r="J417" s="2" t="s">
        <v>35901</v>
      </c>
      <c r="K417" s="3">
        <v>2.2099999999999998E-5</v>
      </c>
      <c r="L417" s="2" t="s">
        <v>35</v>
      </c>
      <c r="M417" s="4" t="s">
        <v>4612</v>
      </c>
    </row>
    <row r="418" spans="1:13">
      <c r="A418" s="2">
        <v>952</v>
      </c>
      <c r="B418" s="2" t="s">
        <v>35902</v>
      </c>
      <c r="C418" s="2">
        <v>8</v>
      </c>
      <c r="D418" s="2">
        <v>341</v>
      </c>
      <c r="E418" s="2">
        <v>72</v>
      </c>
      <c r="F418" s="2">
        <v>32441</v>
      </c>
      <c r="G418" s="2">
        <v>10.57054415</v>
      </c>
      <c r="H418" s="3">
        <v>1.9099999999999999E-6</v>
      </c>
      <c r="I418" s="2" t="s">
        <v>35903</v>
      </c>
      <c r="J418" s="2" t="s">
        <v>35904</v>
      </c>
      <c r="K418" s="3">
        <v>2.23E-5</v>
      </c>
      <c r="L418" s="2" t="s">
        <v>35</v>
      </c>
      <c r="M418" s="4" t="s">
        <v>35905</v>
      </c>
    </row>
    <row r="419" spans="1:13">
      <c r="A419" s="2">
        <v>3651</v>
      </c>
      <c r="B419" s="2" t="s">
        <v>35906</v>
      </c>
      <c r="C419" s="2">
        <v>8</v>
      </c>
      <c r="D419" s="2">
        <v>341</v>
      </c>
      <c r="E419" s="2">
        <v>72</v>
      </c>
      <c r="F419" s="2">
        <v>32441</v>
      </c>
      <c r="G419" s="2">
        <v>10.57054415</v>
      </c>
      <c r="H419" s="3">
        <v>1.9099999999999999E-6</v>
      </c>
      <c r="I419" s="2" t="s">
        <v>35907</v>
      </c>
      <c r="J419" s="2" t="s">
        <v>35908</v>
      </c>
      <c r="K419" s="3">
        <v>2.23E-5</v>
      </c>
      <c r="L419" s="2" t="s">
        <v>35</v>
      </c>
      <c r="M419" s="4" t="s">
        <v>35909</v>
      </c>
    </row>
    <row r="420" spans="1:13">
      <c r="A420" s="2">
        <v>1386</v>
      </c>
      <c r="B420" s="2" t="s">
        <v>35910</v>
      </c>
      <c r="C420" s="2">
        <v>4</v>
      </c>
      <c r="D420" s="2">
        <v>341</v>
      </c>
      <c r="E420" s="2">
        <v>6</v>
      </c>
      <c r="F420" s="2">
        <v>32441</v>
      </c>
      <c r="G420" s="2">
        <v>63.42326491</v>
      </c>
      <c r="H420" s="3">
        <v>2.3E-6</v>
      </c>
      <c r="I420" s="2" t="s">
        <v>35911</v>
      </c>
      <c r="J420" s="2" t="s">
        <v>35912</v>
      </c>
      <c r="K420" s="3">
        <v>2.6800000000000001E-5</v>
      </c>
      <c r="L420" s="2" t="s">
        <v>35</v>
      </c>
      <c r="M420" s="4" t="s">
        <v>35913</v>
      </c>
    </row>
    <row r="421" spans="1:13">
      <c r="A421" s="2">
        <v>2665</v>
      </c>
      <c r="B421" s="2" t="s">
        <v>3689</v>
      </c>
      <c r="C421" s="2">
        <v>9</v>
      </c>
      <c r="D421" s="2">
        <v>341</v>
      </c>
      <c r="E421" s="2">
        <v>101</v>
      </c>
      <c r="F421" s="2">
        <v>32441</v>
      </c>
      <c r="G421" s="2">
        <v>8.4773670919999997</v>
      </c>
      <c r="H421" s="3">
        <v>2.3700000000000002E-6</v>
      </c>
      <c r="I421" s="2" t="s">
        <v>35914</v>
      </c>
      <c r="J421" s="2" t="s">
        <v>35915</v>
      </c>
      <c r="K421" s="3">
        <v>2.7500000000000001E-5</v>
      </c>
      <c r="L421" s="2" t="s">
        <v>35</v>
      </c>
      <c r="M421" s="4" t="s">
        <v>3692</v>
      </c>
    </row>
    <row r="422" spans="1:13">
      <c r="A422" s="2">
        <v>2814</v>
      </c>
      <c r="B422" s="2" t="s">
        <v>35916</v>
      </c>
      <c r="C422" s="2">
        <v>6</v>
      </c>
      <c r="D422" s="2">
        <v>341</v>
      </c>
      <c r="E422" s="2">
        <v>32</v>
      </c>
      <c r="F422" s="2">
        <v>32441</v>
      </c>
      <c r="G422" s="2">
        <v>17.837793260000002</v>
      </c>
      <c r="H422" s="3">
        <v>2.5299999999999999E-6</v>
      </c>
      <c r="I422" s="2" t="s">
        <v>35917</v>
      </c>
      <c r="J422" s="2" t="s">
        <v>35918</v>
      </c>
      <c r="K422" s="3">
        <v>2.9300000000000001E-5</v>
      </c>
      <c r="L422" s="2" t="s">
        <v>35</v>
      </c>
      <c r="M422" s="4" t="s">
        <v>35919</v>
      </c>
    </row>
    <row r="423" spans="1:13">
      <c r="A423" s="2">
        <v>2303</v>
      </c>
      <c r="B423" s="2" t="s">
        <v>35920</v>
      </c>
      <c r="C423" s="2">
        <v>9</v>
      </c>
      <c r="D423" s="2">
        <v>341</v>
      </c>
      <c r="E423" s="2">
        <v>103</v>
      </c>
      <c r="F423" s="2">
        <v>32441</v>
      </c>
      <c r="G423" s="2">
        <v>8.3127580220000006</v>
      </c>
      <c r="H423" s="3">
        <v>2.7499999999999999E-6</v>
      </c>
      <c r="I423" s="2" t="s">
        <v>35921</v>
      </c>
      <c r="J423" s="2" t="s">
        <v>35922</v>
      </c>
      <c r="K423" s="3">
        <v>3.18E-5</v>
      </c>
      <c r="L423" s="2" t="s">
        <v>35</v>
      </c>
      <c r="M423" s="4" t="s">
        <v>35923</v>
      </c>
    </row>
    <row r="424" spans="1:13">
      <c r="A424" s="2">
        <v>2557</v>
      </c>
      <c r="B424" s="2" t="s">
        <v>24927</v>
      </c>
      <c r="C424" s="2">
        <v>11</v>
      </c>
      <c r="D424" s="2">
        <v>341</v>
      </c>
      <c r="E424" s="2">
        <v>169</v>
      </c>
      <c r="F424" s="2">
        <v>32441</v>
      </c>
      <c r="G424" s="2">
        <v>6.1922122540000002</v>
      </c>
      <c r="H424" s="3">
        <v>3.2499999999999998E-6</v>
      </c>
      <c r="I424" s="2" t="s">
        <v>35924</v>
      </c>
      <c r="J424" s="2" t="s">
        <v>35925</v>
      </c>
      <c r="K424" s="3">
        <v>3.7400000000000001E-5</v>
      </c>
      <c r="L424" s="2" t="s">
        <v>35</v>
      </c>
      <c r="M424" s="4" t="s">
        <v>24930</v>
      </c>
    </row>
    <row r="425" spans="1:13">
      <c r="A425" s="2">
        <v>4385</v>
      </c>
      <c r="B425" s="2" t="s">
        <v>25084</v>
      </c>
      <c r="C425" s="2">
        <v>17</v>
      </c>
      <c r="D425" s="2">
        <v>341</v>
      </c>
      <c r="E425" s="2">
        <v>414</v>
      </c>
      <c r="F425" s="2">
        <v>32441</v>
      </c>
      <c r="G425" s="2">
        <v>3.9065054469999998</v>
      </c>
      <c r="H425" s="3">
        <v>3.3699999999999999E-6</v>
      </c>
      <c r="I425" s="2" t="s">
        <v>35926</v>
      </c>
      <c r="J425" s="2" t="s">
        <v>35927</v>
      </c>
      <c r="K425" s="3">
        <v>3.8800000000000001E-5</v>
      </c>
      <c r="L425" s="2" t="s">
        <v>35</v>
      </c>
      <c r="M425" s="4" t="s">
        <v>25087</v>
      </c>
    </row>
    <row r="426" spans="1:13">
      <c r="A426" s="2">
        <v>2235</v>
      </c>
      <c r="B426" s="2" t="s">
        <v>35928</v>
      </c>
      <c r="C426" s="2">
        <v>5</v>
      </c>
      <c r="D426" s="2">
        <v>341</v>
      </c>
      <c r="E426" s="2">
        <v>18</v>
      </c>
      <c r="F426" s="2">
        <v>32441</v>
      </c>
      <c r="G426" s="2">
        <v>26.426360379999998</v>
      </c>
      <c r="H426" s="3">
        <v>3.41E-6</v>
      </c>
      <c r="I426" s="2" t="s">
        <v>35929</v>
      </c>
      <c r="J426" s="2" t="s">
        <v>35930</v>
      </c>
      <c r="K426" s="3">
        <v>3.9100000000000002E-5</v>
      </c>
      <c r="L426" s="2" t="s">
        <v>35</v>
      </c>
      <c r="M426" s="4" t="s">
        <v>35931</v>
      </c>
    </row>
    <row r="427" spans="1:13">
      <c r="A427" s="2">
        <v>495</v>
      </c>
      <c r="B427" s="2" t="s">
        <v>35932</v>
      </c>
      <c r="C427" s="2">
        <v>8</v>
      </c>
      <c r="D427" s="2">
        <v>341</v>
      </c>
      <c r="E427" s="2">
        <v>79</v>
      </c>
      <c r="F427" s="2">
        <v>32441</v>
      </c>
      <c r="G427" s="2">
        <v>9.6339136570000008</v>
      </c>
      <c r="H427" s="3">
        <v>3.6100000000000002E-6</v>
      </c>
      <c r="I427" s="2" t="s">
        <v>35933</v>
      </c>
      <c r="J427" s="2" t="s">
        <v>35934</v>
      </c>
      <c r="K427" s="3">
        <v>4.1300000000000001E-5</v>
      </c>
      <c r="L427" s="2" t="s">
        <v>35</v>
      </c>
      <c r="M427" s="4" t="s">
        <v>35935</v>
      </c>
    </row>
    <row r="428" spans="1:13">
      <c r="A428" s="2">
        <v>1824</v>
      </c>
      <c r="B428" s="2" t="s">
        <v>35936</v>
      </c>
      <c r="C428" s="2">
        <v>8</v>
      </c>
      <c r="D428" s="2">
        <v>341</v>
      </c>
      <c r="E428" s="2">
        <v>79</v>
      </c>
      <c r="F428" s="2">
        <v>32441</v>
      </c>
      <c r="G428" s="2">
        <v>9.6339136570000008</v>
      </c>
      <c r="H428" s="3">
        <v>3.6100000000000002E-6</v>
      </c>
      <c r="I428" s="2" t="s">
        <v>35937</v>
      </c>
      <c r="J428" s="2" t="s">
        <v>35938</v>
      </c>
      <c r="K428" s="3">
        <v>4.1300000000000001E-5</v>
      </c>
      <c r="L428" s="2" t="s">
        <v>35</v>
      </c>
      <c r="M428" s="4" t="s">
        <v>35939</v>
      </c>
    </row>
    <row r="429" spans="1:13">
      <c r="A429" s="2">
        <v>4655</v>
      </c>
      <c r="B429" s="2" t="s">
        <v>35940</v>
      </c>
      <c r="C429" s="2">
        <v>9</v>
      </c>
      <c r="D429" s="2">
        <v>341</v>
      </c>
      <c r="E429" s="2">
        <v>107</v>
      </c>
      <c r="F429" s="2">
        <v>32441</v>
      </c>
      <c r="G429" s="2">
        <v>8.0020007129999993</v>
      </c>
      <c r="H429" s="3">
        <v>3.6899999999999998E-6</v>
      </c>
      <c r="I429" s="2" t="s">
        <v>35941</v>
      </c>
      <c r="J429" s="2" t="s">
        <v>35942</v>
      </c>
      <c r="K429" s="3">
        <v>4.1999999999999998E-5</v>
      </c>
      <c r="L429" s="2" t="s">
        <v>35</v>
      </c>
      <c r="M429" s="4" t="s">
        <v>35943</v>
      </c>
    </row>
    <row r="430" spans="1:13">
      <c r="A430" s="2">
        <v>162</v>
      </c>
      <c r="B430" s="2" t="s">
        <v>35944</v>
      </c>
      <c r="C430" s="2">
        <v>15</v>
      </c>
      <c r="D430" s="2">
        <v>341</v>
      </c>
      <c r="E430" s="2">
        <v>328</v>
      </c>
      <c r="F430" s="2">
        <v>32441</v>
      </c>
      <c r="G430" s="2">
        <v>4.350681282</v>
      </c>
      <c r="H430" s="3">
        <v>3.7000000000000002E-6</v>
      </c>
      <c r="I430" s="2" t="s">
        <v>35945</v>
      </c>
      <c r="J430" s="2" t="s">
        <v>35946</v>
      </c>
      <c r="K430" s="3">
        <v>4.21E-5</v>
      </c>
      <c r="L430" s="2" t="s">
        <v>35</v>
      </c>
      <c r="M430" s="4" t="s">
        <v>35947</v>
      </c>
    </row>
    <row r="431" spans="1:13">
      <c r="A431" s="2">
        <v>1662</v>
      </c>
      <c r="B431" s="2" t="s">
        <v>35948</v>
      </c>
      <c r="C431" s="2">
        <v>7</v>
      </c>
      <c r="D431" s="2">
        <v>341</v>
      </c>
      <c r="E431" s="2">
        <v>56</v>
      </c>
      <c r="F431" s="2">
        <v>32441</v>
      </c>
      <c r="G431" s="2">
        <v>11.89186217</v>
      </c>
      <c r="H431" s="3">
        <v>4.16E-6</v>
      </c>
      <c r="I431" s="2" t="s">
        <v>35949</v>
      </c>
      <c r="J431" s="2" t="s">
        <v>35950</v>
      </c>
      <c r="K431" s="3">
        <v>4.7200000000000002E-5</v>
      </c>
      <c r="L431" s="2" t="s">
        <v>35</v>
      </c>
      <c r="M431" s="4" t="s">
        <v>35951</v>
      </c>
    </row>
    <row r="432" spans="1:13">
      <c r="A432" s="2">
        <v>3313</v>
      </c>
      <c r="B432" s="2" t="s">
        <v>25475</v>
      </c>
      <c r="C432" s="2">
        <v>20</v>
      </c>
      <c r="D432" s="2">
        <v>341</v>
      </c>
      <c r="E432" s="2">
        <v>566</v>
      </c>
      <c r="F432" s="2">
        <v>32441</v>
      </c>
      <c r="G432" s="2">
        <v>3.3616571510000002</v>
      </c>
      <c r="H432" s="3">
        <v>4.1799999999999998E-6</v>
      </c>
      <c r="I432" s="2" t="s">
        <v>35952</v>
      </c>
      <c r="J432" s="2" t="s">
        <v>35953</v>
      </c>
      <c r="K432" s="3">
        <v>4.7200000000000002E-5</v>
      </c>
      <c r="L432" s="2" t="s">
        <v>35</v>
      </c>
      <c r="M432" s="4" t="s">
        <v>25478</v>
      </c>
    </row>
    <row r="433" spans="1:13">
      <c r="A433" s="2">
        <v>3235</v>
      </c>
      <c r="B433" s="2" t="s">
        <v>35954</v>
      </c>
      <c r="C433" s="2">
        <v>6</v>
      </c>
      <c r="D433" s="2">
        <v>341</v>
      </c>
      <c r="E433" s="2">
        <v>36</v>
      </c>
      <c r="F433" s="2">
        <v>32441</v>
      </c>
      <c r="G433" s="2">
        <v>15.85581623</v>
      </c>
      <c r="H433" s="3">
        <v>4.6399999999999996E-6</v>
      </c>
      <c r="I433" s="2" t="s">
        <v>35955</v>
      </c>
      <c r="J433" s="2" t="s">
        <v>35956</v>
      </c>
      <c r="K433" s="3">
        <v>5.2299999999999997E-5</v>
      </c>
      <c r="L433" s="2" t="s">
        <v>35</v>
      </c>
      <c r="M433" s="4" t="s">
        <v>35957</v>
      </c>
    </row>
    <row r="434" spans="1:13">
      <c r="A434" s="2">
        <v>3059</v>
      </c>
      <c r="B434" s="2" t="s">
        <v>403</v>
      </c>
      <c r="C434" s="2">
        <v>39</v>
      </c>
      <c r="D434" s="2">
        <v>341</v>
      </c>
      <c r="E434" s="2">
        <v>1691</v>
      </c>
      <c r="F434" s="2">
        <v>32441</v>
      </c>
      <c r="G434" s="2">
        <v>2.1941224109999999</v>
      </c>
      <c r="H434" s="3">
        <v>5.2800000000000003E-6</v>
      </c>
      <c r="I434" s="2" t="s">
        <v>35958</v>
      </c>
      <c r="J434" s="2" t="s">
        <v>35959</v>
      </c>
      <c r="K434" s="3">
        <v>5.94E-5</v>
      </c>
      <c r="L434" s="2" t="s">
        <v>35</v>
      </c>
      <c r="M434" s="4" t="s">
        <v>5577</v>
      </c>
    </row>
    <row r="435" spans="1:13">
      <c r="A435" s="2">
        <v>2115</v>
      </c>
      <c r="B435" s="2" t="s">
        <v>35960</v>
      </c>
      <c r="C435" s="2">
        <v>5</v>
      </c>
      <c r="D435" s="2">
        <v>341</v>
      </c>
      <c r="E435" s="2">
        <v>20</v>
      </c>
      <c r="F435" s="2">
        <v>32441</v>
      </c>
      <c r="G435" s="2">
        <v>23.783724339999999</v>
      </c>
      <c r="H435" s="3">
        <v>5.3000000000000001E-6</v>
      </c>
      <c r="I435" s="2" t="s">
        <v>35961</v>
      </c>
      <c r="J435" s="2" t="s">
        <v>35962</v>
      </c>
      <c r="K435" s="3">
        <v>5.9500000000000003E-5</v>
      </c>
      <c r="L435" s="2" t="s">
        <v>35</v>
      </c>
      <c r="M435" s="4" t="s">
        <v>35963</v>
      </c>
    </row>
    <row r="436" spans="1:13">
      <c r="A436" s="2">
        <v>4695</v>
      </c>
      <c r="B436" s="2" t="s">
        <v>35964</v>
      </c>
      <c r="C436" s="2">
        <v>4</v>
      </c>
      <c r="D436" s="2">
        <v>341</v>
      </c>
      <c r="E436" s="2">
        <v>8</v>
      </c>
      <c r="F436" s="2">
        <v>32441</v>
      </c>
      <c r="G436" s="2">
        <v>47.567448679999998</v>
      </c>
      <c r="H436" s="3">
        <v>5.3299999999999998E-6</v>
      </c>
      <c r="I436" s="2" t="s">
        <v>35965</v>
      </c>
      <c r="J436" s="2" t="s">
        <v>35966</v>
      </c>
      <c r="K436" s="3">
        <v>5.9700000000000001E-5</v>
      </c>
      <c r="L436" s="2" t="s">
        <v>35</v>
      </c>
      <c r="M436" s="4" t="s">
        <v>35967</v>
      </c>
    </row>
    <row r="437" spans="1:13">
      <c r="A437" s="2">
        <v>175</v>
      </c>
      <c r="B437" s="2" t="s">
        <v>35968</v>
      </c>
      <c r="C437" s="2">
        <v>8</v>
      </c>
      <c r="D437" s="2">
        <v>341</v>
      </c>
      <c r="E437" s="2">
        <v>84</v>
      </c>
      <c r="F437" s="2">
        <v>32441</v>
      </c>
      <c r="G437" s="2">
        <v>9.0604664150000005</v>
      </c>
      <c r="H437" s="3">
        <v>5.4999999999999999E-6</v>
      </c>
      <c r="I437" s="2" t="s">
        <v>35969</v>
      </c>
      <c r="J437" s="2" t="s">
        <v>35970</v>
      </c>
      <c r="K437" s="3">
        <v>6.1500000000000004E-5</v>
      </c>
      <c r="L437" s="2" t="s">
        <v>35</v>
      </c>
      <c r="M437" s="4" t="s">
        <v>35971</v>
      </c>
    </row>
    <row r="438" spans="1:13">
      <c r="A438" s="2">
        <v>935</v>
      </c>
      <c r="B438" s="2" t="s">
        <v>35972</v>
      </c>
      <c r="C438" s="2">
        <v>6</v>
      </c>
      <c r="D438" s="2">
        <v>341</v>
      </c>
      <c r="E438" s="2">
        <v>38</v>
      </c>
      <c r="F438" s="2">
        <v>32441</v>
      </c>
      <c r="G438" s="2">
        <v>15.021299580000001</v>
      </c>
      <c r="H438" s="3">
        <v>6.1299999999999998E-6</v>
      </c>
      <c r="I438" s="2" t="s">
        <v>35973</v>
      </c>
      <c r="J438" s="2" t="s">
        <v>35974</v>
      </c>
      <c r="K438" s="3">
        <v>6.8200000000000004E-5</v>
      </c>
      <c r="L438" s="2" t="s">
        <v>35</v>
      </c>
      <c r="M438" s="4" t="s">
        <v>35975</v>
      </c>
    </row>
    <row r="439" spans="1:13">
      <c r="A439" s="2">
        <v>3781</v>
      </c>
      <c r="B439" s="2" t="s">
        <v>35976</v>
      </c>
      <c r="C439" s="2">
        <v>6</v>
      </c>
      <c r="D439" s="2">
        <v>341</v>
      </c>
      <c r="E439" s="2">
        <v>38</v>
      </c>
      <c r="F439" s="2">
        <v>32441</v>
      </c>
      <c r="G439" s="2">
        <v>15.021299580000001</v>
      </c>
      <c r="H439" s="3">
        <v>6.1299999999999998E-6</v>
      </c>
      <c r="I439" s="2" t="s">
        <v>35977</v>
      </c>
      <c r="J439" s="2" t="s">
        <v>35978</v>
      </c>
      <c r="K439" s="3">
        <v>6.8200000000000004E-5</v>
      </c>
      <c r="L439" s="2" t="s">
        <v>35</v>
      </c>
      <c r="M439" s="4" t="s">
        <v>35979</v>
      </c>
    </row>
    <row r="440" spans="1:13">
      <c r="A440" s="2">
        <v>1701</v>
      </c>
      <c r="B440" s="2" t="s">
        <v>24477</v>
      </c>
      <c r="C440" s="2">
        <v>18</v>
      </c>
      <c r="D440" s="2">
        <v>341</v>
      </c>
      <c r="E440" s="2">
        <v>485</v>
      </c>
      <c r="F440" s="2">
        <v>32441</v>
      </c>
      <c r="G440" s="2">
        <v>3.5307796960000002</v>
      </c>
      <c r="H440" s="3">
        <v>6.6800000000000004E-6</v>
      </c>
      <c r="I440" s="2" t="s">
        <v>35980</v>
      </c>
      <c r="J440" s="2" t="s">
        <v>35981</v>
      </c>
      <c r="K440" s="3">
        <v>7.4099999999999999E-5</v>
      </c>
      <c r="L440" s="2" t="s">
        <v>35</v>
      </c>
      <c r="M440" s="4" t="s">
        <v>24480</v>
      </c>
    </row>
    <row r="441" spans="1:13">
      <c r="A441" s="2">
        <v>2205</v>
      </c>
      <c r="B441" s="2" t="s">
        <v>5135</v>
      </c>
      <c r="C441" s="2">
        <v>10</v>
      </c>
      <c r="D441" s="2">
        <v>341</v>
      </c>
      <c r="E441" s="2">
        <v>149</v>
      </c>
      <c r="F441" s="2">
        <v>32441</v>
      </c>
      <c r="G441" s="2">
        <v>6.3848924399999998</v>
      </c>
      <c r="H441" s="3">
        <v>7.0500000000000003E-6</v>
      </c>
      <c r="I441" s="2" t="s">
        <v>35982</v>
      </c>
      <c r="J441" s="2" t="s">
        <v>35983</v>
      </c>
      <c r="K441" s="3">
        <v>7.8100000000000001E-5</v>
      </c>
      <c r="L441" s="2" t="s">
        <v>35</v>
      </c>
      <c r="M441" s="4" t="s">
        <v>5138</v>
      </c>
    </row>
    <row r="442" spans="1:13">
      <c r="A442" s="2">
        <v>1907</v>
      </c>
      <c r="B442" s="2" t="s">
        <v>35984</v>
      </c>
      <c r="C442" s="2">
        <v>6</v>
      </c>
      <c r="D442" s="2">
        <v>341</v>
      </c>
      <c r="E442" s="2">
        <v>40</v>
      </c>
      <c r="F442" s="2">
        <v>32441</v>
      </c>
      <c r="G442" s="2">
        <v>14.2702346</v>
      </c>
      <c r="H442" s="3">
        <v>7.9999999999999996E-6</v>
      </c>
      <c r="I442" s="2" t="s">
        <v>35985</v>
      </c>
      <c r="J442" s="2" t="s">
        <v>35986</v>
      </c>
      <c r="K442" s="3">
        <v>8.8399999999999994E-5</v>
      </c>
      <c r="L442" s="2" t="s">
        <v>35</v>
      </c>
      <c r="M442" s="4" t="s">
        <v>35987</v>
      </c>
    </row>
    <row r="443" spans="1:13">
      <c r="A443" s="2">
        <v>3563</v>
      </c>
      <c r="B443" s="2" t="s">
        <v>25279</v>
      </c>
      <c r="C443" s="2">
        <v>9</v>
      </c>
      <c r="D443" s="2">
        <v>341</v>
      </c>
      <c r="E443" s="2">
        <v>120</v>
      </c>
      <c r="F443" s="2">
        <v>32441</v>
      </c>
      <c r="G443" s="2">
        <v>7.1351173020000003</v>
      </c>
      <c r="H443" s="3">
        <v>8.8000000000000004E-6</v>
      </c>
      <c r="I443" s="2" t="s">
        <v>35988</v>
      </c>
      <c r="J443" s="2" t="s">
        <v>35989</v>
      </c>
      <c r="K443" s="3">
        <v>9.7E-5</v>
      </c>
      <c r="L443" s="2" t="s">
        <v>35</v>
      </c>
      <c r="M443" s="4" t="s">
        <v>25282</v>
      </c>
    </row>
    <row r="444" spans="1:13">
      <c r="A444" s="2">
        <v>1908</v>
      </c>
      <c r="B444" s="2" t="s">
        <v>25434</v>
      </c>
      <c r="C444" s="2">
        <v>6</v>
      </c>
      <c r="D444" s="2">
        <v>341</v>
      </c>
      <c r="E444" s="2">
        <v>41</v>
      </c>
      <c r="F444" s="2">
        <v>32441</v>
      </c>
      <c r="G444" s="2">
        <v>13.9221801</v>
      </c>
      <c r="H444" s="3">
        <v>9.0899999999999994E-6</v>
      </c>
      <c r="I444" s="2" t="s">
        <v>35990</v>
      </c>
      <c r="J444" s="2" t="s">
        <v>35991</v>
      </c>
      <c r="K444" s="3">
        <v>9.9900000000000002E-5</v>
      </c>
      <c r="L444" s="2" t="s">
        <v>35</v>
      </c>
      <c r="M444" s="4" t="s">
        <v>25437</v>
      </c>
    </row>
    <row r="445" spans="1:13">
      <c r="A445" s="2">
        <v>2373</v>
      </c>
      <c r="B445" s="2" t="s">
        <v>35992</v>
      </c>
      <c r="C445" s="2">
        <v>9</v>
      </c>
      <c r="D445" s="2">
        <v>341</v>
      </c>
      <c r="E445" s="2">
        <v>121</v>
      </c>
      <c r="F445" s="2">
        <v>32441</v>
      </c>
      <c r="G445" s="2">
        <v>7.0761493900000003</v>
      </c>
      <c r="H445" s="3">
        <v>9.3700000000000001E-6</v>
      </c>
      <c r="I445" s="2" t="s">
        <v>35993</v>
      </c>
      <c r="J445" s="2" t="s">
        <v>35994</v>
      </c>
      <c r="K445" s="2">
        <v>1.02829E-4</v>
      </c>
      <c r="L445" s="2" t="s">
        <v>35</v>
      </c>
      <c r="M445" s="4" t="s">
        <v>35995</v>
      </c>
    </row>
    <row r="446" spans="1:13">
      <c r="A446" s="2">
        <v>1782</v>
      </c>
      <c r="B446" s="2" t="s">
        <v>35996</v>
      </c>
      <c r="C446" s="2">
        <v>5</v>
      </c>
      <c r="D446" s="2">
        <v>341</v>
      </c>
      <c r="E446" s="2">
        <v>23</v>
      </c>
      <c r="F446" s="2">
        <v>32441</v>
      </c>
      <c r="G446" s="2">
        <v>20.681499429999999</v>
      </c>
      <c r="H446" s="3">
        <v>9.55E-6</v>
      </c>
      <c r="I446" s="2" t="s">
        <v>35997</v>
      </c>
      <c r="J446" s="2" t="s">
        <v>35998</v>
      </c>
      <c r="K446" s="2">
        <v>1.04524E-4</v>
      </c>
      <c r="L446" s="2" t="s">
        <v>35</v>
      </c>
      <c r="M446" s="4" t="s">
        <v>35999</v>
      </c>
    </row>
    <row r="447" spans="1:13">
      <c r="A447" s="2">
        <v>4106</v>
      </c>
      <c r="B447" s="2" t="s">
        <v>4082</v>
      </c>
      <c r="C447" s="2">
        <v>6</v>
      </c>
      <c r="D447" s="2">
        <v>341</v>
      </c>
      <c r="E447" s="2">
        <v>42</v>
      </c>
      <c r="F447" s="2">
        <v>32441</v>
      </c>
      <c r="G447" s="2">
        <v>13.590699620000001</v>
      </c>
      <c r="H447" s="3">
        <v>1.03E-5</v>
      </c>
      <c r="I447" s="2" t="s">
        <v>36000</v>
      </c>
      <c r="J447" s="2" t="s">
        <v>36001</v>
      </c>
      <c r="K447" s="2">
        <v>1.12444E-4</v>
      </c>
      <c r="L447" s="2" t="s">
        <v>35</v>
      </c>
      <c r="M447" s="4" t="s">
        <v>4085</v>
      </c>
    </row>
    <row r="448" spans="1:13">
      <c r="A448" s="2">
        <v>244</v>
      </c>
      <c r="B448" s="2" t="s">
        <v>36002</v>
      </c>
      <c r="C448" s="2">
        <v>4</v>
      </c>
      <c r="D448" s="2">
        <v>341</v>
      </c>
      <c r="E448" s="2">
        <v>10</v>
      </c>
      <c r="F448" s="2">
        <v>32441</v>
      </c>
      <c r="G448" s="2">
        <v>38.053958940000001</v>
      </c>
      <c r="H448" s="3">
        <v>1.06E-5</v>
      </c>
      <c r="I448" s="2" t="s">
        <v>36003</v>
      </c>
      <c r="J448" s="2" t="s">
        <v>36004</v>
      </c>
      <c r="K448" s="2">
        <v>1.153E-4</v>
      </c>
      <c r="L448" s="2" t="s">
        <v>35</v>
      </c>
      <c r="M448" s="4" t="s">
        <v>36005</v>
      </c>
    </row>
    <row r="449" spans="1:13">
      <c r="A449" s="2">
        <v>1851</v>
      </c>
      <c r="B449" s="2" t="s">
        <v>36006</v>
      </c>
      <c r="C449" s="2">
        <v>9</v>
      </c>
      <c r="D449" s="2">
        <v>341</v>
      </c>
      <c r="E449" s="2">
        <v>123</v>
      </c>
      <c r="F449" s="2">
        <v>32441</v>
      </c>
      <c r="G449" s="2">
        <v>6.9610900510000002</v>
      </c>
      <c r="H449" s="3">
        <v>1.06E-5</v>
      </c>
      <c r="I449" s="2" t="s">
        <v>36007</v>
      </c>
      <c r="J449" s="2" t="s">
        <v>36008</v>
      </c>
      <c r="K449" s="2">
        <v>1.153E-4</v>
      </c>
      <c r="L449" s="2" t="s">
        <v>35</v>
      </c>
      <c r="M449" s="4" t="s">
        <v>36009</v>
      </c>
    </row>
    <row r="450" spans="1:13">
      <c r="A450" s="2">
        <v>900</v>
      </c>
      <c r="B450" s="2" t="s">
        <v>24723</v>
      </c>
      <c r="C450" s="2">
        <v>7</v>
      </c>
      <c r="D450" s="2">
        <v>341</v>
      </c>
      <c r="E450" s="2">
        <v>66</v>
      </c>
      <c r="F450" s="2">
        <v>32441</v>
      </c>
      <c r="G450" s="2">
        <v>10.090064870000001</v>
      </c>
      <c r="H450" s="3">
        <v>1.1199999999999999E-5</v>
      </c>
      <c r="I450" s="2" t="s">
        <v>36010</v>
      </c>
      <c r="J450" s="2" t="s">
        <v>36011</v>
      </c>
      <c r="K450" s="2">
        <v>1.2156599999999999E-4</v>
      </c>
      <c r="L450" s="2" t="s">
        <v>35</v>
      </c>
      <c r="M450" s="4" t="s">
        <v>24726</v>
      </c>
    </row>
    <row r="451" spans="1:13">
      <c r="A451" s="2">
        <v>190</v>
      </c>
      <c r="B451" s="2" t="s">
        <v>36012</v>
      </c>
      <c r="C451" s="2">
        <v>4</v>
      </c>
      <c r="D451" s="2">
        <v>341</v>
      </c>
      <c r="E451" s="2">
        <v>11</v>
      </c>
      <c r="F451" s="2">
        <v>32441</v>
      </c>
      <c r="G451" s="2">
        <v>34.594508130000001</v>
      </c>
      <c r="H451" s="3">
        <v>1.43E-5</v>
      </c>
      <c r="I451" s="2" t="s">
        <v>36013</v>
      </c>
      <c r="J451" s="2" t="s">
        <v>36014</v>
      </c>
      <c r="K451" s="2">
        <v>1.5487399999999999E-4</v>
      </c>
      <c r="L451" s="2" t="s">
        <v>35</v>
      </c>
      <c r="M451" s="4" t="s">
        <v>36015</v>
      </c>
    </row>
    <row r="452" spans="1:13">
      <c r="A452" s="2">
        <v>1644</v>
      </c>
      <c r="B452" s="2" t="s">
        <v>36016</v>
      </c>
      <c r="C452" s="2">
        <v>4</v>
      </c>
      <c r="D452" s="2">
        <v>341</v>
      </c>
      <c r="E452" s="2">
        <v>11</v>
      </c>
      <c r="F452" s="2">
        <v>32441</v>
      </c>
      <c r="G452" s="2">
        <v>34.594508130000001</v>
      </c>
      <c r="H452" s="3">
        <v>1.43E-5</v>
      </c>
      <c r="I452" s="2" t="s">
        <v>36017</v>
      </c>
      <c r="J452" s="2" t="s">
        <v>36018</v>
      </c>
      <c r="K452" s="2">
        <v>1.5487399999999999E-4</v>
      </c>
      <c r="L452" s="2" t="s">
        <v>35</v>
      </c>
      <c r="M452" s="4" t="s">
        <v>36019</v>
      </c>
    </row>
    <row r="453" spans="1:13">
      <c r="A453" s="2">
        <v>2413</v>
      </c>
      <c r="B453" s="2" t="s">
        <v>36020</v>
      </c>
      <c r="C453" s="2">
        <v>7</v>
      </c>
      <c r="D453" s="2">
        <v>341</v>
      </c>
      <c r="E453" s="2">
        <v>69</v>
      </c>
      <c r="F453" s="2">
        <v>32441</v>
      </c>
      <c r="G453" s="2">
        <v>9.6513663990000005</v>
      </c>
      <c r="H453" s="3">
        <v>1.4600000000000001E-5</v>
      </c>
      <c r="I453" s="2" t="s">
        <v>36021</v>
      </c>
      <c r="J453" s="2" t="s">
        <v>36022</v>
      </c>
      <c r="K453" s="2">
        <v>1.5774499999999999E-4</v>
      </c>
      <c r="L453" s="2" t="s">
        <v>35</v>
      </c>
      <c r="M453" s="4" t="s">
        <v>36023</v>
      </c>
    </row>
    <row r="454" spans="1:13">
      <c r="A454" s="2">
        <v>2989</v>
      </c>
      <c r="B454" s="2" t="s">
        <v>36024</v>
      </c>
      <c r="C454" s="2">
        <v>15</v>
      </c>
      <c r="D454" s="2">
        <v>341</v>
      </c>
      <c r="E454" s="2">
        <v>371</v>
      </c>
      <c r="F454" s="2">
        <v>32441</v>
      </c>
      <c r="G454" s="2">
        <v>3.8464244220000001</v>
      </c>
      <c r="H454" s="3">
        <v>1.5099999999999999E-5</v>
      </c>
      <c r="I454" s="2" t="s">
        <v>36025</v>
      </c>
      <c r="J454" s="2" t="s">
        <v>36026</v>
      </c>
      <c r="K454" s="2">
        <v>1.6239999999999999E-4</v>
      </c>
      <c r="L454" s="2" t="s">
        <v>35</v>
      </c>
      <c r="M454" s="4" t="s">
        <v>36027</v>
      </c>
    </row>
    <row r="455" spans="1:13">
      <c r="A455" s="2">
        <v>3271</v>
      </c>
      <c r="B455" s="2" t="s">
        <v>36028</v>
      </c>
      <c r="C455" s="2">
        <v>6</v>
      </c>
      <c r="D455" s="2">
        <v>341</v>
      </c>
      <c r="E455" s="2">
        <v>46</v>
      </c>
      <c r="F455" s="2">
        <v>32441</v>
      </c>
      <c r="G455" s="2">
        <v>12.408899659999999</v>
      </c>
      <c r="H455" s="3">
        <v>1.6500000000000001E-5</v>
      </c>
      <c r="I455" s="2" t="s">
        <v>36029</v>
      </c>
      <c r="J455" s="2" t="s">
        <v>36030</v>
      </c>
      <c r="K455" s="2">
        <v>1.76894E-4</v>
      </c>
      <c r="L455" s="2" t="s">
        <v>35</v>
      </c>
      <c r="M455" s="4" t="s">
        <v>36031</v>
      </c>
    </row>
    <row r="456" spans="1:13">
      <c r="A456" s="2">
        <v>1295</v>
      </c>
      <c r="B456" s="2" t="s">
        <v>36032</v>
      </c>
      <c r="C456" s="2">
        <v>4</v>
      </c>
      <c r="D456" s="2">
        <v>341</v>
      </c>
      <c r="E456" s="2">
        <v>12</v>
      </c>
      <c r="F456" s="2">
        <v>32441</v>
      </c>
      <c r="G456" s="2">
        <v>31.71163245</v>
      </c>
      <c r="H456" s="3">
        <v>1.9000000000000001E-5</v>
      </c>
      <c r="I456" s="2" t="s">
        <v>36033</v>
      </c>
      <c r="J456" s="2" t="s">
        <v>36034</v>
      </c>
      <c r="K456" s="2">
        <v>2.02058E-4</v>
      </c>
      <c r="L456" s="2" t="s">
        <v>35</v>
      </c>
      <c r="M456" s="4" t="s">
        <v>36035</v>
      </c>
    </row>
    <row r="457" spans="1:13">
      <c r="A457" s="2">
        <v>4318</v>
      </c>
      <c r="B457" s="2" t="s">
        <v>36036</v>
      </c>
      <c r="C457" s="2">
        <v>4</v>
      </c>
      <c r="D457" s="2">
        <v>341</v>
      </c>
      <c r="E457" s="2">
        <v>12</v>
      </c>
      <c r="F457" s="2">
        <v>32441</v>
      </c>
      <c r="G457" s="2">
        <v>31.71163245</v>
      </c>
      <c r="H457" s="3">
        <v>1.9000000000000001E-5</v>
      </c>
      <c r="I457" s="2" t="s">
        <v>36037</v>
      </c>
      <c r="J457" s="2" t="s">
        <v>36038</v>
      </c>
      <c r="K457" s="2">
        <v>2.02058E-4</v>
      </c>
      <c r="L457" s="2" t="s">
        <v>35</v>
      </c>
      <c r="M457" s="4" t="s">
        <v>36039</v>
      </c>
    </row>
    <row r="458" spans="1:13">
      <c r="A458" s="2">
        <v>4586</v>
      </c>
      <c r="B458" s="2" t="s">
        <v>36040</v>
      </c>
      <c r="C458" s="2">
        <v>7</v>
      </c>
      <c r="D458" s="2">
        <v>341</v>
      </c>
      <c r="E458" s="2">
        <v>72</v>
      </c>
      <c r="F458" s="2">
        <v>32441</v>
      </c>
      <c r="G458" s="2">
        <v>9.2492261320000004</v>
      </c>
      <c r="H458" s="3">
        <v>1.8899999999999999E-5</v>
      </c>
      <c r="I458" s="2" t="s">
        <v>36041</v>
      </c>
      <c r="J458" s="2" t="s">
        <v>36042</v>
      </c>
      <c r="K458" s="2">
        <v>2.02058E-4</v>
      </c>
      <c r="L458" s="2" t="s">
        <v>35</v>
      </c>
      <c r="M458" s="4" t="s">
        <v>36043</v>
      </c>
    </row>
    <row r="459" spans="1:13">
      <c r="A459" s="2">
        <v>1222</v>
      </c>
      <c r="B459" s="2" t="s">
        <v>514</v>
      </c>
      <c r="C459" s="2">
        <v>11</v>
      </c>
      <c r="D459" s="2">
        <v>341</v>
      </c>
      <c r="E459" s="2">
        <v>207</v>
      </c>
      <c r="F459" s="2">
        <v>32441</v>
      </c>
      <c r="G459" s="2">
        <v>5.0554776380000002</v>
      </c>
      <c r="H459" s="3">
        <v>1.9899999999999999E-5</v>
      </c>
      <c r="I459" s="2" t="s">
        <v>36044</v>
      </c>
      <c r="J459" s="2" t="s">
        <v>36045</v>
      </c>
      <c r="K459" s="2">
        <v>2.1151000000000001E-4</v>
      </c>
      <c r="L459" s="2" t="s">
        <v>35</v>
      </c>
      <c r="M459" s="4" t="s">
        <v>24995</v>
      </c>
    </row>
    <row r="460" spans="1:13">
      <c r="A460" s="2">
        <v>1291</v>
      </c>
      <c r="B460" s="2" t="s">
        <v>36046</v>
      </c>
      <c r="C460" s="2">
        <v>5</v>
      </c>
      <c r="D460" s="2">
        <v>341</v>
      </c>
      <c r="E460" s="2">
        <v>28</v>
      </c>
      <c r="F460" s="2">
        <v>32441</v>
      </c>
      <c r="G460" s="2">
        <v>16.988374530000002</v>
      </c>
      <c r="H460" s="3">
        <v>2.2099999999999998E-5</v>
      </c>
      <c r="I460" s="2" t="s">
        <v>36047</v>
      </c>
      <c r="J460" s="2" t="s">
        <v>36048</v>
      </c>
      <c r="K460" s="2">
        <v>2.3433199999999999E-4</v>
      </c>
      <c r="L460" s="2" t="s">
        <v>35</v>
      </c>
      <c r="M460" s="4" t="s">
        <v>36049</v>
      </c>
    </row>
    <row r="461" spans="1:13">
      <c r="A461" s="2">
        <v>336</v>
      </c>
      <c r="B461" s="2" t="s">
        <v>36050</v>
      </c>
      <c r="C461" s="2">
        <v>4</v>
      </c>
      <c r="D461" s="2">
        <v>341</v>
      </c>
      <c r="E461" s="2">
        <v>13</v>
      </c>
      <c r="F461" s="2">
        <v>32441</v>
      </c>
      <c r="G461" s="2">
        <v>29.27227611</v>
      </c>
      <c r="H461" s="3">
        <v>2.4600000000000002E-5</v>
      </c>
      <c r="I461" s="2" t="s">
        <v>36051</v>
      </c>
      <c r="J461" s="2" t="s">
        <v>36052</v>
      </c>
      <c r="K461" s="2">
        <v>2.59165E-4</v>
      </c>
      <c r="L461" s="2" t="s">
        <v>35</v>
      </c>
      <c r="M461" s="4" t="s">
        <v>36053</v>
      </c>
    </row>
    <row r="462" spans="1:13">
      <c r="A462" s="2">
        <v>1202</v>
      </c>
      <c r="B462" s="2" t="s">
        <v>36054</v>
      </c>
      <c r="C462" s="2">
        <v>4</v>
      </c>
      <c r="D462" s="2">
        <v>341</v>
      </c>
      <c r="E462" s="2">
        <v>13</v>
      </c>
      <c r="F462" s="2">
        <v>32441</v>
      </c>
      <c r="G462" s="2">
        <v>29.27227611</v>
      </c>
      <c r="H462" s="3">
        <v>2.4600000000000002E-5</v>
      </c>
      <c r="I462" s="2" t="s">
        <v>36055</v>
      </c>
      <c r="J462" s="2" t="s">
        <v>36056</v>
      </c>
      <c r="K462" s="2">
        <v>2.59165E-4</v>
      </c>
      <c r="L462" s="2" t="s">
        <v>35</v>
      </c>
      <c r="M462" s="4" t="s">
        <v>36057</v>
      </c>
    </row>
    <row r="463" spans="1:13">
      <c r="A463" s="2">
        <v>3397</v>
      </c>
      <c r="B463" s="2" t="s">
        <v>36058</v>
      </c>
      <c r="C463" s="2">
        <v>11</v>
      </c>
      <c r="D463" s="2">
        <v>341</v>
      </c>
      <c r="E463" s="2">
        <v>212</v>
      </c>
      <c r="F463" s="2">
        <v>32441</v>
      </c>
      <c r="G463" s="2">
        <v>4.9362446740000001</v>
      </c>
      <c r="H463" s="3">
        <v>2.4499999999999999E-5</v>
      </c>
      <c r="I463" s="2" t="s">
        <v>36059</v>
      </c>
      <c r="J463" s="2" t="s">
        <v>36060</v>
      </c>
      <c r="K463" s="2">
        <v>2.59165E-4</v>
      </c>
      <c r="L463" s="2" t="s">
        <v>35</v>
      </c>
      <c r="M463" s="4" t="s">
        <v>36061</v>
      </c>
    </row>
    <row r="464" spans="1:13">
      <c r="A464" s="2">
        <v>3363</v>
      </c>
      <c r="B464" s="2" t="s">
        <v>36062</v>
      </c>
      <c r="C464" s="2">
        <v>7</v>
      </c>
      <c r="D464" s="2">
        <v>341</v>
      </c>
      <c r="E464" s="2">
        <v>77</v>
      </c>
      <c r="F464" s="2">
        <v>32441</v>
      </c>
      <c r="G464" s="2">
        <v>8.6486270330000004</v>
      </c>
      <c r="H464" s="3">
        <v>2.83E-5</v>
      </c>
      <c r="I464" s="2" t="s">
        <v>36063</v>
      </c>
      <c r="J464" s="2" t="s">
        <v>36064</v>
      </c>
      <c r="K464" s="2">
        <v>2.9702500000000002E-4</v>
      </c>
      <c r="L464" s="2" t="s">
        <v>35</v>
      </c>
      <c r="M464" s="4" t="s">
        <v>36065</v>
      </c>
    </row>
    <row r="465" spans="1:13">
      <c r="A465" s="2">
        <v>3734</v>
      </c>
      <c r="B465" s="2" t="s">
        <v>376</v>
      </c>
      <c r="C465" s="2">
        <v>7</v>
      </c>
      <c r="D465" s="2">
        <v>341</v>
      </c>
      <c r="E465" s="2">
        <v>79</v>
      </c>
      <c r="F465" s="2">
        <v>32441</v>
      </c>
      <c r="G465" s="2">
        <v>8.4296744500000003</v>
      </c>
      <c r="H465" s="3">
        <v>3.29E-5</v>
      </c>
      <c r="I465" s="2" t="s">
        <v>36066</v>
      </c>
      <c r="J465" s="2" t="s">
        <v>36067</v>
      </c>
      <c r="K465" s="2">
        <v>3.45404E-4</v>
      </c>
      <c r="L465" s="2" t="s">
        <v>35</v>
      </c>
      <c r="M465" s="4" t="s">
        <v>36068</v>
      </c>
    </row>
    <row r="466" spans="1:13">
      <c r="A466" s="2">
        <v>1584</v>
      </c>
      <c r="B466" s="2" t="s">
        <v>36069</v>
      </c>
      <c r="C466" s="2">
        <v>8</v>
      </c>
      <c r="D466" s="2">
        <v>341</v>
      </c>
      <c r="E466" s="2">
        <v>112</v>
      </c>
      <c r="F466" s="2">
        <v>32441</v>
      </c>
      <c r="G466" s="2">
        <v>6.7953498110000004</v>
      </c>
      <c r="H466" s="3">
        <v>3.8600000000000003E-5</v>
      </c>
      <c r="I466" s="2" t="s">
        <v>36070</v>
      </c>
      <c r="J466" s="2" t="s">
        <v>36071</v>
      </c>
      <c r="K466" s="2">
        <v>4.0419400000000003E-4</v>
      </c>
      <c r="L466" s="2" t="s">
        <v>35</v>
      </c>
      <c r="M466" s="4" t="s">
        <v>36072</v>
      </c>
    </row>
    <row r="467" spans="1:13">
      <c r="A467" s="2">
        <v>4686</v>
      </c>
      <c r="B467" s="2" t="s">
        <v>6305</v>
      </c>
      <c r="C467" s="2">
        <v>6</v>
      </c>
      <c r="D467" s="2">
        <v>341</v>
      </c>
      <c r="E467" s="2">
        <v>55</v>
      </c>
      <c r="F467" s="2">
        <v>32441</v>
      </c>
      <c r="G467" s="2">
        <v>10.37835244</v>
      </c>
      <c r="H467" s="3">
        <v>4.1600000000000002E-5</v>
      </c>
      <c r="I467" s="2" t="s">
        <v>36073</v>
      </c>
      <c r="J467" s="2" t="s">
        <v>36074</v>
      </c>
      <c r="K467" s="2">
        <v>4.3427899999999998E-4</v>
      </c>
      <c r="L467" s="2" t="s">
        <v>35</v>
      </c>
      <c r="M467" s="4" t="s">
        <v>6308</v>
      </c>
    </row>
    <row r="468" spans="1:13">
      <c r="A468" s="2">
        <v>3507</v>
      </c>
      <c r="B468" s="2" t="s">
        <v>6293</v>
      </c>
      <c r="C468" s="2">
        <v>12</v>
      </c>
      <c r="D468" s="2">
        <v>341</v>
      </c>
      <c r="E468" s="2">
        <v>270</v>
      </c>
      <c r="F468" s="2">
        <v>32441</v>
      </c>
      <c r="G468" s="2">
        <v>4.2282176600000003</v>
      </c>
      <c r="H468" s="3">
        <v>4.5099999999999998E-5</v>
      </c>
      <c r="I468" s="2" t="s">
        <v>36075</v>
      </c>
      <c r="J468" s="2" t="s">
        <v>36076</v>
      </c>
      <c r="K468" s="2">
        <v>4.69977E-4</v>
      </c>
      <c r="L468" s="2" t="s">
        <v>35</v>
      </c>
      <c r="M468" s="4" t="s">
        <v>6296</v>
      </c>
    </row>
    <row r="469" spans="1:13">
      <c r="A469" s="2">
        <v>1040</v>
      </c>
      <c r="B469" s="2" t="s">
        <v>36077</v>
      </c>
      <c r="C469" s="2">
        <v>6</v>
      </c>
      <c r="D469" s="2">
        <v>341</v>
      </c>
      <c r="E469" s="2">
        <v>56</v>
      </c>
      <c r="F469" s="2">
        <v>32441</v>
      </c>
      <c r="G469" s="2">
        <v>10.19302472</v>
      </c>
      <c r="H469" s="3">
        <v>4.5599999999999997E-5</v>
      </c>
      <c r="I469" s="2" t="s">
        <v>36078</v>
      </c>
      <c r="J469" s="2" t="s">
        <v>36079</v>
      </c>
      <c r="K469" s="2">
        <v>4.7455400000000002E-4</v>
      </c>
      <c r="L469" s="2" t="s">
        <v>35</v>
      </c>
      <c r="M469" s="4" t="s">
        <v>36080</v>
      </c>
    </row>
    <row r="470" spans="1:13">
      <c r="A470" s="2">
        <v>3933</v>
      </c>
      <c r="B470" s="2" t="s">
        <v>3600</v>
      </c>
      <c r="C470" s="2">
        <v>29</v>
      </c>
      <c r="D470" s="2">
        <v>341</v>
      </c>
      <c r="E470" s="2">
        <v>1210</v>
      </c>
      <c r="F470" s="2">
        <v>32441</v>
      </c>
      <c r="G470" s="2">
        <v>2.2800925809999999</v>
      </c>
      <c r="H470" s="3">
        <v>4.6900000000000002E-5</v>
      </c>
      <c r="I470" s="2" t="s">
        <v>36081</v>
      </c>
      <c r="J470" s="2" t="s">
        <v>36082</v>
      </c>
      <c r="K470" s="2">
        <v>4.86338E-4</v>
      </c>
      <c r="L470" s="2" t="s">
        <v>35</v>
      </c>
      <c r="M470" s="4" t="s">
        <v>3603</v>
      </c>
    </row>
    <row r="471" spans="1:13">
      <c r="A471" s="2">
        <v>4432</v>
      </c>
      <c r="B471" s="2" t="s">
        <v>36083</v>
      </c>
      <c r="C471" s="2">
        <v>7</v>
      </c>
      <c r="D471" s="2">
        <v>341</v>
      </c>
      <c r="E471" s="2">
        <v>84</v>
      </c>
      <c r="F471" s="2">
        <v>32441</v>
      </c>
      <c r="G471" s="2">
        <v>7.927908113</v>
      </c>
      <c r="H471" s="3">
        <v>4.7500000000000003E-5</v>
      </c>
      <c r="I471" s="2" t="s">
        <v>36084</v>
      </c>
      <c r="J471" s="2" t="s">
        <v>36085</v>
      </c>
      <c r="K471" s="2">
        <v>4.9125199999999996E-4</v>
      </c>
      <c r="L471" s="2" t="s">
        <v>35</v>
      </c>
      <c r="M471" s="4" t="s">
        <v>36086</v>
      </c>
    </row>
    <row r="472" spans="1:13">
      <c r="A472" s="2">
        <v>2236</v>
      </c>
      <c r="B472" s="2" t="s">
        <v>36087</v>
      </c>
      <c r="C472" s="2">
        <v>11</v>
      </c>
      <c r="D472" s="2">
        <v>341</v>
      </c>
      <c r="E472" s="2">
        <v>229</v>
      </c>
      <c r="F472" s="2">
        <v>32441</v>
      </c>
      <c r="G472" s="2">
        <v>4.569798563</v>
      </c>
      <c r="H472" s="3">
        <v>4.8000000000000001E-5</v>
      </c>
      <c r="I472" s="2" t="s">
        <v>36088</v>
      </c>
      <c r="J472" s="2" t="s">
        <v>36089</v>
      </c>
      <c r="K472" s="2">
        <v>4.9532700000000005E-4</v>
      </c>
      <c r="L472" s="2" t="s">
        <v>35</v>
      </c>
      <c r="M472" s="4" t="s">
        <v>36090</v>
      </c>
    </row>
    <row r="473" spans="1:13">
      <c r="A473" s="2">
        <v>319</v>
      </c>
      <c r="B473" s="2" t="s">
        <v>36091</v>
      </c>
      <c r="C473" s="2">
        <v>4</v>
      </c>
      <c r="D473" s="2">
        <v>341</v>
      </c>
      <c r="E473" s="2">
        <v>16</v>
      </c>
      <c r="F473" s="2">
        <v>32441</v>
      </c>
      <c r="G473" s="2">
        <v>23.783724339999999</v>
      </c>
      <c r="H473" s="3">
        <v>4.8900000000000003E-5</v>
      </c>
      <c r="I473" s="2" t="s">
        <v>36092</v>
      </c>
      <c r="J473" s="2" t="s">
        <v>36093</v>
      </c>
      <c r="K473" s="2">
        <v>5.0142100000000005E-4</v>
      </c>
      <c r="L473" s="2" t="s">
        <v>35</v>
      </c>
      <c r="M473" s="4" t="s">
        <v>36094</v>
      </c>
    </row>
    <row r="474" spans="1:13">
      <c r="A474" s="2">
        <v>692</v>
      </c>
      <c r="B474" s="2" t="s">
        <v>36095</v>
      </c>
      <c r="C474" s="2">
        <v>8</v>
      </c>
      <c r="D474" s="2">
        <v>341</v>
      </c>
      <c r="E474" s="2">
        <v>116</v>
      </c>
      <c r="F474" s="2">
        <v>32441</v>
      </c>
      <c r="G474" s="2">
        <v>6.5610274039999998</v>
      </c>
      <c r="H474" s="3">
        <v>4.88E-5</v>
      </c>
      <c r="I474" s="2" t="s">
        <v>36096</v>
      </c>
      <c r="J474" s="2" t="s">
        <v>36097</v>
      </c>
      <c r="K474" s="2">
        <v>5.0142100000000005E-4</v>
      </c>
      <c r="L474" s="2" t="s">
        <v>35</v>
      </c>
      <c r="M474" s="4" t="s">
        <v>36098</v>
      </c>
    </row>
    <row r="475" spans="1:13">
      <c r="A475" s="2">
        <v>2895</v>
      </c>
      <c r="B475" s="2" t="s">
        <v>4442</v>
      </c>
      <c r="C475" s="2">
        <v>9</v>
      </c>
      <c r="D475" s="2">
        <v>341</v>
      </c>
      <c r="E475" s="2">
        <v>151</v>
      </c>
      <c r="F475" s="2">
        <v>32441</v>
      </c>
      <c r="G475" s="2">
        <v>5.6702918960000002</v>
      </c>
      <c r="H475" s="3">
        <v>4.88E-5</v>
      </c>
      <c r="I475" s="2" t="s">
        <v>36099</v>
      </c>
      <c r="J475" s="2" t="s">
        <v>36100</v>
      </c>
      <c r="K475" s="2">
        <v>5.0142100000000005E-4</v>
      </c>
      <c r="L475" s="2" t="s">
        <v>35</v>
      </c>
      <c r="M475" s="4" t="s">
        <v>4445</v>
      </c>
    </row>
    <row r="476" spans="1:13">
      <c r="A476" s="2">
        <v>2804</v>
      </c>
      <c r="B476" s="2" t="s">
        <v>36101</v>
      </c>
      <c r="C476" s="2">
        <v>13</v>
      </c>
      <c r="D476" s="2">
        <v>341</v>
      </c>
      <c r="E476" s="2">
        <v>318</v>
      </c>
      <c r="F476" s="2">
        <v>32441</v>
      </c>
      <c r="G476" s="2">
        <v>3.8891624710000001</v>
      </c>
      <c r="H476" s="3">
        <v>5.0000000000000002E-5</v>
      </c>
      <c r="I476" s="2" t="s">
        <v>36102</v>
      </c>
      <c r="J476" s="2" t="s">
        <v>36103</v>
      </c>
      <c r="K476" s="2">
        <v>5.1168600000000002E-4</v>
      </c>
      <c r="L476" s="2" t="s">
        <v>35</v>
      </c>
      <c r="M476" s="4" t="s">
        <v>36104</v>
      </c>
    </row>
    <row r="477" spans="1:13">
      <c r="A477" s="2">
        <v>508</v>
      </c>
      <c r="B477" s="2" t="s">
        <v>25303</v>
      </c>
      <c r="C477" s="2">
        <v>5</v>
      </c>
      <c r="D477" s="2">
        <v>341</v>
      </c>
      <c r="E477" s="2">
        <v>34</v>
      </c>
      <c r="F477" s="2">
        <v>32441</v>
      </c>
      <c r="G477" s="2">
        <v>13.990426080000001</v>
      </c>
      <c r="H477" s="3">
        <v>5.0899999999999997E-5</v>
      </c>
      <c r="I477" s="2" t="s">
        <v>36105</v>
      </c>
      <c r="J477" s="2" t="s">
        <v>36106</v>
      </c>
      <c r="K477" s="2">
        <v>5.1932300000000003E-4</v>
      </c>
      <c r="L477" s="2" t="s">
        <v>35</v>
      </c>
      <c r="M477" s="4" t="s">
        <v>25306</v>
      </c>
    </row>
    <row r="478" spans="1:13">
      <c r="A478" s="2">
        <v>2354</v>
      </c>
      <c r="B478" s="2" t="s">
        <v>36107</v>
      </c>
      <c r="C478" s="2">
        <v>5</v>
      </c>
      <c r="D478" s="2">
        <v>341</v>
      </c>
      <c r="E478" s="2">
        <v>34</v>
      </c>
      <c r="F478" s="2">
        <v>32441</v>
      </c>
      <c r="G478" s="2">
        <v>13.990426080000001</v>
      </c>
      <c r="H478" s="3">
        <v>5.0899999999999997E-5</v>
      </c>
      <c r="I478" s="2" t="s">
        <v>36108</v>
      </c>
      <c r="J478" s="2" t="s">
        <v>36109</v>
      </c>
      <c r="K478" s="2">
        <v>5.1932300000000003E-4</v>
      </c>
      <c r="L478" s="2" t="s">
        <v>35</v>
      </c>
      <c r="M478" s="4" t="s">
        <v>36110</v>
      </c>
    </row>
    <row r="479" spans="1:13">
      <c r="A479" s="2">
        <v>1195</v>
      </c>
      <c r="B479" s="2" t="s">
        <v>36111</v>
      </c>
      <c r="C479" s="2">
        <v>7</v>
      </c>
      <c r="D479" s="2">
        <v>341</v>
      </c>
      <c r="E479" s="2">
        <v>86</v>
      </c>
      <c r="F479" s="2">
        <v>32441</v>
      </c>
      <c r="G479" s="2">
        <v>7.7435381569999997</v>
      </c>
      <c r="H479" s="3">
        <v>5.4599999999999999E-5</v>
      </c>
      <c r="I479" s="2" t="s">
        <v>36112</v>
      </c>
      <c r="J479" s="2" t="s">
        <v>36113</v>
      </c>
      <c r="K479" s="2">
        <v>5.5441099999999999E-4</v>
      </c>
      <c r="L479" s="2" t="s">
        <v>35</v>
      </c>
      <c r="M479" s="4" t="s">
        <v>36114</v>
      </c>
    </row>
    <row r="480" spans="1:13">
      <c r="A480" s="2">
        <v>1443</v>
      </c>
      <c r="B480" s="2" t="s">
        <v>36115</v>
      </c>
      <c r="C480" s="2">
        <v>14</v>
      </c>
      <c r="D480" s="2">
        <v>341</v>
      </c>
      <c r="E480" s="2">
        <v>368</v>
      </c>
      <c r="F480" s="2">
        <v>32441</v>
      </c>
      <c r="G480" s="2">
        <v>3.6192624000000002</v>
      </c>
      <c r="H480" s="3">
        <v>5.4599999999999999E-5</v>
      </c>
      <c r="I480" s="2" t="s">
        <v>36116</v>
      </c>
      <c r="J480" s="2" t="s">
        <v>36117</v>
      </c>
      <c r="K480" s="2">
        <v>5.5441099999999999E-4</v>
      </c>
      <c r="L480" s="2" t="s">
        <v>35</v>
      </c>
      <c r="M480" s="4" t="s">
        <v>36118</v>
      </c>
    </row>
    <row r="481" spans="1:13">
      <c r="A481" s="2">
        <v>4257</v>
      </c>
      <c r="B481" s="2" t="s">
        <v>36119</v>
      </c>
      <c r="C481" s="2">
        <v>5</v>
      </c>
      <c r="D481" s="2">
        <v>341</v>
      </c>
      <c r="E481" s="2">
        <v>35</v>
      </c>
      <c r="F481" s="2">
        <v>32441</v>
      </c>
      <c r="G481" s="2">
        <v>13.590699620000001</v>
      </c>
      <c r="H481" s="3">
        <v>5.77E-5</v>
      </c>
      <c r="I481" s="2" t="s">
        <v>36120</v>
      </c>
      <c r="J481" s="2" t="s">
        <v>36121</v>
      </c>
      <c r="K481" s="2">
        <v>5.8472400000000001E-4</v>
      </c>
      <c r="L481" s="2" t="s">
        <v>35</v>
      </c>
      <c r="M481" s="4" t="s">
        <v>36122</v>
      </c>
    </row>
    <row r="482" spans="1:13">
      <c r="A482" s="2">
        <v>909</v>
      </c>
      <c r="B482" s="2" t="s">
        <v>24744</v>
      </c>
      <c r="C482" s="2">
        <v>6</v>
      </c>
      <c r="D482" s="2">
        <v>341</v>
      </c>
      <c r="E482" s="2">
        <v>59</v>
      </c>
      <c r="F482" s="2">
        <v>32441</v>
      </c>
      <c r="G482" s="2">
        <v>9.6747353250000003</v>
      </c>
      <c r="H482" s="3">
        <v>5.9700000000000001E-5</v>
      </c>
      <c r="I482" s="2" t="s">
        <v>36123</v>
      </c>
      <c r="J482" s="2" t="s">
        <v>36124</v>
      </c>
      <c r="K482" s="2">
        <v>6.0264499999999996E-4</v>
      </c>
      <c r="L482" s="2" t="s">
        <v>35</v>
      </c>
      <c r="M482" s="4" t="s">
        <v>24747</v>
      </c>
    </row>
    <row r="483" spans="1:13">
      <c r="A483" s="2">
        <v>934</v>
      </c>
      <c r="B483" s="2" t="s">
        <v>36125</v>
      </c>
      <c r="C483" s="2">
        <v>4</v>
      </c>
      <c r="D483" s="2">
        <v>341</v>
      </c>
      <c r="E483" s="2">
        <v>17</v>
      </c>
      <c r="F483" s="2">
        <v>32441</v>
      </c>
      <c r="G483" s="2">
        <v>22.38468173</v>
      </c>
      <c r="H483" s="3">
        <v>5.9899999999999999E-5</v>
      </c>
      <c r="I483" s="2" t="s">
        <v>36126</v>
      </c>
      <c r="J483" s="2" t="s">
        <v>36127</v>
      </c>
      <c r="K483" s="2">
        <v>6.0264499999999996E-4</v>
      </c>
      <c r="L483" s="2" t="s">
        <v>35</v>
      </c>
      <c r="M483" s="4" t="s">
        <v>36128</v>
      </c>
    </row>
    <row r="484" spans="1:13">
      <c r="A484" s="2">
        <v>4502</v>
      </c>
      <c r="B484" s="2" t="s">
        <v>36129</v>
      </c>
      <c r="C484" s="2">
        <v>4</v>
      </c>
      <c r="D484" s="2">
        <v>341</v>
      </c>
      <c r="E484" s="2">
        <v>17</v>
      </c>
      <c r="F484" s="2">
        <v>32441</v>
      </c>
      <c r="G484" s="2">
        <v>22.38468173</v>
      </c>
      <c r="H484" s="3">
        <v>5.9899999999999999E-5</v>
      </c>
      <c r="I484" s="2" t="s">
        <v>36130</v>
      </c>
      <c r="J484" s="2" t="s">
        <v>36131</v>
      </c>
      <c r="K484" s="2">
        <v>6.0264499999999996E-4</v>
      </c>
      <c r="L484" s="2" t="s">
        <v>35</v>
      </c>
      <c r="M484" s="4" t="s">
        <v>36132</v>
      </c>
    </row>
    <row r="485" spans="1:13">
      <c r="A485" s="2">
        <v>1683</v>
      </c>
      <c r="B485" s="2" t="s">
        <v>36133</v>
      </c>
      <c r="C485" s="2">
        <v>10</v>
      </c>
      <c r="D485" s="2">
        <v>341</v>
      </c>
      <c r="E485" s="2">
        <v>194</v>
      </c>
      <c r="F485" s="2">
        <v>32441</v>
      </c>
      <c r="G485" s="2">
        <v>4.9038606890000001</v>
      </c>
      <c r="H485" s="3">
        <v>6.0300000000000002E-5</v>
      </c>
      <c r="I485" s="2" t="s">
        <v>36134</v>
      </c>
      <c r="J485" s="2" t="s">
        <v>36135</v>
      </c>
      <c r="K485" s="2">
        <v>6.0571599999999996E-4</v>
      </c>
      <c r="L485" s="2" t="s">
        <v>35</v>
      </c>
      <c r="M485" s="4" t="s">
        <v>36136</v>
      </c>
    </row>
    <row r="486" spans="1:13">
      <c r="A486" s="2">
        <v>2486</v>
      </c>
      <c r="B486" s="2" t="s">
        <v>4438</v>
      </c>
      <c r="C486" s="2">
        <v>5</v>
      </c>
      <c r="D486" s="2">
        <v>341</v>
      </c>
      <c r="E486" s="2">
        <v>36</v>
      </c>
      <c r="F486" s="2">
        <v>32441</v>
      </c>
      <c r="G486" s="2">
        <v>13.213180189999999</v>
      </c>
      <c r="H486" s="3">
        <v>6.5199999999999999E-5</v>
      </c>
      <c r="I486" s="2" t="s">
        <v>36137</v>
      </c>
      <c r="J486" s="2" t="s">
        <v>36138</v>
      </c>
      <c r="K486" s="2">
        <v>6.5334200000000001E-4</v>
      </c>
      <c r="L486" s="2" t="s">
        <v>35</v>
      </c>
      <c r="M486" s="4" t="s">
        <v>4441</v>
      </c>
    </row>
    <row r="487" spans="1:13">
      <c r="A487" s="2">
        <v>3700</v>
      </c>
      <c r="B487" s="2" t="s">
        <v>36139</v>
      </c>
      <c r="C487" s="2">
        <v>4</v>
      </c>
      <c r="D487" s="2">
        <v>341</v>
      </c>
      <c r="E487" s="2">
        <v>18</v>
      </c>
      <c r="F487" s="2">
        <v>32441</v>
      </c>
      <c r="G487" s="2">
        <v>21.1410883</v>
      </c>
      <c r="H487" s="3">
        <v>7.2600000000000003E-5</v>
      </c>
      <c r="I487" s="2" t="s">
        <v>36140</v>
      </c>
      <c r="J487" s="2" t="s">
        <v>36141</v>
      </c>
      <c r="K487" s="2">
        <v>7.2441499999999995E-4</v>
      </c>
      <c r="L487" s="2" t="s">
        <v>35</v>
      </c>
      <c r="M487" s="4" t="s">
        <v>36142</v>
      </c>
    </row>
    <row r="488" spans="1:13">
      <c r="A488" s="2">
        <v>3821</v>
      </c>
      <c r="B488" s="2" t="s">
        <v>36143</v>
      </c>
      <c r="C488" s="2">
        <v>4</v>
      </c>
      <c r="D488" s="2">
        <v>341</v>
      </c>
      <c r="E488" s="2">
        <v>18</v>
      </c>
      <c r="F488" s="2">
        <v>32441</v>
      </c>
      <c r="G488" s="2">
        <v>21.1410883</v>
      </c>
      <c r="H488" s="3">
        <v>7.2600000000000003E-5</v>
      </c>
      <c r="I488" s="2" t="s">
        <v>36144</v>
      </c>
      <c r="J488" s="2" t="s">
        <v>36145</v>
      </c>
      <c r="K488" s="2">
        <v>7.2441499999999995E-4</v>
      </c>
      <c r="L488" s="2" t="s">
        <v>35</v>
      </c>
      <c r="M488" s="4" t="s">
        <v>36146</v>
      </c>
    </row>
    <row r="489" spans="1:13">
      <c r="A489" s="2">
        <v>1346</v>
      </c>
      <c r="B489" s="2" t="s">
        <v>4947</v>
      </c>
      <c r="C489" s="2">
        <v>10</v>
      </c>
      <c r="D489" s="2">
        <v>341</v>
      </c>
      <c r="E489" s="2">
        <v>201</v>
      </c>
      <c r="F489" s="2">
        <v>32441</v>
      </c>
      <c r="G489" s="2">
        <v>4.7330794709999999</v>
      </c>
      <c r="H489" s="3">
        <v>7.9900000000000004E-5</v>
      </c>
      <c r="I489" s="2" t="s">
        <v>36147</v>
      </c>
      <c r="J489" s="2" t="s">
        <v>36148</v>
      </c>
      <c r="K489" s="2">
        <v>7.9564399999999997E-4</v>
      </c>
      <c r="L489" s="2" t="s">
        <v>35</v>
      </c>
      <c r="M489" s="4" t="s">
        <v>4950</v>
      </c>
    </row>
    <row r="490" spans="1:13">
      <c r="A490" s="2">
        <v>1224</v>
      </c>
      <c r="B490" s="2" t="s">
        <v>430</v>
      </c>
      <c r="C490" s="2">
        <v>8</v>
      </c>
      <c r="D490" s="2">
        <v>341</v>
      </c>
      <c r="E490" s="2">
        <v>125</v>
      </c>
      <c r="F490" s="2">
        <v>32441</v>
      </c>
      <c r="G490" s="2">
        <v>6.0886334309999999</v>
      </c>
      <c r="H490" s="3">
        <v>8.0099999999999995E-5</v>
      </c>
      <c r="I490" s="2" t="s">
        <v>36149</v>
      </c>
      <c r="J490" s="2" t="s">
        <v>36150</v>
      </c>
      <c r="K490" s="2">
        <v>7.9673899999999998E-4</v>
      </c>
      <c r="L490" s="2" t="s">
        <v>35</v>
      </c>
      <c r="M490" s="4" t="s">
        <v>24978</v>
      </c>
    </row>
    <row r="491" spans="1:13">
      <c r="A491" s="2">
        <v>4737</v>
      </c>
      <c r="B491" s="2" t="s">
        <v>24775</v>
      </c>
      <c r="C491" s="2">
        <v>15</v>
      </c>
      <c r="D491" s="2">
        <v>341</v>
      </c>
      <c r="E491" s="2">
        <v>432</v>
      </c>
      <c r="F491" s="2">
        <v>32441</v>
      </c>
      <c r="G491" s="2">
        <v>3.3032950470000002</v>
      </c>
      <c r="H491" s="3">
        <v>8.0400000000000003E-5</v>
      </c>
      <c r="I491" s="2" t="s">
        <v>36151</v>
      </c>
      <c r="J491" s="2" t="s">
        <v>36152</v>
      </c>
      <c r="K491" s="2">
        <v>7.9729099999999999E-4</v>
      </c>
      <c r="L491" s="2" t="s">
        <v>35</v>
      </c>
      <c r="M491" s="4" t="s">
        <v>24778</v>
      </c>
    </row>
    <row r="492" spans="1:13">
      <c r="A492" s="2">
        <v>2740</v>
      </c>
      <c r="B492" s="2" t="s">
        <v>36153</v>
      </c>
      <c r="C492" s="2">
        <v>11</v>
      </c>
      <c r="D492" s="2">
        <v>341</v>
      </c>
      <c r="E492" s="2">
        <v>245</v>
      </c>
      <c r="F492" s="2">
        <v>32441</v>
      </c>
      <c r="G492" s="2">
        <v>4.2713627389999997</v>
      </c>
      <c r="H492" s="3">
        <v>8.5500000000000005E-5</v>
      </c>
      <c r="I492" s="2" t="s">
        <v>36154</v>
      </c>
      <c r="J492" s="2" t="s">
        <v>36155</v>
      </c>
      <c r="K492" s="2">
        <v>8.4619999999999997E-4</v>
      </c>
      <c r="L492" s="2" t="s">
        <v>35</v>
      </c>
      <c r="M492" s="4" t="s">
        <v>36156</v>
      </c>
    </row>
    <row r="493" spans="1:13">
      <c r="A493" s="2">
        <v>2745</v>
      </c>
      <c r="B493" s="2" t="s">
        <v>4497</v>
      </c>
      <c r="C493" s="2">
        <v>10</v>
      </c>
      <c r="D493" s="2">
        <v>341</v>
      </c>
      <c r="E493" s="2">
        <v>203</v>
      </c>
      <c r="F493" s="2">
        <v>32441</v>
      </c>
      <c r="G493" s="2">
        <v>4.686448146</v>
      </c>
      <c r="H493" s="3">
        <v>8.6399999999999999E-5</v>
      </c>
      <c r="I493" s="2" t="s">
        <v>36157</v>
      </c>
      <c r="J493" s="2" t="s">
        <v>36158</v>
      </c>
      <c r="K493" s="2">
        <v>8.5320899999999996E-4</v>
      </c>
      <c r="L493" s="2" t="s">
        <v>35</v>
      </c>
      <c r="M493" s="4" t="s">
        <v>4500</v>
      </c>
    </row>
    <row r="494" spans="1:13">
      <c r="A494" s="2">
        <v>1089</v>
      </c>
      <c r="B494" s="2" t="s">
        <v>36159</v>
      </c>
      <c r="C494" s="2">
        <v>4</v>
      </c>
      <c r="D494" s="2">
        <v>341</v>
      </c>
      <c r="E494" s="2">
        <v>19</v>
      </c>
      <c r="F494" s="2">
        <v>32441</v>
      </c>
      <c r="G494" s="2">
        <v>20.028399440000001</v>
      </c>
      <c r="H494" s="3">
        <v>8.7100000000000003E-5</v>
      </c>
      <c r="I494" s="2" t="s">
        <v>36160</v>
      </c>
      <c r="J494" s="2" t="s">
        <v>36161</v>
      </c>
      <c r="K494" s="2">
        <v>8.5894900000000002E-4</v>
      </c>
      <c r="L494" s="2" t="s">
        <v>35</v>
      </c>
      <c r="M494" s="4" t="s">
        <v>36162</v>
      </c>
    </row>
    <row r="495" spans="1:13">
      <c r="A495" s="2">
        <v>4574</v>
      </c>
      <c r="B495" s="2" t="s">
        <v>24981</v>
      </c>
      <c r="C495" s="2">
        <v>23</v>
      </c>
      <c r="D495" s="2">
        <v>341</v>
      </c>
      <c r="E495" s="2">
        <v>882</v>
      </c>
      <c r="F495" s="2">
        <v>32441</v>
      </c>
      <c r="G495" s="2">
        <v>2.480841995</v>
      </c>
      <c r="H495" s="3">
        <v>8.7600000000000002E-5</v>
      </c>
      <c r="I495" s="2" t="s">
        <v>36163</v>
      </c>
      <c r="J495" s="2" t="s">
        <v>36164</v>
      </c>
      <c r="K495" s="2">
        <v>8.6200000000000003E-4</v>
      </c>
      <c r="L495" s="2" t="s">
        <v>35</v>
      </c>
      <c r="M495" s="4" t="s">
        <v>24984</v>
      </c>
    </row>
    <row r="496" spans="1:13">
      <c r="A496" s="2">
        <v>2044</v>
      </c>
      <c r="B496" s="2" t="s">
        <v>36165</v>
      </c>
      <c r="C496" s="2">
        <v>3</v>
      </c>
      <c r="D496" s="2">
        <v>341</v>
      </c>
      <c r="E496" s="2">
        <v>6</v>
      </c>
      <c r="F496" s="2">
        <v>32441</v>
      </c>
      <c r="G496" s="2">
        <v>47.567448679999998</v>
      </c>
      <c r="H496" s="3">
        <v>8.9499999999999994E-5</v>
      </c>
      <c r="I496" s="2" t="s">
        <v>36166</v>
      </c>
      <c r="J496" s="2" t="s">
        <v>36167</v>
      </c>
      <c r="K496" s="2">
        <v>8.7839199999999997E-4</v>
      </c>
      <c r="L496" s="2" t="s">
        <v>35</v>
      </c>
      <c r="M496" s="4" t="s">
        <v>36168</v>
      </c>
    </row>
    <row r="497" spans="1:13">
      <c r="A497" s="2">
        <v>3572</v>
      </c>
      <c r="B497" s="2" t="s">
        <v>36169</v>
      </c>
      <c r="C497" s="2">
        <v>5</v>
      </c>
      <c r="D497" s="2">
        <v>341</v>
      </c>
      <c r="E497" s="2">
        <v>39</v>
      </c>
      <c r="F497" s="2">
        <v>32441</v>
      </c>
      <c r="G497" s="2">
        <v>12.19678171</v>
      </c>
      <c r="H497" s="3">
        <v>9.2100000000000003E-5</v>
      </c>
      <c r="I497" s="2" t="s">
        <v>36170</v>
      </c>
      <c r="J497" s="2" t="s">
        <v>36171</v>
      </c>
      <c r="K497" s="2">
        <v>9.00208E-4</v>
      </c>
      <c r="L497" s="2" t="s">
        <v>35</v>
      </c>
      <c r="M497" s="4" t="s">
        <v>36172</v>
      </c>
    </row>
    <row r="498" spans="1:13">
      <c r="A498" s="2">
        <v>3643</v>
      </c>
      <c r="B498" s="2" t="s">
        <v>36173</v>
      </c>
      <c r="C498" s="2">
        <v>5</v>
      </c>
      <c r="D498" s="2">
        <v>341</v>
      </c>
      <c r="E498" s="2">
        <v>39</v>
      </c>
      <c r="F498" s="2">
        <v>32441</v>
      </c>
      <c r="G498" s="2">
        <v>12.19678171</v>
      </c>
      <c r="H498" s="3">
        <v>9.2100000000000003E-5</v>
      </c>
      <c r="I498" s="2" t="s">
        <v>36174</v>
      </c>
      <c r="J498" s="2" t="s">
        <v>36175</v>
      </c>
      <c r="K498" s="2">
        <v>9.00208E-4</v>
      </c>
      <c r="L498" s="2" t="s">
        <v>35</v>
      </c>
      <c r="M498" s="4" t="s">
        <v>36176</v>
      </c>
    </row>
    <row r="499" spans="1:13">
      <c r="A499" s="2">
        <v>3401</v>
      </c>
      <c r="B499" s="2" t="s">
        <v>36177</v>
      </c>
      <c r="C499" s="2">
        <v>8</v>
      </c>
      <c r="D499" s="2">
        <v>341</v>
      </c>
      <c r="E499" s="2">
        <v>128</v>
      </c>
      <c r="F499" s="2">
        <v>32441</v>
      </c>
      <c r="G499" s="2">
        <v>5.9459310849999998</v>
      </c>
      <c r="H499" s="3">
        <v>9.3700000000000001E-5</v>
      </c>
      <c r="I499" s="2" t="s">
        <v>36178</v>
      </c>
      <c r="J499" s="2" t="s">
        <v>36179</v>
      </c>
      <c r="K499" s="2">
        <v>9.1443399999999999E-4</v>
      </c>
      <c r="L499" s="2" t="s">
        <v>35</v>
      </c>
      <c r="M499" s="4" t="s">
        <v>36180</v>
      </c>
    </row>
    <row r="500" spans="1:13">
      <c r="A500" s="2">
        <v>1354</v>
      </c>
      <c r="B500" s="2" t="s">
        <v>4230</v>
      </c>
      <c r="C500" s="2">
        <v>10</v>
      </c>
      <c r="D500" s="2">
        <v>341</v>
      </c>
      <c r="E500" s="2">
        <v>206</v>
      </c>
      <c r="F500" s="2">
        <v>32441</v>
      </c>
      <c r="G500" s="2">
        <v>4.6181989010000004</v>
      </c>
      <c r="H500" s="3">
        <v>9.6899999999999997E-5</v>
      </c>
      <c r="I500" s="2" t="s">
        <v>36181</v>
      </c>
      <c r="J500" s="2" t="s">
        <v>36182</v>
      </c>
      <c r="K500" s="2">
        <v>9.4402199999999998E-4</v>
      </c>
      <c r="L500" s="2" t="s">
        <v>35</v>
      </c>
      <c r="M500" s="4" t="s">
        <v>4233</v>
      </c>
    </row>
    <row r="501" spans="1:13">
      <c r="A501" s="2">
        <v>1565</v>
      </c>
      <c r="B501" s="2" t="s">
        <v>24771</v>
      </c>
      <c r="C501" s="2">
        <v>13</v>
      </c>
      <c r="D501" s="2">
        <v>341</v>
      </c>
      <c r="E501" s="2">
        <v>341</v>
      </c>
      <c r="F501" s="2">
        <v>32441</v>
      </c>
      <c r="G501" s="2">
        <v>3.6268435939999999</v>
      </c>
      <c r="H501" s="3">
        <v>9.8300000000000004E-5</v>
      </c>
      <c r="I501" s="2" t="s">
        <v>36183</v>
      </c>
      <c r="J501" s="2" t="s">
        <v>36184</v>
      </c>
      <c r="K501" s="2">
        <v>9.5507199999999995E-4</v>
      </c>
      <c r="L501" s="2" t="s">
        <v>35</v>
      </c>
      <c r="M501" s="4" t="s">
        <v>24774</v>
      </c>
    </row>
    <row r="502" spans="1:13">
      <c r="A502" s="2">
        <v>3242</v>
      </c>
      <c r="B502" s="2" t="s">
        <v>36185</v>
      </c>
      <c r="C502" s="2">
        <v>6</v>
      </c>
      <c r="D502" s="2">
        <v>341</v>
      </c>
      <c r="E502" s="2">
        <v>68</v>
      </c>
      <c r="F502" s="2">
        <v>32441</v>
      </c>
      <c r="G502" s="2">
        <v>8.3942556489999998</v>
      </c>
      <c r="H502" s="2">
        <v>1.2389200000000001E-4</v>
      </c>
      <c r="I502" s="2" t="s">
        <v>36186</v>
      </c>
      <c r="J502" s="2" t="s">
        <v>36187</v>
      </c>
      <c r="K502" s="2">
        <v>1.2015750000000001E-3</v>
      </c>
      <c r="L502" s="2" t="s">
        <v>35</v>
      </c>
      <c r="M502" s="4" t="s">
        <v>36188</v>
      </c>
    </row>
    <row r="503" spans="1:13">
      <c r="A503" s="2">
        <v>2173</v>
      </c>
      <c r="B503" s="2" t="s">
        <v>36189</v>
      </c>
      <c r="C503" s="2">
        <v>3</v>
      </c>
      <c r="D503" s="2">
        <v>341</v>
      </c>
      <c r="E503" s="2">
        <v>7</v>
      </c>
      <c r="F503" s="2">
        <v>32441</v>
      </c>
      <c r="G503" s="2">
        <v>40.772098870000001</v>
      </c>
      <c r="H503" s="2">
        <v>1.26818E-4</v>
      </c>
      <c r="I503" s="2" t="s">
        <v>36190</v>
      </c>
      <c r="J503" s="2" t="s">
        <v>36191</v>
      </c>
      <c r="K503" s="2">
        <v>1.2200150000000001E-3</v>
      </c>
      <c r="L503" s="2" t="s">
        <v>35</v>
      </c>
      <c r="M503" s="4" t="s">
        <v>36192</v>
      </c>
    </row>
    <row r="504" spans="1:13">
      <c r="A504" s="2">
        <v>3162</v>
      </c>
      <c r="B504" s="2" t="s">
        <v>171</v>
      </c>
      <c r="C504" s="2">
        <v>5</v>
      </c>
      <c r="D504" s="2">
        <v>341</v>
      </c>
      <c r="E504" s="2">
        <v>42</v>
      </c>
      <c r="F504" s="2">
        <v>32441</v>
      </c>
      <c r="G504" s="2">
        <v>11.32558302</v>
      </c>
      <c r="H504" s="2">
        <v>1.2676000000000001E-4</v>
      </c>
      <c r="I504" s="2" t="s">
        <v>36193</v>
      </c>
      <c r="J504" s="2" t="s">
        <v>36194</v>
      </c>
      <c r="K504" s="2">
        <v>1.2200150000000001E-3</v>
      </c>
      <c r="L504" s="2" t="s">
        <v>35</v>
      </c>
      <c r="M504" s="4" t="s">
        <v>36195</v>
      </c>
    </row>
    <row r="505" spans="1:13">
      <c r="A505" s="2">
        <v>3966</v>
      </c>
      <c r="B505" s="2" t="s">
        <v>5123</v>
      </c>
      <c r="C505" s="2">
        <v>5</v>
      </c>
      <c r="D505" s="2">
        <v>341</v>
      </c>
      <c r="E505" s="2">
        <v>42</v>
      </c>
      <c r="F505" s="2">
        <v>32441</v>
      </c>
      <c r="G505" s="2">
        <v>11.32558302</v>
      </c>
      <c r="H505" s="2">
        <v>1.2676000000000001E-4</v>
      </c>
      <c r="I505" s="2" t="s">
        <v>36196</v>
      </c>
      <c r="J505" s="2" t="s">
        <v>36197</v>
      </c>
      <c r="K505" s="2">
        <v>1.2200150000000001E-3</v>
      </c>
      <c r="L505" s="2" t="s">
        <v>35</v>
      </c>
      <c r="M505" s="4" t="s">
        <v>5126</v>
      </c>
    </row>
    <row r="506" spans="1:13">
      <c r="A506" s="2">
        <v>4096</v>
      </c>
      <c r="B506" s="2" t="s">
        <v>36198</v>
      </c>
      <c r="C506" s="2">
        <v>3</v>
      </c>
      <c r="D506" s="2">
        <v>341</v>
      </c>
      <c r="E506" s="2">
        <v>7</v>
      </c>
      <c r="F506" s="2">
        <v>32441</v>
      </c>
      <c r="G506" s="2">
        <v>40.772098870000001</v>
      </c>
      <c r="H506" s="2">
        <v>1.26818E-4</v>
      </c>
      <c r="I506" s="2" t="s">
        <v>36199</v>
      </c>
      <c r="J506" s="2" t="s">
        <v>36200</v>
      </c>
      <c r="K506" s="2">
        <v>1.2200150000000001E-3</v>
      </c>
      <c r="L506" s="2" t="s">
        <v>35</v>
      </c>
      <c r="M506" s="4" t="s">
        <v>36201</v>
      </c>
    </row>
    <row r="507" spans="1:13">
      <c r="A507" s="2">
        <v>2716</v>
      </c>
      <c r="B507" s="2" t="s">
        <v>193</v>
      </c>
      <c r="C507" s="2">
        <v>5</v>
      </c>
      <c r="D507" s="2">
        <v>341</v>
      </c>
      <c r="E507" s="2">
        <v>43</v>
      </c>
      <c r="F507" s="2">
        <v>32441</v>
      </c>
      <c r="G507" s="2">
        <v>11.06219737</v>
      </c>
      <c r="H507" s="2">
        <v>1.4030299999999999E-4</v>
      </c>
      <c r="I507" s="2" t="s">
        <v>36202</v>
      </c>
      <c r="J507" s="2" t="s">
        <v>36203</v>
      </c>
      <c r="K507" s="2">
        <v>1.347018E-3</v>
      </c>
      <c r="L507" s="2" t="s">
        <v>35</v>
      </c>
      <c r="M507" s="4" t="s">
        <v>36204</v>
      </c>
    </row>
    <row r="508" spans="1:13">
      <c r="A508" s="2">
        <v>549</v>
      </c>
      <c r="B508" s="2" t="s">
        <v>36205</v>
      </c>
      <c r="C508" s="2">
        <v>8</v>
      </c>
      <c r="D508" s="2">
        <v>341</v>
      </c>
      <c r="E508" s="2">
        <v>137</v>
      </c>
      <c r="F508" s="2">
        <v>32441</v>
      </c>
      <c r="G508" s="2">
        <v>5.5553224739999996</v>
      </c>
      <c r="H508" s="2">
        <v>1.46277E-4</v>
      </c>
      <c r="I508" s="2" t="s">
        <v>36206</v>
      </c>
      <c r="J508" s="2" t="s">
        <v>36207</v>
      </c>
      <c r="K508" s="2">
        <v>1.401553E-3</v>
      </c>
      <c r="L508" s="2" t="s">
        <v>35</v>
      </c>
      <c r="M508" s="4" t="s">
        <v>36208</v>
      </c>
    </row>
    <row r="509" spans="1:13">
      <c r="A509" s="2">
        <v>3135</v>
      </c>
      <c r="B509" s="2" t="s">
        <v>24751</v>
      </c>
      <c r="C509" s="2">
        <v>9</v>
      </c>
      <c r="D509" s="2">
        <v>341</v>
      </c>
      <c r="E509" s="2">
        <v>178</v>
      </c>
      <c r="F509" s="2">
        <v>32441</v>
      </c>
      <c r="G509" s="2">
        <v>4.8101914399999997</v>
      </c>
      <c r="H509" s="2">
        <v>1.6100700000000001E-4</v>
      </c>
      <c r="I509" s="2" t="s">
        <v>36209</v>
      </c>
      <c r="J509" s="2" t="s">
        <v>36210</v>
      </c>
      <c r="K509" s="2">
        <v>1.539585E-3</v>
      </c>
      <c r="L509" s="2" t="s">
        <v>35</v>
      </c>
      <c r="M509" s="4" t="s">
        <v>24754</v>
      </c>
    </row>
    <row r="510" spans="1:13">
      <c r="A510" s="2">
        <v>455</v>
      </c>
      <c r="B510" s="2" t="s">
        <v>36211</v>
      </c>
      <c r="C510" s="2">
        <v>4</v>
      </c>
      <c r="D510" s="2">
        <v>341</v>
      </c>
      <c r="E510" s="2">
        <v>23</v>
      </c>
      <c r="F510" s="2">
        <v>32441</v>
      </c>
      <c r="G510" s="2">
        <v>16.545199539999999</v>
      </c>
      <c r="H510" s="2">
        <v>1.67095E-4</v>
      </c>
      <c r="I510" s="2" t="s">
        <v>36212</v>
      </c>
      <c r="J510" s="2" t="s">
        <v>36213</v>
      </c>
      <c r="K510" s="2">
        <v>1.588234E-3</v>
      </c>
      <c r="L510" s="2" t="s">
        <v>35</v>
      </c>
      <c r="M510" s="4" t="s">
        <v>36214</v>
      </c>
    </row>
    <row r="511" spans="1:13">
      <c r="A511" s="2">
        <v>1233</v>
      </c>
      <c r="B511" s="2" t="s">
        <v>475</v>
      </c>
      <c r="C511" s="2">
        <v>7</v>
      </c>
      <c r="D511" s="2">
        <v>341</v>
      </c>
      <c r="E511" s="2">
        <v>104</v>
      </c>
      <c r="F511" s="2">
        <v>32441</v>
      </c>
      <c r="G511" s="2">
        <v>6.4033103990000004</v>
      </c>
      <c r="H511" s="2">
        <v>1.6682399999999999E-4</v>
      </c>
      <c r="I511" s="2" t="s">
        <v>36215</v>
      </c>
      <c r="J511" s="2" t="s">
        <v>36216</v>
      </c>
      <c r="K511" s="2">
        <v>1.588234E-3</v>
      </c>
      <c r="L511" s="2" t="s">
        <v>35</v>
      </c>
      <c r="M511" s="4" t="s">
        <v>24989</v>
      </c>
    </row>
    <row r="512" spans="1:13">
      <c r="A512" s="2">
        <v>1258</v>
      </c>
      <c r="B512" s="2" t="s">
        <v>36217</v>
      </c>
      <c r="C512" s="2">
        <v>4</v>
      </c>
      <c r="D512" s="2">
        <v>341</v>
      </c>
      <c r="E512" s="2">
        <v>23</v>
      </c>
      <c r="F512" s="2">
        <v>32441</v>
      </c>
      <c r="G512" s="2">
        <v>16.545199539999999</v>
      </c>
      <c r="H512" s="2">
        <v>1.67095E-4</v>
      </c>
      <c r="I512" s="2" t="s">
        <v>36218</v>
      </c>
      <c r="J512" s="2" t="s">
        <v>36219</v>
      </c>
      <c r="K512" s="2">
        <v>1.588234E-3</v>
      </c>
      <c r="L512" s="2" t="s">
        <v>35</v>
      </c>
      <c r="M512" s="4" t="s">
        <v>36220</v>
      </c>
    </row>
    <row r="513" spans="1:13">
      <c r="A513" s="2">
        <v>4639</v>
      </c>
      <c r="B513" s="2" t="s">
        <v>25637</v>
      </c>
      <c r="C513" s="2">
        <v>16</v>
      </c>
      <c r="D513" s="2">
        <v>341</v>
      </c>
      <c r="E513" s="2">
        <v>517</v>
      </c>
      <c r="F513" s="2">
        <v>32441</v>
      </c>
      <c r="G513" s="2">
        <v>2.9442134580000001</v>
      </c>
      <c r="H513" s="2">
        <v>1.69302E-4</v>
      </c>
      <c r="I513" s="2" t="s">
        <v>36221</v>
      </c>
      <c r="J513" s="2" t="s">
        <v>36222</v>
      </c>
      <c r="K513" s="2">
        <v>1.606007E-3</v>
      </c>
      <c r="L513" s="2" t="s">
        <v>35</v>
      </c>
      <c r="M513" s="4" t="s">
        <v>25640</v>
      </c>
    </row>
    <row r="514" spans="1:13">
      <c r="A514" s="2">
        <v>2686</v>
      </c>
      <c r="B514" s="2" t="s">
        <v>36223</v>
      </c>
      <c r="C514" s="2">
        <v>5</v>
      </c>
      <c r="D514" s="2">
        <v>341</v>
      </c>
      <c r="E514" s="2">
        <v>45</v>
      </c>
      <c r="F514" s="2">
        <v>32441</v>
      </c>
      <c r="G514" s="2">
        <v>10.57054415</v>
      </c>
      <c r="H514" s="2">
        <v>1.7068300000000001E-4</v>
      </c>
      <c r="I514" s="2" t="s">
        <v>36224</v>
      </c>
      <c r="J514" s="2" t="s">
        <v>36225</v>
      </c>
      <c r="K514" s="2">
        <v>1.6158870000000001E-3</v>
      </c>
      <c r="L514" s="2" t="s">
        <v>35</v>
      </c>
      <c r="M514" s="4" t="s">
        <v>36226</v>
      </c>
    </row>
    <row r="515" spans="1:13">
      <c r="A515" s="2">
        <v>437</v>
      </c>
      <c r="B515" s="2" t="s">
        <v>36227</v>
      </c>
      <c r="C515" s="2">
        <v>3</v>
      </c>
      <c r="D515" s="2">
        <v>341</v>
      </c>
      <c r="E515" s="2">
        <v>8</v>
      </c>
      <c r="F515" s="2">
        <v>32441</v>
      </c>
      <c r="G515" s="2">
        <v>35.675586510000002</v>
      </c>
      <c r="H515" s="2">
        <v>1.73031E-4</v>
      </c>
      <c r="I515" s="2" t="s">
        <v>36228</v>
      </c>
      <c r="J515" s="2" t="s">
        <v>36229</v>
      </c>
      <c r="K515" s="2">
        <v>1.628406E-3</v>
      </c>
      <c r="L515" s="2" t="s">
        <v>35</v>
      </c>
      <c r="M515" s="4" t="s">
        <v>36230</v>
      </c>
    </row>
    <row r="516" spans="1:13">
      <c r="A516" s="2">
        <v>1947</v>
      </c>
      <c r="B516" s="2" t="s">
        <v>36231</v>
      </c>
      <c r="C516" s="2">
        <v>3</v>
      </c>
      <c r="D516" s="2">
        <v>341</v>
      </c>
      <c r="E516" s="2">
        <v>8</v>
      </c>
      <c r="F516" s="2">
        <v>32441</v>
      </c>
      <c r="G516" s="2">
        <v>35.675586510000002</v>
      </c>
      <c r="H516" s="2">
        <v>1.73031E-4</v>
      </c>
      <c r="I516" s="2" t="s">
        <v>36232</v>
      </c>
      <c r="J516" s="2" t="s">
        <v>36233</v>
      </c>
      <c r="K516" s="2">
        <v>1.628406E-3</v>
      </c>
      <c r="L516" s="2" t="s">
        <v>35</v>
      </c>
      <c r="M516" s="4" t="s">
        <v>36234</v>
      </c>
    </row>
    <row r="517" spans="1:13">
      <c r="A517" s="2">
        <v>3970</v>
      </c>
      <c r="B517" s="2" t="s">
        <v>24447</v>
      </c>
      <c r="C517" s="2">
        <v>16</v>
      </c>
      <c r="D517" s="2">
        <v>341</v>
      </c>
      <c r="E517" s="2">
        <v>518</v>
      </c>
      <c r="F517" s="2">
        <v>32441</v>
      </c>
      <c r="G517" s="2">
        <v>2.9385296479999998</v>
      </c>
      <c r="H517" s="2">
        <v>1.7291499999999999E-4</v>
      </c>
      <c r="I517" s="2" t="s">
        <v>36235</v>
      </c>
      <c r="J517" s="2" t="s">
        <v>36236</v>
      </c>
      <c r="K517" s="2">
        <v>1.628406E-3</v>
      </c>
      <c r="L517" s="2" t="s">
        <v>35</v>
      </c>
      <c r="M517" s="4" t="s">
        <v>24450</v>
      </c>
    </row>
    <row r="518" spans="1:13">
      <c r="A518" s="2">
        <v>1511</v>
      </c>
      <c r="B518" s="2" t="s">
        <v>2806</v>
      </c>
      <c r="C518" s="2">
        <v>9</v>
      </c>
      <c r="D518" s="2">
        <v>341</v>
      </c>
      <c r="E518" s="2">
        <v>180</v>
      </c>
      <c r="F518" s="2">
        <v>32441</v>
      </c>
      <c r="G518" s="2">
        <v>4.7567448680000002</v>
      </c>
      <c r="H518" s="2">
        <v>1.7437900000000001E-4</v>
      </c>
      <c r="I518" s="2" t="s">
        <v>36237</v>
      </c>
      <c r="J518" s="2" t="s">
        <v>36238</v>
      </c>
      <c r="K518" s="2">
        <v>1.637859E-3</v>
      </c>
      <c r="L518" s="2" t="s">
        <v>35</v>
      </c>
      <c r="M518" s="4" t="s">
        <v>2809</v>
      </c>
    </row>
    <row r="519" spans="1:13">
      <c r="A519" s="2">
        <v>3283</v>
      </c>
      <c r="B519" s="2" t="s">
        <v>36239</v>
      </c>
      <c r="C519" s="2">
        <v>8</v>
      </c>
      <c r="D519" s="2">
        <v>341</v>
      </c>
      <c r="E519" s="2">
        <v>141</v>
      </c>
      <c r="F519" s="2">
        <v>32441</v>
      </c>
      <c r="G519" s="2">
        <v>5.3977246729999999</v>
      </c>
      <c r="H519" s="2">
        <v>1.76405E-4</v>
      </c>
      <c r="I519" s="2" t="s">
        <v>36240</v>
      </c>
      <c r="J519" s="2" t="s">
        <v>36241</v>
      </c>
      <c r="K519" s="2">
        <v>1.6536280000000001E-3</v>
      </c>
      <c r="L519" s="2" t="s">
        <v>35</v>
      </c>
      <c r="M519" s="4" t="s">
        <v>36242</v>
      </c>
    </row>
    <row r="520" spans="1:13">
      <c r="A520" s="2">
        <v>3054</v>
      </c>
      <c r="B520" s="2" t="s">
        <v>36243</v>
      </c>
      <c r="C520" s="2">
        <v>5</v>
      </c>
      <c r="D520" s="2">
        <v>341</v>
      </c>
      <c r="E520" s="2">
        <v>46</v>
      </c>
      <c r="F520" s="2">
        <v>32441</v>
      </c>
      <c r="G520" s="2">
        <v>10.340749710000001</v>
      </c>
      <c r="H520" s="2">
        <v>1.8763499999999999E-4</v>
      </c>
      <c r="I520" s="2" t="s">
        <v>36244</v>
      </c>
      <c r="J520" s="2" t="s">
        <v>36245</v>
      </c>
      <c r="K520" s="2">
        <v>1.7554420000000001E-3</v>
      </c>
      <c r="L520" s="2" t="s">
        <v>35</v>
      </c>
      <c r="M520" s="4" t="s">
        <v>36246</v>
      </c>
    </row>
    <row r="521" spans="1:13">
      <c r="A521" s="2">
        <v>650</v>
      </c>
      <c r="B521" s="2" t="s">
        <v>36247</v>
      </c>
      <c r="C521" s="2">
        <v>4</v>
      </c>
      <c r="D521" s="2">
        <v>341</v>
      </c>
      <c r="E521" s="2">
        <v>24</v>
      </c>
      <c r="F521" s="2">
        <v>32441</v>
      </c>
      <c r="G521" s="2">
        <v>15.85581623</v>
      </c>
      <c r="H521" s="2">
        <v>1.93353E-4</v>
      </c>
      <c r="I521" s="2" t="s">
        <v>36248</v>
      </c>
      <c r="J521" s="2" t="s">
        <v>36249</v>
      </c>
      <c r="K521" s="2">
        <v>1.8018489999999999E-3</v>
      </c>
      <c r="L521" s="2" t="s">
        <v>35</v>
      </c>
      <c r="M521" s="4" t="s">
        <v>36250</v>
      </c>
    </row>
    <row r="522" spans="1:13">
      <c r="A522" s="2">
        <v>1051</v>
      </c>
      <c r="B522" s="2" t="s">
        <v>36251</v>
      </c>
      <c r="C522" s="2">
        <v>4</v>
      </c>
      <c r="D522" s="2">
        <v>341</v>
      </c>
      <c r="E522" s="2">
        <v>24</v>
      </c>
      <c r="F522" s="2">
        <v>32441</v>
      </c>
      <c r="G522" s="2">
        <v>15.85581623</v>
      </c>
      <c r="H522" s="2">
        <v>1.93353E-4</v>
      </c>
      <c r="I522" s="2" t="s">
        <v>36126</v>
      </c>
      <c r="J522" s="2" t="s">
        <v>36127</v>
      </c>
      <c r="K522" s="2">
        <v>1.8018489999999999E-3</v>
      </c>
      <c r="L522" s="2" t="s">
        <v>35</v>
      </c>
      <c r="M522" s="4" t="s">
        <v>36252</v>
      </c>
    </row>
    <row r="523" spans="1:13">
      <c r="A523" s="2">
        <v>3910</v>
      </c>
      <c r="B523" s="2" t="s">
        <v>5499</v>
      </c>
      <c r="C523" s="2">
        <v>10</v>
      </c>
      <c r="D523" s="2">
        <v>341</v>
      </c>
      <c r="E523" s="2">
        <v>227</v>
      </c>
      <c r="F523" s="2">
        <v>32441</v>
      </c>
      <c r="G523" s="2">
        <v>4.1909646409999999</v>
      </c>
      <c r="H523" s="2">
        <v>2.0640099999999999E-4</v>
      </c>
      <c r="I523" s="2" t="s">
        <v>36253</v>
      </c>
      <c r="J523" s="2" t="s">
        <v>36254</v>
      </c>
      <c r="K523" s="2">
        <v>1.9196910000000001E-3</v>
      </c>
      <c r="L523" s="2" t="s">
        <v>35</v>
      </c>
      <c r="M523" s="4" t="s">
        <v>5502</v>
      </c>
    </row>
    <row r="524" spans="1:13">
      <c r="A524" s="2">
        <v>2495</v>
      </c>
      <c r="B524" s="2" t="s">
        <v>36255</v>
      </c>
      <c r="C524" s="2">
        <v>6</v>
      </c>
      <c r="D524" s="2">
        <v>341</v>
      </c>
      <c r="E524" s="2">
        <v>76</v>
      </c>
      <c r="F524" s="2">
        <v>32441</v>
      </c>
      <c r="G524" s="2">
        <v>7.5106497919999997</v>
      </c>
      <c r="H524" s="2">
        <v>2.1845E-4</v>
      </c>
      <c r="I524" s="2" t="s">
        <v>36256</v>
      </c>
      <c r="J524" s="2" t="s">
        <v>36257</v>
      </c>
      <c r="K524" s="2">
        <v>2.027793E-3</v>
      </c>
      <c r="L524" s="2" t="s">
        <v>35</v>
      </c>
      <c r="M524" s="4" t="s">
        <v>36258</v>
      </c>
    </row>
    <row r="525" spans="1:13">
      <c r="A525" s="2">
        <v>2431</v>
      </c>
      <c r="B525" s="2" t="s">
        <v>289</v>
      </c>
      <c r="C525" s="2">
        <v>10</v>
      </c>
      <c r="D525" s="2">
        <v>341</v>
      </c>
      <c r="E525" s="2">
        <v>230</v>
      </c>
      <c r="F525" s="2">
        <v>32441</v>
      </c>
      <c r="G525" s="2">
        <v>4.1362998849999997</v>
      </c>
      <c r="H525" s="2">
        <v>2.28326E-4</v>
      </c>
      <c r="I525" s="2" t="s">
        <v>36259</v>
      </c>
      <c r="J525" s="2" t="s">
        <v>36260</v>
      </c>
      <c r="K525" s="2">
        <v>2.1153510000000001E-3</v>
      </c>
      <c r="L525" s="2" t="s">
        <v>35</v>
      </c>
      <c r="M525" s="4" t="s">
        <v>36261</v>
      </c>
    </row>
    <row r="526" spans="1:13">
      <c r="A526" s="2">
        <v>4467</v>
      </c>
      <c r="B526" s="2" t="s">
        <v>36262</v>
      </c>
      <c r="C526" s="2">
        <v>3</v>
      </c>
      <c r="D526" s="2">
        <v>341</v>
      </c>
      <c r="E526" s="2">
        <v>9</v>
      </c>
      <c r="F526" s="2">
        <v>32441</v>
      </c>
      <c r="G526" s="2">
        <v>31.71163245</v>
      </c>
      <c r="H526" s="2">
        <v>2.2893100000000001E-4</v>
      </c>
      <c r="I526" s="2" t="s">
        <v>36263</v>
      </c>
      <c r="J526" s="2" t="s">
        <v>36264</v>
      </c>
      <c r="K526" s="2">
        <v>2.1168319999999999E-3</v>
      </c>
      <c r="L526" s="2" t="s">
        <v>35</v>
      </c>
      <c r="M526" s="4" t="s">
        <v>36265</v>
      </c>
    </row>
    <row r="527" spans="1:13">
      <c r="A527" s="2">
        <v>3267</v>
      </c>
      <c r="B527" s="2" t="s">
        <v>36266</v>
      </c>
      <c r="C527" s="2">
        <v>8</v>
      </c>
      <c r="D527" s="2">
        <v>341</v>
      </c>
      <c r="E527" s="2">
        <v>148</v>
      </c>
      <c r="F527" s="2">
        <v>32441</v>
      </c>
      <c r="G527" s="2">
        <v>5.1424268839999998</v>
      </c>
      <c r="H527" s="2">
        <v>2.4133800000000001E-4</v>
      </c>
      <c r="I527" s="2" t="s">
        <v>36267</v>
      </c>
      <c r="J527" s="2" t="s">
        <v>36268</v>
      </c>
      <c r="K527" s="2">
        <v>2.222922E-3</v>
      </c>
      <c r="L527" s="2" t="s">
        <v>35</v>
      </c>
      <c r="M527" s="4" t="s">
        <v>36269</v>
      </c>
    </row>
    <row r="528" spans="1:13">
      <c r="A528" s="2">
        <v>4339</v>
      </c>
      <c r="B528" s="2" t="s">
        <v>24612</v>
      </c>
      <c r="C528" s="2">
        <v>8</v>
      </c>
      <c r="D528" s="2">
        <v>341</v>
      </c>
      <c r="E528" s="2">
        <v>148</v>
      </c>
      <c r="F528" s="2">
        <v>32441</v>
      </c>
      <c r="G528" s="2">
        <v>5.1424268839999998</v>
      </c>
      <c r="H528" s="2">
        <v>2.4133800000000001E-4</v>
      </c>
      <c r="I528" s="2" t="s">
        <v>36270</v>
      </c>
      <c r="J528" s="2" t="s">
        <v>36271</v>
      </c>
      <c r="K528" s="2">
        <v>2.222922E-3</v>
      </c>
      <c r="L528" s="2" t="s">
        <v>35</v>
      </c>
      <c r="M528" s="4" t="s">
        <v>24615</v>
      </c>
    </row>
    <row r="529" spans="1:13">
      <c r="A529" s="2">
        <v>540</v>
      </c>
      <c r="B529" s="2" t="s">
        <v>36272</v>
      </c>
      <c r="C529" s="2">
        <v>5</v>
      </c>
      <c r="D529" s="2">
        <v>341</v>
      </c>
      <c r="E529" s="2">
        <v>49</v>
      </c>
      <c r="F529" s="2">
        <v>32441</v>
      </c>
      <c r="G529" s="2">
        <v>9.7076425880000006</v>
      </c>
      <c r="H529" s="2">
        <v>2.4626200000000002E-4</v>
      </c>
      <c r="I529" s="2" t="s">
        <v>36273</v>
      </c>
      <c r="J529" s="2" t="s">
        <v>36274</v>
      </c>
      <c r="K529" s="2">
        <v>2.2595319999999999E-3</v>
      </c>
      <c r="L529" s="2" t="s">
        <v>35</v>
      </c>
      <c r="M529" s="4" t="s">
        <v>36275</v>
      </c>
    </row>
    <row r="530" spans="1:13">
      <c r="A530" s="2">
        <v>3463</v>
      </c>
      <c r="B530" s="2" t="s">
        <v>36276</v>
      </c>
      <c r="C530" s="2">
        <v>5</v>
      </c>
      <c r="D530" s="2">
        <v>341</v>
      </c>
      <c r="E530" s="2">
        <v>49</v>
      </c>
      <c r="F530" s="2">
        <v>32441</v>
      </c>
      <c r="G530" s="2">
        <v>9.7076425880000006</v>
      </c>
      <c r="H530" s="2">
        <v>2.4626200000000002E-4</v>
      </c>
      <c r="I530" s="2" t="s">
        <v>36277</v>
      </c>
      <c r="J530" s="2" t="s">
        <v>36278</v>
      </c>
      <c r="K530" s="2">
        <v>2.2595319999999999E-3</v>
      </c>
      <c r="L530" s="2" t="s">
        <v>35</v>
      </c>
      <c r="M530" s="4" t="s">
        <v>36279</v>
      </c>
    </row>
    <row r="531" spans="1:13">
      <c r="A531" s="2">
        <v>1247</v>
      </c>
      <c r="B531" s="2" t="s">
        <v>36280</v>
      </c>
      <c r="C531" s="2">
        <v>4</v>
      </c>
      <c r="D531" s="2">
        <v>341</v>
      </c>
      <c r="E531" s="2">
        <v>26</v>
      </c>
      <c r="F531" s="2">
        <v>32441</v>
      </c>
      <c r="G531" s="2">
        <v>14.63613806</v>
      </c>
      <c r="H531" s="2">
        <v>2.54589E-4</v>
      </c>
      <c r="I531" s="2" t="s">
        <v>36281</v>
      </c>
      <c r="J531" s="2" t="s">
        <v>36282</v>
      </c>
      <c r="K531" s="2">
        <v>2.3314490000000002E-3</v>
      </c>
      <c r="L531" s="2" t="s">
        <v>35</v>
      </c>
      <c r="M531" s="4" t="s">
        <v>36283</v>
      </c>
    </row>
    <row r="532" spans="1:13">
      <c r="A532" s="2">
        <v>1270</v>
      </c>
      <c r="B532" s="2" t="s">
        <v>3661</v>
      </c>
      <c r="C532" s="2">
        <v>16</v>
      </c>
      <c r="D532" s="2">
        <v>341</v>
      </c>
      <c r="E532" s="2">
        <v>539</v>
      </c>
      <c r="F532" s="2">
        <v>32441</v>
      </c>
      <c r="G532" s="2">
        <v>2.82404148</v>
      </c>
      <c r="H532" s="2">
        <v>2.6594599999999998E-4</v>
      </c>
      <c r="I532" s="2" t="s">
        <v>36284</v>
      </c>
      <c r="J532" s="2" t="s">
        <v>36285</v>
      </c>
      <c r="K532" s="2">
        <v>2.430775E-3</v>
      </c>
      <c r="L532" s="2" t="s">
        <v>35</v>
      </c>
      <c r="M532" s="4" t="s">
        <v>3664</v>
      </c>
    </row>
    <row r="533" spans="1:13">
      <c r="A533" s="2">
        <v>2949</v>
      </c>
      <c r="B533" s="2" t="s">
        <v>36286</v>
      </c>
      <c r="C533" s="2">
        <v>5</v>
      </c>
      <c r="D533" s="2">
        <v>341</v>
      </c>
      <c r="E533" s="2">
        <v>50</v>
      </c>
      <c r="F533" s="2">
        <v>32441</v>
      </c>
      <c r="G533" s="2">
        <v>9.5134897360000004</v>
      </c>
      <c r="H533" s="2">
        <v>2.6860000000000002E-4</v>
      </c>
      <c r="I533" s="2" t="s">
        <v>36287</v>
      </c>
      <c r="J533" s="2" t="s">
        <v>36288</v>
      </c>
      <c r="K533" s="2">
        <v>2.4503300000000001E-3</v>
      </c>
      <c r="L533" s="2" t="s">
        <v>35</v>
      </c>
      <c r="M533" s="4" t="s">
        <v>36289</v>
      </c>
    </row>
    <row r="534" spans="1:13">
      <c r="A534" s="2">
        <v>1696</v>
      </c>
      <c r="B534" s="2" t="s">
        <v>36290</v>
      </c>
      <c r="C534" s="2">
        <v>4</v>
      </c>
      <c r="D534" s="2">
        <v>341</v>
      </c>
      <c r="E534" s="2">
        <v>27</v>
      </c>
      <c r="F534" s="2">
        <v>32441</v>
      </c>
      <c r="G534" s="2">
        <v>14.09405887</v>
      </c>
      <c r="H534" s="2">
        <v>2.8992200000000002E-4</v>
      </c>
      <c r="I534" s="2" t="s">
        <v>36291</v>
      </c>
      <c r="J534" s="2" t="s">
        <v>36292</v>
      </c>
      <c r="K534" s="2">
        <v>2.6347530000000001E-3</v>
      </c>
      <c r="L534" s="2" t="s">
        <v>35</v>
      </c>
      <c r="M534" s="4" t="s">
        <v>36293</v>
      </c>
    </row>
    <row r="535" spans="1:13">
      <c r="A535" s="2">
        <v>1744</v>
      </c>
      <c r="B535" s="2" t="s">
        <v>36294</v>
      </c>
      <c r="C535" s="2">
        <v>4</v>
      </c>
      <c r="D535" s="2">
        <v>341</v>
      </c>
      <c r="E535" s="2">
        <v>27</v>
      </c>
      <c r="F535" s="2">
        <v>32441</v>
      </c>
      <c r="G535" s="2">
        <v>14.09405887</v>
      </c>
      <c r="H535" s="2">
        <v>2.8992200000000002E-4</v>
      </c>
      <c r="I535" s="2" t="s">
        <v>36295</v>
      </c>
      <c r="J535" s="2" t="s">
        <v>36296</v>
      </c>
      <c r="K535" s="2">
        <v>2.6347530000000001E-3</v>
      </c>
      <c r="L535" s="2" t="s">
        <v>35</v>
      </c>
      <c r="M535" s="4" t="s">
        <v>36297</v>
      </c>
    </row>
    <row r="536" spans="1:13">
      <c r="A536" s="2">
        <v>927</v>
      </c>
      <c r="B536" s="2" t="s">
        <v>36298</v>
      </c>
      <c r="C536" s="2">
        <v>3</v>
      </c>
      <c r="D536" s="2">
        <v>341</v>
      </c>
      <c r="E536" s="2">
        <v>10</v>
      </c>
      <c r="F536" s="2">
        <v>32441</v>
      </c>
      <c r="G536" s="2">
        <v>28.540469210000001</v>
      </c>
      <c r="H536" s="2">
        <v>2.95319E-4</v>
      </c>
      <c r="I536" s="2" t="s">
        <v>36299</v>
      </c>
      <c r="J536" s="2" t="s">
        <v>36300</v>
      </c>
      <c r="K536" s="2">
        <v>2.6634620000000001E-3</v>
      </c>
      <c r="L536" s="2" t="s">
        <v>35</v>
      </c>
      <c r="M536" s="4" t="s">
        <v>36301</v>
      </c>
    </row>
    <row r="537" spans="1:13">
      <c r="A537" s="2">
        <v>1289</v>
      </c>
      <c r="B537" s="2" t="s">
        <v>36302</v>
      </c>
      <c r="C537" s="2">
        <v>3</v>
      </c>
      <c r="D537" s="2">
        <v>341</v>
      </c>
      <c r="E537" s="2">
        <v>10</v>
      </c>
      <c r="F537" s="2">
        <v>32441</v>
      </c>
      <c r="G537" s="2">
        <v>28.540469210000001</v>
      </c>
      <c r="H537" s="2">
        <v>2.95319E-4</v>
      </c>
      <c r="I537" s="2" t="s">
        <v>36303</v>
      </c>
      <c r="J537" s="2" t="s">
        <v>36304</v>
      </c>
      <c r="K537" s="2">
        <v>2.6634620000000001E-3</v>
      </c>
      <c r="L537" s="2" t="s">
        <v>35</v>
      </c>
      <c r="M537" s="4" t="s">
        <v>36305</v>
      </c>
    </row>
    <row r="538" spans="1:13">
      <c r="A538" s="2">
        <v>2150</v>
      </c>
      <c r="B538" s="2" t="s">
        <v>36306</v>
      </c>
      <c r="C538" s="2">
        <v>3</v>
      </c>
      <c r="D538" s="2">
        <v>341</v>
      </c>
      <c r="E538" s="2">
        <v>10</v>
      </c>
      <c r="F538" s="2">
        <v>32441</v>
      </c>
      <c r="G538" s="2">
        <v>28.540469210000001</v>
      </c>
      <c r="H538" s="2">
        <v>2.95319E-4</v>
      </c>
      <c r="I538" s="2" t="s">
        <v>36307</v>
      </c>
      <c r="J538" s="2" t="s">
        <v>36308</v>
      </c>
      <c r="K538" s="2">
        <v>2.6634620000000001E-3</v>
      </c>
      <c r="L538" s="2" t="s">
        <v>35</v>
      </c>
      <c r="M538" s="4" t="s">
        <v>36309</v>
      </c>
    </row>
    <row r="539" spans="1:13">
      <c r="A539" s="2">
        <v>2158</v>
      </c>
      <c r="B539" s="2" t="s">
        <v>36310</v>
      </c>
      <c r="C539" s="2">
        <v>3</v>
      </c>
      <c r="D539" s="2">
        <v>341</v>
      </c>
      <c r="E539" s="2">
        <v>10</v>
      </c>
      <c r="F539" s="2">
        <v>32441</v>
      </c>
      <c r="G539" s="2">
        <v>28.540469210000001</v>
      </c>
      <c r="H539" s="2">
        <v>2.95319E-4</v>
      </c>
      <c r="I539" s="2" t="s">
        <v>36311</v>
      </c>
      <c r="J539" s="2" t="s">
        <v>36312</v>
      </c>
      <c r="K539" s="2">
        <v>2.6634620000000001E-3</v>
      </c>
      <c r="L539" s="2" t="s">
        <v>35</v>
      </c>
      <c r="M539" s="4" t="s">
        <v>36313</v>
      </c>
    </row>
    <row r="540" spans="1:13">
      <c r="A540" s="2">
        <v>3262</v>
      </c>
      <c r="B540" s="2" t="s">
        <v>25072</v>
      </c>
      <c r="C540" s="2">
        <v>5</v>
      </c>
      <c r="D540" s="2">
        <v>341</v>
      </c>
      <c r="E540" s="2">
        <v>52</v>
      </c>
      <c r="F540" s="2">
        <v>32441</v>
      </c>
      <c r="G540" s="2">
        <v>9.1475862849999992</v>
      </c>
      <c r="H540" s="2">
        <v>3.1785599999999999E-4</v>
      </c>
      <c r="I540" s="2" t="s">
        <v>36314</v>
      </c>
      <c r="J540" s="2" t="s">
        <v>36315</v>
      </c>
      <c r="K540" s="2">
        <v>2.861307E-3</v>
      </c>
      <c r="L540" s="2" t="s">
        <v>35</v>
      </c>
      <c r="M540" s="4" t="s">
        <v>25075</v>
      </c>
    </row>
    <row r="541" spans="1:13">
      <c r="A541" s="2">
        <v>1352</v>
      </c>
      <c r="B541" s="2" t="s">
        <v>5425</v>
      </c>
      <c r="C541" s="2">
        <v>20</v>
      </c>
      <c r="D541" s="2">
        <v>341</v>
      </c>
      <c r="E541" s="2">
        <v>783</v>
      </c>
      <c r="F541" s="2">
        <v>32441</v>
      </c>
      <c r="G541" s="2">
        <v>2.4300101500000002</v>
      </c>
      <c r="H541" s="2">
        <v>3.2580599999999999E-4</v>
      </c>
      <c r="I541" s="2" t="s">
        <v>36316</v>
      </c>
      <c r="J541" s="2" t="s">
        <v>36317</v>
      </c>
      <c r="K541" s="2">
        <v>2.927336E-3</v>
      </c>
      <c r="L541" s="2" t="s">
        <v>35</v>
      </c>
      <c r="M541" s="4" t="s">
        <v>5428</v>
      </c>
    </row>
    <row r="542" spans="1:13">
      <c r="A542" s="2">
        <v>3159</v>
      </c>
      <c r="B542" s="2" t="s">
        <v>36318</v>
      </c>
      <c r="C542" s="2">
        <v>9</v>
      </c>
      <c r="D542" s="2">
        <v>341</v>
      </c>
      <c r="E542" s="2">
        <v>198</v>
      </c>
      <c r="F542" s="2">
        <v>32441</v>
      </c>
      <c r="G542" s="2">
        <v>4.3243135160000001</v>
      </c>
      <c r="H542" s="2">
        <v>3.4194899999999997E-4</v>
      </c>
      <c r="I542" s="2" t="s">
        <v>36319</v>
      </c>
      <c r="J542" s="2" t="s">
        <v>36320</v>
      </c>
      <c r="K542" s="2">
        <v>3.0665900000000001E-3</v>
      </c>
      <c r="L542" s="2" t="s">
        <v>35</v>
      </c>
      <c r="M542" s="4" t="s">
        <v>36321</v>
      </c>
    </row>
    <row r="543" spans="1:13">
      <c r="A543" s="2">
        <v>2507</v>
      </c>
      <c r="B543" s="2" t="s">
        <v>5015</v>
      </c>
      <c r="C543" s="2">
        <v>5</v>
      </c>
      <c r="D543" s="2">
        <v>341</v>
      </c>
      <c r="E543" s="2">
        <v>53</v>
      </c>
      <c r="F543" s="2">
        <v>32441</v>
      </c>
      <c r="G543" s="2">
        <v>8.9749903169999996</v>
      </c>
      <c r="H543" s="2">
        <v>3.4490699999999998E-4</v>
      </c>
      <c r="I543" s="2" t="s">
        <v>36322</v>
      </c>
      <c r="J543" s="2" t="s">
        <v>36323</v>
      </c>
      <c r="K543" s="2">
        <v>3.0815149999999999E-3</v>
      </c>
      <c r="L543" s="2" t="s">
        <v>35</v>
      </c>
      <c r="M543" s="4" t="s">
        <v>5018</v>
      </c>
    </row>
    <row r="544" spans="1:13">
      <c r="A544" s="2">
        <v>2618</v>
      </c>
      <c r="B544" s="2" t="s">
        <v>36324</v>
      </c>
      <c r="C544" s="2">
        <v>5</v>
      </c>
      <c r="D544" s="2">
        <v>341</v>
      </c>
      <c r="E544" s="2">
        <v>53</v>
      </c>
      <c r="F544" s="2">
        <v>32441</v>
      </c>
      <c r="G544" s="2">
        <v>8.9749903169999996</v>
      </c>
      <c r="H544" s="2">
        <v>3.4490699999999998E-4</v>
      </c>
      <c r="I544" s="2" t="s">
        <v>36325</v>
      </c>
      <c r="J544" s="2" t="s">
        <v>36326</v>
      </c>
      <c r="K544" s="2">
        <v>3.0815149999999999E-3</v>
      </c>
      <c r="L544" s="2" t="s">
        <v>35</v>
      </c>
      <c r="M544" s="4" t="s">
        <v>36327</v>
      </c>
    </row>
    <row r="545" spans="1:13">
      <c r="A545" s="2">
        <v>2424</v>
      </c>
      <c r="B545" s="2" t="s">
        <v>25388</v>
      </c>
      <c r="C545" s="2">
        <v>11</v>
      </c>
      <c r="D545" s="2">
        <v>341</v>
      </c>
      <c r="E545" s="2">
        <v>290</v>
      </c>
      <c r="F545" s="2">
        <v>32441</v>
      </c>
      <c r="G545" s="2">
        <v>3.6085650720000002</v>
      </c>
      <c r="H545" s="2">
        <v>3.4749899999999997E-4</v>
      </c>
      <c r="I545" s="2" t="s">
        <v>36328</v>
      </c>
      <c r="J545" s="2" t="s">
        <v>36329</v>
      </c>
      <c r="K545" s="2">
        <v>3.0988589999999998E-3</v>
      </c>
      <c r="L545" s="2" t="s">
        <v>35</v>
      </c>
      <c r="M545" s="4" t="s">
        <v>25391</v>
      </c>
    </row>
    <row r="546" spans="1:13">
      <c r="A546" s="2">
        <v>2587</v>
      </c>
      <c r="B546" s="2" t="s">
        <v>36330</v>
      </c>
      <c r="C546" s="2">
        <v>4</v>
      </c>
      <c r="D546" s="2">
        <v>341</v>
      </c>
      <c r="E546" s="2">
        <v>29</v>
      </c>
      <c r="F546" s="2">
        <v>32441</v>
      </c>
      <c r="G546" s="2">
        <v>13.12205481</v>
      </c>
      <c r="H546" s="2">
        <v>3.7092100000000002E-4</v>
      </c>
      <c r="I546" s="2" t="s">
        <v>36331</v>
      </c>
      <c r="J546" s="2" t="s">
        <v>36332</v>
      </c>
      <c r="K546" s="2">
        <v>3.3015409999999999E-3</v>
      </c>
      <c r="L546" s="2" t="s">
        <v>35</v>
      </c>
      <c r="M546" s="4" t="s">
        <v>36333</v>
      </c>
    </row>
    <row r="547" spans="1:13">
      <c r="A547" s="2">
        <v>1944</v>
      </c>
      <c r="B547" s="2" t="s">
        <v>36334</v>
      </c>
      <c r="C547" s="2">
        <v>5</v>
      </c>
      <c r="D547" s="2">
        <v>341</v>
      </c>
      <c r="E547" s="2">
        <v>54</v>
      </c>
      <c r="F547" s="2">
        <v>32441</v>
      </c>
      <c r="G547" s="2">
        <v>8.8087867929999994</v>
      </c>
      <c r="H547" s="2">
        <v>3.7366299999999999E-4</v>
      </c>
      <c r="I547" s="2" t="s">
        <v>36335</v>
      </c>
      <c r="J547" s="2" t="s">
        <v>36336</v>
      </c>
      <c r="K547" s="2">
        <v>3.3135650000000001E-3</v>
      </c>
      <c r="L547" s="2" t="s">
        <v>35</v>
      </c>
      <c r="M547" s="4" t="s">
        <v>36337</v>
      </c>
    </row>
    <row r="548" spans="1:13">
      <c r="A548" s="2">
        <v>2617</v>
      </c>
      <c r="B548" s="2" t="s">
        <v>229</v>
      </c>
      <c r="C548" s="2">
        <v>5</v>
      </c>
      <c r="D548" s="2">
        <v>341</v>
      </c>
      <c r="E548" s="2">
        <v>54</v>
      </c>
      <c r="F548" s="2">
        <v>32441</v>
      </c>
      <c r="G548" s="2">
        <v>8.8087867929999994</v>
      </c>
      <c r="H548" s="2">
        <v>3.7366299999999999E-4</v>
      </c>
      <c r="I548" s="2" t="s">
        <v>36338</v>
      </c>
      <c r="J548" s="2" t="s">
        <v>36339</v>
      </c>
      <c r="K548" s="2">
        <v>3.3135650000000001E-3</v>
      </c>
      <c r="L548" s="2" t="s">
        <v>35</v>
      </c>
      <c r="M548" s="4" t="s">
        <v>36340</v>
      </c>
    </row>
    <row r="549" spans="1:13">
      <c r="A549" s="2">
        <v>1698</v>
      </c>
      <c r="B549" s="2" t="s">
        <v>36341</v>
      </c>
      <c r="C549" s="2">
        <v>11</v>
      </c>
      <c r="D549" s="2">
        <v>341</v>
      </c>
      <c r="E549" s="2">
        <v>293</v>
      </c>
      <c r="F549" s="2">
        <v>32441</v>
      </c>
      <c r="G549" s="2">
        <v>3.5716173069999999</v>
      </c>
      <c r="H549" s="2">
        <v>3.7777600000000002E-4</v>
      </c>
      <c r="I549" s="2" t="s">
        <v>36342</v>
      </c>
      <c r="J549" s="2" t="s">
        <v>36343</v>
      </c>
      <c r="K549" s="2">
        <v>3.3438090000000001E-3</v>
      </c>
      <c r="L549" s="2" t="s">
        <v>35</v>
      </c>
      <c r="M549" s="4" t="s">
        <v>36344</v>
      </c>
    </row>
    <row r="550" spans="1:13">
      <c r="A550" s="2">
        <v>13</v>
      </c>
      <c r="B550" s="2" t="s">
        <v>36345</v>
      </c>
      <c r="C550" s="2">
        <v>8</v>
      </c>
      <c r="D550" s="2">
        <v>341</v>
      </c>
      <c r="E550" s="2">
        <v>159</v>
      </c>
      <c r="F550" s="2">
        <v>32441</v>
      </c>
      <c r="G550" s="2">
        <v>4.7866615020000003</v>
      </c>
      <c r="H550" s="2">
        <v>3.8193899999999998E-4</v>
      </c>
      <c r="I550" s="2" t="s">
        <v>36346</v>
      </c>
      <c r="J550" s="2" t="s">
        <v>36347</v>
      </c>
      <c r="K550" s="2">
        <v>3.3743839999999998E-3</v>
      </c>
      <c r="L550" s="2" t="s">
        <v>35</v>
      </c>
      <c r="M550" s="4" t="s">
        <v>36348</v>
      </c>
    </row>
    <row r="551" spans="1:13">
      <c r="A551" s="2">
        <v>2711</v>
      </c>
      <c r="B551" s="2" t="s">
        <v>385</v>
      </c>
      <c r="C551" s="2">
        <v>6</v>
      </c>
      <c r="D551" s="2">
        <v>341</v>
      </c>
      <c r="E551" s="2">
        <v>85</v>
      </c>
      <c r="F551" s="2">
        <v>32441</v>
      </c>
      <c r="G551" s="2">
        <v>6.7154045199999999</v>
      </c>
      <c r="H551" s="2">
        <v>3.84595E-4</v>
      </c>
      <c r="I551" s="2" t="s">
        <v>36349</v>
      </c>
      <c r="J551" s="2" t="s">
        <v>36350</v>
      </c>
      <c r="K551" s="2">
        <v>3.391556E-3</v>
      </c>
      <c r="L551" s="2" t="s">
        <v>35</v>
      </c>
      <c r="M551" s="4" t="s">
        <v>36351</v>
      </c>
    </row>
    <row r="552" spans="1:13">
      <c r="A552" s="2">
        <v>4537</v>
      </c>
      <c r="B552" s="2" t="s">
        <v>5433</v>
      </c>
      <c r="C552" s="2">
        <v>14</v>
      </c>
      <c r="D552" s="2">
        <v>341</v>
      </c>
      <c r="E552" s="2">
        <v>448</v>
      </c>
      <c r="F552" s="2">
        <v>32441</v>
      </c>
      <c r="G552" s="2">
        <v>2.9729655429999999</v>
      </c>
      <c r="H552" s="2">
        <v>3.8896500000000001E-4</v>
      </c>
      <c r="I552" s="2" t="s">
        <v>36352</v>
      </c>
      <c r="J552" s="2" t="s">
        <v>36353</v>
      </c>
      <c r="K552" s="2">
        <v>3.4237569999999999E-3</v>
      </c>
      <c r="L552" s="2" t="s">
        <v>35</v>
      </c>
      <c r="M552" s="4" t="s">
        <v>5436</v>
      </c>
    </row>
    <row r="553" spans="1:13">
      <c r="A553" s="2">
        <v>2970</v>
      </c>
      <c r="B553" s="2" t="s">
        <v>25108</v>
      </c>
      <c r="C553" s="2">
        <v>5</v>
      </c>
      <c r="D553" s="2">
        <v>341</v>
      </c>
      <c r="E553" s="2">
        <v>55</v>
      </c>
      <c r="F553" s="2">
        <v>32441</v>
      </c>
      <c r="G553" s="2">
        <v>8.6486270330000004</v>
      </c>
      <c r="H553" s="2">
        <v>4.0419400000000003E-4</v>
      </c>
      <c r="I553" s="2" t="s">
        <v>36354</v>
      </c>
      <c r="J553" s="2" t="s">
        <v>36355</v>
      </c>
      <c r="K553" s="2">
        <v>3.5512410000000001E-3</v>
      </c>
      <c r="L553" s="2" t="s">
        <v>35</v>
      </c>
      <c r="M553" s="4" t="s">
        <v>25111</v>
      </c>
    </row>
    <row r="554" spans="1:13">
      <c r="A554" s="2">
        <v>2691</v>
      </c>
      <c r="B554" s="2" t="s">
        <v>6324</v>
      </c>
      <c r="C554" s="2">
        <v>5</v>
      </c>
      <c r="D554" s="2">
        <v>341</v>
      </c>
      <c r="E554" s="2">
        <v>56</v>
      </c>
      <c r="F554" s="2">
        <v>32441</v>
      </c>
      <c r="G554" s="2">
        <v>8.4941872640000007</v>
      </c>
      <c r="H554" s="2">
        <v>4.3657E-4</v>
      </c>
      <c r="I554" s="2" t="s">
        <v>36356</v>
      </c>
      <c r="J554" s="2" t="s">
        <v>36357</v>
      </c>
      <c r="K554" s="2">
        <v>3.82863E-3</v>
      </c>
      <c r="L554" s="2" t="s">
        <v>35</v>
      </c>
      <c r="M554" s="4" t="s">
        <v>6327</v>
      </c>
    </row>
    <row r="555" spans="1:13">
      <c r="A555" s="2">
        <v>4473</v>
      </c>
      <c r="B555" s="2" t="s">
        <v>36358</v>
      </c>
      <c r="C555" s="2">
        <v>9</v>
      </c>
      <c r="D555" s="2">
        <v>341</v>
      </c>
      <c r="E555" s="2">
        <v>206</v>
      </c>
      <c r="F555" s="2">
        <v>32441</v>
      </c>
      <c r="G555" s="2">
        <v>4.1563790110000003</v>
      </c>
      <c r="H555" s="2">
        <v>4.50569E-4</v>
      </c>
      <c r="I555" s="2" t="s">
        <v>36359</v>
      </c>
      <c r="J555" s="2" t="s">
        <v>36360</v>
      </c>
      <c r="K555" s="2">
        <v>3.9441349999999997E-3</v>
      </c>
      <c r="L555" s="2" t="s">
        <v>35</v>
      </c>
      <c r="M555" s="4" t="s">
        <v>36361</v>
      </c>
    </row>
    <row r="556" spans="1:13">
      <c r="A556" s="2">
        <v>196</v>
      </c>
      <c r="B556" s="2" t="s">
        <v>36362</v>
      </c>
      <c r="C556" s="2">
        <v>3</v>
      </c>
      <c r="D556" s="2">
        <v>341</v>
      </c>
      <c r="E556" s="2">
        <v>12</v>
      </c>
      <c r="F556" s="2">
        <v>32441</v>
      </c>
      <c r="G556" s="2">
        <v>23.783724339999999</v>
      </c>
      <c r="H556" s="2">
        <v>4.6262400000000002E-4</v>
      </c>
      <c r="I556" s="2" t="s">
        <v>36363</v>
      </c>
      <c r="J556" s="2" t="s">
        <v>36364</v>
      </c>
      <c r="K556" s="2">
        <v>4.0422339999999996E-3</v>
      </c>
      <c r="L556" s="2" t="s">
        <v>35</v>
      </c>
      <c r="M556" s="4" t="s">
        <v>36365</v>
      </c>
    </row>
    <row r="557" spans="1:13">
      <c r="A557" s="2">
        <v>937</v>
      </c>
      <c r="B557" s="2" t="s">
        <v>36366</v>
      </c>
      <c r="C557" s="2">
        <v>5</v>
      </c>
      <c r="D557" s="2">
        <v>341</v>
      </c>
      <c r="E557" s="2">
        <v>57</v>
      </c>
      <c r="F557" s="2">
        <v>32441</v>
      </c>
      <c r="G557" s="2">
        <v>8.3451664349999994</v>
      </c>
      <c r="H557" s="2">
        <v>4.7086200000000001E-4</v>
      </c>
      <c r="I557" s="2" t="s">
        <v>36367</v>
      </c>
      <c r="J557" s="2" t="s">
        <v>36368</v>
      </c>
      <c r="K557" s="2">
        <v>4.0991669999999999E-3</v>
      </c>
      <c r="L557" s="2" t="s">
        <v>35</v>
      </c>
      <c r="M557" s="4" t="s">
        <v>36369</v>
      </c>
    </row>
    <row r="558" spans="1:13">
      <c r="A558" s="2">
        <v>2148</v>
      </c>
      <c r="B558" s="2" t="s">
        <v>36370</v>
      </c>
      <c r="C558" s="2">
        <v>5</v>
      </c>
      <c r="D558" s="2">
        <v>341</v>
      </c>
      <c r="E558" s="2">
        <v>57</v>
      </c>
      <c r="F558" s="2">
        <v>32441</v>
      </c>
      <c r="G558" s="2">
        <v>8.3451664349999994</v>
      </c>
      <c r="H558" s="2">
        <v>4.7086200000000001E-4</v>
      </c>
      <c r="I558" s="2" t="s">
        <v>36371</v>
      </c>
      <c r="J558" s="2" t="s">
        <v>36372</v>
      </c>
      <c r="K558" s="2">
        <v>4.0991669999999999E-3</v>
      </c>
      <c r="L558" s="2" t="s">
        <v>35</v>
      </c>
      <c r="M558" s="4" t="s">
        <v>36373</v>
      </c>
    </row>
    <row r="559" spans="1:13">
      <c r="A559" s="2">
        <v>1256</v>
      </c>
      <c r="B559" s="2" t="s">
        <v>3624</v>
      </c>
      <c r="C559" s="2">
        <v>22</v>
      </c>
      <c r="D559" s="2">
        <v>341</v>
      </c>
      <c r="E559" s="2">
        <v>933</v>
      </c>
      <c r="F559" s="2">
        <v>32441</v>
      </c>
      <c r="G559" s="2">
        <v>2.243266604</v>
      </c>
      <c r="H559" s="2">
        <v>4.7989099999999998E-4</v>
      </c>
      <c r="I559" s="2" t="s">
        <v>36374</v>
      </c>
      <c r="J559" s="2" t="s">
        <v>36375</v>
      </c>
      <c r="K559" s="2">
        <v>4.1701439999999998E-3</v>
      </c>
      <c r="L559" s="2" t="s">
        <v>35</v>
      </c>
      <c r="M559" s="4" t="s">
        <v>3627</v>
      </c>
    </row>
    <row r="560" spans="1:13">
      <c r="A560" s="2">
        <v>168</v>
      </c>
      <c r="B560" s="2" t="s">
        <v>36376</v>
      </c>
      <c r="C560" s="2">
        <v>6</v>
      </c>
      <c r="D560" s="2">
        <v>341</v>
      </c>
      <c r="E560" s="2">
        <v>89</v>
      </c>
      <c r="F560" s="2">
        <v>32441</v>
      </c>
      <c r="G560" s="2">
        <v>6.4135885860000004</v>
      </c>
      <c r="H560" s="2">
        <v>4.8437099999999999E-4</v>
      </c>
      <c r="I560" s="2" t="s">
        <v>36377</v>
      </c>
      <c r="J560" s="2" t="s">
        <v>36378</v>
      </c>
      <c r="K560" s="2">
        <v>4.2014069999999999E-3</v>
      </c>
      <c r="L560" s="2" t="s">
        <v>35</v>
      </c>
      <c r="M560" s="4" t="s">
        <v>36379</v>
      </c>
    </row>
    <row r="561" spans="1:13">
      <c r="A561" s="2">
        <v>2145</v>
      </c>
      <c r="B561" s="2" t="s">
        <v>2901</v>
      </c>
      <c r="C561" s="2">
        <v>15</v>
      </c>
      <c r="D561" s="2">
        <v>341</v>
      </c>
      <c r="E561" s="2">
        <v>514</v>
      </c>
      <c r="F561" s="2">
        <v>32441</v>
      </c>
      <c r="G561" s="2">
        <v>2.7763102339999999</v>
      </c>
      <c r="H561" s="2">
        <v>4.8745599999999999E-4</v>
      </c>
      <c r="I561" s="2" t="s">
        <v>36380</v>
      </c>
      <c r="J561" s="2" t="s">
        <v>36381</v>
      </c>
      <c r="K561" s="2">
        <v>4.2204820000000002E-3</v>
      </c>
      <c r="L561" s="2" t="s">
        <v>35</v>
      </c>
      <c r="M561" s="4" t="s">
        <v>2904</v>
      </c>
    </row>
    <row r="562" spans="1:13">
      <c r="A562" s="2">
        <v>3654</v>
      </c>
      <c r="B562" s="2" t="s">
        <v>25507</v>
      </c>
      <c r="C562" s="2">
        <v>6</v>
      </c>
      <c r="D562" s="2">
        <v>341</v>
      </c>
      <c r="E562" s="2">
        <v>91</v>
      </c>
      <c r="F562" s="2">
        <v>32441</v>
      </c>
      <c r="G562" s="2">
        <v>6.2726305949999999</v>
      </c>
      <c r="H562" s="2">
        <v>5.4126800000000002E-4</v>
      </c>
      <c r="I562" s="2" t="s">
        <v>36382</v>
      </c>
      <c r="J562" s="2" t="s">
        <v>36383</v>
      </c>
      <c r="K562" s="2">
        <v>4.677891E-3</v>
      </c>
      <c r="L562" s="2" t="s">
        <v>35</v>
      </c>
      <c r="M562" s="4" t="s">
        <v>25510</v>
      </c>
    </row>
    <row r="563" spans="1:13">
      <c r="A563" s="2">
        <v>160</v>
      </c>
      <c r="B563" s="2" t="s">
        <v>36384</v>
      </c>
      <c r="C563" s="2">
        <v>5</v>
      </c>
      <c r="D563" s="2">
        <v>341</v>
      </c>
      <c r="E563" s="2">
        <v>59</v>
      </c>
      <c r="F563" s="2">
        <v>32441</v>
      </c>
      <c r="G563" s="2">
        <v>8.0622794370000008</v>
      </c>
      <c r="H563" s="2">
        <v>5.4548499999999996E-4</v>
      </c>
      <c r="I563" s="2" t="s">
        <v>36385</v>
      </c>
      <c r="J563" s="2" t="s">
        <v>36386</v>
      </c>
      <c r="K563" s="2">
        <v>4.6972840000000004E-3</v>
      </c>
      <c r="L563" s="2" t="s">
        <v>35</v>
      </c>
      <c r="M563" s="4" t="s">
        <v>36387</v>
      </c>
    </row>
    <row r="564" spans="1:13">
      <c r="A564" s="2">
        <v>625</v>
      </c>
      <c r="B564" s="2" t="s">
        <v>25153</v>
      </c>
      <c r="C564" s="2">
        <v>5</v>
      </c>
      <c r="D564" s="2">
        <v>341</v>
      </c>
      <c r="E564" s="2">
        <v>59</v>
      </c>
      <c r="F564" s="2">
        <v>32441</v>
      </c>
      <c r="G564" s="2">
        <v>8.0622794370000008</v>
      </c>
      <c r="H564" s="2">
        <v>5.4548499999999996E-4</v>
      </c>
      <c r="I564" s="2" t="s">
        <v>36388</v>
      </c>
      <c r="J564" s="2" t="s">
        <v>36389</v>
      </c>
      <c r="K564" s="2">
        <v>4.6972840000000004E-3</v>
      </c>
      <c r="L564" s="2" t="s">
        <v>35</v>
      </c>
      <c r="M564" s="4" t="s">
        <v>25156</v>
      </c>
    </row>
    <row r="565" spans="1:13">
      <c r="A565" s="2">
        <v>3516</v>
      </c>
      <c r="B565" s="2" t="s">
        <v>24903</v>
      </c>
      <c r="C565" s="2">
        <v>6</v>
      </c>
      <c r="D565" s="2">
        <v>341</v>
      </c>
      <c r="E565" s="2">
        <v>92</v>
      </c>
      <c r="F565" s="2">
        <v>32441</v>
      </c>
      <c r="G565" s="2">
        <v>6.2044498279999996</v>
      </c>
      <c r="H565" s="2">
        <v>5.7159599999999995E-4</v>
      </c>
      <c r="I565" s="2" t="s">
        <v>36390</v>
      </c>
      <c r="J565" s="2" t="s">
        <v>36391</v>
      </c>
      <c r="K565" s="2">
        <v>4.9132530000000002E-3</v>
      </c>
      <c r="L565" s="2" t="s">
        <v>35</v>
      </c>
      <c r="M565" s="4" t="s">
        <v>24906</v>
      </c>
    </row>
    <row r="566" spans="1:13">
      <c r="A566" s="2">
        <v>3735</v>
      </c>
      <c r="B566" s="2" t="s">
        <v>36392</v>
      </c>
      <c r="C566" s="2">
        <v>5</v>
      </c>
      <c r="D566" s="2">
        <v>341</v>
      </c>
      <c r="E566" s="2">
        <v>60</v>
      </c>
      <c r="F566" s="2">
        <v>32441</v>
      </c>
      <c r="G566" s="2">
        <v>7.927908113</v>
      </c>
      <c r="H566" s="2">
        <v>5.85963E-4</v>
      </c>
      <c r="I566" s="2" t="s">
        <v>36393</v>
      </c>
      <c r="J566" s="2" t="s">
        <v>36394</v>
      </c>
      <c r="K566" s="2">
        <v>5.0276699999999997E-3</v>
      </c>
      <c r="L566" s="2" t="s">
        <v>35</v>
      </c>
      <c r="M566" s="4" t="s">
        <v>36395</v>
      </c>
    </row>
    <row r="567" spans="1:13">
      <c r="A567" s="2">
        <v>4186</v>
      </c>
      <c r="B567" s="2" t="s">
        <v>36396</v>
      </c>
      <c r="C567" s="2">
        <v>6</v>
      </c>
      <c r="D567" s="2">
        <v>341</v>
      </c>
      <c r="E567" s="2">
        <v>93</v>
      </c>
      <c r="F567" s="2">
        <v>32441</v>
      </c>
      <c r="G567" s="2">
        <v>6.1377353140000004</v>
      </c>
      <c r="H567" s="2">
        <v>6.0322800000000003E-4</v>
      </c>
      <c r="I567" s="2" t="s">
        <v>36397</v>
      </c>
      <c r="J567" s="2" t="s">
        <v>36398</v>
      </c>
      <c r="K567" s="2">
        <v>5.1664939999999998E-3</v>
      </c>
      <c r="L567" s="2" t="s">
        <v>35</v>
      </c>
      <c r="M567" s="4" t="s">
        <v>36399</v>
      </c>
    </row>
    <row r="568" spans="1:13">
      <c r="A568" s="2">
        <v>2192</v>
      </c>
      <c r="B568" s="2" t="s">
        <v>36400</v>
      </c>
      <c r="C568" s="2">
        <v>3</v>
      </c>
      <c r="D568" s="2">
        <v>341</v>
      </c>
      <c r="E568" s="2">
        <v>14</v>
      </c>
      <c r="F568" s="2">
        <v>32441</v>
      </c>
      <c r="G568" s="2">
        <v>20.38604943</v>
      </c>
      <c r="H568" s="2">
        <v>6.8080899999999999E-4</v>
      </c>
      <c r="I568" s="2" t="s">
        <v>36401</v>
      </c>
      <c r="J568" s="2" t="s">
        <v>36402</v>
      </c>
      <c r="K568" s="2">
        <v>5.8100540000000003E-3</v>
      </c>
      <c r="L568" s="2" t="s">
        <v>35</v>
      </c>
      <c r="M568" s="4" t="s">
        <v>36403</v>
      </c>
    </row>
    <row r="569" spans="1:13">
      <c r="A569" s="2">
        <v>4745</v>
      </c>
      <c r="B569" s="2" t="s">
        <v>36404</v>
      </c>
      <c r="C569" s="2">
        <v>3</v>
      </c>
      <c r="D569" s="2">
        <v>341</v>
      </c>
      <c r="E569" s="2">
        <v>14</v>
      </c>
      <c r="F569" s="2">
        <v>32441</v>
      </c>
      <c r="G569" s="2">
        <v>20.38604943</v>
      </c>
      <c r="H569" s="2">
        <v>6.8080899999999999E-4</v>
      </c>
      <c r="I569" s="2" t="s">
        <v>36405</v>
      </c>
      <c r="J569" s="2" t="s">
        <v>36406</v>
      </c>
      <c r="K569" s="2">
        <v>5.8100540000000003E-3</v>
      </c>
      <c r="L569" s="2" t="s">
        <v>35</v>
      </c>
      <c r="M569" s="4" t="s">
        <v>36407</v>
      </c>
    </row>
    <row r="570" spans="1:13">
      <c r="A570" s="2">
        <v>2870</v>
      </c>
      <c r="B570" s="2" t="s">
        <v>4074</v>
      </c>
      <c r="C570" s="2">
        <v>5</v>
      </c>
      <c r="D570" s="2">
        <v>341</v>
      </c>
      <c r="E570" s="2">
        <v>63</v>
      </c>
      <c r="F570" s="2">
        <v>32441</v>
      </c>
      <c r="G570" s="2">
        <v>7.5503886790000001</v>
      </c>
      <c r="H570" s="2">
        <v>7.2097199999999995E-4</v>
      </c>
      <c r="I570" s="2" t="s">
        <v>36408</v>
      </c>
      <c r="J570" s="2" t="s">
        <v>36409</v>
      </c>
      <c r="K570" s="2">
        <v>6.1418059999999997E-3</v>
      </c>
      <c r="L570" s="2" t="s">
        <v>35</v>
      </c>
      <c r="M570" s="4" t="s">
        <v>4077</v>
      </c>
    </row>
    <row r="571" spans="1:13">
      <c r="A571" s="2">
        <v>1586</v>
      </c>
      <c r="B571" s="2" t="s">
        <v>24821</v>
      </c>
      <c r="C571" s="2">
        <v>7</v>
      </c>
      <c r="D571" s="2">
        <v>341</v>
      </c>
      <c r="E571" s="2">
        <v>135</v>
      </c>
      <c r="F571" s="2">
        <v>32441</v>
      </c>
      <c r="G571" s="2">
        <v>4.9329206040000004</v>
      </c>
      <c r="H571" s="2">
        <v>7.4285099999999999E-4</v>
      </c>
      <c r="I571" s="2" t="s">
        <v>36410</v>
      </c>
      <c r="J571" s="2" t="s">
        <v>36411</v>
      </c>
      <c r="K571" s="2">
        <v>6.3168829999999997E-3</v>
      </c>
      <c r="L571" s="2" t="s">
        <v>35</v>
      </c>
      <c r="M571" s="4" t="s">
        <v>24824</v>
      </c>
    </row>
    <row r="572" spans="1:13">
      <c r="A572" s="2">
        <v>1491</v>
      </c>
      <c r="B572" s="2" t="s">
        <v>2889</v>
      </c>
      <c r="C572" s="2">
        <v>12</v>
      </c>
      <c r="D572" s="2">
        <v>341</v>
      </c>
      <c r="E572" s="2">
        <v>372</v>
      </c>
      <c r="F572" s="2">
        <v>32441</v>
      </c>
      <c r="G572" s="2">
        <v>3.0688676570000002</v>
      </c>
      <c r="H572" s="2">
        <v>7.6532499999999997E-4</v>
      </c>
      <c r="I572" s="2" t="s">
        <v>36412</v>
      </c>
      <c r="J572" s="2" t="s">
        <v>36413</v>
      </c>
      <c r="K572" s="2">
        <v>6.4963929999999996E-3</v>
      </c>
      <c r="L572" s="2" t="s">
        <v>35</v>
      </c>
      <c r="M572" s="4" t="s">
        <v>2892</v>
      </c>
    </row>
    <row r="573" spans="1:13">
      <c r="A573" s="2">
        <v>3061</v>
      </c>
      <c r="B573" s="2" t="s">
        <v>2905</v>
      </c>
      <c r="C573" s="2">
        <v>4</v>
      </c>
      <c r="D573" s="2">
        <v>341</v>
      </c>
      <c r="E573" s="2">
        <v>36</v>
      </c>
      <c r="F573" s="2">
        <v>32441</v>
      </c>
      <c r="G573" s="2">
        <v>10.57054415</v>
      </c>
      <c r="H573" s="2">
        <v>7.8235299999999995E-4</v>
      </c>
      <c r="I573" s="2" t="s">
        <v>36414</v>
      </c>
      <c r="J573" s="2" t="s">
        <v>36415</v>
      </c>
      <c r="K573" s="2">
        <v>6.6173450000000002E-3</v>
      </c>
      <c r="L573" s="2" t="s">
        <v>35</v>
      </c>
      <c r="M573" s="4" t="s">
        <v>2908</v>
      </c>
    </row>
    <row r="574" spans="1:13">
      <c r="A574" s="2">
        <v>3181</v>
      </c>
      <c r="B574" s="2" t="s">
        <v>36416</v>
      </c>
      <c r="C574" s="2">
        <v>4</v>
      </c>
      <c r="D574" s="2">
        <v>341</v>
      </c>
      <c r="E574" s="2">
        <v>36</v>
      </c>
      <c r="F574" s="2">
        <v>32441</v>
      </c>
      <c r="G574" s="2">
        <v>10.57054415</v>
      </c>
      <c r="H574" s="2">
        <v>7.8235299999999995E-4</v>
      </c>
      <c r="I574" s="2" t="s">
        <v>36417</v>
      </c>
      <c r="J574" s="2" t="s">
        <v>36418</v>
      </c>
      <c r="K574" s="2">
        <v>6.6173450000000002E-3</v>
      </c>
      <c r="L574" s="2" t="s">
        <v>35</v>
      </c>
      <c r="M574" s="4" t="s">
        <v>36419</v>
      </c>
    </row>
    <row r="575" spans="1:13">
      <c r="A575" s="2">
        <v>2426</v>
      </c>
      <c r="B575" s="2" t="s">
        <v>36420</v>
      </c>
      <c r="C575" s="2">
        <v>8</v>
      </c>
      <c r="D575" s="2">
        <v>341</v>
      </c>
      <c r="E575" s="2">
        <v>179</v>
      </c>
      <c r="F575" s="2">
        <v>32441</v>
      </c>
      <c r="G575" s="2">
        <v>4.2518389880000003</v>
      </c>
      <c r="H575" s="2">
        <v>8.0460700000000004E-4</v>
      </c>
      <c r="I575" s="2" t="s">
        <v>36421</v>
      </c>
      <c r="J575" s="2" t="s">
        <v>36422</v>
      </c>
      <c r="K575" s="2">
        <v>6.793505E-3</v>
      </c>
      <c r="L575" s="2" t="s">
        <v>35</v>
      </c>
      <c r="M575" s="4" t="s">
        <v>36423</v>
      </c>
    </row>
    <row r="576" spans="1:13">
      <c r="A576" s="2">
        <v>430</v>
      </c>
      <c r="B576" s="2" t="s">
        <v>36424</v>
      </c>
      <c r="C576" s="2">
        <v>3</v>
      </c>
      <c r="D576" s="2">
        <v>341</v>
      </c>
      <c r="E576" s="2">
        <v>15</v>
      </c>
      <c r="F576" s="2">
        <v>32441</v>
      </c>
      <c r="G576" s="2">
        <v>19.026979470000001</v>
      </c>
      <c r="H576" s="2">
        <v>8.1069599999999996E-4</v>
      </c>
      <c r="I576" s="2" t="s">
        <v>36425</v>
      </c>
      <c r="J576" s="2" t="s">
        <v>36426</v>
      </c>
      <c r="K576" s="2">
        <v>6.820736E-3</v>
      </c>
      <c r="L576" s="2" t="s">
        <v>35</v>
      </c>
      <c r="M576" s="4" t="s">
        <v>36427</v>
      </c>
    </row>
    <row r="577" spans="1:13">
      <c r="A577" s="2">
        <v>1890</v>
      </c>
      <c r="B577" s="2" t="s">
        <v>5511</v>
      </c>
      <c r="C577" s="2">
        <v>3</v>
      </c>
      <c r="D577" s="2">
        <v>341</v>
      </c>
      <c r="E577" s="2">
        <v>15</v>
      </c>
      <c r="F577" s="2">
        <v>32441</v>
      </c>
      <c r="G577" s="2">
        <v>19.026979470000001</v>
      </c>
      <c r="H577" s="2">
        <v>8.1069599999999996E-4</v>
      </c>
      <c r="I577" s="2" t="s">
        <v>36428</v>
      </c>
      <c r="J577" s="2" t="s">
        <v>36429</v>
      </c>
      <c r="K577" s="2">
        <v>6.820736E-3</v>
      </c>
      <c r="L577" s="2" t="s">
        <v>35</v>
      </c>
      <c r="M577" s="4" t="s">
        <v>5514</v>
      </c>
    </row>
    <row r="578" spans="1:13">
      <c r="A578" s="2">
        <v>3787</v>
      </c>
      <c r="B578" s="2" t="s">
        <v>25231</v>
      </c>
      <c r="C578" s="2">
        <v>7</v>
      </c>
      <c r="D578" s="2">
        <v>341</v>
      </c>
      <c r="E578" s="2">
        <v>139</v>
      </c>
      <c r="F578" s="2">
        <v>32441</v>
      </c>
      <c r="G578" s="2">
        <v>4.7909660540000001</v>
      </c>
      <c r="H578" s="2">
        <v>8.7476700000000004E-4</v>
      </c>
      <c r="I578" s="2" t="s">
        <v>36430</v>
      </c>
      <c r="J578" s="2" t="s">
        <v>36431</v>
      </c>
      <c r="K578" s="2">
        <v>7.3468040000000002E-3</v>
      </c>
      <c r="L578" s="2" t="s">
        <v>35</v>
      </c>
      <c r="M578" s="4" t="s">
        <v>25234</v>
      </c>
    </row>
    <row r="579" spans="1:13">
      <c r="A579" s="2">
        <v>714</v>
      </c>
      <c r="B579" s="2" t="s">
        <v>493</v>
      </c>
      <c r="C579" s="2">
        <v>5</v>
      </c>
      <c r="D579" s="2">
        <v>341</v>
      </c>
      <c r="E579" s="2">
        <v>66</v>
      </c>
      <c r="F579" s="2">
        <v>32441</v>
      </c>
      <c r="G579" s="2">
        <v>7.2071891939999997</v>
      </c>
      <c r="H579" s="2">
        <v>8.7796599999999999E-4</v>
      </c>
      <c r="I579" s="2" t="s">
        <v>36432</v>
      </c>
      <c r="J579" s="2" t="s">
        <v>36433</v>
      </c>
      <c r="K579" s="2">
        <v>7.3477569999999999E-3</v>
      </c>
      <c r="L579" s="2" t="s">
        <v>35</v>
      </c>
      <c r="M579" s="4" t="s">
        <v>24871</v>
      </c>
    </row>
    <row r="580" spans="1:13">
      <c r="A580" s="2">
        <v>2684</v>
      </c>
      <c r="B580" s="2" t="s">
        <v>4955</v>
      </c>
      <c r="C580" s="2">
        <v>5</v>
      </c>
      <c r="D580" s="2">
        <v>341</v>
      </c>
      <c r="E580" s="2">
        <v>66</v>
      </c>
      <c r="F580" s="2">
        <v>32441</v>
      </c>
      <c r="G580" s="2">
        <v>7.2071891939999997</v>
      </c>
      <c r="H580" s="2">
        <v>8.7796599999999999E-4</v>
      </c>
      <c r="I580" s="2" t="s">
        <v>36434</v>
      </c>
      <c r="J580" s="2" t="s">
        <v>36435</v>
      </c>
      <c r="K580" s="2">
        <v>7.3477569999999999E-3</v>
      </c>
      <c r="L580" s="2" t="s">
        <v>35</v>
      </c>
      <c r="M580" s="4" t="s">
        <v>4958</v>
      </c>
    </row>
    <row r="581" spans="1:13">
      <c r="A581" s="2">
        <v>2168</v>
      </c>
      <c r="B581" s="2" t="s">
        <v>144</v>
      </c>
      <c r="C581" s="2">
        <v>12</v>
      </c>
      <c r="D581" s="2">
        <v>341</v>
      </c>
      <c r="E581" s="2">
        <v>380</v>
      </c>
      <c r="F581" s="2">
        <v>32441</v>
      </c>
      <c r="G581" s="2">
        <v>3.0042599170000002</v>
      </c>
      <c r="H581" s="2">
        <v>9.1420300000000004E-4</v>
      </c>
      <c r="I581" s="2" t="s">
        <v>36436</v>
      </c>
      <c r="J581" s="2" t="s">
        <v>36437</v>
      </c>
      <c r="K581" s="2">
        <v>7.6242269999999999E-3</v>
      </c>
      <c r="L581" s="2" t="s">
        <v>35</v>
      </c>
      <c r="M581" s="4" t="s">
        <v>36438</v>
      </c>
    </row>
    <row r="582" spans="1:13">
      <c r="A582" s="2">
        <v>4761</v>
      </c>
      <c r="B582" s="2" t="s">
        <v>4680</v>
      </c>
      <c r="C582" s="2">
        <v>12</v>
      </c>
      <c r="D582" s="2">
        <v>341</v>
      </c>
      <c r="E582" s="2">
        <v>380</v>
      </c>
      <c r="F582" s="2">
        <v>32441</v>
      </c>
      <c r="G582" s="2">
        <v>3.0042599170000002</v>
      </c>
      <c r="H582" s="2">
        <v>9.1420300000000004E-4</v>
      </c>
      <c r="I582" s="2" t="s">
        <v>36439</v>
      </c>
      <c r="J582" s="2" t="s">
        <v>36440</v>
      </c>
      <c r="K582" s="2">
        <v>7.6242269999999999E-3</v>
      </c>
      <c r="L582" s="2" t="s">
        <v>35</v>
      </c>
      <c r="M582" s="4" t="s">
        <v>4683</v>
      </c>
    </row>
    <row r="583" spans="1:13">
      <c r="A583" s="2">
        <v>4150</v>
      </c>
      <c r="B583" s="2" t="s">
        <v>36441</v>
      </c>
      <c r="C583" s="2">
        <v>3</v>
      </c>
      <c r="D583" s="2">
        <v>341</v>
      </c>
      <c r="E583" s="2">
        <v>16</v>
      </c>
      <c r="F583" s="2">
        <v>32441</v>
      </c>
      <c r="G583" s="2">
        <v>17.837793260000002</v>
      </c>
      <c r="H583" s="2">
        <v>9.5531299999999995E-4</v>
      </c>
      <c r="I583" s="2" t="s">
        <v>36442</v>
      </c>
      <c r="J583" s="2" t="s">
        <v>36443</v>
      </c>
      <c r="K583" s="2">
        <v>7.9531470000000007E-3</v>
      </c>
      <c r="L583" s="2" t="s">
        <v>35</v>
      </c>
      <c r="M583" s="4" t="s">
        <v>36444</v>
      </c>
    </row>
    <row r="584" spans="1:13">
      <c r="A584" s="2">
        <v>521</v>
      </c>
      <c r="B584" s="2" t="s">
        <v>36445</v>
      </c>
      <c r="C584" s="2">
        <v>5</v>
      </c>
      <c r="D584" s="2">
        <v>341</v>
      </c>
      <c r="E584" s="2">
        <v>68</v>
      </c>
      <c r="F584" s="2">
        <v>32441</v>
      </c>
      <c r="G584" s="2">
        <v>6.9952130410000004</v>
      </c>
      <c r="H584" s="2">
        <v>9.9589699999999993E-4</v>
      </c>
      <c r="I584" s="2" t="s">
        <v>36446</v>
      </c>
      <c r="J584" s="2" t="s">
        <v>36447</v>
      </c>
      <c r="K584" s="2">
        <v>8.276551E-3</v>
      </c>
      <c r="L584" s="2" t="s">
        <v>35</v>
      </c>
      <c r="M584" s="4" t="s">
        <v>36448</v>
      </c>
    </row>
    <row r="585" spans="1:13">
      <c r="A585" s="2">
        <v>4374</v>
      </c>
      <c r="B585" s="2" t="s">
        <v>36449</v>
      </c>
      <c r="C585" s="2">
        <v>6</v>
      </c>
      <c r="D585" s="2">
        <v>341</v>
      </c>
      <c r="E585" s="2">
        <v>103</v>
      </c>
      <c r="F585" s="2">
        <v>32441</v>
      </c>
      <c r="G585" s="2">
        <v>5.5418386809999998</v>
      </c>
      <c r="H585" s="2">
        <v>9.998260000000001E-4</v>
      </c>
      <c r="I585" s="2" t="s">
        <v>36450</v>
      </c>
      <c r="J585" s="2" t="s">
        <v>36451</v>
      </c>
      <c r="K585" s="2">
        <v>8.2947230000000004E-3</v>
      </c>
      <c r="L585" s="2" t="s">
        <v>35</v>
      </c>
      <c r="M585" s="4" t="s">
        <v>36452</v>
      </c>
    </row>
    <row r="586" spans="1:13">
      <c r="A586" s="2">
        <v>3454</v>
      </c>
      <c r="B586" s="2" t="s">
        <v>3713</v>
      </c>
      <c r="C586" s="2">
        <v>10</v>
      </c>
      <c r="D586" s="2">
        <v>341</v>
      </c>
      <c r="E586" s="2">
        <v>282</v>
      </c>
      <c r="F586" s="2">
        <v>32441</v>
      </c>
      <c r="G586" s="2">
        <v>3.3735779209999999</v>
      </c>
      <c r="H586" s="2">
        <v>1.047891E-3</v>
      </c>
      <c r="I586" s="2" t="s">
        <v>36453</v>
      </c>
      <c r="J586" s="2" t="s">
        <v>36454</v>
      </c>
      <c r="K586" s="2">
        <v>8.6783559999999999E-3</v>
      </c>
      <c r="L586" s="2" t="s">
        <v>35</v>
      </c>
      <c r="M586" s="4" t="s">
        <v>3716</v>
      </c>
    </row>
    <row r="587" spans="1:13">
      <c r="A587" s="2">
        <v>872</v>
      </c>
      <c r="B587" s="2" t="s">
        <v>25706</v>
      </c>
      <c r="C587" s="2">
        <v>6</v>
      </c>
      <c r="D587" s="2">
        <v>341</v>
      </c>
      <c r="E587" s="2">
        <v>105</v>
      </c>
      <c r="F587" s="2">
        <v>32441</v>
      </c>
      <c r="G587" s="2">
        <v>5.4362798489999999</v>
      </c>
      <c r="H587" s="2">
        <v>1.0987869999999999E-3</v>
      </c>
      <c r="I587" s="2" t="s">
        <v>36455</v>
      </c>
      <c r="J587" s="2" t="s">
        <v>36456</v>
      </c>
      <c r="K587" s="2">
        <v>9.0840690000000002E-3</v>
      </c>
      <c r="L587" s="2" t="s">
        <v>35</v>
      </c>
      <c r="M587" s="4" t="s">
        <v>25709</v>
      </c>
    </row>
    <row r="588" spans="1:13">
      <c r="A588" s="2">
        <v>705</v>
      </c>
      <c r="B588" s="2" t="s">
        <v>36457</v>
      </c>
      <c r="C588" s="2">
        <v>3</v>
      </c>
      <c r="D588" s="2">
        <v>341</v>
      </c>
      <c r="E588" s="2">
        <v>17</v>
      </c>
      <c r="F588" s="2">
        <v>32441</v>
      </c>
      <c r="G588" s="2">
        <v>16.7885113</v>
      </c>
      <c r="H588" s="2">
        <v>1.1152759999999999E-3</v>
      </c>
      <c r="I588" s="2" t="s">
        <v>36458</v>
      </c>
      <c r="J588" s="2" t="s">
        <v>36459</v>
      </c>
      <c r="K588" s="2">
        <v>9.2044069999999995E-3</v>
      </c>
      <c r="L588" s="2" t="s">
        <v>35</v>
      </c>
      <c r="M588" s="4" t="s">
        <v>36460</v>
      </c>
    </row>
    <row r="589" spans="1:13">
      <c r="A589" s="2">
        <v>165</v>
      </c>
      <c r="B589" s="2" t="s">
        <v>36461</v>
      </c>
      <c r="C589" s="2">
        <v>5</v>
      </c>
      <c r="D589" s="2">
        <v>341</v>
      </c>
      <c r="E589" s="2">
        <v>70</v>
      </c>
      <c r="F589" s="2">
        <v>32441</v>
      </c>
      <c r="G589" s="2">
        <v>6.7953498110000004</v>
      </c>
      <c r="H589" s="2">
        <v>1.1252E-3</v>
      </c>
      <c r="I589" s="2" t="s">
        <v>36462</v>
      </c>
      <c r="J589" s="2" t="s">
        <v>36463</v>
      </c>
      <c r="K589" s="2">
        <v>9.2382769999999996E-3</v>
      </c>
      <c r="L589" s="2" t="s">
        <v>35</v>
      </c>
      <c r="M589" s="4" t="s">
        <v>36464</v>
      </c>
    </row>
    <row r="590" spans="1:13">
      <c r="A590" s="2">
        <v>1390</v>
      </c>
      <c r="B590" s="2" t="s">
        <v>36465</v>
      </c>
      <c r="C590" s="2">
        <v>5</v>
      </c>
      <c r="D590" s="2">
        <v>341</v>
      </c>
      <c r="E590" s="2">
        <v>70</v>
      </c>
      <c r="F590" s="2">
        <v>32441</v>
      </c>
      <c r="G590" s="2">
        <v>6.7953498110000004</v>
      </c>
      <c r="H590" s="2">
        <v>1.1252E-3</v>
      </c>
      <c r="I590" s="2" t="s">
        <v>36466</v>
      </c>
      <c r="J590" s="2" t="s">
        <v>36467</v>
      </c>
      <c r="K590" s="2">
        <v>9.2382769999999996E-3</v>
      </c>
      <c r="L590" s="2" t="s">
        <v>35</v>
      </c>
      <c r="M590" s="4" t="s">
        <v>36468</v>
      </c>
    </row>
    <row r="591" spans="1:13">
      <c r="A591" s="2">
        <v>2238</v>
      </c>
      <c r="B591" s="2" t="s">
        <v>36469</v>
      </c>
      <c r="C591" s="2">
        <v>5</v>
      </c>
      <c r="D591" s="2">
        <v>341</v>
      </c>
      <c r="E591" s="2">
        <v>70</v>
      </c>
      <c r="F591" s="2">
        <v>32441</v>
      </c>
      <c r="G591" s="2">
        <v>6.7953498110000004</v>
      </c>
      <c r="H591" s="2">
        <v>1.1252E-3</v>
      </c>
      <c r="I591" s="2" t="s">
        <v>36470</v>
      </c>
      <c r="J591" s="2" t="s">
        <v>36471</v>
      </c>
      <c r="K591" s="2">
        <v>9.2382769999999996E-3</v>
      </c>
      <c r="L591" s="2" t="s">
        <v>35</v>
      </c>
      <c r="M591" s="4" t="s">
        <v>36472</v>
      </c>
    </row>
    <row r="592" spans="1:13">
      <c r="A592" s="2">
        <v>2369</v>
      </c>
      <c r="B592" s="2" t="s">
        <v>548</v>
      </c>
      <c r="C592" s="2">
        <v>9</v>
      </c>
      <c r="D592" s="2">
        <v>341</v>
      </c>
      <c r="E592" s="2">
        <v>236</v>
      </c>
      <c r="F592" s="2">
        <v>32441</v>
      </c>
      <c r="G592" s="2">
        <v>3.6280257470000001</v>
      </c>
      <c r="H592" s="2">
        <v>1.138394E-3</v>
      </c>
      <c r="I592" s="2" t="s">
        <v>36473</v>
      </c>
      <c r="J592" s="2" t="s">
        <v>36474</v>
      </c>
      <c r="K592" s="2">
        <v>9.3305200000000001E-3</v>
      </c>
      <c r="L592" s="2" t="s">
        <v>35</v>
      </c>
      <c r="M592" s="4" t="s">
        <v>2870</v>
      </c>
    </row>
    <row r="593" spans="1:13">
      <c r="A593" s="2">
        <v>1978</v>
      </c>
      <c r="B593" s="2" t="s">
        <v>36475</v>
      </c>
      <c r="C593" s="2">
        <v>4</v>
      </c>
      <c r="D593" s="2">
        <v>341</v>
      </c>
      <c r="E593" s="2">
        <v>41</v>
      </c>
      <c r="F593" s="2">
        <v>32441</v>
      </c>
      <c r="G593" s="2">
        <v>9.2814534010000003</v>
      </c>
      <c r="H593" s="2">
        <v>1.224529E-3</v>
      </c>
      <c r="I593" s="2" t="s">
        <v>36476</v>
      </c>
      <c r="J593" s="2" t="s">
        <v>36477</v>
      </c>
      <c r="K593" s="2">
        <v>1.000207E-2</v>
      </c>
      <c r="L593" s="2" t="s">
        <v>35</v>
      </c>
      <c r="M593" s="4" t="s">
        <v>36478</v>
      </c>
    </row>
    <row r="594" spans="1:13">
      <c r="A594" s="2">
        <v>4277</v>
      </c>
      <c r="B594" s="2" t="s">
        <v>36479</v>
      </c>
      <c r="C594" s="2">
        <v>4</v>
      </c>
      <c r="D594" s="2">
        <v>341</v>
      </c>
      <c r="E594" s="2">
        <v>41</v>
      </c>
      <c r="F594" s="2">
        <v>32441</v>
      </c>
      <c r="G594" s="2">
        <v>9.2814534010000003</v>
      </c>
      <c r="H594" s="2">
        <v>1.224529E-3</v>
      </c>
      <c r="I594" s="2" t="s">
        <v>36480</v>
      </c>
      <c r="J594" s="2" t="s">
        <v>36481</v>
      </c>
      <c r="K594" s="2">
        <v>1.000207E-2</v>
      </c>
      <c r="L594" s="2" t="s">
        <v>35</v>
      </c>
      <c r="M594" s="4" t="s">
        <v>36482</v>
      </c>
    </row>
    <row r="595" spans="1:13">
      <c r="A595" s="2">
        <v>2027</v>
      </c>
      <c r="B595" s="2" t="s">
        <v>36483</v>
      </c>
      <c r="C595" s="2">
        <v>6</v>
      </c>
      <c r="D595" s="2">
        <v>341</v>
      </c>
      <c r="E595" s="2">
        <v>108</v>
      </c>
      <c r="F595" s="2">
        <v>32441</v>
      </c>
      <c r="G595" s="2">
        <v>5.285272076</v>
      </c>
      <c r="H595" s="2">
        <v>1.261105E-3</v>
      </c>
      <c r="I595" s="2" t="s">
        <v>36484</v>
      </c>
      <c r="J595" s="2" t="s">
        <v>36485</v>
      </c>
      <c r="K595" s="2">
        <v>1.0283188E-2</v>
      </c>
      <c r="L595" s="2" t="s">
        <v>35</v>
      </c>
      <c r="M595" s="4" t="s">
        <v>36486</v>
      </c>
    </row>
    <row r="596" spans="1:13">
      <c r="A596" s="2">
        <v>303</v>
      </c>
      <c r="B596" s="2" t="s">
        <v>6424</v>
      </c>
      <c r="C596" s="2">
        <v>3</v>
      </c>
      <c r="D596" s="2">
        <v>341</v>
      </c>
      <c r="E596" s="2">
        <v>18</v>
      </c>
      <c r="F596" s="2">
        <v>32441</v>
      </c>
      <c r="G596" s="2">
        <v>15.85581623</v>
      </c>
      <c r="H596" s="2">
        <v>1.291178E-3</v>
      </c>
      <c r="I596" s="2" t="s">
        <v>36487</v>
      </c>
      <c r="J596" s="2" t="s">
        <v>36488</v>
      </c>
      <c r="K596" s="2">
        <v>1.0510412E-2</v>
      </c>
      <c r="L596" s="2" t="s">
        <v>35</v>
      </c>
      <c r="M596" s="4" t="s">
        <v>6427</v>
      </c>
    </row>
    <row r="597" spans="1:13">
      <c r="A597" s="2">
        <v>4431</v>
      </c>
      <c r="B597" s="2" t="s">
        <v>367</v>
      </c>
      <c r="C597" s="2">
        <v>4</v>
      </c>
      <c r="D597" s="2">
        <v>341</v>
      </c>
      <c r="E597" s="2">
        <v>42</v>
      </c>
      <c r="F597" s="2">
        <v>32441</v>
      </c>
      <c r="G597" s="2">
        <v>9.0604664150000005</v>
      </c>
      <c r="H597" s="2">
        <v>1.3302710000000001E-3</v>
      </c>
      <c r="I597" s="2" t="s">
        <v>36489</v>
      </c>
      <c r="J597" s="2" t="s">
        <v>36490</v>
      </c>
      <c r="K597" s="2">
        <v>1.0810151E-2</v>
      </c>
      <c r="L597" s="2" t="s">
        <v>35</v>
      </c>
      <c r="M597" s="4" t="s">
        <v>36491</v>
      </c>
    </row>
    <row r="598" spans="1:13">
      <c r="A598" s="2">
        <v>4527</v>
      </c>
      <c r="B598" s="2" t="s">
        <v>24805</v>
      </c>
      <c r="C598" s="2">
        <v>19</v>
      </c>
      <c r="D598" s="2">
        <v>341</v>
      </c>
      <c r="E598" s="2">
        <v>824</v>
      </c>
      <c r="F598" s="2">
        <v>32441</v>
      </c>
      <c r="G598" s="2">
        <v>2.193644478</v>
      </c>
      <c r="H598" s="2">
        <v>1.4757850000000001E-3</v>
      </c>
      <c r="I598" s="2" t="s">
        <v>36492</v>
      </c>
      <c r="J598" s="2" t="s">
        <v>36493</v>
      </c>
      <c r="K598" s="2">
        <v>1.1972211E-2</v>
      </c>
      <c r="L598" s="2" t="s">
        <v>35</v>
      </c>
      <c r="M598" s="4" t="s">
        <v>24808</v>
      </c>
    </row>
    <row r="599" spans="1:13">
      <c r="A599" s="2">
        <v>660</v>
      </c>
      <c r="B599" s="2" t="s">
        <v>36494</v>
      </c>
      <c r="C599" s="2">
        <v>3</v>
      </c>
      <c r="D599" s="2">
        <v>341</v>
      </c>
      <c r="E599" s="2">
        <v>19</v>
      </c>
      <c r="F599" s="2">
        <v>32441</v>
      </c>
      <c r="G599" s="2">
        <v>15.021299580000001</v>
      </c>
      <c r="H599" s="2">
        <v>1.483591E-3</v>
      </c>
      <c r="I599" s="2" t="s">
        <v>36458</v>
      </c>
      <c r="J599" s="2" t="s">
        <v>36459</v>
      </c>
      <c r="K599" s="2">
        <v>1.1994671E-2</v>
      </c>
      <c r="L599" s="2" t="s">
        <v>35</v>
      </c>
      <c r="M599" s="4" t="s">
        <v>36495</v>
      </c>
    </row>
    <row r="600" spans="1:13">
      <c r="A600" s="2">
        <v>3529</v>
      </c>
      <c r="B600" s="2" t="s">
        <v>6496</v>
      </c>
      <c r="C600" s="2">
        <v>3</v>
      </c>
      <c r="D600" s="2">
        <v>341</v>
      </c>
      <c r="E600" s="2">
        <v>19</v>
      </c>
      <c r="F600" s="2">
        <v>32441</v>
      </c>
      <c r="G600" s="2">
        <v>15.021299580000001</v>
      </c>
      <c r="H600" s="2">
        <v>1.483591E-3</v>
      </c>
      <c r="I600" s="2" t="s">
        <v>36496</v>
      </c>
      <c r="J600" s="2" t="s">
        <v>36497</v>
      </c>
      <c r="K600" s="2">
        <v>1.1994671E-2</v>
      </c>
      <c r="L600" s="2" t="s">
        <v>35</v>
      </c>
      <c r="M600" s="4" t="s">
        <v>6499</v>
      </c>
    </row>
    <row r="601" spans="1:13">
      <c r="A601" s="2">
        <v>2237</v>
      </c>
      <c r="B601" s="2" t="s">
        <v>36498</v>
      </c>
      <c r="C601" s="2">
        <v>7</v>
      </c>
      <c r="D601" s="2">
        <v>341</v>
      </c>
      <c r="E601" s="2">
        <v>153</v>
      </c>
      <c r="F601" s="2">
        <v>32441</v>
      </c>
      <c r="G601" s="2">
        <v>4.3525770030000004</v>
      </c>
      <c r="H601" s="2">
        <v>1.4876480000000001E-3</v>
      </c>
      <c r="I601" s="2" t="s">
        <v>36499</v>
      </c>
      <c r="J601" s="2" t="s">
        <v>36500</v>
      </c>
      <c r="K601" s="2">
        <v>1.2007086E-2</v>
      </c>
      <c r="L601" s="2" t="s">
        <v>35</v>
      </c>
      <c r="M601" s="4" t="s">
        <v>36501</v>
      </c>
    </row>
    <row r="602" spans="1:13">
      <c r="A602" s="2">
        <v>1401</v>
      </c>
      <c r="B602" s="2" t="s">
        <v>36502</v>
      </c>
      <c r="C602" s="2">
        <v>4</v>
      </c>
      <c r="D602" s="2">
        <v>341</v>
      </c>
      <c r="E602" s="2">
        <v>44</v>
      </c>
      <c r="F602" s="2">
        <v>32441</v>
      </c>
      <c r="G602" s="2">
        <v>8.6486270330000004</v>
      </c>
      <c r="H602" s="2">
        <v>1.560582E-3</v>
      </c>
      <c r="I602" s="2" t="s">
        <v>36503</v>
      </c>
      <c r="J602" s="2" t="s">
        <v>36504</v>
      </c>
      <c r="K602" s="2">
        <v>1.2513201999999999E-2</v>
      </c>
      <c r="L602" s="2" t="s">
        <v>35</v>
      </c>
      <c r="M602" s="4" t="s">
        <v>36505</v>
      </c>
    </row>
    <row r="603" spans="1:13">
      <c r="A603" s="2">
        <v>1847</v>
      </c>
      <c r="B603" s="2" t="s">
        <v>36506</v>
      </c>
      <c r="C603" s="2">
        <v>4</v>
      </c>
      <c r="D603" s="2">
        <v>341</v>
      </c>
      <c r="E603" s="2">
        <v>44</v>
      </c>
      <c r="F603" s="2">
        <v>32441</v>
      </c>
      <c r="G603" s="2">
        <v>8.6486270330000004</v>
      </c>
      <c r="H603" s="2">
        <v>1.560582E-3</v>
      </c>
      <c r="I603" s="2" t="s">
        <v>36507</v>
      </c>
      <c r="J603" s="2" t="s">
        <v>36508</v>
      </c>
      <c r="K603" s="2">
        <v>1.2513201999999999E-2</v>
      </c>
      <c r="L603" s="2" t="s">
        <v>35</v>
      </c>
      <c r="M603" s="4" t="s">
        <v>36509</v>
      </c>
    </row>
    <row r="604" spans="1:13">
      <c r="A604" s="2">
        <v>2248</v>
      </c>
      <c r="B604" s="2" t="s">
        <v>5453</v>
      </c>
      <c r="C604" s="2">
        <v>4</v>
      </c>
      <c r="D604" s="2">
        <v>341</v>
      </c>
      <c r="E604" s="2">
        <v>44</v>
      </c>
      <c r="F604" s="2">
        <v>32441</v>
      </c>
      <c r="G604" s="2">
        <v>8.6486270330000004</v>
      </c>
      <c r="H604" s="2">
        <v>1.560582E-3</v>
      </c>
      <c r="I604" s="2" t="s">
        <v>36510</v>
      </c>
      <c r="J604" s="2" t="s">
        <v>36511</v>
      </c>
      <c r="K604" s="2">
        <v>1.2513201999999999E-2</v>
      </c>
      <c r="L604" s="2" t="s">
        <v>35</v>
      </c>
      <c r="M604" s="4" t="s">
        <v>5456</v>
      </c>
    </row>
    <row r="605" spans="1:13">
      <c r="A605" s="2">
        <v>4606</v>
      </c>
      <c r="B605" s="2" t="s">
        <v>36512</v>
      </c>
      <c r="C605" s="2">
        <v>13</v>
      </c>
      <c r="D605" s="2">
        <v>341</v>
      </c>
      <c r="E605" s="2">
        <v>462</v>
      </c>
      <c r="F605" s="2">
        <v>32441</v>
      </c>
      <c r="G605" s="2">
        <v>2.6769559859999998</v>
      </c>
      <c r="H605" s="2">
        <v>1.5608659999999999E-3</v>
      </c>
      <c r="I605" s="2" t="s">
        <v>36513</v>
      </c>
      <c r="J605" s="2" t="s">
        <v>36514</v>
      </c>
      <c r="K605" s="2">
        <v>1.2513201999999999E-2</v>
      </c>
      <c r="L605" s="2" t="s">
        <v>35</v>
      </c>
      <c r="M605" s="4" t="s">
        <v>36515</v>
      </c>
    </row>
    <row r="606" spans="1:13">
      <c r="A606" s="2">
        <v>4644</v>
      </c>
      <c r="B606" s="2" t="s">
        <v>3665</v>
      </c>
      <c r="C606" s="2">
        <v>6</v>
      </c>
      <c r="D606" s="2">
        <v>341</v>
      </c>
      <c r="E606" s="2">
        <v>114</v>
      </c>
      <c r="F606" s="2">
        <v>32441</v>
      </c>
      <c r="G606" s="2">
        <v>5.0070998610000004</v>
      </c>
      <c r="H606" s="2">
        <v>1.640135E-3</v>
      </c>
      <c r="I606" s="2" t="s">
        <v>36516</v>
      </c>
      <c r="J606" s="2" t="s">
        <v>36517</v>
      </c>
      <c r="K606" s="2">
        <v>1.312659E-2</v>
      </c>
      <c r="L606" s="2" t="s">
        <v>35</v>
      </c>
      <c r="M606" s="4" t="s">
        <v>3668</v>
      </c>
    </row>
    <row r="607" spans="1:13">
      <c r="A607" s="2">
        <v>4426</v>
      </c>
      <c r="B607" s="2" t="s">
        <v>36518</v>
      </c>
      <c r="C607" s="2">
        <v>5</v>
      </c>
      <c r="D607" s="2">
        <v>341</v>
      </c>
      <c r="E607" s="2">
        <v>77</v>
      </c>
      <c r="F607" s="2">
        <v>32441</v>
      </c>
      <c r="G607" s="2">
        <v>6.1775907380000001</v>
      </c>
      <c r="H607" s="2">
        <v>1.676893E-3</v>
      </c>
      <c r="I607" s="2" t="s">
        <v>36519</v>
      </c>
      <c r="J607" s="2" t="s">
        <v>36520</v>
      </c>
      <c r="K607" s="2">
        <v>1.339826E-2</v>
      </c>
      <c r="L607" s="2" t="s">
        <v>35</v>
      </c>
      <c r="M607" s="4" t="s">
        <v>36521</v>
      </c>
    </row>
    <row r="608" spans="1:13">
      <c r="A608" s="2">
        <v>205</v>
      </c>
      <c r="B608" s="2" t="s">
        <v>36522</v>
      </c>
      <c r="C608" s="2">
        <v>3</v>
      </c>
      <c r="D608" s="2">
        <v>341</v>
      </c>
      <c r="E608" s="2">
        <v>20</v>
      </c>
      <c r="F608" s="2">
        <v>32441</v>
      </c>
      <c r="G608" s="2">
        <v>14.2702346</v>
      </c>
      <c r="H608" s="2">
        <v>1.693062E-3</v>
      </c>
      <c r="I608" s="2" t="s">
        <v>36523</v>
      </c>
      <c r="J608" s="2" t="s">
        <v>36524</v>
      </c>
      <c r="K608" s="2">
        <v>1.3482207E-2</v>
      </c>
      <c r="L608" s="2" t="s">
        <v>35</v>
      </c>
      <c r="M608" s="4" t="s">
        <v>36525</v>
      </c>
    </row>
    <row r="609" spans="1:13">
      <c r="A609" s="2">
        <v>2988</v>
      </c>
      <c r="B609" s="2" t="s">
        <v>36526</v>
      </c>
      <c r="C609" s="2">
        <v>3</v>
      </c>
      <c r="D609" s="2">
        <v>341</v>
      </c>
      <c r="E609" s="2">
        <v>20</v>
      </c>
      <c r="F609" s="2">
        <v>32441</v>
      </c>
      <c r="G609" s="2">
        <v>14.2702346</v>
      </c>
      <c r="H609" s="2">
        <v>1.693062E-3</v>
      </c>
      <c r="I609" s="2" t="s">
        <v>36527</v>
      </c>
      <c r="J609" s="2" t="s">
        <v>36528</v>
      </c>
      <c r="K609" s="2">
        <v>1.3482207E-2</v>
      </c>
      <c r="L609" s="2" t="s">
        <v>35</v>
      </c>
      <c r="M609" s="4" t="s">
        <v>36529</v>
      </c>
    </row>
    <row r="610" spans="1:13">
      <c r="A610" s="2">
        <v>3497</v>
      </c>
      <c r="B610" s="2" t="s">
        <v>4589</v>
      </c>
      <c r="C610" s="2">
        <v>6</v>
      </c>
      <c r="D610" s="2">
        <v>341</v>
      </c>
      <c r="E610" s="2">
        <v>115</v>
      </c>
      <c r="F610" s="2">
        <v>32441</v>
      </c>
      <c r="G610" s="2">
        <v>4.9635598620000003</v>
      </c>
      <c r="H610" s="2">
        <v>1.7108939999999999E-3</v>
      </c>
      <c r="I610" s="2" t="s">
        <v>36530</v>
      </c>
      <c r="J610" s="2" t="s">
        <v>36531</v>
      </c>
      <c r="K610" s="2">
        <v>1.3601461E-2</v>
      </c>
      <c r="L610" s="2" t="s">
        <v>35</v>
      </c>
      <c r="M610" s="4" t="s">
        <v>4592</v>
      </c>
    </row>
    <row r="611" spans="1:13">
      <c r="A611" s="2">
        <v>2399</v>
      </c>
      <c r="B611" s="2" t="s">
        <v>24972</v>
      </c>
      <c r="C611" s="2">
        <v>12</v>
      </c>
      <c r="D611" s="2">
        <v>341</v>
      </c>
      <c r="E611" s="2">
        <v>411</v>
      </c>
      <c r="F611" s="2">
        <v>32441</v>
      </c>
      <c r="G611" s="2">
        <v>2.7776612369999998</v>
      </c>
      <c r="H611" s="2">
        <v>1.7379240000000001E-3</v>
      </c>
      <c r="I611" s="2" t="s">
        <v>36532</v>
      </c>
      <c r="J611" s="2" t="s">
        <v>36533</v>
      </c>
      <c r="K611" s="2">
        <v>1.3793325E-2</v>
      </c>
      <c r="L611" s="2" t="s">
        <v>35</v>
      </c>
      <c r="M611" s="4" t="s">
        <v>24975</v>
      </c>
    </row>
    <row r="612" spans="1:13">
      <c r="A612" s="2">
        <v>2029</v>
      </c>
      <c r="B612" s="2" t="s">
        <v>25185</v>
      </c>
      <c r="C612" s="2">
        <v>7</v>
      </c>
      <c r="D612" s="2">
        <v>341</v>
      </c>
      <c r="E612" s="2">
        <v>159</v>
      </c>
      <c r="F612" s="2">
        <v>32441</v>
      </c>
      <c r="G612" s="2">
        <v>4.1883288150000002</v>
      </c>
      <c r="H612" s="2">
        <v>1.835227E-3</v>
      </c>
      <c r="I612" s="2" t="s">
        <v>36534</v>
      </c>
      <c r="J612" s="2" t="s">
        <v>36535</v>
      </c>
      <c r="K612" s="2">
        <v>1.4541352E-2</v>
      </c>
      <c r="L612" s="2" t="s">
        <v>35</v>
      </c>
      <c r="M612" s="4" t="s">
        <v>25188</v>
      </c>
    </row>
    <row r="613" spans="1:13">
      <c r="A613" s="2">
        <v>2634</v>
      </c>
      <c r="B613" s="2" t="s">
        <v>36536</v>
      </c>
      <c r="C613" s="2">
        <v>3</v>
      </c>
      <c r="D613" s="2">
        <v>341</v>
      </c>
      <c r="E613" s="2">
        <v>21</v>
      </c>
      <c r="F613" s="2">
        <v>32441</v>
      </c>
      <c r="G613" s="2">
        <v>13.590699620000001</v>
      </c>
      <c r="H613" s="2">
        <v>1.920115E-3</v>
      </c>
      <c r="I613" s="2" t="s">
        <v>36537</v>
      </c>
      <c r="J613" s="2" t="s">
        <v>36538</v>
      </c>
      <c r="K613" s="2">
        <v>1.5188681000000001E-2</v>
      </c>
      <c r="L613" s="2" t="s">
        <v>35</v>
      </c>
      <c r="M613" s="4" t="s">
        <v>36539</v>
      </c>
    </row>
    <row r="614" spans="1:13">
      <c r="A614" s="2">
        <v>608</v>
      </c>
      <c r="B614" s="2" t="s">
        <v>36540</v>
      </c>
      <c r="C614" s="2">
        <v>4</v>
      </c>
      <c r="D614" s="2">
        <v>341</v>
      </c>
      <c r="E614" s="2">
        <v>47</v>
      </c>
      <c r="F614" s="2">
        <v>32441</v>
      </c>
      <c r="G614" s="2">
        <v>8.0965870090000003</v>
      </c>
      <c r="H614" s="2">
        <v>1.9559460000000001E-3</v>
      </c>
      <c r="I614" s="2" t="s">
        <v>36541</v>
      </c>
      <c r="J614" s="2" t="s">
        <v>36542</v>
      </c>
      <c r="K614" s="2">
        <v>1.5395394E-2</v>
      </c>
      <c r="L614" s="2" t="s">
        <v>35</v>
      </c>
      <c r="M614" s="4" t="s">
        <v>36543</v>
      </c>
    </row>
    <row r="615" spans="1:13">
      <c r="A615" s="2">
        <v>3789</v>
      </c>
      <c r="B615" s="2" t="s">
        <v>25559</v>
      </c>
      <c r="C615" s="2">
        <v>4</v>
      </c>
      <c r="D615" s="2">
        <v>341</v>
      </c>
      <c r="E615" s="2">
        <v>47</v>
      </c>
      <c r="F615" s="2">
        <v>32441</v>
      </c>
      <c r="G615" s="2">
        <v>8.0965870090000003</v>
      </c>
      <c r="H615" s="2">
        <v>1.9559460000000001E-3</v>
      </c>
      <c r="I615" s="2" t="s">
        <v>36544</v>
      </c>
      <c r="J615" s="2" t="s">
        <v>36545</v>
      </c>
      <c r="K615" s="2">
        <v>1.5395394E-2</v>
      </c>
      <c r="L615" s="2" t="s">
        <v>35</v>
      </c>
      <c r="M615" s="4" t="s">
        <v>25562</v>
      </c>
    </row>
    <row r="616" spans="1:13">
      <c r="A616" s="2">
        <v>3983</v>
      </c>
      <c r="B616" s="2" t="s">
        <v>253</v>
      </c>
      <c r="C616" s="2">
        <v>4</v>
      </c>
      <c r="D616" s="2">
        <v>341</v>
      </c>
      <c r="E616" s="2">
        <v>47</v>
      </c>
      <c r="F616" s="2">
        <v>32441</v>
      </c>
      <c r="G616" s="2">
        <v>8.0965870090000003</v>
      </c>
      <c r="H616" s="2">
        <v>1.9559460000000001E-3</v>
      </c>
      <c r="I616" s="2" t="s">
        <v>36546</v>
      </c>
      <c r="J616" s="2" t="s">
        <v>36547</v>
      </c>
      <c r="K616" s="2">
        <v>1.5395394E-2</v>
      </c>
      <c r="L616" s="2" t="s">
        <v>35</v>
      </c>
      <c r="M616" s="4" t="s">
        <v>36548</v>
      </c>
    </row>
    <row r="617" spans="1:13">
      <c r="A617" s="2">
        <v>941</v>
      </c>
      <c r="B617" s="2" t="s">
        <v>2883</v>
      </c>
      <c r="C617" s="2">
        <v>7</v>
      </c>
      <c r="D617" s="2">
        <v>341</v>
      </c>
      <c r="E617" s="2">
        <v>161</v>
      </c>
      <c r="F617" s="2">
        <v>32441</v>
      </c>
      <c r="G617" s="2">
        <v>4.1362998849999997</v>
      </c>
      <c r="H617" s="2">
        <v>1.9640840000000001E-3</v>
      </c>
      <c r="I617" s="2" t="s">
        <v>36549</v>
      </c>
      <c r="J617" s="2" t="s">
        <v>36550</v>
      </c>
      <c r="K617" s="2">
        <v>1.5433942000000001E-2</v>
      </c>
      <c r="L617" s="2" t="s">
        <v>35</v>
      </c>
      <c r="M617" s="4" t="s">
        <v>2884</v>
      </c>
    </row>
    <row r="618" spans="1:13">
      <c r="A618" s="2">
        <v>1351</v>
      </c>
      <c r="B618" s="2" t="s">
        <v>24600</v>
      </c>
      <c r="C618" s="2">
        <v>10</v>
      </c>
      <c r="D618" s="2">
        <v>341</v>
      </c>
      <c r="E618" s="2">
        <v>309</v>
      </c>
      <c r="F618" s="2">
        <v>32441</v>
      </c>
      <c r="G618" s="2">
        <v>3.078799267</v>
      </c>
      <c r="H618" s="2">
        <v>2.01468E-3</v>
      </c>
      <c r="I618" s="2" t="s">
        <v>36551</v>
      </c>
      <c r="J618" s="2" t="s">
        <v>36552</v>
      </c>
      <c r="K618" s="2">
        <v>1.5805447E-2</v>
      </c>
      <c r="L618" s="2" t="s">
        <v>35</v>
      </c>
      <c r="M618" s="4" t="s">
        <v>24603</v>
      </c>
    </row>
    <row r="619" spans="1:13">
      <c r="A619" s="2">
        <v>820</v>
      </c>
      <c r="B619" s="2" t="s">
        <v>36553</v>
      </c>
      <c r="C619" s="2">
        <v>4</v>
      </c>
      <c r="D619" s="2">
        <v>341</v>
      </c>
      <c r="E619" s="2">
        <v>48</v>
      </c>
      <c r="F619" s="2">
        <v>32441</v>
      </c>
      <c r="G619" s="2">
        <v>7.927908113</v>
      </c>
      <c r="H619" s="2">
        <v>2.1017879999999998E-3</v>
      </c>
      <c r="I619" s="2" t="s">
        <v>36554</v>
      </c>
      <c r="J619" s="2" t="s">
        <v>36555</v>
      </c>
      <c r="K619" s="2">
        <v>1.6461699E-2</v>
      </c>
      <c r="L619" s="2" t="s">
        <v>35</v>
      </c>
      <c r="M619" s="4" t="s">
        <v>36556</v>
      </c>
    </row>
    <row r="620" spans="1:13">
      <c r="A620" s="2">
        <v>4526</v>
      </c>
      <c r="B620" s="2" t="s">
        <v>25402</v>
      </c>
      <c r="C620" s="2">
        <v>3</v>
      </c>
      <c r="D620" s="2">
        <v>341</v>
      </c>
      <c r="E620" s="2">
        <v>22</v>
      </c>
      <c r="F620" s="2">
        <v>32441</v>
      </c>
      <c r="G620" s="2">
        <v>12.972940550000001</v>
      </c>
      <c r="H620" s="2">
        <v>2.1652529999999998E-3</v>
      </c>
      <c r="I620" s="2" t="s">
        <v>36557</v>
      </c>
      <c r="J620" s="2" t="s">
        <v>36558</v>
      </c>
      <c r="K620" s="2">
        <v>1.6930926999999998E-2</v>
      </c>
      <c r="L620" s="2" t="s">
        <v>35</v>
      </c>
      <c r="M620" s="4" t="s">
        <v>25405</v>
      </c>
    </row>
    <row r="621" spans="1:13">
      <c r="A621" s="2">
        <v>3667</v>
      </c>
      <c r="B621" s="2" t="s">
        <v>5479</v>
      </c>
      <c r="C621" s="2">
        <v>12</v>
      </c>
      <c r="D621" s="2">
        <v>341</v>
      </c>
      <c r="E621" s="2">
        <v>425</v>
      </c>
      <c r="F621" s="2">
        <v>32441</v>
      </c>
      <c r="G621" s="2">
        <v>2.686161808</v>
      </c>
      <c r="H621" s="2">
        <v>2.2720359999999998E-3</v>
      </c>
      <c r="I621" s="2" t="s">
        <v>36559</v>
      </c>
      <c r="J621" s="2" t="s">
        <v>36560</v>
      </c>
      <c r="K621" s="2">
        <v>1.7736782999999999E-2</v>
      </c>
      <c r="L621" s="2" t="s">
        <v>35</v>
      </c>
      <c r="M621" s="4" t="s">
        <v>5482</v>
      </c>
    </row>
    <row r="622" spans="1:13">
      <c r="A622" s="2">
        <v>2956</v>
      </c>
      <c r="B622" s="2" t="s">
        <v>36561</v>
      </c>
      <c r="C622" s="2">
        <v>5</v>
      </c>
      <c r="D622" s="2">
        <v>341</v>
      </c>
      <c r="E622" s="2">
        <v>83</v>
      </c>
      <c r="F622" s="2">
        <v>32441</v>
      </c>
      <c r="G622" s="2">
        <v>5.7310179129999996</v>
      </c>
      <c r="H622" s="2">
        <v>2.2890950000000001E-3</v>
      </c>
      <c r="I622" s="2" t="s">
        <v>36562</v>
      </c>
      <c r="J622" s="2" t="s">
        <v>36563</v>
      </c>
      <c r="K622" s="2">
        <v>1.7811549999999999E-2</v>
      </c>
      <c r="L622" s="2" t="s">
        <v>35</v>
      </c>
      <c r="M622" s="4" t="s">
        <v>36564</v>
      </c>
    </row>
    <row r="623" spans="1:13">
      <c r="A623" s="2">
        <v>4147</v>
      </c>
      <c r="B623" s="2" t="s">
        <v>24861</v>
      </c>
      <c r="C623" s="2">
        <v>5</v>
      </c>
      <c r="D623" s="2">
        <v>341</v>
      </c>
      <c r="E623" s="2">
        <v>83</v>
      </c>
      <c r="F623" s="2">
        <v>32441</v>
      </c>
      <c r="G623" s="2">
        <v>5.7310179129999996</v>
      </c>
      <c r="H623" s="2">
        <v>2.2890950000000001E-3</v>
      </c>
      <c r="I623" s="2" t="s">
        <v>36565</v>
      </c>
      <c r="J623" s="2" t="s">
        <v>36566</v>
      </c>
      <c r="K623" s="2">
        <v>1.7811549999999999E-2</v>
      </c>
      <c r="L623" s="2" t="s">
        <v>35</v>
      </c>
      <c r="M623" s="4" t="s">
        <v>24864</v>
      </c>
    </row>
    <row r="624" spans="1:13">
      <c r="A624" s="2">
        <v>2795</v>
      </c>
      <c r="B624" s="2" t="s">
        <v>36567</v>
      </c>
      <c r="C624" s="2">
        <v>4</v>
      </c>
      <c r="D624" s="2">
        <v>341</v>
      </c>
      <c r="E624" s="2">
        <v>50</v>
      </c>
      <c r="F624" s="2">
        <v>32441</v>
      </c>
      <c r="G624" s="2">
        <v>7.6107917890000003</v>
      </c>
      <c r="H624" s="2">
        <v>2.4156619999999998E-3</v>
      </c>
      <c r="I624" s="2" t="s">
        <v>36568</v>
      </c>
      <c r="J624" s="2" t="s">
        <v>36569</v>
      </c>
      <c r="K624" s="2">
        <v>1.8674317999999999E-2</v>
      </c>
      <c r="L624" s="2" t="s">
        <v>35</v>
      </c>
      <c r="M624" s="4" t="s">
        <v>36570</v>
      </c>
    </row>
    <row r="625" spans="1:13">
      <c r="A625" s="2">
        <v>3456</v>
      </c>
      <c r="B625" s="2" t="s">
        <v>36571</v>
      </c>
      <c r="C625" s="2">
        <v>10</v>
      </c>
      <c r="D625" s="2">
        <v>341</v>
      </c>
      <c r="E625" s="2">
        <v>317</v>
      </c>
      <c r="F625" s="2">
        <v>32441</v>
      </c>
      <c r="G625" s="2">
        <v>3.001100863</v>
      </c>
      <c r="H625" s="2">
        <v>2.4096719999999999E-3</v>
      </c>
      <c r="I625" s="2" t="s">
        <v>36572</v>
      </c>
      <c r="J625" s="2" t="s">
        <v>36573</v>
      </c>
      <c r="K625" s="2">
        <v>1.8674317999999999E-2</v>
      </c>
      <c r="L625" s="2" t="s">
        <v>35</v>
      </c>
      <c r="M625" s="4" t="s">
        <v>36574</v>
      </c>
    </row>
    <row r="626" spans="1:13">
      <c r="A626" s="2">
        <v>3896</v>
      </c>
      <c r="B626" s="2" t="s">
        <v>6118</v>
      </c>
      <c r="C626" s="2">
        <v>4</v>
      </c>
      <c r="D626" s="2">
        <v>341</v>
      </c>
      <c r="E626" s="2">
        <v>50</v>
      </c>
      <c r="F626" s="2">
        <v>32441</v>
      </c>
      <c r="G626" s="2">
        <v>7.6107917890000003</v>
      </c>
      <c r="H626" s="2">
        <v>2.4156619999999998E-3</v>
      </c>
      <c r="I626" s="2" t="s">
        <v>36575</v>
      </c>
      <c r="J626" s="2" t="s">
        <v>36576</v>
      </c>
      <c r="K626" s="2">
        <v>1.8674317999999999E-2</v>
      </c>
      <c r="L626" s="2" t="s">
        <v>35</v>
      </c>
      <c r="M626" s="4" t="s">
        <v>6121</v>
      </c>
    </row>
    <row r="627" spans="1:13">
      <c r="A627" s="2">
        <v>4453</v>
      </c>
      <c r="B627" s="2" t="s">
        <v>536</v>
      </c>
      <c r="C627" s="2">
        <v>10</v>
      </c>
      <c r="D627" s="2">
        <v>341</v>
      </c>
      <c r="E627" s="2">
        <v>317</v>
      </c>
      <c r="F627" s="2">
        <v>32441</v>
      </c>
      <c r="G627" s="2">
        <v>3.001100863</v>
      </c>
      <c r="H627" s="2">
        <v>2.4096719999999999E-3</v>
      </c>
      <c r="I627" s="2" t="s">
        <v>36577</v>
      </c>
      <c r="J627" s="2" t="s">
        <v>36578</v>
      </c>
      <c r="K627" s="2">
        <v>1.8674317999999999E-2</v>
      </c>
      <c r="L627" s="2" t="s">
        <v>35</v>
      </c>
      <c r="M627" s="4" t="s">
        <v>24884</v>
      </c>
    </row>
    <row r="628" spans="1:13">
      <c r="A628" s="2">
        <v>2211</v>
      </c>
      <c r="B628" s="2" t="s">
        <v>36579</v>
      </c>
      <c r="C628" s="2">
        <v>3</v>
      </c>
      <c r="D628" s="2">
        <v>341</v>
      </c>
      <c r="E628" s="2">
        <v>23</v>
      </c>
      <c r="F628" s="2">
        <v>32441</v>
      </c>
      <c r="G628" s="2">
        <v>12.408899659999999</v>
      </c>
      <c r="H628" s="2">
        <v>2.4289580000000002E-3</v>
      </c>
      <c r="I628" s="2" t="s">
        <v>36580</v>
      </c>
      <c r="J628" s="2" t="s">
        <v>36581</v>
      </c>
      <c r="K628" s="2">
        <v>1.8746677E-2</v>
      </c>
      <c r="L628" s="2" t="s">
        <v>35</v>
      </c>
      <c r="M628" s="4" t="s">
        <v>36582</v>
      </c>
    </row>
    <row r="629" spans="1:13">
      <c r="A629" s="2">
        <v>3475</v>
      </c>
      <c r="B629" s="2" t="s">
        <v>24727</v>
      </c>
      <c r="C629" s="2">
        <v>16</v>
      </c>
      <c r="D629" s="2">
        <v>341</v>
      </c>
      <c r="E629" s="2">
        <v>673</v>
      </c>
      <c r="F629" s="2">
        <v>32441</v>
      </c>
      <c r="G629" s="2">
        <v>2.2617509029999998</v>
      </c>
      <c r="H629" s="2">
        <v>2.5488450000000001E-3</v>
      </c>
      <c r="I629" s="2" t="s">
        <v>36583</v>
      </c>
      <c r="J629" s="2" t="s">
        <v>36584</v>
      </c>
      <c r="K629" s="2">
        <v>1.9640127E-2</v>
      </c>
      <c r="L629" s="2" t="s">
        <v>35</v>
      </c>
      <c r="M629" s="4" t="s">
        <v>24730</v>
      </c>
    </row>
    <row r="630" spans="1:13">
      <c r="A630" s="2">
        <v>775</v>
      </c>
      <c r="B630" s="2" t="s">
        <v>36585</v>
      </c>
      <c r="C630" s="2">
        <v>4</v>
      </c>
      <c r="D630" s="2">
        <v>341</v>
      </c>
      <c r="E630" s="2">
        <v>51</v>
      </c>
      <c r="F630" s="2">
        <v>32441</v>
      </c>
      <c r="G630" s="2">
        <v>7.4615605770000002</v>
      </c>
      <c r="H630" s="2">
        <v>2.5840590000000001E-3</v>
      </c>
      <c r="I630" s="2" t="s">
        <v>36586</v>
      </c>
      <c r="J630" s="2" t="s">
        <v>36587</v>
      </c>
      <c r="K630" s="2">
        <v>1.9783419E-2</v>
      </c>
      <c r="L630" s="2" t="s">
        <v>35</v>
      </c>
      <c r="M630" s="4" t="s">
        <v>36588</v>
      </c>
    </row>
    <row r="631" spans="1:13">
      <c r="A631" s="2">
        <v>1248</v>
      </c>
      <c r="B631" s="2" t="s">
        <v>36589</v>
      </c>
      <c r="C631" s="2">
        <v>4</v>
      </c>
      <c r="D631" s="2">
        <v>341</v>
      </c>
      <c r="E631" s="2">
        <v>51</v>
      </c>
      <c r="F631" s="2">
        <v>32441</v>
      </c>
      <c r="G631" s="2">
        <v>7.4615605770000002</v>
      </c>
      <c r="H631" s="2">
        <v>2.5840590000000001E-3</v>
      </c>
      <c r="I631" s="2" t="s">
        <v>36590</v>
      </c>
      <c r="J631" s="2" t="s">
        <v>36591</v>
      </c>
      <c r="K631" s="2">
        <v>1.9783419E-2</v>
      </c>
      <c r="L631" s="2" t="s">
        <v>35</v>
      </c>
      <c r="M631" s="4" t="s">
        <v>36592</v>
      </c>
    </row>
    <row r="632" spans="1:13">
      <c r="A632" s="2">
        <v>3523</v>
      </c>
      <c r="B632" s="2" t="s">
        <v>36593</v>
      </c>
      <c r="C632" s="2">
        <v>4</v>
      </c>
      <c r="D632" s="2">
        <v>341</v>
      </c>
      <c r="E632" s="2">
        <v>51</v>
      </c>
      <c r="F632" s="2">
        <v>32441</v>
      </c>
      <c r="G632" s="2">
        <v>7.4615605770000002</v>
      </c>
      <c r="H632" s="2">
        <v>2.5840590000000001E-3</v>
      </c>
      <c r="I632" s="2" t="s">
        <v>36594</v>
      </c>
      <c r="J632" s="2" t="s">
        <v>36595</v>
      </c>
      <c r="K632" s="2">
        <v>1.9783419E-2</v>
      </c>
      <c r="L632" s="2" t="s">
        <v>35</v>
      </c>
      <c r="M632" s="4" t="s">
        <v>36596</v>
      </c>
    </row>
    <row r="633" spans="1:13">
      <c r="A633" s="2">
        <v>3822</v>
      </c>
      <c r="B633" s="2" t="s">
        <v>36597</v>
      </c>
      <c r="C633" s="2">
        <v>4</v>
      </c>
      <c r="D633" s="2">
        <v>341</v>
      </c>
      <c r="E633" s="2">
        <v>51</v>
      </c>
      <c r="F633" s="2">
        <v>32441</v>
      </c>
      <c r="G633" s="2">
        <v>7.4615605770000002</v>
      </c>
      <c r="H633" s="2">
        <v>2.5840590000000001E-3</v>
      </c>
      <c r="I633" s="2" t="s">
        <v>36598</v>
      </c>
      <c r="J633" s="2" t="s">
        <v>36599</v>
      </c>
      <c r="K633" s="2">
        <v>1.9783419E-2</v>
      </c>
      <c r="L633" s="2" t="s">
        <v>35</v>
      </c>
      <c r="M633" s="4" t="s">
        <v>36600</v>
      </c>
    </row>
    <row r="634" spans="1:13">
      <c r="A634" s="2">
        <v>1493</v>
      </c>
      <c r="B634" s="2" t="s">
        <v>24845</v>
      </c>
      <c r="C634" s="2">
        <v>9</v>
      </c>
      <c r="D634" s="2">
        <v>341</v>
      </c>
      <c r="E634" s="2">
        <v>269</v>
      </c>
      <c r="F634" s="2">
        <v>32441</v>
      </c>
      <c r="G634" s="2">
        <v>3.1829519560000001</v>
      </c>
      <c r="H634" s="2">
        <v>2.6885630000000002E-3</v>
      </c>
      <c r="I634" s="2" t="s">
        <v>36601</v>
      </c>
      <c r="J634" s="2" t="s">
        <v>36602</v>
      </c>
      <c r="K634" s="2">
        <v>2.0550460999999999E-2</v>
      </c>
      <c r="L634" s="2" t="s">
        <v>35</v>
      </c>
      <c r="M634" s="4" t="s">
        <v>24848</v>
      </c>
    </row>
    <row r="635" spans="1:13">
      <c r="A635" s="2">
        <v>1315</v>
      </c>
      <c r="B635" s="2" t="s">
        <v>36603</v>
      </c>
      <c r="C635" s="2">
        <v>3</v>
      </c>
      <c r="D635" s="2">
        <v>341</v>
      </c>
      <c r="E635" s="2">
        <v>24</v>
      </c>
      <c r="F635" s="2">
        <v>32441</v>
      </c>
      <c r="G635" s="2">
        <v>11.89186217</v>
      </c>
      <c r="H635" s="2">
        <v>2.711691E-3</v>
      </c>
      <c r="I635" s="2" t="s">
        <v>36604</v>
      </c>
      <c r="J635" s="2" t="s">
        <v>36605</v>
      </c>
      <c r="K635" s="2">
        <v>2.0660919E-2</v>
      </c>
      <c r="L635" s="2" t="s">
        <v>35</v>
      </c>
      <c r="M635" s="4" t="s">
        <v>36606</v>
      </c>
    </row>
    <row r="636" spans="1:13">
      <c r="A636" s="2">
        <v>3246</v>
      </c>
      <c r="B636" s="2" t="s">
        <v>36607</v>
      </c>
      <c r="C636" s="2">
        <v>3</v>
      </c>
      <c r="D636" s="2">
        <v>341</v>
      </c>
      <c r="E636" s="2">
        <v>24</v>
      </c>
      <c r="F636" s="2">
        <v>32441</v>
      </c>
      <c r="G636" s="2">
        <v>11.89186217</v>
      </c>
      <c r="H636" s="2">
        <v>2.711691E-3</v>
      </c>
      <c r="I636" s="2" t="s">
        <v>36608</v>
      </c>
      <c r="J636" s="2" t="s">
        <v>36609</v>
      </c>
      <c r="K636" s="2">
        <v>2.0660919E-2</v>
      </c>
      <c r="L636" s="2" t="s">
        <v>35</v>
      </c>
      <c r="M636" s="4" t="s">
        <v>36610</v>
      </c>
    </row>
    <row r="637" spans="1:13">
      <c r="A637" s="2">
        <v>2650</v>
      </c>
      <c r="B637" s="2" t="s">
        <v>6179</v>
      </c>
      <c r="C637" s="2">
        <v>4</v>
      </c>
      <c r="D637" s="2">
        <v>341</v>
      </c>
      <c r="E637" s="2">
        <v>52</v>
      </c>
      <c r="F637" s="2">
        <v>32441</v>
      </c>
      <c r="G637" s="2">
        <v>7.318069028</v>
      </c>
      <c r="H637" s="2">
        <v>2.7603369999999999E-3</v>
      </c>
      <c r="I637" s="2" t="s">
        <v>36611</v>
      </c>
      <c r="J637" s="2" t="s">
        <v>36612</v>
      </c>
      <c r="K637" s="2">
        <v>2.099796E-2</v>
      </c>
      <c r="L637" s="2" t="s">
        <v>35</v>
      </c>
      <c r="M637" s="4" t="s">
        <v>6182</v>
      </c>
    </row>
    <row r="638" spans="1:13">
      <c r="A638" s="2">
        <v>4641</v>
      </c>
      <c r="B638" s="2" t="s">
        <v>36613</v>
      </c>
      <c r="C638" s="2">
        <v>8</v>
      </c>
      <c r="D638" s="2">
        <v>341</v>
      </c>
      <c r="E638" s="2">
        <v>220</v>
      </c>
      <c r="F638" s="2">
        <v>32441</v>
      </c>
      <c r="G638" s="2">
        <v>3.4594508130000001</v>
      </c>
      <c r="H638" s="2">
        <v>2.8068070000000001E-3</v>
      </c>
      <c r="I638" s="2" t="s">
        <v>36614</v>
      </c>
      <c r="J638" s="2" t="s">
        <v>36615</v>
      </c>
      <c r="K638" s="2">
        <v>2.1317412000000001E-2</v>
      </c>
      <c r="L638" s="2" t="s">
        <v>35</v>
      </c>
      <c r="M638" s="4" t="s">
        <v>36616</v>
      </c>
    </row>
    <row r="639" spans="1:13">
      <c r="A639" s="2">
        <v>4224</v>
      </c>
      <c r="B639" s="2" t="s">
        <v>24501</v>
      </c>
      <c r="C639" s="2">
        <v>8</v>
      </c>
      <c r="D639" s="2">
        <v>341</v>
      </c>
      <c r="E639" s="2">
        <v>221</v>
      </c>
      <c r="F639" s="2">
        <v>32441</v>
      </c>
      <c r="G639" s="2">
        <v>3.4437971900000002</v>
      </c>
      <c r="H639" s="2">
        <v>2.8827739999999998E-3</v>
      </c>
      <c r="I639" s="2" t="s">
        <v>36617</v>
      </c>
      <c r="J639" s="2" t="s">
        <v>36618</v>
      </c>
      <c r="K639" s="2">
        <v>2.1859502999999999E-2</v>
      </c>
      <c r="L639" s="2" t="s">
        <v>35</v>
      </c>
      <c r="M639" s="4" t="s">
        <v>24504</v>
      </c>
    </row>
    <row r="640" spans="1:13">
      <c r="A640" s="2">
        <v>1850</v>
      </c>
      <c r="B640" s="2" t="s">
        <v>36619</v>
      </c>
      <c r="C640" s="2">
        <v>2</v>
      </c>
      <c r="D640" s="2">
        <v>341</v>
      </c>
      <c r="E640" s="2">
        <v>6</v>
      </c>
      <c r="F640" s="2">
        <v>32441</v>
      </c>
      <c r="G640" s="2">
        <v>31.71163245</v>
      </c>
      <c r="H640" s="2">
        <v>2.8983070000000001E-3</v>
      </c>
      <c r="I640" s="2" t="s">
        <v>36620</v>
      </c>
      <c r="J640" s="2" t="s">
        <v>36621</v>
      </c>
      <c r="K640" s="2">
        <v>2.1907523000000002E-2</v>
      </c>
      <c r="L640" s="2" t="s">
        <v>35</v>
      </c>
      <c r="M640" s="4" t="s">
        <v>36622</v>
      </c>
    </row>
    <row r="641" spans="1:13">
      <c r="A641" s="2">
        <v>2400</v>
      </c>
      <c r="B641" s="2" t="s">
        <v>36623</v>
      </c>
      <c r="C641" s="2">
        <v>2</v>
      </c>
      <c r="D641" s="2">
        <v>341</v>
      </c>
      <c r="E641" s="2">
        <v>6</v>
      </c>
      <c r="F641" s="2">
        <v>32441</v>
      </c>
      <c r="G641" s="2">
        <v>31.71163245</v>
      </c>
      <c r="H641" s="2">
        <v>2.8983070000000001E-3</v>
      </c>
      <c r="I641" s="2" t="s">
        <v>36624</v>
      </c>
      <c r="J641" s="2" t="s">
        <v>36625</v>
      </c>
      <c r="K641" s="2">
        <v>2.1907523000000002E-2</v>
      </c>
      <c r="L641" s="2" t="s">
        <v>35</v>
      </c>
      <c r="M641" s="4" t="s">
        <v>36626</v>
      </c>
    </row>
    <row r="642" spans="1:13">
      <c r="A642" s="2">
        <v>2724</v>
      </c>
      <c r="B642" s="2" t="s">
        <v>36627</v>
      </c>
      <c r="C642" s="2">
        <v>3</v>
      </c>
      <c r="D642" s="2">
        <v>341</v>
      </c>
      <c r="E642" s="2">
        <v>25</v>
      </c>
      <c r="F642" s="2">
        <v>32441</v>
      </c>
      <c r="G642" s="2">
        <v>11.41618768</v>
      </c>
      <c r="H642" s="2">
        <v>3.0138919999999998E-3</v>
      </c>
      <c r="I642" s="2" t="s">
        <v>36628</v>
      </c>
      <c r="J642" s="2" t="s">
        <v>36629</v>
      </c>
      <c r="K642" s="2">
        <v>2.2673228E-2</v>
      </c>
      <c r="L642" s="2" t="s">
        <v>35</v>
      </c>
      <c r="M642" s="4" t="s">
        <v>36630</v>
      </c>
    </row>
    <row r="643" spans="1:13">
      <c r="A643" s="2">
        <v>3202</v>
      </c>
      <c r="B643" s="2" t="s">
        <v>36631</v>
      </c>
      <c r="C643" s="2">
        <v>3</v>
      </c>
      <c r="D643" s="2">
        <v>341</v>
      </c>
      <c r="E643" s="2">
        <v>25</v>
      </c>
      <c r="F643" s="2">
        <v>32441</v>
      </c>
      <c r="G643" s="2">
        <v>11.41618768</v>
      </c>
      <c r="H643" s="2">
        <v>3.0138919999999998E-3</v>
      </c>
      <c r="I643" s="2" t="s">
        <v>36632</v>
      </c>
      <c r="J643" s="2" t="s">
        <v>36633</v>
      </c>
      <c r="K643" s="2">
        <v>2.2673228E-2</v>
      </c>
      <c r="L643" s="2" t="s">
        <v>35</v>
      </c>
      <c r="M643" s="4" t="s">
        <v>36634</v>
      </c>
    </row>
    <row r="644" spans="1:13">
      <c r="A644" s="2">
        <v>3703</v>
      </c>
      <c r="B644" s="2" t="s">
        <v>36635</v>
      </c>
      <c r="C644" s="2">
        <v>3</v>
      </c>
      <c r="D644" s="2">
        <v>341</v>
      </c>
      <c r="E644" s="2">
        <v>25</v>
      </c>
      <c r="F644" s="2">
        <v>32441</v>
      </c>
      <c r="G644" s="2">
        <v>11.41618768</v>
      </c>
      <c r="H644" s="2">
        <v>3.0138919999999998E-3</v>
      </c>
      <c r="I644" s="2" t="s">
        <v>36636</v>
      </c>
      <c r="J644" s="2" t="s">
        <v>36637</v>
      </c>
      <c r="K644" s="2">
        <v>2.2673228E-2</v>
      </c>
      <c r="L644" s="2" t="s">
        <v>35</v>
      </c>
      <c r="M644" s="4" t="s">
        <v>36638</v>
      </c>
    </row>
    <row r="645" spans="1:13">
      <c r="A645" s="2">
        <v>622</v>
      </c>
      <c r="B645" s="2" t="s">
        <v>36639</v>
      </c>
      <c r="C645" s="2">
        <v>4</v>
      </c>
      <c r="D645" s="2">
        <v>341</v>
      </c>
      <c r="E645" s="2">
        <v>54</v>
      </c>
      <c r="F645" s="2">
        <v>32441</v>
      </c>
      <c r="G645" s="2">
        <v>7.0470294339999997</v>
      </c>
      <c r="H645" s="2">
        <v>3.1372499999999998E-3</v>
      </c>
      <c r="I645" s="2" t="s">
        <v>36640</v>
      </c>
      <c r="J645" s="2" t="s">
        <v>36641</v>
      </c>
      <c r="K645" s="2">
        <v>2.3564015000000001E-2</v>
      </c>
      <c r="L645" s="2" t="s">
        <v>35</v>
      </c>
      <c r="M645" s="4" t="s">
        <v>36642</v>
      </c>
    </row>
    <row r="646" spans="1:13">
      <c r="A646" s="2">
        <v>1557</v>
      </c>
      <c r="B646" s="2" t="s">
        <v>25525</v>
      </c>
      <c r="C646" s="2">
        <v>9</v>
      </c>
      <c r="D646" s="2">
        <v>341</v>
      </c>
      <c r="E646" s="2">
        <v>276</v>
      </c>
      <c r="F646" s="2">
        <v>32441</v>
      </c>
      <c r="G646" s="2">
        <v>3.1022249139999998</v>
      </c>
      <c r="H646" s="2">
        <v>3.1692080000000002E-3</v>
      </c>
      <c r="I646" s="2" t="s">
        <v>36643</v>
      </c>
      <c r="J646" s="2" t="s">
        <v>36644</v>
      </c>
      <c r="K646" s="2">
        <v>2.3766562000000001E-2</v>
      </c>
      <c r="L646" s="2" t="s">
        <v>35</v>
      </c>
      <c r="M646" s="4" t="s">
        <v>25528</v>
      </c>
    </row>
    <row r="647" spans="1:13">
      <c r="A647" s="2">
        <v>4369</v>
      </c>
      <c r="B647" s="2" t="s">
        <v>36645</v>
      </c>
      <c r="C647" s="2">
        <v>7</v>
      </c>
      <c r="D647" s="2">
        <v>341</v>
      </c>
      <c r="E647" s="2">
        <v>177</v>
      </c>
      <c r="F647" s="2">
        <v>32441</v>
      </c>
      <c r="G647" s="2">
        <v>3.7623970710000001</v>
      </c>
      <c r="H647" s="2">
        <v>3.2641760000000001E-3</v>
      </c>
      <c r="I647" s="2" t="s">
        <v>36646</v>
      </c>
      <c r="J647" s="2" t="s">
        <v>36647</v>
      </c>
      <c r="K647" s="2">
        <v>2.4440262000000001E-2</v>
      </c>
      <c r="L647" s="2" t="s">
        <v>35</v>
      </c>
      <c r="M647" s="4" t="s">
        <v>36648</v>
      </c>
    </row>
    <row r="648" spans="1:13">
      <c r="A648" s="2">
        <v>1227</v>
      </c>
      <c r="B648" s="2" t="s">
        <v>508</v>
      </c>
      <c r="C648" s="2">
        <v>6</v>
      </c>
      <c r="D648" s="2">
        <v>341</v>
      </c>
      <c r="E648" s="2">
        <v>132</v>
      </c>
      <c r="F648" s="2">
        <v>32441</v>
      </c>
      <c r="G648" s="2">
        <v>4.3243135160000001</v>
      </c>
      <c r="H648" s="2">
        <v>3.304314E-3</v>
      </c>
      <c r="I648" s="2" t="s">
        <v>36649</v>
      </c>
      <c r="J648" s="2" t="s">
        <v>36650</v>
      </c>
      <c r="K648" s="2">
        <v>2.470195E-2</v>
      </c>
      <c r="L648" s="2" t="s">
        <v>35</v>
      </c>
      <c r="M648" s="4" t="s">
        <v>6162</v>
      </c>
    </row>
    <row r="649" spans="1:13">
      <c r="A649" s="2">
        <v>290</v>
      </c>
      <c r="B649" s="2" t="s">
        <v>36651</v>
      </c>
      <c r="C649" s="2">
        <v>3</v>
      </c>
      <c r="D649" s="2">
        <v>341</v>
      </c>
      <c r="E649" s="2">
        <v>26</v>
      </c>
      <c r="F649" s="2">
        <v>32441</v>
      </c>
      <c r="G649" s="2">
        <v>10.97710354</v>
      </c>
      <c r="H649" s="2">
        <v>3.3359800000000001E-3</v>
      </c>
      <c r="I649" s="2" t="s">
        <v>36652</v>
      </c>
      <c r="J649" s="2" t="s">
        <v>36653</v>
      </c>
      <c r="K649" s="2">
        <v>2.4838579E-2</v>
      </c>
      <c r="L649" s="2" t="s">
        <v>35</v>
      </c>
      <c r="M649" s="4" t="s">
        <v>36654</v>
      </c>
    </row>
    <row r="650" spans="1:13">
      <c r="A650" s="2">
        <v>1706</v>
      </c>
      <c r="B650" s="2" t="s">
        <v>25760</v>
      </c>
      <c r="C650" s="2">
        <v>4</v>
      </c>
      <c r="D650" s="2">
        <v>341</v>
      </c>
      <c r="E650" s="2">
        <v>55</v>
      </c>
      <c r="F650" s="2">
        <v>32441</v>
      </c>
      <c r="G650" s="2">
        <v>6.9189016260000002</v>
      </c>
      <c r="H650" s="2">
        <v>3.3382379999999999E-3</v>
      </c>
      <c r="I650" s="2" t="s">
        <v>36655</v>
      </c>
      <c r="J650" s="2" t="s">
        <v>36656</v>
      </c>
      <c r="K650" s="2">
        <v>2.4838579E-2</v>
      </c>
      <c r="L650" s="2" t="s">
        <v>35</v>
      </c>
      <c r="M650" s="4" t="s">
        <v>25763</v>
      </c>
    </row>
    <row r="651" spans="1:13">
      <c r="A651" s="2">
        <v>3421</v>
      </c>
      <c r="B651" s="2" t="s">
        <v>36657</v>
      </c>
      <c r="C651" s="2">
        <v>3</v>
      </c>
      <c r="D651" s="2">
        <v>341</v>
      </c>
      <c r="E651" s="2">
        <v>26</v>
      </c>
      <c r="F651" s="2">
        <v>32441</v>
      </c>
      <c r="G651" s="2">
        <v>10.97710354</v>
      </c>
      <c r="H651" s="2">
        <v>3.3359800000000001E-3</v>
      </c>
      <c r="I651" s="2" t="s">
        <v>36658</v>
      </c>
      <c r="J651" s="2" t="s">
        <v>36659</v>
      </c>
      <c r="K651" s="2">
        <v>2.4838579E-2</v>
      </c>
      <c r="L651" s="2" t="s">
        <v>35</v>
      </c>
      <c r="M651" s="4" t="s">
        <v>36660</v>
      </c>
    </row>
    <row r="652" spans="1:13">
      <c r="A652" s="2">
        <v>2937</v>
      </c>
      <c r="B652" s="2" t="s">
        <v>6364</v>
      </c>
      <c r="C652" s="2">
        <v>11</v>
      </c>
      <c r="D652" s="2">
        <v>341</v>
      </c>
      <c r="E652" s="2">
        <v>390</v>
      </c>
      <c r="F652" s="2">
        <v>32441</v>
      </c>
      <c r="G652" s="2">
        <v>2.6832919770000001</v>
      </c>
      <c r="H652" s="2">
        <v>3.438212E-3</v>
      </c>
      <c r="I652" s="2" t="s">
        <v>36661</v>
      </c>
      <c r="J652" s="2" t="s">
        <v>36662</v>
      </c>
      <c r="K652" s="2">
        <v>2.5542533999999999E-2</v>
      </c>
      <c r="L652" s="2" t="s">
        <v>35</v>
      </c>
      <c r="M652" s="4" t="s">
        <v>6367</v>
      </c>
    </row>
    <row r="653" spans="1:13">
      <c r="A653" s="2">
        <v>2848</v>
      </c>
      <c r="B653" s="2" t="s">
        <v>36663</v>
      </c>
      <c r="C653" s="2">
        <v>4</v>
      </c>
      <c r="D653" s="2">
        <v>341</v>
      </c>
      <c r="E653" s="2">
        <v>56</v>
      </c>
      <c r="F653" s="2">
        <v>32441</v>
      </c>
      <c r="G653" s="2">
        <v>6.7953498110000004</v>
      </c>
      <c r="H653" s="2">
        <v>3.5478129999999999E-3</v>
      </c>
      <c r="I653" s="2" t="s">
        <v>36664</v>
      </c>
      <c r="J653" s="2" t="s">
        <v>36665</v>
      </c>
      <c r="K653" s="2">
        <v>2.6315709E-2</v>
      </c>
      <c r="L653" s="2" t="s">
        <v>35</v>
      </c>
      <c r="M653" s="4" t="s">
        <v>36666</v>
      </c>
    </row>
    <row r="654" spans="1:13">
      <c r="A654" s="2">
        <v>1223</v>
      </c>
      <c r="B654" s="2" t="s">
        <v>24935</v>
      </c>
      <c r="C654" s="2">
        <v>3</v>
      </c>
      <c r="D654" s="2">
        <v>341</v>
      </c>
      <c r="E654" s="2">
        <v>27</v>
      </c>
      <c r="F654" s="2">
        <v>32441</v>
      </c>
      <c r="G654" s="2">
        <v>10.57054415</v>
      </c>
      <c r="H654" s="2">
        <v>3.6783570000000002E-3</v>
      </c>
      <c r="I654" s="2" t="s">
        <v>36667</v>
      </c>
      <c r="J654" s="2" t="s">
        <v>36668</v>
      </c>
      <c r="K654" s="2">
        <v>2.7199280999999999E-2</v>
      </c>
      <c r="L654" s="2" t="s">
        <v>35</v>
      </c>
      <c r="M654" s="4" t="s">
        <v>24938</v>
      </c>
    </row>
    <row r="655" spans="1:13">
      <c r="A655" s="2">
        <v>1864</v>
      </c>
      <c r="B655" s="2" t="s">
        <v>36669</v>
      </c>
      <c r="C655" s="2">
        <v>7</v>
      </c>
      <c r="D655" s="2">
        <v>341</v>
      </c>
      <c r="E655" s="2">
        <v>181</v>
      </c>
      <c r="F655" s="2">
        <v>32441</v>
      </c>
      <c r="G655" s="2">
        <v>3.6792501739999999</v>
      </c>
      <c r="H655" s="2">
        <v>3.673351E-3</v>
      </c>
      <c r="I655" s="2" t="s">
        <v>36670</v>
      </c>
      <c r="J655" s="2" t="s">
        <v>36671</v>
      </c>
      <c r="K655" s="2">
        <v>2.7199280999999999E-2</v>
      </c>
      <c r="L655" s="2" t="s">
        <v>35</v>
      </c>
      <c r="M655" s="4" t="s">
        <v>36672</v>
      </c>
    </row>
    <row r="656" spans="1:13">
      <c r="A656" s="2">
        <v>3038</v>
      </c>
      <c r="B656" s="2" t="s">
        <v>25372</v>
      </c>
      <c r="C656" s="2">
        <v>4</v>
      </c>
      <c r="D656" s="2">
        <v>341</v>
      </c>
      <c r="E656" s="2">
        <v>58</v>
      </c>
      <c r="F656" s="2">
        <v>32441</v>
      </c>
      <c r="G656" s="2">
        <v>6.5610274039999998</v>
      </c>
      <c r="H656" s="2">
        <v>3.993407E-3</v>
      </c>
      <c r="I656" s="2" t="s">
        <v>36673</v>
      </c>
      <c r="J656" s="2" t="s">
        <v>36674</v>
      </c>
      <c r="K656" s="2">
        <v>2.9483104999999999E-2</v>
      </c>
      <c r="L656" s="2" t="s">
        <v>35</v>
      </c>
      <c r="M656" s="4" t="s">
        <v>25375</v>
      </c>
    </row>
    <row r="657" spans="1:13">
      <c r="A657" s="2">
        <v>1592</v>
      </c>
      <c r="B657" s="2" t="s">
        <v>6255</v>
      </c>
      <c r="C657" s="2">
        <v>12</v>
      </c>
      <c r="D657" s="2">
        <v>341</v>
      </c>
      <c r="E657" s="2">
        <v>457</v>
      </c>
      <c r="F657" s="2">
        <v>32441</v>
      </c>
      <c r="G657" s="2">
        <v>2.4980717029999999</v>
      </c>
      <c r="H657" s="2">
        <v>4.0047609999999999E-3</v>
      </c>
      <c r="I657" s="2" t="s">
        <v>36675</v>
      </c>
      <c r="J657" s="2" t="s">
        <v>36676</v>
      </c>
      <c r="K657" s="2">
        <v>2.9521162E-2</v>
      </c>
      <c r="L657" s="2" t="s">
        <v>35</v>
      </c>
      <c r="M657" s="4" t="s">
        <v>6258</v>
      </c>
    </row>
    <row r="658" spans="1:13">
      <c r="A658" s="2">
        <v>96</v>
      </c>
      <c r="B658" s="2" t="s">
        <v>25052</v>
      </c>
      <c r="C658" s="2">
        <v>6</v>
      </c>
      <c r="D658" s="2">
        <v>341</v>
      </c>
      <c r="E658" s="2">
        <v>138</v>
      </c>
      <c r="F658" s="2">
        <v>32441</v>
      </c>
      <c r="G658" s="2">
        <v>4.1362998849999997</v>
      </c>
      <c r="H658" s="2">
        <v>4.0703570000000001E-3</v>
      </c>
      <c r="I658" s="2" t="s">
        <v>36677</v>
      </c>
      <c r="J658" s="2" t="s">
        <v>36678</v>
      </c>
      <c r="K658" s="2">
        <v>2.9866008999999999E-2</v>
      </c>
      <c r="L658" s="2" t="s">
        <v>35</v>
      </c>
      <c r="M658" s="4" t="s">
        <v>25055</v>
      </c>
    </row>
    <row r="659" spans="1:13">
      <c r="A659" s="2">
        <v>3026</v>
      </c>
      <c r="B659" s="2" t="s">
        <v>442</v>
      </c>
      <c r="C659" s="2">
        <v>6</v>
      </c>
      <c r="D659" s="2">
        <v>341</v>
      </c>
      <c r="E659" s="2">
        <v>138</v>
      </c>
      <c r="F659" s="2">
        <v>32441</v>
      </c>
      <c r="G659" s="2">
        <v>4.1362998849999997</v>
      </c>
      <c r="H659" s="2">
        <v>4.0703570000000001E-3</v>
      </c>
      <c r="I659" s="2" t="s">
        <v>36679</v>
      </c>
      <c r="J659" s="2" t="s">
        <v>36680</v>
      </c>
      <c r="K659" s="2">
        <v>2.9866008999999999E-2</v>
      </c>
      <c r="L659" s="2" t="s">
        <v>35</v>
      </c>
      <c r="M659" s="4" t="s">
        <v>36681</v>
      </c>
    </row>
    <row r="660" spans="1:13">
      <c r="A660" s="2">
        <v>3192</v>
      </c>
      <c r="B660" s="2" t="s">
        <v>36682</v>
      </c>
      <c r="C660" s="2">
        <v>9</v>
      </c>
      <c r="D660" s="2">
        <v>341</v>
      </c>
      <c r="E660" s="2">
        <v>287</v>
      </c>
      <c r="F660" s="2">
        <v>32441</v>
      </c>
      <c r="G660" s="2">
        <v>2.9833243070000002</v>
      </c>
      <c r="H660" s="2">
        <v>4.0586870000000001E-3</v>
      </c>
      <c r="I660" s="2" t="s">
        <v>36683</v>
      </c>
      <c r="J660" s="2" t="s">
        <v>36684</v>
      </c>
      <c r="K660" s="2">
        <v>2.9866008999999999E-2</v>
      </c>
      <c r="L660" s="2" t="s">
        <v>35</v>
      </c>
      <c r="M660" s="4" t="s">
        <v>36685</v>
      </c>
    </row>
    <row r="661" spans="1:13">
      <c r="A661" s="2">
        <v>2032</v>
      </c>
      <c r="B661" s="2" t="s">
        <v>24562</v>
      </c>
      <c r="C661" s="2">
        <v>16</v>
      </c>
      <c r="D661" s="2">
        <v>341</v>
      </c>
      <c r="E661" s="2">
        <v>712</v>
      </c>
      <c r="F661" s="2">
        <v>32441</v>
      </c>
      <c r="G661" s="2">
        <v>2.137862862</v>
      </c>
      <c r="H661" s="2">
        <v>4.3299000000000002E-3</v>
      </c>
      <c r="I661" s="2" t="s">
        <v>36686</v>
      </c>
      <c r="J661" s="2" t="s">
        <v>36687</v>
      </c>
      <c r="K661" s="2">
        <v>3.1721515999999998E-2</v>
      </c>
      <c r="L661" s="2" t="s">
        <v>35</v>
      </c>
      <c r="M661" s="4" t="s">
        <v>24565</v>
      </c>
    </row>
    <row r="662" spans="1:13">
      <c r="A662" s="2">
        <v>832</v>
      </c>
      <c r="B662" s="2" t="s">
        <v>2856</v>
      </c>
      <c r="C662" s="2">
        <v>6</v>
      </c>
      <c r="D662" s="2">
        <v>341</v>
      </c>
      <c r="E662" s="2">
        <v>140</v>
      </c>
      <c r="F662" s="2">
        <v>32441</v>
      </c>
      <c r="G662" s="2">
        <v>4.0772098870000004</v>
      </c>
      <c r="H662" s="2">
        <v>4.3527189999999997E-3</v>
      </c>
      <c r="I662" s="2" t="s">
        <v>36688</v>
      </c>
      <c r="J662" s="2" t="s">
        <v>36689</v>
      </c>
      <c r="K662" s="2">
        <v>3.1839701999999998E-2</v>
      </c>
      <c r="L662" s="2" t="s">
        <v>35</v>
      </c>
      <c r="M662" s="4" t="s">
        <v>2859</v>
      </c>
    </row>
    <row r="663" spans="1:13">
      <c r="A663" s="2">
        <v>3803</v>
      </c>
      <c r="B663" s="2" t="s">
        <v>36690</v>
      </c>
      <c r="C663" s="2">
        <v>3</v>
      </c>
      <c r="D663" s="2">
        <v>341</v>
      </c>
      <c r="E663" s="2">
        <v>29</v>
      </c>
      <c r="F663" s="2">
        <v>32441</v>
      </c>
      <c r="G663" s="2">
        <v>9.8415411059999993</v>
      </c>
      <c r="H663" s="2">
        <v>4.425483E-3</v>
      </c>
      <c r="I663" s="2" t="s">
        <v>36691</v>
      </c>
      <c r="J663" s="2" t="s">
        <v>36692</v>
      </c>
      <c r="K663" s="2">
        <v>3.2272818000000002E-2</v>
      </c>
      <c r="L663" s="2" t="s">
        <v>35</v>
      </c>
      <c r="M663" s="4" t="s">
        <v>36693</v>
      </c>
    </row>
    <row r="664" spans="1:13">
      <c r="A664" s="2">
        <v>3836</v>
      </c>
      <c r="B664" s="2" t="s">
        <v>5507</v>
      </c>
      <c r="C664" s="2">
        <v>3</v>
      </c>
      <c r="D664" s="2">
        <v>341</v>
      </c>
      <c r="E664" s="2">
        <v>29</v>
      </c>
      <c r="F664" s="2">
        <v>32441</v>
      </c>
      <c r="G664" s="2">
        <v>9.8415411059999993</v>
      </c>
      <c r="H664" s="2">
        <v>4.425483E-3</v>
      </c>
      <c r="I664" s="2" t="s">
        <v>36694</v>
      </c>
      <c r="J664" s="2" t="s">
        <v>36695</v>
      </c>
      <c r="K664" s="2">
        <v>3.2272818000000002E-2</v>
      </c>
      <c r="L664" s="2" t="s">
        <v>35</v>
      </c>
      <c r="M664" s="4" t="s">
        <v>5510</v>
      </c>
    </row>
    <row r="665" spans="1:13">
      <c r="A665" s="2">
        <v>3457</v>
      </c>
      <c r="B665" s="2" t="s">
        <v>3858</v>
      </c>
      <c r="C665" s="2">
        <v>9</v>
      </c>
      <c r="D665" s="2">
        <v>341</v>
      </c>
      <c r="E665" s="2">
        <v>292</v>
      </c>
      <c r="F665" s="2">
        <v>32441</v>
      </c>
      <c r="G665" s="2">
        <v>2.932239987</v>
      </c>
      <c r="H665" s="2">
        <v>4.5224929999999998E-3</v>
      </c>
      <c r="I665" s="2" t="s">
        <v>36696</v>
      </c>
      <c r="J665" s="2" t="s">
        <v>36697</v>
      </c>
      <c r="K665" s="2">
        <v>3.2929833999999998E-2</v>
      </c>
      <c r="L665" s="2" t="s">
        <v>35</v>
      </c>
      <c r="M665" s="4" t="s">
        <v>3861</v>
      </c>
    </row>
    <row r="666" spans="1:13">
      <c r="A666" s="2">
        <v>1218</v>
      </c>
      <c r="B666" s="2" t="s">
        <v>3990</v>
      </c>
      <c r="C666" s="2">
        <v>12</v>
      </c>
      <c r="D666" s="2">
        <v>341</v>
      </c>
      <c r="E666" s="2">
        <v>466</v>
      </c>
      <c r="F666" s="2">
        <v>32441</v>
      </c>
      <c r="G666" s="2">
        <v>2.4498256829999998</v>
      </c>
      <c r="H666" s="2">
        <v>4.647623E-3</v>
      </c>
      <c r="I666" s="2" t="s">
        <v>35750</v>
      </c>
      <c r="J666" s="2" t="s">
        <v>35751</v>
      </c>
      <c r="K666" s="2">
        <v>3.3789281999999997E-2</v>
      </c>
      <c r="L666" s="2" t="s">
        <v>35</v>
      </c>
      <c r="M666" s="4" t="s">
        <v>3993</v>
      </c>
    </row>
    <row r="667" spans="1:13">
      <c r="A667" s="2">
        <v>1101</v>
      </c>
      <c r="B667" s="2" t="s">
        <v>36698</v>
      </c>
      <c r="C667" s="2">
        <v>4</v>
      </c>
      <c r="D667" s="2">
        <v>341</v>
      </c>
      <c r="E667" s="2">
        <v>61</v>
      </c>
      <c r="F667" s="2">
        <v>32441</v>
      </c>
      <c r="G667" s="2">
        <v>6.2383539250000002</v>
      </c>
      <c r="H667" s="2">
        <v>4.7304260000000002E-3</v>
      </c>
      <c r="I667" s="2" t="s">
        <v>36699</v>
      </c>
      <c r="J667" s="2" t="s">
        <v>36700</v>
      </c>
      <c r="K667" s="2">
        <v>3.4338855000000001E-2</v>
      </c>
      <c r="L667" s="2" t="s">
        <v>35</v>
      </c>
      <c r="M667" s="4" t="s">
        <v>36701</v>
      </c>
    </row>
    <row r="668" spans="1:13">
      <c r="A668" s="2">
        <v>1397</v>
      </c>
      <c r="B668" s="2" t="s">
        <v>2917</v>
      </c>
      <c r="C668" s="2">
        <v>11</v>
      </c>
      <c r="D668" s="2">
        <v>341</v>
      </c>
      <c r="E668" s="2">
        <v>408</v>
      </c>
      <c r="F668" s="2">
        <v>32441</v>
      </c>
      <c r="G668" s="2">
        <v>2.5649114480000001</v>
      </c>
      <c r="H668" s="2">
        <v>4.7633600000000003E-3</v>
      </c>
      <c r="I668" s="2" t="s">
        <v>36702</v>
      </c>
      <c r="J668" s="2" t="s">
        <v>36703</v>
      </c>
      <c r="K668" s="2">
        <v>3.4525298000000003E-2</v>
      </c>
      <c r="L668" s="2" t="s">
        <v>35</v>
      </c>
      <c r="M668" s="4" t="s">
        <v>2920</v>
      </c>
    </row>
    <row r="669" spans="1:13">
      <c r="A669" s="2">
        <v>3068</v>
      </c>
      <c r="B669" s="2" t="s">
        <v>36704</v>
      </c>
      <c r="C669" s="2">
        <v>3</v>
      </c>
      <c r="D669" s="2">
        <v>341</v>
      </c>
      <c r="E669" s="2">
        <v>30</v>
      </c>
      <c r="F669" s="2">
        <v>32441</v>
      </c>
      <c r="G669" s="2">
        <v>9.5134897360000004</v>
      </c>
      <c r="H669" s="2">
        <v>4.8309390000000002E-3</v>
      </c>
      <c r="I669" s="2" t="s">
        <v>36705</v>
      </c>
      <c r="J669" s="2" t="s">
        <v>36706</v>
      </c>
      <c r="K669" s="2">
        <v>3.4961903000000003E-2</v>
      </c>
      <c r="L669" s="2" t="s">
        <v>35</v>
      </c>
      <c r="M669" s="4" t="s">
        <v>36707</v>
      </c>
    </row>
    <row r="670" spans="1:13">
      <c r="A670" s="2">
        <v>4575</v>
      </c>
      <c r="B670" s="2" t="s">
        <v>24703</v>
      </c>
      <c r="C670" s="2">
        <v>15</v>
      </c>
      <c r="D670" s="2">
        <v>341</v>
      </c>
      <c r="E670" s="2">
        <v>658</v>
      </c>
      <c r="F670" s="2">
        <v>32441</v>
      </c>
      <c r="G670" s="2">
        <v>2.168728663</v>
      </c>
      <c r="H670" s="2">
        <v>4.982233E-3</v>
      </c>
      <c r="I670" s="2" t="s">
        <v>36708</v>
      </c>
      <c r="J670" s="2" t="s">
        <v>36709</v>
      </c>
      <c r="K670" s="2">
        <v>3.6002116000000001E-2</v>
      </c>
      <c r="L670" s="2" t="s">
        <v>35</v>
      </c>
      <c r="M670" s="4" t="s">
        <v>24706</v>
      </c>
    </row>
    <row r="671" spans="1:13">
      <c r="A671" s="2">
        <v>3291</v>
      </c>
      <c r="B671" s="2" t="s">
        <v>25647</v>
      </c>
      <c r="C671" s="2">
        <v>5</v>
      </c>
      <c r="D671" s="2">
        <v>341</v>
      </c>
      <c r="E671" s="2">
        <v>101</v>
      </c>
      <c r="F671" s="2">
        <v>32441</v>
      </c>
      <c r="G671" s="2">
        <v>4.7096483840000003</v>
      </c>
      <c r="H671" s="2">
        <v>5.0915960000000003E-3</v>
      </c>
      <c r="I671" s="2" t="s">
        <v>36710</v>
      </c>
      <c r="J671" s="2" t="s">
        <v>36711</v>
      </c>
      <c r="K671" s="2">
        <v>3.6736637000000003E-2</v>
      </c>
      <c r="L671" s="2" t="s">
        <v>35</v>
      </c>
      <c r="M671" s="4" t="s">
        <v>25650</v>
      </c>
    </row>
    <row r="672" spans="1:13">
      <c r="A672" s="2">
        <v>2616</v>
      </c>
      <c r="B672" s="2" t="s">
        <v>36712</v>
      </c>
      <c r="C672" s="2">
        <v>6</v>
      </c>
      <c r="D672" s="2">
        <v>341</v>
      </c>
      <c r="E672" s="2">
        <v>145</v>
      </c>
      <c r="F672" s="2">
        <v>32441</v>
      </c>
      <c r="G672" s="2">
        <v>3.9366164430000001</v>
      </c>
      <c r="H672" s="2">
        <v>5.1216430000000004E-3</v>
      </c>
      <c r="I672" s="2" t="s">
        <v>36713</v>
      </c>
      <c r="J672" s="2" t="s">
        <v>36714</v>
      </c>
      <c r="K672" s="2">
        <v>3.6897526999999999E-2</v>
      </c>
      <c r="L672" s="2" t="s">
        <v>35</v>
      </c>
      <c r="M672" s="4" t="s">
        <v>36715</v>
      </c>
    </row>
    <row r="673" spans="1:13">
      <c r="A673" s="2">
        <v>3022</v>
      </c>
      <c r="B673" s="2" t="s">
        <v>36716</v>
      </c>
      <c r="C673" s="2">
        <v>9</v>
      </c>
      <c r="D673" s="2">
        <v>341</v>
      </c>
      <c r="E673" s="2">
        <v>298</v>
      </c>
      <c r="F673" s="2">
        <v>32441</v>
      </c>
      <c r="G673" s="2">
        <v>2.8732015980000001</v>
      </c>
      <c r="H673" s="2">
        <v>5.1324480000000004E-3</v>
      </c>
      <c r="I673" s="2" t="s">
        <v>36717</v>
      </c>
      <c r="J673" s="2" t="s">
        <v>36718</v>
      </c>
      <c r="K673" s="2">
        <v>3.6919514E-2</v>
      </c>
      <c r="L673" s="2" t="s">
        <v>35</v>
      </c>
      <c r="M673" s="4" t="s">
        <v>36719</v>
      </c>
    </row>
    <row r="674" spans="1:13">
      <c r="A674" s="2">
        <v>1813</v>
      </c>
      <c r="B674" s="2" t="s">
        <v>36720</v>
      </c>
      <c r="C674" s="2">
        <v>4</v>
      </c>
      <c r="D674" s="2">
        <v>341</v>
      </c>
      <c r="E674" s="2">
        <v>63</v>
      </c>
      <c r="F674" s="2">
        <v>32441</v>
      </c>
      <c r="G674" s="2">
        <v>6.0403109439999998</v>
      </c>
      <c r="H674" s="2">
        <v>5.2694329999999996E-3</v>
      </c>
      <c r="I674" s="2" t="s">
        <v>36721</v>
      </c>
      <c r="J674" s="2" t="s">
        <v>36722</v>
      </c>
      <c r="K674" s="2">
        <v>3.7677236000000003E-2</v>
      </c>
      <c r="L674" s="2" t="s">
        <v>35</v>
      </c>
      <c r="M674" s="4" t="s">
        <v>36723</v>
      </c>
    </row>
    <row r="675" spans="1:13">
      <c r="A675" s="2">
        <v>3405</v>
      </c>
      <c r="B675" s="2" t="s">
        <v>36724</v>
      </c>
      <c r="C675" s="2">
        <v>3</v>
      </c>
      <c r="D675" s="2">
        <v>341</v>
      </c>
      <c r="E675" s="2">
        <v>31</v>
      </c>
      <c r="F675" s="2">
        <v>32441</v>
      </c>
      <c r="G675" s="2">
        <v>9.2066029700000005</v>
      </c>
      <c r="H675" s="2">
        <v>5.2580989999999996E-3</v>
      </c>
      <c r="I675" s="2" t="s">
        <v>36725</v>
      </c>
      <c r="J675" s="2" t="s">
        <v>36726</v>
      </c>
      <c r="K675" s="2">
        <v>3.7677236000000003E-2</v>
      </c>
      <c r="L675" s="2" t="s">
        <v>35</v>
      </c>
      <c r="M675" s="4" t="s">
        <v>36727</v>
      </c>
    </row>
    <row r="676" spans="1:13">
      <c r="A676" s="2">
        <v>3427</v>
      </c>
      <c r="B676" s="2" t="s">
        <v>6508</v>
      </c>
      <c r="C676" s="2">
        <v>4</v>
      </c>
      <c r="D676" s="2">
        <v>341</v>
      </c>
      <c r="E676" s="2">
        <v>63</v>
      </c>
      <c r="F676" s="2">
        <v>32441</v>
      </c>
      <c r="G676" s="2">
        <v>6.0403109439999998</v>
      </c>
      <c r="H676" s="2">
        <v>5.2694329999999996E-3</v>
      </c>
      <c r="I676" s="2" t="s">
        <v>36728</v>
      </c>
      <c r="J676" s="2" t="s">
        <v>36729</v>
      </c>
      <c r="K676" s="2">
        <v>3.7677236000000003E-2</v>
      </c>
      <c r="L676" s="2" t="s">
        <v>35</v>
      </c>
      <c r="M676" s="4" t="s">
        <v>6511</v>
      </c>
    </row>
    <row r="677" spans="1:13">
      <c r="A677" s="2">
        <v>4145</v>
      </c>
      <c r="B677" s="2" t="s">
        <v>36730</v>
      </c>
      <c r="C677" s="2">
        <v>13</v>
      </c>
      <c r="D677" s="2">
        <v>341</v>
      </c>
      <c r="E677" s="2">
        <v>535</v>
      </c>
      <c r="F677" s="2">
        <v>32441</v>
      </c>
      <c r="G677" s="2">
        <v>2.3116890950000002</v>
      </c>
      <c r="H677" s="2">
        <v>5.2460199999999997E-3</v>
      </c>
      <c r="I677" s="2" t="s">
        <v>36731</v>
      </c>
      <c r="J677" s="2" t="s">
        <v>36732</v>
      </c>
      <c r="K677" s="2">
        <v>3.7677236000000003E-2</v>
      </c>
      <c r="L677" s="2" t="s">
        <v>35</v>
      </c>
      <c r="M677" s="4" t="s">
        <v>36733</v>
      </c>
    </row>
    <row r="678" spans="1:13">
      <c r="A678" s="2">
        <v>1631</v>
      </c>
      <c r="B678" s="2" t="s">
        <v>36734</v>
      </c>
      <c r="C678" s="2">
        <v>6</v>
      </c>
      <c r="D678" s="2">
        <v>341</v>
      </c>
      <c r="E678" s="2">
        <v>146</v>
      </c>
      <c r="F678" s="2">
        <v>32441</v>
      </c>
      <c r="G678" s="2">
        <v>3.909653316</v>
      </c>
      <c r="H678" s="2">
        <v>5.2866470000000002E-3</v>
      </c>
      <c r="I678" s="2" t="s">
        <v>36735</v>
      </c>
      <c r="J678" s="2" t="s">
        <v>36736</v>
      </c>
      <c r="K678" s="2">
        <v>3.7743647999999998E-2</v>
      </c>
      <c r="L678" s="2" t="s">
        <v>35</v>
      </c>
      <c r="M678" s="4" t="s">
        <v>36737</v>
      </c>
    </row>
    <row r="679" spans="1:13">
      <c r="A679" s="2">
        <v>2719</v>
      </c>
      <c r="B679" s="2" t="s">
        <v>36738</v>
      </c>
      <c r="C679" s="2">
        <v>2</v>
      </c>
      <c r="D679" s="2">
        <v>341</v>
      </c>
      <c r="E679" s="2">
        <v>9</v>
      </c>
      <c r="F679" s="2">
        <v>32441</v>
      </c>
      <c r="G679" s="2">
        <v>21.1410883</v>
      </c>
      <c r="H679" s="2">
        <v>5.5768509999999999E-3</v>
      </c>
      <c r="I679" s="2" t="s">
        <v>36739</v>
      </c>
      <c r="J679" s="2" t="s">
        <v>36740</v>
      </c>
      <c r="K679" s="2">
        <v>3.9755936999999998E-2</v>
      </c>
      <c r="L679" s="2" t="s">
        <v>35</v>
      </c>
      <c r="M679" s="4" t="s">
        <v>36741</v>
      </c>
    </row>
    <row r="680" spans="1:13">
      <c r="A680" s="2">
        <v>1216</v>
      </c>
      <c r="B680" s="2" t="s">
        <v>36742</v>
      </c>
      <c r="C680" s="2">
        <v>6</v>
      </c>
      <c r="D680" s="2">
        <v>341</v>
      </c>
      <c r="E680" s="2">
        <v>148</v>
      </c>
      <c r="F680" s="2">
        <v>32441</v>
      </c>
      <c r="G680" s="2">
        <v>3.8568201630000001</v>
      </c>
      <c r="H680" s="2">
        <v>5.6282880000000004E-3</v>
      </c>
      <c r="I680" s="2" t="s">
        <v>36743</v>
      </c>
      <c r="J680" s="2" t="s">
        <v>36744</v>
      </c>
      <c r="K680" s="2">
        <v>4.0062645000000001E-2</v>
      </c>
      <c r="L680" s="2" t="s">
        <v>35</v>
      </c>
      <c r="M680" s="4" t="s">
        <v>36745</v>
      </c>
    </row>
    <row r="681" spans="1:13">
      <c r="A681" s="2">
        <v>3947</v>
      </c>
      <c r="B681" s="2" t="s">
        <v>36746</v>
      </c>
      <c r="C681" s="2">
        <v>4</v>
      </c>
      <c r="D681" s="2">
        <v>341</v>
      </c>
      <c r="E681" s="2">
        <v>65</v>
      </c>
      <c r="F681" s="2">
        <v>32441</v>
      </c>
      <c r="G681" s="2">
        <v>5.8544552220000003</v>
      </c>
      <c r="H681" s="2">
        <v>5.8480470000000003E-3</v>
      </c>
      <c r="I681" s="2" t="s">
        <v>36747</v>
      </c>
      <c r="J681" s="2" t="s">
        <v>36748</v>
      </c>
      <c r="K681" s="2">
        <v>4.1564777999999997E-2</v>
      </c>
      <c r="L681" s="2" t="s">
        <v>35</v>
      </c>
      <c r="M681" s="4" t="s">
        <v>36749</v>
      </c>
    </row>
    <row r="682" spans="1:13">
      <c r="A682" s="2">
        <v>4328</v>
      </c>
      <c r="B682" s="2" t="s">
        <v>5954</v>
      </c>
      <c r="C682" s="2">
        <v>6</v>
      </c>
      <c r="D682" s="2">
        <v>341</v>
      </c>
      <c r="E682" s="2">
        <v>150</v>
      </c>
      <c r="F682" s="2">
        <v>32441</v>
      </c>
      <c r="G682" s="2">
        <v>3.8053958940000001</v>
      </c>
      <c r="H682" s="2">
        <v>5.9857870000000002E-3</v>
      </c>
      <c r="I682" s="2" t="s">
        <v>36750</v>
      </c>
      <c r="J682" s="2" t="s">
        <v>36751</v>
      </c>
      <c r="K682" s="2">
        <v>4.2480358000000003E-2</v>
      </c>
      <c r="L682" s="2" t="s">
        <v>35</v>
      </c>
      <c r="M682" s="4" t="s">
        <v>5957</v>
      </c>
    </row>
    <row r="683" spans="1:13">
      <c r="A683" s="2">
        <v>1764</v>
      </c>
      <c r="B683" s="2" t="s">
        <v>36752</v>
      </c>
      <c r="C683" s="2">
        <v>14</v>
      </c>
      <c r="D683" s="2">
        <v>341</v>
      </c>
      <c r="E683" s="2">
        <v>612</v>
      </c>
      <c r="F683" s="2">
        <v>32441</v>
      </c>
      <c r="G683" s="2">
        <v>2.1762885019999998</v>
      </c>
      <c r="H683" s="2">
        <v>6.3690659999999996E-3</v>
      </c>
      <c r="I683" s="2" t="s">
        <v>36753</v>
      </c>
      <c r="J683" s="2" t="s">
        <v>36754</v>
      </c>
      <c r="K683" s="2">
        <v>4.513317E-2</v>
      </c>
      <c r="L683" s="2" t="s">
        <v>35</v>
      </c>
      <c r="M683" s="4" t="s">
        <v>36755</v>
      </c>
    </row>
    <row r="684" spans="1:13">
      <c r="A684" s="2">
        <v>202</v>
      </c>
      <c r="B684" s="2" t="s">
        <v>36756</v>
      </c>
      <c r="C684" s="2">
        <v>2</v>
      </c>
      <c r="D684" s="2">
        <v>341</v>
      </c>
      <c r="E684" s="2">
        <v>10</v>
      </c>
      <c r="F684" s="2">
        <v>32441</v>
      </c>
      <c r="G684" s="2">
        <v>19.026979470000001</v>
      </c>
      <c r="H684" s="2">
        <v>6.646435E-3</v>
      </c>
      <c r="I684" s="2" t="s">
        <v>36757</v>
      </c>
      <c r="J684" s="2" t="s">
        <v>36758</v>
      </c>
      <c r="K684" s="2">
        <v>4.6958939999999998E-2</v>
      </c>
      <c r="L684" s="2" t="s">
        <v>35</v>
      </c>
      <c r="M684" s="4" t="s">
        <v>36759</v>
      </c>
    </row>
    <row r="685" spans="1:13">
      <c r="A685" s="2">
        <v>1898</v>
      </c>
      <c r="B685" s="2" t="s">
        <v>36760</v>
      </c>
      <c r="C685" s="2">
        <v>2</v>
      </c>
      <c r="D685" s="2">
        <v>341</v>
      </c>
      <c r="E685" s="2">
        <v>10</v>
      </c>
      <c r="F685" s="2">
        <v>32441</v>
      </c>
      <c r="G685" s="2">
        <v>19.026979470000001</v>
      </c>
      <c r="H685" s="2">
        <v>6.646435E-3</v>
      </c>
      <c r="I685" s="2" t="s">
        <v>36761</v>
      </c>
      <c r="J685" s="2" t="s">
        <v>36762</v>
      </c>
      <c r="K685" s="2">
        <v>4.6958939999999998E-2</v>
      </c>
      <c r="L685" s="2" t="s">
        <v>35</v>
      </c>
      <c r="M685" s="4" t="s">
        <v>36763</v>
      </c>
    </row>
    <row r="686" spans="1:13">
      <c r="A686" s="2">
        <v>272</v>
      </c>
      <c r="B686" s="2" t="s">
        <v>36764</v>
      </c>
      <c r="C686" s="2">
        <v>3</v>
      </c>
      <c r="D686" s="2">
        <v>341</v>
      </c>
      <c r="E686" s="2">
        <v>34</v>
      </c>
      <c r="F686" s="2">
        <v>32441</v>
      </c>
      <c r="G686" s="2">
        <v>8.3942556489999998</v>
      </c>
      <c r="H686" s="2">
        <v>6.6728109999999998E-3</v>
      </c>
      <c r="I686" s="2" t="s">
        <v>36765</v>
      </c>
      <c r="J686" s="2" t="s">
        <v>36766</v>
      </c>
      <c r="K686" s="2">
        <v>4.7075445E-2</v>
      </c>
      <c r="L686" s="2" t="s">
        <v>35</v>
      </c>
      <c r="M686" s="4" t="s">
        <v>36767</v>
      </c>
    </row>
    <row r="687" spans="1:13">
      <c r="A687" s="2">
        <v>2950</v>
      </c>
      <c r="B687" s="2" t="s">
        <v>24817</v>
      </c>
      <c r="C687" s="2">
        <v>9</v>
      </c>
      <c r="D687" s="2">
        <v>341</v>
      </c>
      <c r="E687" s="2">
        <v>314</v>
      </c>
      <c r="F687" s="2">
        <v>32441</v>
      </c>
      <c r="G687" s="2">
        <v>2.726796421</v>
      </c>
      <c r="H687" s="2">
        <v>7.0728689999999999E-3</v>
      </c>
      <c r="I687" s="2" t="s">
        <v>36768</v>
      </c>
      <c r="J687" s="2" t="s">
        <v>36769</v>
      </c>
      <c r="K687" s="2">
        <v>4.9823971000000002E-2</v>
      </c>
      <c r="L687" s="2" t="s">
        <v>35</v>
      </c>
      <c r="M687" s="4" t="s">
        <v>24820</v>
      </c>
    </row>
    <row r="688" spans="1:13">
      <c r="A688" s="2">
        <v>248</v>
      </c>
      <c r="B688" s="2" t="s">
        <v>25881</v>
      </c>
      <c r="C688" s="2">
        <v>46</v>
      </c>
      <c r="D688" s="2">
        <v>341</v>
      </c>
      <c r="E688" s="2">
        <v>234</v>
      </c>
      <c r="F688" s="2">
        <v>32441</v>
      </c>
      <c r="G688" s="2">
        <v>18.70173196</v>
      </c>
      <c r="H688" s="3">
        <v>4.4200000000000001E-41</v>
      </c>
      <c r="I688" s="2" t="s">
        <v>36770</v>
      </c>
      <c r="J688" s="2" t="s">
        <v>36771</v>
      </c>
      <c r="K688" s="3">
        <v>1.85E-38</v>
      </c>
      <c r="L688" s="2" t="s">
        <v>606</v>
      </c>
      <c r="M688" s="4" t="s">
        <v>25884</v>
      </c>
    </row>
    <row r="689" spans="1:13">
      <c r="A689" s="2">
        <v>250</v>
      </c>
      <c r="B689" s="2" t="s">
        <v>25901</v>
      </c>
      <c r="C689" s="2">
        <v>46</v>
      </c>
      <c r="D689" s="2">
        <v>341</v>
      </c>
      <c r="E689" s="2">
        <v>232</v>
      </c>
      <c r="F689" s="2">
        <v>32441</v>
      </c>
      <c r="G689" s="2">
        <v>18.862953789999999</v>
      </c>
      <c r="H689" s="3">
        <v>3.1399999999999997E-41</v>
      </c>
      <c r="I689" s="2" t="s">
        <v>36770</v>
      </c>
      <c r="J689" s="2" t="s">
        <v>36771</v>
      </c>
      <c r="K689" s="3">
        <v>1.85E-38</v>
      </c>
      <c r="L689" s="2" t="s">
        <v>606</v>
      </c>
      <c r="M689" s="4" t="s">
        <v>25904</v>
      </c>
    </row>
    <row r="690" spans="1:13">
      <c r="A690" s="2">
        <v>253</v>
      </c>
      <c r="B690" s="2" t="s">
        <v>26003</v>
      </c>
      <c r="C690" s="2">
        <v>45</v>
      </c>
      <c r="D690" s="2">
        <v>341</v>
      </c>
      <c r="E690" s="2">
        <v>232</v>
      </c>
      <c r="F690" s="2">
        <v>32441</v>
      </c>
      <c r="G690" s="2">
        <v>18.45288957</v>
      </c>
      <c r="H690" s="3">
        <v>5.7199999999999997E-40</v>
      </c>
      <c r="I690" s="2" t="s">
        <v>36772</v>
      </c>
      <c r="J690" s="2" t="s">
        <v>36773</v>
      </c>
      <c r="K690" s="3">
        <v>1.5899999999999999E-37</v>
      </c>
      <c r="L690" s="2" t="s">
        <v>606</v>
      </c>
      <c r="M690" s="4" t="s">
        <v>26006</v>
      </c>
    </row>
    <row r="691" spans="1:13">
      <c r="A691" s="2">
        <v>452</v>
      </c>
      <c r="B691" s="2" t="s">
        <v>26166</v>
      </c>
      <c r="C691" s="2">
        <v>44</v>
      </c>
      <c r="D691" s="2">
        <v>341</v>
      </c>
      <c r="E691" s="2">
        <v>237</v>
      </c>
      <c r="F691" s="2">
        <v>32441</v>
      </c>
      <c r="G691" s="2">
        <v>17.662175040000001</v>
      </c>
      <c r="H691" s="3">
        <v>2.3E-38</v>
      </c>
      <c r="I691" s="2" t="s">
        <v>36774</v>
      </c>
      <c r="J691" s="2" t="s">
        <v>36775</v>
      </c>
      <c r="K691" s="3">
        <v>4.8E-36</v>
      </c>
      <c r="L691" s="2" t="s">
        <v>606</v>
      </c>
      <c r="M691" s="4" t="s">
        <v>26169</v>
      </c>
    </row>
    <row r="692" spans="1:13">
      <c r="A692" s="2">
        <v>451</v>
      </c>
      <c r="B692" s="2" t="s">
        <v>26017</v>
      </c>
      <c r="C692" s="2">
        <v>43</v>
      </c>
      <c r="D692" s="2">
        <v>341</v>
      </c>
      <c r="E692" s="2">
        <v>235</v>
      </c>
      <c r="F692" s="2">
        <v>32441</v>
      </c>
      <c r="G692" s="2">
        <v>17.407662070000001</v>
      </c>
      <c r="H692" s="3">
        <v>2.8600000000000001E-37</v>
      </c>
      <c r="I692" s="2" t="s">
        <v>36776</v>
      </c>
      <c r="J692" s="2" t="s">
        <v>36777</v>
      </c>
      <c r="K692" s="3">
        <v>4.7799999999999998E-35</v>
      </c>
      <c r="L692" s="2" t="s">
        <v>606</v>
      </c>
      <c r="M692" s="4" t="s">
        <v>26020</v>
      </c>
    </row>
    <row r="693" spans="1:13">
      <c r="A693" s="2">
        <v>468</v>
      </c>
      <c r="B693" s="2" t="s">
        <v>25953</v>
      </c>
      <c r="C693" s="2">
        <v>42</v>
      </c>
      <c r="D693" s="2">
        <v>341</v>
      </c>
      <c r="E693" s="2">
        <v>228</v>
      </c>
      <c r="F693" s="2">
        <v>32441</v>
      </c>
      <c r="G693" s="2">
        <v>17.524849509999999</v>
      </c>
      <c r="H693" s="3">
        <v>1.6000000000000001E-36</v>
      </c>
      <c r="I693" s="2" t="s">
        <v>36778</v>
      </c>
      <c r="J693" s="2" t="s">
        <v>36779</v>
      </c>
      <c r="K693" s="3">
        <v>2.2300000000000002E-34</v>
      </c>
      <c r="L693" s="2" t="s">
        <v>606</v>
      </c>
      <c r="M693" s="4" t="s">
        <v>25956</v>
      </c>
    </row>
    <row r="694" spans="1:13">
      <c r="A694" s="2">
        <v>261</v>
      </c>
      <c r="B694" s="2" t="s">
        <v>26013</v>
      </c>
      <c r="C694" s="2">
        <v>42</v>
      </c>
      <c r="D694" s="2">
        <v>341</v>
      </c>
      <c r="E694" s="2">
        <v>235</v>
      </c>
      <c r="F694" s="2">
        <v>32441</v>
      </c>
      <c r="G694" s="2">
        <v>17.002832720000001</v>
      </c>
      <c r="H694" s="3">
        <v>4.8200000000000001E-36</v>
      </c>
      <c r="I694" s="2" t="s">
        <v>36780</v>
      </c>
      <c r="J694" s="2" t="s">
        <v>36781</v>
      </c>
      <c r="K694" s="3">
        <v>4.03E-34</v>
      </c>
      <c r="L694" s="2" t="s">
        <v>606</v>
      </c>
      <c r="M694" s="4" t="s">
        <v>26016</v>
      </c>
    </row>
    <row r="695" spans="1:13">
      <c r="A695" s="2">
        <v>387</v>
      </c>
      <c r="B695" s="2" t="s">
        <v>26041</v>
      </c>
      <c r="C695" s="2">
        <v>42</v>
      </c>
      <c r="D695" s="2">
        <v>341</v>
      </c>
      <c r="E695" s="2">
        <v>235</v>
      </c>
      <c r="F695" s="2">
        <v>32441</v>
      </c>
      <c r="G695" s="2">
        <v>17.002832720000001</v>
      </c>
      <c r="H695" s="3">
        <v>4.8200000000000001E-36</v>
      </c>
      <c r="I695" s="2" t="s">
        <v>36780</v>
      </c>
      <c r="J695" s="2" t="s">
        <v>36781</v>
      </c>
      <c r="K695" s="3">
        <v>4.03E-34</v>
      </c>
      <c r="L695" s="2" t="s">
        <v>606</v>
      </c>
      <c r="M695" s="4" t="s">
        <v>26044</v>
      </c>
    </row>
    <row r="696" spans="1:13">
      <c r="A696" s="2">
        <v>388</v>
      </c>
      <c r="B696" s="2" t="s">
        <v>26045</v>
      </c>
      <c r="C696" s="2">
        <v>42</v>
      </c>
      <c r="D696" s="2">
        <v>341</v>
      </c>
      <c r="E696" s="2">
        <v>235</v>
      </c>
      <c r="F696" s="2">
        <v>32441</v>
      </c>
      <c r="G696" s="2">
        <v>17.002832720000001</v>
      </c>
      <c r="H696" s="3">
        <v>4.8200000000000001E-36</v>
      </c>
      <c r="I696" s="2" t="s">
        <v>36780</v>
      </c>
      <c r="J696" s="2" t="s">
        <v>36781</v>
      </c>
      <c r="K696" s="3">
        <v>4.03E-34</v>
      </c>
      <c r="L696" s="2" t="s">
        <v>606</v>
      </c>
      <c r="M696" s="4" t="s">
        <v>26046</v>
      </c>
    </row>
    <row r="697" spans="1:13">
      <c r="A697" s="2">
        <v>390</v>
      </c>
      <c r="B697" s="2" t="s">
        <v>26047</v>
      </c>
      <c r="C697" s="2">
        <v>42</v>
      </c>
      <c r="D697" s="2">
        <v>341</v>
      </c>
      <c r="E697" s="2">
        <v>235</v>
      </c>
      <c r="F697" s="2">
        <v>32441</v>
      </c>
      <c r="G697" s="2">
        <v>17.002832720000001</v>
      </c>
      <c r="H697" s="3">
        <v>4.8200000000000001E-36</v>
      </c>
      <c r="I697" s="2" t="s">
        <v>36780</v>
      </c>
      <c r="J697" s="2" t="s">
        <v>36781</v>
      </c>
      <c r="K697" s="3">
        <v>4.03E-34</v>
      </c>
      <c r="L697" s="2" t="s">
        <v>606</v>
      </c>
      <c r="M697" s="4" t="s">
        <v>26048</v>
      </c>
    </row>
    <row r="698" spans="1:13">
      <c r="A698" s="2">
        <v>389</v>
      </c>
      <c r="B698" s="2" t="s">
        <v>26064</v>
      </c>
      <c r="C698" s="2">
        <v>42</v>
      </c>
      <c r="D698" s="2">
        <v>341</v>
      </c>
      <c r="E698" s="2">
        <v>239</v>
      </c>
      <c r="F698" s="2">
        <v>32441</v>
      </c>
      <c r="G698" s="2">
        <v>16.71826648</v>
      </c>
      <c r="H698" s="3">
        <v>8.9100000000000005E-36</v>
      </c>
      <c r="I698" s="2" t="s">
        <v>36780</v>
      </c>
      <c r="J698" s="2" t="s">
        <v>36781</v>
      </c>
      <c r="K698" s="3">
        <v>6.7799999999999996E-34</v>
      </c>
      <c r="L698" s="2" t="s">
        <v>606</v>
      </c>
      <c r="M698" s="4" t="s">
        <v>26067</v>
      </c>
    </row>
    <row r="699" spans="1:13">
      <c r="A699" s="2">
        <v>470</v>
      </c>
      <c r="B699" s="2" t="s">
        <v>25977</v>
      </c>
      <c r="C699" s="2">
        <v>40</v>
      </c>
      <c r="D699" s="2">
        <v>341</v>
      </c>
      <c r="E699" s="2">
        <v>238</v>
      </c>
      <c r="F699" s="2">
        <v>32441</v>
      </c>
      <c r="G699" s="2">
        <v>15.989058379999999</v>
      </c>
      <c r="H699" s="3">
        <v>1.9800000000000002E-33</v>
      </c>
      <c r="I699" s="2" t="s">
        <v>36782</v>
      </c>
      <c r="J699" s="2" t="s">
        <v>36783</v>
      </c>
      <c r="K699" s="3">
        <v>1.38E-31</v>
      </c>
      <c r="L699" s="2" t="s">
        <v>606</v>
      </c>
      <c r="M699" s="4" t="s">
        <v>25980</v>
      </c>
    </row>
    <row r="700" spans="1:13">
      <c r="A700" s="2">
        <v>453</v>
      </c>
      <c r="B700" s="2" t="s">
        <v>26656</v>
      </c>
      <c r="C700" s="2">
        <v>40</v>
      </c>
      <c r="D700" s="2">
        <v>341</v>
      </c>
      <c r="E700" s="2">
        <v>240</v>
      </c>
      <c r="F700" s="2">
        <v>32441</v>
      </c>
      <c r="G700" s="2">
        <v>15.85581623</v>
      </c>
      <c r="H700" s="3">
        <v>2.6499999999999998E-33</v>
      </c>
      <c r="I700" s="2" t="s">
        <v>36784</v>
      </c>
      <c r="J700" s="2" t="s">
        <v>36785</v>
      </c>
      <c r="K700" s="3">
        <v>1.7000000000000001E-31</v>
      </c>
      <c r="L700" s="2" t="s">
        <v>606</v>
      </c>
      <c r="M700" s="4" t="s">
        <v>26659</v>
      </c>
    </row>
    <row r="701" spans="1:13">
      <c r="A701" s="2">
        <v>251</v>
      </c>
      <c r="B701" s="2" t="s">
        <v>26174</v>
      </c>
      <c r="C701" s="2">
        <v>40</v>
      </c>
      <c r="D701" s="2">
        <v>341</v>
      </c>
      <c r="E701" s="2">
        <v>244</v>
      </c>
      <c r="F701" s="2">
        <v>32441</v>
      </c>
      <c r="G701" s="2">
        <v>15.595884809999999</v>
      </c>
      <c r="H701" s="3">
        <v>4.7000000000000002E-33</v>
      </c>
      <c r="I701" s="2" t="s">
        <v>36786</v>
      </c>
      <c r="J701" s="2" t="s">
        <v>36787</v>
      </c>
      <c r="K701" s="3">
        <v>2.8100000000000002E-31</v>
      </c>
      <c r="L701" s="2" t="s">
        <v>606</v>
      </c>
      <c r="M701" s="4" t="s">
        <v>26177</v>
      </c>
    </row>
    <row r="702" spans="1:13">
      <c r="A702" s="2">
        <v>391</v>
      </c>
      <c r="B702" s="2" t="s">
        <v>25957</v>
      </c>
      <c r="C702" s="2">
        <v>39</v>
      </c>
      <c r="D702" s="2">
        <v>341</v>
      </c>
      <c r="E702" s="2">
        <v>231</v>
      </c>
      <c r="F702" s="2">
        <v>32441</v>
      </c>
      <c r="G702" s="2">
        <v>16.06173592</v>
      </c>
      <c r="H702" s="3">
        <v>1.12E-32</v>
      </c>
      <c r="I702" s="2" t="s">
        <v>36788</v>
      </c>
      <c r="J702" s="2" t="s">
        <v>36789</v>
      </c>
      <c r="K702" s="3">
        <v>6.2199999999999997E-31</v>
      </c>
      <c r="L702" s="2" t="s">
        <v>606</v>
      </c>
      <c r="M702" s="4" t="s">
        <v>25960</v>
      </c>
    </row>
    <row r="703" spans="1:13">
      <c r="A703" s="2">
        <v>787</v>
      </c>
      <c r="B703" s="2" t="s">
        <v>26232</v>
      </c>
      <c r="C703" s="2">
        <v>34</v>
      </c>
      <c r="D703" s="2">
        <v>341</v>
      </c>
      <c r="E703" s="2">
        <v>168</v>
      </c>
      <c r="F703" s="2">
        <v>32441</v>
      </c>
      <c r="G703" s="2">
        <v>19.25349113</v>
      </c>
      <c r="H703" s="3">
        <v>6.5200000000000002E-31</v>
      </c>
      <c r="I703" s="2" t="s">
        <v>36790</v>
      </c>
      <c r="J703" s="2" t="s">
        <v>36791</v>
      </c>
      <c r="K703" s="3">
        <v>3.41E-29</v>
      </c>
      <c r="L703" s="2" t="s">
        <v>606</v>
      </c>
      <c r="M703" s="4" t="s">
        <v>26235</v>
      </c>
    </row>
    <row r="704" spans="1:13">
      <c r="A704" s="2">
        <v>247</v>
      </c>
      <c r="B704" s="2" t="s">
        <v>26178</v>
      </c>
      <c r="C704" s="2">
        <v>37</v>
      </c>
      <c r="D704" s="2">
        <v>341</v>
      </c>
      <c r="E704" s="2">
        <v>227</v>
      </c>
      <c r="F704" s="2">
        <v>32441</v>
      </c>
      <c r="G704" s="2">
        <v>15.506569170000001</v>
      </c>
      <c r="H704" s="3">
        <v>1.4999999999999999E-30</v>
      </c>
      <c r="I704" s="2" t="s">
        <v>36792</v>
      </c>
      <c r="J704" s="2" t="s">
        <v>36793</v>
      </c>
      <c r="K704" s="3">
        <v>7.3599999999999995E-29</v>
      </c>
      <c r="L704" s="2" t="s">
        <v>606</v>
      </c>
      <c r="M704" s="4" t="s">
        <v>26181</v>
      </c>
    </row>
    <row r="705" spans="1:13">
      <c r="A705" s="2">
        <v>314</v>
      </c>
      <c r="B705" s="2" t="s">
        <v>26236</v>
      </c>
      <c r="C705" s="2">
        <v>37</v>
      </c>
      <c r="D705" s="2">
        <v>341</v>
      </c>
      <c r="E705" s="2">
        <v>245</v>
      </c>
      <c r="F705" s="2">
        <v>32441</v>
      </c>
      <c r="G705" s="2">
        <v>14.36731103</v>
      </c>
      <c r="H705" s="3">
        <v>1.7399999999999999E-29</v>
      </c>
      <c r="I705" s="2" t="s">
        <v>36794</v>
      </c>
      <c r="J705" s="2" t="s">
        <v>36795</v>
      </c>
      <c r="K705" s="3">
        <v>8.0800000000000002E-28</v>
      </c>
      <c r="L705" s="2" t="s">
        <v>606</v>
      </c>
      <c r="M705" s="4" t="s">
        <v>26239</v>
      </c>
    </row>
    <row r="706" spans="1:13">
      <c r="A706" s="2">
        <v>8171</v>
      </c>
      <c r="B706" s="2" t="s">
        <v>26170</v>
      </c>
      <c r="C706" s="2">
        <v>56</v>
      </c>
      <c r="D706" s="2">
        <v>341</v>
      </c>
      <c r="E706" s="2">
        <v>1160</v>
      </c>
      <c r="F706" s="2">
        <v>32441</v>
      </c>
      <c r="G706" s="2">
        <v>4.5927191829999998</v>
      </c>
      <c r="H706" s="3">
        <v>7.0700000000000006E-21</v>
      </c>
      <c r="I706" s="3" t="s">
        <v>36796</v>
      </c>
      <c r="J706" s="3" t="s">
        <v>36797</v>
      </c>
      <c r="K706" s="3">
        <v>3.1100000000000002E-19</v>
      </c>
      <c r="L706" s="2" t="s">
        <v>606</v>
      </c>
      <c r="M706" s="4" t="s">
        <v>26173</v>
      </c>
    </row>
    <row r="707" spans="1:13">
      <c r="A707" s="2">
        <v>252</v>
      </c>
      <c r="B707" s="2" t="s">
        <v>26021</v>
      </c>
      <c r="C707" s="2">
        <v>27</v>
      </c>
      <c r="D707" s="2">
        <v>341</v>
      </c>
      <c r="E707" s="2">
        <v>244</v>
      </c>
      <c r="F707" s="2">
        <v>32441</v>
      </c>
      <c r="G707" s="2">
        <v>10.527222249999999</v>
      </c>
      <c r="H707" s="3">
        <v>1.24E-18</v>
      </c>
      <c r="I707" s="2" t="s">
        <v>36798</v>
      </c>
      <c r="J707" s="2" t="s">
        <v>36799</v>
      </c>
      <c r="K707" s="3">
        <v>5.1799999999999999E-17</v>
      </c>
      <c r="L707" s="2" t="s">
        <v>606</v>
      </c>
      <c r="M707" s="4" t="s">
        <v>26024</v>
      </c>
    </row>
    <row r="708" spans="1:13">
      <c r="A708" s="2">
        <v>829</v>
      </c>
      <c r="B708" s="2" t="s">
        <v>25817</v>
      </c>
      <c r="C708" s="2">
        <v>75</v>
      </c>
      <c r="D708" s="2">
        <v>341</v>
      </c>
      <c r="E708" s="2">
        <v>2940</v>
      </c>
      <c r="F708" s="2">
        <v>32441</v>
      </c>
      <c r="G708" s="2">
        <v>2.4269106470000001</v>
      </c>
      <c r="H708" s="3">
        <v>7.9900000000000003E-13</v>
      </c>
      <c r="I708" s="3" t="s">
        <v>36800</v>
      </c>
      <c r="J708" s="3" t="s">
        <v>36801</v>
      </c>
      <c r="K708" s="3">
        <v>3.1800000000000003E-11</v>
      </c>
      <c r="L708" s="2" t="s">
        <v>606</v>
      </c>
      <c r="M708" s="4" t="s">
        <v>25820</v>
      </c>
    </row>
    <row r="709" spans="1:13">
      <c r="A709" s="2">
        <v>142</v>
      </c>
      <c r="B709" s="2" t="s">
        <v>36802</v>
      </c>
      <c r="C709" s="2">
        <v>13</v>
      </c>
      <c r="D709" s="2">
        <v>341</v>
      </c>
      <c r="E709" s="2">
        <v>67</v>
      </c>
      <c r="F709" s="2">
        <v>32441</v>
      </c>
      <c r="G709" s="2">
        <v>18.459009940000001</v>
      </c>
      <c r="H709" s="3">
        <v>2.2400000000000001E-12</v>
      </c>
      <c r="I709" s="2" t="s">
        <v>36803</v>
      </c>
      <c r="J709" s="2" t="s">
        <v>36804</v>
      </c>
      <c r="K709" s="3">
        <v>8.5099999999999996E-11</v>
      </c>
      <c r="L709" s="2" t="s">
        <v>606</v>
      </c>
      <c r="M709" s="4" t="s">
        <v>36805</v>
      </c>
    </row>
    <row r="710" spans="1:13">
      <c r="A710" s="2">
        <v>612</v>
      </c>
      <c r="B710" s="2" t="s">
        <v>36806</v>
      </c>
      <c r="C710" s="2">
        <v>13</v>
      </c>
      <c r="D710" s="2">
        <v>341</v>
      </c>
      <c r="E710" s="2">
        <v>76</v>
      </c>
      <c r="F710" s="2">
        <v>32441</v>
      </c>
      <c r="G710" s="2">
        <v>16.27307455</v>
      </c>
      <c r="H710" s="3">
        <v>9.1799999999999993E-12</v>
      </c>
      <c r="I710" s="2" t="s">
        <v>36807</v>
      </c>
      <c r="J710" s="2" t="s">
        <v>36808</v>
      </c>
      <c r="K710" s="3">
        <v>3.3399999999999998E-10</v>
      </c>
      <c r="L710" s="2" t="s">
        <v>606</v>
      </c>
      <c r="M710" s="4" t="s">
        <v>36809</v>
      </c>
    </row>
    <row r="711" spans="1:13">
      <c r="A711" s="2">
        <v>130</v>
      </c>
      <c r="B711" s="2" t="s">
        <v>36810</v>
      </c>
      <c r="C711" s="2">
        <v>18</v>
      </c>
      <c r="D711" s="2">
        <v>341</v>
      </c>
      <c r="E711" s="2">
        <v>262</v>
      </c>
      <c r="F711" s="2">
        <v>32441</v>
      </c>
      <c r="G711" s="2">
        <v>6.5359853149999996</v>
      </c>
      <c r="H711" s="3">
        <v>1.1100000000000001E-9</v>
      </c>
      <c r="I711" s="2" t="s">
        <v>36811</v>
      </c>
      <c r="J711" s="2" t="s">
        <v>36812</v>
      </c>
      <c r="K711" s="3">
        <v>3.8600000000000002E-8</v>
      </c>
      <c r="L711" s="2" t="s">
        <v>606</v>
      </c>
      <c r="M711" s="4" t="s">
        <v>36813</v>
      </c>
    </row>
    <row r="712" spans="1:13">
      <c r="A712" s="2">
        <v>467</v>
      </c>
      <c r="B712" s="2" t="s">
        <v>26680</v>
      </c>
      <c r="C712" s="2">
        <v>17</v>
      </c>
      <c r="D712" s="2">
        <v>341</v>
      </c>
      <c r="E712" s="2">
        <v>247</v>
      </c>
      <c r="F712" s="2">
        <v>32441</v>
      </c>
      <c r="G712" s="2">
        <v>6.5477459720000004</v>
      </c>
      <c r="H712" s="3">
        <v>3.1500000000000001E-9</v>
      </c>
      <c r="I712" s="2" t="s">
        <v>36814</v>
      </c>
      <c r="J712" s="2" t="s">
        <v>36815</v>
      </c>
      <c r="K712" s="3">
        <v>1.05E-7</v>
      </c>
      <c r="L712" s="2" t="s">
        <v>606</v>
      </c>
      <c r="M712" s="4" t="s">
        <v>26683</v>
      </c>
    </row>
    <row r="713" spans="1:13">
      <c r="A713" s="2">
        <v>841</v>
      </c>
      <c r="B713" s="2" t="s">
        <v>610</v>
      </c>
      <c r="C713" s="2">
        <v>20</v>
      </c>
      <c r="D713" s="2">
        <v>341</v>
      </c>
      <c r="E713" s="2">
        <v>449</v>
      </c>
      <c r="F713" s="2">
        <v>32441</v>
      </c>
      <c r="G713" s="2">
        <v>4.2376346260000002</v>
      </c>
      <c r="H713" s="3">
        <v>1.3400000000000001E-7</v>
      </c>
      <c r="I713" s="2" t="s">
        <v>36816</v>
      </c>
      <c r="J713" s="2" t="s">
        <v>36817</v>
      </c>
      <c r="K713" s="3">
        <v>4.1500000000000001E-6</v>
      </c>
      <c r="L713" s="2" t="s">
        <v>606</v>
      </c>
      <c r="M713" s="4" t="s">
        <v>26697</v>
      </c>
    </row>
    <row r="714" spans="1:13">
      <c r="A714" s="2">
        <v>741</v>
      </c>
      <c r="B714" s="2" t="s">
        <v>26664</v>
      </c>
      <c r="C714" s="2">
        <v>14</v>
      </c>
      <c r="D714" s="2">
        <v>341</v>
      </c>
      <c r="E714" s="2">
        <v>213</v>
      </c>
      <c r="F714" s="2">
        <v>32441</v>
      </c>
      <c r="G714" s="2">
        <v>6.2529979490000001</v>
      </c>
      <c r="H714" s="3">
        <v>1.3400000000000001E-7</v>
      </c>
      <c r="I714" s="2" t="s">
        <v>36818</v>
      </c>
      <c r="J714" s="2" t="s">
        <v>36819</v>
      </c>
      <c r="K714" s="3">
        <v>4.1500000000000001E-6</v>
      </c>
      <c r="L714" s="2" t="s">
        <v>606</v>
      </c>
      <c r="M714" s="4" t="s">
        <v>26667</v>
      </c>
    </row>
    <row r="715" spans="1:13">
      <c r="A715" s="2">
        <v>818</v>
      </c>
      <c r="B715" s="2" t="s">
        <v>25867</v>
      </c>
      <c r="C715" s="2">
        <v>28</v>
      </c>
      <c r="D715" s="2">
        <v>341</v>
      </c>
      <c r="E715" s="2">
        <v>918</v>
      </c>
      <c r="F715" s="2">
        <v>32441</v>
      </c>
      <c r="G715" s="2">
        <v>2.901718002</v>
      </c>
      <c r="H715" s="3">
        <v>8.5600000000000004E-7</v>
      </c>
      <c r="I715" s="2" t="s">
        <v>36820</v>
      </c>
      <c r="J715" s="2" t="s">
        <v>36821</v>
      </c>
      <c r="K715" s="3">
        <v>2.5599999999999999E-5</v>
      </c>
      <c r="L715" s="2" t="s">
        <v>606</v>
      </c>
      <c r="M715" s="4" t="s">
        <v>25870</v>
      </c>
    </row>
    <row r="716" spans="1:13">
      <c r="A716" s="2">
        <v>790</v>
      </c>
      <c r="B716" s="2" t="s">
        <v>603</v>
      </c>
      <c r="C716" s="2">
        <v>32</v>
      </c>
      <c r="D716" s="2">
        <v>341</v>
      </c>
      <c r="E716" s="2">
        <v>1199</v>
      </c>
      <c r="F716" s="2">
        <v>32441</v>
      </c>
      <c r="G716" s="2">
        <v>2.539046468</v>
      </c>
      <c r="H716" s="3">
        <v>2.26E-6</v>
      </c>
      <c r="I716" s="2" t="s">
        <v>36822</v>
      </c>
      <c r="J716" s="2" t="s">
        <v>36823</v>
      </c>
      <c r="K716" s="3">
        <v>6.5099999999999997E-5</v>
      </c>
      <c r="L716" s="2" t="s">
        <v>606</v>
      </c>
      <c r="M716" s="4" t="s">
        <v>25802</v>
      </c>
    </row>
    <row r="717" spans="1:13">
      <c r="A717" s="2">
        <v>149</v>
      </c>
      <c r="B717" s="2" t="s">
        <v>27240</v>
      </c>
      <c r="C717" s="2">
        <v>13</v>
      </c>
      <c r="D717" s="2">
        <v>341</v>
      </c>
      <c r="E717" s="2">
        <v>245</v>
      </c>
      <c r="F717" s="2">
        <v>32441</v>
      </c>
      <c r="G717" s="2">
        <v>5.0479741459999996</v>
      </c>
      <c r="H717" s="3">
        <v>3.5999999999999998E-6</v>
      </c>
      <c r="I717" s="2" t="s">
        <v>36824</v>
      </c>
      <c r="J717" s="2" t="s">
        <v>36825</v>
      </c>
      <c r="K717" s="2">
        <v>1.0019299999999999E-4</v>
      </c>
      <c r="L717" s="2" t="s">
        <v>606</v>
      </c>
      <c r="M717" s="4" t="s">
        <v>27243</v>
      </c>
    </row>
    <row r="718" spans="1:13">
      <c r="A718" s="2">
        <v>216</v>
      </c>
      <c r="B718" s="2" t="s">
        <v>27244</v>
      </c>
      <c r="C718" s="2">
        <v>9</v>
      </c>
      <c r="D718" s="2">
        <v>341</v>
      </c>
      <c r="E718" s="2">
        <v>145</v>
      </c>
      <c r="F718" s="2">
        <v>32441</v>
      </c>
      <c r="G718" s="2">
        <v>5.9049246640000002</v>
      </c>
      <c r="H718" s="3">
        <v>3.6199999999999999E-5</v>
      </c>
      <c r="I718" s="2" t="s">
        <v>36826</v>
      </c>
      <c r="J718" s="2" t="s">
        <v>36827</v>
      </c>
      <c r="K718" s="2">
        <v>9.7696700000000003E-4</v>
      </c>
      <c r="L718" s="2" t="s">
        <v>606</v>
      </c>
      <c r="M718" s="4" t="s">
        <v>27247</v>
      </c>
    </row>
    <row r="719" spans="1:13">
      <c r="A719" s="2">
        <v>183</v>
      </c>
      <c r="B719" s="2" t="s">
        <v>36828</v>
      </c>
      <c r="C719" s="2">
        <v>6</v>
      </c>
      <c r="D719" s="2">
        <v>341</v>
      </c>
      <c r="E719" s="2">
        <v>59</v>
      </c>
      <c r="F719" s="2">
        <v>32441</v>
      </c>
      <c r="G719" s="2">
        <v>9.6747353250000003</v>
      </c>
      <c r="H719" s="3">
        <v>5.9700000000000001E-5</v>
      </c>
      <c r="I719" s="2" t="s">
        <v>36829</v>
      </c>
      <c r="J719" s="2" t="s">
        <v>36830</v>
      </c>
      <c r="K719" s="2">
        <v>1.5607799999999999E-3</v>
      </c>
      <c r="L719" s="2" t="s">
        <v>606</v>
      </c>
      <c r="M719" s="4" t="s">
        <v>36831</v>
      </c>
    </row>
    <row r="720" spans="1:13">
      <c r="A720" s="2">
        <v>198</v>
      </c>
      <c r="B720" s="2" t="s">
        <v>36832</v>
      </c>
      <c r="C720" s="2">
        <v>11</v>
      </c>
      <c r="D720" s="2">
        <v>341</v>
      </c>
      <c r="E720" s="2">
        <v>254</v>
      </c>
      <c r="F720" s="2">
        <v>32441</v>
      </c>
      <c r="G720" s="2">
        <v>4.1200152399999999</v>
      </c>
      <c r="H720" s="2">
        <v>1.1597199999999999E-4</v>
      </c>
      <c r="I720" s="2" t="s">
        <v>36833</v>
      </c>
      <c r="J720" s="2" t="s">
        <v>36834</v>
      </c>
      <c r="K720" s="2">
        <v>2.9379459999999999E-3</v>
      </c>
      <c r="L720" s="2" t="s">
        <v>606</v>
      </c>
      <c r="M720" s="4" t="s">
        <v>36835</v>
      </c>
    </row>
    <row r="721" spans="1:13">
      <c r="A721" s="2">
        <v>358</v>
      </c>
      <c r="B721" s="2" t="s">
        <v>27158</v>
      </c>
      <c r="C721" s="2">
        <v>11</v>
      </c>
      <c r="D721" s="2">
        <v>341</v>
      </c>
      <c r="E721" s="2">
        <v>260</v>
      </c>
      <c r="F721" s="2">
        <v>32441</v>
      </c>
      <c r="G721" s="2">
        <v>4.0249379650000003</v>
      </c>
      <c r="H721" s="2">
        <v>1.4109300000000001E-4</v>
      </c>
      <c r="I721" s="2" t="s">
        <v>36836</v>
      </c>
      <c r="J721" s="2" t="s">
        <v>36837</v>
      </c>
      <c r="K721" s="2">
        <v>3.469218E-3</v>
      </c>
      <c r="L721" s="2" t="s">
        <v>606</v>
      </c>
      <c r="M721" s="4" t="s">
        <v>27161</v>
      </c>
    </row>
    <row r="722" spans="1:13">
      <c r="A722" s="2">
        <v>416</v>
      </c>
      <c r="B722" s="2" t="s">
        <v>27402</v>
      </c>
      <c r="C722" s="2">
        <v>11</v>
      </c>
      <c r="D722" s="2">
        <v>341</v>
      </c>
      <c r="E722" s="2">
        <v>264</v>
      </c>
      <c r="F722" s="2">
        <v>32441</v>
      </c>
      <c r="G722" s="2">
        <v>3.963954057</v>
      </c>
      <c r="H722" s="2">
        <v>1.60295E-4</v>
      </c>
      <c r="I722" s="2" t="s">
        <v>36838</v>
      </c>
      <c r="J722" s="2" t="s">
        <v>36839</v>
      </c>
      <c r="K722" s="2">
        <v>3.828761E-3</v>
      </c>
      <c r="L722" s="2" t="s">
        <v>606</v>
      </c>
      <c r="M722" s="4" t="s">
        <v>27405</v>
      </c>
    </row>
    <row r="723" spans="1:13">
      <c r="A723" s="2">
        <v>766</v>
      </c>
      <c r="B723" s="2" t="s">
        <v>26124</v>
      </c>
      <c r="C723" s="2">
        <v>12</v>
      </c>
      <c r="D723" s="2">
        <v>341</v>
      </c>
      <c r="E723" s="2">
        <v>319</v>
      </c>
      <c r="F723" s="2">
        <v>32441</v>
      </c>
      <c r="G723" s="2">
        <v>3.5787422200000001</v>
      </c>
      <c r="H723" s="2">
        <v>2.0359600000000001E-4</v>
      </c>
      <c r="I723" s="2" t="s">
        <v>36840</v>
      </c>
      <c r="J723" s="2" t="s">
        <v>36841</v>
      </c>
      <c r="K723" s="2">
        <v>4.7279569999999996E-3</v>
      </c>
      <c r="L723" s="2" t="s">
        <v>606</v>
      </c>
      <c r="M723" s="4" t="s">
        <v>26127</v>
      </c>
    </row>
    <row r="724" spans="1:13">
      <c r="A724" s="2">
        <v>504</v>
      </c>
      <c r="B724" s="2" t="s">
        <v>25796</v>
      </c>
      <c r="C724" s="2">
        <v>14</v>
      </c>
      <c r="D724" s="2">
        <v>341</v>
      </c>
      <c r="E724" s="2">
        <v>448</v>
      </c>
      <c r="F724" s="2">
        <v>32441</v>
      </c>
      <c r="G724" s="2">
        <v>2.9729655429999999</v>
      </c>
      <c r="H724" s="2">
        <v>3.8896500000000001E-4</v>
      </c>
      <c r="I724" s="2" t="s">
        <v>36842</v>
      </c>
      <c r="J724" s="2" t="s">
        <v>36843</v>
      </c>
      <c r="K724" s="2">
        <v>8.7885120000000001E-3</v>
      </c>
      <c r="L724" s="2" t="s">
        <v>606</v>
      </c>
      <c r="M724" s="4" t="s">
        <v>25799</v>
      </c>
    </row>
    <row r="725" spans="1:13">
      <c r="A725" s="2">
        <v>291</v>
      </c>
      <c r="B725" s="2" t="s">
        <v>36844</v>
      </c>
      <c r="C725" s="2">
        <v>6</v>
      </c>
      <c r="D725" s="2">
        <v>341</v>
      </c>
      <c r="E725" s="2">
        <v>95</v>
      </c>
      <c r="F725" s="2">
        <v>32441</v>
      </c>
      <c r="G725" s="2">
        <v>6.0085198330000003</v>
      </c>
      <c r="H725" s="2">
        <v>6.7055200000000004E-4</v>
      </c>
      <c r="I725" s="2" t="s">
        <v>36845</v>
      </c>
      <c r="J725" s="2" t="s">
        <v>36846</v>
      </c>
      <c r="K725" s="2">
        <v>1.4752148E-2</v>
      </c>
      <c r="L725" s="2" t="s">
        <v>606</v>
      </c>
      <c r="M725" s="4" t="s">
        <v>36847</v>
      </c>
    </row>
    <row r="726" spans="1:13">
      <c r="A726" s="2">
        <v>795</v>
      </c>
      <c r="B726" s="2" t="s">
        <v>622</v>
      </c>
      <c r="C726" s="2">
        <v>18</v>
      </c>
      <c r="D726" s="2">
        <v>341</v>
      </c>
      <c r="E726" s="2">
        <v>757</v>
      </c>
      <c r="F726" s="2">
        <v>32441</v>
      </c>
      <c r="G726" s="2">
        <v>2.262124376</v>
      </c>
      <c r="H726" s="2">
        <v>1.406245E-3</v>
      </c>
      <c r="I726" s="2" t="s">
        <v>36848</v>
      </c>
      <c r="J726" s="2" t="s">
        <v>36849</v>
      </c>
      <c r="K726" s="2">
        <v>3.0144127999999999E-2</v>
      </c>
      <c r="L726" s="2" t="s">
        <v>606</v>
      </c>
      <c r="M726" s="4" t="s">
        <v>6694</v>
      </c>
    </row>
    <row r="727" spans="1:13">
      <c r="A727" s="2">
        <v>349</v>
      </c>
      <c r="B727" s="2" t="s">
        <v>26614</v>
      </c>
      <c r="C727" s="2">
        <v>9</v>
      </c>
      <c r="D727" s="2">
        <v>341</v>
      </c>
      <c r="E727" s="2">
        <v>252</v>
      </c>
      <c r="F727" s="2">
        <v>32441</v>
      </c>
      <c r="G727" s="2">
        <v>3.3976749060000002</v>
      </c>
      <c r="H727" s="2">
        <v>1.7588899999999999E-3</v>
      </c>
      <c r="I727" s="2" t="s">
        <v>36850</v>
      </c>
      <c r="J727" s="2" t="s">
        <v>36851</v>
      </c>
      <c r="K727" s="2">
        <v>3.6760803000000002E-2</v>
      </c>
      <c r="L727" s="2" t="s">
        <v>606</v>
      </c>
      <c r="M727" s="4" t="s">
        <v>26617</v>
      </c>
    </row>
    <row r="728" spans="1:13">
      <c r="A728" s="2">
        <v>769</v>
      </c>
      <c r="B728" s="2" t="s">
        <v>26766</v>
      </c>
      <c r="C728" s="2">
        <v>11</v>
      </c>
      <c r="D728" s="2">
        <v>341</v>
      </c>
      <c r="E728" s="2">
        <v>365</v>
      </c>
      <c r="F728" s="2">
        <v>32441</v>
      </c>
      <c r="G728" s="2">
        <v>2.8670790990000001</v>
      </c>
      <c r="H728" s="2">
        <v>2.105123E-3</v>
      </c>
      <c r="I728" s="2" t="s">
        <v>36852</v>
      </c>
      <c r="J728" s="2" t="s">
        <v>36853</v>
      </c>
      <c r="K728" s="2">
        <v>4.2923976000000003E-2</v>
      </c>
      <c r="L728" s="2" t="s">
        <v>606</v>
      </c>
      <c r="M728" s="4" t="s">
        <v>26769</v>
      </c>
    </row>
    <row r="729" spans="1:13">
      <c r="A729" s="2">
        <v>836</v>
      </c>
      <c r="B729" s="2" t="s">
        <v>2950</v>
      </c>
      <c r="C729" s="2">
        <v>12</v>
      </c>
      <c r="D729" s="2">
        <v>341</v>
      </c>
      <c r="E729" s="2">
        <v>427</v>
      </c>
      <c r="F729" s="2">
        <v>32441</v>
      </c>
      <c r="G729" s="2">
        <v>2.673580254</v>
      </c>
      <c r="H729" s="2">
        <v>2.3582490000000002E-3</v>
      </c>
      <c r="I729" s="2" t="s">
        <v>36854</v>
      </c>
      <c r="J729" s="2" t="s">
        <v>36855</v>
      </c>
      <c r="K729" s="2">
        <v>4.6940391999999997E-2</v>
      </c>
      <c r="L729" s="2" t="s">
        <v>606</v>
      </c>
      <c r="M729" s="4" t="s">
        <v>2953</v>
      </c>
    </row>
    <row r="730" spans="1:13">
      <c r="A730" s="2">
        <v>354</v>
      </c>
      <c r="B730" s="2" t="s">
        <v>26770</v>
      </c>
      <c r="C730" s="2">
        <v>9</v>
      </c>
      <c r="D730" s="2">
        <v>341</v>
      </c>
      <c r="E730" s="2">
        <v>266</v>
      </c>
      <c r="F730" s="2">
        <v>32441</v>
      </c>
      <c r="G730" s="2">
        <v>3.218849911</v>
      </c>
      <c r="H730" s="2">
        <v>2.501152E-3</v>
      </c>
      <c r="I730" s="2" t="s">
        <v>36856</v>
      </c>
      <c r="J730" s="2" t="s">
        <v>36857</v>
      </c>
      <c r="K730" s="2">
        <v>4.8627057000000001E-2</v>
      </c>
      <c r="L730" s="2" t="s">
        <v>606</v>
      </c>
      <c r="M730" s="4" t="s">
        <v>26773</v>
      </c>
    </row>
    <row r="731" spans="1:13">
      <c r="A731" s="2">
        <v>125</v>
      </c>
      <c r="B731" s="2" t="s">
        <v>27414</v>
      </c>
      <c r="C731" s="2">
        <v>9</v>
      </c>
      <c r="D731" s="2">
        <v>341</v>
      </c>
      <c r="E731" s="2">
        <v>268</v>
      </c>
      <c r="F731" s="2">
        <v>32441</v>
      </c>
      <c r="G731" s="2">
        <v>3.1948286430000001</v>
      </c>
      <c r="H731" s="2">
        <v>2.6248970000000002E-3</v>
      </c>
      <c r="I731" s="2" t="s">
        <v>36858</v>
      </c>
      <c r="J731" s="2" t="s">
        <v>36859</v>
      </c>
      <c r="K731" s="2">
        <v>4.9873051000000002E-2</v>
      </c>
      <c r="L731" s="2" t="s">
        <v>606</v>
      </c>
      <c r="M731" s="4" t="s">
        <v>27417</v>
      </c>
    </row>
    <row r="732" spans="1:13">
      <c r="A732" s="2">
        <v>477</v>
      </c>
      <c r="B732" s="2" t="s">
        <v>36860</v>
      </c>
      <c r="C732" s="2">
        <v>126</v>
      </c>
      <c r="D732" s="2">
        <v>341</v>
      </c>
      <c r="E732" s="2">
        <v>263</v>
      </c>
      <c r="F732" s="2">
        <v>32441</v>
      </c>
      <c r="G732" s="2">
        <v>45.577935619999998</v>
      </c>
      <c r="H732" s="3">
        <v>9.7199999999999997E-158</v>
      </c>
      <c r="I732" s="3" t="s">
        <v>36861</v>
      </c>
      <c r="J732" s="3" t="s">
        <v>36862</v>
      </c>
      <c r="K732" s="3">
        <v>8.3400000000000004E-155</v>
      </c>
      <c r="L732" s="2" t="s">
        <v>637</v>
      </c>
      <c r="M732" s="4" t="s">
        <v>36863</v>
      </c>
    </row>
    <row r="733" spans="1:13">
      <c r="A733" s="2">
        <v>293</v>
      </c>
      <c r="B733" s="2" t="s">
        <v>36864</v>
      </c>
      <c r="C733" s="2">
        <v>64</v>
      </c>
      <c r="D733" s="2">
        <v>341</v>
      </c>
      <c r="E733" s="2">
        <v>68</v>
      </c>
      <c r="F733" s="2">
        <v>32441</v>
      </c>
      <c r="G733" s="2">
        <v>89.538726929999996</v>
      </c>
      <c r="H733" s="3">
        <v>4.8099999999999999E-92</v>
      </c>
      <c r="I733" s="3" t="s">
        <v>36865</v>
      </c>
      <c r="J733" s="3" t="s">
        <v>36866</v>
      </c>
      <c r="K733" s="3">
        <v>2.06E-89</v>
      </c>
      <c r="L733" s="2" t="s">
        <v>637</v>
      </c>
      <c r="M733" s="4" t="s">
        <v>36867</v>
      </c>
    </row>
    <row r="734" spans="1:13">
      <c r="A734" s="2">
        <v>2911</v>
      </c>
      <c r="B734" s="2" t="s">
        <v>36868</v>
      </c>
      <c r="C734" s="2">
        <v>58</v>
      </c>
      <c r="D734" s="2">
        <v>341</v>
      </c>
      <c r="E734" s="2">
        <v>62</v>
      </c>
      <c r="F734" s="2">
        <v>32441</v>
      </c>
      <c r="G734" s="2">
        <v>88.99716205</v>
      </c>
      <c r="H734" s="3">
        <v>3.2099999999999999E-83</v>
      </c>
      <c r="I734" s="3" t="s">
        <v>36869</v>
      </c>
      <c r="J734" s="3" t="s">
        <v>36870</v>
      </c>
      <c r="K734" s="3">
        <v>9.1800000000000007E-81</v>
      </c>
      <c r="L734" s="2" t="s">
        <v>637</v>
      </c>
      <c r="M734" s="4" t="s">
        <v>36871</v>
      </c>
    </row>
    <row r="735" spans="1:13">
      <c r="A735" s="2">
        <v>307</v>
      </c>
      <c r="B735" s="2" t="s">
        <v>36872</v>
      </c>
      <c r="C735" s="2">
        <v>58</v>
      </c>
      <c r="D735" s="2">
        <v>341</v>
      </c>
      <c r="E735" s="2">
        <v>68</v>
      </c>
      <c r="F735" s="2">
        <v>32441</v>
      </c>
      <c r="G735" s="2">
        <v>81.144471280000005</v>
      </c>
      <c r="H735" s="3">
        <v>1.3700000000000001E-81</v>
      </c>
      <c r="I735" s="3" t="s">
        <v>36873</v>
      </c>
      <c r="J735" s="3" t="s">
        <v>36874</v>
      </c>
      <c r="K735" s="3">
        <v>2.9399999999999998E-79</v>
      </c>
      <c r="L735" s="2" t="s">
        <v>637</v>
      </c>
      <c r="M735" s="4" t="s">
        <v>36875</v>
      </c>
    </row>
    <row r="736" spans="1:13">
      <c r="A736" s="2">
        <v>289</v>
      </c>
      <c r="B736" s="2" t="s">
        <v>36876</v>
      </c>
      <c r="C736" s="2">
        <v>57</v>
      </c>
      <c r="D736" s="2">
        <v>341</v>
      </c>
      <c r="E736" s="2">
        <v>62</v>
      </c>
      <c r="F736" s="2">
        <v>32441</v>
      </c>
      <c r="G736" s="2">
        <v>87.462728220000002</v>
      </c>
      <c r="H736" s="3">
        <v>1.78E-81</v>
      </c>
      <c r="I736" s="3" t="s">
        <v>36877</v>
      </c>
      <c r="J736" s="3" t="s">
        <v>36878</v>
      </c>
      <c r="K736" s="3">
        <v>3.0600000000000002E-79</v>
      </c>
      <c r="L736" s="2" t="s">
        <v>637</v>
      </c>
      <c r="M736" s="4" t="s">
        <v>36879</v>
      </c>
    </row>
    <row r="737" spans="1:13">
      <c r="A737" s="2">
        <v>312</v>
      </c>
      <c r="B737" s="2" t="s">
        <v>36880</v>
      </c>
      <c r="C737" s="2">
        <v>60</v>
      </c>
      <c r="D737" s="2">
        <v>341</v>
      </c>
      <c r="E737" s="2">
        <v>88</v>
      </c>
      <c r="F737" s="2">
        <v>32441</v>
      </c>
      <c r="G737" s="2">
        <v>64.864702750000006</v>
      </c>
      <c r="H737" s="3">
        <v>3.5199999999999999E-80</v>
      </c>
      <c r="I737" s="3" t="s">
        <v>36881</v>
      </c>
      <c r="J737" s="3" t="s">
        <v>36882</v>
      </c>
      <c r="K737" s="3">
        <v>5.0400000000000003E-78</v>
      </c>
      <c r="L737" s="2" t="s">
        <v>637</v>
      </c>
      <c r="M737" s="4" t="s">
        <v>36883</v>
      </c>
    </row>
    <row r="738" spans="1:13">
      <c r="A738" s="2">
        <v>316</v>
      </c>
      <c r="B738" s="2" t="s">
        <v>36884</v>
      </c>
      <c r="C738" s="2">
        <v>58</v>
      </c>
      <c r="D738" s="2">
        <v>341</v>
      </c>
      <c r="E738" s="2">
        <v>84</v>
      </c>
      <c r="F738" s="2">
        <v>32441</v>
      </c>
      <c r="G738" s="2">
        <v>65.688381509999999</v>
      </c>
      <c r="H738" s="3">
        <v>1.02E-77</v>
      </c>
      <c r="I738" s="3" t="s">
        <v>36885</v>
      </c>
      <c r="J738" s="3" t="s">
        <v>36886</v>
      </c>
      <c r="K738" s="3">
        <v>1.2499999999999999E-75</v>
      </c>
      <c r="L738" s="2" t="s">
        <v>637</v>
      </c>
      <c r="M738" s="4" t="s">
        <v>36887</v>
      </c>
    </row>
    <row r="739" spans="1:13">
      <c r="A739" s="2">
        <v>294</v>
      </c>
      <c r="B739" s="2" t="s">
        <v>36888</v>
      </c>
      <c r="C739" s="2">
        <v>52</v>
      </c>
      <c r="D739" s="2">
        <v>341</v>
      </c>
      <c r="E739" s="2">
        <v>57</v>
      </c>
      <c r="F739" s="2">
        <v>32441</v>
      </c>
      <c r="G739" s="2">
        <v>86.789730930000005</v>
      </c>
      <c r="H739" s="3">
        <v>3.6000000000000002E-74</v>
      </c>
      <c r="I739" s="3" t="s">
        <v>36889</v>
      </c>
      <c r="J739" s="3" t="s">
        <v>36890</v>
      </c>
      <c r="K739" s="3">
        <v>3.8600000000000001E-72</v>
      </c>
      <c r="L739" s="2" t="s">
        <v>637</v>
      </c>
      <c r="M739" s="4" t="s">
        <v>36891</v>
      </c>
    </row>
    <row r="740" spans="1:13">
      <c r="A740" s="2">
        <v>6121</v>
      </c>
      <c r="B740" s="2" t="s">
        <v>27926</v>
      </c>
      <c r="C740" s="2">
        <v>75</v>
      </c>
      <c r="D740" s="2">
        <v>341</v>
      </c>
      <c r="E740" s="2">
        <v>303</v>
      </c>
      <c r="F740" s="2">
        <v>32441</v>
      </c>
      <c r="G740" s="2">
        <v>23.548241919999999</v>
      </c>
      <c r="H740" s="3">
        <v>8.4700000000000002E-74</v>
      </c>
      <c r="I740" s="3" t="s">
        <v>36892</v>
      </c>
      <c r="J740" s="3" t="s">
        <v>36893</v>
      </c>
      <c r="K740" s="3">
        <v>8.0699999999999996E-72</v>
      </c>
      <c r="L740" s="2" t="s">
        <v>637</v>
      </c>
      <c r="M740" s="4" t="s">
        <v>27929</v>
      </c>
    </row>
    <row r="741" spans="1:13">
      <c r="A741" s="2">
        <v>288</v>
      </c>
      <c r="B741" s="2" t="s">
        <v>36894</v>
      </c>
      <c r="C741" s="2">
        <v>50</v>
      </c>
      <c r="D741" s="2">
        <v>341</v>
      </c>
      <c r="E741" s="2">
        <v>56</v>
      </c>
      <c r="F741" s="2">
        <v>32441</v>
      </c>
      <c r="G741" s="2">
        <v>84.94187264</v>
      </c>
      <c r="H741" s="3">
        <v>5.5200000000000003E-71</v>
      </c>
      <c r="I741" s="3" t="s">
        <v>36895</v>
      </c>
      <c r="J741" s="3" t="s">
        <v>36896</v>
      </c>
      <c r="K741" s="3">
        <v>4.7299999999999997E-69</v>
      </c>
      <c r="L741" s="2" t="s">
        <v>637</v>
      </c>
      <c r="M741" s="4" t="s">
        <v>36897</v>
      </c>
    </row>
    <row r="742" spans="1:13">
      <c r="A742" s="2">
        <v>655</v>
      </c>
      <c r="B742" s="2" t="s">
        <v>27898</v>
      </c>
      <c r="C742" s="2">
        <v>67</v>
      </c>
      <c r="D742" s="2">
        <v>341</v>
      </c>
      <c r="E742" s="2">
        <v>237</v>
      </c>
      <c r="F742" s="2">
        <v>32441</v>
      </c>
      <c r="G742" s="2">
        <v>26.894675629999998</v>
      </c>
      <c r="H742" s="3">
        <v>4.7200000000000004E-69</v>
      </c>
      <c r="I742" s="3" t="s">
        <v>36898</v>
      </c>
      <c r="J742" s="3" t="s">
        <v>36899</v>
      </c>
      <c r="K742" s="3">
        <v>3.6799999999999999E-67</v>
      </c>
      <c r="L742" s="2" t="s">
        <v>637</v>
      </c>
      <c r="M742" s="4" t="s">
        <v>27901</v>
      </c>
    </row>
    <row r="743" spans="1:13">
      <c r="A743" s="2">
        <v>377</v>
      </c>
      <c r="B743" s="2" t="s">
        <v>36900</v>
      </c>
      <c r="C743" s="2">
        <v>46</v>
      </c>
      <c r="D743" s="2">
        <v>341</v>
      </c>
      <c r="E743" s="2">
        <v>53</v>
      </c>
      <c r="F743" s="2">
        <v>32441</v>
      </c>
      <c r="G743" s="2">
        <v>82.569910919999998</v>
      </c>
      <c r="H743" s="3">
        <v>6.5300000000000004E-65</v>
      </c>
      <c r="I743" s="2" t="s">
        <v>36901</v>
      </c>
      <c r="J743" s="2" t="s">
        <v>36902</v>
      </c>
      <c r="K743" s="3">
        <v>4.6699999999999999E-63</v>
      </c>
      <c r="L743" s="2" t="s">
        <v>637</v>
      </c>
      <c r="M743" s="4" t="s">
        <v>36903</v>
      </c>
    </row>
    <row r="744" spans="1:13">
      <c r="A744" s="2">
        <v>310</v>
      </c>
      <c r="B744" s="2" t="s">
        <v>36904</v>
      </c>
      <c r="C744" s="2">
        <v>47</v>
      </c>
      <c r="D744" s="2">
        <v>341</v>
      </c>
      <c r="E744" s="2">
        <v>60</v>
      </c>
      <c r="F744" s="2">
        <v>32441</v>
      </c>
      <c r="G744" s="2">
        <v>74.522336269999997</v>
      </c>
      <c r="H744" s="3">
        <v>7.9499999999999993E-65</v>
      </c>
      <c r="I744" s="2" t="s">
        <v>36905</v>
      </c>
      <c r="J744" s="2" t="s">
        <v>36906</v>
      </c>
      <c r="K744" s="3">
        <v>4.87E-63</v>
      </c>
      <c r="L744" s="2" t="s">
        <v>637</v>
      </c>
      <c r="M744" s="4" t="s">
        <v>36907</v>
      </c>
    </row>
    <row r="745" spans="1:13">
      <c r="A745" s="2">
        <v>3581</v>
      </c>
      <c r="B745" s="2" t="s">
        <v>36908</v>
      </c>
      <c r="C745" s="2">
        <v>45</v>
      </c>
      <c r="D745" s="2">
        <v>341</v>
      </c>
      <c r="E745" s="2">
        <v>47</v>
      </c>
      <c r="F745" s="2">
        <v>32441</v>
      </c>
      <c r="G745" s="2">
        <v>91.086603859999997</v>
      </c>
      <c r="H745" s="3">
        <v>7.7000000000000005E-65</v>
      </c>
      <c r="I745" s="2" t="s">
        <v>36909</v>
      </c>
      <c r="J745" s="2" t="s">
        <v>36910</v>
      </c>
      <c r="K745" s="3">
        <v>4.87E-63</v>
      </c>
      <c r="L745" s="2" t="s">
        <v>637</v>
      </c>
      <c r="M745" s="4" t="s">
        <v>36911</v>
      </c>
    </row>
    <row r="746" spans="1:13">
      <c r="A746" s="2">
        <v>520</v>
      </c>
      <c r="B746" s="2" t="s">
        <v>27807</v>
      </c>
      <c r="C746" s="2">
        <v>73</v>
      </c>
      <c r="D746" s="2">
        <v>341</v>
      </c>
      <c r="E746" s="2">
        <v>393</v>
      </c>
      <c r="F746" s="2">
        <v>32441</v>
      </c>
      <c r="G746" s="2">
        <v>17.671367700000001</v>
      </c>
      <c r="H746" s="3">
        <v>6.8099999999999999E-64</v>
      </c>
      <c r="I746" s="3" t="s">
        <v>36912</v>
      </c>
      <c r="J746" s="3" t="s">
        <v>36913</v>
      </c>
      <c r="K746" s="3">
        <v>3.89E-62</v>
      </c>
      <c r="L746" s="2" t="s">
        <v>637</v>
      </c>
      <c r="M746" s="4" t="s">
        <v>27810</v>
      </c>
    </row>
    <row r="747" spans="1:13">
      <c r="A747" s="2">
        <v>4762</v>
      </c>
      <c r="B747" s="2" t="s">
        <v>7041</v>
      </c>
      <c r="C747" s="2">
        <v>73</v>
      </c>
      <c r="D747" s="2">
        <v>341</v>
      </c>
      <c r="E747" s="2">
        <v>405</v>
      </c>
      <c r="F747" s="2">
        <v>32441</v>
      </c>
      <c r="G747" s="2">
        <v>17.14777162</v>
      </c>
      <c r="H747" s="3">
        <v>4.6199999999999999E-63</v>
      </c>
      <c r="I747" s="3" t="s">
        <v>36914</v>
      </c>
      <c r="J747" s="3" t="s">
        <v>36915</v>
      </c>
      <c r="K747" s="3">
        <v>2.48E-61</v>
      </c>
      <c r="L747" s="2" t="s">
        <v>637</v>
      </c>
      <c r="M747" s="4" t="s">
        <v>7044</v>
      </c>
    </row>
    <row r="748" spans="1:13">
      <c r="A748" s="2">
        <v>323</v>
      </c>
      <c r="B748" s="2" t="s">
        <v>36916</v>
      </c>
      <c r="C748" s="2">
        <v>42</v>
      </c>
      <c r="D748" s="2">
        <v>341</v>
      </c>
      <c r="E748" s="2">
        <v>49</v>
      </c>
      <c r="F748" s="2">
        <v>32441</v>
      </c>
      <c r="G748" s="2">
        <v>81.544197740000001</v>
      </c>
      <c r="H748" s="3">
        <v>3.9300000000000002E-59</v>
      </c>
      <c r="I748" s="2" t="s">
        <v>36917</v>
      </c>
      <c r="J748" s="2" t="s">
        <v>36918</v>
      </c>
      <c r="K748" s="3">
        <v>1.9900000000000001E-57</v>
      </c>
      <c r="L748" s="2" t="s">
        <v>637</v>
      </c>
      <c r="M748" s="4" t="s">
        <v>36919</v>
      </c>
    </row>
    <row r="749" spans="1:13">
      <c r="A749" s="2">
        <v>296</v>
      </c>
      <c r="B749" s="2" t="s">
        <v>36920</v>
      </c>
      <c r="C749" s="2">
        <v>43</v>
      </c>
      <c r="D749" s="2">
        <v>341</v>
      </c>
      <c r="E749" s="2">
        <v>56</v>
      </c>
      <c r="F749" s="2">
        <v>32441</v>
      </c>
      <c r="G749" s="2">
        <v>73.050010470000004</v>
      </c>
      <c r="H749" s="3">
        <v>4.6399999999999999E-59</v>
      </c>
      <c r="I749" s="2" t="s">
        <v>36921</v>
      </c>
      <c r="J749" s="2" t="s">
        <v>36922</v>
      </c>
      <c r="K749" s="3">
        <v>2.2100000000000001E-57</v>
      </c>
      <c r="L749" s="2" t="s">
        <v>637</v>
      </c>
      <c r="M749" s="4" t="s">
        <v>36923</v>
      </c>
    </row>
    <row r="750" spans="1:13">
      <c r="A750" s="2">
        <v>341</v>
      </c>
      <c r="B750" s="2" t="s">
        <v>36924</v>
      </c>
      <c r="C750" s="2">
        <v>40</v>
      </c>
      <c r="D750" s="2">
        <v>341</v>
      </c>
      <c r="E750" s="2">
        <v>50</v>
      </c>
      <c r="F750" s="2">
        <v>32441</v>
      </c>
      <c r="G750" s="2">
        <v>76.107917889999996</v>
      </c>
      <c r="H750" s="3">
        <v>1.7500000000000001E-55</v>
      </c>
      <c r="I750" s="2" t="s">
        <v>36925</v>
      </c>
      <c r="J750" s="2" t="s">
        <v>36926</v>
      </c>
      <c r="K750" s="3">
        <v>7.8900000000000005E-54</v>
      </c>
      <c r="L750" s="2" t="s">
        <v>637</v>
      </c>
      <c r="M750" s="4" t="s">
        <v>36927</v>
      </c>
    </row>
    <row r="751" spans="1:13">
      <c r="A751" s="2">
        <v>313</v>
      </c>
      <c r="B751" s="2" t="s">
        <v>36928</v>
      </c>
      <c r="C751" s="2">
        <v>37</v>
      </c>
      <c r="D751" s="2">
        <v>341</v>
      </c>
      <c r="E751" s="2">
        <v>40</v>
      </c>
      <c r="F751" s="2">
        <v>32441</v>
      </c>
      <c r="G751" s="2">
        <v>87.999780060000006</v>
      </c>
      <c r="H751" s="3">
        <v>5.1999999999999999E-53</v>
      </c>
      <c r="I751" s="2" t="s">
        <v>36929</v>
      </c>
      <c r="J751" s="2" t="s">
        <v>36930</v>
      </c>
      <c r="K751" s="3">
        <v>2.23E-51</v>
      </c>
      <c r="L751" s="2" t="s">
        <v>637</v>
      </c>
      <c r="M751" s="4" t="s">
        <v>36931</v>
      </c>
    </row>
    <row r="752" spans="1:13">
      <c r="A752" s="2">
        <v>2901</v>
      </c>
      <c r="B752" s="2" t="s">
        <v>36932</v>
      </c>
      <c r="C752" s="2">
        <v>37</v>
      </c>
      <c r="D752" s="2">
        <v>341</v>
      </c>
      <c r="E752" s="2">
        <v>41</v>
      </c>
      <c r="F752" s="2">
        <v>32441</v>
      </c>
      <c r="G752" s="2">
        <v>85.853443960000007</v>
      </c>
      <c r="H752" s="3">
        <v>9.7999999999999993E-53</v>
      </c>
      <c r="I752" s="2" t="s">
        <v>36933</v>
      </c>
      <c r="J752" s="2" t="s">
        <v>36934</v>
      </c>
      <c r="K752" s="3">
        <v>4E-51</v>
      </c>
      <c r="L752" s="2" t="s">
        <v>637</v>
      </c>
      <c r="M752" s="4" t="s">
        <v>36935</v>
      </c>
    </row>
    <row r="753" spans="1:13">
      <c r="A753" s="2">
        <v>422</v>
      </c>
      <c r="B753" s="2" t="s">
        <v>36936</v>
      </c>
      <c r="C753" s="2">
        <v>36</v>
      </c>
      <c r="D753" s="2">
        <v>341</v>
      </c>
      <c r="E753" s="2">
        <v>39</v>
      </c>
      <c r="F753" s="2">
        <v>32441</v>
      </c>
      <c r="G753" s="2">
        <v>87.816828330000007</v>
      </c>
      <c r="H753" s="3">
        <v>1.4200000000000001E-51</v>
      </c>
      <c r="I753" s="2" t="s">
        <v>36937</v>
      </c>
      <c r="J753" s="2" t="s">
        <v>36938</v>
      </c>
      <c r="K753" s="3">
        <v>5.5500000000000001E-50</v>
      </c>
      <c r="L753" s="2" t="s">
        <v>637</v>
      </c>
      <c r="M753" s="4" t="s">
        <v>36939</v>
      </c>
    </row>
    <row r="754" spans="1:13">
      <c r="A754" s="2">
        <v>295</v>
      </c>
      <c r="B754" s="2" t="s">
        <v>36940</v>
      </c>
      <c r="C754" s="2">
        <v>34</v>
      </c>
      <c r="D754" s="2">
        <v>341</v>
      </c>
      <c r="E754" s="2">
        <v>35</v>
      </c>
      <c r="F754" s="2">
        <v>32441</v>
      </c>
      <c r="G754" s="2">
        <v>92.416757439999998</v>
      </c>
      <c r="H754" s="3">
        <v>2.8900000000000001E-49</v>
      </c>
      <c r="I754" s="2" t="s">
        <v>36941</v>
      </c>
      <c r="J754" s="2" t="s">
        <v>36942</v>
      </c>
      <c r="K754" s="3">
        <v>1.08E-47</v>
      </c>
      <c r="L754" s="2" t="s">
        <v>637</v>
      </c>
      <c r="M754" s="4" t="s">
        <v>36943</v>
      </c>
    </row>
    <row r="755" spans="1:13">
      <c r="A755" s="2">
        <v>5401</v>
      </c>
      <c r="B755" s="2" t="s">
        <v>7119</v>
      </c>
      <c r="C755" s="2">
        <v>59</v>
      </c>
      <c r="D755" s="2">
        <v>341</v>
      </c>
      <c r="E755" s="2">
        <v>410</v>
      </c>
      <c r="F755" s="2">
        <v>32441</v>
      </c>
      <c r="G755" s="2">
        <v>13.690143770000001</v>
      </c>
      <c r="H755" s="3">
        <v>9.8999999999999992E-46</v>
      </c>
      <c r="I755" s="3" t="s">
        <v>36944</v>
      </c>
      <c r="J755" s="3" t="s">
        <v>36945</v>
      </c>
      <c r="K755" s="3">
        <v>3.54E-44</v>
      </c>
      <c r="L755" s="2" t="s">
        <v>637</v>
      </c>
      <c r="M755" s="4" t="s">
        <v>7122</v>
      </c>
    </row>
    <row r="756" spans="1:13">
      <c r="A756" s="2">
        <v>315</v>
      </c>
      <c r="B756" s="2" t="s">
        <v>36946</v>
      </c>
      <c r="C756" s="2">
        <v>31</v>
      </c>
      <c r="D756" s="2">
        <v>341</v>
      </c>
      <c r="E756" s="2">
        <v>33</v>
      </c>
      <c r="F756" s="2">
        <v>32441</v>
      </c>
      <c r="G756" s="2">
        <v>89.369146009999994</v>
      </c>
      <c r="H756" s="3">
        <v>1.11E-44</v>
      </c>
      <c r="I756" s="2" t="s">
        <v>36947</v>
      </c>
      <c r="J756" s="2" t="s">
        <v>36948</v>
      </c>
      <c r="K756" s="3">
        <v>3.7999999999999997E-43</v>
      </c>
      <c r="L756" s="2" t="s">
        <v>637</v>
      </c>
      <c r="M756" s="4" t="s">
        <v>36949</v>
      </c>
    </row>
    <row r="757" spans="1:13">
      <c r="A757" s="2">
        <v>309</v>
      </c>
      <c r="B757" s="2" t="s">
        <v>36950</v>
      </c>
      <c r="C757" s="2">
        <v>32</v>
      </c>
      <c r="D757" s="2">
        <v>341</v>
      </c>
      <c r="E757" s="2">
        <v>41</v>
      </c>
      <c r="F757" s="2">
        <v>32441</v>
      </c>
      <c r="G757" s="2">
        <v>74.251627209999995</v>
      </c>
      <c r="H757" s="3">
        <v>2.7799999999999999E-44</v>
      </c>
      <c r="I757" s="2" t="s">
        <v>36951</v>
      </c>
      <c r="J757" s="2" t="s">
        <v>36952</v>
      </c>
      <c r="K757" s="3">
        <v>9.1800000000000001E-43</v>
      </c>
      <c r="L757" s="2" t="s">
        <v>637</v>
      </c>
      <c r="M757" s="4" t="s">
        <v>36953</v>
      </c>
    </row>
    <row r="758" spans="1:13">
      <c r="A758" s="2">
        <v>480</v>
      </c>
      <c r="B758" s="2" t="s">
        <v>36954</v>
      </c>
      <c r="C758" s="2">
        <v>33</v>
      </c>
      <c r="D758" s="2">
        <v>341</v>
      </c>
      <c r="E758" s="2">
        <v>56</v>
      </c>
      <c r="F758" s="2">
        <v>32441</v>
      </c>
      <c r="G758" s="2">
        <v>56.061635940000002</v>
      </c>
      <c r="H758" s="3">
        <v>1.21E-42</v>
      </c>
      <c r="I758" s="2" t="s">
        <v>36955</v>
      </c>
      <c r="J758" s="2" t="s">
        <v>36956</v>
      </c>
      <c r="K758" s="3">
        <v>3.8300000000000002E-41</v>
      </c>
      <c r="L758" s="2" t="s">
        <v>637</v>
      </c>
      <c r="M758" s="4" t="s">
        <v>36957</v>
      </c>
    </row>
    <row r="759" spans="1:13">
      <c r="A759" s="2">
        <v>298</v>
      </c>
      <c r="B759" s="2" t="s">
        <v>36958</v>
      </c>
      <c r="C759" s="2">
        <v>29</v>
      </c>
      <c r="D759" s="2">
        <v>341</v>
      </c>
      <c r="E759" s="2">
        <v>31</v>
      </c>
      <c r="F759" s="2">
        <v>32441</v>
      </c>
      <c r="G759" s="2">
        <v>88.99716205</v>
      </c>
      <c r="H759" s="3">
        <v>8.0099999999999999E-42</v>
      </c>
      <c r="I759" s="2" t="s">
        <v>36959</v>
      </c>
      <c r="J759" s="2" t="s">
        <v>36960</v>
      </c>
      <c r="K759" s="3">
        <v>2.4600000000000002E-40</v>
      </c>
      <c r="L759" s="2" t="s">
        <v>637</v>
      </c>
      <c r="M759" s="4" t="s">
        <v>36961</v>
      </c>
    </row>
    <row r="760" spans="1:13">
      <c r="A760" s="2">
        <v>475</v>
      </c>
      <c r="B760" s="2" t="s">
        <v>36962</v>
      </c>
      <c r="C760" s="2">
        <v>56</v>
      </c>
      <c r="D760" s="2">
        <v>341</v>
      </c>
      <c r="E760" s="2">
        <v>433</v>
      </c>
      <c r="F760" s="2">
        <v>32441</v>
      </c>
      <c r="G760" s="2">
        <v>12.303820440000001</v>
      </c>
      <c r="H760" s="3">
        <v>4.0099999999999998E-41</v>
      </c>
      <c r="I760" s="3" t="s">
        <v>36963</v>
      </c>
      <c r="J760" s="3" t="s">
        <v>36964</v>
      </c>
      <c r="K760" s="3">
        <v>1.19E-39</v>
      </c>
      <c r="L760" s="2" t="s">
        <v>637</v>
      </c>
      <c r="M760" s="4" t="s">
        <v>36965</v>
      </c>
    </row>
    <row r="761" spans="1:13">
      <c r="A761" s="2">
        <v>6501</v>
      </c>
      <c r="B761" s="2" t="s">
        <v>28152</v>
      </c>
      <c r="C761" s="2">
        <v>43</v>
      </c>
      <c r="D761" s="2">
        <v>341</v>
      </c>
      <c r="E761" s="2">
        <v>187</v>
      </c>
      <c r="F761" s="2">
        <v>32441</v>
      </c>
      <c r="G761" s="2">
        <v>21.87593897</v>
      </c>
      <c r="H761" s="3">
        <v>5.91E-41</v>
      </c>
      <c r="I761" s="2" t="s">
        <v>36966</v>
      </c>
      <c r="J761" s="2" t="s">
        <v>36967</v>
      </c>
      <c r="K761" s="3">
        <v>1.6899999999999999E-39</v>
      </c>
      <c r="L761" s="2" t="s">
        <v>637</v>
      </c>
      <c r="M761" s="4" t="s">
        <v>28155</v>
      </c>
    </row>
    <row r="762" spans="1:13">
      <c r="A762" s="2">
        <v>548</v>
      </c>
      <c r="B762" s="2" t="s">
        <v>36968</v>
      </c>
      <c r="C762" s="2">
        <v>42</v>
      </c>
      <c r="D762" s="2">
        <v>341</v>
      </c>
      <c r="E762" s="2">
        <v>183</v>
      </c>
      <c r="F762" s="2">
        <v>32441</v>
      </c>
      <c r="G762" s="2">
        <v>21.83423874</v>
      </c>
      <c r="H762" s="3">
        <v>5.5199999999999998E-40</v>
      </c>
      <c r="I762" s="2" t="s">
        <v>36969</v>
      </c>
      <c r="J762" s="2" t="s">
        <v>36970</v>
      </c>
      <c r="K762" s="3">
        <v>1.53E-38</v>
      </c>
      <c r="L762" s="2" t="s">
        <v>637</v>
      </c>
      <c r="M762" s="4" t="s">
        <v>36971</v>
      </c>
    </row>
    <row r="763" spans="1:13">
      <c r="A763" s="2">
        <v>379</v>
      </c>
      <c r="B763" s="2" t="s">
        <v>36972</v>
      </c>
      <c r="C763" s="2">
        <v>27</v>
      </c>
      <c r="D763" s="2">
        <v>341</v>
      </c>
      <c r="E763" s="2">
        <v>28</v>
      </c>
      <c r="F763" s="2">
        <v>32441</v>
      </c>
      <c r="G763" s="2">
        <v>91.737222450000004</v>
      </c>
      <c r="H763" s="3">
        <v>3.0000000000000003E-39</v>
      </c>
      <c r="I763" s="2" t="s">
        <v>36973</v>
      </c>
      <c r="J763" s="2" t="s">
        <v>36974</v>
      </c>
      <c r="K763" s="3">
        <v>8.0499999999999997E-38</v>
      </c>
      <c r="L763" s="2" t="s">
        <v>637</v>
      </c>
      <c r="M763" s="4" t="s">
        <v>36975</v>
      </c>
    </row>
    <row r="764" spans="1:13">
      <c r="A764" s="2">
        <v>444</v>
      </c>
      <c r="B764" s="2" t="s">
        <v>36976</v>
      </c>
      <c r="C764" s="2">
        <v>55</v>
      </c>
      <c r="D764" s="2">
        <v>341</v>
      </c>
      <c r="E764" s="2">
        <v>451</v>
      </c>
      <c r="F764" s="2">
        <v>32441</v>
      </c>
      <c r="G764" s="2">
        <v>11.601816749999999</v>
      </c>
      <c r="H764" s="3">
        <v>3.6599999999999999E-39</v>
      </c>
      <c r="I764" s="3" t="s">
        <v>36977</v>
      </c>
      <c r="J764" s="3" t="s">
        <v>36978</v>
      </c>
      <c r="K764" s="3">
        <v>9.5099999999999991E-38</v>
      </c>
      <c r="L764" s="2" t="s">
        <v>637</v>
      </c>
      <c r="M764" s="4" t="s">
        <v>36979</v>
      </c>
    </row>
    <row r="765" spans="1:13">
      <c r="A765" s="2">
        <v>40</v>
      </c>
      <c r="B765" s="2" t="s">
        <v>28193</v>
      </c>
      <c r="C765" s="2">
        <v>39</v>
      </c>
      <c r="D765" s="2">
        <v>341</v>
      </c>
      <c r="E765" s="2">
        <v>150</v>
      </c>
      <c r="F765" s="2">
        <v>32441</v>
      </c>
      <c r="G765" s="2">
        <v>24.735073310000001</v>
      </c>
      <c r="H765" s="3">
        <v>5.5900000000000002E-39</v>
      </c>
      <c r="I765" s="2" t="s">
        <v>36980</v>
      </c>
      <c r="J765" s="2" t="s">
        <v>36981</v>
      </c>
      <c r="K765" s="3">
        <v>1.41E-37</v>
      </c>
      <c r="L765" s="2" t="s">
        <v>637</v>
      </c>
      <c r="M765" s="4" t="s">
        <v>28196</v>
      </c>
    </row>
    <row r="766" spans="1:13">
      <c r="A766" s="2">
        <v>340</v>
      </c>
      <c r="B766" s="2" t="s">
        <v>36982</v>
      </c>
      <c r="C766" s="2">
        <v>28</v>
      </c>
      <c r="D766" s="2">
        <v>341</v>
      </c>
      <c r="E766" s="2">
        <v>37</v>
      </c>
      <c r="F766" s="2">
        <v>32441</v>
      </c>
      <c r="G766" s="2">
        <v>71.993976380000007</v>
      </c>
      <c r="H766" s="3">
        <v>1.36E-38</v>
      </c>
      <c r="I766" s="2" t="s">
        <v>36983</v>
      </c>
      <c r="J766" s="2" t="s">
        <v>36984</v>
      </c>
      <c r="K766" s="3">
        <v>3.3399999999999998E-37</v>
      </c>
      <c r="L766" s="2" t="s">
        <v>637</v>
      </c>
      <c r="M766" s="4" t="s">
        <v>36985</v>
      </c>
    </row>
    <row r="767" spans="1:13">
      <c r="A767" s="2">
        <v>577</v>
      </c>
      <c r="B767" s="2" t="s">
        <v>36986</v>
      </c>
      <c r="C767" s="2">
        <v>28</v>
      </c>
      <c r="D767" s="2">
        <v>341</v>
      </c>
      <c r="E767" s="2">
        <v>43</v>
      </c>
      <c r="F767" s="2">
        <v>32441</v>
      </c>
      <c r="G767" s="2">
        <v>61.948305259999998</v>
      </c>
      <c r="H767" s="3">
        <v>3.02E-37</v>
      </c>
      <c r="I767" s="2" t="s">
        <v>36987</v>
      </c>
      <c r="J767" s="2" t="s">
        <v>36988</v>
      </c>
      <c r="K767" s="3">
        <v>7.2100000000000003E-36</v>
      </c>
      <c r="L767" s="2" t="s">
        <v>637</v>
      </c>
      <c r="M767" s="4" t="s">
        <v>36989</v>
      </c>
    </row>
    <row r="768" spans="1:13">
      <c r="A768" s="2">
        <v>285</v>
      </c>
      <c r="B768" s="2" t="s">
        <v>36990</v>
      </c>
      <c r="C768" s="2">
        <v>25</v>
      </c>
      <c r="D768" s="2">
        <v>341</v>
      </c>
      <c r="E768" s="2">
        <v>26</v>
      </c>
      <c r="F768" s="2">
        <v>32441</v>
      </c>
      <c r="G768" s="2">
        <v>91.475862849999999</v>
      </c>
      <c r="H768" s="3">
        <v>2.1400000000000001E-36</v>
      </c>
      <c r="I768" s="2" t="s">
        <v>36991</v>
      </c>
      <c r="J768" s="2" t="s">
        <v>36992</v>
      </c>
      <c r="K768" s="3">
        <v>4.9499999999999995E-35</v>
      </c>
      <c r="L768" s="2" t="s">
        <v>637</v>
      </c>
      <c r="M768" s="4" t="s">
        <v>36993</v>
      </c>
    </row>
    <row r="769" spans="1:13">
      <c r="A769" s="2">
        <v>4301</v>
      </c>
      <c r="B769" s="2" t="s">
        <v>36994</v>
      </c>
      <c r="C769" s="2">
        <v>49</v>
      </c>
      <c r="D769" s="2">
        <v>341</v>
      </c>
      <c r="E769" s="2">
        <v>385</v>
      </c>
      <c r="F769" s="2">
        <v>32441</v>
      </c>
      <c r="G769" s="2">
        <v>12.108077850000001</v>
      </c>
      <c r="H769" s="3">
        <v>1.08E-35</v>
      </c>
      <c r="I769" s="2" t="s">
        <v>36995</v>
      </c>
      <c r="J769" s="2" t="s">
        <v>36996</v>
      </c>
      <c r="K769" s="3">
        <v>2.44E-34</v>
      </c>
      <c r="L769" s="2" t="s">
        <v>637</v>
      </c>
      <c r="M769" s="4" t="s">
        <v>36997</v>
      </c>
    </row>
    <row r="770" spans="1:13">
      <c r="A770" s="2">
        <v>442</v>
      </c>
      <c r="B770" s="2" t="s">
        <v>7057</v>
      </c>
      <c r="C770" s="2">
        <v>54</v>
      </c>
      <c r="D770" s="2">
        <v>341</v>
      </c>
      <c r="E770" s="2">
        <v>511</v>
      </c>
      <c r="F770" s="2">
        <v>32441</v>
      </c>
      <c r="G770" s="2">
        <v>10.053394239999999</v>
      </c>
      <c r="H770" s="3">
        <v>1.57E-35</v>
      </c>
      <c r="I770" s="3" t="s">
        <v>36998</v>
      </c>
      <c r="J770" s="3" t="s">
        <v>36999</v>
      </c>
      <c r="K770" s="3">
        <v>3.45E-34</v>
      </c>
      <c r="L770" s="2" t="s">
        <v>637</v>
      </c>
      <c r="M770" s="4" t="s">
        <v>7060</v>
      </c>
    </row>
    <row r="771" spans="1:13">
      <c r="A771" s="2">
        <v>547</v>
      </c>
      <c r="B771" s="2" t="s">
        <v>37000</v>
      </c>
      <c r="C771" s="2">
        <v>27</v>
      </c>
      <c r="D771" s="2">
        <v>341</v>
      </c>
      <c r="E771" s="2">
        <v>44</v>
      </c>
      <c r="F771" s="2">
        <v>32441</v>
      </c>
      <c r="G771" s="2">
        <v>58.37823247</v>
      </c>
      <c r="H771" s="3">
        <v>1.99E-35</v>
      </c>
      <c r="I771" s="2" t="s">
        <v>37001</v>
      </c>
      <c r="J771" s="2" t="s">
        <v>37002</v>
      </c>
      <c r="K771" s="3">
        <v>4.2599999999999999E-34</v>
      </c>
      <c r="L771" s="2" t="s">
        <v>637</v>
      </c>
      <c r="M771" s="4" t="s">
        <v>37003</v>
      </c>
    </row>
    <row r="772" spans="1:13">
      <c r="A772" s="2">
        <v>765</v>
      </c>
      <c r="B772" s="2" t="s">
        <v>37004</v>
      </c>
      <c r="C772" s="2">
        <v>27</v>
      </c>
      <c r="D772" s="2">
        <v>341</v>
      </c>
      <c r="E772" s="2">
        <v>46</v>
      </c>
      <c r="F772" s="2">
        <v>32441</v>
      </c>
      <c r="G772" s="2">
        <v>55.840048449999998</v>
      </c>
      <c r="H772" s="3">
        <v>4.9499999999999995E-35</v>
      </c>
      <c r="I772" s="2" t="s">
        <v>37005</v>
      </c>
      <c r="J772" s="2" t="s">
        <v>37006</v>
      </c>
      <c r="K772" s="3">
        <v>1.04E-33</v>
      </c>
      <c r="L772" s="2" t="s">
        <v>637</v>
      </c>
      <c r="M772" s="4" t="s">
        <v>37007</v>
      </c>
    </row>
    <row r="773" spans="1:13">
      <c r="A773" s="2">
        <v>10</v>
      </c>
      <c r="B773" s="2" t="s">
        <v>28258</v>
      </c>
      <c r="C773" s="2">
        <v>43</v>
      </c>
      <c r="D773" s="2">
        <v>341</v>
      </c>
      <c r="E773" s="2">
        <v>276</v>
      </c>
      <c r="F773" s="2">
        <v>32441</v>
      </c>
      <c r="G773" s="2">
        <v>14.82174126</v>
      </c>
      <c r="H773" s="3">
        <v>1.1600000000000001E-34</v>
      </c>
      <c r="I773" s="2" t="s">
        <v>37008</v>
      </c>
      <c r="J773" s="2" t="s">
        <v>37009</v>
      </c>
      <c r="K773" s="3">
        <v>2.38E-33</v>
      </c>
      <c r="L773" s="2" t="s">
        <v>637</v>
      </c>
      <c r="M773" s="4" t="s">
        <v>28261</v>
      </c>
    </row>
    <row r="774" spans="1:13">
      <c r="A774" s="2">
        <v>44</v>
      </c>
      <c r="B774" s="2" t="s">
        <v>28148</v>
      </c>
      <c r="C774" s="2">
        <v>32</v>
      </c>
      <c r="D774" s="2">
        <v>341</v>
      </c>
      <c r="E774" s="2">
        <v>102</v>
      </c>
      <c r="F774" s="2">
        <v>32441</v>
      </c>
      <c r="G774" s="2">
        <v>29.846242310000001</v>
      </c>
      <c r="H774" s="3">
        <v>2.46E-34</v>
      </c>
      <c r="I774" s="2" t="s">
        <v>37010</v>
      </c>
      <c r="J774" s="2" t="s">
        <v>37011</v>
      </c>
      <c r="K774" s="3">
        <v>4.9099999999999998E-33</v>
      </c>
      <c r="L774" s="2" t="s">
        <v>637</v>
      </c>
      <c r="M774" s="4" t="s">
        <v>28151</v>
      </c>
    </row>
    <row r="775" spans="1:13">
      <c r="A775" s="2">
        <v>435</v>
      </c>
      <c r="B775" s="2" t="s">
        <v>28246</v>
      </c>
      <c r="C775" s="2">
        <v>49</v>
      </c>
      <c r="D775" s="2">
        <v>341</v>
      </c>
      <c r="E775" s="2">
        <v>421</v>
      </c>
      <c r="F775" s="2">
        <v>32441</v>
      </c>
      <c r="G775" s="2">
        <v>11.072707769999999</v>
      </c>
      <c r="H775" s="3">
        <v>4.88E-34</v>
      </c>
      <c r="I775" s="2" t="s">
        <v>37012</v>
      </c>
      <c r="J775" s="2" t="s">
        <v>37013</v>
      </c>
      <c r="K775" s="3">
        <v>9.5099999999999995E-33</v>
      </c>
      <c r="L775" s="2" t="s">
        <v>637</v>
      </c>
      <c r="M775" s="4" t="s">
        <v>28249</v>
      </c>
    </row>
    <row r="776" spans="1:13">
      <c r="A776" s="2">
        <v>378</v>
      </c>
      <c r="B776" s="2" t="s">
        <v>28284</v>
      </c>
      <c r="C776" s="2">
        <v>27</v>
      </c>
      <c r="D776" s="2">
        <v>341</v>
      </c>
      <c r="E776" s="2">
        <v>61</v>
      </c>
      <c r="F776" s="2">
        <v>32441</v>
      </c>
      <c r="G776" s="2">
        <v>42.108888999999998</v>
      </c>
      <c r="H776" s="3">
        <v>1.94E-32</v>
      </c>
      <c r="I776" s="2" t="s">
        <v>37014</v>
      </c>
      <c r="J776" s="2" t="s">
        <v>37015</v>
      </c>
      <c r="K776" s="3">
        <v>3.6999999999999998E-31</v>
      </c>
      <c r="L776" s="2" t="s">
        <v>637</v>
      </c>
      <c r="M776" s="4" t="s">
        <v>28287</v>
      </c>
    </row>
    <row r="777" spans="1:13">
      <c r="A777" s="2">
        <v>443</v>
      </c>
      <c r="B777" s="2" t="s">
        <v>28296</v>
      </c>
      <c r="C777" s="2">
        <v>45</v>
      </c>
      <c r="D777" s="2">
        <v>341</v>
      </c>
      <c r="E777" s="2">
        <v>367</v>
      </c>
      <c r="F777" s="2">
        <v>32441</v>
      </c>
      <c r="G777" s="2">
        <v>11.665041909999999</v>
      </c>
      <c r="H777" s="3">
        <v>3.5500000000000002E-32</v>
      </c>
      <c r="I777" s="2" t="s">
        <v>37016</v>
      </c>
      <c r="J777" s="2" t="s">
        <v>37017</v>
      </c>
      <c r="K777" s="3">
        <v>6.6200000000000004E-31</v>
      </c>
      <c r="L777" s="2" t="s">
        <v>637</v>
      </c>
      <c r="M777" s="4" t="s">
        <v>28299</v>
      </c>
    </row>
    <row r="778" spans="1:13">
      <c r="A778" s="2">
        <v>611</v>
      </c>
      <c r="B778" s="2" t="s">
        <v>28039</v>
      </c>
      <c r="C778" s="2">
        <v>35</v>
      </c>
      <c r="D778" s="2">
        <v>341</v>
      </c>
      <c r="E778" s="2">
        <v>174</v>
      </c>
      <c r="F778" s="2">
        <v>32441</v>
      </c>
      <c r="G778" s="2">
        <v>19.136329929999999</v>
      </c>
      <c r="H778" s="3">
        <v>1.0300000000000001E-31</v>
      </c>
      <c r="I778" s="2" t="s">
        <v>37018</v>
      </c>
      <c r="J778" s="2" t="s">
        <v>37019</v>
      </c>
      <c r="K778" s="3">
        <v>1.87E-30</v>
      </c>
      <c r="L778" s="2" t="s">
        <v>637</v>
      </c>
      <c r="M778" s="4" t="s">
        <v>28042</v>
      </c>
    </row>
    <row r="779" spans="1:13">
      <c r="A779" s="2">
        <v>67</v>
      </c>
      <c r="B779" s="2" t="s">
        <v>37020</v>
      </c>
      <c r="C779" s="2">
        <v>27</v>
      </c>
      <c r="D779" s="2">
        <v>341</v>
      </c>
      <c r="E779" s="2">
        <v>66</v>
      </c>
      <c r="F779" s="2">
        <v>32441</v>
      </c>
      <c r="G779" s="2">
        <v>38.918821649999998</v>
      </c>
      <c r="H779" s="3">
        <v>1.0799999999999999E-31</v>
      </c>
      <c r="I779" s="2" t="s">
        <v>37021</v>
      </c>
      <c r="J779" s="2" t="s">
        <v>37022</v>
      </c>
      <c r="K779" s="3">
        <v>1.92E-30</v>
      </c>
      <c r="L779" s="2" t="s">
        <v>637</v>
      </c>
      <c r="M779" s="4" t="s">
        <v>37023</v>
      </c>
    </row>
    <row r="780" spans="1:13">
      <c r="A780" s="2">
        <v>16</v>
      </c>
      <c r="B780" s="2" t="s">
        <v>37024</v>
      </c>
      <c r="C780" s="2">
        <v>26</v>
      </c>
      <c r="D780" s="2">
        <v>341</v>
      </c>
      <c r="E780" s="2">
        <v>61</v>
      </c>
      <c r="F780" s="2">
        <v>32441</v>
      </c>
      <c r="G780" s="2">
        <v>40.549300510000002</v>
      </c>
      <c r="H780" s="3">
        <v>6.1800000000000003E-31</v>
      </c>
      <c r="I780" s="2" t="s">
        <v>37025</v>
      </c>
      <c r="J780" s="2" t="s">
        <v>37026</v>
      </c>
      <c r="K780" s="3">
        <v>1.0799999999999999E-29</v>
      </c>
      <c r="L780" s="2" t="s">
        <v>637</v>
      </c>
      <c r="M780" s="4" t="s">
        <v>37027</v>
      </c>
    </row>
    <row r="781" spans="1:13">
      <c r="A781" s="2">
        <v>98</v>
      </c>
      <c r="B781" s="2" t="s">
        <v>37028</v>
      </c>
      <c r="C781" s="2">
        <v>24</v>
      </c>
      <c r="D781" s="2">
        <v>341</v>
      </c>
      <c r="E781" s="2">
        <v>52</v>
      </c>
      <c r="F781" s="2">
        <v>32441</v>
      </c>
      <c r="G781" s="2">
        <v>43.90841417</v>
      </c>
      <c r="H781" s="3">
        <v>2.6299999999999999E-29</v>
      </c>
      <c r="I781" s="2" t="s">
        <v>37029</v>
      </c>
      <c r="J781" s="2" t="s">
        <v>37030</v>
      </c>
      <c r="K781" s="3">
        <v>4.5100000000000004E-28</v>
      </c>
      <c r="L781" s="2" t="s">
        <v>637</v>
      </c>
      <c r="M781" s="4" t="s">
        <v>37031</v>
      </c>
    </row>
    <row r="782" spans="1:13">
      <c r="A782" s="2">
        <v>546</v>
      </c>
      <c r="B782" s="2" t="s">
        <v>37032</v>
      </c>
      <c r="C782" s="2">
        <v>27</v>
      </c>
      <c r="D782" s="2">
        <v>341</v>
      </c>
      <c r="E782" s="2">
        <v>96</v>
      </c>
      <c r="F782" s="2">
        <v>32441</v>
      </c>
      <c r="G782" s="2">
        <v>26.75668988</v>
      </c>
      <c r="H782" s="3">
        <v>4.6899999999999999E-28</v>
      </c>
      <c r="I782" s="2" t="s">
        <v>37033</v>
      </c>
      <c r="J782" s="2" t="s">
        <v>37034</v>
      </c>
      <c r="K782" s="3">
        <v>7.8900000000000003E-27</v>
      </c>
      <c r="L782" s="2" t="s">
        <v>637</v>
      </c>
      <c r="M782" s="4" t="s">
        <v>37035</v>
      </c>
    </row>
    <row r="783" spans="1:13">
      <c r="A783" s="2">
        <v>148</v>
      </c>
      <c r="B783" s="2" t="s">
        <v>27968</v>
      </c>
      <c r="C783" s="2">
        <v>27</v>
      </c>
      <c r="D783" s="2">
        <v>341</v>
      </c>
      <c r="E783" s="2">
        <v>117</v>
      </c>
      <c r="F783" s="2">
        <v>32441</v>
      </c>
      <c r="G783" s="2">
        <v>21.95420708</v>
      </c>
      <c r="H783" s="3">
        <v>4.4100000000000001E-26</v>
      </c>
      <c r="I783" s="2" t="s">
        <v>37036</v>
      </c>
      <c r="J783" s="2" t="s">
        <v>37037</v>
      </c>
      <c r="K783" s="3">
        <v>7.2699999999999996E-25</v>
      </c>
      <c r="L783" s="2" t="s">
        <v>637</v>
      </c>
      <c r="M783" s="4" t="s">
        <v>27971</v>
      </c>
    </row>
    <row r="784" spans="1:13">
      <c r="A784" s="2">
        <v>760</v>
      </c>
      <c r="B784" s="2" t="s">
        <v>37038</v>
      </c>
      <c r="C784" s="2">
        <v>27</v>
      </c>
      <c r="D784" s="2">
        <v>341</v>
      </c>
      <c r="E784" s="2">
        <v>121</v>
      </c>
      <c r="F784" s="2">
        <v>32441</v>
      </c>
      <c r="G784" s="2">
        <v>21.22844817</v>
      </c>
      <c r="H784" s="3">
        <v>9.5900000000000004E-26</v>
      </c>
      <c r="I784" s="2" t="s">
        <v>37039</v>
      </c>
      <c r="J784" s="2" t="s">
        <v>37040</v>
      </c>
      <c r="K784" s="3">
        <v>1.55E-24</v>
      </c>
      <c r="L784" s="2" t="s">
        <v>637</v>
      </c>
      <c r="M784" s="4" t="s">
        <v>37041</v>
      </c>
    </row>
    <row r="785" spans="1:13">
      <c r="A785" s="2">
        <v>304</v>
      </c>
      <c r="B785" s="2" t="s">
        <v>37042</v>
      </c>
      <c r="C785" s="2">
        <v>18</v>
      </c>
      <c r="D785" s="2">
        <v>341</v>
      </c>
      <c r="E785" s="2">
        <v>28</v>
      </c>
      <c r="F785" s="2">
        <v>32441</v>
      </c>
      <c r="G785" s="2">
        <v>61.158148300000001</v>
      </c>
      <c r="H785" s="3">
        <v>2.8000000000000002E-24</v>
      </c>
      <c r="I785" s="2" t="s">
        <v>37043</v>
      </c>
      <c r="J785" s="2" t="s">
        <v>37044</v>
      </c>
      <c r="K785" s="3">
        <v>4.4600000000000002E-23</v>
      </c>
      <c r="L785" s="2" t="s">
        <v>637</v>
      </c>
      <c r="M785" s="4" t="s">
        <v>37045</v>
      </c>
    </row>
    <row r="786" spans="1:13">
      <c r="A786" s="2">
        <v>146</v>
      </c>
      <c r="B786" s="2" t="s">
        <v>28011</v>
      </c>
      <c r="C786" s="2">
        <v>27</v>
      </c>
      <c r="D786" s="2">
        <v>341</v>
      </c>
      <c r="E786" s="2">
        <v>164</v>
      </c>
      <c r="F786" s="2">
        <v>32441</v>
      </c>
      <c r="G786" s="2">
        <v>15.662452610000001</v>
      </c>
      <c r="H786" s="3">
        <v>1.14E-22</v>
      </c>
      <c r="I786" s="2" t="s">
        <v>37046</v>
      </c>
      <c r="J786" s="2" t="s">
        <v>37047</v>
      </c>
      <c r="K786" s="3">
        <v>1.7800000000000002E-21</v>
      </c>
      <c r="L786" s="2" t="s">
        <v>637</v>
      </c>
      <c r="M786" s="4" t="s">
        <v>28014</v>
      </c>
    </row>
    <row r="787" spans="1:13">
      <c r="A787" s="2">
        <v>33</v>
      </c>
      <c r="B787" s="2" t="s">
        <v>27972</v>
      </c>
      <c r="C787" s="2">
        <v>28</v>
      </c>
      <c r="D787" s="2">
        <v>341</v>
      </c>
      <c r="E787" s="2">
        <v>190</v>
      </c>
      <c r="F787" s="2">
        <v>32441</v>
      </c>
      <c r="G787" s="2">
        <v>14.01987961</v>
      </c>
      <c r="H787" s="3">
        <v>2.69E-22</v>
      </c>
      <c r="I787" s="2" t="s">
        <v>37048</v>
      </c>
      <c r="J787" s="2" t="s">
        <v>37049</v>
      </c>
      <c r="K787" s="3">
        <v>4.1099999999999998E-21</v>
      </c>
      <c r="L787" s="2" t="s">
        <v>637</v>
      </c>
      <c r="M787" s="4" t="s">
        <v>27975</v>
      </c>
    </row>
    <row r="788" spans="1:13">
      <c r="A788" s="2">
        <v>18</v>
      </c>
      <c r="B788" s="2" t="s">
        <v>37050</v>
      </c>
      <c r="C788" s="2">
        <v>20</v>
      </c>
      <c r="D788" s="2">
        <v>341</v>
      </c>
      <c r="E788" s="2">
        <v>65</v>
      </c>
      <c r="F788" s="2">
        <v>32441</v>
      </c>
      <c r="G788" s="2">
        <v>29.27227611</v>
      </c>
      <c r="H788" s="3">
        <v>9.5700000000000001E-22</v>
      </c>
      <c r="I788" s="2" t="s">
        <v>37051</v>
      </c>
      <c r="J788" s="2" t="s">
        <v>37052</v>
      </c>
      <c r="K788" s="3">
        <v>1.44E-20</v>
      </c>
      <c r="L788" s="2" t="s">
        <v>637</v>
      </c>
      <c r="M788" s="4" t="s">
        <v>37053</v>
      </c>
    </row>
    <row r="789" spans="1:13">
      <c r="A789" s="2">
        <v>3891</v>
      </c>
      <c r="B789" s="2" t="s">
        <v>37054</v>
      </c>
      <c r="C789" s="2">
        <v>21</v>
      </c>
      <c r="D789" s="2">
        <v>341</v>
      </c>
      <c r="E789" s="2">
        <v>79</v>
      </c>
      <c r="F789" s="2">
        <v>32441</v>
      </c>
      <c r="G789" s="2">
        <v>25.289023350000001</v>
      </c>
      <c r="H789" s="3">
        <v>1.2E-21</v>
      </c>
      <c r="I789" s="2" t="s">
        <v>37055</v>
      </c>
      <c r="J789" s="2" t="s">
        <v>37056</v>
      </c>
      <c r="K789" s="3">
        <v>1.7700000000000001E-20</v>
      </c>
      <c r="L789" s="2" t="s">
        <v>637</v>
      </c>
      <c r="M789" s="4" t="s">
        <v>37057</v>
      </c>
    </row>
    <row r="790" spans="1:13">
      <c r="A790" s="2">
        <v>22</v>
      </c>
      <c r="B790" s="2" t="s">
        <v>27860</v>
      </c>
      <c r="C790" s="2">
        <v>31</v>
      </c>
      <c r="D790" s="2">
        <v>341</v>
      </c>
      <c r="E790" s="2">
        <v>277</v>
      </c>
      <c r="F790" s="2">
        <v>32441</v>
      </c>
      <c r="G790" s="2">
        <v>10.64686577</v>
      </c>
      <c r="H790" s="3">
        <v>2.33E-21</v>
      </c>
      <c r="I790" s="2" t="s">
        <v>37058</v>
      </c>
      <c r="J790" s="2" t="s">
        <v>37059</v>
      </c>
      <c r="K790" s="3">
        <v>3.3800000000000003E-20</v>
      </c>
      <c r="L790" s="2" t="s">
        <v>637</v>
      </c>
      <c r="M790" s="4" t="s">
        <v>27863</v>
      </c>
    </row>
    <row r="791" spans="1:13">
      <c r="A791" s="2">
        <v>35</v>
      </c>
      <c r="B791" s="2" t="s">
        <v>28136</v>
      </c>
      <c r="C791" s="2">
        <v>33</v>
      </c>
      <c r="D791" s="2">
        <v>341</v>
      </c>
      <c r="E791" s="2">
        <v>345</v>
      </c>
      <c r="F791" s="2">
        <v>32441</v>
      </c>
      <c r="G791" s="2">
        <v>9.0998597480000001</v>
      </c>
      <c r="H791" s="3">
        <v>9.8099999999999995E-21</v>
      </c>
      <c r="I791" s="2" t="s">
        <v>37060</v>
      </c>
      <c r="J791" s="2" t="s">
        <v>37061</v>
      </c>
      <c r="K791" s="3">
        <v>1.4E-19</v>
      </c>
      <c r="L791" s="2" t="s">
        <v>637</v>
      </c>
      <c r="M791" s="4" t="s">
        <v>28139</v>
      </c>
    </row>
    <row r="792" spans="1:13">
      <c r="A792" s="2">
        <v>7951</v>
      </c>
      <c r="B792" s="2" t="s">
        <v>37062</v>
      </c>
      <c r="C792" s="2">
        <v>16</v>
      </c>
      <c r="D792" s="2">
        <v>341</v>
      </c>
      <c r="E792" s="2">
        <v>33</v>
      </c>
      <c r="F792" s="2">
        <v>32441</v>
      </c>
      <c r="G792" s="2">
        <v>46.126010839999999</v>
      </c>
      <c r="H792" s="3">
        <v>3.2399999999999998E-20</v>
      </c>
      <c r="I792" s="2" t="s">
        <v>37063</v>
      </c>
      <c r="J792" s="2" t="s">
        <v>37064</v>
      </c>
      <c r="K792" s="3">
        <v>4.5600000000000002E-19</v>
      </c>
      <c r="L792" s="2" t="s">
        <v>637</v>
      </c>
      <c r="M792" s="4" t="s">
        <v>37065</v>
      </c>
    </row>
    <row r="793" spans="1:13">
      <c r="A793" s="2">
        <v>527</v>
      </c>
      <c r="B793" s="2" t="s">
        <v>37066</v>
      </c>
      <c r="C793" s="2">
        <v>26</v>
      </c>
      <c r="D793" s="2">
        <v>341</v>
      </c>
      <c r="E793" s="2">
        <v>200</v>
      </c>
      <c r="F793" s="2">
        <v>32441</v>
      </c>
      <c r="G793" s="2">
        <v>12.367536660000001</v>
      </c>
      <c r="H793" s="3">
        <v>1.4699999999999999E-19</v>
      </c>
      <c r="I793" s="2" t="s">
        <v>37067</v>
      </c>
      <c r="J793" s="2" t="s">
        <v>37068</v>
      </c>
      <c r="K793" s="3">
        <v>2.03E-18</v>
      </c>
      <c r="L793" s="2" t="s">
        <v>637</v>
      </c>
      <c r="M793" s="4" t="s">
        <v>37069</v>
      </c>
    </row>
    <row r="794" spans="1:13">
      <c r="A794" s="2">
        <v>25</v>
      </c>
      <c r="B794" s="2" t="s">
        <v>28081</v>
      </c>
      <c r="C794" s="2">
        <v>18</v>
      </c>
      <c r="D794" s="2">
        <v>341</v>
      </c>
      <c r="E794" s="2">
        <v>61</v>
      </c>
      <c r="F794" s="2">
        <v>32441</v>
      </c>
      <c r="G794" s="2">
        <v>28.072592660000002</v>
      </c>
      <c r="H794" s="3">
        <v>2.01E-19</v>
      </c>
      <c r="I794" s="2" t="s">
        <v>37070</v>
      </c>
      <c r="J794" s="2" t="s">
        <v>37071</v>
      </c>
      <c r="K794" s="3">
        <v>2.7400000000000001E-18</v>
      </c>
      <c r="L794" s="2" t="s">
        <v>637</v>
      </c>
      <c r="M794" s="4" t="s">
        <v>28084</v>
      </c>
    </row>
    <row r="795" spans="1:13">
      <c r="A795" s="2">
        <v>20</v>
      </c>
      <c r="B795" s="2" t="s">
        <v>28065</v>
      </c>
      <c r="C795" s="2">
        <v>24</v>
      </c>
      <c r="D795" s="2">
        <v>341</v>
      </c>
      <c r="E795" s="2">
        <v>174</v>
      </c>
      <c r="F795" s="2">
        <v>32441</v>
      </c>
      <c r="G795" s="2">
        <v>13.12205481</v>
      </c>
      <c r="H795" s="3">
        <v>1.1100000000000001E-18</v>
      </c>
      <c r="I795" s="2" t="s">
        <v>37072</v>
      </c>
      <c r="J795" s="2" t="s">
        <v>37073</v>
      </c>
      <c r="K795" s="3">
        <v>1.4899999999999999E-17</v>
      </c>
      <c r="L795" s="2" t="s">
        <v>637</v>
      </c>
      <c r="M795" s="4" t="s">
        <v>28068</v>
      </c>
    </row>
    <row r="796" spans="1:13">
      <c r="A796" s="2">
        <v>292</v>
      </c>
      <c r="B796" s="2" t="s">
        <v>37074</v>
      </c>
      <c r="C796" s="2">
        <v>19</v>
      </c>
      <c r="D796" s="2">
        <v>341</v>
      </c>
      <c r="E796" s="2">
        <v>83</v>
      </c>
      <c r="F796" s="2">
        <v>32441</v>
      </c>
      <c r="G796" s="2">
        <v>21.77786807</v>
      </c>
      <c r="H796" s="3">
        <v>1.1699999999999999E-18</v>
      </c>
      <c r="I796" s="2" t="s">
        <v>37075</v>
      </c>
      <c r="J796" s="2" t="s">
        <v>37076</v>
      </c>
      <c r="K796" s="3">
        <v>1.5499999999999999E-17</v>
      </c>
      <c r="L796" s="2" t="s">
        <v>637</v>
      </c>
      <c r="M796" s="4" t="s">
        <v>37077</v>
      </c>
    </row>
    <row r="797" spans="1:13">
      <c r="A797" s="2">
        <v>12</v>
      </c>
      <c r="B797" s="2" t="s">
        <v>28027</v>
      </c>
      <c r="C797" s="2">
        <v>18</v>
      </c>
      <c r="D797" s="2">
        <v>341</v>
      </c>
      <c r="E797" s="2">
        <v>77</v>
      </c>
      <c r="F797" s="2">
        <v>32441</v>
      </c>
      <c r="G797" s="2">
        <v>22.23932666</v>
      </c>
      <c r="H797" s="3">
        <v>6.9799999999999998E-18</v>
      </c>
      <c r="I797" s="2" t="s">
        <v>37078</v>
      </c>
      <c r="J797" s="2" t="s">
        <v>37079</v>
      </c>
      <c r="K797" s="3">
        <v>9.0800000000000004E-17</v>
      </c>
      <c r="L797" s="2" t="s">
        <v>637</v>
      </c>
      <c r="M797" s="4" t="s">
        <v>28030</v>
      </c>
    </row>
    <row r="798" spans="1:13">
      <c r="A798" s="2">
        <v>108</v>
      </c>
      <c r="B798" s="2" t="s">
        <v>28015</v>
      </c>
      <c r="C798" s="2">
        <v>28</v>
      </c>
      <c r="D798" s="2">
        <v>341</v>
      </c>
      <c r="E798" s="2">
        <v>303</v>
      </c>
      <c r="F798" s="2">
        <v>32441</v>
      </c>
      <c r="G798" s="2">
        <v>8.79134365</v>
      </c>
      <c r="H798" s="3">
        <v>2.1200000000000001E-17</v>
      </c>
      <c r="I798" s="2" t="s">
        <v>37080</v>
      </c>
      <c r="J798" s="2" t="s">
        <v>37081</v>
      </c>
      <c r="K798" s="3">
        <v>2.7199999999999998E-16</v>
      </c>
      <c r="L798" s="2" t="s">
        <v>637</v>
      </c>
      <c r="M798" s="4" t="s">
        <v>28018</v>
      </c>
    </row>
    <row r="799" spans="1:13">
      <c r="A799" s="2">
        <v>55</v>
      </c>
      <c r="B799" s="2" t="s">
        <v>28043</v>
      </c>
      <c r="C799" s="2">
        <v>25</v>
      </c>
      <c r="D799" s="2">
        <v>341</v>
      </c>
      <c r="E799" s="2">
        <v>234</v>
      </c>
      <c r="F799" s="2">
        <v>32441</v>
      </c>
      <c r="G799" s="2">
        <v>10.16398476</v>
      </c>
      <c r="H799" s="3">
        <v>5.1700000000000001E-17</v>
      </c>
      <c r="I799" s="2" t="s">
        <v>37082</v>
      </c>
      <c r="J799" s="2" t="s">
        <v>37083</v>
      </c>
      <c r="K799" s="3">
        <v>6.5299999999999996E-16</v>
      </c>
      <c r="L799" s="2" t="s">
        <v>637</v>
      </c>
      <c r="M799" s="4" t="s">
        <v>28046</v>
      </c>
    </row>
    <row r="800" spans="1:13">
      <c r="A800" s="2">
        <v>88</v>
      </c>
      <c r="B800" s="2" t="s">
        <v>811</v>
      </c>
      <c r="C800" s="2">
        <v>25</v>
      </c>
      <c r="D800" s="2">
        <v>341</v>
      </c>
      <c r="E800" s="2">
        <v>262</v>
      </c>
      <c r="F800" s="2">
        <v>32441</v>
      </c>
      <c r="G800" s="2">
        <v>9.0777573819999997</v>
      </c>
      <c r="H800" s="3">
        <v>5.8500000000000004E-16</v>
      </c>
      <c r="I800" s="2" t="s">
        <v>37084</v>
      </c>
      <c r="J800" s="2" t="s">
        <v>37085</v>
      </c>
      <c r="K800" s="3">
        <v>7.2700000000000002E-15</v>
      </c>
      <c r="L800" s="2" t="s">
        <v>637</v>
      </c>
      <c r="M800" s="4" t="s">
        <v>28113</v>
      </c>
    </row>
    <row r="801" spans="1:13">
      <c r="A801" s="2">
        <v>400</v>
      </c>
      <c r="B801" s="2" t="s">
        <v>37086</v>
      </c>
      <c r="C801" s="2">
        <v>17</v>
      </c>
      <c r="D801" s="2">
        <v>341</v>
      </c>
      <c r="E801" s="2">
        <v>86</v>
      </c>
      <c r="F801" s="2">
        <v>32441</v>
      </c>
      <c r="G801" s="2">
        <v>18.805735519999999</v>
      </c>
      <c r="H801" s="3">
        <v>6.7099999999999996E-16</v>
      </c>
      <c r="I801" s="2" t="s">
        <v>37087</v>
      </c>
      <c r="J801" s="2" t="s">
        <v>37088</v>
      </c>
      <c r="K801" s="3">
        <v>8.2200000000000003E-15</v>
      </c>
      <c r="L801" s="2" t="s">
        <v>637</v>
      </c>
      <c r="M801" s="4" t="s">
        <v>37089</v>
      </c>
    </row>
    <row r="802" spans="1:13">
      <c r="A802" s="2">
        <v>381</v>
      </c>
      <c r="B802" s="2" t="s">
        <v>27984</v>
      </c>
      <c r="C802" s="2">
        <v>18</v>
      </c>
      <c r="D802" s="2">
        <v>341</v>
      </c>
      <c r="E802" s="2">
        <v>105</v>
      </c>
      <c r="F802" s="2">
        <v>32441</v>
      </c>
      <c r="G802" s="2">
        <v>16.308839549999998</v>
      </c>
      <c r="H802" s="3">
        <v>8.4699999999999996E-16</v>
      </c>
      <c r="I802" s="2" t="s">
        <v>37090</v>
      </c>
      <c r="J802" s="2" t="s">
        <v>37091</v>
      </c>
      <c r="K802" s="3">
        <v>1.02E-14</v>
      </c>
      <c r="L802" s="2" t="s">
        <v>637</v>
      </c>
      <c r="M802" s="4" t="s">
        <v>27987</v>
      </c>
    </row>
    <row r="803" spans="1:13">
      <c r="A803" s="2">
        <v>46</v>
      </c>
      <c r="B803" s="2" t="s">
        <v>37092</v>
      </c>
      <c r="C803" s="2">
        <v>15</v>
      </c>
      <c r="D803" s="2">
        <v>341</v>
      </c>
      <c r="E803" s="2">
        <v>62</v>
      </c>
      <c r="F803" s="2">
        <v>32441</v>
      </c>
      <c r="G803" s="2">
        <v>23.016507430000001</v>
      </c>
      <c r="H803" s="3">
        <v>2.62E-15</v>
      </c>
      <c r="I803" s="2" t="s">
        <v>37093</v>
      </c>
      <c r="J803" s="2" t="s">
        <v>37094</v>
      </c>
      <c r="K803" s="3">
        <v>3.1200000000000002E-14</v>
      </c>
      <c r="L803" s="2" t="s">
        <v>637</v>
      </c>
      <c r="M803" s="4" t="s">
        <v>37095</v>
      </c>
    </row>
    <row r="804" spans="1:13">
      <c r="A804" s="2">
        <v>702</v>
      </c>
      <c r="B804" s="2" t="s">
        <v>37096</v>
      </c>
      <c r="C804" s="2">
        <v>10</v>
      </c>
      <c r="D804" s="2">
        <v>341</v>
      </c>
      <c r="E804" s="2">
        <v>16</v>
      </c>
      <c r="F804" s="2">
        <v>32441</v>
      </c>
      <c r="G804" s="2">
        <v>59.459310850000001</v>
      </c>
      <c r="H804" s="3">
        <v>5.9600000000000006E-14</v>
      </c>
      <c r="I804" s="2" t="s">
        <v>37097</v>
      </c>
      <c r="J804" s="2" t="s">
        <v>37098</v>
      </c>
      <c r="K804" s="3">
        <v>7.0000000000000005E-13</v>
      </c>
      <c r="L804" s="2" t="s">
        <v>637</v>
      </c>
      <c r="M804" s="4" t="s">
        <v>37099</v>
      </c>
    </row>
    <row r="805" spans="1:13">
      <c r="A805" s="2">
        <v>300</v>
      </c>
      <c r="B805" s="2" t="s">
        <v>28217</v>
      </c>
      <c r="C805" s="2">
        <v>13</v>
      </c>
      <c r="D805" s="2">
        <v>341</v>
      </c>
      <c r="E805" s="2">
        <v>50</v>
      </c>
      <c r="F805" s="2">
        <v>32441</v>
      </c>
      <c r="G805" s="2">
        <v>24.735073310000001</v>
      </c>
      <c r="H805" s="3">
        <v>8.7100000000000002E-14</v>
      </c>
      <c r="I805" s="2" t="s">
        <v>37100</v>
      </c>
      <c r="J805" s="2" t="s">
        <v>37101</v>
      </c>
      <c r="K805" s="3">
        <v>1.0099999999999999E-12</v>
      </c>
      <c r="L805" s="2" t="s">
        <v>637</v>
      </c>
      <c r="M805" s="4" t="s">
        <v>28220</v>
      </c>
    </row>
    <row r="806" spans="1:13">
      <c r="A806" s="2">
        <v>813</v>
      </c>
      <c r="B806" s="2" t="s">
        <v>37102</v>
      </c>
      <c r="C806" s="2">
        <v>13</v>
      </c>
      <c r="D806" s="2">
        <v>341</v>
      </c>
      <c r="E806" s="2">
        <v>52</v>
      </c>
      <c r="F806" s="2">
        <v>32441</v>
      </c>
      <c r="G806" s="2">
        <v>23.783724339999999</v>
      </c>
      <c r="H806" s="3">
        <v>1.3400000000000001E-13</v>
      </c>
      <c r="I806" s="2" t="s">
        <v>37103</v>
      </c>
      <c r="J806" s="2" t="s">
        <v>37104</v>
      </c>
      <c r="K806" s="3">
        <v>1.5299999999999999E-12</v>
      </c>
      <c r="L806" s="2" t="s">
        <v>637</v>
      </c>
      <c r="M806" s="4" t="s">
        <v>37105</v>
      </c>
    </row>
    <row r="807" spans="1:13">
      <c r="A807" s="2">
        <v>3031</v>
      </c>
      <c r="B807" s="2" t="s">
        <v>28085</v>
      </c>
      <c r="C807" s="2">
        <v>12</v>
      </c>
      <c r="D807" s="2">
        <v>341</v>
      </c>
      <c r="E807" s="2">
        <v>42</v>
      </c>
      <c r="F807" s="2">
        <v>32441</v>
      </c>
      <c r="G807" s="2">
        <v>27.181399249999998</v>
      </c>
      <c r="H807" s="3">
        <v>3.07E-13</v>
      </c>
      <c r="I807" s="2" t="s">
        <v>37106</v>
      </c>
      <c r="J807" s="2" t="s">
        <v>37107</v>
      </c>
      <c r="K807" s="3">
        <v>3.4600000000000002E-12</v>
      </c>
      <c r="L807" s="2" t="s">
        <v>637</v>
      </c>
      <c r="M807" s="4" t="s">
        <v>28088</v>
      </c>
    </row>
    <row r="808" spans="1:13">
      <c r="A808" s="2">
        <v>706</v>
      </c>
      <c r="B808" s="2" t="s">
        <v>37108</v>
      </c>
      <c r="C808" s="2">
        <v>10</v>
      </c>
      <c r="D808" s="2">
        <v>341</v>
      </c>
      <c r="E808" s="2">
        <v>20</v>
      </c>
      <c r="F808" s="2">
        <v>32441</v>
      </c>
      <c r="G808" s="2">
        <v>47.567448679999998</v>
      </c>
      <c r="H808" s="3">
        <v>3.2499999999999998E-13</v>
      </c>
      <c r="I808" s="2" t="s">
        <v>37109</v>
      </c>
      <c r="J808" s="2" t="s">
        <v>37110</v>
      </c>
      <c r="K808" s="3">
        <v>3.6199999999999999E-12</v>
      </c>
      <c r="L808" s="2" t="s">
        <v>637</v>
      </c>
      <c r="M808" s="4" t="s">
        <v>37111</v>
      </c>
    </row>
    <row r="809" spans="1:13">
      <c r="A809" s="2">
        <v>305</v>
      </c>
      <c r="B809" s="2" t="s">
        <v>37112</v>
      </c>
      <c r="C809" s="2">
        <v>11</v>
      </c>
      <c r="D809" s="2">
        <v>341</v>
      </c>
      <c r="E809" s="2">
        <v>31</v>
      </c>
      <c r="F809" s="2">
        <v>32441</v>
      </c>
      <c r="G809" s="2">
        <v>33.75754422</v>
      </c>
      <c r="H809" s="3">
        <v>4.2200000000000002E-13</v>
      </c>
      <c r="I809" s="2" t="s">
        <v>37113</v>
      </c>
      <c r="J809" s="2" t="s">
        <v>37114</v>
      </c>
      <c r="K809" s="3">
        <v>4.6399999999999996E-12</v>
      </c>
      <c r="L809" s="2" t="s">
        <v>637</v>
      </c>
      <c r="M809" s="4" t="s">
        <v>37115</v>
      </c>
    </row>
    <row r="810" spans="1:13">
      <c r="A810" s="2">
        <v>158</v>
      </c>
      <c r="B810" s="2" t="s">
        <v>28240</v>
      </c>
      <c r="C810" s="2">
        <v>15</v>
      </c>
      <c r="D810" s="2">
        <v>341</v>
      </c>
      <c r="E810" s="2">
        <v>108</v>
      </c>
      <c r="F810" s="2">
        <v>32441</v>
      </c>
      <c r="G810" s="2">
        <v>13.213180189999999</v>
      </c>
      <c r="H810" s="3">
        <v>3.3800000000000001E-12</v>
      </c>
      <c r="I810" s="2" t="s">
        <v>37116</v>
      </c>
      <c r="J810" s="2" t="s">
        <v>37117</v>
      </c>
      <c r="K810" s="3">
        <v>3.67E-11</v>
      </c>
      <c r="L810" s="2" t="s">
        <v>637</v>
      </c>
      <c r="M810" s="4" t="s">
        <v>28243</v>
      </c>
    </row>
    <row r="811" spans="1:13">
      <c r="A811" s="2">
        <v>697</v>
      </c>
      <c r="B811" s="2" t="s">
        <v>7481</v>
      </c>
      <c r="C811" s="2">
        <v>13</v>
      </c>
      <c r="D811" s="2">
        <v>341</v>
      </c>
      <c r="E811" s="2">
        <v>71</v>
      </c>
      <c r="F811" s="2">
        <v>32441</v>
      </c>
      <c r="G811" s="2">
        <v>17.419065710000002</v>
      </c>
      <c r="H811" s="3">
        <v>4.2800000000000003E-12</v>
      </c>
      <c r="I811" s="2" t="s">
        <v>37118</v>
      </c>
      <c r="J811" s="2" t="s">
        <v>37119</v>
      </c>
      <c r="K811" s="3">
        <v>4.5899999999999998E-11</v>
      </c>
      <c r="L811" s="2" t="s">
        <v>637</v>
      </c>
      <c r="M811" s="4" t="s">
        <v>7484</v>
      </c>
    </row>
    <row r="812" spans="1:13">
      <c r="A812" s="2">
        <v>91</v>
      </c>
      <c r="B812" s="2" t="s">
        <v>37120</v>
      </c>
      <c r="C812" s="2">
        <v>20</v>
      </c>
      <c r="D812" s="2">
        <v>341</v>
      </c>
      <c r="E812" s="2">
        <v>244</v>
      </c>
      <c r="F812" s="2">
        <v>32441</v>
      </c>
      <c r="G812" s="2">
        <v>7.7979424069999999</v>
      </c>
      <c r="H812" s="3">
        <v>6.7500000000000001E-12</v>
      </c>
      <c r="I812" s="2" t="s">
        <v>37121</v>
      </c>
      <c r="J812" s="2" t="s">
        <v>37122</v>
      </c>
      <c r="K812" s="3">
        <v>7.1499999999999999E-11</v>
      </c>
      <c r="L812" s="2" t="s">
        <v>637</v>
      </c>
      <c r="M812" s="4" t="s">
        <v>37123</v>
      </c>
    </row>
    <row r="813" spans="1:13">
      <c r="A813" s="2">
        <v>722</v>
      </c>
      <c r="B813" s="2" t="s">
        <v>28101</v>
      </c>
      <c r="C813" s="2">
        <v>12</v>
      </c>
      <c r="D813" s="2">
        <v>341</v>
      </c>
      <c r="E813" s="2">
        <v>64</v>
      </c>
      <c r="F813" s="2">
        <v>32441</v>
      </c>
      <c r="G813" s="2">
        <v>17.837793260000002</v>
      </c>
      <c r="H813" s="3">
        <v>2.2600000000000001E-11</v>
      </c>
      <c r="I813" s="2" t="s">
        <v>37124</v>
      </c>
      <c r="J813" s="2" t="s">
        <v>37125</v>
      </c>
      <c r="K813" s="3">
        <v>2.3700000000000001E-10</v>
      </c>
      <c r="L813" s="2" t="s">
        <v>637</v>
      </c>
      <c r="M813" s="4" t="s">
        <v>28104</v>
      </c>
    </row>
    <row r="814" spans="1:13">
      <c r="A814" s="2">
        <v>4951</v>
      </c>
      <c r="B814" s="2" t="s">
        <v>28140</v>
      </c>
      <c r="C814" s="2">
        <v>21</v>
      </c>
      <c r="D814" s="2">
        <v>341</v>
      </c>
      <c r="E814" s="2">
        <v>311</v>
      </c>
      <c r="F814" s="2">
        <v>32441</v>
      </c>
      <c r="G814" s="2">
        <v>6.4238998220000001</v>
      </c>
      <c r="H814" s="3">
        <v>5.9899999999999995E-11</v>
      </c>
      <c r="I814" s="2" t="s">
        <v>37126</v>
      </c>
      <c r="J814" s="2" t="s">
        <v>37127</v>
      </c>
      <c r="K814" s="3">
        <v>6.1900000000000003E-10</v>
      </c>
      <c r="L814" s="2" t="s">
        <v>637</v>
      </c>
      <c r="M814" s="4" t="s">
        <v>28143</v>
      </c>
    </row>
    <row r="815" spans="1:13">
      <c r="A815" s="2">
        <v>693</v>
      </c>
      <c r="B815" s="2" t="s">
        <v>37128</v>
      </c>
      <c r="C815" s="2">
        <v>9</v>
      </c>
      <c r="D815" s="2">
        <v>341</v>
      </c>
      <c r="E815" s="2">
        <v>28</v>
      </c>
      <c r="F815" s="2">
        <v>32441</v>
      </c>
      <c r="G815" s="2">
        <v>30.57907415</v>
      </c>
      <c r="H815" s="3">
        <v>1.2400000000000001E-10</v>
      </c>
      <c r="I815" s="2" t="s">
        <v>37129</v>
      </c>
      <c r="J815" s="2" t="s">
        <v>37130</v>
      </c>
      <c r="K815" s="3">
        <v>1.26E-9</v>
      </c>
      <c r="L815" s="2" t="s">
        <v>637</v>
      </c>
      <c r="M815" s="4" t="s">
        <v>37131</v>
      </c>
    </row>
    <row r="816" spans="1:13">
      <c r="A816" s="2">
        <v>345</v>
      </c>
      <c r="B816" s="2" t="s">
        <v>27825</v>
      </c>
      <c r="C816" s="2">
        <v>11</v>
      </c>
      <c r="D816" s="2">
        <v>341</v>
      </c>
      <c r="E816" s="2">
        <v>58</v>
      </c>
      <c r="F816" s="2">
        <v>32441</v>
      </c>
      <c r="G816" s="2">
        <v>18.042825359999998</v>
      </c>
      <c r="H816" s="3">
        <v>1.4000000000000001E-10</v>
      </c>
      <c r="I816" s="2" t="s">
        <v>37132</v>
      </c>
      <c r="J816" s="2" t="s">
        <v>37133</v>
      </c>
      <c r="K816" s="3">
        <v>1.4100000000000001E-9</v>
      </c>
      <c r="L816" s="2" t="s">
        <v>637</v>
      </c>
      <c r="M816" s="4" t="s">
        <v>27828</v>
      </c>
    </row>
    <row r="817" spans="1:13">
      <c r="A817" s="2">
        <v>42</v>
      </c>
      <c r="B817" s="2" t="s">
        <v>28280</v>
      </c>
      <c r="C817" s="2">
        <v>11</v>
      </c>
      <c r="D817" s="2">
        <v>341</v>
      </c>
      <c r="E817" s="2">
        <v>61</v>
      </c>
      <c r="F817" s="2">
        <v>32441</v>
      </c>
      <c r="G817" s="2">
        <v>17.15547329</v>
      </c>
      <c r="H817" s="3">
        <v>2.26E-10</v>
      </c>
      <c r="I817" s="2" t="s">
        <v>37134</v>
      </c>
      <c r="J817" s="2" t="s">
        <v>37135</v>
      </c>
      <c r="K817" s="3">
        <v>2.2499999999999999E-9</v>
      </c>
      <c r="L817" s="2" t="s">
        <v>637</v>
      </c>
      <c r="M817" s="4" t="s">
        <v>28283</v>
      </c>
    </row>
    <row r="818" spans="1:13">
      <c r="A818" s="2">
        <v>700</v>
      </c>
      <c r="B818" s="2" t="s">
        <v>37136</v>
      </c>
      <c r="C818" s="2">
        <v>10</v>
      </c>
      <c r="D818" s="2">
        <v>341</v>
      </c>
      <c r="E818" s="2">
        <v>47</v>
      </c>
      <c r="F818" s="2">
        <v>32441</v>
      </c>
      <c r="G818" s="2">
        <v>20.24146752</v>
      </c>
      <c r="H818" s="3">
        <v>3.6399999999999998E-10</v>
      </c>
      <c r="I818" s="2" t="s">
        <v>37137</v>
      </c>
      <c r="J818" s="2" t="s">
        <v>37138</v>
      </c>
      <c r="K818" s="3">
        <v>3.5899999999999998E-9</v>
      </c>
      <c r="L818" s="2" t="s">
        <v>637</v>
      </c>
      <c r="M818" s="4" t="s">
        <v>37139</v>
      </c>
    </row>
    <row r="819" spans="1:13">
      <c r="A819" s="2">
        <v>79</v>
      </c>
      <c r="B819" s="2" t="s">
        <v>823</v>
      </c>
      <c r="C819" s="2">
        <v>19</v>
      </c>
      <c r="D819" s="2">
        <v>341</v>
      </c>
      <c r="E819" s="2">
        <v>287</v>
      </c>
      <c r="F819" s="2">
        <v>32441</v>
      </c>
      <c r="G819" s="2">
        <v>6.2981290940000001</v>
      </c>
      <c r="H819" s="3">
        <v>6.7900000000000003E-10</v>
      </c>
      <c r="I819" s="2" t="s">
        <v>37140</v>
      </c>
      <c r="J819" s="2" t="s">
        <v>37141</v>
      </c>
      <c r="K819" s="3">
        <v>6.6199999999999999E-9</v>
      </c>
      <c r="L819" s="2" t="s">
        <v>637</v>
      </c>
      <c r="M819" s="4" t="s">
        <v>37142</v>
      </c>
    </row>
    <row r="820" spans="1:13">
      <c r="A820" s="2">
        <v>761</v>
      </c>
      <c r="B820" s="2" t="s">
        <v>37143</v>
      </c>
      <c r="C820" s="2">
        <v>11</v>
      </c>
      <c r="D820" s="2">
        <v>341</v>
      </c>
      <c r="E820" s="2">
        <v>71</v>
      </c>
      <c r="F820" s="2">
        <v>32441</v>
      </c>
      <c r="G820" s="2">
        <v>14.739209450000001</v>
      </c>
      <c r="H820" s="3">
        <v>9.5299999999999991E-10</v>
      </c>
      <c r="I820" s="2" t="s">
        <v>37144</v>
      </c>
      <c r="J820" s="2" t="s">
        <v>37145</v>
      </c>
      <c r="K820" s="3">
        <v>9.1800000000000001E-9</v>
      </c>
      <c r="L820" s="2" t="s">
        <v>637</v>
      </c>
      <c r="M820" s="4" t="s">
        <v>37146</v>
      </c>
    </row>
    <row r="821" spans="1:13">
      <c r="A821" s="2">
        <v>59</v>
      </c>
      <c r="B821" s="2" t="s">
        <v>701</v>
      </c>
      <c r="C821" s="2">
        <v>16</v>
      </c>
      <c r="D821" s="2">
        <v>341</v>
      </c>
      <c r="E821" s="2">
        <v>197</v>
      </c>
      <c r="F821" s="2">
        <v>32441</v>
      </c>
      <c r="G821" s="2">
        <v>7.7266921709999998</v>
      </c>
      <c r="H821" s="3">
        <v>1.0000000000000001E-9</v>
      </c>
      <c r="I821" s="2" t="s">
        <v>37147</v>
      </c>
      <c r="J821" s="2" t="s">
        <v>37148</v>
      </c>
      <c r="K821" s="3">
        <v>9.5000000000000007E-9</v>
      </c>
      <c r="L821" s="2" t="s">
        <v>637</v>
      </c>
      <c r="M821" s="4" t="s">
        <v>37149</v>
      </c>
    </row>
    <row r="822" spans="1:13">
      <c r="A822" s="2">
        <v>321</v>
      </c>
      <c r="B822" s="2" t="s">
        <v>37150</v>
      </c>
      <c r="C822" s="2">
        <v>9</v>
      </c>
      <c r="D822" s="2">
        <v>341</v>
      </c>
      <c r="E822" s="2">
        <v>37</v>
      </c>
      <c r="F822" s="2">
        <v>32441</v>
      </c>
      <c r="G822" s="2">
        <v>23.140920980000001</v>
      </c>
      <c r="H822" s="3">
        <v>1.01E-9</v>
      </c>
      <c r="I822" s="2" t="s">
        <v>37151</v>
      </c>
      <c r="J822" s="2" t="s">
        <v>37152</v>
      </c>
      <c r="K822" s="3">
        <v>9.5000000000000007E-9</v>
      </c>
      <c r="L822" s="2" t="s">
        <v>637</v>
      </c>
      <c r="M822" s="4" t="s">
        <v>37153</v>
      </c>
    </row>
    <row r="823" spans="1:13">
      <c r="A823" s="2">
        <v>56</v>
      </c>
      <c r="B823" s="2" t="s">
        <v>27960</v>
      </c>
      <c r="C823" s="2">
        <v>16</v>
      </c>
      <c r="D823" s="2">
        <v>341</v>
      </c>
      <c r="E823" s="2">
        <v>205</v>
      </c>
      <c r="F823" s="2">
        <v>32441</v>
      </c>
      <c r="G823" s="2">
        <v>7.4251627210000004</v>
      </c>
      <c r="H823" s="3">
        <v>1.7100000000000001E-9</v>
      </c>
      <c r="I823" s="2" t="s">
        <v>37154</v>
      </c>
      <c r="J823" s="2" t="s">
        <v>37155</v>
      </c>
      <c r="K823" s="3">
        <v>1.6000000000000001E-8</v>
      </c>
      <c r="L823" s="2" t="s">
        <v>637</v>
      </c>
      <c r="M823" s="4" t="s">
        <v>27963</v>
      </c>
    </row>
    <row r="824" spans="1:13">
      <c r="A824" s="2">
        <v>52</v>
      </c>
      <c r="B824" s="2" t="s">
        <v>37156</v>
      </c>
      <c r="C824" s="2">
        <v>11</v>
      </c>
      <c r="D824" s="2">
        <v>341</v>
      </c>
      <c r="E824" s="2">
        <v>76</v>
      </c>
      <c r="F824" s="2">
        <v>32441</v>
      </c>
      <c r="G824" s="2">
        <v>13.76952462</v>
      </c>
      <c r="H824" s="3">
        <v>1.8199999999999999E-9</v>
      </c>
      <c r="I824" s="2" t="s">
        <v>37157</v>
      </c>
      <c r="J824" s="2" t="s">
        <v>37158</v>
      </c>
      <c r="K824" s="3">
        <v>1.6800000000000002E-8</v>
      </c>
      <c r="L824" s="2" t="s">
        <v>637</v>
      </c>
      <c r="M824" s="4" t="s">
        <v>37159</v>
      </c>
    </row>
    <row r="825" spans="1:13">
      <c r="A825" s="2">
        <v>6571</v>
      </c>
      <c r="B825" s="2" t="s">
        <v>7461</v>
      </c>
      <c r="C825" s="2">
        <v>10</v>
      </c>
      <c r="D825" s="2">
        <v>341</v>
      </c>
      <c r="E825" s="2">
        <v>60</v>
      </c>
      <c r="F825" s="2">
        <v>32441</v>
      </c>
      <c r="G825" s="2">
        <v>15.85581623</v>
      </c>
      <c r="H825" s="3">
        <v>2.9699999999999999E-9</v>
      </c>
      <c r="I825" s="2" t="s">
        <v>37137</v>
      </c>
      <c r="J825" s="2" t="s">
        <v>37138</v>
      </c>
      <c r="K825" s="3">
        <v>2.7100000000000001E-8</v>
      </c>
      <c r="L825" s="2" t="s">
        <v>637</v>
      </c>
      <c r="M825" s="4" t="s">
        <v>7464</v>
      </c>
    </row>
    <row r="826" spans="1:13">
      <c r="A826" s="2">
        <v>441</v>
      </c>
      <c r="B826" s="2" t="s">
        <v>7013</v>
      </c>
      <c r="C826" s="2">
        <v>20</v>
      </c>
      <c r="D826" s="2">
        <v>341</v>
      </c>
      <c r="E826" s="2">
        <v>358</v>
      </c>
      <c r="F826" s="2">
        <v>32441</v>
      </c>
      <c r="G826" s="2">
        <v>5.3147987350000001</v>
      </c>
      <c r="H826" s="3">
        <v>3.8099999999999999E-9</v>
      </c>
      <c r="I826" s="2" t="s">
        <v>37160</v>
      </c>
      <c r="J826" s="2" t="s">
        <v>37161</v>
      </c>
      <c r="K826" s="3">
        <v>3.4399999999999997E-8</v>
      </c>
      <c r="L826" s="2" t="s">
        <v>637</v>
      </c>
      <c r="M826" s="4" t="s">
        <v>7016</v>
      </c>
    </row>
    <row r="827" spans="1:13">
      <c r="A827" s="2">
        <v>21</v>
      </c>
      <c r="B827" s="2" t="s">
        <v>771</v>
      </c>
      <c r="C827" s="2">
        <v>17</v>
      </c>
      <c r="D827" s="2">
        <v>341</v>
      </c>
      <c r="E827" s="2">
        <v>254</v>
      </c>
      <c r="F827" s="2">
        <v>32441</v>
      </c>
      <c r="G827" s="2">
        <v>6.3672962799999997</v>
      </c>
      <c r="H827" s="3">
        <v>4.6699999999999998E-9</v>
      </c>
      <c r="I827" s="2" t="s">
        <v>37162</v>
      </c>
      <c r="J827" s="2" t="s">
        <v>37163</v>
      </c>
      <c r="K827" s="3">
        <v>4.1700000000000003E-8</v>
      </c>
      <c r="L827" s="2" t="s">
        <v>637</v>
      </c>
      <c r="M827" s="4" t="s">
        <v>37164</v>
      </c>
    </row>
    <row r="828" spans="1:13">
      <c r="A828" s="2">
        <v>43</v>
      </c>
      <c r="B828" s="2" t="s">
        <v>28160</v>
      </c>
      <c r="C828" s="2">
        <v>15</v>
      </c>
      <c r="D828" s="2">
        <v>341</v>
      </c>
      <c r="E828" s="2">
        <v>191</v>
      </c>
      <c r="F828" s="2">
        <v>32441</v>
      </c>
      <c r="G828" s="2">
        <v>7.4713270180000002</v>
      </c>
      <c r="H828" s="3">
        <v>5.14E-9</v>
      </c>
      <c r="I828" s="2" t="s">
        <v>37165</v>
      </c>
      <c r="J828" s="2" t="s">
        <v>37166</v>
      </c>
      <c r="K828" s="3">
        <v>4.5400000000000003E-8</v>
      </c>
      <c r="L828" s="2" t="s">
        <v>637</v>
      </c>
      <c r="M828" s="4" t="s">
        <v>28163</v>
      </c>
    </row>
    <row r="829" spans="1:13">
      <c r="A829" s="2">
        <v>101</v>
      </c>
      <c r="B829" s="2" t="s">
        <v>783</v>
      </c>
      <c r="C829" s="2">
        <v>13</v>
      </c>
      <c r="D829" s="2">
        <v>341</v>
      </c>
      <c r="E829" s="2">
        <v>139</v>
      </c>
      <c r="F829" s="2">
        <v>32441</v>
      </c>
      <c r="G829" s="2">
        <v>8.8975083860000002</v>
      </c>
      <c r="H829" s="3">
        <v>7.9500000000000001E-9</v>
      </c>
      <c r="I829" s="2" t="s">
        <v>37167</v>
      </c>
      <c r="J829" s="2" t="s">
        <v>37168</v>
      </c>
      <c r="K829" s="3">
        <v>6.9600000000000001E-8</v>
      </c>
      <c r="L829" s="2" t="s">
        <v>637</v>
      </c>
      <c r="M829" s="4" t="s">
        <v>37169</v>
      </c>
    </row>
    <row r="830" spans="1:13">
      <c r="A830" s="2">
        <v>90</v>
      </c>
      <c r="B830" s="2" t="s">
        <v>37170</v>
      </c>
      <c r="C830" s="2">
        <v>13</v>
      </c>
      <c r="D830" s="2">
        <v>341</v>
      </c>
      <c r="E830" s="2">
        <v>142</v>
      </c>
      <c r="F830" s="2">
        <v>32441</v>
      </c>
      <c r="G830" s="2">
        <v>8.7095328569999992</v>
      </c>
      <c r="H830" s="3">
        <v>1.0099999999999999E-8</v>
      </c>
      <c r="I830" s="2" t="s">
        <v>37171</v>
      </c>
      <c r="J830" s="2" t="s">
        <v>37172</v>
      </c>
      <c r="K830" s="3">
        <v>8.7400000000000002E-8</v>
      </c>
      <c r="L830" s="2" t="s">
        <v>637</v>
      </c>
      <c r="M830" s="4" t="s">
        <v>37173</v>
      </c>
    </row>
    <row r="831" spans="1:13">
      <c r="A831" s="2">
        <v>106</v>
      </c>
      <c r="B831" s="2" t="s">
        <v>768</v>
      </c>
      <c r="C831" s="2">
        <v>14</v>
      </c>
      <c r="D831" s="2">
        <v>341</v>
      </c>
      <c r="E831" s="2">
        <v>171</v>
      </c>
      <c r="F831" s="2">
        <v>32441</v>
      </c>
      <c r="G831" s="2">
        <v>7.7888220060000002</v>
      </c>
      <c r="H831" s="3">
        <v>1.02E-8</v>
      </c>
      <c r="I831" s="2" t="s">
        <v>37174</v>
      </c>
      <c r="J831" s="2" t="s">
        <v>37175</v>
      </c>
      <c r="K831" s="3">
        <v>8.79E-8</v>
      </c>
      <c r="L831" s="2" t="s">
        <v>637</v>
      </c>
      <c r="M831" s="4" t="s">
        <v>37176</v>
      </c>
    </row>
    <row r="832" spans="1:13">
      <c r="A832" s="2">
        <v>619</v>
      </c>
      <c r="B832" s="2" t="s">
        <v>37177</v>
      </c>
      <c r="C832" s="2">
        <v>18</v>
      </c>
      <c r="D832" s="2">
        <v>341</v>
      </c>
      <c r="E832" s="2">
        <v>307</v>
      </c>
      <c r="F832" s="2">
        <v>32441</v>
      </c>
      <c r="G832" s="2">
        <v>5.5779418649999997</v>
      </c>
      <c r="H832" s="3">
        <v>1.15E-8</v>
      </c>
      <c r="I832" s="2" t="s">
        <v>37178</v>
      </c>
      <c r="J832" s="2" t="s">
        <v>37179</v>
      </c>
      <c r="K832" s="3">
        <v>9.76E-8</v>
      </c>
      <c r="L832" s="2" t="s">
        <v>637</v>
      </c>
      <c r="M832" s="4" t="s">
        <v>37180</v>
      </c>
    </row>
    <row r="833" spans="1:13">
      <c r="A833" s="2">
        <v>5491</v>
      </c>
      <c r="B833" s="2" t="s">
        <v>37181</v>
      </c>
      <c r="C833" s="2">
        <v>7</v>
      </c>
      <c r="D833" s="2">
        <v>341</v>
      </c>
      <c r="E833" s="2">
        <v>26</v>
      </c>
      <c r="F833" s="2">
        <v>32441</v>
      </c>
      <c r="G833" s="2">
        <v>25.613241599999998</v>
      </c>
      <c r="H833" s="3">
        <v>4.1999999999999999E-8</v>
      </c>
      <c r="I833" s="2" t="s">
        <v>37182</v>
      </c>
      <c r="J833" s="2" t="s">
        <v>37183</v>
      </c>
      <c r="K833" s="3">
        <v>3.53E-7</v>
      </c>
      <c r="L833" s="2" t="s">
        <v>637</v>
      </c>
      <c r="M833" s="4" t="s">
        <v>37184</v>
      </c>
    </row>
    <row r="834" spans="1:13">
      <c r="A834" s="2">
        <v>3141</v>
      </c>
      <c r="B834" s="2" t="s">
        <v>37185</v>
      </c>
      <c r="C834" s="2">
        <v>7</v>
      </c>
      <c r="D834" s="2">
        <v>341</v>
      </c>
      <c r="E834" s="2">
        <v>27</v>
      </c>
      <c r="F834" s="2">
        <v>32441</v>
      </c>
      <c r="G834" s="2">
        <v>24.664603020000001</v>
      </c>
      <c r="H834" s="3">
        <v>5.2399999999999999E-8</v>
      </c>
      <c r="I834" s="2" t="s">
        <v>37186</v>
      </c>
      <c r="J834" s="2" t="s">
        <v>37187</v>
      </c>
      <c r="K834" s="3">
        <v>4.3599999999999999E-7</v>
      </c>
      <c r="L834" s="2" t="s">
        <v>637</v>
      </c>
      <c r="M834" s="4" t="s">
        <v>37188</v>
      </c>
    </row>
    <row r="835" spans="1:13">
      <c r="A835" s="2">
        <v>618</v>
      </c>
      <c r="B835" s="2" t="s">
        <v>7413</v>
      </c>
      <c r="C835" s="2">
        <v>10</v>
      </c>
      <c r="D835" s="2">
        <v>341</v>
      </c>
      <c r="E835" s="2">
        <v>86</v>
      </c>
      <c r="F835" s="2">
        <v>32441</v>
      </c>
      <c r="G835" s="2">
        <v>11.06219737</v>
      </c>
      <c r="H835" s="3">
        <v>6.6399999999999999E-8</v>
      </c>
      <c r="I835" s="2" t="s">
        <v>37189</v>
      </c>
      <c r="J835" s="2" t="s">
        <v>37190</v>
      </c>
      <c r="K835" s="3">
        <v>5.4799999999999998E-7</v>
      </c>
      <c r="L835" s="2" t="s">
        <v>637</v>
      </c>
      <c r="M835" s="4" t="s">
        <v>7416</v>
      </c>
    </row>
    <row r="836" spans="1:13">
      <c r="A836" s="2">
        <v>48</v>
      </c>
      <c r="B836" s="2" t="s">
        <v>817</v>
      </c>
      <c r="C836" s="2">
        <v>16</v>
      </c>
      <c r="D836" s="2">
        <v>341</v>
      </c>
      <c r="E836" s="2">
        <v>277</v>
      </c>
      <c r="F836" s="2">
        <v>32441</v>
      </c>
      <c r="G836" s="2">
        <v>5.4951565259999997</v>
      </c>
      <c r="H836" s="3">
        <v>9.1500000000000005E-8</v>
      </c>
      <c r="I836" s="2" t="s">
        <v>37191</v>
      </c>
      <c r="J836" s="2" t="s">
        <v>37192</v>
      </c>
      <c r="K836" s="3">
        <v>7.4700000000000001E-7</v>
      </c>
      <c r="L836" s="2" t="s">
        <v>637</v>
      </c>
      <c r="M836" s="4" t="s">
        <v>37193</v>
      </c>
    </row>
    <row r="837" spans="1:13">
      <c r="A837" s="2">
        <v>85</v>
      </c>
      <c r="B837" s="2" t="s">
        <v>27852</v>
      </c>
      <c r="C837" s="2">
        <v>15</v>
      </c>
      <c r="D837" s="2">
        <v>341</v>
      </c>
      <c r="E837" s="2">
        <v>241</v>
      </c>
      <c r="F837" s="2">
        <v>32441</v>
      </c>
      <c r="G837" s="2">
        <v>5.9212591720000001</v>
      </c>
      <c r="H837" s="3">
        <v>9.2999999999999999E-8</v>
      </c>
      <c r="I837" s="2" t="s">
        <v>37194</v>
      </c>
      <c r="J837" s="2" t="s">
        <v>37195</v>
      </c>
      <c r="K837" s="3">
        <v>7.5300000000000003E-7</v>
      </c>
      <c r="L837" s="2" t="s">
        <v>637</v>
      </c>
      <c r="M837" s="4" t="s">
        <v>27855</v>
      </c>
    </row>
    <row r="838" spans="1:13">
      <c r="A838" s="2">
        <v>788</v>
      </c>
      <c r="B838" s="2" t="s">
        <v>37196</v>
      </c>
      <c r="C838" s="2">
        <v>9</v>
      </c>
      <c r="D838" s="2">
        <v>341</v>
      </c>
      <c r="E838" s="2">
        <v>68</v>
      </c>
      <c r="F838" s="2">
        <v>32441</v>
      </c>
      <c r="G838" s="2">
        <v>12.59138347</v>
      </c>
      <c r="H838" s="3">
        <v>1.11E-7</v>
      </c>
      <c r="I838" s="2" t="s">
        <v>37197</v>
      </c>
      <c r="J838" s="2" t="s">
        <v>37198</v>
      </c>
      <c r="K838" s="3">
        <v>8.9199999999999999E-7</v>
      </c>
      <c r="L838" s="2" t="s">
        <v>637</v>
      </c>
      <c r="M838" s="4" t="s">
        <v>37199</v>
      </c>
    </row>
    <row r="839" spans="1:13">
      <c r="A839" s="2">
        <v>757</v>
      </c>
      <c r="B839" s="2" t="s">
        <v>37200</v>
      </c>
      <c r="C839" s="2">
        <v>6</v>
      </c>
      <c r="D839" s="2">
        <v>341</v>
      </c>
      <c r="E839" s="2">
        <v>18</v>
      </c>
      <c r="F839" s="2">
        <v>32441</v>
      </c>
      <c r="G839" s="2">
        <v>31.71163245</v>
      </c>
      <c r="H839" s="3">
        <v>1.3899999999999999E-7</v>
      </c>
      <c r="I839" s="2" t="s">
        <v>37201</v>
      </c>
      <c r="J839" s="2" t="s">
        <v>37202</v>
      </c>
      <c r="K839" s="3">
        <v>1.11E-6</v>
      </c>
      <c r="L839" s="2" t="s">
        <v>637</v>
      </c>
      <c r="M839" s="4" t="s">
        <v>37203</v>
      </c>
    </row>
    <row r="840" spans="1:13">
      <c r="A840" s="2">
        <v>34</v>
      </c>
      <c r="B840" s="2" t="s">
        <v>808</v>
      </c>
      <c r="C840" s="2">
        <v>13</v>
      </c>
      <c r="D840" s="2">
        <v>341</v>
      </c>
      <c r="E840" s="2">
        <v>182</v>
      </c>
      <c r="F840" s="2">
        <v>32441</v>
      </c>
      <c r="G840" s="2">
        <v>6.7953498110000004</v>
      </c>
      <c r="H840" s="3">
        <v>1.5300000000000001E-7</v>
      </c>
      <c r="I840" s="2" t="s">
        <v>37204</v>
      </c>
      <c r="J840" s="2" t="s">
        <v>37205</v>
      </c>
      <c r="K840" s="3">
        <v>1.2100000000000001E-6</v>
      </c>
      <c r="L840" s="2" t="s">
        <v>637</v>
      </c>
      <c r="M840" s="4" t="s">
        <v>37206</v>
      </c>
    </row>
    <row r="841" spans="1:13">
      <c r="A841" s="2">
        <v>107</v>
      </c>
      <c r="B841" s="2" t="s">
        <v>37207</v>
      </c>
      <c r="C841" s="2">
        <v>8</v>
      </c>
      <c r="D841" s="2">
        <v>341</v>
      </c>
      <c r="E841" s="2">
        <v>53</v>
      </c>
      <c r="F841" s="2">
        <v>32441</v>
      </c>
      <c r="G841" s="2">
        <v>14.35998451</v>
      </c>
      <c r="H841" s="3">
        <v>2.2999999999999999E-7</v>
      </c>
      <c r="I841" s="2" t="s">
        <v>37208</v>
      </c>
      <c r="J841" s="2" t="s">
        <v>37209</v>
      </c>
      <c r="K841" s="3">
        <v>1.7999999999999999E-6</v>
      </c>
      <c r="L841" s="2" t="s">
        <v>637</v>
      </c>
      <c r="M841" s="4" t="s">
        <v>37210</v>
      </c>
    </row>
    <row r="842" spans="1:13">
      <c r="A842" s="2">
        <v>789</v>
      </c>
      <c r="B842" s="2" t="s">
        <v>7453</v>
      </c>
      <c r="C842" s="2">
        <v>6</v>
      </c>
      <c r="D842" s="2">
        <v>341</v>
      </c>
      <c r="E842" s="2">
        <v>21</v>
      </c>
      <c r="F842" s="2">
        <v>32441</v>
      </c>
      <c r="G842" s="2">
        <v>27.181399249999998</v>
      </c>
      <c r="H842" s="3">
        <v>2.9799999999999999E-7</v>
      </c>
      <c r="I842" s="2" t="s">
        <v>37211</v>
      </c>
      <c r="J842" s="2" t="s">
        <v>37212</v>
      </c>
      <c r="K842" s="3">
        <v>2.3099999999999999E-6</v>
      </c>
      <c r="L842" s="2" t="s">
        <v>637</v>
      </c>
      <c r="M842" s="4" t="s">
        <v>7456</v>
      </c>
    </row>
    <row r="843" spans="1:13">
      <c r="A843" s="2">
        <v>604</v>
      </c>
      <c r="B843" s="2" t="s">
        <v>37213</v>
      </c>
      <c r="C843" s="2">
        <v>6</v>
      </c>
      <c r="D843" s="2">
        <v>341</v>
      </c>
      <c r="E843" s="2">
        <v>23</v>
      </c>
      <c r="F843" s="2">
        <v>32441</v>
      </c>
      <c r="G843" s="2">
        <v>24.817799310000002</v>
      </c>
      <c r="H843" s="3">
        <v>4.7100000000000002E-7</v>
      </c>
      <c r="I843" s="2" t="s">
        <v>37214</v>
      </c>
      <c r="J843" s="2" t="s">
        <v>37215</v>
      </c>
      <c r="K843" s="3">
        <v>3.6100000000000002E-6</v>
      </c>
      <c r="L843" s="2" t="s">
        <v>637</v>
      </c>
      <c r="M843" s="4" t="s">
        <v>37216</v>
      </c>
    </row>
    <row r="844" spans="1:13">
      <c r="A844" s="2">
        <v>745</v>
      </c>
      <c r="B844" s="2" t="s">
        <v>37217</v>
      </c>
      <c r="C844" s="2">
        <v>6</v>
      </c>
      <c r="D844" s="2">
        <v>341</v>
      </c>
      <c r="E844" s="2">
        <v>24</v>
      </c>
      <c r="F844" s="2">
        <v>32441</v>
      </c>
      <c r="G844" s="2">
        <v>23.783724339999999</v>
      </c>
      <c r="H844" s="3">
        <v>5.8299999999999997E-7</v>
      </c>
      <c r="I844" s="2" t="s">
        <v>37218</v>
      </c>
      <c r="J844" s="2" t="s">
        <v>37219</v>
      </c>
      <c r="K844" s="3">
        <v>4.4299999999999999E-6</v>
      </c>
      <c r="L844" s="2" t="s">
        <v>637</v>
      </c>
      <c r="M844" s="4" t="s">
        <v>37220</v>
      </c>
    </row>
    <row r="845" spans="1:13">
      <c r="A845" s="2">
        <v>209</v>
      </c>
      <c r="B845" s="2" t="s">
        <v>713</v>
      </c>
      <c r="C845" s="2">
        <v>10</v>
      </c>
      <c r="D845" s="2">
        <v>341</v>
      </c>
      <c r="E845" s="2">
        <v>114</v>
      </c>
      <c r="F845" s="2">
        <v>32441</v>
      </c>
      <c r="G845" s="2">
        <v>8.3451664349999994</v>
      </c>
      <c r="H845" s="3">
        <v>7.4399999999999999E-7</v>
      </c>
      <c r="I845" s="2" t="s">
        <v>37221</v>
      </c>
      <c r="J845" s="2" t="s">
        <v>37222</v>
      </c>
      <c r="K845" s="3">
        <v>5.5999999999999997E-6</v>
      </c>
      <c r="L845" s="2" t="s">
        <v>637</v>
      </c>
      <c r="M845" s="4" t="s">
        <v>37223</v>
      </c>
    </row>
    <row r="846" spans="1:13">
      <c r="A846" s="2">
        <v>631</v>
      </c>
      <c r="B846" s="2" t="s">
        <v>37224</v>
      </c>
      <c r="C846" s="2">
        <v>6</v>
      </c>
      <c r="D846" s="2">
        <v>341</v>
      </c>
      <c r="E846" s="2">
        <v>27</v>
      </c>
      <c r="F846" s="2">
        <v>32441</v>
      </c>
      <c r="G846" s="2">
        <v>21.1410883</v>
      </c>
      <c r="H846" s="3">
        <v>1.06E-6</v>
      </c>
      <c r="I846" s="2" t="s">
        <v>37225</v>
      </c>
      <c r="J846" s="2" t="s">
        <v>37226</v>
      </c>
      <c r="K846" s="3">
        <v>7.9000000000000006E-6</v>
      </c>
      <c r="L846" s="2" t="s">
        <v>637</v>
      </c>
      <c r="M846" s="4" t="s">
        <v>37227</v>
      </c>
    </row>
    <row r="847" spans="1:13">
      <c r="A847" s="2">
        <v>311</v>
      </c>
      <c r="B847" s="2" t="s">
        <v>28209</v>
      </c>
      <c r="C847" s="2">
        <v>6</v>
      </c>
      <c r="D847" s="2">
        <v>341</v>
      </c>
      <c r="E847" s="2">
        <v>28</v>
      </c>
      <c r="F847" s="2">
        <v>32441</v>
      </c>
      <c r="G847" s="2">
        <v>20.38604943</v>
      </c>
      <c r="H847" s="3">
        <v>1.28E-6</v>
      </c>
      <c r="I847" s="2" t="s">
        <v>37228</v>
      </c>
      <c r="J847" s="2" t="s">
        <v>37229</v>
      </c>
      <c r="K847" s="3">
        <v>9.4299999999999995E-6</v>
      </c>
      <c r="L847" s="2" t="s">
        <v>637</v>
      </c>
      <c r="M847" s="4" t="s">
        <v>28212</v>
      </c>
    </row>
    <row r="848" spans="1:13">
      <c r="A848" s="2">
        <v>594</v>
      </c>
      <c r="B848" s="2" t="s">
        <v>7183</v>
      </c>
      <c r="C848" s="2">
        <v>9</v>
      </c>
      <c r="D848" s="2">
        <v>341</v>
      </c>
      <c r="E848" s="2">
        <v>101</v>
      </c>
      <c r="F848" s="2">
        <v>32441</v>
      </c>
      <c r="G848" s="2">
        <v>8.4773670919999997</v>
      </c>
      <c r="H848" s="3">
        <v>2.3700000000000002E-6</v>
      </c>
      <c r="I848" s="2" t="s">
        <v>37230</v>
      </c>
      <c r="J848" s="2" t="s">
        <v>37231</v>
      </c>
      <c r="K848" s="3">
        <v>1.7399999999999999E-5</v>
      </c>
      <c r="L848" s="2" t="s">
        <v>637</v>
      </c>
      <c r="M848" s="4" t="s">
        <v>7186</v>
      </c>
    </row>
    <row r="849" spans="1:13">
      <c r="A849" s="2">
        <v>848</v>
      </c>
      <c r="B849" s="2" t="s">
        <v>37232</v>
      </c>
      <c r="C849" s="2">
        <v>5</v>
      </c>
      <c r="D849" s="2">
        <v>341</v>
      </c>
      <c r="E849" s="2">
        <v>18</v>
      </c>
      <c r="F849" s="2">
        <v>32441</v>
      </c>
      <c r="G849" s="2">
        <v>26.426360379999998</v>
      </c>
      <c r="H849" s="3">
        <v>3.41E-6</v>
      </c>
      <c r="I849" s="2" t="s">
        <v>37233</v>
      </c>
      <c r="J849" s="2" t="s">
        <v>37234</v>
      </c>
      <c r="K849" s="3">
        <v>2.48E-5</v>
      </c>
      <c r="L849" s="2" t="s">
        <v>637</v>
      </c>
      <c r="M849" s="4" t="s">
        <v>37235</v>
      </c>
    </row>
    <row r="850" spans="1:13">
      <c r="A850" s="2">
        <v>208</v>
      </c>
      <c r="B850" s="2" t="s">
        <v>37236</v>
      </c>
      <c r="C850" s="2">
        <v>6</v>
      </c>
      <c r="D850" s="2">
        <v>341</v>
      </c>
      <c r="E850" s="2">
        <v>36</v>
      </c>
      <c r="F850" s="2">
        <v>32441</v>
      </c>
      <c r="G850" s="2">
        <v>15.85581623</v>
      </c>
      <c r="H850" s="3">
        <v>4.6399999999999996E-6</v>
      </c>
      <c r="I850" s="2" t="s">
        <v>37237</v>
      </c>
      <c r="J850" s="2" t="s">
        <v>37238</v>
      </c>
      <c r="K850" s="3">
        <v>3.3399999999999999E-5</v>
      </c>
      <c r="L850" s="2" t="s">
        <v>637</v>
      </c>
      <c r="M850" s="4" t="s">
        <v>37239</v>
      </c>
    </row>
    <row r="851" spans="1:13">
      <c r="A851" s="2">
        <v>942</v>
      </c>
      <c r="B851" s="2" t="s">
        <v>27950</v>
      </c>
      <c r="C851" s="2">
        <v>8</v>
      </c>
      <c r="D851" s="2">
        <v>341</v>
      </c>
      <c r="E851" s="2">
        <v>84</v>
      </c>
      <c r="F851" s="2">
        <v>32441</v>
      </c>
      <c r="G851" s="2">
        <v>9.0604664150000005</v>
      </c>
      <c r="H851" s="3">
        <v>5.4999999999999999E-6</v>
      </c>
      <c r="I851" s="2" t="s">
        <v>37240</v>
      </c>
      <c r="J851" s="2" t="s">
        <v>37241</v>
      </c>
      <c r="K851" s="3">
        <v>3.93E-5</v>
      </c>
      <c r="L851" s="2" t="s">
        <v>637</v>
      </c>
      <c r="M851" s="4" t="s">
        <v>27953</v>
      </c>
    </row>
    <row r="852" spans="1:13">
      <c r="A852" s="2">
        <v>656</v>
      </c>
      <c r="B852" s="2" t="s">
        <v>37242</v>
      </c>
      <c r="C852" s="2">
        <v>5</v>
      </c>
      <c r="D852" s="2">
        <v>341</v>
      </c>
      <c r="E852" s="2">
        <v>21</v>
      </c>
      <c r="F852" s="2">
        <v>32441</v>
      </c>
      <c r="G852" s="2">
        <v>22.65116604</v>
      </c>
      <c r="H852" s="3">
        <v>6.4999999999999996E-6</v>
      </c>
      <c r="I852" s="2" t="s">
        <v>37243</v>
      </c>
      <c r="J852" s="2" t="s">
        <v>37244</v>
      </c>
      <c r="K852" s="3">
        <v>4.6100000000000002E-5</v>
      </c>
      <c r="L852" s="2" t="s">
        <v>637</v>
      </c>
      <c r="M852" s="4" t="s">
        <v>37245</v>
      </c>
    </row>
    <row r="853" spans="1:13">
      <c r="A853" s="2">
        <v>585</v>
      </c>
      <c r="B853" s="2" t="s">
        <v>37246</v>
      </c>
      <c r="C853" s="2">
        <v>5</v>
      </c>
      <c r="D853" s="2">
        <v>341</v>
      </c>
      <c r="E853" s="2">
        <v>22</v>
      </c>
      <c r="F853" s="2">
        <v>32441</v>
      </c>
      <c r="G853" s="2">
        <v>21.621567580000001</v>
      </c>
      <c r="H853" s="3">
        <v>7.9100000000000005E-6</v>
      </c>
      <c r="I853" s="2" t="s">
        <v>37247</v>
      </c>
      <c r="J853" s="2" t="s">
        <v>37248</v>
      </c>
      <c r="K853" s="3">
        <v>5.52E-5</v>
      </c>
      <c r="L853" s="2" t="s">
        <v>637</v>
      </c>
      <c r="M853" s="4" t="s">
        <v>37249</v>
      </c>
    </row>
    <row r="854" spans="1:13">
      <c r="A854" s="2">
        <v>634</v>
      </c>
      <c r="B854" s="2" t="s">
        <v>37250</v>
      </c>
      <c r="C854" s="2">
        <v>5</v>
      </c>
      <c r="D854" s="2">
        <v>341</v>
      </c>
      <c r="E854" s="2">
        <v>22</v>
      </c>
      <c r="F854" s="2">
        <v>32441</v>
      </c>
      <c r="G854" s="2">
        <v>21.621567580000001</v>
      </c>
      <c r="H854" s="3">
        <v>7.9100000000000005E-6</v>
      </c>
      <c r="I854" s="2" t="s">
        <v>37247</v>
      </c>
      <c r="J854" s="2" t="s">
        <v>37248</v>
      </c>
      <c r="K854" s="3">
        <v>5.52E-5</v>
      </c>
      <c r="L854" s="2" t="s">
        <v>637</v>
      </c>
      <c r="M854" s="4" t="s">
        <v>37251</v>
      </c>
    </row>
    <row r="855" spans="1:13">
      <c r="A855" s="2">
        <v>610</v>
      </c>
      <c r="B855" s="2" t="s">
        <v>37252</v>
      </c>
      <c r="C855" s="2">
        <v>5</v>
      </c>
      <c r="D855" s="2">
        <v>341</v>
      </c>
      <c r="E855" s="2">
        <v>23</v>
      </c>
      <c r="F855" s="2">
        <v>32441</v>
      </c>
      <c r="G855" s="2">
        <v>20.681499429999999</v>
      </c>
      <c r="H855" s="3">
        <v>9.55E-6</v>
      </c>
      <c r="I855" s="2" t="s">
        <v>37243</v>
      </c>
      <c r="J855" s="2" t="s">
        <v>37244</v>
      </c>
      <c r="K855" s="3">
        <v>6.6099999999999994E-5</v>
      </c>
      <c r="L855" s="2" t="s">
        <v>637</v>
      </c>
      <c r="M855" s="4" t="s">
        <v>37253</v>
      </c>
    </row>
    <row r="856" spans="1:13">
      <c r="A856" s="2">
        <v>322</v>
      </c>
      <c r="B856" s="2" t="s">
        <v>28003</v>
      </c>
      <c r="C856" s="2">
        <v>8</v>
      </c>
      <c r="D856" s="2">
        <v>341</v>
      </c>
      <c r="E856" s="2">
        <v>92</v>
      </c>
      <c r="F856" s="2">
        <v>32441</v>
      </c>
      <c r="G856" s="2">
        <v>8.2725997699999994</v>
      </c>
      <c r="H856" s="3">
        <v>1.0200000000000001E-5</v>
      </c>
      <c r="I856" s="2" t="s">
        <v>37254</v>
      </c>
      <c r="J856" s="2" t="s">
        <v>37255</v>
      </c>
      <c r="K856" s="3">
        <v>7.0300000000000001E-5</v>
      </c>
      <c r="L856" s="2" t="s">
        <v>637</v>
      </c>
      <c r="M856" s="4" t="s">
        <v>28006</v>
      </c>
    </row>
    <row r="857" spans="1:13">
      <c r="A857" s="2">
        <v>1903</v>
      </c>
      <c r="B857" s="2" t="s">
        <v>28057</v>
      </c>
      <c r="C857" s="2">
        <v>8</v>
      </c>
      <c r="D857" s="2">
        <v>341</v>
      </c>
      <c r="E857" s="2">
        <v>94</v>
      </c>
      <c r="F857" s="2">
        <v>32441</v>
      </c>
      <c r="G857" s="2">
        <v>8.0965870090000003</v>
      </c>
      <c r="H857" s="3">
        <v>1.1800000000000001E-5</v>
      </c>
      <c r="I857" s="2" t="s">
        <v>37256</v>
      </c>
      <c r="J857" s="2" t="s">
        <v>37257</v>
      </c>
      <c r="K857" s="3">
        <v>8.0699999999999996E-5</v>
      </c>
      <c r="L857" s="2" t="s">
        <v>637</v>
      </c>
      <c r="M857" s="4" t="s">
        <v>28060</v>
      </c>
    </row>
    <row r="858" spans="1:13">
      <c r="A858" s="2">
        <v>2201</v>
      </c>
      <c r="B858" s="2" t="s">
        <v>707</v>
      </c>
      <c r="C858" s="2">
        <v>8</v>
      </c>
      <c r="D858" s="2">
        <v>341</v>
      </c>
      <c r="E858" s="2">
        <v>99</v>
      </c>
      <c r="F858" s="2">
        <v>32441</v>
      </c>
      <c r="G858" s="2">
        <v>7.6876684739999996</v>
      </c>
      <c r="H858" s="3">
        <v>1.6799999999999998E-5</v>
      </c>
      <c r="I858" s="2" t="s">
        <v>37258</v>
      </c>
      <c r="J858" s="2" t="s">
        <v>37259</v>
      </c>
      <c r="K858" s="2">
        <v>1.13745E-4</v>
      </c>
      <c r="L858" s="2" t="s">
        <v>637</v>
      </c>
      <c r="M858" s="4" t="s">
        <v>37260</v>
      </c>
    </row>
    <row r="859" spans="1:13">
      <c r="A859" s="2">
        <v>100</v>
      </c>
      <c r="B859" s="2" t="s">
        <v>27946</v>
      </c>
      <c r="C859" s="2">
        <v>10</v>
      </c>
      <c r="D859" s="2">
        <v>341</v>
      </c>
      <c r="E859" s="2">
        <v>166</v>
      </c>
      <c r="F859" s="2">
        <v>32441</v>
      </c>
      <c r="G859" s="2">
        <v>5.7310179129999996</v>
      </c>
      <c r="H859" s="3">
        <v>1.7200000000000001E-5</v>
      </c>
      <c r="I859" s="2" t="s">
        <v>37261</v>
      </c>
      <c r="J859" s="2" t="s">
        <v>37262</v>
      </c>
      <c r="K859" s="2">
        <v>1.1495899999999999E-4</v>
      </c>
      <c r="L859" s="2" t="s">
        <v>637</v>
      </c>
      <c r="M859" s="4" t="s">
        <v>27949</v>
      </c>
    </row>
    <row r="860" spans="1:13">
      <c r="A860" s="2">
        <v>7051</v>
      </c>
      <c r="B860" s="2" t="s">
        <v>37263</v>
      </c>
      <c r="C860" s="2">
        <v>5</v>
      </c>
      <c r="D860" s="2">
        <v>341</v>
      </c>
      <c r="E860" s="2">
        <v>28</v>
      </c>
      <c r="F860" s="2">
        <v>32441</v>
      </c>
      <c r="G860" s="2">
        <v>16.988374530000002</v>
      </c>
      <c r="H860" s="3">
        <v>2.2099999999999998E-5</v>
      </c>
      <c r="I860" s="2" t="s">
        <v>37264</v>
      </c>
      <c r="J860" s="2" t="s">
        <v>37265</v>
      </c>
      <c r="K860" s="2">
        <v>1.4695600000000001E-4</v>
      </c>
      <c r="L860" s="2" t="s">
        <v>637</v>
      </c>
      <c r="M860" s="4" t="s">
        <v>37266</v>
      </c>
    </row>
    <row r="861" spans="1:13">
      <c r="A861" s="2">
        <v>109</v>
      </c>
      <c r="B861" s="2" t="s">
        <v>37267</v>
      </c>
      <c r="C861" s="2">
        <v>6</v>
      </c>
      <c r="D861" s="2">
        <v>341</v>
      </c>
      <c r="E861" s="2">
        <v>49</v>
      </c>
      <c r="F861" s="2">
        <v>32441</v>
      </c>
      <c r="G861" s="2">
        <v>11.649171109999999</v>
      </c>
      <c r="H861" s="3">
        <v>2.2900000000000001E-5</v>
      </c>
      <c r="I861" s="2" t="s">
        <v>37268</v>
      </c>
      <c r="J861" s="2" t="s">
        <v>37269</v>
      </c>
      <c r="K861" s="2">
        <v>1.5099800000000001E-4</v>
      </c>
      <c r="L861" s="2" t="s">
        <v>637</v>
      </c>
      <c r="M861" s="4" t="s">
        <v>37270</v>
      </c>
    </row>
    <row r="862" spans="1:13">
      <c r="A862" s="2">
        <v>484</v>
      </c>
      <c r="B862" s="2" t="s">
        <v>37271</v>
      </c>
      <c r="C862" s="2">
        <v>6</v>
      </c>
      <c r="D862" s="2">
        <v>341</v>
      </c>
      <c r="E862" s="2">
        <v>50</v>
      </c>
      <c r="F862" s="2">
        <v>32441</v>
      </c>
      <c r="G862" s="2">
        <v>11.41618768</v>
      </c>
      <c r="H862" s="3">
        <v>2.5400000000000001E-5</v>
      </c>
      <c r="I862" s="2" t="s">
        <v>37272</v>
      </c>
      <c r="J862" s="2" t="s">
        <v>37273</v>
      </c>
      <c r="K862" s="2">
        <v>1.6636900000000001E-4</v>
      </c>
      <c r="L862" s="2" t="s">
        <v>637</v>
      </c>
      <c r="M862" s="4" t="s">
        <v>37274</v>
      </c>
    </row>
    <row r="863" spans="1:13">
      <c r="A863" s="2">
        <v>41</v>
      </c>
      <c r="B863" s="2" t="s">
        <v>27930</v>
      </c>
      <c r="C863" s="2">
        <v>7</v>
      </c>
      <c r="D863" s="2">
        <v>341</v>
      </c>
      <c r="E863" s="2">
        <v>76</v>
      </c>
      <c r="F863" s="2">
        <v>32441</v>
      </c>
      <c r="G863" s="2">
        <v>8.7624247569999998</v>
      </c>
      <c r="H863" s="3">
        <v>2.6100000000000001E-5</v>
      </c>
      <c r="I863" s="2" t="s">
        <v>37275</v>
      </c>
      <c r="J863" s="2" t="s">
        <v>37276</v>
      </c>
      <c r="K863" s="2">
        <v>1.6985500000000001E-4</v>
      </c>
      <c r="L863" s="2" t="s">
        <v>637</v>
      </c>
      <c r="M863" s="4" t="s">
        <v>27933</v>
      </c>
    </row>
    <row r="864" spans="1:13">
      <c r="A864" s="2">
        <v>39</v>
      </c>
      <c r="B864" s="2" t="s">
        <v>27813</v>
      </c>
      <c r="C864" s="2">
        <v>8</v>
      </c>
      <c r="D864" s="2">
        <v>341</v>
      </c>
      <c r="E864" s="2">
        <v>110</v>
      </c>
      <c r="F864" s="2">
        <v>32441</v>
      </c>
      <c r="G864" s="2">
        <v>6.9189016260000002</v>
      </c>
      <c r="H864" s="3">
        <v>3.4199999999999998E-5</v>
      </c>
      <c r="I864" s="2" t="s">
        <v>37277</v>
      </c>
      <c r="J864" s="2" t="s">
        <v>37278</v>
      </c>
      <c r="K864" s="2">
        <v>2.20829E-4</v>
      </c>
      <c r="L864" s="2" t="s">
        <v>637</v>
      </c>
      <c r="M864" s="4" t="s">
        <v>27816</v>
      </c>
    </row>
    <row r="865" spans="1:13">
      <c r="A865" s="2">
        <v>86</v>
      </c>
      <c r="B865" s="2" t="s">
        <v>27848</v>
      </c>
      <c r="C865" s="2">
        <v>12</v>
      </c>
      <c r="D865" s="2">
        <v>341</v>
      </c>
      <c r="E865" s="2">
        <v>264</v>
      </c>
      <c r="F865" s="2">
        <v>32441</v>
      </c>
      <c r="G865" s="2">
        <v>4.3243135160000001</v>
      </c>
      <c r="H865" s="3">
        <v>3.6600000000000002E-5</v>
      </c>
      <c r="I865" s="2" t="s">
        <v>37279</v>
      </c>
      <c r="J865" s="2" t="s">
        <v>37280</v>
      </c>
      <c r="K865" s="2">
        <v>2.34556E-4</v>
      </c>
      <c r="L865" s="2" t="s">
        <v>637</v>
      </c>
      <c r="M865" s="4" t="s">
        <v>27851</v>
      </c>
    </row>
    <row r="866" spans="1:13">
      <c r="A866" s="2">
        <v>170</v>
      </c>
      <c r="B866" s="2" t="s">
        <v>695</v>
      </c>
      <c r="C866" s="2">
        <v>12</v>
      </c>
      <c r="D866" s="2">
        <v>341</v>
      </c>
      <c r="E866" s="2">
        <v>268</v>
      </c>
      <c r="F866" s="2">
        <v>32441</v>
      </c>
      <c r="G866" s="2">
        <v>4.2597715239999996</v>
      </c>
      <c r="H866" s="3">
        <v>4.21E-5</v>
      </c>
      <c r="I866" s="2" t="s">
        <v>37281</v>
      </c>
      <c r="J866" s="2" t="s">
        <v>37282</v>
      </c>
      <c r="K866" s="2">
        <v>2.6762200000000002E-4</v>
      </c>
      <c r="L866" s="2" t="s">
        <v>637</v>
      </c>
      <c r="M866" s="4" t="s">
        <v>37283</v>
      </c>
    </row>
    <row r="867" spans="1:13">
      <c r="A867" s="2">
        <v>673</v>
      </c>
      <c r="B867" s="2" t="s">
        <v>37284</v>
      </c>
      <c r="C867" s="2">
        <v>5</v>
      </c>
      <c r="D867" s="2">
        <v>341</v>
      </c>
      <c r="E867" s="2">
        <v>34</v>
      </c>
      <c r="F867" s="2">
        <v>32441</v>
      </c>
      <c r="G867" s="2">
        <v>13.990426080000001</v>
      </c>
      <c r="H867" s="3">
        <v>5.0899999999999997E-5</v>
      </c>
      <c r="I867" s="2" t="s">
        <v>37285</v>
      </c>
      <c r="J867" s="2" t="s">
        <v>37286</v>
      </c>
      <c r="K867" s="2">
        <v>3.2130199999999998E-4</v>
      </c>
      <c r="L867" s="2" t="s">
        <v>637</v>
      </c>
      <c r="M867" s="4" t="s">
        <v>37287</v>
      </c>
    </row>
    <row r="868" spans="1:13">
      <c r="A868" s="2">
        <v>302</v>
      </c>
      <c r="B868" s="2" t="s">
        <v>27840</v>
      </c>
      <c r="C868" s="2">
        <v>5</v>
      </c>
      <c r="D868" s="2">
        <v>341</v>
      </c>
      <c r="E868" s="2">
        <v>35</v>
      </c>
      <c r="F868" s="2">
        <v>32441</v>
      </c>
      <c r="G868" s="2">
        <v>13.590699620000001</v>
      </c>
      <c r="H868" s="3">
        <v>5.77E-5</v>
      </c>
      <c r="I868" s="2" t="s">
        <v>37288</v>
      </c>
      <c r="J868" s="2" t="s">
        <v>37289</v>
      </c>
      <c r="K868" s="2">
        <v>3.6143200000000002E-4</v>
      </c>
      <c r="L868" s="2" t="s">
        <v>637</v>
      </c>
      <c r="M868" s="4" t="s">
        <v>27843</v>
      </c>
    </row>
    <row r="869" spans="1:13">
      <c r="A869" s="2">
        <v>512</v>
      </c>
      <c r="B869" s="2" t="s">
        <v>37290</v>
      </c>
      <c r="C869" s="2">
        <v>4</v>
      </c>
      <c r="D869" s="2">
        <v>341</v>
      </c>
      <c r="E869" s="2">
        <v>17</v>
      </c>
      <c r="F869" s="2">
        <v>32441</v>
      </c>
      <c r="G869" s="2">
        <v>22.38468173</v>
      </c>
      <c r="H869" s="3">
        <v>5.9899999999999999E-5</v>
      </c>
      <c r="I869" s="2" t="s">
        <v>37291</v>
      </c>
      <c r="J869" s="2" t="s">
        <v>37292</v>
      </c>
      <c r="K869" s="2">
        <v>3.7217000000000001E-4</v>
      </c>
      <c r="L869" s="2" t="s">
        <v>637</v>
      </c>
      <c r="M869" s="4" t="s">
        <v>37293</v>
      </c>
    </row>
    <row r="870" spans="1:13">
      <c r="A870" s="2">
        <v>189</v>
      </c>
      <c r="B870" s="2" t="s">
        <v>686</v>
      </c>
      <c r="C870" s="2">
        <v>11</v>
      </c>
      <c r="D870" s="2">
        <v>341</v>
      </c>
      <c r="E870" s="2">
        <v>238</v>
      </c>
      <c r="F870" s="2">
        <v>32441</v>
      </c>
      <c r="G870" s="2">
        <v>4.3969910539999999</v>
      </c>
      <c r="H870" s="3">
        <v>6.6799999999999997E-5</v>
      </c>
      <c r="I870" s="2" t="s">
        <v>37294</v>
      </c>
      <c r="J870" s="2" t="s">
        <v>37295</v>
      </c>
      <c r="K870" s="2">
        <v>4.12111E-4</v>
      </c>
      <c r="L870" s="2" t="s">
        <v>637</v>
      </c>
      <c r="M870" s="4" t="s">
        <v>37296</v>
      </c>
    </row>
    <row r="871" spans="1:13">
      <c r="A871" s="2">
        <v>151</v>
      </c>
      <c r="B871" s="2" t="s">
        <v>27996</v>
      </c>
      <c r="C871" s="2">
        <v>7</v>
      </c>
      <c r="D871" s="2">
        <v>341</v>
      </c>
      <c r="E871" s="2">
        <v>90</v>
      </c>
      <c r="F871" s="2">
        <v>32441</v>
      </c>
      <c r="G871" s="2">
        <v>7.3993809060000002</v>
      </c>
      <c r="H871" s="3">
        <v>7.1400000000000001E-5</v>
      </c>
      <c r="I871" s="2" t="s">
        <v>37297</v>
      </c>
      <c r="J871" s="2" t="s">
        <v>37298</v>
      </c>
      <c r="K871" s="2">
        <v>4.3768600000000001E-4</v>
      </c>
      <c r="L871" s="2" t="s">
        <v>637</v>
      </c>
      <c r="M871" s="4" t="s">
        <v>27999</v>
      </c>
    </row>
    <row r="872" spans="1:13">
      <c r="A872" s="2">
        <v>203</v>
      </c>
      <c r="B872" s="2" t="s">
        <v>28061</v>
      </c>
      <c r="C872" s="2">
        <v>5</v>
      </c>
      <c r="D872" s="2">
        <v>341</v>
      </c>
      <c r="E872" s="2">
        <v>37</v>
      </c>
      <c r="F872" s="2">
        <v>32441</v>
      </c>
      <c r="G872" s="2">
        <v>12.856067210000001</v>
      </c>
      <c r="H872" s="3">
        <v>7.3300000000000006E-5</v>
      </c>
      <c r="I872" s="2" t="s">
        <v>37299</v>
      </c>
      <c r="J872" s="2" t="s">
        <v>37300</v>
      </c>
      <c r="K872" s="2">
        <v>4.4633999999999999E-4</v>
      </c>
      <c r="L872" s="2" t="s">
        <v>637</v>
      </c>
      <c r="M872" s="4" t="s">
        <v>28064</v>
      </c>
    </row>
    <row r="873" spans="1:13">
      <c r="A873" s="2">
        <v>456</v>
      </c>
      <c r="B873" s="2" t="s">
        <v>668</v>
      </c>
      <c r="C873" s="2">
        <v>11</v>
      </c>
      <c r="D873" s="2">
        <v>341</v>
      </c>
      <c r="E873" s="2">
        <v>241</v>
      </c>
      <c r="F873" s="2">
        <v>32441</v>
      </c>
      <c r="G873" s="2">
        <v>4.3422567259999996</v>
      </c>
      <c r="H873" s="3">
        <v>7.4300000000000004E-5</v>
      </c>
      <c r="I873" s="2" t="s">
        <v>37301</v>
      </c>
      <c r="J873" s="2" t="s">
        <v>37302</v>
      </c>
      <c r="K873" s="2">
        <v>4.4893999999999999E-4</v>
      </c>
      <c r="L873" s="2" t="s">
        <v>637</v>
      </c>
      <c r="M873" s="4" t="s">
        <v>37303</v>
      </c>
    </row>
    <row r="874" spans="1:13">
      <c r="A874" s="2">
        <v>147</v>
      </c>
      <c r="B874" s="2" t="s">
        <v>37304</v>
      </c>
      <c r="C874" s="2">
        <v>8</v>
      </c>
      <c r="D874" s="2">
        <v>341</v>
      </c>
      <c r="E874" s="2">
        <v>127</v>
      </c>
      <c r="F874" s="2">
        <v>32441</v>
      </c>
      <c r="G874" s="2">
        <v>5.9927494399999999</v>
      </c>
      <c r="H874" s="3">
        <v>8.8999999999999995E-5</v>
      </c>
      <c r="I874" s="2" t="s">
        <v>37305</v>
      </c>
      <c r="J874" s="2" t="s">
        <v>37306</v>
      </c>
      <c r="K874" s="2">
        <v>5.3394399999999996E-4</v>
      </c>
      <c r="L874" s="2" t="s">
        <v>637</v>
      </c>
      <c r="M874" s="4" t="s">
        <v>37307</v>
      </c>
    </row>
    <row r="875" spans="1:13">
      <c r="A875" s="2">
        <v>545</v>
      </c>
      <c r="B875" s="2" t="s">
        <v>7375</v>
      </c>
      <c r="C875" s="2">
        <v>11</v>
      </c>
      <c r="D875" s="2">
        <v>341</v>
      </c>
      <c r="E875" s="2">
        <v>248</v>
      </c>
      <c r="F875" s="2">
        <v>32441</v>
      </c>
      <c r="G875" s="2">
        <v>4.219693028</v>
      </c>
      <c r="H875" s="3">
        <v>9.48E-5</v>
      </c>
      <c r="I875" s="2" t="s">
        <v>37308</v>
      </c>
      <c r="J875" s="2" t="s">
        <v>37309</v>
      </c>
      <c r="K875" s="2">
        <v>5.6466000000000003E-4</v>
      </c>
      <c r="L875" s="2" t="s">
        <v>637</v>
      </c>
      <c r="M875" s="4" t="s">
        <v>7378</v>
      </c>
    </row>
    <row r="876" spans="1:13">
      <c r="A876" s="2">
        <v>11</v>
      </c>
      <c r="B876" s="2" t="s">
        <v>829</v>
      </c>
      <c r="C876" s="2">
        <v>9</v>
      </c>
      <c r="D876" s="2">
        <v>341</v>
      </c>
      <c r="E876" s="2">
        <v>168</v>
      </c>
      <c r="F876" s="2">
        <v>32441</v>
      </c>
      <c r="G876" s="2">
        <v>5.0965123590000001</v>
      </c>
      <c r="H876" s="2">
        <v>1.06265E-4</v>
      </c>
      <c r="I876" s="2" t="s">
        <v>37310</v>
      </c>
      <c r="J876" s="2" t="s">
        <v>37311</v>
      </c>
      <c r="K876" s="2">
        <v>6.2879400000000001E-4</v>
      </c>
      <c r="L876" s="2" t="s">
        <v>637</v>
      </c>
      <c r="M876" s="4" t="s">
        <v>37312</v>
      </c>
    </row>
    <row r="877" spans="1:13">
      <c r="A877" s="2">
        <v>214</v>
      </c>
      <c r="B877" s="2" t="s">
        <v>37313</v>
      </c>
      <c r="C877" s="2">
        <v>6</v>
      </c>
      <c r="D877" s="2">
        <v>341</v>
      </c>
      <c r="E877" s="2">
        <v>70</v>
      </c>
      <c r="F877" s="2">
        <v>32441</v>
      </c>
      <c r="G877" s="2">
        <v>8.1544197740000008</v>
      </c>
      <c r="H877" s="2">
        <v>1.4368700000000001E-4</v>
      </c>
      <c r="I877" s="2" t="s">
        <v>37314</v>
      </c>
      <c r="J877" s="2" t="s">
        <v>37315</v>
      </c>
      <c r="K877" s="2">
        <v>8.4440600000000002E-4</v>
      </c>
      <c r="L877" s="2" t="s">
        <v>637</v>
      </c>
      <c r="M877" s="4" t="s">
        <v>37316</v>
      </c>
    </row>
    <row r="878" spans="1:13">
      <c r="A878" s="2">
        <v>811</v>
      </c>
      <c r="B878" s="2" t="s">
        <v>37317</v>
      </c>
      <c r="C878" s="2">
        <v>6</v>
      </c>
      <c r="D878" s="2">
        <v>341</v>
      </c>
      <c r="E878" s="2">
        <v>71</v>
      </c>
      <c r="F878" s="2">
        <v>32441</v>
      </c>
      <c r="G878" s="2">
        <v>8.0395687910000007</v>
      </c>
      <c r="H878" s="2">
        <v>1.5448E-4</v>
      </c>
      <c r="I878" s="2" t="s">
        <v>37318</v>
      </c>
      <c r="J878" s="2" t="s">
        <v>37319</v>
      </c>
      <c r="K878" s="2">
        <v>9.0165999999999998E-4</v>
      </c>
      <c r="L878" s="2" t="s">
        <v>637</v>
      </c>
      <c r="M878" s="4" t="s">
        <v>37320</v>
      </c>
    </row>
    <row r="879" spans="1:13">
      <c r="A879" s="2">
        <v>154</v>
      </c>
      <c r="B879" s="2" t="s">
        <v>27868</v>
      </c>
      <c r="C879" s="2">
        <v>10</v>
      </c>
      <c r="D879" s="2">
        <v>341</v>
      </c>
      <c r="E879" s="2">
        <v>219</v>
      </c>
      <c r="F879" s="2">
        <v>32441</v>
      </c>
      <c r="G879" s="2">
        <v>4.34405924</v>
      </c>
      <c r="H879" s="2">
        <v>1.5639300000000001E-4</v>
      </c>
      <c r="I879" s="2" t="s">
        <v>37321</v>
      </c>
      <c r="J879" s="2" t="s">
        <v>37322</v>
      </c>
      <c r="K879" s="2">
        <v>9.0666E-4</v>
      </c>
      <c r="L879" s="2" t="s">
        <v>637</v>
      </c>
      <c r="M879" s="4" t="s">
        <v>27871</v>
      </c>
    </row>
    <row r="880" spans="1:13">
      <c r="A880" s="2">
        <v>369</v>
      </c>
      <c r="B880" s="2" t="s">
        <v>27836</v>
      </c>
      <c r="C880" s="2">
        <v>6</v>
      </c>
      <c r="D880" s="2">
        <v>341</v>
      </c>
      <c r="E880" s="2">
        <v>72</v>
      </c>
      <c r="F880" s="2">
        <v>32441</v>
      </c>
      <c r="G880" s="2">
        <v>7.927908113</v>
      </c>
      <c r="H880" s="2">
        <v>1.6590499999999999E-4</v>
      </c>
      <c r="I880" s="2" t="s">
        <v>37323</v>
      </c>
      <c r="J880" s="2" t="s">
        <v>37324</v>
      </c>
      <c r="K880" s="2">
        <v>9.5534600000000004E-4</v>
      </c>
      <c r="L880" s="2" t="s">
        <v>637</v>
      </c>
      <c r="M880" s="4" t="s">
        <v>27839</v>
      </c>
    </row>
    <row r="881" spans="1:13">
      <c r="A881" s="2">
        <v>626</v>
      </c>
      <c r="B881" s="2" t="s">
        <v>37325</v>
      </c>
      <c r="C881" s="2">
        <v>12</v>
      </c>
      <c r="D881" s="2">
        <v>341</v>
      </c>
      <c r="E881" s="2">
        <v>329</v>
      </c>
      <c r="F881" s="2">
        <v>32441</v>
      </c>
      <c r="G881" s="2">
        <v>3.4699658609999999</v>
      </c>
      <c r="H881" s="2">
        <v>2.6704799999999998E-4</v>
      </c>
      <c r="I881" s="2" t="s">
        <v>37326</v>
      </c>
      <c r="J881" s="2" t="s">
        <v>37327</v>
      </c>
      <c r="K881" s="2">
        <v>1.527512E-3</v>
      </c>
      <c r="L881" s="2" t="s">
        <v>637</v>
      </c>
      <c r="M881" s="4" t="s">
        <v>37328</v>
      </c>
    </row>
    <row r="882" spans="1:13">
      <c r="A882" s="2">
        <v>2501</v>
      </c>
      <c r="B882" s="2" t="s">
        <v>734</v>
      </c>
      <c r="C882" s="2">
        <v>5</v>
      </c>
      <c r="D882" s="2">
        <v>341</v>
      </c>
      <c r="E882" s="2">
        <v>51</v>
      </c>
      <c r="F882" s="2">
        <v>32441</v>
      </c>
      <c r="G882" s="2">
        <v>9.3269507219999994</v>
      </c>
      <c r="H882" s="2">
        <v>2.9244299999999998E-4</v>
      </c>
      <c r="I882" s="2" t="s">
        <v>37329</v>
      </c>
      <c r="J882" s="2" t="s">
        <v>37330</v>
      </c>
      <c r="K882" s="2">
        <v>1.6616949999999999E-3</v>
      </c>
      <c r="L882" s="2" t="s">
        <v>637</v>
      </c>
      <c r="M882" s="4" t="s">
        <v>37331</v>
      </c>
    </row>
    <row r="883" spans="1:13">
      <c r="A883" s="2">
        <v>800</v>
      </c>
      <c r="B883" s="2" t="s">
        <v>37332</v>
      </c>
      <c r="C883" s="2">
        <v>3</v>
      </c>
      <c r="D883" s="2">
        <v>341</v>
      </c>
      <c r="E883" s="2">
        <v>10</v>
      </c>
      <c r="F883" s="2">
        <v>32441</v>
      </c>
      <c r="G883" s="2">
        <v>28.540469210000001</v>
      </c>
      <c r="H883" s="2">
        <v>2.95319E-4</v>
      </c>
      <c r="I883" s="2" t="s">
        <v>37333</v>
      </c>
      <c r="J883" s="2" t="s">
        <v>37334</v>
      </c>
      <c r="K883" s="2">
        <v>1.6669969999999999E-3</v>
      </c>
      <c r="L883" s="2" t="s">
        <v>637</v>
      </c>
      <c r="M883" s="4" t="s">
        <v>37335</v>
      </c>
    </row>
    <row r="884" spans="1:13">
      <c r="A884" s="2">
        <v>778</v>
      </c>
      <c r="B884" s="2" t="s">
        <v>37336</v>
      </c>
      <c r="C884" s="2">
        <v>4</v>
      </c>
      <c r="D884" s="2">
        <v>341</v>
      </c>
      <c r="E884" s="2">
        <v>28</v>
      </c>
      <c r="F884" s="2">
        <v>32441</v>
      </c>
      <c r="G884" s="2">
        <v>13.590699620000001</v>
      </c>
      <c r="H884" s="2">
        <v>3.2863899999999998E-4</v>
      </c>
      <c r="I884" s="2" t="s">
        <v>37337</v>
      </c>
      <c r="J884" s="2" t="s">
        <v>37338</v>
      </c>
      <c r="K884" s="2">
        <v>1.8429550000000001E-3</v>
      </c>
      <c r="L884" s="2" t="s">
        <v>637</v>
      </c>
      <c r="M884" s="4" t="s">
        <v>37339</v>
      </c>
    </row>
    <row r="885" spans="1:13">
      <c r="A885" s="2">
        <v>711</v>
      </c>
      <c r="B885" s="2" t="s">
        <v>37340</v>
      </c>
      <c r="C885" s="2">
        <v>5</v>
      </c>
      <c r="D885" s="2">
        <v>341</v>
      </c>
      <c r="E885" s="2">
        <v>53</v>
      </c>
      <c r="F885" s="2">
        <v>32441</v>
      </c>
      <c r="G885" s="2">
        <v>8.9749903169999996</v>
      </c>
      <c r="H885" s="2">
        <v>3.4490699999999998E-4</v>
      </c>
      <c r="I885" s="2" t="s">
        <v>37341</v>
      </c>
      <c r="J885" s="2" t="s">
        <v>37342</v>
      </c>
      <c r="K885" s="2">
        <v>1.9216249999999999E-3</v>
      </c>
      <c r="L885" s="2" t="s">
        <v>637</v>
      </c>
      <c r="M885" s="4" t="s">
        <v>37343</v>
      </c>
    </row>
    <row r="886" spans="1:13">
      <c r="A886" s="2">
        <v>281</v>
      </c>
      <c r="B886" s="2" t="s">
        <v>37344</v>
      </c>
      <c r="C886" s="2">
        <v>6</v>
      </c>
      <c r="D886" s="2">
        <v>341</v>
      </c>
      <c r="E886" s="2">
        <v>84</v>
      </c>
      <c r="F886" s="2">
        <v>32441</v>
      </c>
      <c r="G886" s="2">
        <v>6.7953498110000004</v>
      </c>
      <c r="H886" s="2">
        <v>3.6236599999999998E-4</v>
      </c>
      <c r="I886" s="2" t="s">
        <v>37345</v>
      </c>
      <c r="J886" s="2" t="s">
        <v>37346</v>
      </c>
      <c r="K886" s="2">
        <v>2.0058699999999999E-3</v>
      </c>
      <c r="L886" s="2" t="s">
        <v>637</v>
      </c>
      <c r="M886" s="4" t="s">
        <v>37347</v>
      </c>
    </row>
    <row r="887" spans="1:13">
      <c r="A887" s="2">
        <v>177</v>
      </c>
      <c r="B887" s="2" t="s">
        <v>744</v>
      </c>
      <c r="C887" s="2">
        <v>9</v>
      </c>
      <c r="D887" s="2">
        <v>341</v>
      </c>
      <c r="E887" s="2">
        <v>202</v>
      </c>
      <c r="F887" s="2">
        <v>32441</v>
      </c>
      <c r="G887" s="2">
        <v>4.2386835459999999</v>
      </c>
      <c r="H887" s="2">
        <v>3.9317699999999998E-4</v>
      </c>
      <c r="I887" s="2" t="s">
        <v>37348</v>
      </c>
      <c r="J887" s="2" t="s">
        <v>37349</v>
      </c>
      <c r="K887" s="2">
        <v>2.1624740000000002E-3</v>
      </c>
      <c r="L887" s="2" t="s">
        <v>637</v>
      </c>
      <c r="M887" s="4" t="s">
        <v>37350</v>
      </c>
    </row>
    <row r="888" spans="1:13">
      <c r="A888" s="2">
        <v>143</v>
      </c>
      <c r="B888" s="2" t="s">
        <v>37351</v>
      </c>
      <c r="C888" s="2">
        <v>7</v>
      </c>
      <c r="D888" s="2">
        <v>341</v>
      </c>
      <c r="E888" s="2">
        <v>123</v>
      </c>
      <c r="F888" s="2">
        <v>32441</v>
      </c>
      <c r="G888" s="2">
        <v>5.4141811510000002</v>
      </c>
      <c r="H888" s="2">
        <v>4.38777E-4</v>
      </c>
      <c r="I888" s="2" t="s">
        <v>37352</v>
      </c>
      <c r="J888" s="2" t="s">
        <v>37353</v>
      </c>
      <c r="K888" s="2">
        <v>2.3827280000000002E-3</v>
      </c>
      <c r="L888" s="2" t="s">
        <v>637</v>
      </c>
      <c r="M888" s="4" t="s">
        <v>37354</v>
      </c>
    </row>
    <row r="889" spans="1:13">
      <c r="A889" s="2">
        <v>2521</v>
      </c>
      <c r="B889" s="2" t="s">
        <v>37355</v>
      </c>
      <c r="C889" s="2">
        <v>5</v>
      </c>
      <c r="D889" s="2">
        <v>341</v>
      </c>
      <c r="E889" s="2">
        <v>56</v>
      </c>
      <c r="F889" s="2">
        <v>32441</v>
      </c>
      <c r="G889" s="2">
        <v>8.4941872640000007</v>
      </c>
      <c r="H889" s="2">
        <v>4.3657E-4</v>
      </c>
      <c r="I889" s="2" t="s">
        <v>37356</v>
      </c>
      <c r="J889" s="2" t="s">
        <v>37357</v>
      </c>
      <c r="K889" s="2">
        <v>2.3827280000000002E-3</v>
      </c>
      <c r="L889" s="2" t="s">
        <v>637</v>
      </c>
      <c r="M889" s="4" t="s">
        <v>37358</v>
      </c>
    </row>
    <row r="890" spans="1:13">
      <c r="A890" s="2">
        <v>206</v>
      </c>
      <c r="B890" s="2" t="s">
        <v>698</v>
      </c>
      <c r="C890" s="2">
        <v>7</v>
      </c>
      <c r="D890" s="2">
        <v>341</v>
      </c>
      <c r="E890" s="2">
        <v>124</v>
      </c>
      <c r="F890" s="2">
        <v>32441</v>
      </c>
      <c r="G890" s="2">
        <v>5.3705183989999998</v>
      </c>
      <c r="H890" s="2">
        <v>4.5948000000000001E-4</v>
      </c>
      <c r="I890" s="2" t="s">
        <v>37359</v>
      </c>
      <c r="J890" s="2" t="s">
        <v>37360</v>
      </c>
      <c r="K890" s="2">
        <v>2.4794610000000001E-3</v>
      </c>
      <c r="L890" s="2" t="s">
        <v>637</v>
      </c>
      <c r="M890" s="4" t="s">
        <v>37361</v>
      </c>
    </row>
    <row r="891" spans="1:13">
      <c r="A891" s="2">
        <v>439</v>
      </c>
      <c r="B891" s="2" t="s">
        <v>7485</v>
      </c>
      <c r="C891" s="2">
        <v>15</v>
      </c>
      <c r="D891" s="2">
        <v>341</v>
      </c>
      <c r="E891" s="2">
        <v>519</v>
      </c>
      <c r="F891" s="2">
        <v>32441</v>
      </c>
      <c r="G891" s="2">
        <v>2.749563508</v>
      </c>
      <c r="H891" s="2">
        <v>5.3693499999999999E-4</v>
      </c>
      <c r="I891" s="2" t="s">
        <v>37362</v>
      </c>
      <c r="J891" s="2" t="s">
        <v>37363</v>
      </c>
      <c r="K891" s="2">
        <v>2.8793159999999998E-3</v>
      </c>
      <c r="L891" s="2" t="s">
        <v>637</v>
      </c>
      <c r="M891" s="4" t="s">
        <v>7488</v>
      </c>
    </row>
    <row r="892" spans="1:13">
      <c r="A892" s="2">
        <v>127</v>
      </c>
      <c r="B892" s="2" t="s">
        <v>37364</v>
      </c>
      <c r="C892" s="2">
        <v>7</v>
      </c>
      <c r="D892" s="2">
        <v>341</v>
      </c>
      <c r="E892" s="2">
        <v>131</v>
      </c>
      <c r="F892" s="2">
        <v>32441</v>
      </c>
      <c r="G892" s="2">
        <v>5.0835441340000003</v>
      </c>
      <c r="H892" s="2">
        <v>6.2719100000000003E-4</v>
      </c>
      <c r="I892" s="2" t="s">
        <v>37365</v>
      </c>
      <c r="J892" s="2" t="s">
        <v>37366</v>
      </c>
      <c r="K892" s="2">
        <v>3.3424240000000001E-3</v>
      </c>
      <c r="L892" s="2" t="s">
        <v>637</v>
      </c>
      <c r="M892" s="4" t="s">
        <v>37367</v>
      </c>
    </row>
    <row r="893" spans="1:13">
      <c r="A893" s="2">
        <v>2221</v>
      </c>
      <c r="B893" s="2" t="s">
        <v>2998</v>
      </c>
      <c r="C893" s="2">
        <v>5</v>
      </c>
      <c r="D893" s="2">
        <v>341</v>
      </c>
      <c r="E893" s="2">
        <v>65</v>
      </c>
      <c r="F893" s="2">
        <v>32441</v>
      </c>
      <c r="G893" s="2">
        <v>7.318069028</v>
      </c>
      <c r="H893" s="2">
        <v>8.2306100000000004E-4</v>
      </c>
      <c r="I893" s="2" t="s">
        <v>37368</v>
      </c>
      <c r="J893" s="2" t="s">
        <v>37369</v>
      </c>
      <c r="K893" s="2">
        <v>4.3324310000000003E-3</v>
      </c>
      <c r="L893" s="2" t="s">
        <v>637</v>
      </c>
      <c r="M893" s="4" t="s">
        <v>3001</v>
      </c>
    </row>
    <row r="894" spans="1:13">
      <c r="A894" s="2">
        <v>600</v>
      </c>
      <c r="B894" s="2" t="s">
        <v>3002</v>
      </c>
      <c r="C894" s="2">
        <v>5</v>
      </c>
      <c r="D894" s="2">
        <v>341</v>
      </c>
      <c r="E894" s="2">
        <v>65</v>
      </c>
      <c r="F894" s="2">
        <v>32441</v>
      </c>
      <c r="G894" s="2">
        <v>7.318069028</v>
      </c>
      <c r="H894" s="2">
        <v>8.2306100000000004E-4</v>
      </c>
      <c r="I894" s="2" t="s">
        <v>37370</v>
      </c>
      <c r="J894" s="2" t="s">
        <v>37371</v>
      </c>
      <c r="K894" s="2">
        <v>4.3324310000000003E-3</v>
      </c>
      <c r="L894" s="2" t="s">
        <v>637</v>
      </c>
      <c r="M894" s="4" t="s">
        <v>3005</v>
      </c>
    </row>
    <row r="895" spans="1:13">
      <c r="A895" s="2">
        <v>201</v>
      </c>
      <c r="B895" s="2" t="s">
        <v>37372</v>
      </c>
      <c r="C895" s="2">
        <v>4</v>
      </c>
      <c r="D895" s="2">
        <v>341</v>
      </c>
      <c r="E895" s="2">
        <v>38</v>
      </c>
      <c r="F895" s="2">
        <v>32441</v>
      </c>
      <c r="G895" s="2">
        <v>10.014199720000001</v>
      </c>
      <c r="H895" s="2">
        <v>9.4267999999999999E-4</v>
      </c>
      <c r="I895" s="2" t="s">
        <v>37373</v>
      </c>
      <c r="J895" s="2" t="s">
        <v>37374</v>
      </c>
      <c r="K895" s="2">
        <v>4.9318249999999999E-3</v>
      </c>
      <c r="L895" s="2" t="s">
        <v>637</v>
      </c>
      <c r="M895" s="4" t="s">
        <v>37375</v>
      </c>
    </row>
    <row r="896" spans="1:13">
      <c r="A896" s="2">
        <v>617</v>
      </c>
      <c r="B896" s="2" t="s">
        <v>37376</v>
      </c>
      <c r="C896" s="2">
        <v>3</v>
      </c>
      <c r="D896" s="2">
        <v>341</v>
      </c>
      <c r="E896" s="2">
        <v>16</v>
      </c>
      <c r="F896" s="2">
        <v>32441</v>
      </c>
      <c r="G896" s="2">
        <v>17.837793260000002</v>
      </c>
      <c r="H896" s="2">
        <v>9.5531299999999995E-4</v>
      </c>
      <c r="I896" s="2" t="s">
        <v>37377</v>
      </c>
      <c r="J896" s="2" t="s">
        <v>37378</v>
      </c>
      <c r="K896" s="2">
        <v>4.9676269999999996E-3</v>
      </c>
      <c r="L896" s="2" t="s">
        <v>637</v>
      </c>
      <c r="M896" s="4" t="s">
        <v>37379</v>
      </c>
    </row>
    <row r="897" spans="1:13">
      <c r="A897" s="2">
        <v>731</v>
      </c>
      <c r="B897" s="2" t="s">
        <v>27964</v>
      </c>
      <c r="C897" s="2">
        <v>3</v>
      </c>
      <c r="D897" s="2">
        <v>341</v>
      </c>
      <c r="E897" s="2">
        <v>17</v>
      </c>
      <c r="F897" s="2">
        <v>32441</v>
      </c>
      <c r="G897" s="2">
        <v>16.7885113</v>
      </c>
      <c r="H897" s="2">
        <v>1.1152759999999999E-3</v>
      </c>
      <c r="I897" s="2" t="s">
        <v>37380</v>
      </c>
      <c r="J897" s="2" t="s">
        <v>37381</v>
      </c>
      <c r="K897" s="2">
        <v>5.7644970000000004E-3</v>
      </c>
      <c r="L897" s="2" t="s">
        <v>637</v>
      </c>
      <c r="M897" s="4" t="s">
        <v>27967</v>
      </c>
    </row>
    <row r="898" spans="1:13">
      <c r="A898" s="2">
        <v>840</v>
      </c>
      <c r="B898" s="2" t="s">
        <v>37382</v>
      </c>
      <c r="C898" s="2">
        <v>3</v>
      </c>
      <c r="D898" s="2">
        <v>341</v>
      </c>
      <c r="E898" s="2">
        <v>18</v>
      </c>
      <c r="F898" s="2">
        <v>32441</v>
      </c>
      <c r="G898" s="2">
        <v>15.85581623</v>
      </c>
      <c r="H898" s="2">
        <v>1.291178E-3</v>
      </c>
      <c r="I898" s="2" t="s">
        <v>37383</v>
      </c>
      <c r="J898" s="2" t="s">
        <v>37384</v>
      </c>
      <c r="K898" s="2">
        <v>6.6337189999999997E-3</v>
      </c>
      <c r="L898" s="2" t="s">
        <v>637</v>
      </c>
      <c r="M898" s="4" t="s">
        <v>37385</v>
      </c>
    </row>
    <row r="899" spans="1:13">
      <c r="A899" s="2">
        <v>524</v>
      </c>
      <c r="B899" s="2" t="s">
        <v>37386</v>
      </c>
      <c r="C899" s="2">
        <v>3</v>
      </c>
      <c r="D899" s="2">
        <v>341</v>
      </c>
      <c r="E899" s="2">
        <v>19</v>
      </c>
      <c r="F899" s="2">
        <v>32441</v>
      </c>
      <c r="G899" s="2">
        <v>15.021299580000001</v>
      </c>
      <c r="H899" s="2">
        <v>1.483591E-3</v>
      </c>
      <c r="I899" s="2" t="s">
        <v>37387</v>
      </c>
      <c r="J899" s="2" t="s">
        <v>37388</v>
      </c>
      <c r="K899" s="2">
        <v>7.5769119999999999E-3</v>
      </c>
      <c r="L899" s="2" t="s">
        <v>637</v>
      </c>
      <c r="M899" s="4" t="s">
        <v>37389</v>
      </c>
    </row>
    <row r="900" spans="1:13">
      <c r="A900" s="2">
        <v>318</v>
      </c>
      <c r="B900" s="2" t="s">
        <v>37390</v>
      </c>
      <c r="C900" s="2">
        <v>5</v>
      </c>
      <c r="D900" s="2">
        <v>341</v>
      </c>
      <c r="E900" s="2">
        <v>75</v>
      </c>
      <c r="F900" s="2">
        <v>32441</v>
      </c>
      <c r="G900" s="2">
        <v>6.3423264909999997</v>
      </c>
      <c r="H900" s="2">
        <v>1.502548E-3</v>
      </c>
      <c r="I900" s="2" t="s">
        <v>37391</v>
      </c>
      <c r="J900" s="2" t="s">
        <v>37392</v>
      </c>
      <c r="K900" s="2">
        <v>7.6283200000000001E-3</v>
      </c>
      <c r="L900" s="2" t="s">
        <v>637</v>
      </c>
      <c r="M900" s="4" t="s">
        <v>37393</v>
      </c>
    </row>
    <row r="901" spans="1:13">
      <c r="A901" s="2">
        <v>796</v>
      </c>
      <c r="B901" s="2" t="s">
        <v>37394</v>
      </c>
      <c r="C901" s="2">
        <v>4</v>
      </c>
      <c r="D901" s="2">
        <v>341</v>
      </c>
      <c r="E901" s="2">
        <v>44</v>
      </c>
      <c r="F901" s="2">
        <v>32441</v>
      </c>
      <c r="G901" s="2">
        <v>8.6486270330000004</v>
      </c>
      <c r="H901" s="2">
        <v>1.560582E-3</v>
      </c>
      <c r="I901" s="2" t="s">
        <v>37395</v>
      </c>
      <c r="J901" s="2" t="s">
        <v>37396</v>
      </c>
      <c r="K901" s="2">
        <v>7.8763470000000006E-3</v>
      </c>
      <c r="L901" s="2" t="s">
        <v>637</v>
      </c>
      <c r="M901" s="4" t="s">
        <v>37397</v>
      </c>
    </row>
    <row r="902" spans="1:13">
      <c r="A902" s="2">
        <v>839</v>
      </c>
      <c r="B902" s="2" t="s">
        <v>37398</v>
      </c>
      <c r="C902" s="2">
        <v>4</v>
      </c>
      <c r="D902" s="2">
        <v>341</v>
      </c>
      <c r="E902" s="2">
        <v>45</v>
      </c>
      <c r="F902" s="2">
        <v>32441</v>
      </c>
      <c r="G902" s="2">
        <v>8.4564353210000007</v>
      </c>
      <c r="H902" s="2">
        <v>1.6855290000000001E-3</v>
      </c>
      <c r="I902" s="2" t="s">
        <v>37399</v>
      </c>
      <c r="J902" s="2" t="s">
        <v>37400</v>
      </c>
      <c r="K902" s="2">
        <v>8.457216E-3</v>
      </c>
      <c r="L902" s="2" t="s">
        <v>637</v>
      </c>
      <c r="M902" s="4" t="s">
        <v>37401</v>
      </c>
    </row>
    <row r="903" spans="1:13">
      <c r="A903" s="2">
        <v>492</v>
      </c>
      <c r="B903" s="2" t="s">
        <v>7499</v>
      </c>
      <c r="C903" s="2">
        <v>14</v>
      </c>
      <c r="D903" s="2">
        <v>341</v>
      </c>
      <c r="E903" s="2">
        <v>532</v>
      </c>
      <c r="F903" s="2">
        <v>32441</v>
      </c>
      <c r="G903" s="2">
        <v>2.5035499309999998</v>
      </c>
      <c r="H903" s="2">
        <v>1.916306E-3</v>
      </c>
      <c r="I903" s="2" t="s">
        <v>37402</v>
      </c>
      <c r="J903" s="2" t="s">
        <v>37403</v>
      </c>
      <c r="K903" s="2">
        <v>9.5592479999999994E-3</v>
      </c>
      <c r="L903" s="2" t="s">
        <v>637</v>
      </c>
      <c r="M903" s="4" t="s">
        <v>7502</v>
      </c>
    </row>
    <row r="904" spans="1:13">
      <c r="A904" s="2">
        <v>57</v>
      </c>
      <c r="B904" s="2" t="s">
        <v>747</v>
      </c>
      <c r="C904" s="2">
        <v>8</v>
      </c>
      <c r="D904" s="2">
        <v>341</v>
      </c>
      <c r="E904" s="2">
        <v>210</v>
      </c>
      <c r="F904" s="2">
        <v>32441</v>
      </c>
      <c r="G904" s="2">
        <v>3.6241865660000001</v>
      </c>
      <c r="H904" s="2">
        <v>2.1299280000000001E-3</v>
      </c>
      <c r="I904" s="2" t="s">
        <v>37404</v>
      </c>
      <c r="J904" s="2" t="s">
        <v>37405</v>
      </c>
      <c r="K904" s="2">
        <v>1.0563459000000001E-2</v>
      </c>
      <c r="L904" s="2" t="s">
        <v>637</v>
      </c>
      <c r="M904" s="4" t="s">
        <v>28002</v>
      </c>
    </row>
    <row r="905" spans="1:13">
      <c r="A905" s="2">
        <v>92</v>
      </c>
      <c r="B905" s="2" t="s">
        <v>704</v>
      </c>
      <c r="C905" s="2">
        <v>6</v>
      </c>
      <c r="D905" s="2">
        <v>341</v>
      </c>
      <c r="E905" s="2">
        <v>121</v>
      </c>
      <c r="F905" s="2">
        <v>32441</v>
      </c>
      <c r="G905" s="2">
        <v>4.7174329269999999</v>
      </c>
      <c r="H905" s="2">
        <v>2.1852759999999999E-3</v>
      </c>
      <c r="I905" s="2" t="s">
        <v>37406</v>
      </c>
      <c r="J905" s="2" t="s">
        <v>37407</v>
      </c>
      <c r="K905" s="2">
        <v>1.0775669999999999E-2</v>
      </c>
      <c r="L905" s="2" t="s">
        <v>637</v>
      </c>
      <c r="M905" s="4" t="s">
        <v>37408</v>
      </c>
    </row>
    <row r="906" spans="1:13">
      <c r="A906" s="2">
        <v>2021</v>
      </c>
      <c r="B906" s="2" t="s">
        <v>719</v>
      </c>
      <c r="C906" s="2">
        <v>5</v>
      </c>
      <c r="D906" s="2">
        <v>341</v>
      </c>
      <c r="E906" s="2">
        <v>85</v>
      </c>
      <c r="F906" s="2">
        <v>32441</v>
      </c>
      <c r="G906" s="2">
        <v>5.5961704330000002</v>
      </c>
      <c r="H906" s="2">
        <v>2.5252009999999999E-3</v>
      </c>
      <c r="I906" s="2" t="s">
        <v>37409</v>
      </c>
      <c r="J906" s="2" t="s">
        <v>37410</v>
      </c>
      <c r="K906" s="2">
        <v>1.23807E-2</v>
      </c>
      <c r="L906" s="2" t="s">
        <v>637</v>
      </c>
      <c r="M906" s="4" t="s">
        <v>37411</v>
      </c>
    </row>
    <row r="907" spans="1:13">
      <c r="A907" s="2">
        <v>346</v>
      </c>
      <c r="B907" s="2" t="s">
        <v>27882</v>
      </c>
      <c r="C907" s="2">
        <v>4</v>
      </c>
      <c r="D907" s="2">
        <v>341</v>
      </c>
      <c r="E907" s="2">
        <v>51</v>
      </c>
      <c r="F907" s="2">
        <v>32441</v>
      </c>
      <c r="G907" s="2">
        <v>7.4615605770000002</v>
      </c>
      <c r="H907" s="2">
        <v>2.5840590000000001E-3</v>
      </c>
      <c r="I907" s="2" t="s">
        <v>37412</v>
      </c>
      <c r="J907" s="2" t="s">
        <v>37413</v>
      </c>
      <c r="K907" s="2">
        <v>1.2597285E-2</v>
      </c>
      <c r="L907" s="2" t="s">
        <v>637</v>
      </c>
      <c r="M907" s="4" t="s">
        <v>27885</v>
      </c>
    </row>
    <row r="908" spans="1:13">
      <c r="A908" s="2">
        <v>558</v>
      </c>
      <c r="B908" s="2" t="s">
        <v>7537</v>
      </c>
      <c r="C908" s="2">
        <v>13</v>
      </c>
      <c r="D908" s="2">
        <v>341</v>
      </c>
      <c r="E908" s="2">
        <v>497</v>
      </c>
      <c r="F908" s="2">
        <v>32441</v>
      </c>
      <c r="G908" s="2">
        <v>2.4884379590000001</v>
      </c>
      <c r="H908" s="2">
        <v>2.8865060000000001E-3</v>
      </c>
      <c r="I908" s="2" t="s">
        <v>37414</v>
      </c>
      <c r="J908" s="2" t="s">
        <v>37415</v>
      </c>
      <c r="K908" s="2">
        <v>1.3992216E-2</v>
      </c>
      <c r="L908" s="2" t="s">
        <v>637</v>
      </c>
      <c r="M908" s="4" t="s">
        <v>7540</v>
      </c>
    </row>
    <row r="909" spans="1:13">
      <c r="A909" s="2">
        <v>517</v>
      </c>
      <c r="B909" s="2" t="s">
        <v>37416</v>
      </c>
      <c r="C909" s="2">
        <v>14</v>
      </c>
      <c r="D909" s="2">
        <v>341</v>
      </c>
      <c r="E909" s="2">
        <v>566</v>
      </c>
      <c r="F909" s="2">
        <v>32441</v>
      </c>
      <c r="G909" s="2">
        <v>2.3531600049999999</v>
      </c>
      <c r="H909" s="2">
        <v>3.2980850000000001E-3</v>
      </c>
      <c r="I909" s="2" t="s">
        <v>37417</v>
      </c>
      <c r="J909" s="2" t="s">
        <v>37418</v>
      </c>
      <c r="K909" s="2">
        <v>1.5897511E-2</v>
      </c>
      <c r="L909" s="2" t="s">
        <v>637</v>
      </c>
      <c r="M909" s="4" t="s">
        <v>37419</v>
      </c>
    </row>
    <row r="910" spans="1:13">
      <c r="A910" s="2">
        <v>581</v>
      </c>
      <c r="B910" s="2" t="s">
        <v>37420</v>
      </c>
      <c r="C910" s="2">
        <v>14</v>
      </c>
      <c r="D910" s="2">
        <v>341</v>
      </c>
      <c r="E910" s="2">
        <v>572</v>
      </c>
      <c r="F910" s="2">
        <v>32441</v>
      </c>
      <c r="G910" s="2">
        <v>2.3284765090000001</v>
      </c>
      <c r="H910" s="2">
        <v>3.6108189999999999E-3</v>
      </c>
      <c r="I910" s="2" t="s">
        <v>37417</v>
      </c>
      <c r="J910" s="2" t="s">
        <v>37418</v>
      </c>
      <c r="K910" s="2">
        <v>1.7307724E-2</v>
      </c>
      <c r="L910" s="2" t="s">
        <v>637</v>
      </c>
      <c r="M910" s="4" t="s">
        <v>37421</v>
      </c>
    </row>
    <row r="911" spans="1:13">
      <c r="A911" s="2">
        <v>268</v>
      </c>
      <c r="B911" s="2" t="s">
        <v>37422</v>
      </c>
      <c r="C911" s="2">
        <v>4</v>
      </c>
      <c r="D911" s="2">
        <v>341</v>
      </c>
      <c r="E911" s="2">
        <v>58</v>
      </c>
      <c r="F911" s="2">
        <v>32441</v>
      </c>
      <c r="G911" s="2">
        <v>6.5610274039999998</v>
      </c>
      <c r="H911" s="2">
        <v>3.993407E-3</v>
      </c>
      <c r="I911" s="2" t="s">
        <v>37423</v>
      </c>
      <c r="J911" s="2" t="s">
        <v>37424</v>
      </c>
      <c r="K911" s="2">
        <v>1.9035237999999999E-2</v>
      </c>
      <c r="L911" s="2" t="s">
        <v>637</v>
      </c>
      <c r="M911" s="4" t="s">
        <v>37425</v>
      </c>
    </row>
    <row r="912" spans="1:13">
      <c r="A912" s="2">
        <v>171</v>
      </c>
      <c r="B912" s="2" t="s">
        <v>27782</v>
      </c>
      <c r="C912" s="2">
        <v>6</v>
      </c>
      <c r="D912" s="2">
        <v>341</v>
      </c>
      <c r="E912" s="2">
        <v>139</v>
      </c>
      <c r="F912" s="2">
        <v>32441</v>
      </c>
      <c r="G912" s="2">
        <v>4.1065423320000001</v>
      </c>
      <c r="H912" s="2">
        <v>4.2097890000000002E-3</v>
      </c>
      <c r="I912" s="2" t="s">
        <v>37426</v>
      </c>
      <c r="J912" s="2" t="s">
        <v>37427</v>
      </c>
      <c r="K912" s="2">
        <v>1.9955796000000001E-2</v>
      </c>
      <c r="L912" s="2" t="s">
        <v>637</v>
      </c>
      <c r="M912" s="4" t="s">
        <v>27785</v>
      </c>
    </row>
    <row r="913" spans="1:13">
      <c r="A913" s="2">
        <v>139</v>
      </c>
      <c r="B913" s="2" t="s">
        <v>28144</v>
      </c>
      <c r="C913" s="2">
        <v>5</v>
      </c>
      <c r="D913" s="2">
        <v>341</v>
      </c>
      <c r="E913" s="2">
        <v>101</v>
      </c>
      <c r="F913" s="2">
        <v>32441</v>
      </c>
      <c r="G913" s="2">
        <v>4.7096483840000003</v>
      </c>
      <c r="H913" s="2">
        <v>5.0915960000000003E-3</v>
      </c>
      <c r="I913" s="2" t="s">
        <v>37428</v>
      </c>
      <c r="J913" s="2" t="s">
        <v>37429</v>
      </c>
      <c r="K913" s="2">
        <v>2.4003238999999999E-2</v>
      </c>
      <c r="L913" s="2" t="s">
        <v>637</v>
      </c>
      <c r="M913" s="4" t="s">
        <v>28147</v>
      </c>
    </row>
    <row r="914" spans="1:13">
      <c r="A914" s="2">
        <v>831</v>
      </c>
      <c r="B914" s="2" t="s">
        <v>814</v>
      </c>
      <c r="C914" s="2">
        <v>7</v>
      </c>
      <c r="D914" s="2">
        <v>341</v>
      </c>
      <c r="E914" s="2">
        <v>193</v>
      </c>
      <c r="F914" s="2">
        <v>32441</v>
      </c>
      <c r="G914" s="2">
        <v>3.450488505</v>
      </c>
      <c r="H914" s="2">
        <v>5.1368179999999996E-3</v>
      </c>
      <c r="I914" s="2" t="s">
        <v>37430</v>
      </c>
      <c r="J914" s="2" t="s">
        <v>37431</v>
      </c>
      <c r="K914" s="2">
        <v>2.4084095999999999E-2</v>
      </c>
      <c r="L914" s="2" t="s">
        <v>637</v>
      </c>
      <c r="M914" s="4" t="s">
        <v>37432</v>
      </c>
    </row>
    <row r="915" spans="1:13">
      <c r="A915" s="2">
        <v>270</v>
      </c>
      <c r="B915" s="2" t="s">
        <v>28114</v>
      </c>
      <c r="C915" s="2">
        <v>3</v>
      </c>
      <c r="D915" s="2">
        <v>341</v>
      </c>
      <c r="E915" s="2">
        <v>32</v>
      </c>
      <c r="F915" s="2">
        <v>32441</v>
      </c>
      <c r="G915" s="2">
        <v>8.9188966280000006</v>
      </c>
      <c r="H915" s="2">
        <v>5.7072720000000002E-3</v>
      </c>
      <c r="I915" s="2" t="s">
        <v>37433</v>
      </c>
      <c r="J915" s="2" t="s">
        <v>37434</v>
      </c>
      <c r="K915" s="2">
        <v>2.6613259E-2</v>
      </c>
      <c r="L915" s="2" t="s">
        <v>637</v>
      </c>
      <c r="M915" s="4" t="s">
        <v>28117</v>
      </c>
    </row>
    <row r="916" spans="1:13">
      <c r="A916" s="2">
        <v>4471</v>
      </c>
      <c r="B916" s="2" t="s">
        <v>37435</v>
      </c>
      <c r="C916" s="2">
        <v>2</v>
      </c>
      <c r="D916" s="2">
        <v>341</v>
      </c>
      <c r="E916" s="2">
        <v>10</v>
      </c>
      <c r="F916" s="2">
        <v>32441</v>
      </c>
      <c r="G916" s="2">
        <v>19.026979470000001</v>
      </c>
      <c r="H916" s="2">
        <v>6.646435E-3</v>
      </c>
      <c r="I916" s="2" t="s">
        <v>37436</v>
      </c>
      <c r="J916" s="2" t="s">
        <v>37437</v>
      </c>
      <c r="K916" s="2">
        <v>3.0825089999999999E-2</v>
      </c>
      <c r="L916" s="2" t="s">
        <v>637</v>
      </c>
      <c r="M916" s="4" t="s">
        <v>37438</v>
      </c>
    </row>
    <row r="917" spans="1:13">
      <c r="A917" s="2">
        <v>799</v>
      </c>
      <c r="B917" s="2" t="s">
        <v>7277</v>
      </c>
      <c r="C917" s="2">
        <v>5</v>
      </c>
      <c r="D917" s="2">
        <v>341</v>
      </c>
      <c r="E917" s="2">
        <v>113</v>
      </c>
      <c r="F917" s="2">
        <v>32441</v>
      </c>
      <c r="G917" s="2">
        <v>4.2095087329999998</v>
      </c>
      <c r="H917" s="2">
        <v>7.9520489999999992E-3</v>
      </c>
      <c r="I917" s="2" t="s">
        <v>37439</v>
      </c>
      <c r="J917" s="2" t="s">
        <v>37440</v>
      </c>
      <c r="K917" s="2">
        <v>3.6682034000000002E-2</v>
      </c>
      <c r="L917" s="2" t="s">
        <v>637</v>
      </c>
      <c r="M917" s="4" t="s">
        <v>7280</v>
      </c>
    </row>
    <row r="918" spans="1:13">
      <c r="A918" s="2">
        <v>1</v>
      </c>
      <c r="B918" s="2" t="s">
        <v>27772</v>
      </c>
      <c r="C918" s="2">
        <v>7</v>
      </c>
      <c r="D918" s="2">
        <v>341</v>
      </c>
      <c r="E918" s="2">
        <v>211</v>
      </c>
      <c r="F918" s="2">
        <v>32441</v>
      </c>
      <c r="G918" s="2">
        <v>3.1561340360000001</v>
      </c>
      <c r="H918" s="2">
        <v>8.1008139999999996E-3</v>
      </c>
      <c r="I918" s="2" t="s">
        <v>37441</v>
      </c>
      <c r="J918" s="2" t="s">
        <v>37442</v>
      </c>
      <c r="K918" s="2">
        <v>3.7168438999999998E-2</v>
      </c>
      <c r="L918" s="2" t="s">
        <v>637</v>
      </c>
      <c r="M918" s="4" t="s">
        <v>27775</v>
      </c>
    </row>
    <row r="919" spans="1:13">
      <c r="A919" s="2">
        <v>97</v>
      </c>
      <c r="B919" s="2" t="s">
        <v>741</v>
      </c>
      <c r="C919" s="2">
        <v>5</v>
      </c>
      <c r="D919" s="2">
        <v>341</v>
      </c>
      <c r="E919" s="2">
        <v>114</v>
      </c>
      <c r="F919" s="2">
        <v>32441</v>
      </c>
      <c r="G919" s="2">
        <v>4.1725832179999998</v>
      </c>
      <c r="H919" s="2">
        <v>8.2318930000000005E-3</v>
      </c>
      <c r="I919" s="2" t="s">
        <v>37443</v>
      </c>
      <c r="J919" s="2" t="s">
        <v>37444</v>
      </c>
      <c r="K919" s="2">
        <v>3.7568957E-2</v>
      </c>
      <c r="L919" s="2" t="s">
        <v>637</v>
      </c>
      <c r="M919" s="4" t="s">
        <v>37445</v>
      </c>
    </row>
    <row r="920" spans="1:13">
      <c r="A920" s="2">
        <v>513</v>
      </c>
      <c r="B920" s="2" t="s">
        <v>37446</v>
      </c>
      <c r="C920" s="2">
        <v>3</v>
      </c>
      <c r="D920" s="2">
        <v>341</v>
      </c>
      <c r="E920" s="2">
        <v>37</v>
      </c>
      <c r="F920" s="2">
        <v>32441</v>
      </c>
      <c r="G920" s="2">
        <v>7.7136403270000002</v>
      </c>
      <c r="H920" s="2">
        <v>8.2929949999999992E-3</v>
      </c>
      <c r="I920" s="2" t="s">
        <v>37447</v>
      </c>
      <c r="J920" s="2" t="s">
        <v>37448</v>
      </c>
      <c r="K920" s="2">
        <v>3.7647564000000001E-2</v>
      </c>
      <c r="L920" s="2" t="s">
        <v>637</v>
      </c>
      <c r="M920" s="4" t="s">
        <v>37449</v>
      </c>
    </row>
    <row r="921" spans="1:13">
      <c r="A921" s="2">
        <v>459</v>
      </c>
      <c r="B921" s="2" t="s">
        <v>28097</v>
      </c>
      <c r="C921" s="2">
        <v>6</v>
      </c>
      <c r="D921" s="2">
        <v>341</v>
      </c>
      <c r="E921" s="2">
        <v>162</v>
      </c>
      <c r="F921" s="2">
        <v>32441</v>
      </c>
      <c r="G921" s="2">
        <v>3.5235147169999999</v>
      </c>
      <c r="H921" s="2">
        <v>8.4868689999999993E-3</v>
      </c>
      <c r="I921" s="2" t="s">
        <v>37450</v>
      </c>
      <c r="J921" s="2" t="s">
        <v>37451</v>
      </c>
      <c r="K921" s="2">
        <v>3.8324913000000002E-2</v>
      </c>
      <c r="L921" s="2" t="s">
        <v>637</v>
      </c>
      <c r="M921" s="4" t="s">
        <v>28100</v>
      </c>
    </row>
    <row r="922" spans="1:13">
      <c r="A922" s="2">
        <v>2481</v>
      </c>
      <c r="B922" s="2" t="s">
        <v>665</v>
      </c>
      <c r="C922" s="2">
        <v>5</v>
      </c>
      <c r="D922" s="2">
        <v>341</v>
      </c>
      <c r="E922" s="2">
        <v>116</v>
      </c>
      <c r="F922" s="2">
        <v>32441</v>
      </c>
      <c r="G922" s="2">
        <v>4.1006421279999996</v>
      </c>
      <c r="H922" s="2">
        <v>8.8119219999999998E-3</v>
      </c>
      <c r="I922" s="2" t="s">
        <v>37409</v>
      </c>
      <c r="J922" s="2" t="s">
        <v>37410</v>
      </c>
      <c r="K922" s="2">
        <v>3.9584444000000003E-2</v>
      </c>
      <c r="L922" s="2" t="s">
        <v>637</v>
      </c>
      <c r="M922" s="4" t="s">
        <v>37452</v>
      </c>
    </row>
    <row r="923" spans="1:13">
      <c r="A923" s="2">
        <v>479</v>
      </c>
      <c r="B923" s="2" t="s">
        <v>37453</v>
      </c>
      <c r="C923" s="2">
        <v>2</v>
      </c>
      <c r="D923" s="2">
        <v>341</v>
      </c>
      <c r="E923" s="2">
        <v>12</v>
      </c>
      <c r="F923" s="2">
        <v>32441</v>
      </c>
      <c r="G923" s="2">
        <v>15.85581623</v>
      </c>
      <c r="H923" s="2">
        <v>9.0392200000000006E-3</v>
      </c>
      <c r="I923" s="2" t="s">
        <v>37436</v>
      </c>
      <c r="J923" s="2" t="s">
        <v>37437</v>
      </c>
      <c r="K923" s="2">
        <v>4.0394013999999999E-2</v>
      </c>
      <c r="L923" s="2" t="s">
        <v>637</v>
      </c>
      <c r="M923" s="4" t="s">
        <v>37454</v>
      </c>
    </row>
    <row r="924" spans="1:13">
      <c r="A924" s="2">
        <v>207</v>
      </c>
      <c r="B924" s="2" t="s">
        <v>37455</v>
      </c>
      <c r="C924" s="2">
        <v>3</v>
      </c>
      <c r="D924" s="2">
        <v>341</v>
      </c>
      <c r="E924" s="2">
        <v>40</v>
      </c>
      <c r="F924" s="2">
        <v>32441</v>
      </c>
      <c r="G924" s="2">
        <v>7.1351173020000003</v>
      </c>
      <c r="H924" s="2">
        <v>1.0124826999999999E-2</v>
      </c>
      <c r="I924" s="2" t="s">
        <v>37456</v>
      </c>
      <c r="J924" s="2" t="s">
        <v>37457</v>
      </c>
      <c r="K924" s="2">
        <v>4.5010887999999999E-2</v>
      </c>
      <c r="L924" s="2" t="s">
        <v>637</v>
      </c>
      <c r="M924" s="4" t="s">
        <v>37458</v>
      </c>
    </row>
    <row r="925" spans="1:13">
      <c r="A925" s="2">
        <v>145</v>
      </c>
      <c r="B925" s="2" t="s">
        <v>756</v>
      </c>
      <c r="C925" s="2">
        <v>6</v>
      </c>
      <c r="D925" s="2">
        <v>341</v>
      </c>
      <c r="E925" s="2">
        <v>169</v>
      </c>
      <c r="F925" s="2">
        <v>32441</v>
      </c>
      <c r="G925" s="2">
        <v>3.3775703199999998</v>
      </c>
      <c r="H925" s="2">
        <v>1.0251377000000001E-2</v>
      </c>
      <c r="I925" s="2" t="s">
        <v>37459</v>
      </c>
      <c r="J925" s="2" t="s">
        <v>37460</v>
      </c>
      <c r="K925" s="2">
        <v>4.5338563999999998E-2</v>
      </c>
      <c r="L925" s="2" t="s">
        <v>637</v>
      </c>
      <c r="M925" s="4" t="s">
        <v>37461</v>
      </c>
    </row>
    <row r="926" spans="1:13">
      <c r="A926" s="2">
        <v>2864</v>
      </c>
      <c r="B926" s="2" t="s">
        <v>28362</v>
      </c>
      <c r="C926" s="2">
        <v>197</v>
      </c>
      <c r="D926" s="2">
        <v>341</v>
      </c>
      <c r="E926" s="2">
        <v>1316</v>
      </c>
      <c r="F926" s="2">
        <v>32441</v>
      </c>
      <c r="G926" s="2">
        <v>14.24131822</v>
      </c>
      <c r="H926" s="3">
        <v>1.6999999999999999E-172</v>
      </c>
      <c r="I926" s="3" t="s">
        <v>37462</v>
      </c>
      <c r="J926" s="3" t="s">
        <v>37463</v>
      </c>
      <c r="K926" s="3">
        <v>1.01E-168</v>
      </c>
      <c r="L926" s="2" t="s">
        <v>848</v>
      </c>
      <c r="M926" s="4" t="s">
        <v>28365</v>
      </c>
    </row>
    <row r="927" spans="1:13">
      <c r="A927" s="2">
        <v>4171</v>
      </c>
      <c r="B927" s="2" t="s">
        <v>28390</v>
      </c>
      <c r="C927" s="2">
        <v>179</v>
      </c>
      <c r="D927" s="2">
        <v>341</v>
      </c>
      <c r="E927" s="2">
        <v>1081</v>
      </c>
      <c r="F927" s="2">
        <v>32441</v>
      </c>
      <c r="G927" s="2">
        <v>15.75314212</v>
      </c>
      <c r="H927" s="3">
        <v>7.0299999999999997E-161</v>
      </c>
      <c r="I927" s="3" t="s">
        <v>37464</v>
      </c>
      <c r="J927" s="3" t="s">
        <v>37465</v>
      </c>
      <c r="K927" s="3">
        <v>2.08E-157</v>
      </c>
      <c r="L927" s="2" t="s">
        <v>848</v>
      </c>
      <c r="M927" s="4" t="s">
        <v>28393</v>
      </c>
    </row>
    <row r="928" spans="1:13">
      <c r="A928" s="2">
        <v>1496</v>
      </c>
      <c r="B928" s="2" t="s">
        <v>28411</v>
      </c>
      <c r="C928" s="2">
        <v>150</v>
      </c>
      <c r="D928" s="2">
        <v>341</v>
      </c>
      <c r="E928" s="2">
        <v>766</v>
      </c>
      <c r="F928" s="2">
        <v>32441</v>
      </c>
      <c r="G928" s="2">
        <v>18.629549090000001</v>
      </c>
      <c r="H928" s="3">
        <v>5.3499999999999997E-141</v>
      </c>
      <c r="I928" s="3" t="s">
        <v>37466</v>
      </c>
      <c r="J928" s="3" t="s">
        <v>37467</v>
      </c>
      <c r="K928" s="3">
        <v>1.0600000000000001E-137</v>
      </c>
      <c r="L928" s="2" t="s">
        <v>848</v>
      </c>
      <c r="M928" s="4" t="s">
        <v>28414</v>
      </c>
    </row>
    <row r="929" spans="1:13">
      <c r="A929" s="2">
        <v>4450</v>
      </c>
      <c r="B929" s="2" t="s">
        <v>28344</v>
      </c>
      <c r="C929" s="2">
        <v>132</v>
      </c>
      <c r="D929" s="2">
        <v>341</v>
      </c>
      <c r="E929" s="2">
        <v>880</v>
      </c>
      <c r="F929" s="2">
        <v>32441</v>
      </c>
      <c r="G929" s="2">
        <v>14.2702346</v>
      </c>
      <c r="H929" s="3">
        <v>7.4699999999999998E-109</v>
      </c>
      <c r="I929" s="3" t="s">
        <v>37468</v>
      </c>
      <c r="J929" s="3" t="s">
        <v>37469</v>
      </c>
      <c r="K929" s="3">
        <v>1.1E-105</v>
      </c>
      <c r="L929" s="2" t="s">
        <v>848</v>
      </c>
      <c r="M929" s="4" t="s">
        <v>28347</v>
      </c>
    </row>
    <row r="930" spans="1:13">
      <c r="A930" s="2">
        <v>561</v>
      </c>
      <c r="B930" s="2" t="s">
        <v>28326</v>
      </c>
      <c r="C930" s="2">
        <v>129</v>
      </c>
      <c r="D930" s="2">
        <v>341</v>
      </c>
      <c r="E930" s="2">
        <v>1009</v>
      </c>
      <c r="F930" s="2">
        <v>32441</v>
      </c>
      <c r="G930" s="2">
        <v>12.162935340000001</v>
      </c>
      <c r="H930" s="3">
        <v>3.5500000000000002E-98</v>
      </c>
      <c r="I930" s="3" t="s">
        <v>37470</v>
      </c>
      <c r="J930" s="3" t="s">
        <v>37471</v>
      </c>
      <c r="K930" s="3">
        <v>4.2099999999999998E-95</v>
      </c>
      <c r="L930" s="2" t="s">
        <v>848</v>
      </c>
      <c r="M930" s="4" t="s">
        <v>28329</v>
      </c>
    </row>
    <row r="931" spans="1:13">
      <c r="A931" s="2">
        <v>1612</v>
      </c>
      <c r="B931" s="2" t="s">
        <v>28682</v>
      </c>
      <c r="C931" s="2">
        <v>102</v>
      </c>
      <c r="D931" s="2">
        <v>341</v>
      </c>
      <c r="E931" s="2">
        <v>496</v>
      </c>
      <c r="F931" s="2">
        <v>32441</v>
      </c>
      <c r="G931" s="2">
        <v>19.564031310000001</v>
      </c>
      <c r="H931" s="3">
        <v>1.5000000000000001E-94</v>
      </c>
      <c r="I931" s="3" t="s">
        <v>37472</v>
      </c>
      <c r="J931" s="3" t="s">
        <v>37473</v>
      </c>
      <c r="K931" s="3">
        <v>1.4799999999999999E-91</v>
      </c>
      <c r="L931" s="2" t="s">
        <v>848</v>
      </c>
      <c r="M931" s="4" t="s">
        <v>28685</v>
      </c>
    </row>
    <row r="932" spans="1:13">
      <c r="A932" s="2">
        <v>4311</v>
      </c>
      <c r="B932" s="2" t="s">
        <v>28421</v>
      </c>
      <c r="C932" s="2">
        <v>109</v>
      </c>
      <c r="D932" s="2">
        <v>341</v>
      </c>
      <c r="E932" s="2">
        <v>758</v>
      </c>
      <c r="F932" s="2">
        <v>32441</v>
      </c>
      <c r="G932" s="2">
        <v>13.68034804</v>
      </c>
      <c r="H932" s="3">
        <v>1.41E-86</v>
      </c>
      <c r="I932" s="3" t="s">
        <v>37474</v>
      </c>
      <c r="J932" s="3" t="s">
        <v>37475</v>
      </c>
      <c r="K932" s="3">
        <v>1.1899999999999999E-83</v>
      </c>
      <c r="L932" s="2" t="s">
        <v>848</v>
      </c>
      <c r="M932" s="4" t="s">
        <v>28424</v>
      </c>
    </row>
    <row r="933" spans="1:13">
      <c r="A933" s="2">
        <v>2102</v>
      </c>
      <c r="B933" s="2" t="s">
        <v>28759</v>
      </c>
      <c r="C933" s="2">
        <v>87</v>
      </c>
      <c r="D933" s="2">
        <v>341</v>
      </c>
      <c r="E933" s="2">
        <v>361</v>
      </c>
      <c r="F933" s="2">
        <v>32441</v>
      </c>
      <c r="G933" s="2">
        <v>22.92724673</v>
      </c>
      <c r="H933" s="3">
        <v>3.5300000000000002E-85</v>
      </c>
      <c r="I933" s="3" t="s">
        <v>37476</v>
      </c>
      <c r="J933" s="3" t="s">
        <v>37477</v>
      </c>
      <c r="K933" s="3">
        <v>2.6100000000000001E-82</v>
      </c>
      <c r="L933" s="2" t="s">
        <v>848</v>
      </c>
      <c r="M933" s="4" t="s">
        <v>28762</v>
      </c>
    </row>
    <row r="934" spans="1:13">
      <c r="A934" s="2">
        <v>821</v>
      </c>
      <c r="B934" s="2" t="s">
        <v>28692</v>
      </c>
      <c r="C934" s="2">
        <v>78</v>
      </c>
      <c r="D934" s="2">
        <v>341</v>
      </c>
      <c r="E934" s="2">
        <v>272</v>
      </c>
      <c r="F934" s="2">
        <v>32441</v>
      </c>
      <c r="G934" s="2">
        <v>27.281330860000001</v>
      </c>
      <c r="H934" s="3">
        <v>4.2099999999999998E-81</v>
      </c>
      <c r="I934" s="3" t="s">
        <v>37478</v>
      </c>
      <c r="J934" s="3" t="s">
        <v>37479</v>
      </c>
      <c r="K934" s="3">
        <v>2.77E-78</v>
      </c>
      <c r="L934" s="2" t="s">
        <v>848</v>
      </c>
      <c r="M934" s="4" t="s">
        <v>28695</v>
      </c>
    </row>
    <row r="935" spans="1:13">
      <c r="A935" s="2">
        <v>3451</v>
      </c>
      <c r="B935" s="2" t="s">
        <v>28745</v>
      </c>
      <c r="C935" s="2">
        <v>89</v>
      </c>
      <c r="D935" s="2">
        <v>341</v>
      </c>
      <c r="E935" s="2">
        <v>460</v>
      </c>
      <c r="F935" s="2">
        <v>32441</v>
      </c>
      <c r="G935" s="2">
        <v>18.406534489999999</v>
      </c>
      <c r="H935" s="3">
        <v>7.5200000000000005E-80</v>
      </c>
      <c r="I935" s="3" t="s">
        <v>37480</v>
      </c>
      <c r="J935" s="3" t="s">
        <v>37481</v>
      </c>
      <c r="K935" s="3">
        <v>4.4499999999999997E-77</v>
      </c>
      <c r="L935" s="2" t="s">
        <v>848</v>
      </c>
      <c r="M935" s="4" t="s">
        <v>28748</v>
      </c>
    </row>
    <row r="936" spans="1:13">
      <c r="A936" s="2">
        <v>4240</v>
      </c>
      <c r="B936" s="2" t="s">
        <v>28696</v>
      </c>
      <c r="C936" s="2">
        <v>69</v>
      </c>
      <c r="D936" s="2">
        <v>341</v>
      </c>
      <c r="E936" s="2">
        <v>228</v>
      </c>
      <c r="F936" s="2">
        <v>32441</v>
      </c>
      <c r="G936" s="2">
        <v>28.790824199999999</v>
      </c>
      <c r="H936" s="3">
        <v>6.9400000000000002E-73</v>
      </c>
      <c r="I936" s="3" t="s">
        <v>37482</v>
      </c>
      <c r="J936" s="3" t="s">
        <v>37483</v>
      </c>
      <c r="K936" s="3">
        <v>3.7300000000000003E-70</v>
      </c>
      <c r="L936" s="2" t="s">
        <v>848</v>
      </c>
      <c r="M936" s="4" t="s">
        <v>28699</v>
      </c>
    </row>
    <row r="937" spans="1:13">
      <c r="A937" s="2">
        <v>1883</v>
      </c>
      <c r="B937" s="2" t="s">
        <v>28674</v>
      </c>
      <c r="C937" s="2">
        <v>63</v>
      </c>
      <c r="D937" s="2">
        <v>341</v>
      </c>
      <c r="E937" s="2">
        <v>176</v>
      </c>
      <c r="F937" s="2">
        <v>32441</v>
      </c>
      <c r="G937" s="2">
        <v>34.053968939999997</v>
      </c>
      <c r="H937" s="3">
        <v>2.7600000000000001E-70</v>
      </c>
      <c r="I937" s="3" t="s">
        <v>37484</v>
      </c>
      <c r="J937" s="3" t="s">
        <v>37485</v>
      </c>
      <c r="K937" s="3">
        <v>1.3600000000000001E-67</v>
      </c>
      <c r="L937" s="2" t="s">
        <v>848</v>
      </c>
      <c r="M937" s="4" t="s">
        <v>28677</v>
      </c>
    </row>
    <row r="938" spans="1:13">
      <c r="A938" s="2">
        <v>4544</v>
      </c>
      <c r="B938" s="2" t="s">
        <v>28499</v>
      </c>
      <c r="C938" s="2">
        <v>74</v>
      </c>
      <c r="D938" s="2">
        <v>341</v>
      </c>
      <c r="E938" s="2">
        <v>330</v>
      </c>
      <c r="F938" s="2">
        <v>32441</v>
      </c>
      <c r="G938" s="2">
        <v>21.333280009999999</v>
      </c>
      <c r="H938" s="3">
        <v>4.7400000000000002E-70</v>
      </c>
      <c r="I938" s="3" t="s">
        <v>37486</v>
      </c>
      <c r="J938" s="3" t="s">
        <v>37487</v>
      </c>
      <c r="K938" s="3">
        <v>2.1600000000000001E-67</v>
      </c>
      <c r="L938" s="2" t="s">
        <v>848</v>
      </c>
      <c r="M938" s="4" t="s">
        <v>28502</v>
      </c>
    </row>
    <row r="939" spans="1:13">
      <c r="A939" s="2">
        <v>41661</v>
      </c>
      <c r="B939" s="2" t="s">
        <v>28881</v>
      </c>
      <c r="C939" s="2">
        <v>63</v>
      </c>
      <c r="D939" s="2">
        <v>341</v>
      </c>
      <c r="E939" s="2">
        <v>208</v>
      </c>
      <c r="F939" s="2">
        <v>32441</v>
      </c>
      <c r="G939" s="2">
        <v>28.8148968</v>
      </c>
      <c r="H939" s="3">
        <v>1.84E-66</v>
      </c>
      <c r="I939" s="3" t="s">
        <v>37488</v>
      </c>
      <c r="J939" s="3" t="s">
        <v>37489</v>
      </c>
      <c r="K939" s="3">
        <v>7.7899999999999997E-64</v>
      </c>
      <c r="L939" s="2" t="s">
        <v>848</v>
      </c>
      <c r="M939" s="4" t="s">
        <v>28884</v>
      </c>
    </row>
    <row r="940" spans="1:13">
      <c r="A940" s="2">
        <v>23371</v>
      </c>
      <c r="B940" s="2" t="s">
        <v>28662</v>
      </c>
      <c r="C940" s="2">
        <v>98</v>
      </c>
      <c r="D940" s="2">
        <v>341</v>
      </c>
      <c r="E940" s="2">
        <v>949</v>
      </c>
      <c r="F940" s="2">
        <v>32441</v>
      </c>
      <c r="G940" s="2">
        <v>9.824257051</v>
      </c>
      <c r="H940" s="3">
        <v>7.3599999999999997E-65</v>
      </c>
      <c r="I940" s="3" t="s">
        <v>37490</v>
      </c>
      <c r="J940" s="3" t="s">
        <v>37491</v>
      </c>
      <c r="K940" s="3">
        <v>2.8999999999999999E-62</v>
      </c>
      <c r="L940" s="2" t="s">
        <v>848</v>
      </c>
      <c r="M940" s="4" t="s">
        <v>28665</v>
      </c>
    </row>
    <row r="941" spans="1:13">
      <c r="A941" s="2">
        <v>4146</v>
      </c>
      <c r="B941" s="2" t="s">
        <v>28400</v>
      </c>
      <c r="C941" s="2">
        <v>88</v>
      </c>
      <c r="D941" s="2">
        <v>341</v>
      </c>
      <c r="E941" s="2">
        <v>720</v>
      </c>
      <c r="F941" s="2">
        <v>32441</v>
      </c>
      <c r="G941" s="2">
        <v>11.62759857</v>
      </c>
      <c r="H941" s="3">
        <v>1.6699999999999999E-63</v>
      </c>
      <c r="I941" s="3" t="s">
        <v>37492</v>
      </c>
      <c r="J941" s="3" t="s">
        <v>37493</v>
      </c>
      <c r="K941" s="3">
        <v>6.16E-61</v>
      </c>
      <c r="L941" s="2" t="s">
        <v>848</v>
      </c>
      <c r="M941" s="4" t="s">
        <v>28403</v>
      </c>
    </row>
    <row r="942" spans="1:13">
      <c r="A942" s="2">
        <v>4883</v>
      </c>
      <c r="B942" s="2" t="s">
        <v>30435</v>
      </c>
      <c r="C942" s="2">
        <v>57</v>
      </c>
      <c r="D942" s="2">
        <v>341</v>
      </c>
      <c r="E942" s="2">
        <v>195</v>
      </c>
      <c r="F942" s="2">
        <v>32441</v>
      </c>
      <c r="G942" s="2">
        <v>27.808662309999999</v>
      </c>
      <c r="H942" s="3">
        <v>2.5300000000000001E-59</v>
      </c>
      <c r="I942" s="3" t="s">
        <v>37494</v>
      </c>
      <c r="J942" s="3" t="s">
        <v>37495</v>
      </c>
      <c r="K942" s="3">
        <v>8.8200000000000001E-57</v>
      </c>
      <c r="L942" s="2" t="s">
        <v>848</v>
      </c>
      <c r="M942" s="4" t="s">
        <v>30438</v>
      </c>
    </row>
    <row r="943" spans="1:13">
      <c r="A943" s="2">
        <v>4498</v>
      </c>
      <c r="B943" s="2" t="s">
        <v>28666</v>
      </c>
      <c r="C943" s="2">
        <v>54</v>
      </c>
      <c r="D943" s="2">
        <v>341</v>
      </c>
      <c r="E943" s="2">
        <v>174</v>
      </c>
      <c r="F943" s="2">
        <v>32441</v>
      </c>
      <c r="G943" s="2">
        <v>29.52462332</v>
      </c>
      <c r="H943" s="3">
        <v>2.2899999999999999E-57</v>
      </c>
      <c r="I943" s="3" t="s">
        <v>37496</v>
      </c>
      <c r="J943" s="3" t="s">
        <v>37497</v>
      </c>
      <c r="K943" s="3">
        <v>7.52E-55</v>
      </c>
      <c r="L943" s="2" t="s">
        <v>848</v>
      </c>
      <c r="M943" s="4" t="s">
        <v>28669</v>
      </c>
    </row>
    <row r="944" spans="1:13">
      <c r="A944" s="2">
        <v>609</v>
      </c>
      <c r="B944" s="2" t="s">
        <v>28953</v>
      </c>
      <c r="C944" s="2">
        <v>59</v>
      </c>
      <c r="D944" s="2">
        <v>341</v>
      </c>
      <c r="E944" s="2">
        <v>255</v>
      </c>
      <c r="F944" s="2">
        <v>32441</v>
      </c>
      <c r="G944" s="2">
        <v>22.011603699999998</v>
      </c>
      <c r="H944" s="3">
        <v>2.6299999999999998E-56</v>
      </c>
      <c r="I944" s="3" t="s">
        <v>37498</v>
      </c>
      <c r="J944" s="3" t="s">
        <v>37499</v>
      </c>
      <c r="K944" s="3">
        <v>8.1799999999999995E-54</v>
      </c>
      <c r="L944" s="2" t="s">
        <v>848</v>
      </c>
      <c r="M944" s="4" t="s">
        <v>28956</v>
      </c>
    </row>
    <row r="945" spans="1:13">
      <c r="A945" s="2">
        <v>4459</v>
      </c>
      <c r="B945" s="2" t="s">
        <v>28436</v>
      </c>
      <c r="C945" s="2">
        <v>93</v>
      </c>
      <c r="D945" s="2">
        <v>341</v>
      </c>
      <c r="E945" s="2">
        <v>1068</v>
      </c>
      <c r="F945" s="2">
        <v>32441</v>
      </c>
      <c r="G945" s="2">
        <v>8.28421859</v>
      </c>
      <c r="H945" s="3">
        <v>2.5000000000000001E-55</v>
      </c>
      <c r="I945" s="3" t="s">
        <v>37500</v>
      </c>
      <c r="J945" s="3" t="s">
        <v>37501</v>
      </c>
      <c r="K945" s="3">
        <v>7.4100000000000003E-53</v>
      </c>
      <c r="L945" s="2" t="s">
        <v>848</v>
      </c>
      <c r="M945" s="4" t="s">
        <v>28439</v>
      </c>
    </row>
    <row r="946" spans="1:13">
      <c r="A946" s="2">
        <v>1637</v>
      </c>
      <c r="B946" s="2" t="s">
        <v>28453</v>
      </c>
      <c r="C946" s="2">
        <v>69</v>
      </c>
      <c r="D946" s="2">
        <v>341</v>
      </c>
      <c r="E946" s="2">
        <v>480</v>
      </c>
      <c r="F946" s="2">
        <v>32441</v>
      </c>
      <c r="G946" s="2">
        <v>13.675641499999999</v>
      </c>
      <c r="H946" s="3">
        <v>1.3599999999999999E-53</v>
      </c>
      <c r="I946" s="3" t="s">
        <v>37502</v>
      </c>
      <c r="J946" s="3" t="s">
        <v>37503</v>
      </c>
      <c r="K946" s="3">
        <v>3.8299999999999998E-51</v>
      </c>
      <c r="L946" s="2" t="s">
        <v>848</v>
      </c>
      <c r="M946" s="4" t="s">
        <v>28456</v>
      </c>
    </row>
    <row r="947" spans="1:13">
      <c r="A947" s="2">
        <v>36671</v>
      </c>
      <c r="B947" s="2" t="s">
        <v>28851</v>
      </c>
      <c r="C947" s="2">
        <v>72</v>
      </c>
      <c r="D947" s="2">
        <v>341</v>
      </c>
      <c r="E947" s="2">
        <v>558</v>
      </c>
      <c r="F947" s="2">
        <v>32441</v>
      </c>
      <c r="G947" s="2">
        <v>12.275470629999999</v>
      </c>
      <c r="H947" s="3">
        <v>5.0099999999999998E-53</v>
      </c>
      <c r="I947" s="3" t="s">
        <v>37504</v>
      </c>
      <c r="J947" s="3" t="s">
        <v>37505</v>
      </c>
      <c r="K947" s="3">
        <v>1.35E-50</v>
      </c>
      <c r="L947" s="2" t="s">
        <v>848</v>
      </c>
      <c r="M947" s="4" t="s">
        <v>28854</v>
      </c>
    </row>
    <row r="948" spans="1:13">
      <c r="A948" s="2">
        <v>4638</v>
      </c>
      <c r="B948" s="2" t="s">
        <v>28709</v>
      </c>
      <c r="C948" s="2">
        <v>69</v>
      </c>
      <c r="D948" s="2">
        <v>341</v>
      </c>
      <c r="E948" s="2">
        <v>523</v>
      </c>
      <c r="F948" s="2">
        <v>32441</v>
      </c>
      <c r="G948" s="2">
        <v>12.55125797</v>
      </c>
      <c r="H948" s="3">
        <v>2.4200000000000001E-51</v>
      </c>
      <c r="I948" s="3" t="s">
        <v>37506</v>
      </c>
      <c r="J948" s="3" t="s">
        <v>37507</v>
      </c>
      <c r="K948" s="3">
        <v>6.2199999999999998E-49</v>
      </c>
      <c r="L948" s="2" t="s">
        <v>848</v>
      </c>
      <c r="M948" s="4" t="s">
        <v>28712</v>
      </c>
    </row>
    <row r="949" spans="1:13">
      <c r="A949" s="2">
        <v>3757</v>
      </c>
      <c r="B949" s="2" t="s">
        <v>28407</v>
      </c>
      <c r="C949" s="2">
        <v>99</v>
      </c>
      <c r="D949" s="2">
        <v>341</v>
      </c>
      <c r="E949" s="2">
        <v>1565</v>
      </c>
      <c r="F949" s="2">
        <v>32441</v>
      </c>
      <c r="G949" s="2">
        <v>6.0181181080000004</v>
      </c>
      <c r="H949" s="3">
        <v>2.4800000000000001E-47</v>
      </c>
      <c r="I949" s="3" t="s">
        <v>37508</v>
      </c>
      <c r="J949" s="3" t="s">
        <v>37509</v>
      </c>
      <c r="K949" s="3">
        <v>6.1099999999999996E-45</v>
      </c>
      <c r="L949" s="2" t="s">
        <v>848</v>
      </c>
      <c r="M949" s="4" t="s">
        <v>28410</v>
      </c>
    </row>
    <row r="950" spans="1:13">
      <c r="A950" s="2">
        <v>4936</v>
      </c>
      <c r="B950" s="2" t="s">
        <v>29544</v>
      </c>
      <c r="C950" s="2">
        <v>54</v>
      </c>
      <c r="D950" s="2">
        <v>341</v>
      </c>
      <c r="E950" s="2">
        <v>289</v>
      </c>
      <c r="F950" s="2">
        <v>32441</v>
      </c>
      <c r="G950" s="2">
        <v>17.776070789999999</v>
      </c>
      <c r="H950" s="3">
        <v>3.5999999999999999E-47</v>
      </c>
      <c r="I950" s="3" t="s">
        <v>37510</v>
      </c>
      <c r="J950" s="3" t="s">
        <v>37511</v>
      </c>
      <c r="K950" s="3">
        <v>8.5200000000000005E-45</v>
      </c>
      <c r="L950" s="2" t="s">
        <v>848</v>
      </c>
      <c r="M950" s="4" t="s">
        <v>29547</v>
      </c>
    </row>
    <row r="951" spans="1:13">
      <c r="A951" s="2">
        <v>4783</v>
      </c>
      <c r="B951" s="2" t="s">
        <v>37512</v>
      </c>
      <c r="C951" s="2">
        <v>40</v>
      </c>
      <c r="D951" s="2">
        <v>341</v>
      </c>
      <c r="E951" s="2">
        <v>102</v>
      </c>
      <c r="F951" s="2">
        <v>32441</v>
      </c>
      <c r="G951" s="2">
        <v>37.307802889999998</v>
      </c>
      <c r="H951" s="3">
        <v>6.2699999999999998E-46</v>
      </c>
      <c r="I951" s="2" t="s">
        <v>37513</v>
      </c>
      <c r="J951" s="2" t="s">
        <v>37514</v>
      </c>
      <c r="K951" s="3">
        <v>1.43E-43</v>
      </c>
      <c r="L951" s="2" t="s">
        <v>848</v>
      </c>
      <c r="M951" s="4" t="s">
        <v>37515</v>
      </c>
    </row>
    <row r="952" spans="1:13">
      <c r="A952" s="2">
        <v>4683</v>
      </c>
      <c r="B952" s="2" t="s">
        <v>28509</v>
      </c>
      <c r="C952" s="2">
        <v>93</v>
      </c>
      <c r="D952" s="2">
        <v>341</v>
      </c>
      <c r="E952" s="2">
        <v>1436</v>
      </c>
      <c r="F952" s="2">
        <v>32441</v>
      </c>
      <c r="G952" s="2">
        <v>6.1612433529999997</v>
      </c>
      <c r="H952" s="3">
        <v>4.7099999999999999E-45</v>
      </c>
      <c r="I952" s="3" t="s">
        <v>37516</v>
      </c>
      <c r="J952" s="3" t="s">
        <v>37517</v>
      </c>
      <c r="K952" s="3">
        <v>1.03E-42</v>
      </c>
      <c r="L952" s="2" t="s">
        <v>848</v>
      </c>
      <c r="M952" s="4" t="s">
        <v>28512</v>
      </c>
    </row>
    <row r="953" spans="1:13">
      <c r="A953" s="2">
        <v>4764</v>
      </c>
      <c r="B953" s="2" t="s">
        <v>29311</v>
      </c>
      <c r="C953" s="2">
        <v>40</v>
      </c>
      <c r="D953" s="2">
        <v>341</v>
      </c>
      <c r="E953" s="2">
        <v>120</v>
      </c>
      <c r="F953" s="2">
        <v>32441</v>
      </c>
      <c r="G953" s="2">
        <v>31.71163245</v>
      </c>
      <c r="H953" s="3">
        <v>1.34E-43</v>
      </c>
      <c r="I953" s="2" t="s">
        <v>37518</v>
      </c>
      <c r="J953" s="2" t="s">
        <v>37519</v>
      </c>
      <c r="K953" s="3">
        <v>2.8300000000000001E-41</v>
      </c>
      <c r="L953" s="2" t="s">
        <v>848</v>
      </c>
      <c r="M953" s="4" t="s">
        <v>29314</v>
      </c>
    </row>
    <row r="954" spans="1:13">
      <c r="A954" s="2">
        <v>1362</v>
      </c>
      <c r="B954" s="2" t="s">
        <v>29050</v>
      </c>
      <c r="C954" s="2">
        <v>50</v>
      </c>
      <c r="D954" s="2">
        <v>341</v>
      </c>
      <c r="E954" s="2">
        <v>273</v>
      </c>
      <c r="F954" s="2">
        <v>32441</v>
      </c>
      <c r="G954" s="2">
        <v>17.423973879999998</v>
      </c>
      <c r="H954" s="3">
        <v>2.6800000000000001E-43</v>
      </c>
      <c r="I954" s="3" t="s">
        <v>37520</v>
      </c>
      <c r="J954" s="3" t="s">
        <v>37521</v>
      </c>
      <c r="K954" s="3">
        <v>5.46E-41</v>
      </c>
      <c r="L954" s="2" t="s">
        <v>848</v>
      </c>
      <c r="M954" s="4" t="s">
        <v>29053</v>
      </c>
    </row>
    <row r="955" spans="1:13">
      <c r="A955" s="2">
        <v>1249</v>
      </c>
      <c r="B955" s="2" t="s">
        <v>28991</v>
      </c>
      <c r="C955" s="2">
        <v>53</v>
      </c>
      <c r="D955" s="2">
        <v>341</v>
      </c>
      <c r="E955" s="2">
        <v>348</v>
      </c>
      <c r="F955" s="2">
        <v>32441</v>
      </c>
      <c r="G955" s="2">
        <v>14.48893552</v>
      </c>
      <c r="H955" s="3">
        <v>3.3799999999999998E-42</v>
      </c>
      <c r="I955" s="3" t="s">
        <v>37522</v>
      </c>
      <c r="J955" s="3" t="s">
        <v>37523</v>
      </c>
      <c r="K955" s="3">
        <v>6.67E-40</v>
      </c>
      <c r="L955" s="2" t="s">
        <v>848</v>
      </c>
      <c r="M955" s="4" t="s">
        <v>28994</v>
      </c>
    </row>
    <row r="956" spans="1:13">
      <c r="A956" s="2">
        <v>3691</v>
      </c>
      <c r="B956" s="2" t="s">
        <v>29154</v>
      </c>
      <c r="C956" s="2">
        <v>37</v>
      </c>
      <c r="D956" s="2">
        <v>341</v>
      </c>
      <c r="E956" s="2">
        <v>99</v>
      </c>
      <c r="F956" s="2">
        <v>32441</v>
      </c>
      <c r="G956" s="2">
        <v>35.555466690000003</v>
      </c>
      <c r="H956" s="3">
        <v>6.6999999999999998E-42</v>
      </c>
      <c r="I956" s="2" t="s">
        <v>37524</v>
      </c>
      <c r="J956" s="2" t="s">
        <v>37525</v>
      </c>
      <c r="K956" s="3">
        <v>1.28E-39</v>
      </c>
      <c r="L956" s="2" t="s">
        <v>848</v>
      </c>
      <c r="M956" s="4" t="s">
        <v>29157</v>
      </c>
    </row>
    <row r="957" spans="1:13">
      <c r="A957" s="2">
        <v>1992</v>
      </c>
      <c r="B957" s="2" t="s">
        <v>28572</v>
      </c>
      <c r="C957" s="2">
        <v>38</v>
      </c>
      <c r="D957" s="2">
        <v>341</v>
      </c>
      <c r="E957" s="2">
        <v>111</v>
      </c>
      <c r="F957" s="2">
        <v>32441</v>
      </c>
      <c r="G957" s="2">
        <v>32.568703599999999</v>
      </c>
      <c r="H957" s="3">
        <v>8.0999999999999997E-42</v>
      </c>
      <c r="I957" s="2" t="s">
        <v>37526</v>
      </c>
      <c r="J957" s="2" t="s">
        <v>37527</v>
      </c>
      <c r="K957" s="3">
        <v>1.5000000000000001E-39</v>
      </c>
      <c r="L957" s="2" t="s">
        <v>848</v>
      </c>
      <c r="M957" s="4" t="s">
        <v>28575</v>
      </c>
    </row>
    <row r="958" spans="1:13">
      <c r="A958" s="2">
        <v>3985</v>
      </c>
      <c r="B958" s="2" t="s">
        <v>29223</v>
      </c>
      <c r="C958" s="2">
        <v>58</v>
      </c>
      <c r="D958" s="2">
        <v>341</v>
      </c>
      <c r="E958" s="2">
        <v>468</v>
      </c>
      <c r="F958" s="2">
        <v>32441</v>
      </c>
      <c r="G958" s="2">
        <v>11.79022232</v>
      </c>
      <c r="H958" s="3">
        <v>1.1500000000000001E-41</v>
      </c>
      <c r="I958" s="3" t="s">
        <v>37528</v>
      </c>
      <c r="J958" s="3" t="s">
        <v>37529</v>
      </c>
      <c r="K958" s="3">
        <v>2.07E-39</v>
      </c>
      <c r="L958" s="2" t="s">
        <v>848</v>
      </c>
      <c r="M958" s="4" t="s">
        <v>29226</v>
      </c>
    </row>
    <row r="959" spans="1:13">
      <c r="A959" s="2">
        <v>920</v>
      </c>
      <c r="B959" s="2" t="s">
        <v>37530</v>
      </c>
      <c r="C959" s="2">
        <v>36</v>
      </c>
      <c r="D959" s="2">
        <v>341</v>
      </c>
      <c r="E959" s="2">
        <v>91</v>
      </c>
      <c r="F959" s="2">
        <v>32441</v>
      </c>
      <c r="G959" s="2">
        <v>37.635783570000001</v>
      </c>
      <c r="H959" s="3">
        <v>1.6199999999999999E-41</v>
      </c>
      <c r="I959" s="2" t="s">
        <v>37531</v>
      </c>
      <c r="J959" s="2" t="s">
        <v>37532</v>
      </c>
      <c r="K959" s="3">
        <v>2.8199999999999999E-39</v>
      </c>
      <c r="L959" s="2" t="s">
        <v>848</v>
      </c>
      <c r="M959" s="4" t="s">
        <v>37533</v>
      </c>
    </row>
    <row r="960" spans="1:13">
      <c r="A960" s="2">
        <v>10891</v>
      </c>
      <c r="B960" s="2" t="s">
        <v>28897</v>
      </c>
      <c r="C960" s="2">
        <v>60</v>
      </c>
      <c r="D960" s="2">
        <v>341</v>
      </c>
      <c r="E960" s="2">
        <v>522</v>
      </c>
      <c r="F960" s="2">
        <v>32441</v>
      </c>
      <c r="G960" s="2">
        <v>10.935045669999999</v>
      </c>
      <c r="H960" s="3">
        <v>2.1000000000000001E-41</v>
      </c>
      <c r="I960" s="3" t="s">
        <v>37534</v>
      </c>
      <c r="J960" s="3" t="s">
        <v>37535</v>
      </c>
      <c r="K960" s="3">
        <v>3.5499999999999997E-39</v>
      </c>
      <c r="L960" s="2" t="s">
        <v>848</v>
      </c>
      <c r="M960" s="4" t="s">
        <v>28900</v>
      </c>
    </row>
    <row r="961" spans="1:13">
      <c r="A961" s="2">
        <v>2466</v>
      </c>
      <c r="B961" s="2" t="s">
        <v>28905</v>
      </c>
      <c r="C961" s="2">
        <v>44</v>
      </c>
      <c r="D961" s="2">
        <v>341</v>
      </c>
      <c r="E961" s="2">
        <v>215</v>
      </c>
      <c r="F961" s="2">
        <v>32441</v>
      </c>
      <c r="G961" s="2">
        <v>19.46946737</v>
      </c>
      <c r="H961" s="3">
        <v>5.6099999999999998E-40</v>
      </c>
      <c r="I961" s="2" t="s">
        <v>37536</v>
      </c>
      <c r="J961" s="2" t="s">
        <v>37537</v>
      </c>
      <c r="K961" s="3">
        <v>9.2299999999999996E-38</v>
      </c>
      <c r="L961" s="2" t="s">
        <v>848</v>
      </c>
      <c r="M961" s="4" t="s">
        <v>28908</v>
      </c>
    </row>
    <row r="962" spans="1:13">
      <c r="A962" s="2">
        <v>2164</v>
      </c>
      <c r="B962" s="2" t="s">
        <v>30639</v>
      </c>
      <c r="C962" s="2">
        <v>36</v>
      </c>
      <c r="D962" s="2">
        <v>341</v>
      </c>
      <c r="E962" s="2">
        <v>111</v>
      </c>
      <c r="F962" s="2">
        <v>32441</v>
      </c>
      <c r="G962" s="2">
        <v>30.854561310000001</v>
      </c>
      <c r="H962" s="3">
        <v>5.9400000000000001E-39</v>
      </c>
      <c r="I962" s="2" t="s">
        <v>37538</v>
      </c>
      <c r="J962" s="2" t="s">
        <v>37539</v>
      </c>
      <c r="K962" s="3">
        <v>9.4999999999999993E-37</v>
      </c>
      <c r="L962" s="2" t="s">
        <v>848</v>
      </c>
      <c r="M962" s="4" t="s">
        <v>30642</v>
      </c>
    </row>
    <row r="963" spans="1:13">
      <c r="A963" s="2">
        <v>4685</v>
      </c>
      <c r="B963" s="2" t="s">
        <v>28589</v>
      </c>
      <c r="C963" s="2">
        <v>98</v>
      </c>
      <c r="D963" s="2">
        <v>341</v>
      </c>
      <c r="E963" s="2">
        <v>1967</v>
      </c>
      <c r="F963" s="2">
        <v>32441</v>
      </c>
      <c r="G963" s="2">
        <v>4.7398169499999998</v>
      </c>
      <c r="H963" s="3">
        <v>2.4099999999999999E-38</v>
      </c>
      <c r="I963" s="3" t="s">
        <v>37540</v>
      </c>
      <c r="J963" s="3" t="s">
        <v>37541</v>
      </c>
      <c r="K963" s="3">
        <v>3.7499999999999999E-36</v>
      </c>
      <c r="L963" s="2" t="s">
        <v>848</v>
      </c>
      <c r="M963" s="4" t="s">
        <v>28592</v>
      </c>
    </row>
    <row r="964" spans="1:13">
      <c r="A964" s="2">
        <v>3674</v>
      </c>
      <c r="B964" s="2" t="s">
        <v>29042</v>
      </c>
      <c r="C964" s="2">
        <v>41</v>
      </c>
      <c r="D964" s="2">
        <v>341</v>
      </c>
      <c r="E964" s="2">
        <v>194</v>
      </c>
      <c r="F964" s="2">
        <v>32441</v>
      </c>
      <c r="G964" s="2">
        <v>20.105828819999999</v>
      </c>
      <c r="H964" s="3">
        <v>8.7900000000000001E-38</v>
      </c>
      <c r="I964" s="2" t="s">
        <v>37542</v>
      </c>
      <c r="J964" s="2" t="s">
        <v>37543</v>
      </c>
      <c r="K964" s="3">
        <v>1.3299999999999999E-35</v>
      </c>
      <c r="L964" s="2" t="s">
        <v>848</v>
      </c>
      <c r="M964" s="4" t="s">
        <v>29045</v>
      </c>
    </row>
    <row r="965" spans="1:13">
      <c r="A965" s="2">
        <v>2312</v>
      </c>
      <c r="B965" s="2" t="s">
        <v>37544</v>
      </c>
      <c r="C965" s="2">
        <v>45</v>
      </c>
      <c r="D965" s="2">
        <v>341</v>
      </c>
      <c r="E965" s="2">
        <v>272</v>
      </c>
      <c r="F965" s="2">
        <v>32441</v>
      </c>
      <c r="G965" s="2">
        <v>15.73922934</v>
      </c>
      <c r="H965" s="3">
        <v>2.8600000000000001E-37</v>
      </c>
      <c r="I965" s="2" t="s">
        <v>37545</v>
      </c>
      <c r="J965" s="2" t="s">
        <v>37546</v>
      </c>
      <c r="K965" s="3">
        <v>4.2300000000000001E-35</v>
      </c>
      <c r="L965" s="2" t="s">
        <v>848</v>
      </c>
      <c r="M965" s="4" t="s">
        <v>37547</v>
      </c>
    </row>
    <row r="966" spans="1:13">
      <c r="A966" s="2">
        <v>3424</v>
      </c>
      <c r="B966" s="2" t="s">
        <v>30033</v>
      </c>
      <c r="C966" s="2">
        <v>45</v>
      </c>
      <c r="D966" s="2">
        <v>341</v>
      </c>
      <c r="E966" s="2">
        <v>321</v>
      </c>
      <c r="F966" s="2">
        <v>32441</v>
      </c>
      <c r="G966" s="2">
        <v>13.33666785</v>
      </c>
      <c r="H966" s="3">
        <v>1.88E-34</v>
      </c>
      <c r="I966" s="2" t="s">
        <v>37548</v>
      </c>
      <c r="J966" s="2" t="s">
        <v>37549</v>
      </c>
      <c r="K966" s="3">
        <v>2.7100000000000002E-32</v>
      </c>
      <c r="L966" s="2" t="s">
        <v>848</v>
      </c>
      <c r="M966" s="4" t="s">
        <v>30036</v>
      </c>
    </row>
    <row r="967" spans="1:13">
      <c r="A967" s="2">
        <v>4954</v>
      </c>
      <c r="B967" s="2" t="s">
        <v>28440</v>
      </c>
      <c r="C967" s="2">
        <v>57</v>
      </c>
      <c r="D967" s="2">
        <v>341</v>
      </c>
      <c r="E967" s="2">
        <v>623</v>
      </c>
      <c r="F967" s="2">
        <v>32441</v>
      </c>
      <c r="G967" s="2">
        <v>8.7041559379999995</v>
      </c>
      <c r="H967" s="3">
        <v>1.9999999999999999E-34</v>
      </c>
      <c r="I967" s="3" t="s">
        <v>37550</v>
      </c>
      <c r="J967" s="3" t="s">
        <v>37551</v>
      </c>
      <c r="K967" s="3">
        <v>2.8200000000000001E-32</v>
      </c>
      <c r="L967" s="2" t="s">
        <v>848</v>
      </c>
      <c r="M967" s="4" t="s">
        <v>28443</v>
      </c>
    </row>
    <row r="968" spans="1:13">
      <c r="A968" s="2">
        <v>278</v>
      </c>
      <c r="B968" s="2" t="s">
        <v>28934</v>
      </c>
      <c r="C968" s="2">
        <v>41</v>
      </c>
      <c r="D968" s="2">
        <v>341</v>
      </c>
      <c r="E968" s="2">
        <v>243</v>
      </c>
      <c r="F968" s="2">
        <v>32441</v>
      </c>
      <c r="G968" s="2">
        <v>16.051567039999998</v>
      </c>
      <c r="H968" s="3">
        <v>2.6100000000000002E-34</v>
      </c>
      <c r="I968" s="2" t="s">
        <v>37552</v>
      </c>
      <c r="J968" s="2" t="s">
        <v>37553</v>
      </c>
      <c r="K968" s="3">
        <v>3.5900000000000001E-32</v>
      </c>
      <c r="L968" s="2" t="s">
        <v>848</v>
      </c>
      <c r="M968" s="4" t="s">
        <v>28937</v>
      </c>
    </row>
    <row r="969" spans="1:13">
      <c r="A969" s="2">
        <v>5834</v>
      </c>
      <c r="B969" s="2" t="s">
        <v>11336</v>
      </c>
      <c r="C969" s="2">
        <v>82</v>
      </c>
      <c r="D969" s="2">
        <v>341</v>
      </c>
      <c r="E969" s="2">
        <v>1514</v>
      </c>
      <c r="F969" s="2">
        <v>32441</v>
      </c>
      <c r="G969" s="2">
        <v>5.1526166340000001</v>
      </c>
      <c r="H969" s="3">
        <v>4.0200000000000002E-34</v>
      </c>
      <c r="I969" s="3" t="s">
        <v>37554</v>
      </c>
      <c r="J969" s="3" t="s">
        <v>37555</v>
      </c>
      <c r="K969" s="3">
        <v>5.3999999999999996E-32</v>
      </c>
      <c r="L969" s="2" t="s">
        <v>848</v>
      </c>
      <c r="M969" s="4" t="s">
        <v>11339</v>
      </c>
    </row>
    <row r="970" spans="1:13">
      <c r="A970" s="2">
        <v>3847</v>
      </c>
      <c r="B970" s="2" t="s">
        <v>10539</v>
      </c>
      <c r="C970" s="2">
        <v>72</v>
      </c>
      <c r="D970" s="2">
        <v>341</v>
      </c>
      <c r="E970" s="2">
        <v>1178</v>
      </c>
      <c r="F970" s="2">
        <v>32441</v>
      </c>
      <c r="G970" s="2">
        <v>5.8146966129999997</v>
      </c>
      <c r="H970" s="3">
        <v>6.3599999999999996E-33</v>
      </c>
      <c r="I970" s="3" t="s">
        <v>37556</v>
      </c>
      <c r="J970" s="3" t="s">
        <v>37557</v>
      </c>
      <c r="K970" s="3">
        <v>8.3600000000000003E-31</v>
      </c>
      <c r="L970" s="2" t="s">
        <v>848</v>
      </c>
      <c r="M970" s="4" t="s">
        <v>10542</v>
      </c>
    </row>
    <row r="971" spans="1:13">
      <c r="A971" s="2">
        <v>4624</v>
      </c>
      <c r="B971" s="2" t="s">
        <v>28463</v>
      </c>
      <c r="C971" s="2">
        <v>50</v>
      </c>
      <c r="D971" s="2">
        <v>341</v>
      </c>
      <c r="E971" s="2">
        <v>487</v>
      </c>
      <c r="F971" s="2">
        <v>32441</v>
      </c>
      <c r="G971" s="2">
        <v>9.7674432610000004</v>
      </c>
      <c r="H971" s="3">
        <v>2.2899999999999999E-32</v>
      </c>
      <c r="I971" s="3" t="s">
        <v>37558</v>
      </c>
      <c r="J971" s="3" t="s">
        <v>37559</v>
      </c>
      <c r="K971" s="3">
        <v>2.9499999999999999E-30</v>
      </c>
      <c r="L971" s="2" t="s">
        <v>848</v>
      </c>
      <c r="M971" s="4" t="s">
        <v>28466</v>
      </c>
    </row>
    <row r="972" spans="1:13">
      <c r="A972" s="2">
        <v>5624</v>
      </c>
      <c r="B972" s="2" t="s">
        <v>9592</v>
      </c>
      <c r="C972" s="2">
        <v>87</v>
      </c>
      <c r="D972" s="2">
        <v>341</v>
      </c>
      <c r="E972" s="2">
        <v>1860</v>
      </c>
      <c r="F972" s="2">
        <v>32441</v>
      </c>
      <c r="G972" s="2">
        <v>4.4498581020000003</v>
      </c>
      <c r="H972" s="3">
        <v>8.1600000000000001E-32</v>
      </c>
      <c r="I972" s="3" t="s">
        <v>37560</v>
      </c>
      <c r="J972" s="3" t="s">
        <v>37561</v>
      </c>
      <c r="K972" s="3">
        <v>1.0299999999999999E-29</v>
      </c>
      <c r="L972" s="2" t="s">
        <v>848</v>
      </c>
      <c r="M972" s="4" t="s">
        <v>9595</v>
      </c>
    </row>
    <row r="973" spans="1:13">
      <c r="A973" s="2">
        <v>3971</v>
      </c>
      <c r="B973" s="2" t="s">
        <v>28678</v>
      </c>
      <c r="C973" s="2">
        <v>45</v>
      </c>
      <c r="D973" s="2">
        <v>341</v>
      </c>
      <c r="E973" s="2">
        <v>387</v>
      </c>
      <c r="F973" s="2">
        <v>32441</v>
      </c>
      <c r="G973" s="2">
        <v>11.06219737</v>
      </c>
      <c r="H973" s="3">
        <v>2.82E-31</v>
      </c>
      <c r="I973" s="2" t="s">
        <v>37562</v>
      </c>
      <c r="J973" s="2" t="s">
        <v>37563</v>
      </c>
      <c r="K973" s="3">
        <v>3.4799999999999997E-29</v>
      </c>
      <c r="L973" s="2" t="s">
        <v>848</v>
      </c>
      <c r="M973" s="4" t="s">
        <v>28681</v>
      </c>
    </row>
    <row r="974" spans="1:13">
      <c r="A974" s="2">
        <v>4038</v>
      </c>
      <c r="B974" s="2" t="s">
        <v>28909</v>
      </c>
      <c r="C974" s="2">
        <v>46</v>
      </c>
      <c r="D974" s="2">
        <v>341</v>
      </c>
      <c r="E974" s="2">
        <v>433</v>
      </c>
      <c r="F974" s="2">
        <v>32441</v>
      </c>
      <c r="G974" s="2">
        <v>10.106709650000001</v>
      </c>
      <c r="H974" s="3">
        <v>2.1399999999999999E-30</v>
      </c>
      <c r="I974" s="2" t="s">
        <v>37564</v>
      </c>
      <c r="J974" s="2" t="s">
        <v>37565</v>
      </c>
      <c r="K974" s="3">
        <v>2.5800000000000001E-28</v>
      </c>
      <c r="L974" s="2" t="s">
        <v>848</v>
      </c>
      <c r="M974" s="4" t="s">
        <v>28912</v>
      </c>
    </row>
    <row r="975" spans="1:13">
      <c r="A975" s="2">
        <v>3489</v>
      </c>
      <c r="B975" s="2" t="s">
        <v>29919</v>
      </c>
      <c r="C975" s="2">
        <v>34</v>
      </c>
      <c r="D975" s="2">
        <v>341</v>
      </c>
      <c r="E975" s="2">
        <v>178</v>
      </c>
      <c r="F975" s="2">
        <v>32441</v>
      </c>
      <c r="G975" s="2">
        <v>18.171834329999999</v>
      </c>
      <c r="H975" s="3">
        <v>3.5599999999999999E-30</v>
      </c>
      <c r="I975" s="2" t="s">
        <v>37566</v>
      </c>
      <c r="J975" s="2" t="s">
        <v>37567</v>
      </c>
      <c r="K975" s="3">
        <v>4.2199999999999996E-28</v>
      </c>
      <c r="L975" s="2" t="s">
        <v>848</v>
      </c>
      <c r="M975" s="4" t="s">
        <v>29922</v>
      </c>
    </row>
    <row r="976" spans="1:13">
      <c r="A976" s="2">
        <v>3364</v>
      </c>
      <c r="B976" s="2" t="s">
        <v>1139</v>
      </c>
      <c r="C976" s="2">
        <v>77</v>
      </c>
      <c r="D976" s="2">
        <v>341</v>
      </c>
      <c r="E976" s="2">
        <v>1527</v>
      </c>
      <c r="F976" s="2">
        <v>32441</v>
      </c>
      <c r="G976" s="2">
        <v>4.7972410590000001</v>
      </c>
      <c r="H976" s="3">
        <v>5.2900000000000002E-30</v>
      </c>
      <c r="I976" s="3" t="s">
        <v>37568</v>
      </c>
      <c r="J976" s="3" t="s">
        <v>37569</v>
      </c>
      <c r="K976" s="3">
        <v>6.1399999999999997E-28</v>
      </c>
      <c r="L976" s="2" t="s">
        <v>848</v>
      </c>
      <c r="M976" s="4" t="s">
        <v>29013</v>
      </c>
    </row>
    <row r="977" spans="1:13">
      <c r="A977" s="2">
        <v>5306</v>
      </c>
      <c r="B977" s="2" t="s">
        <v>28564</v>
      </c>
      <c r="C977" s="2">
        <v>58</v>
      </c>
      <c r="D977" s="2">
        <v>341</v>
      </c>
      <c r="E977" s="2">
        <v>820</v>
      </c>
      <c r="F977" s="2">
        <v>32441</v>
      </c>
      <c r="G977" s="2">
        <v>6.7290537160000001</v>
      </c>
      <c r="H977" s="3">
        <v>1.6600000000000001E-29</v>
      </c>
      <c r="I977" s="3" t="s">
        <v>37570</v>
      </c>
      <c r="J977" s="3" t="s">
        <v>37571</v>
      </c>
      <c r="K977" s="3">
        <v>1.8900000000000001E-27</v>
      </c>
      <c r="L977" s="2" t="s">
        <v>848</v>
      </c>
      <c r="M977" s="4" t="s">
        <v>28567</v>
      </c>
    </row>
    <row r="978" spans="1:13">
      <c r="A978" s="2">
        <v>3868</v>
      </c>
      <c r="B978" s="2" t="s">
        <v>29629</v>
      </c>
      <c r="C978" s="2">
        <v>41</v>
      </c>
      <c r="D978" s="2">
        <v>341</v>
      </c>
      <c r="E978" s="2">
        <v>332</v>
      </c>
      <c r="F978" s="2">
        <v>32441</v>
      </c>
      <c r="G978" s="2">
        <v>11.74858672</v>
      </c>
      <c r="H978" s="3">
        <v>1.7699999999999999E-29</v>
      </c>
      <c r="I978" s="2" t="s">
        <v>37572</v>
      </c>
      <c r="J978" s="2" t="s">
        <v>37573</v>
      </c>
      <c r="K978" s="3">
        <v>1.9799999999999999E-27</v>
      </c>
      <c r="L978" s="2" t="s">
        <v>848</v>
      </c>
      <c r="M978" s="4" t="s">
        <v>29632</v>
      </c>
    </row>
    <row r="979" spans="1:13">
      <c r="A979" s="2">
        <v>2107</v>
      </c>
      <c r="B979" s="2" t="s">
        <v>29982</v>
      </c>
      <c r="C979" s="2">
        <v>37</v>
      </c>
      <c r="D979" s="2">
        <v>341</v>
      </c>
      <c r="E979" s="2">
        <v>247</v>
      </c>
      <c r="F979" s="2">
        <v>32441</v>
      </c>
      <c r="G979" s="2">
        <v>14.250976530000001</v>
      </c>
      <c r="H979" s="3">
        <v>2.2599999999999999E-29</v>
      </c>
      <c r="I979" s="2" t="s">
        <v>37574</v>
      </c>
      <c r="J979" s="2" t="s">
        <v>37575</v>
      </c>
      <c r="K979" s="3">
        <v>2.4799999999999999E-27</v>
      </c>
      <c r="L979" s="2" t="s">
        <v>848</v>
      </c>
      <c r="M979" s="4" t="s">
        <v>29985</v>
      </c>
    </row>
    <row r="980" spans="1:13">
      <c r="A980" s="2">
        <v>352</v>
      </c>
      <c r="B980" s="2" t="s">
        <v>37576</v>
      </c>
      <c r="C980" s="2">
        <v>32</v>
      </c>
      <c r="D980" s="2">
        <v>341</v>
      </c>
      <c r="E980" s="2">
        <v>163</v>
      </c>
      <c r="F980" s="2">
        <v>32441</v>
      </c>
      <c r="G980" s="2">
        <v>18.676789670000002</v>
      </c>
      <c r="H980" s="3">
        <v>8.7499999999999999E-29</v>
      </c>
      <c r="I980" s="2" t="s">
        <v>37577</v>
      </c>
      <c r="J980" s="2" t="s">
        <v>37578</v>
      </c>
      <c r="K980" s="3">
        <v>9.4099999999999995E-27</v>
      </c>
      <c r="L980" s="2" t="s">
        <v>848</v>
      </c>
      <c r="M980" s="4" t="s">
        <v>37579</v>
      </c>
    </row>
    <row r="981" spans="1:13">
      <c r="A981" s="2">
        <v>2813</v>
      </c>
      <c r="B981" s="2" t="s">
        <v>30291</v>
      </c>
      <c r="C981" s="2">
        <v>33</v>
      </c>
      <c r="D981" s="2">
        <v>341</v>
      </c>
      <c r="E981" s="2">
        <v>186</v>
      </c>
      <c r="F981" s="2">
        <v>32441</v>
      </c>
      <c r="G981" s="2">
        <v>16.87877211</v>
      </c>
      <c r="H981" s="3">
        <v>2.1300000000000001E-28</v>
      </c>
      <c r="I981" s="2" t="s">
        <v>37580</v>
      </c>
      <c r="J981" s="2" t="s">
        <v>37581</v>
      </c>
      <c r="K981" s="3">
        <v>2.2499999999999999E-26</v>
      </c>
      <c r="L981" s="2" t="s">
        <v>848</v>
      </c>
      <c r="M981" s="4" t="s">
        <v>30294</v>
      </c>
    </row>
    <row r="982" spans="1:13">
      <c r="A982" s="2">
        <v>4557</v>
      </c>
      <c r="B982" s="2" t="s">
        <v>37582</v>
      </c>
      <c r="C982" s="2">
        <v>29</v>
      </c>
      <c r="D982" s="2">
        <v>341</v>
      </c>
      <c r="E982" s="2">
        <v>126</v>
      </c>
      <c r="F982" s="2">
        <v>32441</v>
      </c>
      <c r="G982" s="2">
        <v>21.89612717</v>
      </c>
      <c r="H982" s="3">
        <v>6.6300000000000004E-28</v>
      </c>
      <c r="I982" s="2" t="s">
        <v>37583</v>
      </c>
      <c r="J982" s="2" t="s">
        <v>37584</v>
      </c>
      <c r="K982" s="3">
        <v>6.88E-26</v>
      </c>
      <c r="L982" s="2" t="s">
        <v>848</v>
      </c>
      <c r="M982" s="4" t="s">
        <v>37585</v>
      </c>
    </row>
    <row r="983" spans="1:13">
      <c r="A983" s="2">
        <v>3955</v>
      </c>
      <c r="B983" s="2" t="s">
        <v>37586</v>
      </c>
      <c r="C983" s="2">
        <v>33</v>
      </c>
      <c r="D983" s="2">
        <v>341</v>
      </c>
      <c r="E983" s="2">
        <v>194</v>
      </c>
      <c r="F983" s="2">
        <v>32441</v>
      </c>
      <c r="G983" s="2">
        <v>16.18274027</v>
      </c>
      <c r="H983" s="3">
        <v>7.0900000000000001E-28</v>
      </c>
      <c r="I983" s="2" t="s">
        <v>37587</v>
      </c>
      <c r="J983" s="2" t="s">
        <v>37588</v>
      </c>
      <c r="K983" s="3">
        <v>7.2400000000000002E-26</v>
      </c>
      <c r="L983" s="2" t="s">
        <v>848</v>
      </c>
      <c r="M983" s="4" t="s">
        <v>37589</v>
      </c>
    </row>
    <row r="984" spans="1:13">
      <c r="A984" s="2">
        <v>1619</v>
      </c>
      <c r="B984" s="2" t="s">
        <v>29148</v>
      </c>
      <c r="C984" s="2">
        <v>34</v>
      </c>
      <c r="D984" s="2">
        <v>341</v>
      </c>
      <c r="E984" s="2">
        <v>214</v>
      </c>
      <c r="F984" s="2">
        <v>32441</v>
      </c>
      <c r="G984" s="2">
        <v>15.11489023</v>
      </c>
      <c r="H984" s="3">
        <v>8.1199999999999991E-28</v>
      </c>
      <c r="I984" s="2" t="s">
        <v>37590</v>
      </c>
      <c r="J984" s="2" t="s">
        <v>37591</v>
      </c>
      <c r="K984" s="3">
        <v>8.1399999999999999E-26</v>
      </c>
      <c r="L984" s="2" t="s">
        <v>848</v>
      </c>
      <c r="M984" s="4" t="s">
        <v>29151</v>
      </c>
    </row>
    <row r="985" spans="1:13">
      <c r="A985" s="2">
        <v>510</v>
      </c>
      <c r="B985" s="2" t="s">
        <v>11444</v>
      </c>
      <c r="C985" s="2">
        <v>56</v>
      </c>
      <c r="D985" s="2">
        <v>341</v>
      </c>
      <c r="E985" s="2">
        <v>838</v>
      </c>
      <c r="F985" s="2">
        <v>32441</v>
      </c>
      <c r="G985" s="2">
        <v>6.3574633079999998</v>
      </c>
      <c r="H985" s="3">
        <v>2.5000000000000001E-27</v>
      </c>
      <c r="I985" s="3" t="s">
        <v>37592</v>
      </c>
      <c r="J985" s="3" t="s">
        <v>37593</v>
      </c>
      <c r="K985" s="3">
        <v>2.4599999999999999E-25</v>
      </c>
      <c r="L985" s="2" t="s">
        <v>848</v>
      </c>
      <c r="M985" s="4" t="s">
        <v>11447</v>
      </c>
    </row>
    <row r="986" spans="1:13">
      <c r="A986" s="2">
        <v>2194</v>
      </c>
      <c r="B986" s="2" t="s">
        <v>37594</v>
      </c>
      <c r="C986" s="2">
        <v>20</v>
      </c>
      <c r="D986" s="2">
        <v>341</v>
      </c>
      <c r="E986" s="2">
        <v>29</v>
      </c>
      <c r="F986" s="2">
        <v>32441</v>
      </c>
      <c r="G986" s="2">
        <v>65.610274039999993</v>
      </c>
      <c r="H986" s="3">
        <v>2.6999999999999999E-27</v>
      </c>
      <c r="I986" s="2" t="s">
        <v>37595</v>
      </c>
      <c r="J986" s="2" t="s">
        <v>37596</v>
      </c>
      <c r="K986" s="3">
        <v>2.6199999999999999E-25</v>
      </c>
      <c r="L986" s="2" t="s">
        <v>848</v>
      </c>
      <c r="M986" s="4" t="s">
        <v>37597</v>
      </c>
    </row>
    <row r="987" spans="1:13">
      <c r="A987" s="2">
        <v>2518</v>
      </c>
      <c r="B987" s="2" t="s">
        <v>28521</v>
      </c>
      <c r="C987" s="2">
        <v>39</v>
      </c>
      <c r="D987" s="2">
        <v>341</v>
      </c>
      <c r="E987" s="2">
        <v>340</v>
      </c>
      <c r="F987" s="2">
        <v>32441</v>
      </c>
      <c r="G987" s="2">
        <v>10.91253234</v>
      </c>
      <c r="H987" s="3">
        <v>5.4299999999999998E-27</v>
      </c>
      <c r="I987" s="2" t="s">
        <v>37598</v>
      </c>
      <c r="J987" s="2" t="s">
        <v>37599</v>
      </c>
      <c r="K987" s="3">
        <v>5.18E-25</v>
      </c>
      <c r="L987" s="2" t="s">
        <v>848</v>
      </c>
      <c r="M987" s="4" t="s">
        <v>28524</v>
      </c>
    </row>
    <row r="988" spans="1:13">
      <c r="A988" s="2">
        <v>4820</v>
      </c>
      <c r="B988" s="2" t="s">
        <v>30805</v>
      </c>
      <c r="C988" s="2">
        <v>23</v>
      </c>
      <c r="D988" s="2">
        <v>341</v>
      </c>
      <c r="E988" s="2">
        <v>62</v>
      </c>
      <c r="F988" s="2">
        <v>32441</v>
      </c>
      <c r="G988" s="2">
        <v>35.291978049999997</v>
      </c>
      <c r="H988" s="3">
        <v>2.2699999999999999E-26</v>
      </c>
      <c r="I988" s="2" t="s">
        <v>37600</v>
      </c>
      <c r="J988" s="2" t="s">
        <v>37601</v>
      </c>
      <c r="K988" s="3">
        <v>2.1299999999999998E-24</v>
      </c>
      <c r="L988" s="2" t="s">
        <v>848</v>
      </c>
      <c r="M988" s="4" t="s">
        <v>30808</v>
      </c>
    </row>
    <row r="989" spans="1:13">
      <c r="A989" s="2">
        <v>3187</v>
      </c>
      <c r="B989" s="2" t="s">
        <v>37602</v>
      </c>
      <c r="C989" s="2">
        <v>29</v>
      </c>
      <c r="D989" s="2">
        <v>341</v>
      </c>
      <c r="E989" s="2">
        <v>152</v>
      </c>
      <c r="F989" s="2">
        <v>32441</v>
      </c>
      <c r="G989" s="2">
        <v>18.150736999999999</v>
      </c>
      <c r="H989" s="3">
        <v>7.1500000000000004E-26</v>
      </c>
      <c r="I989" s="2" t="s">
        <v>37603</v>
      </c>
      <c r="J989" s="2" t="s">
        <v>37604</v>
      </c>
      <c r="K989" s="3">
        <v>6.61E-24</v>
      </c>
      <c r="L989" s="2" t="s">
        <v>848</v>
      </c>
      <c r="M989" s="4" t="s">
        <v>37605</v>
      </c>
    </row>
    <row r="990" spans="1:13">
      <c r="A990" s="2">
        <v>5827</v>
      </c>
      <c r="B990" s="2" t="s">
        <v>28650</v>
      </c>
      <c r="C990" s="2">
        <v>41</v>
      </c>
      <c r="D990" s="2">
        <v>341</v>
      </c>
      <c r="E990" s="2">
        <v>427</v>
      </c>
      <c r="F990" s="2">
        <v>32441</v>
      </c>
      <c r="G990" s="2">
        <v>9.1347325329999993</v>
      </c>
      <c r="H990" s="3">
        <v>1.3199999999999999E-25</v>
      </c>
      <c r="I990" s="2" t="s">
        <v>37606</v>
      </c>
      <c r="J990" s="2" t="s">
        <v>37607</v>
      </c>
      <c r="K990" s="3">
        <v>1.2E-23</v>
      </c>
      <c r="L990" s="2" t="s">
        <v>848</v>
      </c>
      <c r="M990" s="4" t="s">
        <v>28653</v>
      </c>
    </row>
    <row r="991" spans="1:13">
      <c r="A991" s="2">
        <v>3637</v>
      </c>
      <c r="B991" s="2" t="s">
        <v>29447</v>
      </c>
      <c r="C991" s="2">
        <v>32</v>
      </c>
      <c r="D991" s="2">
        <v>341</v>
      </c>
      <c r="E991" s="2">
        <v>217</v>
      </c>
      <c r="F991" s="2">
        <v>32441</v>
      </c>
      <c r="G991" s="2">
        <v>14.029109289999999</v>
      </c>
      <c r="H991" s="3">
        <v>2.44E-25</v>
      </c>
      <c r="I991" s="2" t="s">
        <v>37608</v>
      </c>
      <c r="J991" s="2" t="s">
        <v>37609</v>
      </c>
      <c r="K991" s="3">
        <v>2.1899999999999999E-23</v>
      </c>
      <c r="L991" s="2" t="s">
        <v>848</v>
      </c>
      <c r="M991" s="4" t="s">
        <v>29450</v>
      </c>
    </row>
    <row r="992" spans="1:13">
      <c r="A992" s="2">
        <v>1960</v>
      </c>
      <c r="B992" s="2" t="s">
        <v>1027</v>
      </c>
      <c r="C992" s="2">
        <v>67</v>
      </c>
      <c r="D992" s="2">
        <v>341</v>
      </c>
      <c r="E992" s="2">
        <v>1398</v>
      </c>
      <c r="F992" s="2">
        <v>32441</v>
      </c>
      <c r="G992" s="2">
        <v>4.5593977990000001</v>
      </c>
      <c r="H992" s="3">
        <v>8.0900000000000001E-25</v>
      </c>
      <c r="I992" s="3" t="s">
        <v>37610</v>
      </c>
      <c r="J992" s="3" t="s">
        <v>37611</v>
      </c>
      <c r="K992" s="3">
        <v>7.15E-23</v>
      </c>
      <c r="L992" s="2" t="s">
        <v>848</v>
      </c>
      <c r="M992" s="4" t="s">
        <v>11004</v>
      </c>
    </row>
    <row r="993" spans="1:13">
      <c r="A993" s="2">
        <v>28081</v>
      </c>
      <c r="B993" s="2" t="s">
        <v>30583</v>
      </c>
      <c r="C993" s="2">
        <v>29</v>
      </c>
      <c r="D993" s="2">
        <v>341</v>
      </c>
      <c r="E993" s="2">
        <v>170</v>
      </c>
      <c r="F993" s="2">
        <v>32441</v>
      </c>
      <c r="G993" s="2">
        <v>16.228894260000001</v>
      </c>
      <c r="H993" s="3">
        <v>1.1899999999999999E-24</v>
      </c>
      <c r="I993" s="2" t="s">
        <v>37612</v>
      </c>
      <c r="J993" s="2" t="s">
        <v>37613</v>
      </c>
      <c r="K993" s="3">
        <v>1.0299999999999999E-22</v>
      </c>
      <c r="L993" s="2" t="s">
        <v>848</v>
      </c>
      <c r="M993" s="4" t="s">
        <v>30586</v>
      </c>
    </row>
    <row r="994" spans="1:13">
      <c r="A994" s="2">
        <v>3994</v>
      </c>
      <c r="B994" s="2" t="s">
        <v>10962</v>
      </c>
      <c r="C994" s="2">
        <v>48</v>
      </c>
      <c r="D994" s="2">
        <v>341</v>
      </c>
      <c r="E994" s="2">
        <v>684</v>
      </c>
      <c r="F994" s="2">
        <v>32441</v>
      </c>
      <c r="G994" s="2">
        <v>6.6761331479999999</v>
      </c>
      <c r="H994" s="3">
        <v>2.5500000000000001E-24</v>
      </c>
      <c r="I994" s="2" t="s">
        <v>37614</v>
      </c>
      <c r="J994" s="2" t="s">
        <v>37615</v>
      </c>
      <c r="K994" s="3">
        <v>2.1899999999999999E-22</v>
      </c>
      <c r="L994" s="2" t="s">
        <v>848</v>
      </c>
      <c r="M994" s="4" t="s">
        <v>10965</v>
      </c>
    </row>
    <row r="995" spans="1:13">
      <c r="A995" s="2">
        <v>2230</v>
      </c>
      <c r="B995" s="2" t="s">
        <v>29192</v>
      </c>
      <c r="C995" s="2">
        <v>30</v>
      </c>
      <c r="D995" s="2">
        <v>341</v>
      </c>
      <c r="E995" s="2">
        <v>199</v>
      </c>
      <c r="F995" s="2">
        <v>32441</v>
      </c>
      <c r="G995" s="2">
        <v>14.34194433</v>
      </c>
      <c r="H995" s="3">
        <v>4.55E-24</v>
      </c>
      <c r="I995" s="2" t="s">
        <v>37616</v>
      </c>
      <c r="J995" s="2" t="s">
        <v>37617</v>
      </c>
      <c r="K995" s="3">
        <v>3.8299999999999998E-22</v>
      </c>
      <c r="L995" s="2" t="s">
        <v>848</v>
      </c>
      <c r="M995" s="4" t="s">
        <v>29195</v>
      </c>
    </row>
    <row r="996" spans="1:13">
      <c r="A996" s="2">
        <v>2861</v>
      </c>
      <c r="B996" s="2" t="s">
        <v>10781</v>
      </c>
      <c r="C996" s="2">
        <v>42</v>
      </c>
      <c r="D996" s="2">
        <v>341</v>
      </c>
      <c r="E996" s="2">
        <v>502</v>
      </c>
      <c r="F996" s="2">
        <v>32441</v>
      </c>
      <c r="G996" s="2">
        <v>7.9594934049999999</v>
      </c>
      <c r="H996" s="3">
        <v>4.6000000000000002E-24</v>
      </c>
      <c r="I996" s="2" t="s">
        <v>37618</v>
      </c>
      <c r="J996" s="2" t="s">
        <v>37619</v>
      </c>
      <c r="K996" s="3">
        <v>3.8299999999999998E-22</v>
      </c>
      <c r="L996" s="2" t="s">
        <v>848</v>
      </c>
      <c r="M996" s="4" t="s">
        <v>10784</v>
      </c>
    </row>
    <row r="997" spans="1:13">
      <c r="A997" s="2">
        <v>2879</v>
      </c>
      <c r="B997" s="2" t="s">
        <v>37620</v>
      </c>
      <c r="C997" s="2">
        <v>31</v>
      </c>
      <c r="D997" s="2">
        <v>341</v>
      </c>
      <c r="E997" s="2">
        <v>221</v>
      </c>
      <c r="F997" s="2">
        <v>32441</v>
      </c>
      <c r="G997" s="2">
        <v>13.34471411</v>
      </c>
      <c r="H997" s="3">
        <v>5.4000000000000001E-24</v>
      </c>
      <c r="I997" s="2" t="s">
        <v>37621</v>
      </c>
      <c r="J997" s="2" t="s">
        <v>37622</v>
      </c>
      <c r="K997" s="3">
        <v>4.4399999999999998E-22</v>
      </c>
      <c r="L997" s="2" t="s">
        <v>848</v>
      </c>
      <c r="M997" s="4" t="s">
        <v>37623</v>
      </c>
    </row>
    <row r="998" spans="1:13">
      <c r="A998" s="2">
        <v>3322</v>
      </c>
      <c r="B998" s="2" t="s">
        <v>29038</v>
      </c>
      <c r="C998" s="2">
        <v>27</v>
      </c>
      <c r="D998" s="2">
        <v>341</v>
      </c>
      <c r="E998" s="2">
        <v>146</v>
      </c>
      <c r="F998" s="2">
        <v>32441</v>
      </c>
      <c r="G998" s="2">
        <v>17.593439920000002</v>
      </c>
      <c r="H998" s="3">
        <v>7.5600000000000006E-24</v>
      </c>
      <c r="I998" s="2" t="s">
        <v>37624</v>
      </c>
      <c r="J998" s="2" t="s">
        <v>37625</v>
      </c>
      <c r="K998" s="3">
        <v>6.1299999999999996E-22</v>
      </c>
      <c r="L998" s="2" t="s">
        <v>848</v>
      </c>
      <c r="M998" s="4" t="s">
        <v>29041</v>
      </c>
    </row>
    <row r="999" spans="1:13">
      <c r="A999" s="2">
        <v>1685</v>
      </c>
      <c r="B999" s="2" t="s">
        <v>29709</v>
      </c>
      <c r="C999" s="2">
        <v>23</v>
      </c>
      <c r="D999" s="2">
        <v>341</v>
      </c>
      <c r="E999" s="2">
        <v>85</v>
      </c>
      <c r="F999" s="2">
        <v>32441</v>
      </c>
      <c r="G999" s="2">
        <v>25.74238399</v>
      </c>
      <c r="H999" s="3">
        <v>9.5999999999999993E-24</v>
      </c>
      <c r="I999" s="2" t="s">
        <v>37626</v>
      </c>
      <c r="J999" s="2" t="s">
        <v>37627</v>
      </c>
      <c r="K999" s="3">
        <v>7.6700000000000002E-22</v>
      </c>
      <c r="L999" s="2" t="s">
        <v>848</v>
      </c>
      <c r="M999" s="4" t="s">
        <v>29712</v>
      </c>
    </row>
    <row r="1000" spans="1:13">
      <c r="A1000" s="2">
        <v>4684</v>
      </c>
      <c r="B1000" s="2" t="s">
        <v>30121</v>
      </c>
      <c r="C1000" s="2">
        <v>38</v>
      </c>
      <c r="D1000" s="2">
        <v>341</v>
      </c>
      <c r="E1000" s="2">
        <v>405</v>
      </c>
      <c r="F1000" s="2">
        <v>32441</v>
      </c>
      <c r="G1000" s="2">
        <v>8.9262372830000007</v>
      </c>
      <c r="H1000" s="3">
        <v>1.8400000000000001E-23</v>
      </c>
      <c r="I1000" s="2" t="s">
        <v>37628</v>
      </c>
      <c r="J1000" s="2" t="s">
        <v>37629</v>
      </c>
      <c r="K1000" s="3">
        <v>1.45E-21</v>
      </c>
      <c r="L1000" s="2" t="s">
        <v>848</v>
      </c>
      <c r="M1000" s="4" t="s">
        <v>30124</v>
      </c>
    </row>
    <row r="1001" spans="1:13">
      <c r="A1001" s="2">
        <v>2488</v>
      </c>
      <c r="B1001" s="2" t="s">
        <v>30229</v>
      </c>
      <c r="C1001" s="2">
        <v>25</v>
      </c>
      <c r="D1001" s="2">
        <v>341</v>
      </c>
      <c r="E1001" s="2">
        <v>121</v>
      </c>
      <c r="F1001" s="2">
        <v>32441</v>
      </c>
      <c r="G1001" s="2">
        <v>19.655970530000001</v>
      </c>
      <c r="H1001" s="3">
        <v>3.3199999999999997E-23</v>
      </c>
      <c r="I1001" s="2" t="s">
        <v>37630</v>
      </c>
      <c r="J1001" s="2" t="s">
        <v>37631</v>
      </c>
      <c r="K1001" s="3">
        <v>2.5899999999999999E-21</v>
      </c>
      <c r="L1001" s="2" t="s">
        <v>848</v>
      </c>
      <c r="M1001" s="4" t="s">
        <v>30230</v>
      </c>
    </row>
    <row r="1002" spans="1:13">
      <c r="A1002" s="2">
        <v>2580</v>
      </c>
      <c r="B1002" s="2" t="s">
        <v>29136</v>
      </c>
      <c r="C1002" s="2">
        <v>26</v>
      </c>
      <c r="D1002" s="2">
        <v>341</v>
      </c>
      <c r="E1002" s="2">
        <v>139</v>
      </c>
      <c r="F1002" s="2">
        <v>32441</v>
      </c>
      <c r="G1002" s="2">
        <v>17.79501677</v>
      </c>
      <c r="H1002" s="3">
        <v>4.0600000000000001E-23</v>
      </c>
      <c r="I1002" s="2" t="s">
        <v>37632</v>
      </c>
      <c r="J1002" s="2" t="s">
        <v>37633</v>
      </c>
      <c r="K1002" s="3">
        <v>3.12E-21</v>
      </c>
      <c r="L1002" s="2" t="s">
        <v>848</v>
      </c>
      <c r="M1002" s="4" t="s">
        <v>29139</v>
      </c>
    </row>
    <row r="1003" spans="1:13">
      <c r="A1003" s="2">
        <v>2175</v>
      </c>
      <c r="B1003" s="2" t="s">
        <v>28995</v>
      </c>
      <c r="C1003" s="2">
        <v>27</v>
      </c>
      <c r="D1003" s="2">
        <v>341</v>
      </c>
      <c r="E1003" s="2">
        <v>165</v>
      </c>
      <c r="F1003" s="2">
        <v>32441</v>
      </c>
      <c r="G1003" s="2">
        <v>15.567528660000001</v>
      </c>
      <c r="H1003" s="3">
        <v>1.3200000000000001E-22</v>
      </c>
      <c r="I1003" s="2" t="s">
        <v>37634</v>
      </c>
      <c r="J1003" s="2" t="s">
        <v>37635</v>
      </c>
      <c r="K1003" s="3">
        <v>9.9999999999999995E-21</v>
      </c>
      <c r="L1003" s="2" t="s">
        <v>848</v>
      </c>
      <c r="M1003" s="4" t="s">
        <v>28998</v>
      </c>
    </row>
    <row r="1004" spans="1:13">
      <c r="A1004" s="2">
        <v>5875</v>
      </c>
      <c r="B1004" s="2" t="s">
        <v>8536</v>
      </c>
      <c r="C1004" s="2">
        <v>63</v>
      </c>
      <c r="D1004" s="2">
        <v>341</v>
      </c>
      <c r="E1004" s="2">
        <v>1399</v>
      </c>
      <c r="F1004" s="2">
        <v>32441</v>
      </c>
      <c r="G1004" s="2">
        <v>4.2841304740000004</v>
      </c>
      <c r="H1004" s="3">
        <v>5.6299999999999999E-22</v>
      </c>
      <c r="I1004" s="3" t="s">
        <v>37636</v>
      </c>
      <c r="J1004" s="3" t="s">
        <v>37637</v>
      </c>
      <c r="K1004" s="3">
        <v>4.2199999999999999E-20</v>
      </c>
      <c r="L1004" s="2" t="s">
        <v>848</v>
      </c>
      <c r="M1004" s="4" t="s">
        <v>8539</v>
      </c>
    </row>
    <row r="1005" spans="1:13">
      <c r="A1005" s="2">
        <v>2905</v>
      </c>
      <c r="B1005" s="2" t="s">
        <v>30109</v>
      </c>
      <c r="C1005" s="2">
        <v>18</v>
      </c>
      <c r="D1005" s="2">
        <v>341</v>
      </c>
      <c r="E1005" s="2">
        <v>41</v>
      </c>
      <c r="F1005" s="2">
        <v>32441</v>
      </c>
      <c r="G1005" s="2">
        <v>41.766540300000003</v>
      </c>
      <c r="H1005" s="3">
        <v>5.6999999999999996E-22</v>
      </c>
      <c r="I1005" s="2" t="s">
        <v>37638</v>
      </c>
      <c r="J1005" s="2" t="s">
        <v>37639</v>
      </c>
      <c r="K1005" s="3">
        <v>4.2199999999999999E-20</v>
      </c>
      <c r="L1005" s="2" t="s">
        <v>848</v>
      </c>
      <c r="M1005" s="4" t="s">
        <v>30112</v>
      </c>
    </row>
    <row r="1006" spans="1:13">
      <c r="A1006" s="2">
        <v>1499</v>
      </c>
      <c r="B1006" s="2" t="s">
        <v>10515</v>
      </c>
      <c r="C1006" s="2">
        <v>56</v>
      </c>
      <c r="D1006" s="2">
        <v>341</v>
      </c>
      <c r="E1006" s="2">
        <v>1132</v>
      </c>
      <c r="F1006" s="2">
        <v>32441</v>
      </c>
      <c r="G1006" s="2">
        <v>4.7063200109999999</v>
      </c>
      <c r="H1006" s="3">
        <v>2.3800000000000002E-21</v>
      </c>
      <c r="I1006" s="3" t="s">
        <v>37640</v>
      </c>
      <c r="J1006" s="3" t="s">
        <v>37641</v>
      </c>
      <c r="K1006" s="3">
        <v>1.74E-19</v>
      </c>
      <c r="L1006" s="2" t="s">
        <v>848</v>
      </c>
      <c r="M1006" s="4" t="s">
        <v>10518</v>
      </c>
    </row>
    <row r="1007" spans="1:13">
      <c r="A1007" s="2">
        <v>19021</v>
      </c>
      <c r="B1007" s="2" t="s">
        <v>8524</v>
      </c>
      <c r="C1007" s="2">
        <v>44</v>
      </c>
      <c r="D1007" s="2">
        <v>341</v>
      </c>
      <c r="E1007" s="2">
        <v>672</v>
      </c>
      <c r="F1007" s="2">
        <v>32441</v>
      </c>
      <c r="G1007" s="2">
        <v>6.2290706609999997</v>
      </c>
      <c r="H1007" s="3">
        <v>3.09E-21</v>
      </c>
      <c r="I1007" s="2" t="s">
        <v>37642</v>
      </c>
      <c r="J1007" s="2" t="s">
        <v>37643</v>
      </c>
      <c r="K1007" s="3">
        <v>2.2299999999999999E-19</v>
      </c>
      <c r="L1007" s="2" t="s">
        <v>848</v>
      </c>
      <c r="M1007" s="4" t="s">
        <v>8527</v>
      </c>
    </row>
    <row r="1008" spans="1:13">
      <c r="A1008" s="2">
        <v>3717</v>
      </c>
      <c r="B1008" s="2" t="s">
        <v>28957</v>
      </c>
      <c r="C1008" s="2">
        <v>59</v>
      </c>
      <c r="D1008" s="2">
        <v>341</v>
      </c>
      <c r="E1008" s="2">
        <v>1297</v>
      </c>
      <c r="F1008" s="2">
        <v>32441</v>
      </c>
      <c r="G1008" s="2">
        <v>4.3276476050000001</v>
      </c>
      <c r="H1008" s="3">
        <v>8.7399999999999995E-21</v>
      </c>
      <c r="I1008" s="3" t="s">
        <v>37644</v>
      </c>
      <c r="J1008" s="3" t="s">
        <v>37645</v>
      </c>
      <c r="K1008" s="3">
        <v>6.2299999999999998E-19</v>
      </c>
      <c r="L1008" s="2" t="s">
        <v>848</v>
      </c>
      <c r="M1008" s="4" t="s">
        <v>28960</v>
      </c>
    </row>
    <row r="1009" spans="1:13">
      <c r="A1009" s="2">
        <v>2590</v>
      </c>
      <c r="B1009" s="2" t="s">
        <v>28969</v>
      </c>
      <c r="C1009" s="2">
        <v>24</v>
      </c>
      <c r="D1009" s="2">
        <v>341</v>
      </c>
      <c r="E1009" s="2">
        <v>138</v>
      </c>
      <c r="F1009" s="2">
        <v>32441</v>
      </c>
      <c r="G1009" s="2">
        <v>16.545199539999999</v>
      </c>
      <c r="H1009" s="3">
        <v>8.9500000000000007E-21</v>
      </c>
      <c r="I1009" s="2" t="s">
        <v>37646</v>
      </c>
      <c r="J1009" s="2" t="s">
        <v>37647</v>
      </c>
      <c r="K1009" s="3">
        <v>6.3000000000000002E-19</v>
      </c>
      <c r="L1009" s="2" t="s">
        <v>848</v>
      </c>
      <c r="M1009" s="4" t="s">
        <v>28972</v>
      </c>
    </row>
    <row r="1010" spans="1:13">
      <c r="A1010" s="2">
        <v>4658</v>
      </c>
      <c r="B1010" s="2" t="s">
        <v>28495</v>
      </c>
      <c r="C1010" s="2">
        <v>36</v>
      </c>
      <c r="D1010" s="2">
        <v>341</v>
      </c>
      <c r="E1010" s="2">
        <v>441</v>
      </c>
      <c r="F1010" s="2">
        <v>32441</v>
      </c>
      <c r="G1010" s="2">
        <v>7.7661140700000004</v>
      </c>
      <c r="H1010" s="3">
        <v>2.03E-20</v>
      </c>
      <c r="I1010" s="2" t="s">
        <v>37648</v>
      </c>
      <c r="J1010" s="2" t="s">
        <v>37649</v>
      </c>
      <c r="K1010" s="3">
        <v>1.42E-18</v>
      </c>
      <c r="L1010" s="2" t="s">
        <v>848</v>
      </c>
      <c r="M1010" s="4" t="s">
        <v>28498</v>
      </c>
    </row>
    <row r="1011" spans="1:13">
      <c r="A1011" s="2">
        <v>3362</v>
      </c>
      <c r="B1011" s="2" t="s">
        <v>29343</v>
      </c>
      <c r="C1011" s="2">
        <v>28</v>
      </c>
      <c r="D1011" s="2">
        <v>341</v>
      </c>
      <c r="E1011" s="2">
        <v>229</v>
      </c>
      <c r="F1011" s="2">
        <v>32441</v>
      </c>
      <c r="G1011" s="2">
        <v>11.63221452</v>
      </c>
      <c r="H1011" s="3">
        <v>2.4899999999999999E-20</v>
      </c>
      <c r="I1011" s="2" t="s">
        <v>37650</v>
      </c>
      <c r="J1011" s="2" t="s">
        <v>37651</v>
      </c>
      <c r="K1011" s="3">
        <v>1.7200000000000001E-18</v>
      </c>
      <c r="L1011" s="2" t="s">
        <v>848</v>
      </c>
      <c r="M1011" s="4" t="s">
        <v>29346</v>
      </c>
    </row>
    <row r="1012" spans="1:13">
      <c r="A1012" s="2">
        <v>2920</v>
      </c>
      <c r="B1012" s="2" t="s">
        <v>29556</v>
      </c>
      <c r="C1012" s="2">
        <v>24</v>
      </c>
      <c r="D1012" s="2">
        <v>341</v>
      </c>
      <c r="E1012" s="2">
        <v>146</v>
      </c>
      <c r="F1012" s="2">
        <v>32441</v>
      </c>
      <c r="G1012" s="2">
        <v>15.63861326</v>
      </c>
      <c r="H1012" s="3">
        <v>2.8900000000000002E-20</v>
      </c>
      <c r="I1012" s="2" t="s">
        <v>37652</v>
      </c>
      <c r="J1012" s="2" t="s">
        <v>37653</v>
      </c>
      <c r="K1012" s="3">
        <v>1.96E-18</v>
      </c>
      <c r="L1012" s="2" t="s">
        <v>848</v>
      </c>
      <c r="M1012" s="4" t="s">
        <v>29559</v>
      </c>
    </row>
    <row r="1013" spans="1:13">
      <c r="A1013" s="2">
        <v>2960</v>
      </c>
      <c r="B1013" s="2" t="s">
        <v>29172</v>
      </c>
      <c r="C1013" s="2">
        <v>20</v>
      </c>
      <c r="D1013" s="2">
        <v>341</v>
      </c>
      <c r="E1013" s="2">
        <v>81</v>
      </c>
      <c r="F1013" s="2">
        <v>32441</v>
      </c>
      <c r="G1013" s="2">
        <v>23.490098110000002</v>
      </c>
      <c r="H1013" s="3">
        <v>3.9200000000000001E-20</v>
      </c>
      <c r="I1013" s="2" t="s">
        <v>37654</v>
      </c>
      <c r="J1013" s="2" t="s">
        <v>37655</v>
      </c>
      <c r="K1013" s="3">
        <v>2.6399999999999998E-18</v>
      </c>
      <c r="L1013" s="2" t="s">
        <v>848</v>
      </c>
      <c r="M1013" s="4" t="s">
        <v>29175</v>
      </c>
    </row>
    <row r="1014" spans="1:13">
      <c r="A1014" s="2">
        <v>2382</v>
      </c>
      <c r="B1014" s="2" t="s">
        <v>37656</v>
      </c>
      <c r="C1014" s="2">
        <v>19</v>
      </c>
      <c r="D1014" s="2">
        <v>341</v>
      </c>
      <c r="E1014" s="2">
        <v>69</v>
      </c>
      <c r="F1014" s="2">
        <v>32441</v>
      </c>
      <c r="G1014" s="2">
        <v>26.196565939999999</v>
      </c>
      <c r="H1014" s="3">
        <v>5.9500000000000001E-20</v>
      </c>
      <c r="I1014" s="2" t="s">
        <v>37657</v>
      </c>
      <c r="J1014" s="2" t="s">
        <v>37658</v>
      </c>
      <c r="K1014" s="3">
        <v>3.9599999999999997E-18</v>
      </c>
      <c r="L1014" s="2" t="s">
        <v>848</v>
      </c>
      <c r="M1014" s="4" t="s">
        <v>37659</v>
      </c>
    </row>
    <row r="1015" spans="1:13">
      <c r="A1015" s="2">
        <v>4451</v>
      </c>
      <c r="B1015" s="2" t="s">
        <v>37660</v>
      </c>
      <c r="C1015" s="2">
        <v>20</v>
      </c>
      <c r="D1015" s="2">
        <v>341</v>
      </c>
      <c r="E1015" s="2">
        <v>85</v>
      </c>
      <c r="F1015" s="2">
        <v>32441</v>
      </c>
      <c r="G1015" s="2">
        <v>22.38468173</v>
      </c>
      <c r="H1015" s="3">
        <v>8.9099999999999997E-20</v>
      </c>
      <c r="I1015" s="2" t="s">
        <v>37661</v>
      </c>
      <c r="J1015" s="2" t="s">
        <v>37662</v>
      </c>
      <c r="K1015" s="3">
        <v>5.8599999999999996E-18</v>
      </c>
      <c r="L1015" s="2" t="s">
        <v>848</v>
      </c>
      <c r="M1015" s="4" t="s">
        <v>37663</v>
      </c>
    </row>
    <row r="1016" spans="1:13">
      <c r="A1016" s="2">
        <v>40241</v>
      </c>
      <c r="B1016" s="2" t="s">
        <v>37664</v>
      </c>
      <c r="C1016" s="2">
        <v>17</v>
      </c>
      <c r="D1016" s="2">
        <v>341</v>
      </c>
      <c r="E1016" s="2">
        <v>48</v>
      </c>
      <c r="F1016" s="2">
        <v>32441</v>
      </c>
      <c r="G1016" s="2">
        <v>33.693609479999999</v>
      </c>
      <c r="H1016" s="3">
        <v>1.56E-19</v>
      </c>
      <c r="I1016" s="2" t="s">
        <v>37665</v>
      </c>
      <c r="J1016" s="2" t="s">
        <v>37666</v>
      </c>
      <c r="K1016" s="3">
        <v>1.01E-17</v>
      </c>
      <c r="L1016" s="2" t="s">
        <v>848</v>
      </c>
      <c r="M1016" s="4" t="s">
        <v>37667</v>
      </c>
    </row>
    <row r="1017" spans="1:13">
      <c r="A1017" s="2">
        <v>2676</v>
      </c>
      <c r="B1017" s="2" t="s">
        <v>29522</v>
      </c>
      <c r="C1017" s="2">
        <v>19</v>
      </c>
      <c r="D1017" s="2">
        <v>341</v>
      </c>
      <c r="E1017" s="2">
        <v>74</v>
      </c>
      <c r="F1017" s="2">
        <v>32441</v>
      </c>
      <c r="G1017" s="2">
        <v>24.426527700000001</v>
      </c>
      <c r="H1017" s="3">
        <v>1.8300000000000001E-19</v>
      </c>
      <c r="I1017" s="2" t="s">
        <v>37668</v>
      </c>
      <c r="J1017" s="2" t="s">
        <v>37669</v>
      </c>
      <c r="K1017" s="3">
        <v>1.18E-17</v>
      </c>
      <c r="L1017" s="2" t="s">
        <v>848</v>
      </c>
      <c r="M1017" s="4" t="s">
        <v>29525</v>
      </c>
    </row>
    <row r="1018" spans="1:13">
      <c r="A1018" s="2">
        <v>4201</v>
      </c>
      <c r="B1018" s="2" t="s">
        <v>992</v>
      </c>
      <c r="C1018" s="2">
        <v>43</v>
      </c>
      <c r="D1018" s="2">
        <v>341</v>
      </c>
      <c r="E1018" s="2">
        <v>727</v>
      </c>
      <c r="F1018" s="2">
        <v>32441</v>
      </c>
      <c r="G1018" s="2">
        <v>5.6269609169999999</v>
      </c>
      <c r="H1018" s="3">
        <v>3.3100000000000001E-19</v>
      </c>
      <c r="I1018" s="2" t="s">
        <v>37670</v>
      </c>
      <c r="J1018" s="2" t="s">
        <v>37671</v>
      </c>
      <c r="K1018" s="3">
        <v>2.0999999999999999E-17</v>
      </c>
      <c r="L1018" s="2" t="s">
        <v>848</v>
      </c>
      <c r="M1018" s="4" t="s">
        <v>28630</v>
      </c>
    </row>
    <row r="1019" spans="1:13">
      <c r="A1019" s="2">
        <v>5599</v>
      </c>
      <c r="B1019" s="2" t="s">
        <v>28781</v>
      </c>
      <c r="C1019" s="2">
        <v>19</v>
      </c>
      <c r="D1019" s="2">
        <v>341</v>
      </c>
      <c r="E1019" s="2">
        <v>79</v>
      </c>
      <c r="F1019" s="2">
        <v>32441</v>
      </c>
      <c r="G1019" s="2">
        <v>22.880544929999999</v>
      </c>
      <c r="H1019" s="3">
        <v>5.2699999999999997E-19</v>
      </c>
      <c r="I1019" s="2" t="s">
        <v>37672</v>
      </c>
      <c r="J1019" s="2" t="s">
        <v>37673</v>
      </c>
      <c r="K1019" s="3">
        <v>3.3099999999999998E-17</v>
      </c>
      <c r="L1019" s="2" t="s">
        <v>848</v>
      </c>
      <c r="M1019" s="4" t="s">
        <v>28784</v>
      </c>
    </row>
    <row r="1020" spans="1:13">
      <c r="A1020" s="2">
        <v>2259</v>
      </c>
      <c r="B1020" s="2" t="s">
        <v>28338</v>
      </c>
      <c r="C1020" s="2">
        <v>41</v>
      </c>
      <c r="D1020" s="2">
        <v>341</v>
      </c>
      <c r="E1020" s="2">
        <v>663</v>
      </c>
      <c r="F1020" s="2">
        <v>32441</v>
      </c>
      <c r="G1020" s="2">
        <v>5.8831535319999997</v>
      </c>
      <c r="H1020" s="3">
        <v>5.3299999999999998E-19</v>
      </c>
      <c r="I1020" s="2" t="s">
        <v>37674</v>
      </c>
      <c r="J1020" s="2" t="s">
        <v>37675</v>
      </c>
      <c r="K1020" s="3">
        <v>3.3200000000000002E-17</v>
      </c>
      <c r="L1020" s="2" t="s">
        <v>848</v>
      </c>
      <c r="M1020" s="4" t="s">
        <v>28341</v>
      </c>
    </row>
    <row r="1021" spans="1:13">
      <c r="A1021" s="2">
        <v>4807</v>
      </c>
      <c r="B1021" s="2" t="s">
        <v>37676</v>
      </c>
      <c r="C1021" s="2">
        <v>22</v>
      </c>
      <c r="D1021" s="2">
        <v>341</v>
      </c>
      <c r="E1021" s="2">
        <v>132</v>
      </c>
      <c r="F1021" s="2">
        <v>32441</v>
      </c>
      <c r="G1021" s="2">
        <v>15.85581623</v>
      </c>
      <c r="H1021" s="3">
        <v>8.5700000000000004E-19</v>
      </c>
      <c r="I1021" s="2" t="s">
        <v>37677</v>
      </c>
      <c r="J1021" s="2" t="s">
        <v>37678</v>
      </c>
      <c r="K1021" s="3">
        <v>5.2800000000000003E-17</v>
      </c>
      <c r="L1021" s="2" t="s">
        <v>848</v>
      </c>
      <c r="M1021" s="4" t="s">
        <v>37679</v>
      </c>
    </row>
    <row r="1022" spans="1:13">
      <c r="A1022" s="2">
        <v>5407</v>
      </c>
      <c r="B1022" s="2" t="s">
        <v>28432</v>
      </c>
      <c r="C1022" s="2">
        <v>23</v>
      </c>
      <c r="D1022" s="2">
        <v>341</v>
      </c>
      <c r="E1022" s="2">
        <v>153</v>
      </c>
      <c r="F1022" s="2">
        <v>32441</v>
      </c>
      <c r="G1022" s="2">
        <v>14.30132444</v>
      </c>
      <c r="H1022" s="3">
        <v>1.0700000000000001E-18</v>
      </c>
      <c r="I1022" s="2" t="s">
        <v>37680</v>
      </c>
      <c r="J1022" s="2" t="s">
        <v>37681</v>
      </c>
      <c r="K1022" s="3">
        <v>6.4999999999999996E-17</v>
      </c>
      <c r="L1022" s="2" t="s">
        <v>848</v>
      </c>
      <c r="M1022" s="4" t="s">
        <v>28435</v>
      </c>
    </row>
    <row r="1023" spans="1:13">
      <c r="A1023" s="2">
        <v>4845</v>
      </c>
      <c r="B1023" s="2" t="s">
        <v>37682</v>
      </c>
      <c r="C1023" s="2">
        <v>17</v>
      </c>
      <c r="D1023" s="2">
        <v>341</v>
      </c>
      <c r="E1023" s="2">
        <v>58</v>
      </c>
      <c r="F1023" s="2">
        <v>32441</v>
      </c>
      <c r="G1023" s="2">
        <v>27.88436647</v>
      </c>
      <c r="H1023" s="3">
        <v>2.25E-18</v>
      </c>
      <c r="I1023" s="2" t="s">
        <v>37683</v>
      </c>
      <c r="J1023" s="2" t="s">
        <v>37684</v>
      </c>
      <c r="K1023" s="3">
        <v>1.3599999999999999E-16</v>
      </c>
      <c r="L1023" s="2" t="s">
        <v>848</v>
      </c>
      <c r="M1023" s="4" t="s">
        <v>37685</v>
      </c>
    </row>
    <row r="1024" spans="1:13">
      <c r="A1024" s="2">
        <v>6341</v>
      </c>
      <c r="B1024" s="2" t="s">
        <v>37686</v>
      </c>
      <c r="C1024" s="2">
        <v>21</v>
      </c>
      <c r="D1024" s="2">
        <v>341</v>
      </c>
      <c r="E1024" s="2">
        <v>123</v>
      </c>
      <c r="F1024" s="2">
        <v>32441</v>
      </c>
      <c r="G1024" s="2">
        <v>16.242543449999999</v>
      </c>
      <c r="H1024" s="3">
        <v>3.47E-18</v>
      </c>
      <c r="I1024" s="2" t="s">
        <v>37687</v>
      </c>
      <c r="J1024" s="2" t="s">
        <v>37688</v>
      </c>
      <c r="K1024" s="3">
        <v>2.0700000000000001E-16</v>
      </c>
      <c r="L1024" s="2" t="s">
        <v>848</v>
      </c>
      <c r="M1024" s="4" t="s">
        <v>37689</v>
      </c>
    </row>
    <row r="1025" spans="1:13">
      <c r="A1025" s="2">
        <v>3502</v>
      </c>
      <c r="B1025" s="2" t="s">
        <v>37690</v>
      </c>
      <c r="C1025" s="2">
        <v>17</v>
      </c>
      <c r="D1025" s="2">
        <v>341</v>
      </c>
      <c r="E1025" s="2">
        <v>60</v>
      </c>
      <c r="F1025" s="2">
        <v>32441</v>
      </c>
      <c r="G1025" s="2">
        <v>26.954887589999998</v>
      </c>
      <c r="H1025" s="3">
        <v>3.6599999999999998E-18</v>
      </c>
      <c r="I1025" s="2" t="s">
        <v>37691</v>
      </c>
      <c r="J1025" s="2" t="s">
        <v>37692</v>
      </c>
      <c r="K1025" s="3">
        <v>2.1600000000000001E-16</v>
      </c>
      <c r="L1025" s="2" t="s">
        <v>848</v>
      </c>
      <c r="M1025" s="4" t="s">
        <v>37693</v>
      </c>
    </row>
    <row r="1026" spans="1:13">
      <c r="A1026" s="2">
        <v>5697</v>
      </c>
      <c r="B1026" s="2" t="s">
        <v>10266</v>
      </c>
      <c r="C1026" s="2">
        <v>64</v>
      </c>
      <c r="D1026" s="2">
        <v>341</v>
      </c>
      <c r="E1026" s="2">
        <v>1737</v>
      </c>
      <c r="F1026" s="2">
        <v>32441</v>
      </c>
      <c r="G1026" s="2">
        <v>3.5052581639999998</v>
      </c>
      <c r="H1026" s="3">
        <v>4.6100000000000001E-18</v>
      </c>
      <c r="I1026" s="3" t="s">
        <v>37694</v>
      </c>
      <c r="J1026" s="3" t="s">
        <v>37695</v>
      </c>
      <c r="K1026" s="3">
        <v>2.7E-16</v>
      </c>
      <c r="L1026" s="2" t="s">
        <v>848</v>
      </c>
      <c r="M1026" s="4" t="s">
        <v>10269</v>
      </c>
    </row>
    <row r="1027" spans="1:13">
      <c r="A1027" s="2">
        <v>4853</v>
      </c>
      <c r="B1027" s="2" t="s">
        <v>37696</v>
      </c>
      <c r="C1027" s="2">
        <v>40</v>
      </c>
      <c r="D1027" s="2">
        <v>341</v>
      </c>
      <c r="E1027" s="2">
        <v>670</v>
      </c>
      <c r="F1027" s="2">
        <v>32441</v>
      </c>
      <c r="G1027" s="2">
        <v>5.6796953649999997</v>
      </c>
      <c r="H1027" s="3">
        <v>4.6899999999999997E-18</v>
      </c>
      <c r="I1027" s="2" t="s">
        <v>37697</v>
      </c>
      <c r="J1027" s="2" t="s">
        <v>37698</v>
      </c>
      <c r="K1027" s="3">
        <v>2.7199999999999998E-16</v>
      </c>
      <c r="L1027" s="2" t="s">
        <v>848</v>
      </c>
      <c r="M1027" s="4" t="s">
        <v>37699</v>
      </c>
    </row>
    <row r="1028" spans="1:13">
      <c r="A1028" s="2">
        <v>2310</v>
      </c>
      <c r="B1028" s="2" t="s">
        <v>37700</v>
      </c>
      <c r="C1028" s="2">
        <v>14</v>
      </c>
      <c r="D1028" s="2">
        <v>341</v>
      </c>
      <c r="E1028" s="2">
        <v>30</v>
      </c>
      <c r="F1028" s="2">
        <v>32441</v>
      </c>
      <c r="G1028" s="2">
        <v>44.396285429999999</v>
      </c>
      <c r="H1028" s="3">
        <v>1.15E-17</v>
      </c>
      <c r="I1028" s="2" t="s">
        <v>37701</v>
      </c>
      <c r="J1028" s="2" t="s">
        <v>37702</v>
      </c>
      <c r="K1028" s="3">
        <v>6.6300000000000003E-16</v>
      </c>
      <c r="L1028" s="2" t="s">
        <v>848</v>
      </c>
      <c r="M1028" s="4" t="s">
        <v>37703</v>
      </c>
    </row>
    <row r="1029" spans="1:13">
      <c r="A1029" s="2">
        <v>4118</v>
      </c>
      <c r="B1029" s="2" t="s">
        <v>37704</v>
      </c>
      <c r="C1029" s="2">
        <v>16</v>
      </c>
      <c r="D1029" s="2">
        <v>341</v>
      </c>
      <c r="E1029" s="2">
        <v>53</v>
      </c>
      <c r="F1029" s="2">
        <v>32441</v>
      </c>
      <c r="G1029" s="2">
        <v>28.71996901</v>
      </c>
      <c r="H1029" s="3">
        <v>1.5400000000000001E-17</v>
      </c>
      <c r="I1029" s="2" t="s">
        <v>37705</v>
      </c>
      <c r="J1029" s="2" t="s">
        <v>37706</v>
      </c>
      <c r="K1029" s="3">
        <v>8.6499999999999995E-16</v>
      </c>
      <c r="L1029" s="2" t="s">
        <v>848</v>
      </c>
      <c r="M1029" s="4" t="s">
        <v>37707</v>
      </c>
    </row>
    <row r="1030" spans="1:13">
      <c r="A1030" s="2">
        <v>5852</v>
      </c>
      <c r="B1030" s="2" t="s">
        <v>28893</v>
      </c>
      <c r="C1030" s="2">
        <v>16</v>
      </c>
      <c r="D1030" s="2">
        <v>341</v>
      </c>
      <c r="E1030" s="2">
        <v>53</v>
      </c>
      <c r="F1030" s="2">
        <v>32441</v>
      </c>
      <c r="G1030" s="2">
        <v>28.71996901</v>
      </c>
      <c r="H1030" s="3">
        <v>1.5400000000000001E-17</v>
      </c>
      <c r="I1030" s="2" t="s">
        <v>37708</v>
      </c>
      <c r="J1030" s="2" t="s">
        <v>37709</v>
      </c>
      <c r="K1030" s="3">
        <v>8.6499999999999995E-16</v>
      </c>
      <c r="L1030" s="2" t="s">
        <v>848</v>
      </c>
      <c r="M1030" s="4" t="s">
        <v>28896</v>
      </c>
    </row>
    <row r="1031" spans="1:13">
      <c r="A1031" s="2">
        <v>2118</v>
      </c>
      <c r="B1031" s="2" t="s">
        <v>30471</v>
      </c>
      <c r="C1031" s="2">
        <v>14</v>
      </c>
      <c r="D1031" s="2">
        <v>341</v>
      </c>
      <c r="E1031" s="2">
        <v>32</v>
      </c>
      <c r="F1031" s="2">
        <v>32441</v>
      </c>
      <c r="G1031" s="2">
        <v>41.621517599999997</v>
      </c>
      <c r="H1031" s="3">
        <v>2.3600000000000001E-17</v>
      </c>
      <c r="I1031" s="2" t="s">
        <v>37710</v>
      </c>
      <c r="J1031" s="2" t="s">
        <v>37711</v>
      </c>
      <c r="K1031" s="3">
        <v>1.32E-15</v>
      </c>
      <c r="L1031" s="2" t="s">
        <v>848</v>
      </c>
      <c r="M1031" s="4" t="s">
        <v>30474</v>
      </c>
    </row>
    <row r="1032" spans="1:13">
      <c r="A1032" s="2">
        <v>3493</v>
      </c>
      <c r="B1032" s="2" t="s">
        <v>28873</v>
      </c>
      <c r="C1032" s="2">
        <v>22</v>
      </c>
      <c r="D1032" s="2">
        <v>341</v>
      </c>
      <c r="E1032" s="2">
        <v>161</v>
      </c>
      <c r="F1032" s="2">
        <v>32441</v>
      </c>
      <c r="G1032" s="2">
        <v>12.999799640000001</v>
      </c>
      <c r="H1032" s="3">
        <v>3.7700000000000001E-17</v>
      </c>
      <c r="I1032" s="2" t="s">
        <v>37712</v>
      </c>
      <c r="J1032" s="2" t="s">
        <v>37713</v>
      </c>
      <c r="K1032" s="3">
        <v>2.0799999999999999E-15</v>
      </c>
      <c r="L1032" s="2" t="s">
        <v>848</v>
      </c>
      <c r="M1032" s="4" t="s">
        <v>28876</v>
      </c>
    </row>
    <row r="1033" spans="1:13">
      <c r="A1033" s="2">
        <v>599</v>
      </c>
      <c r="B1033" s="2" t="s">
        <v>37714</v>
      </c>
      <c r="C1033" s="2">
        <v>13</v>
      </c>
      <c r="D1033" s="2">
        <v>341</v>
      </c>
      <c r="E1033" s="2">
        <v>25</v>
      </c>
      <c r="F1033" s="2">
        <v>32441</v>
      </c>
      <c r="G1033" s="2">
        <v>49.470146630000002</v>
      </c>
      <c r="H1033" s="3">
        <v>5.6899999999999998E-17</v>
      </c>
      <c r="I1033" s="2" t="s">
        <v>37715</v>
      </c>
      <c r="J1033" s="2" t="s">
        <v>37716</v>
      </c>
      <c r="K1033" s="3">
        <v>3.1199999999999998E-15</v>
      </c>
      <c r="L1033" s="2" t="s">
        <v>848</v>
      </c>
      <c r="M1033" s="4" t="s">
        <v>37717</v>
      </c>
    </row>
    <row r="1034" spans="1:13">
      <c r="A1034" s="2">
        <v>1739</v>
      </c>
      <c r="B1034" s="2" t="s">
        <v>28334</v>
      </c>
      <c r="C1034" s="2">
        <v>35</v>
      </c>
      <c r="D1034" s="2">
        <v>341</v>
      </c>
      <c r="E1034" s="2">
        <v>539</v>
      </c>
      <c r="F1034" s="2">
        <v>32441</v>
      </c>
      <c r="G1034" s="2">
        <v>6.1775907380000001</v>
      </c>
      <c r="H1034" s="3">
        <v>5.7700000000000006E-17</v>
      </c>
      <c r="I1034" s="2" t="s">
        <v>37718</v>
      </c>
      <c r="J1034" s="2" t="s">
        <v>37719</v>
      </c>
      <c r="K1034" s="3">
        <v>3.13E-15</v>
      </c>
      <c r="L1034" s="2" t="s">
        <v>848</v>
      </c>
      <c r="M1034" s="4" t="s">
        <v>28337</v>
      </c>
    </row>
    <row r="1035" spans="1:13">
      <c r="A1035" s="2">
        <v>550</v>
      </c>
      <c r="B1035" s="2" t="s">
        <v>37720</v>
      </c>
      <c r="C1035" s="2">
        <v>16</v>
      </c>
      <c r="D1035" s="2">
        <v>341</v>
      </c>
      <c r="E1035" s="2">
        <v>61</v>
      </c>
      <c r="F1035" s="2">
        <v>32441</v>
      </c>
      <c r="G1035" s="2">
        <v>24.953415700000001</v>
      </c>
      <c r="H1035" s="3">
        <v>1.0200000000000001E-16</v>
      </c>
      <c r="I1035" s="2" t="s">
        <v>37721</v>
      </c>
      <c r="J1035" s="2" t="s">
        <v>37722</v>
      </c>
      <c r="K1035" s="3">
        <v>5.4700000000000001E-15</v>
      </c>
      <c r="L1035" s="2" t="s">
        <v>848</v>
      </c>
      <c r="M1035" s="4" t="s">
        <v>37723</v>
      </c>
    </row>
    <row r="1036" spans="1:13">
      <c r="A1036" s="2">
        <v>1309</v>
      </c>
      <c r="B1036" s="2" t="s">
        <v>30187</v>
      </c>
      <c r="C1036" s="2">
        <v>22</v>
      </c>
      <c r="D1036" s="2">
        <v>341</v>
      </c>
      <c r="E1036" s="2">
        <v>177</v>
      </c>
      <c r="F1036" s="2">
        <v>32441</v>
      </c>
      <c r="G1036" s="2">
        <v>11.82467651</v>
      </c>
      <c r="H1036" s="3">
        <v>2.2900000000000002E-16</v>
      </c>
      <c r="I1036" s="2" t="s">
        <v>37724</v>
      </c>
      <c r="J1036" s="2" t="s">
        <v>37725</v>
      </c>
      <c r="K1036" s="3">
        <v>1.2199999999999999E-14</v>
      </c>
      <c r="L1036" s="2" t="s">
        <v>848</v>
      </c>
      <c r="M1036" s="4" t="s">
        <v>30190</v>
      </c>
    </row>
    <row r="1037" spans="1:13">
      <c r="A1037" s="2">
        <v>3292</v>
      </c>
      <c r="B1037" s="2" t="s">
        <v>28560</v>
      </c>
      <c r="C1037" s="2">
        <v>26</v>
      </c>
      <c r="D1037" s="2">
        <v>341</v>
      </c>
      <c r="E1037" s="2">
        <v>278</v>
      </c>
      <c r="F1037" s="2">
        <v>32441</v>
      </c>
      <c r="G1037" s="2">
        <v>8.8975083860000002</v>
      </c>
      <c r="H1037" s="3">
        <v>2.3500000000000002E-16</v>
      </c>
      <c r="I1037" s="2" t="s">
        <v>37726</v>
      </c>
      <c r="J1037" s="2" t="s">
        <v>37727</v>
      </c>
      <c r="K1037" s="3">
        <v>1.23E-14</v>
      </c>
      <c r="L1037" s="2" t="s">
        <v>848</v>
      </c>
      <c r="M1037" s="4" t="s">
        <v>28563</v>
      </c>
    </row>
    <row r="1038" spans="1:13">
      <c r="A1038" s="2">
        <v>3485</v>
      </c>
      <c r="B1038" s="2" t="s">
        <v>37728</v>
      </c>
      <c r="C1038" s="2">
        <v>17</v>
      </c>
      <c r="D1038" s="2">
        <v>341</v>
      </c>
      <c r="E1038" s="2">
        <v>80</v>
      </c>
      <c r="F1038" s="2">
        <v>32441</v>
      </c>
      <c r="G1038" s="2">
        <v>20.21616569</v>
      </c>
      <c r="H1038" s="3">
        <v>2.3299999999999999E-16</v>
      </c>
      <c r="I1038" s="2" t="s">
        <v>37729</v>
      </c>
      <c r="J1038" s="2" t="s">
        <v>37730</v>
      </c>
      <c r="K1038" s="3">
        <v>1.23E-14</v>
      </c>
      <c r="L1038" s="2" t="s">
        <v>848</v>
      </c>
      <c r="M1038" s="4" t="s">
        <v>37731</v>
      </c>
    </row>
    <row r="1039" spans="1:13">
      <c r="A1039" s="2">
        <v>5742</v>
      </c>
      <c r="B1039" s="2" t="s">
        <v>28417</v>
      </c>
      <c r="C1039" s="2">
        <v>31</v>
      </c>
      <c r="D1039" s="2">
        <v>341</v>
      </c>
      <c r="E1039" s="2">
        <v>435</v>
      </c>
      <c r="F1039" s="2">
        <v>32441</v>
      </c>
      <c r="G1039" s="2">
        <v>6.7797283180000001</v>
      </c>
      <c r="H1039" s="3">
        <v>3.4700000000000002E-16</v>
      </c>
      <c r="I1039" s="2" t="s">
        <v>37732</v>
      </c>
      <c r="J1039" s="2" t="s">
        <v>37733</v>
      </c>
      <c r="K1039" s="3">
        <v>1.7999999999999999E-14</v>
      </c>
      <c r="L1039" s="2" t="s">
        <v>848</v>
      </c>
      <c r="M1039" s="4" t="s">
        <v>28420</v>
      </c>
    </row>
    <row r="1040" spans="1:13">
      <c r="A1040" s="2">
        <v>41701</v>
      </c>
      <c r="B1040" s="2" t="s">
        <v>37734</v>
      </c>
      <c r="C1040" s="2">
        <v>16</v>
      </c>
      <c r="D1040" s="2">
        <v>341</v>
      </c>
      <c r="E1040" s="2">
        <v>67</v>
      </c>
      <c r="F1040" s="2">
        <v>32441</v>
      </c>
      <c r="G1040" s="2">
        <v>22.718781459999999</v>
      </c>
      <c r="H1040" s="3">
        <v>3.64E-16</v>
      </c>
      <c r="I1040" s="2" t="s">
        <v>37735</v>
      </c>
      <c r="J1040" s="2" t="s">
        <v>37736</v>
      </c>
      <c r="K1040" s="3">
        <v>1.8699999999999999E-14</v>
      </c>
      <c r="L1040" s="2" t="s">
        <v>848</v>
      </c>
      <c r="M1040" s="4" t="s">
        <v>37737</v>
      </c>
    </row>
    <row r="1041" spans="1:13">
      <c r="A1041" s="2">
        <v>3211</v>
      </c>
      <c r="B1041" s="2" t="s">
        <v>29647</v>
      </c>
      <c r="C1041" s="2">
        <v>14</v>
      </c>
      <c r="D1041" s="2">
        <v>341</v>
      </c>
      <c r="E1041" s="2">
        <v>41</v>
      </c>
      <c r="F1041" s="2">
        <v>32441</v>
      </c>
      <c r="G1041" s="2">
        <v>32.485086899999999</v>
      </c>
      <c r="H1041" s="3">
        <v>3.9399999999999999E-16</v>
      </c>
      <c r="I1041" s="2" t="s">
        <v>37738</v>
      </c>
      <c r="J1041" s="2" t="s">
        <v>37739</v>
      </c>
      <c r="K1041" s="3">
        <v>2.0100000000000001E-14</v>
      </c>
      <c r="L1041" s="2" t="s">
        <v>848</v>
      </c>
      <c r="M1041" s="4" t="s">
        <v>29650</v>
      </c>
    </row>
    <row r="1042" spans="1:13">
      <c r="A1042" s="2">
        <v>2909</v>
      </c>
      <c r="B1042" s="2" t="s">
        <v>29200</v>
      </c>
      <c r="C1042" s="2">
        <v>17</v>
      </c>
      <c r="D1042" s="2">
        <v>341</v>
      </c>
      <c r="E1042" s="2">
        <v>84</v>
      </c>
      <c r="F1042" s="2">
        <v>32441</v>
      </c>
      <c r="G1042" s="2">
        <v>19.25349113</v>
      </c>
      <c r="H1042" s="3">
        <v>4.7600000000000004E-16</v>
      </c>
      <c r="I1042" s="2" t="s">
        <v>37740</v>
      </c>
      <c r="J1042" s="2" t="s">
        <v>37741</v>
      </c>
      <c r="K1042" s="3">
        <v>2.41E-14</v>
      </c>
      <c r="L1042" s="2" t="s">
        <v>848</v>
      </c>
      <c r="M1042" s="4" t="s">
        <v>29203</v>
      </c>
    </row>
    <row r="1043" spans="1:13">
      <c r="A1043" s="2">
        <v>4266</v>
      </c>
      <c r="B1043" s="2" t="s">
        <v>37742</v>
      </c>
      <c r="C1043" s="2">
        <v>14</v>
      </c>
      <c r="D1043" s="2">
        <v>341</v>
      </c>
      <c r="E1043" s="2">
        <v>42</v>
      </c>
      <c r="F1043" s="2">
        <v>32441</v>
      </c>
      <c r="G1043" s="2">
        <v>31.71163245</v>
      </c>
      <c r="H1043" s="3">
        <v>5.2099999999999999E-16</v>
      </c>
      <c r="I1043" s="2" t="s">
        <v>37743</v>
      </c>
      <c r="J1043" s="2" t="s">
        <v>37744</v>
      </c>
      <c r="K1043" s="3">
        <v>2.61E-14</v>
      </c>
      <c r="L1043" s="2" t="s">
        <v>848</v>
      </c>
      <c r="M1043" s="4" t="s">
        <v>37745</v>
      </c>
    </row>
    <row r="1044" spans="1:13">
      <c r="A1044" s="2">
        <v>445</v>
      </c>
      <c r="B1044" s="2" t="s">
        <v>30369</v>
      </c>
      <c r="C1044" s="2">
        <v>16</v>
      </c>
      <c r="D1044" s="2">
        <v>341</v>
      </c>
      <c r="E1044" s="2">
        <v>74</v>
      </c>
      <c r="F1044" s="2">
        <v>32441</v>
      </c>
      <c r="G1044" s="2">
        <v>20.56970754</v>
      </c>
      <c r="H1044" s="3">
        <v>1.41E-15</v>
      </c>
      <c r="I1044" s="2" t="s">
        <v>37746</v>
      </c>
      <c r="J1044" s="2" t="s">
        <v>37747</v>
      </c>
      <c r="K1044" s="3">
        <v>7.0300000000000001E-14</v>
      </c>
      <c r="L1044" s="2" t="s">
        <v>848</v>
      </c>
      <c r="M1044" s="4" t="s">
        <v>30372</v>
      </c>
    </row>
    <row r="1045" spans="1:13">
      <c r="A1045" s="2">
        <v>4920</v>
      </c>
      <c r="B1045" s="2" t="s">
        <v>979</v>
      </c>
      <c r="C1045" s="2">
        <v>41</v>
      </c>
      <c r="D1045" s="2">
        <v>341</v>
      </c>
      <c r="E1045" s="2">
        <v>848</v>
      </c>
      <c r="F1045" s="2">
        <v>32441</v>
      </c>
      <c r="G1045" s="2">
        <v>4.5996825369999996</v>
      </c>
      <c r="H1045" s="3">
        <v>1.8000000000000001E-15</v>
      </c>
      <c r="I1045" s="2" t="s">
        <v>37748</v>
      </c>
      <c r="J1045" s="2" t="s">
        <v>37749</v>
      </c>
      <c r="K1045" s="3">
        <v>8.8700000000000003E-14</v>
      </c>
      <c r="L1045" s="2" t="s">
        <v>848</v>
      </c>
      <c r="M1045" s="4" t="s">
        <v>28406</v>
      </c>
    </row>
    <row r="1046" spans="1:13">
      <c r="A1046" s="2">
        <v>5630</v>
      </c>
      <c r="B1046" s="2" t="s">
        <v>29337</v>
      </c>
      <c r="C1046" s="2">
        <v>22</v>
      </c>
      <c r="D1046" s="2">
        <v>341</v>
      </c>
      <c r="E1046" s="2">
        <v>201</v>
      </c>
      <c r="F1046" s="2">
        <v>32441</v>
      </c>
      <c r="G1046" s="2">
        <v>10.412774840000001</v>
      </c>
      <c r="H1046" s="3">
        <v>2.5600000000000002E-15</v>
      </c>
      <c r="I1046" s="2" t="s">
        <v>37750</v>
      </c>
      <c r="J1046" s="2" t="s">
        <v>37751</v>
      </c>
      <c r="K1046" s="3">
        <v>1.25E-13</v>
      </c>
      <c r="L1046" s="2" t="s">
        <v>848</v>
      </c>
      <c r="M1046" s="4" t="s">
        <v>29340</v>
      </c>
    </row>
    <row r="1047" spans="1:13">
      <c r="A1047" s="2">
        <v>8172</v>
      </c>
      <c r="B1047" s="2" t="s">
        <v>9881</v>
      </c>
      <c r="C1047" s="2">
        <v>43</v>
      </c>
      <c r="D1047" s="2">
        <v>341</v>
      </c>
      <c r="E1047" s="2">
        <v>946</v>
      </c>
      <c r="F1047" s="2">
        <v>32441</v>
      </c>
      <c r="G1047" s="2">
        <v>4.3243135160000001</v>
      </c>
      <c r="H1047" s="3">
        <v>2.77E-15</v>
      </c>
      <c r="I1047" s="2" t="s">
        <v>37752</v>
      </c>
      <c r="J1047" s="2" t="s">
        <v>37753</v>
      </c>
      <c r="K1047" s="3">
        <v>1.3400000000000001E-13</v>
      </c>
      <c r="L1047" s="2" t="s">
        <v>848</v>
      </c>
      <c r="M1047" s="4" t="s">
        <v>9882</v>
      </c>
    </row>
    <row r="1048" spans="1:13">
      <c r="A1048" s="2">
        <v>4034</v>
      </c>
      <c r="B1048" s="2" t="s">
        <v>37754</v>
      </c>
      <c r="C1048" s="2">
        <v>12</v>
      </c>
      <c r="D1048" s="2">
        <v>341</v>
      </c>
      <c r="E1048" s="2">
        <v>27</v>
      </c>
      <c r="F1048" s="2">
        <v>32441</v>
      </c>
      <c r="G1048" s="2">
        <v>42.2821766</v>
      </c>
      <c r="H1048" s="3">
        <v>4.0199999999999998E-15</v>
      </c>
      <c r="I1048" s="2" t="s">
        <v>37755</v>
      </c>
      <c r="J1048" s="2" t="s">
        <v>37756</v>
      </c>
      <c r="K1048" s="3">
        <v>1.9300000000000001E-13</v>
      </c>
      <c r="L1048" s="2" t="s">
        <v>848</v>
      </c>
      <c r="M1048" s="4" t="s">
        <v>37757</v>
      </c>
    </row>
    <row r="1049" spans="1:13">
      <c r="A1049" s="2">
        <v>738</v>
      </c>
      <c r="B1049" s="2" t="s">
        <v>29665</v>
      </c>
      <c r="C1049" s="2">
        <v>21</v>
      </c>
      <c r="D1049" s="2">
        <v>341</v>
      </c>
      <c r="E1049" s="2">
        <v>185</v>
      </c>
      <c r="F1049" s="2">
        <v>32441</v>
      </c>
      <c r="G1049" s="2">
        <v>10.799096459999999</v>
      </c>
      <c r="H1049" s="3">
        <v>5.7599999999999997E-15</v>
      </c>
      <c r="I1049" s="2" t="s">
        <v>37758</v>
      </c>
      <c r="J1049" s="2" t="s">
        <v>37759</v>
      </c>
      <c r="K1049" s="3">
        <v>2.7499999999999999E-13</v>
      </c>
      <c r="L1049" s="2" t="s">
        <v>848</v>
      </c>
      <c r="M1049" s="4" t="s">
        <v>29668</v>
      </c>
    </row>
    <row r="1050" spans="1:13">
      <c r="A1050" s="2">
        <v>2992</v>
      </c>
      <c r="B1050" s="2" t="s">
        <v>29132</v>
      </c>
      <c r="C1050" s="2">
        <v>20</v>
      </c>
      <c r="D1050" s="2">
        <v>341</v>
      </c>
      <c r="E1050" s="2">
        <v>162</v>
      </c>
      <c r="F1050" s="2">
        <v>32441</v>
      </c>
      <c r="G1050" s="2">
        <v>11.745049059999999</v>
      </c>
      <c r="H1050" s="3">
        <v>6.0699999999999996E-15</v>
      </c>
      <c r="I1050" s="2" t="s">
        <v>37760</v>
      </c>
      <c r="J1050" s="2" t="s">
        <v>37761</v>
      </c>
      <c r="K1050" s="3">
        <v>2.85E-13</v>
      </c>
      <c r="L1050" s="2" t="s">
        <v>848</v>
      </c>
      <c r="M1050" s="4" t="s">
        <v>29135</v>
      </c>
    </row>
    <row r="1051" spans="1:13">
      <c r="A1051" s="2">
        <v>4890</v>
      </c>
      <c r="B1051" s="2" t="s">
        <v>29265</v>
      </c>
      <c r="C1051" s="2">
        <v>20</v>
      </c>
      <c r="D1051" s="2">
        <v>341</v>
      </c>
      <c r="E1051" s="2">
        <v>162</v>
      </c>
      <c r="F1051" s="2">
        <v>32441</v>
      </c>
      <c r="G1051" s="2">
        <v>11.745049059999999</v>
      </c>
      <c r="H1051" s="3">
        <v>6.0699999999999996E-15</v>
      </c>
      <c r="I1051" s="2" t="s">
        <v>37762</v>
      </c>
      <c r="J1051" s="2" t="s">
        <v>37763</v>
      </c>
      <c r="K1051" s="3">
        <v>2.85E-13</v>
      </c>
      <c r="L1051" s="2" t="s">
        <v>848</v>
      </c>
      <c r="M1051" s="4" t="s">
        <v>29268</v>
      </c>
    </row>
    <row r="1052" spans="1:13">
      <c r="A1052" s="2">
        <v>2359</v>
      </c>
      <c r="B1052" s="2" t="s">
        <v>29164</v>
      </c>
      <c r="C1052" s="2">
        <v>17</v>
      </c>
      <c r="D1052" s="2">
        <v>341</v>
      </c>
      <c r="E1052" s="2">
        <v>100</v>
      </c>
      <c r="F1052" s="2">
        <v>32441</v>
      </c>
      <c r="G1052" s="2">
        <v>16.172932549999999</v>
      </c>
      <c r="H1052" s="3">
        <v>6.12E-15</v>
      </c>
      <c r="I1052" s="2" t="s">
        <v>37764</v>
      </c>
      <c r="J1052" s="2" t="s">
        <v>37765</v>
      </c>
      <c r="K1052" s="3">
        <v>2.85E-13</v>
      </c>
      <c r="L1052" s="2" t="s">
        <v>848</v>
      </c>
      <c r="M1052" s="4" t="s">
        <v>29167</v>
      </c>
    </row>
    <row r="1053" spans="1:13">
      <c r="A1053" s="2">
        <v>1266</v>
      </c>
      <c r="B1053" s="2" t="s">
        <v>37766</v>
      </c>
      <c r="C1053" s="2">
        <v>14</v>
      </c>
      <c r="D1053" s="2">
        <v>341</v>
      </c>
      <c r="E1053" s="2">
        <v>53</v>
      </c>
      <c r="F1053" s="2">
        <v>32441</v>
      </c>
      <c r="G1053" s="2">
        <v>25.129972890000001</v>
      </c>
      <c r="H1053" s="3">
        <v>7.9199999999999993E-15</v>
      </c>
      <c r="I1053" s="2" t="s">
        <v>37767</v>
      </c>
      <c r="J1053" s="2" t="s">
        <v>37768</v>
      </c>
      <c r="K1053" s="3">
        <v>3.6600000000000001E-13</v>
      </c>
      <c r="L1053" s="2" t="s">
        <v>848</v>
      </c>
      <c r="M1053" s="4" t="s">
        <v>37769</v>
      </c>
    </row>
    <row r="1054" spans="1:13">
      <c r="A1054" s="2">
        <v>35721</v>
      </c>
      <c r="B1054" s="2" t="s">
        <v>30701</v>
      </c>
      <c r="C1054" s="2">
        <v>16</v>
      </c>
      <c r="D1054" s="2">
        <v>341</v>
      </c>
      <c r="E1054" s="2">
        <v>84</v>
      </c>
      <c r="F1054" s="2">
        <v>32441</v>
      </c>
      <c r="G1054" s="2">
        <v>18.120932830000001</v>
      </c>
      <c r="H1054" s="3">
        <v>8.0800000000000003E-15</v>
      </c>
      <c r="I1054" s="2" t="s">
        <v>37770</v>
      </c>
      <c r="J1054" s="2" t="s">
        <v>37771</v>
      </c>
      <c r="K1054" s="3">
        <v>3.6999999999999999E-13</v>
      </c>
      <c r="L1054" s="2" t="s">
        <v>848</v>
      </c>
      <c r="M1054" s="4" t="s">
        <v>30704</v>
      </c>
    </row>
    <row r="1055" spans="1:13">
      <c r="A1055" s="2">
        <v>5631</v>
      </c>
      <c r="B1055" s="2" t="s">
        <v>29168</v>
      </c>
      <c r="C1055" s="2">
        <v>24</v>
      </c>
      <c r="D1055" s="2">
        <v>341</v>
      </c>
      <c r="E1055" s="2">
        <v>273</v>
      </c>
      <c r="F1055" s="2">
        <v>32441</v>
      </c>
      <c r="G1055" s="2">
        <v>8.3635074599999992</v>
      </c>
      <c r="H1055" s="3">
        <v>1.2199999999999999E-14</v>
      </c>
      <c r="I1055" s="2" t="s">
        <v>37772</v>
      </c>
      <c r="J1055" s="2" t="s">
        <v>37773</v>
      </c>
      <c r="K1055" s="3">
        <v>5.5299999999999997E-13</v>
      </c>
      <c r="L1055" s="2" t="s">
        <v>848</v>
      </c>
      <c r="M1055" s="4" t="s">
        <v>29171</v>
      </c>
    </row>
    <row r="1056" spans="1:13">
      <c r="A1056" s="2">
        <v>4546</v>
      </c>
      <c r="B1056" s="2" t="s">
        <v>37774</v>
      </c>
      <c r="C1056" s="2">
        <v>14</v>
      </c>
      <c r="D1056" s="2">
        <v>341</v>
      </c>
      <c r="E1056" s="2">
        <v>55</v>
      </c>
      <c r="F1056" s="2">
        <v>32441</v>
      </c>
      <c r="G1056" s="2">
        <v>24.216155690000001</v>
      </c>
      <c r="H1056" s="3">
        <v>1.23E-14</v>
      </c>
      <c r="I1056" s="2" t="s">
        <v>37775</v>
      </c>
      <c r="J1056" s="2" t="s">
        <v>37776</v>
      </c>
      <c r="K1056" s="3">
        <v>5.5499999999999996E-13</v>
      </c>
      <c r="L1056" s="2" t="s">
        <v>848</v>
      </c>
      <c r="M1056" s="4" t="s">
        <v>37777</v>
      </c>
    </row>
    <row r="1057" spans="1:13">
      <c r="A1057" s="2">
        <v>31921</v>
      </c>
      <c r="B1057" s="2" t="s">
        <v>37778</v>
      </c>
      <c r="C1057" s="2">
        <v>15</v>
      </c>
      <c r="D1057" s="2">
        <v>341</v>
      </c>
      <c r="E1057" s="2">
        <v>70</v>
      </c>
      <c r="F1057" s="2">
        <v>32441</v>
      </c>
      <c r="G1057" s="2">
        <v>20.38604943</v>
      </c>
      <c r="H1057" s="3">
        <v>1.24E-14</v>
      </c>
      <c r="I1057" s="2" t="s">
        <v>37779</v>
      </c>
      <c r="J1057" s="2" t="s">
        <v>37780</v>
      </c>
      <c r="K1057" s="3">
        <v>5.5499999999999996E-13</v>
      </c>
      <c r="L1057" s="2" t="s">
        <v>848</v>
      </c>
      <c r="M1057" s="4" t="s">
        <v>37781</v>
      </c>
    </row>
    <row r="1058" spans="1:13">
      <c r="A1058" s="2">
        <v>405</v>
      </c>
      <c r="B1058" s="2" t="s">
        <v>37782</v>
      </c>
      <c r="C1058" s="2">
        <v>12</v>
      </c>
      <c r="D1058" s="2">
        <v>341</v>
      </c>
      <c r="E1058" s="2">
        <v>31</v>
      </c>
      <c r="F1058" s="2">
        <v>32441</v>
      </c>
      <c r="G1058" s="2">
        <v>36.826411880000002</v>
      </c>
      <c r="H1058" s="3">
        <v>1.5200000000000001E-14</v>
      </c>
      <c r="I1058" s="2" t="s">
        <v>37783</v>
      </c>
      <c r="J1058" s="2" t="s">
        <v>37784</v>
      </c>
      <c r="K1058" s="3">
        <v>6.7600000000000005E-13</v>
      </c>
      <c r="L1058" s="2" t="s">
        <v>848</v>
      </c>
      <c r="M1058" s="4" t="s">
        <v>37785</v>
      </c>
    </row>
    <row r="1059" spans="1:13">
      <c r="A1059" s="2">
        <v>5143</v>
      </c>
      <c r="B1059" s="2" t="s">
        <v>28973</v>
      </c>
      <c r="C1059" s="2">
        <v>25</v>
      </c>
      <c r="D1059" s="2">
        <v>341</v>
      </c>
      <c r="E1059" s="2">
        <v>313</v>
      </c>
      <c r="F1059" s="2">
        <v>32441</v>
      </c>
      <c r="G1059" s="2">
        <v>7.5986339740000002</v>
      </c>
      <c r="H1059" s="3">
        <v>2.5599999999999999E-14</v>
      </c>
      <c r="I1059" s="2" t="s">
        <v>37786</v>
      </c>
      <c r="J1059" s="2" t="s">
        <v>37787</v>
      </c>
      <c r="K1059" s="3">
        <v>1.13E-12</v>
      </c>
      <c r="L1059" s="2" t="s">
        <v>848</v>
      </c>
      <c r="M1059" s="4" t="s">
        <v>28976</v>
      </c>
    </row>
    <row r="1060" spans="1:13">
      <c r="A1060" s="2">
        <v>1743</v>
      </c>
      <c r="B1060" s="2" t="s">
        <v>37788</v>
      </c>
      <c r="C1060" s="2">
        <v>18</v>
      </c>
      <c r="D1060" s="2">
        <v>341</v>
      </c>
      <c r="E1060" s="2">
        <v>132</v>
      </c>
      <c r="F1060" s="2">
        <v>32441</v>
      </c>
      <c r="G1060" s="2">
        <v>12.972940550000001</v>
      </c>
      <c r="H1060" s="3">
        <v>2.9899999999999998E-14</v>
      </c>
      <c r="I1060" s="2" t="s">
        <v>37789</v>
      </c>
      <c r="J1060" s="2" t="s">
        <v>37790</v>
      </c>
      <c r="K1060" s="3">
        <v>1.3100000000000001E-12</v>
      </c>
      <c r="L1060" s="2" t="s">
        <v>848</v>
      </c>
      <c r="M1060" s="4" t="s">
        <v>37791</v>
      </c>
    </row>
    <row r="1061" spans="1:13">
      <c r="A1061" s="2">
        <v>23191</v>
      </c>
      <c r="B1061" s="2" t="s">
        <v>29347</v>
      </c>
      <c r="C1061" s="2">
        <v>28</v>
      </c>
      <c r="D1061" s="2">
        <v>341</v>
      </c>
      <c r="E1061" s="2">
        <v>413</v>
      </c>
      <c r="F1061" s="2">
        <v>32441</v>
      </c>
      <c r="G1061" s="2">
        <v>6.4498235499999996</v>
      </c>
      <c r="H1061" s="3">
        <v>3.17E-14</v>
      </c>
      <c r="I1061" s="2" t="s">
        <v>37792</v>
      </c>
      <c r="J1061" s="2" t="s">
        <v>37793</v>
      </c>
      <c r="K1061" s="3">
        <v>1.38E-12</v>
      </c>
      <c r="L1061" s="2" t="s">
        <v>848</v>
      </c>
      <c r="M1061" s="4" t="s">
        <v>29350</v>
      </c>
    </row>
    <row r="1062" spans="1:13">
      <c r="A1062" s="2">
        <v>2358</v>
      </c>
      <c r="B1062" s="2" t="s">
        <v>1055</v>
      </c>
      <c r="C1062" s="2">
        <v>30</v>
      </c>
      <c r="D1062" s="2">
        <v>341</v>
      </c>
      <c r="E1062" s="2">
        <v>495</v>
      </c>
      <c r="F1062" s="2">
        <v>32441</v>
      </c>
      <c r="G1062" s="2">
        <v>5.7657513549999999</v>
      </c>
      <c r="H1062" s="3">
        <v>5.8799999999999999E-14</v>
      </c>
      <c r="I1062" s="2" t="s">
        <v>37794</v>
      </c>
      <c r="J1062" s="2" t="s">
        <v>37795</v>
      </c>
      <c r="K1062" s="3">
        <v>2.5400000000000001E-12</v>
      </c>
      <c r="L1062" s="2" t="s">
        <v>848</v>
      </c>
      <c r="M1062" s="4" t="s">
        <v>29283</v>
      </c>
    </row>
    <row r="1063" spans="1:13">
      <c r="A1063" s="2">
        <v>4749</v>
      </c>
      <c r="B1063" s="2" t="s">
        <v>37796</v>
      </c>
      <c r="C1063" s="2">
        <v>11</v>
      </c>
      <c r="D1063" s="2">
        <v>341</v>
      </c>
      <c r="E1063" s="2">
        <v>27</v>
      </c>
      <c r="F1063" s="2">
        <v>32441</v>
      </c>
      <c r="G1063" s="2">
        <v>38.758661889999999</v>
      </c>
      <c r="H1063" s="3">
        <v>1.2300000000000001E-13</v>
      </c>
      <c r="I1063" s="2" t="s">
        <v>37797</v>
      </c>
      <c r="J1063" s="2" t="s">
        <v>37798</v>
      </c>
      <c r="K1063" s="3">
        <v>5.27E-12</v>
      </c>
      <c r="L1063" s="2" t="s">
        <v>848</v>
      </c>
      <c r="M1063" s="4" t="s">
        <v>37799</v>
      </c>
    </row>
    <row r="1064" spans="1:13">
      <c r="A1064" s="2">
        <v>4652</v>
      </c>
      <c r="B1064" s="2" t="s">
        <v>37800</v>
      </c>
      <c r="C1064" s="2">
        <v>12</v>
      </c>
      <c r="D1064" s="2">
        <v>341</v>
      </c>
      <c r="E1064" s="2">
        <v>39</v>
      </c>
      <c r="F1064" s="2">
        <v>32441</v>
      </c>
      <c r="G1064" s="2">
        <v>29.27227611</v>
      </c>
      <c r="H1064" s="3">
        <v>1.4600000000000001E-13</v>
      </c>
      <c r="I1064" s="2" t="s">
        <v>37801</v>
      </c>
      <c r="J1064" s="2" t="s">
        <v>37802</v>
      </c>
      <c r="K1064" s="3">
        <v>6.2199999999999997E-12</v>
      </c>
      <c r="L1064" s="2" t="s">
        <v>848</v>
      </c>
      <c r="M1064" s="4" t="s">
        <v>37803</v>
      </c>
    </row>
    <row r="1065" spans="1:13">
      <c r="A1065" s="2">
        <v>7751</v>
      </c>
      <c r="B1065" s="2" t="s">
        <v>29369</v>
      </c>
      <c r="C1065" s="2">
        <v>16</v>
      </c>
      <c r="D1065" s="2">
        <v>341</v>
      </c>
      <c r="E1065" s="2">
        <v>104</v>
      </c>
      <c r="F1065" s="2">
        <v>32441</v>
      </c>
      <c r="G1065" s="2">
        <v>14.63613806</v>
      </c>
      <c r="H1065" s="3">
        <v>1.54E-13</v>
      </c>
      <c r="I1065" s="2" t="s">
        <v>37804</v>
      </c>
      <c r="J1065" s="2" t="s">
        <v>37805</v>
      </c>
      <c r="K1065" s="3">
        <v>6.5299999999999998E-12</v>
      </c>
      <c r="L1065" s="2" t="s">
        <v>848</v>
      </c>
      <c r="M1065" s="4" t="s">
        <v>29372</v>
      </c>
    </row>
    <row r="1066" spans="1:13">
      <c r="A1066" s="2">
        <v>2072</v>
      </c>
      <c r="B1066" s="2" t="s">
        <v>29560</v>
      </c>
      <c r="C1066" s="2">
        <v>18</v>
      </c>
      <c r="D1066" s="2">
        <v>341</v>
      </c>
      <c r="E1066" s="2">
        <v>147</v>
      </c>
      <c r="F1066" s="2">
        <v>32441</v>
      </c>
      <c r="G1066" s="2">
        <v>11.649171109999999</v>
      </c>
      <c r="H1066" s="3">
        <v>1.6E-13</v>
      </c>
      <c r="I1066" s="2" t="s">
        <v>37806</v>
      </c>
      <c r="J1066" s="2" t="s">
        <v>37807</v>
      </c>
      <c r="K1066" s="3">
        <v>6.7000000000000001E-12</v>
      </c>
      <c r="L1066" s="2" t="s">
        <v>848</v>
      </c>
      <c r="M1066" s="4" t="s">
        <v>29563</v>
      </c>
    </row>
    <row r="1067" spans="1:13">
      <c r="A1067" s="2">
        <v>3646</v>
      </c>
      <c r="B1067" s="2" t="s">
        <v>29359</v>
      </c>
      <c r="C1067" s="2">
        <v>18</v>
      </c>
      <c r="D1067" s="2">
        <v>341</v>
      </c>
      <c r="E1067" s="2">
        <v>150</v>
      </c>
      <c r="F1067" s="2">
        <v>32441</v>
      </c>
      <c r="G1067" s="2">
        <v>11.41618768</v>
      </c>
      <c r="H1067" s="3">
        <v>2.19E-13</v>
      </c>
      <c r="I1067" s="2" t="s">
        <v>37808</v>
      </c>
      <c r="J1067" s="2" t="s">
        <v>37809</v>
      </c>
      <c r="K1067" s="3">
        <v>9.1099999999999998E-12</v>
      </c>
      <c r="L1067" s="2" t="s">
        <v>848</v>
      </c>
      <c r="M1067" s="4" t="s">
        <v>29362</v>
      </c>
    </row>
    <row r="1068" spans="1:13">
      <c r="A1068" s="2">
        <v>1421</v>
      </c>
      <c r="B1068" s="2" t="s">
        <v>37810</v>
      </c>
      <c r="C1068" s="2">
        <v>15</v>
      </c>
      <c r="D1068" s="2">
        <v>341</v>
      </c>
      <c r="E1068" s="2">
        <v>88</v>
      </c>
      <c r="F1068" s="2">
        <v>32441</v>
      </c>
      <c r="G1068" s="2">
        <v>16.21617569</v>
      </c>
      <c r="H1068" s="3">
        <v>2.37E-13</v>
      </c>
      <c r="I1068" s="2" t="s">
        <v>37811</v>
      </c>
      <c r="J1068" s="2" t="s">
        <v>37812</v>
      </c>
      <c r="K1068" s="3">
        <v>9.8199999999999998E-12</v>
      </c>
      <c r="L1068" s="2" t="s">
        <v>848</v>
      </c>
      <c r="M1068" s="4" t="s">
        <v>37813</v>
      </c>
    </row>
    <row r="1069" spans="1:13">
      <c r="A1069" s="2">
        <v>4476</v>
      </c>
      <c r="B1069" s="2" t="s">
        <v>30529</v>
      </c>
      <c r="C1069" s="2">
        <v>13</v>
      </c>
      <c r="D1069" s="2">
        <v>341</v>
      </c>
      <c r="E1069" s="2">
        <v>55</v>
      </c>
      <c r="F1069" s="2">
        <v>32441</v>
      </c>
      <c r="G1069" s="2">
        <v>22.486430290000001</v>
      </c>
      <c r="H1069" s="3">
        <v>2.49E-13</v>
      </c>
      <c r="I1069" s="2" t="s">
        <v>37814</v>
      </c>
      <c r="J1069" s="2" t="s">
        <v>37815</v>
      </c>
      <c r="K1069" s="3">
        <v>1.0199999999999999E-11</v>
      </c>
      <c r="L1069" s="2" t="s">
        <v>848</v>
      </c>
      <c r="M1069" s="4" t="s">
        <v>30532</v>
      </c>
    </row>
    <row r="1070" spans="1:13">
      <c r="A1070" s="2">
        <v>4794</v>
      </c>
      <c r="B1070" s="2" t="s">
        <v>37816</v>
      </c>
      <c r="C1070" s="2">
        <v>9</v>
      </c>
      <c r="D1070" s="2">
        <v>341</v>
      </c>
      <c r="E1070" s="2">
        <v>12</v>
      </c>
      <c r="F1070" s="2">
        <v>32441</v>
      </c>
      <c r="G1070" s="2">
        <v>71.351173020000004</v>
      </c>
      <c r="H1070" s="3">
        <v>3.3800000000000002E-13</v>
      </c>
      <c r="I1070" s="2" t="s">
        <v>37817</v>
      </c>
      <c r="J1070" s="2" t="s">
        <v>37818</v>
      </c>
      <c r="K1070" s="3">
        <v>1.38E-11</v>
      </c>
      <c r="L1070" s="2" t="s">
        <v>848</v>
      </c>
      <c r="M1070" s="4" t="s">
        <v>37819</v>
      </c>
    </row>
    <row r="1071" spans="1:13">
      <c r="A1071" s="2">
        <v>4438</v>
      </c>
      <c r="B1071" s="2" t="s">
        <v>30431</v>
      </c>
      <c r="C1071" s="2">
        <v>17</v>
      </c>
      <c r="D1071" s="2">
        <v>341</v>
      </c>
      <c r="E1071" s="2">
        <v>132</v>
      </c>
      <c r="F1071" s="2">
        <v>32441</v>
      </c>
      <c r="G1071" s="2">
        <v>12.252221629999999</v>
      </c>
      <c r="H1071" s="3">
        <v>3.6300000000000002E-13</v>
      </c>
      <c r="I1071" s="2" t="s">
        <v>37820</v>
      </c>
      <c r="J1071" s="2" t="s">
        <v>37821</v>
      </c>
      <c r="K1071" s="3">
        <v>1.4700000000000002E-11</v>
      </c>
      <c r="L1071" s="2" t="s">
        <v>848</v>
      </c>
      <c r="M1071" s="4" t="s">
        <v>30434</v>
      </c>
    </row>
    <row r="1072" spans="1:13">
      <c r="A1072" s="2">
        <v>5575</v>
      </c>
      <c r="B1072" s="2" t="s">
        <v>37822</v>
      </c>
      <c r="C1072" s="2">
        <v>9</v>
      </c>
      <c r="D1072" s="2">
        <v>341</v>
      </c>
      <c r="E1072" s="2">
        <v>13</v>
      </c>
      <c r="F1072" s="2">
        <v>32441</v>
      </c>
      <c r="G1072" s="2">
        <v>65.862621250000004</v>
      </c>
      <c r="H1072" s="3">
        <v>5.6700000000000001E-13</v>
      </c>
      <c r="I1072" s="2" t="s">
        <v>37823</v>
      </c>
      <c r="J1072" s="2" t="s">
        <v>37824</v>
      </c>
      <c r="K1072" s="3">
        <v>2.2800000000000001E-11</v>
      </c>
      <c r="L1072" s="2" t="s">
        <v>848</v>
      </c>
      <c r="M1072" s="4" t="s">
        <v>37825</v>
      </c>
    </row>
    <row r="1073" spans="1:13">
      <c r="A1073" s="2">
        <v>1919</v>
      </c>
      <c r="B1073" s="2" t="s">
        <v>29731</v>
      </c>
      <c r="C1073" s="2">
        <v>12</v>
      </c>
      <c r="D1073" s="2">
        <v>341</v>
      </c>
      <c r="E1073" s="2">
        <v>45</v>
      </c>
      <c r="F1073" s="2">
        <v>32441</v>
      </c>
      <c r="G1073" s="2">
        <v>25.369305959999998</v>
      </c>
      <c r="H1073" s="3">
        <v>6.15E-13</v>
      </c>
      <c r="I1073" s="2" t="s">
        <v>37826</v>
      </c>
      <c r="J1073" s="2" t="s">
        <v>37827</v>
      </c>
      <c r="K1073" s="3">
        <v>2.4600000000000001E-11</v>
      </c>
      <c r="L1073" s="2" t="s">
        <v>848</v>
      </c>
      <c r="M1073" s="4" t="s">
        <v>29734</v>
      </c>
    </row>
    <row r="1074" spans="1:13">
      <c r="A1074" s="2">
        <v>457</v>
      </c>
      <c r="B1074" s="2" t="s">
        <v>37828</v>
      </c>
      <c r="C1074" s="2">
        <v>14</v>
      </c>
      <c r="D1074" s="2">
        <v>341</v>
      </c>
      <c r="E1074" s="2">
        <v>77</v>
      </c>
      <c r="F1074" s="2">
        <v>32441</v>
      </c>
      <c r="G1074" s="2">
        <v>17.297254070000001</v>
      </c>
      <c r="H1074" s="3">
        <v>6.9099999999999998E-13</v>
      </c>
      <c r="I1074" s="2" t="s">
        <v>37829</v>
      </c>
      <c r="J1074" s="2" t="s">
        <v>37830</v>
      </c>
      <c r="K1074" s="3">
        <v>2.74E-11</v>
      </c>
      <c r="L1074" s="2" t="s">
        <v>848</v>
      </c>
      <c r="M1074" s="4" t="s">
        <v>37831</v>
      </c>
    </row>
    <row r="1075" spans="1:13">
      <c r="A1075" s="2">
        <v>5295</v>
      </c>
      <c r="B1075" s="2" t="s">
        <v>37832</v>
      </c>
      <c r="C1075" s="2">
        <v>13</v>
      </c>
      <c r="D1075" s="2">
        <v>341</v>
      </c>
      <c r="E1075" s="2">
        <v>63</v>
      </c>
      <c r="F1075" s="2">
        <v>32441</v>
      </c>
      <c r="G1075" s="2">
        <v>19.631010570000001</v>
      </c>
      <c r="H1075" s="3">
        <v>1.13E-12</v>
      </c>
      <c r="I1075" s="2" t="s">
        <v>37833</v>
      </c>
      <c r="J1075" s="2" t="s">
        <v>37834</v>
      </c>
      <c r="K1075" s="3">
        <v>4.4400000000000003E-11</v>
      </c>
      <c r="L1075" s="2" t="s">
        <v>848</v>
      </c>
      <c r="M1075" s="4" t="s">
        <v>37835</v>
      </c>
    </row>
    <row r="1076" spans="1:13">
      <c r="A1076" s="2">
        <v>138</v>
      </c>
      <c r="B1076" s="2" t="s">
        <v>29317</v>
      </c>
      <c r="C1076" s="2">
        <v>17</v>
      </c>
      <c r="D1076" s="2">
        <v>341</v>
      </c>
      <c r="E1076" s="2">
        <v>145</v>
      </c>
      <c r="F1076" s="2">
        <v>32441</v>
      </c>
      <c r="G1076" s="2">
        <v>11.153746590000001</v>
      </c>
      <c r="H1076" s="3">
        <v>1.4399999999999999E-12</v>
      </c>
      <c r="I1076" s="2" t="s">
        <v>37836</v>
      </c>
      <c r="J1076" s="2" t="s">
        <v>37837</v>
      </c>
      <c r="K1076" s="3">
        <v>5.6099999999999999E-11</v>
      </c>
      <c r="L1076" s="2" t="s">
        <v>848</v>
      </c>
      <c r="M1076" s="4" t="s">
        <v>29320</v>
      </c>
    </row>
    <row r="1077" spans="1:13">
      <c r="A1077" s="2">
        <v>4858</v>
      </c>
      <c r="B1077" s="2" t="s">
        <v>29836</v>
      </c>
      <c r="C1077" s="2">
        <v>17</v>
      </c>
      <c r="D1077" s="2">
        <v>341</v>
      </c>
      <c r="E1077" s="2">
        <v>145</v>
      </c>
      <c r="F1077" s="2">
        <v>32441</v>
      </c>
      <c r="G1077" s="2">
        <v>11.153746590000001</v>
      </c>
      <c r="H1077" s="3">
        <v>1.4399999999999999E-12</v>
      </c>
      <c r="I1077" s="2" t="s">
        <v>37838</v>
      </c>
      <c r="J1077" s="2" t="s">
        <v>37839</v>
      </c>
      <c r="K1077" s="3">
        <v>5.6099999999999999E-11</v>
      </c>
      <c r="L1077" s="2" t="s">
        <v>848</v>
      </c>
      <c r="M1077" s="4" t="s">
        <v>29839</v>
      </c>
    </row>
    <row r="1078" spans="1:13">
      <c r="A1078" s="2">
        <v>5170</v>
      </c>
      <c r="B1078" s="2" t="s">
        <v>10641</v>
      </c>
      <c r="C1078" s="2">
        <v>31</v>
      </c>
      <c r="D1078" s="2">
        <v>341</v>
      </c>
      <c r="E1078" s="2">
        <v>606</v>
      </c>
      <c r="F1078" s="2">
        <v>32441</v>
      </c>
      <c r="G1078" s="2">
        <v>4.8666366639999996</v>
      </c>
      <c r="H1078" s="3">
        <v>1.51E-12</v>
      </c>
      <c r="I1078" s="2" t="s">
        <v>37840</v>
      </c>
      <c r="J1078" s="2" t="s">
        <v>37841</v>
      </c>
      <c r="K1078" s="3">
        <v>5.8299999999999995E-11</v>
      </c>
      <c r="L1078" s="2" t="s">
        <v>848</v>
      </c>
      <c r="M1078" s="4" t="s">
        <v>10644</v>
      </c>
    </row>
    <row r="1079" spans="1:13">
      <c r="A1079" s="2">
        <v>2906</v>
      </c>
      <c r="B1079" s="2" t="s">
        <v>37842</v>
      </c>
      <c r="C1079" s="2">
        <v>10</v>
      </c>
      <c r="D1079" s="2">
        <v>341</v>
      </c>
      <c r="E1079" s="2">
        <v>26</v>
      </c>
      <c r="F1079" s="2">
        <v>32441</v>
      </c>
      <c r="G1079" s="2">
        <v>36.590345139999997</v>
      </c>
      <c r="H1079" s="3">
        <v>2.5999999999999998E-12</v>
      </c>
      <c r="I1079" s="2" t="s">
        <v>37843</v>
      </c>
      <c r="J1079" s="2" t="s">
        <v>37844</v>
      </c>
      <c r="K1079" s="3">
        <v>9.9899999999999999E-11</v>
      </c>
      <c r="L1079" s="2" t="s">
        <v>848</v>
      </c>
      <c r="M1079" s="4" t="s">
        <v>37845</v>
      </c>
    </row>
    <row r="1080" spans="1:13">
      <c r="A1080" s="2">
        <v>4004</v>
      </c>
      <c r="B1080" s="2" t="s">
        <v>37846</v>
      </c>
      <c r="C1080" s="2">
        <v>13</v>
      </c>
      <c r="D1080" s="2">
        <v>341</v>
      </c>
      <c r="E1080" s="2">
        <v>68</v>
      </c>
      <c r="F1080" s="2">
        <v>32441</v>
      </c>
      <c r="G1080" s="2">
        <v>18.187553909999998</v>
      </c>
      <c r="H1080" s="3">
        <v>2.6400000000000001E-12</v>
      </c>
      <c r="I1080" s="2" t="s">
        <v>37847</v>
      </c>
      <c r="J1080" s="2" t="s">
        <v>37848</v>
      </c>
      <c r="K1080" s="3">
        <v>1.01E-10</v>
      </c>
      <c r="L1080" s="2" t="s">
        <v>848</v>
      </c>
      <c r="M1080" s="4" t="s">
        <v>37849</v>
      </c>
    </row>
    <row r="1081" spans="1:13">
      <c r="A1081" s="2">
        <v>4816</v>
      </c>
      <c r="B1081" s="2" t="s">
        <v>37850</v>
      </c>
      <c r="C1081" s="2">
        <v>9</v>
      </c>
      <c r="D1081" s="2">
        <v>341</v>
      </c>
      <c r="E1081" s="2">
        <v>18</v>
      </c>
      <c r="F1081" s="2">
        <v>32441</v>
      </c>
      <c r="G1081" s="2">
        <v>47.567448679999998</v>
      </c>
      <c r="H1081" s="3">
        <v>5.0999999999999997E-12</v>
      </c>
      <c r="I1081" s="2" t="s">
        <v>37851</v>
      </c>
      <c r="J1081" s="2" t="s">
        <v>37852</v>
      </c>
      <c r="K1081" s="3">
        <v>1.9300000000000001E-10</v>
      </c>
      <c r="L1081" s="2" t="s">
        <v>848</v>
      </c>
      <c r="M1081" s="4" t="s">
        <v>37853</v>
      </c>
    </row>
    <row r="1082" spans="1:13">
      <c r="A1082" s="2">
        <v>1524</v>
      </c>
      <c r="B1082" s="2" t="s">
        <v>37854</v>
      </c>
      <c r="C1082" s="2">
        <v>11</v>
      </c>
      <c r="D1082" s="2">
        <v>341</v>
      </c>
      <c r="E1082" s="2">
        <v>41</v>
      </c>
      <c r="F1082" s="2">
        <v>32441</v>
      </c>
      <c r="G1082" s="2">
        <v>25.52399685</v>
      </c>
      <c r="H1082" s="3">
        <v>5.4199999999999999E-12</v>
      </c>
      <c r="I1082" s="2" t="s">
        <v>37855</v>
      </c>
      <c r="J1082" s="2" t="s">
        <v>37856</v>
      </c>
      <c r="K1082" s="3">
        <v>2.0399999999999999E-10</v>
      </c>
      <c r="L1082" s="2" t="s">
        <v>848</v>
      </c>
      <c r="M1082" s="4" t="s">
        <v>37857</v>
      </c>
    </row>
    <row r="1083" spans="1:13">
      <c r="A1083" s="2">
        <v>5622</v>
      </c>
      <c r="B1083" s="2" t="s">
        <v>37858</v>
      </c>
      <c r="C1083" s="2">
        <v>14</v>
      </c>
      <c r="D1083" s="2">
        <v>341</v>
      </c>
      <c r="E1083" s="2">
        <v>93</v>
      </c>
      <c r="F1083" s="2">
        <v>32441</v>
      </c>
      <c r="G1083" s="2">
        <v>14.321382399999999</v>
      </c>
      <c r="H1083" s="3">
        <v>6.7699999999999996E-12</v>
      </c>
      <c r="I1083" s="2" t="s">
        <v>37859</v>
      </c>
      <c r="J1083" s="2" t="s">
        <v>37860</v>
      </c>
      <c r="K1083" s="3">
        <v>2.54E-10</v>
      </c>
      <c r="L1083" s="2" t="s">
        <v>848</v>
      </c>
      <c r="M1083" s="4" t="s">
        <v>37861</v>
      </c>
    </row>
    <row r="1084" spans="1:13">
      <c r="A1084" s="2">
        <v>4582</v>
      </c>
      <c r="B1084" s="2" t="s">
        <v>37862</v>
      </c>
      <c r="C1084" s="2">
        <v>8</v>
      </c>
      <c r="D1084" s="2">
        <v>341</v>
      </c>
      <c r="E1084" s="2">
        <v>11</v>
      </c>
      <c r="F1084" s="2">
        <v>32441</v>
      </c>
      <c r="G1084" s="2">
        <v>69.189016260000002</v>
      </c>
      <c r="H1084" s="3">
        <v>8.6400000000000003E-12</v>
      </c>
      <c r="I1084" s="2" t="s">
        <v>37863</v>
      </c>
      <c r="J1084" s="2" t="s">
        <v>37864</v>
      </c>
      <c r="K1084" s="3">
        <v>3.2200000000000003E-10</v>
      </c>
      <c r="L1084" s="2" t="s">
        <v>848</v>
      </c>
      <c r="M1084" s="4" t="s">
        <v>37865</v>
      </c>
    </row>
    <row r="1085" spans="1:13">
      <c r="A1085" s="2">
        <v>720</v>
      </c>
      <c r="B1085" s="2" t="s">
        <v>28348</v>
      </c>
      <c r="C1085" s="2">
        <v>36</v>
      </c>
      <c r="D1085" s="2">
        <v>341</v>
      </c>
      <c r="E1085" s="2">
        <v>873</v>
      </c>
      <c r="F1085" s="2">
        <v>32441</v>
      </c>
      <c r="G1085" s="2">
        <v>3.9230885510000002</v>
      </c>
      <c r="H1085" s="3">
        <v>8.72E-12</v>
      </c>
      <c r="I1085" s="2" t="s">
        <v>37866</v>
      </c>
      <c r="J1085" s="2" t="s">
        <v>37867</v>
      </c>
      <c r="K1085" s="3">
        <v>3.2300000000000002E-10</v>
      </c>
      <c r="L1085" s="2" t="s">
        <v>848</v>
      </c>
      <c r="M1085" s="4" t="s">
        <v>28351</v>
      </c>
    </row>
    <row r="1086" spans="1:13">
      <c r="A1086" s="2">
        <v>37871</v>
      </c>
      <c r="B1086" s="2" t="s">
        <v>29962</v>
      </c>
      <c r="C1086" s="2">
        <v>25</v>
      </c>
      <c r="D1086" s="2">
        <v>341</v>
      </c>
      <c r="E1086" s="2">
        <v>415</v>
      </c>
      <c r="F1086" s="2">
        <v>32441</v>
      </c>
      <c r="G1086" s="2">
        <v>5.7310179129999996</v>
      </c>
      <c r="H1086" s="3">
        <v>8.9099999999999998E-12</v>
      </c>
      <c r="I1086" s="2" t="s">
        <v>37868</v>
      </c>
      <c r="J1086" s="2" t="s">
        <v>37869</v>
      </c>
      <c r="K1086" s="3">
        <v>3.2700000000000001E-10</v>
      </c>
      <c r="L1086" s="2" t="s">
        <v>848</v>
      </c>
      <c r="M1086" s="4" t="s">
        <v>29965</v>
      </c>
    </row>
    <row r="1087" spans="1:13">
      <c r="A1087" s="2">
        <v>1251</v>
      </c>
      <c r="B1087" s="2" t="s">
        <v>37870</v>
      </c>
      <c r="C1087" s="2">
        <v>12</v>
      </c>
      <c r="D1087" s="2">
        <v>341</v>
      </c>
      <c r="E1087" s="2">
        <v>59</v>
      </c>
      <c r="F1087" s="2">
        <v>32441</v>
      </c>
      <c r="G1087" s="2">
        <v>19.349470650000001</v>
      </c>
      <c r="H1087" s="3">
        <v>9.7800000000000007E-12</v>
      </c>
      <c r="I1087" s="2" t="s">
        <v>37871</v>
      </c>
      <c r="J1087" s="2" t="s">
        <v>37872</v>
      </c>
      <c r="K1087" s="3">
        <v>3.5700000000000001E-10</v>
      </c>
      <c r="L1087" s="2" t="s">
        <v>848</v>
      </c>
      <c r="M1087" s="4" t="s">
        <v>37873</v>
      </c>
    </row>
    <row r="1088" spans="1:13">
      <c r="A1088" s="2">
        <v>1648</v>
      </c>
      <c r="B1088" s="2" t="s">
        <v>29530</v>
      </c>
      <c r="C1088" s="2">
        <v>14</v>
      </c>
      <c r="D1088" s="2">
        <v>341</v>
      </c>
      <c r="E1088" s="2">
        <v>96</v>
      </c>
      <c r="F1088" s="2">
        <v>32441</v>
      </c>
      <c r="G1088" s="2">
        <v>13.873839200000001</v>
      </c>
      <c r="H1088" s="3">
        <v>9.9500000000000002E-12</v>
      </c>
      <c r="I1088" s="2" t="s">
        <v>37874</v>
      </c>
      <c r="J1088" s="2" t="s">
        <v>37875</v>
      </c>
      <c r="K1088" s="3">
        <v>3.6099999999999999E-10</v>
      </c>
      <c r="L1088" s="2" t="s">
        <v>848</v>
      </c>
      <c r="M1088" s="4" t="s">
        <v>29533</v>
      </c>
    </row>
    <row r="1089" spans="1:13">
      <c r="A1089" s="2">
        <v>5429</v>
      </c>
      <c r="B1089" s="2" t="s">
        <v>30449</v>
      </c>
      <c r="C1089" s="2">
        <v>13</v>
      </c>
      <c r="D1089" s="2">
        <v>341</v>
      </c>
      <c r="E1089" s="2">
        <v>77</v>
      </c>
      <c r="F1089" s="2">
        <v>32441</v>
      </c>
      <c r="G1089" s="2">
        <v>16.06173592</v>
      </c>
      <c r="H1089" s="3">
        <v>1.0599999999999999E-11</v>
      </c>
      <c r="I1089" s="2" t="s">
        <v>37814</v>
      </c>
      <c r="J1089" s="2" t="s">
        <v>37815</v>
      </c>
      <c r="K1089" s="3">
        <v>3.8400000000000002E-10</v>
      </c>
      <c r="L1089" s="2" t="s">
        <v>848</v>
      </c>
      <c r="M1089" s="4" t="s">
        <v>30452</v>
      </c>
    </row>
    <row r="1090" spans="1:13">
      <c r="A1090" s="2">
        <v>2220</v>
      </c>
      <c r="B1090" s="2" t="s">
        <v>9454</v>
      </c>
      <c r="C1090" s="2">
        <v>30</v>
      </c>
      <c r="D1090" s="2">
        <v>341</v>
      </c>
      <c r="E1090" s="2">
        <v>616</v>
      </c>
      <c r="F1090" s="2">
        <v>32441</v>
      </c>
      <c r="G1090" s="2">
        <v>4.6331930530000003</v>
      </c>
      <c r="H1090" s="3">
        <v>1.1200000000000001E-11</v>
      </c>
      <c r="I1090" s="2" t="s">
        <v>37876</v>
      </c>
      <c r="J1090" s="2" t="s">
        <v>37877</v>
      </c>
      <c r="K1090" s="3">
        <v>4.03E-10</v>
      </c>
      <c r="L1090" s="2" t="s">
        <v>848</v>
      </c>
      <c r="M1090" s="4" t="s">
        <v>9455</v>
      </c>
    </row>
    <row r="1091" spans="1:13">
      <c r="A1091" s="2">
        <v>2001</v>
      </c>
      <c r="B1091" s="2" t="s">
        <v>37878</v>
      </c>
      <c r="C1091" s="2">
        <v>11</v>
      </c>
      <c r="D1091" s="2">
        <v>341</v>
      </c>
      <c r="E1091" s="2">
        <v>45</v>
      </c>
      <c r="F1091" s="2">
        <v>32441</v>
      </c>
      <c r="G1091" s="2">
        <v>23.255197129999999</v>
      </c>
      <c r="H1091" s="3">
        <v>1.29E-11</v>
      </c>
      <c r="I1091" s="2" t="s">
        <v>37879</v>
      </c>
      <c r="J1091" s="2" t="s">
        <v>37880</v>
      </c>
      <c r="K1091" s="3">
        <v>4.5900000000000002E-10</v>
      </c>
      <c r="L1091" s="2" t="s">
        <v>848</v>
      </c>
      <c r="M1091" s="4" t="s">
        <v>37881</v>
      </c>
    </row>
    <row r="1092" spans="1:13">
      <c r="A1092" s="2">
        <v>5377</v>
      </c>
      <c r="B1092" s="2" t="s">
        <v>8312</v>
      </c>
      <c r="C1092" s="2">
        <v>37</v>
      </c>
      <c r="D1092" s="2">
        <v>341</v>
      </c>
      <c r="E1092" s="2">
        <v>935</v>
      </c>
      <c r="F1092" s="2">
        <v>32441</v>
      </c>
      <c r="G1092" s="2">
        <v>3.7646964729999999</v>
      </c>
      <c r="H1092" s="3">
        <v>1.38E-11</v>
      </c>
      <c r="I1092" s="2" t="s">
        <v>37882</v>
      </c>
      <c r="J1092" s="2" t="s">
        <v>37883</v>
      </c>
      <c r="K1092" s="3">
        <v>4.8799999999999997E-10</v>
      </c>
      <c r="L1092" s="2" t="s">
        <v>848</v>
      </c>
      <c r="M1092" s="4" t="s">
        <v>8315</v>
      </c>
    </row>
    <row r="1093" spans="1:13">
      <c r="A1093" s="2">
        <v>32421</v>
      </c>
      <c r="B1093" s="2" t="s">
        <v>37884</v>
      </c>
      <c r="C1093" s="2">
        <v>11</v>
      </c>
      <c r="D1093" s="2">
        <v>341</v>
      </c>
      <c r="E1093" s="2">
        <v>46</v>
      </c>
      <c r="F1093" s="2">
        <v>32441</v>
      </c>
      <c r="G1093" s="2">
        <v>22.74964937</v>
      </c>
      <c r="H1093" s="3">
        <v>1.58E-11</v>
      </c>
      <c r="I1093" s="2" t="s">
        <v>37885</v>
      </c>
      <c r="J1093" s="2" t="s">
        <v>37886</v>
      </c>
      <c r="K1093" s="3">
        <v>5.5700000000000004E-10</v>
      </c>
      <c r="L1093" s="2" t="s">
        <v>848</v>
      </c>
      <c r="M1093" s="4" t="s">
        <v>37887</v>
      </c>
    </row>
    <row r="1094" spans="1:13">
      <c r="A1094" s="2">
        <v>282</v>
      </c>
      <c r="B1094" s="2" t="s">
        <v>37888</v>
      </c>
      <c r="C1094" s="2">
        <v>12</v>
      </c>
      <c r="D1094" s="2">
        <v>341</v>
      </c>
      <c r="E1094" s="2">
        <v>65</v>
      </c>
      <c r="F1094" s="2">
        <v>32441</v>
      </c>
      <c r="G1094" s="2">
        <v>17.56336567</v>
      </c>
      <c r="H1094" s="3">
        <v>2.6499999999999999E-11</v>
      </c>
      <c r="I1094" s="2" t="s">
        <v>37889</v>
      </c>
      <c r="J1094" s="2" t="s">
        <v>37890</v>
      </c>
      <c r="K1094" s="3">
        <v>9.29E-10</v>
      </c>
      <c r="L1094" s="2" t="s">
        <v>848</v>
      </c>
      <c r="M1094" s="4" t="s">
        <v>37891</v>
      </c>
    </row>
    <row r="1095" spans="1:13">
      <c r="A1095" s="2">
        <v>2632</v>
      </c>
      <c r="B1095" s="2" t="s">
        <v>29637</v>
      </c>
      <c r="C1095" s="2">
        <v>15</v>
      </c>
      <c r="D1095" s="2">
        <v>341</v>
      </c>
      <c r="E1095" s="2">
        <v>127</v>
      </c>
      <c r="F1095" s="2">
        <v>32441</v>
      </c>
      <c r="G1095" s="2">
        <v>11.2364052</v>
      </c>
      <c r="H1095" s="3">
        <v>2.76E-11</v>
      </c>
      <c r="I1095" s="2" t="s">
        <v>37892</v>
      </c>
      <c r="J1095" s="2" t="s">
        <v>37893</v>
      </c>
      <c r="K1095" s="3">
        <v>9.6100000000000009E-10</v>
      </c>
      <c r="L1095" s="2" t="s">
        <v>848</v>
      </c>
      <c r="M1095" s="4" t="s">
        <v>29640</v>
      </c>
    </row>
    <row r="1096" spans="1:13">
      <c r="A1096" s="2">
        <v>43181</v>
      </c>
      <c r="B1096" s="2" t="s">
        <v>37894</v>
      </c>
      <c r="C1096" s="2">
        <v>8</v>
      </c>
      <c r="D1096" s="2">
        <v>341</v>
      </c>
      <c r="E1096" s="2">
        <v>14</v>
      </c>
      <c r="F1096" s="2">
        <v>32441</v>
      </c>
      <c r="G1096" s="2">
        <v>54.362798490000003</v>
      </c>
      <c r="H1096" s="3">
        <v>3.5599999999999999E-11</v>
      </c>
      <c r="I1096" s="2" t="s">
        <v>37895</v>
      </c>
      <c r="J1096" s="2" t="s">
        <v>37896</v>
      </c>
      <c r="K1096" s="3">
        <v>1.2300000000000001E-9</v>
      </c>
      <c r="L1096" s="2" t="s">
        <v>848</v>
      </c>
      <c r="M1096" s="4" t="s">
        <v>37897</v>
      </c>
    </row>
    <row r="1097" spans="1:13">
      <c r="A1097" s="2">
        <v>940</v>
      </c>
      <c r="B1097" s="2" t="s">
        <v>37898</v>
      </c>
      <c r="C1097" s="2">
        <v>9</v>
      </c>
      <c r="D1097" s="2">
        <v>341</v>
      </c>
      <c r="E1097" s="2">
        <v>25</v>
      </c>
      <c r="F1097" s="2">
        <v>32441</v>
      </c>
      <c r="G1097" s="2">
        <v>34.248563050000001</v>
      </c>
      <c r="H1097" s="3">
        <v>5.3500000000000003E-11</v>
      </c>
      <c r="I1097" s="2" t="s">
        <v>37899</v>
      </c>
      <c r="J1097" s="2" t="s">
        <v>37900</v>
      </c>
      <c r="K1097" s="3">
        <v>1.8400000000000001E-9</v>
      </c>
      <c r="L1097" s="2" t="s">
        <v>848</v>
      </c>
      <c r="M1097" s="4" t="s">
        <v>37901</v>
      </c>
    </row>
    <row r="1098" spans="1:13">
      <c r="A1098" s="2">
        <v>4387</v>
      </c>
      <c r="B1098" s="2" t="s">
        <v>37902</v>
      </c>
      <c r="C1098" s="2">
        <v>10</v>
      </c>
      <c r="D1098" s="2">
        <v>341</v>
      </c>
      <c r="E1098" s="2">
        <v>39</v>
      </c>
      <c r="F1098" s="2">
        <v>32441</v>
      </c>
      <c r="G1098" s="2">
        <v>24.39356343</v>
      </c>
      <c r="H1098" s="3">
        <v>7.4600000000000006E-11</v>
      </c>
      <c r="I1098" s="2" t="s">
        <v>37903</v>
      </c>
      <c r="J1098" s="2" t="s">
        <v>37904</v>
      </c>
      <c r="K1098" s="3">
        <v>2.5500000000000001E-9</v>
      </c>
      <c r="L1098" s="2" t="s">
        <v>848</v>
      </c>
      <c r="M1098" s="4" t="s">
        <v>37905</v>
      </c>
    </row>
    <row r="1099" spans="1:13">
      <c r="A1099" s="2">
        <v>34571</v>
      </c>
      <c r="B1099" s="2" t="s">
        <v>8496</v>
      </c>
      <c r="C1099" s="2">
        <v>50</v>
      </c>
      <c r="D1099" s="2">
        <v>341</v>
      </c>
      <c r="E1099" s="2">
        <v>1710</v>
      </c>
      <c r="F1099" s="2">
        <v>32441</v>
      </c>
      <c r="G1099" s="2">
        <v>2.7817221449999998</v>
      </c>
      <c r="H1099" s="3">
        <v>1.1700000000000001E-10</v>
      </c>
      <c r="I1099" s="3" t="s">
        <v>37906</v>
      </c>
      <c r="J1099" s="3" t="s">
        <v>37907</v>
      </c>
      <c r="K1099" s="3">
        <v>3.9899999999999997E-9</v>
      </c>
      <c r="L1099" s="2" t="s">
        <v>848</v>
      </c>
      <c r="M1099" s="4" t="s">
        <v>8499</v>
      </c>
    </row>
    <row r="1100" spans="1:13">
      <c r="A1100" s="2">
        <v>5909</v>
      </c>
      <c r="B1100" s="2" t="s">
        <v>29512</v>
      </c>
      <c r="C1100" s="2">
        <v>14</v>
      </c>
      <c r="D1100" s="2">
        <v>341</v>
      </c>
      <c r="E1100" s="2">
        <v>118</v>
      </c>
      <c r="F1100" s="2">
        <v>32441</v>
      </c>
      <c r="G1100" s="2">
        <v>11.28719121</v>
      </c>
      <c r="H1100" s="3">
        <v>1.21E-10</v>
      </c>
      <c r="I1100" s="2" t="s">
        <v>37908</v>
      </c>
      <c r="J1100" s="2" t="s">
        <v>37909</v>
      </c>
      <c r="K1100" s="3">
        <v>4.08E-9</v>
      </c>
      <c r="L1100" s="2" t="s">
        <v>848</v>
      </c>
      <c r="M1100" s="4" t="s">
        <v>29515</v>
      </c>
    </row>
    <row r="1101" spans="1:13">
      <c r="A1101" s="2">
        <v>2427</v>
      </c>
      <c r="B1101" s="2" t="s">
        <v>28785</v>
      </c>
      <c r="C1101" s="2">
        <v>13</v>
      </c>
      <c r="D1101" s="2">
        <v>341</v>
      </c>
      <c r="E1101" s="2">
        <v>96</v>
      </c>
      <c r="F1101" s="2">
        <v>32441</v>
      </c>
      <c r="G1101" s="2">
        <v>12.882850680000001</v>
      </c>
      <c r="H1101" s="3">
        <v>1.27E-10</v>
      </c>
      <c r="I1101" s="2" t="s">
        <v>37910</v>
      </c>
      <c r="J1101" s="2" t="s">
        <v>37911</v>
      </c>
      <c r="K1101" s="3">
        <v>4.2599999999999998E-9</v>
      </c>
      <c r="L1101" s="2" t="s">
        <v>848</v>
      </c>
      <c r="M1101" s="4" t="s">
        <v>28788</v>
      </c>
    </row>
    <row r="1102" spans="1:13">
      <c r="A1102" s="2">
        <v>1071</v>
      </c>
      <c r="B1102" s="2" t="s">
        <v>10491</v>
      </c>
      <c r="C1102" s="2">
        <v>11</v>
      </c>
      <c r="D1102" s="2">
        <v>341</v>
      </c>
      <c r="E1102" s="2">
        <v>58</v>
      </c>
      <c r="F1102" s="2">
        <v>32441</v>
      </c>
      <c r="G1102" s="2">
        <v>18.042825359999998</v>
      </c>
      <c r="H1102" s="3">
        <v>1.4000000000000001E-10</v>
      </c>
      <c r="I1102" s="2" t="s">
        <v>37912</v>
      </c>
      <c r="J1102" s="2" t="s">
        <v>37913</v>
      </c>
      <c r="K1102" s="3">
        <v>4.6800000000000004E-9</v>
      </c>
      <c r="L1102" s="2" t="s">
        <v>848</v>
      </c>
      <c r="M1102" s="4" t="s">
        <v>10494</v>
      </c>
    </row>
    <row r="1103" spans="1:13">
      <c r="A1103" s="2">
        <v>4928</v>
      </c>
      <c r="B1103" s="2" t="s">
        <v>29022</v>
      </c>
      <c r="C1103" s="2">
        <v>15</v>
      </c>
      <c r="D1103" s="2">
        <v>341</v>
      </c>
      <c r="E1103" s="2">
        <v>145</v>
      </c>
      <c r="F1103" s="2">
        <v>32441</v>
      </c>
      <c r="G1103" s="2">
        <v>9.8415411059999993</v>
      </c>
      <c r="H1103" s="3">
        <v>1.5299999999999999E-10</v>
      </c>
      <c r="I1103" s="2" t="s">
        <v>37914</v>
      </c>
      <c r="J1103" s="2" t="s">
        <v>37915</v>
      </c>
      <c r="K1103" s="3">
        <v>5.0799999999999998E-9</v>
      </c>
      <c r="L1103" s="2" t="s">
        <v>848</v>
      </c>
      <c r="M1103" s="4" t="s">
        <v>29025</v>
      </c>
    </row>
    <row r="1104" spans="1:13">
      <c r="A1104" s="2">
        <v>4895</v>
      </c>
      <c r="B1104" s="2" t="s">
        <v>30329</v>
      </c>
      <c r="C1104" s="2">
        <v>9</v>
      </c>
      <c r="D1104" s="2">
        <v>341</v>
      </c>
      <c r="E1104" s="2">
        <v>29</v>
      </c>
      <c r="F1104" s="2">
        <v>32441</v>
      </c>
      <c r="G1104" s="2">
        <v>29.52462332</v>
      </c>
      <c r="H1104" s="3">
        <v>1.5999999999999999E-10</v>
      </c>
      <c r="I1104" s="2" t="s">
        <v>37916</v>
      </c>
      <c r="J1104" s="2" t="s">
        <v>37917</v>
      </c>
      <c r="K1104" s="3">
        <v>5.3000000000000003E-9</v>
      </c>
      <c r="L1104" s="2" t="s">
        <v>848</v>
      </c>
      <c r="M1104" s="4" t="s">
        <v>30332</v>
      </c>
    </row>
    <row r="1105" spans="1:13">
      <c r="A1105" s="2">
        <v>4458</v>
      </c>
      <c r="B1105" s="2" t="s">
        <v>29180</v>
      </c>
      <c r="C1105" s="2">
        <v>13</v>
      </c>
      <c r="D1105" s="2">
        <v>341</v>
      </c>
      <c r="E1105" s="2">
        <v>102</v>
      </c>
      <c r="F1105" s="2">
        <v>32441</v>
      </c>
      <c r="G1105" s="2">
        <v>12.12503594</v>
      </c>
      <c r="H1105" s="3">
        <v>2.5000000000000002E-10</v>
      </c>
      <c r="I1105" s="2" t="s">
        <v>37918</v>
      </c>
      <c r="J1105" s="2" t="s">
        <v>37919</v>
      </c>
      <c r="K1105" s="3">
        <v>8.2299999999999999E-9</v>
      </c>
      <c r="L1105" s="2" t="s">
        <v>848</v>
      </c>
      <c r="M1105" s="4" t="s">
        <v>29183</v>
      </c>
    </row>
    <row r="1106" spans="1:13">
      <c r="A1106" s="2">
        <v>24</v>
      </c>
      <c r="B1106" s="2" t="s">
        <v>37920</v>
      </c>
      <c r="C1106" s="2">
        <v>9</v>
      </c>
      <c r="D1106" s="2">
        <v>341</v>
      </c>
      <c r="E1106" s="2">
        <v>31</v>
      </c>
      <c r="F1106" s="2">
        <v>32441</v>
      </c>
      <c r="G1106" s="2">
        <v>27.61980891</v>
      </c>
      <c r="H1106" s="3">
        <v>2.6400000000000002E-10</v>
      </c>
      <c r="I1106" s="2" t="s">
        <v>37921</v>
      </c>
      <c r="J1106" s="2" t="s">
        <v>37922</v>
      </c>
      <c r="K1106" s="3">
        <v>8.6399999999999999E-9</v>
      </c>
      <c r="L1106" s="2" t="s">
        <v>848</v>
      </c>
      <c r="M1106" s="4" t="s">
        <v>37923</v>
      </c>
    </row>
    <row r="1107" spans="1:13">
      <c r="A1107" s="2">
        <v>3402</v>
      </c>
      <c r="B1107" s="2" t="s">
        <v>37924</v>
      </c>
      <c r="C1107" s="2">
        <v>19</v>
      </c>
      <c r="D1107" s="2">
        <v>341</v>
      </c>
      <c r="E1107" s="2">
        <v>271</v>
      </c>
      <c r="F1107" s="2">
        <v>32441</v>
      </c>
      <c r="G1107" s="2">
        <v>6.6699743539999998</v>
      </c>
      <c r="H1107" s="3">
        <v>2.7499999999999998E-10</v>
      </c>
      <c r="I1107" s="2" t="s">
        <v>37925</v>
      </c>
      <c r="J1107" s="2" t="s">
        <v>37926</v>
      </c>
      <c r="K1107" s="3">
        <v>8.9500000000000007E-9</v>
      </c>
      <c r="L1107" s="2" t="s">
        <v>848</v>
      </c>
      <c r="M1107" s="4" t="s">
        <v>37927</v>
      </c>
    </row>
    <row r="1108" spans="1:13">
      <c r="A1108" s="2">
        <v>3132</v>
      </c>
      <c r="B1108" s="2" t="s">
        <v>30629</v>
      </c>
      <c r="C1108" s="2">
        <v>19</v>
      </c>
      <c r="D1108" s="2">
        <v>341</v>
      </c>
      <c r="E1108" s="2">
        <v>274</v>
      </c>
      <c r="F1108" s="2">
        <v>32441</v>
      </c>
      <c r="G1108" s="2">
        <v>6.5969454369999996</v>
      </c>
      <c r="H1108" s="3">
        <v>3.28E-10</v>
      </c>
      <c r="I1108" s="2" t="s">
        <v>37928</v>
      </c>
      <c r="J1108" s="2" t="s">
        <v>37929</v>
      </c>
      <c r="K1108" s="3">
        <v>1.0600000000000001E-8</v>
      </c>
      <c r="L1108" s="2" t="s">
        <v>848</v>
      </c>
      <c r="M1108" s="4" t="s">
        <v>30632</v>
      </c>
    </row>
    <row r="1109" spans="1:13">
      <c r="A1109" s="2">
        <v>2149</v>
      </c>
      <c r="B1109" s="2" t="s">
        <v>37930</v>
      </c>
      <c r="C1109" s="2">
        <v>11</v>
      </c>
      <c r="D1109" s="2">
        <v>341</v>
      </c>
      <c r="E1109" s="2">
        <v>64</v>
      </c>
      <c r="F1109" s="2">
        <v>32441</v>
      </c>
      <c r="G1109" s="2">
        <v>16.351310479999999</v>
      </c>
      <c r="H1109" s="3">
        <v>3.5600000000000001E-10</v>
      </c>
      <c r="I1109" s="2" t="s">
        <v>37931</v>
      </c>
      <c r="J1109" s="2" t="s">
        <v>37932</v>
      </c>
      <c r="K1109" s="3">
        <v>1.14E-8</v>
      </c>
      <c r="L1109" s="2" t="s">
        <v>848</v>
      </c>
      <c r="M1109" s="4" t="s">
        <v>37933</v>
      </c>
    </row>
    <row r="1110" spans="1:13">
      <c r="A1110" s="2">
        <v>770</v>
      </c>
      <c r="B1110" s="2" t="s">
        <v>37934</v>
      </c>
      <c r="C1110" s="2">
        <v>14</v>
      </c>
      <c r="D1110" s="2">
        <v>341</v>
      </c>
      <c r="E1110" s="2">
        <v>130</v>
      </c>
      <c r="F1110" s="2">
        <v>32441</v>
      </c>
      <c r="G1110" s="2">
        <v>10.245296639999999</v>
      </c>
      <c r="H1110" s="3">
        <v>3.88E-10</v>
      </c>
      <c r="I1110" s="2" t="s">
        <v>37935</v>
      </c>
      <c r="J1110" s="2" t="s">
        <v>37936</v>
      </c>
      <c r="K1110" s="3">
        <v>1.24E-8</v>
      </c>
      <c r="L1110" s="2" t="s">
        <v>848</v>
      </c>
      <c r="M1110" s="4" t="s">
        <v>37937</v>
      </c>
    </row>
    <row r="1111" spans="1:13">
      <c r="A1111" s="2">
        <v>3407</v>
      </c>
      <c r="B1111" s="2" t="s">
        <v>37938</v>
      </c>
      <c r="C1111" s="2">
        <v>9</v>
      </c>
      <c r="D1111" s="2">
        <v>341</v>
      </c>
      <c r="E1111" s="2">
        <v>33</v>
      </c>
      <c r="F1111" s="2">
        <v>32441</v>
      </c>
      <c r="G1111" s="2">
        <v>25.945881100000001</v>
      </c>
      <c r="H1111" s="3">
        <v>4.2299999999999999E-10</v>
      </c>
      <c r="I1111" s="2" t="s">
        <v>37939</v>
      </c>
      <c r="J1111" s="2" t="s">
        <v>37940</v>
      </c>
      <c r="K1111" s="3">
        <v>1.35E-8</v>
      </c>
      <c r="L1111" s="2" t="s">
        <v>848</v>
      </c>
      <c r="M1111" s="4" t="s">
        <v>37941</v>
      </c>
    </row>
    <row r="1112" spans="1:13">
      <c r="A1112" s="2">
        <v>5639</v>
      </c>
      <c r="B1112" s="2" t="s">
        <v>37942</v>
      </c>
      <c r="C1112" s="2">
        <v>14</v>
      </c>
      <c r="D1112" s="2">
        <v>341</v>
      </c>
      <c r="E1112" s="2">
        <v>131</v>
      </c>
      <c r="F1112" s="2">
        <v>32441</v>
      </c>
      <c r="G1112" s="2">
        <v>10.167088270000001</v>
      </c>
      <c r="H1112" s="3">
        <v>4.2499999999999998E-10</v>
      </c>
      <c r="I1112" s="2" t="s">
        <v>37943</v>
      </c>
      <c r="J1112" s="2" t="s">
        <v>37944</v>
      </c>
      <c r="K1112" s="3">
        <v>1.35E-8</v>
      </c>
      <c r="L1112" s="2" t="s">
        <v>848</v>
      </c>
      <c r="M1112" s="4" t="s">
        <v>37945</v>
      </c>
    </row>
    <row r="1113" spans="1:13">
      <c r="A1113" s="2">
        <v>3110</v>
      </c>
      <c r="B1113" s="2" t="s">
        <v>37946</v>
      </c>
      <c r="C1113" s="2">
        <v>9</v>
      </c>
      <c r="D1113" s="2">
        <v>341</v>
      </c>
      <c r="E1113" s="2">
        <v>34</v>
      </c>
      <c r="F1113" s="2">
        <v>32441</v>
      </c>
      <c r="G1113" s="2">
        <v>25.182766950000001</v>
      </c>
      <c r="H1113" s="3">
        <v>5.3000000000000003E-10</v>
      </c>
      <c r="I1113" s="2" t="s">
        <v>37947</v>
      </c>
      <c r="J1113" s="2" t="s">
        <v>37948</v>
      </c>
      <c r="K1113" s="3">
        <v>1.6700000000000001E-8</v>
      </c>
      <c r="L1113" s="2" t="s">
        <v>848</v>
      </c>
      <c r="M1113" s="4" t="s">
        <v>37949</v>
      </c>
    </row>
    <row r="1114" spans="1:13">
      <c r="A1114" s="2">
        <v>4028</v>
      </c>
      <c r="B1114" s="2" t="s">
        <v>37950</v>
      </c>
      <c r="C1114" s="2">
        <v>7</v>
      </c>
      <c r="D1114" s="2">
        <v>341</v>
      </c>
      <c r="E1114" s="2">
        <v>12</v>
      </c>
      <c r="F1114" s="2">
        <v>32441</v>
      </c>
      <c r="G1114" s="2">
        <v>55.495356790000002</v>
      </c>
      <c r="H1114" s="3">
        <v>5.6100000000000003E-10</v>
      </c>
      <c r="I1114" s="2" t="s">
        <v>37951</v>
      </c>
      <c r="J1114" s="2" t="s">
        <v>37952</v>
      </c>
      <c r="K1114" s="3">
        <v>1.7599999999999999E-8</v>
      </c>
      <c r="L1114" s="2" t="s">
        <v>848</v>
      </c>
      <c r="M1114" s="4" t="s">
        <v>37953</v>
      </c>
    </row>
    <row r="1115" spans="1:13">
      <c r="A1115" s="2">
        <v>2383</v>
      </c>
      <c r="B1115" s="2" t="s">
        <v>37954</v>
      </c>
      <c r="C1115" s="2">
        <v>22</v>
      </c>
      <c r="D1115" s="2">
        <v>341</v>
      </c>
      <c r="E1115" s="2">
        <v>393</v>
      </c>
      <c r="F1115" s="2">
        <v>32441</v>
      </c>
      <c r="G1115" s="2">
        <v>5.3256176640000001</v>
      </c>
      <c r="H1115" s="3">
        <v>6.0199999999999999E-10</v>
      </c>
      <c r="I1115" s="2" t="s">
        <v>37955</v>
      </c>
      <c r="J1115" s="2" t="s">
        <v>37956</v>
      </c>
      <c r="K1115" s="3">
        <v>1.8600000000000001E-8</v>
      </c>
      <c r="L1115" s="2" t="s">
        <v>848</v>
      </c>
      <c r="M1115" s="4" t="s">
        <v>37957</v>
      </c>
    </row>
    <row r="1116" spans="1:13">
      <c r="A1116" s="2">
        <v>2657</v>
      </c>
      <c r="B1116" s="2" t="s">
        <v>10200</v>
      </c>
      <c r="C1116" s="2">
        <v>36</v>
      </c>
      <c r="D1116" s="2">
        <v>341</v>
      </c>
      <c r="E1116" s="2">
        <v>1024</v>
      </c>
      <c r="F1116" s="2">
        <v>32441</v>
      </c>
      <c r="G1116" s="2">
        <v>3.344586235</v>
      </c>
      <c r="H1116" s="3">
        <v>6E-10</v>
      </c>
      <c r="I1116" s="2" t="s">
        <v>37958</v>
      </c>
      <c r="J1116" s="2" t="s">
        <v>37959</v>
      </c>
      <c r="K1116" s="3">
        <v>1.8600000000000001E-8</v>
      </c>
      <c r="L1116" s="2" t="s">
        <v>848</v>
      </c>
      <c r="M1116" s="4" t="s">
        <v>10203</v>
      </c>
    </row>
    <row r="1117" spans="1:13">
      <c r="A1117" s="2">
        <v>3120</v>
      </c>
      <c r="B1117" s="2" t="s">
        <v>939</v>
      </c>
      <c r="C1117" s="2">
        <v>34</v>
      </c>
      <c r="D1117" s="2">
        <v>341</v>
      </c>
      <c r="E1117" s="2">
        <v>926</v>
      </c>
      <c r="F1117" s="2">
        <v>32441</v>
      </c>
      <c r="G1117" s="2">
        <v>3.4930739850000001</v>
      </c>
      <c r="H1117" s="3">
        <v>6.3899999999999996E-10</v>
      </c>
      <c r="I1117" s="2" t="s">
        <v>37960</v>
      </c>
      <c r="J1117" s="2" t="s">
        <v>37961</v>
      </c>
      <c r="K1117" s="3">
        <v>1.9700000000000001E-8</v>
      </c>
      <c r="L1117" s="2" t="s">
        <v>848</v>
      </c>
      <c r="M1117" s="4" t="s">
        <v>28452</v>
      </c>
    </row>
    <row r="1118" spans="1:13">
      <c r="A1118" s="2">
        <v>77</v>
      </c>
      <c r="B1118" s="2" t="s">
        <v>37962</v>
      </c>
      <c r="C1118" s="2">
        <v>10</v>
      </c>
      <c r="D1118" s="2">
        <v>341</v>
      </c>
      <c r="E1118" s="2">
        <v>51</v>
      </c>
      <c r="F1118" s="2">
        <v>32441</v>
      </c>
      <c r="G1118" s="2">
        <v>18.653901439999999</v>
      </c>
      <c r="H1118" s="3">
        <v>7.3299999999999995E-10</v>
      </c>
      <c r="I1118" s="2" t="s">
        <v>37963</v>
      </c>
      <c r="J1118" s="2" t="s">
        <v>37964</v>
      </c>
      <c r="K1118" s="3">
        <v>2.25E-8</v>
      </c>
      <c r="L1118" s="2" t="s">
        <v>848</v>
      </c>
      <c r="M1118" s="4" t="s">
        <v>37965</v>
      </c>
    </row>
    <row r="1119" spans="1:13">
      <c r="A1119" s="2">
        <v>4664</v>
      </c>
      <c r="B1119" s="2" t="s">
        <v>29241</v>
      </c>
      <c r="C1119" s="2">
        <v>19</v>
      </c>
      <c r="D1119" s="2">
        <v>341</v>
      </c>
      <c r="E1119" s="2">
        <v>291</v>
      </c>
      <c r="F1119" s="2">
        <v>32441</v>
      </c>
      <c r="G1119" s="2">
        <v>6.2115568720000001</v>
      </c>
      <c r="H1119" s="3">
        <v>8.4299999999999998E-10</v>
      </c>
      <c r="I1119" s="2" t="s">
        <v>37966</v>
      </c>
      <c r="J1119" s="2" t="s">
        <v>37967</v>
      </c>
      <c r="K1119" s="3">
        <v>2.5699999999999999E-8</v>
      </c>
      <c r="L1119" s="2" t="s">
        <v>848</v>
      </c>
      <c r="M1119" s="4" t="s">
        <v>29244</v>
      </c>
    </row>
    <row r="1120" spans="1:13">
      <c r="A1120" s="2">
        <v>1661</v>
      </c>
      <c r="B1120" s="2" t="s">
        <v>37968</v>
      </c>
      <c r="C1120" s="2">
        <v>7</v>
      </c>
      <c r="D1120" s="2">
        <v>341</v>
      </c>
      <c r="E1120" s="2">
        <v>13</v>
      </c>
      <c r="F1120" s="2">
        <v>32441</v>
      </c>
      <c r="G1120" s="2">
        <v>51.226483190000003</v>
      </c>
      <c r="H1120" s="3">
        <v>8.5500000000000005E-10</v>
      </c>
      <c r="I1120" s="2" t="s">
        <v>37969</v>
      </c>
      <c r="J1120" s="2" t="s">
        <v>37970</v>
      </c>
      <c r="K1120" s="3">
        <v>2.6000000000000001E-8</v>
      </c>
      <c r="L1120" s="2" t="s">
        <v>848</v>
      </c>
      <c r="M1120" s="4" t="s">
        <v>37971</v>
      </c>
    </row>
    <row r="1121" spans="1:13">
      <c r="A1121" s="2">
        <v>1280</v>
      </c>
      <c r="B1121" s="2" t="s">
        <v>28384</v>
      </c>
      <c r="C1121" s="2">
        <v>32</v>
      </c>
      <c r="D1121" s="2">
        <v>341</v>
      </c>
      <c r="E1121" s="2">
        <v>841</v>
      </c>
      <c r="F1121" s="2">
        <v>32441</v>
      </c>
      <c r="G1121" s="2">
        <v>3.6198771889999999</v>
      </c>
      <c r="H1121" s="3">
        <v>9.1199999999999995E-10</v>
      </c>
      <c r="I1121" s="2" t="s">
        <v>37972</v>
      </c>
      <c r="J1121" s="2" t="s">
        <v>37973</v>
      </c>
      <c r="K1121" s="3">
        <v>2.7500000000000001E-8</v>
      </c>
      <c r="L1121" s="2" t="s">
        <v>848</v>
      </c>
      <c r="M1121" s="4" t="s">
        <v>28387</v>
      </c>
    </row>
    <row r="1122" spans="1:13">
      <c r="A1122" s="2">
        <v>5089</v>
      </c>
      <c r="B1122" s="2" t="s">
        <v>37974</v>
      </c>
      <c r="C1122" s="2">
        <v>8</v>
      </c>
      <c r="D1122" s="2">
        <v>341</v>
      </c>
      <c r="E1122" s="2">
        <v>24</v>
      </c>
      <c r="F1122" s="2">
        <v>32441</v>
      </c>
      <c r="G1122" s="2">
        <v>31.71163245</v>
      </c>
      <c r="H1122" s="3">
        <v>1.07E-9</v>
      </c>
      <c r="I1122" s="2" t="s">
        <v>37975</v>
      </c>
      <c r="J1122" s="2" t="s">
        <v>37976</v>
      </c>
      <c r="K1122" s="3">
        <v>3.2100000000000003E-8</v>
      </c>
      <c r="L1122" s="2" t="s">
        <v>848</v>
      </c>
      <c r="M1122" s="4" t="s">
        <v>37977</v>
      </c>
    </row>
    <row r="1123" spans="1:13">
      <c r="A1123" s="2">
        <v>842</v>
      </c>
      <c r="B1123" s="2" t="s">
        <v>30489</v>
      </c>
      <c r="C1123" s="2">
        <v>10</v>
      </c>
      <c r="D1123" s="2">
        <v>341</v>
      </c>
      <c r="E1123" s="2">
        <v>54</v>
      </c>
      <c r="F1123" s="2">
        <v>32441</v>
      </c>
      <c r="G1123" s="2">
        <v>17.617573589999999</v>
      </c>
      <c r="H1123" s="3">
        <v>1.2E-9</v>
      </c>
      <c r="I1123" s="2" t="s">
        <v>37978</v>
      </c>
      <c r="J1123" s="2" t="s">
        <v>37979</v>
      </c>
      <c r="K1123" s="3">
        <v>3.5800000000000003E-8</v>
      </c>
      <c r="L1123" s="2" t="s">
        <v>848</v>
      </c>
      <c r="M1123" s="4" t="s">
        <v>30492</v>
      </c>
    </row>
    <row r="1124" spans="1:13">
      <c r="A1124" s="2">
        <v>2219</v>
      </c>
      <c r="B1124" s="2" t="s">
        <v>37980</v>
      </c>
      <c r="C1124" s="2">
        <v>9</v>
      </c>
      <c r="D1124" s="2">
        <v>341</v>
      </c>
      <c r="E1124" s="2">
        <v>39</v>
      </c>
      <c r="F1124" s="2">
        <v>32441</v>
      </c>
      <c r="G1124" s="2">
        <v>21.95420708</v>
      </c>
      <c r="H1124" s="3">
        <v>1.51E-9</v>
      </c>
      <c r="I1124" s="2" t="s">
        <v>37981</v>
      </c>
      <c r="J1124" s="2" t="s">
        <v>37982</v>
      </c>
      <c r="K1124" s="3">
        <v>4.4799999999999997E-8</v>
      </c>
      <c r="L1124" s="2" t="s">
        <v>848</v>
      </c>
      <c r="M1124" s="4" t="s">
        <v>37983</v>
      </c>
    </row>
    <row r="1125" spans="1:13">
      <c r="A1125" s="2">
        <v>1032</v>
      </c>
      <c r="B1125" s="2" t="s">
        <v>29286</v>
      </c>
      <c r="C1125" s="2">
        <v>11</v>
      </c>
      <c r="D1125" s="2">
        <v>341</v>
      </c>
      <c r="E1125" s="2">
        <v>75</v>
      </c>
      <c r="F1125" s="2">
        <v>32441</v>
      </c>
      <c r="G1125" s="2">
        <v>13.95311828</v>
      </c>
      <c r="H1125" s="3">
        <v>1.6000000000000001E-9</v>
      </c>
      <c r="I1125" s="2" t="s">
        <v>37984</v>
      </c>
      <c r="J1125" s="2" t="s">
        <v>37985</v>
      </c>
      <c r="K1125" s="3">
        <v>4.7500000000000002E-8</v>
      </c>
      <c r="L1125" s="2" t="s">
        <v>848</v>
      </c>
      <c r="M1125" s="4" t="s">
        <v>29289</v>
      </c>
    </row>
    <row r="1126" spans="1:13">
      <c r="A1126" s="2">
        <v>31371</v>
      </c>
      <c r="B1126" s="2" t="s">
        <v>37986</v>
      </c>
      <c r="C1126" s="2">
        <v>12</v>
      </c>
      <c r="D1126" s="2">
        <v>341</v>
      </c>
      <c r="E1126" s="2">
        <v>97</v>
      </c>
      <c r="F1126" s="2">
        <v>32441</v>
      </c>
      <c r="G1126" s="2">
        <v>11.769265649999999</v>
      </c>
      <c r="H1126" s="3">
        <v>1.68E-9</v>
      </c>
      <c r="I1126" s="2" t="s">
        <v>37987</v>
      </c>
      <c r="J1126" s="2" t="s">
        <v>37988</v>
      </c>
      <c r="K1126" s="3">
        <v>4.95E-8</v>
      </c>
      <c r="L1126" s="2" t="s">
        <v>848</v>
      </c>
      <c r="M1126" s="4" t="s">
        <v>37989</v>
      </c>
    </row>
    <row r="1127" spans="1:13">
      <c r="A1127" s="2">
        <v>4646</v>
      </c>
      <c r="B1127" s="2" t="s">
        <v>29880</v>
      </c>
      <c r="C1127" s="2">
        <v>15</v>
      </c>
      <c r="D1127" s="2">
        <v>341</v>
      </c>
      <c r="E1127" s="2">
        <v>175</v>
      </c>
      <c r="F1127" s="2">
        <v>32441</v>
      </c>
      <c r="G1127" s="2">
        <v>8.1544197740000008</v>
      </c>
      <c r="H1127" s="3">
        <v>1.6999999999999999E-9</v>
      </c>
      <c r="I1127" s="2" t="s">
        <v>37990</v>
      </c>
      <c r="J1127" s="2" t="s">
        <v>37991</v>
      </c>
      <c r="K1127" s="3">
        <v>4.95E-8</v>
      </c>
      <c r="L1127" s="2" t="s">
        <v>848</v>
      </c>
      <c r="M1127" s="4" t="s">
        <v>29883</v>
      </c>
    </row>
    <row r="1128" spans="1:13">
      <c r="A1128" s="2">
        <v>4885</v>
      </c>
      <c r="B1128" s="2" t="s">
        <v>28999</v>
      </c>
      <c r="C1128" s="2">
        <v>13</v>
      </c>
      <c r="D1128" s="2">
        <v>341</v>
      </c>
      <c r="E1128" s="2">
        <v>121</v>
      </c>
      <c r="F1128" s="2">
        <v>32441</v>
      </c>
      <c r="G1128" s="2">
        <v>10.22110468</v>
      </c>
      <c r="H1128" s="3">
        <v>1.6999999999999999E-9</v>
      </c>
      <c r="I1128" s="2" t="s">
        <v>37992</v>
      </c>
      <c r="J1128" s="2" t="s">
        <v>37993</v>
      </c>
      <c r="K1128" s="3">
        <v>4.95E-8</v>
      </c>
      <c r="L1128" s="2" t="s">
        <v>848</v>
      </c>
      <c r="M1128" s="4" t="s">
        <v>29002</v>
      </c>
    </row>
    <row r="1129" spans="1:13">
      <c r="A1129" s="2">
        <v>3360</v>
      </c>
      <c r="B1129" s="2" t="s">
        <v>29888</v>
      </c>
      <c r="C1129" s="2">
        <v>16</v>
      </c>
      <c r="D1129" s="2">
        <v>341</v>
      </c>
      <c r="E1129" s="2">
        <v>205</v>
      </c>
      <c r="F1129" s="2">
        <v>32441</v>
      </c>
      <c r="G1129" s="2">
        <v>7.4251627210000004</v>
      </c>
      <c r="H1129" s="3">
        <v>1.7100000000000001E-9</v>
      </c>
      <c r="I1129" s="2" t="s">
        <v>37994</v>
      </c>
      <c r="J1129" s="2" t="s">
        <v>37995</v>
      </c>
      <c r="K1129" s="3">
        <v>4.9700000000000002E-8</v>
      </c>
      <c r="L1129" s="2" t="s">
        <v>848</v>
      </c>
      <c r="M1129" s="4" t="s">
        <v>29891</v>
      </c>
    </row>
    <row r="1130" spans="1:13">
      <c r="A1130" s="2">
        <v>197</v>
      </c>
      <c r="B1130" s="2" t="s">
        <v>30781</v>
      </c>
      <c r="C1130" s="2">
        <v>14</v>
      </c>
      <c r="D1130" s="2">
        <v>341</v>
      </c>
      <c r="E1130" s="2">
        <v>148</v>
      </c>
      <c r="F1130" s="2">
        <v>32441</v>
      </c>
      <c r="G1130" s="2">
        <v>8.9992470480000009</v>
      </c>
      <c r="H1130" s="3">
        <v>1.8400000000000001E-9</v>
      </c>
      <c r="I1130" s="2" t="s">
        <v>37996</v>
      </c>
      <c r="J1130" s="2" t="s">
        <v>37997</v>
      </c>
      <c r="K1130" s="3">
        <v>5.3099999999999999E-8</v>
      </c>
      <c r="L1130" s="2" t="s">
        <v>848</v>
      </c>
      <c r="M1130" s="4" t="s">
        <v>30784</v>
      </c>
    </row>
    <row r="1131" spans="1:13">
      <c r="A1131" s="2">
        <v>29901</v>
      </c>
      <c r="B1131" s="2" t="s">
        <v>29568</v>
      </c>
      <c r="C1131" s="2">
        <v>12</v>
      </c>
      <c r="D1131" s="2">
        <v>341</v>
      </c>
      <c r="E1131" s="2">
        <v>98</v>
      </c>
      <c r="F1131" s="2">
        <v>32441</v>
      </c>
      <c r="G1131" s="2">
        <v>11.649171109999999</v>
      </c>
      <c r="H1131" s="3">
        <v>1.87E-9</v>
      </c>
      <c r="I1131" s="2" t="s">
        <v>37998</v>
      </c>
      <c r="J1131" s="2" t="s">
        <v>37999</v>
      </c>
      <c r="K1131" s="3">
        <v>5.3699999999999998E-8</v>
      </c>
      <c r="L1131" s="2" t="s">
        <v>848</v>
      </c>
      <c r="M1131" s="4" t="s">
        <v>29571</v>
      </c>
    </row>
    <row r="1132" spans="1:13">
      <c r="A1132" s="2">
        <v>5071</v>
      </c>
      <c r="B1132" s="2" t="s">
        <v>28799</v>
      </c>
      <c r="C1132" s="2">
        <v>15</v>
      </c>
      <c r="D1132" s="2">
        <v>341</v>
      </c>
      <c r="E1132" s="2">
        <v>177</v>
      </c>
      <c r="F1132" s="2">
        <v>32441</v>
      </c>
      <c r="G1132" s="2">
        <v>8.0622794370000008</v>
      </c>
      <c r="H1132" s="3">
        <v>1.9599999999999998E-9</v>
      </c>
      <c r="I1132" s="2" t="s">
        <v>38000</v>
      </c>
      <c r="J1132" s="2" t="s">
        <v>38001</v>
      </c>
      <c r="K1132" s="3">
        <v>5.5999999999999999E-8</v>
      </c>
      <c r="L1132" s="2" t="s">
        <v>848</v>
      </c>
      <c r="M1132" s="4" t="s">
        <v>28802</v>
      </c>
    </row>
    <row r="1133" spans="1:13">
      <c r="A1133" s="2">
        <v>13281</v>
      </c>
      <c r="B1133" s="2" t="s">
        <v>30269</v>
      </c>
      <c r="C1133" s="2">
        <v>8</v>
      </c>
      <c r="D1133" s="2">
        <v>341</v>
      </c>
      <c r="E1133" s="2">
        <v>28</v>
      </c>
      <c r="F1133" s="2">
        <v>32441</v>
      </c>
      <c r="G1133" s="2">
        <v>27.181399249999998</v>
      </c>
      <c r="H1133" s="3">
        <v>2.9699999999999999E-9</v>
      </c>
      <c r="I1133" s="2" t="s">
        <v>38002</v>
      </c>
      <c r="J1133" s="2" t="s">
        <v>38003</v>
      </c>
      <c r="K1133" s="3">
        <v>8.4400000000000001E-8</v>
      </c>
      <c r="L1133" s="2" t="s">
        <v>848</v>
      </c>
      <c r="M1133" s="4" t="s">
        <v>30272</v>
      </c>
    </row>
    <row r="1134" spans="1:13">
      <c r="A1134" s="2">
        <v>2532</v>
      </c>
      <c r="B1134" s="2" t="s">
        <v>38004</v>
      </c>
      <c r="C1134" s="2">
        <v>9</v>
      </c>
      <c r="D1134" s="2">
        <v>341</v>
      </c>
      <c r="E1134" s="2">
        <v>44</v>
      </c>
      <c r="F1134" s="2">
        <v>32441</v>
      </c>
      <c r="G1134" s="2">
        <v>19.459410819999999</v>
      </c>
      <c r="H1134" s="3">
        <v>3.8000000000000001E-9</v>
      </c>
      <c r="I1134" s="2" t="s">
        <v>38005</v>
      </c>
      <c r="J1134" s="2" t="s">
        <v>38006</v>
      </c>
      <c r="K1134" s="3">
        <v>1.08E-7</v>
      </c>
      <c r="L1134" s="2" t="s">
        <v>848</v>
      </c>
      <c r="M1134" s="4" t="s">
        <v>38007</v>
      </c>
    </row>
    <row r="1135" spans="1:13">
      <c r="A1135" s="2">
        <v>5501</v>
      </c>
      <c r="B1135" s="2" t="s">
        <v>8520</v>
      </c>
      <c r="C1135" s="2">
        <v>38</v>
      </c>
      <c r="D1135" s="2">
        <v>341</v>
      </c>
      <c r="E1135" s="2">
        <v>1209</v>
      </c>
      <c r="F1135" s="2">
        <v>32441</v>
      </c>
      <c r="G1135" s="2">
        <v>2.990178743</v>
      </c>
      <c r="H1135" s="3">
        <v>3.8499999999999997E-9</v>
      </c>
      <c r="I1135" s="2" t="s">
        <v>38008</v>
      </c>
      <c r="J1135" s="2" t="s">
        <v>38009</v>
      </c>
      <c r="K1135" s="3">
        <v>1.09E-7</v>
      </c>
      <c r="L1135" s="2" t="s">
        <v>848</v>
      </c>
      <c r="M1135" s="4" t="s">
        <v>8523</v>
      </c>
    </row>
    <row r="1136" spans="1:13">
      <c r="A1136" s="2">
        <v>3469</v>
      </c>
      <c r="B1136" s="2" t="s">
        <v>38010</v>
      </c>
      <c r="C1136" s="2">
        <v>10</v>
      </c>
      <c r="D1136" s="2">
        <v>341</v>
      </c>
      <c r="E1136" s="2">
        <v>62</v>
      </c>
      <c r="F1136" s="2">
        <v>32441</v>
      </c>
      <c r="G1136" s="2">
        <v>15.344338280000001</v>
      </c>
      <c r="H1136" s="3">
        <v>3.94E-9</v>
      </c>
      <c r="I1136" s="2" t="s">
        <v>37963</v>
      </c>
      <c r="J1136" s="2" t="s">
        <v>37964</v>
      </c>
      <c r="K1136" s="3">
        <v>1.1000000000000001E-7</v>
      </c>
      <c r="L1136" s="2" t="s">
        <v>848</v>
      </c>
      <c r="M1136" s="4" t="s">
        <v>38011</v>
      </c>
    </row>
    <row r="1137" spans="1:13">
      <c r="A1137" s="2">
        <v>13971</v>
      </c>
      <c r="B1137" s="2" t="s">
        <v>28550</v>
      </c>
      <c r="C1137" s="2">
        <v>17</v>
      </c>
      <c r="D1137" s="2">
        <v>341</v>
      </c>
      <c r="E1137" s="2">
        <v>254</v>
      </c>
      <c r="F1137" s="2">
        <v>32441</v>
      </c>
      <c r="G1137" s="2">
        <v>6.3672962799999997</v>
      </c>
      <c r="H1137" s="3">
        <v>4.6699999999999998E-9</v>
      </c>
      <c r="I1137" s="2" t="s">
        <v>38012</v>
      </c>
      <c r="J1137" s="2" t="s">
        <v>38013</v>
      </c>
      <c r="K1137" s="3">
        <v>1.3E-7</v>
      </c>
      <c r="L1137" s="2" t="s">
        <v>848</v>
      </c>
      <c r="M1137" s="4" t="s">
        <v>28553</v>
      </c>
    </row>
    <row r="1138" spans="1:13">
      <c r="A1138" s="2">
        <v>30681</v>
      </c>
      <c r="B1138" s="2" t="s">
        <v>30537</v>
      </c>
      <c r="C1138" s="2">
        <v>12</v>
      </c>
      <c r="D1138" s="2">
        <v>341</v>
      </c>
      <c r="E1138" s="2">
        <v>108</v>
      </c>
      <c r="F1138" s="2">
        <v>32441</v>
      </c>
      <c r="G1138" s="2">
        <v>10.57054415</v>
      </c>
      <c r="H1138" s="3">
        <v>5.1099999999999999E-9</v>
      </c>
      <c r="I1138" s="2" t="s">
        <v>38014</v>
      </c>
      <c r="J1138" s="2" t="s">
        <v>38015</v>
      </c>
      <c r="K1138" s="3">
        <v>1.42E-7</v>
      </c>
      <c r="L1138" s="2" t="s">
        <v>848</v>
      </c>
      <c r="M1138" s="4" t="s">
        <v>30540</v>
      </c>
    </row>
    <row r="1139" spans="1:13">
      <c r="A1139" s="2">
        <v>3200</v>
      </c>
      <c r="B1139" s="2" t="s">
        <v>30725</v>
      </c>
      <c r="C1139" s="2">
        <v>11</v>
      </c>
      <c r="D1139" s="2">
        <v>341</v>
      </c>
      <c r="E1139" s="2">
        <v>85</v>
      </c>
      <c r="F1139" s="2">
        <v>32441</v>
      </c>
      <c r="G1139" s="2">
        <v>12.311574950000001</v>
      </c>
      <c r="H1139" s="3">
        <v>5.2700000000000002E-9</v>
      </c>
      <c r="I1139" s="2" t="s">
        <v>38016</v>
      </c>
      <c r="J1139" s="2" t="s">
        <v>38017</v>
      </c>
      <c r="K1139" s="3">
        <v>1.4499999999999999E-7</v>
      </c>
      <c r="L1139" s="2" t="s">
        <v>848</v>
      </c>
      <c r="M1139" s="4" t="s">
        <v>30728</v>
      </c>
    </row>
    <row r="1140" spans="1:13">
      <c r="A1140" s="2">
        <v>5735</v>
      </c>
      <c r="B1140" s="2" t="s">
        <v>28601</v>
      </c>
      <c r="C1140" s="2">
        <v>22</v>
      </c>
      <c r="D1140" s="2">
        <v>341</v>
      </c>
      <c r="E1140" s="2">
        <v>445</v>
      </c>
      <c r="F1140" s="2">
        <v>32441</v>
      </c>
      <c r="G1140" s="2">
        <v>4.7032982959999998</v>
      </c>
      <c r="H1140" s="3">
        <v>5.28E-9</v>
      </c>
      <c r="I1140" s="2" t="s">
        <v>38018</v>
      </c>
      <c r="J1140" s="2" t="s">
        <v>38019</v>
      </c>
      <c r="K1140" s="3">
        <v>1.4499999999999999E-7</v>
      </c>
      <c r="L1140" s="2" t="s">
        <v>848</v>
      </c>
      <c r="M1140" s="4" t="s">
        <v>28604</v>
      </c>
    </row>
    <row r="1141" spans="1:13">
      <c r="A1141" s="2">
        <v>23311</v>
      </c>
      <c r="B1141" s="2" t="s">
        <v>38020</v>
      </c>
      <c r="C1141" s="2">
        <v>12</v>
      </c>
      <c r="D1141" s="2">
        <v>341</v>
      </c>
      <c r="E1141" s="2">
        <v>110</v>
      </c>
      <c r="F1141" s="2">
        <v>32441</v>
      </c>
      <c r="G1141" s="2">
        <v>10.37835244</v>
      </c>
      <c r="H1141" s="3">
        <v>6.17E-9</v>
      </c>
      <c r="I1141" s="2" t="s">
        <v>38021</v>
      </c>
      <c r="J1141" s="2" t="s">
        <v>38022</v>
      </c>
      <c r="K1141" s="3">
        <v>1.6899999999999999E-7</v>
      </c>
      <c r="L1141" s="2" t="s">
        <v>848</v>
      </c>
      <c r="M1141" s="4" t="s">
        <v>38023</v>
      </c>
    </row>
    <row r="1142" spans="1:13">
      <c r="A1142" s="2">
        <v>867</v>
      </c>
      <c r="B1142" s="2" t="s">
        <v>10897</v>
      </c>
      <c r="C1142" s="2">
        <v>43</v>
      </c>
      <c r="D1142" s="2">
        <v>341</v>
      </c>
      <c r="E1142" s="2">
        <v>1517</v>
      </c>
      <c r="F1142" s="2">
        <v>32441</v>
      </c>
      <c r="G1142" s="2">
        <v>2.6966384880000001</v>
      </c>
      <c r="H1142" s="3">
        <v>6.6100000000000001E-9</v>
      </c>
      <c r="I1142" s="2" t="s">
        <v>38024</v>
      </c>
      <c r="J1142" s="2" t="s">
        <v>38025</v>
      </c>
      <c r="K1142" s="3">
        <v>1.8E-7</v>
      </c>
      <c r="L1142" s="2" t="s">
        <v>848</v>
      </c>
      <c r="M1142" s="4" t="s">
        <v>10900</v>
      </c>
    </row>
    <row r="1143" spans="1:13">
      <c r="A1143" s="2">
        <v>1429</v>
      </c>
      <c r="B1143" s="2" t="s">
        <v>7883</v>
      </c>
      <c r="C1143" s="2">
        <v>43</v>
      </c>
      <c r="D1143" s="2">
        <v>341</v>
      </c>
      <c r="E1143" s="2">
        <v>1518</v>
      </c>
      <c r="F1143" s="2">
        <v>32441</v>
      </c>
      <c r="G1143" s="2">
        <v>2.6948620459999999</v>
      </c>
      <c r="H1143" s="3">
        <v>6.7400000000000003E-9</v>
      </c>
      <c r="I1143" s="2" t="s">
        <v>38026</v>
      </c>
      <c r="J1143" s="2" t="s">
        <v>38027</v>
      </c>
      <c r="K1143" s="3">
        <v>1.8300000000000001E-7</v>
      </c>
      <c r="L1143" s="2" t="s">
        <v>848</v>
      </c>
      <c r="M1143" s="4" t="s">
        <v>7886</v>
      </c>
    </row>
    <row r="1144" spans="1:13">
      <c r="A1144" s="2">
        <v>5891</v>
      </c>
      <c r="B1144" s="2" t="s">
        <v>38028</v>
      </c>
      <c r="C1144" s="2">
        <v>7</v>
      </c>
      <c r="D1144" s="2">
        <v>341</v>
      </c>
      <c r="E1144" s="2">
        <v>19</v>
      </c>
      <c r="F1144" s="2">
        <v>32441</v>
      </c>
      <c r="G1144" s="2">
        <v>35.049699029999999</v>
      </c>
      <c r="H1144" s="3">
        <v>6.8800000000000002E-9</v>
      </c>
      <c r="I1144" s="2" t="s">
        <v>38029</v>
      </c>
      <c r="J1144" s="2" t="s">
        <v>38030</v>
      </c>
      <c r="K1144" s="3">
        <v>1.86E-7</v>
      </c>
      <c r="L1144" s="2" t="s">
        <v>848</v>
      </c>
      <c r="M1144" s="4" t="s">
        <v>38031</v>
      </c>
    </row>
    <row r="1145" spans="1:13">
      <c r="A1145" s="2">
        <v>4413</v>
      </c>
      <c r="B1145" s="2" t="s">
        <v>38032</v>
      </c>
      <c r="C1145" s="2">
        <v>15</v>
      </c>
      <c r="D1145" s="2">
        <v>341</v>
      </c>
      <c r="E1145" s="2">
        <v>196</v>
      </c>
      <c r="F1145" s="2">
        <v>32441</v>
      </c>
      <c r="G1145" s="2">
        <v>7.280731941</v>
      </c>
      <c r="H1145" s="3">
        <v>7.1200000000000002E-9</v>
      </c>
      <c r="I1145" s="2" t="s">
        <v>38033</v>
      </c>
      <c r="J1145" s="2" t="s">
        <v>38034</v>
      </c>
      <c r="K1145" s="3">
        <v>1.91E-7</v>
      </c>
      <c r="L1145" s="2" t="s">
        <v>848</v>
      </c>
      <c r="M1145" s="4" t="s">
        <v>38035</v>
      </c>
    </row>
    <row r="1146" spans="1:13">
      <c r="A1146" s="2">
        <v>24241</v>
      </c>
      <c r="B1146" s="2" t="s">
        <v>28444</v>
      </c>
      <c r="C1146" s="2">
        <v>26</v>
      </c>
      <c r="D1146" s="2">
        <v>341</v>
      </c>
      <c r="E1146" s="2">
        <v>629</v>
      </c>
      <c r="F1146" s="2">
        <v>32441</v>
      </c>
      <c r="G1146" s="2">
        <v>3.932444088</v>
      </c>
      <c r="H1146" s="3">
        <v>7.4099999999999998E-9</v>
      </c>
      <c r="I1146" s="2" t="s">
        <v>38036</v>
      </c>
      <c r="J1146" s="2" t="s">
        <v>38037</v>
      </c>
      <c r="K1146" s="3">
        <v>1.98E-7</v>
      </c>
      <c r="L1146" s="2" t="s">
        <v>848</v>
      </c>
      <c r="M1146" s="4" t="s">
        <v>28447</v>
      </c>
    </row>
    <row r="1147" spans="1:13">
      <c r="A1147" s="2">
        <v>4808</v>
      </c>
      <c r="B1147" s="2" t="s">
        <v>29775</v>
      </c>
      <c r="C1147" s="2">
        <v>10</v>
      </c>
      <c r="D1147" s="2">
        <v>341</v>
      </c>
      <c r="E1147" s="2">
        <v>67</v>
      </c>
      <c r="F1147" s="2">
        <v>32441</v>
      </c>
      <c r="G1147" s="2">
        <v>14.19923841</v>
      </c>
      <c r="H1147" s="3">
        <v>7.6899999999999997E-9</v>
      </c>
      <c r="I1147" s="2" t="s">
        <v>38038</v>
      </c>
      <c r="J1147" s="2" t="s">
        <v>38039</v>
      </c>
      <c r="K1147" s="3">
        <v>2.05E-7</v>
      </c>
      <c r="L1147" s="2" t="s">
        <v>848</v>
      </c>
      <c r="M1147" s="4" t="s">
        <v>29778</v>
      </c>
    </row>
    <row r="1148" spans="1:13">
      <c r="A1148" s="2">
        <v>2226</v>
      </c>
      <c r="B1148" s="2" t="s">
        <v>28721</v>
      </c>
      <c r="C1148" s="2">
        <v>12</v>
      </c>
      <c r="D1148" s="2">
        <v>341</v>
      </c>
      <c r="E1148" s="2">
        <v>115</v>
      </c>
      <c r="F1148" s="2">
        <v>32441</v>
      </c>
      <c r="G1148" s="2">
        <v>9.9271197250000007</v>
      </c>
      <c r="H1148" s="3">
        <v>9.7599999999999994E-9</v>
      </c>
      <c r="I1148" s="2" t="s">
        <v>38040</v>
      </c>
      <c r="J1148" s="2" t="s">
        <v>38041</v>
      </c>
      <c r="K1148" s="3">
        <v>2.5899999999999998E-7</v>
      </c>
      <c r="L1148" s="2" t="s">
        <v>848</v>
      </c>
      <c r="M1148" s="4" t="s">
        <v>28724</v>
      </c>
    </row>
    <row r="1149" spans="1:13">
      <c r="A1149" s="2">
        <v>2485</v>
      </c>
      <c r="B1149" s="2" t="s">
        <v>38042</v>
      </c>
      <c r="C1149" s="2">
        <v>9</v>
      </c>
      <c r="D1149" s="2">
        <v>341</v>
      </c>
      <c r="E1149" s="2">
        <v>51</v>
      </c>
      <c r="F1149" s="2">
        <v>32441</v>
      </c>
      <c r="G1149" s="2">
        <v>16.7885113</v>
      </c>
      <c r="H1149" s="3">
        <v>1.1900000000000001E-8</v>
      </c>
      <c r="I1149" s="2" t="s">
        <v>38043</v>
      </c>
      <c r="J1149" s="2" t="s">
        <v>38044</v>
      </c>
      <c r="K1149" s="3">
        <v>3.1300000000000001E-7</v>
      </c>
      <c r="L1149" s="2" t="s">
        <v>848</v>
      </c>
      <c r="M1149" s="4" t="s">
        <v>38045</v>
      </c>
    </row>
    <row r="1150" spans="1:13">
      <c r="A1150" s="2">
        <v>5900</v>
      </c>
      <c r="B1150" s="2" t="s">
        <v>10699</v>
      </c>
      <c r="C1150" s="2">
        <v>33</v>
      </c>
      <c r="D1150" s="2">
        <v>341</v>
      </c>
      <c r="E1150" s="2">
        <v>992</v>
      </c>
      <c r="F1150" s="2">
        <v>32441</v>
      </c>
      <c r="G1150" s="2">
        <v>3.164769771</v>
      </c>
      <c r="H1150" s="3">
        <v>1.1900000000000001E-8</v>
      </c>
      <c r="I1150" s="2" t="s">
        <v>38046</v>
      </c>
      <c r="J1150" s="2" t="s">
        <v>38047</v>
      </c>
      <c r="K1150" s="3">
        <v>3.1300000000000001E-7</v>
      </c>
      <c r="L1150" s="2" t="s">
        <v>848</v>
      </c>
      <c r="M1150" s="4" t="s">
        <v>10700</v>
      </c>
    </row>
    <row r="1151" spans="1:13">
      <c r="A1151" s="2">
        <v>2978</v>
      </c>
      <c r="B1151" s="2" t="s">
        <v>914</v>
      </c>
      <c r="C1151" s="2">
        <v>24</v>
      </c>
      <c r="D1151" s="2">
        <v>341</v>
      </c>
      <c r="E1151" s="2">
        <v>556</v>
      </c>
      <c r="F1151" s="2">
        <v>32441</v>
      </c>
      <c r="G1151" s="2">
        <v>4.1065423320000001</v>
      </c>
      <c r="H1151" s="3">
        <v>1.3000000000000001E-8</v>
      </c>
      <c r="I1151" s="2" t="s">
        <v>38048</v>
      </c>
      <c r="J1151" s="2" t="s">
        <v>38049</v>
      </c>
      <c r="K1151" s="3">
        <v>3.3999999999999997E-7</v>
      </c>
      <c r="L1151" s="2" t="s">
        <v>848</v>
      </c>
      <c r="M1151" s="4" t="s">
        <v>28915</v>
      </c>
    </row>
    <row r="1152" spans="1:13">
      <c r="A1152" s="2">
        <v>396</v>
      </c>
      <c r="B1152" s="2" t="s">
        <v>38050</v>
      </c>
      <c r="C1152" s="2">
        <v>6</v>
      </c>
      <c r="D1152" s="2">
        <v>341</v>
      </c>
      <c r="E1152" s="2">
        <v>11</v>
      </c>
      <c r="F1152" s="2">
        <v>32441</v>
      </c>
      <c r="G1152" s="2">
        <v>51.891762200000002</v>
      </c>
      <c r="H1152" s="3">
        <v>1.3599999999999999E-8</v>
      </c>
      <c r="I1152" s="2" t="s">
        <v>38051</v>
      </c>
      <c r="J1152" s="2" t="s">
        <v>38052</v>
      </c>
      <c r="K1152" s="3">
        <v>3.5400000000000002E-7</v>
      </c>
      <c r="L1152" s="2" t="s">
        <v>848</v>
      </c>
      <c r="M1152" s="4" t="s">
        <v>38053</v>
      </c>
    </row>
    <row r="1153" spans="1:13">
      <c r="A1153" s="2">
        <v>2472</v>
      </c>
      <c r="B1153" s="2" t="s">
        <v>38054</v>
      </c>
      <c r="C1153" s="2">
        <v>6</v>
      </c>
      <c r="D1153" s="2">
        <v>341</v>
      </c>
      <c r="E1153" s="2">
        <v>11</v>
      </c>
      <c r="F1153" s="2">
        <v>32441</v>
      </c>
      <c r="G1153" s="2">
        <v>51.891762200000002</v>
      </c>
      <c r="H1153" s="3">
        <v>1.3599999999999999E-8</v>
      </c>
      <c r="I1153" s="2" t="s">
        <v>38055</v>
      </c>
      <c r="J1153" s="2" t="s">
        <v>38056</v>
      </c>
      <c r="K1153" s="3">
        <v>3.5400000000000002E-7</v>
      </c>
      <c r="L1153" s="2" t="s">
        <v>848</v>
      </c>
      <c r="M1153" s="4" t="s">
        <v>38057</v>
      </c>
    </row>
    <row r="1154" spans="1:13">
      <c r="A1154" s="2">
        <v>1830</v>
      </c>
      <c r="B1154" s="2" t="s">
        <v>29098</v>
      </c>
      <c r="C1154" s="2">
        <v>10</v>
      </c>
      <c r="D1154" s="2">
        <v>341</v>
      </c>
      <c r="E1154" s="2">
        <v>73</v>
      </c>
      <c r="F1154" s="2">
        <v>32441</v>
      </c>
      <c r="G1154" s="2">
        <v>13.03217772</v>
      </c>
      <c r="H1154" s="3">
        <v>1.6099999999999999E-8</v>
      </c>
      <c r="I1154" s="2" t="s">
        <v>38058</v>
      </c>
      <c r="J1154" s="2" t="s">
        <v>38059</v>
      </c>
      <c r="K1154" s="3">
        <v>4.1699999999999999E-7</v>
      </c>
      <c r="L1154" s="2" t="s">
        <v>848</v>
      </c>
      <c r="M1154" s="4" t="s">
        <v>29101</v>
      </c>
    </row>
    <row r="1155" spans="1:13">
      <c r="A1155" s="2">
        <v>2046</v>
      </c>
      <c r="B1155" s="2" t="s">
        <v>29713</v>
      </c>
      <c r="C1155" s="2">
        <v>17</v>
      </c>
      <c r="D1155" s="2">
        <v>341</v>
      </c>
      <c r="E1155" s="2">
        <v>280</v>
      </c>
      <c r="F1155" s="2">
        <v>32441</v>
      </c>
      <c r="G1155" s="2">
        <v>5.7760473399999999</v>
      </c>
      <c r="H1155" s="3">
        <v>1.8200000000000001E-8</v>
      </c>
      <c r="I1155" s="2" t="s">
        <v>38060</v>
      </c>
      <c r="J1155" s="2" t="s">
        <v>38061</v>
      </c>
      <c r="K1155" s="3">
        <v>4.6699999999999999E-7</v>
      </c>
      <c r="L1155" s="2" t="s">
        <v>848</v>
      </c>
      <c r="M1155" s="4" t="s">
        <v>29716</v>
      </c>
    </row>
    <row r="1156" spans="1:13">
      <c r="A1156" s="2">
        <v>2477</v>
      </c>
      <c r="B1156" s="2" t="s">
        <v>30791</v>
      </c>
      <c r="C1156" s="2">
        <v>14</v>
      </c>
      <c r="D1156" s="2">
        <v>341</v>
      </c>
      <c r="E1156" s="2">
        <v>181</v>
      </c>
      <c r="F1156" s="2">
        <v>32441</v>
      </c>
      <c r="G1156" s="2">
        <v>7.3585003479999997</v>
      </c>
      <c r="H1156" s="3">
        <v>2E-8</v>
      </c>
      <c r="I1156" s="2" t="s">
        <v>37996</v>
      </c>
      <c r="J1156" s="2" t="s">
        <v>37997</v>
      </c>
      <c r="K1156" s="3">
        <v>5.13E-7</v>
      </c>
      <c r="L1156" s="2" t="s">
        <v>848</v>
      </c>
      <c r="M1156" s="4" t="s">
        <v>30794</v>
      </c>
    </row>
    <row r="1157" spans="1:13">
      <c r="A1157" s="2">
        <v>5082</v>
      </c>
      <c r="B1157" s="2" t="s">
        <v>28981</v>
      </c>
      <c r="C1157" s="2">
        <v>11</v>
      </c>
      <c r="D1157" s="2">
        <v>341</v>
      </c>
      <c r="E1157" s="2">
        <v>98</v>
      </c>
      <c r="F1157" s="2">
        <v>32441</v>
      </c>
      <c r="G1157" s="2">
        <v>10.67840685</v>
      </c>
      <c r="H1157" s="3">
        <v>2.03E-8</v>
      </c>
      <c r="I1157" s="2" t="s">
        <v>38062</v>
      </c>
      <c r="J1157" s="2" t="s">
        <v>38063</v>
      </c>
      <c r="K1157" s="3">
        <v>5.1699999999999998E-7</v>
      </c>
      <c r="L1157" s="2" t="s">
        <v>848</v>
      </c>
      <c r="M1157" s="4" t="s">
        <v>28984</v>
      </c>
    </row>
    <row r="1158" spans="1:13">
      <c r="A1158" s="2">
        <v>5537</v>
      </c>
      <c r="B1158" s="2" t="s">
        <v>38064</v>
      </c>
      <c r="C1158" s="2">
        <v>6</v>
      </c>
      <c r="D1158" s="2">
        <v>341</v>
      </c>
      <c r="E1158" s="2">
        <v>12</v>
      </c>
      <c r="F1158" s="2">
        <v>32441</v>
      </c>
      <c r="G1158" s="2">
        <v>47.567448679999998</v>
      </c>
      <c r="H1158" s="3">
        <v>2.03E-8</v>
      </c>
      <c r="I1158" s="2" t="s">
        <v>38065</v>
      </c>
      <c r="J1158" s="2" t="s">
        <v>38066</v>
      </c>
      <c r="K1158" s="3">
        <v>5.1699999999999998E-7</v>
      </c>
      <c r="L1158" s="2" t="s">
        <v>848</v>
      </c>
      <c r="M1158" s="4" t="s">
        <v>38067</v>
      </c>
    </row>
    <row r="1159" spans="1:13">
      <c r="A1159" s="2">
        <v>4319</v>
      </c>
      <c r="B1159" s="2" t="s">
        <v>30027</v>
      </c>
      <c r="C1159" s="2">
        <v>17</v>
      </c>
      <c r="D1159" s="2">
        <v>341</v>
      </c>
      <c r="E1159" s="2">
        <v>285</v>
      </c>
      <c r="F1159" s="2">
        <v>32441</v>
      </c>
      <c r="G1159" s="2">
        <v>5.674713176</v>
      </c>
      <c r="H1159" s="3">
        <v>2.3199999999999999E-8</v>
      </c>
      <c r="I1159" s="2" t="s">
        <v>38068</v>
      </c>
      <c r="J1159" s="2" t="s">
        <v>38069</v>
      </c>
      <c r="K1159" s="3">
        <v>5.8699999999999995E-7</v>
      </c>
      <c r="L1159" s="2" t="s">
        <v>848</v>
      </c>
      <c r="M1159" s="4" t="s">
        <v>30030</v>
      </c>
    </row>
    <row r="1160" spans="1:13">
      <c r="A1160" s="2">
        <v>30</v>
      </c>
      <c r="B1160" s="2" t="s">
        <v>29253</v>
      </c>
      <c r="C1160" s="2">
        <v>8</v>
      </c>
      <c r="D1160" s="2">
        <v>341</v>
      </c>
      <c r="E1160" s="2">
        <v>38</v>
      </c>
      <c r="F1160" s="2">
        <v>32441</v>
      </c>
      <c r="G1160" s="2">
        <v>20.028399440000001</v>
      </c>
      <c r="H1160" s="3">
        <v>2.3400000000000001E-8</v>
      </c>
      <c r="I1160" s="2" t="s">
        <v>38070</v>
      </c>
      <c r="J1160" s="2" t="s">
        <v>38071</v>
      </c>
      <c r="K1160" s="3">
        <v>5.8800000000000002E-7</v>
      </c>
      <c r="L1160" s="2" t="s">
        <v>848</v>
      </c>
      <c r="M1160" s="4" t="s">
        <v>29256</v>
      </c>
    </row>
    <row r="1161" spans="1:13">
      <c r="A1161" s="2">
        <v>2276</v>
      </c>
      <c r="B1161" s="2" t="s">
        <v>38072</v>
      </c>
      <c r="C1161" s="2">
        <v>12</v>
      </c>
      <c r="D1161" s="2">
        <v>341</v>
      </c>
      <c r="E1161" s="2">
        <v>126</v>
      </c>
      <c r="F1161" s="2">
        <v>32441</v>
      </c>
      <c r="G1161" s="2">
        <v>9.0604664150000005</v>
      </c>
      <c r="H1161" s="3">
        <v>2.4999999999999999E-8</v>
      </c>
      <c r="I1161" s="2" t="s">
        <v>38073</v>
      </c>
      <c r="J1161" s="2" t="s">
        <v>38074</v>
      </c>
      <c r="K1161" s="3">
        <v>6.2600000000000002E-7</v>
      </c>
      <c r="L1161" s="2" t="s">
        <v>848</v>
      </c>
      <c r="M1161" s="4" t="s">
        <v>38075</v>
      </c>
    </row>
    <row r="1162" spans="1:13">
      <c r="A1162" s="2">
        <v>797</v>
      </c>
      <c r="B1162" s="2" t="s">
        <v>28531</v>
      </c>
      <c r="C1162" s="2">
        <v>24</v>
      </c>
      <c r="D1162" s="2">
        <v>341</v>
      </c>
      <c r="E1162" s="2">
        <v>579</v>
      </c>
      <c r="F1162" s="2">
        <v>32441</v>
      </c>
      <c r="G1162" s="2">
        <v>3.9434154349999999</v>
      </c>
      <c r="H1162" s="3">
        <v>2.7100000000000001E-8</v>
      </c>
      <c r="I1162" s="2" t="s">
        <v>38076</v>
      </c>
      <c r="J1162" s="2" t="s">
        <v>38077</v>
      </c>
      <c r="K1162" s="3">
        <v>6.7700000000000004E-7</v>
      </c>
      <c r="L1162" s="2" t="s">
        <v>848</v>
      </c>
      <c r="M1162" s="4" t="s">
        <v>28534</v>
      </c>
    </row>
    <row r="1163" spans="1:13">
      <c r="A1163" s="2">
        <v>5880</v>
      </c>
      <c r="B1163" s="2" t="s">
        <v>945</v>
      </c>
      <c r="C1163" s="2">
        <v>43</v>
      </c>
      <c r="D1163" s="2">
        <v>341</v>
      </c>
      <c r="E1163" s="2">
        <v>1598</v>
      </c>
      <c r="F1163" s="2">
        <v>32441</v>
      </c>
      <c r="G1163" s="2">
        <v>2.559950304</v>
      </c>
      <c r="H1163" s="3">
        <v>2.8299999999999999E-8</v>
      </c>
      <c r="I1163" s="2" t="s">
        <v>38078</v>
      </c>
      <c r="J1163" s="2" t="s">
        <v>38079</v>
      </c>
      <c r="K1163" s="3">
        <v>7.0399999999999995E-7</v>
      </c>
      <c r="L1163" s="2" t="s">
        <v>848</v>
      </c>
      <c r="M1163" s="4" t="s">
        <v>3064</v>
      </c>
    </row>
    <row r="1164" spans="1:13">
      <c r="A1164" s="2">
        <v>3842</v>
      </c>
      <c r="B1164" s="2" t="s">
        <v>38080</v>
      </c>
      <c r="C1164" s="2">
        <v>7</v>
      </c>
      <c r="D1164" s="2">
        <v>341</v>
      </c>
      <c r="E1164" s="2">
        <v>25</v>
      </c>
      <c r="F1164" s="2">
        <v>32441</v>
      </c>
      <c r="G1164" s="2">
        <v>26.637771260000001</v>
      </c>
      <c r="H1164" s="3">
        <v>3.3400000000000001E-8</v>
      </c>
      <c r="I1164" s="2" t="s">
        <v>38029</v>
      </c>
      <c r="J1164" s="2" t="s">
        <v>38030</v>
      </c>
      <c r="K1164" s="3">
        <v>8.2600000000000001E-7</v>
      </c>
      <c r="L1164" s="2" t="s">
        <v>848</v>
      </c>
      <c r="M1164" s="4" t="s">
        <v>38081</v>
      </c>
    </row>
    <row r="1165" spans="1:13">
      <c r="A1165" s="2">
        <v>1562</v>
      </c>
      <c r="B1165" s="2" t="s">
        <v>7879</v>
      </c>
      <c r="C1165" s="2">
        <v>46</v>
      </c>
      <c r="D1165" s="2">
        <v>341</v>
      </c>
      <c r="E1165" s="2">
        <v>1791</v>
      </c>
      <c r="F1165" s="2">
        <v>32441</v>
      </c>
      <c r="G1165" s="2">
        <v>2.4434423669999998</v>
      </c>
      <c r="H1165" s="3">
        <v>3.4300000000000003E-8</v>
      </c>
      <c r="I1165" s="2" t="s">
        <v>38082</v>
      </c>
      <c r="J1165" s="2" t="s">
        <v>38083</v>
      </c>
      <c r="K1165" s="3">
        <v>8.4499999999999996E-7</v>
      </c>
      <c r="L1165" s="2" t="s">
        <v>848</v>
      </c>
      <c r="M1165" s="4" t="s">
        <v>7882</v>
      </c>
    </row>
    <row r="1166" spans="1:13">
      <c r="A1166" s="2">
        <v>903</v>
      </c>
      <c r="B1166" s="2" t="s">
        <v>949</v>
      </c>
      <c r="C1166" s="2">
        <v>44</v>
      </c>
      <c r="D1166" s="2">
        <v>341</v>
      </c>
      <c r="E1166" s="2">
        <v>1676</v>
      </c>
      <c r="F1166" s="2">
        <v>32441</v>
      </c>
      <c r="G1166" s="2">
        <v>2.4975748709999999</v>
      </c>
      <c r="H1166" s="3">
        <v>3.84E-8</v>
      </c>
      <c r="I1166" s="2" t="s">
        <v>38084</v>
      </c>
      <c r="J1166" s="2" t="s">
        <v>38085</v>
      </c>
      <c r="K1166" s="3">
        <v>9.4200000000000004E-7</v>
      </c>
      <c r="L1166" s="2" t="s">
        <v>848</v>
      </c>
      <c r="M1166" s="4" t="s">
        <v>28479</v>
      </c>
    </row>
    <row r="1167" spans="1:13">
      <c r="A1167" s="2">
        <v>2461</v>
      </c>
      <c r="B1167" s="2" t="s">
        <v>38086</v>
      </c>
      <c r="C1167" s="2">
        <v>8</v>
      </c>
      <c r="D1167" s="2">
        <v>341</v>
      </c>
      <c r="E1167" s="2">
        <v>41</v>
      </c>
      <c r="F1167" s="2">
        <v>32441</v>
      </c>
      <c r="G1167" s="2">
        <v>18.5629068</v>
      </c>
      <c r="H1167" s="3">
        <v>3.9300000000000001E-8</v>
      </c>
      <c r="I1167" s="2" t="s">
        <v>38087</v>
      </c>
      <c r="J1167" s="2" t="s">
        <v>38088</v>
      </c>
      <c r="K1167" s="3">
        <v>9.6099999999999999E-7</v>
      </c>
      <c r="L1167" s="2" t="s">
        <v>848</v>
      </c>
      <c r="M1167" s="4" t="s">
        <v>38089</v>
      </c>
    </row>
    <row r="1168" spans="1:13">
      <c r="A1168" s="2">
        <v>103</v>
      </c>
      <c r="B1168" s="2" t="s">
        <v>38090</v>
      </c>
      <c r="C1168" s="2">
        <v>6</v>
      </c>
      <c r="D1168" s="2">
        <v>341</v>
      </c>
      <c r="E1168" s="2">
        <v>14</v>
      </c>
      <c r="F1168" s="2">
        <v>32441</v>
      </c>
      <c r="G1168" s="2">
        <v>40.772098870000001</v>
      </c>
      <c r="H1168" s="3">
        <v>4.1600000000000002E-8</v>
      </c>
      <c r="I1168" s="2" t="s">
        <v>38091</v>
      </c>
      <c r="J1168" s="2" t="s">
        <v>38092</v>
      </c>
      <c r="K1168" s="3">
        <v>1.0100000000000001E-6</v>
      </c>
      <c r="L1168" s="2" t="s">
        <v>848</v>
      </c>
      <c r="M1168" s="4" t="s">
        <v>38093</v>
      </c>
    </row>
    <row r="1169" spans="1:13">
      <c r="A1169" s="2">
        <v>449</v>
      </c>
      <c r="B1169" s="2" t="s">
        <v>28949</v>
      </c>
      <c r="C1169" s="2">
        <v>12</v>
      </c>
      <c r="D1169" s="2">
        <v>341</v>
      </c>
      <c r="E1169" s="2">
        <v>134</v>
      </c>
      <c r="F1169" s="2">
        <v>32441</v>
      </c>
      <c r="G1169" s="2">
        <v>8.5195430470000009</v>
      </c>
      <c r="H1169" s="3">
        <v>4.6900000000000003E-8</v>
      </c>
      <c r="I1169" s="2" t="s">
        <v>38094</v>
      </c>
      <c r="J1169" s="2" t="s">
        <v>38095</v>
      </c>
      <c r="K1169" s="3">
        <v>1.1400000000000001E-6</v>
      </c>
      <c r="L1169" s="2" t="s">
        <v>848</v>
      </c>
      <c r="M1169" s="4" t="s">
        <v>28952</v>
      </c>
    </row>
    <row r="1170" spans="1:13">
      <c r="A1170" s="2">
        <v>2727</v>
      </c>
      <c r="B1170" s="2" t="s">
        <v>38096</v>
      </c>
      <c r="C1170" s="2">
        <v>6</v>
      </c>
      <c r="D1170" s="2">
        <v>341</v>
      </c>
      <c r="E1170" s="2">
        <v>15</v>
      </c>
      <c r="F1170" s="2">
        <v>32441</v>
      </c>
      <c r="G1170" s="2">
        <v>38.053958940000001</v>
      </c>
      <c r="H1170" s="3">
        <v>5.7700000000000001E-8</v>
      </c>
      <c r="I1170" s="2" t="s">
        <v>38097</v>
      </c>
      <c r="J1170" s="2" t="s">
        <v>38098</v>
      </c>
      <c r="K1170" s="3">
        <v>1.39E-6</v>
      </c>
      <c r="L1170" s="2" t="s">
        <v>848</v>
      </c>
      <c r="M1170" s="4" t="s">
        <v>38099</v>
      </c>
    </row>
    <row r="1171" spans="1:13">
      <c r="A1171" s="2">
        <v>4208</v>
      </c>
      <c r="B1171" s="2" t="s">
        <v>38100</v>
      </c>
      <c r="C1171" s="2">
        <v>6</v>
      </c>
      <c r="D1171" s="2">
        <v>341</v>
      </c>
      <c r="E1171" s="2">
        <v>15</v>
      </c>
      <c r="F1171" s="2">
        <v>32441</v>
      </c>
      <c r="G1171" s="2">
        <v>38.053958940000001</v>
      </c>
      <c r="H1171" s="3">
        <v>5.7700000000000001E-8</v>
      </c>
      <c r="I1171" s="2" t="s">
        <v>38101</v>
      </c>
      <c r="J1171" s="2" t="s">
        <v>38102</v>
      </c>
      <c r="K1171" s="3">
        <v>1.39E-6</v>
      </c>
      <c r="L1171" s="2" t="s">
        <v>848</v>
      </c>
      <c r="M1171" s="4" t="s">
        <v>38103</v>
      </c>
    </row>
    <row r="1172" spans="1:13">
      <c r="A1172" s="2">
        <v>114</v>
      </c>
      <c r="B1172" s="2" t="s">
        <v>38104</v>
      </c>
      <c r="C1172" s="2">
        <v>10</v>
      </c>
      <c r="D1172" s="2">
        <v>341</v>
      </c>
      <c r="E1172" s="2">
        <v>86</v>
      </c>
      <c r="F1172" s="2">
        <v>32441</v>
      </c>
      <c r="G1172" s="2">
        <v>11.06219737</v>
      </c>
      <c r="H1172" s="3">
        <v>6.6399999999999999E-8</v>
      </c>
      <c r="I1172" s="2" t="s">
        <v>38105</v>
      </c>
      <c r="J1172" s="2" t="s">
        <v>38106</v>
      </c>
      <c r="K1172" s="3">
        <v>1.59E-6</v>
      </c>
      <c r="L1172" s="2" t="s">
        <v>848</v>
      </c>
      <c r="M1172" s="4" t="s">
        <v>38107</v>
      </c>
    </row>
    <row r="1173" spans="1:13">
      <c r="A1173" s="2">
        <v>4731</v>
      </c>
      <c r="B1173" s="2" t="s">
        <v>3065</v>
      </c>
      <c r="C1173" s="2">
        <v>26</v>
      </c>
      <c r="D1173" s="2">
        <v>341</v>
      </c>
      <c r="E1173" s="2">
        <v>708</v>
      </c>
      <c r="F1173" s="2">
        <v>32441</v>
      </c>
      <c r="G1173" s="2">
        <v>3.4936544230000002</v>
      </c>
      <c r="H1173" s="3">
        <v>7.2100000000000004E-8</v>
      </c>
      <c r="I1173" s="2" t="s">
        <v>38108</v>
      </c>
      <c r="J1173" s="2" t="s">
        <v>38109</v>
      </c>
      <c r="K1173" s="3">
        <v>1.72E-6</v>
      </c>
      <c r="L1173" s="2" t="s">
        <v>848</v>
      </c>
      <c r="M1173" s="4" t="s">
        <v>3068</v>
      </c>
    </row>
    <row r="1174" spans="1:13">
      <c r="A1174" s="2">
        <v>1431</v>
      </c>
      <c r="B1174" s="2" t="s">
        <v>28370</v>
      </c>
      <c r="C1174" s="2">
        <v>17</v>
      </c>
      <c r="D1174" s="2">
        <v>341</v>
      </c>
      <c r="E1174" s="2">
        <v>312</v>
      </c>
      <c r="F1174" s="2">
        <v>32441</v>
      </c>
      <c r="G1174" s="2">
        <v>5.1836322279999996</v>
      </c>
      <c r="H1174" s="3">
        <v>8.0299999999999998E-8</v>
      </c>
      <c r="I1174" s="2" t="s">
        <v>38110</v>
      </c>
      <c r="J1174" s="2" t="s">
        <v>38111</v>
      </c>
      <c r="K1174" s="3">
        <v>1.9099999999999999E-6</v>
      </c>
      <c r="L1174" s="2" t="s">
        <v>848</v>
      </c>
      <c r="M1174" s="4" t="s">
        <v>28373</v>
      </c>
    </row>
    <row r="1175" spans="1:13">
      <c r="A1175" s="2">
        <v>957</v>
      </c>
      <c r="B1175" s="2" t="s">
        <v>11380</v>
      </c>
      <c r="C1175" s="2">
        <v>23</v>
      </c>
      <c r="D1175" s="2">
        <v>341</v>
      </c>
      <c r="E1175" s="2">
        <v>573</v>
      </c>
      <c r="F1175" s="2">
        <v>32441</v>
      </c>
      <c r="G1175" s="2">
        <v>3.8186782539999999</v>
      </c>
      <c r="H1175" s="3">
        <v>9.2500000000000001E-8</v>
      </c>
      <c r="I1175" s="2" t="s">
        <v>38112</v>
      </c>
      <c r="J1175" s="2" t="s">
        <v>38113</v>
      </c>
      <c r="K1175" s="3">
        <v>2.1900000000000002E-6</v>
      </c>
      <c r="L1175" s="2" t="s">
        <v>848</v>
      </c>
      <c r="M1175" s="4" t="s">
        <v>11383</v>
      </c>
    </row>
    <row r="1176" spans="1:13">
      <c r="A1176" s="2">
        <v>5061</v>
      </c>
      <c r="B1176" s="2" t="s">
        <v>11009</v>
      </c>
      <c r="C1176" s="2">
        <v>28</v>
      </c>
      <c r="D1176" s="2">
        <v>341</v>
      </c>
      <c r="E1176" s="2">
        <v>819</v>
      </c>
      <c r="F1176" s="2">
        <v>32441</v>
      </c>
      <c r="G1176" s="2">
        <v>3.252475123</v>
      </c>
      <c r="H1176" s="3">
        <v>9.3600000000000004E-8</v>
      </c>
      <c r="I1176" s="2" t="s">
        <v>38114</v>
      </c>
      <c r="J1176" s="2" t="s">
        <v>38115</v>
      </c>
      <c r="K1176" s="3">
        <v>2.21E-6</v>
      </c>
      <c r="L1176" s="2" t="s">
        <v>848</v>
      </c>
      <c r="M1176" s="4" t="s">
        <v>11012</v>
      </c>
    </row>
    <row r="1177" spans="1:13">
      <c r="A1177" s="2">
        <v>4105</v>
      </c>
      <c r="B1177" s="2" t="s">
        <v>7779</v>
      </c>
      <c r="C1177" s="2">
        <v>40</v>
      </c>
      <c r="D1177" s="2">
        <v>341</v>
      </c>
      <c r="E1177" s="2">
        <v>1496</v>
      </c>
      <c r="F1177" s="2">
        <v>32441</v>
      </c>
      <c r="G1177" s="2">
        <v>2.543713833</v>
      </c>
      <c r="H1177" s="3">
        <v>1.06E-7</v>
      </c>
      <c r="I1177" s="2" t="s">
        <v>38116</v>
      </c>
      <c r="J1177" s="2" t="s">
        <v>38117</v>
      </c>
      <c r="K1177" s="3">
        <v>2.5000000000000002E-6</v>
      </c>
      <c r="L1177" s="2" t="s">
        <v>848</v>
      </c>
      <c r="M1177" s="4" t="s">
        <v>7782</v>
      </c>
    </row>
    <row r="1178" spans="1:13">
      <c r="A1178" s="2">
        <v>5158</v>
      </c>
      <c r="B1178" s="2" t="s">
        <v>38118</v>
      </c>
      <c r="C1178" s="2">
        <v>6</v>
      </c>
      <c r="D1178" s="2">
        <v>341</v>
      </c>
      <c r="E1178" s="2">
        <v>18</v>
      </c>
      <c r="F1178" s="2">
        <v>32441</v>
      </c>
      <c r="G1178" s="2">
        <v>31.71163245</v>
      </c>
      <c r="H1178" s="3">
        <v>1.3899999999999999E-7</v>
      </c>
      <c r="I1178" s="2" t="s">
        <v>38119</v>
      </c>
      <c r="J1178" s="2" t="s">
        <v>38120</v>
      </c>
      <c r="K1178" s="3">
        <v>3.2499999999999998E-6</v>
      </c>
      <c r="L1178" s="2" t="s">
        <v>848</v>
      </c>
      <c r="M1178" s="4" t="s">
        <v>38121</v>
      </c>
    </row>
    <row r="1179" spans="1:13">
      <c r="A1179" s="2">
        <v>5558</v>
      </c>
      <c r="B1179" s="2" t="s">
        <v>38122</v>
      </c>
      <c r="C1179" s="2">
        <v>9</v>
      </c>
      <c r="D1179" s="2">
        <v>341</v>
      </c>
      <c r="E1179" s="2">
        <v>70</v>
      </c>
      <c r="F1179" s="2">
        <v>32441</v>
      </c>
      <c r="G1179" s="2">
        <v>12.231629659999999</v>
      </c>
      <c r="H1179" s="3">
        <v>1.3899999999999999E-7</v>
      </c>
      <c r="I1179" s="2" t="s">
        <v>38123</v>
      </c>
      <c r="J1179" s="2" t="s">
        <v>38124</v>
      </c>
      <c r="K1179" s="3">
        <v>3.2499999999999998E-6</v>
      </c>
      <c r="L1179" s="2" t="s">
        <v>848</v>
      </c>
      <c r="M1179" s="4" t="s">
        <v>38125</v>
      </c>
    </row>
    <row r="1180" spans="1:13">
      <c r="A1180" s="2">
        <v>137</v>
      </c>
      <c r="B1180" s="2" t="s">
        <v>8428</v>
      </c>
      <c r="C1180" s="2">
        <v>10</v>
      </c>
      <c r="D1180" s="2">
        <v>341</v>
      </c>
      <c r="E1180" s="2">
        <v>94</v>
      </c>
      <c r="F1180" s="2">
        <v>32441</v>
      </c>
      <c r="G1180" s="2">
        <v>10.12073376</v>
      </c>
      <c r="H1180" s="3">
        <v>1.43E-7</v>
      </c>
      <c r="I1180" s="2" t="s">
        <v>38126</v>
      </c>
      <c r="J1180" s="2" t="s">
        <v>38127</v>
      </c>
      <c r="K1180" s="3">
        <v>3.3100000000000001E-6</v>
      </c>
      <c r="L1180" s="2" t="s">
        <v>848</v>
      </c>
      <c r="M1180" s="4" t="s">
        <v>8431</v>
      </c>
    </row>
    <row r="1181" spans="1:13">
      <c r="A1181" s="2">
        <v>3817</v>
      </c>
      <c r="B1181" s="2" t="s">
        <v>29872</v>
      </c>
      <c r="C1181" s="2">
        <v>7</v>
      </c>
      <c r="D1181" s="2">
        <v>341</v>
      </c>
      <c r="E1181" s="2">
        <v>32</v>
      </c>
      <c r="F1181" s="2">
        <v>32441</v>
      </c>
      <c r="G1181" s="2">
        <v>20.810758799999999</v>
      </c>
      <c r="H1181" s="3">
        <v>1.43E-7</v>
      </c>
      <c r="I1181" s="2" t="s">
        <v>38128</v>
      </c>
      <c r="J1181" s="2" t="s">
        <v>38129</v>
      </c>
      <c r="K1181" s="3">
        <v>3.3100000000000001E-6</v>
      </c>
      <c r="L1181" s="2" t="s">
        <v>848</v>
      </c>
      <c r="M1181" s="4" t="s">
        <v>29875</v>
      </c>
    </row>
    <row r="1182" spans="1:13">
      <c r="A1182" s="2">
        <v>5525</v>
      </c>
      <c r="B1182" s="2" t="s">
        <v>38130</v>
      </c>
      <c r="C1182" s="2">
        <v>8</v>
      </c>
      <c r="D1182" s="2">
        <v>341</v>
      </c>
      <c r="E1182" s="2">
        <v>51</v>
      </c>
      <c r="F1182" s="2">
        <v>32441</v>
      </c>
      <c r="G1182" s="2">
        <v>14.92312115</v>
      </c>
      <c r="H1182" s="3">
        <v>1.7700000000000001E-7</v>
      </c>
      <c r="I1182" s="2" t="s">
        <v>38131</v>
      </c>
      <c r="J1182" s="2" t="s">
        <v>38132</v>
      </c>
      <c r="K1182" s="3">
        <v>4.0600000000000001E-6</v>
      </c>
      <c r="L1182" s="2" t="s">
        <v>848</v>
      </c>
      <c r="M1182" s="4" t="s">
        <v>38133</v>
      </c>
    </row>
    <row r="1183" spans="1:13">
      <c r="A1183" s="2">
        <v>877</v>
      </c>
      <c r="B1183" s="2" t="s">
        <v>38134</v>
      </c>
      <c r="C1183" s="2">
        <v>6</v>
      </c>
      <c r="D1183" s="2">
        <v>341</v>
      </c>
      <c r="E1183" s="2">
        <v>19</v>
      </c>
      <c r="F1183" s="2">
        <v>32441</v>
      </c>
      <c r="G1183" s="2">
        <v>30.042599169999999</v>
      </c>
      <c r="H1183" s="3">
        <v>1.8199999999999999E-7</v>
      </c>
      <c r="I1183" s="2" t="s">
        <v>38135</v>
      </c>
      <c r="J1183" s="2" t="s">
        <v>38136</v>
      </c>
      <c r="K1183" s="3">
        <v>4.1400000000000002E-6</v>
      </c>
      <c r="L1183" s="2" t="s">
        <v>848</v>
      </c>
      <c r="M1183" s="4" t="s">
        <v>38137</v>
      </c>
    </row>
    <row r="1184" spans="1:13">
      <c r="A1184" s="2">
        <v>10781</v>
      </c>
      <c r="B1184" s="2" t="s">
        <v>38138</v>
      </c>
      <c r="C1184" s="2">
        <v>6</v>
      </c>
      <c r="D1184" s="2">
        <v>341</v>
      </c>
      <c r="E1184" s="2">
        <v>19</v>
      </c>
      <c r="F1184" s="2">
        <v>32441</v>
      </c>
      <c r="G1184" s="2">
        <v>30.042599169999999</v>
      </c>
      <c r="H1184" s="3">
        <v>1.8199999999999999E-7</v>
      </c>
      <c r="I1184" s="2" t="s">
        <v>38139</v>
      </c>
      <c r="J1184" s="2" t="s">
        <v>38140</v>
      </c>
      <c r="K1184" s="3">
        <v>4.1400000000000002E-6</v>
      </c>
      <c r="L1184" s="2" t="s">
        <v>848</v>
      </c>
      <c r="M1184" s="4" t="s">
        <v>38141</v>
      </c>
    </row>
    <row r="1185" spans="1:13">
      <c r="A1185" s="2">
        <v>3107</v>
      </c>
      <c r="B1185" s="2" t="s">
        <v>38142</v>
      </c>
      <c r="C1185" s="2">
        <v>6</v>
      </c>
      <c r="D1185" s="2">
        <v>341</v>
      </c>
      <c r="E1185" s="2">
        <v>19</v>
      </c>
      <c r="F1185" s="2">
        <v>32441</v>
      </c>
      <c r="G1185" s="2">
        <v>30.042599169999999</v>
      </c>
      <c r="H1185" s="3">
        <v>1.8199999999999999E-7</v>
      </c>
      <c r="I1185" s="2" t="s">
        <v>38143</v>
      </c>
      <c r="J1185" s="2" t="s">
        <v>38144</v>
      </c>
      <c r="K1185" s="3">
        <v>4.1400000000000002E-6</v>
      </c>
      <c r="L1185" s="2" t="s">
        <v>848</v>
      </c>
      <c r="M1185" s="4" t="s">
        <v>38145</v>
      </c>
    </row>
    <row r="1186" spans="1:13">
      <c r="A1186" s="2">
        <v>5081</v>
      </c>
      <c r="B1186" s="2" t="s">
        <v>29947</v>
      </c>
      <c r="C1186" s="2">
        <v>7</v>
      </c>
      <c r="D1186" s="2">
        <v>341</v>
      </c>
      <c r="E1186" s="2">
        <v>34</v>
      </c>
      <c r="F1186" s="2">
        <v>32441</v>
      </c>
      <c r="G1186" s="2">
        <v>19.586596520000001</v>
      </c>
      <c r="H1186" s="3">
        <v>2.0599999999999999E-7</v>
      </c>
      <c r="I1186" s="2" t="s">
        <v>38146</v>
      </c>
      <c r="J1186" s="2" t="s">
        <v>38147</v>
      </c>
      <c r="K1186" s="3">
        <v>4.6600000000000003E-6</v>
      </c>
      <c r="L1186" s="2" t="s">
        <v>848</v>
      </c>
      <c r="M1186" s="4" t="s">
        <v>29950</v>
      </c>
    </row>
    <row r="1187" spans="1:13">
      <c r="A1187" s="2">
        <v>38251</v>
      </c>
      <c r="B1187" s="2" t="s">
        <v>29923</v>
      </c>
      <c r="C1187" s="2">
        <v>21</v>
      </c>
      <c r="D1187" s="2">
        <v>341</v>
      </c>
      <c r="E1187" s="2">
        <v>515</v>
      </c>
      <c r="F1187" s="2">
        <v>32441</v>
      </c>
      <c r="G1187" s="2">
        <v>3.8792870769999999</v>
      </c>
      <c r="H1187" s="3">
        <v>2.65E-7</v>
      </c>
      <c r="I1187" s="2" t="s">
        <v>38148</v>
      </c>
      <c r="J1187" s="2" t="s">
        <v>38149</v>
      </c>
      <c r="K1187" s="3">
        <v>5.9699999999999996E-6</v>
      </c>
      <c r="L1187" s="2" t="s">
        <v>848</v>
      </c>
      <c r="M1187" s="4" t="s">
        <v>29926</v>
      </c>
    </row>
    <row r="1188" spans="1:13">
      <c r="A1188" s="2">
        <v>3711</v>
      </c>
      <c r="B1188" s="2" t="s">
        <v>38150</v>
      </c>
      <c r="C1188" s="2">
        <v>13</v>
      </c>
      <c r="D1188" s="2">
        <v>341</v>
      </c>
      <c r="E1188" s="2">
        <v>192</v>
      </c>
      <c r="F1188" s="2">
        <v>32441</v>
      </c>
      <c r="G1188" s="2">
        <v>6.4414253419999996</v>
      </c>
      <c r="H1188" s="3">
        <v>2.7300000000000002E-7</v>
      </c>
      <c r="I1188" s="2" t="s">
        <v>38151</v>
      </c>
      <c r="J1188" s="2" t="s">
        <v>38152</v>
      </c>
      <c r="K1188" s="3">
        <v>6.1199999999999999E-6</v>
      </c>
      <c r="L1188" s="2" t="s">
        <v>848</v>
      </c>
      <c r="M1188" s="4" t="s">
        <v>38153</v>
      </c>
    </row>
    <row r="1189" spans="1:13">
      <c r="A1189" s="2">
        <v>2589</v>
      </c>
      <c r="B1189" s="2" t="s">
        <v>8103</v>
      </c>
      <c r="C1189" s="2">
        <v>39</v>
      </c>
      <c r="D1189" s="2">
        <v>341</v>
      </c>
      <c r="E1189" s="2">
        <v>1492</v>
      </c>
      <c r="F1189" s="2">
        <v>32441</v>
      </c>
      <c r="G1189" s="2">
        <v>2.4867701050000002</v>
      </c>
      <c r="H1189" s="3">
        <v>2.7300000000000002E-7</v>
      </c>
      <c r="I1189" s="2" t="s">
        <v>38154</v>
      </c>
      <c r="J1189" s="2" t="s">
        <v>38155</v>
      </c>
      <c r="K1189" s="3">
        <v>6.1199999999999999E-6</v>
      </c>
      <c r="L1189" s="2" t="s">
        <v>848</v>
      </c>
      <c r="M1189" s="4" t="s">
        <v>8106</v>
      </c>
    </row>
    <row r="1190" spans="1:13">
      <c r="A1190" s="2">
        <v>2260</v>
      </c>
      <c r="B1190" s="2" t="s">
        <v>38156</v>
      </c>
      <c r="C1190" s="2">
        <v>7</v>
      </c>
      <c r="D1190" s="2">
        <v>341</v>
      </c>
      <c r="E1190" s="2">
        <v>36</v>
      </c>
      <c r="F1190" s="2">
        <v>32441</v>
      </c>
      <c r="G1190" s="2">
        <v>18.498452260000001</v>
      </c>
      <c r="H1190" s="3">
        <v>2.8900000000000001E-7</v>
      </c>
      <c r="I1190" s="2" t="s">
        <v>38157</v>
      </c>
      <c r="J1190" s="2" t="s">
        <v>38158</v>
      </c>
      <c r="K1190" s="3">
        <v>6.4200000000000004E-6</v>
      </c>
      <c r="L1190" s="2" t="s">
        <v>848</v>
      </c>
      <c r="M1190" s="4" t="s">
        <v>38159</v>
      </c>
    </row>
    <row r="1191" spans="1:13">
      <c r="A1191" s="2">
        <v>2445</v>
      </c>
      <c r="B1191" s="2" t="s">
        <v>38160</v>
      </c>
      <c r="C1191" s="2">
        <v>7</v>
      </c>
      <c r="D1191" s="2">
        <v>341</v>
      </c>
      <c r="E1191" s="2">
        <v>36</v>
      </c>
      <c r="F1191" s="2">
        <v>32441</v>
      </c>
      <c r="G1191" s="2">
        <v>18.498452260000001</v>
      </c>
      <c r="H1191" s="3">
        <v>2.8900000000000001E-7</v>
      </c>
      <c r="I1191" s="2" t="s">
        <v>38161</v>
      </c>
      <c r="J1191" s="2" t="s">
        <v>38162</v>
      </c>
      <c r="K1191" s="3">
        <v>6.4200000000000004E-6</v>
      </c>
      <c r="L1191" s="2" t="s">
        <v>848</v>
      </c>
      <c r="M1191" s="4" t="s">
        <v>38163</v>
      </c>
    </row>
    <row r="1192" spans="1:13">
      <c r="A1192" s="2">
        <v>3601</v>
      </c>
      <c r="B1192" s="2" t="s">
        <v>1166</v>
      </c>
      <c r="C1192" s="2">
        <v>7</v>
      </c>
      <c r="D1192" s="2">
        <v>341</v>
      </c>
      <c r="E1192" s="2">
        <v>36</v>
      </c>
      <c r="F1192" s="2">
        <v>32441</v>
      </c>
      <c r="G1192" s="2">
        <v>18.498452260000001</v>
      </c>
      <c r="H1192" s="3">
        <v>2.8900000000000001E-7</v>
      </c>
      <c r="I1192" s="2" t="s">
        <v>38164</v>
      </c>
      <c r="J1192" s="2" t="s">
        <v>38165</v>
      </c>
      <c r="K1192" s="3">
        <v>6.4200000000000004E-6</v>
      </c>
      <c r="L1192" s="2" t="s">
        <v>848</v>
      </c>
      <c r="M1192" s="4" t="s">
        <v>38166</v>
      </c>
    </row>
    <row r="1193" spans="1:13">
      <c r="A1193" s="2">
        <v>2919</v>
      </c>
      <c r="B1193" s="2" t="s">
        <v>38167</v>
      </c>
      <c r="C1193" s="2">
        <v>9</v>
      </c>
      <c r="D1193" s="2">
        <v>341</v>
      </c>
      <c r="E1193" s="2">
        <v>77</v>
      </c>
      <c r="F1193" s="2">
        <v>32441</v>
      </c>
      <c r="G1193" s="2">
        <v>11.11966333</v>
      </c>
      <c r="H1193" s="3">
        <v>2.9200000000000002E-7</v>
      </c>
      <c r="I1193" s="2" t="s">
        <v>38168</v>
      </c>
      <c r="J1193" s="2" t="s">
        <v>38169</v>
      </c>
      <c r="K1193" s="3">
        <v>6.4500000000000001E-6</v>
      </c>
      <c r="L1193" s="2" t="s">
        <v>848</v>
      </c>
      <c r="M1193" s="4" t="s">
        <v>38170</v>
      </c>
    </row>
    <row r="1194" spans="1:13">
      <c r="A1194" s="2">
        <v>5436</v>
      </c>
      <c r="B1194" s="2" t="s">
        <v>28633</v>
      </c>
      <c r="C1194" s="2">
        <v>26</v>
      </c>
      <c r="D1194" s="2">
        <v>341</v>
      </c>
      <c r="E1194" s="2">
        <v>764</v>
      </c>
      <c r="F1194" s="2">
        <v>32441</v>
      </c>
      <c r="G1194" s="2">
        <v>3.2375750409999999</v>
      </c>
      <c r="H1194" s="3">
        <v>2.9700000000000003E-7</v>
      </c>
      <c r="I1194" s="2" t="s">
        <v>38171</v>
      </c>
      <c r="J1194" s="2" t="s">
        <v>38172</v>
      </c>
      <c r="K1194" s="3">
        <v>6.5400000000000001E-6</v>
      </c>
      <c r="L1194" s="2" t="s">
        <v>848</v>
      </c>
      <c r="M1194" s="4" t="s">
        <v>28636</v>
      </c>
    </row>
    <row r="1195" spans="1:13">
      <c r="A1195" s="2">
        <v>226</v>
      </c>
      <c r="B1195" s="2" t="s">
        <v>38173</v>
      </c>
      <c r="C1195" s="2">
        <v>10</v>
      </c>
      <c r="D1195" s="2">
        <v>341</v>
      </c>
      <c r="E1195" s="2">
        <v>103</v>
      </c>
      <c r="F1195" s="2">
        <v>32441</v>
      </c>
      <c r="G1195" s="2">
        <v>9.2363978020000008</v>
      </c>
      <c r="H1195" s="3">
        <v>3.1300000000000001E-7</v>
      </c>
      <c r="I1195" s="2" t="s">
        <v>38174</v>
      </c>
      <c r="J1195" s="2" t="s">
        <v>38175</v>
      </c>
      <c r="K1195" s="3">
        <v>6.8600000000000004E-6</v>
      </c>
      <c r="L1195" s="2" t="s">
        <v>848</v>
      </c>
      <c r="M1195" s="4" t="s">
        <v>38176</v>
      </c>
    </row>
    <row r="1196" spans="1:13">
      <c r="A1196" s="2">
        <v>2482</v>
      </c>
      <c r="B1196" s="2" t="s">
        <v>956</v>
      </c>
      <c r="C1196" s="2">
        <v>36</v>
      </c>
      <c r="D1196" s="2">
        <v>341</v>
      </c>
      <c r="E1196" s="2">
        <v>1322</v>
      </c>
      <c r="F1196" s="2">
        <v>32441</v>
      </c>
      <c r="G1196" s="2">
        <v>2.5906628629999999</v>
      </c>
      <c r="H1196" s="3">
        <v>3.1800000000000002E-7</v>
      </c>
      <c r="I1196" s="2" t="s">
        <v>38177</v>
      </c>
      <c r="J1196" s="2" t="s">
        <v>38178</v>
      </c>
      <c r="K1196" s="3">
        <v>6.9500000000000004E-6</v>
      </c>
      <c r="L1196" s="2" t="s">
        <v>848</v>
      </c>
      <c r="M1196" s="4" t="s">
        <v>28627</v>
      </c>
    </row>
    <row r="1197" spans="1:13">
      <c r="A1197" s="2">
        <v>496</v>
      </c>
      <c r="B1197" s="2" t="s">
        <v>30785</v>
      </c>
      <c r="C1197" s="2">
        <v>7</v>
      </c>
      <c r="D1197" s="2">
        <v>341</v>
      </c>
      <c r="E1197" s="2">
        <v>38</v>
      </c>
      <c r="F1197" s="2">
        <v>32441</v>
      </c>
      <c r="G1197" s="2">
        <v>17.524849509999999</v>
      </c>
      <c r="H1197" s="3">
        <v>3.9999999999999998E-7</v>
      </c>
      <c r="I1197" s="2" t="s">
        <v>38179</v>
      </c>
      <c r="J1197" s="2" t="s">
        <v>38180</v>
      </c>
      <c r="K1197" s="3">
        <v>8.7099999999999996E-6</v>
      </c>
      <c r="L1197" s="2" t="s">
        <v>848</v>
      </c>
      <c r="M1197" s="4" t="s">
        <v>30788</v>
      </c>
    </row>
    <row r="1198" spans="1:13">
      <c r="A1198" s="2">
        <v>1367</v>
      </c>
      <c r="B1198" s="2" t="s">
        <v>38181</v>
      </c>
      <c r="C1198" s="2">
        <v>7</v>
      </c>
      <c r="D1198" s="2">
        <v>341</v>
      </c>
      <c r="E1198" s="2">
        <v>39</v>
      </c>
      <c r="F1198" s="2">
        <v>32441</v>
      </c>
      <c r="G1198" s="2">
        <v>17.0754944</v>
      </c>
      <c r="H1198" s="3">
        <v>4.6800000000000001E-7</v>
      </c>
      <c r="I1198" s="2" t="s">
        <v>38182</v>
      </c>
      <c r="J1198" s="2" t="s">
        <v>38183</v>
      </c>
      <c r="K1198" s="3">
        <v>1.01E-5</v>
      </c>
      <c r="L1198" s="2" t="s">
        <v>848</v>
      </c>
      <c r="M1198" s="4" t="s">
        <v>38184</v>
      </c>
    </row>
    <row r="1199" spans="1:13">
      <c r="A1199" s="2">
        <v>1336</v>
      </c>
      <c r="B1199" s="2" t="s">
        <v>38185</v>
      </c>
      <c r="C1199" s="2">
        <v>5</v>
      </c>
      <c r="D1199" s="2">
        <v>341</v>
      </c>
      <c r="E1199" s="2">
        <v>11</v>
      </c>
      <c r="F1199" s="2">
        <v>32441</v>
      </c>
      <c r="G1199" s="2">
        <v>43.243135160000001</v>
      </c>
      <c r="H1199" s="3">
        <v>4.7E-7</v>
      </c>
      <c r="I1199" s="2" t="s">
        <v>38186</v>
      </c>
      <c r="J1199" s="2" t="s">
        <v>38187</v>
      </c>
      <c r="K1199" s="3">
        <v>1.0200000000000001E-5</v>
      </c>
      <c r="L1199" s="2" t="s">
        <v>848</v>
      </c>
      <c r="M1199" s="4" t="s">
        <v>38188</v>
      </c>
    </row>
    <row r="1200" spans="1:13">
      <c r="A1200" s="2">
        <v>21221</v>
      </c>
      <c r="B1200" s="2" t="s">
        <v>8723</v>
      </c>
      <c r="C1200" s="2">
        <v>46</v>
      </c>
      <c r="D1200" s="2">
        <v>341</v>
      </c>
      <c r="E1200" s="2">
        <v>1977</v>
      </c>
      <c r="F1200" s="2">
        <v>32441</v>
      </c>
      <c r="G1200" s="2">
        <v>2.2135585629999999</v>
      </c>
      <c r="H1200" s="3">
        <v>5.4499999999999997E-7</v>
      </c>
      <c r="I1200" s="2" t="s">
        <v>38189</v>
      </c>
      <c r="J1200" s="2" t="s">
        <v>38190</v>
      </c>
      <c r="K1200" s="3">
        <v>1.17E-5</v>
      </c>
      <c r="L1200" s="2" t="s">
        <v>848</v>
      </c>
      <c r="M1200" s="4" t="s">
        <v>8726</v>
      </c>
    </row>
    <row r="1201" spans="1:13">
      <c r="A1201" s="2">
        <v>3486</v>
      </c>
      <c r="B1201" s="2" t="s">
        <v>38191</v>
      </c>
      <c r="C1201" s="2">
        <v>7</v>
      </c>
      <c r="D1201" s="2">
        <v>341</v>
      </c>
      <c r="E1201" s="2">
        <v>40</v>
      </c>
      <c r="F1201" s="2">
        <v>32441</v>
      </c>
      <c r="G1201" s="2">
        <v>16.648607040000002</v>
      </c>
      <c r="H1201" s="3">
        <v>5.4499999999999997E-7</v>
      </c>
      <c r="I1201" s="2" t="s">
        <v>38192</v>
      </c>
      <c r="J1201" s="2" t="s">
        <v>38193</v>
      </c>
      <c r="K1201" s="3">
        <v>1.17E-5</v>
      </c>
      <c r="L1201" s="2" t="s">
        <v>848</v>
      </c>
      <c r="M1201" s="4" t="s">
        <v>38194</v>
      </c>
    </row>
    <row r="1202" spans="1:13">
      <c r="A1202" s="2">
        <v>4295</v>
      </c>
      <c r="B1202" s="2" t="s">
        <v>933</v>
      </c>
      <c r="C1202" s="2">
        <v>28</v>
      </c>
      <c r="D1202" s="2">
        <v>341</v>
      </c>
      <c r="E1202" s="2">
        <v>898</v>
      </c>
      <c r="F1202" s="2">
        <v>32441</v>
      </c>
      <c r="G1202" s="2">
        <v>2.966344238</v>
      </c>
      <c r="H1202" s="3">
        <v>5.6300000000000005E-7</v>
      </c>
      <c r="I1202" s="2" t="s">
        <v>38195</v>
      </c>
      <c r="J1202" s="2" t="s">
        <v>38196</v>
      </c>
      <c r="K1202" s="3">
        <v>1.2E-5</v>
      </c>
      <c r="L1202" s="2" t="s">
        <v>848</v>
      </c>
      <c r="M1202" s="4" t="s">
        <v>28863</v>
      </c>
    </row>
    <row r="1203" spans="1:13">
      <c r="A1203" s="2">
        <v>3</v>
      </c>
      <c r="B1203" s="2" t="s">
        <v>30135</v>
      </c>
      <c r="C1203" s="2">
        <v>6</v>
      </c>
      <c r="D1203" s="2">
        <v>341</v>
      </c>
      <c r="E1203" s="2">
        <v>24</v>
      </c>
      <c r="F1203" s="2">
        <v>32441</v>
      </c>
      <c r="G1203" s="2">
        <v>23.783724339999999</v>
      </c>
      <c r="H1203" s="3">
        <v>5.8299999999999997E-7</v>
      </c>
      <c r="I1203" s="2" t="s">
        <v>38197</v>
      </c>
      <c r="J1203" s="2" t="s">
        <v>38198</v>
      </c>
      <c r="K1203" s="3">
        <v>1.24E-5</v>
      </c>
      <c r="L1203" s="2" t="s">
        <v>848</v>
      </c>
      <c r="M1203" s="4" t="s">
        <v>30138</v>
      </c>
    </row>
    <row r="1204" spans="1:13">
      <c r="A1204" s="2">
        <v>2084</v>
      </c>
      <c r="B1204" s="2" t="s">
        <v>38199</v>
      </c>
      <c r="C1204" s="2">
        <v>6</v>
      </c>
      <c r="D1204" s="2">
        <v>341</v>
      </c>
      <c r="E1204" s="2">
        <v>24</v>
      </c>
      <c r="F1204" s="2">
        <v>32441</v>
      </c>
      <c r="G1204" s="2">
        <v>23.783724339999999</v>
      </c>
      <c r="H1204" s="3">
        <v>5.8299999999999997E-7</v>
      </c>
      <c r="I1204" s="2" t="s">
        <v>38200</v>
      </c>
      <c r="J1204" s="2" t="s">
        <v>38201</v>
      </c>
      <c r="K1204" s="3">
        <v>1.24E-5</v>
      </c>
      <c r="L1204" s="2" t="s">
        <v>848</v>
      </c>
      <c r="M1204" s="4" t="s">
        <v>38202</v>
      </c>
    </row>
    <row r="1205" spans="1:13">
      <c r="A1205" s="2">
        <v>3917</v>
      </c>
      <c r="B1205" s="2" t="s">
        <v>10901</v>
      </c>
      <c r="C1205" s="2">
        <v>17</v>
      </c>
      <c r="D1205" s="2">
        <v>341</v>
      </c>
      <c r="E1205" s="2">
        <v>362</v>
      </c>
      <c r="F1205" s="2">
        <v>32441</v>
      </c>
      <c r="G1205" s="2">
        <v>4.4676609259999998</v>
      </c>
      <c r="H1205" s="3">
        <v>5.8899999999999999E-7</v>
      </c>
      <c r="I1205" s="2" t="s">
        <v>38203</v>
      </c>
      <c r="J1205" s="2" t="s">
        <v>38204</v>
      </c>
      <c r="K1205" s="3">
        <v>1.2500000000000001E-5</v>
      </c>
      <c r="L1205" s="2" t="s">
        <v>848</v>
      </c>
      <c r="M1205" s="4" t="s">
        <v>10904</v>
      </c>
    </row>
    <row r="1206" spans="1:13">
      <c r="A1206" s="2">
        <v>5179</v>
      </c>
      <c r="B1206" s="2" t="s">
        <v>10917</v>
      </c>
      <c r="C1206" s="2">
        <v>23</v>
      </c>
      <c r="D1206" s="2">
        <v>341</v>
      </c>
      <c r="E1206" s="2">
        <v>640</v>
      </c>
      <c r="F1206" s="2">
        <v>32441</v>
      </c>
      <c r="G1206" s="2">
        <v>3.4189103740000002</v>
      </c>
      <c r="H1206" s="3">
        <v>5.9699999999999996E-7</v>
      </c>
      <c r="I1206" s="2" t="s">
        <v>38205</v>
      </c>
      <c r="J1206" s="2" t="s">
        <v>38206</v>
      </c>
      <c r="K1206" s="3">
        <v>1.26E-5</v>
      </c>
      <c r="L1206" s="2" t="s">
        <v>848</v>
      </c>
      <c r="M1206" s="4" t="s">
        <v>10920</v>
      </c>
    </row>
    <row r="1207" spans="1:13">
      <c r="A1207" s="2">
        <v>403</v>
      </c>
      <c r="B1207" s="2" t="s">
        <v>38207</v>
      </c>
      <c r="C1207" s="2">
        <v>5</v>
      </c>
      <c r="D1207" s="2">
        <v>341</v>
      </c>
      <c r="E1207" s="2">
        <v>12</v>
      </c>
      <c r="F1207" s="2">
        <v>32441</v>
      </c>
      <c r="G1207" s="2">
        <v>39.639540570000001</v>
      </c>
      <c r="H1207" s="3">
        <v>6.6000000000000003E-7</v>
      </c>
      <c r="I1207" s="2" t="s">
        <v>38208</v>
      </c>
      <c r="J1207" s="2" t="s">
        <v>38209</v>
      </c>
      <c r="K1207" s="3">
        <v>1.38E-5</v>
      </c>
      <c r="L1207" s="2" t="s">
        <v>848</v>
      </c>
      <c r="M1207" s="4" t="s">
        <v>38210</v>
      </c>
    </row>
    <row r="1208" spans="1:13">
      <c r="A1208" s="2">
        <v>1339</v>
      </c>
      <c r="B1208" s="2" t="s">
        <v>38211</v>
      </c>
      <c r="C1208" s="2">
        <v>5</v>
      </c>
      <c r="D1208" s="2">
        <v>341</v>
      </c>
      <c r="E1208" s="2">
        <v>12</v>
      </c>
      <c r="F1208" s="2">
        <v>32441</v>
      </c>
      <c r="G1208" s="2">
        <v>39.639540570000001</v>
      </c>
      <c r="H1208" s="3">
        <v>6.6000000000000003E-7</v>
      </c>
      <c r="I1208" s="2" t="s">
        <v>38212</v>
      </c>
      <c r="J1208" s="2" t="s">
        <v>38213</v>
      </c>
      <c r="K1208" s="3">
        <v>1.38E-5</v>
      </c>
      <c r="L1208" s="2" t="s">
        <v>848</v>
      </c>
      <c r="M1208" s="4" t="s">
        <v>38214</v>
      </c>
    </row>
    <row r="1209" spans="1:13">
      <c r="A1209" s="2">
        <v>2997</v>
      </c>
      <c r="B1209" s="2" t="s">
        <v>30125</v>
      </c>
      <c r="C1209" s="2">
        <v>22</v>
      </c>
      <c r="D1209" s="2">
        <v>341</v>
      </c>
      <c r="E1209" s="2">
        <v>595</v>
      </c>
      <c r="F1209" s="2">
        <v>32441</v>
      </c>
      <c r="G1209" s="2">
        <v>3.5175928440000002</v>
      </c>
      <c r="H1209" s="3">
        <v>6.7000000000000004E-7</v>
      </c>
      <c r="I1209" s="2" t="s">
        <v>38215</v>
      </c>
      <c r="J1209" s="2" t="s">
        <v>38216</v>
      </c>
      <c r="K1209" s="3">
        <v>1.4E-5</v>
      </c>
      <c r="L1209" s="2" t="s">
        <v>848</v>
      </c>
      <c r="M1209" s="4" t="s">
        <v>30128</v>
      </c>
    </row>
    <row r="1210" spans="1:13">
      <c r="A1210" s="2">
        <v>2281</v>
      </c>
      <c r="B1210" s="2" t="s">
        <v>38217</v>
      </c>
      <c r="C1210" s="2">
        <v>10</v>
      </c>
      <c r="D1210" s="2">
        <v>341</v>
      </c>
      <c r="E1210" s="2">
        <v>113</v>
      </c>
      <c r="F1210" s="2">
        <v>32441</v>
      </c>
      <c r="G1210" s="2">
        <v>8.4190174659999997</v>
      </c>
      <c r="H1210" s="3">
        <v>6.8999999999999996E-7</v>
      </c>
      <c r="I1210" s="2" t="s">
        <v>38218</v>
      </c>
      <c r="J1210" s="2" t="s">
        <v>38219</v>
      </c>
      <c r="K1210" s="3">
        <v>1.43E-5</v>
      </c>
      <c r="L1210" s="2" t="s">
        <v>848</v>
      </c>
      <c r="M1210" s="4" t="s">
        <v>38220</v>
      </c>
    </row>
    <row r="1211" spans="1:13">
      <c r="A1211" s="2">
        <v>2877</v>
      </c>
      <c r="B1211" s="2" t="s">
        <v>38221</v>
      </c>
      <c r="C1211" s="2">
        <v>6</v>
      </c>
      <c r="D1211" s="2">
        <v>341</v>
      </c>
      <c r="E1211" s="2">
        <v>25</v>
      </c>
      <c r="F1211" s="2">
        <v>32441</v>
      </c>
      <c r="G1211" s="2">
        <v>22.832375370000001</v>
      </c>
      <c r="H1211" s="3">
        <v>7.1699999999999997E-7</v>
      </c>
      <c r="I1211" s="2" t="s">
        <v>38139</v>
      </c>
      <c r="J1211" s="2" t="s">
        <v>38140</v>
      </c>
      <c r="K1211" s="3">
        <v>1.4800000000000001E-5</v>
      </c>
      <c r="L1211" s="2" t="s">
        <v>848</v>
      </c>
      <c r="M1211" s="4" t="s">
        <v>38222</v>
      </c>
    </row>
    <row r="1212" spans="1:13">
      <c r="A1212" s="2">
        <v>4086</v>
      </c>
      <c r="B1212" s="2" t="s">
        <v>38223</v>
      </c>
      <c r="C1212" s="2">
        <v>6</v>
      </c>
      <c r="D1212" s="2">
        <v>341</v>
      </c>
      <c r="E1212" s="2">
        <v>25</v>
      </c>
      <c r="F1212" s="2">
        <v>32441</v>
      </c>
      <c r="G1212" s="2">
        <v>22.832375370000001</v>
      </c>
      <c r="H1212" s="3">
        <v>7.1699999999999997E-7</v>
      </c>
      <c r="I1212" s="2" t="s">
        <v>38224</v>
      </c>
      <c r="J1212" s="2" t="s">
        <v>38225</v>
      </c>
      <c r="K1212" s="3">
        <v>1.4800000000000001E-5</v>
      </c>
      <c r="L1212" s="2" t="s">
        <v>848</v>
      </c>
      <c r="M1212" s="4" t="s">
        <v>38226</v>
      </c>
    </row>
    <row r="1213" spans="1:13">
      <c r="A1213" s="2">
        <v>23151</v>
      </c>
      <c r="B1213" s="2" t="s">
        <v>38227</v>
      </c>
      <c r="C1213" s="2">
        <v>7</v>
      </c>
      <c r="D1213" s="2">
        <v>341</v>
      </c>
      <c r="E1213" s="2">
        <v>42</v>
      </c>
      <c r="F1213" s="2">
        <v>32441</v>
      </c>
      <c r="G1213" s="2">
        <v>15.85581623</v>
      </c>
      <c r="H1213" s="3">
        <v>7.3099999999999997E-7</v>
      </c>
      <c r="I1213" s="2" t="s">
        <v>38228</v>
      </c>
      <c r="J1213" s="2" t="s">
        <v>38229</v>
      </c>
      <c r="K1213" s="3">
        <v>1.5E-5</v>
      </c>
      <c r="L1213" s="2" t="s">
        <v>848</v>
      </c>
      <c r="M1213" s="4" t="s">
        <v>38230</v>
      </c>
    </row>
    <row r="1214" spans="1:13">
      <c r="A1214" s="2">
        <v>242</v>
      </c>
      <c r="B1214" s="2" t="s">
        <v>11255</v>
      </c>
      <c r="C1214" s="2">
        <v>38</v>
      </c>
      <c r="D1214" s="2">
        <v>341</v>
      </c>
      <c r="E1214" s="2">
        <v>1493</v>
      </c>
      <c r="F1214" s="2">
        <v>32441</v>
      </c>
      <c r="G1214" s="2">
        <v>2.421383858</v>
      </c>
      <c r="H1214" s="3">
        <v>7.3900000000000004E-7</v>
      </c>
      <c r="I1214" s="2" t="s">
        <v>38231</v>
      </c>
      <c r="J1214" s="2" t="s">
        <v>38232</v>
      </c>
      <c r="K1214" s="3">
        <v>1.5099999999999999E-5</v>
      </c>
      <c r="L1214" s="2" t="s">
        <v>848</v>
      </c>
      <c r="M1214" s="4" t="s">
        <v>11258</v>
      </c>
    </row>
    <row r="1215" spans="1:13">
      <c r="A1215" s="2">
        <v>888</v>
      </c>
      <c r="B1215" s="2" t="s">
        <v>8099</v>
      </c>
      <c r="C1215" s="2">
        <v>12</v>
      </c>
      <c r="D1215" s="2">
        <v>341</v>
      </c>
      <c r="E1215" s="2">
        <v>177</v>
      </c>
      <c r="F1215" s="2">
        <v>32441</v>
      </c>
      <c r="G1215" s="2">
        <v>6.4498235499999996</v>
      </c>
      <c r="H1215" s="3">
        <v>7.7599999999999996E-7</v>
      </c>
      <c r="I1215" s="2" t="s">
        <v>38233</v>
      </c>
      <c r="J1215" s="2" t="s">
        <v>38234</v>
      </c>
      <c r="K1215" s="3">
        <v>1.5800000000000001E-5</v>
      </c>
      <c r="L1215" s="2" t="s">
        <v>848</v>
      </c>
      <c r="M1215" s="4" t="s">
        <v>8102</v>
      </c>
    </row>
    <row r="1216" spans="1:13">
      <c r="A1216" s="2">
        <v>4141</v>
      </c>
      <c r="B1216" s="2" t="s">
        <v>29018</v>
      </c>
      <c r="C1216" s="2">
        <v>11</v>
      </c>
      <c r="D1216" s="2">
        <v>341</v>
      </c>
      <c r="E1216" s="2">
        <v>145</v>
      </c>
      <c r="F1216" s="2">
        <v>32441</v>
      </c>
      <c r="G1216" s="2">
        <v>7.2171301449999996</v>
      </c>
      <c r="H1216" s="3">
        <v>7.9899999999999999E-7</v>
      </c>
      <c r="I1216" s="2" t="s">
        <v>37984</v>
      </c>
      <c r="J1216" s="2" t="s">
        <v>37985</v>
      </c>
      <c r="K1216" s="3">
        <v>1.6200000000000001E-5</v>
      </c>
      <c r="L1216" s="2" t="s">
        <v>848</v>
      </c>
      <c r="M1216" s="4" t="s">
        <v>29021</v>
      </c>
    </row>
    <row r="1217" spans="1:13">
      <c r="A1217" s="2">
        <v>876</v>
      </c>
      <c r="B1217" s="2" t="s">
        <v>38235</v>
      </c>
      <c r="C1217" s="2">
        <v>8</v>
      </c>
      <c r="D1217" s="2">
        <v>341</v>
      </c>
      <c r="E1217" s="2">
        <v>64</v>
      </c>
      <c r="F1217" s="2">
        <v>32441</v>
      </c>
      <c r="G1217" s="2">
        <v>11.89186217</v>
      </c>
      <c r="H1217" s="3">
        <v>8.47E-7</v>
      </c>
      <c r="I1217" s="2" t="s">
        <v>38236</v>
      </c>
      <c r="J1217" s="2" t="s">
        <v>38237</v>
      </c>
      <c r="K1217" s="3">
        <v>1.7200000000000001E-5</v>
      </c>
      <c r="L1217" s="2" t="s">
        <v>848</v>
      </c>
      <c r="M1217" s="4" t="s">
        <v>38238</v>
      </c>
    </row>
    <row r="1218" spans="1:13">
      <c r="A1218" s="2">
        <v>4810</v>
      </c>
      <c r="B1218" s="2" t="s">
        <v>38239</v>
      </c>
      <c r="C1218" s="2">
        <v>5</v>
      </c>
      <c r="D1218" s="2">
        <v>341</v>
      </c>
      <c r="E1218" s="2">
        <v>13</v>
      </c>
      <c r="F1218" s="2">
        <v>32441</v>
      </c>
      <c r="G1218" s="2">
        <v>36.590345139999997</v>
      </c>
      <c r="H1218" s="3">
        <v>9.0699999999999996E-7</v>
      </c>
      <c r="I1218" s="2" t="s">
        <v>38240</v>
      </c>
      <c r="J1218" s="2" t="s">
        <v>38241</v>
      </c>
      <c r="K1218" s="3">
        <v>1.8300000000000001E-5</v>
      </c>
      <c r="L1218" s="2" t="s">
        <v>848</v>
      </c>
      <c r="M1218" s="4" t="s">
        <v>38242</v>
      </c>
    </row>
    <row r="1219" spans="1:13">
      <c r="A1219" s="2">
        <v>1169</v>
      </c>
      <c r="B1219" s="2" t="s">
        <v>7831</v>
      </c>
      <c r="C1219" s="2">
        <v>26</v>
      </c>
      <c r="D1219" s="2">
        <v>341</v>
      </c>
      <c r="E1219" s="2">
        <v>814</v>
      </c>
      <c r="F1219" s="2">
        <v>32441</v>
      </c>
      <c r="G1219" s="2">
        <v>3.038706795</v>
      </c>
      <c r="H1219" s="3">
        <v>9.4099999999999997E-7</v>
      </c>
      <c r="I1219" s="2" t="s">
        <v>38243</v>
      </c>
      <c r="J1219" s="2" t="s">
        <v>38244</v>
      </c>
      <c r="K1219" s="3">
        <v>1.8899999999999999E-5</v>
      </c>
      <c r="L1219" s="2" t="s">
        <v>848</v>
      </c>
      <c r="M1219" s="4" t="s">
        <v>7834</v>
      </c>
    </row>
    <row r="1220" spans="1:13">
      <c r="A1220" s="2">
        <v>3844</v>
      </c>
      <c r="B1220" s="2" t="s">
        <v>29481</v>
      </c>
      <c r="C1220" s="2">
        <v>25</v>
      </c>
      <c r="D1220" s="2">
        <v>341</v>
      </c>
      <c r="E1220" s="2">
        <v>768</v>
      </c>
      <c r="F1220" s="2">
        <v>32441</v>
      </c>
      <c r="G1220" s="2">
        <v>3.0968391070000001</v>
      </c>
      <c r="H1220" s="3">
        <v>1.1000000000000001E-6</v>
      </c>
      <c r="I1220" s="2" t="s">
        <v>38245</v>
      </c>
      <c r="J1220" s="2" t="s">
        <v>38246</v>
      </c>
      <c r="K1220" s="3">
        <v>2.2099999999999998E-5</v>
      </c>
      <c r="L1220" s="2" t="s">
        <v>848</v>
      </c>
      <c r="M1220" s="4" t="s">
        <v>29484</v>
      </c>
    </row>
    <row r="1221" spans="1:13">
      <c r="A1221" s="2">
        <v>423</v>
      </c>
      <c r="B1221" s="2" t="s">
        <v>29787</v>
      </c>
      <c r="C1221" s="2">
        <v>7</v>
      </c>
      <c r="D1221" s="2">
        <v>341</v>
      </c>
      <c r="E1221" s="2">
        <v>47</v>
      </c>
      <c r="F1221" s="2">
        <v>32441</v>
      </c>
      <c r="G1221" s="2">
        <v>14.169027270000001</v>
      </c>
      <c r="H1221" s="3">
        <v>1.44E-6</v>
      </c>
      <c r="I1221" s="2" t="s">
        <v>38247</v>
      </c>
      <c r="J1221" s="2" t="s">
        <v>38248</v>
      </c>
      <c r="K1221" s="3">
        <v>2.8799999999999999E-5</v>
      </c>
      <c r="L1221" s="2" t="s">
        <v>848</v>
      </c>
      <c r="M1221" s="4" t="s">
        <v>29790</v>
      </c>
    </row>
    <row r="1222" spans="1:13">
      <c r="A1222" s="2">
        <v>2170</v>
      </c>
      <c r="B1222" s="2" t="s">
        <v>8568</v>
      </c>
      <c r="C1222" s="2">
        <v>28</v>
      </c>
      <c r="D1222" s="2">
        <v>341</v>
      </c>
      <c r="E1222" s="2">
        <v>944</v>
      </c>
      <c r="F1222" s="2">
        <v>32441</v>
      </c>
      <c r="G1222" s="2">
        <v>2.8217978029999999</v>
      </c>
      <c r="H1222" s="3">
        <v>1.4500000000000001E-6</v>
      </c>
      <c r="I1222" s="2" t="s">
        <v>38249</v>
      </c>
      <c r="J1222" s="2" t="s">
        <v>38250</v>
      </c>
      <c r="K1222" s="3">
        <v>2.8900000000000001E-5</v>
      </c>
      <c r="L1222" s="2" t="s">
        <v>848</v>
      </c>
      <c r="M1222" s="4" t="s">
        <v>8571</v>
      </c>
    </row>
    <row r="1223" spans="1:13">
      <c r="A1223" s="2">
        <v>662</v>
      </c>
      <c r="B1223" s="2" t="s">
        <v>38251</v>
      </c>
      <c r="C1223" s="2">
        <v>14</v>
      </c>
      <c r="D1223" s="2">
        <v>341</v>
      </c>
      <c r="E1223" s="2">
        <v>263</v>
      </c>
      <c r="F1223" s="2">
        <v>32441</v>
      </c>
      <c r="G1223" s="2">
        <v>5.0642150690000003</v>
      </c>
      <c r="H1223" s="3">
        <v>1.4699999999999999E-6</v>
      </c>
      <c r="I1223" s="2" t="s">
        <v>38252</v>
      </c>
      <c r="J1223" s="2" t="s">
        <v>38253</v>
      </c>
      <c r="K1223" s="3">
        <v>2.9099999999999999E-5</v>
      </c>
      <c r="L1223" s="2" t="s">
        <v>848</v>
      </c>
      <c r="M1223" s="4" t="s">
        <v>38254</v>
      </c>
    </row>
    <row r="1224" spans="1:13">
      <c r="A1224" s="2">
        <v>1131</v>
      </c>
      <c r="B1224" s="2" t="s">
        <v>38255</v>
      </c>
      <c r="C1224" s="2">
        <v>6</v>
      </c>
      <c r="D1224" s="2">
        <v>341</v>
      </c>
      <c r="E1224" s="2">
        <v>29</v>
      </c>
      <c r="F1224" s="2">
        <v>32441</v>
      </c>
      <c r="G1224" s="2">
        <v>19.683082209999998</v>
      </c>
      <c r="H1224" s="3">
        <v>1.53E-6</v>
      </c>
      <c r="I1224" s="2" t="s">
        <v>38256</v>
      </c>
      <c r="J1224" s="2" t="s">
        <v>38257</v>
      </c>
      <c r="K1224" s="3">
        <v>3.0199999999999999E-5</v>
      </c>
      <c r="L1224" s="2" t="s">
        <v>848</v>
      </c>
      <c r="M1224" s="4" t="s">
        <v>38258</v>
      </c>
    </row>
    <row r="1225" spans="1:13">
      <c r="A1225" s="2">
        <v>32911</v>
      </c>
      <c r="B1225" s="2" t="s">
        <v>38259</v>
      </c>
      <c r="C1225" s="2">
        <v>5</v>
      </c>
      <c r="D1225" s="2">
        <v>341</v>
      </c>
      <c r="E1225" s="2">
        <v>15</v>
      </c>
      <c r="F1225" s="2">
        <v>32441</v>
      </c>
      <c r="G1225" s="2">
        <v>31.71163245</v>
      </c>
      <c r="H1225" s="3">
        <v>1.61E-6</v>
      </c>
      <c r="I1225" s="2" t="s">
        <v>38260</v>
      </c>
      <c r="J1225" s="2" t="s">
        <v>38261</v>
      </c>
      <c r="K1225" s="3">
        <v>3.1600000000000002E-5</v>
      </c>
      <c r="L1225" s="2" t="s">
        <v>848</v>
      </c>
      <c r="M1225" s="4" t="s">
        <v>38262</v>
      </c>
    </row>
    <row r="1226" spans="1:13">
      <c r="A1226" s="2">
        <v>4689</v>
      </c>
      <c r="B1226" s="2" t="s">
        <v>38263</v>
      </c>
      <c r="C1226" s="2">
        <v>5</v>
      </c>
      <c r="D1226" s="2">
        <v>341</v>
      </c>
      <c r="E1226" s="2">
        <v>15</v>
      </c>
      <c r="F1226" s="2">
        <v>32441</v>
      </c>
      <c r="G1226" s="2">
        <v>31.71163245</v>
      </c>
      <c r="H1226" s="3">
        <v>1.61E-6</v>
      </c>
      <c r="I1226" s="2" t="s">
        <v>38264</v>
      </c>
      <c r="J1226" s="2" t="s">
        <v>38265</v>
      </c>
      <c r="K1226" s="3">
        <v>3.1600000000000002E-5</v>
      </c>
      <c r="L1226" s="2" t="s">
        <v>848</v>
      </c>
      <c r="M1226" s="4" t="s">
        <v>38266</v>
      </c>
    </row>
    <row r="1227" spans="1:13">
      <c r="A1227" s="2">
        <v>5538</v>
      </c>
      <c r="B1227" s="2" t="s">
        <v>38267</v>
      </c>
      <c r="C1227" s="2">
        <v>5</v>
      </c>
      <c r="D1227" s="2">
        <v>341</v>
      </c>
      <c r="E1227" s="2">
        <v>15</v>
      </c>
      <c r="F1227" s="2">
        <v>32441</v>
      </c>
      <c r="G1227" s="2">
        <v>31.71163245</v>
      </c>
      <c r="H1227" s="3">
        <v>1.61E-6</v>
      </c>
      <c r="I1227" s="2" t="s">
        <v>38268</v>
      </c>
      <c r="J1227" s="2" t="s">
        <v>38269</v>
      </c>
      <c r="K1227" s="3">
        <v>3.1600000000000002E-5</v>
      </c>
      <c r="L1227" s="2" t="s">
        <v>848</v>
      </c>
      <c r="M1227" s="4" t="s">
        <v>38270</v>
      </c>
    </row>
    <row r="1228" spans="1:13">
      <c r="A1228" s="2">
        <v>31591</v>
      </c>
      <c r="B1228" s="2" t="s">
        <v>38271</v>
      </c>
      <c r="C1228" s="2">
        <v>7</v>
      </c>
      <c r="D1228" s="2">
        <v>341</v>
      </c>
      <c r="E1228" s="2">
        <v>48</v>
      </c>
      <c r="F1228" s="2">
        <v>32441</v>
      </c>
      <c r="G1228" s="2">
        <v>13.873839200000001</v>
      </c>
      <c r="H1228" s="3">
        <v>1.64E-6</v>
      </c>
      <c r="I1228" s="2" t="s">
        <v>38272</v>
      </c>
      <c r="J1228" s="2" t="s">
        <v>38273</v>
      </c>
      <c r="K1228" s="3">
        <v>3.1999999999999999E-5</v>
      </c>
      <c r="L1228" s="2" t="s">
        <v>848</v>
      </c>
      <c r="M1228" s="4" t="s">
        <v>38274</v>
      </c>
    </row>
    <row r="1229" spans="1:13">
      <c r="A1229" s="2">
        <v>5274</v>
      </c>
      <c r="B1229" s="2" t="s">
        <v>9942</v>
      </c>
      <c r="C1229" s="2">
        <v>26</v>
      </c>
      <c r="D1229" s="2">
        <v>341</v>
      </c>
      <c r="E1229" s="2">
        <v>842</v>
      </c>
      <c r="F1229" s="2">
        <v>32441</v>
      </c>
      <c r="G1229" s="2">
        <v>2.9376571629999999</v>
      </c>
      <c r="H1229" s="3">
        <v>1.72E-6</v>
      </c>
      <c r="I1229" s="2" t="s">
        <v>38275</v>
      </c>
      <c r="J1229" s="2" t="s">
        <v>38276</v>
      </c>
      <c r="K1229" s="3">
        <v>3.3399999999999999E-5</v>
      </c>
      <c r="L1229" s="2" t="s">
        <v>848</v>
      </c>
      <c r="M1229" s="4" t="s">
        <v>9945</v>
      </c>
    </row>
    <row r="1230" spans="1:13">
      <c r="A1230" s="2">
        <v>3992</v>
      </c>
      <c r="B1230" s="2" t="s">
        <v>28483</v>
      </c>
      <c r="C1230" s="2">
        <v>13</v>
      </c>
      <c r="D1230" s="2">
        <v>341</v>
      </c>
      <c r="E1230" s="2">
        <v>229</v>
      </c>
      <c r="F1230" s="2">
        <v>32441</v>
      </c>
      <c r="G1230" s="2">
        <v>5.4006710289999997</v>
      </c>
      <c r="H1230" s="3">
        <v>1.7799999999999999E-6</v>
      </c>
      <c r="I1230" s="2" t="s">
        <v>38277</v>
      </c>
      <c r="J1230" s="2" t="s">
        <v>38278</v>
      </c>
      <c r="K1230" s="3">
        <v>3.4499999999999998E-5</v>
      </c>
      <c r="L1230" s="2" t="s">
        <v>848</v>
      </c>
      <c r="M1230" s="4" t="s">
        <v>28486</v>
      </c>
    </row>
    <row r="1231" spans="1:13">
      <c r="A1231" s="2">
        <v>866</v>
      </c>
      <c r="B1231" s="2" t="s">
        <v>8591</v>
      </c>
      <c r="C1231" s="2">
        <v>42</v>
      </c>
      <c r="D1231" s="2">
        <v>341</v>
      </c>
      <c r="E1231" s="2">
        <v>1805</v>
      </c>
      <c r="F1231" s="2">
        <v>32441</v>
      </c>
      <c r="G1231" s="2">
        <v>2.2136652020000001</v>
      </c>
      <c r="H1231" s="3">
        <v>1.7799999999999999E-6</v>
      </c>
      <c r="I1231" s="2" t="s">
        <v>38279</v>
      </c>
      <c r="J1231" s="2" t="s">
        <v>38280</v>
      </c>
      <c r="K1231" s="3">
        <v>3.4499999999999998E-5</v>
      </c>
      <c r="L1231" s="2" t="s">
        <v>848</v>
      </c>
      <c r="M1231" s="4" t="s">
        <v>8594</v>
      </c>
    </row>
    <row r="1232" spans="1:13">
      <c r="A1232" s="2">
        <v>913</v>
      </c>
      <c r="B1232" s="2" t="s">
        <v>38281</v>
      </c>
      <c r="C1232" s="2">
        <v>19</v>
      </c>
      <c r="D1232" s="2">
        <v>341</v>
      </c>
      <c r="E1232" s="2">
        <v>486</v>
      </c>
      <c r="F1232" s="2">
        <v>32441</v>
      </c>
      <c r="G1232" s="2">
        <v>3.7192655349999999</v>
      </c>
      <c r="H1232" s="3">
        <v>1.79E-6</v>
      </c>
      <c r="I1232" s="2" t="s">
        <v>38282</v>
      </c>
      <c r="J1232" s="2" t="s">
        <v>38283</v>
      </c>
      <c r="K1232" s="3">
        <v>3.4600000000000001E-5</v>
      </c>
      <c r="L1232" s="2" t="s">
        <v>848</v>
      </c>
      <c r="M1232" s="4" t="s">
        <v>38284</v>
      </c>
    </row>
    <row r="1233" spans="1:13">
      <c r="A1233" s="2">
        <v>4856</v>
      </c>
      <c r="B1233" s="2" t="s">
        <v>29572</v>
      </c>
      <c r="C1233" s="2">
        <v>9</v>
      </c>
      <c r="D1233" s="2">
        <v>341</v>
      </c>
      <c r="E1233" s="2">
        <v>98</v>
      </c>
      <c r="F1233" s="2">
        <v>32441</v>
      </c>
      <c r="G1233" s="2">
        <v>8.7368783289999996</v>
      </c>
      <c r="H1233" s="3">
        <v>1.88E-6</v>
      </c>
      <c r="I1233" s="2" t="s">
        <v>38285</v>
      </c>
      <c r="J1233" s="2" t="s">
        <v>38286</v>
      </c>
      <c r="K1233" s="3">
        <v>3.6100000000000003E-5</v>
      </c>
      <c r="L1233" s="2" t="s">
        <v>848</v>
      </c>
      <c r="M1233" s="4" t="s">
        <v>29575</v>
      </c>
    </row>
    <row r="1234" spans="1:13">
      <c r="A1234" s="2">
        <v>4061</v>
      </c>
      <c r="B1234" s="2" t="s">
        <v>8115</v>
      </c>
      <c r="C1234" s="2">
        <v>39</v>
      </c>
      <c r="D1234" s="2">
        <v>341</v>
      </c>
      <c r="E1234" s="2">
        <v>1618</v>
      </c>
      <c r="F1234" s="2">
        <v>32441</v>
      </c>
      <c r="G1234" s="2">
        <v>2.2931155730000001</v>
      </c>
      <c r="H1234" s="3">
        <v>1.9099999999999999E-6</v>
      </c>
      <c r="I1234" s="2" t="s">
        <v>38287</v>
      </c>
      <c r="J1234" s="2" t="s">
        <v>38288</v>
      </c>
      <c r="K1234" s="3">
        <v>3.65E-5</v>
      </c>
      <c r="L1234" s="2" t="s">
        <v>848</v>
      </c>
      <c r="M1234" s="4" t="s">
        <v>8118</v>
      </c>
    </row>
    <row r="1235" spans="1:13">
      <c r="A1235" s="2">
        <v>3011</v>
      </c>
      <c r="B1235" s="2" t="s">
        <v>8480</v>
      </c>
      <c r="C1235" s="2">
        <v>31</v>
      </c>
      <c r="D1235" s="2">
        <v>341</v>
      </c>
      <c r="E1235" s="2">
        <v>1135</v>
      </c>
      <c r="F1235" s="2">
        <v>32441</v>
      </c>
      <c r="G1235" s="2">
        <v>2.5983980779999998</v>
      </c>
      <c r="H1235" s="3">
        <v>2.0700000000000001E-6</v>
      </c>
      <c r="I1235" s="2" t="s">
        <v>38289</v>
      </c>
      <c r="J1235" s="2" t="s">
        <v>38290</v>
      </c>
      <c r="K1235" s="3">
        <v>3.96E-5</v>
      </c>
      <c r="L1235" s="2" t="s">
        <v>848</v>
      </c>
      <c r="M1235" s="4" t="s">
        <v>8483</v>
      </c>
    </row>
    <row r="1236" spans="1:13">
      <c r="A1236" s="2">
        <v>593</v>
      </c>
      <c r="B1236" s="2" t="s">
        <v>38291</v>
      </c>
      <c r="C1236" s="2">
        <v>5</v>
      </c>
      <c r="D1236" s="2">
        <v>341</v>
      </c>
      <c r="E1236" s="2">
        <v>16</v>
      </c>
      <c r="F1236" s="2">
        <v>32441</v>
      </c>
      <c r="G1236" s="2">
        <v>29.729655430000001</v>
      </c>
      <c r="H1236" s="3">
        <v>2.0999999999999998E-6</v>
      </c>
      <c r="I1236" s="2" t="s">
        <v>38292</v>
      </c>
      <c r="J1236" s="2" t="s">
        <v>38293</v>
      </c>
      <c r="K1236" s="3">
        <v>3.9799999999999998E-5</v>
      </c>
      <c r="L1236" s="2" t="s">
        <v>848</v>
      </c>
      <c r="M1236" s="4" t="s">
        <v>38294</v>
      </c>
    </row>
    <row r="1237" spans="1:13">
      <c r="A1237" s="2">
        <v>907</v>
      </c>
      <c r="B1237" s="2" t="s">
        <v>38295</v>
      </c>
      <c r="C1237" s="2">
        <v>5</v>
      </c>
      <c r="D1237" s="2">
        <v>341</v>
      </c>
      <c r="E1237" s="2">
        <v>16</v>
      </c>
      <c r="F1237" s="2">
        <v>32441</v>
      </c>
      <c r="G1237" s="2">
        <v>29.729655430000001</v>
      </c>
      <c r="H1237" s="3">
        <v>2.0999999999999998E-6</v>
      </c>
      <c r="I1237" s="2" t="s">
        <v>38296</v>
      </c>
      <c r="J1237" s="2" t="s">
        <v>38297</v>
      </c>
      <c r="K1237" s="3">
        <v>3.9799999999999998E-5</v>
      </c>
      <c r="L1237" s="2" t="s">
        <v>848</v>
      </c>
      <c r="M1237" s="4" t="s">
        <v>38298</v>
      </c>
    </row>
    <row r="1238" spans="1:13">
      <c r="A1238" s="2">
        <v>3100</v>
      </c>
      <c r="B1238" s="2" t="s">
        <v>38299</v>
      </c>
      <c r="C1238" s="2">
        <v>6</v>
      </c>
      <c r="D1238" s="2">
        <v>341</v>
      </c>
      <c r="E1238" s="2">
        <v>31</v>
      </c>
      <c r="F1238" s="2">
        <v>32441</v>
      </c>
      <c r="G1238" s="2">
        <v>18.413205940000001</v>
      </c>
      <c r="H1238" s="3">
        <v>2.1500000000000002E-6</v>
      </c>
      <c r="I1238" s="2" t="s">
        <v>38300</v>
      </c>
      <c r="J1238" s="2" t="s">
        <v>38301</v>
      </c>
      <c r="K1238" s="3">
        <v>4.0599999999999998E-5</v>
      </c>
      <c r="L1238" s="2" t="s">
        <v>848</v>
      </c>
      <c r="M1238" s="4" t="s">
        <v>38302</v>
      </c>
    </row>
    <row r="1239" spans="1:13">
      <c r="A1239" s="2">
        <v>3337</v>
      </c>
      <c r="B1239" s="2" t="s">
        <v>28815</v>
      </c>
      <c r="C1239" s="2">
        <v>30</v>
      </c>
      <c r="D1239" s="2">
        <v>341</v>
      </c>
      <c r="E1239" s="2">
        <v>1087</v>
      </c>
      <c r="F1239" s="2">
        <v>32441</v>
      </c>
      <c r="G1239" s="2">
        <v>2.625618142</v>
      </c>
      <c r="H1239" s="3">
        <v>2.4899999999999999E-6</v>
      </c>
      <c r="I1239" s="2" t="s">
        <v>38303</v>
      </c>
      <c r="J1239" s="2" t="s">
        <v>38304</v>
      </c>
      <c r="K1239" s="3">
        <v>4.6999999999999997E-5</v>
      </c>
      <c r="L1239" s="2" t="s">
        <v>848</v>
      </c>
      <c r="M1239" s="4" t="s">
        <v>28818</v>
      </c>
    </row>
    <row r="1240" spans="1:13">
      <c r="A1240" s="2">
        <v>3294</v>
      </c>
      <c r="B1240" s="2" t="s">
        <v>38305</v>
      </c>
      <c r="C1240" s="2">
        <v>5</v>
      </c>
      <c r="D1240" s="2">
        <v>341</v>
      </c>
      <c r="E1240" s="2">
        <v>17</v>
      </c>
      <c r="F1240" s="2">
        <v>32441</v>
      </c>
      <c r="G1240" s="2">
        <v>27.980852160000001</v>
      </c>
      <c r="H1240" s="3">
        <v>2.6900000000000001E-6</v>
      </c>
      <c r="I1240" s="2" t="s">
        <v>38186</v>
      </c>
      <c r="J1240" s="2" t="s">
        <v>38187</v>
      </c>
      <c r="K1240" s="3">
        <v>5.0599999999999997E-5</v>
      </c>
      <c r="L1240" s="2" t="s">
        <v>848</v>
      </c>
      <c r="M1240" s="4" t="s">
        <v>38306</v>
      </c>
    </row>
    <row r="1241" spans="1:13">
      <c r="A1241" s="2">
        <v>4564</v>
      </c>
      <c r="B1241" s="2" t="s">
        <v>28354</v>
      </c>
      <c r="C1241" s="2">
        <v>23</v>
      </c>
      <c r="D1241" s="2">
        <v>341</v>
      </c>
      <c r="E1241" s="2">
        <v>703</v>
      </c>
      <c r="F1241" s="2">
        <v>32441</v>
      </c>
      <c r="G1241" s="2">
        <v>3.112521535</v>
      </c>
      <c r="H1241" s="3">
        <v>2.7599999999999998E-6</v>
      </c>
      <c r="I1241" s="2" t="s">
        <v>38307</v>
      </c>
      <c r="J1241" s="2" t="s">
        <v>38308</v>
      </c>
      <c r="K1241" s="3">
        <v>5.1700000000000003E-5</v>
      </c>
      <c r="L1241" s="2" t="s">
        <v>848</v>
      </c>
      <c r="M1241" s="4" t="s">
        <v>28357</v>
      </c>
    </row>
    <row r="1242" spans="1:13">
      <c r="A1242" s="2">
        <v>3129</v>
      </c>
      <c r="B1242" s="2" t="s">
        <v>29118</v>
      </c>
      <c r="C1242" s="2">
        <v>21</v>
      </c>
      <c r="D1242" s="2">
        <v>341</v>
      </c>
      <c r="E1242" s="2">
        <v>602</v>
      </c>
      <c r="F1242" s="2">
        <v>32441</v>
      </c>
      <c r="G1242" s="2">
        <v>3.3186592099999999</v>
      </c>
      <c r="H1242" s="3">
        <v>2.9100000000000001E-6</v>
      </c>
      <c r="I1242" s="2" t="s">
        <v>38309</v>
      </c>
      <c r="J1242" s="2" t="s">
        <v>38310</v>
      </c>
      <c r="K1242" s="3">
        <v>5.4200000000000003E-5</v>
      </c>
      <c r="L1242" s="2" t="s">
        <v>848</v>
      </c>
      <c r="M1242" s="4" t="s">
        <v>29121</v>
      </c>
    </row>
    <row r="1243" spans="1:13">
      <c r="A1243" s="2">
        <v>3869</v>
      </c>
      <c r="B1243" s="2" t="s">
        <v>10527</v>
      </c>
      <c r="C1243" s="2">
        <v>20</v>
      </c>
      <c r="D1243" s="2">
        <v>341</v>
      </c>
      <c r="E1243" s="2">
        <v>552</v>
      </c>
      <c r="F1243" s="2">
        <v>32441</v>
      </c>
      <c r="G1243" s="2">
        <v>3.446916571</v>
      </c>
      <c r="H1243" s="3">
        <v>2.9100000000000001E-6</v>
      </c>
      <c r="I1243" s="2" t="s">
        <v>38311</v>
      </c>
      <c r="J1243" s="2" t="s">
        <v>38312</v>
      </c>
      <c r="K1243" s="3">
        <v>5.4200000000000003E-5</v>
      </c>
      <c r="L1243" s="2" t="s">
        <v>848</v>
      </c>
      <c r="M1243" s="4" t="s">
        <v>10530</v>
      </c>
    </row>
    <row r="1244" spans="1:13">
      <c r="A1244" s="2">
        <v>1253</v>
      </c>
      <c r="B1244" s="2" t="s">
        <v>30513</v>
      </c>
      <c r="C1244" s="2">
        <v>6</v>
      </c>
      <c r="D1244" s="2">
        <v>341</v>
      </c>
      <c r="E1244" s="2">
        <v>33</v>
      </c>
      <c r="F1244" s="2">
        <v>32441</v>
      </c>
      <c r="G1244" s="2">
        <v>17.297254070000001</v>
      </c>
      <c r="H1244" s="3">
        <v>2.96E-6</v>
      </c>
      <c r="I1244" s="2" t="s">
        <v>38313</v>
      </c>
      <c r="J1244" s="2" t="s">
        <v>38314</v>
      </c>
      <c r="K1244" s="3">
        <v>5.49E-5</v>
      </c>
      <c r="L1244" s="2" t="s">
        <v>848</v>
      </c>
      <c r="M1244" s="4" t="s">
        <v>30516</v>
      </c>
    </row>
    <row r="1245" spans="1:13">
      <c r="A1245" s="2">
        <v>136</v>
      </c>
      <c r="B1245" s="2" t="s">
        <v>28901</v>
      </c>
      <c r="C1245" s="2">
        <v>20</v>
      </c>
      <c r="D1245" s="2">
        <v>341</v>
      </c>
      <c r="E1245" s="2">
        <v>554</v>
      </c>
      <c r="F1245" s="2">
        <v>32441</v>
      </c>
      <c r="G1245" s="2">
        <v>3.4344728290000002</v>
      </c>
      <c r="H1245" s="3">
        <v>3.0699999999999998E-6</v>
      </c>
      <c r="I1245" s="2" t="s">
        <v>38315</v>
      </c>
      <c r="J1245" s="2" t="s">
        <v>38316</v>
      </c>
      <c r="K1245" s="3">
        <v>5.6700000000000003E-5</v>
      </c>
      <c r="L1245" s="2" t="s">
        <v>848</v>
      </c>
      <c r="M1245" s="4" t="s">
        <v>28904</v>
      </c>
    </row>
    <row r="1246" spans="1:13">
      <c r="A1246" s="2">
        <v>3373</v>
      </c>
      <c r="B1246" s="2" t="s">
        <v>29727</v>
      </c>
      <c r="C1246" s="2">
        <v>10</v>
      </c>
      <c r="D1246" s="2">
        <v>341</v>
      </c>
      <c r="E1246" s="2">
        <v>136</v>
      </c>
      <c r="F1246" s="2">
        <v>32441</v>
      </c>
      <c r="G1246" s="2">
        <v>6.9952130410000004</v>
      </c>
      <c r="H1246" s="3">
        <v>3.3000000000000002E-6</v>
      </c>
      <c r="I1246" s="2" t="s">
        <v>38317</v>
      </c>
      <c r="J1246" s="2" t="s">
        <v>38318</v>
      </c>
      <c r="K1246" s="3">
        <v>6.0699999999999998E-5</v>
      </c>
      <c r="L1246" s="2" t="s">
        <v>848</v>
      </c>
      <c r="M1246" s="4" t="s">
        <v>29730</v>
      </c>
    </row>
    <row r="1247" spans="1:13">
      <c r="A1247" s="2">
        <v>3857</v>
      </c>
      <c r="B1247" s="2" t="s">
        <v>38319</v>
      </c>
      <c r="C1247" s="2">
        <v>23</v>
      </c>
      <c r="D1247" s="2">
        <v>341</v>
      </c>
      <c r="E1247" s="2">
        <v>711</v>
      </c>
      <c r="F1247" s="2">
        <v>32441</v>
      </c>
      <c r="G1247" s="2">
        <v>3.0775001959999999</v>
      </c>
      <c r="H1247" s="3">
        <v>3.3100000000000001E-6</v>
      </c>
      <c r="I1247" s="2" t="s">
        <v>38320</v>
      </c>
      <c r="J1247" s="2" t="s">
        <v>38321</v>
      </c>
      <c r="K1247" s="3">
        <v>6.0699999999999998E-5</v>
      </c>
      <c r="L1247" s="2" t="s">
        <v>848</v>
      </c>
      <c r="M1247" s="4" t="s">
        <v>38322</v>
      </c>
    </row>
    <row r="1248" spans="1:13">
      <c r="A1248" s="2">
        <v>3664</v>
      </c>
      <c r="B1248" s="2" t="s">
        <v>38323</v>
      </c>
      <c r="C1248" s="2">
        <v>5</v>
      </c>
      <c r="D1248" s="2">
        <v>341</v>
      </c>
      <c r="E1248" s="2">
        <v>18</v>
      </c>
      <c r="F1248" s="2">
        <v>32441</v>
      </c>
      <c r="G1248" s="2">
        <v>26.426360379999998</v>
      </c>
      <c r="H1248" s="3">
        <v>3.41E-6</v>
      </c>
      <c r="I1248" s="2" t="s">
        <v>38324</v>
      </c>
      <c r="J1248" s="2" t="s">
        <v>38325</v>
      </c>
      <c r="K1248" s="3">
        <v>6.2500000000000001E-5</v>
      </c>
      <c r="L1248" s="2" t="s">
        <v>848</v>
      </c>
      <c r="M1248" s="4" t="s">
        <v>38326</v>
      </c>
    </row>
    <row r="1249" spans="1:13">
      <c r="A1249" s="2">
        <v>2981</v>
      </c>
      <c r="B1249" s="2" t="s">
        <v>38327</v>
      </c>
      <c r="C1249" s="2">
        <v>10</v>
      </c>
      <c r="D1249" s="2">
        <v>341</v>
      </c>
      <c r="E1249" s="2">
        <v>137</v>
      </c>
      <c r="F1249" s="2">
        <v>32441</v>
      </c>
      <c r="G1249" s="2">
        <v>6.9441530919999996</v>
      </c>
      <c r="H1249" s="3">
        <v>3.4999999999999999E-6</v>
      </c>
      <c r="I1249" s="2" t="s">
        <v>38328</v>
      </c>
      <c r="J1249" s="2" t="s">
        <v>38329</v>
      </c>
      <c r="K1249" s="3">
        <v>6.3999999999999997E-5</v>
      </c>
      <c r="L1249" s="2" t="s">
        <v>848</v>
      </c>
      <c r="M1249" s="4" t="s">
        <v>38330</v>
      </c>
    </row>
    <row r="1250" spans="1:13">
      <c r="A1250" s="2">
        <v>44521</v>
      </c>
      <c r="B1250" s="2" t="s">
        <v>28593</v>
      </c>
      <c r="C1250" s="2">
        <v>17</v>
      </c>
      <c r="D1250" s="2">
        <v>341</v>
      </c>
      <c r="E1250" s="2">
        <v>416</v>
      </c>
      <c r="F1250" s="2">
        <v>32441</v>
      </c>
      <c r="G1250" s="2">
        <v>3.8877241709999999</v>
      </c>
      <c r="H1250" s="3">
        <v>3.58E-6</v>
      </c>
      <c r="I1250" s="2" t="s">
        <v>38331</v>
      </c>
      <c r="J1250" s="2" t="s">
        <v>38332</v>
      </c>
      <c r="K1250" s="3">
        <v>6.5199999999999999E-5</v>
      </c>
      <c r="L1250" s="2" t="s">
        <v>848</v>
      </c>
      <c r="M1250" s="4" t="s">
        <v>28596</v>
      </c>
    </row>
    <row r="1251" spans="1:13">
      <c r="A1251" s="2">
        <v>24001</v>
      </c>
      <c r="B1251" s="2" t="s">
        <v>38333</v>
      </c>
      <c r="C1251" s="2">
        <v>8</v>
      </c>
      <c r="D1251" s="2">
        <v>341</v>
      </c>
      <c r="E1251" s="2">
        <v>79</v>
      </c>
      <c r="F1251" s="2">
        <v>32441</v>
      </c>
      <c r="G1251" s="2">
        <v>9.6339136570000008</v>
      </c>
      <c r="H1251" s="3">
        <v>3.6100000000000002E-6</v>
      </c>
      <c r="I1251" s="2" t="s">
        <v>38334</v>
      </c>
      <c r="J1251" s="2" t="s">
        <v>38335</v>
      </c>
      <c r="K1251" s="3">
        <v>6.5599999999999995E-5</v>
      </c>
      <c r="L1251" s="2" t="s">
        <v>848</v>
      </c>
      <c r="M1251" s="4" t="s">
        <v>38336</v>
      </c>
    </row>
    <row r="1252" spans="1:13">
      <c r="A1252" s="2">
        <v>5715</v>
      </c>
      <c r="B1252" s="2" t="s">
        <v>959</v>
      </c>
      <c r="C1252" s="2">
        <v>31</v>
      </c>
      <c r="D1252" s="2">
        <v>341</v>
      </c>
      <c r="E1252" s="2">
        <v>1170</v>
      </c>
      <c r="F1252" s="2">
        <v>32441</v>
      </c>
      <c r="G1252" s="2">
        <v>2.5206682210000002</v>
      </c>
      <c r="H1252" s="3">
        <v>3.7799999999999998E-6</v>
      </c>
      <c r="I1252" s="2" t="s">
        <v>38337</v>
      </c>
      <c r="J1252" s="2" t="s">
        <v>38338</v>
      </c>
      <c r="K1252" s="3">
        <v>6.8300000000000007E-5</v>
      </c>
      <c r="L1252" s="2" t="s">
        <v>848</v>
      </c>
      <c r="M1252" s="4" t="s">
        <v>3071</v>
      </c>
    </row>
    <row r="1253" spans="1:13">
      <c r="A1253" s="2">
        <v>191</v>
      </c>
      <c r="B1253" s="2" t="s">
        <v>38339</v>
      </c>
      <c r="C1253" s="2">
        <v>10</v>
      </c>
      <c r="D1253" s="2">
        <v>341</v>
      </c>
      <c r="E1253" s="2">
        <v>139</v>
      </c>
      <c r="F1253" s="2">
        <v>32441</v>
      </c>
      <c r="G1253" s="2">
        <v>6.8442372200000001</v>
      </c>
      <c r="H1253" s="3">
        <v>3.9600000000000002E-6</v>
      </c>
      <c r="I1253" s="2" t="s">
        <v>38340</v>
      </c>
      <c r="J1253" s="2" t="s">
        <v>38341</v>
      </c>
      <c r="K1253" s="3">
        <v>7.1400000000000001E-5</v>
      </c>
      <c r="L1253" s="2" t="s">
        <v>848</v>
      </c>
      <c r="M1253" s="4" t="s">
        <v>38342</v>
      </c>
    </row>
    <row r="1254" spans="1:13">
      <c r="A1254" s="2">
        <v>41371</v>
      </c>
      <c r="B1254" s="2" t="s">
        <v>30221</v>
      </c>
      <c r="C1254" s="2">
        <v>21</v>
      </c>
      <c r="D1254" s="2">
        <v>341</v>
      </c>
      <c r="E1254" s="2">
        <v>616</v>
      </c>
      <c r="F1254" s="2">
        <v>32441</v>
      </c>
      <c r="G1254" s="2">
        <v>3.2432351370000001</v>
      </c>
      <c r="H1254" s="3">
        <v>4.0999999999999997E-6</v>
      </c>
      <c r="I1254" s="2" t="s">
        <v>38343</v>
      </c>
      <c r="J1254" s="2" t="s">
        <v>38344</v>
      </c>
      <c r="K1254" s="3">
        <v>7.3700000000000002E-5</v>
      </c>
      <c r="L1254" s="2" t="s">
        <v>848</v>
      </c>
      <c r="M1254" s="4" t="s">
        <v>30224</v>
      </c>
    </row>
    <row r="1255" spans="1:13">
      <c r="A1255" s="2">
        <v>591</v>
      </c>
      <c r="B1255" s="2" t="s">
        <v>9246</v>
      </c>
      <c r="C1255" s="2">
        <v>24</v>
      </c>
      <c r="D1255" s="2">
        <v>341</v>
      </c>
      <c r="E1255" s="2">
        <v>776</v>
      </c>
      <c r="F1255" s="2">
        <v>32441</v>
      </c>
      <c r="G1255" s="2">
        <v>2.9423164129999999</v>
      </c>
      <c r="H1255" s="3">
        <v>4.2300000000000002E-6</v>
      </c>
      <c r="I1255" s="2" t="s">
        <v>38345</v>
      </c>
      <c r="J1255" s="2" t="s">
        <v>38346</v>
      </c>
      <c r="K1255" s="3">
        <v>7.5799999999999999E-5</v>
      </c>
      <c r="L1255" s="2" t="s">
        <v>848</v>
      </c>
      <c r="M1255" s="4" t="s">
        <v>9249</v>
      </c>
    </row>
    <row r="1256" spans="1:13">
      <c r="A1256" s="2">
        <v>1094</v>
      </c>
      <c r="B1256" s="2" t="s">
        <v>38347</v>
      </c>
      <c r="C1256" s="2">
        <v>9</v>
      </c>
      <c r="D1256" s="2">
        <v>341</v>
      </c>
      <c r="E1256" s="2">
        <v>109</v>
      </c>
      <c r="F1256" s="2">
        <v>32441</v>
      </c>
      <c r="G1256" s="2">
        <v>7.855175011</v>
      </c>
      <c r="H1256" s="3">
        <v>4.2400000000000001E-6</v>
      </c>
      <c r="I1256" s="2" t="s">
        <v>38348</v>
      </c>
      <c r="J1256" s="2" t="s">
        <v>38349</v>
      </c>
      <c r="K1256" s="3">
        <v>7.5900000000000002E-5</v>
      </c>
      <c r="L1256" s="2" t="s">
        <v>848</v>
      </c>
      <c r="M1256" s="4" t="s">
        <v>38350</v>
      </c>
    </row>
    <row r="1257" spans="1:13">
      <c r="A1257" s="2">
        <v>14681</v>
      </c>
      <c r="B1257" s="2" t="s">
        <v>38351</v>
      </c>
      <c r="C1257" s="2">
        <v>5</v>
      </c>
      <c r="D1257" s="2">
        <v>341</v>
      </c>
      <c r="E1257" s="2">
        <v>19</v>
      </c>
      <c r="F1257" s="2">
        <v>32441</v>
      </c>
      <c r="G1257" s="2">
        <v>25.035499309999999</v>
      </c>
      <c r="H1257" s="3">
        <v>4.2699999999999998E-6</v>
      </c>
      <c r="I1257" s="2" t="s">
        <v>38352</v>
      </c>
      <c r="J1257" s="2" t="s">
        <v>38353</v>
      </c>
      <c r="K1257" s="3">
        <v>7.6199999999999995E-5</v>
      </c>
      <c r="L1257" s="2" t="s">
        <v>848</v>
      </c>
      <c r="M1257" s="4" t="s">
        <v>38354</v>
      </c>
    </row>
    <row r="1258" spans="1:13">
      <c r="A1258" s="2">
        <v>4931</v>
      </c>
      <c r="B1258" s="2" t="s">
        <v>38355</v>
      </c>
      <c r="C1258" s="2">
        <v>7</v>
      </c>
      <c r="D1258" s="2">
        <v>341</v>
      </c>
      <c r="E1258" s="2">
        <v>57</v>
      </c>
      <c r="F1258" s="2">
        <v>32441</v>
      </c>
      <c r="G1258" s="2">
        <v>11.68323301</v>
      </c>
      <c r="H1258" s="3">
        <v>4.6299999999999997E-6</v>
      </c>
      <c r="I1258" s="2" t="s">
        <v>38356</v>
      </c>
      <c r="J1258" s="2" t="s">
        <v>38357</v>
      </c>
      <c r="K1258" s="3">
        <v>8.2200000000000006E-5</v>
      </c>
      <c r="L1258" s="2" t="s">
        <v>848</v>
      </c>
      <c r="M1258" s="4" t="s">
        <v>38358</v>
      </c>
    </row>
    <row r="1259" spans="1:13">
      <c r="A1259" s="2">
        <v>1760</v>
      </c>
      <c r="B1259" s="2" t="s">
        <v>8027</v>
      </c>
      <c r="C1259" s="2">
        <v>12</v>
      </c>
      <c r="D1259" s="2">
        <v>341</v>
      </c>
      <c r="E1259" s="2">
        <v>213</v>
      </c>
      <c r="F1259" s="2">
        <v>32441</v>
      </c>
      <c r="G1259" s="2">
        <v>5.3597125270000001</v>
      </c>
      <c r="H1259" s="3">
        <v>4.78E-6</v>
      </c>
      <c r="I1259" s="2" t="s">
        <v>38233</v>
      </c>
      <c r="J1259" s="2" t="s">
        <v>38234</v>
      </c>
      <c r="K1259" s="3">
        <v>8.4599999999999996E-5</v>
      </c>
      <c r="L1259" s="2" t="s">
        <v>848</v>
      </c>
      <c r="M1259" s="4" t="s">
        <v>8030</v>
      </c>
    </row>
    <row r="1260" spans="1:13">
      <c r="A1260" s="2">
        <v>1364</v>
      </c>
      <c r="B1260" s="2" t="s">
        <v>30459</v>
      </c>
      <c r="C1260" s="2">
        <v>23</v>
      </c>
      <c r="D1260" s="2">
        <v>341</v>
      </c>
      <c r="E1260" s="2">
        <v>730</v>
      </c>
      <c r="F1260" s="2">
        <v>32441</v>
      </c>
      <c r="G1260" s="2">
        <v>2.9974008759999999</v>
      </c>
      <c r="H1260" s="3">
        <v>5.0200000000000002E-6</v>
      </c>
      <c r="I1260" s="2" t="s">
        <v>38359</v>
      </c>
      <c r="J1260" s="2" t="s">
        <v>38360</v>
      </c>
      <c r="K1260" s="3">
        <v>8.8700000000000001E-5</v>
      </c>
      <c r="L1260" s="2" t="s">
        <v>848</v>
      </c>
      <c r="M1260" s="4" t="s">
        <v>30462</v>
      </c>
    </row>
    <row r="1261" spans="1:13">
      <c r="A1261" s="2">
        <v>230</v>
      </c>
      <c r="B1261" s="2" t="s">
        <v>38361</v>
      </c>
      <c r="C1261" s="2">
        <v>8</v>
      </c>
      <c r="D1261" s="2">
        <v>341</v>
      </c>
      <c r="E1261" s="2">
        <v>83</v>
      </c>
      <c r="F1261" s="2">
        <v>32441</v>
      </c>
      <c r="G1261" s="2">
        <v>9.1696286610000008</v>
      </c>
      <c r="H1261" s="3">
        <v>5.0699999999999997E-6</v>
      </c>
      <c r="I1261" s="2" t="s">
        <v>38362</v>
      </c>
      <c r="J1261" s="2" t="s">
        <v>38363</v>
      </c>
      <c r="K1261" s="3">
        <v>8.9300000000000002E-5</v>
      </c>
      <c r="L1261" s="2" t="s">
        <v>848</v>
      </c>
      <c r="M1261" s="4" t="s">
        <v>38364</v>
      </c>
    </row>
    <row r="1262" spans="1:13">
      <c r="A1262" s="2">
        <v>1713</v>
      </c>
      <c r="B1262" s="2" t="s">
        <v>28795</v>
      </c>
      <c r="C1262" s="2">
        <v>23</v>
      </c>
      <c r="D1262" s="2">
        <v>341</v>
      </c>
      <c r="E1262" s="2">
        <v>731</v>
      </c>
      <c r="F1262" s="2">
        <v>32441</v>
      </c>
      <c r="G1262" s="2">
        <v>2.9933004639999998</v>
      </c>
      <c r="H1262" s="3">
        <v>5.13E-6</v>
      </c>
      <c r="I1262" s="2" t="s">
        <v>38365</v>
      </c>
      <c r="J1262" s="2" t="s">
        <v>38366</v>
      </c>
      <c r="K1262" s="3">
        <v>9.0099999999999995E-5</v>
      </c>
      <c r="L1262" s="2" t="s">
        <v>848</v>
      </c>
      <c r="M1262" s="4" t="s">
        <v>28798</v>
      </c>
    </row>
    <row r="1263" spans="1:13">
      <c r="A1263" s="2">
        <v>819</v>
      </c>
      <c r="B1263" s="2" t="s">
        <v>38367</v>
      </c>
      <c r="C1263" s="2">
        <v>5</v>
      </c>
      <c r="D1263" s="2">
        <v>341</v>
      </c>
      <c r="E1263" s="2">
        <v>20</v>
      </c>
      <c r="F1263" s="2">
        <v>32441</v>
      </c>
      <c r="G1263" s="2">
        <v>23.783724339999999</v>
      </c>
      <c r="H1263" s="3">
        <v>5.3000000000000001E-6</v>
      </c>
      <c r="I1263" s="2" t="s">
        <v>38368</v>
      </c>
      <c r="J1263" s="2" t="s">
        <v>38369</v>
      </c>
      <c r="K1263" s="3">
        <v>9.2399999999999996E-5</v>
      </c>
      <c r="L1263" s="2" t="s">
        <v>848</v>
      </c>
      <c r="M1263" s="4" t="s">
        <v>38370</v>
      </c>
    </row>
    <row r="1264" spans="1:13">
      <c r="A1264" s="2">
        <v>1471</v>
      </c>
      <c r="B1264" s="2" t="s">
        <v>38371</v>
      </c>
      <c r="C1264" s="2">
        <v>5</v>
      </c>
      <c r="D1264" s="2">
        <v>341</v>
      </c>
      <c r="E1264" s="2">
        <v>20</v>
      </c>
      <c r="F1264" s="2">
        <v>32441</v>
      </c>
      <c r="G1264" s="2">
        <v>23.783724339999999</v>
      </c>
      <c r="H1264" s="3">
        <v>5.3000000000000001E-6</v>
      </c>
      <c r="I1264" s="2" t="s">
        <v>38372</v>
      </c>
      <c r="J1264" s="2" t="s">
        <v>38373</v>
      </c>
      <c r="K1264" s="3">
        <v>9.2399999999999996E-5</v>
      </c>
      <c r="L1264" s="2" t="s">
        <v>848</v>
      </c>
      <c r="M1264" s="4" t="s">
        <v>38374</v>
      </c>
    </row>
    <row r="1265" spans="1:13">
      <c r="A1265" s="2">
        <v>2893</v>
      </c>
      <c r="B1265" s="2" t="s">
        <v>10479</v>
      </c>
      <c r="C1265" s="2">
        <v>17</v>
      </c>
      <c r="D1265" s="2">
        <v>341</v>
      </c>
      <c r="E1265" s="2">
        <v>431</v>
      </c>
      <c r="F1265" s="2">
        <v>32441</v>
      </c>
      <c r="G1265" s="2">
        <v>3.7524205460000002</v>
      </c>
      <c r="H1265" s="3">
        <v>5.6200000000000004E-6</v>
      </c>
      <c r="I1265" s="2" t="s">
        <v>38375</v>
      </c>
      <c r="J1265" s="2" t="s">
        <v>38376</v>
      </c>
      <c r="K1265" s="3">
        <v>9.7800000000000006E-5</v>
      </c>
      <c r="L1265" s="2" t="s">
        <v>848</v>
      </c>
      <c r="M1265" s="4" t="s">
        <v>10482</v>
      </c>
    </row>
    <row r="1266" spans="1:13">
      <c r="A1266" s="2">
        <v>249</v>
      </c>
      <c r="B1266" s="2" t="s">
        <v>38377</v>
      </c>
      <c r="C1266" s="2">
        <v>7</v>
      </c>
      <c r="D1266" s="2">
        <v>341</v>
      </c>
      <c r="E1266" s="2">
        <v>59</v>
      </c>
      <c r="F1266" s="2">
        <v>32441</v>
      </c>
      <c r="G1266" s="2">
        <v>11.28719121</v>
      </c>
      <c r="H1266" s="3">
        <v>5.6999999999999996E-6</v>
      </c>
      <c r="I1266" s="2" t="s">
        <v>38378</v>
      </c>
      <c r="J1266" s="2" t="s">
        <v>38379</v>
      </c>
      <c r="K1266" s="3">
        <v>9.8900000000000005E-5</v>
      </c>
      <c r="L1266" s="2" t="s">
        <v>848</v>
      </c>
      <c r="M1266" s="4" t="s">
        <v>38380</v>
      </c>
    </row>
    <row r="1267" spans="1:13">
      <c r="A1267" s="2">
        <v>2881</v>
      </c>
      <c r="B1267" s="2" t="s">
        <v>38381</v>
      </c>
      <c r="C1267" s="2">
        <v>10</v>
      </c>
      <c r="D1267" s="2">
        <v>341</v>
      </c>
      <c r="E1267" s="2">
        <v>146</v>
      </c>
      <c r="F1267" s="2">
        <v>32441</v>
      </c>
      <c r="G1267" s="2">
        <v>6.51608886</v>
      </c>
      <c r="H1267" s="3">
        <v>5.9599999999999997E-6</v>
      </c>
      <c r="I1267" s="2" t="s">
        <v>38382</v>
      </c>
      <c r="J1267" s="2" t="s">
        <v>38383</v>
      </c>
      <c r="K1267" s="2">
        <v>1.03049E-4</v>
      </c>
      <c r="L1267" s="2" t="s">
        <v>848</v>
      </c>
      <c r="M1267" s="4" t="s">
        <v>38384</v>
      </c>
    </row>
    <row r="1268" spans="1:13">
      <c r="A1268" s="2">
        <v>2231</v>
      </c>
      <c r="B1268" s="2" t="s">
        <v>10691</v>
      </c>
      <c r="C1268" s="2">
        <v>29</v>
      </c>
      <c r="D1268" s="2">
        <v>341</v>
      </c>
      <c r="E1268" s="2">
        <v>1079</v>
      </c>
      <c r="F1268" s="2">
        <v>32441</v>
      </c>
      <c r="G1268" s="2">
        <v>2.5569156839999998</v>
      </c>
      <c r="H1268" s="3">
        <v>6.0399999999999998E-6</v>
      </c>
      <c r="I1268" s="2" t="s">
        <v>38385</v>
      </c>
      <c r="J1268" s="2" t="s">
        <v>38386</v>
      </c>
      <c r="K1268" s="2">
        <v>1.04205E-4</v>
      </c>
      <c r="L1268" s="2" t="s">
        <v>848</v>
      </c>
      <c r="M1268" s="4" t="s">
        <v>10694</v>
      </c>
    </row>
    <row r="1269" spans="1:13">
      <c r="A1269" s="2">
        <v>4067</v>
      </c>
      <c r="B1269" s="2" t="s">
        <v>38387</v>
      </c>
      <c r="C1269" s="2">
        <v>5</v>
      </c>
      <c r="D1269" s="2">
        <v>341</v>
      </c>
      <c r="E1269" s="2">
        <v>21</v>
      </c>
      <c r="F1269" s="2">
        <v>32441</v>
      </c>
      <c r="G1269" s="2">
        <v>22.65116604</v>
      </c>
      <c r="H1269" s="3">
        <v>6.4999999999999996E-6</v>
      </c>
      <c r="I1269" s="2" t="s">
        <v>38388</v>
      </c>
      <c r="J1269" s="2" t="s">
        <v>38389</v>
      </c>
      <c r="K1269" s="2">
        <v>1.11816E-4</v>
      </c>
      <c r="L1269" s="2" t="s">
        <v>848</v>
      </c>
      <c r="M1269" s="4" t="s">
        <v>38390</v>
      </c>
    </row>
    <row r="1270" spans="1:13">
      <c r="A1270" s="2">
        <v>2049</v>
      </c>
      <c r="B1270" s="2" t="s">
        <v>28380</v>
      </c>
      <c r="C1270" s="2">
        <v>15</v>
      </c>
      <c r="D1270" s="2">
        <v>341</v>
      </c>
      <c r="E1270" s="2">
        <v>345</v>
      </c>
      <c r="F1270" s="2">
        <v>32441</v>
      </c>
      <c r="G1270" s="2">
        <v>4.1362998849999997</v>
      </c>
      <c r="H1270" s="3">
        <v>6.63E-6</v>
      </c>
      <c r="I1270" s="2" t="s">
        <v>38391</v>
      </c>
      <c r="J1270" s="2" t="s">
        <v>38392</v>
      </c>
      <c r="K1270" s="2">
        <v>1.13664E-4</v>
      </c>
      <c r="L1270" s="2" t="s">
        <v>848</v>
      </c>
      <c r="M1270" s="4" t="s">
        <v>28383</v>
      </c>
    </row>
    <row r="1271" spans="1:13">
      <c r="A1271" s="2">
        <v>566</v>
      </c>
      <c r="B1271" s="2" t="s">
        <v>29046</v>
      </c>
      <c r="C1271" s="2">
        <v>10</v>
      </c>
      <c r="D1271" s="2">
        <v>341</v>
      </c>
      <c r="E1271" s="2">
        <v>148</v>
      </c>
      <c r="F1271" s="2">
        <v>32441</v>
      </c>
      <c r="G1271" s="2">
        <v>6.4280336050000004</v>
      </c>
      <c r="H1271" s="3">
        <v>6.6699999999999997E-6</v>
      </c>
      <c r="I1271" s="2" t="s">
        <v>38393</v>
      </c>
      <c r="J1271" s="2" t="s">
        <v>38394</v>
      </c>
      <c r="K1271" s="2">
        <v>1.14032E-4</v>
      </c>
      <c r="L1271" s="2" t="s">
        <v>848</v>
      </c>
      <c r="M1271" s="4" t="s">
        <v>29049</v>
      </c>
    </row>
    <row r="1272" spans="1:13">
      <c r="A1272" s="2">
        <v>2963</v>
      </c>
      <c r="B1272" s="2" t="s">
        <v>38395</v>
      </c>
      <c r="C1272" s="2">
        <v>6</v>
      </c>
      <c r="D1272" s="2">
        <v>341</v>
      </c>
      <c r="E1272" s="2">
        <v>39</v>
      </c>
      <c r="F1272" s="2">
        <v>32441</v>
      </c>
      <c r="G1272" s="2">
        <v>14.63613806</v>
      </c>
      <c r="H1272" s="3">
        <v>7.0099999999999998E-6</v>
      </c>
      <c r="I1272" s="2" t="s">
        <v>38396</v>
      </c>
      <c r="J1272" s="2" t="s">
        <v>38397</v>
      </c>
      <c r="K1272" s="2">
        <v>1.19617E-4</v>
      </c>
      <c r="L1272" s="2" t="s">
        <v>848</v>
      </c>
      <c r="M1272" s="4" t="s">
        <v>38398</v>
      </c>
    </row>
    <row r="1273" spans="1:13">
      <c r="A1273" s="2">
        <v>3084</v>
      </c>
      <c r="B1273" s="2" t="s">
        <v>29054</v>
      </c>
      <c r="C1273" s="2">
        <v>10</v>
      </c>
      <c r="D1273" s="2">
        <v>341</v>
      </c>
      <c r="E1273" s="2">
        <v>150</v>
      </c>
      <c r="F1273" s="2">
        <v>32441</v>
      </c>
      <c r="G1273" s="2">
        <v>6.3423264909999997</v>
      </c>
      <c r="H1273" s="3">
        <v>7.4499999999999998E-6</v>
      </c>
      <c r="I1273" s="2" t="s">
        <v>38399</v>
      </c>
      <c r="J1273" s="2" t="s">
        <v>38400</v>
      </c>
      <c r="K1273" s="2">
        <v>1.26713E-4</v>
      </c>
      <c r="L1273" s="2" t="s">
        <v>848</v>
      </c>
      <c r="M1273" s="4" t="s">
        <v>29057</v>
      </c>
    </row>
    <row r="1274" spans="1:13">
      <c r="A1274" s="2">
        <v>4852</v>
      </c>
      <c r="B1274" s="2" t="s">
        <v>38401</v>
      </c>
      <c r="C1274" s="2">
        <v>5</v>
      </c>
      <c r="D1274" s="2">
        <v>341</v>
      </c>
      <c r="E1274" s="2">
        <v>22</v>
      </c>
      <c r="F1274" s="2">
        <v>32441</v>
      </c>
      <c r="G1274" s="2">
        <v>21.621567580000001</v>
      </c>
      <c r="H1274" s="3">
        <v>7.9100000000000005E-6</v>
      </c>
      <c r="I1274" s="2" t="s">
        <v>38402</v>
      </c>
      <c r="J1274" s="2" t="s">
        <v>38403</v>
      </c>
      <c r="K1274" s="2">
        <v>1.3411200000000001E-4</v>
      </c>
      <c r="L1274" s="2" t="s">
        <v>848</v>
      </c>
      <c r="M1274" s="4" t="s">
        <v>38404</v>
      </c>
    </row>
    <row r="1275" spans="1:13">
      <c r="A1275" s="2">
        <v>2862</v>
      </c>
      <c r="B1275" s="2" t="s">
        <v>38405</v>
      </c>
      <c r="C1275" s="2">
        <v>13</v>
      </c>
      <c r="D1275" s="2">
        <v>341</v>
      </c>
      <c r="E1275" s="2">
        <v>266</v>
      </c>
      <c r="F1275" s="2">
        <v>32441</v>
      </c>
      <c r="G1275" s="2">
        <v>4.6494498709999998</v>
      </c>
      <c r="H1275" s="3">
        <v>8.3799999999999994E-6</v>
      </c>
      <c r="I1275" s="2" t="s">
        <v>38406</v>
      </c>
      <c r="J1275" s="2" t="s">
        <v>38407</v>
      </c>
      <c r="K1275" s="2">
        <v>1.4165599999999999E-4</v>
      </c>
      <c r="L1275" s="2" t="s">
        <v>848</v>
      </c>
      <c r="M1275" s="4" t="s">
        <v>38408</v>
      </c>
    </row>
    <row r="1276" spans="1:13">
      <c r="A1276" s="2">
        <v>1752</v>
      </c>
      <c r="B1276" s="2" t="s">
        <v>38409</v>
      </c>
      <c r="C1276" s="2">
        <v>6</v>
      </c>
      <c r="D1276" s="2">
        <v>341</v>
      </c>
      <c r="E1276" s="2">
        <v>41</v>
      </c>
      <c r="F1276" s="2">
        <v>32441</v>
      </c>
      <c r="G1276" s="2">
        <v>13.9221801</v>
      </c>
      <c r="H1276" s="3">
        <v>9.0899999999999994E-6</v>
      </c>
      <c r="I1276" s="2" t="s">
        <v>38410</v>
      </c>
      <c r="J1276" s="2" t="s">
        <v>38411</v>
      </c>
      <c r="K1276" s="2">
        <v>1.53191E-4</v>
      </c>
      <c r="L1276" s="2" t="s">
        <v>848</v>
      </c>
      <c r="M1276" s="4" t="s">
        <v>38412</v>
      </c>
    </row>
    <row r="1277" spans="1:13">
      <c r="A1277" s="2">
        <v>1593</v>
      </c>
      <c r="B1277" s="2" t="s">
        <v>29090</v>
      </c>
      <c r="C1277" s="2">
        <v>14</v>
      </c>
      <c r="D1277" s="2">
        <v>341</v>
      </c>
      <c r="E1277" s="2">
        <v>311</v>
      </c>
      <c r="F1277" s="2">
        <v>32441</v>
      </c>
      <c r="G1277" s="2">
        <v>4.2825998810000003</v>
      </c>
      <c r="H1277" s="3">
        <v>9.2399999999999996E-6</v>
      </c>
      <c r="I1277" s="2" t="s">
        <v>38413</v>
      </c>
      <c r="J1277" s="2" t="s">
        <v>38414</v>
      </c>
      <c r="K1277" s="2">
        <v>1.55401E-4</v>
      </c>
      <c r="L1277" s="2" t="s">
        <v>848</v>
      </c>
      <c r="M1277" s="4" t="s">
        <v>29093</v>
      </c>
    </row>
    <row r="1278" spans="1:13">
      <c r="A1278" s="2">
        <v>3848</v>
      </c>
      <c r="B1278" s="2" t="s">
        <v>1130</v>
      </c>
      <c r="C1278" s="2">
        <v>31</v>
      </c>
      <c r="D1278" s="2">
        <v>341</v>
      </c>
      <c r="E1278" s="2">
        <v>1228</v>
      </c>
      <c r="F1278" s="2">
        <v>32441</v>
      </c>
      <c r="G1278" s="2">
        <v>2.4016138580000002</v>
      </c>
      <c r="H1278" s="3">
        <v>9.6299999999999993E-6</v>
      </c>
      <c r="I1278" s="2" t="s">
        <v>38415</v>
      </c>
      <c r="J1278" s="2" t="s">
        <v>38416</v>
      </c>
      <c r="K1278" s="2">
        <v>1.6137000000000001E-4</v>
      </c>
      <c r="L1278" s="2" t="s">
        <v>848</v>
      </c>
      <c r="M1278" s="4" t="s">
        <v>8578</v>
      </c>
    </row>
    <row r="1279" spans="1:13">
      <c r="A1279" s="2">
        <v>2659</v>
      </c>
      <c r="B1279" s="2" t="s">
        <v>38417</v>
      </c>
      <c r="C1279" s="2">
        <v>10</v>
      </c>
      <c r="D1279" s="2">
        <v>341</v>
      </c>
      <c r="E1279" s="2">
        <v>156</v>
      </c>
      <c r="F1279" s="2">
        <v>32441</v>
      </c>
      <c r="G1279" s="2">
        <v>6.098390856</v>
      </c>
      <c r="H1279" s="3">
        <v>1.03E-5</v>
      </c>
      <c r="I1279" s="2" t="s">
        <v>38418</v>
      </c>
      <c r="J1279" s="2" t="s">
        <v>38419</v>
      </c>
      <c r="K1279" s="2">
        <v>1.7172199999999999E-4</v>
      </c>
      <c r="L1279" s="2" t="s">
        <v>848</v>
      </c>
      <c r="M1279" s="4" t="s">
        <v>38420</v>
      </c>
    </row>
    <row r="1280" spans="1:13">
      <c r="A1280" s="2">
        <v>5006</v>
      </c>
      <c r="B1280" s="2" t="s">
        <v>38421</v>
      </c>
      <c r="C1280" s="2">
        <v>6</v>
      </c>
      <c r="D1280" s="2">
        <v>341</v>
      </c>
      <c r="E1280" s="2">
        <v>42</v>
      </c>
      <c r="F1280" s="2">
        <v>32441</v>
      </c>
      <c r="G1280" s="2">
        <v>13.590699620000001</v>
      </c>
      <c r="H1280" s="3">
        <v>1.03E-5</v>
      </c>
      <c r="I1280" s="2" t="s">
        <v>38422</v>
      </c>
      <c r="J1280" s="2" t="s">
        <v>38423</v>
      </c>
      <c r="K1280" s="2">
        <v>1.7172199999999999E-4</v>
      </c>
      <c r="L1280" s="2" t="s">
        <v>848</v>
      </c>
      <c r="M1280" s="4" t="s">
        <v>38424</v>
      </c>
    </row>
    <row r="1281" spans="1:13">
      <c r="A1281" s="2">
        <v>1748</v>
      </c>
      <c r="B1281" s="2" t="s">
        <v>29329</v>
      </c>
      <c r="C1281" s="2">
        <v>16</v>
      </c>
      <c r="D1281" s="2">
        <v>341</v>
      </c>
      <c r="E1281" s="2">
        <v>408</v>
      </c>
      <c r="F1281" s="2">
        <v>32441</v>
      </c>
      <c r="G1281" s="2">
        <v>3.7307802890000001</v>
      </c>
      <c r="H1281" s="3">
        <v>1.13E-5</v>
      </c>
      <c r="I1281" s="2" t="s">
        <v>38425</v>
      </c>
      <c r="J1281" s="2" t="s">
        <v>38426</v>
      </c>
      <c r="K1281" s="2">
        <v>1.8835100000000001E-4</v>
      </c>
      <c r="L1281" s="2" t="s">
        <v>848</v>
      </c>
      <c r="M1281" s="4" t="s">
        <v>29332</v>
      </c>
    </row>
    <row r="1282" spans="1:13">
      <c r="A1282" s="2">
        <v>3707</v>
      </c>
      <c r="B1282" s="2" t="s">
        <v>38427</v>
      </c>
      <c r="C1282" s="2">
        <v>5</v>
      </c>
      <c r="D1282" s="2">
        <v>341</v>
      </c>
      <c r="E1282" s="2">
        <v>24</v>
      </c>
      <c r="F1282" s="2">
        <v>32441</v>
      </c>
      <c r="G1282" s="2">
        <v>19.81977028</v>
      </c>
      <c r="H1282" s="3">
        <v>1.1399999999999999E-5</v>
      </c>
      <c r="I1282" s="2" t="s">
        <v>38428</v>
      </c>
      <c r="J1282" s="2" t="s">
        <v>38429</v>
      </c>
      <c r="K1282" s="2">
        <v>1.8959599999999999E-4</v>
      </c>
      <c r="L1282" s="2" t="s">
        <v>848</v>
      </c>
      <c r="M1282" s="4" t="s">
        <v>38430</v>
      </c>
    </row>
    <row r="1283" spans="1:13">
      <c r="A1283" s="2">
        <v>3065</v>
      </c>
      <c r="B1283" s="2" t="s">
        <v>30237</v>
      </c>
      <c r="C1283" s="2">
        <v>8</v>
      </c>
      <c r="D1283" s="2">
        <v>341</v>
      </c>
      <c r="E1283" s="2">
        <v>94</v>
      </c>
      <c r="F1283" s="2">
        <v>32441</v>
      </c>
      <c r="G1283" s="2">
        <v>8.0965870090000003</v>
      </c>
      <c r="H1283" s="3">
        <v>1.1800000000000001E-5</v>
      </c>
      <c r="I1283" s="2" t="s">
        <v>38431</v>
      </c>
      <c r="J1283" s="2" t="s">
        <v>38432</v>
      </c>
      <c r="K1283" s="2">
        <v>1.9582399999999999E-4</v>
      </c>
      <c r="L1283" s="2" t="s">
        <v>848</v>
      </c>
      <c r="M1283" s="4" t="s">
        <v>30240</v>
      </c>
    </row>
    <row r="1284" spans="1:13">
      <c r="A1284" s="2">
        <v>810</v>
      </c>
      <c r="B1284" s="2" t="s">
        <v>38433</v>
      </c>
      <c r="C1284" s="2">
        <v>10</v>
      </c>
      <c r="D1284" s="2">
        <v>341</v>
      </c>
      <c r="E1284" s="2">
        <v>161</v>
      </c>
      <c r="F1284" s="2">
        <v>32441</v>
      </c>
      <c r="G1284" s="2">
        <v>5.9089998359999996</v>
      </c>
      <c r="H1284" s="3">
        <v>1.34E-5</v>
      </c>
      <c r="I1284" s="2" t="s">
        <v>38434</v>
      </c>
      <c r="J1284" s="2" t="s">
        <v>38435</v>
      </c>
      <c r="K1284" s="2">
        <v>2.2007600000000001E-4</v>
      </c>
      <c r="L1284" s="2" t="s">
        <v>848</v>
      </c>
      <c r="M1284" s="4" t="s">
        <v>38436</v>
      </c>
    </row>
    <row r="1285" spans="1:13">
      <c r="A1285" s="2">
        <v>2940</v>
      </c>
      <c r="B1285" s="2" t="s">
        <v>30401</v>
      </c>
      <c r="C1285" s="2">
        <v>25</v>
      </c>
      <c r="D1285" s="2">
        <v>341</v>
      </c>
      <c r="E1285" s="2">
        <v>891</v>
      </c>
      <c r="F1285" s="2">
        <v>32441</v>
      </c>
      <c r="G1285" s="2">
        <v>2.6693293310000001</v>
      </c>
      <c r="H1285" s="3">
        <v>1.34E-5</v>
      </c>
      <c r="I1285" s="2" t="s">
        <v>38437</v>
      </c>
      <c r="J1285" s="2" t="s">
        <v>38438</v>
      </c>
      <c r="K1285" s="2">
        <v>2.2098800000000001E-4</v>
      </c>
      <c r="L1285" s="2" t="s">
        <v>848</v>
      </c>
      <c r="M1285" s="4" t="s">
        <v>30404</v>
      </c>
    </row>
    <row r="1286" spans="1:13">
      <c r="A1286" s="2">
        <v>1350</v>
      </c>
      <c r="B1286" s="2" t="s">
        <v>28916</v>
      </c>
      <c r="C1286" s="2">
        <v>25</v>
      </c>
      <c r="D1286" s="2">
        <v>341</v>
      </c>
      <c r="E1286" s="2">
        <v>894</v>
      </c>
      <c r="F1286" s="2">
        <v>32441</v>
      </c>
      <c r="G1286" s="2">
        <v>2.6603718500000002</v>
      </c>
      <c r="H1286" s="3">
        <v>1.42E-5</v>
      </c>
      <c r="I1286" s="2" t="s">
        <v>38439</v>
      </c>
      <c r="J1286" s="2" t="s">
        <v>38440</v>
      </c>
      <c r="K1286" s="2">
        <v>2.3275300000000001E-4</v>
      </c>
      <c r="L1286" s="2" t="s">
        <v>848</v>
      </c>
      <c r="M1286" s="4" t="s">
        <v>28919</v>
      </c>
    </row>
    <row r="1287" spans="1:13">
      <c r="A1287" s="2">
        <v>3986</v>
      </c>
      <c r="B1287" s="2" t="s">
        <v>963</v>
      </c>
      <c r="C1287" s="2">
        <v>39</v>
      </c>
      <c r="D1287" s="2">
        <v>341</v>
      </c>
      <c r="E1287" s="2">
        <v>1773</v>
      </c>
      <c r="F1287" s="2">
        <v>32441</v>
      </c>
      <c r="G1287" s="2">
        <v>2.0926457959999998</v>
      </c>
      <c r="H1287" s="3">
        <v>1.52E-5</v>
      </c>
      <c r="I1287" s="2" t="s">
        <v>38441</v>
      </c>
      <c r="J1287" s="2" t="s">
        <v>38442</v>
      </c>
      <c r="K1287" s="2">
        <v>2.4853000000000001E-4</v>
      </c>
      <c r="L1287" s="2" t="s">
        <v>848</v>
      </c>
      <c r="M1287" s="4" t="s">
        <v>28780</v>
      </c>
    </row>
    <row r="1288" spans="1:13">
      <c r="A1288" s="2">
        <v>3175</v>
      </c>
      <c r="B1288" s="2" t="s">
        <v>38443</v>
      </c>
      <c r="C1288" s="2">
        <v>5</v>
      </c>
      <c r="D1288" s="2">
        <v>341</v>
      </c>
      <c r="E1288" s="2">
        <v>26</v>
      </c>
      <c r="F1288" s="2">
        <v>32441</v>
      </c>
      <c r="G1288" s="2">
        <v>18.295172569999998</v>
      </c>
      <c r="H1288" s="3">
        <v>1.6099999999999998E-5</v>
      </c>
      <c r="I1288" s="2" t="s">
        <v>38444</v>
      </c>
      <c r="J1288" s="2" t="s">
        <v>38445</v>
      </c>
      <c r="K1288" s="2">
        <v>2.6154999999999999E-4</v>
      </c>
      <c r="L1288" s="2" t="s">
        <v>848</v>
      </c>
      <c r="M1288" s="4" t="s">
        <v>38446</v>
      </c>
    </row>
    <row r="1289" spans="1:13">
      <c r="A1289" s="2">
        <v>5605</v>
      </c>
      <c r="B1289" s="2" t="s">
        <v>30397</v>
      </c>
      <c r="C1289" s="2">
        <v>9</v>
      </c>
      <c r="D1289" s="2">
        <v>341</v>
      </c>
      <c r="E1289" s="2">
        <v>130</v>
      </c>
      <c r="F1289" s="2">
        <v>32441</v>
      </c>
      <c r="G1289" s="2">
        <v>6.5862621250000002</v>
      </c>
      <c r="H1289" s="3">
        <v>1.6099999999999998E-5</v>
      </c>
      <c r="I1289" s="2" t="s">
        <v>38447</v>
      </c>
      <c r="J1289" s="2" t="s">
        <v>38448</v>
      </c>
      <c r="K1289" s="2">
        <v>2.6154999999999999E-4</v>
      </c>
      <c r="L1289" s="2" t="s">
        <v>848</v>
      </c>
      <c r="M1289" s="4" t="s">
        <v>30400</v>
      </c>
    </row>
    <row r="1290" spans="1:13">
      <c r="A1290" s="2">
        <v>2801</v>
      </c>
      <c r="B1290" s="2" t="s">
        <v>38449</v>
      </c>
      <c r="C1290" s="2">
        <v>4</v>
      </c>
      <c r="D1290" s="2">
        <v>341</v>
      </c>
      <c r="E1290" s="2">
        <v>12</v>
      </c>
      <c r="F1290" s="2">
        <v>32441</v>
      </c>
      <c r="G1290" s="2">
        <v>31.71163245</v>
      </c>
      <c r="H1290" s="3">
        <v>1.9000000000000001E-5</v>
      </c>
      <c r="I1290" s="2" t="s">
        <v>38450</v>
      </c>
      <c r="J1290" s="2" t="s">
        <v>38451</v>
      </c>
      <c r="K1290" s="2">
        <v>3.0579400000000002E-4</v>
      </c>
      <c r="L1290" s="2" t="s">
        <v>848</v>
      </c>
      <c r="M1290" s="4" t="s">
        <v>38452</v>
      </c>
    </row>
    <row r="1291" spans="1:13">
      <c r="A1291" s="2">
        <v>5398</v>
      </c>
      <c r="B1291" s="2" t="s">
        <v>38453</v>
      </c>
      <c r="C1291" s="2">
        <v>4</v>
      </c>
      <c r="D1291" s="2">
        <v>341</v>
      </c>
      <c r="E1291" s="2">
        <v>12</v>
      </c>
      <c r="F1291" s="2">
        <v>32441</v>
      </c>
      <c r="G1291" s="2">
        <v>31.71163245</v>
      </c>
      <c r="H1291" s="3">
        <v>1.9000000000000001E-5</v>
      </c>
      <c r="I1291" s="2" t="s">
        <v>38454</v>
      </c>
      <c r="J1291" s="2" t="s">
        <v>38455</v>
      </c>
      <c r="K1291" s="2">
        <v>3.0579400000000002E-4</v>
      </c>
      <c r="L1291" s="2" t="s">
        <v>848</v>
      </c>
      <c r="M1291" s="4" t="s">
        <v>38456</v>
      </c>
    </row>
    <row r="1292" spans="1:13">
      <c r="A1292" s="2">
        <v>5863</v>
      </c>
      <c r="B1292" s="2" t="s">
        <v>38457</v>
      </c>
      <c r="C1292" s="2">
        <v>4</v>
      </c>
      <c r="D1292" s="2">
        <v>341</v>
      </c>
      <c r="E1292" s="2">
        <v>12</v>
      </c>
      <c r="F1292" s="2">
        <v>32441</v>
      </c>
      <c r="G1292" s="2">
        <v>31.71163245</v>
      </c>
      <c r="H1292" s="3">
        <v>1.9000000000000001E-5</v>
      </c>
      <c r="I1292" s="2" t="s">
        <v>38458</v>
      </c>
      <c r="J1292" s="2" t="s">
        <v>38459</v>
      </c>
      <c r="K1292" s="2">
        <v>3.0579400000000002E-4</v>
      </c>
      <c r="L1292" s="2" t="s">
        <v>848</v>
      </c>
      <c r="M1292" s="4" t="s">
        <v>38460</v>
      </c>
    </row>
    <row r="1293" spans="1:13">
      <c r="A1293" s="2">
        <v>4286</v>
      </c>
      <c r="B1293" s="2" t="s">
        <v>29876</v>
      </c>
      <c r="C1293" s="2">
        <v>14</v>
      </c>
      <c r="D1293" s="2">
        <v>341</v>
      </c>
      <c r="E1293" s="2">
        <v>333</v>
      </c>
      <c r="F1293" s="2">
        <v>32441</v>
      </c>
      <c r="G1293" s="2">
        <v>3.9996653549999999</v>
      </c>
      <c r="H1293" s="3">
        <v>1.9199999999999999E-5</v>
      </c>
      <c r="I1293" s="2" t="s">
        <v>38461</v>
      </c>
      <c r="J1293" s="2" t="s">
        <v>38462</v>
      </c>
      <c r="K1293" s="2">
        <v>3.08716E-4</v>
      </c>
      <c r="L1293" s="2" t="s">
        <v>848</v>
      </c>
      <c r="M1293" s="4" t="s">
        <v>29879</v>
      </c>
    </row>
    <row r="1294" spans="1:13">
      <c r="A1294" s="2">
        <v>5121</v>
      </c>
      <c r="B1294" s="2" t="s">
        <v>38463</v>
      </c>
      <c r="C1294" s="2">
        <v>7</v>
      </c>
      <c r="D1294" s="2">
        <v>341</v>
      </c>
      <c r="E1294" s="2">
        <v>73</v>
      </c>
      <c r="F1294" s="2">
        <v>32441</v>
      </c>
      <c r="G1294" s="2">
        <v>9.122524404</v>
      </c>
      <c r="H1294" s="3">
        <v>2.05E-5</v>
      </c>
      <c r="I1294" s="2" t="s">
        <v>38464</v>
      </c>
      <c r="J1294" s="2" t="s">
        <v>38465</v>
      </c>
      <c r="K1294" s="2">
        <v>3.2792900000000002E-4</v>
      </c>
      <c r="L1294" s="2" t="s">
        <v>848</v>
      </c>
      <c r="M1294" s="4" t="s">
        <v>38466</v>
      </c>
    </row>
    <row r="1295" spans="1:13">
      <c r="A1295" s="2">
        <v>1483</v>
      </c>
      <c r="B1295" s="2" t="s">
        <v>38467</v>
      </c>
      <c r="C1295" s="2">
        <v>6</v>
      </c>
      <c r="D1295" s="2">
        <v>341</v>
      </c>
      <c r="E1295" s="2">
        <v>48</v>
      </c>
      <c r="F1295" s="2">
        <v>32441</v>
      </c>
      <c r="G1295" s="2">
        <v>11.89186217</v>
      </c>
      <c r="H1295" s="3">
        <v>2.0599999999999999E-5</v>
      </c>
      <c r="I1295" s="2" t="s">
        <v>38468</v>
      </c>
      <c r="J1295" s="2" t="s">
        <v>38469</v>
      </c>
      <c r="K1295" s="2">
        <v>3.2792900000000002E-4</v>
      </c>
      <c r="L1295" s="2" t="s">
        <v>848</v>
      </c>
      <c r="M1295" s="4" t="s">
        <v>38470</v>
      </c>
    </row>
    <row r="1296" spans="1:13">
      <c r="A1296" s="2">
        <v>18501</v>
      </c>
      <c r="B1296" s="2" t="s">
        <v>9781</v>
      </c>
      <c r="C1296" s="2">
        <v>6</v>
      </c>
      <c r="D1296" s="2">
        <v>341</v>
      </c>
      <c r="E1296" s="2">
        <v>48</v>
      </c>
      <c r="F1296" s="2">
        <v>32441</v>
      </c>
      <c r="G1296" s="2">
        <v>11.89186217</v>
      </c>
      <c r="H1296" s="3">
        <v>2.0599999999999999E-5</v>
      </c>
      <c r="I1296" s="2" t="s">
        <v>38256</v>
      </c>
      <c r="J1296" s="2" t="s">
        <v>38257</v>
      </c>
      <c r="K1296" s="2">
        <v>3.2792900000000002E-4</v>
      </c>
      <c r="L1296" s="2" t="s">
        <v>848</v>
      </c>
      <c r="M1296" s="4" t="s">
        <v>9784</v>
      </c>
    </row>
    <row r="1297" spans="1:13">
      <c r="A1297" s="2">
        <v>1160</v>
      </c>
      <c r="B1297" s="2" t="s">
        <v>10285</v>
      </c>
      <c r="C1297" s="2">
        <v>17</v>
      </c>
      <c r="D1297" s="2">
        <v>341</v>
      </c>
      <c r="E1297" s="2">
        <v>479</v>
      </c>
      <c r="F1297" s="2">
        <v>32441</v>
      </c>
      <c r="G1297" s="2">
        <v>3.3763951049999998</v>
      </c>
      <c r="H1297" s="3">
        <v>2.09E-5</v>
      </c>
      <c r="I1297" s="2" t="s">
        <v>38471</v>
      </c>
      <c r="J1297" s="2" t="s">
        <v>38472</v>
      </c>
      <c r="K1297" s="2">
        <v>3.31718E-4</v>
      </c>
      <c r="L1297" s="2" t="s">
        <v>848</v>
      </c>
      <c r="M1297" s="4" t="s">
        <v>10288</v>
      </c>
    </row>
    <row r="1298" spans="1:13">
      <c r="A1298" s="2">
        <v>1113</v>
      </c>
      <c r="B1298" s="2" t="s">
        <v>9604</v>
      </c>
      <c r="C1298" s="2">
        <v>38</v>
      </c>
      <c r="D1298" s="2">
        <v>341</v>
      </c>
      <c r="E1298" s="2">
        <v>1733</v>
      </c>
      <c r="F1298" s="2">
        <v>32441</v>
      </c>
      <c r="G1298" s="2">
        <v>2.0860508370000002</v>
      </c>
      <c r="H1298" s="3">
        <v>2.1100000000000001E-5</v>
      </c>
      <c r="I1298" s="2" t="s">
        <v>38473</v>
      </c>
      <c r="J1298" s="2" t="s">
        <v>38474</v>
      </c>
      <c r="K1298" s="2">
        <v>3.3443200000000001E-4</v>
      </c>
      <c r="L1298" s="2" t="s">
        <v>848</v>
      </c>
      <c r="M1298" s="4" t="s">
        <v>9607</v>
      </c>
    </row>
    <row r="1299" spans="1:13">
      <c r="A1299" s="2">
        <v>2086</v>
      </c>
      <c r="B1299" s="2" t="s">
        <v>9484</v>
      </c>
      <c r="C1299" s="2">
        <v>25</v>
      </c>
      <c r="D1299" s="2">
        <v>341</v>
      </c>
      <c r="E1299" s="2">
        <v>917</v>
      </c>
      <c r="F1299" s="2">
        <v>32441</v>
      </c>
      <c r="G1299" s="2">
        <v>2.5936449659999998</v>
      </c>
      <c r="H1299" s="3">
        <v>2.1399999999999998E-5</v>
      </c>
      <c r="I1299" s="2" t="s">
        <v>38475</v>
      </c>
      <c r="J1299" s="2" t="s">
        <v>38476</v>
      </c>
      <c r="K1299" s="2">
        <v>3.3851600000000002E-4</v>
      </c>
      <c r="L1299" s="2" t="s">
        <v>848</v>
      </c>
      <c r="M1299" s="4" t="s">
        <v>9487</v>
      </c>
    </row>
    <row r="1300" spans="1:13">
      <c r="A1300" s="2">
        <v>5323</v>
      </c>
      <c r="B1300" s="2" t="s">
        <v>29114</v>
      </c>
      <c r="C1300" s="2">
        <v>11</v>
      </c>
      <c r="D1300" s="2">
        <v>341</v>
      </c>
      <c r="E1300" s="2">
        <v>209</v>
      </c>
      <c r="F1300" s="2">
        <v>32441</v>
      </c>
      <c r="G1300" s="2">
        <v>5.0070998610000004</v>
      </c>
      <c r="H1300" s="3">
        <v>2.1699999999999999E-5</v>
      </c>
      <c r="I1300" s="2" t="s">
        <v>38477</v>
      </c>
      <c r="J1300" s="2" t="s">
        <v>38478</v>
      </c>
      <c r="K1300" s="2">
        <v>3.4164200000000002E-4</v>
      </c>
      <c r="L1300" s="2" t="s">
        <v>848</v>
      </c>
      <c r="M1300" s="4" t="s">
        <v>29117</v>
      </c>
    </row>
    <row r="1301" spans="1:13">
      <c r="A1301" s="2">
        <v>16451</v>
      </c>
      <c r="B1301" s="2" t="s">
        <v>38479</v>
      </c>
      <c r="C1301" s="2">
        <v>4</v>
      </c>
      <c r="D1301" s="2">
        <v>341</v>
      </c>
      <c r="E1301" s="2">
        <v>13</v>
      </c>
      <c r="F1301" s="2">
        <v>32441</v>
      </c>
      <c r="G1301" s="2">
        <v>29.27227611</v>
      </c>
      <c r="H1301" s="3">
        <v>2.4600000000000002E-5</v>
      </c>
      <c r="I1301" s="2" t="s">
        <v>38480</v>
      </c>
      <c r="J1301" s="2" t="s">
        <v>38481</v>
      </c>
      <c r="K1301" s="2">
        <v>3.8608799999999998E-4</v>
      </c>
      <c r="L1301" s="2" t="s">
        <v>848</v>
      </c>
      <c r="M1301" s="4" t="s">
        <v>38482</v>
      </c>
    </row>
    <row r="1302" spans="1:13">
      <c r="A1302" s="2">
        <v>2142</v>
      </c>
      <c r="B1302" s="2" t="s">
        <v>38483</v>
      </c>
      <c r="C1302" s="2">
        <v>4</v>
      </c>
      <c r="D1302" s="2">
        <v>341</v>
      </c>
      <c r="E1302" s="2">
        <v>13</v>
      </c>
      <c r="F1302" s="2">
        <v>32441</v>
      </c>
      <c r="G1302" s="2">
        <v>29.27227611</v>
      </c>
      <c r="H1302" s="3">
        <v>2.4600000000000002E-5</v>
      </c>
      <c r="I1302" s="2" t="s">
        <v>38484</v>
      </c>
      <c r="J1302" s="2" t="s">
        <v>38485</v>
      </c>
      <c r="K1302" s="2">
        <v>3.8608799999999998E-4</v>
      </c>
      <c r="L1302" s="2" t="s">
        <v>848</v>
      </c>
      <c r="M1302" s="4" t="s">
        <v>38486</v>
      </c>
    </row>
    <row r="1303" spans="1:13">
      <c r="A1303" s="2">
        <v>1220</v>
      </c>
      <c r="B1303" s="2" t="s">
        <v>1117</v>
      </c>
      <c r="C1303" s="2">
        <v>14</v>
      </c>
      <c r="D1303" s="2">
        <v>341</v>
      </c>
      <c r="E1303" s="2">
        <v>346</v>
      </c>
      <c r="F1303" s="2">
        <v>32441</v>
      </c>
      <c r="G1303" s="2">
        <v>3.8493889110000001</v>
      </c>
      <c r="H1303" s="3">
        <v>2.8799999999999999E-5</v>
      </c>
      <c r="I1303" s="2" t="s">
        <v>38487</v>
      </c>
      <c r="J1303" s="2" t="s">
        <v>38488</v>
      </c>
      <c r="K1303" s="2">
        <v>4.5013399999999998E-4</v>
      </c>
      <c r="L1303" s="2" t="s">
        <v>848</v>
      </c>
      <c r="M1303" s="4" t="s">
        <v>11588</v>
      </c>
    </row>
    <row r="1304" spans="1:13">
      <c r="A1304" s="2">
        <v>43361</v>
      </c>
      <c r="B1304" s="2" t="s">
        <v>38489</v>
      </c>
      <c r="C1304" s="2">
        <v>11</v>
      </c>
      <c r="D1304" s="2">
        <v>341</v>
      </c>
      <c r="E1304" s="2">
        <v>216</v>
      </c>
      <c r="F1304" s="2">
        <v>32441</v>
      </c>
      <c r="G1304" s="2">
        <v>4.8448327359999999</v>
      </c>
      <c r="H1304" s="3">
        <v>2.8900000000000001E-5</v>
      </c>
      <c r="I1304" s="2" t="s">
        <v>38490</v>
      </c>
      <c r="J1304" s="2" t="s">
        <v>38491</v>
      </c>
      <c r="K1304" s="2">
        <v>4.5096999999999997E-4</v>
      </c>
      <c r="L1304" s="2" t="s">
        <v>848</v>
      </c>
      <c r="M1304" s="4" t="s">
        <v>38492</v>
      </c>
    </row>
    <row r="1305" spans="1:13">
      <c r="A1305" s="2">
        <v>1441</v>
      </c>
      <c r="B1305" s="2" t="s">
        <v>38493</v>
      </c>
      <c r="C1305" s="2">
        <v>5</v>
      </c>
      <c r="D1305" s="2">
        <v>341</v>
      </c>
      <c r="E1305" s="2">
        <v>30</v>
      </c>
      <c r="F1305" s="2">
        <v>32441</v>
      </c>
      <c r="G1305" s="2">
        <v>15.85581623</v>
      </c>
      <c r="H1305" s="3">
        <v>2.97E-5</v>
      </c>
      <c r="I1305" s="2" t="s">
        <v>38494</v>
      </c>
      <c r="J1305" s="2" t="s">
        <v>38495</v>
      </c>
      <c r="K1305" s="2">
        <v>4.6141299999999998E-4</v>
      </c>
      <c r="L1305" s="2" t="s">
        <v>848</v>
      </c>
      <c r="M1305" s="4" t="s">
        <v>38496</v>
      </c>
    </row>
    <row r="1306" spans="1:13">
      <c r="A1306" s="2">
        <v>3418</v>
      </c>
      <c r="B1306" s="2" t="s">
        <v>38497</v>
      </c>
      <c r="C1306" s="2">
        <v>5</v>
      </c>
      <c r="D1306" s="2">
        <v>341</v>
      </c>
      <c r="E1306" s="2">
        <v>30</v>
      </c>
      <c r="F1306" s="2">
        <v>32441</v>
      </c>
      <c r="G1306" s="2">
        <v>15.85581623</v>
      </c>
      <c r="H1306" s="3">
        <v>2.97E-5</v>
      </c>
      <c r="I1306" s="2" t="s">
        <v>38498</v>
      </c>
      <c r="J1306" s="2" t="s">
        <v>38499</v>
      </c>
      <c r="K1306" s="2">
        <v>4.6141299999999998E-4</v>
      </c>
      <c r="L1306" s="2" t="s">
        <v>848</v>
      </c>
      <c r="M1306" s="4" t="s">
        <v>38500</v>
      </c>
    </row>
    <row r="1307" spans="1:13">
      <c r="A1307" s="2">
        <v>4788</v>
      </c>
      <c r="B1307" s="2" t="s">
        <v>38501</v>
      </c>
      <c r="C1307" s="2">
        <v>8</v>
      </c>
      <c r="D1307" s="2">
        <v>341</v>
      </c>
      <c r="E1307" s="2">
        <v>108</v>
      </c>
      <c r="F1307" s="2">
        <v>32441</v>
      </c>
      <c r="G1307" s="2">
        <v>7.0470294339999997</v>
      </c>
      <c r="H1307" s="3">
        <v>3.0300000000000001E-5</v>
      </c>
      <c r="I1307" s="2" t="s">
        <v>38502</v>
      </c>
      <c r="J1307" s="2" t="s">
        <v>38503</v>
      </c>
      <c r="K1307" s="2">
        <v>4.6882100000000002E-4</v>
      </c>
      <c r="L1307" s="2" t="s">
        <v>848</v>
      </c>
      <c r="M1307" s="4" t="s">
        <v>38504</v>
      </c>
    </row>
    <row r="1308" spans="1:13">
      <c r="A1308" s="2">
        <v>3102</v>
      </c>
      <c r="B1308" s="2" t="s">
        <v>38505</v>
      </c>
      <c r="C1308" s="2">
        <v>4</v>
      </c>
      <c r="D1308" s="2">
        <v>341</v>
      </c>
      <c r="E1308" s="2">
        <v>14</v>
      </c>
      <c r="F1308" s="2">
        <v>32441</v>
      </c>
      <c r="G1308" s="2">
        <v>27.181399249999998</v>
      </c>
      <c r="H1308" s="3">
        <v>3.1399999999999998E-5</v>
      </c>
      <c r="I1308" s="2" t="s">
        <v>38506</v>
      </c>
      <c r="J1308" s="2" t="s">
        <v>38507</v>
      </c>
      <c r="K1308" s="2">
        <v>4.7961100000000001E-4</v>
      </c>
      <c r="L1308" s="2" t="s">
        <v>848</v>
      </c>
      <c r="M1308" s="4" t="s">
        <v>38508</v>
      </c>
    </row>
    <row r="1309" spans="1:13">
      <c r="A1309" s="2">
        <v>1449</v>
      </c>
      <c r="B1309" s="2" t="s">
        <v>38509</v>
      </c>
      <c r="C1309" s="2">
        <v>4</v>
      </c>
      <c r="D1309" s="2">
        <v>341</v>
      </c>
      <c r="E1309" s="2">
        <v>14</v>
      </c>
      <c r="F1309" s="2">
        <v>32441</v>
      </c>
      <c r="G1309" s="2">
        <v>27.181399249999998</v>
      </c>
      <c r="H1309" s="3">
        <v>3.1399999999999998E-5</v>
      </c>
      <c r="I1309" s="2" t="s">
        <v>38510</v>
      </c>
      <c r="J1309" s="2" t="s">
        <v>38511</v>
      </c>
      <c r="K1309" s="2">
        <v>4.7961100000000001E-4</v>
      </c>
      <c r="L1309" s="2" t="s">
        <v>848</v>
      </c>
      <c r="M1309" s="4" t="s">
        <v>38512</v>
      </c>
    </row>
    <row r="1310" spans="1:13">
      <c r="A1310" s="2">
        <v>2207</v>
      </c>
      <c r="B1310" s="2" t="s">
        <v>38513</v>
      </c>
      <c r="C1310" s="2">
        <v>11</v>
      </c>
      <c r="D1310" s="2">
        <v>341</v>
      </c>
      <c r="E1310" s="2">
        <v>218</v>
      </c>
      <c r="F1310" s="2">
        <v>32441</v>
      </c>
      <c r="G1310" s="2">
        <v>4.8003847290000001</v>
      </c>
      <c r="H1310" s="3">
        <v>3.1300000000000002E-5</v>
      </c>
      <c r="I1310" s="2" t="s">
        <v>38514</v>
      </c>
      <c r="J1310" s="2" t="s">
        <v>38515</v>
      </c>
      <c r="K1310" s="2">
        <v>4.7961100000000001E-4</v>
      </c>
      <c r="L1310" s="2" t="s">
        <v>848</v>
      </c>
      <c r="M1310" s="4" t="s">
        <v>38516</v>
      </c>
    </row>
    <row r="1311" spans="1:13">
      <c r="A1311" s="2">
        <v>3095</v>
      </c>
      <c r="B1311" s="2" t="s">
        <v>38517</v>
      </c>
      <c r="C1311" s="2">
        <v>4</v>
      </c>
      <c r="D1311" s="2">
        <v>341</v>
      </c>
      <c r="E1311" s="2">
        <v>14</v>
      </c>
      <c r="F1311" s="2">
        <v>32441</v>
      </c>
      <c r="G1311" s="2">
        <v>27.181399249999998</v>
      </c>
      <c r="H1311" s="3">
        <v>3.1399999999999998E-5</v>
      </c>
      <c r="I1311" s="2" t="s">
        <v>38518</v>
      </c>
      <c r="J1311" s="2" t="s">
        <v>38519</v>
      </c>
      <c r="K1311" s="2">
        <v>4.7961100000000001E-4</v>
      </c>
      <c r="L1311" s="2" t="s">
        <v>848</v>
      </c>
      <c r="M1311" s="4" t="s">
        <v>38520</v>
      </c>
    </row>
    <row r="1312" spans="1:13">
      <c r="A1312" s="2">
        <v>4712</v>
      </c>
      <c r="B1312" s="2" t="s">
        <v>38521</v>
      </c>
      <c r="C1312" s="2">
        <v>6</v>
      </c>
      <c r="D1312" s="2">
        <v>341</v>
      </c>
      <c r="E1312" s="2">
        <v>52</v>
      </c>
      <c r="F1312" s="2">
        <v>32441</v>
      </c>
      <c r="G1312" s="2">
        <v>10.97710354</v>
      </c>
      <c r="H1312" s="3">
        <v>3.1099999999999997E-5</v>
      </c>
      <c r="I1312" s="2" t="s">
        <v>38522</v>
      </c>
      <c r="J1312" s="2" t="s">
        <v>38523</v>
      </c>
      <c r="K1312" s="2">
        <v>4.7961100000000001E-4</v>
      </c>
      <c r="L1312" s="2" t="s">
        <v>848</v>
      </c>
      <c r="M1312" s="4" t="s">
        <v>38524</v>
      </c>
    </row>
    <row r="1313" spans="1:13">
      <c r="A1313" s="2">
        <v>14811</v>
      </c>
      <c r="B1313" s="2" t="s">
        <v>7871</v>
      </c>
      <c r="C1313" s="2">
        <v>35</v>
      </c>
      <c r="D1313" s="2">
        <v>341</v>
      </c>
      <c r="E1313" s="2">
        <v>1572</v>
      </c>
      <c r="F1313" s="2">
        <v>32441</v>
      </c>
      <c r="G1313" s="2">
        <v>2.1181433890000001</v>
      </c>
      <c r="H1313" s="3">
        <v>3.3599999999999997E-5</v>
      </c>
      <c r="I1313" s="2" t="s">
        <v>38525</v>
      </c>
      <c r="J1313" s="2" t="s">
        <v>38526</v>
      </c>
      <c r="K1313" s="2">
        <v>5.13069E-4</v>
      </c>
      <c r="L1313" s="2" t="s">
        <v>848</v>
      </c>
      <c r="M1313" s="4" t="s">
        <v>7874</v>
      </c>
    </row>
    <row r="1314" spans="1:13">
      <c r="A1314" s="2">
        <v>431</v>
      </c>
      <c r="B1314" s="2" t="s">
        <v>38527</v>
      </c>
      <c r="C1314" s="2">
        <v>5</v>
      </c>
      <c r="D1314" s="2">
        <v>341</v>
      </c>
      <c r="E1314" s="2">
        <v>31</v>
      </c>
      <c r="F1314" s="2">
        <v>32441</v>
      </c>
      <c r="G1314" s="2">
        <v>15.344338280000001</v>
      </c>
      <c r="H1314" s="3">
        <v>3.4199999999999998E-5</v>
      </c>
      <c r="I1314" s="2" t="s">
        <v>38528</v>
      </c>
      <c r="J1314" s="2" t="s">
        <v>38529</v>
      </c>
      <c r="K1314" s="2">
        <v>5.2036200000000002E-4</v>
      </c>
      <c r="L1314" s="2" t="s">
        <v>848</v>
      </c>
      <c r="M1314" s="4" t="s">
        <v>38530</v>
      </c>
    </row>
    <row r="1315" spans="1:13">
      <c r="A1315" s="2">
        <v>3501</v>
      </c>
      <c r="B1315" s="2" t="s">
        <v>28763</v>
      </c>
      <c r="C1315" s="2">
        <v>8</v>
      </c>
      <c r="D1315" s="2">
        <v>341</v>
      </c>
      <c r="E1315" s="2">
        <v>111</v>
      </c>
      <c r="F1315" s="2">
        <v>32441</v>
      </c>
      <c r="G1315" s="2">
        <v>6.8565691790000001</v>
      </c>
      <c r="H1315" s="3">
        <v>3.6399999999999997E-5</v>
      </c>
      <c r="I1315" s="2" t="s">
        <v>38531</v>
      </c>
      <c r="J1315" s="2" t="s">
        <v>38532</v>
      </c>
      <c r="K1315" s="2">
        <v>5.51802E-4</v>
      </c>
      <c r="L1315" s="2" t="s">
        <v>848</v>
      </c>
      <c r="M1315" s="4" t="s">
        <v>28766</v>
      </c>
    </row>
    <row r="1316" spans="1:13">
      <c r="A1316" s="2">
        <v>3205</v>
      </c>
      <c r="B1316" s="2" t="s">
        <v>30591</v>
      </c>
      <c r="C1316" s="2">
        <v>7</v>
      </c>
      <c r="D1316" s="2">
        <v>341</v>
      </c>
      <c r="E1316" s="2">
        <v>81</v>
      </c>
      <c r="F1316" s="2">
        <v>32441</v>
      </c>
      <c r="G1316" s="2">
        <v>8.2215343399999998</v>
      </c>
      <c r="H1316" s="3">
        <v>3.82E-5</v>
      </c>
      <c r="I1316" s="2" t="s">
        <v>38247</v>
      </c>
      <c r="J1316" s="2" t="s">
        <v>38248</v>
      </c>
      <c r="K1316" s="2">
        <v>5.7841999999999995E-4</v>
      </c>
      <c r="L1316" s="2" t="s">
        <v>848</v>
      </c>
      <c r="M1316" s="4" t="s">
        <v>30592</v>
      </c>
    </row>
    <row r="1317" spans="1:13">
      <c r="A1317" s="2">
        <v>1423</v>
      </c>
      <c r="B1317" s="2" t="s">
        <v>38533</v>
      </c>
      <c r="C1317" s="2">
        <v>8</v>
      </c>
      <c r="D1317" s="2">
        <v>341</v>
      </c>
      <c r="E1317" s="2">
        <v>112</v>
      </c>
      <c r="F1317" s="2">
        <v>32441</v>
      </c>
      <c r="G1317" s="2">
        <v>6.7953498110000004</v>
      </c>
      <c r="H1317" s="3">
        <v>3.8600000000000003E-5</v>
      </c>
      <c r="I1317" s="2" t="s">
        <v>38534</v>
      </c>
      <c r="J1317" s="2" t="s">
        <v>38535</v>
      </c>
      <c r="K1317" s="2">
        <v>5.8294499999999997E-4</v>
      </c>
      <c r="L1317" s="2" t="s">
        <v>848</v>
      </c>
      <c r="M1317" s="4" t="s">
        <v>38536</v>
      </c>
    </row>
    <row r="1318" spans="1:13">
      <c r="A1318" s="2">
        <v>4614</v>
      </c>
      <c r="B1318" s="2" t="s">
        <v>38537</v>
      </c>
      <c r="C1318" s="2">
        <v>4</v>
      </c>
      <c r="D1318" s="2">
        <v>341</v>
      </c>
      <c r="E1318" s="2">
        <v>15</v>
      </c>
      <c r="F1318" s="2">
        <v>32441</v>
      </c>
      <c r="G1318" s="2">
        <v>25.369305959999998</v>
      </c>
      <c r="H1318" s="3">
        <v>3.9400000000000002E-5</v>
      </c>
      <c r="I1318" s="2" t="s">
        <v>38538</v>
      </c>
      <c r="J1318" s="2" t="s">
        <v>38539</v>
      </c>
      <c r="K1318" s="2">
        <v>5.9033000000000002E-4</v>
      </c>
      <c r="L1318" s="2" t="s">
        <v>848</v>
      </c>
      <c r="M1318" s="4" t="s">
        <v>38540</v>
      </c>
    </row>
    <row r="1319" spans="1:13">
      <c r="A1319" s="2">
        <v>4714</v>
      </c>
      <c r="B1319" s="2" t="s">
        <v>29884</v>
      </c>
      <c r="C1319" s="2">
        <v>5</v>
      </c>
      <c r="D1319" s="2">
        <v>341</v>
      </c>
      <c r="E1319" s="2">
        <v>32</v>
      </c>
      <c r="F1319" s="2">
        <v>32441</v>
      </c>
      <c r="G1319" s="2">
        <v>14.86482771</v>
      </c>
      <c r="H1319" s="3">
        <v>3.9199999999999997E-5</v>
      </c>
      <c r="I1319" s="2" t="s">
        <v>38541</v>
      </c>
      <c r="J1319" s="2" t="s">
        <v>38542</v>
      </c>
      <c r="K1319" s="2">
        <v>5.9033000000000002E-4</v>
      </c>
      <c r="L1319" s="2" t="s">
        <v>848</v>
      </c>
      <c r="M1319" s="4" t="s">
        <v>29887</v>
      </c>
    </row>
    <row r="1320" spans="1:13">
      <c r="A1320" s="2">
        <v>5147</v>
      </c>
      <c r="B1320" s="2" t="s">
        <v>38543</v>
      </c>
      <c r="C1320" s="2">
        <v>4</v>
      </c>
      <c r="D1320" s="2">
        <v>341</v>
      </c>
      <c r="E1320" s="2">
        <v>15</v>
      </c>
      <c r="F1320" s="2">
        <v>32441</v>
      </c>
      <c r="G1320" s="2">
        <v>25.369305959999998</v>
      </c>
      <c r="H1320" s="3">
        <v>3.9400000000000002E-5</v>
      </c>
      <c r="I1320" s="2" t="s">
        <v>38544</v>
      </c>
      <c r="J1320" s="2" t="s">
        <v>38545</v>
      </c>
      <c r="K1320" s="2">
        <v>5.9033000000000002E-4</v>
      </c>
      <c r="L1320" s="2" t="s">
        <v>848</v>
      </c>
      <c r="M1320" s="4" t="s">
        <v>38546</v>
      </c>
    </row>
    <row r="1321" spans="1:13">
      <c r="A1321" s="2">
        <v>859</v>
      </c>
      <c r="B1321" s="2" t="s">
        <v>7859</v>
      </c>
      <c r="C1321" s="2">
        <v>36</v>
      </c>
      <c r="D1321" s="2">
        <v>341</v>
      </c>
      <c r="E1321" s="2">
        <v>1656</v>
      </c>
      <c r="F1321" s="2">
        <v>32441</v>
      </c>
      <c r="G1321" s="2">
        <v>2.0681499429999999</v>
      </c>
      <c r="H1321" s="3">
        <v>4.1900000000000002E-5</v>
      </c>
      <c r="I1321" s="2" t="s">
        <v>38547</v>
      </c>
      <c r="J1321" s="2" t="s">
        <v>38548</v>
      </c>
      <c r="K1321" s="2">
        <v>6.2586800000000002E-4</v>
      </c>
      <c r="L1321" s="2" t="s">
        <v>848</v>
      </c>
      <c r="M1321" s="4" t="s">
        <v>7862</v>
      </c>
    </row>
    <row r="1322" spans="1:13">
      <c r="A1322" s="2">
        <v>5234</v>
      </c>
      <c r="B1322" s="2" t="s">
        <v>29128</v>
      </c>
      <c r="C1322" s="2">
        <v>10</v>
      </c>
      <c r="D1322" s="2">
        <v>341</v>
      </c>
      <c r="E1322" s="2">
        <v>186</v>
      </c>
      <c r="F1322" s="2">
        <v>32441</v>
      </c>
      <c r="G1322" s="2">
        <v>5.1147794280000003</v>
      </c>
      <c r="H1322" s="3">
        <v>4.3099999999999997E-5</v>
      </c>
      <c r="I1322" s="2" t="s">
        <v>38549</v>
      </c>
      <c r="J1322" s="2" t="s">
        <v>38550</v>
      </c>
      <c r="K1322" s="2">
        <v>6.4190000000000004E-4</v>
      </c>
      <c r="L1322" s="2" t="s">
        <v>848</v>
      </c>
      <c r="M1322" s="4" t="s">
        <v>29131</v>
      </c>
    </row>
    <row r="1323" spans="1:13">
      <c r="A1323" s="2">
        <v>2525</v>
      </c>
      <c r="B1323" s="2" t="s">
        <v>30157</v>
      </c>
      <c r="C1323" s="2">
        <v>15</v>
      </c>
      <c r="D1323" s="2">
        <v>341</v>
      </c>
      <c r="E1323" s="2">
        <v>410</v>
      </c>
      <c r="F1323" s="2">
        <v>32441</v>
      </c>
      <c r="G1323" s="2">
        <v>3.4805450250000001</v>
      </c>
      <c r="H1323" s="3">
        <v>4.57E-5</v>
      </c>
      <c r="I1323" s="2" t="s">
        <v>38551</v>
      </c>
      <c r="J1323" s="2" t="s">
        <v>38552</v>
      </c>
      <c r="K1323" s="2">
        <v>6.79102E-4</v>
      </c>
      <c r="L1323" s="2" t="s">
        <v>848</v>
      </c>
      <c r="M1323" s="4" t="s">
        <v>30160</v>
      </c>
    </row>
    <row r="1324" spans="1:13">
      <c r="A1324" s="2">
        <v>3152</v>
      </c>
      <c r="B1324" s="2" t="s">
        <v>38553</v>
      </c>
      <c r="C1324" s="2">
        <v>14</v>
      </c>
      <c r="D1324" s="2">
        <v>341</v>
      </c>
      <c r="E1324" s="2">
        <v>363</v>
      </c>
      <c r="F1324" s="2">
        <v>32441</v>
      </c>
      <c r="G1324" s="2">
        <v>3.669114499</v>
      </c>
      <c r="H1324" s="3">
        <v>4.74E-5</v>
      </c>
      <c r="I1324" s="2" t="s">
        <v>38554</v>
      </c>
      <c r="J1324" s="2" t="s">
        <v>38555</v>
      </c>
      <c r="K1324" s="2">
        <v>7.0302600000000004E-4</v>
      </c>
      <c r="L1324" s="2" t="s">
        <v>848</v>
      </c>
      <c r="M1324" s="4" t="s">
        <v>38556</v>
      </c>
    </row>
    <row r="1325" spans="1:13">
      <c r="A1325" s="2">
        <v>3584</v>
      </c>
      <c r="B1325" s="2" t="s">
        <v>10206</v>
      </c>
      <c r="C1325" s="2">
        <v>16</v>
      </c>
      <c r="D1325" s="2">
        <v>341</v>
      </c>
      <c r="E1325" s="2">
        <v>470</v>
      </c>
      <c r="F1325" s="2">
        <v>32441</v>
      </c>
      <c r="G1325" s="2">
        <v>3.2386348040000001</v>
      </c>
      <c r="H1325" s="3">
        <v>5.8600000000000001E-5</v>
      </c>
      <c r="I1325" s="2" t="s">
        <v>38557</v>
      </c>
      <c r="J1325" s="2" t="s">
        <v>38558</v>
      </c>
      <c r="K1325" s="2">
        <v>8.6627000000000004E-4</v>
      </c>
      <c r="L1325" s="2" t="s">
        <v>848</v>
      </c>
      <c r="M1325" s="4" t="s">
        <v>10209</v>
      </c>
    </row>
    <row r="1326" spans="1:13">
      <c r="A1326" s="2">
        <v>4710</v>
      </c>
      <c r="B1326" s="2" t="s">
        <v>30689</v>
      </c>
      <c r="C1326" s="2">
        <v>4</v>
      </c>
      <c r="D1326" s="2">
        <v>341</v>
      </c>
      <c r="E1326" s="2">
        <v>17</v>
      </c>
      <c r="F1326" s="2">
        <v>32441</v>
      </c>
      <c r="G1326" s="2">
        <v>22.38468173</v>
      </c>
      <c r="H1326" s="3">
        <v>5.9899999999999999E-5</v>
      </c>
      <c r="I1326" s="2" t="s">
        <v>38559</v>
      </c>
      <c r="J1326" s="2" t="s">
        <v>38560</v>
      </c>
      <c r="K1326" s="2">
        <v>8.8326400000000003E-4</v>
      </c>
      <c r="L1326" s="2" t="s">
        <v>848</v>
      </c>
      <c r="M1326" s="4" t="s">
        <v>30692</v>
      </c>
    </row>
    <row r="1327" spans="1:13">
      <c r="A1327" s="2">
        <v>528</v>
      </c>
      <c r="B1327" s="2" t="s">
        <v>29391</v>
      </c>
      <c r="C1327" s="2">
        <v>9</v>
      </c>
      <c r="D1327" s="2">
        <v>341</v>
      </c>
      <c r="E1327" s="2">
        <v>156</v>
      </c>
      <c r="F1327" s="2">
        <v>32441</v>
      </c>
      <c r="G1327" s="2">
        <v>5.488551771</v>
      </c>
      <c r="H1327" s="3">
        <v>6.2000000000000003E-5</v>
      </c>
      <c r="I1327" s="2" t="s">
        <v>38348</v>
      </c>
      <c r="J1327" s="2" t="s">
        <v>38349</v>
      </c>
      <c r="K1327" s="2">
        <v>9.1274300000000004E-4</v>
      </c>
      <c r="L1327" s="2" t="s">
        <v>848</v>
      </c>
      <c r="M1327" s="4" t="s">
        <v>29394</v>
      </c>
    </row>
    <row r="1328" spans="1:13">
      <c r="A1328" s="2">
        <v>4010</v>
      </c>
      <c r="B1328" s="2" t="s">
        <v>38561</v>
      </c>
      <c r="C1328" s="2">
        <v>12</v>
      </c>
      <c r="D1328" s="2">
        <v>341</v>
      </c>
      <c r="E1328" s="2">
        <v>280</v>
      </c>
      <c r="F1328" s="2">
        <v>32441</v>
      </c>
      <c r="G1328" s="2">
        <v>4.0772098870000004</v>
      </c>
      <c r="H1328" s="3">
        <v>6.3E-5</v>
      </c>
      <c r="I1328" s="2" t="s">
        <v>38073</v>
      </c>
      <c r="J1328" s="2" t="s">
        <v>38074</v>
      </c>
      <c r="K1328" s="2">
        <v>9.2507500000000003E-4</v>
      </c>
      <c r="L1328" s="2" t="s">
        <v>848</v>
      </c>
      <c r="M1328" s="4" t="s">
        <v>38562</v>
      </c>
    </row>
    <row r="1329" spans="1:13">
      <c r="A1329" s="2">
        <v>2440</v>
      </c>
      <c r="B1329" s="2" t="s">
        <v>38563</v>
      </c>
      <c r="C1329" s="2">
        <v>4</v>
      </c>
      <c r="D1329" s="2">
        <v>341</v>
      </c>
      <c r="E1329" s="2">
        <v>18</v>
      </c>
      <c r="F1329" s="2">
        <v>32441</v>
      </c>
      <c r="G1329" s="2">
        <v>21.1410883</v>
      </c>
      <c r="H1329" s="3">
        <v>7.2600000000000003E-5</v>
      </c>
      <c r="I1329" s="2" t="s">
        <v>38564</v>
      </c>
      <c r="J1329" s="2" t="s">
        <v>38565</v>
      </c>
      <c r="K1329" s="2">
        <v>1.057529E-3</v>
      </c>
      <c r="L1329" s="2" t="s">
        <v>848</v>
      </c>
      <c r="M1329" s="4" t="s">
        <v>38566</v>
      </c>
    </row>
    <row r="1330" spans="1:13">
      <c r="A1330" s="2">
        <v>2487</v>
      </c>
      <c r="B1330" s="2" t="s">
        <v>38567</v>
      </c>
      <c r="C1330" s="2">
        <v>4</v>
      </c>
      <c r="D1330" s="2">
        <v>341</v>
      </c>
      <c r="E1330" s="2">
        <v>18</v>
      </c>
      <c r="F1330" s="2">
        <v>32441</v>
      </c>
      <c r="G1330" s="2">
        <v>21.1410883</v>
      </c>
      <c r="H1330" s="3">
        <v>7.2600000000000003E-5</v>
      </c>
      <c r="I1330" s="2" t="s">
        <v>38568</v>
      </c>
      <c r="J1330" s="2" t="s">
        <v>38569</v>
      </c>
      <c r="K1330" s="2">
        <v>1.057529E-3</v>
      </c>
      <c r="L1330" s="2" t="s">
        <v>848</v>
      </c>
      <c r="M1330" s="4" t="s">
        <v>38570</v>
      </c>
    </row>
    <row r="1331" spans="1:13">
      <c r="A1331" s="2">
        <v>3029</v>
      </c>
      <c r="B1331" s="2" t="s">
        <v>38571</v>
      </c>
      <c r="C1331" s="2">
        <v>4</v>
      </c>
      <c r="D1331" s="2">
        <v>341</v>
      </c>
      <c r="E1331" s="2">
        <v>18</v>
      </c>
      <c r="F1331" s="2">
        <v>32441</v>
      </c>
      <c r="G1331" s="2">
        <v>21.1410883</v>
      </c>
      <c r="H1331" s="3">
        <v>7.2600000000000003E-5</v>
      </c>
      <c r="I1331" s="2" t="s">
        <v>38572</v>
      </c>
      <c r="J1331" s="2" t="s">
        <v>38573</v>
      </c>
      <c r="K1331" s="2">
        <v>1.057529E-3</v>
      </c>
      <c r="L1331" s="2" t="s">
        <v>848</v>
      </c>
      <c r="M1331" s="4" t="s">
        <v>38574</v>
      </c>
    </row>
    <row r="1332" spans="1:13">
      <c r="A1332" s="2">
        <v>2257</v>
      </c>
      <c r="B1332" s="2" t="s">
        <v>38575</v>
      </c>
      <c r="C1332" s="2">
        <v>6</v>
      </c>
      <c r="D1332" s="2">
        <v>341</v>
      </c>
      <c r="E1332" s="2">
        <v>62</v>
      </c>
      <c r="F1332" s="2">
        <v>32441</v>
      </c>
      <c r="G1332" s="2">
        <v>9.2066029700000005</v>
      </c>
      <c r="H1332" s="3">
        <v>7.7100000000000004E-5</v>
      </c>
      <c r="I1332" s="2" t="s">
        <v>38576</v>
      </c>
      <c r="J1332" s="2" t="s">
        <v>38577</v>
      </c>
      <c r="K1332" s="2">
        <v>1.1212399999999999E-3</v>
      </c>
      <c r="L1332" s="2" t="s">
        <v>848</v>
      </c>
      <c r="M1332" s="4" t="s">
        <v>38578</v>
      </c>
    </row>
    <row r="1333" spans="1:13">
      <c r="A1333" s="2">
        <v>1724</v>
      </c>
      <c r="B1333" s="2" t="s">
        <v>29034</v>
      </c>
      <c r="C1333" s="2">
        <v>11</v>
      </c>
      <c r="D1333" s="2">
        <v>341</v>
      </c>
      <c r="E1333" s="2">
        <v>243</v>
      </c>
      <c r="F1333" s="2">
        <v>32441</v>
      </c>
      <c r="G1333" s="2">
        <v>4.3065179880000004</v>
      </c>
      <c r="H1333" s="3">
        <v>7.9699999999999999E-5</v>
      </c>
      <c r="I1333" s="2" t="s">
        <v>38579</v>
      </c>
      <c r="J1333" s="2" t="s">
        <v>38580</v>
      </c>
      <c r="K1333" s="2">
        <v>1.156123E-3</v>
      </c>
      <c r="L1333" s="2" t="s">
        <v>848</v>
      </c>
      <c r="M1333" s="4" t="s">
        <v>29037</v>
      </c>
    </row>
    <row r="1334" spans="1:13">
      <c r="A1334" s="2">
        <v>3791</v>
      </c>
      <c r="B1334" s="2" t="s">
        <v>9150</v>
      </c>
      <c r="C1334" s="2">
        <v>6</v>
      </c>
      <c r="D1334" s="2">
        <v>341</v>
      </c>
      <c r="E1334" s="2">
        <v>65</v>
      </c>
      <c r="F1334" s="2">
        <v>32441</v>
      </c>
      <c r="G1334" s="2">
        <v>8.7816828329999996</v>
      </c>
      <c r="H1334" s="3">
        <v>9.8300000000000004E-5</v>
      </c>
      <c r="I1334" s="2" t="s">
        <v>38256</v>
      </c>
      <c r="J1334" s="2" t="s">
        <v>38257</v>
      </c>
      <c r="K1334" s="2">
        <v>1.422324E-3</v>
      </c>
      <c r="L1334" s="2" t="s">
        <v>848</v>
      </c>
      <c r="M1334" s="4" t="s">
        <v>9153</v>
      </c>
    </row>
    <row r="1335" spans="1:13">
      <c r="A1335" s="2">
        <v>7411</v>
      </c>
      <c r="B1335" s="2" t="s">
        <v>38581</v>
      </c>
      <c r="C1335" s="2">
        <v>4</v>
      </c>
      <c r="D1335" s="2">
        <v>341</v>
      </c>
      <c r="E1335" s="2">
        <v>20</v>
      </c>
      <c r="F1335" s="2">
        <v>32441</v>
      </c>
      <c r="G1335" s="2">
        <v>19.026979470000001</v>
      </c>
      <c r="H1335" s="2">
        <v>1.0369099999999999E-4</v>
      </c>
      <c r="I1335" s="2" t="s">
        <v>38582</v>
      </c>
      <c r="J1335" s="2" t="s">
        <v>38583</v>
      </c>
      <c r="K1335" s="2">
        <v>1.4891769999999999E-3</v>
      </c>
      <c r="L1335" s="2" t="s">
        <v>848</v>
      </c>
      <c r="M1335" s="4" t="s">
        <v>38584</v>
      </c>
    </row>
    <row r="1336" spans="1:13">
      <c r="A1336" s="2">
        <v>1750</v>
      </c>
      <c r="B1336" s="2" t="s">
        <v>38585</v>
      </c>
      <c r="C1336" s="2">
        <v>4</v>
      </c>
      <c r="D1336" s="2">
        <v>341</v>
      </c>
      <c r="E1336" s="2">
        <v>20</v>
      </c>
      <c r="F1336" s="2">
        <v>32441</v>
      </c>
      <c r="G1336" s="2">
        <v>19.026979470000001</v>
      </c>
      <c r="H1336" s="2">
        <v>1.0369099999999999E-4</v>
      </c>
      <c r="I1336" s="2" t="s">
        <v>38586</v>
      </c>
      <c r="J1336" s="2" t="s">
        <v>38587</v>
      </c>
      <c r="K1336" s="2">
        <v>1.4891769999999999E-3</v>
      </c>
      <c r="L1336" s="2" t="s">
        <v>848</v>
      </c>
      <c r="M1336" s="4" t="s">
        <v>38588</v>
      </c>
    </row>
    <row r="1337" spans="1:13">
      <c r="A1337" s="2">
        <v>37751</v>
      </c>
      <c r="B1337" s="2" t="s">
        <v>38589</v>
      </c>
      <c r="C1337" s="2">
        <v>4</v>
      </c>
      <c r="D1337" s="2">
        <v>341</v>
      </c>
      <c r="E1337" s="2">
        <v>20</v>
      </c>
      <c r="F1337" s="2">
        <v>32441</v>
      </c>
      <c r="G1337" s="2">
        <v>19.026979470000001</v>
      </c>
      <c r="H1337" s="2">
        <v>1.0369099999999999E-4</v>
      </c>
      <c r="I1337" s="2" t="s">
        <v>38590</v>
      </c>
      <c r="J1337" s="2" t="s">
        <v>38591</v>
      </c>
      <c r="K1337" s="2">
        <v>1.4891769999999999E-3</v>
      </c>
      <c r="L1337" s="2" t="s">
        <v>848</v>
      </c>
      <c r="M1337" s="4" t="s">
        <v>38592</v>
      </c>
    </row>
    <row r="1338" spans="1:13">
      <c r="A1338" s="2">
        <v>2596</v>
      </c>
      <c r="B1338" s="2" t="s">
        <v>30015</v>
      </c>
      <c r="C1338" s="2">
        <v>8</v>
      </c>
      <c r="D1338" s="2">
        <v>341</v>
      </c>
      <c r="E1338" s="2">
        <v>131</v>
      </c>
      <c r="F1338" s="2">
        <v>32441</v>
      </c>
      <c r="G1338" s="2">
        <v>5.8097647239999999</v>
      </c>
      <c r="H1338" s="2">
        <v>1.09125E-4</v>
      </c>
      <c r="I1338" s="2" t="s">
        <v>38593</v>
      </c>
      <c r="J1338" s="2" t="s">
        <v>38594</v>
      </c>
      <c r="K1338" s="2">
        <v>1.5634189999999999E-3</v>
      </c>
      <c r="L1338" s="2" t="s">
        <v>848</v>
      </c>
      <c r="M1338" s="4" t="s">
        <v>30018</v>
      </c>
    </row>
    <row r="1339" spans="1:13">
      <c r="A1339" s="2">
        <v>357</v>
      </c>
      <c r="B1339" s="2" t="s">
        <v>38595</v>
      </c>
      <c r="C1339" s="2">
        <v>16</v>
      </c>
      <c r="D1339" s="2">
        <v>341</v>
      </c>
      <c r="E1339" s="2">
        <v>497</v>
      </c>
      <c r="F1339" s="2">
        <v>32441</v>
      </c>
      <c r="G1339" s="2">
        <v>3.062692873</v>
      </c>
      <c r="H1339" s="2">
        <v>1.0961199999999999E-4</v>
      </c>
      <c r="I1339" s="2" t="s">
        <v>38596</v>
      </c>
      <c r="J1339" s="2" t="s">
        <v>38597</v>
      </c>
      <c r="K1339" s="2">
        <v>1.56661E-3</v>
      </c>
      <c r="L1339" s="2" t="s">
        <v>848</v>
      </c>
      <c r="M1339" s="4" t="s">
        <v>38598</v>
      </c>
    </row>
    <row r="1340" spans="1:13">
      <c r="A1340" s="2">
        <v>2830</v>
      </c>
      <c r="B1340" s="2" t="s">
        <v>911</v>
      </c>
      <c r="C1340" s="2">
        <v>19</v>
      </c>
      <c r="D1340" s="2">
        <v>341</v>
      </c>
      <c r="E1340" s="2">
        <v>662</v>
      </c>
      <c r="F1340" s="2">
        <v>32441</v>
      </c>
      <c r="G1340" s="2">
        <v>2.730457779</v>
      </c>
      <c r="H1340" s="2">
        <v>1.1061999999999999E-4</v>
      </c>
      <c r="I1340" s="2" t="s">
        <v>38599</v>
      </c>
      <c r="J1340" s="2" t="s">
        <v>38600</v>
      </c>
      <c r="K1340" s="2">
        <v>1.577207E-3</v>
      </c>
      <c r="L1340" s="2" t="s">
        <v>848</v>
      </c>
      <c r="M1340" s="4" t="s">
        <v>9107</v>
      </c>
    </row>
    <row r="1341" spans="1:13">
      <c r="A1341" s="2">
        <v>1751</v>
      </c>
      <c r="B1341" s="2" t="s">
        <v>30051</v>
      </c>
      <c r="C1341" s="2">
        <v>14</v>
      </c>
      <c r="D1341" s="2">
        <v>341</v>
      </c>
      <c r="E1341" s="2">
        <v>395</v>
      </c>
      <c r="F1341" s="2">
        <v>32441</v>
      </c>
      <c r="G1341" s="2">
        <v>3.3718697799999999</v>
      </c>
      <c r="H1341" s="2">
        <v>1.12395E-4</v>
      </c>
      <c r="I1341" s="2" t="s">
        <v>38252</v>
      </c>
      <c r="J1341" s="2" t="s">
        <v>38253</v>
      </c>
      <c r="K1341" s="2">
        <v>1.598662E-3</v>
      </c>
      <c r="L1341" s="2" t="s">
        <v>848</v>
      </c>
      <c r="M1341" s="4" t="s">
        <v>30054</v>
      </c>
    </row>
    <row r="1342" spans="1:13">
      <c r="A1342" s="2">
        <v>26651</v>
      </c>
      <c r="B1342" s="2" t="s">
        <v>28755</v>
      </c>
      <c r="C1342" s="2">
        <v>10</v>
      </c>
      <c r="D1342" s="2">
        <v>341</v>
      </c>
      <c r="E1342" s="2">
        <v>212</v>
      </c>
      <c r="F1342" s="2">
        <v>32441</v>
      </c>
      <c r="G1342" s="2">
        <v>4.4874951589999998</v>
      </c>
      <c r="H1342" s="2">
        <v>1.2142E-4</v>
      </c>
      <c r="I1342" s="2" t="s">
        <v>38601</v>
      </c>
      <c r="J1342" s="2" t="s">
        <v>38602</v>
      </c>
      <c r="K1342" s="2">
        <v>1.7228759999999999E-3</v>
      </c>
      <c r="L1342" s="2" t="s">
        <v>848</v>
      </c>
      <c r="M1342" s="4" t="s">
        <v>28758</v>
      </c>
    </row>
    <row r="1343" spans="1:13">
      <c r="A1343" s="2">
        <v>1621</v>
      </c>
      <c r="B1343" s="2" t="s">
        <v>38603</v>
      </c>
      <c r="C1343" s="2">
        <v>4</v>
      </c>
      <c r="D1343" s="2">
        <v>341</v>
      </c>
      <c r="E1343" s="2">
        <v>21</v>
      </c>
      <c r="F1343" s="2">
        <v>32441</v>
      </c>
      <c r="G1343" s="2">
        <v>18.120932830000001</v>
      </c>
      <c r="H1343" s="2">
        <v>1.22433E-4</v>
      </c>
      <c r="I1343" s="2" t="s">
        <v>38604</v>
      </c>
      <c r="J1343" s="2" t="s">
        <v>38605</v>
      </c>
      <c r="K1343" s="2">
        <v>1.7331040000000001E-3</v>
      </c>
      <c r="L1343" s="2" t="s">
        <v>848</v>
      </c>
      <c r="M1343" s="4" t="s">
        <v>38606</v>
      </c>
    </row>
    <row r="1344" spans="1:13">
      <c r="A1344" s="2">
        <v>1111</v>
      </c>
      <c r="B1344" s="2" t="s">
        <v>9757</v>
      </c>
      <c r="C1344" s="2">
        <v>27</v>
      </c>
      <c r="D1344" s="2">
        <v>341</v>
      </c>
      <c r="E1344" s="2">
        <v>1152</v>
      </c>
      <c r="F1344" s="2">
        <v>32441</v>
      </c>
      <c r="G1344" s="2">
        <v>2.2297241570000002</v>
      </c>
      <c r="H1344" s="2">
        <v>1.2274399999999999E-4</v>
      </c>
      <c r="I1344" s="2" t="s">
        <v>38607</v>
      </c>
      <c r="J1344" s="2" t="s">
        <v>38608</v>
      </c>
      <c r="K1344" s="2">
        <v>1.7333610000000001E-3</v>
      </c>
      <c r="L1344" s="2" t="s">
        <v>848</v>
      </c>
      <c r="M1344" s="4" t="s">
        <v>9760</v>
      </c>
    </row>
    <row r="1345" spans="1:13">
      <c r="A1345" s="2">
        <v>4239</v>
      </c>
      <c r="B1345" s="2" t="s">
        <v>38609</v>
      </c>
      <c r="C1345" s="2">
        <v>5</v>
      </c>
      <c r="D1345" s="2">
        <v>341</v>
      </c>
      <c r="E1345" s="2">
        <v>42</v>
      </c>
      <c r="F1345" s="2">
        <v>32441</v>
      </c>
      <c r="G1345" s="2">
        <v>11.32558302</v>
      </c>
      <c r="H1345" s="2">
        <v>1.2676000000000001E-4</v>
      </c>
      <c r="I1345" s="2" t="s">
        <v>38610</v>
      </c>
      <c r="J1345" s="2" t="s">
        <v>38611</v>
      </c>
      <c r="K1345" s="2">
        <v>1.785809E-3</v>
      </c>
      <c r="L1345" s="2" t="s">
        <v>848</v>
      </c>
      <c r="M1345" s="4" t="s">
        <v>38612</v>
      </c>
    </row>
    <row r="1346" spans="1:13">
      <c r="A1346" s="2">
        <v>1272</v>
      </c>
      <c r="B1346" s="2" t="s">
        <v>38613</v>
      </c>
      <c r="C1346" s="2">
        <v>6</v>
      </c>
      <c r="D1346" s="2">
        <v>341</v>
      </c>
      <c r="E1346" s="2">
        <v>70</v>
      </c>
      <c r="F1346" s="2">
        <v>32441</v>
      </c>
      <c r="G1346" s="2">
        <v>8.1544197740000008</v>
      </c>
      <c r="H1346" s="2">
        <v>1.4368700000000001E-4</v>
      </c>
      <c r="I1346" s="2" t="s">
        <v>38614</v>
      </c>
      <c r="J1346" s="2" t="s">
        <v>38615</v>
      </c>
      <c r="K1346" s="2">
        <v>2.0146790000000001E-3</v>
      </c>
      <c r="L1346" s="2" t="s">
        <v>848</v>
      </c>
      <c r="M1346" s="4" t="s">
        <v>38616</v>
      </c>
    </row>
    <row r="1347" spans="1:13">
      <c r="A1347" s="2">
        <v>4547</v>
      </c>
      <c r="B1347" s="2" t="s">
        <v>38617</v>
      </c>
      <c r="C1347" s="2">
        <v>4</v>
      </c>
      <c r="D1347" s="2">
        <v>341</v>
      </c>
      <c r="E1347" s="2">
        <v>22</v>
      </c>
      <c r="F1347" s="2">
        <v>32441</v>
      </c>
      <c r="G1347" s="2">
        <v>17.297254070000001</v>
      </c>
      <c r="H1347" s="2">
        <v>1.4351199999999999E-4</v>
      </c>
      <c r="I1347" s="2" t="s">
        <v>38618</v>
      </c>
      <c r="J1347" s="2" t="s">
        <v>38619</v>
      </c>
      <c r="K1347" s="2">
        <v>2.0146790000000001E-3</v>
      </c>
      <c r="L1347" s="2" t="s">
        <v>848</v>
      </c>
      <c r="M1347" s="4" t="s">
        <v>38620</v>
      </c>
    </row>
    <row r="1348" spans="1:13">
      <c r="A1348" s="2">
        <v>47601</v>
      </c>
      <c r="B1348" s="2" t="s">
        <v>28358</v>
      </c>
      <c r="C1348" s="2">
        <v>25</v>
      </c>
      <c r="D1348" s="2">
        <v>341</v>
      </c>
      <c r="E1348" s="2">
        <v>1038</v>
      </c>
      <c r="F1348" s="2">
        <v>32441</v>
      </c>
      <c r="G1348" s="2">
        <v>2.2913029229999999</v>
      </c>
      <c r="H1348" s="2">
        <v>1.4610900000000001E-4</v>
      </c>
      <c r="I1348" s="2" t="s">
        <v>38621</v>
      </c>
      <c r="J1348" s="2" t="s">
        <v>38622</v>
      </c>
      <c r="K1348" s="2">
        <v>2.0437929999999999E-3</v>
      </c>
      <c r="L1348" s="2" t="s">
        <v>848</v>
      </c>
      <c r="M1348" s="4" t="s">
        <v>28361</v>
      </c>
    </row>
    <row r="1349" spans="1:13">
      <c r="A1349" s="2">
        <v>4898</v>
      </c>
      <c r="B1349" s="2" t="s">
        <v>38623</v>
      </c>
      <c r="C1349" s="2">
        <v>5</v>
      </c>
      <c r="D1349" s="2">
        <v>341</v>
      </c>
      <c r="E1349" s="2">
        <v>44</v>
      </c>
      <c r="F1349" s="2">
        <v>32441</v>
      </c>
      <c r="G1349" s="2">
        <v>10.81078379</v>
      </c>
      <c r="H1349" s="2">
        <v>1.5492500000000001E-4</v>
      </c>
      <c r="I1349" s="2" t="s">
        <v>38624</v>
      </c>
      <c r="J1349" s="2" t="s">
        <v>38625</v>
      </c>
      <c r="K1349" s="2">
        <v>2.1620010000000002E-3</v>
      </c>
      <c r="L1349" s="2" t="s">
        <v>848</v>
      </c>
      <c r="M1349" s="4" t="s">
        <v>38626</v>
      </c>
    </row>
    <row r="1350" spans="1:13">
      <c r="A1350" s="2">
        <v>37371</v>
      </c>
      <c r="B1350" s="2" t="s">
        <v>955</v>
      </c>
      <c r="C1350" s="2">
        <v>28</v>
      </c>
      <c r="D1350" s="2">
        <v>341</v>
      </c>
      <c r="E1350" s="2">
        <v>1234</v>
      </c>
      <c r="F1350" s="2">
        <v>32441</v>
      </c>
      <c r="G1350" s="2">
        <v>2.1586524520000001</v>
      </c>
      <c r="H1350" s="2">
        <v>1.5557900000000001E-4</v>
      </c>
      <c r="I1350" s="2" t="s">
        <v>38627</v>
      </c>
      <c r="J1350" s="2" t="s">
        <v>38628</v>
      </c>
      <c r="K1350" s="2">
        <v>2.1660239999999999E-3</v>
      </c>
      <c r="L1350" s="2" t="s">
        <v>848</v>
      </c>
      <c r="M1350" s="4" t="s">
        <v>28773</v>
      </c>
    </row>
    <row r="1351" spans="1:13">
      <c r="A1351" s="2">
        <v>1324</v>
      </c>
      <c r="B1351" s="2" t="s">
        <v>38629</v>
      </c>
      <c r="C1351" s="2">
        <v>11</v>
      </c>
      <c r="D1351" s="2">
        <v>341</v>
      </c>
      <c r="E1351" s="2">
        <v>264</v>
      </c>
      <c r="F1351" s="2">
        <v>32441</v>
      </c>
      <c r="G1351" s="2">
        <v>3.963954057</v>
      </c>
      <c r="H1351" s="2">
        <v>1.60295E-4</v>
      </c>
      <c r="I1351" s="2" t="s">
        <v>38630</v>
      </c>
      <c r="J1351" s="2" t="s">
        <v>38631</v>
      </c>
      <c r="K1351" s="2">
        <v>2.2264450000000001E-3</v>
      </c>
      <c r="L1351" s="2" t="s">
        <v>848</v>
      </c>
      <c r="M1351" s="4" t="s">
        <v>38632</v>
      </c>
    </row>
    <row r="1352" spans="1:13">
      <c r="A1352" s="2">
        <v>659</v>
      </c>
      <c r="B1352" s="2" t="s">
        <v>10877</v>
      </c>
      <c r="C1352" s="2">
        <v>13</v>
      </c>
      <c r="D1352" s="2">
        <v>341</v>
      </c>
      <c r="E1352" s="2">
        <v>360</v>
      </c>
      <c r="F1352" s="2">
        <v>32441</v>
      </c>
      <c r="G1352" s="2">
        <v>3.4354268490000002</v>
      </c>
      <c r="H1352" s="2">
        <v>1.64594E-4</v>
      </c>
      <c r="I1352" s="2" t="s">
        <v>38633</v>
      </c>
      <c r="J1352" s="2" t="s">
        <v>38634</v>
      </c>
      <c r="K1352" s="2">
        <v>2.2808070000000001E-3</v>
      </c>
      <c r="L1352" s="2" t="s">
        <v>848</v>
      </c>
      <c r="M1352" s="4" t="s">
        <v>10880</v>
      </c>
    </row>
    <row r="1353" spans="1:13">
      <c r="A1353" s="2">
        <v>2852</v>
      </c>
      <c r="B1353" s="2" t="s">
        <v>38635</v>
      </c>
      <c r="C1353" s="2">
        <v>4</v>
      </c>
      <c r="D1353" s="2">
        <v>341</v>
      </c>
      <c r="E1353" s="2">
        <v>23</v>
      </c>
      <c r="F1353" s="2">
        <v>32441</v>
      </c>
      <c r="G1353" s="2">
        <v>16.545199539999999</v>
      </c>
      <c r="H1353" s="2">
        <v>1.67095E-4</v>
      </c>
      <c r="I1353" s="2" t="s">
        <v>36160</v>
      </c>
      <c r="J1353" s="2" t="s">
        <v>36161</v>
      </c>
      <c r="K1353" s="2">
        <v>2.2993010000000001E-3</v>
      </c>
      <c r="L1353" s="2" t="s">
        <v>848</v>
      </c>
      <c r="M1353" s="4" t="s">
        <v>38636</v>
      </c>
    </row>
    <row r="1354" spans="1:13">
      <c r="A1354" s="2">
        <v>4196</v>
      </c>
      <c r="B1354" s="2" t="s">
        <v>38637</v>
      </c>
      <c r="C1354" s="2">
        <v>7</v>
      </c>
      <c r="D1354" s="2">
        <v>341</v>
      </c>
      <c r="E1354" s="2">
        <v>104</v>
      </c>
      <c r="F1354" s="2">
        <v>32441</v>
      </c>
      <c r="G1354" s="2">
        <v>6.4033103990000004</v>
      </c>
      <c r="H1354" s="2">
        <v>1.6682399999999999E-4</v>
      </c>
      <c r="I1354" s="2" t="s">
        <v>38638</v>
      </c>
      <c r="J1354" s="2" t="s">
        <v>38639</v>
      </c>
      <c r="K1354" s="2">
        <v>2.2993010000000001E-3</v>
      </c>
      <c r="L1354" s="2" t="s">
        <v>848</v>
      </c>
      <c r="M1354" s="4" t="s">
        <v>38640</v>
      </c>
    </row>
    <row r="1355" spans="1:13">
      <c r="A1355" s="2">
        <v>5614</v>
      </c>
      <c r="B1355" s="2" t="s">
        <v>38641</v>
      </c>
      <c r="C1355" s="2">
        <v>4</v>
      </c>
      <c r="D1355" s="2">
        <v>341</v>
      </c>
      <c r="E1355" s="2">
        <v>23</v>
      </c>
      <c r="F1355" s="2">
        <v>32441</v>
      </c>
      <c r="G1355" s="2">
        <v>16.545199539999999</v>
      </c>
      <c r="H1355" s="2">
        <v>1.67095E-4</v>
      </c>
      <c r="I1355" s="2" t="s">
        <v>38544</v>
      </c>
      <c r="J1355" s="2" t="s">
        <v>38545</v>
      </c>
      <c r="K1355" s="2">
        <v>2.2993010000000001E-3</v>
      </c>
      <c r="L1355" s="2" t="s">
        <v>848</v>
      </c>
      <c r="M1355" s="4" t="s">
        <v>38642</v>
      </c>
    </row>
    <row r="1356" spans="1:13">
      <c r="A1356" s="2">
        <v>2165</v>
      </c>
      <c r="B1356" s="2" t="s">
        <v>3050</v>
      </c>
      <c r="C1356" s="2">
        <v>11</v>
      </c>
      <c r="D1356" s="2">
        <v>341</v>
      </c>
      <c r="E1356" s="2">
        <v>267</v>
      </c>
      <c r="F1356" s="2">
        <v>32441</v>
      </c>
      <c r="G1356" s="2">
        <v>3.9194152469999999</v>
      </c>
      <c r="H1356" s="2">
        <v>1.76114E-4</v>
      </c>
      <c r="I1356" s="2" t="s">
        <v>38643</v>
      </c>
      <c r="J1356" s="2" t="s">
        <v>38644</v>
      </c>
      <c r="K1356" s="2">
        <v>2.4177920000000002E-3</v>
      </c>
      <c r="L1356" s="2" t="s">
        <v>848</v>
      </c>
      <c r="M1356" s="4" t="s">
        <v>3053</v>
      </c>
    </row>
    <row r="1357" spans="1:13">
      <c r="A1357" s="2">
        <v>2553</v>
      </c>
      <c r="B1357" s="2" t="s">
        <v>38645</v>
      </c>
      <c r="C1357" s="2">
        <v>4</v>
      </c>
      <c r="D1357" s="2">
        <v>341</v>
      </c>
      <c r="E1357" s="2">
        <v>24</v>
      </c>
      <c r="F1357" s="2">
        <v>32441</v>
      </c>
      <c r="G1357" s="2">
        <v>15.85581623</v>
      </c>
      <c r="H1357" s="2">
        <v>1.93353E-4</v>
      </c>
      <c r="I1357" s="2" t="s">
        <v>38582</v>
      </c>
      <c r="J1357" s="2" t="s">
        <v>38583</v>
      </c>
      <c r="K1357" s="2">
        <v>2.6483029999999999E-3</v>
      </c>
      <c r="L1357" s="2" t="s">
        <v>848</v>
      </c>
      <c r="M1357" s="4" t="s">
        <v>38646</v>
      </c>
    </row>
    <row r="1358" spans="1:13">
      <c r="A1358" s="2">
        <v>4206</v>
      </c>
      <c r="B1358" s="2" t="s">
        <v>38647</v>
      </c>
      <c r="C1358" s="2">
        <v>9</v>
      </c>
      <c r="D1358" s="2">
        <v>341</v>
      </c>
      <c r="E1358" s="2">
        <v>184</v>
      </c>
      <c r="F1358" s="2">
        <v>32441</v>
      </c>
      <c r="G1358" s="2">
        <v>4.6533373710000001</v>
      </c>
      <c r="H1358" s="2">
        <v>2.0391100000000001E-4</v>
      </c>
      <c r="I1358" s="2" t="s">
        <v>38648</v>
      </c>
      <c r="J1358" s="2" t="s">
        <v>38649</v>
      </c>
      <c r="K1358" s="2">
        <v>2.7864679999999998E-3</v>
      </c>
      <c r="L1358" s="2" t="s">
        <v>848</v>
      </c>
      <c r="M1358" s="4" t="s">
        <v>38650</v>
      </c>
    </row>
    <row r="1359" spans="1:13">
      <c r="A1359" s="2">
        <v>6502</v>
      </c>
      <c r="B1359" s="2" t="s">
        <v>8135</v>
      </c>
      <c r="C1359" s="2">
        <v>24</v>
      </c>
      <c r="D1359" s="2">
        <v>341</v>
      </c>
      <c r="E1359" s="2">
        <v>1001</v>
      </c>
      <c r="F1359" s="2">
        <v>32441</v>
      </c>
      <c r="G1359" s="2">
        <v>2.2809565799999998</v>
      </c>
      <c r="H1359" s="2">
        <v>2.1135199999999999E-4</v>
      </c>
      <c r="I1359" s="2" t="s">
        <v>38651</v>
      </c>
      <c r="J1359" s="2" t="s">
        <v>38652</v>
      </c>
      <c r="K1359" s="2">
        <v>2.8814969999999998E-3</v>
      </c>
      <c r="L1359" s="2" t="s">
        <v>848</v>
      </c>
      <c r="M1359" s="4" t="s">
        <v>8138</v>
      </c>
    </row>
    <row r="1360" spans="1:13">
      <c r="A1360" s="2">
        <v>2899</v>
      </c>
      <c r="B1360" s="2" t="s">
        <v>38653</v>
      </c>
      <c r="C1360" s="2">
        <v>4</v>
      </c>
      <c r="D1360" s="2">
        <v>341</v>
      </c>
      <c r="E1360" s="2">
        <v>25</v>
      </c>
      <c r="F1360" s="2">
        <v>32441</v>
      </c>
      <c r="G1360" s="2">
        <v>15.221583580000001</v>
      </c>
      <c r="H1360" s="2">
        <v>2.2245899999999999E-4</v>
      </c>
      <c r="I1360" s="2" t="s">
        <v>38480</v>
      </c>
      <c r="J1360" s="2" t="s">
        <v>38481</v>
      </c>
      <c r="K1360" s="2">
        <v>3.025949E-3</v>
      </c>
      <c r="L1360" s="2" t="s">
        <v>848</v>
      </c>
      <c r="M1360" s="4" t="s">
        <v>38654</v>
      </c>
    </row>
    <row r="1361" spans="1:13">
      <c r="A1361" s="2">
        <v>3447</v>
      </c>
      <c r="B1361" s="2" t="s">
        <v>1165</v>
      </c>
      <c r="C1361" s="2">
        <v>8</v>
      </c>
      <c r="D1361" s="2">
        <v>341</v>
      </c>
      <c r="E1361" s="2">
        <v>147</v>
      </c>
      <c r="F1361" s="2">
        <v>32441</v>
      </c>
      <c r="G1361" s="2">
        <v>5.1774093800000003</v>
      </c>
      <c r="H1361" s="2">
        <v>2.31017E-4</v>
      </c>
      <c r="I1361" s="2" t="s">
        <v>38655</v>
      </c>
      <c r="J1361" s="2" t="s">
        <v>38656</v>
      </c>
      <c r="K1361" s="2">
        <v>3.1351550000000001E-3</v>
      </c>
      <c r="L1361" s="2" t="s">
        <v>848</v>
      </c>
      <c r="M1361" s="4" t="s">
        <v>28702</v>
      </c>
    </row>
    <row r="1362" spans="1:13">
      <c r="A1362" s="2">
        <v>4924</v>
      </c>
      <c r="B1362" s="2" t="s">
        <v>28839</v>
      </c>
      <c r="C1362" s="2">
        <v>6</v>
      </c>
      <c r="D1362" s="2">
        <v>341</v>
      </c>
      <c r="E1362" s="2">
        <v>77</v>
      </c>
      <c r="F1362" s="2">
        <v>32441</v>
      </c>
      <c r="G1362" s="2">
        <v>7.4131088849999998</v>
      </c>
      <c r="H1362" s="2">
        <v>2.3343600000000001E-4</v>
      </c>
      <c r="I1362" s="2" t="s">
        <v>38657</v>
      </c>
      <c r="J1362" s="2" t="s">
        <v>38658</v>
      </c>
      <c r="K1362" s="2">
        <v>3.1607290000000001E-3</v>
      </c>
      <c r="L1362" s="2" t="s">
        <v>848</v>
      </c>
      <c r="M1362" s="4" t="s">
        <v>28842</v>
      </c>
    </row>
    <row r="1363" spans="1:13">
      <c r="A1363" s="2">
        <v>899</v>
      </c>
      <c r="B1363" s="2" t="s">
        <v>38659</v>
      </c>
      <c r="C1363" s="2">
        <v>9</v>
      </c>
      <c r="D1363" s="2">
        <v>341</v>
      </c>
      <c r="E1363" s="2">
        <v>188</v>
      </c>
      <c r="F1363" s="2">
        <v>32441</v>
      </c>
      <c r="G1363" s="2">
        <v>4.5543301930000002</v>
      </c>
      <c r="H1363" s="2">
        <v>2.3748700000000001E-4</v>
      </c>
      <c r="I1363" s="2" t="s">
        <v>38660</v>
      </c>
      <c r="J1363" s="2" t="s">
        <v>38661</v>
      </c>
      <c r="K1363" s="2">
        <v>3.208242E-3</v>
      </c>
      <c r="L1363" s="2" t="s">
        <v>848</v>
      </c>
      <c r="M1363" s="4" t="s">
        <v>38662</v>
      </c>
    </row>
    <row r="1364" spans="1:13">
      <c r="A1364" s="2">
        <v>4313</v>
      </c>
      <c r="B1364" s="2" t="s">
        <v>38663</v>
      </c>
      <c r="C1364" s="2">
        <v>8</v>
      </c>
      <c r="D1364" s="2">
        <v>341</v>
      </c>
      <c r="E1364" s="2">
        <v>148</v>
      </c>
      <c r="F1364" s="2">
        <v>32441</v>
      </c>
      <c r="G1364" s="2">
        <v>5.1424268839999998</v>
      </c>
      <c r="H1364" s="2">
        <v>2.4133800000000001E-4</v>
      </c>
      <c r="I1364" s="2" t="s">
        <v>38664</v>
      </c>
      <c r="J1364" s="2" t="s">
        <v>38665</v>
      </c>
      <c r="K1364" s="2">
        <v>3.2528380000000001E-3</v>
      </c>
      <c r="L1364" s="2" t="s">
        <v>848</v>
      </c>
      <c r="M1364" s="4" t="s">
        <v>38666</v>
      </c>
    </row>
    <row r="1365" spans="1:13">
      <c r="A1365" s="2">
        <v>1215</v>
      </c>
      <c r="B1365" s="2" t="s">
        <v>1065</v>
      </c>
      <c r="C1365" s="2">
        <v>16</v>
      </c>
      <c r="D1365" s="2">
        <v>341</v>
      </c>
      <c r="E1365" s="2">
        <v>535</v>
      </c>
      <c r="F1365" s="2">
        <v>32441</v>
      </c>
      <c r="G1365" s="2">
        <v>2.845155809</v>
      </c>
      <c r="H1365" s="2">
        <v>2.45465E-4</v>
      </c>
      <c r="I1365" s="2" t="s">
        <v>38667</v>
      </c>
      <c r="J1365" s="2" t="s">
        <v>38668</v>
      </c>
      <c r="K1365" s="2">
        <v>3.3009519999999998E-3</v>
      </c>
      <c r="L1365" s="2" t="s">
        <v>848</v>
      </c>
      <c r="M1365" s="4" t="s">
        <v>38669</v>
      </c>
    </row>
    <row r="1366" spans="1:13">
      <c r="A1366" s="2">
        <v>2581</v>
      </c>
      <c r="B1366" s="2" t="s">
        <v>8199</v>
      </c>
      <c r="C1366" s="2">
        <v>22</v>
      </c>
      <c r="D1366" s="2">
        <v>341</v>
      </c>
      <c r="E1366" s="2">
        <v>888</v>
      </c>
      <c r="F1366" s="2">
        <v>32441</v>
      </c>
      <c r="G1366" s="2">
        <v>2.3569456550000001</v>
      </c>
      <c r="H1366" s="2">
        <v>2.4996399999999998E-4</v>
      </c>
      <c r="I1366" s="2" t="s">
        <v>38670</v>
      </c>
      <c r="J1366" s="2" t="s">
        <v>38671</v>
      </c>
      <c r="K1366" s="2">
        <v>3.3538190000000001E-3</v>
      </c>
      <c r="L1366" s="2" t="s">
        <v>848</v>
      </c>
      <c r="M1366" s="4" t="s">
        <v>8202</v>
      </c>
    </row>
    <row r="1367" spans="1:13">
      <c r="A1367" s="2">
        <v>3818</v>
      </c>
      <c r="B1367" s="2" t="s">
        <v>11263</v>
      </c>
      <c r="C1367" s="2">
        <v>11</v>
      </c>
      <c r="D1367" s="2">
        <v>341</v>
      </c>
      <c r="E1367" s="2">
        <v>283</v>
      </c>
      <c r="F1367" s="2">
        <v>32441</v>
      </c>
      <c r="G1367" s="2">
        <v>3.6978228660000001</v>
      </c>
      <c r="H1367" s="2">
        <v>2.8469600000000003E-4</v>
      </c>
      <c r="I1367" s="2" t="s">
        <v>38672</v>
      </c>
      <c r="J1367" s="2" t="s">
        <v>38673</v>
      </c>
      <c r="K1367" s="2">
        <v>3.8111960000000002E-3</v>
      </c>
      <c r="L1367" s="2" t="s">
        <v>848</v>
      </c>
      <c r="M1367" s="4" t="s">
        <v>11266</v>
      </c>
    </row>
    <row r="1368" spans="1:13">
      <c r="A1368" s="2">
        <v>2926</v>
      </c>
      <c r="B1368" s="2" t="s">
        <v>28774</v>
      </c>
      <c r="C1368" s="2">
        <v>8</v>
      </c>
      <c r="D1368" s="2">
        <v>341</v>
      </c>
      <c r="E1368" s="2">
        <v>152</v>
      </c>
      <c r="F1368" s="2">
        <v>32441</v>
      </c>
      <c r="G1368" s="2">
        <v>5.0070998610000004</v>
      </c>
      <c r="H1368" s="2">
        <v>2.8646999999999999E-4</v>
      </c>
      <c r="I1368" s="2" t="s">
        <v>38674</v>
      </c>
      <c r="J1368" s="2" t="s">
        <v>38675</v>
      </c>
      <c r="K1368" s="2">
        <v>3.81767E-3</v>
      </c>
      <c r="L1368" s="2" t="s">
        <v>848</v>
      </c>
      <c r="M1368" s="4" t="s">
        <v>28777</v>
      </c>
    </row>
    <row r="1369" spans="1:13">
      <c r="A1369" s="2">
        <v>5118</v>
      </c>
      <c r="B1369" s="2" t="s">
        <v>28654</v>
      </c>
      <c r="C1369" s="2">
        <v>8</v>
      </c>
      <c r="D1369" s="2">
        <v>341</v>
      </c>
      <c r="E1369" s="2">
        <v>152</v>
      </c>
      <c r="F1369" s="2">
        <v>32441</v>
      </c>
      <c r="G1369" s="2">
        <v>5.0070998610000004</v>
      </c>
      <c r="H1369" s="2">
        <v>2.8646999999999999E-4</v>
      </c>
      <c r="I1369" s="2" t="s">
        <v>38676</v>
      </c>
      <c r="J1369" s="2" t="s">
        <v>38677</v>
      </c>
      <c r="K1369" s="2">
        <v>3.81767E-3</v>
      </c>
      <c r="L1369" s="2" t="s">
        <v>848</v>
      </c>
      <c r="M1369" s="4" t="s">
        <v>28657</v>
      </c>
    </row>
    <row r="1370" spans="1:13">
      <c r="A1370" s="2">
        <v>4497</v>
      </c>
      <c r="B1370" s="2" t="s">
        <v>28767</v>
      </c>
      <c r="C1370" s="2">
        <v>10</v>
      </c>
      <c r="D1370" s="2">
        <v>341</v>
      </c>
      <c r="E1370" s="2">
        <v>237</v>
      </c>
      <c r="F1370" s="2">
        <v>32441</v>
      </c>
      <c r="G1370" s="2">
        <v>4.01413069</v>
      </c>
      <c r="H1370" s="2">
        <v>2.8718299999999999E-4</v>
      </c>
      <c r="I1370" s="2" t="s">
        <v>38678</v>
      </c>
      <c r="J1370" s="2" t="s">
        <v>38679</v>
      </c>
      <c r="K1370" s="2">
        <v>3.8185670000000001E-3</v>
      </c>
      <c r="L1370" s="2" t="s">
        <v>848</v>
      </c>
      <c r="M1370" s="4" t="s">
        <v>28770</v>
      </c>
    </row>
    <row r="1371" spans="1:13">
      <c r="A1371" s="2">
        <v>4559</v>
      </c>
      <c r="B1371" s="2" t="s">
        <v>30245</v>
      </c>
      <c r="C1371" s="2">
        <v>4</v>
      </c>
      <c r="D1371" s="2">
        <v>341</v>
      </c>
      <c r="E1371" s="2">
        <v>27</v>
      </c>
      <c r="F1371" s="2">
        <v>32441</v>
      </c>
      <c r="G1371" s="2">
        <v>14.09405887</v>
      </c>
      <c r="H1371" s="2">
        <v>2.8992200000000002E-4</v>
      </c>
      <c r="I1371" s="2" t="s">
        <v>38680</v>
      </c>
      <c r="J1371" s="2" t="s">
        <v>38681</v>
      </c>
      <c r="K1371" s="2">
        <v>3.846347E-3</v>
      </c>
      <c r="L1371" s="2" t="s">
        <v>848</v>
      </c>
      <c r="M1371" s="4" t="s">
        <v>30248</v>
      </c>
    </row>
    <row r="1372" spans="1:13">
      <c r="A1372" s="2">
        <v>4867</v>
      </c>
      <c r="B1372" s="2" t="s">
        <v>38682</v>
      </c>
      <c r="C1372" s="2">
        <v>3</v>
      </c>
      <c r="D1372" s="2">
        <v>341</v>
      </c>
      <c r="E1372" s="2">
        <v>10</v>
      </c>
      <c r="F1372" s="2">
        <v>32441</v>
      </c>
      <c r="G1372" s="2">
        <v>28.540469210000001</v>
      </c>
      <c r="H1372" s="2">
        <v>2.95319E-4</v>
      </c>
      <c r="I1372" s="2" t="s">
        <v>38683</v>
      </c>
      <c r="J1372" s="2" t="s">
        <v>38684</v>
      </c>
      <c r="K1372" s="2">
        <v>3.909175E-3</v>
      </c>
      <c r="L1372" s="2" t="s">
        <v>848</v>
      </c>
      <c r="M1372" s="4" t="s">
        <v>38685</v>
      </c>
    </row>
    <row r="1373" spans="1:13">
      <c r="A1373" s="2">
        <v>826</v>
      </c>
      <c r="B1373" s="2" t="s">
        <v>38686</v>
      </c>
      <c r="C1373" s="2">
        <v>8</v>
      </c>
      <c r="D1373" s="2">
        <v>341</v>
      </c>
      <c r="E1373" s="2">
        <v>154</v>
      </c>
      <c r="F1373" s="2">
        <v>32441</v>
      </c>
      <c r="G1373" s="2">
        <v>4.9420725900000004</v>
      </c>
      <c r="H1373" s="2">
        <v>3.1149500000000001E-4</v>
      </c>
      <c r="I1373" s="2" t="s">
        <v>38687</v>
      </c>
      <c r="J1373" s="2" t="s">
        <v>38688</v>
      </c>
      <c r="K1373" s="2">
        <v>4.1140940000000004E-3</v>
      </c>
      <c r="L1373" s="2" t="s">
        <v>848</v>
      </c>
      <c r="M1373" s="4" t="s">
        <v>38689</v>
      </c>
    </row>
    <row r="1374" spans="1:13">
      <c r="A1374" s="2">
        <v>4116</v>
      </c>
      <c r="B1374" s="2" t="s">
        <v>29805</v>
      </c>
      <c r="C1374" s="2">
        <v>7</v>
      </c>
      <c r="D1374" s="2">
        <v>341</v>
      </c>
      <c r="E1374" s="2">
        <v>116</v>
      </c>
      <c r="F1374" s="2">
        <v>32441</v>
      </c>
      <c r="G1374" s="2">
        <v>5.7408989789999998</v>
      </c>
      <c r="H1374" s="2">
        <v>3.13794E-4</v>
      </c>
      <c r="I1374" s="2" t="s">
        <v>38690</v>
      </c>
      <c r="J1374" s="2" t="s">
        <v>38691</v>
      </c>
      <c r="K1374" s="2">
        <v>4.1352359999999996E-3</v>
      </c>
      <c r="L1374" s="2" t="s">
        <v>848</v>
      </c>
      <c r="M1374" s="4" t="s">
        <v>29806</v>
      </c>
    </row>
    <row r="1375" spans="1:13">
      <c r="A1375" s="2">
        <v>2605</v>
      </c>
      <c r="B1375" s="2" t="s">
        <v>38692</v>
      </c>
      <c r="C1375" s="2">
        <v>5</v>
      </c>
      <c r="D1375" s="2">
        <v>341</v>
      </c>
      <c r="E1375" s="2">
        <v>52</v>
      </c>
      <c r="F1375" s="2">
        <v>32441</v>
      </c>
      <c r="G1375" s="2">
        <v>9.1475862849999992</v>
      </c>
      <c r="H1375" s="2">
        <v>3.1785599999999999E-4</v>
      </c>
      <c r="I1375" s="2" t="s">
        <v>38693</v>
      </c>
      <c r="J1375" s="2" t="s">
        <v>38694</v>
      </c>
      <c r="K1375" s="2">
        <v>4.1701890000000004E-3</v>
      </c>
      <c r="L1375" s="2" t="s">
        <v>848</v>
      </c>
      <c r="M1375" s="4" t="s">
        <v>38695</v>
      </c>
    </row>
    <row r="1376" spans="1:13">
      <c r="A1376" s="2">
        <v>4175</v>
      </c>
      <c r="B1376" s="2" t="s">
        <v>29489</v>
      </c>
      <c r="C1376" s="2">
        <v>5</v>
      </c>
      <c r="D1376" s="2">
        <v>341</v>
      </c>
      <c r="E1376" s="2">
        <v>52</v>
      </c>
      <c r="F1376" s="2">
        <v>32441</v>
      </c>
      <c r="G1376" s="2">
        <v>9.1475862849999992</v>
      </c>
      <c r="H1376" s="2">
        <v>3.1785599999999999E-4</v>
      </c>
      <c r="I1376" s="2" t="s">
        <v>38696</v>
      </c>
      <c r="J1376" s="2" t="s">
        <v>38697</v>
      </c>
      <c r="K1376" s="2">
        <v>4.1701890000000004E-3</v>
      </c>
      <c r="L1376" s="2" t="s">
        <v>848</v>
      </c>
      <c r="M1376" s="4" t="s">
        <v>29492</v>
      </c>
    </row>
    <row r="1377" spans="1:13">
      <c r="A1377" s="2">
        <v>5699</v>
      </c>
      <c r="B1377" s="2" t="s">
        <v>38698</v>
      </c>
      <c r="C1377" s="2">
        <v>4</v>
      </c>
      <c r="D1377" s="2">
        <v>341</v>
      </c>
      <c r="E1377" s="2">
        <v>28</v>
      </c>
      <c r="F1377" s="2">
        <v>32441</v>
      </c>
      <c r="G1377" s="2">
        <v>13.590699620000001</v>
      </c>
      <c r="H1377" s="2">
        <v>3.2863899999999998E-4</v>
      </c>
      <c r="I1377" s="2" t="s">
        <v>38699</v>
      </c>
      <c r="J1377" s="2" t="s">
        <v>38700</v>
      </c>
      <c r="K1377" s="2">
        <v>4.3021140000000001E-3</v>
      </c>
      <c r="L1377" s="2" t="s">
        <v>848</v>
      </c>
      <c r="M1377" s="4" t="s">
        <v>38701</v>
      </c>
    </row>
    <row r="1378" spans="1:13">
      <c r="A1378" s="2">
        <v>3859</v>
      </c>
      <c r="B1378" s="2" t="s">
        <v>29094</v>
      </c>
      <c r="C1378" s="2">
        <v>8</v>
      </c>
      <c r="D1378" s="2">
        <v>341</v>
      </c>
      <c r="E1378" s="2">
        <v>156</v>
      </c>
      <c r="F1378" s="2">
        <v>32441</v>
      </c>
      <c r="G1378" s="2">
        <v>4.878712685</v>
      </c>
      <c r="H1378" s="2">
        <v>3.3827500000000002E-4</v>
      </c>
      <c r="I1378" s="2" t="s">
        <v>38702</v>
      </c>
      <c r="J1378" s="2" t="s">
        <v>38703</v>
      </c>
      <c r="K1378" s="2">
        <v>4.4184819999999996E-3</v>
      </c>
      <c r="L1378" s="2" t="s">
        <v>848</v>
      </c>
      <c r="M1378" s="4" t="s">
        <v>29097</v>
      </c>
    </row>
    <row r="1379" spans="1:13">
      <c r="A1379" s="2">
        <v>5787</v>
      </c>
      <c r="B1379" s="2" t="s">
        <v>28556</v>
      </c>
      <c r="C1379" s="2">
        <v>24</v>
      </c>
      <c r="D1379" s="2">
        <v>341</v>
      </c>
      <c r="E1379" s="2">
        <v>1037</v>
      </c>
      <c r="F1379" s="2">
        <v>32441</v>
      </c>
      <c r="G1379" s="2">
        <v>2.2017719740000001</v>
      </c>
      <c r="H1379" s="2">
        <v>3.48389E-4</v>
      </c>
      <c r="I1379" s="2" t="s">
        <v>38704</v>
      </c>
      <c r="J1379" s="2" t="s">
        <v>38705</v>
      </c>
      <c r="K1379" s="2">
        <v>4.5405710000000002E-3</v>
      </c>
      <c r="L1379" s="2" t="s">
        <v>848</v>
      </c>
      <c r="M1379" s="4" t="s">
        <v>28559</v>
      </c>
    </row>
    <row r="1380" spans="1:13">
      <c r="A1380" s="2">
        <v>112</v>
      </c>
      <c r="B1380" s="2" t="s">
        <v>38706</v>
      </c>
      <c r="C1380" s="2">
        <v>4</v>
      </c>
      <c r="D1380" s="2">
        <v>341</v>
      </c>
      <c r="E1380" s="2">
        <v>29</v>
      </c>
      <c r="F1380" s="2">
        <v>32441</v>
      </c>
      <c r="G1380" s="2">
        <v>13.12205481</v>
      </c>
      <c r="H1380" s="2">
        <v>3.7092100000000002E-4</v>
      </c>
      <c r="I1380" s="2" t="s">
        <v>38510</v>
      </c>
      <c r="J1380" s="2" t="s">
        <v>38511</v>
      </c>
      <c r="K1380" s="2">
        <v>4.7975040000000002E-3</v>
      </c>
      <c r="L1380" s="2" t="s">
        <v>848</v>
      </c>
      <c r="M1380" s="4" t="s">
        <v>38707</v>
      </c>
    </row>
    <row r="1381" spans="1:13">
      <c r="A1381" s="2">
        <v>588</v>
      </c>
      <c r="B1381" s="2" t="s">
        <v>38708</v>
      </c>
      <c r="C1381" s="2">
        <v>3</v>
      </c>
      <c r="D1381" s="2">
        <v>341</v>
      </c>
      <c r="E1381" s="2">
        <v>11</v>
      </c>
      <c r="F1381" s="2">
        <v>32441</v>
      </c>
      <c r="G1381" s="2">
        <v>25.945881100000001</v>
      </c>
      <c r="H1381" s="2">
        <v>3.72968E-4</v>
      </c>
      <c r="I1381" s="2" t="s">
        <v>38709</v>
      </c>
      <c r="J1381" s="2" t="s">
        <v>38710</v>
      </c>
      <c r="K1381" s="2">
        <v>4.7975040000000002E-3</v>
      </c>
      <c r="L1381" s="2" t="s">
        <v>848</v>
      </c>
      <c r="M1381" s="4" t="s">
        <v>38711</v>
      </c>
    </row>
    <row r="1382" spans="1:13">
      <c r="A1382" s="2">
        <v>12001</v>
      </c>
      <c r="B1382" s="2" t="s">
        <v>38712</v>
      </c>
      <c r="C1382" s="2">
        <v>3</v>
      </c>
      <c r="D1382" s="2">
        <v>341</v>
      </c>
      <c r="E1382" s="2">
        <v>11</v>
      </c>
      <c r="F1382" s="2">
        <v>32441</v>
      </c>
      <c r="G1382" s="2">
        <v>25.945881100000001</v>
      </c>
      <c r="H1382" s="2">
        <v>3.72968E-4</v>
      </c>
      <c r="I1382" s="2" t="s">
        <v>38713</v>
      </c>
      <c r="J1382" s="2" t="s">
        <v>38714</v>
      </c>
      <c r="K1382" s="2">
        <v>4.7975040000000002E-3</v>
      </c>
      <c r="L1382" s="2" t="s">
        <v>848</v>
      </c>
      <c r="M1382" s="4" t="s">
        <v>38715</v>
      </c>
    </row>
    <row r="1383" spans="1:13">
      <c r="A1383" s="2">
        <v>1545</v>
      </c>
      <c r="B1383" s="2" t="s">
        <v>38716</v>
      </c>
      <c r="C1383" s="2">
        <v>3</v>
      </c>
      <c r="D1383" s="2">
        <v>341</v>
      </c>
      <c r="E1383" s="2">
        <v>11</v>
      </c>
      <c r="F1383" s="2">
        <v>32441</v>
      </c>
      <c r="G1383" s="2">
        <v>25.945881100000001</v>
      </c>
      <c r="H1383" s="2">
        <v>3.72968E-4</v>
      </c>
      <c r="I1383" s="2" t="s">
        <v>38717</v>
      </c>
      <c r="J1383" s="2" t="s">
        <v>38718</v>
      </c>
      <c r="K1383" s="2">
        <v>4.7975040000000002E-3</v>
      </c>
      <c r="L1383" s="2" t="s">
        <v>848</v>
      </c>
      <c r="M1383" s="4" t="s">
        <v>38719</v>
      </c>
    </row>
    <row r="1384" spans="1:13">
      <c r="A1384" s="2">
        <v>39321</v>
      </c>
      <c r="B1384" s="2" t="s">
        <v>38720</v>
      </c>
      <c r="C1384" s="2">
        <v>4</v>
      </c>
      <c r="D1384" s="2">
        <v>341</v>
      </c>
      <c r="E1384" s="2">
        <v>29</v>
      </c>
      <c r="F1384" s="2">
        <v>32441</v>
      </c>
      <c r="G1384" s="2">
        <v>13.12205481</v>
      </c>
      <c r="H1384" s="2">
        <v>3.7092100000000002E-4</v>
      </c>
      <c r="I1384" s="2" t="s">
        <v>38721</v>
      </c>
      <c r="J1384" s="2" t="s">
        <v>38722</v>
      </c>
      <c r="K1384" s="2">
        <v>4.7975040000000002E-3</v>
      </c>
      <c r="L1384" s="2" t="s">
        <v>848</v>
      </c>
      <c r="M1384" s="4" t="s">
        <v>38723</v>
      </c>
    </row>
    <row r="1385" spans="1:13">
      <c r="A1385" s="2">
        <v>4945</v>
      </c>
      <c r="B1385" s="2" t="s">
        <v>38724</v>
      </c>
      <c r="C1385" s="2">
        <v>3</v>
      </c>
      <c r="D1385" s="2">
        <v>341</v>
      </c>
      <c r="E1385" s="2">
        <v>11</v>
      </c>
      <c r="F1385" s="2">
        <v>32441</v>
      </c>
      <c r="G1385" s="2">
        <v>25.945881100000001</v>
      </c>
      <c r="H1385" s="2">
        <v>3.72968E-4</v>
      </c>
      <c r="I1385" s="2" t="s">
        <v>38725</v>
      </c>
      <c r="J1385" s="2" t="s">
        <v>38726</v>
      </c>
      <c r="K1385" s="2">
        <v>4.7975040000000002E-3</v>
      </c>
      <c r="L1385" s="2" t="s">
        <v>848</v>
      </c>
      <c r="M1385" s="4" t="s">
        <v>38727</v>
      </c>
    </row>
    <row r="1386" spans="1:13">
      <c r="A1386" s="2">
        <v>4303</v>
      </c>
      <c r="B1386" s="2" t="s">
        <v>29580</v>
      </c>
      <c r="C1386" s="2">
        <v>9</v>
      </c>
      <c r="D1386" s="2">
        <v>341</v>
      </c>
      <c r="E1386" s="2">
        <v>203</v>
      </c>
      <c r="F1386" s="2">
        <v>32441</v>
      </c>
      <c r="G1386" s="2">
        <v>4.2178033309999998</v>
      </c>
      <c r="H1386" s="2">
        <v>4.06926E-4</v>
      </c>
      <c r="I1386" s="2" t="s">
        <v>38348</v>
      </c>
      <c r="J1386" s="2" t="s">
        <v>38349</v>
      </c>
      <c r="K1386" s="2">
        <v>5.2229540000000001E-3</v>
      </c>
      <c r="L1386" s="2" t="s">
        <v>848</v>
      </c>
      <c r="M1386" s="4" t="s">
        <v>29583</v>
      </c>
    </row>
    <row r="1387" spans="1:13">
      <c r="A1387" s="2">
        <v>5651</v>
      </c>
      <c r="B1387" s="2" t="s">
        <v>38728</v>
      </c>
      <c r="C1387" s="2">
        <v>5</v>
      </c>
      <c r="D1387" s="2">
        <v>341</v>
      </c>
      <c r="E1387" s="2">
        <v>56</v>
      </c>
      <c r="F1387" s="2">
        <v>32441</v>
      </c>
      <c r="G1387" s="2">
        <v>8.4941872640000007</v>
      </c>
      <c r="H1387" s="2">
        <v>4.3657E-4</v>
      </c>
      <c r="I1387" s="2" t="s">
        <v>38729</v>
      </c>
      <c r="J1387" s="2" t="s">
        <v>38730</v>
      </c>
      <c r="K1387" s="2">
        <v>5.5913079999999997E-3</v>
      </c>
      <c r="L1387" s="2" t="s">
        <v>848</v>
      </c>
      <c r="M1387" s="4" t="s">
        <v>38731</v>
      </c>
    </row>
    <row r="1388" spans="1:13">
      <c r="A1388" s="2">
        <v>32031</v>
      </c>
      <c r="B1388" s="2" t="s">
        <v>962</v>
      </c>
      <c r="C1388" s="2">
        <v>35</v>
      </c>
      <c r="D1388" s="2">
        <v>341</v>
      </c>
      <c r="E1388" s="2">
        <v>1805</v>
      </c>
      <c r="F1388" s="2">
        <v>32441</v>
      </c>
      <c r="G1388" s="2">
        <v>1.8447210009999999</v>
      </c>
      <c r="H1388" s="2">
        <v>4.5142899999999999E-4</v>
      </c>
      <c r="I1388" s="2" t="s">
        <v>38732</v>
      </c>
      <c r="J1388" s="2" t="s">
        <v>38733</v>
      </c>
      <c r="K1388" s="2">
        <v>5.7691239999999996E-3</v>
      </c>
      <c r="L1388" s="2" t="s">
        <v>848</v>
      </c>
      <c r="M1388" s="4" t="s">
        <v>10153</v>
      </c>
    </row>
    <row r="1389" spans="1:13">
      <c r="A1389" s="2">
        <v>2448</v>
      </c>
      <c r="B1389" s="2" t="s">
        <v>38734</v>
      </c>
      <c r="C1389" s="2">
        <v>10</v>
      </c>
      <c r="D1389" s="2">
        <v>341</v>
      </c>
      <c r="E1389" s="2">
        <v>252</v>
      </c>
      <c r="F1389" s="2">
        <v>32441</v>
      </c>
      <c r="G1389" s="2">
        <v>3.7751943400000001</v>
      </c>
      <c r="H1389" s="2">
        <v>4.5678100000000002E-4</v>
      </c>
      <c r="I1389" s="2" t="s">
        <v>38735</v>
      </c>
      <c r="J1389" s="2" t="s">
        <v>38736</v>
      </c>
      <c r="K1389" s="2">
        <v>5.824943E-3</v>
      </c>
      <c r="L1389" s="2" t="s">
        <v>848</v>
      </c>
      <c r="M1389" s="4" t="s">
        <v>38737</v>
      </c>
    </row>
    <row r="1390" spans="1:13">
      <c r="A1390" s="2">
        <v>2450</v>
      </c>
      <c r="B1390" s="2" t="s">
        <v>38738</v>
      </c>
      <c r="C1390" s="2">
        <v>3</v>
      </c>
      <c r="D1390" s="2">
        <v>341</v>
      </c>
      <c r="E1390" s="2">
        <v>12</v>
      </c>
      <c r="F1390" s="2">
        <v>32441</v>
      </c>
      <c r="G1390" s="2">
        <v>23.783724339999999</v>
      </c>
      <c r="H1390" s="2">
        <v>4.6262400000000002E-4</v>
      </c>
      <c r="I1390" s="2" t="s">
        <v>38739</v>
      </c>
      <c r="J1390" s="2" t="s">
        <v>38740</v>
      </c>
      <c r="K1390" s="2">
        <v>5.8365639999999998E-3</v>
      </c>
      <c r="L1390" s="2" t="s">
        <v>848</v>
      </c>
      <c r="M1390" s="4" t="s">
        <v>38741</v>
      </c>
    </row>
    <row r="1391" spans="1:13">
      <c r="A1391" s="2">
        <v>4027</v>
      </c>
      <c r="B1391" s="2" t="s">
        <v>28965</v>
      </c>
      <c r="C1391" s="2">
        <v>3</v>
      </c>
      <c r="D1391" s="2">
        <v>341</v>
      </c>
      <c r="E1391" s="2">
        <v>12</v>
      </c>
      <c r="F1391" s="2">
        <v>32441</v>
      </c>
      <c r="G1391" s="2">
        <v>23.783724339999999</v>
      </c>
      <c r="H1391" s="2">
        <v>4.6262400000000002E-4</v>
      </c>
      <c r="I1391" s="2" t="s">
        <v>38742</v>
      </c>
      <c r="J1391" s="2" t="s">
        <v>38743</v>
      </c>
      <c r="K1391" s="2">
        <v>5.8365639999999998E-3</v>
      </c>
      <c r="L1391" s="2" t="s">
        <v>848</v>
      </c>
      <c r="M1391" s="4" t="s">
        <v>28968</v>
      </c>
    </row>
    <row r="1392" spans="1:13">
      <c r="A1392" s="2">
        <v>5020</v>
      </c>
      <c r="B1392" s="2" t="s">
        <v>38744</v>
      </c>
      <c r="C1392" s="2">
        <v>3</v>
      </c>
      <c r="D1392" s="2">
        <v>341</v>
      </c>
      <c r="E1392" s="2">
        <v>12</v>
      </c>
      <c r="F1392" s="2">
        <v>32441</v>
      </c>
      <c r="G1392" s="2">
        <v>23.783724339999999</v>
      </c>
      <c r="H1392" s="2">
        <v>4.6262400000000002E-4</v>
      </c>
      <c r="I1392" s="2" t="s">
        <v>38745</v>
      </c>
      <c r="J1392" s="2" t="s">
        <v>38746</v>
      </c>
      <c r="K1392" s="2">
        <v>5.8365639999999998E-3</v>
      </c>
      <c r="L1392" s="2" t="s">
        <v>848</v>
      </c>
      <c r="M1392" s="4" t="s">
        <v>38747</v>
      </c>
    </row>
    <row r="1393" spans="1:13">
      <c r="A1393" s="2">
        <v>5175</v>
      </c>
      <c r="B1393" s="2" t="s">
        <v>38748</v>
      </c>
      <c r="C1393" s="2">
        <v>3</v>
      </c>
      <c r="D1393" s="2">
        <v>341</v>
      </c>
      <c r="E1393" s="2">
        <v>12</v>
      </c>
      <c r="F1393" s="2">
        <v>32441</v>
      </c>
      <c r="G1393" s="2">
        <v>23.783724339999999</v>
      </c>
      <c r="H1393" s="2">
        <v>4.6262400000000002E-4</v>
      </c>
      <c r="I1393" s="2" t="s">
        <v>38749</v>
      </c>
      <c r="J1393" s="2" t="s">
        <v>38750</v>
      </c>
      <c r="K1393" s="2">
        <v>5.8365639999999998E-3</v>
      </c>
      <c r="L1393" s="2" t="s">
        <v>848</v>
      </c>
      <c r="M1393" s="4" t="s">
        <v>38751</v>
      </c>
    </row>
    <row r="1394" spans="1:13">
      <c r="A1394" s="2">
        <v>5551</v>
      </c>
      <c r="B1394" s="2" t="s">
        <v>38752</v>
      </c>
      <c r="C1394" s="2">
        <v>3</v>
      </c>
      <c r="D1394" s="2">
        <v>341</v>
      </c>
      <c r="E1394" s="2">
        <v>12</v>
      </c>
      <c r="F1394" s="2">
        <v>32441</v>
      </c>
      <c r="G1394" s="2">
        <v>23.783724339999999</v>
      </c>
      <c r="H1394" s="2">
        <v>4.6262400000000002E-4</v>
      </c>
      <c r="I1394" s="2" t="s">
        <v>38753</v>
      </c>
      <c r="J1394" s="2" t="s">
        <v>38754</v>
      </c>
      <c r="K1394" s="2">
        <v>5.8365639999999998E-3</v>
      </c>
      <c r="L1394" s="2" t="s">
        <v>848</v>
      </c>
      <c r="M1394" s="4" t="s">
        <v>38755</v>
      </c>
    </row>
    <row r="1395" spans="1:13">
      <c r="A1395" s="2">
        <v>2951</v>
      </c>
      <c r="B1395" s="2" t="s">
        <v>38756</v>
      </c>
      <c r="C1395" s="2">
        <v>4</v>
      </c>
      <c r="D1395" s="2">
        <v>341</v>
      </c>
      <c r="E1395" s="2">
        <v>31</v>
      </c>
      <c r="F1395" s="2">
        <v>32441</v>
      </c>
      <c r="G1395" s="2">
        <v>12.275470629999999</v>
      </c>
      <c r="H1395" s="2">
        <v>4.6691899999999999E-4</v>
      </c>
      <c r="I1395" s="2" t="s">
        <v>38582</v>
      </c>
      <c r="J1395" s="2" t="s">
        <v>38583</v>
      </c>
      <c r="K1395" s="2">
        <v>5.8626490000000002E-3</v>
      </c>
      <c r="L1395" s="2" t="s">
        <v>848</v>
      </c>
      <c r="M1395" s="4" t="s">
        <v>38757</v>
      </c>
    </row>
    <row r="1396" spans="1:13">
      <c r="A1396" s="2">
        <v>2249</v>
      </c>
      <c r="B1396" s="2" t="s">
        <v>38758</v>
      </c>
      <c r="C1396" s="2">
        <v>12</v>
      </c>
      <c r="D1396" s="2">
        <v>341</v>
      </c>
      <c r="E1396" s="2">
        <v>351</v>
      </c>
      <c r="F1396" s="2">
        <v>32441</v>
      </c>
      <c r="G1396" s="2">
        <v>3.252475123</v>
      </c>
      <c r="H1396" s="2">
        <v>4.6766400000000001E-4</v>
      </c>
      <c r="I1396" s="2" t="s">
        <v>38759</v>
      </c>
      <c r="J1396" s="2" t="s">
        <v>38760</v>
      </c>
      <c r="K1396" s="2">
        <v>5.8626490000000002E-3</v>
      </c>
      <c r="L1396" s="2" t="s">
        <v>848</v>
      </c>
      <c r="M1396" s="4" t="s">
        <v>38761</v>
      </c>
    </row>
    <row r="1397" spans="1:13">
      <c r="A1397" s="2">
        <v>5249</v>
      </c>
      <c r="B1397" s="2" t="s">
        <v>29158</v>
      </c>
      <c r="C1397" s="2">
        <v>4</v>
      </c>
      <c r="D1397" s="2">
        <v>341</v>
      </c>
      <c r="E1397" s="2">
        <v>31</v>
      </c>
      <c r="F1397" s="2">
        <v>32441</v>
      </c>
      <c r="G1397" s="2">
        <v>12.275470629999999</v>
      </c>
      <c r="H1397" s="2">
        <v>4.6691899999999999E-4</v>
      </c>
      <c r="I1397" s="2" t="s">
        <v>38762</v>
      </c>
      <c r="J1397" s="2" t="s">
        <v>38763</v>
      </c>
      <c r="K1397" s="2">
        <v>5.8626490000000002E-3</v>
      </c>
      <c r="L1397" s="2" t="s">
        <v>848</v>
      </c>
      <c r="M1397" s="4" t="s">
        <v>29161</v>
      </c>
    </row>
    <row r="1398" spans="1:13">
      <c r="A1398" s="2">
        <v>3733</v>
      </c>
      <c r="B1398" s="2" t="s">
        <v>38764</v>
      </c>
      <c r="C1398" s="2">
        <v>9</v>
      </c>
      <c r="D1398" s="2">
        <v>341</v>
      </c>
      <c r="E1398" s="2">
        <v>209</v>
      </c>
      <c r="F1398" s="2">
        <v>32441</v>
      </c>
      <c r="G1398" s="2">
        <v>4.0967180680000004</v>
      </c>
      <c r="H1398" s="2">
        <v>4.9798900000000001E-4</v>
      </c>
      <c r="I1398" s="2" t="s">
        <v>38765</v>
      </c>
      <c r="J1398" s="2" t="s">
        <v>38766</v>
      </c>
      <c r="K1398" s="2">
        <v>6.229605E-3</v>
      </c>
      <c r="L1398" s="2" t="s">
        <v>848</v>
      </c>
      <c r="M1398" s="4" t="s">
        <v>38767</v>
      </c>
    </row>
    <row r="1399" spans="1:13">
      <c r="A1399" s="2">
        <v>1024</v>
      </c>
      <c r="B1399" s="2" t="s">
        <v>38768</v>
      </c>
      <c r="C1399" s="2">
        <v>4</v>
      </c>
      <c r="D1399" s="2">
        <v>341</v>
      </c>
      <c r="E1399" s="2">
        <v>32</v>
      </c>
      <c r="F1399" s="2">
        <v>32441</v>
      </c>
      <c r="G1399" s="2">
        <v>11.89186217</v>
      </c>
      <c r="H1399" s="2">
        <v>5.2100699999999998E-4</v>
      </c>
      <c r="I1399" s="2" t="s">
        <v>38769</v>
      </c>
      <c r="J1399" s="2" t="s">
        <v>38770</v>
      </c>
      <c r="K1399" s="2">
        <v>6.476473E-3</v>
      </c>
      <c r="L1399" s="2" t="s">
        <v>848</v>
      </c>
      <c r="M1399" s="4" t="s">
        <v>38771</v>
      </c>
    </row>
    <row r="1400" spans="1:13">
      <c r="A1400" s="2">
        <v>2247</v>
      </c>
      <c r="B1400" s="2" t="s">
        <v>38772</v>
      </c>
      <c r="C1400" s="2">
        <v>4</v>
      </c>
      <c r="D1400" s="2">
        <v>341</v>
      </c>
      <c r="E1400" s="2">
        <v>32</v>
      </c>
      <c r="F1400" s="2">
        <v>32441</v>
      </c>
      <c r="G1400" s="2">
        <v>11.89186217</v>
      </c>
      <c r="H1400" s="2">
        <v>5.2100699999999998E-4</v>
      </c>
      <c r="I1400" s="2" t="s">
        <v>38773</v>
      </c>
      <c r="J1400" s="2" t="s">
        <v>38774</v>
      </c>
      <c r="K1400" s="2">
        <v>6.476473E-3</v>
      </c>
      <c r="L1400" s="2" t="s">
        <v>848</v>
      </c>
      <c r="M1400" s="4" t="s">
        <v>38775</v>
      </c>
    </row>
    <row r="1401" spans="1:13">
      <c r="A1401" s="2">
        <v>3004</v>
      </c>
      <c r="B1401" s="2" t="s">
        <v>38776</v>
      </c>
      <c r="C1401" s="2">
        <v>4</v>
      </c>
      <c r="D1401" s="2">
        <v>341</v>
      </c>
      <c r="E1401" s="2">
        <v>32</v>
      </c>
      <c r="F1401" s="2">
        <v>32441</v>
      </c>
      <c r="G1401" s="2">
        <v>11.89186217</v>
      </c>
      <c r="H1401" s="2">
        <v>5.2100699999999998E-4</v>
      </c>
      <c r="I1401" s="2" t="s">
        <v>38777</v>
      </c>
      <c r="J1401" s="2" t="s">
        <v>38778</v>
      </c>
      <c r="K1401" s="2">
        <v>6.476473E-3</v>
      </c>
      <c r="L1401" s="2" t="s">
        <v>848</v>
      </c>
      <c r="M1401" s="4" t="s">
        <v>38779</v>
      </c>
    </row>
    <row r="1402" spans="1:13">
      <c r="A1402" s="2">
        <v>128</v>
      </c>
      <c r="B1402" s="2" t="s">
        <v>30353</v>
      </c>
      <c r="C1402" s="2">
        <v>7</v>
      </c>
      <c r="D1402" s="2">
        <v>341</v>
      </c>
      <c r="E1402" s="2">
        <v>128</v>
      </c>
      <c r="F1402" s="2">
        <v>32441</v>
      </c>
      <c r="G1402" s="2">
        <v>5.2026896989999996</v>
      </c>
      <c r="H1402" s="2">
        <v>5.5021900000000001E-4</v>
      </c>
      <c r="I1402" s="2" t="s">
        <v>38780</v>
      </c>
      <c r="J1402" s="2" t="s">
        <v>38781</v>
      </c>
      <c r="K1402" s="2">
        <v>6.8252549999999997E-3</v>
      </c>
      <c r="L1402" s="2" t="s">
        <v>848</v>
      </c>
      <c r="M1402" s="4" t="s">
        <v>30356</v>
      </c>
    </row>
    <row r="1403" spans="1:13">
      <c r="A1403" s="2">
        <v>1811</v>
      </c>
      <c r="B1403" s="2" t="s">
        <v>38782</v>
      </c>
      <c r="C1403" s="2">
        <v>3</v>
      </c>
      <c r="D1403" s="2">
        <v>341</v>
      </c>
      <c r="E1403" s="2">
        <v>13</v>
      </c>
      <c r="F1403" s="2">
        <v>32441</v>
      </c>
      <c r="G1403" s="2">
        <v>21.95420708</v>
      </c>
      <c r="H1403" s="2">
        <v>5.6500699999999997E-4</v>
      </c>
      <c r="I1403" s="2" t="s">
        <v>38783</v>
      </c>
      <c r="J1403" s="2" t="s">
        <v>38784</v>
      </c>
      <c r="K1403" s="2">
        <v>6.9648870000000003E-3</v>
      </c>
      <c r="L1403" s="2" t="s">
        <v>848</v>
      </c>
      <c r="M1403" s="4" t="s">
        <v>38785</v>
      </c>
    </row>
    <row r="1404" spans="1:13">
      <c r="A1404" s="2">
        <v>4499</v>
      </c>
      <c r="B1404" s="2" t="s">
        <v>38786</v>
      </c>
      <c r="C1404" s="2">
        <v>3</v>
      </c>
      <c r="D1404" s="2">
        <v>341</v>
      </c>
      <c r="E1404" s="2">
        <v>13</v>
      </c>
      <c r="F1404" s="2">
        <v>32441</v>
      </c>
      <c r="G1404" s="2">
        <v>21.95420708</v>
      </c>
      <c r="H1404" s="2">
        <v>5.6500699999999997E-4</v>
      </c>
      <c r="I1404" s="2" t="s">
        <v>38787</v>
      </c>
      <c r="J1404" s="2" t="s">
        <v>38788</v>
      </c>
      <c r="K1404" s="2">
        <v>6.9648870000000003E-3</v>
      </c>
      <c r="L1404" s="2" t="s">
        <v>848</v>
      </c>
      <c r="M1404" s="4" t="s">
        <v>38789</v>
      </c>
    </row>
    <row r="1405" spans="1:13">
      <c r="A1405" s="2">
        <v>4558</v>
      </c>
      <c r="B1405" s="2" t="s">
        <v>38790</v>
      </c>
      <c r="C1405" s="2">
        <v>3</v>
      </c>
      <c r="D1405" s="2">
        <v>341</v>
      </c>
      <c r="E1405" s="2">
        <v>13</v>
      </c>
      <c r="F1405" s="2">
        <v>32441</v>
      </c>
      <c r="G1405" s="2">
        <v>21.95420708</v>
      </c>
      <c r="H1405" s="2">
        <v>5.6500699999999997E-4</v>
      </c>
      <c r="I1405" s="2" t="s">
        <v>38791</v>
      </c>
      <c r="J1405" s="2" t="s">
        <v>38792</v>
      </c>
      <c r="K1405" s="2">
        <v>6.9648870000000003E-3</v>
      </c>
      <c r="L1405" s="2" t="s">
        <v>848</v>
      </c>
      <c r="M1405" s="4" t="s">
        <v>38793</v>
      </c>
    </row>
    <row r="1406" spans="1:13">
      <c r="A1406" s="2">
        <v>1410</v>
      </c>
      <c r="B1406" s="2" t="s">
        <v>10966</v>
      </c>
      <c r="C1406" s="2">
        <v>7</v>
      </c>
      <c r="D1406" s="2">
        <v>341</v>
      </c>
      <c r="E1406" s="2">
        <v>129</v>
      </c>
      <c r="F1406" s="2">
        <v>32441</v>
      </c>
      <c r="G1406" s="2">
        <v>5.1623587720000002</v>
      </c>
      <c r="H1406" s="2">
        <v>5.7499099999999996E-4</v>
      </c>
      <c r="I1406" s="2" t="s">
        <v>38794</v>
      </c>
      <c r="J1406" s="2" t="s">
        <v>38795</v>
      </c>
      <c r="K1406" s="2">
        <v>7.0585520000000001E-3</v>
      </c>
      <c r="L1406" s="2" t="s">
        <v>848</v>
      </c>
      <c r="M1406" s="4" t="s">
        <v>10967</v>
      </c>
    </row>
    <row r="1407" spans="1:13">
      <c r="A1407" s="2">
        <v>2873</v>
      </c>
      <c r="B1407" s="2" t="s">
        <v>29070</v>
      </c>
      <c r="C1407" s="2">
        <v>7</v>
      </c>
      <c r="D1407" s="2">
        <v>341</v>
      </c>
      <c r="E1407" s="2">
        <v>129</v>
      </c>
      <c r="F1407" s="2">
        <v>32441</v>
      </c>
      <c r="G1407" s="2">
        <v>5.1623587720000002</v>
      </c>
      <c r="H1407" s="2">
        <v>5.7499099999999996E-4</v>
      </c>
      <c r="I1407" s="2" t="s">
        <v>38796</v>
      </c>
      <c r="J1407" s="2" t="s">
        <v>38797</v>
      </c>
      <c r="K1407" s="2">
        <v>7.0585520000000001E-3</v>
      </c>
      <c r="L1407" s="2" t="s">
        <v>848</v>
      </c>
      <c r="M1407" s="4" t="s">
        <v>29073</v>
      </c>
    </row>
    <row r="1408" spans="1:13">
      <c r="A1408" s="2">
        <v>4232</v>
      </c>
      <c r="B1408" s="2" t="s">
        <v>28843</v>
      </c>
      <c r="C1408" s="2">
        <v>26</v>
      </c>
      <c r="D1408" s="2">
        <v>341</v>
      </c>
      <c r="E1408" s="2">
        <v>1208</v>
      </c>
      <c r="F1408" s="2">
        <v>32441</v>
      </c>
      <c r="G1408" s="2">
        <v>2.0476054069999998</v>
      </c>
      <c r="H1408" s="2">
        <v>5.7945900000000005E-4</v>
      </c>
      <c r="I1408" s="2" t="s">
        <v>38798</v>
      </c>
      <c r="J1408" s="2" t="s">
        <v>38799</v>
      </c>
      <c r="K1408" s="2">
        <v>7.0986770000000003E-3</v>
      </c>
      <c r="L1408" s="2" t="s">
        <v>848</v>
      </c>
      <c r="M1408" s="4" t="s">
        <v>28846</v>
      </c>
    </row>
    <row r="1409" spans="1:13">
      <c r="A1409" s="2">
        <v>2626</v>
      </c>
      <c r="B1409" s="2" t="s">
        <v>8659</v>
      </c>
      <c r="C1409" s="2">
        <v>22</v>
      </c>
      <c r="D1409" s="2">
        <v>341</v>
      </c>
      <c r="E1409" s="2">
        <v>950</v>
      </c>
      <c r="F1409" s="2">
        <v>32441</v>
      </c>
      <c r="G1409" s="2">
        <v>2.2031239390000001</v>
      </c>
      <c r="H1409" s="2">
        <v>6.0592700000000003E-4</v>
      </c>
      <c r="I1409" s="2" t="s">
        <v>38800</v>
      </c>
      <c r="J1409" s="2" t="s">
        <v>38801</v>
      </c>
      <c r="K1409" s="2">
        <v>7.4075770000000003E-3</v>
      </c>
      <c r="L1409" s="2" t="s">
        <v>848</v>
      </c>
      <c r="M1409" s="4" t="s">
        <v>8662</v>
      </c>
    </row>
    <row r="1410" spans="1:13">
      <c r="A1410" s="2">
        <v>1797</v>
      </c>
      <c r="B1410" s="2" t="s">
        <v>38802</v>
      </c>
      <c r="C1410" s="2">
        <v>5</v>
      </c>
      <c r="D1410" s="2">
        <v>341</v>
      </c>
      <c r="E1410" s="2">
        <v>61</v>
      </c>
      <c r="F1410" s="2">
        <v>32441</v>
      </c>
      <c r="G1410" s="2">
        <v>7.7979424069999999</v>
      </c>
      <c r="H1410" s="2">
        <v>6.2865299999999996E-4</v>
      </c>
      <c r="I1410" s="2" t="s">
        <v>38803</v>
      </c>
      <c r="J1410" s="2" t="s">
        <v>38804</v>
      </c>
      <c r="K1410" s="2">
        <v>7.6380700000000003E-3</v>
      </c>
      <c r="L1410" s="2" t="s">
        <v>848</v>
      </c>
      <c r="M1410" s="4" t="s">
        <v>38805</v>
      </c>
    </row>
    <row r="1411" spans="1:13">
      <c r="A1411" s="2">
        <v>4270</v>
      </c>
      <c r="B1411" s="2" t="s">
        <v>11013</v>
      </c>
      <c r="C1411" s="2">
        <v>10</v>
      </c>
      <c r="D1411" s="2">
        <v>341</v>
      </c>
      <c r="E1411" s="2">
        <v>263</v>
      </c>
      <c r="F1411" s="2">
        <v>32441</v>
      </c>
      <c r="G1411" s="2">
        <v>3.6172964780000001</v>
      </c>
      <c r="H1411" s="2">
        <v>6.2817199999999998E-4</v>
      </c>
      <c r="I1411" s="2" t="s">
        <v>38328</v>
      </c>
      <c r="J1411" s="2" t="s">
        <v>38329</v>
      </c>
      <c r="K1411" s="2">
        <v>7.6380700000000003E-3</v>
      </c>
      <c r="L1411" s="2" t="s">
        <v>848</v>
      </c>
      <c r="M1411" s="4" t="s">
        <v>11016</v>
      </c>
    </row>
    <row r="1412" spans="1:13">
      <c r="A1412" s="2">
        <v>5913</v>
      </c>
      <c r="B1412" s="2" t="s">
        <v>38806</v>
      </c>
      <c r="C1412" s="2">
        <v>7</v>
      </c>
      <c r="D1412" s="2">
        <v>341</v>
      </c>
      <c r="E1412" s="2">
        <v>131</v>
      </c>
      <c r="F1412" s="2">
        <v>32441</v>
      </c>
      <c r="G1412" s="2">
        <v>5.0835441340000003</v>
      </c>
      <c r="H1412" s="2">
        <v>6.2719100000000003E-4</v>
      </c>
      <c r="I1412" s="2" t="s">
        <v>38807</v>
      </c>
      <c r="J1412" s="2" t="s">
        <v>38808</v>
      </c>
      <c r="K1412" s="2">
        <v>7.6380700000000003E-3</v>
      </c>
      <c r="L1412" s="2" t="s">
        <v>848</v>
      </c>
      <c r="M1412" s="4" t="s">
        <v>38809</v>
      </c>
    </row>
    <row r="1413" spans="1:13">
      <c r="A1413" s="2">
        <v>5149</v>
      </c>
      <c r="B1413" s="2" t="s">
        <v>8791</v>
      </c>
      <c r="C1413" s="2">
        <v>25</v>
      </c>
      <c r="D1413" s="2">
        <v>341</v>
      </c>
      <c r="E1413" s="2">
        <v>1149</v>
      </c>
      <c r="F1413" s="2">
        <v>32441</v>
      </c>
      <c r="G1413" s="2">
        <v>2.069949899</v>
      </c>
      <c r="H1413" s="2">
        <v>6.3399300000000001E-4</v>
      </c>
      <c r="I1413" s="2" t="s">
        <v>38810</v>
      </c>
      <c r="J1413" s="2" t="s">
        <v>38811</v>
      </c>
      <c r="K1413" s="2">
        <v>7.6871639999999998E-3</v>
      </c>
      <c r="L1413" s="2" t="s">
        <v>848</v>
      </c>
      <c r="M1413" s="4" t="s">
        <v>8794</v>
      </c>
    </row>
    <row r="1414" spans="1:13">
      <c r="A1414" s="2">
        <v>5582</v>
      </c>
      <c r="B1414" s="2" t="s">
        <v>38812</v>
      </c>
      <c r="C1414" s="2">
        <v>4</v>
      </c>
      <c r="D1414" s="2">
        <v>341</v>
      </c>
      <c r="E1414" s="2">
        <v>34</v>
      </c>
      <c r="F1414" s="2">
        <v>32441</v>
      </c>
      <c r="G1414" s="2">
        <v>11.192340870000001</v>
      </c>
      <c r="H1414" s="2">
        <v>6.4230299999999999E-4</v>
      </c>
      <c r="I1414" s="2" t="s">
        <v>38813</v>
      </c>
      <c r="J1414" s="2" t="s">
        <v>38814</v>
      </c>
      <c r="K1414" s="2">
        <v>7.7720009999999997E-3</v>
      </c>
      <c r="L1414" s="2" t="s">
        <v>848</v>
      </c>
      <c r="M1414" s="4" t="s">
        <v>38815</v>
      </c>
    </row>
    <row r="1415" spans="1:13">
      <c r="A1415" s="2">
        <v>2552</v>
      </c>
      <c r="B1415" s="2" t="s">
        <v>38816</v>
      </c>
      <c r="C1415" s="2">
        <v>20</v>
      </c>
      <c r="D1415" s="2">
        <v>341</v>
      </c>
      <c r="E1415" s="2">
        <v>829</v>
      </c>
      <c r="F1415" s="2">
        <v>32441</v>
      </c>
      <c r="G1415" s="2">
        <v>2.2951724329999998</v>
      </c>
      <c r="H1415" s="2">
        <v>6.5410299999999995E-4</v>
      </c>
      <c r="I1415" s="2" t="s">
        <v>38817</v>
      </c>
      <c r="J1415" s="2" t="s">
        <v>38818</v>
      </c>
      <c r="K1415" s="2">
        <v>7.8986279999999996E-3</v>
      </c>
      <c r="L1415" s="2" t="s">
        <v>848</v>
      </c>
      <c r="M1415" s="4" t="s">
        <v>38819</v>
      </c>
    </row>
    <row r="1416" spans="1:13">
      <c r="A1416" s="2">
        <v>1026</v>
      </c>
      <c r="B1416" s="2" t="s">
        <v>38820</v>
      </c>
      <c r="C1416" s="2">
        <v>3</v>
      </c>
      <c r="D1416" s="2">
        <v>341</v>
      </c>
      <c r="E1416" s="2">
        <v>14</v>
      </c>
      <c r="F1416" s="2">
        <v>32441</v>
      </c>
      <c r="G1416" s="2">
        <v>20.38604943</v>
      </c>
      <c r="H1416" s="2">
        <v>6.8080899999999999E-4</v>
      </c>
      <c r="I1416" s="2" t="s">
        <v>38821</v>
      </c>
      <c r="J1416" s="2" t="s">
        <v>38822</v>
      </c>
      <c r="K1416" s="2">
        <v>8.1876910000000004E-3</v>
      </c>
      <c r="L1416" s="2" t="s">
        <v>848</v>
      </c>
      <c r="M1416" s="4" t="s">
        <v>38823</v>
      </c>
    </row>
    <row r="1417" spans="1:13">
      <c r="A1417" s="2">
        <v>5343</v>
      </c>
      <c r="B1417" s="2" t="s">
        <v>38824</v>
      </c>
      <c r="C1417" s="2">
        <v>3</v>
      </c>
      <c r="D1417" s="2">
        <v>341</v>
      </c>
      <c r="E1417" s="2">
        <v>14</v>
      </c>
      <c r="F1417" s="2">
        <v>32441</v>
      </c>
      <c r="G1417" s="2">
        <v>20.38604943</v>
      </c>
      <c r="H1417" s="2">
        <v>6.8080899999999999E-4</v>
      </c>
      <c r="I1417" s="2" t="s">
        <v>38825</v>
      </c>
      <c r="J1417" s="2" t="s">
        <v>38826</v>
      </c>
      <c r="K1417" s="2">
        <v>8.1876910000000004E-3</v>
      </c>
      <c r="L1417" s="2" t="s">
        <v>848</v>
      </c>
      <c r="M1417" s="4" t="s">
        <v>38827</v>
      </c>
    </row>
    <row r="1418" spans="1:13">
      <c r="A1418" s="2">
        <v>4732</v>
      </c>
      <c r="B1418" s="2" t="s">
        <v>38828</v>
      </c>
      <c r="C1418" s="2">
        <v>4</v>
      </c>
      <c r="D1418" s="2">
        <v>341</v>
      </c>
      <c r="E1418" s="2">
        <v>35</v>
      </c>
      <c r="F1418" s="2">
        <v>32441</v>
      </c>
      <c r="G1418" s="2">
        <v>10.8725597</v>
      </c>
      <c r="H1418" s="2">
        <v>7.0988900000000001E-4</v>
      </c>
      <c r="I1418" s="2" t="s">
        <v>38829</v>
      </c>
      <c r="J1418" s="2" t="s">
        <v>38830</v>
      </c>
      <c r="K1418" s="2">
        <v>8.5201070000000007E-3</v>
      </c>
      <c r="L1418" s="2" t="s">
        <v>848</v>
      </c>
      <c r="M1418" s="4" t="s">
        <v>38831</v>
      </c>
    </row>
    <row r="1419" spans="1:13">
      <c r="A1419" s="2">
        <v>4634</v>
      </c>
      <c r="B1419" s="2" t="s">
        <v>28791</v>
      </c>
      <c r="C1419" s="2">
        <v>6</v>
      </c>
      <c r="D1419" s="2">
        <v>341</v>
      </c>
      <c r="E1419" s="2">
        <v>97</v>
      </c>
      <c r="F1419" s="2">
        <v>32441</v>
      </c>
      <c r="G1419" s="2">
        <v>5.8846328259999998</v>
      </c>
      <c r="H1419" s="2">
        <v>7.4355199999999997E-4</v>
      </c>
      <c r="I1419" s="2" t="s">
        <v>38832</v>
      </c>
      <c r="J1419" s="2" t="s">
        <v>38833</v>
      </c>
      <c r="K1419" s="2">
        <v>8.9060670000000002E-3</v>
      </c>
      <c r="L1419" s="2" t="s">
        <v>848</v>
      </c>
      <c r="M1419" s="4" t="s">
        <v>28794</v>
      </c>
    </row>
    <row r="1420" spans="1:13">
      <c r="A1420" s="2">
        <v>3240</v>
      </c>
      <c r="B1420" s="2" t="s">
        <v>38834</v>
      </c>
      <c r="C1420" s="2">
        <v>4</v>
      </c>
      <c r="D1420" s="2">
        <v>341</v>
      </c>
      <c r="E1420" s="2">
        <v>36</v>
      </c>
      <c r="F1420" s="2">
        <v>32441</v>
      </c>
      <c r="G1420" s="2">
        <v>10.57054415</v>
      </c>
      <c r="H1420" s="2">
        <v>7.8235299999999995E-4</v>
      </c>
      <c r="I1420" s="2" t="s">
        <v>38835</v>
      </c>
      <c r="J1420" s="2" t="s">
        <v>38836</v>
      </c>
      <c r="K1420" s="2">
        <v>9.3518850000000008E-3</v>
      </c>
      <c r="L1420" s="2" t="s">
        <v>848</v>
      </c>
      <c r="M1420" s="4" t="s">
        <v>38837</v>
      </c>
    </row>
    <row r="1421" spans="1:13">
      <c r="A1421" s="2">
        <v>1526</v>
      </c>
      <c r="B1421" s="2" t="s">
        <v>38838</v>
      </c>
      <c r="C1421" s="2">
        <v>7</v>
      </c>
      <c r="D1421" s="2">
        <v>341</v>
      </c>
      <c r="E1421" s="2">
        <v>137</v>
      </c>
      <c r="F1421" s="2">
        <v>32441</v>
      </c>
      <c r="G1421" s="2">
        <v>4.8609071640000003</v>
      </c>
      <c r="H1421" s="2">
        <v>8.0668099999999996E-4</v>
      </c>
      <c r="I1421" s="2" t="s">
        <v>38839</v>
      </c>
      <c r="J1421" s="2" t="s">
        <v>38840</v>
      </c>
      <c r="K1421" s="2">
        <v>9.6232450000000008E-3</v>
      </c>
      <c r="L1421" s="2" t="s">
        <v>848</v>
      </c>
      <c r="M1421" s="4" t="s">
        <v>38841</v>
      </c>
    </row>
    <row r="1422" spans="1:13">
      <c r="A1422" s="2">
        <v>4364</v>
      </c>
      <c r="B1422" s="2" t="s">
        <v>38842</v>
      </c>
      <c r="C1422" s="2">
        <v>3</v>
      </c>
      <c r="D1422" s="2">
        <v>341</v>
      </c>
      <c r="E1422" s="2">
        <v>15</v>
      </c>
      <c r="F1422" s="2">
        <v>32441</v>
      </c>
      <c r="G1422" s="2">
        <v>19.026979470000001</v>
      </c>
      <c r="H1422" s="2">
        <v>8.1069599999999996E-4</v>
      </c>
      <c r="I1422" s="2" t="s">
        <v>38843</v>
      </c>
      <c r="J1422" s="2" t="s">
        <v>38844</v>
      </c>
      <c r="K1422" s="2">
        <v>9.6516919999999999E-3</v>
      </c>
      <c r="L1422" s="2" t="s">
        <v>848</v>
      </c>
      <c r="M1422" s="4" t="s">
        <v>38845</v>
      </c>
    </row>
    <row r="1423" spans="1:13">
      <c r="A1423" s="2">
        <v>665</v>
      </c>
      <c r="B1423" s="2" t="s">
        <v>38846</v>
      </c>
      <c r="C1423" s="2">
        <v>5</v>
      </c>
      <c r="D1423" s="2">
        <v>341</v>
      </c>
      <c r="E1423" s="2">
        <v>65</v>
      </c>
      <c r="F1423" s="2">
        <v>32441</v>
      </c>
      <c r="G1423" s="2">
        <v>7.318069028</v>
      </c>
      <c r="H1423" s="2">
        <v>8.2306100000000004E-4</v>
      </c>
      <c r="I1423" s="2" t="s">
        <v>38847</v>
      </c>
      <c r="J1423" s="2" t="s">
        <v>38848</v>
      </c>
      <c r="K1423" s="2">
        <v>9.7792199999999999E-3</v>
      </c>
      <c r="L1423" s="2" t="s">
        <v>848</v>
      </c>
      <c r="M1423" s="4" t="s">
        <v>38849</v>
      </c>
    </row>
    <row r="1424" spans="1:13">
      <c r="A1424" s="2">
        <v>6122</v>
      </c>
      <c r="B1424" s="2" t="s">
        <v>3030</v>
      </c>
      <c r="C1424" s="2">
        <v>13</v>
      </c>
      <c r="D1424" s="2">
        <v>341</v>
      </c>
      <c r="E1424" s="2">
        <v>432</v>
      </c>
      <c r="F1424" s="2">
        <v>32441</v>
      </c>
      <c r="G1424" s="2">
        <v>2.8628557080000001</v>
      </c>
      <c r="H1424" s="2">
        <v>8.7060900000000005E-4</v>
      </c>
      <c r="I1424" s="2" t="s">
        <v>38850</v>
      </c>
      <c r="J1424" s="2" t="s">
        <v>38851</v>
      </c>
      <c r="K1424" s="2">
        <v>1.0323428000000001E-2</v>
      </c>
      <c r="L1424" s="2" t="s">
        <v>848</v>
      </c>
      <c r="M1424" s="4" t="s">
        <v>3033</v>
      </c>
    </row>
    <row r="1425" spans="1:13">
      <c r="A1425" s="2">
        <v>351</v>
      </c>
      <c r="B1425" s="2" t="s">
        <v>38852</v>
      </c>
      <c r="C1425" s="2">
        <v>5</v>
      </c>
      <c r="D1425" s="2">
        <v>341</v>
      </c>
      <c r="E1425" s="2">
        <v>66</v>
      </c>
      <c r="F1425" s="2">
        <v>32441</v>
      </c>
      <c r="G1425" s="2">
        <v>7.2071891939999997</v>
      </c>
      <c r="H1425" s="2">
        <v>8.7796599999999999E-4</v>
      </c>
      <c r="I1425" s="2" t="s">
        <v>38853</v>
      </c>
      <c r="J1425" s="2" t="s">
        <v>38854</v>
      </c>
      <c r="K1425" s="2">
        <v>1.0389849E-2</v>
      </c>
      <c r="L1425" s="2" t="s">
        <v>848</v>
      </c>
      <c r="M1425" s="4" t="s">
        <v>38855</v>
      </c>
    </row>
    <row r="1426" spans="1:13">
      <c r="A1426" s="2">
        <v>1344</v>
      </c>
      <c r="B1426" s="2" t="s">
        <v>9777</v>
      </c>
      <c r="C1426" s="2">
        <v>29</v>
      </c>
      <c r="D1426" s="2">
        <v>341</v>
      </c>
      <c r="E1426" s="2">
        <v>1450</v>
      </c>
      <c r="F1426" s="2">
        <v>32441</v>
      </c>
      <c r="G1426" s="2">
        <v>1.9026979470000001</v>
      </c>
      <c r="H1426" s="2">
        <v>8.7978199999999996E-4</v>
      </c>
      <c r="I1426" s="2" t="s">
        <v>38856</v>
      </c>
      <c r="J1426" s="2" t="s">
        <v>38857</v>
      </c>
      <c r="K1426" s="2">
        <v>1.0390563E-2</v>
      </c>
      <c r="L1426" s="2" t="s">
        <v>848</v>
      </c>
      <c r="M1426" s="4" t="s">
        <v>9780</v>
      </c>
    </row>
    <row r="1427" spans="1:13">
      <c r="A1427" s="2">
        <v>5595</v>
      </c>
      <c r="B1427" s="2" t="s">
        <v>29779</v>
      </c>
      <c r="C1427" s="2">
        <v>5</v>
      </c>
      <c r="D1427" s="2">
        <v>341</v>
      </c>
      <c r="E1427" s="2">
        <v>67</v>
      </c>
      <c r="F1427" s="2">
        <v>32441</v>
      </c>
      <c r="G1427" s="2">
        <v>7.0996192059999998</v>
      </c>
      <c r="H1427" s="2">
        <v>9.3555099999999996E-4</v>
      </c>
      <c r="I1427" s="2" t="s">
        <v>38858</v>
      </c>
      <c r="J1427" s="2" t="s">
        <v>38859</v>
      </c>
      <c r="K1427" s="2">
        <v>1.1027204000000001E-2</v>
      </c>
      <c r="L1427" s="2" t="s">
        <v>848</v>
      </c>
      <c r="M1427" s="4" t="s">
        <v>29782</v>
      </c>
    </row>
    <row r="1428" spans="1:13">
      <c r="A1428" s="2">
        <v>2530</v>
      </c>
      <c r="B1428" s="2" t="s">
        <v>38860</v>
      </c>
      <c r="C1428" s="2">
        <v>4</v>
      </c>
      <c r="D1428" s="2">
        <v>341</v>
      </c>
      <c r="E1428" s="2">
        <v>38</v>
      </c>
      <c r="F1428" s="2">
        <v>32441</v>
      </c>
      <c r="G1428" s="2">
        <v>10.014199720000001</v>
      </c>
      <c r="H1428" s="2">
        <v>9.4267999999999999E-4</v>
      </c>
      <c r="I1428" s="2" t="s">
        <v>38568</v>
      </c>
      <c r="J1428" s="2" t="s">
        <v>38569</v>
      </c>
      <c r="K1428" s="2">
        <v>1.1089138E-2</v>
      </c>
      <c r="L1428" s="2" t="s">
        <v>848</v>
      </c>
      <c r="M1428" s="4" t="s">
        <v>38861</v>
      </c>
    </row>
    <row r="1429" spans="1:13">
      <c r="A1429" s="2">
        <v>179</v>
      </c>
      <c r="B1429" s="2" t="s">
        <v>38862</v>
      </c>
      <c r="C1429" s="2">
        <v>11</v>
      </c>
      <c r="D1429" s="2">
        <v>341</v>
      </c>
      <c r="E1429" s="2">
        <v>329</v>
      </c>
      <c r="F1429" s="2">
        <v>32441</v>
      </c>
      <c r="G1429" s="2">
        <v>3.180802039</v>
      </c>
      <c r="H1429" s="2">
        <v>9.5019400000000002E-4</v>
      </c>
      <c r="I1429" s="2" t="s">
        <v>38863</v>
      </c>
      <c r="J1429" s="2" t="s">
        <v>38864</v>
      </c>
      <c r="K1429" s="2">
        <v>1.1149086000000001E-2</v>
      </c>
      <c r="L1429" s="2" t="s">
        <v>848</v>
      </c>
      <c r="M1429" s="4" t="s">
        <v>38865</v>
      </c>
    </row>
    <row r="1430" spans="1:13">
      <c r="A1430" s="2">
        <v>9111</v>
      </c>
      <c r="B1430" s="2" t="s">
        <v>38866</v>
      </c>
      <c r="C1430" s="2">
        <v>3</v>
      </c>
      <c r="D1430" s="2">
        <v>341</v>
      </c>
      <c r="E1430" s="2">
        <v>16</v>
      </c>
      <c r="F1430" s="2">
        <v>32441</v>
      </c>
      <c r="G1430" s="2">
        <v>17.837793260000002</v>
      </c>
      <c r="H1430" s="2">
        <v>9.5531299999999995E-4</v>
      </c>
      <c r="I1430" s="2" t="s">
        <v>38867</v>
      </c>
      <c r="J1430" s="2" t="s">
        <v>38868</v>
      </c>
      <c r="K1430" s="2">
        <v>1.1149086000000001E-2</v>
      </c>
      <c r="L1430" s="2" t="s">
        <v>848</v>
      </c>
      <c r="M1430" s="4" t="s">
        <v>38869</v>
      </c>
    </row>
    <row r="1431" spans="1:13">
      <c r="A1431" s="2">
        <v>15911</v>
      </c>
      <c r="B1431" s="2" t="s">
        <v>38870</v>
      </c>
      <c r="C1431" s="2">
        <v>3</v>
      </c>
      <c r="D1431" s="2">
        <v>341</v>
      </c>
      <c r="E1431" s="2">
        <v>16</v>
      </c>
      <c r="F1431" s="2">
        <v>32441</v>
      </c>
      <c r="G1431" s="2">
        <v>17.837793260000002</v>
      </c>
      <c r="H1431" s="2">
        <v>9.5531299999999995E-4</v>
      </c>
      <c r="I1431" s="2" t="s">
        <v>38867</v>
      </c>
      <c r="J1431" s="2" t="s">
        <v>38868</v>
      </c>
      <c r="K1431" s="2">
        <v>1.1149086000000001E-2</v>
      </c>
      <c r="L1431" s="2" t="s">
        <v>848</v>
      </c>
      <c r="M1431" s="4" t="s">
        <v>38871</v>
      </c>
    </row>
    <row r="1432" spans="1:13">
      <c r="A1432" s="2">
        <v>2452</v>
      </c>
      <c r="B1432" s="2" t="s">
        <v>38872</v>
      </c>
      <c r="C1432" s="2">
        <v>3</v>
      </c>
      <c r="D1432" s="2">
        <v>341</v>
      </c>
      <c r="E1432" s="2">
        <v>16</v>
      </c>
      <c r="F1432" s="2">
        <v>32441</v>
      </c>
      <c r="G1432" s="2">
        <v>17.837793260000002</v>
      </c>
      <c r="H1432" s="2">
        <v>9.5531299999999995E-4</v>
      </c>
      <c r="I1432" s="2" t="s">
        <v>38873</v>
      </c>
      <c r="J1432" s="2" t="s">
        <v>38874</v>
      </c>
      <c r="K1432" s="2">
        <v>1.1149086000000001E-2</v>
      </c>
      <c r="L1432" s="2" t="s">
        <v>848</v>
      </c>
      <c r="M1432" s="4" t="s">
        <v>38875</v>
      </c>
    </row>
    <row r="1433" spans="1:13">
      <c r="A1433" s="2">
        <v>3832</v>
      </c>
      <c r="B1433" s="2" t="s">
        <v>28637</v>
      </c>
      <c r="C1433" s="2">
        <v>8</v>
      </c>
      <c r="D1433" s="2">
        <v>341</v>
      </c>
      <c r="E1433" s="2">
        <v>185</v>
      </c>
      <c r="F1433" s="2">
        <v>32441</v>
      </c>
      <c r="G1433" s="2">
        <v>4.1139415069999998</v>
      </c>
      <c r="H1433" s="2">
        <v>9.8672400000000002E-4</v>
      </c>
      <c r="I1433" s="2" t="s">
        <v>38876</v>
      </c>
      <c r="J1433" s="2" t="s">
        <v>38877</v>
      </c>
      <c r="K1433" s="2">
        <v>1.1492998000000001E-2</v>
      </c>
      <c r="L1433" s="2" t="s">
        <v>848</v>
      </c>
      <c r="M1433" s="4" t="s">
        <v>28640</v>
      </c>
    </row>
    <row r="1434" spans="1:13">
      <c r="A1434" s="2">
        <v>2491</v>
      </c>
      <c r="B1434" s="2" t="s">
        <v>1145</v>
      </c>
      <c r="C1434" s="2">
        <v>5</v>
      </c>
      <c r="D1434" s="2">
        <v>341</v>
      </c>
      <c r="E1434" s="2">
        <v>68</v>
      </c>
      <c r="F1434" s="2">
        <v>32441</v>
      </c>
      <c r="G1434" s="2">
        <v>6.9952130410000004</v>
      </c>
      <c r="H1434" s="2">
        <v>9.9589699999999993E-4</v>
      </c>
      <c r="I1434" s="2" t="s">
        <v>38878</v>
      </c>
      <c r="J1434" s="2" t="s">
        <v>38879</v>
      </c>
      <c r="K1434" s="2">
        <v>1.1554363999999999E-2</v>
      </c>
      <c r="L1434" s="2" t="s">
        <v>848</v>
      </c>
      <c r="M1434" s="4" t="s">
        <v>29446</v>
      </c>
    </row>
    <row r="1435" spans="1:13">
      <c r="A1435" s="2">
        <v>4929</v>
      </c>
      <c r="B1435" s="2" t="s">
        <v>28751</v>
      </c>
      <c r="C1435" s="2">
        <v>10</v>
      </c>
      <c r="D1435" s="2">
        <v>341</v>
      </c>
      <c r="E1435" s="2">
        <v>280</v>
      </c>
      <c r="F1435" s="2">
        <v>32441</v>
      </c>
      <c r="G1435" s="2">
        <v>3.3976749060000002</v>
      </c>
      <c r="H1435" s="2">
        <v>9.95075E-4</v>
      </c>
      <c r="I1435" s="2" t="s">
        <v>38880</v>
      </c>
      <c r="J1435" s="2" t="s">
        <v>38881</v>
      </c>
      <c r="K1435" s="2">
        <v>1.1554363999999999E-2</v>
      </c>
      <c r="L1435" s="2" t="s">
        <v>848</v>
      </c>
      <c r="M1435" s="4" t="s">
        <v>28754</v>
      </c>
    </row>
    <row r="1436" spans="1:13">
      <c r="A1436" s="2">
        <v>17321</v>
      </c>
      <c r="B1436" s="2" t="s">
        <v>38882</v>
      </c>
      <c r="C1436" s="2">
        <v>4</v>
      </c>
      <c r="D1436" s="2">
        <v>341</v>
      </c>
      <c r="E1436" s="2">
        <v>39</v>
      </c>
      <c r="F1436" s="2">
        <v>32441</v>
      </c>
      <c r="G1436" s="2">
        <v>9.75742537</v>
      </c>
      <c r="H1436" s="2">
        <v>1.0309239999999999E-3</v>
      </c>
      <c r="I1436" s="2" t="s">
        <v>38883</v>
      </c>
      <c r="J1436" s="2" t="s">
        <v>38884</v>
      </c>
      <c r="K1436" s="2">
        <v>1.1914019E-2</v>
      </c>
      <c r="L1436" s="2" t="s">
        <v>848</v>
      </c>
      <c r="M1436" s="4" t="s">
        <v>38885</v>
      </c>
    </row>
    <row r="1437" spans="1:13">
      <c r="A1437" s="2">
        <v>2188</v>
      </c>
      <c r="B1437" s="2" t="s">
        <v>38886</v>
      </c>
      <c r="C1437" s="2">
        <v>4</v>
      </c>
      <c r="D1437" s="2">
        <v>341</v>
      </c>
      <c r="E1437" s="2">
        <v>39</v>
      </c>
      <c r="F1437" s="2">
        <v>32441</v>
      </c>
      <c r="G1437" s="2">
        <v>9.75742537</v>
      </c>
      <c r="H1437" s="2">
        <v>1.0309239999999999E-3</v>
      </c>
      <c r="I1437" s="2" t="s">
        <v>38887</v>
      </c>
      <c r="J1437" s="2" t="s">
        <v>38888</v>
      </c>
      <c r="K1437" s="2">
        <v>1.1914019E-2</v>
      </c>
      <c r="L1437" s="2" t="s">
        <v>848</v>
      </c>
      <c r="M1437" s="4" t="s">
        <v>38889</v>
      </c>
    </row>
    <row r="1438" spans="1:13">
      <c r="A1438" s="2">
        <v>990</v>
      </c>
      <c r="B1438" s="2" t="s">
        <v>8230</v>
      </c>
      <c r="C1438" s="2">
        <v>19</v>
      </c>
      <c r="D1438" s="2">
        <v>341</v>
      </c>
      <c r="E1438" s="2">
        <v>799</v>
      </c>
      <c r="F1438" s="2">
        <v>32441</v>
      </c>
      <c r="G1438" s="2">
        <v>2.2622816640000001</v>
      </c>
      <c r="H1438" s="2">
        <v>1.0449980000000001E-3</v>
      </c>
      <c r="I1438" s="2" t="s">
        <v>38890</v>
      </c>
      <c r="J1438" s="2" t="s">
        <v>38891</v>
      </c>
      <c r="K1438" s="2">
        <v>1.2006319E-2</v>
      </c>
      <c r="L1438" s="2" t="s">
        <v>848</v>
      </c>
      <c r="M1438" s="4" t="s">
        <v>8233</v>
      </c>
    </row>
    <row r="1439" spans="1:13">
      <c r="A1439" s="2">
        <v>11951</v>
      </c>
      <c r="B1439" s="2" t="s">
        <v>11388</v>
      </c>
      <c r="C1439" s="2">
        <v>11</v>
      </c>
      <c r="D1439" s="2">
        <v>341</v>
      </c>
      <c r="E1439" s="2">
        <v>333</v>
      </c>
      <c r="F1439" s="2">
        <v>32441</v>
      </c>
      <c r="G1439" s="2">
        <v>3.1425942070000001</v>
      </c>
      <c r="H1439" s="2">
        <v>1.0440029999999999E-3</v>
      </c>
      <c r="I1439" s="2" t="s">
        <v>38892</v>
      </c>
      <c r="J1439" s="2" t="s">
        <v>38893</v>
      </c>
      <c r="K1439" s="2">
        <v>1.2006319E-2</v>
      </c>
      <c r="L1439" s="2" t="s">
        <v>848</v>
      </c>
      <c r="M1439" s="4" t="s">
        <v>11391</v>
      </c>
    </row>
    <row r="1440" spans="1:13">
      <c r="A1440" s="2">
        <v>2344</v>
      </c>
      <c r="B1440" s="2" t="s">
        <v>10589</v>
      </c>
      <c r="C1440" s="2">
        <v>13</v>
      </c>
      <c r="D1440" s="2">
        <v>341</v>
      </c>
      <c r="E1440" s="2">
        <v>441</v>
      </c>
      <c r="F1440" s="2">
        <v>32441</v>
      </c>
      <c r="G1440" s="2">
        <v>2.804430081</v>
      </c>
      <c r="H1440" s="2">
        <v>1.043464E-3</v>
      </c>
      <c r="I1440" s="2" t="s">
        <v>38894</v>
      </c>
      <c r="J1440" s="2" t="s">
        <v>38895</v>
      </c>
      <c r="K1440" s="2">
        <v>1.2006319E-2</v>
      </c>
      <c r="L1440" s="2" t="s">
        <v>848</v>
      </c>
      <c r="M1440" s="4" t="s">
        <v>10592</v>
      </c>
    </row>
    <row r="1441" spans="1:13">
      <c r="A1441" s="2">
        <v>39581</v>
      </c>
      <c r="B1441" s="2" t="s">
        <v>28473</v>
      </c>
      <c r="C1441" s="2">
        <v>18</v>
      </c>
      <c r="D1441" s="2">
        <v>341</v>
      </c>
      <c r="E1441" s="2">
        <v>740</v>
      </c>
      <c r="F1441" s="2">
        <v>32441</v>
      </c>
      <c r="G1441" s="2">
        <v>2.3140920980000002</v>
      </c>
      <c r="H1441" s="2">
        <v>1.1001450000000001E-3</v>
      </c>
      <c r="I1441" s="2" t="s">
        <v>38896</v>
      </c>
      <c r="J1441" s="2" t="s">
        <v>38897</v>
      </c>
      <c r="K1441" s="2">
        <v>1.2615418E-2</v>
      </c>
      <c r="L1441" s="2" t="s">
        <v>848</v>
      </c>
      <c r="M1441" s="4" t="s">
        <v>28476</v>
      </c>
    </row>
    <row r="1442" spans="1:13">
      <c r="A1442" s="2">
        <v>955</v>
      </c>
      <c r="B1442" s="2" t="s">
        <v>38898</v>
      </c>
      <c r="C1442" s="2">
        <v>3</v>
      </c>
      <c r="D1442" s="2">
        <v>341</v>
      </c>
      <c r="E1442" s="2">
        <v>17</v>
      </c>
      <c r="F1442" s="2">
        <v>32441</v>
      </c>
      <c r="G1442" s="2">
        <v>16.7885113</v>
      </c>
      <c r="H1442" s="2">
        <v>1.1152759999999999E-3</v>
      </c>
      <c r="I1442" s="2" t="s">
        <v>38899</v>
      </c>
      <c r="J1442" s="2" t="s">
        <v>38900</v>
      </c>
      <c r="K1442" s="2">
        <v>1.2666192E-2</v>
      </c>
      <c r="L1442" s="2" t="s">
        <v>848</v>
      </c>
      <c r="M1442" s="4" t="s">
        <v>38901</v>
      </c>
    </row>
    <row r="1443" spans="1:13">
      <c r="A1443" s="2">
        <v>2100</v>
      </c>
      <c r="B1443" s="2" t="s">
        <v>30663</v>
      </c>
      <c r="C1443" s="2">
        <v>3</v>
      </c>
      <c r="D1443" s="2">
        <v>341</v>
      </c>
      <c r="E1443" s="2">
        <v>17</v>
      </c>
      <c r="F1443" s="2">
        <v>32441</v>
      </c>
      <c r="G1443" s="2">
        <v>16.7885113</v>
      </c>
      <c r="H1443" s="2">
        <v>1.1152759999999999E-3</v>
      </c>
      <c r="I1443" s="2" t="s">
        <v>38902</v>
      </c>
      <c r="J1443" s="2" t="s">
        <v>38903</v>
      </c>
      <c r="K1443" s="2">
        <v>1.2666192E-2</v>
      </c>
      <c r="L1443" s="2" t="s">
        <v>848</v>
      </c>
      <c r="M1443" s="4" t="s">
        <v>30666</v>
      </c>
    </row>
    <row r="1444" spans="1:13">
      <c r="A1444" s="2">
        <v>2228</v>
      </c>
      <c r="B1444" s="2" t="s">
        <v>38904</v>
      </c>
      <c r="C1444" s="2">
        <v>3</v>
      </c>
      <c r="D1444" s="2">
        <v>341</v>
      </c>
      <c r="E1444" s="2">
        <v>17</v>
      </c>
      <c r="F1444" s="2">
        <v>32441</v>
      </c>
      <c r="G1444" s="2">
        <v>16.7885113</v>
      </c>
      <c r="H1444" s="2">
        <v>1.1152759999999999E-3</v>
      </c>
      <c r="I1444" s="2" t="s">
        <v>38867</v>
      </c>
      <c r="J1444" s="2" t="s">
        <v>38868</v>
      </c>
      <c r="K1444" s="2">
        <v>1.2666192E-2</v>
      </c>
      <c r="L1444" s="2" t="s">
        <v>848</v>
      </c>
      <c r="M1444" s="4" t="s">
        <v>38905</v>
      </c>
    </row>
    <row r="1445" spans="1:13">
      <c r="A1445" s="2">
        <v>36251</v>
      </c>
      <c r="B1445" s="2" t="s">
        <v>38906</v>
      </c>
      <c r="C1445" s="2">
        <v>3</v>
      </c>
      <c r="D1445" s="2">
        <v>341</v>
      </c>
      <c r="E1445" s="2">
        <v>17</v>
      </c>
      <c r="F1445" s="2">
        <v>32441</v>
      </c>
      <c r="G1445" s="2">
        <v>16.7885113</v>
      </c>
      <c r="H1445" s="2">
        <v>1.1152759999999999E-3</v>
      </c>
      <c r="I1445" s="2" t="s">
        <v>38907</v>
      </c>
      <c r="J1445" s="2" t="s">
        <v>38908</v>
      </c>
      <c r="K1445" s="2">
        <v>1.2666192E-2</v>
      </c>
      <c r="L1445" s="2" t="s">
        <v>848</v>
      </c>
      <c r="M1445" s="4" t="s">
        <v>38909</v>
      </c>
    </row>
    <row r="1446" spans="1:13">
      <c r="A1446" s="2">
        <v>5195</v>
      </c>
      <c r="B1446" s="2" t="s">
        <v>38910</v>
      </c>
      <c r="C1446" s="2">
        <v>3</v>
      </c>
      <c r="D1446" s="2">
        <v>341</v>
      </c>
      <c r="E1446" s="2">
        <v>17</v>
      </c>
      <c r="F1446" s="2">
        <v>32441</v>
      </c>
      <c r="G1446" s="2">
        <v>16.7885113</v>
      </c>
      <c r="H1446" s="2">
        <v>1.1152759999999999E-3</v>
      </c>
      <c r="I1446" s="2" t="s">
        <v>38911</v>
      </c>
      <c r="J1446" s="2" t="s">
        <v>38912</v>
      </c>
      <c r="K1446" s="2">
        <v>1.2666192E-2</v>
      </c>
      <c r="L1446" s="2" t="s">
        <v>848</v>
      </c>
      <c r="M1446" s="4" t="s">
        <v>38913</v>
      </c>
    </row>
    <row r="1447" spans="1:13">
      <c r="A1447" s="2">
        <v>967</v>
      </c>
      <c r="B1447" s="2" t="s">
        <v>38914</v>
      </c>
      <c r="C1447" s="2">
        <v>4</v>
      </c>
      <c r="D1447" s="2">
        <v>341</v>
      </c>
      <c r="E1447" s="2">
        <v>40</v>
      </c>
      <c r="F1447" s="2">
        <v>32441</v>
      </c>
      <c r="G1447" s="2">
        <v>9.5134897360000004</v>
      </c>
      <c r="H1447" s="2">
        <v>1.12481E-3</v>
      </c>
      <c r="I1447" s="2" t="s">
        <v>38915</v>
      </c>
      <c r="J1447" s="2" t="s">
        <v>38916</v>
      </c>
      <c r="K1447" s="2">
        <v>1.2681536E-2</v>
      </c>
      <c r="L1447" s="2" t="s">
        <v>848</v>
      </c>
      <c r="M1447" s="4" t="s">
        <v>38917</v>
      </c>
    </row>
    <row r="1448" spans="1:13">
      <c r="A1448" s="2">
        <v>2771</v>
      </c>
      <c r="B1448" s="2" t="s">
        <v>29074</v>
      </c>
      <c r="C1448" s="2">
        <v>5</v>
      </c>
      <c r="D1448" s="2">
        <v>341</v>
      </c>
      <c r="E1448" s="2">
        <v>70</v>
      </c>
      <c r="F1448" s="2">
        <v>32441</v>
      </c>
      <c r="G1448" s="2">
        <v>6.7953498110000004</v>
      </c>
      <c r="H1448" s="2">
        <v>1.1252E-3</v>
      </c>
      <c r="I1448" s="2" t="s">
        <v>38918</v>
      </c>
      <c r="J1448" s="2" t="s">
        <v>38919</v>
      </c>
      <c r="K1448" s="2">
        <v>1.2681536E-2</v>
      </c>
      <c r="L1448" s="2" t="s">
        <v>848</v>
      </c>
      <c r="M1448" s="4" t="s">
        <v>29077</v>
      </c>
    </row>
    <row r="1449" spans="1:13">
      <c r="A1449" s="2">
        <v>3680</v>
      </c>
      <c r="B1449" s="2" t="s">
        <v>38920</v>
      </c>
      <c r="C1449" s="2">
        <v>4</v>
      </c>
      <c r="D1449" s="2">
        <v>341</v>
      </c>
      <c r="E1449" s="2">
        <v>40</v>
      </c>
      <c r="F1449" s="2">
        <v>32441</v>
      </c>
      <c r="G1449" s="2">
        <v>9.5134897360000004</v>
      </c>
      <c r="H1449" s="2">
        <v>1.12481E-3</v>
      </c>
      <c r="I1449" s="2" t="s">
        <v>38921</v>
      </c>
      <c r="J1449" s="2" t="s">
        <v>38922</v>
      </c>
      <c r="K1449" s="2">
        <v>1.2681536E-2</v>
      </c>
      <c r="L1449" s="2" t="s">
        <v>848</v>
      </c>
      <c r="M1449" s="4" t="s">
        <v>38923</v>
      </c>
    </row>
    <row r="1450" spans="1:13">
      <c r="A1450" s="2">
        <v>5070</v>
      </c>
      <c r="B1450" s="2" t="s">
        <v>38924</v>
      </c>
      <c r="C1450" s="2">
        <v>4</v>
      </c>
      <c r="D1450" s="2">
        <v>341</v>
      </c>
      <c r="E1450" s="2">
        <v>40</v>
      </c>
      <c r="F1450" s="2">
        <v>32441</v>
      </c>
      <c r="G1450" s="2">
        <v>9.5134897360000004</v>
      </c>
      <c r="H1450" s="2">
        <v>1.12481E-3</v>
      </c>
      <c r="I1450" s="2" t="s">
        <v>38699</v>
      </c>
      <c r="J1450" s="2" t="s">
        <v>38700</v>
      </c>
      <c r="K1450" s="2">
        <v>1.2681536E-2</v>
      </c>
      <c r="L1450" s="2" t="s">
        <v>848</v>
      </c>
      <c r="M1450" s="4" t="s">
        <v>38925</v>
      </c>
    </row>
    <row r="1451" spans="1:13">
      <c r="A1451" s="2">
        <v>686</v>
      </c>
      <c r="B1451" s="2" t="s">
        <v>38926</v>
      </c>
      <c r="C1451" s="2">
        <v>27</v>
      </c>
      <c r="D1451" s="2">
        <v>341</v>
      </c>
      <c r="E1451" s="2">
        <v>1340</v>
      </c>
      <c r="F1451" s="2">
        <v>32441</v>
      </c>
      <c r="G1451" s="2">
        <v>1.9168971859999999</v>
      </c>
      <c r="H1451" s="2">
        <v>1.1874640000000001E-3</v>
      </c>
      <c r="I1451" s="2" t="s">
        <v>38927</v>
      </c>
      <c r="J1451" s="2" t="s">
        <v>38928</v>
      </c>
      <c r="K1451" s="2">
        <v>1.3357838E-2</v>
      </c>
      <c r="L1451" s="2" t="s">
        <v>848</v>
      </c>
      <c r="M1451" s="4" t="s">
        <v>38929</v>
      </c>
    </row>
    <row r="1452" spans="1:13">
      <c r="A1452" s="2">
        <v>897</v>
      </c>
      <c r="B1452" s="2" t="s">
        <v>38930</v>
      </c>
      <c r="C1452" s="2">
        <v>5</v>
      </c>
      <c r="D1452" s="2">
        <v>341</v>
      </c>
      <c r="E1452" s="2">
        <v>71</v>
      </c>
      <c r="F1452" s="2">
        <v>32441</v>
      </c>
      <c r="G1452" s="2">
        <v>6.6996406589999999</v>
      </c>
      <c r="H1452" s="2">
        <v>1.19432E-3</v>
      </c>
      <c r="I1452" s="2" t="s">
        <v>38931</v>
      </c>
      <c r="J1452" s="2" t="s">
        <v>38932</v>
      </c>
      <c r="K1452" s="2">
        <v>1.3409475000000001E-2</v>
      </c>
      <c r="L1452" s="2" t="s">
        <v>848</v>
      </c>
      <c r="M1452" s="4" t="s">
        <v>38933</v>
      </c>
    </row>
    <row r="1453" spans="1:13">
      <c r="A1453" s="2">
        <v>3786</v>
      </c>
      <c r="B1453" s="2" t="s">
        <v>10062</v>
      </c>
      <c r="C1453" s="2">
        <v>8</v>
      </c>
      <c r="D1453" s="2">
        <v>341</v>
      </c>
      <c r="E1453" s="2">
        <v>191</v>
      </c>
      <c r="F1453" s="2">
        <v>32441</v>
      </c>
      <c r="G1453" s="2">
        <v>3.984707743</v>
      </c>
      <c r="H1453" s="2">
        <v>1.200436E-3</v>
      </c>
      <c r="I1453" s="2" t="s">
        <v>38934</v>
      </c>
      <c r="J1453" s="2" t="s">
        <v>38935</v>
      </c>
      <c r="K1453" s="2">
        <v>1.345261E-2</v>
      </c>
      <c r="L1453" s="2" t="s">
        <v>848</v>
      </c>
      <c r="M1453" s="4" t="s">
        <v>10065</v>
      </c>
    </row>
    <row r="1454" spans="1:13">
      <c r="A1454" s="2">
        <v>5206</v>
      </c>
      <c r="B1454" s="2" t="s">
        <v>38936</v>
      </c>
      <c r="C1454" s="2">
        <v>4</v>
      </c>
      <c r="D1454" s="2">
        <v>341</v>
      </c>
      <c r="E1454" s="2">
        <v>41</v>
      </c>
      <c r="F1454" s="2">
        <v>32441</v>
      </c>
      <c r="G1454" s="2">
        <v>9.2814534010000003</v>
      </c>
      <c r="H1454" s="2">
        <v>1.224529E-3</v>
      </c>
      <c r="I1454" s="2" t="s">
        <v>38937</v>
      </c>
      <c r="J1454" s="2" t="s">
        <v>38938</v>
      </c>
      <c r="K1454" s="2">
        <v>1.3670826000000001E-2</v>
      </c>
      <c r="L1454" s="2" t="s">
        <v>848</v>
      </c>
      <c r="M1454" s="4" t="s">
        <v>38939</v>
      </c>
    </row>
    <row r="1455" spans="1:13">
      <c r="A1455" s="2">
        <v>5869</v>
      </c>
      <c r="B1455" s="2" t="s">
        <v>38940</v>
      </c>
      <c r="C1455" s="2">
        <v>4</v>
      </c>
      <c r="D1455" s="2">
        <v>341</v>
      </c>
      <c r="E1455" s="2">
        <v>41</v>
      </c>
      <c r="F1455" s="2">
        <v>32441</v>
      </c>
      <c r="G1455" s="2">
        <v>9.2814534010000003</v>
      </c>
      <c r="H1455" s="2">
        <v>1.224529E-3</v>
      </c>
      <c r="I1455" s="2" t="s">
        <v>38941</v>
      </c>
      <c r="J1455" s="2" t="s">
        <v>38942</v>
      </c>
      <c r="K1455" s="2">
        <v>1.3670826000000001E-2</v>
      </c>
      <c r="L1455" s="2" t="s">
        <v>848</v>
      </c>
      <c r="M1455" s="4" t="s">
        <v>38943</v>
      </c>
    </row>
    <row r="1456" spans="1:13">
      <c r="A1456" s="2">
        <v>2575</v>
      </c>
      <c r="B1456" s="2" t="s">
        <v>7839</v>
      </c>
      <c r="C1456" s="2">
        <v>26</v>
      </c>
      <c r="D1456" s="2">
        <v>341</v>
      </c>
      <c r="E1456" s="2">
        <v>1275</v>
      </c>
      <c r="F1456" s="2">
        <v>32441</v>
      </c>
      <c r="G1456" s="2">
        <v>1.9400057500000001</v>
      </c>
      <c r="H1456" s="2">
        <v>1.238095E-3</v>
      </c>
      <c r="I1456" s="2" t="s">
        <v>38944</v>
      </c>
      <c r="J1456" s="2" t="s">
        <v>38945</v>
      </c>
      <c r="K1456" s="2">
        <v>1.3796249999999999E-2</v>
      </c>
      <c r="L1456" s="2" t="s">
        <v>848</v>
      </c>
      <c r="M1456" s="4" t="s">
        <v>7842</v>
      </c>
    </row>
    <row r="1457" spans="1:13">
      <c r="A1457" s="2">
        <v>5868</v>
      </c>
      <c r="B1457" s="2" t="s">
        <v>38946</v>
      </c>
      <c r="C1457" s="2">
        <v>3</v>
      </c>
      <c r="D1457" s="2">
        <v>341</v>
      </c>
      <c r="E1457" s="2">
        <v>18</v>
      </c>
      <c r="F1457" s="2">
        <v>32441</v>
      </c>
      <c r="G1457" s="2">
        <v>15.85581623</v>
      </c>
      <c r="H1457" s="2">
        <v>1.291178E-3</v>
      </c>
      <c r="I1457" s="2" t="s">
        <v>38745</v>
      </c>
      <c r="J1457" s="2" t="s">
        <v>38746</v>
      </c>
      <c r="K1457" s="2">
        <v>1.4360718E-2</v>
      </c>
      <c r="L1457" s="2" t="s">
        <v>848</v>
      </c>
      <c r="M1457" s="4" t="s">
        <v>38947</v>
      </c>
    </row>
    <row r="1458" spans="1:13">
      <c r="A1458" s="2">
        <v>34561</v>
      </c>
      <c r="B1458" s="2" t="s">
        <v>38948</v>
      </c>
      <c r="C1458" s="2">
        <v>9</v>
      </c>
      <c r="D1458" s="2">
        <v>341</v>
      </c>
      <c r="E1458" s="2">
        <v>241</v>
      </c>
      <c r="F1458" s="2">
        <v>32441</v>
      </c>
      <c r="G1458" s="2">
        <v>3.5527555030000002</v>
      </c>
      <c r="H1458" s="2">
        <v>1.30941E-3</v>
      </c>
      <c r="I1458" s="2" t="s">
        <v>38949</v>
      </c>
      <c r="J1458" s="2" t="s">
        <v>38950</v>
      </c>
      <c r="K1458" s="2">
        <v>1.4536172E-2</v>
      </c>
      <c r="L1458" s="2" t="s">
        <v>848</v>
      </c>
      <c r="M1458" s="4" t="s">
        <v>38951</v>
      </c>
    </row>
    <row r="1459" spans="1:13">
      <c r="A1459" s="2">
        <v>4886</v>
      </c>
      <c r="B1459" s="2" t="s">
        <v>38952</v>
      </c>
      <c r="C1459" s="2">
        <v>7</v>
      </c>
      <c r="D1459" s="2">
        <v>341</v>
      </c>
      <c r="E1459" s="2">
        <v>150</v>
      </c>
      <c r="F1459" s="2">
        <v>32441</v>
      </c>
      <c r="G1459" s="2">
        <v>4.4396285430000004</v>
      </c>
      <c r="H1459" s="2">
        <v>1.334345E-3</v>
      </c>
      <c r="I1459" s="2" t="s">
        <v>38953</v>
      </c>
      <c r="J1459" s="2" t="s">
        <v>38954</v>
      </c>
      <c r="K1459" s="2">
        <v>1.4785246E-2</v>
      </c>
      <c r="L1459" s="2" t="s">
        <v>848</v>
      </c>
      <c r="M1459" s="4" t="s">
        <v>38955</v>
      </c>
    </row>
    <row r="1460" spans="1:13">
      <c r="A1460" s="2">
        <v>4406</v>
      </c>
      <c r="B1460" s="2" t="s">
        <v>11267</v>
      </c>
      <c r="C1460" s="2">
        <v>33</v>
      </c>
      <c r="D1460" s="2">
        <v>341</v>
      </c>
      <c r="E1460" s="2">
        <v>1784</v>
      </c>
      <c r="F1460" s="2">
        <v>32441</v>
      </c>
      <c r="G1460" s="2">
        <v>1.7597822940000001</v>
      </c>
      <c r="H1460" s="2">
        <v>1.4183959999999999E-3</v>
      </c>
      <c r="I1460" s="2" t="s">
        <v>38956</v>
      </c>
      <c r="J1460" s="2" t="s">
        <v>38957</v>
      </c>
      <c r="K1460" s="2">
        <v>1.5687189000000001E-2</v>
      </c>
      <c r="L1460" s="2" t="s">
        <v>848</v>
      </c>
      <c r="M1460" s="4" t="s">
        <v>11270</v>
      </c>
    </row>
    <row r="1461" spans="1:13">
      <c r="A1461" s="2">
        <v>2511</v>
      </c>
      <c r="B1461" s="2" t="s">
        <v>29943</v>
      </c>
      <c r="C1461" s="2">
        <v>7</v>
      </c>
      <c r="D1461" s="2">
        <v>341</v>
      </c>
      <c r="E1461" s="2">
        <v>152</v>
      </c>
      <c r="F1461" s="2">
        <v>32441</v>
      </c>
      <c r="G1461" s="2">
        <v>4.3812123779999999</v>
      </c>
      <c r="H1461" s="2">
        <v>1.435097E-3</v>
      </c>
      <c r="I1461" s="2" t="s">
        <v>38958</v>
      </c>
      <c r="J1461" s="2" t="s">
        <v>38959</v>
      </c>
      <c r="K1461" s="2">
        <v>1.5842288999999999E-2</v>
      </c>
      <c r="L1461" s="2" t="s">
        <v>848</v>
      </c>
      <c r="M1461" s="4" t="s">
        <v>29946</v>
      </c>
    </row>
    <row r="1462" spans="1:13">
      <c r="A1462" s="2">
        <v>3865</v>
      </c>
      <c r="B1462" s="2" t="s">
        <v>38960</v>
      </c>
      <c r="C1462" s="2">
        <v>4</v>
      </c>
      <c r="D1462" s="2">
        <v>341</v>
      </c>
      <c r="E1462" s="2">
        <v>43</v>
      </c>
      <c r="F1462" s="2">
        <v>32441</v>
      </c>
      <c r="G1462" s="2">
        <v>8.8497578939999997</v>
      </c>
      <c r="H1462" s="2">
        <v>1.4422250000000001E-3</v>
      </c>
      <c r="I1462" s="2" t="s">
        <v>38961</v>
      </c>
      <c r="J1462" s="2" t="s">
        <v>38962</v>
      </c>
      <c r="K1462" s="2">
        <v>1.5861795000000001E-2</v>
      </c>
      <c r="L1462" s="2" t="s">
        <v>848</v>
      </c>
      <c r="M1462" s="4" t="s">
        <v>38963</v>
      </c>
    </row>
    <row r="1463" spans="1:13">
      <c r="A1463" s="2">
        <v>4701</v>
      </c>
      <c r="B1463" s="2" t="s">
        <v>38964</v>
      </c>
      <c r="C1463" s="2">
        <v>4</v>
      </c>
      <c r="D1463" s="2">
        <v>341</v>
      </c>
      <c r="E1463" s="2">
        <v>43</v>
      </c>
      <c r="F1463" s="2">
        <v>32441</v>
      </c>
      <c r="G1463" s="2">
        <v>8.8497578939999997</v>
      </c>
      <c r="H1463" s="2">
        <v>1.4422250000000001E-3</v>
      </c>
      <c r="I1463" s="2" t="s">
        <v>38965</v>
      </c>
      <c r="J1463" s="2" t="s">
        <v>38966</v>
      </c>
      <c r="K1463" s="2">
        <v>1.5861795000000001E-2</v>
      </c>
      <c r="L1463" s="2" t="s">
        <v>848</v>
      </c>
      <c r="M1463" s="4" t="s">
        <v>38967</v>
      </c>
    </row>
    <row r="1464" spans="1:13">
      <c r="A1464" s="2">
        <v>1080</v>
      </c>
      <c r="B1464" s="2" t="s">
        <v>38968</v>
      </c>
      <c r="C1464" s="2">
        <v>3</v>
      </c>
      <c r="D1464" s="2">
        <v>341</v>
      </c>
      <c r="E1464" s="2">
        <v>19</v>
      </c>
      <c r="F1464" s="2">
        <v>32441</v>
      </c>
      <c r="G1464" s="2">
        <v>15.021299580000001</v>
      </c>
      <c r="H1464" s="2">
        <v>1.483591E-3</v>
      </c>
      <c r="I1464" s="2" t="s">
        <v>38969</v>
      </c>
      <c r="J1464" s="2" t="s">
        <v>38970</v>
      </c>
      <c r="K1464" s="2">
        <v>1.6226265E-2</v>
      </c>
      <c r="L1464" s="2" t="s">
        <v>848</v>
      </c>
      <c r="M1464" s="4" t="s">
        <v>38971</v>
      </c>
    </row>
    <row r="1465" spans="1:13">
      <c r="A1465" s="2">
        <v>1923</v>
      </c>
      <c r="B1465" s="2" t="s">
        <v>38972</v>
      </c>
      <c r="C1465" s="2">
        <v>3</v>
      </c>
      <c r="D1465" s="2">
        <v>341</v>
      </c>
      <c r="E1465" s="2">
        <v>19</v>
      </c>
      <c r="F1465" s="2">
        <v>32441</v>
      </c>
      <c r="G1465" s="2">
        <v>15.021299580000001</v>
      </c>
      <c r="H1465" s="2">
        <v>1.483591E-3</v>
      </c>
      <c r="I1465" s="2" t="s">
        <v>38973</v>
      </c>
      <c r="J1465" s="2" t="s">
        <v>38974</v>
      </c>
      <c r="K1465" s="2">
        <v>1.6226265E-2</v>
      </c>
      <c r="L1465" s="2" t="s">
        <v>848</v>
      </c>
      <c r="M1465" s="4" t="s">
        <v>38975</v>
      </c>
    </row>
    <row r="1466" spans="1:13">
      <c r="A1466" s="2">
        <v>5304</v>
      </c>
      <c r="B1466" s="2" t="s">
        <v>38976</v>
      </c>
      <c r="C1466" s="2">
        <v>3</v>
      </c>
      <c r="D1466" s="2">
        <v>341</v>
      </c>
      <c r="E1466" s="2">
        <v>19</v>
      </c>
      <c r="F1466" s="2">
        <v>32441</v>
      </c>
      <c r="G1466" s="2">
        <v>15.021299580000001</v>
      </c>
      <c r="H1466" s="2">
        <v>1.483591E-3</v>
      </c>
      <c r="I1466" s="2" t="s">
        <v>38977</v>
      </c>
      <c r="J1466" s="2" t="s">
        <v>38978</v>
      </c>
      <c r="K1466" s="2">
        <v>1.6226265E-2</v>
      </c>
      <c r="L1466" s="2" t="s">
        <v>848</v>
      </c>
      <c r="M1466" s="4" t="s">
        <v>38979</v>
      </c>
    </row>
    <row r="1467" spans="1:13">
      <c r="A1467" s="2">
        <v>4583</v>
      </c>
      <c r="B1467" s="2" t="s">
        <v>3041</v>
      </c>
      <c r="C1467" s="2">
        <v>11</v>
      </c>
      <c r="D1467" s="2">
        <v>341</v>
      </c>
      <c r="E1467" s="2">
        <v>349</v>
      </c>
      <c r="F1467" s="2">
        <v>32441</v>
      </c>
      <c r="G1467" s="2">
        <v>2.9985211199999999</v>
      </c>
      <c r="H1467" s="2">
        <v>1.4990209999999999E-3</v>
      </c>
      <c r="I1467" s="2" t="s">
        <v>38980</v>
      </c>
      <c r="J1467" s="2" t="s">
        <v>38981</v>
      </c>
      <c r="K1467" s="2">
        <v>1.6364769000000001E-2</v>
      </c>
      <c r="L1467" s="2" t="s">
        <v>848</v>
      </c>
      <c r="M1467" s="4" t="s">
        <v>3044</v>
      </c>
    </row>
    <row r="1468" spans="1:13">
      <c r="A1468" s="2">
        <v>4911</v>
      </c>
      <c r="B1468" s="2" t="s">
        <v>1044</v>
      </c>
      <c r="C1468" s="2">
        <v>23</v>
      </c>
      <c r="D1468" s="2">
        <v>341</v>
      </c>
      <c r="E1468" s="2">
        <v>1090</v>
      </c>
      <c r="F1468" s="2">
        <v>32441</v>
      </c>
      <c r="G1468" s="2">
        <v>2.007433614</v>
      </c>
      <c r="H1468" s="2">
        <v>1.5308260000000001E-3</v>
      </c>
      <c r="I1468" s="2" t="s">
        <v>38982</v>
      </c>
      <c r="J1468" s="2" t="s">
        <v>38983</v>
      </c>
      <c r="K1468" s="2">
        <v>1.6681209999999998E-2</v>
      </c>
      <c r="L1468" s="2" t="s">
        <v>848</v>
      </c>
      <c r="M1468" s="4" t="s">
        <v>29511</v>
      </c>
    </row>
    <row r="1469" spans="1:13">
      <c r="A1469" s="2">
        <v>2176</v>
      </c>
      <c r="B1469" s="2" t="s">
        <v>28729</v>
      </c>
      <c r="C1469" s="2">
        <v>8</v>
      </c>
      <c r="D1469" s="2">
        <v>341</v>
      </c>
      <c r="E1469" s="2">
        <v>199</v>
      </c>
      <c r="F1469" s="2">
        <v>32441</v>
      </c>
      <c r="G1469" s="2">
        <v>3.8245184870000002</v>
      </c>
      <c r="H1469" s="2">
        <v>1.5410980000000001E-3</v>
      </c>
      <c r="I1469" s="2" t="s">
        <v>38876</v>
      </c>
      <c r="J1469" s="2" t="s">
        <v>38877</v>
      </c>
      <c r="K1469" s="2">
        <v>1.6762275E-2</v>
      </c>
      <c r="L1469" s="2" t="s">
        <v>848</v>
      </c>
      <c r="M1469" s="4" t="s">
        <v>28732</v>
      </c>
    </row>
    <row r="1470" spans="1:13">
      <c r="A1470" s="2">
        <v>4667</v>
      </c>
      <c r="B1470" s="2" t="s">
        <v>29261</v>
      </c>
      <c r="C1470" s="2">
        <v>10</v>
      </c>
      <c r="D1470" s="2">
        <v>341</v>
      </c>
      <c r="E1470" s="2">
        <v>298</v>
      </c>
      <c r="F1470" s="2">
        <v>32441</v>
      </c>
      <c r="G1470" s="2">
        <v>3.1924462199999999</v>
      </c>
      <c r="H1470" s="2">
        <v>1.5585309999999999E-3</v>
      </c>
      <c r="I1470" s="2" t="s">
        <v>38984</v>
      </c>
      <c r="J1470" s="2" t="s">
        <v>38985</v>
      </c>
      <c r="K1470" s="2">
        <v>1.6920781999999999E-2</v>
      </c>
      <c r="L1470" s="2" t="s">
        <v>848</v>
      </c>
      <c r="M1470" s="4" t="s">
        <v>29264</v>
      </c>
    </row>
    <row r="1471" spans="1:13">
      <c r="A1471" s="2">
        <v>802</v>
      </c>
      <c r="B1471" s="2" t="s">
        <v>29383</v>
      </c>
      <c r="C1471" s="2">
        <v>7</v>
      </c>
      <c r="D1471" s="2">
        <v>341</v>
      </c>
      <c r="E1471" s="2">
        <v>155</v>
      </c>
      <c r="F1471" s="2">
        <v>32441</v>
      </c>
      <c r="G1471" s="2">
        <v>4.2964147199999996</v>
      </c>
      <c r="H1471" s="2">
        <v>1.597245E-3</v>
      </c>
      <c r="I1471" s="2" t="s">
        <v>38796</v>
      </c>
      <c r="J1471" s="2" t="s">
        <v>38797</v>
      </c>
      <c r="K1471" s="2">
        <v>1.7309340999999999E-2</v>
      </c>
      <c r="L1471" s="2" t="s">
        <v>848</v>
      </c>
      <c r="M1471" s="4" t="s">
        <v>29386</v>
      </c>
    </row>
    <row r="1472" spans="1:13">
      <c r="A1472" s="2">
        <v>34631</v>
      </c>
      <c r="B1472" s="2" t="s">
        <v>29737</v>
      </c>
      <c r="C1472" s="2">
        <v>4</v>
      </c>
      <c r="D1472" s="2">
        <v>341</v>
      </c>
      <c r="E1472" s="2">
        <v>45</v>
      </c>
      <c r="F1472" s="2">
        <v>32441</v>
      </c>
      <c r="G1472" s="2">
        <v>8.4564353210000007</v>
      </c>
      <c r="H1472" s="2">
        <v>1.6855290000000001E-3</v>
      </c>
      <c r="I1472" s="2" t="s">
        <v>38986</v>
      </c>
      <c r="J1472" s="2" t="s">
        <v>38987</v>
      </c>
      <c r="K1472" s="2">
        <v>1.8199407000000001E-2</v>
      </c>
      <c r="L1472" s="2" t="s">
        <v>848</v>
      </c>
      <c r="M1472" s="4" t="s">
        <v>29740</v>
      </c>
    </row>
    <row r="1473" spans="1:13">
      <c r="A1473" s="2">
        <v>5156</v>
      </c>
      <c r="B1473" s="2" t="s">
        <v>38988</v>
      </c>
      <c r="C1473" s="2">
        <v>4</v>
      </c>
      <c r="D1473" s="2">
        <v>341</v>
      </c>
      <c r="E1473" s="2">
        <v>45</v>
      </c>
      <c r="F1473" s="2">
        <v>32441</v>
      </c>
      <c r="G1473" s="2">
        <v>8.4564353210000007</v>
      </c>
      <c r="H1473" s="2">
        <v>1.6855290000000001E-3</v>
      </c>
      <c r="I1473" s="2" t="s">
        <v>38989</v>
      </c>
      <c r="J1473" s="2" t="s">
        <v>38990</v>
      </c>
      <c r="K1473" s="2">
        <v>1.8199407000000001E-2</v>
      </c>
      <c r="L1473" s="2" t="s">
        <v>848</v>
      </c>
      <c r="M1473" s="4" t="s">
        <v>38991</v>
      </c>
    </row>
    <row r="1474" spans="1:13">
      <c r="A1474" s="2">
        <v>26171</v>
      </c>
      <c r="B1474" s="2" t="s">
        <v>38992</v>
      </c>
      <c r="C1474" s="2">
        <v>3</v>
      </c>
      <c r="D1474" s="2">
        <v>341</v>
      </c>
      <c r="E1474" s="2">
        <v>20</v>
      </c>
      <c r="F1474" s="2">
        <v>32441</v>
      </c>
      <c r="G1474" s="2">
        <v>14.2702346</v>
      </c>
      <c r="H1474" s="2">
        <v>1.693062E-3</v>
      </c>
      <c r="I1474" s="2" t="s">
        <v>38993</v>
      </c>
      <c r="J1474" s="2" t="s">
        <v>38994</v>
      </c>
      <c r="K1474" s="2">
        <v>1.8214266E-2</v>
      </c>
      <c r="L1474" s="2" t="s">
        <v>848</v>
      </c>
      <c r="M1474" s="4" t="s">
        <v>38995</v>
      </c>
    </row>
    <row r="1475" spans="1:13">
      <c r="A1475" s="2">
        <v>4568</v>
      </c>
      <c r="B1475" s="2" t="s">
        <v>38996</v>
      </c>
      <c r="C1475" s="2">
        <v>3</v>
      </c>
      <c r="D1475" s="2">
        <v>341</v>
      </c>
      <c r="E1475" s="2">
        <v>20</v>
      </c>
      <c r="F1475" s="2">
        <v>32441</v>
      </c>
      <c r="G1475" s="2">
        <v>14.2702346</v>
      </c>
      <c r="H1475" s="2">
        <v>1.693062E-3</v>
      </c>
      <c r="I1475" s="2" t="s">
        <v>38997</v>
      </c>
      <c r="J1475" s="2" t="s">
        <v>38998</v>
      </c>
      <c r="K1475" s="2">
        <v>1.8214266E-2</v>
      </c>
      <c r="L1475" s="2" t="s">
        <v>848</v>
      </c>
      <c r="M1475" s="4" t="s">
        <v>38999</v>
      </c>
    </row>
    <row r="1476" spans="1:13">
      <c r="A1476" s="2">
        <v>1273</v>
      </c>
      <c r="B1476" s="2" t="s">
        <v>28703</v>
      </c>
      <c r="C1476" s="2">
        <v>11</v>
      </c>
      <c r="D1476" s="2">
        <v>341</v>
      </c>
      <c r="E1476" s="2">
        <v>355</v>
      </c>
      <c r="F1476" s="2">
        <v>32441</v>
      </c>
      <c r="G1476" s="2">
        <v>2.9478418899999999</v>
      </c>
      <c r="H1476" s="2">
        <v>1.706834E-3</v>
      </c>
      <c r="I1476" s="2" t="s">
        <v>39000</v>
      </c>
      <c r="J1476" s="2" t="s">
        <v>39001</v>
      </c>
      <c r="K1476" s="2">
        <v>1.8329109999999999E-2</v>
      </c>
      <c r="L1476" s="2" t="s">
        <v>848</v>
      </c>
      <c r="M1476" s="4" t="s">
        <v>28706</v>
      </c>
    </row>
    <row r="1477" spans="1:13">
      <c r="A1477" s="2">
        <v>3115</v>
      </c>
      <c r="B1477" s="2" t="s">
        <v>39002</v>
      </c>
      <c r="C1477" s="2">
        <v>6</v>
      </c>
      <c r="D1477" s="2">
        <v>341</v>
      </c>
      <c r="E1477" s="2">
        <v>115</v>
      </c>
      <c r="F1477" s="2">
        <v>32441</v>
      </c>
      <c r="G1477" s="2">
        <v>4.9635598620000003</v>
      </c>
      <c r="H1477" s="2">
        <v>1.7108939999999999E-3</v>
      </c>
      <c r="I1477" s="2" t="s">
        <v>39003</v>
      </c>
      <c r="J1477" s="2" t="s">
        <v>39004</v>
      </c>
      <c r="K1477" s="2">
        <v>1.8339415000000001E-2</v>
      </c>
      <c r="L1477" s="2" t="s">
        <v>848</v>
      </c>
      <c r="M1477" s="4" t="s">
        <v>39005</v>
      </c>
    </row>
    <row r="1478" spans="1:13">
      <c r="A1478" s="2">
        <v>5102</v>
      </c>
      <c r="B1478" s="2" t="s">
        <v>39006</v>
      </c>
      <c r="C1478" s="2">
        <v>13</v>
      </c>
      <c r="D1478" s="2">
        <v>341</v>
      </c>
      <c r="E1478" s="2">
        <v>468</v>
      </c>
      <c r="F1478" s="2">
        <v>32441</v>
      </c>
      <c r="G1478" s="2">
        <v>2.642636038</v>
      </c>
      <c r="H1478" s="2">
        <v>1.7427180000000001E-3</v>
      </c>
      <c r="I1478" s="2" t="s">
        <v>39007</v>
      </c>
      <c r="J1478" s="2" t="s">
        <v>39008</v>
      </c>
      <c r="K1478" s="2">
        <v>1.8646769000000001E-2</v>
      </c>
      <c r="L1478" s="2" t="s">
        <v>848</v>
      </c>
      <c r="M1478" s="4" t="s">
        <v>39009</v>
      </c>
    </row>
    <row r="1479" spans="1:13">
      <c r="A1479" s="2">
        <v>4162</v>
      </c>
      <c r="B1479" s="2" t="s">
        <v>10416</v>
      </c>
      <c r="C1479" s="2">
        <v>7</v>
      </c>
      <c r="D1479" s="2">
        <v>341</v>
      </c>
      <c r="E1479" s="2">
        <v>158</v>
      </c>
      <c r="F1479" s="2">
        <v>32441</v>
      </c>
      <c r="G1479" s="2">
        <v>4.2148372250000001</v>
      </c>
      <c r="H1479" s="2">
        <v>1.7733099999999999E-3</v>
      </c>
      <c r="I1479" s="2" t="s">
        <v>39010</v>
      </c>
      <c r="J1479" s="2" t="s">
        <v>39011</v>
      </c>
      <c r="K1479" s="2">
        <v>1.8939846999999999E-2</v>
      </c>
      <c r="L1479" s="2" t="s">
        <v>848</v>
      </c>
      <c r="M1479" s="4" t="s">
        <v>10417</v>
      </c>
    </row>
    <row r="1480" spans="1:13">
      <c r="A1480" s="2">
        <v>22641</v>
      </c>
      <c r="B1480" s="2" t="s">
        <v>7971</v>
      </c>
      <c r="C1480" s="2">
        <v>27</v>
      </c>
      <c r="D1480" s="2">
        <v>341</v>
      </c>
      <c r="E1480" s="2">
        <v>1381</v>
      </c>
      <c r="F1480" s="2">
        <v>32441</v>
      </c>
      <c r="G1480" s="2">
        <v>1.8599871320000001</v>
      </c>
      <c r="H1480" s="2">
        <v>1.807971E-3</v>
      </c>
      <c r="I1480" s="2" t="s">
        <v>39012</v>
      </c>
      <c r="J1480" s="2" t="s">
        <v>39013</v>
      </c>
      <c r="K1480" s="2">
        <v>1.9275252E-2</v>
      </c>
      <c r="L1480" s="2" t="s">
        <v>848</v>
      </c>
      <c r="M1480" s="4" t="s">
        <v>7974</v>
      </c>
    </row>
    <row r="1481" spans="1:13">
      <c r="A1481" s="2">
        <v>1754</v>
      </c>
      <c r="B1481" s="2" t="s">
        <v>30225</v>
      </c>
      <c r="C1481" s="2">
        <v>4</v>
      </c>
      <c r="D1481" s="2">
        <v>341</v>
      </c>
      <c r="E1481" s="2">
        <v>46</v>
      </c>
      <c r="F1481" s="2">
        <v>32441</v>
      </c>
      <c r="G1481" s="2">
        <v>8.2725997699999994</v>
      </c>
      <c r="H1481" s="2">
        <v>1.817255E-3</v>
      </c>
      <c r="I1481" s="2" t="s">
        <v>39014</v>
      </c>
      <c r="J1481" s="2" t="s">
        <v>39015</v>
      </c>
      <c r="K1481" s="2">
        <v>1.9339381999999999E-2</v>
      </c>
      <c r="L1481" s="2" t="s">
        <v>848</v>
      </c>
      <c r="M1481" s="4" t="s">
        <v>30228</v>
      </c>
    </row>
    <row r="1482" spans="1:13">
      <c r="A1482" s="2">
        <v>1521</v>
      </c>
      <c r="B1482" s="2" t="s">
        <v>29613</v>
      </c>
      <c r="C1482" s="2">
        <v>5</v>
      </c>
      <c r="D1482" s="2">
        <v>341</v>
      </c>
      <c r="E1482" s="2">
        <v>79</v>
      </c>
      <c r="F1482" s="2">
        <v>32441</v>
      </c>
      <c r="G1482" s="2">
        <v>6.021196035</v>
      </c>
      <c r="H1482" s="2">
        <v>1.8656370000000001E-3</v>
      </c>
      <c r="I1482" s="2" t="s">
        <v>39016</v>
      </c>
      <c r="J1482" s="2" t="s">
        <v>39017</v>
      </c>
      <c r="K1482" s="2">
        <v>1.981863E-2</v>
      </c>
      <c r="L1482" s="2" t="s">
        <v>848</v>
      </c>
      <c r="M1482" s="4" t="s">
        <v>29614</v>
      </c>
    </row>
    <row r="1483" spans="1:13">
      <c r="A1483" s="2">
        <v>29701</v>
      </c>
      <c r="B1483" s="2" t="s">
        <v>39018</v>
      </c>
      <c r="C1483" s="2">
        <v>3</v>
      </c>
      <c r="D1483" s="2">
        <v>341</v>
      </c>
      <c r="E1483" s="2">
        <v>21</v>
      </c>
      <c r="F1483" s="2">
        <v>32441</v>
      </c>
      <c r="G1483" s="2">
        <v>13.590699620000001</v>
      </c>
      <c r="H1483" s="2">
        <v>1.920115E-3</v>
      </c>
      <c r="I1483" s="2" t="s">
        <v>39019</v>
      </c>
      <c r="J1483" s="2" t="s">
        <v>39020</v>
      </c>
      <c r="K1483" s="2">
        <v>2.0360784999999999E-2</v>
      </c>
      <c r="L1483" s="2" t="s">
        <v>848</v>
      </c>
      <c r="M1483" s="4" t="s">
        <v>39021</v>
      </c>
    </row>
    <row r="1484" spans="1:13">
      <c r="A1484" s="2">
        <v>122</v>
      </c>
      <c r="B1484" s="2" t="s">
        <v>28866</v>
      </c>
      <c r="C1484" s="2">
        <v>6</v>
      </c>
      <c r="D1484" s="2">
        <v>341</v>
      </c>
      <c r="E1484" s="2">
        <v>118</v>
      </c>
      <c r="F1484" s="2">
        <v>32441</v>
      </c>
      <c r="G1484" s="2">
        <v>4.8373676620000001</v>
      </c>
      <c r="H1484" s="2">
        <v>1.937119E-3</v>
      </c>
      <c r="I1484" s="2" t="s">
        <v>39022</v>
      </c>
      <c r="J1484" s="2" t="s">
        <v>39023</v>
      </c>
      <c r="K1484" s="2">
        <v>2.0467734000000001E-2</v>
      </c>
      <c r="L1484" s="2" t="s">
        <v>848</v>
      </c>
      <c r="M1484" s="4" t="s">
        <v>28869</v>
      </c>
    </row>
    <row r="1485" spans="1:13">
      <c r="A1485" s="2">
        <v>1725</v>
      </c>
      <c r="B1485" s="2" t="s">
        <v>1142</v>
      </c>
      <c r="C1485" s="2">
        <v>6</v>
      </c>
      <c r="D1485" s="2">
        <v>341</v>
      </c>
      <c r="E1485" s="2">
        <v>118</v>
      </c>
      <c r="F1485" s="2">
        <v>32441</v>
      </c>
      <c r="G1485" s="2">
        <v>4.8373676620000001</v>
      </c>
      <c r="H1485" s="2">
        <v>1.937119E-3</v>
      </c>
      <c r="I1485" s="2" t="s">
        <v>39024</v>
      </c>
      <c r="J1485" s="2" t="s">
        <v>39025</v>
      </c>
      <c r="K1485" s="2">
        <v>2.0467734000000001E-2</v>
      </c>
      <c r="L1485" s="2" t="s">
        <v>848</v>
      </c>
      <c r="M1485" s="4" t="s">
        <v>28872</v>
      </c>
    </row>
    <row r="1486" spans="1:13">
      <c r="A1486" s="2">
        <v>5033</v>
      </c>
      <c r="B1486" s="2" t="s">
        <v>28469</v>
      </c>
      <c r="C1486" s="2">
        <v>12</v>
      </c>
      <c r="D1486" s="2">
        <v>341</v>
      </c>
      <c r="E1486" s="2">
        <v>420</v>
      </c>
      <c r="F1486" s="2">
        <v>32441</v>
      </c>
      <c r="G1486" s="2">
        <v>2.718139925</v>
      </c>
      <c r="H1486" s="2">
        <v>2.0677209999999998E-3</v>
      </c>
      <c r="I1486" s="2" t="s">
        <v>39026</v>
      </c>
      <c r="J1486" s="2" t="s">
        <v>39027</v>
      </c>
      <c r="K1486" s="2">
        <v>2.1808747E-2</v>
      </c>
      <c r="L1486" s="2" t="s">
        <v>848</v>
      </c>
      <c r="M1486" s="4" t="s">
        <v>28472</v>
      </c>
    </row>
    <row r="1487" spans="1:13">
      <c r="A1487" s="2">
        <v>5194</v>
      </c>
      <c r="B1487" s="2" t="s">
        <v>8599</v>
      </c>
      <c r="C1487" s="2">
        <v>17</v>
      </c>
      <c r="D1487" s="2">
        <v>341</v>
      </c>
      <c r="E1487" s="2">
        <v>722</v>
      </c>
      <c r="F1487" s="2">
        <v>32441</v>
      </c>
      <c r="G1487" s="2">
        <v>2.240018359</v>
      </c>
      <c r="H1487" s="2">
        <v>2.0890370000000002E-3</v>
      </c>
      <c r="I1487" s="2" t="s">
        <v>39028</v>
      </c>
      <c r="J1487" s="2" t="s">
        <v>39029</v>
      </c>
      <c r="K1487" s="2">
        <v>2.1994360000000001E-2</v>
      </c>
      <c r="L1487" s="2" t="s">
        <v>848</v>
      </c>
      <c r="M1487" s="4" t="s">
        <v>8602</v>
      </c>
    </row>
    <row r="1488" spans="1:13">
      <c r="A1488" s="2">
        <v>2520</v>
      </c>
      <c r="B1488" s="2" t="s">
        <v>10801</v>
      </c>
      <c r="C1488" s="2">
        <v>6</v>
      </c>
      <c r="D1488" s="2">
        <v>341</v>
      </c>
      <c r="E1488" s="2">
        <v>121</v>
      </c>
      <c r="F1488" s="2">
        <v>32441</v>
      </c>
      <c r="G1488" s="2">
        <v>4.7174329269999999</v>
      </c>
      <c r="H1488" s="2">
        <v>2.1852759999999999E-3</v>
      </c>
      <c r="I1488" s="2" t="s">
        <v>39030</v>
      </c>
      <c r="J1488" s="2" t="s">
        <v>39031</v>
      </c>
      <c r="K1488" s="2">
        <v>2.2966744000000001E-2</v>
      </c>
      <c r="L1488" s="2" t="s">
        <v>848</v>
      </c>
      <c r="M1488" s="4" t="s">
        <v>10802</v>
      </c>
    </row>
    <row r="1489" spans="1:13">
      <c r="A1489" s="2">
        <v>3883</v>
      </c>
      <c r="B1489" s="2" t="s">
        <v>3034</v>
      </c>
      <c r="C1489" s="2">
        <v>11</v>
      </c>
      <c r="D1489" s="2">
        <v>341</v>
      </c>
      <c r="E1489" s="2">
        <v>367</v>
      </c>
      <c r="F1489" s="2">
        <v>32441</v>
      </c>
      <c r="G1489" s="2">
        <v>2.8514546890000001</v>
      </c>
      <c r="H1489" s="2">
        <v>2.193188E-3</v>
      </c>
      <c r="I1489" s="2" t="s">
        <v>38643</v>
      </c>
      <c r="J1489" s="2" t="s">
        <v>38644</v>
      </c>
      <c r="K1489" s="2">
        <v>2.3009033000000002E-2</v>
      </c>
      <c r="L1489" s="2" t="s">
        <v>848</v>
      </c>
      <c r="M1489" s="4" t="s">
        <v>3037</v>
      </c>
    </row>
    <row r="1490" spans="1:13">
      <c r="A1490" s="2">
        <v>4607</v>
      </c>
      <c r="B1490" s="2" t="s">
        <v>29110</v>
      </c>
      <c r="C1490" s="2">
        <v>9</v>
      </c>
      <c r="D1490" s="2">
        <v>341</v>
      </c>
      <c r="E1490" s="2">
        <v>262</v>
      </c>
      <c r="F1490" s="2">
        <v>32441</v>
      </c>
      <c r="G1490" s="2">
        <v>3.2679926570000002</v>
      </c>
      <c r="H1490" s="2">
        <v>2.2675619999999999E-3</v>
      </c>
      <c r="I1490" s="2" t="s">
        <v>39032</v>
      </c>
      <c r="J1490" s="2" t="s">
        <v>39033</v>
      </c>
      <c r="K1490" s="2">
        <v>2.3747191000000001E-2</v>
      </c>
      <c r="L1490" s="2" t="s">
        <v>848</v>
      </c>
      <c r="M1490" s="4" t="s">
        <v>29113</v>
      </c>
    </row>
    <row r="1491" spans="1:13">
      <c r="A1491" s="2">
        <v>12381</v>
      </c>
      <c r="B1491" s="2" t="s">
        <v>9388</v>
      </c>
      <c r="C1491" s="2">
        <v>11</v>
      </c>
      <c r="D1491" s="2">
        <v>341</v>
      </c>
      <c r="E1491" s="2">
        <v>370</v>
      </c>
      <c r="F1491" s="2">
        <v>32441</v>
      </c>
      <c r="G1491" s="2">
        <v>2.8283347860000001</v>
      </c>
      <c r="H1491" s="2">
        <v>2.3308740000000001E-3</v>
      </c>
      <c r="I1491" s="2" t="s">
        <v>39034</v>
      </c>
      <c r="J1491" s="2" t="s">
        <v>39035</v>
      </c>
      <c r="K1491" s="2">
        <v>2.4367105999999999E-2</v>
      </c>
      <c r="L1491" s="2" t="s">
        <v>848</v>
      </c>
      <c r="M1491" s="4" t="s">
        <v>9391</v>
      </c>
    </row>
    <row r="1492" spans="1:13">
      <c r="A1492" s="2">
        <v>2752</v>
      </c>
      <c r="B1492" s="2" t="s">
        <v>903</v>
      </c>
      <c r="C1492" s="2">
        <v>12</v>
      </c>
      <c r="D1492" s="2">
        <v>341</v>
      </c>
      <c r="E1492" s="2">
        <v>427</v>
      </c>
      <c r="F1492" s="2">
        <v>32441</v>
      </c>
      <c r="G1492" s="2">
        <v>2.673580254</v>
      </c>
      <c r="H1492" s="2">
        <v>2.3582490000000002E-3</v>
      </c>
      <c r="I1492" s="2" t="s">
        <v>39036</v>
      </c>
      <c r="J1492" s="2" t="s">
        <v>39037</v>
      </c>
      <c r="K1492" s="2">
        <v>2.4609809E-2</v>
      </c>
      <c r="L1492" s="2" t="s">
        <v>848</v>
      </c>
      <c r="M1492" s="4" t="s">
        <v>29592</v>
      </c>
    </row>
    <row r="1493" spans="1:13">
      <c r="A1493" s="2">
        <v>3136</v>
      </c>
      <c r="B1493" s="2" t="s">
        <v>30365</v>
      </c>
      <c r="C1493" s="2">
        <v>4</v>
      </c>
      <c r="D1493" s="2">
        <v>341</v>
      </c>
      <c r="E1493" s="2">
        <v>50</v>
      </c>
      <c r="F1493" s="2">
        <v>32441</v>
      </c>
      <c r="G1493" s="2">
        <v>7.6107917890000003</v>
      </c>
      <c r="H1493" s="2">
        <v>2.4156619999999998E-3</v>
      </c>
      <c r="I1493" s="2" t="s">
        <v>39038</v>
      </c>
      <c r="J1493" s="2" t="s">
        <v>39039</v>
      </c>
      <c r="K1493" s="2">
        <v>2.5164558E-2</v>
      </c>
      <c r="L1493" s="2" t="s">
        <v>848</v>
      </c>
      <c r="M1493" s="4" t="s">
        <v>30368</v>
      </c>
    </row>
    <row r="1494" spans="1:13">
      <c r="A1494" s="2">
        <v>12081</v>
      </c>
      <c r="B1494" s="2" t="s">
        <v>39040</v>
      </c>
      <c r="C1494" s="2">
        <v>3</v>
      </c>
      <c r="D1494" s="2">
        <v>341</v>
      </c>
      <c r="E1494" s="2">
        <v>23</v>
      </c>
      <c r="F1494" s="2">
        <v>32441</v>
      </c>
      <c r="G1494" s="2">
        <v>12.408899659999999</v>
      </c>
      <c r="H1494" s="2">
        <v>2.4289580000000002E-3</v>
      </c>
      <c r="I1494" s="2" t="s">
        <v>39041</v>
      </c>
      <c r="J1494" s="2" t="s">
        <v>39042</v>
      </c>
      <c r="K1494" s="2">
        <v>2.5258605999999999E-2</v>
      </c>
      <c r="L1494" s="2" t="s">
        <v>848</v>
      </c>
      <c r="M1494" s="4" t="s">
        <v>39043</v>
      </c>
    </row>
    <row r="1495" spans="1:13">
      <c r="A1495" s="2">
        <v>3221</v>
      </c>
      <c r="B1495" s="2" t="s">
        <v>915</v>
      </c>
      <c r="C1495" s="2">
        <v>15</v>
      </c>
      <c r="D1495" s="2">
        <v>341</v>
      </c>
      <c r="E1495" s="2">
        <v>611</v>
      </c>
      <c r="F1495" s="2">
        <v>32441</v>
      </c>
      <c r="G1495" s="2">
        <v>2.335553945</v>
      </c>
      <c r="H1495" s="2">
        <v>2.5630470000000002E-3</v>
      </c>
      <c r="I1495" s="2" t="s">
        <v>39044</v>
      </c>
      <c r="J1495" s="2" t="s">
        <v>39045</v>
      </c>
      <c r="K1495" s="2">
        <v>2.6606226E-2</v>
      </c>
      <c r="L1495" s="2" t="s">
        <v>848</v>
      </c>
      <c r="M1495" s="4" t="s">
        <v>3049</v>
      </c>
    </row>
    <row r="1496" spans="1:13">
      <c r="A1496" s="2">
        <v>3624</v>
      </c>
      <c r="B1496" s="2" t="s">
        <v>39046</v>
      </c>
      <c r="C1496" s="2">
        <v>4</v>
      </c>
      <c r="D1496" s="2">
        <v>341</v>
      </c>
      <c r="E1496" s="2">
        <v>51</v>
      </c>
      <c r="F1496" s="2">
        <v>32441</v>
      </c>
      <c r="G1496" s="2">
        <v>7.4615605770000002</v>
      </c>
      <c r="H1496" s="2">
        <v>2.5840590000000001E-3</v>
      </c>
      <c r="I1496" s="2" t="s">
        <v>38769</v>
      </c>
      <c r="J1496" s="2" t="s">
        <v>38770</v>
      </c>
      <c r="K1496" s="2">
        <v>2.6777362999999998E-2</v>
      </c>
      <c r="L1496" s="2" t="s">
        <v>848</v>
      </c>
      <c r="M1496" s="4" t="s">
        <v>39047</v>
      </c>
    </row>
    <row r="1497" spans="1:13">
      <c r="A1497" s="2">
        <v>3372</v>
      </c>
      <c r="B1497" s="2" t="s">
        <v>10871</v>
      </c>
      <c r="C1497" s="2">
        <v>8</v>
      </c>
      <c r="D1497" s="2">
        <v>341</v>
      </c>
      <c r="E1497" s="2">
        <v>218</v>
      </c>
      <c r="F1497" s="2">
        <v>32441</v>
      </c>
      <c r="G1497" s="2">
        <v>3.491188894</v>
      </c>
      <c r="H1497" s="2">
        <v>2.6595669999999998E-3</v>
      </c>
      <c r="I1497" s="2" t="s">
        <v>39048</v>
      </c>
      <c r="J1497" s="2" t="s">
        <v>39049</v>
      </c>
      <c r="K1497" s="2">
        <v>2.7511636999999999E-2</v>
      </c>
      <c r="L1497" s="2" t="s">
        <v>848</v>
      </c>
      <c r="M1497" s="4" t="s">
        <v>10872</v>
      </c>
    </row>
    <row r="1498" spans="1:13">
      <c r="A1498" s="2">
        <v>1112</v>
      </c>
      <c r="B1498" s="2" t="s">
        <v>39050</v>
      </c>
      <c r="C1498" s="2">
        <v>3</v>
      </c>
      <c r="D1498" s="2">
        <v>341</v>
      </c>
      <c r="E1498" s="2">
        <v>24</v>
      </c>
      <c r="F1498" s="2">
        <v>32441</v>
      </c>
      <c r="G1498" s="2">
        <v>11.89186217</v>
      </c>
      <c r="H1498" s="2">
        <v>2.711691E-3</v>
      </c>
      <c r="I1498" s="2" t="s">
        <v>39051</v>
      </c>
      <c r="J1498" s="2" t="s">
        <v>39052</v>
      </c>
      <c r="K1498" s="2">
        <v>2.7904483000000001E-2</v>
      </c>
      <c r="L1498" s="2" t="s">
        <v>848</v>
      </c>
      <c r="M1498" s="4" t="s">
        <v>39053</v>
      </c>
    </row>
    <row r="1499" spans="1:13">
      <c r="A1499" s="2">
        <v>2696</v>
      </c>
      <c r="B1499" s="2" t="s">
        <v>9962</v>
      </c>
      <c r="C1499" s="2">
        <v>3</v>
      </c>
      <c r="D1499" s="2">
        <v>341</v>
      </c>
      <c r="E1499" s="2">
        <v>24</v>
      </c>
      <c r="F1499" s="2">
        <v>32441</v>
      </c>
      <c r="G1499" s="2">
        <v>11.89186217</v>
      </c>
      <c r="H1499" s="2">
        <v>2.711691E-3</v>
      </c>
      <c r="I1499" s="2" t="s">
        <v>38873</v>
      </c>
      <c r="J1499" s="2" t="s">
        <v>38874</v>
      </c>
      <c r="K1499" s="2">
        <v>2.7904483000000001E-2</v>
      </c>
      <c r="L1499" s="2" t="s">
        <v>848</v>
      </c>
      <c r="M1499" s="4" t="s">
        <v>9965</v>
      </c>
    </row>
    <row r="1500" spans="1:13">
      <c r="A1500" s="2">
        <v>5302</v>
      </c>
      <c r="B1500" s="2" t="s">
        <v>39054</v>
      </c>
      <c r="C1500" s="2">
        <v>3</v>
      </c>
      <c r="D1500" s="2">
        <v>341</v>
      </c>
      <c r="E1500" s="2">
        <v>24</v>
      </c>
      <c r="F1500" s="2">
        <v>32441</v>
      </c>
      <c r="G1500" s="2">
        <v>11.89186217</v>
      </c>
      <c r="H1500" s="2">
        <v>2.711691E-3</v>
      </c>
      <c r="I1500" s="2" t="s">
        <v>39055</v>
      </c>
      <c r="J1500" s="2" t="s">
        <v>39056</v>
      </c>
      <c r="K1500" s="2">
        <v>2.7904483000000001E-2</v>
      </c>
      <c r="L1500" s="2" t="s">
        <v>848</v>
      </c>
      <c r="M1500" s="4" t="s">
        <v>39057</v>
      </c>
    </row>
    <row r="1501" spans="1:13">
      <c r="A1501" s="2">
        <v>24921</v>
      </c>
      <c r="B1501" s="2" t="s">
        <v>9093</v>
      </c>
      <c r="C1501" s="2">
        <v>19</v>
      </c>
      <c r="D1501" s="2">
        <v>341</v>
      </c>
      <c r="E1501" s="2">
        <v>872</v>
      </c>
      <c r="F1501" s="2">
        <v>32441</v>
      </c>
      <c r="G1501" s="2">
        <v>2.0728934059999999</v>
      </c>
      <c r="H1501" s="2">
        <v>2.7328119999999998E-3</v>
      </c>
      <c r="I1501" s="2" t="s">
        <v>39058</v>
      </c>
      <c r="J1501" s="2" t="s">
        <v>39059</v>
      </c>
      <c r="K1501" s="2">
        <v>2.8073002E-2</v>
      </c>
      <c r="L1501" s="2" t="s">
        <v>848</v>
      </c>
      <c r="M1501" s="4" t="s">
        <v>9096</v>
      </c>
    </row>
    <row r="1502" spans="1:13">
      <c r="A1502" s="2">
        <v>5080</v>
      </c>
      <c r="B1502" s="2" t="s">
        <v>30423</v>
      </c>
      <c r="C1502" s="2">
        <v>4</v>
      </c>
      <c r="D1502" s="2">
        <v>341</v>
      </c>
      <c r="E1502" s="2">
        <v>52</v>
      </c>
      <c r="F1502" s="2">
        <v>32441</v>
      </c>
      <c r="G1502" s="2">
        <v>7.318069028</v>
      </c>
      <c r="H1502" s="2">
        <v>2.7603369999999999E-3</v>
      </c>
      <c r="I1502" s="2" t="s">
        <v>39060</v>
      </c>
      <c r="J1502" s="2" t="s">
        <v>39061</v>
      </c>
      <c r="K1502" s="2">
        <v>2.8306606000000002E-2</v>
      </c>
      <c r="L1502" s="2" t="s">
        <v>848</v>
      </c>
      <c r="M1502" s="4" t="s">
        <v>30426</v>
      </c>
    </row>
    <row r="1503" spans="1:13">
      <c r="A1503" s="2">
        <v>16961</v>
      </c>
      <c r="B1503" s="2" t="s">
        <v>10895</v>
      </c>
      <c r="C1503" s="2">
        <v>8</v>
      </c>
      <c r="D1503" s="2">
        <v>341</v>
      </c>
      <c r="E1503" s="2">
        <v>220</v>
      </c>
      <c r="F1503" s="2">
        <v>32441</v>
      </c>
      <c r="G1503" s="2">
        <v>3.4594508130000001</v>
      </c>
      <c r="H1503" s="2">
        <v>2.8068070000000001E-3</v>
      </c>
      <c r="I1503" s="2" t="s">
        <v>39062</v>
      </c>
      <c r="J1503" s="2" t="s">
        <v>39063</v>
      </c>
      <c r="K1503" s="2">
        <v>2.8733356000000002E-2</v>
      </c>
      <c r="L1503" s="2" t="s">
        <v>848</v>
      </c>
      <c r="M1503" s="4" t="s">
        <v>10896</v>
      </c>
    </row>
    <row r="1504" spans="1:13">
      <c r="A1504" s="2">
        <v>543</v>
      </c>
      <c r="B1504" s="2" t="s">
        <v>39064</v>
      </c>
      <c r="C1504" s="2">
        <v>4</v>
      </c>
      <c r="D1504" s="2">
        <v>341</v>
      </c>
      <c r="E1504" s="2">
        <v>53</v>
      </c>
      <c r="F1504" s="2">
        <v>32441</v>
      </c>
      <c r="G1504" s="2">
        <v>7.1799922540000001</v>
      </c>
      <c r="H1504" s="2">
        <v>2.9446749999999999E-3</v>
      </c>
      <c r="I1504" s="2" t="s">
        <v>39065</v>
      </c>
      <c r="J1504" s="2" t="s">
        <v>39066</v>
      </c>
      <c r="K1504" s="2">
        <v>3.004076E-2</v>
      </c>
      <c r="L1504" s="2" t="s">
        <v>848</v>
      </c>
      <c r="M1504" s="4" t="s">
        <v>39067</v>
      </c>
    </row>
    <row r="1505" spans="1:13">
      <c r="A1505" s="2">
        <v>3224</v>
      </c>
      <c r="B1505" s="2" t="s">
        <v>39068</v>
      </c>
      <c r="C1505" s="2">
        <v>4</v>
      </c>
      <c r="D1505" s="2">
        <v>341</v>
      </c>
      <c r="E1505" s="2">
        <v>53</v>
      </c>
      <c r="F1505" s="2">
        <v>32441</v>
      </c>
      <c r="G1505" s="2">
        <v>7.1799922540000001</v>
      </c>
      <c r="H1505" s="2">
        <v>2.9446749999999999E-3</v>
      </c>
      <c r="I1505" s="2" t="s">
        <v>39069</v>
      </c>
      <c r="J1505" s="2" t="s">
        <v>39070</v>
      </c>
      <c r="K1505" s="2">
        <v>3.004076E-2</v>
      </c>
      <c r="L1505" s="2" t="s">
        <v>848</v>
      </c>
      <c r="M1505" s="4" t="s">
        <v>39071</v>
      </c>
    </row>
    <row r="1506" spans="1:13">
      <c r="A1506" s="2">
        <v>2306</v>
      </c>
      <c r="B1506" s="2" t="s">
        <v>39072</v>
      </c>
      <c r="C1506" s="2">
        <v>6</v>
      </c>
      <c r="D1506" s="2">
        <v>341</v>
      </c>
      <c r="E1506" s="2">
        <v>129</v>
      </c>
      <c r="F1506" s="2">
        <v>32441</v>
      </c>
      <c r="G1506" s="2">
        <v>4.4248789469999998</v>
      </c>
      <c r="H1506" s="2">
        <v>2.9643289999999999E-3</v>
      </c>
      <c r="I1506" s="2" t="s">
        <v>39073</v>
      </c>
      <c r="J1506" s="2" t="s">
        <v>39074</v>
      </c>
      <c r="K1506" s="2">
        <v>3.0189212999999999E-2</v>
      </c>
      <c r="L1506" s="2" t="s">
        <v>848</v>
      </c>
      <c r="M1506" s="4" t="s">
        <v>39075</v>
      </c>
    </row>
    <row r="1507" spans="1:13">
      <c r="A1507" s="2">
        <v>28121</v>
      </c>
      <c r="B1507" s="2" t="s">
        <v>889</v>
      </c>
      <c r="C1507" s="2">
        <v>12</v>
      </c>
      <c r="D1507" s="2">
        <v>341</v>
      </c>
      <c r="E1507" s="2">
        <v>440</v>
      </c>
      <c r="F1507" s="2">
        <v>32441</v>
      </c>
      <c r="G1507" s="2">
        <v>2.5945881100000001</v>
      </c>
      <c r="H1507" s="2">
        <v>2.9860139999999999E-3</v>
      </c>
      <c r="I1507" s="2" t="s">
        <v>39076</v>
      </c>
      <c r="J1507" s="2" t="s">
        <v>39077</v>
      </c>
      <c r="K1507" s="2">
        <v>3.0357806000000001E-2</v>
      </c>
      <c r="L1507" s="2" t="s">
        <v>848</v>
      </c>
      <c r="M1507" s="4" t="s">
        <v>28588</v>
      </c>
    </row>
    <row r="1508" spans="1:13">
      <c r="A1508" s="2">
        <v>1260</v>
      </c>
      <c r="B1508" s="2" t="s">
        <v>39078</v>
      </c>
      <c r="C1508" s="2">
        <v>3</v>
      </c>
      <c r="D1508" s="2">
        <v>341</v>
      </c>
      <c r="E1508" s="2">
        <v>25</v>
      </c>
      <c r="F1508" s="2">
        <v>32441</v>
      </c>
      <c r="G1508" s="2">
        <v>11.41618768</v>
      </c>
      <c r="H1508" s="2">
        <v>3.0138919999999998E-3</v>
      </c>
      <c r="I1508" s="2" t="s">
        <v>38739</v>
      </c>
      <c r="J1508" s="2" t="s">
        <v>38740</v>
      </c>
      <c r="K1508" s="2">
        <v>3.0536298999999999E-2</v>
      </c>
      <c r="L1508" s="2" t="s">
        <v>848</v>
      </c>
      <c r="M1508" s="4" t="s">
        <v>39079</v>
      </c>
    </row>
    <row r="1509" spans="1:13">
      <c r="A1509" s="2">
        <v>1845</v>
      </c>
      <c r="B1509" s="2" t="s">
        <v>39080</v>
      </c>
      <c r="C1509" s="2">
        <v>3</v>
      </c>
      <c r="D1509" s="2">
        <v>341</v>
      </c>
      <c r="E1509" s="2">
        <v>25</v>
      </c>
      <c r="F1509" s="2">
        <v>32441</v>
      </c>
      <c r="G1509" s="2">
        <v>11.41618768</v>
      </c>
      <c r="H1509" s="2">
        <v>3.0138919999999998E-3</v>
      </c>
      <c r="I1509" s="2" t="s">
        <v>39081</v>
      </c>
      <c r="J1509" s="2" t="s">
        <v>39082</v>
      </c>
      <c r="K1509" s="2">
        <v>3.0536298999999999E-2</v>
      </c>
      <c r="L1509" s="2" t="s">
        <v>848</v>
      </c>
      <c r="M1509" s="4" t="s">
        <v>39083</v>
      </c>
    </row>
    <row r="1510" spans="1:13">
      <c r="A1510" s="2">
        <v>5748</v>
      </c>
      <c r="B1510" s="2" t="s">
        <v>11468</v>
      </c>
      <c r="C1510" s="2">
        <v>15</v>
      </c>
      <c r="D1510" s="2">
        <v>341</v>
      </c>
      <c r="E1510" s="2">
        <v>624</v>
      </c>
      <c r="F1510" s="2">
        <v>32441</v>
      </c>
      <c r="G1510" s="2">
        <v>2.2868965710000002</v>
      </c>
      <c r="H1510" s="2">
        <v>3.1051640000000001E-3</v>
      </c>
      <c r="I1510" s="2" t="s">
        <v>39084</v>
      </c>
      <c r="J1510" s="2" t="s">
        <v>39085</v>
      </c>
      <c r="K1510" s="2">
        <v>3.1407275999999998E-2</v>
      </c>
      <c r="L1510" s="2" t="s">
        <v>848</v>
      </c>
      <c r="M1510" s="4" t="s">
        <v>11471</v>
      </c>
    </row>
    <row r="1511" spans="1:13">
      <c r="A1511" s="2">
        <v>47431</v>
      </c>
      <c r="B1511" s="2" t="s">
        <v>39086</v>
      </c>
      <c r="C1511" s="2">
        <v>4</v>
      </c>
      <c r="D1511" s="2">
        <v>341</v>
      </c>
      <c r="E1511" s="2">
        <v>54</v>
      </c>
      <c r="F1511" s="2">
        <v>32441</v>
      </c>
      <c r="G1511" s="2">
        <v>7.0470294339999997</v>
      </c>
      <c r="H1511" s="2">
        <v>3.1372499999999998E-3</v>
      </c>
      <c r="I1511" s="2" t="s">
        <v>39087</v>
      </c>
      <c r="J1511" s="2" t="s">
        <v>39088</v>
      </c>
      <c r="K1511" s="2">
        <v>3.1677661000000003E-2</v>
      </c>
      <c r="L1511" s="2" t="s">
        <v>848</v>
      </c>
      <c r="M1511" s="4" t="s">
        <v>39089</v>
      </c>
    </row>
    <row r="1512" spans="1:13">
      <c r="A1512" s="2">
        <v>1668</v>
      </c>
      <c r="B1512" s="2" t="s">
        <v>39090</v>
      </c>
      <c r="C1512" s="2">
        <v>6</v>
      </c>
      <c r="D1512" s="2">
        <v>341</v>
      </c>
      <c r="E1512" s="2">
        <v>131</v>
      </c>
      <c r="F1512" s="2">
        <v>32441</v>
      </c>
      <c r="G1512" s="2">
        <v>4.3573235429999997</v>
      </c>
      <c r="H1512" s="2">
        <v>3.1879170000000002E-3</v>
      </c>
      <c r="I1512" s="2" t="s">
        <v>39091</v>
      </c>
      <c r="J1512" s="2" t="s">
        <v>39092</v>
      </c>
      <c r="K1512" s="2">
        <v>3.2122754000000003E-2</v>
      </c>
      <c r="L1512" s="2" t="s">
        <v>848</v>
      </c>
      <c r="M1512" s="4" t="s">
        <v>39093</v>
      </c>
    </row>
    <row r="1513" spans="1:13">
      <c r="A1513" s="2">
        <v>38261</v>
      </c>
      <c r="B1513" s="2" t="s">
        <v>39094</v>
      </c>
      <c r="C1513" s="2">
        <v>5</v>
      </c>
      <c r="D1513" s="2">
        <v>341</v>
      </c>
      <c r="E1513" s="2">
        <v>90</v>
      </c>
      <c r="F1513" s="2">
        <v>32441</v>
      </c>
      <c r="G1513" s="2">
        <v>5.285272076</v>
      </c>
      <c r="H1513" s="2">
        <v>3.1921889999999998E-3</v>
      </c>
      <c r="I1513" s="2" t="s">
        <v>39095</v>
      </c>
      <c r="J1513" s="2" t="s">
        <v>39096</v>
      </c>
      <c r="K1513" s="2">
        <v>3.2122754000000003E-2</v>
      </c>
      <c r="L1513" s="2" t="s">
        <v>848</v>
      </c>
      <c r="M1513" s="4" t="s">
        <v>39097</v>
      </c>
    </row>
    <row r="1514" spans="1:13">
      <c r="A1514" s="2">
        <v>3098</v>
      </c>
      <c r="B1514" s="2" t="s">
        <v>28546</v>
      </c>
      <c r="C1514" s="2">
        <v>16</v>
      </c>
      <c r="D1514" s="2">
        <v>341</v>
      </c>
      <c r="E1514" s="2">
        <v>691</v>
      </c>
      <c r="F1514" s="2">
        <v>32441</v>
      </c>
      <c r="G1514" s="2">
        <v>2.2028340919999998</v>
      </c>
      <c r="H1514" s="2">
        <v>3.2749379999999998E-3</v>
      </c>
      <c r="I1514" s="2" t="s">
        <v>39098</v>
      </c>
      <c r="J1514" s="2" t="s">
        <v>39099</v>
      </c>
      <c r="K1514" s="2">
        <v>3.2899502999999997E-2</v>
      </c>
      <c r="L1514" s="2" t="s">
        <v>848</v>
      </c>
      <c r="M1514" s="4" t="s">
        <v>28549</v>
      </c>
    </row>
    <row r="1515" spans="1:13">
      <c r="A1515" s="2">
        <v>62</v>
      </c>
      <c r="B1515" s="2" t="s">
        <v>39100</v>
      </c>
      <c r="C1515" s="2">
        <v>3</v>
      </c>
      <c r="D1515" s="2">
        <v>341</v>
      </c>
      <c r="E1515" s="2">
        <v>26</v>
      </c>
      <c r="F1515" s="2">
        <v>32441</v>
      </c>
      <c r="G1515" s="2">
        <v>10.97710354</v>
      </c>
      <c r="H1515" s="2">
        <v>3.3359800000000001E-3</v>
      </c>
      <c r="I1515" s="2" t="s">
        <v>39101</v>
      </c>
      <c r="J1515" s="2" t="s">
        <v>39102</v>
      </c>
      <c r="K1515" s="2">
        <v>3.3265098999999999E-2</v>
      </c>
      <c r="L1515" s="2" t="s">
        <v>848</v>
      </c>
      <c r="M1515" s="4" t="s">
        <v>39103</v>
      </c>
    </row>
    <row r="1516" spans="1:13">
      <c r="A1516" s="2">
        <v>502</v>
      </c>
      <c r="B1516" s="2" t="s">
        <v>39104</v>
      </c>
      <c r="C1516" s="2">
        <v>5</v>
      </c>
      <c r="D1516" s="2">
        <v>341</v>
      </c>
      <c r="E1516" s="2">
        <v>91</v>
      </c>
      <c r="F1516" s="2">
        <v>32441</v>
      </c>
      <c r="G1516" s="2">
        <v>5.2271921629999998</v>
      </c>
      <c r="H1516" s="2">
        <v>3.3394399999999999E-3</v>
      </c>
      <c r="I1516" s="2" t="s">
        <v>38853</v>
      </c>
      <c r="J1516" s="2" t="s">
        <v>38854</v>
      </c>
      <c r="K1516" s="2">
        <v>3.3265098999999999E-2</v>
      </c>
      <c r="L1516" s="2" t="s">
        <v>848</v>
      </c>
      <c r="M1516" s="4" t="s">
        <v>39105</v>
      </c>
    </row>
    <row r="1517" spans="1:13">
      <c r="A1517" s="2">
        <v>768</v>
      </c>
      <c r="B1517" s="2" t="s">
        <v>39106</v>
      </c>
      <c r="C1517" s="2">
        <v>3</v>
      </c>
      <c r="D1517" s="2">
        <v>341</v>
      </c>
      <c r="E1517" s="2">
        <v>26</v>
      </c>
      <c r="F1517" s="2">
        <v>32441</v>
      </c>
      <c r="G1517" s="2">
        <v>10.97710354</v>
      </c>
      <c r="H1517" s="2">
        <v>3.3359800000000001E-3</v>
      </c>
      <c r="I1517" s="2" t="s">
        <v>39107</v>
      </c>
      <c r="J1517" s="2" t="s">
        <v>39108</v>
      </c>
      <c r="K1517" s="2">
        <v>3.3265098999999999E-2</v>
      </c>
      <c r="L1517" s="2" t="s">
        <v>848</v>
      </c>
      <c r="M1517" s="4" t="s">
        <v>39109</v>
      </c>
    </row>
    <row r="1518" spans="1:13">
      <c r="A1518" s="2">
        <v>37891</v>
      </c>
      <c r="B1518" s="2" t="s">
        <v>39110</v>
      </c>
      <c r="C1518" s="2">
        <v>4</v>
      </c>
      <c r="D1518" s="2">
        <v>341</v>
      </c>
      <c r="E1518" s="2">
        <v>55</v>
      </c>
      <c r="F1518" s="2">
        <v>32441</v>
      </c>
      <c r="G1518" s="2">
        <v>6.9189016260000002</v>
      </c>
      <c r="H1518" s="2">
        <v>3.3382379999999999E-3</v>
      </c>
      <c r="I1518" s="2" t="s">
        <v>38961</v>
      </c>
      <c r="J1518" s="2" t="s">
        <v>38962</v>
      </c>
      <c r="K1518" s="2">
        <v>3.3265098999999999E-2</v>
      </c>
      <c r="L1518" s="2" t="s">
        <v>848</v>
      </c>
      <c r="M1518" s="4" t="s">
        <v>39111</v>
      </c>
    </row>
    <row r="1519" spans="1:13">
      <c r="A1519" s="2">
        <v>3950</v>
      </c>
      <c r="B1519" s="2" t="s">
        <v>29269</v>
      </c>
      <c r="C1519" s="2">
        <v>4</v>
      </c>
      <c r="D1519" s="2">
        <v>341</v>
      </c>
      <c r="E1519" s="2">
        <v>55</v>
      </c>
      <c r="F1519" s="2">
        <v>32441</v>
      </c>
      <c r="G1519" s="2">
        <v>6.9189016260000002</v>
      </c>
      <c r="H1519" s="2">
        <v>3.3382379999999999E-3</v>
      </c>
      <c r="I1519" s="2" t="s">
        <v>39112</v>
      </c>
      <c r="J1519" s="2" t="s">
        <v>39113</v>
      </c>
      <c r="K1519" s="2">
        <v>3.3265098999999999E-2</v>
      </c>
      <c r="L1519" s="2" t="s">
        <v>848</v>
      </c>
      <c r="M1519" s="4" t="s">
        <v>29272</v>
      </c>
    </row>
    <row r="1520" spans="1:13">
      <c r="A1520" s="2">
        <v>490</v>
      </c>
      <c r="B1520" s="2" t="s">
        <v>39114</v>
      </c>
      <c r="C1520" s="2">
        <v>8</v>
      </c>
      <c r="D1520" s="2">
        <v>341</v>
      </c>
      <c r="E1520" s="2">
        <v>229</v>
      </c>
      <c r="F1520" s="2">
        <v>32441</v>
      </c>
      <c r="G1520" s="2">
        <v>3.3234898639999999</v>
      </c>
      <c r="H1520" s="2">
        <v>3.5497860000000001E-3</v>
      </c>
      <c r="I1520" s="2" t="s">
        <v>39115</v>
      </c>
      <c r="J1520" s="2" t="s">
        <v>39116</v>
      </c>
      <c r="K1520" s="2">
        <v>3.5300985999999999E-2</v>
      </c>
      <c r="L1520" s="2" t="s">
        <v>848</v>
      </c>
      <c r="M1520" s="4" t="s">
        <v>39117</v>
      </c>
    </row>
    <row r="1521" spans="1:13">
      <c r="A1521" s="2">
        <v>1849</v>
      </c>
      <c r="B1521" s="2" t="s">
        <v>39118</v>
      </c>
      <c r="C1521" s="2">
        <v>5</v>
      </c>
      <c r="D1521" s="2">
        <v>341</v>
      </c>
      <c r="E1521" s="2">
        <v>93</v>
      </c>
      <c r="F1521" s="2">
        <v>32441</v>
      </c>
      <c r="G1521" s="2">
        <v>5.1147794280000003</v>
      </c>
      <c r="H1521" s="2">
        <v>3.6484999999999998E-3</v>
      </c>
      <c r="I1521" s="2" t="s">
        <v>39119</v>
      </c>
      <c r="J1521" s="2" t="s">
        <v>39120</v>
      </c>
      <c r="K1521" s="2">
        <v>3.6161094999999997E-2</v>
      </c>
      <c r="L1521" s="2" t="s">
        <v>848</v>
      </c>
      <c r="M1521" s="4" t="s">
        <v>39121</v>
      </c>
    </row>
    <row r="1522" spans="1:13">
      <c r="A1522" s="2">
        <v>5126</v>
      </c>
      <c r="B1522" s="2" t="s">
        <v>30213</v>
      </c>
      <c r="C1522" s="2">
        <v>5</v>
      </c>
      <c r="D1522" s="2">
        <v>341</v>
      </c>
      <c r="E1522" s="2">
        <v>93</v>
      </c>
      <c r="F1522" s="2">
        <v>32441</v>
      </c>
      <c r="G1522" s="2">
        <v>5.1147794280000003</v>
      </c>
      <c r="H1522" s="2">
        <v>3.6484999999999998E-3</v>
      </c>
      <c r="I1522" s="2" t="s">
        <v>39122</v>
      </c>
      <c r="J1522" s="2" t="s">
        <v>39123</v>
      </c>
      <c r="K1522" s="2">
        <v>3.6161094999999997E-2</v>
      </c>
      <c r="L1522" s="2" t="s">
        <v>848</v>
      </c>
      <c r="M1522" s="4" t="s">
        <v>30216</v>
      </c>
    </row>
    <row r="1523" spans="1:13">
      <c r="A1523" s="2">
        <v>1688</v>
      </c>
      <c r="B1523" s="2" t="s">
        <v>39124</v>
      </c>
      <c r="C1523" s="2">
        <v>3</v>
      </c>
      <c r="D1523" s="2">
        <v>341</v>
      </c>
      <c r="E1523" s="2">
        <v>27</v>
      </c>
      <c r="F1523" s="2">
        <v>32441</v>
      </c>
      <c r="G1523" s="2">
        <v>10.57054415</v>
      </c>
      <c r="H1523" s="2">
        <v>3.6783570000000002E-3</v>
      </c>
      <c r="I1523" s="2" t="s">
        <v>39125</v>
      </c>
      <c r="J1523" s="2" t="s">
        <v>39126</v>
      </c>
      <c r="K1523" s="2">
        <v>3.6335291999999998E-2</v>
      </c>
      <c r="L1523" s="2" t="s">
        <v>848</v>
      </c>
      <c r="M1523" s="4" t="s">
        <v>39127</v>
      </c>
    </row>
    <row r="1524" spans="1:13">
      <c r="A1524" s="2">
        <v>2843</v>
      </c>
      <c r="B1524" s="2" t="s">
        <v>39128</v>
      </c>
      <c r="C1524" s="2">
        <v>3</v>
      </c>
      <c r="D1524" s="2">
        <v>341</v>
      </c>
      <c r="E1524" s="2">
        <v>27</v>
      </c>
      <c r="F1524" s="2">
        <v>32441</v>
      </c>
      <c r="G1524" s="2">
        <v>10.57054415</v>
      </c>
      <c r="H1524" s="2">
        <v>3.6783570000000002E-3</v>
      </c>
      <c r="I1524" s="2" t="s">
        <v>38867</v>
      </c>
      <c r="J1524" s="2" t="s">
        <v>38868</v>
      </c>
      <c r="K1524" s="2">
        <v>3.6335291999999998E-2</v>
      </c>
      <c r="L1524" s="2" t="s">
        <v>848</v>
      </c>
      <c r="M1524" s="4" t="s">
        <v>39129</v>
      </c>
    </row>
    <row r="1525" spans="1:13">
      <c r="A1525" s="2">
        <v>1502</v>
      </c>
      <c r="B1525" s="2" t="s">
        <v>39130</v>
      </c>
      <c r="C1525" s="2">
        <v>7</v>
      </c>
      <c r="D1525" s="2">
        <v>341</v>
      </c>
      <c r="E1525" s="2">
        <v>182</v>
      </c>
      <c r="F1525" s="2">
        <v>32441</v>
      </c>
      <c r="G1525" s="2">
        <v>3.659034514</v>
      </c>
      <c r="H1525" s="2">
        <v>3.7814789999999999E-3</v>
      </c>
      <c r="I1525" s="2" t="s">
        <v>39131</v>
      </c>
      <c r="J1525" s="2" t="s">
        <v>39132</v>
      </c>
      <c r="K1525" s="2">
        <v>3.7291688000000003E-2</v>
      </c>
      <c r="L1525" s="2" t="s">
        <v>848</v>
      </c>
      <c r="M1525" s="4" t="s">
        <v>39133</v>
      </c>
    </row>
    <row r="1526" spans="1:13">
      <c r="A1526" s="2">
        <v>1091</v>
      </c>
      <c r="B1526" s="2" t="s">
        <v>39134</v>
      </c>
      <c r="C1526" s="2">
        <v>6</v>
      </c>
      <c r="D1526" s="2">
        <v>341</v>
      </c>
      <c r="E1526" s="2">
        <v>136</v>
      </c>
      <c r="F1526" s="2">
        <v>32441</v>
      </c>
      <c r="G1526" s="2">
        <v>4.1971278249999999</v>
      </c>
      <c r="H1526" s="2">
        <v>3.801778E-3</v>
      </c>
      <c r="I1526" s="2" t="s">
        <v>39135</v>
      </c>
      <c r="J1526" s="2" t="s">
        <v>39136</v>
      </c>
      <c r="K1526" s="2">
        <v>3.7429483E-2</v>
      </c>
      <c r="L1526" s="2" t="s">
        <v>848</v>
      </c>
      <c r="M1526" s="4" t="s">
        <v>39137</v>
      </c>
    </row>
    <row r="1527" spans="1:13">
      <c r="A1527" s="2">
        <v>3366</v>
      </c>
      <c r="B1527" s="2" t="s">
        <v>39138</v>
      </c>
      <c r="C1527" s="2">
        <v>5</v>
      </c>
      <c r="D1527" s="2">
        <v>341</v>
      </c>
      <c r="E1527" s="2">
        <v>95</v>
      </c>
      <c r="F1527" s="2">
        <v>32441</v>
      </c>
      <c r="G1527" s="2">
        <v>5.0070998610000004</v>
      </c>
      <c r="H1527" s="2">
        <v>3.9775499999999998E-3</v>
      </c>
      <c r="I1527" s="2" t="s">
        <v>39139</v>
      </c>
      <c r="J1527" s="2" t="s">
        <v>39140</v>
      </c>
      <c r="K1527" s="2">
        <v>3.9094954000000001E-2</v>
      </c>
      <c r="L1527" s="2" t="s">
        <v>848</v>
      </c>
      <c r="M1527" s="4" t="s">
        <v>39141</v>
      </c>
    </row>
    <row r="1528" spans="1:13">
      <c r="A1528" s="2">
        <v>1633</v>
      </c>
      <c r="B1528" s="2" t="s">
        <v>30273</v>
      </c>
      <c r="C1528" s="2">
        <v>3</v>
      </c>
      <c r="D1528" s="2">
        <v>341</v>
      </c>
      <c r="E1528" s="2">
        <v>28</v>
      </c>
      <c r="F1528" s="2">
        <v>32441</v>
      </c>
      <c r="G1528" s="2">
        <v>10.19302472</v>
      </c>
      <c r="H1528" s="2">
        <v>4.0414040000000002E-3</v>
      </c>
      <c r="I1528" s="2" t="s">
        <v>39142</v>
      </c>
      <c r="J1528" s="2" t="s">
        <v>39143</v>
      </c>
      <c r="K1528" s="2">
        <v>3.9525598000000002E-2</v>
      </c>
      <c r="L1528" s="2" t="s">
        <v>848</v>
      </c>
      <c r="M1528" s="4" t="s">
        <v>30276</v>
      </c>
    </row>
    <row r="1529" spans="1:13">
      <c r="A1529" s="2">
        <v>3798</v>
      </c>
      <c r="B1529" s="2" t="s">
        <v>39144</v>
      </c>
      <c r="C1529" s="2">
        <v>3</v>
      </c>
      <c r="D1529" s="2">
        <v>341</v>
      </c>
      <c r="E1529" s="2">
        <v>28</v>
      </c>
      <c r="F1529" s="2">
        <v>32441</v>
      </c>
      <c r="G1529" s="2">
        <v>10.19302472</v>
      </c>
      <c r="H1529" s="2">
        <v>4.0414040000000002E-3</v>
      </c>
      <c r="I1529" s="2" t="s">
        <v>39145</v>
      </c>
      <c r="J1529" s="2" t="s">
        <v>39146</v>
      </c>
      <c r="K1529" s="2">
        <v>3.9525598000000002E-2</v>
      </c>
      <c r="L1529" s="2" t="s">
        <v>848</v>
      </c>
      <c r="M1529" s="4" t="s">
        <v>39147</v>
      </c>
    </row>
    <row r="1530" spans="1:13">
      <c r="A1530" s="2">
        <v>5596</v>
      </c>
      <c r="B1530" s="2" t="s">
        <v>39148</v>
      </c>
      <c r="C1530" s="2">
        <v>3</v>
      </c>
      <c r="D1530" s="2">
        <v>341</v>
      </c>
      <c r="E1530" s="2">
        <v>28</v>
      </c>
      <c r="F1530" s="2">
        <v>32441</v>
      </c>
      <c r="G1530" s="2">
        <v>10.19302472</v>
      </c>
      <c r="H1530" s="2">
        <v>4.0414040000000002E-3</v>
      </c>
      <c r="I1530" s="2" t="s">
        <v>39149</v>
      </c>
      <c r="J1530" s="2" t="s">
        <v>39150</v>
      </c>
      <c r="K1530" s="2">
        <v>3.9525598000000002E-2</v>
      </c>
      <c r="L1530" s="2" t="s">
        <v>848</v>
      </c>
      <c r="M1530" s="4" t="s">
        <v>39151</v>
      </c>
    </row>
    <row r="1531" spans="1:13">
      <c r="A1531" s="2">
        <v>3071</v>
      </c>
      <c r="B1531" s="2" t="s">
        <v>39152</v>
      </c>
      <c r="C1531" s="2">
        <v>5</v>
      </c>
      <c r="D1531" s="2">
        <v>341</v>
      </c>
      <c r="E1531" s="2">
        <v>96</v>
      </c>
      <c r="F1531" s="2">
        <v>32441</v>
      </c>
      <c r="G1531" s="2">
        <v>4.9549425710000001</v>
      </c>
      <c r="H1531" s="2">
        <v>4.1497890000000001E-3</v>
      </c>
      <c r="I1531" s="2" t="s">
        <v>38847</v>
      </c>
      <c r="J1531" s="2" t="s">
        <v>38848</v>
      </c>
      <c r="K1531" s="2">
        <v>4.0518653000000002E-2</v>
      </c>
      <c r="L1531" s="2" t="s">
        <v>848</v>
      </c>
      <c r="M1531" s="4" t="s">
        <v>39153</v>
      </c>
    </row>
    <row r="1532" spans="1:13">
      <c r="A1532" s="2">
        <v>776</v>
      </c>
      <c r="B1532" s="2" t="s">
        <v>7683</v>
      </c>
      <c r="C1532" s="2">
        <v>14</v>
      </c>
      <c r="D1532" s="2">
        <v>341</v>
      </c>
      <c r="E1532" s="2">
        <v>582</v>
      </c>
      <c r="F1532" s="2">
        <v>32441</v>
      </c>
      <c r="G1532" s="2">
        <v>2.2884683209999999</v>
      </c>
      <c r="H1532" s="2">
        <v>4.1855759999999999E-3</v>
      </c>
      <c r="I1532" s="2" t="s">
        <v>39154</v>
      </c>
      <c r="J1532" s="2" t="s">
        <v>39155</v>
      </c>
      <c r="K1532" s="2">
        <v>4.0800745999999999E-2</v>
      </c>
      <c r="L1532" s="2" t="s">
        <v>848</v>
      </c>
      <c r="M1532" s="4" t="s">
        <v>7686</v>
      </c>
    </row>
    <row r="1533" spans="1:13">
      <c r="A1533" s="2">
        <v>29011</v>
      </c>
      <c r="B1533" s="2" t="s">
        <v>29321</v>
      </c>
      <c r="C1533" s="2">
        <v>4</v>
      </c>
      <c r="D1533" s="2">
        <v>341</v>
      </c>
      <c r="E1533" s="2">
        <v>59</v>
      </c>
      <c r="F1533" s="2">
        <v>32441</v>
      </c>
      <c r="G1533" s="2">
        <v>6.4498235499999996</v>
      </c>
      <c r="H1533" s="2">
        <v>4.2297639999999996E-3</v>
      </c>
      <c r="I1533" s="2" t="s">
        <v>39156</v>
      </c>
      <c r="J1533" s="2" t="s">
        <v>39157</v>
      </c>
      <c r="K1533" s="2">
        <v>4.1096077000000002E-2</v>
      </c>
      <c r="L1533" s="2" t="s">
        <v>848</v>
      </c>
      <c r="M1533" s="4" t="s">
        <v>29324</v>
      </c>
    </row>
    <row r="1534" spans="1:13">
      <c r="A1534" s="2">
        <v>3207</v>
      </c>
      <c r="B1534" s="2" t="s">
        <v>39158</v>
      </c>
      <c r="C1534" s="2">
        <v>4</v>
      </c>
      <c r="D1534" s="2">
        <v>341</v>
      </c>
      <c r="E1534" s="2">
        <v>59</v>
      </c>
      <c r="F1534" s="2">
        <v>32441</v>
      </c>
      <c r="G1534" s="2">
        <v>6.4498235499999996</v>
      </c>
      <c r="H1534" s="2">
        <v>4.2297639999999996E-3</v>
      </c>
      <c r="I1534" s="2" t="s">
        <v>39159</v>
      </c>
      <c r="J1534" s="2" t="s">
        <v>39160</v>
      </c>
      <c r="K1534" s="2">
        <v>4.1096077000000002E-2</v>
      </c>
      <c r="L1534" s="2" t="s">
        <v>848</v>
      </c>
      <c r="M1534" s="4" t="s">
        <v>39161</v>
      </c>
    </row>
    <row r="1535" spans="1:13">
      <c r="A1535" s="2">
        <v>472</v>
      </c>
      <c r="B1535" s="2" t="s">
        <v>39162</v>
      </c>
      <c r="C1535" s="2">
        <v>3</v>
      </c>
      <c r="D1535" s="2">
        <v>341</v>
      </c>
      <c r="E1535" s="2">
        <v>29</v>
      </c>
      <c r="F1535" s="2">
        <v>32441</v>
      </c>
      <c r="G1535" s="2">
        <v>9.8415411059999993</v>
      </c>
      <c r="H1535" s="2">
        <v>4.425483E-3</v>
      </c>
      <c r="I1535" s="2" t="s">
        <v>39163</v>
      </c>
      <c r="J1535" s="2" t="s">
        <v>39164</v>
      </c>
      <c r="K1535" s="2">
        <v>4.2786900000000003E-2</v>
      </c>
      <c r="L1535" s="2" t="s">
        <v>848</v>
      </c>
      <c r="M1535" s="4" t="s">
        <v>39165</v>
      </c>
    </row>
    <row r="1536" spans="1:13">
      <c r="A1536" s="2">
        <v>38911</v>
      </c>
      <c r="B1536" s="2" t="s">
        <v>39166</v>
      </c>
      <c r="C1536" s="2">
        <v>3</v>
      </c>
      <c r="D1536" s="2">
        <v>341</v>
      </c>
      <c r="E1536" s="2">
        <v>29</v>
      </c>
      <c r="F1536" s="2">
        <v>32441</v>
      </c>
      <c r="G1536" s="2">
        <v>9.8415411059999993</v>
      </c>
      <c r="H1536" s="2">
        <v>4.425483E-3</v>
      </c>
      <c r="I1536" s="2" t="s">
        <v>39167</v>
      </c>
      <c r="J1536" s="2" t="s">
        <v>39168</v>
      </c>
      <c r="K1536" s="2">
        <v>4.2786900000000003E-2</v>
      </c>
      <c r="L1536" s="2" t="s">
        <v>848</v>
      </c>
      <c r="M1536" s="4" t="s">
        <v>39169</v>
      </c>
    </row>
    <row r="1537" spans="1:13">
      <c r="A1537" s="2">
        <v>5157</v>
      </c>
      <c r="B1537" s="2" t="s">
        <v>39170</v>
      </c>
      <c r="C1537" s="2">
        <v>3</v>
      </c>
      <c r="D1537" s="2">
        <v>341</v>
      </c>
      <c r="E1537" s="2">
        <v>29</v>
      </c>
      <c r="F1537" s="2">
        <v>32441</v>
      </c>
      <c r="G1537" s="2">
        <v>9.8415411059999993</v>
      </c>
      <c r="H1537" s="2">
        <v>4.425483E-3</v>
      </c>
      <c r="I1537" s="2" t="s">
        <v>39125</v>
      </c>
      <c r="J1537" s="2" t="s">
        <v>39126</v>
      </c>
      <c r="K1537" s="2">
        <v>4.2786900000000003E-2</v>
      </c>
      <c r="L1537" s="2" t="s">
        <v>848</v>
      </c>
      <c r="M1537" s="4" t="s">
        <v>39171</v>
      </c>
    </row>
    <row r="1538" spans="1:13">
      <c r="A1538" s="2">
        <v>1141</v>
      </c>
      <c r="B1538" s="2" t="s">
        <v>39172</v>
      </c>
      <c r="C1538" s="2">
        <v>5</v>
      </c>
      <c r="D1538" s="2">
        <v>341</v>
      </c>
      <c r="E1538" s="2">
        <v>98</v>
      </c>
      <c r="F1538" s="2">
        <v>32441</v>
      </c>
      <c r="G1538" s="2">
        <v>4.8538212940000003</v>
      </c>
      <c r="H1538" s="2">
        <v>4.5101309999999997E-3</v>
      </c>
      <c r="I1538" s="2" t="s">
        <v>39173</v>
      </c>
      <c r="J1538" s="2" t="s">
        <v>39174</v>
      </c>
      <c r="K1538" s="2">
        <v>4.3463267999999999E-2</v>
      </c>
      <c r="L1538" s="2" t="s">
        <v>848</v>
      </c>
      <c r="M1538" s="4" t="s">
        <v>39175</v>
      </c>
    </row>
    <row r="1539" spans="1:13">
      <c r="A1539" s="2">
        <v>3086</v>
      </c>
      <c r="B1539" s="2" t="s">
        <v>11578</v>
      </c>
      <c r="C1539" s="2">
        <v>5</v>
      </c>
      <c r="D1539" s="2">
        <v>341</v>
      </c>
      <c r="E1539" s="2">
        <v>98</v>
      </c>
      <c r="F1539" s="2">
        <v>32441</v>
      </c>
      <c r="G1539" s="2">
        <v>4.8538212940000003</v>
      </c>
      <c r="H1539" s="2">
        <v>4.5101309999999997E-3</v>
      </c>
      <c r="I1539" s="2" t="s">
        <v>39176</v>
      </c>
      <c r="J1539" s="2" t="s">
        <v>39177</v>
      </c>
      <c r="K1539" s="2">
        <v>4.3463267999999999E-2</v>
      </c>
      <c r="L1539" s="2" t="s">
        <v>848</v>
      </c>
      <c r="M1539" s="4" t="s">
        <v>11581</v>
      </c>
    </row>
    <row r="1540" spans="1:13">
      <c r="A1540" s="2">
        <v>5903</v>
      </c>
      <c r="B1540" s="2" t="s">
        <v>28617</v>
      </c>
      <c r="C1540" s="2">
        <v>11</v>
      </c>
      <c r="D1540" s="2">
        <v>341</v>
      </c>
      <c r="E1540" s="2">
        <v>406</v>
      </c>
      <c r="F1540" s="2">
        <v>32441</v>
      </c>
      <c r="G1540" s="2">
        <v>2.5775464800000001</v>
      </c>
      <c r="H1540" s="2">
        <v>4.598726E-3</v>
      </c>
      <c r="I1540" s="2" t="s">
        <v>39178</v>
      </c>
      <c r="J1540" s="2" t="s">
        <v>39179</v>
      </c>
      <c r="K1540" s="2">
        <v>4.4244978999999997E-2</v>
      </c>
      <c r="L1540" s="2" t="s">
        <v>848</v>
      </c>
      <c r="M1540" s="4" t="s">
        <v>28620</v>
      </c>
    </row>
    <row r="1541" spans="1:13">
      <c r="A1541" s="2">
        <v>5730</v>
      </c>
      <c r="B1541" s="2" t="s">
        <v>39180</v>
      </c>
      <c r="C1541" s="2">
        <v>3</v>
      </c>
      <c r="D1541" s="2">
        <v>341</v>
      </c>
      <c r="E1541" s="2">
        <v>30</v>
      </c>
      <c r="F1541" s="2">
        <v>32441</v>
      </c>
      <c r="G1541" s="2">
        <v>9.5134897360000004</v>
      </c>
      <c r="H1541" s="2">
        <v>4.8309390000000002E-3</v>
      </c>
      <c r="I1541" s="2" t="s">
        <v>39181</v>
      </c>
      <c r="J1541" s="2" t="s">
        <v>39182</v>
      </c>
      <c r="K1541" s="2">
        <v>4.6403681000000002E-2</v>
      </c>
      <c r="L1541" s="2" t="s">
        <v>848</v>
      </c>
      <c r="M1541" s="4" t="s">
        <v>39183</v>
      </c>
    </row>
    <row r="1542" spans="1:13">
      <c r="A1542" s="2">
        <v>4422</v>
      </c>
      <c r="B1542" s="2" t="s">
        <v>10475</v>
      </c>
      <c r="C1542" s="2">
        <v>7</v>
      </c>
      <c r="D1542" s="2">
        <v>341</v>
      </c>
      <c r="E1542" s="2">
        <v>191</v>
      </c>
      <c r="F1542" s="2">
        <v>32441</v>
      </c>
      <c r="G1542" s="2">
        <v>3.4866192749999998</v>
      </c>
      <c r="H1542" s="2">
        <v>4.8667399999999996E-3</v>
      </c>
      <c r="I1542" s="2" t="s">
        <v>38638</v>
      </c>
      <c r="J1542" s="2" t="s">
        <v>38639</v>
      </c>
      <c r="K1542" s="2">
        <v>4.6671802999999998E-2</v>
      </c>
      <c r="L1542" s="2" t="s">
        <v>848</v>
      </c>
      <c r="M1542" s="4" t="s">
        <v>10478</v>
      </c>
    </row>
    <row r="1543" spans="1:13">
      <c r="A1543" s="2">
        <v>5759</v>
      </c>
      <c r="B1543" s="2" t="s">
        <v>39184</v>
      </c>
      <c r="C1543" s="2">
        <v>5</v>
      </c>
      <c r="D1543" s="2">
        <v>341</v>
      </c>
      <c r="E1543" s="2">
        <v>100</v>
      </c>
      <c r="F1543" s="2">
        <v>32441</v>
      </c>
      <c r="G1543" s="2">
        <v>4.7567448680000002</v>
      </c>
      <c r="H1543" s="2">
        <v>4.8922000000000002E-3</v>
      </c>
      <c r="I1543" s="2" t="s">
        <v>39185</v>
      </c>
      <c r="J1543" s="2" t="s">
        <v>39186</v>
      </c>
      <c r="K1543" s="2">
        <v>4.6840040999999999E-2</v>
      </c>
      <c r="L1543" s="2" t="s">
        <v>848</v>
      </c>
      <c r="M1543" s="4" t="s">
        <v>39187</v>
      </c>
    </row>
    <row r="1544" spans="1:13">
      <c r="A1544" s="2">
        <v>4056</v>
      </c>
      <c r="B1544" s="2" t="s">
        <v>11195</v>
      </c>
      <c r="C1544" s="2">
        <v>10</v>
      </c>
      <c r="D1544" s="2">
        <v>341</v>
      </c>
      <c r="E1544" s="2">
        <v>352</v>
      </c>
      <c r="F1544" s="2">
        <v>32441</v>
      </c>
      <c r="G1544" s="2">
        <v>2.7026959480000001</v>
      </c>
      <c r="H1544" s="2">
        <v>4.9271799999999998E-3</v>
      </c>
      <c r="I1544" s="2" t="s">
        <v>39188</v>
      </c>
      <c r="J1544" s="2" t="s">
        <v>39189</v>
      </c>
      <c r="K1544" s="2">
        <v>4.7098744999999997E-2</v>
      </c>
      <c r="L1544" s="2" t="s">
        <v>848</v>
      </c>
      <c r="M1544" s="4" t="s">
        <v>11198</v>
      </c>
    </row>
    <row r="1545" spans="1:13">
      <c r="A1545" s="2">
        <v>2577</v>
      </c>
      <c r="B1545" s="2" t="s">
        <v>30799</v>
      </c>
      <c r="C1545" s="2">
        <v>4</v>
      </c>
      <c r="D1545" s="2">
        <v>341</v>
      </c>
      <c r="E1545" s="2">
        <v>62</v>
      </c>
      <c r="F1545" s="2">
        <v>32441</v>
      </c>
      <c r="G1545" s="2">
        <v>6.1377353140000004</v>
      </c>
      <c r="H1545" s="2">
        <v>4.9950569999999998E-3</v>
      </c>
      <c r="I1545" s="2" t="s">
        <v>39190</v>
      </c>
      <c r="J1545" s="2" t="s">
        <v>39191</v>
      </c>
      <c r="K1545" s="2">
        <v>4.7593799999999999E-2</v>
      </c>
      <c r="L1545" s="2" t="s">
        <v>848</v>
      </c>
      <c r="M1545" s="4" t="s">
        <v>30802</v>
      </c>
    </row>
    <row r="1546" spans="1:13">
      <c r="A1546" s="2">
        <v>3069</v>
      </c>
      <c r="B1546" s="2" t="s">
        <v>3091</v>
      </c>
      <c r="C1546" s="2">
        <v>4</v>
      </c>
      <c r="D1546" s="2">
        <v>341</v>
      </c>
      <c r="E1546" s="2">
        <v>62</v>
      </c>
      <c r="F1546" s="2">
        <v>32441</v>
      </c>
      <c r="G1546" s="2">
        <v>6.1377353140000004</v>
      </c>
      <c r="H1546" s="2">
        <v>4.9950569999999998E-3</v>
      </c>
      <c r="I1546" s="2" t="s">
        <v>39192</v>
      </c>
      <c r="J1546" s="2" t="s">
        <v>39193</v>
      </c>
      <c r="K1546" s="2">
        <v>4.7593799999999999E-2</v>
      </c>
      <c r="L1546" s="2" t="s">
        <v>848</v>
      </c>
      <c r="M1546" s="4" t="s">
        <v>3094</v>
      </c>
    </row>
    <row r="1547" spans="1:13">
      <c r="A1547" s="2">
        <v>1342</v>
      </c>
      <c r="B1547" s="2" t="s">
        <v>28503</v>
      </c>
      <c r="C1547" s="2">
        <v>16</v>
      </c>
      <c r="D1547" s="2">
        <v>341</v>
      </c>
      <c r="E1547" s="2">
        <v>724</v>
      </c>
      <c r="F1547" s="2">
        <v>32441</v>
      </c>
      <c r="G1547" s="2">
        <v>2.1024286710000002</v>
      </c>
      <c r="H1547" s="2">
        <v>5.0482529999999999E-3</v>
      </c>
      <c r="I1547" s="2" t="s">
        <v>39194</v>
      </c>
      <c r="J1547" s="2" t="s">
        <v>39195</v>
      </c>
      <c r="K1547" s="2">
        <v>4.8023332000000002E-2</v>
      </c>
      <c r="L1547" s="2" t="s">
        <v>848</v>
      </c>
      <c r="M1547" s="4" t="s">
        <v>28506</v>
      </c>
    </row>
    <row r="1548" spans="1:13">
      <c r="A1548" s="2">
        <v>3111</v>
      </c>
      <c r="B1548" s="2" t="s">
        <v>39196</v>
      </c>
      <c r="C1548" s="2">
        <v>5</v>
      </c>
      <c r="D1548" s="2">
        <v>341</v>
      </c>
      <c r="E1548" s="2">
        <v>101</v>
      </c>
      <c r="F1548" s="2">
        <v>32441</v>
      </c>
      <c r="G1548" s="2">
        <v>4.7096483840000003</v>
      </c>
      <c r="H1548" s="2">
        <v>5.0915960000000003E-3</v>
      </c>
      <c r="I1548" s="2" t="s">
        <v>39197</v>
      </c>
      <c r="J1548" s="2" t="s">
        <v>39198</v>
      </c>
      <c r="K1548" s="2">
        <v>4.8357904E-2</v>
      </c>
      <c r="L1548" s="2" t="s">
        <v>848</v>
      </c>
      <c r="M1548" s="4" t="s">
        <v>39199</v>
      </c>
    </row>
    <row r="1549" spans="1:13">
      <c r="A1549" s="2">
        <v>3046</v>
      </c>
      <c r="B1549" s="2" t="s">
        <v>29257</v>
      </c>
      <c r="C1549" s="2">
        <v>9</v>
      </c>
      <c r="D1549" s="2">
        <v>341</v>
      </c>
      <c r="E1549" s="2">
        <v>298</v>
      </c>
      <c r="F1549" s="2">
        <v>32441</v>
      </c>
      <c r="G1549" s="2">
        <v>2.8732015980000001</v>
      </c>
      <c r="H1549" s="2">
        <v>5.1324480000000004E-3</v>
      </c>
      <c r="I1549" s="2" t="s">
        <v>39200</v>
      </c>
      <c r="J1549" s="2" t="s">
        <v>39201</v>
      </c>
      <c r="K1549" s="2">
        <v>4.8667782E-2</v>
      </c>
      <c r="L1549" s="2" t="s">
        <v>848</v>
      </c>
      <c r="M1549" s="4" t="s">
        <v>29260</v>
      </c>
    </row>
    <row r="1550" spans="1:13">
      <c r="A1550" s="2">
        <v>4862</v>
      </c>
      <c r="B1550" s="2" t="s">
        <v>39202</v>
      </c>
      <c r="C1550" s="2">
        <v>3</v>
      </c>
      <c r="D1550" s="2">
        <v>341</v>
      </c>
      <c r="E1550" s="2">
        <v>31</v>
      </c>
      <c r="F1550" s="2">
        <v>32441</v>
      </c>
      <c r="G1550" s="2">
        <v>9.2066029700000005</v>
      </c>
      <c r="H1550" s="2">
        <v>5.2580989999999996E-3</v>
      </c>
      <c r="I1550" s="2" t="s">
        <v>39203</v>
      </c>
      <c r="J1550" s="2" t="s">
        <v>39204</v>
      </c>
      <c r="K1550" s="2">
        <v>4.9699957000000003E-2</v>
      </c>
      <c r="L1550" s="2" t="s">
        <v>848</v>
      </c>
      <c r="M1550" s="4" t="s">
        <v>39205</v>
      </c>
    </row>
    <row r="1551" spans="1:13">
      <c r="A1551" s="2">
        <v>4986</v>
      </c>
      <c r="B1551" s="2" t="s">
        <v>29395</v>
      </c>
      <c r="C1551" s="2">
        <v>3</v>
      </c>
      <c r="D1551" s="2">
        <v>341</v>
      </c>
      <c r="E1551" s="2">
        <v>31</v>
      </c>
      <c r="F1551" s="2">
        <v>32441</v>
      </c>
      <c r="G1551" s="2">
        <v>9.2066029700000005</v>
      </c>
      <c r="H1551" s="2">
        <v>5.2580989999999996E-3</v>
      </c>
      <c r="I1551" s="2" t="s">
        <v>39206</v>
      </c>
      <c r="J1551" s="2" t="s">
        <v>39207</v>
      </c>
      <c r="K1551" s="2">
        <v>4.9699957000000003E-2</v>
      </c>
      <c r="L1551" s="2" t="s">
        <v>848</v>
      </c>
      <c r="M1551" s="4" t="s">
        <v>29398</v>
      </c>
    </row>
    <row r="1552" spans="1:13">
      <c r="A1552" s="2">
        <v>124</v>
      </c>
      <c r="B1552" s="2" t="s">
        <v>39208</v>
      </c>
      <c r="C1552" s="2">
        <v>41</v>
      </c>
      <c r="D1552" s="2">
        <v>341</v>
      </c>
      <c r="E1552" s="2">
        <v>140</v>
      </c>
      <c r="F1552" s="2">
        <v>32441</v>
      </c>
      <c r="G1552" s="2">
        <v>27.860934230000002</v>
      </c>
      <c r="H1552" s="3">
        <v>9.6399999999999996E-43</v>
      </c>
      <c r="I1552" s="2" t="s">
        <v>39209</v>
      </c>
      <c r="J1552" s="2" t="s">
        <v>39210</v>
      </c>
      <c r="K1552" s="3">
        <v>1.8200000000000001E-40</v>
      </c>
      <c r="L1552" s="2" t="s">
        <v>3116</v>
      </c>
      <c r="M1552" s="4" t="s">
        <v>39211</v>
      </c>
    </row>
    <row r="1553" spans="1:13">
      <c r="A1553" s="2">
        <v>241</v>
      </c>
      <c r="B1553" s="2" t="s">
        <v>39212</v>
      </c>
      <c r="C1553" s="2">
        <v>39</v>
      </c>
      <c r="D1553" s="2">
        <v>341</v>
      </c>
      <c r="E1553" s="2">
        <v>172</v>
      </c>
      <c r="F1553" s="2">
        <v>32441</v>
      </c>
      <c r="G1553" s="2">
        <v>21.57128487</v>
      </c>
      <c r="H1553" s="3">
        <v>5.3699999999999997E-37</v>
      </c>
      <c r="I1553" s="2" t="s">
        <v>39213</v>
      </c>
      <c r="J1553" s="2" t="s">
        <v>39214</v>
      </c>
      <c r="K1553" s="3">
        <v>5.0700000000000002E-35</v>
      </c>
      <c r="L1553" s="2" t="s">
        <v>3116</v>
      </c>
      <c r="M1553" s="4" t="s">
        <v>39215</v>
      </c>
    </row>
    <row r="1554" spans="1:13">
      <c r="A1554" s="2">
        <v>131</v>
      </c>
      <c r="B1554" s="2" t="s">
        <v>39216</v>
      </c>
      <c r="C1554" s="2">
        <v>38</v>
      </c>
      <c r="D1554" s="2">
        <v>341</v>
      </c>
      <c r="E1554" s="2">
        <v>187</v>
      </c>
      <c r="F1554" s="2">
        <v>32441</v>
      </c>
      <c r="G1554" s="2">
        <v>19.332225130000001</v>
      </c>
      <c r="H1554" s="3">
        <v>1.6499999999999999E-34</v>
      </c>
      <c r="I1554" s="2" t="s">
        <v>39217</v>
      </c>
      <c r="J1554" s="2" t="s">
        <v>39218</v>
      </c>
      <c r="K1554" s="3">
        <v>1.04E-32</v>
      </c>
      <c r="L1554" s="2" t="s">
        <v>3116</v>
      </c>
      <c r="M1554" s="4" t="s">
        <v>39219</v>
      </c>
    </row>
    <row r="1555" spans="1:13">
      <c r="A1555" s="2">
        <v>45</v>
      </c>
      <c r="B1555" s="2" t="s">
        <v>39220</v>
      </c>
      <c r="C1555" s="2">
        <v>34</v>
      </c>
      <c r="D1555" s="2">
        <v>341</v>
      </c>
      <c r="E1555" s="2">
        <v>189</v>
      </c>
      <c r="F1555" s="2">
        <v>32441</v>
      </c>
      <c r="G1555" s="2">
        <v>17.11421434</v>
      </c>
      <c r="H1555" s="3">
        <v>2.0799999999999999E-29</v>
      </c>
      <c r="I1555" s="2" t="s">
        <v>39221</v>
      </c>
      <c r="J1555" s="2" t="s">
        <v>39222</v>
      </c>
      <c r="K1555" s="3">
        <v>9.8300000000000007E-28</v>
      </c>
      <c r="L1555" s="2" t="s">
        <v>3116</v>
      </c>
      <c r="M1555" s="4" t="s">
        <v>39223</v>
      </c>
    </row>
    <row r="1556" spans="1:13">
      <c r="A1556" s="2">
        <v>75</v>
      </c>
      <c r="B1556" s="2" t="s">
        <v>39224</v>
      </c>
      <c r="C1556" s="2">
        <v>33</v>
      </c>
      <c r="D1556" s="2">
        <v>341</v>
      </c>
      <c r="E1556" s="2">
        <v>195</v>
      </c>
      <c r="F1556" s="2">
        <v>32441</v>
      </c>
      <c r="G1556" s="2">
        <v>16.099751860000001</v>
      </c>
      <c r="H1556" s="3">
        <v>8.2199999999999999E-28</v>
      </c>
      <c r="I1556" s="2" t="s">
        <v>39225</v>
      </c>
      <c r="J1556" s="2" t="s">
        <v>39226</v>
      </c>
      <c r="K1556" s="3">
        <v>3.1099999999999998E-26</v>
      </c>
      <c r="L1556" s="2" t="s">
        <v>3116</v>
      </c>
      <c r="M1556" s="4" t="s">
        <v>39227</v>
      </c>
    </row>
    <row r="1557" spans="1:13">
      <c r="A1557" s="2">
        <v>121</v>
      </c>
      <c r="B1557" s="2" t="s">
        <v>30825</v>
      </c>
      <c r="C1557" s="2">
        <v>29</v>
      </c>
      <c r="D1557" s="2">
        <v>341</v>
      </c>
      <c r="E1557" s="2">
        <v>183</v>
      </c>
      <c r="F1557" s="2">
        <v>32441</v>
      </c>
      <c r="G1557" s="2">
        <v>15.076021989999999</v>
      </c>
      <c r="H1557" s="3">
        <v>7.5600000000000006E-24</v>
      </c>
      <c r="I1557" s="2" t="s">
        <v>39228</v>
      </c>
      <c r="J1557" s="2" t="s">
        <v>39229</v>
      </c>
      <c r="K1557" s="3">
        <v>2.3800000000000002E-22</v>
      </c>
      <c r="L1557" s="2" t="s">
        <v>3116</v>
      </c>
      <c r="M1557" s="4" t="s">
        <v>30828</v>
      </c>
    </row>
    <row r="1558" spans="1:13">
      <c r="A1558" s="2">
        <v>331</v>
      </c>
      <c r="B1558" s="2" t="s">
        <v>30833</v>
      </c>
      <c r="C1558" s="2">
        <v>28</v>
      </c>
      <c r="D1558" s="2">
        <v>341</v>
      </c>
      <c r="E1558" s="2">
        <v>193</v>
      </c>
      <c r="F1558" s="2">
        <v>32441</v>
      </c>
      <c r="G1558" s="2">
        <v>13.80195402</v>
      </c>
      <c r="H1558" s="3">
        <v>3.93E-22</v>
      </c>
      <c r="I1558" s="2" t="s">
        <v>39230</v>
      </c>
      <c r="J1558" s="2" t="s">
        <v>39231</v>
      </c>
      <c r="K1558" s="3">
        <v>1.06E-20</v>
      </c>
      <c r="L1558" s="2" t="s">
        <v>3116</v>
      </c>
      <c r="M1558" s="4" t="s">
        <v>30836</v>
      </c>
    </row>
    <row r="1559" spans="1:13">
      <c r="A1559" s="2">
        <v>73</v>
      </c>
      <c r="B1559" s="2" t="s">
        <v>39232</v>
      </c>
      <c r="C1559" s="2">
        <v>26</v>
      </c>
      <c r="D1559" s="2">
        <v>341</v>
      </c>
      <c r="E1559" s="2">
        <v>193</v>
      </c>
      <c r="F1559" s="2">
        <v>32441</v>
      </c>
      <c r="G1559" s="2">
        <v>12.81610016</v>
      </c>
      <c r="H1559" s="3">
        <v>6.5899999999999997E-20</v>
      </c>
      <c r="I1559" s="2" t="s">
        <v>39233</v>
      </c>
      <c r="J1559" s="2" t="s">
        <v>39234</v>
      </c>
      <c r="K1559" s="3">
        <v>1.56E-18</v>
      </c>
      <c r="L1559" s="2" t="s">
        <v>3116</v>
      </c>
      <c r="M1559" s="4" t="s">
        <v>39235</v>
      </c>
    </row>
    <row r="1560" spans="1:13">
      <c r="A1560" s="2">
        <v>102</v>
      </c>
      <c r="B1560" s="2" t="s">
        <v>30829</v>
      </c>
      <c r="C1560" s="2">
        <v>23</v>
      </c>
      <c r="D1560" s="2">
        <v>341</v>
      </c>
      <c r="E1560" s="2">
        <v>174</v>
      </c>
      <c r="F1560" s="2">
        <v>32441</v>
      </c>
      <c r="G1560" s="2">
        <v>12.575302519999999</v>
      </c>
      <c r="H1560" s="3">
        <v>1.3800000000000001E-17</v>
      </c>
      <c r="I1560" s="2" t="s">
        <v>39236</v>
      </c>
      <c r="J1560" s="2" t="s">
        <v>39237</v>
      </c>
      <c r="K1560" s="3">
        <v>2.8999999999999998E-16</v>
      </c>
      <c r="L1560" s="2" t="s">
        <v>3116</v>
      </c>
      <c r="M1560" s="4" t="s">
        <v>30832</v>
      </c>
    </row>
    <row r="1561" spans="1:13">
      <c r="A1561" s="2">
        <v>1492</v>
      </c>
      <c r="B1561" s="2" t="s">
        <v>11891</v>
      </c>
      <c r="C1561" s="2">
        <v>23</v>
      </c>
      <c r="D1561" s="2">
        <v>341</v>
      </c>
      <c r="E1561" s="2">
        <v>195</v>
      </c>
      <c r="F1561" s="2">
        <v>32441</v>
      </c>
      <c r="G1561" s="2">
        <v>11.22103918</v>
      </c>
      <c r="H1561" s="3">
        <v>1.3299999999999999E-16</v>
      </c>
      <c r="I1561" s="2" t="s">
        <v>39238</v>
      </c>
      <c r="J1561" s="2" t="s">
        <v>39239</v>
      </c>
      <c r="K1561" s="3">
        <v>2.5199999999999999E-15</v>
      </c>
      <c r="L1561" s="2" t="s">
        <v>3116</v>
      </c>
      <c r="M1561" s="4" t="s">
        <v>11894</v>
      </c>
    </row>
    <row r="1562" spans="1:13">
      <c r="A1562" s="2">
        <v>1221</v>
      </c>
      <c r="B1562" s="2" t="s">
        <v>39240</v>
      </c>
      <c r="C1562" s="2">
        <v>18</v>
      </c>
      <c r="D1562" s="2">
        <v>341</v>
      </c>
      <c r="E1562" s="2">
        <v>137</v>
      </c>
      <c r="F1562" s="2">
        <v>32441</v>
      </c>
      <c r="G1562" s="2">
        <v>12.49947557</v>
      </c>
      <c r="H1562" s="3">
        <v>5.3399999999999998E-14</v>
      </c>
      <c r="I1562" s="2" t="s">
        <v>39241</v>
      </c>
      <c r="J1562" s="2" t="s">
        <v>39242</v>
      </c>
      <c r="K1562" s="3">
        <v>9.1700000000000003E-13</v>
      </c>
      <c r="L1562" s="2" t="s">
        <v>3116</v>
      </c>
      <c r="M1562" s="4" t="s">
        <v>39243</v>
      </c>
    </row>
    <row r="1563" spans="1:13">
      <c r="A1563" s="2">
        <v>126</v>
      </c>
      <c r="B1563" s="2" t="s">
        <v>39244</v>
      </c>
      <c r="C1563" s="2">
        <v>13</v>
      </c>
      <c r="D1563" s="2">
        <v>341</v>
      </c>
      <c r="E1563" s="2">
        <v>133</v>
      </c>
      <c r="F1563" s="2">
        <v>32441</v>
      </c>
      <c r="G1563" s="2">
        <v>9.2988997419999997</v>
      </c>
      <c r="H1563" s="3">
        <v>4.8699999999999999E-9</v>
      </c>
      <c r="I1563" s="2" t="s">
        <v>39245</v>
      </c>
      <c r="J1563" s="2" t="s">
        <v>39246</v>
      </c>
      <c r="K1563" s="3">
        <v>7.6700000000000005E-8</v>
      </c>
      <c r="L1563" s="2" t="s">
        <v>3116</v>
      </c>
      <c r="M1563" s="4" t="s">
        <v>39247</v>
      </c>
    </row>
    <row r="1564" spans="1:13">
      <c r="A1564" s="2">
        <v>7</v>
      </c>
      <c r="B1564" s="2" t="s">
        <v>30847</v>
      </c>
      <c r="C1564" s="2">
        <v>15</v>
      </c>
      <c r="D1564" s="2">
        <v>341</v>
      </c>
      <c r="E1564" s="2">
        <v>197</v>
      </c>
      <c r="F1564" s="2">
        <v>32441</v>
      </c>
      <c r="G1564" s="2">
        <v>7.2437739109999999</v>
      </c>
      <c r="H1564" s="3">
        <v>7.5900000000000005E-9</v>
      </c>
      <c r="I1564" s="2" t="s">
        <v>39248</v>
      </c>
      <c r="J1564" s="2" t="s">
        <v>39249</v>
      </c>
      <c r="K1564" s="3">
        <v>1.02E-7</v>
      </c>
      <c r="L1564" s="2" t="s">
        <v>3116</v>
      </c>
      <c r="M1564" s="4" t="s">
        <v>30850</v>
      </c>
    </row>
    <row r="1565" spans="1:13">
      <c r="A1565" s="2">
        <v>562</v>
      </c>
      <c r="B1565" s="2" t="s">
        <v>39250</v>
      </c>
      <c r="C1565" s="2">
        <v>15</v>
      </c>
      <c r="D1565" s="2">
        <v>341</v>
      </c>
      <c r="E1565" s="2">
        <v>196</v>
      </c>
      <c r="F1565" s="2">
        <v>32441</v>
      </c>
      <c r="G1565" s="2">
        <v>7.280731941</v>
      </c>
      <c r="H1565" s="3">
        <v>7.1200000000000002E-9</v>
      </c>
      <c r="I1565" s="2" t="s">
        <v>39251</v>
      </c>
      <c r="J1565" s="2" t="s">
        <v>39252</v>
      </c>
      <c r="K1565" s="3">
        <v>1.02E-7</v>
      </c>
      <c r="L1565" s="2" t="s">
        <v>3116</v>
      </c>
      <c r="M1565" s="4" t="s">
        <v>39253</v>
      </c>
    </row>
    <row r="1566" spans="1:13">
      <c r="A1566" s="2">
        <v>621</v>
      </c>
      <c r="B1566" s="2" t="s">
        <v>11627</v>
      </c>
      <c r="C1566" s="2">
        <v>14</v>
      </c>
      <c r="D1566" s="2">
        <v>341</v>
      </c>
      <c r="E1566" s="2">
        <v>177</v>
      </c>
      <c r="F1566" s="2">
        <v>32441</v>
      </c>
      <c r="G1566" s="2">
        <v>7.5247941420000002</v>
      </c>
      <c r="H1566" s="3">
        <v>1.5399999999999999E-8</v>
      </c>
      <c r="I1566" s="2" t="s">
        <v>39254</v>
      </c>
      <c r="J1566" s="2" t="s">
        <v>39255</v>
      </c>
      <c r="K1566" s="3">
        <v>1.9399999999999999E-7</v>
      </c>
      <c r="L1566" s="2" t="s">
        <v>3116</v>
      </c>
      <c r="M1566" s="4" t="s">
        <v>11630</v>
      </c>
    </row>
    <row r="1567" spans="1:13">
      <c r="A1567" s="2">
        <v>167</v>
      </c>
      <c r="B1567" s="2" t="s">
        <v>39256</v>
      </c>
      <c r="C1567" s="2">
        <v>8</v>
      </c>
      <c r="D1567" s="2">
        <v>341</v>
      </c>
      <c r="E1567" s="2">
        <v>57</v>
      </c>
      <c r="F1567" s="2">
        <v>32441</v>
      </c>
      <c r="G1567" s="2">
        <v>13.3522663</v>
      </c>
      <c r="H1567" s="3">
        <v>3.8099999999999998E-7</v>
      </c>
      <c r="I1567" s="2" t="s">
        <v>39257</v>
      </c>
      <c r="J1567" s="2" t="s">
        <v>39258</v>
      </c>
      <c r="K1567" s="3">
        <v>4.5000000000000001E-6</v>
      </c>
      <c r="L1567" s="2" t="s">
        <v>3116</v>
      </c>
      <c r="M1567" s="4" t="s">
        <v>39259</v>
      </c>
    </row>
    <row r="1568" spans="1:13">
      <c r="A1568" s="2">
        <v>301</v>
      </c>
      <c r="B1568" s="2" t="s">
        <v>39260</v>
      </c>
      <c r="C1568" s="2">
        <v>12</v>
      </c>
      <c r="D1568" s="2">
        <v>341</v>
      </c>
      <c r="E1568" s="2">
        <v>170</v>
      </c>
      <c r="F1568" s="2">
        <v>32441</v>
      </c>
      <c r="G1568" s="2">
        <v>6.7154045199999999</v>
      </c>
      <c r="H1568" s="3">
        <v>5.1900000000000003E-7</v>
      </c>
      <c r="I1568" s="2" t="s">
        <v>39261</v>
      </c>
      <c r="J1568" s="2" t="s">
        <v>39262</v>
      </c>
      <c r="K1568" s="3">
        <v>5.7699999999999998E-6</v>
      </c>
      <c r="L1568" s="2" t="s">
        <v>3116</v>
      </c>
      <c r="M1568" s="4" t="s">
        <v>39263</v>
      </c>
    </row>
    <row r="1569" spans="1:13">
      <c r="A1569" s="2">
        <v>592</v>
      </c>
      <c r="B1569" s="2" t="s">
        <v>39264</v>
      </c>
      <c r="C1569" s="2">
        <v>12</v>
      </c>
      <c r="D1569" s="2">
        <v>341</v>
      </c>
      <c r="E1569" s="2">
        <v>179</v>
      </c>
      <c r="F1569" s="2">
        <v>32441</v>
      </c>
      <c r="G1569" s="2">
        <v>6.377758482</v>
      </c>
      <c r="H1569" s="3">
        <v>8.6799999999999999E-7</v>
      </c>
      <c r="I1569" s="2" t="s">
        <v>39265</v>
      </c>
      <c r="J1569" s="2" t="s">
        <v>39266</v>
      </c>
      <c r="K1569" s="3">
        <v>9.1099999999999992E-6</v>
      </c>
      <c r="L1569" s="2" t="s">
        <v>3116</v>
      </c>
      <c r="M1569" s="4" t="s">
        <v>39267</v>
      </c>
    </row>
    <row r="1570" spans="1:13">
      <c r="A1570" s="2">
        <v>166</v>
      </c>
      <c r="B1570" s="2" t="s">
        <v>11831</v>
      </c>
      <c r="C1570" s="2">
        <v>18</v>
      </c>
      <c r="D1570" s="2">
        <v>341</v>
      </c>
      <c r="E1570" s="2">
        <v>481</v>
      </c>
      <c r="F1570" s="2">
        <v>32441</v>
      </c>
      <c r="G1570" s="2">
        <v>3.5601416889999999</v>
      </c>
      <c r="H1570" s="3">
        <v>5.9900000000000002E-6</v>
      </c>
      <c r="I1570" s="2" t="s">
        <v>39268</v>
      </c>
      <c r="J1570" s="2" t="s">
        <v>39269</v>
      </c>
      <c r="K1570" s="3">
        <v>5.9599999999999999E-5</v>
      </c>
      <c r="L1570" s="2" t="s">
        <v>3116</v>
      </c>
      <c r="M1570" s="4" t="s">
        <v>11834</v>
      </c>
    </row>
    <row r="1571" spans="1:13">
      <c r="A1571" s="2">
        <v>421</v>
      </c>
      <c r="B1571" s="2" t="s">
        <v>11703</v>
      </c>
      <c r="C1571" s="2">
        <v>11</v>
      </c>
      <c r="D1571" s="2">
        <v>341</v>
      </c>
      <c r="E1571" s="2">
        <v>192</v>
      </c>
      <c r="F1571" s="2">
        <v>32441</v>
      </c>
      <c r="G1571" s="2">
        <v>5.450436828</v>
      </c>
      <c r="H1571" s="3">
        <v>1.0200000000000001E-5</v>
      </c>
      <c r="I1571" s="2" t="s">
        <v>39270</v>
      </c>
      <c r="J1571" s="2" t="s">
        <v>39271</v>
      </c>
      <c r="K1571" s="3">
        <v>9.6600000000000003E-5</v>
      </c>
      <c r="L1571" s="2" t="s">
        <v>3116</v>
      </c>
      <c r="M1571" s="4" t="s">
        <v>11706</v>
      </c>
    </row>
    <row r="1572" spans="1:13">
      <c r="A1572" s="2">
        <v>5</v>
      </c>
      <c r="B1572" s="2" t="s">
        <v>39272</v>
      </c>
      <c r="C1572" s="2">
        <v>11</v>
      </c>
      <c r="D1572" s="2">
        <v>341</v>
      </c>
      <c r="E1572" s="2">
        <v>196</v>
      </c>
      <c r="F1572" s="2">
        <v>32441</v>
      </c>
      <c r="G1572" s="2">
        <v>5.3392034229999998</v>
      </c>
      <c r="H1572" s="3">
        <v>1.2300000000000001E-5</v>
      </c>
      <c r="I1572" s="2" t="s">
        <v>39273</v>
      </c>
      <c r="J1572" s="2" t="s">
        <v>39274</v>
      </c>
      <c r="K1572" s="2">
        <v>1.10555E-4</v>
      </c>
      <c r="L1572" s="2" t="s">
        <v>3116</v>
      </c>
      <c r="M1572" s="4" t="s">
        <v>39275</v>
      </c>
    </row>
    <row r="1573" spans="1:13">
      <c r="A1573" s="2">
        <v>401</v>
      </c>
      <c r="B1573" s="2" t="s">
        <v>39276</v>
      </c>
      <c r="C1573" s="2">
        <v>9</v>
      </c>
      <c r="D1573" s="2">
        <v>341</v>
      </c>
      <c r="E1573" s="2">
        <v>193</v>
      </c>
      <c r="F1573" s="2">
        <v>32441</v>
      </c>
      <c r="G1573" s="2">
        <v>4.4363423639999997</v>
      </c>
      <c r="H1573" s="2">
        <v>2.8578700000000002E-4</v>
      </c>
      <c r="I1573" s="2" t="s">
        <v>39277</v>
      </c>
      <c r="J1573" s="2" t="s">
        <v>39278</v>
      </c>
      <c r="K1573" s="2">
        <v>2.4551709999999999E-3</v>
      </c>
      <c r="L1573" s="2" t="s">
        <v>3116</v>
      </c>
      <c r="M1573" s="4" t="s">
        <v>39279</v>
      </c>
    </row>
    <row r="1574" spans="1:13">
      <c r="A1574" s="2">
        <v>771</v>
      </c>
      <c r="B1574" s="2" t="s">
        <v>11835</v>
      </c>
      <c r="C1574" s="2">
        <v>8</v>
      </c>
      <c r="D1574" s="2">
        <v>341</v>
      </c>
      <c r="E1574" s="2">
        <v>194</v>
      </c>
      <c r="F1574" s="2">
        <v>32441</v>
      </c>
      <c r="G1574" s="2">
        <v>3.9230885510000002</v>
      </c>
      <c r="H1574" s="2">
        <v>1.3203119999999999E-3</v>
      </c>
      <c r="I1574" s="2" t="s">
        <v>39280</v>
      </c>
      <c r="J1574" s="2" t="s">
        <v>39281</v>
      </c>
      <c r="K1574" s="2">
        <v>1.0849523E-2</v>
      </c>
      <c r="L1574" s="2" t="s">
        <v>3116</v>
      </c>
      <c r="M1574" s="4" t="s">
        <v>11838</v>
      </c>
    </row>
    <row r="1575" spans="1:13">
      <c r="A1575" s="2">
        <v>1472</v>
      </c>
      <c r="B1575" s="2" t="s">
        <v>39282</v>
      </c>
      <c r="C1575" s="2">
        <v>5</v>
      </c>
      <c r="D1575" s="2">
        <v>341</v>
      </c>
      <c r="E1575" s="2">
        <v>99</v>
      </c>
      <c r="F1575" s="2">
        <v>32441</v>
      </c>
      <c r="G1575" s="2">
        <v>4.8047927960000001</v>
      </c>
      <c r="H1575" s="2">
        <v>4.6984069999999999E-3</v>
      </c>
      <c r="I1575" s="2" t="s">
        <v>39283</v>
      </c>
      <c r="J1575" s="2" t="s">
        <v>39284</v>
      </c>
      <c r="K1575" s="2">
        <v>3.6999952000000003E-2</v>
      </c>
      <c r="L1575" s="2" t="s">
        <v>3116</v>
      </c>
      <c r="M1575" s="4" t="s">
        <v>39285</v>
      </c>
    </row>
    <row r="1576" spans="1:13">
      <c r="A1576" s="2">
        <v>3871</v>
      </c>
      <c r="B1576" s="2" t="s">
        <v>39286</v>
      </c>
      <c r="C1576" s="2">
        <v>112</v>
      </c>
      <c r="D1576" s="2">
        <v>341</v>
      </c>
      <c r="E1576" s="2">
        <v>200</v>
      </c>
      <c r="F1576" s="2">
        <v>32441</v>
      </c>
      <c r="G1576" s="2">
        <v>53.275542520000002</v>
      </c>
      <c r="H1576" s="3">
        <v>3.6899999999999998E-145</v>
      </c>
      <c r="I1576" s="3" t="s">
        <v>39287</v>
      </c>
      <c r="J1576" s="3" t="s">
        <v>39288</v>
      </c>
      <c r="K1576" s="3">
        <v>1.8000000000000001E-141</v>
      </c>
      <c r="L1576" s="2" t="s">
        <v>1178</v>
      </c>
      <c r="M1576" s="4" t="s">
        <v>39289</v>
      </c>
    </row>
    <row r="1577" spans="1:13">
      <c r="A1577" s="2">
        <v>385</v>
      </c>
      <c r="B1577" s="2" t="s">
        <v>39290</v>
      </c>
      <c r="C1577" s="2">
        <v>110</v>
      </c>
      <c r="D1577" s="2">
        <v>341</v>
      </c>
      <c r="E1577" s="2">
        <v>200</v>
      </c>
      <c r="F1577" s="2">
        <v>32441</v>
      </c>
      <c r="G1577" s="2">
        <v>52.324193549999997</v>
      </c>
      <c r="H1577" s="3">
        <v>9.3800000000000001E-142</v>
      </c>
      <c r="I1577" s="3" t="s">
        <v>39291</v>
      </c>
      <c r="J1577" s="3" t="s">
        <v>39292</v>
      </c>
      <c r="K1577" s="3">
        <v>2.2799999999999999E-138</v>
      </c>
      <c r="L1577" s="2" t="s">
        <v>1178</v>
      </c>
      <c r="M1577" s="4" t="s">
        <v>39293</v>
      </c>
    </row>
    <row r="1578" spans="1:13">
      <c r="A1578" s="2">
        <v>2815</v>
      </c>
      <c r="B1578" s="2" t="s">
        <v>39294</v>
      </c>
      <c r="C1578" s="2">
        <v>95</v>
      </c>
      <c r="D1578" s="2">
        <v>341</v>
      </c>
      <c r="E1578" s="2">
        <v>182</v>
      </c>
      <c r="F1578" s="2">
        <v>32441</v>
      </c>
      <c r="G1578" s="2">
        <v>49.658325550000001</v>
      </c>
      <c r="H1578" s="3">
        <v>7.0199999999999995E-120</v>
      </c>
      <c r="I1578" s="3" t="s">
        <v>39295</v>
      </c>
      <c r="J1578" s="3" t="s">
        <v>39296</v>
      </c>
      <c r="K1578" s="3">
        <v>1.14E-116</v>
      </c>
      <c r="L1578" s="2" t="s">
        <v>1178</v>
      </c>
      <c r="M1578" s="4" t="s">
        <v>39297</v>
      </c>
    </row>
    <row r="1579" spans="1:13">
      <c r="A1579" s="2">
        <v>1337</v>
      </c>
      <c r="B1579" s="2" t="s">
        <v>23324</v>
      </c>
      <c r="C1579" s="2">
        <v>89</v>
      </c>
      <c r="D1579" s="2">
        <v>341</v>
      </c>
      <c r="E1579" s="2">
        <v>199</v>
      </c>
      <c r="F1579" s="2">
        <v>32441</v>
      </c>
      <c r="G1579" s="2">
        <v>42.547768169999998</v>
      </c>
      <c r="H1579" s="3">
        <v>2.9499999999999997E-107</v>
      </c>
      <c r="I1579" s="3" t="s">
        <v>39298</v>
      </c>
      <c r="J1579" s="3" t="s">
        <v>39299</v>
      </c>
      <c r="K1579" s="3">
        <v>3.5999999999999998E-104</v>
      </c>
      <c r="L1579" s="2" t="s">
        <v>1178</v>
      </c>
      <c r="M1579" s="4" t="s">
        <v>23327</v>
      </c>
    </row>
    <row r="1580" spans="1:13">
      <c r="A1580" s="2">
        <v>4448</v>
      </c>
      <c r="B1580" s="2" t="s">
        <v>39300</v>
      </c>
      <c r="C1580" s="2">
        <v>88</v>
      </c>
      <c r="D1580" s="2">
        <v>341</v>
      </c>
      <c r="E1580" s="2">
        <v>200</v>
      </c>
      <c r="F1580" s="2">
        <v>32441</v>
      </c>
      <c r="G1580" s="2">
        <v>41.859354840000002</v>
      </c>
      <c r="H1580" s="3">
        <v>1.68E-105</v>
      </c>
      <c r="I1580" s="3" t="s">
        <v>39301</v>
      </c>
      <c r="J1580" s="3" t="s">
        <v>39302</v>
      </c>
      <c r="K1580" s="3">
        <v>1.63E-102</v>
      </c>
      <c r="L1580" s="2" t="s">
        <v>1178</v>
      </c>
      <c r="M1580" s="4" t="s">
        <v>39303</v>
      </c>
    </row>
    <row r="1581" spans="1:13">
      <c r="A1581" s="2">
        <v>2799</v>
      </c>
      <c r="B1581" s="2" t="s">
        <v>21516</v>
      </c>
      <c r="C1581" s="2">
        <v>78</v>
      </c>
      <c r="D1581" s="2">
        <v>341</v>
      </c>
      <c r="E1581" s="2">
        <v>180</v>
      </c>
      <c r="F1581" s="2">
        <v>32441</v>
      </c>
      <c r="G1581" s="2">
        <v>41.22512219</v>
      </c>
      <c r="H1581" s="3">
        <v>9.8999999999999996E-93</v>
      </c>
      <c r="I1581" s="3" t="s">
        <v>39304</v>
      </c>
      <c r="J1581" s="3" t="s">
        <v>39305</v>
      </c>
      <c r="K1581" s="3">
        <v>8.0400000000000005E-90</v>
      </c>
      <c r="L1581" s="2" t="s">
        <v>1178</v>
      </c>
      <c r="M1581" s="4" t="s">
        <v>21519</v>
      </c>
    </row>
    <row r="1582" spans="1:13">
      <c r="A1582" s="2">
        <v>1067</v>
      </c>
      <c r="B1582" s="2" t="s">
        <v>14716</v>
      </c>
      <c r="C1582" s="2">
        <v>78</v>
      </c>
      <c r="D1582" s="2">
        <v>341</v>
      </c>
      <c r="E1582" s="2">
        <v>200</v>
      </c>
      <c r="F1582" s="2">
        <v>32441</v>
      </c>
      <c r="G1582" s="2">
        <v>37.102609970000003</v>
      </c>
      <c r="H1582" s="3">
        <v>8.11E-90</v>
      </c>
      <c r="I1582" s="3" t="s">
        <v>39306</v>
      </c>
      <c r="J1582" s="3" t="s">
        <v>39307</v>
      </c>
      <c r="K1582" s="3">
        <v>5.6400000000000001E-87</v>
      </c>
      <c r="L1582" s="2" t="s">
        <v>1178</v>
      </c>
      <c r="M1582" s="4" t="s">
        <v>14719</v>
      </c>
    </row>
    <row r="1583" spans="1:13">
      <c r="A1583" s="2">
        <v>4349</v>
      </c>
      <c r="B1583" s="2" t="s">
        <v>17526</v>
      </c>
      <c r="C1583" s="2">
        <v>77</v>
      </c>
      <c r="D1583" s="2">
        <v>341</v>
      </c>
      <c r="E1583" s="2">
        <v>200</v>
      </c>
      <c r="F1583" s="2">
        <v>32441</v>
      </c>
      <c r="G1583" s="2">
        <v>36.62693548</v>
      </c>
      <c r="H1583" s="3">
        <v>2.7999999999999998E-88</v>
      </c>
      <c r="I1583" s="3" t="s">
        <v>39308</v>
      </c>
      <c r="J1583" s="3" t="s">
        <v>39309</v>
      </c>
      <c r="K1583" s="3">
        <v>1.7100000000000001E-85</v>
      </c>
      <c r="L1583" s="2" t="s">
        <v>1178</v>
      </c>
      <c r="M1583" s="4" t="s">
        <v>17529</v>
      </c>
    </row>
    <row r="1584" spans="1:13">
      <c r="A1584" s="2">
        <v>1522</v>
      </c>
      <c r="B1584" s="2" t="s">
        <v>39310</v>
      </c>
      <c r="C1584" s="2">
        <v>74</v>
      </c>
      <c r="D1584" s="2">
        <v>341</v>
      </c>
      <c r="E1584" s="2">
        <v>200</v>
      </c>
      <c r="F1584" s="2">
        <v>32441</v>
      </c>
      <c r="G1584" s="2">
        <v>35.199912019999999</v>
      </c>
      <c r="H1584" s="3">
        <v>1.07E-83</v>
      </c>
      <c r="I1584" s="3" t="s">
        <v>39311</v>
      </c>
      <c r="J1584" s="3" t="s">
        <v>39312</v>
      </c>
      <c r="K1584" s="3">
        <v>5.2100000000000002E-81</v>
      </c>
      <c r="L1584" s="2" t="s">
        <v>1178</v>
      </c>
      <c r="M1584" s="4" t="s">
        <v>39313</v>
      </c>
    </row>
    <row r="1585" spans="1:13">
      <c r="A1585" s="2">
        <v>3682</v>
      </c>
      <c r="B1585" s="2" t="s">
        <v>18216</v>
      </c>
      <c r="C1585" s="2">
        <v>74</v>
      </c>
      <c r="D1585" s="2">
        <v>341</v>
      </c>
      <c r="E1585" s="2">
        <v>200</v>
      </c>
      <c r="F1585" s="2">
        <v>32441</v>
      </c>
      <c r="G1585" s="2">
        <v>35.199912019999999</v>
      </c>
      <c r="H1585" s="3">
        <v>1.07E-83</v>
      </c>
      <c r="I1585" s="3" t="s">
        <v>39314</v>
      </c>
      <c r="J1585" s="3" t="s">
        <v>39315</v>
      </c>
      <c r="K1585" s="3">
        <v>5.2100000000000002E-81</v>
      </c>
      <c r="L1585" s="2" t="s">
        <v>1178</v>
      </c>
      <c r="M1585" s="4" t="s">
        <v>18219</v>
      </c>
    </row>
    <row r="1586" spans="1:13">
      <c r="A1586" s="2">
        <v>1520</v>
      </c>
      <c r="B1586" s="2" t="s">
        <v>39316</v>
      </c>
      <c r="C1586" s="2">
        <v>73</v>
      </c>
      <c r="D1586" s="2">
        <v>341</v>
      </c>
      <c r="E1586" s="2">
        <v>200</v>
      </c>
      <c r="F1586" s="2">
        <v>32441</v>
      </c>
      <c r="G1586" s="2">
        <v>34.724237539999997</v>
      </c>
      <c r="H1586" s="3">
        <v>3.4999999999999999E-82</v>
      </c>
      <c r="I1586" s="3" t="s">
        <v>39317</v>
      </c>
      <c r="J1586" s="3" t="s">
        <v>39318</v>
      </c>
      <c r="K1586" s="3">
        <v>1.4199999999999999E-79</v>
      </c>
      <c r="L1586" s="2" t="s">
        <v>1178</v>
      </c>
      <c r="M1586" s="4" t="s">
        <v>39319</v>
      </c>
    </row>
    <row r="1587" spans="1:13">
      <c r="A1587" s="2">
        <v>1528</v>
      </c>
      <c r="B1587" s="2" t="s">
        <v>39320</v>
      </c>
      <c r="C1587" s="2">
        <v>73</v>
      </c>
      <c r="D1587" s="2">
        <v>341</v>
      </c>
      <c r="E1587" s="2">
        <v>200</v>
      </c>
      <c r="F1587" s="2">
        <v>32441</v>
      </c>
      <c r="G1587" s="2">
        <v>34.724237539999997</v>
      </c>
      <c r="H1587" s="3">
        <v>3.4999999999999999E-82</v>
      </c>
      <c r="I1587" s="3" t="s">
        <v>39321</v>
      </c>
      <c r="J1587" s="3" t="s">
        <v>39322</v>
      </c>
      <c r="K1587" s="3">
        <v>1.4199999999999999E-79</v>
      </c>
      <c r="L1587" s="2" t="s">
        <v>1178</v>
      </c>
      <c r="M1587" s="4" t="s">
        <v>39323</v>
      </c>
    </row>
    <row r="1588" spans="1:13">
      <c r="A1588" s="2">
        <v>15261</v>
      </c>
      <c r="B1588" s="2" t="s">
        <v>39324</v>
      </c>
      <c r="C1588" s="2">
        <v>72</v>
      </c>
      <c r="D1588" s="2">
        <v>341</v>
      </c>
      <c r="E1588" s="2">
        <v>200</v>
      </c>
      <c r="F1588" s="2">
        <v>32441</v>
      </c>
      <c r="G1588" s="2">
        <v>34.248563050000001</v>
      </c>
      <c r="H1588" s="3">
        <v>1.13E-80</v>
      </c>
      <c r="I1588" s="3" t="s">
        <v>39325</v>
      </c>
      <c r="J1588" s="3" t="s">
        <v>39326</v>
      </c>
      <c r="K1588" s="3">
        <v>4.2499999999999998E-78</v>
      </c>
      <c r="L1588" s="2" t="s">
        <v>1178</v>
      </c>
      <c r="M1588" s="4" t="s">
        <v>39327</v>
      </c>
    </row>
    <row r="1589" spans="1:13">
      <c r="A1589" s="2">
        <v>2805</v>
      </c>
      <c r="B1589" s="2" t="s">
        <v>22778</v>
      </c>
      <c r="C1589" s="2">
        <v>70</v>
      </c>
      <c r="D1589" s="2">
        <v>341</v>
      </c>
      <c r="E1589" s="2">
        <v>178</v>
      </c>
      <c r="F1589" s="2">
        <v>32441</v>
      </c>
      <c r="G1589" s="2">
        <v>37.412600089999998</v>
      </c>
      <c r="H1589" s="3">
        <v>1.34E-80</v>
      </c>
      <c r="I1589" s="3" t="s">
        <v>39328</v>
      </c>
      <c r="J1589" s="3" t="s">
        <v>39329</v>
      </c>
      <c r="K1589" s="3">
        <v>4.6700000000000004E-78</v>
      </c>
      <c r="L1589" s="2" t="s">
        <v>1178</v>
      </c>
      <c r="M1589" s="4" t="s">
        <v>22781</v>
      </c>
    </row>
    <row r="1590" spans="1:13">
      <c r="A1590" s="2">
        <v>2803</v>
      </c>
      <c r="B1590" s="2" t="s">
        <v>39330</v>
      </c>
      <c r="C1590" s="2">
        <v>67</v>
      </c>
      <c r="D1590" s="2">
        <v>341</v>
      </c>
      <c r="E1590" s="2">
        <v>183</v>
      </c>
      <c r="F1590" s="2">
        <v>32441</v>
      </c>
      <c r="G1590" s="2">
        <v>34.830809420000001</v>
      </c>
      <c r="H1590" s="3">
        <v>2.3E-75</v>
      </c>
      <c r="I1590" s="3" t="s">
        <v>39331</v>
      </c>
      <c r="J1590" s="3" t="s">
        <v>39332</v>
      </c>
      <c r="K1590" s="3">
        <v>7.4599999999999995E-73</v>
      </c>
      <c r="L1590" s="2" t="s">
        <v>1178</v>
      </c>
      <c r="M1590" s="4" t="s">
        <v>39333</v>
      </c>
    </row>
    <row r="1591" spans="1:13">
      <c r="A1591" s="2">
        <v>17</v>
      </c>
      <c r="B1591" s="2" t="s">
        <v>14678</v>
      </c>
      <c r="C1591" s="2">
        <v>68</v>
      </c>
      <c r="D1591" s="2">
        <v>341</v>
      </c>
      <c r="E1591" s="2">
        <v>200</v>
      </c>
      <c r="F1591" s="2">
        <v>32441</v>
      </c>
      <c r="G1591" s="2">
        <v>32.345865099999997</v>
      </c>
      <c r="H1591" s="3">
        <v>1.0799999999999999E-74</v>
      </c>
      <c r="I1591" s="3" t="s">
        <v>39334</v>
      </c>
      <c r="J1591" s="3" t="s">
        <v>39335</v>
      </c>
      <c r="K1591" s="3">
        <v>3.0799999999999998E-72</v>
      </c>
      <c r="L1591" s="2" t="s">
        <v>1178</v>
      </c>
      <c r="M1591" s="4" t="s">
        <v>14681</v>
      </c>
    </row>
    <row r="1592" spans="1:13">
      <c r="A1592" s="2">
        <v>3505</v>
      </c>
      <c r="B1592" s="2" t="s">
        <v>39336</v>
      </c>
      <c r="C1592" s="2">
        <v>68</v>
      </c>
      <c r="D1592" s="2">
        <v>341</v>
      </c>
      <c r="E1592" s="2">
        <v>200</v>
      </c>
      <c r="F1592" s="2">
        <v>32441</v>
      </c>
      <c r="G1592" s="2">
        <v>32.345865099999997</v>
      </c>
      <c r="H1592" s="3">
        <v>1.0799999999999999E-74</v>
      </c>
      <c r="I1592" s="3" t="s">
        <v>39337</v>
      </c>
      <c r="J1592" s="3" t="s">
        <v>39338</v>
      </c>
      <c r="K1592" s="3">
        <v>3.0799999999999998E-72</v>
      </c>
      <c r="L1592" s="2" t="s">
        <v>1178</v>
      </c>
      <c r="M1592" s="4" t="s">
        <v>39339</v>
      </c>
    </row>
    <row r="1593" spans="1:13">
      <c r="A1593" s="2">
        <v>2820</v>
      </c>
      <c r="B1593" s="2" t="s">
        <v>15542</v>
      </c>
      <c r="C1593" s="2">
        <v>66</v>
      </c>
      <c r="D1593" s="2">
        <v>341</v>
      </c>
      <c r="E1593" s="2">
        <v>180</v>
      </c>
      <c r="F1593" s="2">
        <v>32441</v>
      </c>
      <c r="G1593" s="2">
        <v>34.882795700000003</v>
      </c>
      <c r="H1593" s="3">
        <v>2.9499999999999998E-74</v>
      </c>
      <c r="I1593" s="3" t="s">
        <v>39340</v>
      </c>
      <c r="J1593" s="3" t="s">
        <v>39341</v>
      </c>
      <c r="K1593" s="3">
        <v>7.9900000000000005E-72</v>
      </c>
      <c r="L1593" s="2" t="s">
        <v>1178</v>
      </c>
      <c r="M1593" s="4" t="s">
        <v>15545</v>
      </c>
    </row>
    <row r="1594" spans="1:13">
      <c r="A1594" s="2">
        <v>1059</v>
      </c>
      <c r="B1594" s="2" t="s">
        <v>20723</v>
      </c>
      <c r="C1594" s="2">
        <v>67</v>
      </c>
      <c r="D1594" s="2">
        <v>341</v>
      </c>
      <c r="E1594" s="2">
        <v>200</v>
      </c>
      <c r="F1594" s="2">
        <v>32441</v>
      </c>
      <c r="G1594" s="2">
        <v>31.870190619999999</v>
      </c>
      <c r="H1594" s="3">
        <v>3.2400000000000001E-73</v>
      </c>
      <c r="I1594" s="3" t="s">
        <v>39342</v>
      </c>
      <c r="J1594" s="3" t="s">
        <v>39343</v>
      </c>
      <c r="K1594" s="3">
        <v>7.8999999999999999E-71</v>
      </c>
      <c r="L1594" s="2" t="s">
        <v>1178</v>
      </c>
      <c r="M1594" s="4" t="s">
        <v>20726</v>
      </c>
    </row>
    <row r="1595" spans="1:13">
      <c r="A1595" s="2">
        <v>3030</v>
      </c>
      <c r="B1595" s="2" t="s">
        <v>39344</v>
      </c>
      <c r="C1595" s="2">
        <v>67</v>
      </c>
      <c r="D1595" s="2">
        <v>341</v>
      </c>
      <c r="E1595" s="2">
        <v>200</v>
      </c>
      <c r="F1595" s="2">
        <v>32441</v>
      </c>
      <c r="G1595" s="2">
        <v>31.870190619999999</v>
      </c>
      <c r="H1595" s="3">
        <v>3.2400000000000001E-73</v>
      </c>
      <c r="I1595" s="3" t="s">
        <v>39345</v>
      </c>
      <c r="J1595" s="3" t="s">
        <v>39346</v>
      </c>
      <c r="K1595" s="3">
        <v>7.8999999999999999E-71</v>
      </c>
      <c r="L1595" s="2" t="s">
        <v>1178</v>
      </c>
      <c r="M1595" s="4" t="s">
        <v>39347</v>
      </c>
    </row>
    <row r="1596" spans="1:13">
      <c r="A1596" s="2">
        <v>4132</v>
      </c>
      <c r="B1596" s="2" t="s">
        <v>33688</v>
      </c>
      <c r="C1596" s="2">
        <v>66</v>
      </c>
      <c r="D1596" s="2">
        <v>341</v>
      </c>
      <c r="E1596" s="2">
        <v>200</v>
      </c>
      <c r="F1596" s="2">
        <v>32441</v>
      </c>
      <c r="G1596" s="2">
        <v>31.39451613</v>
      </c>
      <c r="H1596" s="3">
        <v>9.619999999999999E-72</v>
      </c>
      <c r="I1596" s="3" t="s">
        <v>39348</v>
      </c>
      <c r="J1596" s="3" t="s">
        <v>39349</v>
      </c>
      <c r="K1596" s="3">
        <v>2.13E-69</v>
      </c>
      <c r="L1596" s="2" t="s">
        <v>1178</v>
      </c>
      <c r="M1596" s="4" t="s">
        <v>33691</v>
      </c>
    </row>
    <row r="1597" spans="1:13">
      <c r="A1597" s="2">
        <v>44501</v>
      </c>
      <c r="B1597" s="2" t="s">
        <v>39350</v>
      </c>
      <c r="C1597" s="2">
        <v>66</v>
      </c>
      <c r="D1597" s="2">
        <v>341</v>
      </c>
      <c r="E1597" s="2">
        <v>200</v>
      </c>
      <c r="F1597" s="2">
        <v>32441</v>
      </c>
      <c r="G1597" s="2">
        <v>31.39451613</v>
      </c>
      <c r="H1597" s="3">
        <v>9.619999999999999E-72</v>
      </c>
      <c r="I1597" s="3" t="s">
        <v>39351</v>
      </c>
      <c r="J1597" s="3" t="s">
        <v>39352</v>
      </c>
      <c r="K1597" s="3">
        <v>2.13E-69</v>
      </c>
      <c r="L1597" s="2" t="s">
        <v>1178</v>
      </c>
      <c r="M1597" s="4" t="s">
        <v>39353</v>
      </c>
    </row>
    <row r="1598" spans="1:13">
      <c r="A1598" s="2">
        <v>4255</v>
      </c>
      <c r="B1598" s="2" t="s">
        <v>39354</v>
      </c>
      <c r="C1598" s="2">
        <v>65</v>
      </c>
      <c r="D1598" s="2">
        <v>341</v>
      </c>
      <c r="E1598" s="2">
        <v>200</v>
      </c>
      <c r="F1598" s="2">
        <v>32441</v>
      </c>
      <c r="G1598" s="2">
        <v>30.91884164</v>
      </c>
      <c r="H1598" s="3">
        <v>2.81E-70</v>
      </c>
      <c r="I1598" s="3" t="s">
        <v>39355</v>
      </c>
      <c r="J1598" s="3" t="s">
        <v>39356</v>
      </c>
      <c r="K1598" s="3">
        <v>5.9600000000000002E-68</v>
      </c>
      <c r="L1598" s="2" t="s">
        <v>1178</v>
      </c>
      <c r="M1598" s="4" t="s">
        <v>39357</v>
      </c>
    </row>
    <row r="1599" spans="1:13">
      <c r="A1599" s="2">
        <v>3653</v>
      </c>
      <c r="B1599" s="2" t="s">
        <v>33191</v>
      </c>
      <c r="C1599" s="2">
        <v>61</v>
      </c>
      <c r="D1599" s="2">
        <v>341</v>
      </c>
      <c r="E1599" s="2">
        <v>161</v>
      </c>
      <c r="F1599" s="2">
        <v>32441</v>
      </c>
      <c r="G1599" s="2">
        <v>36.044899000000001</v>
      </c>
      <c r="H1599" s="3">
        <v>2.8699999999999998E-69</v>
      </c>
      <c r="I1599" s="3" t="s">
        <v>39358</v>
      </c>
      <c r="J1599" s="3" t="s">
        <v>39359</v>
      </c>
      <c r="K1599" s="3">
        <v>5.8200000000000001E-67</v>
      </c>
      <c r="L1599" s="2" t="s">
        <v>1178</v>
      </c>
      <c r="M1599" s="4" t="s">
        <v>33194</v>
      </c>
    </row>
    <row r="1600" spans="1:13">
      <c r="A1600" s="2">
        <v>2087</v>
      </c>
      <c r="B1600" s="2" t="s">
        <v>16529</v>
      </c>
      <c r="C1600" s="2">
        <v>64</v>
      </c>
      <c r="D1600" s="2">
        <v>341</v>
      </c>
      <c r="E1600" s="2">
        <v>200</v>
      </c>
      <c r="F1600" s="2">
        <v>32441</v>
      </c>
      <c r="G1600" s="2">
        <v>30.443167160000002</v>
      </c>
      <c r="H1600" s="3">
        <v>8.1099999999999996E-69</v>
      </c>
      <c r="I1600" s="3" t="s">
        <v>39360</v>
      </c>
      <c r="J1600" s="3" t="s">
        <v>39361</v>
      </c>
      <c r="K1600" s="3">
        <v>1.4600000000000001E-66</v>
      </c>
      <c r="L1600" s="2" t="s">
        <v>1178</v>
      </c>
      <c r="M1600" s="4" t="s">
        <v>16532</v>
      </c>
    </row>
    <row r="1601" spans="1:13">
      <c r="A1601" s="2">
        <v>35071</v>
      </c>
      <c r="B1601" s="2" t="s">
        <v>39362</v>
      </c>
      <c r="C1601" s="2">
        <v>64</v>
      </c>
      <c r="D1601" s="2">
        <v>341</v>
      </c>
      <c r="E1601" s="2">
        <v>200</v>
      </c>
      <c r="F1601" s="2">
        <v>32441</v>
      </c>
      <c r="G1601" s="2">
        <v>30.443167160000002</v>
      </c>
      <c r="H1601" s="3">
        <v>8.1099999999999996E-69</v>
      </c>
      <c r="I1601" s="3" t="s">
        <v>39363</v>
      </c>
      <c r="J1601" s="3" t="s">
        <v>39364</v>
      </c>
      <c r="K1601" s="3">
        <v>1.4600000000000001E-66</v>
      </c>
      <c r="L1601" s="2" t="s">
        <v>1178</v>
      </c>
      <c r="M1601" s="4" t="s">
        <v>39365</v>
      </c>
    </row>
    <row r="1602" spans="1:13">
      <c r="A1602" s="2">
        <v>4460</v>
      </c>
      <c r="B1602" s="2" t="s">
        <v>39366</v>
      </c>
      <c r="C1602" s="2">
        <v>64</v>
      </c>
      <c r="D1602" s="2">
        <v>341</v>
      </c>
      <c r="E1602" s="2">
        <v>200</v>
      </c>
      <c r="F1602" s="2">
        <v>32441</v>
      </c>
      <c r="G1602" s="2">
        <v>30.443167160000002</v>
      </c>
      <c r="H1602" s="3">
        <v>8.1099999999999996E-69</v>
      </c>
      <c r="I1602" s="3" t="s">
        <v>39367</v>
      </c>
      <c r="J1602" s="3" t="s">
        <v>39368</v>
      </c>
      <c r="K1602" s="3">
        <v>1.4600000000000001E-66</v>
      </c>
      <c r="L1602" s="2" t="s">
        <v>1178</v>
      </c>
      <c r="M1602" s="4" t="s">
        <v>39369</v>
      </c>
    </row>
    <row r="1603" spans="1:13">
      <c r="A1603" s="2">
        <v>2797</v>
      </c>
      <c r="B1603" s="2" t="s">
        <v>39370</v>
      </c>
      <c r="C1603" s="2">
        <v>60</v>
      </c>
      <c r="D1603" s="2">
        <v>341</v>
      </c>
      <c r="E1603" s="2">
        <v>178</v>
      </c>
      <c r="F1603" s="2">
        <v>32441</v>
      </c>
      <c r="G1603" s="2">
        <v>32.067942930000001</v>
      </c>
      <c r="H1603" s="3">
        <v>1.3499999999999999E-65</v>
      </c>
      <c r="I1603" s="3" t="s">
        <v>39371</v>
      </c>
      <c r="J1603" s="3" t="s">
        <v>39372</v>
      </c>
      <c r="K1603" s="3">
        <v>2.35E-63</v>
      </c>
      <c r="L1603" s="2" t="s">
        <v>1178</v>
      </c>
      <c r="M1603" s="4" t="s">
        <v>39373</v>
      </c>
    </row>
    <row r="1604" spans="1:13">
      <c r="A1604" s="2">
        <v>3125</v>
      </c>
      <c r="B1604" s="2" t="s">
        <v>31187</v>
      </c>
      <c r="C1604" s="2">
        <v>61</v>
      </c>
      <c r="D1604" s="2">
        <v>341</v>
      </c>
      <c r="E1604" s="2">
        <v>199</v>
      </c>
      <c r="F1604" s="2">
        <v>32441</v>
      </c>
      <c r="G1604" s="2">
        <v>29.161953459999999</v>
      </c>
      <c r="H1604" s="3">
        <v>1.37E-64</v>
      </c>
      <c r="I1604" s="3" t="s">
        <v>39374</v>
      </c>
      <c r="J1604" s="3" t="s">
        <v>39375</v>
      </c>
      <c r="K1604" s="3">
        <v>2.2900000000000001E-62</v>
      </c>
      <c r="L1604" s="2" t="s">
        <v>1178</v>
      </c>
      <c r="M1604" s="4" t="s">
        <v>31190</v>
      </c>
    </row>
    <row r="1605" spans="1:13">
      <c r="A1605" s="2">
        <v>342</v>
      </c>
      <c r="B1605" s="2" t="s">
        <v>22860</v>
      </c>
      <c r="C1605" s="2">
        <v>60</v>
      </c>
      <c r="D1605" s="2">
        <v>341</v>
      </c>
      <c r="E1605" s="2">
        <v>199</v>
      </c>
      <c r="F1605" s="2">
        <v>32441</v>
      </c>
      <c r="G1605" s="2">
        <v>28.68388865</v>
      </c>
      <c r="H1605" s="3">
        <v>3.7099999999999998E-63</v>
      </c>
      <c r="I1605" s="3" t="s">
        <v>39376</v>
      </c>
      <c r="J1605" s="3" t="s">
        <v>39377</v>
      </c>
      <c r="K1605" s="3">
        <v>6.0299999999999998E-61</v>
      </c>
      <c r="L1605" s="2" t="s">
        <v>1178</v>
      </c>
      <c r="M1605" s="4" t="s">
        <v>22863</v>
      </c>
    </row>
    <row r="1606" spans="1:13">
      <c r="A1606" s="2">
        <v>1411</v>
      </c>
      <c r="B1606" s="2" t="s">
        <v>12789</v>
      </c>
      <c r="C1606" s="2">
        <v>58</v>
      </c>
      <c r="D1606" s="2">
        <v>341</v>
      </c>
      <c r="E1606" s="2">
        <v>200</v>
      </c>
      <c r="F1606" s="2">
        <v>32441</v>
      </c>
      <c r="G1606" s="2">
        <v>27.589120229999999</v>
      </c>
      <c r="H1606" s="3">
        <v>3.34E-60</v>
      </c>
      <c r="I1606" s="3" t="s">
        <v>39378</v>
      </c>
      <c r="J1606" s="3" t="s">
        <v>39379</v>
      </c>
      <c r="K1606" s="3">
        <v>5.0800000000000001E-58</v>
      </c>
      <c r="L1606" s="2" t="s">
        <v>1178</v>
      </c>
      <c r="M1606" s="4" t="s">
        <v>12792</v>
      </c>
    </row>
    <row r="1607" spans="1:13">
      <c r="A1607" s="2">
        <v>2317</v>
      </c>
      <c r="B1607" s="2" t="s">
        <v>39380</v>
      </c>
      <c r="C1607" s="2">
        <v>58</v>
      </c>
      <c r="D1607" s="2">
        <v>341</v>
      </c>
      <c r="E1607" s="2">
        <v>200</v>
      </c>
      <c r="F1607" s="2">
        <v>32441</v>
      </c>
      <c r="G1607" s="2">
        <v>27.589120229999999</v>
      </c>
      <c r="H1607" s="3">
        <v>3.34E-60</v>
      </c>
      <c r="I1607" s="3" t="s">
        <v>39381</v>
      </c>
      <c r="J1607" s="3" t="s">
        <v>39382</v>
      </c>
      <c r="K1607" s="3">
        <v>5.0800000000000001E-58</v>
      </c>
      <c r="L1607" s="2" t="s">
        <v>1178</v>
      </c>
      <c r="M1607" s="4" t="s">
        <v>39383</v>
      </c>
    </row>
    <row r="1608" spans="1:13">
      <c r="A1608" s="2">
        <v>23192</v>
      </c>
      <c r="B1608" s="2" t="s">
        <v>39384</v>
      </c>
      <c r="C1608" s="2">
        <v>57</v>
      </c>
      <c r="D1608" s="2">
        <v>341</v>
      </c>
      <c r="E1608" s="2">
        <v>200</v>
      </c>
      <c r="F1608" s="2">
        <v>32441</v>
      </c>
      <c r="G1608" s="2">
        <v>27.11344575</v>
      </c>
      <c r="H1608" s="3">
        <v>8.6000000000000006E-59</v>
      </c>
      <c r="I1608" s="3" t="s">
        <v>39385</v>
      </c>
      <c r="J1608" s="3" t="s">
        <v>39386</v>
      </c>
      <c r="K1608" s="3">
        <v>1.23E-56</v>
      </c>
      <c r="L1608" s="2" t="s">
        <v>1178</v>
      </c>
      <c r="M1608" s="4" t="s">
        <v>39387</v>
      </c>
    </row>
    <row r="1609" spans="1:13">
      <c r="A1609" s="2">
        <v>4248</v>
      </c>
      <c r="B1609" s="2" t="s">
        <v>39388</v>
      </c>
      <c r="C1609" s="2">
        <v>57</v>
      </c>
      <c r="D1609" s="2">
        <v>341</v>
      </c>
      <c r="E1609" s="2">
        <v>200</v>
      </c>
      <c r="F1609" s="2">
        <v>32441</v>
      </c>
      <c r="G1609" s="2">
        <v>27.11344575</v>
      </c>
      <c r="H1609" s="3">
        <v>8.6000000000000006E-59</v>
      </c>
      <c r="I1609" s="3" t="s">
        <v>39389</v>
      </c>
      <c r="J1609" s="3" t="s">
        <v>39390</v>
      </c>
      <c r="K1609" s="3">
        <v>1.23E-56</v>
      </c>
      <c r="L1609" s="2" t="s">
        <v>1178</v>
      </c>
      <c r="M1609" s="4" t="s">
        <v>39391</v>
      </c>
    </row>
    <row r="1610" spans="1:13">
      <c r="A1610" s="2">
        <v>42571</v>
      </c>
      <c r="B1610" s="2" t="s">
        <v>15600</v>
      </c>
      <c r="C1610" s="2">
        <v>54</v>
      </c>
      <c r="D1610" s="2">
        <v>341</v>
      </c>
      <c r="E1610" s="2">
        <v>173</v>
      </c>
      <c r="F1610" s="2">
        <v>32441</v>
      </c>
      <c r="G1610" s="2">
        <v>29.69528588</v>
      </c>
      <c r="H1610" s="3">
        <v>1.76E-57</v>
      </c>
      <c r="I1610" s="3" t="s">
        <v>39392</v>
      </c>
      <c r="J1610" s="3" t="s">
        <v>39393</v>
      </c>
      <c r="K1610" s="3">
        <v>2.4500000000000002E-55</v>
      </c>
      <c r="L1610" s="2" t="s">
        <v>1178</v>
      </c>
      <c r="M1610" s="4" t="s">
        <v>15603</v>
      </c>
    </row>
    <row r="1611" spans="1:13">
      <c r="A1611" s="2">
        <v>28131</v>
      </c>
      <c r="B1611" s="2" t="s">
        <v>21524</v>
      </c>
      <c r="C1611" s="2">
        <v>54</v>
      </c>
      <c r="D1611" s="2">
        <v>341</v>
      </c>
      <c r="E1611" s="2">
        <v>181</v>
      </c>
      <c r="F1611" s="2">
        <v>32441</v>
      </c>
      <c r="G1611" s="2">
        <v>28.382787059999998</v>
      </c>
      <c r="H1611" s="3">
        <v>1.38E-56</v>
      </c>
      <c r="I1611" s="3" t="s">
        <v>39394</v>
      </c>
      <c r="J1611" s="3" t="s">
        <v>39395</v>
      </c>
      <c r="K1611" s="3">
        <v>1.8599999999999999E-54</v>
      </c>
      <c r="L1611" s="2" t="s">
        <v>1178</v>
      </c>
      <c r="M1611" s="4" t="s">
        <v>21527</v>
      </c>
    </row>
    <row r="1612" spans="1:13">
      <c r="A1612" s="2">
        <v>28122</v>
      </c>
      <c r="B1612" s="2" t="s">
        <v>19292</v>
      </c>
      <c r="C1612" s="2">
        <v>53</v>
      </c>
      <c r="D1612" s="2">
        <v>341</v>
      </c>
      <c r="E1612" s="2">
        <v>172</v>
      </c>
      <c r="F1612" s="2">
        <v>32441</v>
      </c>
      <c r="G1612" s="2">
        <v>29.314823019999999</v>
      </c>
      <c r="H1612" s="3">
        <v>3.6599999999999999E-56</v>
      </c>
      <c r="I1612" s="3" t="s">
        <v>39396</v>
      </c>
      <c r="J1612" s="3" t="s">
        <v>39397</v>
      </c>
      <c r="K1612" s="3">
        <v>4.8199999999999998E-54</v>
      </c>
      <c r="L1612" s="2" t="s">
        <v>1178</v>
      </c>
      <c r="M1612" s="4" t="s">
        <v>19295</v>
      </c>
    </row>
    <row r="1613" spans="1:13">
      <c r="A1613" s="2">
        <v>3830</v>
      </c>
      <c r="B1613" s="2" t="s">
        <v>1515</v>
      </c>
      <c r="C1613" s="2">
        <v>54</v>
      </c>
      <c r="D1613" s="2">
        <v>341</v>
      </c>
      <c r="E1613" s="2">
        <v>200</v>
      </c>
      <c r="F1613" s="2">
        <v>32441</v>
      </c>
      <c r="G1613" s="2">
        <v>25.686422289999999</v>
      </c>
      <c r="H1613" s="3">
        <v>1.33E-54</v>
      </c>
      <c r="I1613" s="3" t="s">
        <v>39398</v>
      </c>
      <c r="J1613" s="3" t="s">
        <v>39399</v>
      </c>
      <c r="K1613" s="3">
        <v>1.7000000000000001E-52</v>
      </c>
      <c r="L1613" s="2" t="s">
        <v>1178</v>
      </c>
      <c r="M1613" s="4" t="s">
        <v>39400</v>
      </c>
    </row>
    <row r="1614" spans="1:13">
      <c r="A1614" s="2">
        <v>4304</v>
      </c>
      <c r="B1614" s="2" t="s">
        <v>39401</v>
      </c>
      <c r="C1614" s="2">
        <v>53</v>
      </c>
      <c r="D1614" s="2">
        <v>341</v>
      </c>
      <c r="E1614" s="2">
        <v>200</v>
      </c>
      <c r="F1614" s="2">
        <v>32441</v>
      </c>
      <c r="G1614" s="2">
        <v>25.2107478</v>
      </c>
      <c r="H1614" s="3">
        <v>3.1899999999999999E-53</v>
      </c>
      <c r="I1614" s="3" t="s">
        <v>39402</v>
      </c>
      <c r="J1614" s="3" t="s">
        <v>39403</v>
      </c>
      <c r="K1614" s="3">
        <v>3.9800000000000002E-51</v>
      </c>
      <c r="L1614" s="2" t="s">
        <v>1178</v>
      </c>
      <c r="M1614" s="4" t="s">
        <v>39404</v>
      </c>
    </row>
    <row r="1615" spans="1:13">
      <c r="A1615" s="2">
        <v>31811</v>
      </c>
      <c r="B1615" s="2" t="s">
        <v>39405</v>
      </c>
      <c r="C1615" s="2">
        <v>52</v>
      </c>
      <c r="D1615" s="2">
        <v>341</v>
      </c>
      <c r="E1615" s="2">
        <v>197</v>
      </c>
      <c r="F1615" s="2">
        <v>32441</v>
      </c>
      <c r="G1615" s="2">
        <v>25.11174956</v>
      </c>
      <c r="H1615" s="3">
        <v>3.8499999999999999E-52</v>
      </c>
      <c r="I1615" s="3" t="s">
        <v>39406</v>
      </c>
      <c r="J1615" s="3" t="s">
        <v>39407</v>
      </c>
      <c r="K1615" s="3">
        <v>4.6899999999999999E-50</v>
      </c>
      <c r="L1615" s="2" t="s">
        <v>1178</v>
      </c>
      <c r="M1615" s="4" t="s">
        <v>39408</v>
      </c>
    </row>
    <row r="1616" spans="1:13">
      <c r="A1616" s="2">
        <v>1241</v>
      </c>
      <c r="B1616" s="2" t="s">
        <v>32598</v>
      </c>
      <c r="C1616" s="2">
        <v>52</v>
      </c>
      <c r="D1616" s="2">
        <v>341</v>
      </c>
      <c r="E1616" s="2">
        <v>200</v>
      </c>
      <c r="F1616" s="2">
        <v>32441</v>
      </c>
      <c r="G1616" s="2">
        <v>24.735073310000001</v>
      </c>
      <c r="H1616" s="3">
        <v>7.5199999999999996E-52</v>
      </c>
      <c r="I1616" s="3" t="s">
        <v>39409</v>
      </c>
      <c r="J1616" s="3" t="s">
        <v>39410</v>
      </c>
      <c r="K1616" s="3">
        <v>8.9399999999999995E-50</v>
      </c>
      <c r="L1616" s="2" t="s">
        <v>1178</v>
      </c>
      <c r="M1616" s="4" t="s">
        <v>32601</v>
      </c>
    </row>
    <row r="1617" spans="1:13">
      <c r="A1617" s="2">
        <v>3537</v>
      </c>
      <c r="B1617" s="2" t="s">
        <v>33634</v>
      </c>
      <c r="C1617" s="2">
        <v>51</v>
      </c>
      <c r="D1617" s="2">
        <v>341</v>
      </c>
      <c r="E1617" s="2">
        <v>200</v>
      </c>
      <c r="F1617" s="2">
        <v>32441</v>
      </c>
      <c r="G1617" s="2">
        <v>24.259398829999999</v>
      </c>
      <c r="H1617" s="3">
        <v>1.74E-50</v>
      </c>
      <c r="I1617" s="3" t="s">
        <v>39411</v>
      </c>
      <c r="J1617" s="3" t="s">
        <v>39412</v>
      </c>
      <c r="K1617" s="3">
        <v>2.0199999999999999E-48</v>
      </c>
      <c r="L1617" s="2" t="s">
        <v>1178</v>
      </c>
      <c r="M1617" s="4" t="s">
        <v>33637</v>
      </c>
    </row>
    <row r="1618" spans="1:13">
      <c r="A1618" s="2">
        <v>4832</v>
      </c>
      <c r="B1618" s="2" t="s">
        <v>39413</v>
      </c>
      <c r="C1618" s="2">
        <v>50</v>
      </c>
      <c r="D1618" s="2">
        <v>341</v>
      </c>
      <c r="E1618" s="2">
        <v>197</v>
      </c>
      <c r="F1618" s="2">
        <v>32441</v>
      </c>
      <c r="G1618" s="2">
        <v>24.14591304</v>
      </c>
      <c r="H1618" s="3">
        <v>2.0800000000000001E-49</v>
      </c>
      <c r="I1618" s="3" t="s">
        <v>39414</v>
      </c>
      <c r="J1618" s="3" t="s">
        <v>39415</v>
      </c>
      <c r="K1618" s="3">
        <v>2.3500000000000001E-47</v>
      </c>
      <c r="L1618" s="2" t="s">
        <v>1178</v>
      </c>
      <c r="M1618" s="4" t="s">
        <v>39416</v>
      </c>
    </row>
    <row r="1619" spans="1:13">
      <c r="A1619" s="2">
        <v>262</v>
      </c>
      <c r="B1619" s="2" t="s">
        <v>21643</v>
      </c>
      <c r="C1619" s="2">
        <v>50</v>
      </c>
      <c r="D1619" s="2">
        <v>341</v>
      </c>
      <c r="E1619" s="2">
        <v>200</v>
      </c>
      <c r="F1619" s="2">
        <v>32441</v>
      </c>
      <c r="G1619" s="2">
        <v>23.783724339999999</v>
      </c>
      <c r="H1619" s="3">
        <v>3.9600000000000002E-49</v>
      </c>
      <c r="I1619" s="3" t="s">
        <v>39417</v>
      </c>
      <c r="J1619" s="3" t="s">
        <v>39418</v>
      </c>
      <c r="K1619" s="3">
        <v>4.2899999999999998E-47</v>
      </c>
      <c r="L1619" s="2" t="s">
        <v>1178</v>
      </c>
      <c r="M1619" s="4" t="s">
        <v>21646</v>
      </c>
    </row>
    <row r="1620" spans="1:13">
      <c r="A1620" s="2">
        <v>1820</v>
      </c>
      <c r="B1620" s="2" t="s">
        <v>39419</v>
      </c>
      <c r="C1620" s="2">
        <v>50</v>
      </c>
      <c r="D1620" s="2">
        <v>341</v>
      </c>
      <c r="E1620" s="2">
        <v>200</v>
      </c>
      <c r="F1620" s="2">
        <v>32441</v>
      </c>
      <c r="G1620" s="2">
        <v>23.783724339999999</v>
      </c>
      <c r="H1620" s="3">
        <v>3.9600000000000002E-49</v>
      </c>
      <c r="I1620" s="3" t="s">
        <v>39420</v>
      </c>
      <c r="J1620" s="3" t="s">
        <v>39421</v>
      </c>
      <c r="K1620" s="3">
        <v>4.2899999999999998E-47</v>
      </c>
      <c r="L1620" s="2" t="s">
        <v>1178</v>
      </c>
      <c r="M1620" s="4" t="s">
        <v>39422</v>
      </c>
    </row>
    <row r="1621" spans="1:13">
      <c r="A1621" s="2">
        <v>12501</v>
      </c>
      <c r="B1621" s="2" t="s">
        <v>24281</v>
      </c>
      <c r="C1621" s="2">
        <v>49</v>
      </c>
      <c r="D1621" s="2">
        <v>341</v>
      </c>
      <c r="E1621" s="2">
        <v>200</v>
      </c>
      <c r="F1621" s="2">
        <v>32441</v>
      </c>
      <c r="G1621" s="2">
        <v>23.30804985</v>
      </c>
      <c r="H1621" s="3">
        <v>8.8300000000000004E-48</v>
      </c>
      <c r="I1621" s="3" t="s">
        <v>39423</v>
      </c>
      <c r="J1621" s="3" t="s">
        <v>39424</v>
      </c>
      <c r="K1621" s="3">
        <v>9.3600000000000006E-46</v>
      </c>
      <c r="L1621" s="2" t="s">
        <v>1178</v>
      </c>
      <c r="M1621" s="4" t="s">
        <v>24282</v>
      </c>
    </row>
    <row r="1622" spans="1:13">
      <c r="A1622" s="2">
        <v>3578</v>
      </c>
      <c r="B1622" s="2" t="s">
        <v>39425</v>
      </c>
      <c r="C1622" s="2">
        <v>47</v>
      </c>
      <c r="D1622" s="2">
        <v>341</v>
      </c>
      <c r="E1622" s="2">
        <v>181</v>
      </c>
      <c r="F1622" s="2">
        <v>32441</v>
      </c>
      <c r="G1622" s="2">
        <v>24.703536880000001</v>
      </c>
      <c r="H1622" s="3">
        <v>7.4799999999999998E-47</v>
      </c>
      <c r="I1622" s="3" t="s">
        <v>39426</v>
      </c>
      <c r="J1622" s="3" t="s">
        <v>39427</v>
      </c>
      <c r="K1622" s="3">
        <v>7.7499999999999996E-45</v>
      </c>
      <c r="L1622" s="2" t="s">
        <v>1178</v>
      </c>
      <c r="M1622" s="4" t="s">
        <v>39428</v>
      </c>
    </row>
    <row r="1623" spans="1:13">
      <c r="A1623" s="2">
        <v>4838</v>
      </c>
      <c r="B1623" s="2" t="s">
        <v>39429</v>
      </c>
      <c r="C1623" s="2">
        <v>48</v>
      </c>
      <c r="D1623" s="2">
        <v>341</v>
      </c>
      <c r="E1623" s="2">
        <v>196</v>
      </c>
      <c r="F1623" s="2">
        <v>32441</v>
      </c>
      <c r="G1623" s="2">
        <v>23.298342210000001</v>
      </c>
      <c r="H1623" s="3">
        <v>8.4200000000000002E-47</v>
      </c>
      <c r="I1623" s="3" t="s">
        <v>39430</v>
      </c>
      <c r="J1623" s="3" t="s">
        <v>39431</v>
      </c>
      <c r="K1623" s="3">
        <v>8.5399999999999994E-45</v>
      </c>
      <c r="L1623" s="2" t="s">
        <v>1178</v>
      </c>
      <c r="M1623" s="4" t="s">
        <v>39432</v>
      </c>
    </row>
    <row r="1624" spans="1:13">
      <c r="A1624" s="2">
        <v>4351</v>
      </c>
      <c r="B1624" s="2" t="s">
        <v>14982</v>
      </c>
      <c r="C1624" s="2">
        <v>48</v>
      </c>
      <c r="D1624" s="2">
        <v>341</v>
      </c>
      <c r="E1624" s="2">
        <v>199</v>
      </c>
      <c r="F1624" s="2">
        <v>32441</v>
      </c>
      <c r="G1624" s="2">
        <v>22.94711092</v>
      </c>
      <c r="H1624" s="3">
        <v>1.57E-46</v>
      </c>
      <c r="I1624" s="3" t="s">
        <v>39433</v>
      </c>
      <c r="J1624" s="3" t="s">
        <v>39434</v>
      </c>
      <c r="K1624" s="3">
        <v>1.56E-44</v>
      </c>
      <c r="L1624" s="2" t="s">
        <v>1178</v>
      </c>
      <c r="M1624" s="4" t="s">
        <v>14985</v>
      </c>
    </row>
    <row r="1625" spans="1:13">
      <c r="A1625" s="2">
        <v>10751</v>
      </c>
      <c r="B1625" s="2" t="s">
        <v>18679</v>
      </c>
      <c r="C1625" s="2">
        <v>48</v>
      </c>
      <c r="D1625" s="2">
        <v>341</v>
      </c>
      <c r="E1625" s="2">
        <v>200</v>
      </c>
      <c r="F1625" s="2">
        <v>32441</v>
      </c>
      <c r="G1625" s="2">
        <v>22.832375370000001</v>
      </c>
      <c r="H1625" s="3">
        <v>1.93E-46</v>
      </c>
      <c r="I1625" s="2" t="s">
        <v>39435</v>
      </c>
      <c r="J1625" s="2" t="s">
        <v>39436</v>
      </c>
      <c r="K1625" s="3">
        <v>1.85E-44</v>
      </c>
      <c r="L1625" s="2" t="s">
        <v>1178</v>
      </c>
      <c r="M1625" s="4" t="s">
        <v>18682</v>
      </c>
    </row>
    <row r="1626" spans="1:13">
      <c r="A1626" s="2">
        <v>3838</v>
      </c>
      <c r="B1626" s="2" t="s">
        <v>39437</v>
      </c>
      <c r="C1626" s="2">
        <v>48</v>
      </c>
      <c r="D1626" s="2">
        <v>341</v>
      </c>
      <c r="E1626" s="2">
        <v>200</v>
      </c>
      <c r="F1626" s="2">
        <v>32441</v>
      </c>
      <c r="G1626" s="2">
        <v>22.832375370000001</v>
      </c>
      <c r="H1626" s="3">
        <v>1.93E-46</v>
      </c>
      <c r="I1626" s="2" t="s">
        <v>39438</v>
      </c>
      <c r="J1626" s="2" t="s">
        <v>39439</v>
      </c>
      <c r="K1626" s="3">
        <v>1.85E-44</v>
      </c>
      <c r="L1626" s="2" t="s">
        <v>1178</v>
      </c>
      <c r="M1626" s="4" t="s">
        <v>39440</v>
      </c>
    </row>
    <row r="1627" spans="1:13">
      <c r="A1627" s="2">
        <v>4836</v>
      </c>
      <c r="B1627" s="2" t="s">
        <v>22853</v>
      </c>
      <c r="C1627" s="2">
        <v>47</v>
      </c>
      <c r="D1627" s="2">
        <v>341</v>
      </c>
      <c r="E1627" s="2">
        <v>195</v>
      </c>
      <c r="F1627" s="2">
        <v>32441</v>
      </c>
      <c r="G1627" s="2">
        <v>22.929949619999999</v>
      </c>
      <c r="H1627" s="3">
        <v>1.49E-45</v>
      </c>
      <c r="I1627" s="3" t="s">
        <v>39441</v>
      </c>
      <c r="J1627" s="3" t="s">
        <v>39442</v>
      </c>
      <c r="K1627" s="3">
        <v>1.3999999999999999E-43</v>
      </c>
      <c r="L1627" s="2" t="s">
        <v>1178</v>
      </c>
      <c r="M1627" s="4" t="s">
        <v>22856</v>
      </c>
    </row>
    <row r="1628" spans="1:13">
      <c r="A1628" s="2">
        <v>2823</v>
      </c>
      <c r="B1628" s="2" t="s">
        <v>20279</v>
      </c>
      <c r="C1628" s="2">
        <v>45</v>
      </c>
      <c r="D1628" s="2">
        <v>341</v>
      </c>
      <c r="E1628" s="2">
        <v>170</v>
      </c>
      <c r="F1628" s="2">
        <v>32441</v>
      </c>
      <c r="G1628" s="2">
        <v>25.182766950000001</v>
      </c>
      <c r="H1628" s="3">
        <v>3.4200000000000002E-45</v>
      </c>
      <c r="I1628" s="2" t="s">
        <v>39443</v>
      </c>
      <c r="J1628" s="2" t="s">
        <v>39444</v>
      </c>
      <c r="K1628" s="3">
        <v>3.0899999999999998E-43</v>
      </c>
      <c r="L1628" s="2" t="s">
        <v>1178</v>
      </c>
      <c r="M1628" s="4" t="s">
        <v>20282</v>
      </c>
    </row>
    <row r="1629" spans="1:13">
      <c r="A1629" s="2">
        <v>3877</v>
      </c>
      <c r="B1629" s="2" t="s">
        <v>12051</v>
      </c>
      <c r="C1629" s="2">
        <v>47</v>
      </c>
      <c r="D1629" s="2">
        <v>341</v>
      </c>
      <c r="E1629" s="2">
        <v>199</v>
      </c>
      <c r="F1629" s="2">
        <v>32441</v>
      </c>
      <c r="G1629" s="2">
        <v>22.469046110000001</v>
      </c>
      <c r="H1629" s="3">
        <v>3.3799999999999999E-45</v>
      </c>
      <c r="I1629" s="2" t="s">
        <v>39445</v>
      </c>
      <c r="J1629" s="2" t="s">
        <v>39446</v>
      </c>
      <c r="K1629" s="3">
        <v>3.0899999999999998E-43</v>
      </c>
      <c r="L1629" s="2" t="s">
        <v>1178</v>
      </c>
      <c r="M1629" s="4" t="s">
        <v>12054</v>
      </c>
    </row>
    <row r="1630" spans="1:13">
      <c r="A1630" s="2">
        <v>2119</v>
      </c>
      <c r="B1630" s="2" t="s">
        <v>34142</v>
      </c>
      <c r="C1630" s="2">
        <v>47</v>
      </c>
      <c r="D1630" s="2">
        <v>341</v>
      </c>
      <c r="E1630" s="2">
        <v>200</v>
      </c>
      <c r="F1630" s="2">
        <v>32441</v>
      </c>
      <c r="G1630" s="2">
        <v>22.356700880000002</v>
      </c>
      <c r="H1630" s="3">
        <v>4.1400000000000002E-45</v>
      </c>
      <c r="I1630" s="3" t="s">
        <v>39447</v>
      </c>
      <c r="J1630" s="3" t="s">
        <v>39448</v>
      </c>
      <c r="K1630" s="3">
        <v>3.6700000000000003E-43</v>
      </c>
      <c r="L1630" s="2" t="s">
        <v>1178</v>
      </c>
      <c r="M1630" s="4" t="s">
        <v>34145</v>
      </c>
    </row>
    <row r="1631" spans="1:13">
      <c r="A1631" s="2">
        <v>3051</v>
      </c>
      <c r="B1631" s="2" t="s">
        <v>39449</v>
      </c>
      <c r="C1631" s="2">
        <v>46</v>
      </c>
      <c r="D1631" s="2">
        <v>341</v>
      </c>
      <c r="E1631" s="2">
        <v>200</v>
      </c>
      <c r="F1631" s="2">
        <v>32441</v>
      </c>
      <c r="G1631" s="2">
        <v>21.881026389999999</v>
      </c>
      <c r="H1631" s="3">
        <v>8.7000000000000004E-44</v>
      </c>
      <c r="I1631" s="2" t="s">
        <v>39450</v>
      </c>
      <c r="J1631" s="2" t="s">
        <v>39451</v>
      </c>
      <c r="K1631" s="3">
        <v>7.4399999999999999E-42</v>
      </c>
      <c r="L1631" s="2" t="s">
        <v>1178</v>
      </c>
      <c r="M1631" s="4" t="s">
        <v>39452</v>
      </c>
    </row>
    <row r="1632" spans="1:13">
      <c r="A1632" s="2">
        <v>3702</v>
      </c>
      <c r="B1632" s="2" t="s">
        <v>23857</v>
      </c>
      <c r="C1632" s="2">
        <v>46</v>
      </c>
      <c r="D1632" s="2">
        <v>341</v>
      </c>
      <c r="E1632" s="2">
        <v>200</v>
      </c>
      <c r="F1632" s="2">
        <v>32441</v>
      </c>
      <c r="G1632" s="2">
        <v>21.881026389999999</v>
      </c>
      <c r="H1632" s="3">
        <v>8.7000000000000004E-44</v>
      </c>
      <c r="I1632" s="2" t="s">
        <v>39453</v>
      </c>
      <c r="J1632" s="2" t="s">
        <v>39454</v>
      </c>
      <c r="K1632" s="3">
        <v>7.4399999999999999E-42</v>
      </c>
      <c r="L1632" s="2" t="s">
        <v>1178</v>
      </c>
      <c r="M1632" s="4" t="s">
        <v>23860</v>
      </c>
    </row>
    <row r="1633" spans="1:13">
      <c r="A1633" s="2">
        <v>2915</v>
      </c>
      <c r="B1633" s="2" t="s">
        <v>19929</v>
      </c>
      <c r="C1633" s="2">
        <v>45</v>
      </c>
      <c r="D1633" s="2">
        <v>341</v>
      </c>
      <c r="E1633" s="2">
        <v>200</v>
      </c>
      <c r="F1633" s="2">
        <v>32441</v>
      </c>
      <c r="G1633" s="2">
        <v>21.40535191</v>
      </c>
      <c r="H1633" s="3">
        <v>1.7899999999999999E-42</v>
      </c>
      <c r="I1633" s="2" t="s">
        <v>39455</v>
      </c>
      <c r="J1633" s="2" t="s">
        <v>39456</v>
      </c>
      <c r="K1633" s="3">
        <v>1.4800000000000001E-40</v>
      </c>
      <c r="L1633" s="2" t="s">
        <v>1178</v>
      </c>
      <c r="M1633" s="4" t="s">
        <v>19932</v>
      </c>
    </row>
    <row r="1634" spans="1:13">
      <c r="A1634" s="2">
        <v>3708</v>
      </c>
      <c r="B1634" s="2" t="s">
        <v>21277</v>
      </c>
      <c r="C1634" s="2">
        <v>45</v>
      </c>
      <c r="D1634" s="2">
        <v>341</v>
      </c>
      <c r="E1634" s="2">
        <v>200</v>
      </c>
      <c r="F1634" s="2">
        <v>32441</v>
      </c>
      <c r="G1634" s="2">
        <v>21.40535191</v>
      </c>
      <c r="H1634" s="3">
        <v>1.7899999999999999E-42</v>
      </c>
      <c r="I1634" s="2" t="s">
        <v>39457</v>
      </c>
      <c r="J1634" s="2" t="s">
        <v>39458</v>
      </c>
      <c r="K1634" s="3">
        <v>1.4800000000000001E-40</v>
      </c>
      <c r="L1634" s="2" t="s">
        <v>1178</v>
      </c>
      <c r="M1634" s="4" t="s">
        <v>21280</v>
      </c>
    </row>
    <row r="1635" spans="1:13">
      <c r="A1635" s="2">
        <v>18031</v>
      </c>
      <c r="B1635" s="2" t="s">
        <v>39459</v>
      </c>
      <c r="C1635" s="2">
        <v>44</v>
      </c>
      <c r="D1635" s="2">
        <v>341</v>
      </c>
      <c r="E1635" s="2">
        <v>199</v>
      </c>
      <c r="F1635" s="2">
        <v>32441</v>
      </c>
      <c r="G1635" s="2">
        <v>21.034851679999999</v>
      </c>
      <c r="H1635" s="3">
        <v>2.9799999999999998E-41</v>
      </c>
      <c r="I1635" s="2" t="s">
        <v>39460</v>
      </c>
      <c r="J1635" s="2" t="s">
        <v>39461</v>
      </c>
      <c r="K1635" s="3">
        <v>2.42E-39</v>
      </c>
      <c r="L1635" s="2" t="s">
        <v>1178</v>
      </c>
      <c r="M1635" s="4" t="s">
        <v>39462</v>
      </c>
    </row>
    <row r="1636" spans="1:13">
      <c r="A1636" s="2">
        <v>111</v>
      </c>
      <c r="B1636" s="2" t="s">
        <v>22872</v>
      </c>
      <c r="C1636" s="2">
        <v>44</v>
      </c>
      <c r="D1636" s="2">
        <v>341</v>
      </c>
      <c r="E1636" s="2">
        <v>200</v>
      </c>
      <c r="F1636" s="2">
        <v>32441</v>
      </c>
      <c r="G1636" s="2">
        <v>20.929677420000001</v>
      </c>
      <c r="H1636" s="3">
        <v>3.6099999999999999E-41</v>
      </c>
      <c r="I1636" s="2" t="s">
        <v>39463</v>
      </c>
      <c r="J1636" s="2" t="s">
        <v>39464</v>
      </c>
      <c r="K1636" s="3">
        <v>2.7000000000000001E-39</v>
      </c>
      <c r="L1636" s="2" t="s">
        <v>1178</v>
      </c>
      <c r="M1636" s="4" t="s">
        <v>22875</v>
      </c>
    </row>
    <row r="1637" spans="1:13">
      <c r="A1637" s="2">
        <v>1016</v>
      </c>
      <c r="B1637" s="2" t="s">
        <v>2403</v>
      </c>
      <c r="C1637" s="2">
        <v>44</v>
      </c>
      <c r="D1637" s="2">
        <v>341</v>
      </c>
      <c r="E1637" s="2">
        <v>200</v>
      </c>
      <c r="F1637" s="2">
        <v>32441</v>
      </c>
      <c r="G1637" s="2">
        <v>20.929677420000001</v>
      </c>
      <c r="H1637" s="3">
        <v>3.6099999999999999E-41</v>
      </c>
      <c r="I1637" s="2" t="s">
        <v>39465</v>
      </c>
      <c r="J1637" s="2" t="s">
        <v>39466</v>
      </c>
      <c r="K1637" s="3">
        <v>2.7000000000000001E-39</v>
      </c>
      <c r="L1637" s="2" t="s">
        <v>1178</v>
      </c>
      <c r="M1637" s="4" t="s">
        <v>39467</v>
      </c>
    </row>
    <row r="1638" spans="1:13">
      <c r="A1638" s="2">
        <v>1063</v>
      </c>
      <c r="B1638" s="2" t="s">
        <v>20727</v>
      </c>
      <c r="C1638" s="2">
        <v>44</v>
      </c>
      <c r="D1638" s="2">
        <v>341</v>
      </c>
      <c r="E1638" s="2">
        <v>200</v>
      </c>
      <c r="F1638" s="2">
        <v>32441</v>
      </c>
      <c r="G1638" s="2">
        <v>20.929677420000001</v>
      </c>
      <c r="H1638" s="3">
        <v>3.6099999999999999E-41</v>
      </c>
      <c r="I1638" s="2" t="s">
        <v>39468</v>
      </c>
      <c r="J1638" s="2" t="s">
        <v>39469</v>
      </c>
      <c r="K1638" s="3">
        <v>2.7000000000000001E-39</v>
      </c>
      <c r="L1638" s="2" t="s">
        <v>1178</v>
      </c>
      <c r="M1638" s="4" t="s">
        <v>20730</v>
      </c>
    </row>
    <row r="1639" spans="1:13">
      <c r="A1639" s="2">
        <v>1069</v>
      </c>
      <c r="B1639" s="2" t="s">
        <v>13734</v>
      </c>
      <c r="C1639" s="2">
        <v>44</v>
      </c>
      <c r="D1639" s="2">
        <v>341</v>
      </c>
      <c r="E1639" s="2">
        <v>200</v>
      </c>
      <c r="F1639" s="2">
        <v>32441</v>
      </c>
      <c r="G1639" s="2">
        <v>20.929677420000001</v>
      </c>
      <c r="H1639" s="3">
        <v>3.6099999999999999E-41</v>
      </c>
      <c r="I1639" s="2" t="s">
        <v>39470</v>
      </c>
      <c r="J1639" s="2" t="s">
        <v>39471</v>
      </c>
      <c r="K1639" s="3">
        <v>2.7000000000000001E-39</v>
      </c>
      <c r="L1639" s="2" t="s">
        <v>1178</v>
      </c>
      <c r="M1639" s="4" t="s">
        <v>13737</v>
      </c>
    </row>
    <row r="1640" spans="1:13">
      <c r="A1640" s="2">
        <v>38321</v>
      </c>
      <c r="B1640" s="2" t="s">
        <v>21316</v>
      </c>
      <c r="C1640" s="2">
        <v>44</v>
      </c>
      <c r="D1640" s="2">
        <v>341</v>
      </c>
      <c r="E1640" s="2">
        <v>200</v>
      </c>
      <c r="F1640" s="2">
        <v>32441</v>
      </c>
      <c r="G1640" s="2">
        <v>20.929677420000001</v>
      </c>
      <c r="H1640" s="3">
        <v>3.6099999999999999E-41</v>
      </c>
      <c r="I1640" s="2" t="s">
        <v>39472</v>
      </c>
      <c r="J1640" s="2" t="s">
        <v>39473</v>
      </c>
      <c r="K1640" s="3">
        <v>2.7000000000000001E-39</v>
      </c>
      <c r="L1640" s="2" t="s">
        <v>1178</v>
      </c>
      <c r="M1640" s="4" t="s">
        <v>21319</v>
      </c>
    </row>
    <row r="1641" spans="1:13">
      <c r="A1641" s="2">
        <v>2682</v>
      </c>
      <c r="B1641" s="2" t="s">
        <v>21532</v>
      </c>
      <c r="C1641" s="2">
        <v>42</v>
      </c>
      <c r="D1641" s="2">
        <v>341</v>
      </c>
      <c r="E1641" s="2">
        <v>182</v>
      </c>
      <c r="F1641" s="2">
        <v>32441</v>
      </c>
      <c r="G1641" s="2">
        <v>21.95420708</v>
      </c>
      <c r="H1641" s="3">
        <v>4.5299999999999998E-40</v>
      </c>
      <c r="I1641" s="2" t="s">
        <v>39474</v>
      </c>
      <c r="J1641" s="2" t="s">
        <v>39475</v>
      </c>
      <c r="K1641" s="3">
        <v>3.34E-38</v>
      </c>
      <c r="L1641" s="2" t="s">
        <v>1178</v>
      </c>
      <c r="M1641" s="4" t="s">
        <v>21535</v>
      </c>
    </row>
    <row r="1642" spans="1:13">
      <c r="A1642" s="2">
        <v>99</v>
      </c>
      <c r="B1642" s="2" t="s">
        <v>16916</v>
      </c>
      <c r="C1642" s="2">
        <v>43</v>
      </c>
      <c r="D1642" s="2">
        <v>341</v>
      </c>
      <c r="E1642" s="2">
        <v>199</v>
      </c>
      <c r="F1642" s="2">
        <v>32441</v>
      </c>
      <c r="G1642" s="2">
        <v>20.55678687</v>
      </c>
      <c r="H1642" s="3">
        <v>5.8999999999999997E-40</v>
      </c>
      <c r="I1642" s="2" t="s">
        <v>39476</v>
      </c>
      <c r="J1642" s="2" t="s">
        <v>39477</v>
      </c>
      <c r="K1642" s="3">
        <v>4.2299999999999998E-38</v>
      </c>
      <c r="L1642" s="2" t="s">
        <v>1178</v>
      </c>
      <c r="M1642" s="4" t="s">
        <v>16919</v>
      </c>
    </row>
    <row r="1643" spans="1:13">
      <c r="A1643" s="2">
        <v>13421</v>
      </c>
      <c r="B1643" s="2" t="s">
        <v>16440</v>
      </c>
      <c r="C1643" s="2">
        <v>43</v>
      </c>
      <c r="D1643" s="2">
        <v>341</v>
      </c>
      <c r="E1643" s="2">
        <v>199</v>
      </c>
      <c r="F1643" s="2">
        <v>32441</v>
      </c>
      <c r="G1643" s="2">
        <v>20.55678687</v>
      </c>
      <c r="H1643" s="3">
        <v>5.8999999999999997E-40</v>
      </c>
      <c r="I1643" s="2" t="s">
        <v>39478</v>
      </c>
      <c r="J1643" s="2" t="s">
        <v>39479</v>
      </c>
      <c r="K1643" s="3">
        <v>4.2299999999999998E-38</v>
      </c>
      <c r="L1643" s="2" t="s">
        <v>1178</v>
      </c>
      <c r="M1643" s="4" t="s">
        <v>16443</v>
      </c>
    </row>
    <row r="1644" spans="1:13">
      <c r="A1644" s="2">
        <v>1014</v>
      </c>
      <c r="B1644" s="2" t="s">
        <v>39480</v>
      </c>
      <c r="C1644" s="2">
        <v>43</v>
      </c>
      <c r="D1644" s="2">
        <v>341</v>
      </c>
      <c r="E1644" s="2">
        <v>200</v>
      </c>
      <c r="F1644" s="2">
        <v>32441</v>
      </c>
      <c r="G1644" s="2">
        <v>20.454002930000001</v>
      </c>
      <c r="H1644" s="3">
        <v>7.1100000000000001E-40</v>
      </c>
      <c r="I1644" s="2" t="s">
        <v>39481</v>
      </c>
      <c r="J1644" s="2" t="s">
        <v>39482</v>
      </c>
      <c r="K1644" s="3">
        <v>4.8099999999999996E-38</v>
      </c>
      <c r="L1644" s="2" t="s">
        <v>1178</v>
      </c>
      <c r="M1644" s="4" t="s">
        <v>39483</v>
      </c>
    </row>
    <row r="1645" spans="1:13">
      <c r="A1645" s="2">
        <v>1065</v>
      </c>
      <c r="B1645" s="2" t="s">
        <v>39484</v>
      </c>
      <c r="C1645" s="2">
        <v>43</v>
      </c>
      <c r="D1645" s="2">
        <v>341</v>
      </c>
      <c r="E1645" s="2">
        <v>200</v>
      </c>
      <c r="F1645" s="2">
        <v>32441</v>
      </c>
      <c r="G1645" s="2">
        <v>20.454002930000001</v>
      </c>
      <c r="H1645" s="3">
        <v>7.1100000000000001E-40</v>
      </c>
      <c r="I1645" s="2" t="s">
        <v>39485</v>
      </c>
      <c r="J1645" s="2" t="s">
        <v>39486</v>
      </c>
      <c r="K1645" s="3">
        <v>4.8099999999999996E-38</v>
      </c>
      <c r="L1645" s="2" t="s">
        <v>1178</v>
      </c>
      <c r="M1645" s="4" t="s">
        <v>39487</v>
      </c>
    </row>
    <row r="1646" spans="1:13">
      <c r="A1646" s="2">
        <v>1714</v>
      </c>
      <c r="B1646" s="2" t="s">
        <v>23433</v>
      </c>
      <c r="C1646" s="2">
        <v>43</v>
      </c>
      <c r="D1646" s="2">
        <v>341</v>
      </c>
      <c r="E1646" s="2">
        <v>200</v>
      </c>
      <c r="F1646" s="2">
        <v>32441</v>
      </c>
      <c r="G1646" s="2">
        <v>20.454002930000001</v>
      </c>
      <c r="H1646" s="3">
        <v>7.1100000000000001E-40</v>
      </c>
      <c r="I1646" s="2" t="s">
        <v>39488</v>
      </c>
      <c r="J1646" s="2" t="s">
        <v>39489</v>
      </c>
      <c r="K1646" s="3">
        <v>4.8099999999999996E-38</v>
      </c>
      <c r="L1646" s="2" t="s">
        <v>1178</v>
      </c>
      <c r="M1646" s="4" t="s">
        <v>23436</v>
      </c>
    </row>
    <row r="1647" spans="1:13">
      <c r="A1647" s="2">
        <v>3517</v>
      </c>
      <c r="B1647" s="2" t="s">
        <v>39490</v>
      </c>
      <c r="C1647" s="2">
        <v>43</v>
      </c>
      <c r="D1647" s="2">
        <v>341</v>
      </c>
      <c r="E1647" s="2">
        <v>200</v>
      </c>
      <c r="F1647" s="2">
        <v>32441</v>
      </c>
      <c r="G1647" s="2">
        <v>20.454002930000001</v>
      </c>
      <c r="H1647" s="3">
        <v>7.1100000000000001E-40</v>
      </c>
      <c r="I1647" s="2" t="s">
        <v>39491</v>
      </c>
      <c r="J1647" s="2" t="s">
        <v>39492</v>
      </c>
      <c r="K1647" s="3">
        <v>4.8099999999999996E-38</v>
      </c>
      <c r="L1647" s="2" t="s">
        <v>1178</v>
      </c>
      <c r="M1647" s="4" t="s">
        <v>39493</v>
      </c>
    </row>
    <row r="1648" spans="1:13">
      <c r="A1648" s="2">
        <v>2825</v>
      </c>
      <c r="B1648" s="2" t="s">
        <v>24343</v>
      </c>
      <c r="C1648" s="2">
        <v>40</v>
      </c>
      <c r="D1648" s="2">
        <v>341</v>
      </c>
      <c r="E1648" s="2">
        <v>163</v>
      </c>
      <c r="F1648" s="2">
        <v>32441</v>
      </c>
      <c r="G1648" s="2">
        <v>23.34598708</v>
      </c>
      <c r="H1648" s="3">
        <v>4.1799999999999997E-39</v>
      </c>
      <c r="I1648" s="2" t="s">
        <v>39494</v>
      </c>
      <c r="J1648" s="2" t="s">
        <v>39495</v>
      </c>
      <c r="K1648" s="3">
        <v>2.7899999999999999E-37</v>
      </c>
      <c r="L1648" s="2" t="s">
        <v>1178</v>
      </c>
      <c r="M1648" s="4" t="s">
        <v>24346</v>
      </c>
    </row>
    <row r="1649" spans="1:13">
      <c r="A1649" s="2">
        <v>2558</v>
      </c>
      <c r="B1649" s="2" t="s">
        <v>15899</v>
      </c>
      <c r="C1649" s="2">
        <v>42</v>
      </c>
      <c r="D1649" s="2">
        <v>341</v>
      </c>
      <c r="E1649" s="2">
        <v>199</v>
      </c>
      <c r="F1649" s="2">
        <v>32441</v>
      </c>
      <c r="G1649" s="2">
        <v>20.07872206</v>
      </c>
      <c r="H1649" s="3">
        <v>1.1399999999999999E-38</v>
      </c>
      <c r="I1649" s="2" t="s">
        <v>39496</v>
      </c>
      <c r="J1649" s="2" t="s">
        <v>39497</v>
      </c>
      <c r="K1649" s="3">
        <v>7.4199999999999996E-37</v>
      </c>
      <c r="L1649" s="2" t="s">
        <v>1178</v>
      </c>
      <c r="M1649" s="4" t="s">
        <v>15902</v>
      </c>
    </row>
    <row r="1650" spans="1:13">
      <c r="A1650" s="2">
        <v>36801</v>
      </c>
      <c r="B1650" s="2" t="s">
        <v>39498</v>
      </c>
      <c r="C1650" s="2">
        <v>42</v>
      </c>
      <c r="D1650" s="2">
        <v>341</v>
      </c>
      <c r="E1650" s="2">
        <v>199</v>
      </c>
      <c r="F1650" s="2">
        <v>32441</v>
      </c>
      <c r="G1650" s="2">
        <v>20.07872206</v>
      </c>
      <c r="H1650" s="3">
        <v>1.1399999999999999E-38</v>
      </c>
      <c r="I1650" s="2" t="s">
        <v>39499</v>
      </c>
      <c r="J1650" s="2" t="s">
        <v>39500</v>
      </c>
      <c r="K1650" s="3">
        <v>7.4199999999999996E-37</v>
      </c>
      <c r="L1650" s="2" t="s">
        <v>1178</v>
      </c>
      <c r="M1650" s="4" t="s">
        <v>39501</v>
      </c>
    </row>
    <row r="1651" spans="1:13">
      <c r="A1651" s="2">
        <v>31831</v>
      </c>
      <c r="B1651" s="2" t="s">
        <v>34280</v>
      </c>
      <c r="C1651" s="2">
        <v>42</v>
      </c>
      <c r="D1651" s="2">
        <v>341</v>
      </c>
      <c r="E1651" s="2">
        <v>200</v>
      </c>
      <c r="F1651" s="2">
        <v>32441</v>
      </c>
      <c r="G1651" s="2">
        <v>19.978328449999999</v>
      </c>
      <c r="H1651" s="3">
        <v>1.3699999999999999E-38</v>
      </c>
      <c r="I1651" s="2" t="s">
        <v>39502</v>
      </c>
      <c r="J1651" s="2" t="s">
        <v>39503</v>
      </c>
      <c r="K1651" s="3">
        <v>8.7900000000000007E-37</v>
      </c>
      <c r="L1651" s="2" t="s">
        <v>1178</v>
      </c>
      <c r="M1651" s="4" t="s">
        <v>34283</v>
      </c>
    </row>
    <row r="1652" spans="1:13">
      <c r="A1652" s="2">
        <v>2080</v>
      </c>
      <c r="B1652" s="2" t="s">
        <v>18853</v>
      </c>
      <c r="C1652" s="2">
        <v>41</v>
      </c>
      <c r="D1652" s="2">
        <v>341</v>
      </c>
      <c r="E1652" s="2">
        <v>200</v>
      </c>
      <c r="F1652" s="2">
        <v>32441</v>
      </c>
      <c r="G1652" s="2">
        <v>19.50265396</v>
      </c>
      <c r="H1652" s="3">
        <v>2.5799999999999998E-37</v>
      </c>
      <c r="I1652" s="2" t="s">
        <v>39504</v>
      </c>
      <c r="J1652" s="2" t="s">
        <v>39505</v>
      </c>
      <c r="K1652" s="3">
        <v>1.5899999999999999E-35</v>
      </c>
      <c r="L1652" s="2" t="s">
        <v>1178</v>
      </c>
      <c r="M1652" s="4" t="s">
        <v>18856</v>
      </c>
    </row>
    <row r="1653" spans="1:13">
      <c r="A1653" s="2">
        <v>2085</v>
      </c>
      <c r="B1653" s="2" t="s">
        <v>39506</v>
      </c>
      <c r="C1653" s="2">
        <v>41</v>
      </c>
      <c r="D1653" s="2">
        <v>341</v>
      </c>
      <c r="E1653" s="2">
        <v>200</v>
      </c>
      <c r="F1653" s="2">
        <v>32441</v>
      </c>
      <c r="G1653" s="2">
        <v>19.50265396</v>
      </c>
      <c r="H1653" s="3">
        <v>2.5799999999999998E-37</v>
      </c>
      <c r="I1653" s="2" t="s">
        <v>39507</v>
      </c>
      <c r="J1653" s="2" t="s">
        <v>39508</v>
      </c>
      <c r="K1653" s="3">
        <v>1.5899999999999999E-35</v>
      </c>
      <c r="L1653" s="2" t="s">
        <v>1178</v>
      </c>
      <c r="M1653" s="4" t="s">
        <v>39509</v>
      </c>
    </row>
    <row r="1654" spans="1:13">
      <c r="A1654" s="2">
        <v>41861</v>
      </c>
      <c r="B1654" s="2" t="s">
        <v>21363</v>
      </c>
      <c r="C1654" s="2">
        <v>41</v>
      </c>
      <c r="D1654" s="2">
        <v>341</v>
      </c>
      <c r="E1654" s="2">
        <v>200</v>
      </c>
      <c r="F1654" s="2">
        <v>32441</v>
      </c>
      <c r="G1654" s="2">
        <v>19.50265396</v>
      </c>
      <c r="H1654" s="3">
        <v>2.5799999999999998E-37</v>
      </c>
      <c r="I1654" s="2" t="s">
        <v>39510</v>
      </c>
      <c r="J1654" s="2" t="s">
        <v>39511</v>
      </c>
      <c r="K1654" s="3">
        <v>1.5899999999999999E-35</v>
      </c>
      <c r="L1654" s="2" t="s">
        <v>1178</v>
      </c>
      <c r="M1654" s="4" t="s">
        <v>21366</v>
      </c>
    </row>
    <row r="1655" spans="1:13">
      <c r="A1655" s="2">
        <v>4830</v>
      </c>
      <c r="B1655" s="2" t="s">
        <v>39512</v>
      </c>
      <c r="C1655" s="2">
        <v>40</v>
      </c>
      <c r="D1655" s="2">
        <v>341</v>
      </c>
      <c r="E1655" s="2">
        <v>196</v>
      </c>
      <c r="F1655" s="2">
        <v>32441</v>
      </c>
      <c r="G1655" s="2">
        <v>19.415285180000001</v>
      </c>
      <c r="H1655" s="3">
        <v>2.3699999999999999E-36</v>
      </c>
      <c r="I1655" s="2" t="s">
        <v>39513</v>
      </c>
      <c r="J1655" s="2" t="s">
        <v>39514</v>
      </c>
      <c r="K1655" s="3">
        <v>1.4400000000000001E-34</v>
      </c>
      <c r="L1655" s="2" t="s">
        <v>1178</v>
      </c>
      <c r="M1655" s="4" t="s">
        <v>39515</v>
      </c>
    </row>
    <row r="1656" spans="1:13">
      <c r="A1656" s="2">
        <v>4109</v>
      </c>
      <c r="B1656" s="2" t="s">
        <v>13930</v>
      </c>
      <c r="C1656" s="2">
        <v>38</v>
      </c>
      <c r="D1656" s="2">
        <v>341</v>
      </c>
      <c r="E1656" s="2">
        <v>167</v>
      </c>
      <c r="F1656" s="2">
        <v>32441</v>
      </c>
      <c r="G1656" s="2">
        <v>21.647461669999998</v>
      </c>
      <c r="H1656" s="3">
        <v>4.0800000000000001E-36</v>
      </c>
      <c r="I1656" s="2" t="s">
        <v>39516</v>
      </c>
      <c r="J1656" s="2" t="s">
        <v>39517</v>
      </c>
      <c r="K1656" s="3">
        <v>2.4499999999999998E-34</v>
      </c>
      <c r="L1656" s="2" t="s">
        <v>1178</v>
      </c>
      <c r="M1656" s="4" t="s">
        <v>13933</v>
      </c>
    </row>
    <row r="1657" spans="1:13">
      <c r="A1657" s="2">
        <v>8761</v>
      </c>
      <c r="B1657" s="2" t="s">
        <v>39518</v>
      </c>
      <c r="C1657" s="2">
        <v>40</v>
      </c>
      <c r="D1657" s="2">
        <v>341</v>
      </c>
      <c r="E1657" s="2">
        <v>200</v>
      </c>
      <c r="F1657" s="2">
        <v>32441</v>
      </c>
      <c r="G1657" s="2">
        <v>19.026979470000001</v>
      </c>
      <c r="H1657" s="3">
        <v>4.7599999999999998E-36</v>
      </c>
      <c r="I1657" s="2" t="s">
        <v>39519</v>
      </c>
      <c r="J1657" s="2" t="s">
        <v>39520</v>
      </c>
      <c r="K1657" s="3">
        <v>2.7599999999999999E-34</v>
      </c>
      <c r="L1657" s="2" t="s">
        <v>1178</v>
      </c>
      <c r="M1657" s="4" t="s">
        <v>39521</v>
      </c>
    </row>
    <row r="1658" spans="1:13">
      <c r="A1658" s="2">
        <v>2385</v>
      </c>
      <c r="B1658" s="2" t="s">
        <v>33495</v>
      </c>
      <c r="C1658" s="2">
        <v>40</v>
      </c>
      <c r="D1658" s="2">
        <v>341</v>
      </c>
      <c r="E1658" s="2">
        <v>200</v>
      </c>
      <c r="F1658" s="2">
        <v>32441</v>
      </c>
      <c r="G1658" s="2">
        <v>19.026979470000001</v>
      </c>
      <c r="H1658" s="3">
        <v>4.7599999999999998E-36</v>
      </c>
      <c r="I1658" s="2" t="s">
        <v>39522</v>
      </c>
      <c r="J1658" s="2" t="s">
        <v>39523</v>
      </c>
      <c r="K1658" s="3">
        <v>2.7599999999999999E-34</v>
      </c>
      <c r="L1658" s="2" t="s">
        <v>1178</v>
      </c>
      <c r="M1658" s="4" t="s">
        <v>33498</v>
      </c>
    </row>
    <row r="1659" spans="1:13">
      <c r="A1659" s="2">
        <v>3675</v>
      </c>
      <c r="B1659" s="2" t="s">
        <v>39524</v>
      </c>
      <c r="C1659" s="2">
        <v>40</v>
      </c>
      <c r="D1659" s="2">
        <v>341</v>
      </c>
      <c r="E1659" s="2">
        <v>200</v>
      </c>
      <c r="F1659" s="2">
        <v>32441</v>
      </c>
      <c r="G1659" s="2">
        <v>19.026979470000001</v>
      </c>
      <c r="H1659" s="3">
        <v>4.7599999999999998E-36</v>
      </c>
      <c r="I1659" s="2" t="s">
        <v>39525</v>
      </c>
      <c r="J1659" s="2" t="s">
        <v>39526</v>
      </c>
      <c r="K1659" s="3">
        <v>2.7599999999999999E-34</v>
      </c>
      <c r="L1659" s="2" t="s">
        <v>1178</v>
      </c>
      <c r="M1659" s="4" t="s">
        <v>39527</v>
      </c>
    </row>
    <row r="1660" spans="1:13">
      <c r="A1660" s="2">
        <v>4834</v>
      </c>
      <c r="B1660" s="2" t="s">
        <v>39528</v>
      </c>
      <c r="C1660" s="2">
        <v>39</v>
      </c>
      <c r="D1660" s="2">
        <v>341</v>
      </c>
      <c r="E1660" s="2">
        <v>197</v>
      </c>
      <c r="F1660" s="2">
        <v>32441</v>
      </c>
      <c r="G1660" s="2">
        <v>18.833812170000002</v>
      </c>
      <c r="H1660" s="3">
        <v>5.1399999999999997E-35</v>
      </c>
      <c r="I1660" s="2" t="s">
        <v>39529</v>
      </c>
      <c r="J1660" s="2" t="s">
        <v>39530</v>
      </c>
      <c r="K1660" s="3">
        <v>2.9499999999999999E-33</v>
      </c>
      <c r="L1660" s="2" t="s">
        <v>1178</v>
      </c>
      <c r="M1660" s="4" t="s">
        <v>39531</v>
      </c>
    </row>
    <row r="1661" spans="1:13">
      <c r="A1661" s="2">
        <v>1576</v>
      </c>
      <c r="B1661" s="2" t="s">
        <v>39532</v>
      </c>
      <c r="C1661" s="2">
        <v>39</v>
      </c>
      <c r="D1661" s="2">
        <v>341</v>
      </c>
      <c r="E1661" s="2">
        <v>200</v>
      </c>
      <c r="F1661" s="2">
        <v>32441</v>
      </c>
      <c r="G1661" s="2">
        <v>18.551304989999998</v>
      </c>
      <c r="H1661" s="3">
        <v>8.5600000000000005E-35</v>
      </c>
      <c r="I1661" s="2" t="s">
        <v>39533</v>
      </c>
      <c r="J1661" s="2" t="s">
        <v>39534</v>
      </c>
      <c r="K1661" s="3">
        <v>4.79E-33</v>
      </c>
      <c r="L1661" s="2" t="s">
        <v>1178</v>
      </c>
      <c r="M1661" s="4" t="s">
        <v>39535</v>
      </c>
    </row>
    <row r="1662" spans="1:13">
      <c r="A1662" s="2">
        <v>4464</v>
      </c>
      <c r="B1662" s="2" t="s">
        <v>39536</v>
      </c>
      <c r="C1662" s="2">
        <v>39</v>
      </c>
      <c r="D1662" s="2">
        <v>341</v>
      </c>
      <c r="E1662" s="2">
        <v>200</v>
      </c>
      <c r="F1662" s="2">
        <v>32441</v>
      </c>
      <c r="G1662" s="2">
        <v>18.551304989999998</v>
      </c>
      <c r="H1662" s="3">
        <v>8.5600000000000005E-35</v>
      </c>
      <c r="I1662" s="2" t="s">
        <v>39537</v>
      </c>
      <c r="J1662" s="2" t="s">
        <v>39538</v>
      </c>
      <c r="K1662" s="3">
        <v>4.79E-33</v>
      </c>
      <c r="L1662" s="2" t="s">
        <v>1178</v>
      </c>
      <c r="M1662" s="4" t="s">
        <v>39539</v>
      </c>
    </row>
    <row r="1663" spans="1:13">
      <c r="A1663" s="2">
        <v>1061</v>
      </c>
      <c r="B1663" s="2" t="s">
        <v>13730</v>
      </c>
      <c r="C1663" s="2">
        <v>38</v>
      </c>
      <c r="D1663" s="2">
        <v>341</v>
      </c>
      <c r="E1663" s="2">
        <v>200</v>
      </c>
      <c r="F1663" s="2">
        <v>32441</v>
      </c>
      <c r="G1663" s="2">
        <v>18.075630499999999</v>
      </c>
      <c r="H1663" s="3">
        <v>1.5000000000000001E-33</v>
      </c>
      <c r="I1663" s="2" t="s">
        <v>39540</v>
      </c>
      <c r="J1663" s="2" t="s">
        <v>39541</v>
      </c>
      <c r="K1663" s="3">
        <v>7.9500000000000001E-32</v>
      </c>
      <c r="L1663" s="2" t="s">
        <v>1178</v>
      </c>
      <c r="M1663" s="4" t="s">
        <v>13733</v>
      </c>
    </row>
    <row r="1664" spans="1:13">
      <c r="A1664" s="2">
        <v>13441</v>
      </c>
      <c r="B1664" s="2" t="s">
        <v>17930</v>
      </c>
      <c r="C1664" s="2">
        <v>38</v>
      </c>
      <c r="D1664" s="2">
        <v>341</v>
      </c>
      <c r="E1664" s="2">
        <v>200</v>
      </c>
      <c r="F1664" s="2">
        <v>32441</v>
      </c>
      <c r="G1664" s="2">
        <v>18.075630499999999</v>
      </c>
      <c r="H1664" s="3">
        <v>1.5000000000000001E-33</v>
      </c>
      <c r="I1664" s="2" t="s">
        <v>39542</v>
      </c>
      <c r="J1664" s="2" t="s">
        <v>39543</v>
      </c>
      <c r="K1664" s="3">
        <v>7.9500000000000001E-32</v>
      </c>
      <c r="L1664" s="2" t="s">
        <v>1178</v>
      </c>
      <c r="M1664" s="4" t="s">
        <v>17933</v>
      </c>
    </row>
    <row r="1665" spans="1:13">
      <c r="A1665" s="2">
        <v>23152</v>
      </c>
      <c r="B1665" s="2" t="s">
        <v>39544</v>
      </c>
      <c r="C1665" s="2">
        <v>38</v>
      </c>
      <c r="D1665" s="2">
        <v>341</v>
      </c>
      <c r="E1665" s="2">
        <v>200</v>
      </c>
      <c r="F1665" s="2">
        <v>32441</v>
      </c>
      <c r="G1665" s="2">
        <v>18.075630499999999</v>
      </c>
      <c r="H1665" s="3">
        <v>1.5000000000000001E-33</v>
      </c>
      <c r="I1665" s="2" t="s">
        <v>39545</v>
      </c>
      <c r="J1665" s="2" t="s">
        <v>39546</v>
      </c>
      <c r="K1665" s="3">
        <v>7.9500000000000001E-32</v>
      </c>
      <c r="L1665" s="2" t="s">
        <v>1178</v>
      </c>
      <c r="M1665" s="4" t="s">
        <v>39547</v>
      </c>
    </row>
    <row r="1666" spans="1:13">
      <c r="A1666" s="2">
        <v>3032</v>
      </c>
      <c r="B1666" s="2" t="s">
        <v>39548</v>
      </c>
      <c r="C1666" s="2">
        <v>38</v>
      </c>
      <c r="D1666" s="2">
        <v>341</v>
      </c>
      <c r="E1666" s="2">
        <v>200</v>
      </c>
      <c r="F1666" s="2">
        <v>32441</v>
      </c>
      <c r="G1666" s="2">
        <v>18.075630499999999</v>
      </c>
      <c r="H1666" s="3">
        <v>1.5000000000000001E-33</v>
      </c>
      <c r="I1666" s="2" t="s">
        <v>39549</v>
      </c>
      <c r="J1666" s="2" t="s">
        <v>39550</v>
      </c>
      <c r="K1666" s="3">
        <v>7.9500000000000001E-32</v>
      </c>
      <c r="L1666" s="2" t="s">
        <v>1178</v>
      </c>
      <c r="M1666" s="4" t="s">
        <v>39551</v>
      </c>
    </row>
    <row r="1667" spans="1:13">
      <c r="A1667" s="2">
        <v>3567</v>
      </c>
      <c r="B1667" s="2" t="s">
        <v>39552</v>
      </c>
      <c r="C1667" s="2">
        <v>38</v>
      </c>
      <c r="D1667" s="2">
        <v>341</v>
      </c>
      <c r="E1667" s="2">
        <v>200</v>
      </c>
      <c r="F1667" s="2">
        <v>32441</v>
      </c>
      <c r="G1667" s="2">
        <v>18.075630499999999</v>
      </c>
      <c r="H1667" s="3">
        <v>1.5000000000000001E-33</v>
      </c>
      <c r="I1667" s="2" t="s">
        <v>39553</v>
      </c>
      <c r="J1667" s="2" t="s">
        <v>39554</v>
      </c>
      <c r="K1667" s="3">
        <v>7.9500000000000001E-32</v>
      </c>
      <c r="L1667" s="2" t="s">
        <v>1178</v>
      </c>
      <c r="M1667" s="4" t="s">
        <v>39555</v>
      </c>
    </row>
    <row r="1668" spans="1:13">
      <c r="A1668" s="2">
        <v>3840</v>
      </c>
      <c r="B1668" s="2" t="s">
        <v>21320</v>
      </c>
      <c r="C1668" s="2">
        <v>37</v>
      </c>
      <c r="D1668" s="2">
        <v>341</v>
      </c>
      <c r="E1668" s="2">
        <v>199</v>
      </c>
      <c r="F1668" s="2">
        <v>32441</v>
      </c>
      <c r="G1668" s="2">
        <v>17.688397999999999</v>
      </c>
      <c r="H1668" s="3">
        <v>2.1899999999999999E-32</v>
      </c>
      <c r="I1668" s="2" t="s">
        <v>39556</v>
      </c>
      <c r="J1668" s="2" t="s">
        <v>39557</v>
      </c>
      <c r="K1668" s="3">
        <v>1.1499999999999999E-30</v>
      </c>
      <c r="L1668" s="2" t="s">
        <v>1178</v>
      </c>
      <c r="M1668" s="4" t="s">
        <v>21323</v>
      </c>
    </row>
    <row r="1669" spans="1:13">
      <c r="A1669" s="2">
        <v>1574</v>
      </c>
      <c r="B1669" s="2" t="s">
        <v>39558</v>
      </c>
      <c r="C1669" s="2">
        <v>37</v>
      </c>
      <c r="D1669" s="2">
        <v>341</v>
      </c>
      <c r="E1669" s="2">
        <v>200</v>
      </c>
      <c r="F1669" s="2">
        <v>32441</v>
      </c>
      <c r="G1669" s="2">
        <v>17.59995601</v>
      </c>
      <c r="H1669" s="3">
        <v>2.5700000000000002E-32</v>
      </c>
      <c r="I1669" s="2" t="s">
        <v>39559</v>
      </c>
      <c r="J1669" s="2" t="s">
        <v>39560</v>
      </c>
      <c r="K1669" s="3">
        <v>1.26E-30</v>
      </c>
      <c r="L1669" s="2" t="s">
        <v>1178</v>
      </c>
      <c r="M1669" s="4" t="s">
        <v>39561</v>
      </c>
    </row>
    <row r="1670" spans="1:13">
      <c r="A1670" s="2">
        <v>1704</v>
      </c>
      <c r="B1670" s="2" t="s">
        <v>39562</v>
      </c>
      <c r="C1670" s="2">
        <v>37</v>
      </c>
      <c r="D1670" s="2">
        <v>341</v>
      </c>
      <c r="E1670" s="2">
        <v>200</v>
      </c>
      <c r="F1670" s="2">
        <v>32441</v>
      </c>
      <c r="G1670" s="2">
        <v>17.59995601</v>
      </c>
      <c r="H1670" s="3">
        <v>2.5700000000000002E-32</v>
      </c>
      <c r="I1670" s="2" t="s">
        <v>39563</v>
      </c>
      <c r="J1670" s="2" t="s">
        <v>39564</v>
      </c>
      <c r="K1670" s="3">
        <v>1.26E-30</v>
      </c>
      <c r="L1670" s="2" t="s">
        <v>1178</v>
      </c>
      <c r="M1670" s="4" t="s">
        <v>39565</v>
      </c>
    </row>
    <row r="1671" spans="1:13">
      <c r="A1671" s="2">
        <v>3696</v>
      </c>
      <c r="B1671" s="2" t="s">
        <v>22488</v>
      </c>
      <c r="C1671" s="2">
        <v>37</v>
      </c>
      <c r="D1671" s="2">
        <v>341</v>
      </c>
      <c r="E1671" s="2">
        <v>200</v>
      </c>
      <c r="F1671" s="2">
        <v>32441</v>
      </c>
      <c r="G1671" s="2">
        <v>17.59995601</v>
      </c>
      <c r="H1671" s="3">
        <v>2.5700000000000002E-32</v>
      </c>
      <c r="I1671" s="2" t="s">
        <v>39566</v>
      </c>
      <c r="J1671" s="2" t="s">
        <v>39567</v>
      </c>
      <c r="K1671" s="3">
        <v>1.26E-30</v>
      </c>
      <c r="L1671" s="2" t="s">
        <v>1178</v>
      </c>
      <c r="M1671" s="4" t="s">
        <v>22491</v>
      </c>
    </row>
    <row r="1672" spans="1:13">
      <c r="A1672" s="2">
        <v>4347</v>
      </c>
      <c r="B1672" s="2" t="s">
        <v>22652</v>
      </c>
      <c r="C1672" s="2">
        <v>37</v>
      </c>
      <c r="D1672" s="2">
        <v>341</v>
      </c>
      <c r="E1672" s="2">
        <v>200</v>
      </c>
      <c r="F1672" s="2">
        <v>32441</v>
      </c>
      <c r="G1672" s="2">
        <v>17.59995601</v>
      </c>
      <c r="H1672" s="3">
        <v>2.5700000000000002E-32</v>
      </c>
      <c r="I1672" s="2" t="s">
        <v>39568</v>
      </c>
      <c r="J1672" s="2" t="s">
        <v>39569</v>
      </c>
      <c r="K1672" s="3">
        <v>1.26E-30</v>
      </c>
      <c r="L1672" s="2" t="s">
        <v>1178</v>
      </c>
      <c r="M1672" s="4" t="s">
        <v>22655</v>
      </c>
    </row>
    <row r="1673" spans="1:13">
      <c r="A1673" s="2">
        <v>4444</v>
      </c>
      <c r="B1673" s="2" t="s">
        <v>17550</v>
      </c>
      <c r="C1673" s="2">
        <v>37</v>
      </c>
      <c r="D1673" s="2">
        <v>341</v>
      </c>
      <c r="E1673" s="2">
        <v>200</v>
      </c>
      <c r="F1673" s="2">
        <v>32441</v>
      </c>
      <c r="G1673" s="2">
        <v>17.59995601</v>
      </c>
      <c r="H1673" s="3">
        <v>2.5700000000000002E-32</v>
      </c>
      <c r="I1673" s="2" t="s">
        <v>39570</v>
      </c>
      <c r="J1673" s="2" t="s">
        <v>39571</v>
      </c>
      <c r="K1673" s="3">
        <v>1.26E-30</v>
      </c>
      <c r="L1673" s="2" t="s">
        <v>1178</v>
      </c>
      <c r="M1673" s="4" t="s">
        <v>17553</v>
      </c>
    </row>
    <row r="1674" spans="1:13">
      <c r="A1674" s="2">
        <v>4531</v>
      </c>
      <c r="B1674" s="2" t="s">
        <v>39572</v>
      </c>
      <c r="C1674" s="2">
        <v>37</v>
      </c>
      <c r="D1674" s="2">
        <v>341</v>
      </c>
      <c r="E1674" s="2">
        <v>200</v>
      </c>
      <c r="F1674" s="2">
        <v>32441</v>
      </c>
      <c r="G1674" s="2">
        <v>17.59995601</v>
      </c>
      <c r="H1674" s="3">
        <v>2.5700000000000002E-32</v>
      </c>
      <c r="I1674" s="2" t="s">
        <v>39573</v>
      </c>
      <c r="J1674" s="2" t="s">
        <v>39574</v>
      </c>
      <c r="K1674" s="3">
        <v>1.26E-30</v>
      </c>
      <c r="L1674" s="2" t="s">
        <v>1178</v>
      </c>
      <c r="M1674" s="4" t="s">
        <v>39575</v>
      </c>
    </row>
    <row r="1675" spans="1:13">
      <c r="A1675" s="2">
        <v>27951</v>
      </c>
      <c r="B1675" s="2" t="s">
        <v>39576</v>
      </c>
      <c r="C1675" s="2">
        <v>36</v>
      </c>
      <c r="D1675" s="2">
        <v>341</v>
      </c>
      <c r="E1675" s="2">
        <v>184</v>
      </c>
      <c r="F1675" s="2">
        <v>32441</v>
      </c>
      <c r="G1675" s="2">
        <v>18.61334948</v>
      </c>
      <c r="H1675" s="3">
        <v>3.1899999999999998E-32</v>
      </c>
      <c r="I1675" s="2" t="s">
        <v>39577</v>
      </c>
      <c r="J1675" s="2" t="s">
        <v>39578</v>
      </c>
      <c r="K1675" s="3">
        <v>1.55E-30</v>
      </c>
      <c r="L1675" s="2" t="s">
        <v>1178</v>
      </c>
      <c r="M1675" s="4" t="s">
        <v>39579</v>
      </c>
    </row>
    <row r="1676" spans="1:13">
      <c r="A1676" s="2">
        <v>2677</v>
      </c>
      <c r="B1676" s="2" t="s">
        <v>39580</v>
      </c>
      <c r="C1676" s="2">
        <v>35</v>
      </c>
      <c r="D1676" s="2">
        <v>341</v>
      </c>
      <c r="E1676" s="2">
        <v>169</v>
      </c>
      <c r="F1676" s="2">
        <v>32441</v>
      </c>
      <c r="G1676" s="2">
        <v>19.702493539999999</v>
      </c>
      <c r="H1676" s="3">
        <v>4.26E-32</v>
      </c>
      <c r="I1676" s="2" t="s">
        <v>39581</v>
      </c>
      <c r="J1676" s="2" t="s">
        <v>39582</v>
      </c>
      <c r="K1676" s="3">
        <v>2.0500000000000002E-30</v>
      </c>
      <c r="L1676" s="2" t="s">
        <v>1178</v>
      </c>
      <c r="M1676" s="4" t="s">
        <v>39583</v>
      </c>
    </row>
    <row r="1677" spans="1:13">
      <c r="A1677" s="2">
        <v>1092</v>
      </c>
      <c r="B1677" s="2" t="s">
        <v>33213</v>
      </c>
      <c r="C1677" s="2">
        <v>36</v>
      </c>
      <c r="D1677" s="2">
        <v>341</v>
      </c>
      <c r="E1677" s="2">
        <v>200</v>
      </c>
      <c r="F1677" s="2">
        <v>32441</v>
      </c>
      <c r="G1677" s="2">
        <v>17.12428152</v>
      </c>
      <c r="H1677" s="3">
        <v>4.2899999999999997E-31</v>
      </c>
      <c r="I1677" s="2" t="s">
        <v>39584</v>
      </c>
      <c r="J1677" s="2" t="s">
        <v>39585</v>
      </c>
      <c r="K1677" s="3">
        <v>1.8999999999999999E-29</v>
      </c>
      <c r="L1677" s="2" t="s">
        <v>1178</v>
      </c>
      <c r="M1677" s="4" t="s">
        <v>33216</v>
      </c>
    </row>
    <row r="1678" spans="1:13">
      <c r="A1678" s="2">
        <v>410</v>
      </c>
      <c r="B1678" s="2" t="s">
        <v>19492</v>
      </c>
      <c r="C1678" s="2">
        <v>36</v>
      </c>
      <c r="D1678" s="2">
        <v>341</v>
      </c>
      <c r="E1678" s="2">
        <v>200</v>
      </c>
      <c r="F1678" s="2">
        <v>32441</v>
      </c>
      <c r="G1678" s="2">
        <v>17.12428152</v>
      </c>
      <c r="H1678" s="3">
        <v>4.2899999999999997E-31</v>
      </c>
      <c r="I1678" s="2" t="s">
        <v>39586</v>
      </c>
      <c r="J1678" s="2" t="s">
        <v>39587</v>
      </c>
      <c r="K1678" s="3">
        <v>1.8999999999999999E-29</v>
      </c>
      <c r="L1678" s="2" t="s">
        <v>1178</v>
      </c>
      <c r="M1678" s="4" t="s">
        <v>19495</v>
      </c>
    </row>
    <row r="1679" spans="1:13">
      <c r="A1679" s="2">
        <v>1055</v>
      </c>
      <c r="B1679" s="2" t="s">
        <v>39588</v>
      </c>
      <c r="C1679" s="2">
        <v>36</v>
      </c>
      <c r="D1679" s="2">
        <v>341</v>
      </c>
      <c r="E1679" s="2">
        <v>200</v>
      </c>
      <c r="F1679" s="2">
        <v>32441</v>
      </c>
      <c r="G1679" s="2">
        <v>17.12428152</v>
      </c>
      <c r="H1679" s="3">
        <v>4.2899999999999997E-31</v>
      </c>
      <c r="I1679" s="2" t="s">
        <v>39589</v>
      </c>
      <c r="J1679" s="2" t="s">
        <v>39590</v>
      </c>
      <c r="K1679" s="3">
        <v>1.8999999999999999E-29</v>
      </c>
      <c r="L1679" s="2" t="s">
        <v>1178</v>
      </c>
      <c r="M1679" s="4" t="s">
        <v>39591</v>
      </c>
    </row>
    <row r="1680" spans="1:13">
      <c r="A1680" s="2">
        <v>1057</v>
      </c>
      <c r="B1680" s="2" t="s">
        <v>39592</v>
      </c>
      <c r="C1680" s="2">
        <v>36</v>
      </c>
      <c r="D1680" s="2">
        <v>341</v>
      </c>
      <c r="E1680" s="2">
        <v>200</v>
      </c>
      <c r="F1680" s="2">
        <v>32441</v>
      </c>
      <c r="G1680" s="2">
        <v>17.12428152</v>
      </c>
      <c r="H1680" s="3">
        <v>4.2899999999999997E-31</v>
      </c>
      <c r="I1680" s="2" t="s">
        <v>39593</v>
      </c>
      <c r="J1680" s="2" t="s">
        <v>39594</v>
      </c>
      <c r="K1680" s="3">
        <v>1.8999999999999999E-29</v>
      </c>
      <c r="L1680" s="2" t="s">
        <v>1178</v>
      </c>
      <c r="M1680" s="4" t="s">
        <v>39595</v>
      </c>
    </row>
    <row r="1681" spans="1:13">
      <c r="A1681" s="2">
        <v>17121</v>
      </c>
      <c r="B1681" s="2" t="s">
        <v>39596</v>
      </c>
      <c r="C1681" s="2">
        <v>36</v>
      </c>
      <c r="D1681" s="2">
        <v>341</v>
      </c>
      <c r="E1681" s="2">
        <v>200</v>
      </c>
      <c r="F1681" s="2">
        <v>32441</v>
      </c>
      <c r="G1681" s="2">
        <v>17.12428152</v>
      </c>
      <c r="H1681" s="3">
        <v>4.2899999999999997E-31</v>
      </c>
      <c r="I1681" s="2" t="s">
        <v>39597</v>
      </c>
      <c r="J1681" s="2" t="s">
        <v>39598</v>
      </c>
      <c r="K1681" s="3">
        <v>1.8999999999999999E-29</v>
      </c>
      <c r="L1681" s="2" t="s">
        <v>1178</v>
      </c>
      <c r="M1681" s="4" t="s">
        <v>39599</v>
      </c>
    </row>
    <row r="1682" spans="1:13">
      <c r="A1682" s="2">
        <v>3185</v>
      </c>
      <c r="B1682" s="2" t="s">
        <v>39600</v>
      </c>
      <c r="C1682" s="2">
        <v>36</v>
      </c>
      <c r="D1682" s="2">
        <v>341</v>
      </c>
      <c r="E1682" s="2">
        <v>200</v>
      </c>
      <c r="F1682" s="2">
        <v>32441</v>
      </c>
      <c r="G1682" s="2">
        <v>17.12428152</v>
      </c>
      <c r="H1682" s="3">
        <v>4.2899999999999997E-31</v>
      </c>
      <c r="I1682" s="2" t="s">
        <v>39601</v>
      </c>
      <c r="J1682" s="2" t="s">
        <v>39602</v>
      </c>
      <c r="K1682" s="3">
        <v>1.8999999999999999E-29</v>
      </c>
      <c r="L1682" s="2" t="s">
        <v>1178</v>
      </c>
      <c r="M1682" s="4" t="s">
        <v>39603</v>
      </c>
    </row>
    <row r="1683" spans="1:13">
      <c r="A1683" s="2">
        <v>3515</v>
      </c>
      <c r="B1683" s="2" t="s">
        <v>22449</v>
      </c>
      <c r="C1683" s="2">
        <v>36</v>
      </c>
      <c r="D1683" s="2">
        <v>341</v>
      </c>
      <c r="E1683" s="2">
        <v>200</v>
      </c>
      <c r="F1683" s="2">
        <v>32441</v>
      </c>
      <c r="G1683" s="2">
        <v>17.12428152</v>
      </c>
      <c r="H1683" s="3">
        <v>4.2899999999999997E-31</v>
      </c>
      <c r="I1683" s="2" t="s">
        <v>39604</v>
      </c>
      <c r="J1683" s="2" t="s">
        <v>39605</v>
      </c>
      <c r="K1683" s="3">
        <v>1.8999999999999999E-29</v>
      </c>
      <c r="L1683" s="2" t="s">
        <v>1178</v>
      </c>
      <c r="M1683" s="4" t="s">
        <v>22452</v>
      </c>
    </row>
    <row r="1684" spans="1:13">
      <c r="A1684" s="2">
        <v>3720</v>
      </c>
      <c r="B1684" s="2" t="s">
        <v>39606</v>
      </c>
      <c r="C1684" s="2">
        <v>36</v>
      </c>
      <c r="D1684" s="2">
        <v>341</v>
      </c>
      <c r="E1684" s="2">
        <v>200</v>
      </c>
      <c r="F1684" s="2">
        <v>32441</v>
      </c>
      <c r="G1684" s="2">
        <v>17.12428152</v>
      </c>
      <c r="H1684" s="3">
        <v>4.2899999999999997E-31</v>
      </c>
      <c r="I1684" s="2" t="s">
        <v>39607</v>
      </c>
      <c r="J1684" s="2" t="s">
        <v>39608</v>
      </c>
      <c r="K1684" s="3">
        <v>1.8999999999999999E-29</v>
      </c>
      <c r="L1684" s="2" t="s">
        <v>1178</v>
      </c>
      <c r="M1684" s="4" t="s">
        <v>39609</v>
      </c>
    </row>
    <row r="1685" spans="1:13">
      <c r="A1685" s="2">
        <v>43362</v>
      </c>
      <c r="B1685" s="2" t="s">
        <v>39610</v>
      </c>
      <c r="C1685" s="2">
        <v>36</v>
      </c>
      <c r="D1685" s="2">
        <v>341</v>
      </c>
      <c r="E1685" s="2">
        <v>200</v>
      </c>
      <c r="F1685" s="2">
        <v>32441</v>
      </c>
      <c r="G1685" s="2">
        <v>17.12428152</v>
      </c>
      <c r="H1685" s="3">
        <v>4.2899999999999997E-31</v>
      </c>
      <c r="I1685" s="2" t="s">
        <v>39611</v>
      </c>
      <c r="J1685" s="2" t="s">
        <v>39612</v>
      </c>
      <c r="K1685" s="3">
        <v>1.8999999999999999E-29</v>
      </c>
      <c r="L1685" s="2" t="s">
        <v>1178</v>
      </c>
      <c r="M1685" s="4" t="s">
        <v>39613</v>
      </c>
    </row>
    <row r="1686" spans="1:13">
      <c r="A1686" s="2">
        <v>392</v>
      </c>
      <c r="B1686" s="2" t="s">
        <v>39614</v>
      </c>
      <c r="C1686" s="2">
        <v>35</v>
      </c>
      <c r="D1686" s="2">
        <v>341</v>
      </c>
      <c r="E1686" s="2">
        <v>200</v>
      </c>
      <c r="F1686" s="2">
        <v>32441</v>
      </c>
      <c r="G1686" s="2">
        <v>16.648607040000002</v>
      </c>
      <c r="H1686" s="3">
        <v>6.9699999999999997E-30</v>
      </c>
      <c r="I1686" s="2" t="s">
        <v>39615</v>
      </c>
      <c r="J1686" s="2" t="s">
        <v>39616</v>
      </c>
      <c r="K1686" s="3">
        <v>2.8500000000000002E-28</v>
      </c>
      <c r="L1686" s="2" t="s">
        <v>1178</v>
      </c>
      <c r="M1686" s="4" t="s">
        <v>39617</v>
      </c>
    </row>
    <row r="1687" spans="1:13">
      <c r="A1687" s="2">
        <v>408</v>
      </c>
      <c r="B1687" s="2" t="s">
        <v>39618</v>
      </c>
      <c r="C1687" s="2">
        <v>35</v>
      </c>
      <c r="D1687" s="2">
        <v>341</v>
      </c>
      <c r="E1687" s="2">
        <v>200</v>
      </c>
      <c r="F1687" s="2">
        <v>32441</v>
      </c>
      <c r="G1687" s="2">
        <v>16.648607040000002</v>
      </c>
      <c r="H1687" s="3">
        <v>6.9699999999999997E-30</v>
      </c>
      <c r="I1687" s="2" t="s">
        <v>39619</v>
      </c>
      <c r="J1687" s="2" t="s">
        <v>39620</v>
      </c>
      <c r="K1687" s="3">
        <v>2.8500000000000002E-28</v>
      </c>
      <c r="L1687" s="2" t="s">
        <v>1178</v>
      </c>
      <c r="M1687" s="4" t="s">
        <v>39621</v>
      </c>
    </row>
    <row r="1688" spans="1:13">
      <c r="A1688" s="2">
        <v>1987</v>
      </c>
      <c r="B1688" s="2" t="s">
        <v>39622</v>
      </c>
      <c r="C1688" s="2">
        <v>35</v>
      </c>
      <c r="D1688" s="2">
        <v>341</v>
      </c>
      <c r="E1688" s="2">
        <v>200</v>
      </c>
      <c r="F1688" s="2">
        <v>32441</v>
      </c>
      <c r="G1688" s="2">
        <v>16.648607040000002</v>
      </c>
      <c r="H1688" s="3">
        <v>6.9699999999999997E-30</v>
      </c>
      <c r="I1688" s="2" t="s">
        <v>39623</v>
      </c>
      <c r="J1688" s="2" t="s">
        <v>39624</v>
      </c>
      <c r="K1688" s="3">
        <v>2.8500000000000002E-28</v>
      </c>
      <c r="L1688" s="2" t="s">
        <v>1178</v>
      </c>
      <c r="M1688" s="4" t="s">
        <v>39625</v>
      </c>
    </row>
    <row r="1689" spans="1:13">
      <c r="A1689" s="2">
        <v>2067</v>
      </c>
      <c r="B1689" s="2" t="s">
        <v>18845</v>
      </c>
      <c r="C1689" s="2">
        <v>35</v>
      </c>
      <c r="D1689" s="2">
        <v>341</v>
      </c>
      <c r="E1689" s="2">
        <v>200</v>
      </c>
      <c r="F1689" s="2">
        <v>32441</v>
      </c>
      <c r="G1689" s="2">
        <v>16.648607040000002</v>
      </c>
      <c r="H1689" s="3">
        <v>6.9699999999999997E-30</v>
      </c>
      <c r="I1689" s="2" t="s">
        <v>39626</v>
      </c>
      <c r="J1689" s="2" t="s">
        <v>39627</v>
      </c>
      <c r="K1689" s="3">
        <v>2.8500000000000002E-28</v>
      </c>
      <c r="L1689" s="2" t="s">
        <v>1178</v>
      </c>
      <c r="M1689" s="4" t="s">
        <v>18848</v>
      </c>
    </row>
    <row r="1690" spans="1:13">
      <c r="A1690" s="2">
        <v>33991</v>
      </c>
      <c r="B1690" s="2" t="s">
        <v>23812</v>
      </c>
      <c r="C1690" s="2">
        <v>35</v>
      </c>
      <c r="D1690" s="2">
        <v>341</v>
      </c>
      <c r="E1690" s="2">
        <v>200</v>
      </c>
      <c r="F1690" s="2">
        <v>32441</v>
      </c>
      <c r="G1690" s="2">
        <v>16.648607040000002</v>
      </c>
      <c r="H1690" s="3">
        <v>6.9699999999999997E-30</v>
      </c>
      <c r="I1690" s="2" t="s">
        <v>39628</v>
      </c>
      <c r="J1690" s="2" t="s">
        <v>39629</v>
      </c>
      <c r="K1690" s="3">
        <v>2.8500000000000002E-28</v>
      </c>
      <c r="L1690" s="2" t="s">
        <v>1178</v>
      </c>
      <c r="M1690" s="4" t="s">
        <v>23815</v>
      </c>
    </row>
    <row r="1691" spans="1:13">
      <c r="A1691" s="2">
        <v>3547</v>
      </c>
      <c r="B1691" s="2" t="s">
        <v>13867</v>
      </c>
      <c r="C1691" s="2">
        <v>35</v>
      </c>
      <c r="D1691" s="2">
        <v>341</v>
      </c>
      <c r="E1691" s="2">
        <v>200</v>
      </c>
      <c r="F1691" s="2">
        <v>32441</v>
      </c>
      <c r="G1691" s="2">
        <v>16.648607040000002</v>
      </c>
      <c r="H1691" s="3">
        <v>6.9699999999999997E-30</v>
      </c>
      <c r="I1691" s="2" t="s">
        <v>39630</v>
      </c>
      <c r="J1691" s="2" t="s">
        <v>39631</v>
      </c>
      <c r="K1691" s="3">
        <v>2.8500000000000002E-28</v>
      </c>
      <c r="L1691" s="2" t="s">
        <v>1178</v>
      </c>
      <c r="M1691" s="4" t="s">
        <v>13870</v>
      </c>
    </row>
    <row r="1692" spans="1:13">
      <c r="A1692" s="2">
        <v>35631</v>
      </c>
      <c r="B1692" s="2" t="s">
        <v>39632</v>
      </c>
      <c r="C1692" s="2">
        <v>35</v>
      </c>
      <c r="D1692" s="2">
        <v>341</v>
      </c>
      <c r="E1692" s="2">
        <v>200</v>
      </c>
      <c r="F1692" s="2">
        <v>32441</v>
      </c>
      <c r="G1692" s="2">
        <v>16.648607040000002</v>
      </c>
      <c r="H1692" s="3">
        <v>6.9699999999999997E-30</v>
      </c>
      <c r="I1692" s="2" t="s">
        <v>39633</v>
      </c>
      <c r="J1692" s="2" t="s">
        <v>39634</v>
      </c>
      <c r="K1692" s="3">
        <v>2.8500000000000002E-28</v>
      </c>
      <c r="L1692" s="2" t="s">
        <v>1178</v>
      </c>
      <c r="M1692" s="4" t="s">
        <v>39635</v>
      </c>
    </row>
    <row r="1693" spans="1:13">
      <c r="A1693" s="2">
        <v>36672</v>
      </c>
      <c r="B1693" s="2" t="s">
        <v>2649</v>
      </c>
      <c r="C1693" s="2">
        <v>35</v>
      </c>
      <c r="D1693" s="2">
        <v>341</v>
      </c>
      <c r="E1693" s="2">
        <v>200</v>
      </c>
      <c r="F1693" s="2">
        <v>32441</v>
      </c>
      <c r="G1693" s="2">
        <v>16.648607040000002</v>
      </c>
      <c r="H1693" s="3">
        <v>6.9699999999999997E-30</v>
      </c>
      <c r="I1693" s="2" t="s">
        <v>39636</v>
      </c>
      <c r="J1693" s="2" t="s">
        <v>39637</v>
      </c>
      <c r="K1693" s="3">
        <v>2.8500000000000002E-28</v>
      </c>
      <c r="L1693" s="2" t="s">
        <v>1178</v>
      </c>
      <c r="M1693" s="4" t="s">
        <v>34335</v>
      </c>
    </row>
    <row r="1694" spans="1:13">
      <c r="A1694" s="2">
        <v>3671</v>
      </c>
      <c r="B1694" s="2" t="s">
        <v>33646</v>
      </c>
      <c r="C1694" s="2">
        <v>35</v>
      </c>
      <c r="D1694" s="2">
        <v>341</v>
      </c>
      <c r="E1694" s="2">
        <v>200</v>
      </c>
      <c r="F1694" s="2">
        <v>32441</v>
      </c>
      <c r="G1694" s="2">
        <v>16.648607040000002</v>
      </c>
      <c r="H1694" s="3">
        <v>6.9699999999999997E-30</v>
      </c>
      <c r="I1694" s="2" t="s">
        <v>39638</v>
      </c>
      <c r="J1694" s="2" t="s">
        <v>39639</v>
      </c>
      <c r="K1694" s="3">
        <v>2.8500000000000002E-28</v>
      </c>
      <c r="L1694" s="2" t="s">
        <v>1178</v>
      </c>
      <c r="M1694" s="4" t="s">
        <v>33649</v>
      </c>
    </row>
    <row r="1695" spans="1:13">
      <c r="A1695" s="2">
        <v>2821</v>
      </c>
      <c r="B1695" s="2" t="s">
        <v>39640</v>
      </c>
      <c r="C1695" s="2">
        <v>33</v>
      </c>
      <c r="D1695" s="2">
        <v>341</v>
      </c>
      <c r="E1695" s="2">
        <v>175</v>
      </c>
      <c r="F1695" s="2">
        <v>32441</v>
      </c>
      <c r="G1695" s="2">
        <v>17.939723499999999</v>
      </c>
      <c r="H1695" s="3">
        <v>3.73E-29</v>
      </c>
      <c r="I1695" s="2" t="s">
        <v>39641</v>
      </c>
      <c r="J1695" s="2" t="s">
        <v>39642</v>
      </c>
      <c r="K1695" s="3">
        <v>1.51E-27</v>
      </c>
      <c r="L1695" s="2" t="s">
        <v>1178</v>
      </c>
      <c r="M1695" s="4" t="s">
        <v>39643</v>
      </c>
    </row>
    <row r="1696" spans="1:13">
      <c r="A1696" s="2">
        <v>3961</v>
      </c>
      <c r="B1696" s="2" t="s">
        <v>21753</v>
      </c>
      <c r="C1696" s="2">
        <v>34</v>
      </c>
      <c r="D1696" s="2">
        <v>341</v>
      </c>
      <c r="E1696" s="2">
        <v>200</v>
      </c>
      <c r="F1696" s="2">
        <v>32441</v>
      </c>
      <c r="G1696" s="2">
        <v>16.172932549999999</v>
      </c>
      <c r="H1696" s="3">
        <v>1.1E-28</v>
      </c>
      <c r="I1696" s="2" t="s">
        <v>39644</v>
      </c>
      <c r="J1696" s="2" t="s">
        <v>39645</v>
      </c>
      <c r="K1696" s="3">
        <v>4.2599999999999997E-27</v>
      </c>
      <c r="L1696" s="2" t="s">
        <v>1178</v>
      </c>
      <c r="M1696" s="4" t="s">
        <v>21756</v>
      </c>
    </row>
    <row r="1697" spans="1:13">
      <c r="A1697" s="2">
        <v>404</v>
      </c>
      <c r="B1697" s="2" t="s">
        <v>18545</v>
      </c>
      <c r="C1697" s="2">
        <v>34</v>
      </c>
      <c r="D1697" s="2">
        <v>341</v>
      </c>
      <c r="E1697" s="2">
        <v>200</v>
      </c>
      <c r="F1697" s="2">
        <v>32441</v>
      </c>
      <c r="G1697" s="2">
        <v>16.172932549999999</v>
      </c>
      <c r="H1697" s="3">
        <v>1.1E-28</v>
      </c>
      <c r="I1697" s="2" t="s">
        <v>39646</v>
      </c>
      <c r="J1697" s="2" t="s">
        <v>39647</v>
      </c>
      <c r="K1697" s="3">
        <v>4.2599999999999997E-27</v>
      </c>
      <c r="L1697" s="2" t="s">
        <v>1178</v>
      </c>
      <c r="M1697" s="4" t="s">
        <v>18548</v>
      </c>
    </row>
    <row r="1698" spans="1:13">
      <c r="A1698" s="2">
        <v>1708</v>
      </c>
      <c r="B1698" s="2" t="s">
        <v>17243</v>
      </c>
      <c r="C1698" s="2">
        <v>34</v>
      </c>
      <c r="D1698" s="2">
        <v>341</v>
      </c>
      <c r="E1698" s="2">
        <v>200</v>
      </c>
      <c r="F1698" s="2">
        <v>32441</v>
      </c>
      <c r="G1698" s="2">
        <v>16.172932549999999</v>
      </c>
      <c r="H1698" s="3">
        <v>1.1E-28</v>
      </c>
      <c r="I1698" s="2" t="s">
        <v>39648</v>
      </c>
      <c r="J1698" s="2" t="s">
        <v>39649</v>
      </c>
      <c r="K1698" s="3">
        <v>4.2599999999999997E-27</v>
      </c>
      <c r="L1698" s="2" t="s">
        <v>1178</v>
      </c>
      <c r="M1698" s="4" t="s">
        <v>17246</v>
      </c>
    </row>
    <row r="1699" spans="1:13">
      <c r="A1699" s="2">
        <v>1771</v>
      </c>
      <c r="B1699" s="2" t="s">
        <v>22100</v>
      </c>
      <c r="C1699" s="2">
        <v>34</v>
      </c>
      <c r="D1699" s="2">
        <v>341</v>
      </c>
      <c r="E1699" s="2">
        <v>200</v>
      </c>
      <c r="F1699" s="2">
        <v>32441</v>
      </c>
      <c r="G1699" s="2">
        <v>16.172932549999999</v>
      </c>
      <c r="H1699" s="3">
        <v>1.1E-28</v>
      </c>
      <c r="I1699" s="2" t="s">
        <v>39650</v>
      </c>
      <c r="J1699" s="2" t="s">
        <v>39651</v>
      </c>
      <c r="K1699" s="3">
        <v>4.2599999999999997E-27</v>
      </c>
      <c r="L1699" s="2" t="s">
        <v>1178</v>
      </c>
      <c r="M1699" s="4" t="s">
        <v>22103</v>
      </c>
    </row>
    <row r="1700" spans="1:13">
      <c r="A1700" s="2">
        <v>2602</v>
      </c>
      <c r="B1700" s="2" t="s">
        <v>21083</v>
      </c>
      <c r="C1700" s="2">
        <v>34</v>
      </c>
      <c r="D1700" s="2">
        <v>341</v>
      </c>
      <c r="E1700" s="2">
        <v>200</v>
      </c>
      <c r="F1700" s="2">
        <v>32441</v>
      </c>
      <c r="G1700" s="2">
        <v>16.172932549999999</v>
      </c>
      <c r="H1700" s="3">
        <v>1.1E-28</v>
      </c>
      <c r="I1700" s="2" t="s">
        <v>39652</v>
      </c>
      <c r="J1700" s="2" t="s">
        <v>39653</v>
      </c>
      <c r="K1700" s="3">
        <v>4.2599999999999997E-27</v>
      </c>
      <c r="L1700" s="2" t="s">
        <v>1178</v>
      </c>
      <c r="M1700" s="4" t="s">
        <v>21086</v>
      </c>
    </row>
    <row r="1701" spans="1:13">
      <c r="A1701" s="2">
        <v>3714</v>
      </c>
      <c r="B1701" s="2" t="s">
        <v>18224</v>
      </c>
      <c r="C1701" s="2">
        <v>34</v>
      </c>
      <c r="D1701" s="2">
        <v>341</v>
      </c>
      <c r="E1701" s="2">
        <v>200</v>
      </c>
      <c r="F1701" s="2">
        <v>32441</v>
      </c>
      <c r="G1701" s="2">
        <v>16.172932549999999</v>
      </c>
      <c r="H1701" s="3">
        <v>1.1E-28</v>
      </c>
      <c r="I1701" s="2" t="s">
        <v>39654</v>
      </c>
      <c r="J1701" s="2" t="s">
        <v>39655</v>
      </c>
      <c r="K1701" s="3">
        <v>4.2599999999999997E-27</v>
      </c>
      <c r="L1701" s="2" t="s">
        <v>1178</v>
      </c>
      <c r="M1701" s="4" t="s">
        <v>18227</v>
      </c>
    </row>
    <row r="1702" spans="1:13">
      <c r="A1702" s="2">
        <v>3579</v>
      </c>
      <c r="B1702" s="2" t="s">
        <v>19314</v>
      </c>
      <c r="C1702" s="2">
        <v>32</v>
      </c>
      <c r="D1702" s="2">
        <v>341</v>
      </c>
      <c r="E1702" s="2">
        <v>175</v>
      </c>
      <c r="F1702" s="2">
        <v>32441</v>
      </c>
      <c r="G1702" s="2">
        <v>17.396095519999999</v>
      </c>
      <c r="H1702" s="3">
        <v>6.2399999999999996E-28</v>
      </c>
      <c r="I1702" s="2" t="s">
        <v>39656</v>
      </c>
      <c r="J1702" s="2" t="s">
        <v>39657</v>
      </c>
      <c r="K1702" s="3">
        <v>2.4000000000000001E-26</v>
      </c>
      <c r="L1702" s="2" t="s">
        <v>1178</v>
      </c>
      <c r="M1702" s="4" t="s">
        <v>19317</v>
      </c>
    </row>
    <row r="1703" spans="1:13">
      <c r="A1703" s="2">
        <v>12461</v>
      </c>
      <c r="B1703" s="2" t="s">
        <v>39658</v>
      </c>
      <c r="C1703" s="2">
        <v>33</v>
      </c>
      <c r="D1703" s="2">
        <v>341</v>
      </c>
      <c r="E1703" s="2">
        <v>199</v>
      </c>
      <c r="F1703" s="2">
        <v>32441</v>
      </c>
      <c r="G1703" s="2">
        <v>15.77613876</v>
      </c>
      <c r="H1703" s="3">
        <v>1.47E-27</v>
      </c>
      <c r="I1703" s="2" t="s">
        <v>39659</v>
      </c>
      <c r="J1703" s="2" t="s">
        <v>39660</v>
      </c>
      <c r="K1703" s="3">
        <v>5.4599999999999995E-26</v>
      </c>
      <c r="L1703" s="2" t="s">
        <v>1178</v>
      </c>
      <c r="M1703" s="4" t="s">
        <v>39661</v>
      </c>
    </row>
    <row r="1704" spans="1:13">
      <c r="A1704" s="2">
        <v>1957</v>
      </c>
      <c r="B1704" s="2" t="s">
        <v>39662</v>
      </c>
      <c r="C1704" s="2">
        <v>33</v>
      </c>
      <c r="D1704" s="2">
        <v>341</v>
      </c>
      <c r="E1704" s="2">
        <v>199</v>
      </c>
      <c r="F1704" s="2">
        <v>32441</v>
      </c>
      <c r="G1704" s="2">
        <v>15.77613876</v>
      </c>
      <c r="H1704" s="3">
        <v>1.47E-27</v>
      </c>
      <c r="I1704" s="2" t="s">
        <v>39663</v>
      </c>
      <c r="J1704" s="2" t="s">
        <v>39664</v>
      </c>
      <c r="K1704" s="3">
        <v>5.4599999999999995E-26</v>
      </c>
      <c r="L1704" s="2" t="s">
        <v>1178</v>
      </c>
      <c r="M1704" s="4" t="s">
        <v>39665</v>
      </c>
    </row>
    <row r="1705" spans="1:13">
      <c r="A1705" s="2">
        <v>3114</v>
      </c>
      <c r="B1705" s="2" t="s">
        <v>39666</v>
      </c>
      <c r="C1705" s="2">
        <v>33</v>
      </c>
      <c r="D1705" s="2">
        <v>341</v>
      </c>
      <c r="E1705" s="2">
        <v>199</v>
      </c>
      <c r="F1705" s="2">
        <v>32441</v>
      </c>
      <c r="G1705" s="2">
        <v>15.77613876</v>
      </c>
      <c r="H1705" s="3">
        <v>1.47E-27</v>
      </c>
      <c r="I1705" s="2" t="s">
        <v>39667</v>
      </c>
      <c r="J1705" s="2" t="s">
        <v>39668</v>
      </c>
      <c r="K1705" s="3">
        <v>5.4599999999999995E-26</v>
      </c>
      <c r="L1705" s="2" t="s">
        <v>1178</v>
      </c>
      <c r="M1705" s="4" t="s">
        <v>39669</v>
      </c>
    </row>
    <row r="1706" spans="1:13">
      <c r="A1706" s="2">
        <v>3853</v>
      </c>
      <c r="B1706" s="2" t="s">
        <v>13600</v>
      </c>
      <c r="C1706" s="2">
        <v>33</v>
      </c>
      <c r="D1706" s="2">
        <v>341</v>
      </c>
      <c r="E1706" s="2">
        <v>199</v>
      </c>
      <c r="F1706" s="2">
        <v>32441</v>
      </c>
      <c r="G1706" s="2">
        <v>15.77613876</v>
      </c>
      <c r="H1706" s="3">
        <v>1.47E-27</v>
      </c>
      <c r="I1706" s="2" t="s">
        <v>39670</v>
      </c>
      <c r="J1706" s="2" t="s">
        <v>39671</v>
      </c>
      <c r="K1706" s="3">
        <v>5.4599999999999995E-26</v>
      </c>
      <c r="L1706" s="2" t="s">
        <v>1178</v>
      </c>
      <c r="M1706" s="4" t="s">
        <v>13603</v>
      </c>
    </row>
    <row r="1707" spans="1:13">
      <c r="A1707" s="2">
        <v>243</v>
      </c>
      <c r="B1707" s="2" t="s">
        <v>20410</v>
      </c>
      <c r="C1707" s="2">
        <v>33</v>
      </c>
      <c r="D1707" s="2">
        <v>341</v>
      </c>
      <c r="E1707" s="2">
        <v>200</v>
      </c>
      <c r="F1707" s="2">
        <v>32441</v>
      </c>
      <c r="G1707" s="2">
        <v>15.697258059999999</v>
      </c>
      <c r="H1707" s="3">
        <v>1.6999999999999999E-27</v>
      </c>
      <c r="I1707" s="2" t="s">
        <v>39672</v>
      </c>
      <c r="J1707" s="2" t="s">
        <v>39673</v>
      </c>
      <c r="K1707" s="3">
        <v>5.9000000000000005E-26</v>
      </c>
      <c r="L1707" s="2" t="s">
        <v>1178</v>
      </c>
      <c r="M1707" s="4" t="s">
        <v>20413</v>
      </c>
    </row>
    <row r="1708" spans="1:13">
      <c r="A1708" s="2">
        <v>1755</v>
      </c>
      <c r="B1708" s="2" t="s">
        <v>24269</v>
      </c>
      <c r="C1708" s="2">
        <v>33</v>
      </c>
      <c r="D1708" s="2">
        <v>341</v>
      </c>
      <c r="E1708" s="2">
        <v>200</v>
      </c>
      <c r="F1708" s="2">
        <v>32441</v>
      </c>
      <c r="G1708" s="2">
        <v>15.697258059999999</v>
      </c>
      <c r="H1708" s="3">
        <v>1.6999999999999999E-27</v>
      </c>
      <c r="I1708" s="2" t="s">
        <v>39674</v>
      </c>
      <c r="J1708" s="2" t="s">
        <v>39675</v>
      </c>
      <c r="K1708" s="3">
        <v>5.9000000000000005E-26</v>
      </c>
      <c r="L1708" s="2" t="s">
        <v>1178</v>
      </c>
      <c r="M1708" s="4" t="s">
        <v>24272</v>
      </c>
    </row>
    <row r="1709" spans="1:13">
      <c r="A1709" s="2">
        <v>3033</v>
      </c>
      <c r="B1709" s="2" t="s">
        <v>32216</v>
      </c>
      <c r="C1709" s="2">
        <v>33</v>
      </c>
      <c r="D1709" s="2">
        <v>341</v>
      </c>
      <c r="E1709" s="2">
        <v>200</v>
      </c>
      <c r="F1709" s="2">
        <v>32441</v>
      </c>
      <c r="G1709" s="2">
        <v>15.697258059999999</v>
      </c>
      <c r="H1709" s="3">
        <v>1.6999999999999999E-27</v>
      </c>
      <c r="I1709" s="2" t="s">
        <v>39676</v>
      </c>
      <c r="J1709" s="2" t="s">
        <v>39677</v>
      </c>
      <c r="K1709" s="3">
        <v>5.9000000000000005E-26</v>
      </c>
      <c r="L1709" s="2" t="s">
        <v>1178</v>
      </c>
      <c r="M1709" s="4" t="s">
        <v>32219</v>
      </c>
    </row>
    <row r="1710" spans="1:13">
      <c r="A1710" s="2">
        <v>394</v>
      </c>
      <c r="B1710" s="2" t="s">
        <v>21745</v>
      </c>
      <c r="C1710" s="2">
        <v>33</v>
      </c>
      <c r="D1710" s="2">
        <v>341</v>
      </c>
      <c r="E1710" s="2">
        <v>200</v>
      </c>
      <c r="F1710" s="2">
        <v>32441</v>
      </c>
      <c r="G1710" s="2">
        <v>15.697258059999999</v>
      </c>
      <c r="H1710" s="3">
        <v>1.6999999999999999E-27</v>
      </c>
      <c r="I1710" s="2" t="s">
        <v>39678</v>
      </c>
      <c r="J1710" s="2" t="s">
        <v>39679</v>
      </c>
      <c r="K1710" s="3">
        <v>5.9000000000000005E-26</v>
      </c>
      <c r="L1710" s="2" t="s">
        <v>1178</v>
      </c>
      <c r="M1710" s="4" t="s">
        <v>21748</v>
      </c>
    </row>
    <row r="1711" spans="1:13">
      <c r="A1711" s="2">
        <v>7781</v>
      </c>
      <c r="B1711" s="2" t="s">
        <v>39680</v>
      </c>
      <c r="C1711" s="2">
        <v>33</v>
      </c>
      <c r="D1711" s="2">
        <v>341</v>
      </c>
      <c r="E1711" s="2">
        <v>200</v>
      </c>
      <c r="F1711" s="2">
        <v>32441</v>
      </c>
      <c r="G1711" s="2">
        <v>15.697258059999999</v>
      </c>
      <c r="H1711" s="3">
        <v>1.6999999999999999E-27</v>
      </c>
      <c r="I1711" s="2" t="s">
        <v>39681</v>
      </c>
      <c r="J1711" s="2" t="s">
        <v>39682</v>
      </c>
      <c r="K1711" s="3">
        <v>5.9000000000000005E-26</v>
      </c>
      <c r="L1711" s="2" t="s">
        <v>1178</v>
      </c>
      <c r="M1711" s="4" t="s">
        <v>39683</v>
      </c>
    </row>
    <row r="1712" spans="1:13">
      <c r="A1712" s="2">
        <v>1052</v>
      </c>
      <c r="B1712" s="2" t="s">
        <v>17886</v>
      </c>
      <c r="C1712" s="2">
        <v>33</v>
      </c>
      <c r="D1712" s="2">
        <v>341</v>
      </c>
      <c r="E1712" s="2">
        <v>200</v>
      </c>
      <c r="F1712" s="2">
        <v>32441</v>
      </c>
      <c r="G1712" s="2">
        <v>15.697258059999999</v>
      </c>
      <c r="H1712" s="3">
        <v>1.6999999999999999E-27</v>
      </c>
      <c r="I1712" s="2" t="s">
        <v>39684</v>
      </c>
      <c r="J1712" s="2" t="s">
        <v>39685</v>
      </c>
      <c r="K1712" s="3">
        <v>5.9000000000000005E-26</v>
      </c>
      <c r="L1712" s="2" t="s">
        <v>1178</v>
      </c>
      <c r="M1712" s="4" t="s">
        <v>17889</v>
      </c>
    </row>
    <row r="1713" spans="1:13">
      <c r="A1713" s="2">
        <v>1710</v>
      </c>
      <c r="B1713" s="2" t="s">
        <v>2499</v>
      </c>
      <c r="C1713" s="2">
        <v>33</v>
      </c>
      <c r="D1713" s="2">
        <v>341</v>
      </c>
      <c r="E1713" s="2">
        <v>200</v>
      </c>
      <c r="F1713" s="2">
        <v>32441</v>
      </c>
      <c r="G1713" s="2">
        <v>15.697258059999999</v>
      </c>
      <c r="H1713" s="3">
        <v>1.6999999999999999E-27</v>
      </c>
      <c r="I1713" s="2" t="s">
        <v>39686</v>
      </c>
      <c r="J1713" s="2" t="s">
        <v>39687</v>
      </c>
      <c r="K1713" s="3">
        <v>5.9000000000000005E-26</v>
      </c>
      <c r="L1713" s="2" t="s">
        <v>1178</v>
      </c>
      <c r="M1713" s="4" t="s">
        <v>39688</v>
      </c>
    </row>
    <row r="1714" spans="1:13">
      <c r="A1714" s="2">
        <v>3034</v>
      </c>
      <c r="B1714" s="2" t="s">
        <v>39689</v>
      </c>
      <c r="C1714" s="2">
        <v>33</v>
      </c>
      <c r="D1714" s="2">
        <v>341</v>
      </c>
      <c r="E1714" s="2">
        <v>200</v>
      </c>
      <c r="F1714" s="2">
        <v>32441</v>
      </c>
      <c r="G1714" s="2">
        <v>15.697258059999999</v>
      </c>
      <c r="H1714" s="3">
        <v>1.6999999999999999E-27</v>
      </c>
      <c r="I1714" s="2" t="s">
        <v>39690</v>
      </c>
      <c r="J1714" s="2" t="s">
        <v>39691</v>
      </c>
      <c r="K1714" s="3">
        <v>5.9000000000000005E-26</v>
      </c>
      <c r="L1714" s="2" t="s">
        <v>1178</v>
      </c>
      <c r="M1714" s="4" t="s">
        <v>39692</v>
      </c>
    </row>
    <row r="1715" spans="1:13">
      <c r="A1715" s="2">
        <v>4692</v>
      </c>
      <c r="B1715" s="2" t="s">
        <v>22704</v>
      </c>
      <c r="C1715" s="2">
        <v>33</v>
      </c>
      <c r="D1715" s="2">
        <v>341</v>
      </c>
      <c r="E1715" s="2">
        <v>200</v>
      </c>
      <c r="F1715" s="2">
        <v>32441</v>
      </c>
      <c r="G1715" s="2">
        <v>15.697258059999999</v>
      </c>
      <c r="H1715" s="3">
        <v>1.6999999999999999E-27</v>
      </c>
      <c r="I1715" s="2" t="s">
        <v>39693</v>
      </c>
      <c r="J1715" s="2" t="s">
        <v>39694</v>
      </c>
      <c r="K1715" s="3">
        <v>5.9000000000000005E-26</v>
      </c>
      <c r="L1715" s="2" t="s">
        <v>1178</v>
      </c>
      <c r="M1715" s="4" t="s">
        <v>22707</v>
      </c>
    </row>
    <row r="1716" spans="1:13">
      <c r="A1716" s="2">
        <v>3875</v>
      </c>
      <c r="B1716" s="2" t="s">
        <v>13429</v>
      </c>
      <c r="C1716" s="2">
        <v>32</v>
      </c>
      <c r="D1716" s="2">
        <v>341</v>
      </c>
      <c r="E1716" s="2">
        <v>198</v>
      </c>
      <c r="F1716" s="2">
        <v>32441</v>
      </c>
      <c r="G1716" s="2">
        <v>15.375336949999999</v>
      </c>
      <c r="H1716" s="3">
        <v>1.92E-26</v>
      </c>
      <c r="I1716" s="2" t="s">
        <v>39695</v>
      </c>
      <c r="J1716" s="2" t="s">
        <v>39696</v>
      </c>
      <c r="K1716" s="3">
        <v>6.6299999999999996E-25</v>
      </c>
      <c r="L1716" s="2" t="s">
        <v>1178</v>
      </c>
      <c r="M1716" s="4" t="s">
        <v>13432</v>
      </c>
    </row>
    <row r="1717" spans="1:13">
      <c r="A1717" s="2">
        <v>71</v>
      </c>
      <c r="B1717" s="2" t="s">
        <v>1800</v>
      </c>
      <c r="C1717" s="2">
        <v>32</v>
      </c>
      <c r="D1717" s="2">
        <v>341</v>
      </c>
      <c r="E1717" s="2">
        <v>200</v>
      </c>
      <c r="F1717" s="2">
        <v>32441</v>
      </c>
      <c r="G1717" s="2">
        <v>15.221583580000001</v>
      </c>
      <c r="H1717" s="3">
        <v>2.54E-26</v>
      </c>
      <c r="I1717" s="2" t="s">
        <v>39697</v>
      </c>
      <c r="J1717" s="2" t="s">
        <v>39698</v>
      </c>
      <c r="K1717" s="3">
        <v>8.5199999999999998E-25</v>
      </c>
      <c r="L1717" s="2" t="s">
        <v>1178</v>
      </c>
      <c r="M1717" s="4" t="s">
        <v>39699</v>
      </c>
    </row>
    <row r="1718" spans="1:13">
      <c r="A1718" s="2">
        <v>2931</v>
      </c>
      <c r="B1718" s="2" t="s">
        <v>18125</v>
      </c>
      <c r="C1718" s="2">
        <v>32</v>
      </c>
      <c r="D1718" s="2">
        <v>341</v>
      </c>
      <c r="E1718" s="2">
        <v>200</v>
      </c>
      <c r="F1718" s="2">
        <v>32441</v>
      </c>
      <c r="G1718" s="2">
        <v>15.221583580000001</v>
      </c>
      <c r="H1718" s="3">
        <v>2.54E-26</v>
      </c>
      <c r="I1718" s="2" t="s">
        <v>39700</v>
      </c>
      <c r="J1718" s="2" t="s">
        <v>39701</v>
      </c>
      <c r="K1718" s="3">
        <v>8.5199999999999998E-25</v>
      </c>
      <c r="L1718" s="2" t="s">
        <v>1178</v>
      </c>
      <c r="M1718" s="4" t="s">
        <v>18128</v>
      </c>
    </row>
    <row r="1719" spans="1:13">
      <c r="A1719" s="2">
        <v>43381</v>
      </c>
      <c r="B1719" s="2" t="s">
        <v>18315</v>
      </c>
      <c r="C1719" s="2">
        <v>32</v>
      </c>
      <c r="D1719" s="2">
        <v>341</v>
      </c>
      <c r="E1719" s="2">
        <v>200</v>
      </c>
      <c r="F1719" s="2">
        <v>32441</v>
      </c>
      <c r="G1719" s="2">
        <v>15.221583580000001</v>
      </c>
      <c r="H1719" s="3">
        <v>2.54E-26</v>
      </c>
      <c r="I1719" s="2" t="s">
        <v>39702</v>
      </c>
      <c r="J1719" s="2" t="s">
        <v>39703</v>
      </c>
      <c r="K1719" s="3">
        <v>8.5199999999999998E-25</v>
      </c>
      <c r="L1719" s="2" t="s">
        <v>1178</v>
      </c>
      <c r="M1719" s="4" t="s">
        <v>18318</v>
      </c>
    </row>
    <row r="1720" spans="1:13">
      <c r="A1720" s="2">
        <v>45371</v>
      </c>
      <c r="B1720" s="2" t="s">
        <v>14598</v>
      </c>
      <c r="C1720" s="2">
        <v>32</v>
      </c>
      <c r="D1720" s="2">
        <v>341</v>
      </c>
      <c r="E1720" s="2">
        <v>200</v>
      </c>
      <c r="F1720" s="2">
        <v>32441</v>
      </c>
      <c r="G1720" s="2">
        <v>15.221583580000001</v>
      </c>
      <c r="H1720" s="3">
        <v>2.54E-26</v>
      </c>
      <c r="I1720" s="2" t="s">
        <v>39704</v>
      </c>
      <c r="J1720" s="2" t="s">
        <v>39705</v>
      </c>
      <c r="K1720" s="3">
        <v>8.5199999999999998E-25</v>
      </c>
      <c r="L1720" s="2" t="s">
        <v>1178</v>
      </c>
      <c r="M1720" s="4" t="s">
        <v>14601</v>
      </c>
    </row>
    <row r="1721" spans="1:13">
      <c r="A1721" s="2">
        <v>3899</v>
      </c>
      <c r="B1721" s="2" t="s">
        <v>32479</v>
      </c>
      <c r="C1721" s="2">
        <v>31</v>
      </c>
      <c r="D1721" s="2">
        <v>341</v>
      </c>
      <c r="E1721" s="2">
        <v>198</v>
      </c>
      <c r="F1721" s="2">
        <v>32441</v>
      </c>
      <c r="G1721" s="2">
        <v>14.89485767</v>
      </c>
      <c r="H1721" s="3">
        <v>2.8099999999999998E-25</v>
      </c>
      <c r="I1721" s="2" t="s">
        <v>39706</v>
      </c>
      <c r="J1721" s="2" t="s">
        <v>39707</v>
      </c>
      <c r="K1721" s="3">
        <v>9.3700000000000003E-24</v>
      </c>
      <c r="L1721" s="2" t="s">
        <v>1178</v>
      </c>
      <c r="M1721" s="4" t="s">
        <v>32482</v>
      </c>
    </row>
    <row r="1722" spans="1:13">
      <c r="A1722" s="2">
        <v>1877</v>
      </c>
      <c r="B1722" s="2" t="s">
        <v>15301</v>
      </c>
      <c r="C1722" s="2">
        <v>31</v>
      </c>
      <c r="D1722" s="2">
        <v>341</v>
      </c>
      <c r="E1722" s="2">
        <v>199</v>
      </c>
      <c r="F1722" s="2">
        <v>32441</v>
      </c>
      <c r="G1722" s="2">
        <v>14.82000914</v>
      </c>
      <c r="H1722" s="3">
        <v>3.2200000000000001E-25</v>
      </c>
      <c r="I1722" s="2" t="s">
        <v>39708</v>
      </c>
      <c r="J1722" s="2" t="s">
        <v>39709</v>
      </c>
      <c r="K1722" s="3">
        <v>1.07E-23</v>
      </c>
      <c r="L1722" s="2" t="s">
        <v>1178</v>
      </c>
      <c r="M1722" s="4" t="s">
        <v>15304</v>
      </c>
    </row>
    <row r="1723" spans="1:13">
      <c r="A1723" s="2">
        <v>1301</v>
      </c>
      <c r="B1723" s="2" t="s">
        <v>21679</v>
      </c>
      <c r="C1723" s="2">
        <v>31</v>
      </c>
      <c r="D1723" s="2">
        <v>341</v>
      </c>
      <c r="E1723" s="2">
        <v>200</v>
      </c>
      <c r="F1723" s="2">
        <v>32441</v>
      </c>
      <c r="G1723" s="2">
        <v>14.74590909</v>
      </c>
      <c r="H1723" s="3">
        <v>3.6800000000000001E-25</v>
      </c>
      <c r="I1723" s="2" t="s">
        <v>39710</v>
      </c>
      <c r="J1723" s="2" t="s">
        <v>39711</v>
      </c>
      <c r="K1723" s="3">
        <v>1.1599999999999999E-23</v>
      </c>
      <c r="L1723" s="2" t="s">
        <v>1178</v>
      </c>
      <c r="M1723" s="4" t="s">
        <v>21682</v>
      </c>
    </row>
    <row r="1724" spans="1:13">
      <c r="A1724" s="2">
        <v>908</v>
      </c>
      <c r="B1724" s="2" t="s">
        <v>39712</v>
      </c>
      <c r="C1724" s="2">
        <v>31</v>
      </c>
      <c r="D1724" s="2">
        <v>341</v>
      </c>
      <c r="E1724" s="2">
        <v>200</v>
      </c>
      <c r="F1724" s="2">
        <v>32441</v>
      </c>
      <c r="G1724" s="2">
        <v>14.74590909</v>
      </c>
      <c r="H1724" s="3">
        <v>3.6800000000000001E-25</v>
      </c>
      <c r="I1724" s="2" t="s">
        <v>39713</v>
      </c>
      <c r="J1724" s="2" t="s">
        <v>39714</v>
      </c>
      <c r="K1724" s="3">
        <v>1.1599999999999999E-23</v>
      </c>
      <c r="L1724" s="2" t="s">
        <v>1178</v>
      </c>
      <c r="M1724" s="4" t="s">
        <v>39715</v>
      </c>
    </row>
    <row r="1725" spans="1:13">
      <c r="A1725" s="2">
        <v>1008</v>
      </c>
      <c r="B1725" s="2" t="s">
        <v>39716</v>
      </c>
      <c r="C1725" s="2">
        <v>31</v>
      </c>
      <c r="D1725" s="2">
        <v>341</v>
      </c>
      <c r="E1725" s="2">
        <v>200</v>
      </c>
      <c r="F1725" s="2">
        <v>32441</v>
      </c>
      <c r="G1725" s="2">
        <v>14.74590909</v>
      </c>
      <c r="H1725" s="3">
        <v>3.6800000000000001E-25</v>
      </c>
      <c r="I1725" s="2" t="s">
        <v>39717</v>
      </c>
      <c r="J1725" s="2" t="s">
        <v>39718</v>
      </c>
      <c r="K1725" s="3">
        <v>1.1599999999999999E-23</v>
      </c>
      <c r="L1725" s="2" t="s">
        <v>1178</v>
      </c>
      <c r="M1725" s="4" t="s">
        <v>39719</v>
      </c>
    </row>
    <row r="1726" spans="1:13">
      <c r="A1726" s="2">
        <v>23991</v>
      </c>
      <c r="B1726" s="2" t="s">
        <v>22243</v>
      </c>
      <c r="C1726" s="2">
        <v>31</v>
      </c>
      <c r="D1726" s="2">
        <v>341</v>
      </c>
      <c r="E1726" s="2">
        <v>200</v>
      </c>
      <c r="F1726" s="2">
        <v>32441</v>
      </c>
      <c r="G1726" s="2">
        <v>14.74590909</v>
      </c>
      <c r="H1726" s="3">
        <v>3.6800000000000001E-25</v>
      </c>
      <c r="I1726" s="2" t="s">
        <v>39720</v>
      </c>
      <c r="J1726" s="2" t="s">
        <v>39721</v>
      </c>
      <c r="K1726" s="3">
        <v>1.1599999999999999E-23</v>
      </c>
      <c r="L1726" s="2" t="s">
        <v>1178</v>
      </c>
      <c r="M1726" s="4" t="s">
        <v>22246</v>
      </c>
    </row>
    <row r="1727" spans="1:13">
      <c r="A1727" s="2">
        <v>3082</v>
      </c>
      <c r="B1727" s="2" t="s">
        <v>22356</v>
      </c>
      <c r="C1727" s="2">
        <v>31</v>
      </c>
      <c r="D1727" s="2">
        <v>341</v>
      </c>
      <c r="E1727" s="2">
        <v>200</v>
      </c>
      <c r="F1727" s="2">
        <v>32441</v>
      </c>
      <c r="G1727" s="2">
        <v>14.74590909</v>
      </c>
      <c r="H1727" s="3">
        <v>3.6800000000000001E-25</v>
      </c>
      <c r="I1727" s="2" t="s">
        <v>39722</v>
      </c>
      <c r="J1727" s="2" t="s">
        <v>39723</v>
      </c>
      <c r="K1727" s="3">
        <v>1.1599999999999999E-23</v>
      </c>
      <c r="L1727" s="2" t="s">
        <v>1178</v>
      </c>
      <c r="M1727" s="4" t="s">
        <v>22359</v>
      </c>
    </row>
    <row r="1728" spans="1:13">
      <c r="A1728" s="2">
        <v>3099</v>
      </c>
      <c r="B1728" s="2" t="s">
        <v>39724</v>
      </c>
      <c r="C1728" s="2">
        <v>31</v>
      </c>
      <c r="D1728" s="2">
        <v>341</v>
      </c>
      <c r="E1728" s="2">
        <v>200</v>
      </c>
      <c r="F1728" s="2">
        <v>32441</v>
      </c>
      <c r="G1728" s="2">
        <v>14.74590909</v>
      </c>
      <c r="H1728" s="3">
        <v>3.6800000000000001E-25</v>
      </c>
      <c r="I1728" s="2" t="s">
        <v>39725</v>
      </c>
      <c r="J1728" s="2" t="s">
        <v>39726</v>
      </c>
      <c r="K1728" s="3">
        <v>1.1599999999999999E-23</v>
      </c>
      <c r="L1728" s="2" t="s">
        <v>1178</v>
      </c>
      <c r="M1728" s="4" t="s">
        <v>39727</v>
      </c>
    </row>
    <row r="1729" spans="1:13">
      <c r="A1729" s="2">
        <v>4393</v>
      </c>
      <c r="B1729" s="2" t="s">
        <v>17542</v>
      </c>
      <c r="C1729" s="2">
        <v>31</v>
      </c>
      <c r="D1729" s="2">
        <v>341</v>
      </c>
      <c r="E1729" s="2">
        <v>200</v>
      </c>
      <c r="F1729" s="2">
        <v>32441</v>
      </c>
      <c r="G1729" s="2">
        <v>14.74590909</v>
      </c>
      <c r="H1729" s="3">
        <v>3.6800000000000001E-25</v>
      </c>
      <c r="I1729" s="2" t="s">
        <v>39728</v>
      </c>
      <c r="J1729" s="2" t="s">
        <v>39729</v>
      </c>
      <c r="K1729" s="3">
        <v>1.1599999999999999E-23</v>
      </c>
      <c r="L1729" s="2" t="s">
        <v>1178</v>
      </c>
      <c r="M1729" s="4" t="s">
        <v>17545</v>
      </c>
    </row>
    <row r="1730" spans="1:13">
      <c r="A1730" s="2">
        <v>24611</v>
      </c>
      <c r="B1730" s="2" t="s">
        <v>15546</v>
      </c>
      <c r="C1730" s="2">
        <v>30</v>
      </c>
      <c r="D1730" s="2">
        <v>341</v>
      </c>
      <c r="E1730" s="2">
        <v>181</v>
      </c>
      <c r="F1730" s="2">
        <v>32441</v>
      </c>
      <c r="G1730" s="2">
        <v>15.76821503</v>
      </c>
      <c r="H1730" s="3">
        <v>3.8600000000000001E-25</v>
      </c>
      <c r="I1730" s="2" t="s">
        <v>39730</v>
      </c>
      <c r="J1730" s="2" t="s">
        <v>39731</v>
      </c>
      <c r="K1730" s="3">
        <v>1.21E-23</v>
      </c>
      <c r="L1730" s="2" t="s">
        <v>1178</v>
      </c>
      <c r="M1730" s="4" t="s">
        <v>15549</v>
      </c>
    </row>
    <row r="1731" spans="1:13">
      <c r="A1731" s="2">
        <v>1774</v>
      </c>
      <c r="B1731" s="2" t="s">
        <v>34098</v>
      </c>
      <c r="C1731" s="2">
        <v>30</v>
      </c>
      <c r="D1731" s="2">
        <v>341</v>
      </c>
      <c r="E1731" s="2">
        <v>199</v>
      </c>
      <c r="F1731" s="2">
        <v>32441</v>
      </c>
      <c r="G1731" s="2">
        <v>14.34194433</v>
      </c>
      <c r="H1731" s="3">
        <v>4.55E-24</v>
      </c>
      <c r="I1731" s="2" t="s">
        <v>39732</v>
      </c>
      <c r="J1731" s="2" t="s">
        <v>39733</v>
      </c>
      <c r="K1731" s="3">
        <v>1.4200000000000001E-22</v>
      </c>
      <c r="L1731" s="2" t="s">
        <v>1178</v>
      </c>
      <c r="M1731" s="4" t="s">
        <v>34101</v>
      </c>
    </row>
    <row r="1732" spans="1:13">
      <c r="A1732" s="2">
        <v>2389</v>
      </c>
      <c r="B1732" s="2" t="s">
        <v>19867</v>
      </c>
      <c r="C1732" s="2">
        <v>30</v>
      </c>
      <c r="D1732" s="2">
        <v>341</v>
      </c>
      <c r="E1732" s="2">
        <v>200</v>
      </c>
      <c r="F1732" s="2">
        <v>32441</v>
      </c>
      <c r="G1732" s="2">
        <v>14.2702346</v>
      </c>
      <c r="H1732" s="3">
        <v>5.18E-24</v>
      </c>
      <c r="I1732" s="2" t="s">
        <v>39734</v>
      </c>
      <c r="J1732" s="2" t="s">
        <v>39735</v>
      </c>
      <c r="K1732" s="3">
        <v>1.5500000000000001E-22</v>
      </c>
      <c r="L1732" s="2" t="s">
        <v>1178</v>
      </c>
      <c r="M1732" s="4" t="s">
        <v>19870</v>
      </c>
    </row>
    <row r="1733" spans="1:13">
      <c r="A1733" s="2">
        <v>26321</v>
      </c>
      <c r="B1733" s="2" t="s">
        <v>39736</v>
      </c>
      <c r="C1733" s="2">
        <v>30</v>
      </c>
      <c r="D1733" s="2">
        <v>341</v>
      </c>
      <c r="E1733" s="2">
        <v>200</v>
      </c>
      <c r="F1733" s="2">
        <v>32441</v>
      </c>
      <c r="G1733" s="2">
        <v>14.2702346</v>
      </c>
      <c r="H1733" s="3">
        <v>5.18E-24</v>
      </c>
      <c r="I1733" s="2" t="s">
        <v>39737</v>
      </c>
      <c r="J1733" s="2" t="s">
        <v>39738</v>
      </c>
      <c r="K1733" s="3">
        <v>1.5500000000000001E-22</v>
      </c>
      <c r="L1733" s="2" t="s">
        <v>1178</v>
      </c>
      <c r="M1733" s="4" t="s">
        <v>39739</v>
      </c>
    </row>
    <row r="1734" spans="1:13">
      <c r="A1734" s="2">
        <v>29561</v>
      </c>
      <c r="B1734" s="2" t="s">
        <v>2604</v>
      </c>
      <c r="C1734" s="2">
        <v>30</v>
      </c>
      <c r="D1734" s="2">
        <v>341</v>
      </c>
      <c r="E1734" s="2">
        <v>200</v>
      </c>
      <c r="F1734" s="2">
        <v>32441</v>
      </c>
      <c r="G1734" s="2">
        <v>14.2702346</v>
      </c>
      <c r="H1734" s="3">
        <v>5.18E-24</v>
      </c>
      <c r="I1734" s="2" t="s">
        <v>39740</v>
      </c>
      <c r="J1734" s="2" t="s">
        <v>39741</v>
      </c>
      <c r="K1734" s="3">
        <v>1.5500000000000001E-22</v>
      </c>
      <c r="L1734" s="2" t="s">
        <v>1178</v>
      </c>
      <c r="M1734" s="4" t="s">
        <v>15959</v>
      </c>
    </row>
    <row r="1735" spans="1:13">
      <c r="A1735" s="2">
        <v>35111</v>
      </c>
      <c r="B1735" s="2" t="s">
        <v>21239</v>
      </c>
      <c r="C1735" s="2">
        <v>30</v>
      </c>
      <c r="D1735" s="2">
        <v>341</v>
      </c>
      <c r="E1735" s="2">
        <v>200</v>
      </c>
      <c r="F1735" s="2">
        <v>32441</v>
      </c>
      <c r="G1735" s="2">
        <v>14.2702346</v>
      </c>
      <c r="H1735" s="3">
        <v>5.18E-24</v>
      </c>
      <c r="I1735" s="2" t="s">
        <v>39742</v>
      </c>
      <c r="J1735" s="2" t="s">
        <v>39743</v>
      </c>
      <c r="K1735" s="3">
        <v>1.5500000000000001E-22</v>
      </c>
      <c r="L1735" s="2" t="s">
        <v>1178</v>
      </c>
      <c r="M1735" s="4" t="s">
        <v>21242</v>
      </c>
    </row>
    <row r="1736" spans="1:13">
      <c r="A1736" s="2">
        <v>3849</v>
      </c>
      <c r="B1736" s="2" t="s">
        <v>15423</v>
      </c>
      <c r="C1736" s="2">
        <v>30</v>
      </c>
      <c r="D1736" s="2">
        <v>341</v>
      </c>
      <c r="E1736" s="2">
        <v>200</v>
      </c>
      <c r="F1736" s="2">
        <v>32441</v>
      </c>
      <c r="G1736" s="2">
        <v>14.2702346</v>
      </c>
      <c r="H1736" s="3">
        <v>5.18E-24</v>
      </c>
      <c r="I1736" s="2" t="s">
        <v>39744</v>
      </c>
      <c r="J1736" s="2" t="s">
        <v>39745</v>
      </c>
      <c r="K1736" s="3">
        <v>1.5500000000000001E-22</v>
      </c>
      <c r="L1736" s="2" t="s">
        <v>1178</v>
      </c>
      <c r="M1736" s="4" t="s">
        <v>15426</v>
      </c>
    </row>
    <row r="1737" spans="1:13">
      <c r="A1737" s="2">
        <v>3901</v>
      </c>
      <c r="B1737" s="2" t="s">
        <v>22562</v>
      </c>
      <c r="C1737" s="2">
        <v>30</v>
      </c>
      <c r="D1737" s="2">
        <v>341</v>
      </c>
      <c r="E1737" s="2">
        <v>200</v>
      </c>
      <c r="F1737" s="2">
        <v>32441</v>
      </c>
      <c r="G1737" s="2">
        <v>14.2702346</v>
      </c>
      <c r="H1737" s="3">
        <v>5.18E-24</v>
      </c>
      <c r="I1737" s="2" t="s">
        <v>39746</v>
      </c>
      <c r="J1737" s="2" t="s">
        <v>39747</v>
      </c>
      <c r="K1737" s="3">
        <v>1.5500000000000001E-22</v>
      </c>
      <c r="L1737" s="2" t="s">
        <v>1178</v>
      </c>
      <c r="M1737" s="4" t="s">
        <v>22565</v>
      </c>
    </row>
    <row r="1738" spans="1:13">
      <c r="A1738" s="2">
        <v>41461</v>
      </c>
      <c r="B1738" s="2" t="s">
        <v>33692</v>
      </c>
      <c r="C1738" s="2">
        <v>30</v>
      </c>
      <c r="D1738" s="2">
        <v>341</v>
      </c>
      <c r="E1738" s="2">
        <v>200</v>
      </c>
      <c r="F1738" s="2">
        <v>32441</v>
      </c>
      <c r="G1738" s="2">
        <v>14.2702346</v>
      </c>
      <c r="H1738" s="3">
        <v>5.18E-24</v>
      </c>
      <c r="I1738" s="2" t="s">
        <v>39748</v>
      </c>
      <c r="J1738" s="2" t="s">
        <v>39749</v>
      </c>
      <c r="K1738" s="3">
        <v>1.5500000000000001E-22</v>
      </c>
      <c r="L1738" s="2" t="s">
        <v>1178</v>
      </c>
      <c r="M1738" s="4" t="s">
        <v>33695</v>
      </c>
    </row>
    <row r="1739" spans="1:13">
      <c r="A1739" s="2">
        <v>24661</v>
      </c>
      <c r="B1739" s="2" t="s">
        <v>14251</v>
      </c>
      <c r="C1739" s="2">
        <v>28</v>
      </c>
      <c r="D1739" s="2">
        <v>341</v>
      </c>
      <c r="E1739" s="2">
        <v>165</v>
      </c>
      <c r="F1739" s="2">
        <v>32441</v>
      </c>
      <c r="G1739" s="2">
        <v>16.144103789999999</v>
      </c>
      <c r="H1739" s="3">
        <v>8.7399999999999995E-24</v>
      </c>
      <c r="I1739" s="2" t="s">
        <v>39750</v>
      </c>
      <c r="J1739" s="2" t="s">
        <v>39751</v>
      </c>
      <c r="K1739" s="3">
        <v>2.6E-22</v>
      </c>
      <c r="L1739" s="2" t="s">
        <v>1178</v>
      </c>
      <c r="M1739" s="4" t="s">
        <v>14254</v>
      </c>
    </row>
    <row r="1740" spans="1:13">
      <c r="A1740" s="2">
        <v>41662</v>
      </c>
      <c r="B1740" s="2" t="s">
        <v>13969</v>
      </c>
      <c r="C1740" s="2">
        <v>28</v>
      </c>
      <c r="D1740" s="2">
        <v>341</v>
      </c>
      <c r="E1740" s="2">
        <v>176</v>
      </c>
      <c r="F1740" s="2">
        <v>32441</v>
      </c>
      <c r="G1740" s="2">
        <v>15.135097310000001</v>
      </c>
      <c r="H1740" s="3">
        <v>4.1900000000000001E-23</v>
      </c>
      <c r="I1740" s="2" t="s">
        <v>39752</v>
      </c>
      <c r="J1740" s="2" t="s">
        <v>39753</v>
      </c>
      <c r="K1740" s="3">
        <v>1.2400000000000001E-21</v>
      </c>
      <c r="L1740" s="2" t="s">
        <v>1178</v>
      </c>
      <c r="M1740" s="4" t="s">
        <v>13972</v>
      </c>
    </row>
    <row r="1741" spans="1:13">
      <c r="A1741" s="2">
        <v>22191</v>
      </c>
      <c r="B1741" s="2" t="s">
        <v>39754</v>
      </c>
      <c r="C1741" s="2">
        <v>29</v>
      </c>
      <c r="D1741" s="2">
        <v>341</v>
      </c>
      <c r="E1741" s="2">
        <v>198</v>
      </c>
      <c r="F1741" s="2">
        <v>32441</v>
      </c>
      <c r="G1741" s="2">
        <v>13.93389911</v>
      </c>
      <c r="H1741" s="3">
        <v>5.4899999999999995E-23</v>
      </c>
      <c r="I1741" s="2" t="s">
        <v>39755</v>
      </c>
      <c r="J1741" s="2" t="s">
        <v>39756</v>
      </c>
      <c r="K1741" s="3">
        <v>1.61E-21</v>
      </c>
      <c r="L1741" s="2" t="s">
        <v>1178</v>
      </c>
      <c r="M1741" s="4" t="s">
        <v>39757</v>
      </c>
    </row>
    <row r="1742" spans="1:13">
      <c r="A1742" s="2">
        <v>7961</v>
      </c>
      <c r="B1742" s="2" t="s">
        <v>39758</v>
      </c>
      <c r="C1742" s="2">
        <v>29</v>
      </c>
      <c r="D1742" s="2">
        <v>341</v>
      </c>
      <c r="E1742" s="2">
        <v>200</v>
      </c>
      <c r="F1742" s="2">
        <v>32441</v>
      </c>
      <c r="G1742" s="2">
        <v>13.79456012</v>
      </c>
      <c r="H1742" s="3">
        <v>7.0699999999999996E-23</v>
      </c>
      <c r="I1742" s="2" t="s">
        <v>39759</v>
      </c>
      <c r="J1742" s="2" t="s">
        <v>39760</v>
      </c>
      <c r="K1742" s="3">
        <v>1.9899999999999999E-21</v>
      </c>
      <c r="L1742" s="2" t="s">
        <v>1178</v>
      </c>
      <c r="M1742" s="4" t="s">
        <v>39761</v>
      </c>
    </row>
    <row r="1743" spans="1:13">
      <c r="A1743" s="2">
        <v>1252</v>
      </c>
      <c r="B1743" s="2" t="s">
        <v>23295</v>
      </c>
      <c r="C1743" s="2">
        <v>29</v>
      </c>
      <c r="D1743" s="2">
        <v>341</v>
      </c>
      <c r="E1743" s="2">
        <v>200</v>
      </c>
      <c r="F1743" s="2">
        <v>32441</v>
      </c>
      <c r="G1743" s="2">
        <v>13.79456012</v>
      </c>
      <c r="H1743" s="3">
        <v>7.0699999999999996E-23</v>
      </c>
      <c r="I1743" s="2" t="s">
        <v>39762</v>
      </c>
      <c r="J1743" s="2" t="s">
        <v>39763</v>
      </c>
      <c r="K1743" s="3">
        <v>1.9899999999999999E-21</v>
      </c>
      <c r="L1743" s="2" t="s">
        <v>1178</v>
      </c>
      <c r="M1743" s="4" t="s">
        <v>23298</v>
      </c>
    </row>
    <row r="1744" spans="1:13">
      <c r="A1744" s="2">
        <v>16441</v>
      </c>
      <c r="B1744" s="2" t="s">
        <v>17223</v>
      </c>
      <c r="C1744" s="2">
        <v>29</v>
      </c>
      <c r="D1744" s="2">
        <v>341</v>
      </c>
      <c r="E1744" s="2">
        <v>200</v>
      </c>
      <c r="F1744" s="2">
        <v>32441</v>
      </c>
      <c r="G1744" s="2">
        <v>13.79456012</v>
      </c>
      <c r="H1744" s="3">
        <v>7.0699999999999996E-23</v>
      </c>
      <c r="I1744" s="2" t="s">
        <v>39764</v>
      </c>
      <c r="J1744" s="2" t="s">
        <v>39765</v>
      </c>
      <c r="K1744" s="3">
        <v>1.9899999999999999E-21</v>
      </c>
      <c r="L1744" s="2" t="s">
        <v>1178</v>
      </c>
      <c r="M1744" s="4" t="s">
        <v>17226</v>
      </c>
    </row>
    <row r="1745" spans="1:13">
      <c r="A1745" s="2">
        <v>1702</v>
      </c>
      <c r="B1745" s="2" t="s">
        <v>22087</v>
      </c>
      <c r="C1745" s="2">
        <v>29</v>
      </c>
      <c r="D1745" s="2">
        <v>341</v>
      </c>
      <c r="E1745" s="2">
        <v>200</v>
      </c>
      <c r="F1745" s="2">
        <v>32441</v>
      </c>
      <c r="G1745" s="2">
        <v>13.79456012</v>
      </c>
      <c r="H1745" s="3">
        <v>7.0699999999999996E-23</v>
      </c>
      <c r="I1745" s="2" t="s">
        <v>39766</v>
      </c>
      <c r="J1745" s="2" t="s">
        <v>39767</v>
      </c>
      <c r="K1745" s="3">
        <v>1.9899999999999999E-21</v>
      </c>
      <c r="L1745" s="2" t="s">
        <v>1178</v>
      </c>
      <c r="M1745" s="4" t="s">
        <v>22090</v>
      </c>
    </row>
    <row r="1746" spans="1:13">
      <c r="A1746" s="2">
        <v>2646</v>
      </c>
      <c r="B1746" s="2" t="s">
        <v>39768</v>
      </c>
      <c r="C1746" s="2">
        <v>29</v>
      </c>
      <c r="D1746" s="2">
        <v>341</v>
      </c>
      <c r="E1746" s="2">
        <v>200</v>
      </c>
      <c r="F1746" s="2">
        <v>32441</v>
      </c>
      <c r="G1746" s="2">
        <v>13.79456012</v>
      </c>
      <c r="H1746" s="3">
        <v>7.0699999999999996E-23</v>
      </c>
      <c r="I1746" s="2" t="s">
        <v>39769</v>
      </c>
      <c r="J1746" s="2" t="s">
        <v>39770</v>
      </c>
      <c r="K1746" s="3">
        <v>1.9899999999999999E-21</v>
      </c>
      <c r="L1746" s="2" t="s">
        <v>1178</v>
      </c>
      <c r="M1746" s="4" t="s">
        <v>39771</v>
      </c>
    </row>
    <row r="1747" spans="1:13">
      <c r="A1747" s="2">
        <v>31011</v>
      </c>
      <c r="B1747" s="2" t="s">
        <v>22364</v>
      </c>
      <c r="C1747" s="2">
        <v>29</v>
      </c>
      <c r="D1747" s="2">
        <v>341</v>
      </c>
      <c r="E1747" s="2">
        <v>200</v>
      </c>
      <c r="F1747" s="2">
        <v>32441</v>
      </c>
      <c r="G1747" s="2">
        <v>13.79456012</v>
      </c>
      <c r="H1747" s="3">
        <v>7.0699999999999996E-23</v>
      </c>
      <c r="I1747" s="2" t="s">
        <v>39772</v>
      </c>
      <c r="J1747" s="2" t="s">
        <v>39773</v>
      </c>
      <c r="K1747" s="3">
        <v>1.9899999999999999E-21</v>
      </c>
      <c r="L1747" s="2" t="s">
        <v>1178</v>
      </c>
      <c r="M1747" s="4" t="s">
        <v>22367</v>
      </c>
    </row>
    <row r="1748" spans="1:13">
      <c r="A1748" s="2">
        <v>3341</v>
      </c>
      <c r="B1748" s="2" t="s">
        <v>19981</v>
      </c>
      <c r="C1748" s="2">
        <v>29</v>
      </c>
      <c r="D1748" s="2">
        <v>341</v>
      </c>
      <c r="E1748" s="2">
        <v>200</v>
      </c>
      <c r="F1748" s="2">
        <v>32441</v>
      </c>
      <c r="G1748" s="2">
        <v>13.79456012</v>
      </c>
      <c r="H1748" s="3">
        <v>7.0699999999999996E-23</v>
      </c>
      <c r="I1748" s="2" t="s">
        <v>39774</v>
      </c>
      <c r="J1748" s="2" t="s">
        <v>39775</v>
      </c>
      <c r="K1748" s="3">
        <v>1.9899999999999999E-21</v>
      </c>
      <c r="L1748" s="2" t="s">
        <v>1178</v>
      </c>
      <c r="M1748" s="4" t="s">
        <v>19984</v>
      </c>
    </row>
    <row r="1749" spans="1:13">
      <c r="A1749" s="2">
        <v>2531</v>
      </c>
      <c r="B1749" s="2" t="s">
        <v>39776</v>
      </c>
      <c r="C1749" s="2">
        <v>28</v>
      </c>
      <c r="D1749" s="2">
        <v>341</v>
      </c>
      <c r="E1749" s="2">
        <v>180</v>
      </c>
      <c r="F1749" s="2">
        <v>32441</v>
      </c>
      <c r="G1749" s="2">
        <v>14.79876181</v>
      </c>
      <c r="H1749" s="3">
        <v>7.2199999999999997E-23</v>
      </c>
      <c r="I1749" s="2" t="s">
        <v>39777</v>
      </c>
      <c r="J1749" s="2" t="s">
        <v>39778</v>
      </c>
      <c r="K1749" s="3">
        <v>2.02E-21</v>
      </c>
      <c r="L1749" s="2" t="s">
        <v>1178</v>
      </c>
      <c r="M1749" s="4" t="s">
        <v>39779</v>
      </c>
    </row>
    <row r="1750" spans="1:13">
      <c r="A1750" s="2">
        <v>28301</v>
      </c>
      <c r="B1750" s="2" t="s">
        <v>13156</v>
      </c>
      <c r="C1750" s="2">
        <v>28</v>
      </c>
      <c r="D1750" s="2">
        <v>341</v>
      </c>
      <c r="E1750" s="2">
        <v>181</v>
      </c>
      <c r="F1750" s="2">
        <v>32441</v>
      </c>
      <c r="G1750" s="2">
        <v>14.7170007</v>
      </c>
      <c r="H1750" s="3">
        <v>8.2599999999999997E-23</v>
      </c>
      <c r="I1750" s="2" t="s">
        <v>39780</v>
      </c>
      <c r="J1750" s="2" t="s">
        <v>39781</v>
      </c>
      <c r="K1750" s="3">
        <v>2.3E-21</v>
      </c>
      <c r="L1750" s="2" t="s">
        <v>1178</v>
      </c>
      <c r="M1750" s="4" t="s">
        <v>13159</v>
      </c>
    </row>
    <row r="1751" spans="1:13">
      <c r="A1751" s="2">
        <v>25011</v>
      </c>
      <c r="B1751" s="2" t="s">
        <v>39782</v>
      </c>
      <c r="C1751" s="2">
        <v>27</v>
      </c>
      <c r="D1751" s="2">
        <v>341</v>
      </c>
      <c r="E1751" s="2">
        <v>177</v>
      </c>
      <c r="F1751" s="2">
        <v>32441</v>
      </c>
      <c r="G1751" s="2">
        <v>14.512102990000001</v>
      </c>
      <c r="H1751" s="3">
        <v>6.82E-22</v>
      </c>
      <c r="I1751" s="2" t="s">
        <v>39783</v>
      </c>
      <c r="J1751" s="2" t="s">
        <v>39784</v>
      </c>
      <c r="K1751" s="3">
        <v>1.8899999999999998E-20</v>
      </c>
      <c r="L1751" s="2" t="s">
        <v>1178</v>
      </c>
      <c r="M1751" s="4" t="s">
        <v>39785</v>
      </c>
    </row>
    <row r="1752" spans="1:13">
      <c r="A1752" s="2">
        <v>283</v>
      </c>
      <c r="B1752" s="2" t="s">
        <v>32586</v>
      </c>
      <c r="C1752" s="2">
        <v>28</v>
      </c>
      <c r="D1752" s="2">
        <v>341</v>
      </c>
      <c r="E1752" s="2">
        <v>200</v>
      </c>
      <c r="F1752" s="2">
        <v>32441</v>
      </c>
      <c r="G1752" s="2">
        <v>13.31888563</v>
      </c>
      <c r="H1752" s="3">
        <v>9.3299999999999999E-22</v>
      </c>
      <c r="I1752" s="2" t="s">
        <v>39786</v>
      </c>
      <c r="J1752" s="2" t="s">
        <v>39787</v>
      </c>
      <c r="K1752" s="3">
        <v>2.43E-20</v>
      </c>
      <c r="L1752" s="2" t="s">
        <v>1178</v>
      </c>
      <c r="M1752" s="4" t="s">
        <v>32589</v>
      </c>
    </row>
    <row r="1753" spans="1:13">
      <c r="A1753" s="2">
        <v>306</v>
      </c>
      <c r="B1753" s="2" t="s">
        <v>31486</v>
      </c>
      <c r="C1753" s="2">
        <v>28</v>
      </c>
      <c r="D1753" s="2">
        <v>341</v>
      </c>
      <c r="E1753" s="2">
        <v>200</v>
      </c>
      <c r="F1753" s="2">
        <v>32441</v>
      </c>
      <c r="G1753" s="2">
        <v>13.31888563</v>
      </c>
      <c r="H1753" s="3">
        <v>9.3299999999999999E-22</v>
      </c>
      <c r="I1753" s="2" t="s">
        <v>39788</v>
      </c>
      <c r="J1753" s="2" t="s">
        <v>39789</v>
      </c>
      <c r="K1753" s="3">
        <v>2.43E-20</v>
      </c>
      <c r="L1753" s="2" t="s">
        <v>1178</v>
      </c>
      <c r="M1753" s="4" t="s">
        <v>31489</v>
      </c>
    </row>
    <row r="1754" spans="1:13">
      <c r="A1754" s="2">
        <v>2882</v>
      </c>
      <c r="B1754" s="2" t="s">
        <v>39790</v>
      </c>
      <c r="C1754" s="2">
        <v>28</v>
      </c>
      <c r="D1754" s="2">
        <v>341</v>
      </c>
      <c r="E1754" s="2">
        <v>200</v>
      </c>
      <c r="F1754" s="2">
        <v>32441</v>
      </c>
      <c r="G1754" s="2">
        <v>13.31888563</v>
      </c>
      <c r="H1754" s="3">
        <v>9.3299999999999999E-22</v>
      </c>
      <c r="I1754" s="2" t="s">
        <v>39791</v>
      </c>
      <c r="J1754" s="2" t="s">
        <v>39792</v>
      </c>
      <c r="K1754" s="3">
        <v>2.43E-20</v>
      </c>
      <c r="L1754" s="2" t="s">
        <v>1178</v>
      </c>
      <c r="M1754" s="4" t="s">
        <v>39793</v>
      </c>
    </row>
    <row r="1755" spans="1:13">
      <c r="A1755" s="2">
        <v>398</v>
      </c>
      <c r="B1755" s="2" t="s">
        <v>2025</v>
      </c>
      <c r="C1755" s="2">
        <v>28</v>
      </c>
      <c r="D1755" s="2">
        <v>341</v>
      </c>
      <c r="E1755" s="2">
        <v>200</v>
      </c>
      <c r="F1755" s="2">
        <v>32441</v>
      </c>
      <c r="G1755" s="2">
        <v>13.31888563</v>
      </c>
      <c r="H1755" s="3">
        <v>9.3299999999999999E-22</v>
      </c>
      <c r="I1755" s="2" t="s">
        <v>39794</v>
      </c>
      <c r="J1755" s="2" t="s">
        <v>39795</v>
      </c>
      <c r="K1755" s="3">
        <v>2.43E-20</v>
      </c>
      <c r="L1755" s="2" t="s">
        <v>1178</v>
      </c>
      <c r="M1755" s="4" t="s">
        <v>39796</v>
      </c>
    </row>
    <row r="1756" spans="1:13">
      <c r="A1756" s="2">
        <v>1402</v>
      </c>
      <c r="B1756" s="2" t="s">
        <v>23344</v>
      </c>
      <c r="C1756" s="2">
        <v>28</v>
      </c>
      <c r="D1756" s="2">
        <v>341</v>
      </c>
      <c r="E1756" s="2">
        <v>200</v>
      </c>
      <c r="F1756" s="2">
        <v>32441</v>
      </c>
      <c r="G1756" s="2">
        <v>13.31888563</v>
      </c>
      <c r="H1756" s="3">
        <v>9.3299999999999999E-22</v>
      </c>
      <c r="I1756" s="2" t="s">
        <v>39797</v>
      </c>
      <c r="J1756" s="2" t="s">
        <v>39798</v>
      </c>
      <c r="K1756" s="3">
        <v>2.43E-20</v>
      </c>
      <c r="L1756" s="2" t="s">
        <v>1178</v>
      </c>
      <c r="M1756" s="4" t="s">
        <v>23347</v>
      </c>
    </row>
    <row r="1757" spans="1:13">
      <c r="A1757" s="2">
        <v>1626</v>
      </c>
      <c r="B1757" s="2" t="s">
        <v>20862</v>
      </c>
      <c r="C1757" s="2">
        <v>28</v>
      </c>
      <c r="D1757" s="2">
        <v>341</v>
      </c>
      <c r="E1757" s="2">
        <v>200</v>
      </c>
      <c r="F1757" s="2">
        <v>32441</v>
      </c>
      <c r="G1757" s="2">
        <v>13.31888563</v>
      </c>
      <c r="H1757" s="3">
        <v>9.3299999999999999E-22</v>
      </c>
      <c r="I1757" s="2" t="s">
        <v>39799</v>
      </c>
      <c r="J1757" s="2" t="s">
        <v>39800</v>
      </c>
      <c r="K1757" s="3">
        <v>2.43E-20</v>
      </c>
      <c r="L1757" s="2" t="s">
        <v>1178</v>
      </c>
      <c r="M1757" s="4" t="s">
        <v>20865</v>
      </c>
    </row>
    <row r="1758" spans="1:13">
      <c r="A1758" s="2">
        <v>1684</v>
      </c>
      <c r="B1758" s="2" t="s">
        <v>17239</v>
      </c>
      <c r="C1758" s="2">
        <v>28</v>
      </c>
      <c r="D1758" s="2">
        <v>341</v>
      </c>
      <c r="E1758" s="2">
        <v>200</v>
      </c>
      <c r="F1758" s="2">
        <v>32441</v>
      </c>
      <c r="G1758" s="2">
        <v>13.31888563</v>
      </c>
      <c r="H1758" s="3">
        <v>9.3299999999999999E-22</v>
      </c>
      <c r="I1758" s="2" t="s">
        <v>39801</v>
      </c>
      <c r="J1758" s="2" t="s">
        <v>39802</v>
      </c>
      <c r="K1758" s="3">
        <v>2.43E-20</v>
      </c>
      <c r="L1758" s="2" t="s">
        <v>1178</v>
      </c>
      <c r="M1758" s="4" t="s">
        <v>17242</v>
      </c>
    </row>
    <row r="1759" spans="1:13">
      <c r="A1759" s="2">
        <v>2187</v>
      </c>
      <c r="B1759" s="2" t="s">
        <v>18884</v>
      </c>
      <c r="C1759" s="2">
        <v>28</v>
      </c>
      <c r="D1759" s="2">
        <v>341</v>
      </c>
      <c r="E1759" s="2">
        <v>200</v>
      </c>
      <c r="F1759" s="2">
        <v>32441</v>
      </c>
      <c r="G1759" s="2">
        <v>13.31888563</v>
      </c>
      <c r="H1759" s="3">
        <v>9.3299999999999999E-22</v>
      </c>
      <c r="I1759" s="2" t="s">
        <v>39803</v>
      </c>
      <c r="J1759" s="2" t="s">
        <v>39804</v>
      </c>
      <c r="K1759" s="3">
        <v>2.43E-20</v>
      </c>
      <c r="L1759" s="2" t="s">
        <v>1178</v>
      </c>
      <c r="M1759" s="4" t="s">
        <v>18887</v>
      </c>
    </row>
    <row r="1760" spans="1:13">
      <c r="A1760" s="2">
        <v>2929</v>
      </c>
      <c r="B1760" s="2" t="s">
        <v>15946</v>
      </c>
      <c r="C1760" s="2">
        <v>28</v>
      </c>
      <c r="D1760" s="2">
        <v>341</v>
      </c>
      <c r="E1760" s="2">
        <v>200</v>
      </c>
      <c r="F1760" s="2">
        <v>32441</v>
      </c>
      <c r="G1760" s="2">
        <v>13.31888563</v>
      </c>
      <c r="H1760" s="3">
        <v>9.3299999999999999E-22</v>
      </c>
      <c r="I1760" s="2" t="s">
        <v>39805</v>
      </c>
      <c r="J1760" s="2" t="s">
        <v>39806</v>
      </c>
      <c r="K1760" s="3">
        <v>2.43E-20</v>
      </c>
      <c r="L1760" s="2" t="s">
        <v>1178</v>
      </c>
      <c r="M1760" s="4" t="s">
        <v>15949</v>
      </c>
    </row>
    <row r="1761" spans="1:13">
      <c r="A1761" s="2">
        <v>4130</v>
      </c>
      <c r="B1761" s="2" t="s">
        <v>31650</v>
      </c>
      <c r="C1761" s="2">
        <v>28</v>
      </c>
      <c r="D1761" s="2">
        <v>341</v>
      </c>
      <c r="E1761" s="2">
        <v>200</v>
      </c>
      <c r="F1761" s="2">
        <v>32441</v>
      </c>
      <c r="G1761" s="2">
        <v>13.31888563</v>
      </c>
      <c r="H1761" s="3">
        <v>9.3299999999999999E-22</v>
      </c>
      <c r="I1761" s="2" t="s">
        <v>39807</v>
      </c>
      <c r="J1761" s="2" t="s">
        <v>39808</v>
      </c>
      <c r="K1761" s="3">
        <v>2.43E-20</v>
      </c>
      <c r="L1761" s="2" t="s">
        <v>1178</v>
      </c>
      <c r="M1761" s="4" t="s">
        <v>31653</v>
      </c>
    </row>
    <row r="1762" spans="1:13">
      <c r="A1762" s="2">
        <v>4690</v>
      </c>
      <c r="B1762" s="2" t="s">
        <v>39809</v>
      </c>
      <c r="C1762" s="2">
        <v>28</v>
      </c>
      <c r="D1762" s="2">
        <v>341</v>
      </c>
      <c r="E1762" s="2">
        <v>200</v>
      </c>
      <c r="F1762" s="2">
        <v>32441</v>
      </c>
      <c r="G1762" s="2">
        <v>13.31888563</v>
      </c>
      <c r="H1762" s="3">
        <v>9.3299999999999999E-22</v>
      </c>
      <c r="I1762" s="2" t="s">
        <v>39810</v>
      </c>
      <c r="J1762" s="2" t="s">
        <v>39811</v>
      </c>
      <c r="K1762" s="3">
        <v>2.43E-20</v>
      </c>
      <c r="L1762" s="2" t="s">
        <v>1178</v>
      </c>
      <c r="M1762" s="4" t="s">
        <v>39812</v>
      </c>
    </row>
    <row r="1763" spans="1:13">
      <c r="A1763" s="2">
        <v>2223</v>
      </c>
      <c r="B1763" s="2" t="s">
        <v>39813</v>
      </c>
      <c r="C1763" s="2">
        <v>27</v>
      </c>
      <c r="D1763" s="2">
        <v>341</v>
      </c>
      <c r="E1763" s="2">
        <v>198</v>
      </c>
      <c r="F1763" s="2">
        <v>32441</v>
      </c>
      <c r="G1763" s="2">
        <v>12.972940550000001</v>
      </c>
      <c r="H1763" s="3">
        <v>9.4200000000000004E-21</v>
      </c>
      <c r="I1763" s="2" t="s">
        <v>39814</v>
      </c>
      <c r="J1763" s="2" t="s">
        <v>39815</v>
      </c>
      <c r="K1763" s="3">
        <v>2.4400000000000001E-19</v>
      </c>
      <c r="L1763" s="2" t="s">
        <v>1178</v>
      </c>
      <c r="M1763" s="4" t="s">
        <v>39816</v>
      </c>
    </row>
    <row r="1764" spans="1:13">
      <c r="A1764" s="2">
        <v>3649</v>
      </c>
      <c r="B1764" s="2" t="s">
        <v>21255</v>
      </c>
      <c r="C1764" s="2">
        <v>27</v>
      </c>
      <c r="D1764" s="2">
        <v>341</v>
      </c>
      <c r="E1764" s="2">
        <v>199</v>
      </c>
      <c r="F1764" s="2">
        <v>32441</v>
      </c>
      <c r="G1764" s="2">
        <v>12.90774989</v>
      </c>
      <c r="H1764" s="3">
        <v>1.06E-20</v>
      </c>
      <c r="I1764" s="2" t="s">
        <v>39817</v>
      </c>
      <c r="J1764" s="2" t="s">
        <v>39818</v>
      </c>
      <c r="K1764" s="3">
        <v>2.7300000000000001E-19</v>
      </c>
      <c r="L1764" s="2" t="s">
        <v>1178</v>
      </c>
      <c r="M1764" s="4" t="s">
        <v>21258</v>
      </c>
    </row>
    <row r="1765" spans="1:13">
      <c r="A1765" s="2">
        <v>2</v>
      </c>
      <c r="B1765" s="2" t="s">
        <v>13680</v>
      </c>
      <c r="C1765" s="2">
        <v>27</v>
      </c>
      <c r="D1765" s="2">
        <v>341</v>
      </c>
      <c r="E1765" s="2">
        <v>200</v>
      </c>
      <c r="F1765" s="2">
        <v>32441</v>
      </c>
      <c r="G1765" s="2">
        <v>12.843211139999999</v>
      </c>
      <c r="H1765" s="3">
        <v>1.1899999999999999E-20</v>
      </c>
      <c r="I1765" s="2" t="s">
        <v>39819</v>
      </c>
      <c r="J1765" s="2" t="s">
        <v>39820</v>
      </c>
      <c r="K1765" s="3">
        <v>2.8900000000000001E-19</v>
      </c>
      <c r="L1765" s="2" t="s">
        <v>1178</v>
      </c>
      <c r="M1765" s="4" t="s">
        <v>13683</v>
      </c>
    </row>
    <row r="1766" spans="1:13">
      <c r="A1766" s="2">
        <v>134</v>
      </c>
      <c r="B1766" s="2" t="s">
        <v>39821</v>
      </c>
      <c r="C1766" s="2">
        <v>27</v>
      </c>
      <c r="D1766" s="2">
        <v>341</v>
      </c>
      <c r="E1766" s="2">
        <v>200</v>
      </c>
      <c r="F1766" s="2">
        <v>32441</v>
      </c>
      <c r="G1766" s="2">
        <v>12.843211139999999</v>
      </c>
      <c r="H1766" s="3">
        <v>1.1899999999999999E-20</v>
      </c>
      <c r="I1766" s="2" t="s">
        <v>39822</v>
      </c>
      <c r="J1766" s="2" t="s">
        <v>39823</v>
      </c>
      <c r="K1766" s="3">
        <v>2.8900000000000001E-19</v>
      </c>
      <c r="L1766" s="2" t="s">
        <v>1178</v>
      </c>
      <c r="M1766" s="4" t="s">
        <v>39824</v>
      </c>
    </row>
    <row r="1767" spans="1:13">
      <c r="A1767" s="2">
        <v>3131</v>
      </c>
      <c r="B1767" s="2" t="s">
        <v>39825</v>
      </c>
      <c r="C1767" s="2">
        <v>27</v>
      </c>
      <c r="D1767" s="2">
        <v>341</v>
      </c>
      <c r="E1767" s="2">
        <v>200</v>
      </c>
      <c r="F1767" s="2">
        <v>32441</v>
      </c>
      <c r="G1767" s="2">
        <v>12.843211139999999</v>
      </c>
      <c r="H1767" s="3">
        <v>1.1899999999999999E-20</v>
      </c>
      <c r="I1767" s="2" t="s">
        <v>39826</v>
      </c>
      <c r="J1767" s="2" t="s">
        <v>39827</v>
      </c>
      <c r="K1767" s="3">
        <v>2.8900000000000001E-19</v>
      </c>
      <c r="L1767" s="2" t="s">
        <v>1178</v>
      </c>
      <c r="M1767" s="4" t="s">
        <v>39828</v>
      </c>
    </row>
    <row r="1768" spans="1:13">
      <c r="A1768" s="2">
        <v>22361</v>
      </c>
      <c r="B1768" s="2" t="s">
        <v>39829</v>
      </c>
      <c r="C1768" s="2">
        <v>27</v>
      </c>
      <c r="D1768" s="2">
        <v>341</v>
      </c>
      <c r="E1768" s="2">
        <v>200</v>
      </c>
      <c r="F1768" s="2">
        <v>32441</v>
      </c>
      <c r="G1768" s="2">
        <v>12.843211139999999</v>
      </c>
      <c r="H1768" s="3">
        <v>1.1899999999999999E-20</v>
      </c>
      <c r="I1768" s="2" t="s">
        <v>39830</v>
      </c>
      <c r="J1768" s="2" t="s">
        <v>39831</v>
      </c>
      <c r="K1768" s="3">
        <v>2.8900000000000001E-19</v>
      </c>
      <c r="L1768" s="2" t="s">
        <v>1178</v>
      </c>
      <c r="M1768" s="4" t="s">
        <v>39832</v>
      </c>
    </row>
    <row r="1769" spans="1:13">
      <c r="A1769" s="2">
        <v>2244</v>
      </c>
      <c r="B1769" s="2" t="s">
        <v>22212</v>
      </c>
      <c r="C1769" s="2">
        <v>27</v>
      </c>
      <c r="D1769" s="2">
        <v>341</v>
      </c>
      <c r="E1769" s="2">
        <v>200</v>
      </c>
      <c r="F1769" s="2">
        <v>32441</v>
      </c>
      <c r="G1769" s="2">
        <v>12.843211139999999</v>
      </c>
      <c r="H1769" s="3">
        <v>1.1899999999999999E-20</v>
      </c>
      <c r="I1769" s="2" t="s">
        <v>39833</v>
      </c>
      <c r="J1769" s="2" t="s">
        <v>39834</v>
      </c>
      <c r="K1769" s="3">
        <v>2.8900000000000001E-19</v>
      </c>
      <c r="L1769" s="2" t="s">
        <v>1178</v>
      </c>
      <c r="M1769" s="4" t="s">
        <v>22215</v>
      </c>
    </row>
    <row r="1770" spans="1:13">
      <c r="A1770" s="2">
        <v>25961</v>
      </c>
      <c r="B1770" s="2" t="s">
        <v>2574</v>
      </c>
      <c r="C1770" s="2">
        <v>27</v>
      </c>
      <c r="D1770" s="2">
        <v>341</v>
      </c>
      <c r="E1770" s="2">
        <v>200</v>
      </c>
      <c r="F1770" s="2">
        <v>32441</v>
      </c>
      <c r="G1770" s="2">
        <v>12.843211139999999</v>
      </c>
      <c r="H1770" s="3">
        <v>1.1899999999999999E-20</v>
      </c>
      <c r="I1770" s="2" t="s">
        <v>39835</v>
      </c>
      <c r="J1770" s="2" t="s">
        <v>39836</v>
      </c>
      <c r="K1770" s="3">
        <v>2.8900000000000001E-19</v>
      </c>
      <c r="L1770" s="2" t="s">
        <v>1178</v>
      </c>
      <c r="M1770" s="4" t="s">
        <v>39837</v>
      </c>
    </row>
    <row r="1771" spans="1:13">
      <c r="A1771" s="2">
        <v>2598</v>
      </c>
      <c r="B1771" s="2" t="s">
        <v>14136</v>
      </c>
      <c r="C1771" s="2">
        <v>27</v>
      </c>
      <c r="D1771" s="2">
        <v>341</v>
      </c>
      <c r="E1771" s="2">
        <v>200</v>
      </c>
      <c r="F1771" s="2">
        <v>32441</v>
      </c>
      <c r="G1771" s="2">
        <v>12.843211139999999</v>
      </c>
      <c r="H1771" s="3">
        <v>1.1899999999999999E-20</v>
      </c>
      <c r="I1771" s="2" t="s">
        <v>39838</v>
      </c>
      <c r="J1771" s="2" t="s">
        <v>39839</v>
      </c>
      <c r="K1771" s="3">
        <v>2.8900000000000001E-19</v>
      </c>
      <c r="L1771" s="2" t="s">
        <v>1178</v>
      </c>
      <c r="M1771" s="4" t="s">
        <v>14139</v>
      </c>
    </row>
    <row r="1772" spans="1:13">
      <c r="A1772" s="2">
        <v>2935</v>
      </c>
      <c r="B1772" s="2" t="s">
        <v>19933</v>
      </c>
      <c r="C1772" s="2">
        <v>27</v>
      </c>
      <c r="D1772" s="2">
        <v>341</v>
      </c>
      <c r="E1772" s="2">
        <v>200</v>
      </c>
      <c r="F1772" s="2">
        <v>32441</v>
      </c>
      <c r="G1772" s="2">
        <v>12.843211139999999</v>
      </c>
      <c r="H1772" s="3">
        <v>1.1899999999999999E-20</v>
      </c>
      <c r="I1772" s="2" t="s">
        <v>39840</v>
      </c>
      <c r="J1772" s="2" t="s">
        <v>39841</v>
      </c>
      <c r="K1772" s="3">
        <v>2.8900000000000001E-19</v>
      </c>
      <c r="L1772" s="2" t="s">
        <v>1178</v>
      </c>
      <c r="M1772" s="4" t="s">
        <v>19936</v>
      </c>
    </row>
    <row r="1773" spans="1:13">
      <c r="A1773" s="2">
        <v>3003</v>
      </c>
      <c r="B1773" s="2" t="s">
        <v>39842</v>
      </c>
      <c r="C1773" s="2">
        <v>27</v>
      </c>
      <c r="D1773" s="2">
        <v>341</v>
      </c>
      <c r="E1773" s="2">
        <v>200</v>
      </c>
      <c r="F1773" s="2">
        <v>32441</v>
      </c>
      <c r="G1773" s="2">
        <v>12.843211139999999</v>
      </c>
      <c r="H1773" s="3">
        <v>1.1899999999999999E-20</v>
      </c>
      <c r="I1773" s="2" t="s">
        <v>39843</v>
      </c>
      <c r="J1773" s="2" t="s">
        <v>39844</v>
      </c>
      <c r="K1773" s="3">
        <v>2.8900000000000001E-19</v>
      </c>
      <c r="L1773" s="2" t="s">
        <v>1178</v>
      </c>
      <c r="M1773" s="4" t="s">
        <v>39845</v>
      </c>
    </row>
    <row r="1774" spans="1:13">
      <c r="A1774" s="2">
        <v>31381</v>
      </c>
      <c r="B1774" s="2" t="s">
        <v>17380</v>
      </c>
      <c r="C1774" s="2">
        <v>27</v>
      </c>
      <c r="D1774" s="2">
        <v>341</v>
      </c>
      <c r="E1774" s="2">
        <v>200</v>
      </c>
      <c r="F1774" s="2">
        <v>32441</v>
      </c>
      <c r="G1774" s="2">
        <v>12.843211139999999</v>
      </c>
      <c r="H1774" s="3">
        <v>1.1899999999999999E-20</v>
      </c>
      <c r="I1774" s="2" t="s">
        <v>39846</v>
      </c>
      <c r="J1774" s="2" t="s">
        <v>39847</v>
      </c>
      <c r="K1774" s="3">
        <v>2.8900000000000001E-19</v>
      </c>
      <c r="L1774" s="2" t="s">
        <v>1178</v>
      </c>
      <c r="M1774" s="4" t="s">
        <v>17383</v>
      </c>
    </row>
    <row r="1775" spans="1:13">
      <c r="A1775" s="2">
        <v>3522</v>
      </c>
      <c r="B1775" s="2" t="s">
        <v>22457</v>
      </c>
      <c r="C1775" s="2">
        <v>27</v>
      </c>
      <c r="D1775" s="2">
        <v>341</v>
      </c>
      <c r="E1775" s="2">
        <v>200</v>
      </c>
      <c r="F1775" s="2">
        <v>32441</v>
      </c>
      <c r="G1775" s="2">
        <v>12.843211139999999</v>
      </c>
      <c r="H1775" s="3">
        <v>1.1899999999999999E-20</v>
      </c>
      <c r="I1775" s="2" t="s">
        <v>39848</v>
      </c>
      <c r="J1775" s="2" t="s">
        <v>39849</v>
      </c>
      <c r="K1775" s="3">
        <v>2.8900000000000001E-19</v>
      </c>
      <c r="L1775" s="2" t="s">
        <v>1178</v>
      </c>
      <c r="M1775" s="4" t="s">
        <v>22460</v>
      </c>
    </row>
    <row r="1776" spans="1:13">
      <c r="A1776" s="2">
        <v>3890</v>
      </c>
      <c r="B1776" s="2" t="s">
        <v>34373</v>
      </c>
      <c r="C1776" s="2">
        <v>27</v>
      </c>
      <c r="D1776" s="2">
        <v>341</v>
      </c>
      <c r="E1776" s="2">
        <v>200</v>
      </c>
      <c r="F1776" s="2">
        <v>32441</v>
      </c>
      <c r="G1776" s="2">
        <v>12.843211139999999</v>
      </c>
      <c r="H1776" s="3">
        <v>1.1899999999999999E-20</v>
      </c>
      <c r="I1776" s="2" t="s">
        <v>39850</v>
      </c>
      <c r="J1776" s="2" t="s">
        <v>39851</v>
      </c>
      <c r="K1776" s="3">
        <v>2.8900000000000001E-19</v>
      </c>
      <c r="L1776" s="2" t="s">
        <v>1178</v>
      </c>
      <c r="M1776" s="4" t="s">
        <v>34376</v>
      </c>
    </row>
    <row r="1777" spans="1:13">
      <c r="A1777" s="2">
        <v>24971</v>
      </c>
      <c r="B1777" s="2" t="s">
        <v>33807</v>
      </c>
      <c r="C1777" s="2">
        <v>26</v>
      </c>
      <c r="D1777" s="2">
        <v>341</v>
      </c>
      <c r="E1777" s="2">
        <v>187</v>
      </c>
      <c r="F1777" s="2">
        <v>32441</v>
      </c>
      <c r="G1777" s="2">
        <v>13.227311930000001</v>
      </c>
      <c r="H1777" s="3">
        <v>3.2300000000000001E-20</v>
      </c>
      <c r="I1777" s="2" t="s">
        <v>39852</v>
      </c>
      <c r="J1777" s="2" t="s">
        <v>39853</v>
      </c>
      <c r="K1777" s="3">
        <v>7.7999999999999999E-19</v>
      </c>
      <c r="L1777" s="2" t="s">
        <v>1178</v>
      </c>
      <c r="M1777" s="4" t="s">
        <v>33810</v>
      </c>
    </row>
    <row r="1778" spans="1:13">
      <c r="A1778" s="2">
        <v>43281</v>
      </c>
      <c r="B1778" s="2" t="s">
        <v>39854</v>
      </c>
      <c r="C1778" s="2">
        <v>26</v>
      </c>
      <c r="D1778" s="2">
        <v>341</v>
      </c>
      <c r="E1778" s="2">
        <v>198</v>
      </c>
      <c r="F1778" s="2">
        <v>32441</v>
      </c>
      <c r="G1778" s="2">
        <v>12.49246127</v>
      </c>
      <c r="H1778" s="3">
        <v>1.1700000000000001E-19</v>
      </c>
      <c r="I1778" s="2" t="s">
        <v>39855</v>
      </c>
      <c r="J1778" s="2" t="s">
        <v>39856</v>
      </c>
      <c r="K1778" s="3">
        <v>2.8100000000000001E-18</v>
      </c>
      <c r="L1778" s="2" t="s">
        <v>1178</v>
      </c>
      <c r="M1778" s="4" t="s">
        <v>39857</v>
      </c>
    </row>
    <row r="1779" spans="1:13">
      <c r="A1779" s="2">
        <v>13391</v>
      </c>
      <c r="B1779" s="2" t="s">
        <v>23332</v>
      </c>
      <c r="C1779" s="2">
        <v>26</v>
      </c>
      <c r="D1779" s="2">
        <v>341</v>
      </c>
      <c r="E1779" s="2">
        <v>199</v>
      </c>
      <c r="F1779" s="2">
        <v>32441</v>
      </c>
      <c r="G1779" s="2">
        <v>12.42968508</v>
      </c>
      <c r="H1779" s="3">
        <v>1.3099999999999999E-19</v>
      </c>
      <c r="I1779" s="2" t="s">
        <v>39858</v>
      </c>
      <c r="J1779" s="2" t="s">
        <v>39859</v>
      </c>
      <c r="K1779" s="3">
        <v>3.12E-18</v>
      </c>
      <c r="L1779" s="2" t="s">
        <v>1178</v>
      </c>
      <c r="M1779" s="4" t="s">
        <v>23335</v>
      </c>
    </row>
    <row r="1780" spans="1:13">
      <c r="A1780" s="2">
        <v>2560</v>
      </c>
      <c r="B1780" s="2" t="s">
        <v>18928</v>
      </c>
      <c r="C1780" s="2">
        <v>26</v>
      </c>
      <c r="D1780" s="2">
        <v>341</v>
      </c>
      <c r="E1780" s="2">
        <v>199</v>
      </c>
      <c r="F1780" s="2">
        <v>32441</v>
      </c>
      <c r="G1780" s="2">
        <v>12.42968508</v>
      </c>
      <c r="H1780" s="3">
        <v>1.3099999999999999E-19</v>
      </c>
      <c r="I1780" s="2" t="s">
        <v>39860</v>
      </c>
      <c r="J1780" s="2" t="s">
        <v>39861</v>
      </c>
      <c r="K1780" s="3">
        <v>3.12E-18</v>
      </c>
      <c r="L1780" s="2" t="s">
        <v>1178</v>
      </c>
      <c r="M1780" s="4" t="s">
        <v>18931</v>
      </c>
    </row>
    <row r="1781" spans="1:13">
      <c r="A1781" s="2">
        <v>1018</v>
      </c>
      <c r="B1781" s="2" t="s">
        <v>31367</v>
      </c>
      <c r="C1781" s="2">
        <v>26</v>
      </c>
      <c r="D1781" s="2">
        <v>341</v>
      </c>
      <c r="E1781" s="2">
        <v>200</v>
      </c>
      <c r="F1781" s="2">
        <v>32441</v>
      </c>
      <c r="G1781" s="2">
        <v>12.367536660000001</v>
      </c>
      <c r="H1781" s="3">
        <v>1.4699999999999999E-19</v>
      </c>
      <c r="I1781" s="2" t="s">
        <v>39862</v>
      </c>
      <c r="J1781" s="2" t="s">
        <v>39863</v>
      </c>
      <c r="K1781" s="3">
        <v>3.3499999999999999E-18</v>
      </c>
      <c r="L1781" s="2" t="s">
        <v>1178</v>
      </c>
      <c r="M1781" s="4" t="s">
        <v>31370</v>
      </c>
    </row>
    <row r="1782" spans="1:13">
      <c r="A1782" s="2">
        <v>1048</v>
      </c>
      <c r="B1782" s="2" t="s">
        <v>18675</v>
      </c>
      <c r="C1782" s="2">
        <v>26</v>
      </c>
      <c r="D1782" s="2">
        <v>341</v>
      </c>
      <c r="E1782" s="2">
        <v>200</v>
      </c>
      <c r="F1782" s="2">
        <v>32441</v>
      </c>
      <c r="G1782" s="2">
        <v>12.367536660000001</v>
      </c>
      <c r="H1782" s="3">
        <v>1.4699999999999999E-19</v>
      </c>
      <c r="I1782" s="2" t="s">
        <v>39864</v>
      </c>
      <c r="J1782" s="2" t="s">
        <v>39865</v>
      </c>
      <c r="K1782" s="3">
        <v>3.3499999999999999E-18</v>
      </c>
      <c r="L1782" s="2" t="s">
        <v>1178</v>
      </c>
      <c r="M1782" s="4" t="s">
        <v>18678</v>
      </c>
    </row>
    <row r="1783" spans="1:13">
      <c r="A1783" s="2">
        <v>1353</v>
      </c>
      <c r="B1783" s="2" t="s">
        <v>31559</v>
      </c>
      <c r="C1783" s="2">
        <v>26</v>
      </c>
      <c r="D1783" s="2">
        <v>341</v>
      </c>
      <c r="E1783" s="2">
        <v>200</v>
      </c>
      <c r="F1783" s="2">
        <v>32441</v>
      </c>
      <c r="G1783" s="2">
        <v>12.367536660000001</v>
      </c>
      <c r="H1783" s="3">
        <v>1.4699999999999999E-19</v>
      </c>
      <c r="I1783" s="2" t="s">
        <v>39866</v>
      </c>
      <c r="J1783" s="2" t="s">
        <v>39867</v>
      </c>
      <c r="K1783" s="3">
        <v>3.3499999999999999E-18</v>
      </c>
      <c r="L1783" s="2" t="s">
        <v>1178</v>
      </c>
      <c r="M1783" s="4" t="s">
        <v>31562</v>
      </c>
    </row>
    <row r="1784" spans="1:13">
      <c r="A1784" s="2">
        <v>1686</v>
      </c>
      <c r="B1784" s="2" t="s">
        <v>22079</v>
      </c>
      <c r="C1784" s="2">
        <v>26</v>
      </c>
      <c r="D1784" s="2">
        <v>341</v>
      </c>
      <c r="E1784" s="2">
        <v>200</v>
      </c>
      <c r="F1784" s="2">
        <v>32441</v>
      </c>
      <c r="G1784" s="2">
        <v>12.367536660000001</v>
      </c>
      <c r="H1784" s="3">
        <v>1.4699999999999999E-19</v>
      </c>
      <c r="I1784" s="2" t="s">
        <v>39868</v>
      </c>
      <c r="J1784" s="2" t="s">
        <v>39869</v>
      </c>
      <c r="K1784" s="3">
        <v>3.3499999999999999E-18</v>
      </c>
      <c r="L1784" s="2" t="s">
        <v>1178</v>
      </c>
      <c r="M1784" s="4" t="s">
        <v>22082</v>
      </c>
    </row>
    <row r="1785" spans="1:13">
      <c r="A1785" s="2">
        <v>29371</v>
      </c>
      <c r="B1785" s="2" t="s">
        <v>18968</v>
      </c>
      <c r="C1785" s="2">
        <v>26</v>
      </c>
      <c r="D1785" s="2">
        <v>341</v>
      </c>
      <c r="E1785" s="2">
        <v>200</v>
      </c>
      <c r="F1785" s="2">
        <v>32441</v>
      </c>
      <c r="G1785" s="2">
        <v>12.367536660000001</v>
      </c>
      <c r="H1785" s="3">
        <v>1.4699999999999999E-19</v>
      </c>
      <c r="I1785" s="2" t="s">
        <v>39870</v>
      </c>
      <c r="J1785" s="2" t="s">
        <v>39871</v>
      </c>
      <c r="K1785" s="3">
        <v>3.3499999999999999E-18</v>
      </c>
      <c r="L1785" s="2" t="s">
        <v>1178</v>
      </c>
      <c r="M1785" s="4" t="s">
        <v>18971</v>
      </c>
    </row>
    <row r="1786" spans="1:13">
      <c r="A1786" s="2">
        <v>3369</v>
      </c>
      <c r="B1786" s="2" t="s">
        <v>39872</v>
      </c>
      <c r="C1786" s="2">
        <v>26</v>
      </c>
      <c r="D1786" s="2">
        <v>341</v>
      </c>
      <c r="E1786" s="2">
        <v>200</v>
      </c>
      <c r="F1786" s="2">
        <v>32441</v>
      </c>
      <c r="G1786" s="2">
        <v>12.367536660000001</v>
      </c>
      <c r="H1786" s="3">
        <v>1.4699999999999999E-19</v>
      </c>
      <c r="I1786" s="2" t="s">
        <v>39873</v>
      </c>
      <c r="J1786" s="2" t="s">
        <v>39874</v>
      </c>
      <c r="K1786" s="3">
        <v>3.3499999999999999E-18</v>
      </c>
      <c r="L1786" s="2" t="s">
        <v>1178</v>
      </c>
      <c r="M1786" s="4" t="s">
        <v>39875</v>
      </c>
    </row>
    <row r="1787" spans="1:13">
      <c r="A1787" s="2">
        <v>3513</v>
      </c>
      <c r="B1787" s="2" t="s">
        <v>22445</v>
      </c>
      <c r="C1787" s="2">
        <v>26</v>
      </c>
      <c r="D1787" s="2">
        <v>341</v>
      </c>
      <c r="E1787" s="2">
        <v>200</v>
      </c>
      <c r="F1787" s="2">
        <v>32441</v>
      </c>
      <c r="G1787" s="2">
        <v>12.367536660000001</v>
      </c>
      <c r="H1787" s="3">
        <v>1.4699999999999999E-19</v>
      </c>
      <c r="I1787" s="2" t="s">
        <v>39876</v>
      </c>
      <c r="J1787" s="2" t="s">
        <v>39877</v>
      </c>
      <c r="K1787" s="3">
        <v>3.3499999999999999E-18</v>
      </c>
      <c r="L1787" s="2" t="s">
        <v>1178</v>
      </c>
      <c r="M1787" s="4" t="s">
        <v>22448</v>
      </c>
    </row>
    <row r="1788" spans="1:13">
      <c r="A1788" s="2">
        <v>38471</v>
      </c>
      <c r="B1788" s="2" t="s">
        <v>15419</v>
      </c>
      <c r="C1788" s="2">
        <v>26</v>
      </c>
      <c r="D1788" s="2">
        <v>341</v>
      </c>
      <c r="E1788" s="2">
        <v>200</v>
      </c>
      <c r="F1788" s="2">
        <v>32441</v>
      </c>
      <c r="G1788" s="2">
        <v>12.367536660000001</v>
      </c>
      <c r="H1788" s="3">
        <v>1.4699999999999999E-19</v>
      </c>
      <c r="I1788" s="2" t="s">
        <v>39878</v>
      </c>
      <c r="J1788" s="2" t="s">
        <v>39879</v>
      </c>
      <c r="K1788" s="3">
        <v>3.3499999999999999E-18</v>
      </c>
      <c r="L1788" s="2" t="s">
        <v>1178</v>
      </c>
      <c r="M1788" s="4" t="s">
        <v>15422</v>
      </c>
    </row>
    <row r="1789" spans="1:13">
      <c r="A1789" s="2">
        <v>39851</v>
      </c>
      <c r="B1789" s="2" t="s">
        <v>20146</v>
      </c>
      <c r="C1789" s="2">
        <v>26</v>
      </c>
      <c r="D1789" s="2">
        <v>341</v>
      </c>
      <c r="E1789" s="2">
        <v>200</v>
      </c>
      <c r="F1789" s="2">
        <v>32441</v>
      </c>
      <c r="G1789" s="2">
        <v>12.367536660000001</v>
      </c>
      <c r="H1789" s="3">
        <v>1.4699999999999999E-19</v>
      </c>
      <c r="I1789" s="2" t="s">
        <v>39880</v>
      </c>
      <c r="J1789" s="2" t="s">
        <v>39881</v>
      </c>
      <c r="K1789" s="3">
        <v>3.3499999999999999E-18</v>
      </c>
      <c r="L1789" s="2" t="s">
        <v>1178</v>
      </c>
      <c r="M1789" s="4" t="s">
        <v>20149</v>
      </c>
    </row>
    <row r="1790" spans="1:13">
      <c r="A1790" s="2">
        <v>24951</v>
      </c>
      <c r="B1790" s="2" t="s">
        <v>33173</v>
      </c>
      <c r="C1790" s="2">
        <v>25</v>
      </c>
      <c r="D1790" s="2">
        <v>341</v>
      </c>
      <c r="E1790" s="2">
        <v>186</v>
      </c>
      <c r="F1790" s="2">
        <v>32441</v>
      </c>
      <c r="G1790" s="2">
        <v>12.78694857</v>
      </c>
      <c r="H1790" s="3">
        <v>3.6300000000000001E-19</v>
      </c>
      <c r="I1790" s="2" t="s">
        <v>39882</v>
      </c>
      <c r="J1790" s="2" t="s">
        <v>39883</v>
      </c>
      <c r="K1790" s="3">
        <v>8.2300000000000001E-18</v>
      </c>
      <c r="L1790" s="2" t="s">
        <v>1178</v>
      </c>
      <c r="M1790" s="4" t="s">
        <v>33176</v>
      </c>
    </row>
    <row r="1791" spans="1:13">
      <c r="A1791" s="2">
        <v>40681</v>
      </c>
      <c r="B1791" s="2" t="s">
        <v>12067</v>
      </c>
      <c r="C1791" s="2">
        <v>24</v>
      </c>
      <c r="D1791" s="2">
        <v>341</v>
      </c>
      <c r="E1791" s="2">
        <v>172</v>
      </c>
      <c r="F1791" s="2">
        <v>32441</v>
      </c>
      <c r="G1791" s="2">
        <v>13.274636839999999</v>
      </c>
      <c r="H1791" s="3">
        <v>8.7200000000000006E-19</v>
      </c>
      <c r="I1791" s="2" t="s">
        <v>39884</v>
      </c>
      <c r="J1791" s="2" t="s">
        <v>39885</v>
      </c>
      <c r="K1791" s="3">
        <v>1.9700000000000001E-17</v>
      </c>
      <c r="L1791" s="2" t="s">
        <v>1178</v>
      </c>
      <c r="M1791" s="4" t="s">
        <v>12070</v>
      </c>
    </row>
    <row r="1792" spans="1:13">
      <c r="A1792" s="2">
        <v>27901</v>
      </c>
      <c r="B1792" s="2" t="s">
        <v>12345</v>
      </c>
      <c r="C1792" s="2">
        <v>24</v>
      </c>
      <c r="D1792" s="2">
        <v>341</v>
      </c>
      <c r="E1792" s="2">
        <v>176</v>
      </c>
      <c r="F1792" s="2">
        <v>32441</v>
      </c>
      <c r="G1792" s="2">
        <v>12.972940550000001</v>
      </c>
      <c r="H1792" s="3">
        <v>1.41E-18</v>
      </c>
      <c r="I1792" s="2" t="s">
        <v>39886</v>
      </c>
      <c r="J1792" s="2" t="s">
        <v>39887</v>
      </c>
      <c r="K1792" s="3">
        <v>3.1400000000000002E-17</v>
      </c>
      <c r="L1792" s="2" t="s">
        <v>1178</v>
      </c>
      <c r="M1792" s="4" t="s">
        <v>12348</v>
      </c>
    </row>
    <row r="1793" spans="1:13">
      <c r="A1793" s="2">
        <v>4322</v>
      </c>
      <c r="B1793" s="2" t="s">
        <v>39888</v>
      </c>
      <c r="C1793" s="2">
        <v>25</v>
      </c>
      <c r="D1793" s="2">
        <v>341</v>
      </c>
      <c r="E1793" s="2">
        <v>198</v>
      </c>
      <c r="F1793" s="2">
        <v>32441</v>
      </c>
      <c r="G1793" s="2">
        <v>12.011981990000001</v>
      </c>
      <c r="H1793" s="3">
        <v>1.41E-18</v>
      </c>
      <c r="I1793" s="2" t="s">
        <v>39889</v>
      </c>
      <c r="J1793" s="2" t="s">
        <v>39890</v>
      </c>
      <c r="K1793" s="3">
        <v>3.1400000000000002E-17</v>
      </c>
      <c r="L1793" s="2" t="s">
        <v>1178</v>
      </c>
      <c r="M1793" s="4" t="s">
        <v>39891</v>
      </c>
    </row>
    <row r="1794" spans="1:13">
      <c r="A1794" s="2">
        <v>4001</v>
      </c>
      <c r="B1794" s="2" t="s">
        <v>39892</v>
      </c>
      <c r="C1794" s="2">
        <v>25</v>
      </c>
      <c r="D1794" s="2">
        <v>341</v>
      </c>
      <c r="E1794" s="2">
        <v>200</v>
      </c>
      <c r="F1794" s="2">
        <v>32441</v>
      </c>
      <c r="G1794" s="2">
        <v>11.89186217</v>
      </c>
      <c r="H1794" s="3">
        <v>1.7499999999999999E-18</v>
      </c>
      <c r="I1794" s="2" t="s">
        <v>39893</v>
      </c>
      <c r="J1794" s="2" t="s">
        <v>39894</v>
      </c>
      <c r="K1794" s="3">
        <v>3.7499999999999999E-17</v>
      </c>
      <c r="L1794" s="2" t="s">
        <v>1178</v>
      </c>
      <c r="M1794" s="4" t="s">
        <v>39895</v>
      </c>
    </row>
    <row r="1795" spans="1:13">
      <c r="A1795" s="2">
        <v>1642</v>
      </c>
      <c r="B1795" s="2" t="s">
        <v>17219</v>
      </c>
      <c r="C1795" s="2">
        <v>25</v>
      </c>
      <c r="D1795" s="2">
        <v>341</v>
      </c>
      <c r="E1795" s="2">
        <v>200</v>
      </c>
      <c r="F1795" s="2">
        <v>32441</v>
      </c>
      <c r="G1795" s="2">
        <v>11.89186217</v>
      </c>
      <c r="H1795" s="3">
        <v>1.7499999999999999E-18</v>
      </c>
      <c r="I1795" s="2" t="s">
        <v>39896</v>
      </c>
      <c r="J1795" s="2" t="s">
        <v>39897</v>
      </c>
      <c r="K1795" s="3">
        <v>3.7499999999999999E-17</v>
      </c>
      <c r="L1795" s="2" t="s">
        <v>1178</v>
      </c>
      <c r="M1795" s="4" t="s">
        <v>17222</v>
      </c>
    </row>
    <row r="1796" spans="1:13">
      <c r="A1796" s="2">
        <v>1924</v>
      </c>
      <c r="B1796" s="2" t="s">
        <v>20939</v>
      </c>
      <c r="C1796" s="2">
        <v>25</v>
      </c>
      <c r="D1796" s="2">
        <v>341</v>
      </c>
      <c r="E1796" s="2">
        <v>200</v>
      </c>
      <c r="F1796" s="2">
        <v>32441</v>
      </c>
      <c r="G1796" s="2">
        <v>11.89186217</v>
      </c>
      <c r="H1796" s="3">
        <v>1.7499999999999999E-18</v>
      </c>
      <c r="I1796" s="2" t="s">
        <v>39898</v>
      </c>
      <c r="J1796" s="2" t="s">
        <v>39899</v>
      </c>
      <c r="K1796" s="3">
        <v>3.7499999999999999E-17</v>
      </c>
      <c r="L1796" s="2" t="s">
        <v>1178</v>
      </c>
      <c r="M1796" s="4" t="s">
        <v>20942</v>
      </c>
    </row>
    <row r="1797" spans="1:13">
      <c r="A1797" s="2">
        <v>2250</v>
      </c>
      <c r="B1797" s="2" t="s">
        <v>39900</v>
      </c>
      <c r="C1797" s="2">
        <v>25</v>
      </c>
      <c r="D1797" s="2">
        <v>341</v>
      </c>
      <c r="E1797" s="2">
        <v>200</v>
      </c>
      <c r="F1797" s="2">
        <v>32441</v>
      </c>
      <c r="G1797" s="2">
        <v>11.89186217</v>
      </c>
      <c r="H1797" s="3">
        <v>1.7499999999999999E-18</v>
      </c>
      <c r="I1797" s="2" t="s">
        <v>39901</v>
      </c>
      <c r="J1797" s="2" t="s">
        <v>39902</v>
      </c>
      <c r="K1797" s="3">
        <v>3.7499999999999999E-17</v>
      </c>
      <c r="L1797" s="2" t="s">
        <v>1178</v>
      </c>
      <c r="M1797" s="4" t="s">
        <v>39903</v>
      </c>
    </row>
    <row r="1798" spans="1:13">
      <c r="A1798" s="2">
        <v>2614</v>
      </c>
      <c r="B1798" s="2" t="s">
        <v>31794</v>
      </c>
      <c r="C1798" s="2">
        <v>25</v>
      </c>
      <c r="D1798" s="2">
        <v>341</v>
      </c>
      <c r="E1798" s="2">
        <v>200</v>
      </c>
      <c r="F1798" s="2">
        <v>32441</v>
      </c>
      <c r="G1798" s="2">
        <v>11.89186217</v>
      </c>
      <c r="H1798" s="3">
        <v>1.7499999999999999E-18</v>
      </c>
      <c r="I1798" s="2" t="s">
        <v>39904</v>
      </c>
      <c r="J1798" s="2" t="s">
        <v>39905</v>
      </c>
      <c r="K1798" s="3">
        <v>3.7499999999999999E-17</v>
      </c>
      <c r="L1798" s="2" t="s">
        <v>1178</v>
      </c>
      <c r="M1798" s="4" t="s">
        <v>31797</v>
      </c>
    </row>
    <row r="1799" spans="1:13">
      <c r="A1799" s="2">
        <v>2639</v>
      </c>
      <c r="B1799" s="2" t="s">
        <v>39906</v>
      </c>
      <c r="C1799" s="2">
        <v>25</v>
      </c>
      <c r="D1799" s="2">
        <v>341</v>
      </c>
      <c r="E1799" s="2">
        <v>200</v>
      </c>
      <c r="F1799" s="2">
        <v>32441</v>
      </c>
      <c r="G1799" s="2">
        <v>11.89186217</v>
      </c>
      <c r="H1799" s="3">
        <v>1.7499999999999999E-18</v>
      </c>
      <c r="I1799" s="2" t="s">
        <v>39907</v>
      </c>
      <c r="J1799" s="2" t="s">
        <v>39908</v>
      </c>
      <c r="K1799" s="3">
        <v>3.7499999999999999E-17</v>
      </c>
      <c r="L1799" s="2" t="s">
        <v>1178</v>
      </c>
      <c r="M1799" s="4" t="s">
        <v>39909</v>
      </c>
    </row>
    <row r="1800" spans="1:13">
      <c r="A1800" s="2">
        <v>2927</v>
      </c>
      <c r="B1800" s="2" t="s">
        <v>15373</v>
      </c>
      <c r="C1800" s="2">
        <v>25</v>
      </c>
      <c r="D1800" s="2">
        <v>341</v>
      </c>
      <c r="E1800" s="2">
        <v>200</v>
      </c>
      <c r="F1800" s="2">
        <v>32441</v>
      </c>
      <c r="G1800" s="2">
        <v>11.89186217</v>
      </c>
      <c r="H1800" s="3">
        <v>1.7499999999999999E-18</v>
      </c>
      <c r="I1800" s="2" t="s">
        <v>39910</v>
      </c>
      <c r="J1800" s="2" t="s">
        <v>39911</v>
      </c>
      <c r="K1800" s="3">
        <v>3.7499999999999999E-17</v>
      </c>
      <c r="L1800" s="2" t="s">
        <v>1178</v>
      </c>
      <c r="M1800" s="4" t="s">
        <v>15376</v>
      </c>
    </row>
    <row r="1801" spans="1:13">
      <c r="A1801" s="2">
        <v>33971</v>
      </c>
      <c r="B1801" s="2" t="s">
        <v>22411</v>
      </c>
      <c r="C1801" s="2">
        <v>25</v>
      </c>
      <c r="D1801" s="2">
        <v>341</v>
      </c>
      <c r="E1801" s="2">
        <v>200</v>
      </c>
      <c r="F1801" s="2">
        <v>32441</v>
      </c>
      <c r="G1801" s="2">
        <v>11.89186217</v>
      </c>
      <c r="H1801" s="3">
        <v>1.7499999999999999E-18</v>
      </c>
      <c r="I1801" s="2" t="s">
        <v>39912</v>
      </c>
      <c r="J1801" s="2" t="s">
        <v>39913</v>
      </c>
      <c r="K1801" s="3">
        <v>3.7499999999999999E-17</v>
      </c>
      <c r="L1801" s="2" t="s">
        <v>1178</v>
      </c>
      <c r="M1801" s="4" t="s">
        <v>22414</v>
      </c>
    </row>
    <row r="1802" spans="1:13">
      <c r="A1802" s="2">
        <v>4184</v>
      </c>
      <c r="B1802" s="2" t="s">
        <v>17495</v>
      </c>
      <c r="C1802" s="2">
        <v>25</v>
      </c>
      <c r="D1802" s="2">
        <v>341</v>
      </c>
      <c r="E1802" s="2">
        <v>200</v>
      </c>
      <c r="F1802" s="2">
        <v>32441</v>
      </c>
      <c r="G1802" s="2">
        <v>11.89186217</v>
      </c>
      <c r="H1802" s="3">
        <v>1.7499999999999999E-18</v>
      </c>
      <c r="I1802" s="2" t="s">
        <v>39914</v>
      </c>
      <c r="J1802" s="2" t="s">
        <v>39915</v>
      </c>
      <c r="K1802" s="3">
        <v>3.7499999999999999E-17</v>
      </c>
      <c r="L1802" s="2" t="s">
        <v>1178</v>
      </c>
      <c r="M1802" s="4" t="s">
        <v>17498</v>
      </c>
    </row>
    <row r="1803" spans="1:13">
      <c r="A1803" s="2">
        <v>24211</v>
      </c>
      <c r="B1803" s="2" t="s">
        <v>19296</v>
      </c>
      <c r="C1803" s="2">
        <v>23</v>
      </c>
      <c r="D1803" s="2">
        <v>341</v>
      </c>
      <c r="E1803" s="2">
        <v>173</v>
      </c>
      <c r="F1803" s="2">
        <v>32441</v>
      </c>
      <c r="G1803" s="2">
        <v>12.64799213</v>
      </c>
      <c r="H1803" s="3">
        <v>1.2299999999999999E-17</v>
      </c>
      <c r="I1803" s="2" t="s">
        <v>39916</v>
      </c>
      <c r="J1803" s="2" t="s">
        <v>39917</v>
      </c>
      <c r="K1803" s="3">
        <v>2.6299999999999998E-16</v>
      </c>
      <c r="L1803" s="2" t="s">
        <v>1178</v>
      </c>
      <c r="M1803" s="4" t="s">
        <v>19299</v>
      </c>
    </row>
    <row r="1804" spans="1:13">
      <c r="A1804" s="2">
        <v>3113</v>
      </c>
      <c r="B1804" s="2" t="s">
        <v>31505</v>
      </c>
      <c r="C1804" s="2">
        <v>24</v>
      </c>
      <c r="D1804" s="2">
        <v>341</v>
      </c>
      <c r="E1804" s="2">
        <v>200</v>
      </c>
      <c r="F1804" s="2">
        <v>32441</v>
      </c>
      <c r="G1804" s="2">
        <v>11.41618768</v>
      </c>
      <c r="H1804" s="3">
        <v>2.0000000000000001E-17</v>
      </c>
      <c r="I1804" s="2" t="s">
        <v>39918</v>
      </c>
      <c r="J1804" s="2" t="s">
        <v>39919</v>
      </c>
      <c r="K1804" s="3">
        <v>4.1000000000000001E-16</v>
      </c>
      <c r="L1804" s="2" t="s">
        <v>1178</v>
      </c>
      <c r="M1804" s="4" t="s">
        <v>31508</v>
      </c>
    </row>
    <row r="1805" spans="1:13">
      <c r="A1805" s="2">
        <v>798</v>
      </c>
      <c r="B1805" s="2" t="s">
        <v>39920</v>
      </c>
      <c r="C1805" s="2">
        <v>24</v>
      </c>
      <c r="D1805" s="2">
        <v>341</v>
      </c>
      <c r="E1805" s="2">
        <v>200</v>
      </c>
      <c r="F1805" s="2">
        <v>32441</v>
      </c>
      <c r="G1805" s="2">
        <v>11.41618768</v>
      </c>
      <c r="H1805" s="3">
        <v>2.0000000000000001E-17</v>
      </c>
      <c r="I1805" s="2" t="s">
        <v>39921</v>
      </c>
      <c r="J1805" s="2" t="s">
        <v>39922</v>
      </c>
      <c r="K1805" s="3">
        <v>4.1000000000000001E-16</v>
      </c>
      <c r="L1805" s="2" t="s">
        <v>1178</v>
      </c>
      <c r="M1805" s="4" t="s">
        <v>39923</v>
      </c>
    </row>
    <row r="1806" spans="1:13">
      <c r="A1806" s="2">
        <v>926</v>
      </c>
      <c r="B1806" s="2" t="s">
        <v>32266</v>
      </c>
      <c r="C1806" s="2">
        <v>24</v>
      </c>
      <c r="D1806" s="2">
        <v>341</v>
      </c>
      <c r="E1806" s="2">
        <v>200</v>
      </c>
      <c r="F1806" s="2">
        <v>32441</v>
      </c>
      <c r="G1806" s="2">
        <v>11.41618768</v>
      </c>
      <c r="H1806" s="3">
        <v>2.0000000000000001E-17</v>
      </c>
      <c r="I1806" s="2" t="s">
        <v>39924</v>
      </c>
      <c r="J1806" s="2" t="s">
        <v>39925</v>
      </c>
      <c r="K1806" s="3">
        <v>4.1000000000000001E-16</v>
      </c>
      <c r="L1806" s="2" t="s">
        <v>1178</v>
      </c>
      <c r="M1806" s="4" t="s">
        <v>32269</v>
      </c>
    </row>
    <row r="1807" spans="1:13">
      <c r="A1807" s="2">
        <v>1012</v>
      </c>
      <c r="B1807" s="2" t="s">
        <v>39926</v>
      </c>
      <c r="C1807" s="2">
        <v>24</v>
      </c>
      <c r="D1807" s="2">
        <v>341</v>
      </c>
      <c r="E1807" s="2">
        <v>200</v>
      </c>
      <c r="F1807" s="2">
        <v>32441</v>
      </c>
      <c r="G1807" s="2">
        <v>11.41618768</v>
      </c>
      <c r="H1807" s="3">
        <v>2.0000000000000001E-17</v>
      </c>
      <c r="I1807" s="2" t="s">
        <v>39927</v>
      </c>
      <c r="J1807" s="2" t="s">
        <v>39928</v>
      </c>
      <c r="K1807" s="3">
        <v>4.1000000000000001E-16</v>
      </c>
      <c r="L1807" s="2" t="s">
        <v>1178</v>
      </c>
      <c r="M1807" s="4" t="s">
        <v>39929</v>
      </c>
    </row>
    <row r="1808" spans="1:13">
      <c r="A1808" s="2">
        <v>1234</v>
      </c>
      <c r="B1808" s="2" t="s">
        <v>39930</v>
      </c>
      <c r="C1808" s="2">
        <v>24</v>
      </c>
      <c r="D1808" s="2">
        <v>341</v>
      </c>
      <c r="E1808" s="2">
        <v>200</v>
      </c>
      <c r="F1808" s="2">
        <v>32441</v>
      </c>
      <c r="G1808" s="2">
        <v>11.41618768</v>
      </c>
      <c r="H1808" s="3">
        <v>2.0000000000000001E-17</v>
      </c>
      <c r="I1808" s="2" t="s">
        <v>39931</v>
      </c>
      <c r="J1808" s="2" t="s">
        <v>39932</v>
      </c>
      <c r="K1808" s="3">
        <v>4.1000000000000001E-16</v>
      </c>
      <c r="L1808" s="2" t="s">
        <v>1178</v>
      </c>
      <c r="M1808" s="4" t="s">
        <v>39933</v>
      </c>
    </row>
    <row r="1809" spans="1:13">
      <c r="A1809" s="2">
        <v>1930</v>
      </c>
      <c r="B1809" s="2" t="s">
        <v>22137</v>
      </c>
      <c r="C1809" s="2">
        <v>24</v>
      </c>
      <c r="D1809" s="2">
        <v>341</v>
      </c>
      <c r="E1809" s="2">
        <v>200</v>
      </c>
      <c r="F1809" s="2">
        <v>32441</v>
      </c>
      <c r="G1809" s="2">
        <v>11.41618768</v>
      </c>
      <c r="H1809" s="3">
        <v>2.0000000000000001E-17</v>
      </c>
      <c r="I1809" s="2" t="s">
        <v>39934</v>
      </c>
      <c r="J1809" s="2" t="s">
        <v>39935</v>
      </c>
      <c r="K1809" s="3">
        <v>4.1000000000000001E-16</v>
      </c>
      <c r="L1809" s="2" t="s">
        <v>1178</v>
      </c>
      <c r="M1809" s="4" t="s">
        <v>22140</v>
      </c>
    </row>
    <row r="1810" spans="1:13">
      <c r="A1810" s="2">
        <v>2076</v>
      </c>
      <c r="B1810" s="2" t="s">
        <v>39936</v>
      </c>
      <c r="C1810" s="2">
        <v>24</v>
      </c>
      <c r="D1810" s="2">
        <v>341</v>
      </c>
      <c r="E1810" s="2">
        <v>200</v>
      </c>
      <c r="F1810" s="2">
        <v>32441</v>
      </c>
      <c r="G1810" s="2">
        <v>11.41618768</v>
      </c>
      <c r="H1810" s="3">
        <v>2.0000000000000001E-17</v>
      </c>
      <c r="I1810" s="2" t="s">
        <v>39937</v>
      </c>
      <c r="J1810" s="2" t="s">
        <v>39938</v>
      </c>
      <c r="K1810" s="3">
        <v>4.1000000000000001E-16</v>
      </c>
      <c r="L1810" s="2" t="s">
        <v>1178</v>
      </c>
      <c r="M1810" s="4" t="s">
        <v>39939</v>
      </c>
    </row>
    <row r="1811" spans="1:13">
      <c r="A1811" s="2">
        <v>2113</v>
      </c>
      <c r="B1811" s="2" t="s">
        <v>39940</v>
      </c>
      <c r="C1811" s="2">
        <v>24</v>
      </c>
      <c r="D1811" s="2">
        <v>341</v>
      </c>
      <c r="E1811" s="2">
        <v>200</v>
      </c>
      <c r="F1811" s="2">
        <v>32441</v>
      </c>
      <c r="G1811" s="2">
        <v>11.41618768</v>
      </c>
      <c r="H1811" s="3">
        <v>2.0000000000000001E-17</v>
      </c>
      <c r="I1811" s="2" t="s">
        <v>39941</v>
      </c>
      <c r="J1811" s="2" t="s">
        <v>39942</v>
      </c>
      <c r="K1811" s="3">
        <v>4.1000000000000001E-16</v>
      </c>
      <c r="L1811" s="2" t="s">
        <v>1178</v>
      </c>
      <c r="M1811" s="4" t="s">
        <v>39943</v>
      </c>
    </row>
    <row r="1812" spans="1:13">
      <c r="A1812" s="2">
        <v>23061</v>
      </c>
      <c r="B1812" s="2" t="s">
        <v>39944</v>
      </c>
      <c r="C1812" s="2">
        <v>24</v>
      </c>
      <c r="D1812" s="2">
        <v>341</v>
      </c>
      <c r="E1812" s="2">
        <v>200</v>
      </c>
      <c r="F1812" s="2">
        <v>32441</v>
      </c>
      <c r="G1812" s="2">
        <v>11.41618768</v>
      </c>
      <c r="H1812" s="3">
        <v>2.0000000000000001E-17</v>
      </c>
      <c r="I1812" s="2" t="s">
        <v>39945</v>
      </c>
      <c r="J1812" s="2" t="s">
        <v>39946</v>
      </c>
      <c r="K1812" s="3">
        <v>4.1000000000000001E-16</v>
      </c>
      <c r="L1812" s="2" t="s">
        <v>1178</v>
      </c>
      <c r="M1812" s="4" t="s">
        <v>39947</v>
      </c>
    </row>
    <row r="1813" spans="1:13">
      <c r="A1813" s="2">
        <v>23071</v>
      </c>
      <c r="B1813" s="2" t="s">
        <v>33479</v>
      </c>
      <c r="C1813" s="2">
        <v>24</v>
      </c>
      <c r="D1813" s="2">
        <v>341</v>
      </c>
      <c r="E1813" s="2">
        <v>200</v>
      </c>
      <c r="F1813" s="2">
        <v>32441</v>
      </c>
      <c r="G1813" s="2">
        <v>11.41618768</v>
      </c>
      <c r="H1813" s="3">
        <v>2.0000000000000001E-17</v>
      </c>
      <c r="I1813" s="2" t="s">
        <v>39948</v>
      </c>
      <c r="J1813" s="2" t="s">
        <v>39949</v>
      </c>
      <c r="K1813" s="3">
        <v>4.1000000000000001E-16</v>
      </c>
      <c r="L1813" s="2" t="s">
        <v>1178</v>
      </c>
      <c r="M1813" s="4" t="s">
        <v>33482</v>
      </c>
    </row>
    <row r="1814" spans="1:13">
      <c r="A1814" s="2">
        <v>3576</v>
      </c>
      <c r="B1814" s="2" t="s">
        <v>31462</v>
      </c>
      <c r="C1814" s="2">
        <v>22</v>
      </c>
      <c r="D1814" s="2">
        <v>341</v>
      </c>
      <c r="E1814" s="2">
        <v>162</v>
      </c>
      <c r="F1814" s="2">
        <v>32441</v>
      </c>
      <c r="G1814" s="2">
        <v>12.91955396</v>
      </c>
      <c r="H1814" s="3">
        <v>4.2400000000000002E-17</v>
      </c>
      <c r="I1814" s="2" t="s">
        <v>39950</v>
      </c>
      <c r="J1814" s="2" t="s">
        <v>39951</v>
      </c>
      <c r="K1814" s="3">
        <v>8.6499999999999995E-16</v>
      </c>
      <c r="L1814" s="2" t="s">
        <v>1178</v>
      </c>
      <c r="M1814" s="4" t="s">
        <v>31465</v>
      </c>
    </row>
    <row r="1815" spans="1:13">
      <c r="A1815" s="2">
        <v>4243</v>
      </c>
      <c r="B1815" s="2" t="s">
        <v>39952</v>
      </c>
      <c r="C1815" s="2">
        <v>22</v>
      </c>
      <c r="D1815" s="2">
        <v>341</v>
      </c>
      <c r="E1815" s="2">
        <v>164</v>
      </c>
      <c r="F1815" s="2">
        <v>32441</v>
      </c>
      <c r="G1815" s="2">
        <v>12.76199843</v>
      </c>
      <c r="H1815" s="3">
        <v>5.3599999999999998E-17</v>
      </c>
      <c r="I1815" s="2" t="s">
        <v>39953</v>
      </c>
      <c r="J1815" s="2" t="s">
        <v>39954</v>
      </c>
      <c r="K1815" s="3">
        <v>1.09E-15</v>
      </c>
      <c r="L1815" s="2" t="s">
        <v>1178</v>
      </c>
      <c r="M1815" s="4" t="s">
        <v>39955</v>
      </c>
    </row>
    <row r="1816" spans="1:13">
      <c r="A1816" s="2">
        <v>2734</v>
      </c>
      <c r="B1816" s="2" t="s">
        <v>39956</v>
      </c>
      <c r="C1816" s="2">
        <v>21</v>
      </c>
      <c r="D1816" s="2">
        <v>341</v>
      </c>
      <c r="E1816" s="2">
        <v>146</v>
      </c>
      <c r="F1816" s="2">
        <v>32441</v>
      </c>
      <c r="G1816" s="2">
        <v>13.68378661</v>
      </c>
      <c r="H1816" s="3">
        <v>7.8299999999999998E-17</v>
      </c>
      <c r="I1816" s="2" t="s">
        <v>39957</v>
      </c>
      <c r="J1816" s="2" t="s">
        <v>39958</v>
      </c>
      <c r="K1816" s="3">
        <v>1.58E-15</v>
      </c>
      <c r="L1816" s="2" t="s">
        <v>1178</v>
      </c>
      <c r="M1816" s="4" t="s">
        <v>39959</v>
      </c>
    </row>
    <row r="1817" spans="1:13">
      <c r="A1817" s="2">
        <v>2828</v>
      </c>
      <c r="B1817" s="2" t="s">
        <v>17329</v>
      </c>
      <c r="C1817" s="2">
        <v>22</v>
      </c>
      <c r="D1817" s="2">
        <v>341</v>
      </c>
      <c r="E1817" s="2">
        <v>173</v>
      </c>
      <c r="F1817" s="2">
        <v>32441</v>
      </c>
      <c r="G1817" s="2">
        <v>12.09807943</v>
      </c>
      <c r="H1817" s="3">
        <v>1.4799999999999999E-16</v>
      </c>
      <c r="I1817" s="2" t="s">
        <v>39960</v>
      </c>
      <c r="J1817" s="2" t="s">
        <v>39961</v>
      </c>
      <c r="K1817" s="3">
        <v>2.9799999999999999E-15</v>
      </c>
      <c r="L1817" s="2" t="s">
        <v>1178</v>
      </c>
      <c r="M1817" s="4" t="s">
        <v>17332</v>
      </c>
    </row>
    <row r="1818" spans="1:13">
      <c r="A1818" s="2">
        <v>3894</v>
      </c>
      <c r="B1818" s="2" t="s">
        <v>39962</v>
      </c>
      <c r="C1818" s="2">
        <v>23</v>
      </c>
      <c r="D1818" s="2">
        <v>341</v>
      </c>
      <c r="E1818" s="2">
        <v>198</v>
      </c>
      <c r="F1818" s="2">
        <v>32441</v>
      </c>
      <c r="G1818" s="2">
        <v>11.051023430000001</v>
      </c>
      <c r="H1818" s="3">
        <v>1.7999999999999999E-16</v>
      </c>
      <c r="I1818" s="2" t="s">
        <v>39963</v>
      </c>
      <c r="J1818" s="2" t="s">
        <v>39964</v>
      </c>
      <c r="K1818" s="3">
        <v>3.6199999999999997E-15</v>
      </c>
      <c r="L1818" s="2" t="s">
        <v>1178</v>
      </c>
      <c r="M1818" s="4" t="s">
        <v>39965</v>
      </c>
    </row>
    <row r="1819" spans="1:13">
      <c r="A1819" s="2">
        <v>36</v>
      </c>
      <c r="B1819" s="2" t="s">
        <v>31917</v>
      </c>
      <c r="C1819" s="2">
        <v>23</v>
      </c>
      <c r="D1819" s="2">
        <v>341</v>
      </c>
      <c r="E1819" s="2">
        <v>199</v>
      </c>
      <c r="F1819" s="2">
        <v>32441</v>
      </c>
      <c r="G1819" s="2">
        <v>10.995490650000001</v>
      </c>
      <c r="H1819" s="3">
        <v>1.99E-16</v>
      </c>
      <c r="I1819" s="2" t="s">
        <v>39966</v>
      </c>
      <c r="J1819" s="2" t="s">
        <v>39967</v>
      </c>
      <c r="K1819" s="3">
        <v>3.98E-15</v>
      </c>
      <c r="L1819" s="2" t="s">
        <v>1178</v>
      </c>
      <c r="M1819" s="4" t="s">
        <v>31920</v>
      </c>
    </row>
    <row r="1820" spans="1:13">
      <c r="A1820" s="2">
        <v>1006</v>
      </c>
      <c r="B1820" s="2" t="s">
        <v>39968</v>
      </c>
      <c r="C1820" s="2">
        <v>23</v>
      </c>
      <c r="D1820" s="2">
        <v>341</v>
      </c>
      <c r="E1820" s="2">
        <v>200</v>
      </c>
      <c r="F1820" s="2">
        <v>32441</v>
      </c>
      <c r="G1820" s="2">
        <v>10.9405132</v>
      </c>
      <c r="H1820" s="3">
        <v>2.2E-16</v>
      </c>
      <c r="I1820" s="2" t="s">
        <v>39969</v>
      </c>
      <c r="J1820" s="2" t="s">
        <v>39970</v>
      </c>
      <c r="K1820" s="3">
        <v>4.1299999999999997E-15</v>
      </c>
      <c r="L1820" s="2" t="s">
        <v>1178</v>
      </c>
      <c r="M1820" s="4" t="s">
        <v>39971</v>
      </c>
    </row>
    <row r="1821" spans="1:13">
      <c r="A1821" s="2">
        <v>1030</v>
      </c>
      <c r="B1821" s="2" t="s">
        <v>12911</v>
      </c>
      <c r="C1821" s="2">
        <v>23</v>
      </c>
      <c r="D1821" s="2">
        <v>341</v>
      </c>
      <c r="E1821" s="2">
        <v>200</v>
      </c>
      <c r="F1821" s="2">
        <v>32441</v>
      </c>
      <c r="G1821" s="2">
        <v>10.9405132</v>
      </c>
      <c r="H1821" s="3">
        <v>2.2E-16</v>
      </c>
      <c r="I1821" s="2" t="s">
        <v>39972</v>
      </c>
      <c r="J1821" s="2" t="s">
        <v>39973</v>
      </c>
      <c r="K1821" s="3">
        <v>4.1299999999999997E-15</v>
      </c>
      <c r="L1821" s="2" t="s">
        <v>1178</v>
      </c>
      <c r="M1821" s="4" t="s">
        <v>12914</v>
      </c>
    </row>
    <row r="1822" spans="1:13">
      <c r="A1822" s="2">
        <v>1232</v>
      </c>
      <c r="B1822" s="2" t="s">
        <v>1581</v>
      </c>
      <c r="C1822" s="2">
        <v>23</v>
      </c>
      <c r="D1822" s="2">
        <v>341</v>
      </c>
      <c r="E1822" s="2">
        <v>200</v>
      </c>
      <c r="F1822" s="2">
        <v>32441</v>
      </c>
      <c r="G1822" s="2">
        <v>10.9405132</v>
      </c>
      <c r="H1822" s="3">
        <v>2.2E-16</v>
      </c>
      <c r="I1822" s="2" t="s">
        <v>39974</v>
      </c>
      <c r="J1822" s="2" t="s">
        <v>39975</v>
      </c>
      <c r="K1822" s="3">
        <v>4.1299999999999997E-15</v>
      </c>
      <c r="L1822" s="2" t="s">
        <v>1178</v>
      </c>
      <c r="M1822" s="4" t="s">
        <v>39976</v>
      </c>
    </row>
    <row r="1823" spans="1:13">
      <c r="A1823" s="2">
        <v>1349</v>
      </c>
      <c r="B1823" s="2" t="s">
        <v>32745</v>
      </c>
      <c r="C1823" s="2">
        <v>23</v>
      </c>
      <c r="D1823" s="2">
        <v>341</v>
      </c>
      <c r="E1823" s="2">
        <v>200</v>
      </c>
      <c r="F1823" s="2">
        <v>32441</v>
      </c>
      <c r="G1823" s="2">
        <v>10.9405132</v>
      </c>
      <c r="H1823" s="3">
        <v>2.2E-16</v>
      </c>
      <c r="I1823" s="2" t="s">
        <v>39977</v>
      </c>
      <c r="J1823" s="2" t="s">
        <v>39978</v>
      </c>
      <c r="K1823" s="3">
        <v>4.1299999999999997E-15</v>
      </c>
      <c r="L1823" s="2" t="s">
        <v>1178</v>
      </c>
      <c r="M1823" s="4" t="s">
        <v>32748</v>
      </c>
    </row>
    <row r="1824" spans="1:13">
      <c r="A1824" s="2">
        <v>1624</v>
      </c>
      <c r="B1824" s="2" t="s">
        <v>14773</v>
      </c>
      <c r="C1824" s="2">
        <v>23</v>
      </c>
      <c r="D1824" s="2">
        <v>341</v>
      </c>
      <c r="E1824" s="2">
        <v>200</v>
      </c>
      <c r="F1824" s="2">
        <v>32441</v>
      </c>
      <c r="G1824" s="2">
        <v>10.9405132</v>
      </c>
      <c r="H1824" s="3">
        <v>2.2E-16</v>
      </c>
      <c r="I1824" s="2" t="s">
        <v>39979</v>
      </c>
      <c r="J1824" s="2" t="s">
        <v>39980</v>
      </c>
      <c r="K1824" s="3">
        <v>4.1299999999999997E-15</v>
      </c>
      <c r="L1824" s="2" t="s">
        <v>1178</v>
      </c>
      <c r="M1824" s="4" t="s">
        <v>14776</v>
      </c>
    </row>
    <row r="1825" spans="1:13">
      <c r="A1825" s="2">
        <v>1694</v>
      </c>
      <c r="B1825" s="2" t="s">
        <v>20870</v>
      </c>
      <c r="C1825" s="2">
        <v>23</v>
      </c>
      <c r="D1825" s="2">
        <v>341</v>
      </c>
      <c r="E1825" s="2">
        <v>200</v>
      </c>
      <c r="F1825" s="2">
        <v>32441</v>
      </c>
      <c r="G1825" s="2">
        <v>10.9405132</v>
      </c>
      <c r="H1825" s="3">
        <v>2.2E-16</v>
      </c>
      <c r="I1825" s="2" t="s">
        <v>39981</v>
      </c>
      <c r="J1825" s="2" t="s">
        <v>39982</v>
      </c>
      <c r="K1825" s="3">
        <v>4.1299999999999997E-15</v>
      </c>
      <c r="L1825" s="2" t="s">
        <v>1178</v>
      </c>
      <c r="M1825" s="4" t="s">
        <v>20873</v>
      </c>
    </row>
    <row r="1826" spans="1:13">
      <c r="A1826" s="2">
        <v>1980</v>
      </c>
      <c r="B1826" s="2" t="s">
        <v>15843</v>
      </c>
      <c r="C1826" s="2">
        <v>23</v>
      </c>
      <c r="D1826" s="2">
        <v>341</v>
      </c>
      <c r="E1826" s="2">
        <v>200</v>
      </c>
      <c r="F1826" s="2">
        <v>32441</v>
      </c>
      <c r="G1826" s="2">
        <v>10.9405132</v>
      </c>
      <c r="H1826" s="3">
        <v>2.2E-16</v>
      </c>
      <c r="I1826" s="2" t="s">
        <v>39983</v>
      </c>
      <c r="J1826" s="2" t="s">
        <v>39984</v>
      </c>
      <c r="K1826" s="3">
        <v>4.1299999999999997E-15</v>
      </c>
      <c r="L1826" s="2" t="s">
        <v>1178</v>
      </c>
      <c r="M1826" s="4" t="s">
        <v>15846</v>
      </c>
    </row>
    <row r="1827" spans="1:13">
      <c r="A1827" s="2">
        <v>22261</v>
      </c>
      <c r="B1827" s="2" t="s">
        <v>19860</v>
      </c>
      <c r="C1827" s="2">
        <v>23</v>
      </c>
      <c r="D1827" s="2">
        <v>341</v>
      </c>
      <c r="E1827" s="2">
        <v>200</v>
      </c>
      <c r="F1827" s="2">
        <v>32441</v>
      </c>
      <c r="G1827" s="2">
        <v>10.9405132</v>
      </c>
      <c r="H1827" s="3">
        <v>2.2E-16</v>
      </c>
      <c r="I1827" s="2" t="s">
        <v>39985</v>
      </c>
      <c r="J1827" s="2" t="s">
        <v>39986</v>
      </c>
      <c r="K1827" s="3">
        <v>4.1299999999999997E-15</v>
      </c>
      <c r="L1827" s="2" t="s">
        <v>1178</v>
      </c>
      <c r="M1827" s="4" t="s">
        <v>19863</v>
      </c>
    </row>
    <row r="1828" spans="1:13">
      <c r="A1828" s="2">
        <v>2364</v>
      </c>
      <c r="B1828" s="2" t="s">
        <v>13807</v>
      </c>
      <c r="C1828" s="2">
        <v>23</v>
      </c>
      <c r="D1828" s="2">
        <v>341</v>
      </c>
      <c r="E1828" s="2">
        <v>200</v>
      </c>
      <c r="F1828" s="2">
        <v>32441</v>
      </c>
      <c r="G1828" s="2">
        <v>10.9405132</v>
      </c>
      <c r="H1828" s="3">
        <v>2.2E-16</v>
      </c>
      <c r="I1828" s="2" t="s">
        <v>39987</v>
      </c>
      <c r="J1828" s="2" t="s">
        <v>39988</v>
      </c>
      <c r="K1828" s="3">
        <v>4.1299999999999997E-15</v>
      </c>
      <c r="L1828" s="2" t="s">
        <v>1178</v>
      </c>
      <c r="M1828" s="4" t="s">
        <v>13810</v>
      </c>
    </row>
    <row r="1829" spans="1:13">
      <c r="A1829" s="2">
        <v>26331</v>
      </c>
      <c r="B1829" s="2" t="s">
        <v>3459</v>
      </c>
      <c r="C1829" s="2">
        <v>23</v>
      </c>
      <c r="D1829" s="2">
        <v>341</v>
      </c>
      <c r="E1829" s="2">
        <v>200</v>
      </c>
      <c r="F1829" s="2">
        <v>32441</v>
      </c>
      <c r="G1829" s="2">
        <v>10.9405132</v>
      </c>
      <c r="H1829" s="3">
        <v>2.2E-16</v>
      </c>
      <c r="I1829" s="2" t="s">
        <v>39989</v>
      </c>
      <c r="J1829" s="2" t="s">
        <v>39990</v>
      </c>
      <c r="K1829" s="3">
        <v>4.1299999999999997E-15</v>
      </c>
      <c r="L1829" s="2" t="s">
        <v>1178</v>
      </c>
      <c r="M1829" s="4" t="s">
        <v>3462</v>
      </c>
    </row>
    <row r="1830" spans="1:13">
      <c r="A1830" s="2">
        <v>3130</v>
      </c>
      <c r="B1830" s="2" t="s">
        <v>39991</v>
      </c>
      <c r="C1830" s="2">
        <v>23</v>
      </c>
      <c r="D1830" s="2">
        <v>341</v>
      </c>
      <c r="E1830" s="2">
        <v>200</v>
      </c>
      <c r="F1830" s="2">
        <v>32441</v>
      </c>
      <c r="G1830" s="2">
        <v>10.9405132</v>
      </c>
      <c r="H1830" s="3">
        <v>2.2E-16</v>
      </c>
      <c r="I1830" s="2" t="s">
        <v>39992</v>
      </c>
      <c r="J1830" s="2" t="s">
        <v>39993</v>
      </c>
      <c r="K1830" s="3">
        <v>4.1299999999999997E-15</v>
      </c>
      <c r="L1830" s="2" t="s">
        <v>1178</v>
      </c>
      <c r="M1830" s="4" t="s">
        <v>39994</v>
      </c>
    </row>
    <row r="1831" spans="1:13">
      <c r="A1831" s="2">
        <v>3348</v>
      </c>
      <c r="B1831" s="2" t="s">
        <v>1509</v>
      </c>
      <c r="C1831" s="2">
        <v>23</v>
      </c>
      <c r="D1831" s="2">
        <v>341</v>
      </c>
      <c r="E1831" s="2">
        <v>200</v>
      </c>
      <c r="F1831" s="2">
        <v>32441</v>
      </c>
      <c r="G1831" s="2">
        <v>10.9405132</v>
      </c>
      <c r="H1831" s="3">
        <v>2.2E-16</v>
      </c>
      <c r="I1831" s="2" t="s">
        <v>39995</v>
      </c>
      <c r="J1831" s="2" t="s">
        <v>39996</v>
      </c>
      <c r="K1831" s="3">
        <v>4.1299999999999997E-15</v>
      </c>
      <c r="L1831" s="2" t="s">
        <v>1178</v>
      </c>
      <c r="M1831" s="4" t="s">
        <v>23803</v>
      </c>
    </row>
    <row r="1832" spans="1:13">
      <c r="A1832" s="2">
        <v>3361</v>
      </c>
      <c r="B1832" s="2" t="s">
        <v>39997</v>
      </c>
      <c r="C1832" s="2">
        <v>23</v>
      </c>
      <c r="D1832" s="2">
        <v>341</v>
      </c>
      <c r="E1832" s="2">
        <v>200</v>
      </c>
      <c r="F1832" s="2">
        <v>32441</v>
      </c>
      <c r="G1832" s="2">
        <v>10.9405132</v>
      </c>
      <c r="H1832" s="3">
        <v>2.2E-16</v>
      </c>
      <c r="I1832" s="2" t="s">
        <v>39998</v>
      </c>
      <c r="J1832" s="2" t="s">
        <v>39999</v>
      </c>
      <c r="K1832" s="3">
        <v>4.1299999999999997E-15</v>
      </c>
      <c r="L1832" s="2" t="s">
        <v>1178</v>
      </c>
      <c r="M1832" s="4" t="s">
        <v>40000</v>
      </c>
    </row>
    <row r="1833" spans="1:13">
      <c r="A1833" s="2">
        <v>36431</v>
      </c>
      <c r="B1833" s="2" t="s">
        <v>1608</v>
      </c>
      <c r="C1833" s="2">
        <v>23</v>
      </c>
      <c r="D1833" s="2">
        <v>341</v>
      </c>
      <c r="E1833" s="2">
        <v>200</v>
      </c>
      <c r="F1833" s="2">
        <v>32441</v>
      </c>
      <c r="G1833" s="2">
        <v>10.9405132</v>
      </c>
      <c r="H1833" s="3">
        <v>2.2E-16</v>
      </c>
      <c r="I1833" s="2" t="s">
        <v>40001</v>
      </c>
      <c r="J1833" s="2" t="s">
        <v>40002</v>
      </c>
      <c r="K1833" s="3">
        <v>4.1299999999999997E-15</v>
      </c>
      <c r="L1833" s="2" t="s">
        <v>1178</v>
      </c>
      <c r="M1833" s="4" t="s">
        <v>17434</v>
      </c>
    </row>
    <row r="1834" spans="1:13">
      <c r="A1834" s="2">
        <v>4280</v>
      </c>
      <c r="B1834" s="2" t="s">
        <v>16750</v>
      </c>
      <c r="C1834" s="2">
        <v>23</v>
      </c>
      <c r="D1834" s="2">
        <v>341</v>
      </c>
      <c r="E1834" s="2">
        <v>200</v>
      </c>
      <c r="F1834" s="2">
        <v>32441</v>
      </c>
      <c r="G1834" s="2">
        <v>10.9405132</v>
      </c>
      <c r="H1834" s="3">
        <v>2.2E-16</v>
      </c>
      <c r="I1834" s="2" t="s">
        <v>40003</v>
      </c>
      <c r="J1834" s="2" t="s">
        <v>40004</v>
      </c>
      <c r="K1834" s="3">
        <v>4.1299999999999997E-15</v>
      </c>
      <c r="L1834" s="2" t="s">
        <v>1178</v>
      </c>
      <c r="M1834" s="4" t="s">
        <v>16753</v>
      </c>
    </row>
    <row r="1835" spans="1:13">
      <c r="A1835" s="2">
        <v>4441</v>
      </c>
      <c r="B1835" s="2" t="s">
        <v>19209</v>
      </c>
      <c r="C1835" s="2">
        <v>23</v>
      </c>
      <c r="D1835" s="2">
        <v>341</v>
      </c>
      <c r="E1835" s="2">
        <v>200</v>
      </c>
      <c r="F1835" s="2">
        <v>32441</v>
      </c>
      <c r="G1835" s="2">
        <v>10.9405132</v>
      </c>
      <c r="H1835" s="3">
        <v>2.2E-16</v>
      </c>
      <c r="I1835" s="2" t="s">
        <v>40005</v>
      </c>
      <c r="J1835" s="2" t="s">
        <v>40006</v>
      </c>
      <c r="K1835" s="3">
        <v>4.1299999999999997E-15</v>
      </c>
      <c r="L1835" s="2" t="s">
        <v>1178</v>
      </c>
      <c r="M1835" s="4" t="s">
        <v>19212</v>
      </c>
    </row>
    <row r="1836" spans="1:13">
      <c r="A1836" s="2">
        <v>3851</v>
      </c>
      <c r="B1836" s="2" t="s">
        <v>14534</v>
      </c>
      <c r="C1836" s="2">
        <v>22</v>
      </c>
      <c r="D1836" s="2">
        <v>341</v>
      </c>
      <c r="E1836" s="2">
        <v>199</v>
      </c>
      <c r="F1836" s="2">
        <v>32441</v>
      </c>
      <c r="G1836" s="2">
        <v>10.51742584</v>
      </c>
      <c r="H1836" s="3">
        <v>2.1200000000000001E-15</v>
      </c>
      <c r="I1836" s="2" t="s">
        <v>40007</v>
      </c>
      <c r="J1836" s="2" t="s">
        <v>40008</v>
      </c>
      <c r="K1836" s="3">
        <v>3.9500000000000002E-14</v>
      </c>
      <c r="L1836" s="2" t="s">
        <v>1178</v>
      </c>
      <c r="M1836" s="4" t="s">
        <v>14537</v>
      </c>
    </row>
    <row r="1837" spans="1:13">
      <c r="A1837" s="2">
        <v>822</v>
      </c>
      <c r="B1837" s="2" t="s">
        <v>23137</v>
      </c>
      <c r="C1837" s="2">
        <v>22</v>
      </c>
      <c r="D1837" s="2">
        <v>341</v>
      </c>
      <c r="E1837" s="2">
        <v>200</v>
      </c>
      <c r="F1837" s="2">
        <v>32441</v>
      </c>
      <c r="G1837" s="2">
        <v>10.46483871</v>
      </c>
      <c r="H1837" s="3">
        <v>2.33E-15</v>
      </c>
      <c r="I1837" s="2" t="s">
        <v>40009</v>
      </c>
      <c r="J1837" s="2" t="s">
        <v>40010</v>
      </c>
      <c r="K1837" s="3">
        <v>4.1999999999999998E-14</v>
      </c>
      <c r="L1837" s="2" t="s">
        <v>1178</v>
      </c>
      <c r="M1837" s="4" t="s">
        <v>23140</v>
      </c>
    </row>
    <row r="1838" spans="1:13">
      <c r="A1838" s="2">
        <v>1054</v>
      </c>
      <c r="B1838" s="2" t="s">
        <v>20719</v>
      </c>
      <c r="C1838" s="2">
        <v>22</v>
      </c>
      <c r="D1838" s="2">
        <v>341</v>
      </c>
      <c r="E1838" s="2">
        <v>200</v>
      </c>
      <c r="F1838" s="2">
        <v>32441</v>
      </c>
      <c r="G1838" s="2">
        <v>10.46483871</v>
      </c>
      <c r="H1838" s="3">
        <v>2.33E-15</v>
      </c>
      <c r="I1838" s="2" t="s">
        <v>40011</v>
      </c>
      <c r="J1838" s="2" t="s">
        <v>40012</v>
      </c>
      <c r="K1838" s="3">
        <v>4.1999999999999998E-14</v>
      </c>
      <c r="L1838" s="2" t="s">
        <v>1178</v>
      </c>
      <c r="M1838" s="4" t="s">
        <v>20722</v>
      </c>
    </row>
    <row r="1839" spans="1:13">
      <c r="A1839" s="2">
        <v>1356</v>
      </c>
      <c r="B1839" s="2" t="s">
        <v>16444</v>
      </c>
      <c r="C1839" s="2">
        <v>22</v>
      </c>
      <c r="D1839" s="2">
        <v>341</v>
      </c>
      <c r="E1839" s="2">
        <v>200</v>
      </c>
      <c r="F1839" s="2">
        <v>32441</v>
      </c>
      <c r="G1839" s="2">
        <v>10.46483871</v>
      </c>
      <c r="H1839" s="3">
        <v>2.33E-15</v>
      </c>
      <c r="I1839" s="2" t="s">
        <v>40013</v>
      </c>
      <c r="J1839" s="2" t="s">
        <v>40014</v>
      </c>
      <c r="K1839" s="3">
        <v>4.1999999999999998E-14</v>
      </c>
      <c r="L1839" s="2" t="s">
        <v>1178</v>
      </c>
      <c r="M1839" s="4" t="s">
        <v>16447</v>
      </c>
    </row>
    <row r="1840" spans="1:13">
      <c r="A1840" s="2">
        <v>1628</v>
      </c>
      <c r="B1840" s="2" t="s">
        <v>15781</v>
      </c>
      <c r="C1840" s="2">
        <v>22</v>
      </c>
      <c r="D1840" s="2">
        <v>341</v>
      </c>
      <c r="E1840" s="2">
        <v>200</v>
      </c>
      <c r="F1840" s="2">
        <v>32441</v>
      </c>
      <c r="G1840" s="2">
        <v>10.46483871</v>
      </c>
      <c r="H1840" s="3">
        <v>2.33E-15</v>
      </c>
      <c r="I1840" s="2" t="s">
        <v>40015</v>
      </c>
      <c r="J1840" s="2" t="s">
        <v>40016</v>
      </c>
      <c r="K1840" s="3">
        <v>4.1999999999999998E-14</v>
      </c>
      <c r="L1840" s="2" t="s">
        <v>1178</v>
      </c>
      <c r="M1840" s="4" t="s">
        <v>15784</v>
      </c>
    </row>
    <row r="1841" spans="1:13">
      <c r="A1841" s="2">
        <v>2117</v>
      </c>
      <c r="B1841" s="2" t="s">
        <v>34138</v>
      </c>
      <c r="C1841" s="2">
        <v>22</v>
      </c>
      <c r="D1841" s="2">
        <v>341</v>
      </c>
      <c r="E1841" s="2">
        <v>200</v>
      </c>
      <c r="F1841" s="2">
        <v>32441</v>
      </c>
      <c r="G1841" s="2">
        <v>10.46483871</v>
      </c>
      <c r="H1841" s="3">
        <v>2.33E-15</v>
      </c>
      <c r="I1841" s="2" t="s">
        <v>40017</v>
      </c>
      <c r="J1841" s="2" t="s">
        <v>40018</v>
      </c>
      <c r="K1841" s="3">
        <v>4.1999999999999998E-14</v>
      </c>
      <c r="L1841" s="2" t="s">
        <v>1178</v>
      </c>
      <c r="M1841" s="4" t="s">
        <v>34141</v>
      </c>
    </row>
    <row r="1842" spans="1:13">
      <c r="A1842" s="2">
        <v>2139</v>
      </c>
      <c r="B1842" s="2" t="s">
        <v>40019</v>
      </c>
      <c r="C1842" s="2">
        <v>22</v>
      </c>
      <c r="D1842" s="2">
        <v>341</v>
      </c>
      <c r="E1842" s="2">
        <v>200</v>
      </c>
      <c r="F1842" s="2">
        <v>32441</v>
      </c>
      <c r="G1842" s="2">
        <v>10.46483871</v>
      </c>
      <c r="H1842" s="3">
        <v>2.33E-15</v>
      </c>
      <c r="I1842" s="2" t="s">
        <v>40020</v>
      </c>
      <c r="J1842" s="2" t="s">
        <v>40021</v>
      </c>
      <c r="K1842" s="3">
        <v>4.1999999999999998E-14</v>
      </c>
      <c r="L1842" s="2" t="s">
        <v>1178</v>
      </c>
      <c r="M1842" s="4" t="s">
        <v>40022</v>
      </c>
    </row>
    <row r="1843" spans="1:13">
      <c r="A1843" s="2">
        <v>2621</v>
      </c>
      <c r="B1843" s="2" t="s">
        <v>40023</v>
      </c>
      <c r="C1843" s="2">
        <v>22</v>
      </c>
      <c r="D1843" s="2">
        <v>341</v>
      </c>
      <c r="E1843" s="2">
        <v>200</v>
      </c>
      <c r="F1843" s="2">
        <v>32441</v>
      </c>
      <c r="G1843" s="2">
        <v>10.46483871</v>
      </c>
      <c r="H1843" s="3">
        <v>2.33E-15</v>
      </c>
      <c r="I1843" s="2" t="s">
        <v>40024</v>
      </c>
      <c r="J1843" s="2" t="s">
        <v>40025</v>
      </c>
      <c r="K1843" s="3">
        <v>4.1999999999999998E-14</v>
      </c>
      <c r="L1843" s="2" t="s">
        <v>1178</v>
      </c>
      <c r="M1843" s="4" t="s">
        <v>40026</v>
      </c>
    </row>
    <row r="1844" spans="1:13">
      <c r="A1844" s="2">
        <v>4359</v>
      </c>
      <c r="B1844" s="2" t="s">
        <v>14986</v>
      </c>
      <c r="C1844" s="2">
        <v>22</v>
      </c>
      <c r="D1844" s="2">
        <v>341</v>
      </c>
      <c r="E1844" s="2">
        <v>200</v>
      </c>
      <c r="F1844" s="2">
        <v>32441</v>
      </c>
      <c r="G1844" s="2">
        <v>10.46483871</v>
      </c>
      <c r="H1844" s="3">
        <v>2.33E-15</v>
      </c>
      <c r="I1844" s="2" t="s">
        <v>40027</v>
      </c>
      <c r="J1844" s="2" t="s">
        <v>40028</v>
      </c>
      <c r="K1844" s="3">
        <v>4.1999999999999998E-14</v>
      </c>
      <c r="L1844" s="2" t="s">
        <v>1178</v>
      </c>
      <c r="M1844" s="4" t="s">
        <v>14989</v>
      </c>
    </row>
    <row r="1845" spans="1:13">
      <c r="A1845" s="2">
        <v>4391</v>
      </c>
      <c r="B1845" s="2" t="s">
        <v>23976</v>
      </c>
      <c r="C1845" s="2">
        <v>22</v>
      </c>
      <c r="D1845" s="2">
        <v>341</v>
      </c>
      <c r="E1845" s="2">
        <v>200</v>
      </c>
      <c r="F1845" s="2">
        <v>32441</v>
      </c>
      <c r="G1845" s="2">
        <v>10.46483871</v>
      </c>
      <c r="H1845" s="3">
        <v>2.33E-15</v>
      </c>
      <c r="I1845" s="2" t="s">
        <v>40029</v>
      </c>
      <c r="J1845" s="2" t="s">
        <v>40030</v>
      </c>
      <c r="K1845" s="3">
        <v>4.1999999999999998E-14</v>
      </c>
      <c r="L1845" s="2" t="s">
        <v>1178</v>
      </c>
      <c r="M1845" s="4" t="s">
        <v>23979</v>
      </c>
    </row>
    <row r="1846" spans="1:13">
      <c r="A1846" s="2">
        <v>2732</v>
      </c>
      <c r="B1846" s="2" t="s">
        <v>40031</v>
      </c>
      <c r="C1846" s="2">
        <v>19</v>
      </c>
      <c r="D1846" s="2">
        <v>341</v>
      </c>
      <c r="E1846" s="2">
        <v>135</v>
      </c>
      <c r="F1846" s="2">
        <v>32441</v>
      </c>
      <c r="G1846" s="2">
        <v>13.38935592</v>
      </c>
      <c r="H1846" s="3">
        <v>3.3899999999999999E-15</v>
      </c>
      <c r="I1846" s="2" t="s">
        <v>40032</v>
      </c>
      <c r="J1846" s="2" t="s">
        <v>40033</v>
      </c>
      <c r="K1846" s="3">
        <v>6.1000000000000005E-14</v>
      </c>
      <c r="L1846" s="2" t="s">
        <v>1178</v>
      </c>
      <c r="M1846" s="4" t="s">
        <v>40034</v>
      </c>
    </row>
    <row r="1847" spans="1:13">
      <c r="A1847" s="2">
        <v>4122</v>
      </c>
      <c r="B1847" s="2" t="s">
        <v>40035</v>
      </c>
      <c r="C1847" s="2">
        <v>20</v>
      </c>
      <c r="D1847" s="2">
        <v>341</v>
      </c>
      <c r="E1847" s="2">
        <v>164</v>
      </c>
      <c r="F1847" s="2">
        <v>32441</v>
      </c>
      <c r="G1847" s="2">
        <v>11.601816749999999</v>
      </c>
      <c r="H1847" s="3">
        <v>7.4999999999999996E-15</v>
      </c>
      <c r="I1847" s="2" t="s">
        <v>40036</v>
      </c>
      <c r="J1847" s="2" t="s">
        <v>40037</v>
      </c>
      <c r="K1847" s="3">
        <v>1.3400000000000001E-13</v>
      </c>
      <c r="L1847" s="2" t="s">
        <v>1178</v>
      </c>
      <c r="M1847" s="4" t="s">
        <v>40038</v>
      </c>
    </row>
    <row r="1848" spans="1:13">
      <c r="A1848" s="2">
        <v>2456</v>
      </c>
      <c r="B1848" s="2" t="s">
        <v>1443</v>
      </c>
      <c r="C1848" s="2">
        <v>20</v>
      </c>
      <c r="D1848" s="2">
        <v>341</v>
      </c>
      <c r="E1848" s="2">
        <v>169</v>
      </c>
      <c r="F1848" s="2">
        <v>32441</v>
      </c>
      <c r="G1848" s="2">
        <v>11.258567729999999</v>
      </c>
      <c r="H1848" s="3">
        <v>1.26E-14</v>
      </c>
      <c r="I1848" s="2" t="s">
        <v>40039</v>
      </c>
      <c r="J1848" s="2" t="s">
        <v>40040</v>
      </c>
      <c r="K1848" s="3">
        <v>2.25E-13</v>
      </c>
      <c r="L1848" s="2" t="s">
        <v>1178</v>
      </c>
      <c r="M1848" s="4" t="s">
        <v>16232</v>
      </c>
    </row>
    <row r="1849" spans="1:13">
      <c r="A1849" s="2">
        <v>782</v>
      </c>
      <c r="B1849" s="2" t="s">
        <v>40041</v>
      </c>
      <c r="C1849" s="2">
        <v>21</v>
      </c>
      <c r="D1849" s="2">
        <v>341</v>
      </c>
      <c r="E1849" s="2">
        <v>200</v>
      </c>
      <c r="F1849" s="2">
        <v>32441</v>
      </c>
      <c r="G1849" s="2">
        <v>9.9891642229999995</v>
      </c>
      <c r="H1849" s="3">
        <v>2.3599999999999999E-14</v>
      </c>
      <c r="I1849" s="2" t="s">
        <v>40042</v>
      </c>
      <c r="J1849" s="2" t="s">
        <v>40043</v>
      </c>
      <c r="K1849" s="3">
        <v>4.02E-13</v>
      </c>
      <c r="L1849" s="2" t="s">
        <v>1178</v>
      </c>
      <c r="M1849" s="4" t="s">
        <v>40044</v>
      </c>
    </row>
    <row r="1850" spans="1:13">
      <c r="A1850" s="2">
        <v>11691</v>
      </c>
      <c r="B1850" s="2" t="s">
        <v>40045</v>
      </c>
      <c r="C1850" s="2">
        <v>21</v>
      </c>
      <c r="D1850" s="2">
        <v>341</v>
      </c>
      <c r="E1850" s="2">
        <v>200</v>
      </c>
      <c r="F1850" s="2">
        <v>32441</v>
      </c>
      <c r="G1850" s="2">
        <v>9.9891642229999995</v>
      </c>
      <c r="H1850" s="3">
        <v>2.3599999999999999E-14</v>
      </c>
      <c r="I1850" s="2" t="s">
        <v>40046</v>
      </c>
      <c r="J1850" s="2" t="s">
        <v>40047</v>
      </c>
      <c r="K1850" s="3">
        <v>4.02E-13</v>
      </c>
      <c r="L1850" s="2" t="s">
        <v>1178</v>
      </c>
      <c r="M1850" s="4" t="s">
        <v>40048</v>
      </c>
    </row>
    <row r="1851" spans="1:13">
      <c r="A1851" s="2">
        <v>13511</v>
      </c>
      <c r="B1851" s="2" t="s">
        <v>40049</v>
      </c>
      <c r="C1851" s="2">
        <v>21</v>
      </c>
      <c r="D1851" s="2">
        <v>341</v>
      </c>
      <c r="E1851" s="2">
        <v>200</v>
      </c>
      <c r="F1851" s="2">
        <v>32441</v>
      </c>
      <c r="G1851" s="2">
        <v>9.9891642229999995</v>
      </c>
      <c r="H1851" s="3">
        <v>2.3599999999999999E-14</v>
      </c>
      <c r="I1851" s="2" t="s">
        <v>40050</v>
      </c>
      <c r="J1851" s="2" t="s">
        <v>40051</v>
      </c>
      <c r="K1851" s="3">
        <v>4.02E-13</v>
      </c>
      <c r="L1851" s="2" t="s">
        <v>1178</v>
      </c>
      <c r="M1851" s="4" t="s">
        <v>40052</v>
      </c>
    </row>
    <row r="1852" spans="1:13">
      <c r="A1852" s="2">
        <v>17251</v>
      </c>
      <c r="B1852" s="2" t="s">
        <v>31264</v>
      </c>
      <c r="C1852" s="2">
        <v>21</v>
      </c>
      <c r="D1852" s="2">
        <v>341</v>
      </c>
      <c r="E1852" s="2">
        <v>200</v>
      </c>
      <c r="F1852" s="2">
        <v>32441</v>
      </c>
      <c r="G1852" s="2">
        <v>9.9891642229999995</v>
      </c>
      <c r="H1852" s="3">
        <v>2.3599999999999999E-14</v>
      </c>
      <c r="I1852" s="2" t="s">
        <v>40053</v>
      </c>
      <c r="J1852" s="2" t="s">
        <v>40054</v>
      </c>
      <c r="K1852" s="3">
        <v>4.02E-13</v>
      </c>
      <c r="L1852" s="2" t="s">
        <v>1178</v>
      </c>
      <c r="M1852" s="4" t="s">
        <v>31267</v>
      </c>
    </row>
    <row r="1853" spans="1:13">
      <c r="A1853" s="2">
        <v>2309</v>
      </c>
      <c r="B1853" s="2" t="s">
        <v>40055</v>
      </c>
      <c r="C1853" s="2">
        <v>21</v>
      </c>
      <c r="D1853" s="2">
        <v>341</v>
      </c>
      <c r="E1853" s="2">
        <v>200</v>
      </c>
      <c r="F1853" s="2">
        <v>32441</v>
      </c>
      <c r="G1853" s="2">
        <v>9.9891642229999995</v>
      </c>
      <c r="H1853" s="3">
        <v>2.3599999999999999E-14</v>
      </c>
      <c r="I1853" s="2" t="s">
        <v>40056</v>
      </c>
      <c r="J1853" s="2" t="s">
        <v>40057</v>
      </c>
      <c r="K1853" s="3">
        <v>4.02E-13</v>
      </c>
      <c r="L1853" s="2" t="s">
        <v>1178</v>
      </c>
      <c r="M1853" s="4" t="s">
        <v>40058</v>
      </c>
    </row>
    <row r="1854" spans="1:13">
      <c r="A1854" s="2">
        <v>2643</v>
      </c>
      <c r="B1854" s="2" t="s">
        <v>40059</v>
      </c>
      <c r="C1854" s="2">
        <v>21</v>
      </c>
      <c r="D1854" s="2">
        <v>341</v>
      </c>
      <c r="E1854" s="2">
        <v>200</v>
      </c>
      <c r="F1854" s="2">
        <v>32441</v>
      </c>
      <c r="G1854" s="2">
        <v>9.9891642229999995</v>
      </c>
      <c r="H1854" s="3">
        <v>2.3599999999999999E-14</v>
      </c>
      <c r="I1854" s="2" t="s">
        <v>40060</v>
      </c>
      <c r="J1854" s="2" t="s">
        <v>40061</v>
      </c>
      <c r="K1854" s="3">
        <v>4.02E-13</v>
      </c>
      <c r="L1854" s="2" t="s">
        <v>1178</v>
      </c>
      <c r="M1854" s="4" t="s">
        <v>40062</v>
      </c>
    </row>
    <row r="1855" spans="1:13">
      <c r="A1855" s="2">
        <v>3015</v>
      </c>
      <c r="B1855" s="2" t="s">
        <v>15381</v>
      </c>
      <c r="C1855" s="2">
        <v>21</v>
      </c>
      <c r="D1855" s="2">
        <v>341</v>
      </c>
      <c r="E1855" s="2">
        <v>200</v>
      </c>
      <c r="F1855" s="2">
        <v>32441</v>
      </c>
      <c r="G1855" s="2">
        <v>9.9891642229999995</v>
      </c>
      <c r="H1855" s="3">
        <v>2.3599999999999999E-14</v>
      </c>
      <c r="I1855" s="2" t="s">
        <v>40063</v>
      </c>
      <c r="J1855" s="2" t="s">
        <v>40064</v>
      </c>
      <c r="K1855" s="3">
        <v>4.02E-13</v>
      </c>
      <c r="L1855" s="2" t="s">
        <v>1178</v>
      </c>
      <c r="M1855" s="4" t="s">
        <v>15384</v>
      </c>
    </row>
    <row r="1856" spans="1:13">
      <c r="A1856" s="2">
        <v>3108</v>
      </c>
      <c r="B1856" s="2" t="s">
        <v>40065</v>
      </c>
      <c r="C1856" s="2">
        <v>21</v>
      </c>
      <c r="D1856" s="2">
        <v>341</v>
      </c>
      <c r="E1856" s="2">
        <v>200</v>
      </c>
      <c r="F1856" s="2">
        <v>32441</v>
      </c>
      <c r="G1856" s="2">
        <v>9.9891642229999995</v>
      </c>
      <c r="H1856" s="3">
        <v>2.3599999999999999E-14</v>
      </c>
      <c r="I1856" s="2" t="s">
        <v>40066</v>
      </c>
      <c r="J1856" s="2" t="s">
        <v>40067</v>
      </c>
      <c r="K1856" s="3">
        <v>4.02E-13</v>
      </c>
      <c r="L1856" s="2" t="s">
        <v>1178</v>
      </c>
      <c r="M1856" s="4" t="s">
        <v>40068</v>
      </c>
    </row>
    <row r="1857" spans="1:13">
      <c r="A1857" s="2">
        <v>3164</v>
      </c>
      <c r="B1857" s="2" t="s">
        <v>19016</v>
      </c>
      <c r="C1857" s="2">
        <v>21</v>
      </c>
      <c r="D1857" s="2">
        <v>341</v>
      </c>
      <c r="E1857" s="2">
        <v>200</v>
      </c>
      <c r="F1857" s="2">
        <v>32441</v>
      </c>
      <c r="G1857" s="2">
        <v>9.9891642229999995</v>
      </c>
      <c r="H1857" s="3">
        <v>2.3599999999999999E-14</v>
      </c>
      <c r="I1857" s="2" t="s">
        <v>40069</v>
      </c>
      <c r="J1857" s="2" t="s">
        <v>40070</v>
      </c>
      <c r="K1857" s="3">
        <v>4.02E-13</v>
      </c>
      <c r="L1857" s="2" t="s">
        <v>1178</v>
      </c>
      <c r="M1857" s="4" t="s">
        <v>19019</v>
      </c>
    </row>
    <row r="1858" spans="1:13">
      <c r="A1858" s="2">
        <v>4057</v>
      </c>
      <c r="B1858" s="2" t="s">
        <v>34389</v>
      </c>
      <c r="C1858" s="2">
        <v>21</v>
      </c>
      <c r="D1858" s="2">
        <v>341</v>
      </c>
      <c r="E1858" s="2">
        <v>200</v>
      </c>
      <c r="F1858" s="2">
        <v>32441</v>
      </c>
      <c r="G1858" s="2">
        <v>9.9891642229999995</v>
      </c>
      <c r="H1858" s="3">
        <v>2.3599999999999999E-14</v>
      </c>
      <c r="I1858" s="2" t="s">
        <v>40071</v>
      </c>
      <c r="J1858" s="2" t="s">
        <v>40072</v>
      </c>
      <c r="K1858" s="3">
        <v>4.02E-13</v>
      </c>
      <c r="L1858" s="2" t="s">
        <v>1178</v>
      </c>
      <c r="M1858" s="4" t="s">
        <v>34392</v>
      </c>
    </row>
    <row r="1859" spans="1:13">
      <c r="A1859" s="2">
        <v>4368</v>
      </c>
      <c r="B1859" s="2" t="s">
        <v>14990</v>
      </c>
      <c r="C1859" s="2">
        <v>21</v>
      </c>
      <c r="D1859" s="2">
        <v>341</v>
      </c>
      <c r="E1859" s="2">
        <v>200</v>
      </c>
      <c r="F1859" s="2">
        <v>32441</v>
      </c>
      <c r="G1859" s="2">
        <v>9.9891642229999995</v>
      </c>
      <c r="H1859" s="3">
        <v>2.3599999999999999E-14</v>
      </c>
      <c r="I1859" s="2" t="s">
        <v>40073</v>
      </c>
      <c r="J1859" s="2" t="s">
        <v>40074</v>
      </c>
      <c r="K1859" s="3">
        <v>4.02E-13</v>
      </c>
      <c r="L1859" s="2" t="s">
        <v>1178</v>
      </c>
      <c r="M1859" s="4" t="s">
        <v>14993</v>
      </c>
    </row>
    <row r="1860" spans="1:13">
      <c r="A1860" s="2">
        <v>4524</v>
      </c>
      <c r="B1860" s="2" t="s">
        <v>16782</v>
      </c>
      <c r="C1860" s="2">
        <v>21</v>
      </c>
      <c r="D1860" s="2">
        <v>341</v>
      </c>
      <c r="E1860" s="2">
        <v>200</v>
      </c>
      <c r="F1860" s="2">
        <v>32441</v>
      </c>
      <c r="G1860" s="2">
        <v>9.9891642229999995</v>
      </c>
      <c r="H1860" s="3">
        <v>2.3599999999999999E-14</v>
      </c>
      <c r="I1860" s="2" t="s">
        <v>40075</v>
      </c>
      <c r="J1860" s="2" t="s">
        <v>40076</v>
      </c>
      <c r="K1860" s="3">
        <v>4.02E-13</v>
      </c>
      <c r="L1860" s="2" t="s">
        <v>1178</v>
      </c>
      <c r="M1860" s="4" t="s">
        <v>16785</v>
      </c>
    </row>
    <row r="1861" spans="1:13">
      <c r="A1861" s="2">
        <v>47011</v>
      </c>
      <c r="B1861" s="2" t="s">
        <v>32531</v>
      </c>
      <c r="C1861" s="2">
        <v>21</v>
      </c>
      <c r="D1861" s="2">
        <v>341</v>
      </c>
      <c r="E1861" s="2">
        <v>200</v>
      </c>
      <c r="F1861" s="2">
        <v>32441</v>
      </c>
      <c r="G1861" s="2">
        <v>9.9891642229999995</v>
      </c>
      <c r="H1861" s="3">
        <v>2.3599999999999999E-14</v>
      </c>
      <c r="I1861" s="2" t="s">
        <v>40077</v>
      </c>
      <c r="J1861" s="2" t="s">
        <v>40078</v>
      </c>
      <c r="K1861" s="3">
        <v>4.02E-13</v>
      </c>
      <c r="L1861" s="2" t="s">
        <v>1178</v>
      </c>
      <c r="M1861" s="4" t="s">
        <v>32534</v>
      </c>
    </row>
    <row r="1862" spans="1:13">
      <c r="A1862" s="2">
        <v>4113</v>
      </c>
      <c r="B1862" s="2" t="s">
        <v>40079</v>
      </c>
      <c r="C1862" s="2">
        <v>19</v>
      </c>
      <c r="D1862" s="2">
        <v>341</v>
      </c>
      <c r="E1862" s="2">
        <v>164</v>
      </c>
      <c r="F1862" s="2">
        <v>32441</v>
      </c>
      <c r="G1862" s="2">
        <v>11.021725910000001</v>
      </c>
      <c r="H1862" s="3">
        <v>8.2900000000000005E-14</v>
      </c>
      <c r="I1862" s="2" t="s">
        <v>40080</v>
      </c>
      <c r="J1862" s="2" t="s">
        <v>40081</v>
      </c>
      <c r="K1862" s="3">
        <v>1.4100000000000001E-12</v>
      </c>
      <c r="L1862" s="2" t="s">
        <v>1178</v>
      </c>
      <c r="M1862" s="4" t="s">
        <v>40082</v>
      </c>
    </row>
    <row r="1863" spans="1:13">
      <c r="A1863" s="2">
        <v>868</v>
      </c>
      <c r="B1863" s="2" t="s">
        <v>32705</v>
      </c>
      <c r="C1863" s="2">
        <v>20</v>
      </c>
      <c r="D1863" s="2">
        <v>341</v>
      </c>
      <c r="E1863" s="2">
        <v>199</v>
      </c>
      <c r="F1863" s="2">
        <v>32441</v>
      </c>
      <c r="G1863" s="2">
        <v>9.5612962170000007</v>
      </c>
      <c r="H1863" s="3">
        <v>2.0999999999999999E-13</v>
      </c>
      <c r="I1863" s="2" t="s">
        <v>40083</v>
      </c>
      <c r="J1863" s="2" t="s">
        <v>40084</v>
      </c>
      <c r="K1863" s="3">
        <v>3.55E-12</v>
      </c>
      <c r="L1863" s="2" t="s">
        <v>1178</v>
      </c>
      <c r="M1863" s="4" t="s">
        <v>32708</v>
      </c>
    </row>
    <row r="1864" spans="1:13">
      <c r="A1864" s="2">
        <v>245</v>
      </c>
      <c r="B1864" s="2" t="s">
        <v>40085</v>
      </c>
      <c r="C1864" s="2">
        <v>20</v>
      </c>
      <c r="D1864" s="2">
        <v>341</v>
      </c>
      <c r="E1864" s="2">
        <v>200</v>
      </c>
      <c r="F1864" s="2">
        <v>32441</v>
      </c>
      <c r="G1864" s="2">
        <v>9.5134897360000004</v>
      </c>
      <c r="H1864" s="3">
        <v>2.2899999999999998E-13</v>
      </c>
      <c r="I1864" s="2" t="s">
        <v>40086</v>
      </c>
      <c r="J1864" s="2" t="s">
        <v>40087</v>
      </c>
      <c r="K1864" s="3">
        <v>3.6399999999999998E-12</v>
      </c>
      <c r="L1864" s="2" t="s">
        <v>1178</v>
      </c>
      <c r="M1864" s="4" t="s">
        <v>40088</v>
      </c>
    </row>
    <row r="1865" spans="1:13">
      <c r="A1865" s="2">
        <v>1165</v>
      </c>
      <c r="B1865" s="2" t="s">
        <v>40089</v>
      </c>
      <c r="C1865" s="2">
        <v>20</v>
      </c>
      <c r="D1865" s="2">
        <v>341</v>
      </c>
      <c r="E1865" s="2">
        <v>200</v>
      </c>
      <c r="F1865" s="2">
        <v>32441</v>
      </c>
      <c r="G1865" s="2">
        <v>9.5134897360000004</v>
      </c>
      <c r="H1865" s="3">
        <v>2.2899999999999998E-13</v>
      </c>
      <c r="I1865" s="2" t="s">
        <v>40090</v>
      </c>
      <c r="J1865" s="2" t="s">
        <v>40091</v>
      </c>
      <c r="K1865" s="3">
        <v>3.6399999999999998E-12</v>
      </c>
      <c r="L1865" s="2" t="s">
        <v>1178</v>
      </c>
      <c r="M1865" s="4" t="s">
        <v>40092</v>
      </c>
    </row>
    <row r="1866" spans="1:13">
      <c r="A1866" s="2">
        <v>1606</v>
      </c>
      <c r="B1866" s="2" t="s">
        <v>40093</v>
      </c>
      <c r="C1866" s="2">
        <v>20</v>
      </c>
      <c r="D1866" s="2">
        <v>341</v>
      </c>
      <c r="E1866" s="2">
        <v>200</v>
      </c>
      <c r="F1866" s="2">
        <v>32441</v>
      </c>
      <c r="G1866" s="2">
        <v>9.5134897360000004</v>
      </c>
      <c r="H1866" s="3">
        <v>2.2899999999999998E-13</v>
      </c>
      <c r="I1866" s="2" t="s">
        <v>40094</v>
      </c>
      <c r="J1866" s="2" t="s">
        <v>40095</v>
      </c>
      <c r="K1866" s="3">
        <v>3.6399999999999998E-12</v>
      </c>
      <c r="L1866" s="2" t="s">
        <v>1178</v>
      </c>
      <c r="M1866" s="4" t="s">
        <v>40096</v>
      </c>
    </row>
    <row r="1867" spans="1:13">
      <c r="A1867" s="2">
        <v>1658</v>
      </c>
      <c r="B1867" s="2" t="s">
        <v>18777</v>
      </c>
      <c r="C1867" s="2">
        <v>20</v>
      </c>
      <c r="D1867" s="2">
        <v>341</v>
      </c>
      <c r="E1867" s="2">
        <v>200</v>
      </c>
      <c r="F1867" s="2">
        <v>32441</v>
      </c>
      <c r="G1867" s="2">
        <v>9.5134897360000004</v>
      </c>
      <c r="H1867" s="3">
        <v>2.2899999999999998E-13</v>
      </c>
      <c r="I1867" s="2" t="s">
        <v>40097</v>
      </c>
      <c r="J1867" s="2" t="s">
        <v>40098</v>
      </c>
      <c r="K1867" s="3">
        <v>3.6399999999999998E-12</v>
      </c>
      <c r="L1867" s="2" t="s">
        <v>1178</v>
      </c>
      <c r="M1867" s="4" t="s">
        <v>18780</v>
      </c>
    </row>
    <row r="1868" spans="1:13">
      <c r="A1868" s="2">
        <v>1961</v>
      </c>
      <c r="B1868" s="2" t="s">
        <v>40099</v>
      </c>
      <c r="C1868" s="2">
        <v>20</v>
      </c>
      <c r="D1868" s="2">
        <v>341</v>
      </c>
      <c r="E1868" s="2">
        <v>200</v>
      </c>
      <c r="F1868" s="2">
        <v>32441</v>
      </c>
      <c r="G1868" s="2">
        <v>9.5134897360000004</v>
      </c>
      <c r="H1868" s="3">
        <v>2.2899999999999998E-13</v>
      </c>
      <c r="I1868" s="2" t="s">
        <v>40100</v>
      </c>
      <c r="J1868" s="2" t="s">
        <v>40101</v>
      </c>
      <c r="K1868" s="3">
        <v>3.6399999999999998E-12</v>
      </c>
      <c r="L1868" s="2" t="s">
        <v>1178</v>
      </c>
      <c r="M1868" s="4" t="s">
        <v>40102</v>
      </c>
    </row>
    <row r="1869" spans="1:13">
      <c r="A1869" s="2">
        <v>22051</v>
      </c>
      <c r="B1869" s="2" t="s">
        <v>40103</v>
      </c>
      <c r="C1869" s="2">
        <v>20</v>
      </c>
      <c r="D1869" s="2">
        <v>341</v>
      </c>
      <c r="E1869" s="2">
        <v>200</v>
      </c>
      <c r="F1869" s="2">
        <v>32441</v>
      </c>
      <c r="G1869" s="2">
        <v>9.5134897360000004</v>
      </c>
      <c r="H1869" s="3">
        <v>2.2899999999999998E-13</v>
      </c>
      <c r="I1869" s="2" t="s">
        <v>40104</v>
      </c>
      <c r="J1869" s="2" t="s">
        <v>40105</v>
      </c>
      <c r="K1869" s="3">
        <v>3.6399999999999998E-12</v>
      </c>
      <c r="L1869" s="2" t="s">
        <v>1178</v>
      </c>
      <c r="M1869" s="4" t="s">
        <v>40106</v>
      </c>
    </row>
    <row r="1870" spans="1:13">
      <c r="A1870" s="2">
        <v>2615</v>
      </c>
      <c r="B1870" s="2" t="s">
        <v>40107</v>
      </c>
      <c r="C1870" s="2">
        <v>20</v>
      </c>
      <c r="D1870" s="2">
        <v>341</v>
      </c>
      <c r="E1870" s="2">
        <v>200</v>
      </c>
      <c r="F1870" s="2">
        <v>32441</v>
      </c>
      <c r="G1870" s="2">
        <v>9.5134897360000004</v>
      </c>
      <c r="H1870" s="3">
        <v>2.2899999999999998E-13</v>
      </c>
      <c r="I1870" s="2" t="s">
        <v>40108</v>
      </c>
      <c r="J1870" s="2" t="s">
        <v>40109</v>
      </c>
      <c r="K1870" s="3">
        <v>3.6399999999999998E-12</v>
      </c>
      <c r="L1870" s="2" t="s">
        <v>1178</v>
      </c>
      <c r="M1870" s="4" t="s">
        <v>40110</v>
      </c>
    </row>
    <row r="1871" spans="1:13">
      <c r="A1871" s="2">
        <v>2641</v>
      </c>
      <c r="B1871" s="2" t="s">
        <v>18105</v>
      </c>
      <c r="C1871" s="2">
        <v>20</v>
      </c>
      <c r="D1871" s="2">
        <v>341</v>
      </c>
      <c r="E1871" s="2">
        <v>200</v>
      </c>
      <c r="F1871" s="2">
        <v>32441</v>
      </c>
      <c r="G1871" s="2">
        <v>9.5134897360000004</v>
      </c>
      <c r="H1871" s="3">
        <v>2.2899999999999998E-13</v>
      </c>
      <c r="I1871" s="2" t="s">
        <v>40111</v>
      </c>
      <c r="J1871" s="2" t="s">
        <v>40112</v>
      </c>
      <c r="K1871" s="3">
        <v>3.6399999999999998E-12</v>
      </c>
      <c r="L1871" s="2" t="s">
        <v>1178</v>
      </c>
      <c r="M1871" s="4" t="s">
        <v>18108</v>
      </c>
    </row>
    <row r="1872" spans="1:13">
      <c r="A1872" s="2">
        <v>2689</v>
      </c>
      <c r="B1872" s="2" t="s">
        <v>18948</v>
      </c>
      <c r="C1872" s="2">
        <v>20</v>
      </c>
      <c r="D1872" s="2">
        <v>341</v>
      </c>
      <c r="E1872" s="2">
        <v>200</v>
      </c>
      <c r="F1872" s="2">
        <v>32441</v>
      </c>
      <c r="G1872" s="2">
        <v>9.5134897360000004</v>
      </c>
      <c r="H1872" s="3">
        <v>2.2899999999999998E-13</v>
      </c>
      <c r="I1872" s="2" t="s">
        <v>40113</v>
      </c>
      <c r="J1872" s="2" t="s">
        <v>40114</v>
      </c>
      <c r="K1872" s="3">
        <v>3.6399999999999998E-12</v>
      </c>
      <c r="L1872" s="2" t="s">
        <v>1178</v>
      </c>
      <c r="M1872" s="4" t="s">
        <v>18951</v>
      </c>
    </row>
    <row r="1873" spans="1:13">
      <c r="A1873" s="2">
        <v>3005</v>
      </c>
      <c r="B1873" s="2" t="s">
        <v>40115</v>
      </c>
      <c r="C1873" s="2">
        <v>20</v>
      </c>
      <c r="D1873" s="2">
        <v>341</v>
      </c>
      <c r="E1873" s="2">
        <v>200</v>
      </c>
      <c r="F1873" s="2">
        <v>32441</v>
      </c>
      <c r="G1873" s="2">
        <v>9.5134897360000004</v>
      </c>
      <c r="H1873" s="3">
        <v>2.2899999999999998E-13</v>
      </c>
      <c r="I1873" s="2" t="s">
        <v>40116</v>
      </c>
      <c r="J1873" s="2" t="s">
        <v>40117</v>
      </c>
      <c r="K1873" s="3">
        <v>3.6399999999999998E-12</v>
      </c>
      <c r="L1873" s="2" t="s">
        <v>1178</v>
      </c>
      <c r="M1873" s="4" t="s">
        <v>40118</v>
      </c>
    </row>
    <row r="1874" spans="1:13">
      <c r="A1874" s="2">
        <v>3103</v>
      </c>
      <c r="B1874" s="2" t="s">
        <v>17372</v>
      </c>
      <c r="C1874" s="2">
        <v>20</v>
      </c>
      <c r="D1874" s="2">
        <v>341</v>
      </c>
      <c r="E1874" s="2">
        <v>200</v>
      </c>
      <c r="F1874" s="2">
        <v>32441</v>
      </c>
      <c r="G1874" s="2">
        <v>9.5134897360000004</v>
      </c>
      <c r="H1874" s="3">
        <v>2.2899999999999998E-13</v>
      </c>
      <c r="I1874" s="2" t="s">
        <v>40119</v>
      </c>
      <c r="J1874" s="2" t="s">
        <v>40120</v>
      </c>
      <c r="K1874" s="3">
        <v>3.6399999999999998E-12</v>
      </c>
      <c r="L1874" s="2" t="s">
        <v>1178</v>
      </c>
      <c r="M1874" s="4" t="s">
        <v>17375</v>
      </c>
    </row>
    <row r="1875" spans="1:13">
      <c r="A1875" s="2">
        <v>3365</v>
      </c>
      <c r="B1875" s="2" t="s">
        <v>40121</v>
      </c>
      <c r="C1875" s="2">
        <v>20</v>
      </c>
      <c r="D1875" s="2">
        <v>341</v>
      </c>
      <c r="E1875" s="2">
        <v>200</v>
      </c>
      <c r="F1875" s="2">
        <v>32441</v>
      </c>
      <c r="G1875" s="2">
        <v>9.5134897360000004</v>
      </c>
      <c r="H1875" s="3">
        <v>2.2899999999999998E-13</v>
      </c>
      <c r="I1875" s="2" t="s">
        <v>40122</v>
      </c>
      <c r="J1875" s="2" t="s">
        <v>40123</v>
      </c>
      <c r="K1875" s="3">
        <v>3.6399999999999998E-12</v>
      </c>
      <c r="L1875" s="2" t="s">
        <v>1178</v>
      </c>
      <c r="M1875" s="4" t="s">
        <v>40124</v>
      </c>
    </row>
    <row r="1876" spans="1:13">
      <c r="A1876" s="2">
        <v>34861</v>
      </c>
      <c r="B1876" s="2" t="s">
        <v>40125</v>
      </c>
      <c r="C1876" s="2">
        <v>20</v>
      </c>
      <c r="D1876" s="2">
        <v>341</v>
      </c>
      <c r="E1876" s="2">
        <v>200</v>
      </c>
      <c r="F1876" s="2">
        <v>32441</v>
      </c>
      <c r="G1876" s="2">
        <v>9.5134897360000004</v>
      </c>
      <c r="H1876" s="3">
        <v>2.2899999999999998E-13</v>
      </c>
      <c r="I1876" s="2" t="s">
        <v>40126</v>
      </c>
      <c r="J1876" s="2" t="s">
        <v>40127</v>
      </c>
      <c r="K1876" s="3">
        <v>3.6399999999999998E-12</v>
      </c>
      <c r="L1876" s="2" t="s">
        <v>1178</v>
      </c>
      <c r="M1876" s="4" t="s">
        <v>40128</v>
      </c>
    </row>
    <row r="1877" spans="1:13">
      <c r="A1877" s="2">
        <v>35311</v>
      </c>
      <c r="B1877" s="2" t="s">
        <v>22461</v>
      </c>
      <c r="C1877" s="2">
        <v>20</v>
      </c>
      <c r="D1877" s="2">
        <v>341</v>
      </c>
      <c r="E1877" s="2">
        <v>200</v>
      </c>
      <c r="F1877" s="2">
        <v>32441</v>
      </c>
      <c r="G1877" s="2">
        <v>9.5134897360000004</v>
      </c>
      <c r="H1877" s="3">
        <v>2.2899999999999998E-13</v>
      </c>
      <c r="I1877" s="2" t="s">
        <v>40129</v>
      </c>
      <c r="J1877" s="2" t="s">
        <v>40130</v>
      </c>
      <c r="K1877" s="3">
        <v>3.6399999999999998E-12</v>
      </c>
      <c r="L1877" s="2" t="s">
        <v>1178</v>
      </c>
      <c r="M1877" s="4" t="s">
        <v>22464</v>
      </c>
    </row>
    <row r="1878" spans="1:13">
      <c r="A1878" s="2">
        <v>3541</v>
      </c>
      <c r="B1878" s="2" t="s">
        <v>1959</v>
      </c>
      <c r="C1878" s="2">
        <v>20</v>
      </c>
      <c r="D1878" s="2">
        <v>341</v>
      </c>
      <c r="E1878" s="2">
        <v>200</v>
      </c>
      <c r="F1878" s="2">
        <v>32441</v>
      </c>
      <c r="G1878" s="2">
        <v>9.5134897360000004</v>
      </c>
      <c r="H1878" s="3">
        <v>2.2899999999999998E-13</v>
      </c>
      <c r="I1878" s="2" t="s">
        <v>40131</v>
      </c>
      <c r="J1878" s="2" t="s">
        <v>40132</v>
      </c>
      <c r="K1878" s="3">
        <v>3.6399999999999998E-12</v>
      </c>
      <c r="L1878" s="2" t="s">
        <v>1178</v>
      </c>
      <c r="M1878" s="4" t="s">
        <v>14933</v>
      </c>
    </row>
    <row r="1879" spans="1:13">
      <c r="A1879" s="2">
        <v>3812</v>
      </c>
      <c r="B1879" s="2" t="s">
        <v>31106</v>
      </c>
      <c r="C1879" s="2">
        <v>20</v>
      </c>
      <c r="D1879" s="2">
        <v>341</v>
      </c>
      <c r="E1879" s="2">
        <v>200</v>
      </c>
      <c r="F1879" s="2">
        <v>32441</v>
      </c>
      <c r="G1879" s="2">
        <v>9.5134897360000004</v>
      </c>
      <c r="H1879" s="3">
        <v>2.2899999999999998E-13</v>
      </c>
      <c r="I1879" s="2" t="s">
        <v>40133</v>
      </c>
      <c r="J1879" s="2" t="s">
        <v>40134</v>
      </c>
      <c r="K1879" s="3">
        <v>3.6399999999999998E-12</v>
      </c>
      <c r="L1879" s="2" t="s">
        <v>1178</v>
      </c>
      <c r="M1879" s="4" t="s">
        <v>31109</v>
      </c>
    </row>
    <row r="1880" spans="1:13">
      <c r="A1880" s="2">
        <v>4340</v>
      </c>
      <c r="B1880" s="2" t="s">
        <v>18319</v>
      </c>
      <c r="C1880" s="2">
        <v>20</v>
      </c>
      <c r="D1880" s="2">
        <v>341</v>
      </c>
      <c r="E1880" s="2">
        <v>200</v>
      </c>
      <c r="F1880" s="2">
        <v>32441</v>
      </c>
      <c r="G1880" s="2">
        <v>9.5134897360000004</v>
      </c>
      <c r="H1880" s="3">
        <v>2.2899999999999998E-13</v>
      </c>
      <c r="I1880" s="2" t="s">
        <v>40135</v>
      </c>
      <c r="J1880" s="2" t="s">
        <v>40136</v>
      </c>
      <c r="K1880" s="3">
        <v>3.6399999999999998E-12</v>
      </c>
      <c r="L1880" s="2" t="s">
        <v>1178</v>
      </c>
      <c r="M1880" s="4" t="s">
        <v>18322</v>
      </c>
    </row>
    <row r="1881" spans="1:13">
      <c r="A1881" s="2">
        <v>44971</v>
      </c>
      <c r="B1881" s="2" t="s">
        <v>40137</v>
      </c>
      <c r="C1881" s="2">
        <v>20</v>
      </c>
      <c r="D1881" s="2">
        <v>341</v>
      </c>
      <c r="E1881" s="2">
        <v>200</v>
      </c>
      <c r="F1881" s="2">
        <v>32441</v>
      </c>
      <c r="G1881" s="2">
        <v>9.5134897360000004</v>
      </c>
      <c r="H1881" s="3">
        <v>2.2899999999999998E-13</v>
      </c>
      <c r="I1881" s="2" t="s">
        <v>40138</v>
      </c>
      <c r="J1881" s="2" t="s">
        <v>40139</v>
      </c>
      <c r="K1881" s="3">
        <v>3.6399999999999998E-12</v>
      </c>
      <c r="L1881" s="2" t="s">
        <v>1178</v>
      </c>
      <c r="M1881" s="4" t="s">
        <v>40140</v>
      </c>
    </row>
    <row r="1882" spans="1:13">
      <c r="A1882" s="2">
        <v>2807</v>
      </c>
      <c r="B1882" s="2" t="s">
        <v>40141</v>
      </c>
      <c r="C1882" s="2">
        <v>18</v>
      </c>
      <c r="D1882" s="2">
        <v>341</v>
      </c>
      <c r="E1882" s="2">
        <v>170</v>
      </c>
      <c r="F1882" s="2">
        <v>32441</v>
      </c>
      <c r="G1882" s="2">
        <v>10.07310678</v>
      </c>
      <c r="H1882" s="3">
        <v>1.52E-12</v>
      </c>
      <c r="I1882" s="2" t="s">
        <v>40142</v>
      </c>
      <c r="J1882" s="2" t="s">
        <v>40143</v>
      </c>
      <c r="K1882" s="3">
        <v>2.4200000000000001E-11</v>
      </c>
      <c r="L1882" s="2" t="s">
        <v>1178</v>
      </c>
      <c r="M1882" s="4" t="s">
        <v>40144</v>
      </c>
    </row>
    <row r="1883" spans="1:13">
      <c r="A1883" s="2">
        <v>1072</v>
      </c>
      <c r="B1883" s="2" t="s">
        <v>18495</v>
      </c>
      <c r="C1883" s="2">
        <v>19</v>
      </c>
      <c r="D1883" s="2">
        <v>341</v>
      </c>
      <c r="E1883" s="2">
        <v>200</v>
      </c>
      <c r="F1883" s="2">
        <v>32441</v>
      </c>
      <c r="G1883" s="2">
        <v>9.0378152489999994</v>
      </c>
      <c r="H1883" s="3">
        <v>2.1100000000000001E-12</v>
      </c>
      <c r="I1883" s="2" t="s">
        <v>40145</v>
      </c>
      <c r="J1883" s="2" t="s">
        <v>40146</v>
      </c>
      <c r="K1883" s="3">
        <v>3.1500000000000001E-11</v>
      </c>
      <c r="L1883" s="2" t="s">
        <v>1178</v>
      </c>
      <c r="M1883" s="4" t="s">
        <v>18498</v>
      </c>
    </row>
    <row r="1884" spans="1:13">
      <c r="A1884" s="2">
        <v>1663</v>
      </c>
      <c r="B1884" s="2" t="s">
        <v>40147</v>
      </c>
      <c r="C1884" s="2">
        <v>19</v>
      </c>
      <c r="D1884" s="2">
        <v>341</v>
      </c>
      <c r="E1884" s="2">
        <v>200</v>
      </c>
      <c r="F1884" s="2">
        <v>32441</v>
      </c>
      <c r="G1884" s="2">
        <v>9.0378152489999994</v>
      </c>
      <c r="H1884" s="3">
        <v>2.1100000000000001E-12</v>
      </c>
      <c r="I1884" s="2" t="s">
        <v>40148</v>
      </c>
      <c r="J1884" s="2" t="s">
        <v>40149</v>
      </c>
      <c r="K1884" s="3">
        <v>3.1500000000000001E-11</v>
      </c>
      <c r="L1884" s="2" t="s">
        <v>1178</v>
      </c>
      <c r="M1884" s="4" t="s">
        <v>40150</v>
      </c>
    </row>
    <row r="1885" spans="1:13">
      <c r="A1885" s="2">
        <v>402</v>
      </c>
      <c r="B1885" s="2" t="s">
        <v>40151</v>
      </c>
      <c r="C1885" s="2">
        <v>19</v>
      </c>
      <c r="D1885" s="2">
        <v>341</v>
      </c>
      <c r="E1885" s="2">
        <v>200</v>
      </c>
      <c r="F1885" s="2">
        <v>32441</v>
      </c>
      <c r="G1885" s="2">
        <v>9.0378152489999994</v>
      </c>
      <c r="H1885" s="3">
        <v>2.1100000000000001E-12</v>
      </c>
      <c r="I1885" s="2" t="s">
        <v>40152</v>
      </c>
      <c r="J1885" s="2" t="s">
        <v>40153</v>
      </c>
      <c r="K1885" s="3">
        <v>3.1500000000000001E-11</v>
      </c>
      <c r="L1885" s="2" t="s">
        <v>1178</v>
      </c>
      <c r="M1885" s="4" t="s">
        <v>40154</v>
      </c>
    </row>
    <row r="1886" spans="1:13">
      <c r="A1886" s="2">
        <v>8261</v>
      </c>
      <c r="B1886" s="2" t="s">
        <v>40155</v>
      </c>
      <c r="C1886" s="2">
        <v>19</v>
      </c>
      <c r="D1886" s="2">
        <v>341</v>
      </c>
      <c r="E1886" s="2">
        <v>200</v>
      </c>
      <c r="F1886" s="2">
        <v>32441</v>
      </c>
      <c r="G1886" s="2">
        <v>9.0378152489999994</v>
      </c>
      <c r="H1886" s="3">
        <v>2.1100000000000001E-12</v>
      </c>
      <c r="I1886" s="2" t="s">
        <v>40156</v>
      </c>
      <c r="J1886" s="2" t="s">
        <v>40157</v>
      </c>
      <c r="K1886" s="3">
        <v>3.1500000000000001E-11</v>
      </c>
      <c r="L1886" s="2" t="s">
        <v>1178</v>
      </c>
      <c r="M1886" s="4" t="s">
        <v>40158</v>
      </c>
    </row>
    <row r="1887" spans="1:13">
      <c r="A1887" s="2">
        <v>828</v>
      </c>
      <c r="B1887" s="2" t="s">
        <v>40159</v>
      </c>
      <c r="C1887" s="2">
        <v>19</v>
      </c>
      <c r="D1887" s="2">
        <v>341</v>
      </c>
      <c r="E1887" s="2">
        <v>200</v>
      </c>
      <c r="F1887" s="2">
        <v>32441</v>
      </c>
      <c r="G1887" s="2">
        <v>9.0378152489999994</v>
      </c>
      <c r="H1887" s="3">
        <v>2.1100000000000001E-12</v>
      </c>
      <c r="I1887" s="2" t="s">
        <v>40160</v>
      </c>
      <c r="J1887" s="2" t="s">
        <v>40161</v>
      </c>
      <c r="K1887" s="3">
        <v>3.1500000000000001E-11</v>
      </c>
      <c r="L1887" s="2" t="s">
        <v>1178</v>
      </c>
      <c r="M1887" s="4" t="s">
        <v>40162</v>
      </c>
    </row>
    <row r="1888" spans="1:13">
      <c r="A1888" s="2">
        <v>1050</v>
      </c>
      <c r="B1888" s="2" t="s">
        <v>40163</v>
      </c>
      <c r="C1888" s="2">
        <v>19</v>
      </c>
      <c r="D1888" s="2">
        <v>341</v>
      </c>
      <c r="E1888" s="2">
        <v>200</v>
      </c>
      <c r="F1888" s="2">
        <v>32441</v>
      </c>
      <c r="G1888" s="2">
        <v>9.0378152489999994</v>
      </c>
      <c r="H1888" s="3">
        <v>2.1100000000000001E-12</v>
      </c>
      <c r="I1888" s="2" t="s">
        <v>40164</v>
      </c>
      <c r="J1888" s="2" t="s">
        <v>40165</v>
      </c>
      <c r="K1888" s="3">
        <v>3.1500000000000001E-11</v>
      </c>
      <c r="L1888" s="2" t="s">
        <v>1178</v>
      </c>
      <c r="M1888" s="4" t="s">
        <v>40166</v>
      </c>
    </row>
    <row r="1889" spans="1:13">
      <c r="A1889" s="2">
        <v>1928</v>
      </c>
      <c r="B1889" s="2" t="s">
        <v>40167</v>
      </c>
      <c r="C1889" s="2">
        <v>19</v>
      </c>
      <c r="D1889" s="2">
        <v>341</v>
      </c>
      <c r="E1889" s="2">
        <v>200</v>
      </c>
      <c r="F1889" s="2">
        <v>32441</v>
      </c>
      <c r="G1889" s="2">
        <v>9.0378152489999994</v>
      </c>
      <c r="H1889" s="3">
        <v>2.1100000000000001E-12</v>
      </c>
      <c r="I1889" s="2" t="s">
        <v>40168</v>
      </c>
      <c r="J1889" s="2" t="s">
        <v>40169</v>
      </c>
      <c r="K1889" s="3">
        <v>3.1500000000000001E-11</v>
      </c>
      <c r="L1889" s="2" t="s">
        <v>1178</v>
      </c>
      <c r="M1889" s="4" t="s">
        <v>40170</v>
      </c>
    </row>
    <row r="1890" spans="1:13">
      <c r="A1890" s="2">
        <v>1968</v>
      </c>
      <c r="B1890" s="2" t="s">
        <v>31774</v>
      </c>
      <c r="C1890" s="2">
        <v>19</v>
      </c>
      <c r="D1890" s="2">
        <v>341</v>
      </c>
      <c r="E1890" s="2">
        <v>200</v>
      </c>
      <c r="F1890" s="2">
        <v>32441</v>
      </c>
      <c r="G1890" s="2">
        <v>9.0378152489999994</v>
      </c>
      <c r="H1890" s="3">
        <v>2.1100000000000001E-12</v>
      </c>
      <c r="I1890" s="2" t="s">
        <v>40171</v>
      </c>
      <c r="J1890" s="2" t="s">
        <v>40172</v>
      </c>
      <c r="K1890" s="3">
        <v>3.1500000000000001E-11</v>
      </c>
      <c r="L1890" s="2" t="s">
        <v>1178</v>
      </c>
      <c r="M1890" s="4" t="s">
        <v>31777</v>
      </c>
    </row>
    <row r="1891" spans="1:13">
      <c r="A1891" s="2">
        <v>1975</v>
      </c>
      <c r="B1891" s="2" t="s">
        <v>40173</v>
      </c>
      <c r="C1891" s="2">
        <v>19</v>
      </c>
      <c r="D1891" s="2">
        <v>341</v>
      </c>
      <c r="E1891" s="2">
        <v>200</v>
      </c>
      <c r="F1891" s="2">
        <v>32441</v>
      </c>
      <c r="G1891" s="2">
        <v>9.0378152489999994</v>
      </c>
      <c r="H1891" s="3">
        <v>2.1100000000000001E-12</v>
      </c>
      <c r="I1891" s="2" t="s">
        <v>40174</v>
      </c>
      <c r="J1891" s="2" t="s">
        <v>40175</v>
      </c>
      <c r="K1891" s="3">
        <v>3.1500000000000001E-11</v>
      </c>
      <c r="L1891" s="2" t="s">
        <v>1178</v>
      </c>
      <c r="M1891" s="4" t="s">
        <v>40176</v>
      </c>
    </row>
    <row r="1892" spans="1:13">
      <c r="A1892" s="2">
        <v>2159</v>
      </c>
      <c r="B1892" s="2" t="s">
        <v>33463</v>
      </c>
      <c r="C1892" s="2">
        <v>19</v>
      </c>
      <c r="D1892" s="2">
        <v>341</v>
      </c>
      <c r="E1892" s="2">
        <v>200</v>
      </c>
      <c r="F1892" s="2">
        <v>32441</v>
      </c>
      <c r="G1892" s="2">
        <v>9.0378152489999994</v>
      </c>
      <c r="H1892" s="3">
        <v>2.1100000000000001E-12</v>
      </c>
      <c r="I1892" s="2" t="s">
        <v>40177</v>
      </c>
      <c r="J1892" s="2" t="s">
        <v>40178</v>
      </c>
      <c r="K1892" s="3">
        <v>3.1500000000000001E-11</v>
      </c>
      <c r="L1892" s="2" t="s">
        <v>1178</v>
      </c>
      <c r="M1892" s="4" t="s">
        <v>33466</v>
      </c>
    </row>
    <row r="1893" spans="1:13">
      <c r="A1893" s="2">
        <v>2352</v>
      </c>
      <c r="B1893" s="2" t="s">
        <v>15891</v>
      </c>
      <c r="C1893" s="2">
        <v>19</v>
      </c>
      <c r="D1893" s="2">
        <v>341</v>
      </c>
      <c r="E1893" s="2">
        <v>200</v>
      </c>
      <c r="F1893" s="2">
        <v>32441</v>
      </c>
      <c r="G1893" s="2">
        <v>9.0378152489999994</v>
      </c>
      <c r="H1893" s="3">
        <v>2.1100000000000001E-12</v>
      </c>
      <c r="I1893" s="2" t="s">
        <v>40179</v>
      </c>
      <c r="J1893" s="2" t="s">
        <v>40180</v>
      </c>
      <c r="K1893" s="3">
        <v>3.1500000000000001E-11</v>
      </c>
      <c r="L1893" s="2" t="s">
        <v>1178</v>
      </c>
      <c r="M1893" s="4" t="s">
        <v>15894</v>
      </c>
    </row>
    <row r="1894" spans="1:13">
      <c r="A1894" s="2">
        <v>25811</v>
      </c>
      <c r="B1894" s="2" t="s">
        <v>18094</v>
      </c>
      <c r="C1894" s="2">
        <v>19</v>
      </c>
      <c r="D1894" s="2">
        <v>341</v>
      </c>
      <c r="E1894" s="2">
        <v>200</v>
      </c>
      <c r="F1894" s="2">
        <v>32441</v>
      </c>
      <c r="G1894" s="2">
        <v>9.0378152489999994</v>
      </c>
      <c r="H1894" s="3">
        <v>2.1100000000000001E-12</v>
      </c>
      <c r="I1894" s="2" t="s">
        <v>40181</v>
      </c>
      <c r="J1894" s="2" t="s">
        <v>40182</v>
      </c>
      <c r="K1894" s="3">
        <v>3.1500000000000001E-11</v>
      </c>
      <c r="L1894" s="2" t="s">
        <v>1178</v>
      </c>
      <c r="M1894" s="4" t="s">
        <v>18097</v>
      </c>
    </row>
    <row r="1895" spans="1:13">
      <c r="A1895" s="2">
        <v>2941</v>
      </c>
      <c r="B1895" s="2" t="s">
        <v>19944</v>
      </c>
      <c r="C1895" s="2">
        <v>19</v>
      </c>
      <c r="D1895" s="2">
        <v>341</v>
      </c>
      <c r="E1895" s="2">
        <v>200</v>
      </c>
      <c r="F1895" s="2">
        <v>32441</v>
      </c>
      <c r="G1895" s="2">
        <v>9.0378152489999994</v>
      </c>
      <c r="H1895" s="3">
        <v>2.1100000000000001E-12</v>
      </c>
      <c r="I1895" s="2" t="s">
        <v>40183</v>
      </c>
      <c r="J1895" s="2" t="s">
        <v>40184</v>
      </c>
      <c r="K1895" s="3">
        <v>3.1500000000000001E-11</v>
      </c>
      <c r="L1895" s="2" t="s">
        <v>1178</v>
      </c>
      <c r="M1895" s="4" t="s">
        <v>19947</v>
      </c>
    </row>
    <row r="1896" spans="1:13">
      <c r="A1896" s="2">
        <v>3112</v>
      </c>
      <c r="B1896" s="2" t="s">
        <v>23761</v>
      </c>
      <c r="C1896" s="2">
        <v>19</v>
      </c>
      <c r="D1896" s="2">
        <v>341</v>
      </c>
      <c r="E1896" s="2">
        <v>200</v>
      </c>
      <c r="F1896" s="2">
        <v>32441</v>
      </c>
      <c r="G1896" s="2">
        <v>9.0378152489999994</v>
      </c>
      <c r="H1896" s="3">
        <v>2.1100000000000001E-12</v>
      </c>
      <c r="I1896" s="2" t="s">
        <v>40185</v>
      </c>
      <c r="J1896" s="2" t="s">
        <v>40186</v>
      </c>
      <c r="K1896" s="3">
        <v>3.1500000000000001E-11</v>
      </c>
      <c r="L1896" s="2" t="s">
        <v>1178</v>
      </c>
      <c r="M1896" s="4" t="s">
        <v>23764</v>
      </c>
    </row>
    <row r="1897" spans="1:13">
      <c r="A1897" s="2">
        <v>3220</v>
      </c>
      <c r="B1897" s="2" t="s">
        <v>1935</v>
      </c>
      <c r="C1897" s="2">
        <v>19</v>
      </c>
      <c r="D1897" s="2">
        <v>341</v>
      </c>
      <c r="E1897" s="2">
        <v>200</v>
      </c>
      <c r="F1897" s="2">
        <v>32441</v>
      </c>
      <c r="G1897" s="2">
        <v>9.0378152489999994</v>
      </c>
      <c r="H1897" s="3">
        <v>2.1100000000000001E-12</v>
      </c>
      <c r="I1897" s="2" t="s">
        <v>40187</v>
      </c>
      <c r="J1897" s="2" t="s">
        <v>40188</v>
      </c>
      <c r="K1897" s="3">
        <v>3.1500000000000001E-11</v>
      </c>
      <c r="L1897" s="2" t="s">
        <v>1178</v>
      </c>
      <c r="M1897" s="4" t="s">
        <v>40189</v>
      </c>
    </row>
    <row r="1898" spans="1:13">
      <c r="A1898" s="2">
        <v>3339</v>
      </c>
      <c r="B1898" s="2" t="s">
        <v>19977</v>
      </c>
      <c r="C1898" s="2">
        <v>19</v>
      </c>
      <c r="D1898" s="2">
        <v>341</v>
      </c>
      <c r="E1898" s="2">
        <v>200</v>
      </c>
      <c r="F1898" s="2">
        <v>32441</v>
      </c>
      <c r="G1898" s="2">
        <v>9.0378152489999994</v>
      </c>
      <c r="H1898" s="3">
        <v>2.1100000000000001E-12</v>
      </c>
      <c r="I1898" s="2" t="s">
        <v>40190</v>
      </c>
      <c r="J1898" s="2" t="s">
        <v>40191</v>
      </c>
      <c r="K1898" s="3">
        <v>3.1500000000000001E-11</v>
      </c>
      <c r="L1898" s="2" t="s">
        <v>1178</v>
      </c>
      <c r="M1898" s="4" t="s">
        <v>19980</v>
      </c>
    </row>
    <row r="1899" spans="1:13">
      <c r="A1899" s="2">
        <v>3479</v>
      </c>
      <c r="B1899" s="2" t="s">
        <v>40192</v>
      </c>
      <c r="C1899" s="2">
        <v>19</v>
      </c>
      <c r="D1899" s="2">
        <v>341</v>
      </c>
      <c r="E1899" s="2">
        <v>200</v>
      </c>
      <c r="F1899" s="2">
        <v>32441</v>
      </c>
      <c r="G1899" s="2">
        <v>9.0378152489999994</v>
      </c>
      <c r="H1899" s="3">
        <v>2.1100000000000001E-12</v>
      </c>
      <c r="I1899" s="2" t="s">
        <v>40193</v>
      </c>
      <c r="J1899" s="2" t="s">
        <v>40194</v>
      </c>
      <c r="K1899" s="3">
        <v>3.1500000000000001E-11</v>
      </c>
      <c r="L1899" s="2" t="s">
        <v>1178</v>
      </c>
      <c r="M1899" s="4" t="s">
        <v>40195</v>
      </c>
    </row>
    <row r="1900" spans="1:13">
      <c r="A1900" s="2">
        <v>3533</v>
      </c>
      <c r="B1900" s="2" t="s">
        <v>2247</v>
      </c>
      <c r="C1900" s="2">
        <v>19</v>
      </c>
      <c r="D1900" s="2">
        <v>341</v>
      </c>
      <c r="E1900" s="2">
        <v>200</v>
      </c>
      <c r="F1900" s="2">
        <v>32441</v>
      </c>
      <c r="G1900" s="2">
        <v>9.0378152489999994</v>
      </c>
      <c r="H1900" s="3">
        <v>2.1100000000000001E-12</v>
      </c>
      <c r="I1900" s="2" t="s">
        <v>40196</v>
      </c>
      <c r="J1900" s="2" t="s">
        <v>40197</v>
      </c>
      <c r="K1900" s="3">
        <v>3.1500000000000001E-11</v>
      </c>
      <c r="L1900" s="2" t="s">
        <v>1178</v>
      </c>
      <c r="M1900" s="4" t="s">
        <v>20035</v>
      </c>
    </row>
    <row r="1901" spans="1:13">
      <c r="A1901" s="2">
        <v>3888</v>
      </c>
      <c r="B1901" s="2" t="s">
        <v>2259</v>
      </c>
      <c r="C1901" s="2">
        <v>19</v>
      </c>
      <c r="D1901" s="2">
        <v>341</v>
      </c>
      <c r="E1901" s="2">
        <v>200</v>
      </c>
      <c r="F1901" s="2">
        <v>32441</v>
      </c>
      <c r="G1901" s="2">
        <v>9.0378152489999994</v>
      </c>
      <c r="H1901" s="3">
        <v>2.1100000000000001E-12</v>
      </c>
      <c r="I1901" s="2" t="s">
        <v>40198</v>
      </c>
      <c r="J1901" s="2" t="s">
        <v>40199</v>
      </c>
      <c r="K1901" s="3">
        <v>3.1500000000000001E-11</v>
      </c>
      <c r="L1901" s="2" t="s">
        <v>1178</v>
      </c>
      <c r="M1901" s="4" t="s">
        <v>31437</v>
      </c>
    </row>
    <row r="1902" spans="1:13">
      <c r="A1902" s="2">
        <v>4246</v>
      </c>
      <c r="B1902" s="2" t="s">
        <v>40200</v>
      </c>
      <c r="C1902" s="2">
        <v>19</v>
      </c>
      <c r="D1902" s="2">
        <v>341</v>
      </c>
      <c r="E1902" s="2">
        <v>200</v>
      </c>
      <c r="F1902" s="2">
        <v>32441</v>
      </c>
      <c r="G1902" s="2">
        <v>9.0378152489999994</v>
      </c>
      <c r="H1902" s="3">
        <v>2.1100000000000001E-12</v>
      </c>
      <c r="I1902" s="2" t="s">
        <v>40201</v>
      </c>
      <c r="J1902" s="2" t="s">
        <v>40202</v>
      </c>
      <c r="K1902" s="3">
        <v>3.1500000000000001E-11</v>
      </c>
      <c r="L1902" s="2" t="s">
        <v>1178</v>
      </c>
      <c r="M1902" s="4" t="s">
        <v>40203</v>
      </c>
    </row>
    <row r="1903" spans="1:13">
      <c r="A1903" s="2">
        <v>28881</v>
      </c>
      <c r="B1903" s="2" t="s">
        <v>40204</v>
      </c>
      <c r="C1903" s="2">
        <v>18</v>
      </c>
      <c r="D1903" s="2">
        <v>341</v>
      </c>
      <c r="E1903" s="2">
        <v>174</v>
      </c>
      <c r="F1903" s="2">
        <v>32441</v>
      </c>
      <c r="G1903" s="2">
        <v>9.8415411059999993</v>
      </c>
      <c r="H1903" s="3">
        <v>2.18E-12</v>
      </c>
      <c r="I1903" s="2" t="s">
        <v>40205</v>
      </c>
      <c r="J1903" s="2" t="s">
        <v>40206</v>
      </c>
      <c r="K1903" s="3">
        <v>3.2399999999999999E-11</v>
      </c>
      <c r="L1903" s="2" t="s">
        <v>1178</v>
      </c>
      <c r="M1903" s="4" t="s">
        <v>40207</v>
      </c>
    </row>
    <row r="1904" spans="1:13">
      <c r="A1904" s="2">
        <v>2782</v>
      </c>
      <c r="B1904" s="2" t="s">
        <v>17628</v>
      </c>
      <c r="C1904" s="2">
        <v>18</v>
      </c>
      <c r="D1904" s="2">
        <v>341</v>
      </c>
      <c r="E1904" s="2">
        <v>175</v>
      </c>
      <c r="F1904" s="2">
        <v>32441</v>
      </c>
      <c r="G1904" s="2">
        <v>9.7853037290000007</v>
      </c>
      <c r="H1904" s="3">
        <v>2.38E-12</v>
      </c>
      <c r="I1904" s="2" t="s">
        <v>40208</v>
      </c>
      <c r="J1904" s="2" t="s">
        <v>40209</v>
      </c>
      <c r="K1904" s="3">
        <v>3.5299999999999997E-11</v>
      </c>
      <c r="L1904" s="2" t="s">
        <v>1178</v>
      </c>
      <c r="M1904" s="4" t="s">
        <v>17631</v>
      </c>
    </row>
    <row r="1905" spans="1:13">
      <c r="A1905" s="2">
        <v>27241</v>
      </c>
      <c r="B1905" s="2" t="s">
        <v>32154</v>
      </c>
      <c r="C1905" s="2">
        <v>17</v>
      </c>
      <c r="D1905" s="2">
        <v>341</v>
      </c>
      <c r="E1905" s="2">
        <v>151</v>
      </c>
      <c r="F1905" s="2">
        <v>32441</v>
      </c>
      <c r="G1905" s="2">
        <v>10.71055136</v>
      </c>
      <c r="H1905" s="3">
        <v>2.61E-12</v>
      </c>
      <c r="I1905" s="2" t="s">
        <v>40210</v>
      </c>
      <c r="J1905" s="2" t="s">
        <v>40211</v>
      </c>
      <c r="K1905" s="3">
        <v>3.8600000000000001E-11</v>
      </c>
      <c r="L1905" s="2" t="s">
        <v>1178</v>
      </c>
      <c r="M1905" s="4" t="s">
        <v>32157</v>
      </c>
    </row>
    <row r="1906" spans="1:13">
      <c r="A1906" s="2">
        <v>2792</v>
      </c>
      <c r="B1906" s="2" t="s">
        <v>12349</v>
      </c>
      <c r="C1906" s="2">
        <v>18</v>
      </c>
      <c r="D1906" s="2">
        <v>341</v>
      </c>
      <c r="E1906" s="2">
        <v>177</v>
      </c>
      <c r="F1906" s="2">
        <v>32441</v>
      </c>
      <c r="G1906" s="2">
        <v>9.6747353250000003</v>
      </c>
      <c r="H1906" s="3">
        <v>2.84E-12</v>
      </c>
      <c r="I1906" s="2" t="s">
        <v>40212</v>
      </c>
      <c r="J1906" s="2" t="s">
        <v>40213</v>
      </c>
      <c r="K1906" s="3">
        <v>4.18E-11</v>
      </c>
      <c r="L1906" s="2" t="s">
        <v>1178</v>
      </c>
      <c r="M1906" s="4" t="s">
        <v>12352</v>
      </c>
    </row>
    <row r="1907" spans="1:13">
      <c r="A1907" s="2">
        <v>4226</v>
      </c>
      <c r="B1907" s="2" t="s">
        <v>40214</v>
      </c>
      <c r="C1907" s="2">
        <v>17</v>
      </c>
      <c r="D1907" s="2">
        <v>341</v>
      </c>
      <c r="E1907" s="2">
        <v>163</v>
      </c>
      <c r="F1907" s="2">
        <v>32441</v>
      </c>
      <c r="G1907" s="2">
        <v>9.9220445099999992</v>
      </c>
      <c r="H1907" s="3">
        <v>7.9899999999999997E-12</v>
      </c>
      <c r="I1907" s="2" t="s">
        <v>40215</v>
      </c>
      <c r="J1907" s="2" t="s">
        <v>40216</v>
      </c>
      <c r="K1907" s="3">
        <v>1.1700000000000001E-10</v>
      </c>
      <c r="L1907" s="2" t="s">
        <v>1178</v>
      </c>
      <c r="M1907" s="4" t="s">
        <v>40217</v>
      </c>
    </row>
    <row r="1908" spans="1:13">
      <c r="A1908" s="2">
        <v>2503</v>
      </c>
      <c r="B1908" s="2" t="s">
        <v>40218</v>
      </c>
      <c r="C1908" s="2">
        <v>17</v>
      </c>
      <c r="D1908" s="2">
        <v>341</v>
      </c>
      <c r="E1908" s="2">
        <v>170</v>
      </c>
      <c r="F1908" s="2">
        <v>32441</v>
      </c>
      <c r="G1908" s="2">
        <v>9.5134897360000004</v>
      </c>
      <c r="H1908" s="3">
        <v>1.4700000000000002E-11</v>
      </c>
      <c r="I1908" s="2" t="s">
        <v>40219</v>
      </c>
      <c r="J1908" s="2" t="s">
        <v>40220</v>
      </c>
      <c r="K1908" s="3">
        <v>2.16E-10</v>
      </c>
      <c r="L1908" s="2" t="s">
        <v>1178</v>
      </c>
      <c r="M1908" s="4" t="s">
        <v>40221</v>
      </c>
    </row>
    <row r="1909" spans="1:13">
      <c r="A1909" s="2">
        <v>3109</v>
      </c>
      <c r="B1909" s="2" t="s">
        <v>40222</v>
      </c>
      <c r="C1909" s="2">
        <v>18</v>
      </c>
      <c r="D1909" s="2">
        <v>341</v>
      </c>
      <c r="E1909" s="2">
        <v>199</v>
      </c>
      <c r="F1909" s="2">
        <v>32441</v>
      </c>
      <c r="G1909" s="2">
        <v>8.605166595</v>
      </c>
      <c r="H1909" s="3">
        <v>1.7199999999999999E-11</v>
      </c>
      <c r="I1909" s="2" t="s">
        <v>40223</v>
      </c>
      <c r="J1909" s="2" t="s">
        <v>40224</v>
      </c>
      <c r="K1909" s="3">
        <v>2.5100000000000001E-10</v>
      </c>
      <c r="L1909" s="2" t="s">
        <v>1178</v>
      </c>
      <c r="M1909" s="4" t="s">
        <v>40225</v>
      </c>
    </row>
    <row r="1910" spans="1:13">
      <c r="A1910" s="2">
        <v>2932</v>
      </c>
      <c r="B1910" s="2" t="s">
        <v>33861</v>
      </c>
      <c r="C1910" s="2">
        <v>18</v>
      </c>
      <c r="D1910" s="2">
        <v>341</v>
      </c>
      <c r="E1910" s="2">
        <v>200</v>
      </c>
      <c r="F1910" s="2">
        <v>32441</v>
      </c>
      <c r="G1910" s="2">
        <v>8.5621407620000003</v>
      </c>
      <c r="H1910" s="3">
        <v>1.8599999999999999E-11</v>
      </c>
      <c r="I1910" s="2" t="s">
        <v>40226</v>
      </c>
      <c r="J1910" s="2" t="s">
        <v>40227</v>
      </c>
      <c r="K1910" s="3">
        <v>2.5899999999999998E-10</v>
      </c>
      <c r="L1910" s="2" t="s">
        <v>1178</v>
      </c>
      <c r="M1910" s="4" t="s">
        <v>33864</v>
      </c>
    </row>
    <row r="1911" spans="1:13">
      <c r="A1911" s="2">
        <v>339</v>
      </c>
      <c r="B1911" s="2" t="s">
        <v>40228</v>
      </c>
      <c r="C1911" s="2">
        <v>18</v>
      </c>
      <c r="D1911" s="2">
        <v>341</v>
      </c>
      <c r="E1911" s="2">
        <v>200</v>
      </c>
      <c r="F1911" s="2">
        <v>32441</v>
      </c>
      <c r="G1911" s="2">
        <v>8.5621407620000003</v>
      </c>
      <c r="H1911" s="3">
        <v>1.8599999999999999E-11</v>
      </c>
      <c r="I1911" s="2" t="s">
        <v>40229</v>
      </c>
      <c r="J1911" s="2" t="s">
        <v>40230</v>
      </c>
      <c r="K1911" s="3">
        <v>2.5899999999999998E-10</v>
      </c>
      <c r="L1911" s="2" t="s">
        <v>1178</v>
      </c>
      <c r="M1911" s="4" t="s">
        <v>40231</v>
      </c>
    </row>
    <row r="1912" spans="1:13">
      <c r="A1912" s="2">
        <v>3411</v>
      </c>
      <c r="B1912" s="2" t="s">
        <v>40232</v>
      </c>
      <c r="C1912" s="2">
        <v>18</v>
      </c>
      <c r="D1912" s="2">
        <v>341</v>
      </c>
      <c r="E1912" s="2">
        <v>200</v>
      </c>
      <c r="F1912" s="2">
        <v>32441</v>
      </c>
      <c r="G1912" s="2">
        <v>8.5621407620000003</v>
      </c>
      <c r="H1912" s="3">
        <v>1.8599999999999999E-11</v>
      </c>
      <c r="I1912" s="2" t="s">
        <v>40233</v>
      </c>
      <c r="J1912" s="2" t="s">
        <v>40234</v>
      </c>
      <c r="K1912" s="3">
        <v>2.5899999999999998E-10</v>
      </c>
      <c r="L1912" s="2" t="s">
        <v>1178</v>
      </c>
      <c r="M1912" s="4" t="s">
        <v>40235</v>
      </c>
    </row>
    <row r="1913" spans="1:13">
      <c r="A1913" s="2">
        <v>1095</v>
      </c>
      <c r="B1913" s="2" t="s">
        <v>19655</v>
      </c>
      <c r="C1913" s="2">
        <v>18</v>
      </c>
      <c r="D1913" s="2">
        <v>341</v>
      </c>
      <c r="E1913" s="2">
        <v>200</v>
      </c>
      <c r="F1913" s="2">
        <v>32441</v>
      </c>
      <c r="G1913" s="2">
        <v>8.5621407620000003</v>
      </c>
      <c r="H1913" s="3">
        <v>1.8599999999999999E-11</v>
      </c>
      <c r="I1913" s="2" t="s">
        <v>40236</v>
      </c>
      <c r="J1913" s="2" t="s">
        <v>40237</v>
      </c>
      <c r="K1913" s="3">
        <v>2.5899999999999998E-10</v>
      </c>
      <c r="L1913" s="2" t="s">
        <v>1178</v>
      </c>
      <c r="M1913" s="4" t="s">
        <v>19658</v>
      </c>
    </row>
    <row r="1914" spans="1:13">
      <c r="A1914" s="2">
        <v>1226</v>
      </c>
      <c r="B1914" s="2" t="s">
        <v>40238</v>
      </c>
      <c r="C1914" s="2">
        <v>18</v>
      </c>
      <c r="D1914" s="2">
        <v>341</v>
      </c>
      <c r="E1914" s="2">
        <v>200</v>
      </c>
      <c r="F1914" s="2">
        <v>32441</v>
      </c>
      <c r="G1914" s="2">
        <v>8.5621407620000003</v>
      </c>
      <c r="H1914" s="3">
        <v>1.8599999999999999E-11</v>
      </c>
      <c r="I1914" s="2" t="s">
        <v>40239</v>
      </c>
      <c r="J1914" s="2" t="s">
        <v>40240</v>
      </c>
      <c r="K1914" s="3">
        <v>2.5899999999999998E-10</v>
      </c>
      <c r="L1914" s="2" t="s">
        <v>1178</v>
      </c>
      <c r="M1914" s="4" t="s">
        <v>40241</v>
      </c>
    </row>
    <row r="1915" spans="1:13">
      <c r="A1915" s="2">
        <v>1604</v>
      </c>
      <c r="B1915" s="2" t="s">
        <v>1698</v>
      </c>
      <c r="C1915" s="2">
        <v>18</v>
      </c>
      <c r="D1915" s="2">
        <v>341</v>
      </c>
      <c r="E1915" s="2">
        <v>200</v>
      </c>
      <c r="F1915" s="2">
        <v>32441</v>
      </c>
      <c r="G1915" s="2">
        <v>8.5621407620000003</v>
      </c>
      <c r="H1915" s="3">
        <v>1.8599999999999999E-11</v>
      </c>
      <c r="I1915" s="2" t="s">
        <v>40242</v>
      </c>
      <c r="J1915" s="2" t="s">
        <v>40243</v>
      </c>
      <c r="K1915" s="3">
        <v>2.5899999999999998E-10</v>
      </c>
      <c r="L1915" s="2" t="s">
        <v>1178</v>
      </c>
      <c r="M1915" s="4" t="s">
        <v>40244</v>
      </c>
    </row>
    <row r="1916" spans="1:13">
      <c r="A1916" s="2">
        <v>1660</v>
      </c>
      <c r="B1916" s="2" t="s">
        <v>2493</v>
      </c>
      <c r="C1916" s="2">
        <v>18</v>
      </c>
      <c r="D1916" s="2">
        <v>341</v>
      </c>
      <c r="E1916" s="2">
        <v>200</v>
      </c>
      <c r="F1916" s="2">
        <v>32441</v>
      </c>
      <c r="G1916" s="2">
        <v>8.5621407620000003</v>
      </c>
      <c r="H1916" s="3">
        <v>1.8599999999999999E-11</v>
      </c>
      <c r="I1916" s="2" t="s">
        <v>40245</v>
      </c>
      <c r="J1916" s="2" t="s">
        <v>40246</v>
      </c>
      <c r="K1916" s="3">
        <v>2.5899999999999998E-10</v>
      </c>
      <c r="L1916" s="2" t="s">
        <v>1178</v>
      </c>
      <c r="M1916" s="4" t="s">
        <v>40247</v>
      </c>
    </row>
    <row r="1917" spans="1:13">
      <c r="A1917" s="2">
        <v>2161</v>
      </c>
      <c r="B1917" s="2" t="s">
        <v>40248</v>
      </c>
      <c r="C1917" s="2">
        <v>18</v>
      </c>
      <c r="D1917" s="2">
        <v>341</v>
      </c>
      <c r="E1917" s="2">
        <v>200</v>
      </c>
      <c r="F1917" s="2">
        <v>32441</v>
      </c>
      <c r="G1917" s="2">
        <v>8.5621407620000003</v>
      </c>
      <c r="H1917" s="3">
        <v>1.8599999999999999E-11</v>
      </c>
      <c r="I1917" s="2" t="s">
        <v>40249</v>
      </c>
      <c r="J1917" s="2" t="s">
        <v>40250</v>
      </c>
      <c r="K1917" s="3">
        <v>2.5899999999999998E-10</v>
      </c>
      <c r="L1917" s="2" t="s">
        <v>1178</v>
      </c>
      <c r="M1917" s="4" t="s">
        <v>40251</v>
      </c>
    </row>
    <row r="1918" spans="1:13">
      <c r="A1918" s="2">
        <v>21941</v>
      </c>
      <c r="B1918" s="2" t="s">
        <v>22201</v>
      </c>
      <c r="C1918" s="2">
        <v>18</v>
      </c>
      <c r="D1918" s="2">
        <v>341</v>
      </c>
      <c r="E1918" s="2">
        <v>200</v>
      </c>
      <c r="F1918" s="2">
        <v>32441</v>
      </c>
      <c r="G1918" s="2">
        <v>8.5621407620000003</v>
      </c>
      <c r="H1918" s="3">
        <v>1.8599999999999999E-11</v>
      </c>
      <c r="I1918" s="2" t="s">
        <v>40252</v>
      </c>
      <c r="J1918" s="2" t="s">
        <v>40253</v>
      </c>
      <c r="K1918" s="3">
        <v>2.5899999999999998E-10</v>
      </c>
      <c r="L1918" s="2" t="s">
        <v>1178</v>
      </c>
      <c r="M1918" s="4" t="s">
        <v>22204</v>
      </c>
    </row>
    <row r="1919" spans="1:13">
      <c r="A1919" s="2">
        <v>22381</v>
      </c>
      <c r="B1919" s="2" t="s">
        <v>2541</v>
      </c>
      <c r="C1919" s="2">
        <v>18</v>
      </c>
      <c r="D1919" s="2">
        <v>341</v>
      </c>
      <c r="E1919" s="2">
        <v>200</v>
      </c>
      <c r="F1919" s="2">
        <v>32441</v>
      </c>
      <c r="G1919" s="2">
        <v>8.5621407620000003</v>
      </c>
      <c r="H1919" s="3">
        <v>1.8599999999999999E-11</v>
      </c>
      <c r="I1919" s="2" t="s">
        <v>40254</v>
      </c>
      <c r="J1919" s="2" t="s">
        <v>40255</v>
      </c>
      <c r="K1919" s="3">
        <v>2.5899999999999998E-10</v>
      </c>
      <c r="L1919" s="2" t="s">
        <v>1178</v>
      </c>
      <c r="M1919" s="4" t="s">
        <v>31788</v>
      </c>
    </row>
    <row r="1920" spans="1:13">
      <c r="A1920" s="2">
        <v>2571</v>
      </c>
      <c r="B1920" s="2" t="s">
        <v>40256</v>
      </c>
      <c r="C1920" s="2">
        <v>18</v>
      </c>
      <c r="D1920" s="2">
        <v>341</v>
      </c>
      <c r="E1920" s="2">
        <v>200</v>
      </c>
      <c r="F1920" s="2">
        <v>32441</v>
      </c>
      <c r="G1920" s="2">
        <v>8.5621407620000003</v>
      </c>
      <c r="H1920" s="3">
        <v>1.8599999999999999E-11</v>
      </c>
      <c r="I1920" s="2" t="s">
        <v>40257</v>
      </c>
      <c r="J1920" s="2" t="s">
        <v>40258</v>
      </c>
      <c r="K1920" s="3">
        <v>2.5899999999999998E-10</v>
      </c>
      <c r="L1920" s="2" t="s">
        <v>1178</v>
      </c>
      <c r="M1920" s="4" t="s">
        <v>40259</v>
      </c>
    </row>
    <row r="1921" spans="1:13">
      <c r="A1921" s="2">
        <v>3156</v>
      </c>
      <c r="B1921" s="2" t="s">
        <v>18164</v>
      </c>
      <c r="C1921" s="2">
        <v>18</v>
      </c>
      <c r="D1921" s="2">
        <v>341</v>
      </c>
      <c r="E1921" s="2">
        <v>200</v>
      </c>
      <c r="F1921" s="2">
        <v>32441</v>
      </c>
      <c r="G1921" s="2">
        <v>8.5621407620000003</v>
      </c>
      <c r="H1921" s="3">
        <v>1.8599999999999999E-11</v>
      </c>
      <c r="I1921" s="2" t="s">
        <v>40260</v>
      </c>
      <c r="J1921" s="2" t="s">
        <v>40261</v>
      </c>
      <c r="K1921" s="3">
        <v>2.5899999999999998E-10</v>
      </c>
      <c r="L1921" s="2" t="s">
        <v>1178</v>
      </c>
      <c r="M1921" s="4" t="s">
        <v>18167</v>
      </c>
    </row>
    <row r="1922" spans="1:13">
      <c r="A1922" s="2">
        <v>3226</v>
      </c>
      <c r="B1922" s="2" t="s">
        <v>2232</v>
      </c>
      <c r="C1922" s="2">
        <v>18</v>
      </c>
      <c r="D1922" s="2">
        <v>341</v>
      </c>
      <c r="E1922" s="2">
        <v>200</v>
      </c>
      <c r="F1922" s="2">
        <v>32441</v>
      </c>
      <c r="G1922" s="2">
        <v>8.5621407620000003</v>
      </c>
      <c r="H1922" s="3">
        <v>1.8599999999999999E-11</v>
      </c>
      <c r="I1922" s="2" t="s">
        <v>40262</v>
      </c>
      <c r="J1922" s="2" t="s">
        <v>40263</v>
      </c>
      <c r="K1922" s="3">
        <v>2.5899999999999998E-10</v>
      </c>
      <c r="L1922" s="2" t="s">
        <v>1178</v>
      </c>
      <c r="M1922" s="4" t="s">
        <v>40264</v>
      </c>
    </row>
    <row r="1923" spans="1:13">
      <c r="A1923" s="2">
        <v>3394</v>
      </c>
      <c r="B1923" s="2" t="s">
        <v>40265</v>
      </c>
      <c r="C1923" s="2">
        <v>18</v>
      </c>
      <c r="D1923" s="2">
        <v>341</v>
      </c>
      <c r="E1923" s="2">
        <v>200</v>
      </c>
      <c r="F1923" s="2">
        <v>32441</v>
      </c>
      <c r="G1923" s="2">
        <v>8.5621407620000003</v>
      </c>
      <c r="H1923" s="3">
        <v>1.8599999999999999E-11</v>
      </c>
      <c r="I1923" s="2" t="s">
        <v>40266</v>
      </c>
      <c r="J1923" s="2" t="s">
        <v>40267</v>
      </c>
      <c r="K1923" s="3">
        <v>2.5899999999999998E-10</v>
      </c>
      <c r="L1923" s="2" t="s">
        <v>1178</v>
      </c>
      <c r="M1923" s="4" t="s">
        <v>40268</v>
      </c>
    </row>
    <row r="1924" spans="1:13">
      <c r="A1924" s="2">
        <v>3806</v>
      </c>
      <c r="B1924" s="2" t="s">
        <v>21304</v>
      </c>
      <c r="C1924" s="2">
        <v>18</v>
      </c>
      <c r="D1924" s="2">
        <v>341</v>
      </c>
      <c r="E1924" s="2">
        <v>200</v>
      </c>
      <c r="F1924" s="2">
        <v>32441</v>
      </c>
      <c r="G1924" s="2">
        <v>8.5621407620000003</v>
      </c>
      <c r="H1924" s="3">
        <v>1.8599999999999999E-11</v>
      </c>
      <c r="I1924" s="2" t="s">
        <v>40269</v>
      </c>
      <c r="J1924" s="2" t="s">
        <v>40270</v>
      </c>
      <c r="K1924" s="3">
        <v>2.5899999999999998E-10</v>
      </c>
      <c r="L1924" s="2" t="s">
        <v>1178</v>
      </c>
      <c r="M1924" s="4" t="s">
        <v>21307</v>
      </c>
    </row>
    <row r="1925" spans="1:13">
      <c r="A1925" s="2">
        <v>4173</v>
      </c>
      <c r="B1925" s="2" t="s">
        <v>40271</v>
      </c>
      <c r="C1925" s="2">
        <v>18</v>
      </c>
      <c r="D1925" s="2">
        <v>341</v>
      </c>
      <c r="E1925" s="2">
        <v>200</v>
      </c>
      <c r="F1925" s="2">
        <v>32441</v>
      </c>
      <c r="G1925" s="2">
        <v>8.5621407620000003</v>
      </c>
      <c r="H1925" s="3">
        <v>1.8599999999999999E-11</v>
      </c>
      <c r="I1925" s="2" t="s">
        <v>40272</v>
      </c>
      <c r="J1925" s="2" t="s">
        <v>40273</v>
      </c>
      <c r="K1925" s="3">
        <v>2.5899999999999998E-10</v>
      </c>
      <c r="L1925" s="2" t="s">
        <v>1178</v>
      </c>
      <c r="M1925" s="4" t="s">
        <v>40274</v>
      </c>
    </row>
    <row r="1926" spans="1:13">
      <c r="A1926" s="2">
        <v>27841</v>
      </c>
      <c r="B1926" s="2" t="s">
        <v>13299</v>
      </c>
      <c r="C1926" s="2">
        <v>17</v>
      </c>
      <c r="D1926" s="2">
        <v>341</v>
      </c>
      <c r="E1926" s="2">
        <v>180</v>
      </c>
      <c r="F1926" s="2">
        <v>32441</v>
      </c>
      <c r="G1926" s="2">
        <v>8.9849625290000006</v>
      </c>
      <c r="H1926" s="3">
        <v>3.3900000000000001E-11</v>
      </c>
      <c r="I1926" s="2" t="s">
        <v>40275</v>
      </c>
      <c r="J1926" s="2" t="s">
        <v>40276</v>
      </c>
      <c r="K1926" s="3">
        <v>4.7000000000000003E-10</v>
      </c>
      <c r="L1926" s="2" t="s">
        <v>1178</v>
      </c>
      <c r="M1926" s="4" t="s">
        <v>13302</v>
      </c>
    </row>
    <row r="1927" spans="1:13">
      <c r="A1927" s="2">
        <v>4103</v>
      </c>
      <c r="B1927" s="2" t="s">
        <v>13381</v>
      </c>
      <c r="C1927" s="2">
        <v>16</v>
      </c>
      <c r="D1927" s="2">
        <v>341</v>
      </c>
      <c r="E1927" s="2">
        <v>164</v>
      </c>
      <c r="F1927" s="2">
        <v>32441</v>
      </c>
      <c r="G1927" s="2">
        <v>9.2814534010000003</v>
      </c>
      <c r="H1927" s="3">
        <v>8.2800000000000001E-11</v>
      </c>
      <c r="I1927" s="2" t="s">
        <v>40277</v>
      </c>
      <c r="J1927" s="2" t="s">
        <v>40278</v>
      </c>
      <c r="K1927" s="3">
        <v>1.15E-9</v>
      </c>
      <c r="L1927" s="2" t="s">
        <v>1178</v>
      </c>
      <c r="M1927" s="4" t="s">
        <v>13384</v>
      </c>
    </row>
    <row r="1928" spans="1:13">
      <c r="A1928" s="2">
        <v>32331</v>
      </c>
      <c r="B1928" s="2" t="s">
        <v>13168</v>
      </c>
      <c r="C1928" s="2">
        <v>16</v>
      </c>
      <c r="D1928" s="2">
        <v>341</v>
      </c>
      <c r="E1928" s="2">
        <v>165</v>
      </c>
      <c r="F1928" s="2">
        <v>32441</v>
      </c>
      <c r="G1928" s="2">
        <v>9.2252021679999991</v>
      </c>
      <c r="H1928" s="3">
        <v>8.9999999999999999E-11</v>
      </c>
      <c r="I1928" s="2" t="s">
        <v>40279</v>
      </c>
      <c r="J1928" s="2" t="s">
        <v>40280</v>
      </c>
      <c r="K1928" s="3">
        <v>1.2400000000000001E-9</v>
      </c>
      <c r="L1928" s="2" t="s">
        <v>1178</v>
      </c>
      <c r="M1928" s="4" t="s">
        <v>13171</v>
      </c>
    </row>
    <row r="1929" spans="1:13">
      <c r="A1929" s="2">
        <v>4326</v>
      </c>
      <c r="B1929" s="2" t="s">
        <v>40281</v>
      </c>
      <c r="C1929" s="2">
        <v>17</v>
      </c>
      <c r="D1929" s="2">
        <v>341</v>
      </c>
      <c r="E1929" s="2">
        <v>196</v>
      </c>
      <c r="F1929" s="2">
        <v>32441</v>
      </c>
      <c r="G1929" s="2">
        <v>8.2514962000000001</v>
      </c>
      <c r="H1929" s="3">
        <v>1.16E-10</v>
      </c>
      <c r="I1929" s="2" t="s">
        <v>40282</v>
      </c>
      <c r="J1929" s="2" t="s">
        <v>40283</v>
      </c>
      <c r="K1929" s="3">
        <v>1.6000000000000001E-9</v>
      </c>
      <c r="L1929" s="2" t="s">
        <v>1178</v>
      </c>
      <c r="M1929" s="4" t="s">
        <v>40284</v>
      </c>
    </row>
    <row r="1930" spans="1:13">
      <c r="A1930" s="2">
        <v>1966</v>
      </c>
      <c r="B1930" s="2" t="s">
        <v>40285</v>
      </c>
      <c r="C1930" s="2">
        <v>17</v>
      </c>
      <c r="D1930" s="2">
        <v>341</v>
      </c>
      <c r="E1930" s="2">
        <v>199</v>
      </c>
      <c r="F1930" s="2">
        <v>32441</v>
      </c>
      <c r="G1930" s="2">
        <v>8.1271017850000007</v>
      </c>
      <c r="H1930" s="3">
        <v>1.4499999999999999E-10</v>
      </c>
      <c r="I1930" s="2" t="s">
        <v>40286</v>
      </c>
      <c r="J1930" s="2" t="s">
        <v>40287</v>
      </c>
      <c r="K1930" s="3">
        <v>1.97E-9</v>
      </c>
      <c r="L1930" s="2" t="s">
        <v>1178</v>
      </c>
      <c r="M1930" s="4" t="s">
        <v>40288</v>
      </c>
    </row>
    <row r="1931" spans="1:13">
      <c r="A1931" s="2">
        <v>3898</v>
      </c>
      <c r="B1931" s="2" t="s">
        <v>14550</v>
      </c>
      <c r="C1931" s="2">
        <v>17</v>
      </c>
      <c r="D1931" s="2">
        <v>341</v>
      </c>
      <c r="E1931" s="2">
        <v>199</v>
      </c>
      <c r="F1931" s="2">
        <v>32441</v>
      </c>
      <c r="G1931" s="2">
        <v>8.1271017850000007</v>
      </c>
      <c r="H1931" s="3">
        <v>1.4499999999999999E-10</v>
      </c>
      <c r="I1931" s="2" t="s">
        <v>40289</v>
      </c>
      <c r="J1931" s="2" t="s">
        <v>40290</v>
      </c>
      <c r="K1931" s="3">
        <v>1.97E-9</v>
      </c>
      <c r="L1931" s="2" t="s">
        <v>1178</v>
      </c>
      <c r="M1931" s="4" t="s">
        <v>14553</v>
      </c>
    </row>
    <row r="1932" spans="1:13">
      <c r="A1932" s="2">
        <v>4841</v>
      </c>
      <c r="B1932" s="2" t="s">
        <v>31128</v>
      </c>
      <c r="C1932" s="2">
        <v>17</v>
      </c>
      <c r="D1932" s="2">
        <v>341</v>
      </c>
      <c r="E1932" s="2">
        <v>199</v>
      </c>
      <c r="F1932" s="2">
        <v>32441</v>
      </c>
      <c r="G1932" s="2">
        <v>8.1271017850000007</v>
      </c>
      <c r="H1932" s="3">
        <v>1.4499999999999999E-10</v>
      </c>
      <c r="I1932" s="2" t="s">
        <v>40291</v>
      </c>
      <c r="J1932" s="2" t="s">
        <v>40292</v>
      </c>
      <c r="K1932" s="3">
        <v>1.97E-9</v>
      </c>
      <c r="L1932" s="2" t="s">
        <v>1178</v>
      </c>
      <c r="M1932" s="4" t="s">
        <v>31131</v>
      </c>
    </row>
    <row r="1933" spans="1:13">
      <c r="A1933" s="2">
        <v>1261</v>
      </c>
      <c r="B1933" s="2" t="s">
        <v>32602</v>
      </c>
      <c r="C1933" s="2">
        <v>17</v>
      </c>
      <c r="D1933" s="2">
        <v>341</v>
      </c>
      <c r="E1933" s="2">
        <v>200</v>
      </c>
      <c r="F1933" s="2">
        <v>32441</v>
      </c>
      <c r="G1933" s="2">
        <v>8.0864662759999995</v>
      </c>
      <c r="H1933" s="3">
        <v>1.5500000000000001E-10</v>
      </c>
      <c r="I1933" s="2" t="s">
        <v>40293</v>
      </c>
      <c r="J1933" s="2" t="s">
        <v>40294</v>
      </c>
      <c r="K1933" s="3">
        <v>2.0000000000000001E-9</v>
      </c>
      <c r="L1933" s="2" t="s">
        <v>1178</v>
      </c>
      <c r="M1933" s="4" t="s">
        <v>32605</v>
      </c>
    </row>
    <row r="1934" spans="1:13">
      <c r="A1934" s="2">
        <v>328</v>
      </c>
      <c r="B1934" s="2" t="s">
        <v>40295</v>
      </c>
      <c r="C1934" s="2">
        <v>17</v>
      </c>
      <c r="D1934" s="2">
        <v>341</v>
      </c>
      <c r="E1934" s="2">
        <v>200</v>
      </c>
      <c r="F1934" s="2">
        <v>32441</v>
      </c>
      <c r="G1934" s="2">
        <v>8.0864662759999995</v>
      </c>
      <c r="H1934" s="3">
        <v>1.5500000000000001E-10</v>
      </c>
      <c r="I1934" s="2" t="s">
        <v>40296</v>
      </c>
      <c r="J1934" s="2" t="s">
        <v>40297</v>
      </c>
      <c r="K1934" s="3">
        <v>2.0000000000000001E-9</v>
      </c>
      <c r="L1934" s="2" t="s">
        <v>1178</v>
      </c>
      <c r="M1934" s="4" t="s">
        <v>40298</v>
      </c>
    </row>
    <row r="1935" spans="1:13">
      <c r="A1935" s="2">
        <v>780</v>
      </c>
      <c r="B1935" s="2" t="s">
        <v>40299</v>
      </c>
      <c r="C1935" s="2">
        <v>17</v>
      </c>
      <c r="D1935" s="2">
        <v>341</v>
      </c>
      <c r="E1935" s="2">
        <v>200</v>
      </c>
      <c r="F1935" s="2">
        <v>32441</v>
      </c>
      <c r="G1935" s="2">
        <v>8.0864662759999995</v>
      </c>
      <c r="H1935" s="3">
        <v>1.5500000000000001E-10</v>
      </c>
      <c r="I1935" s="2" t="s">
        <v>40300</v>
      </c>
      <c r="J1935" s="2" t="s">
        <v>40301</v>
      </c>
      <c r="K1935" s="3">
        <v>2.0000000000000001E-9</v>
      </c>
      <c r="L1935" s="2" t="s">
        <v>1178</v>
      </c>
      <c r="M1935" s="4" t="s">
        <v>40302</v>
      </c>
    </row>
    <row r="1936" spans="1:13">
      <c r="A1936" s="2">
        <v>8201</v>
      </c>
      <c r="B1936" s="2" t="s">
        <v>23133</v>
      </c>
      <c r="C1936" s="2">
        <v>17</v>
      </c>
      <c r="D1936" s="2">
        <v>341</v>
      </c>
      <c r="E1936" s="2">
        <v>200</v>
      </c>
      <c r="F1936" s="2">
        <v>32441</v>
      </c>
      <c r="G1936" s="2">
        <v>8.0864662759999995</v>
      </c>
      <c r="H1936" s="3">
        <v>1.5500000000000001E-10</v>
      </c>
      <c r="I1936" s="2" t="s">
        <v>40303</v>
      </c>
      <c r="J1936" s="2" t="s">
        <v>40304</v>
      </c>
      <c r="K1936" s="3">
        <v>2.0000000000000001E-9</v>
      </c>
      <c r="L1936" s="2" t="s">
        <v>1178</v>
      </c>
      <c r="M1936" s="4" t="s">
        <v>23136</v>
      </c>
    </row>
    <row r="1937" spans="1:13">
      <c r="A1937" s="2">
        <v>824</v>
      </c>
      <c r="B1937" s="2" t="s">
        <v>23145</v>
      </c>
      <c r="C1937" s="2">
        <v>17</v>
      </c>
      <c r="D1937" s="2">
        <v>341</v>
      </c>
      <c r="E1937" s="2">
        <v>200</v>
      </c>
      <c r="F1937" s="2">
        <v>32441</v>
      </c>
      <c r="G1937" s="2">
        <v>8.0864662759999995</v>
      </c>
      <c r="H1937" s="3">
        <v>1.5500000000000001E-10</v>
      </c>
      <c r="I1937" s="2" t="s">
        <v>40305</v>
      </c>
      <c r="J1937" s="2" t="s">
        <v>40306</v>
      </c>
      <c r="K1937" s="3">
        <v>2.0000000000000001E-9</v>
      </c>
      <c r="L1937" s="2" t="s">
        <v>1178</v>
      </c>
      <c r="M1937" s="4" t="s">
        <v>23148</v>
      </c>
    </row>
    <row r="1938" spans="1:13">
      <c r="A1938" s="2">
        <v>914</v>
      </c>
      <c r="B1938" s="2" t="s">
        <v>40307</v>
      </c>
      <c r="C1938" s="2">
        <v>17</v>
      </c>
      <c r="D1938" s="2">
        <v>341</v>
      </c>
      <c r="E1938" s="2">
        <v>200</v>
      </c>
      <c r="F1938" s="2">
        <v>32441</v>
      </c>
      <c r="G1938" s="2">
        <v>8.0864662759999995</v>
      </c>
      <c r="H1938" s="3">
        <v>1.5500000000000001E-10</v>
      </c>
      <c r="I1938" s="2" t="s">
        <v>40308</v>
      </c>
      <c r="J1938" s="2" t="s">
        <v>40309</v>
      </c>
      <c r="K1938" s="3">
        <v>2.0000000000000001E-9</v>
      </c>
      <c r="L1938" s="2" t="s">
        <v>1178</v>
      </c>
      <c r="M1938" s="4" t="s">
        <v>40310</v>
      </c>
    </row>
    <row r="1939" spans="1:13">
      <c r="A1939" s="2">
        <v>950</v>
      </c>
      <c r="B1939" s="2" t="s">
        <v>40311</v>
      </c>
      <c r="C1939" s="2">
        <v>17</v>
      </c>
      <c r="D1939" s="2">
        <v>341</v>
      </c>
      <c r="E1939" s="2">
        <v>200</v>
      </c>
      <c r="F1939" s="2">
        <v>32441</v>
      </c>
      <c r="G1939" s="2">
        <v>8.0864662759999995</v>
      </c>
      <c r="H1939" s="3">
        <v>1.5500000000000001E-10</v>
      </c>
      <c r="I1939" s="2" t="s">
        <v>40312</v>
      </c>
      <c r="J1939" s="2" t="s">
        <v>40313</v>
      </c>
      <c r="K1939" s="3">
        <v>2.0000000000000001E-9</v>
      </c>
      <c r="L1939" s="2" t="s">
        <v>1178</v>
      </c>
      <c r="M1939" s="4" t="s">
        <v>40314</v>
      </c>
    </row>
    <row r="1940" spans="1:13">
      <c r="A1940" s="2">
        <v>1399</v>
      </c>
      <c r="B1940" s="2" t="s">
        <v>17945</v>
      </c>
      <c r="C1940" s="2">
        <v>17</v>
      </c>
      <c r="D1940" s="2">
        <v>341</v>
      </c>
      <c r="E1940" s="2">
        <v>200</v>
      </c>
      <c r="F1940" s="2">
        <v>32441</v>
      </c>
      <c r="G1940" s="2">
        <v>8.0864662759999995</v>
      </c>
      <c r="H1940" s="3">
        <v>1.5500000000000001E-10</v>
      </c>
      <c r="I1940" s="2" t="s">
        <v>40315</v>
      </c>
      <c r="J1940" s="2" t="s">
        <v>40316</v>
      </c>
      <c r="K1940" s="3">
        <v>2.0000000000000001E-9</v>
      </c>
      <c r="L1940" s="2" t="s">
        <v>1178</v>
      </c>
      <c r="M1940" s="4" t="s">
        <v>17948</v>
      </c>
    </row>
    <row r="1941" spans="1:13">
      <c r="A1941" s="2">
        <v>1717</v>
      </c>
      <c r="B1941" s="2" t="s">
        <v>14073</v>
      </c>
      <c r="C1941" s="2">
        <v>17</v>
      </c>
      <c r="D1941" s="2">
        <v>341</v>
      </c>
      <c r="E1941" s="2">
        <v>200</v>
      </c>
      <c r="F1941" s="2">
        <v>32441</v>
      </c>
      <c r="G1941" s="2">
        <v>8.0864662759999995</v>
      </c>
      <c r="H1941" s="3">
        <v>1.5500000000000001E-10</v>
      </c>
      <c r="I1941" s="2" t="s">
        <v>40317</v>
      </c>
      <c r="J1941" s="2" t="s">
        <v>40318</v>
      </c>
      <c r="K1941" s="3">
        <v>2.0000000000000001E-9</v>
      </c>
      <c r="L1941" s="2" t="s">
        <v>1178</v>
      </c>
      <c r="M1941" s="4" t="s">
        <v>14076</v>
      </c>
    </row>
    <row r="1942" spans="1:13">
      <c r="A1942" s="2">
        <v>1870</v>
      </c>
      <c r="B1942" s="2" t="s">
        <v>12816</v>
      </c>
      <c r="C1942" s="2">
        <v>17</v>
      </c>
      <c r="D1942" s="2">
        <v>341</v>
      </c>
      <c r="E1942" s="2">
        <v>200</v>
      </c>
      <c r="F1942" s="2">
        <v>32441</v>
      </c>
      <c r="G1942" s="2">
        <v>8.0864662759999995</v>
      </c>
      <c r="H1942" s="3">
        <v>1.5500000000000001E-10</v>
      </c>
      <c r="I1942" s="2" t="s">
        <v>40319</v>
      </c>
      <c r="J1942" s="2" t="s">
        <v>40320</v>
      </c>
      <c r="K1942" s="3">
        <v>2.0000000000000001E-9</v>
      </c>
      <c r="L1942" s="2" t="s">
        <v>1178</v>
      </c>
      <c r="M1942" s="4" t="s">
        <v>12819</v>
      </c>
    </row>
    <row r="1943" spans="1:13">
      <c r="A1943" s="2">
        <v>1940</v>
      </c>
      <c r="B1943" s="2" t="s">
        <v>22149</v>
      </c>
      <c r="C1943" s="2">
        <v>17</v>
      </c>
      <c r="D1943" s="2">
        <v>341</v>
      </c>
      <c r="E1943" s="2">
        <v>200</v>
      </c>
      <c r="F1943" s="2">
        <v>32441</v>
      </c>
      <c r="G1943" s="2">
        <v>8.0864662759999995</v>
      </c>
      <c r="H1943" s="3">
        <v>1.5500000000000001E-10</v>
      </c>
      <c r="I1943" s="2" t="s">
        <v>40321</v>
      </c>
      <c r="J1943" s="2" t="s">
        <v>40322</v>
      </c>
      <c r="K1943" s="3">
        <v>2.0000000000000001E-9</v>
      </c>
      <c r="L1943" s="2" t="s">
        <v>1178</v>
      </c>
      <c r="M1943" s="4" t="s">
        <v>22152</v>
      </c>
    </row>
    <row r="1944" spans="1:13">
      <c r="A1944" s="2">
        <v>2234</v>
      </c>
      <c r="B1944" s="2" t="s">
        <v>2538</v>
      </c>
      <c r="C1944" s="2">
        <v>17</v>
      </c>
      <c r="D1944" s="2">
        <v>341</v>
      </c>
      <c r="E1944" s="2">
        <v>200</v>
      </c>
      <c r="F1944" s="2">
        <v>32441</v>
      </c>
      <c r="G1944" s="2">
        <v>8.0864662759999995</v>
      </c>
      <c r="H1944" s="3">
        <v>1.5500000000000001E-10</v>
      </c>
      <c r="I1944" s="2" t="s">
        <v>40323</v>
      </c>
      <c r="J1944" s="2" t="s">
        <v>40324</v>
      </c>
      <c r="K1944" s="3">
        <v>2.0000000000000001E-9</v>
      </c>
      <c r="L1944" s="2" t="s">
        <v>1178</v>
      </c>
      <c r="M1944" s="4" t="s">
        <v>22211</v>
      </c>
    </row>
    <row r="1945" spans="1:13">
      <c r="A1945" s="2">
        <v>2252</v>
      </c>
      <c r="B1945" s="2" t="s">
        <v>2544</v>
      </c>
      <c r="C1945" s="2">
        <v>17</v>
      </c>
      <c r="D1945" s="2">
        <v>341</v>
      </c>
      <c r="E1945" s="2">
        <v>200</v>
      </c>
      <c r="F1945" s="2">
        <v>32441</v>
      </c>
      <c r="G1945" s="2">
        <v>8.0864662759999995</v>
      </c>
      <c r="H1945" s="3">
        <v>1.5500000000000001E-10</v>
      </c>
      <c r="I1945" s="2" t="s">
        <v>40325</v>
      </c>
      <c r="J1945" s="2" t="s">
        <v>40326</v>
      </c>
      <c r="K1945" s="3">
        <v>2.0000000000000001E-9</v>
      </c>
      <c r="L1945" s="2" t="s">
        <v>1178</v>
      </c>
      <c r="M1945" s="4" t="s">
        <v>19866</v>
      </c>
    </row>
    <row r="1946" spans="1:13">
      <c r="A1946" s="2">
        <v>2933</v>
      </c>
      <c r="B1946" s="2" t="s">
        <v>17345</v>
      </c>
      <c r="C1946" s="2">
        <v>17</v>
      </c>
      <c r="D1946" s="2">
        <v>341</v>
      </c>
      <c r="E1946" s="2">
        <v>200</v>
      </c>
      <c r="F1946" s="2">
        <v>32441</v>
      </c>
      <c r="G1946" s="2">
        <v>8.0864662759999995</v>
      </c>
      <c r="H1946" s="3">
        <v>1.5500000000000001E-10</v>
      </c>
      <c r="I1946" s="2" t="s">
        <v>40327</v>
      </c>
      <c r="J1946" s="2" t="s">
        <v>40328</v>
      </c>
      <c r="K1946" s="3">
        <v>2.0000000000000001E-9</v>
      </c>
      <c r="L1946" s="2" t="s">
        <v>1178</v>
      </c>
      <c r="M1946" s="4" t="s">
        <v>17348</v>
      </c>
    </row>
    <row r="1947" spans="1:13">
      <c r="A1947" s="2">
        <v>2939</v>
      </c>
      <c r="B1947" s="2" t="s">
        <v>19937</v>
      </c>
      <c r="C1947" s="2">
        <v>17</v>
      </c>
      <c r="D1947" s="2">
        <v>341</v>
      </c>
      <c r="E1947" s="2">
        <v>200</v>
      </c>
      <c r="F1947" s="2">
        <v>32441</v>
      </c>
      <c r="G1947" s="2">
        <v>8.0864662759999995</v>
      </c>
      <c r="H1947" s="3">
        <v>1.5500000000000001E-10</v>
      </c>
      <c r="I1947" s="2" t="s">
        <v>40329</v>
      </c>
      <c r="J1947" s="2" t="s">
        <v>40330</v>
      </c>
      <c r="K1947" s="3">
        <v>2.0000000000000001E-9</v>
      </c>
      <c r="L1947" s="2" t="s">
        <v>1178</v>
      </c>
      <c r="M1947" s="4" t="s">
        <v>19940</v>
      </c>
    </row>
    <row r="1948" spans="1:13">
      <c r="A1948" s="2">
        <v>29891</v>
      </c>
      <c r="B1948" s="2" t="s">
        <v>32078</v>
      </c>
      <c r="C1948" s="2">
        <v>17</v>
      </c>
      <c r="D1948" s="2">
        <v>341</v>
      </c>
      <c r="E1948" s="2">
        <v>200</v>
      </c>
      <c r="F1948" s="2">
        <v>32441</v>
      </c>
      <c r="G1948" s="2">
        <v>8.0864662759999995</v>
      </c>
      <c r="H1948" s="3">
        <v>1.5500000000000001E-10</v>
      </c>
      <c r="I1948" s="2" t="s">
        <v>40331</v>
      </c>
      <c r="J1948" s="2" t="s">
        <v>40332</v>
      </c>
      <c r="K1948" s="3">
        <v>2.0000000000000001E-9</v>
      </c>
      <c r="L1948" s="2" t="s">
        <v>1178</v>
      </c>
      <c r="M1948" s="4" t="s">
        <v>32081</v>
      </c>
    </row>
    <row r="1949" spans="1:13">
      <c r="A1949" s="2">
        <v>3477</v>
      </c>
      <c r="B1949" s="2" t="s">
        <v>40333</v>
      </c>
      <c r="C1949" s="2">
        <v>17</v>
      </c>
      <c r="D1949" s="2">
        <v>341</v>
      </c>
      <c r="E1949" s="2">
        <v>200</v>
      </c>
      <c r="F1949" s="2">
        <v>32441</v>
      </c>
      <c r="G1949" s="2">
        <v>8.0864662759999995</v>
      </c>
      <c r="H1949" s="3">
        <v>1.5500000000000001E-10</v>
      </c>
      <c r="I1949" s="2" t="s">
        <v>40334</v>
      </c>
      <c r="J1949" s="2" t="s">
        <v>40335</v>
      </c>
      <c r="K1949" s="3">
        <v>2.0000000000000001E-9</v>
      </c>
      <c r="L1949" s="2" t="s">
        <v>1178</v>
      </c>
      <c r="M1949" s="4" t="s">
        <v>40336</v>
      </c>
    </row>
    <row r="1950" spans="1:13">
      <c r="A1950" s="2">
        <v>4188</v>
      </c>
      <c r="B1950" s="2" t="s">
        <v>15463</v>
      </c>
      <c r="C1950" s="2">
        <v>17</v>
      </c>
      <c r="D1950" s="2">
        <v>341</v>
      </c>
      <c r="E1950" s="2">
        <v>200</v>
      </c>
      <c r="F1950" s="2">
        <v>32441</v>
      </c>
      <c r="G1950" s="2">
        <v>8.0864662759999995</v>
      </c>
      <c r="H1950" s="3">
        <v>1.5500000000000001E-10</v>
      </c>
      <c r="I1950" s="2" t="s">
        <v>40337</v>
      </c>
      <c r="J1950" s="2" t="s">
        <v>40338</v>
      </c>
      <c r="K1950" s="3">
        <v>2.0000000000000001E-9</v>
      </c>
      <c r="L1950" s="2" t="s">
        <v>1178</v>
      </c>
      <c r="M1950" s="4" t="s">
        <v>15466</v>
      </c>
    </row>
    <row r="1951" spans="1:13">
      <c r="A1951" s="2">
        <v>4436</v>
      </c>
      <c r="B1951" s="2" t="s">
        <v>19205</v>
      </c>
      <c r="C1951" s="2">
        <v>17</v>
      </c>
      <c r="D1951" s="2">
        <v>341</v>
      </c>
      <c r="E1951" s="2">
        <v>200</v>
      </c>
      <c r="F1951" s="2">
        <v>32441</v>
      </c>
      <c r="G1951" s="2">
        <v>8.0864662759999995</v>
      </c>
      <c r="H1951" s="3">
        <v>1.5500000000000001E-10</v>
      </c>
      <c r="I1951" s="2" t="s">
        <v>40339</v>
      </c>
      <c r="J1951" s="2" t="s">
        <v>40340</v>
      </c>
      <c r="K1951" s="3">
        <v>2.0000000000000001E-9</v>
      </c>
      <c r="L1951" s="2" t="s">
        <v>1178</v>
      </c>
      <c r="M1951" s="4" t="s">
        <v>19208</v>
      </c>
    </row>
    <row r="1952" spans="1:13">
      <c r="A1952" s="2">
        <v>4484</v>
      </c>
      <c r="B1952" s="2" t="s">
        <v>40341</v>
      </c>
      <c r="C1952" s="2">
        <v>17</v>
      </c>
      <c r="D1952" s="2">
        <v>341</v>
      </c>
      <c r="E1952" s="2">
        <v>200</v>
      </c>
      <c r="F1952" s="2">
        <v>32441</v>
      </c>
      <c r="G1952" s="2">
        <v>8.0864662759999995</v>
      </c>
      <c r="H1952" s="3">
        <v>1.5500000000000001E-10</v>
      </c>
      <c r="I1952" s="2" t="s">
        <v>40342</v>
      </c>
      <c r="J1952" s="2" t="s">
        <v>40343</v>
      </c>
      <c r="K1952" s="3">
        <v>2.0000000000000001E-9</v>
      </c>
      <c r="L1952" s="2" t="s">
        <v>1178</v>
      </c>
      <c r="M1952" s="4" t="s">
        <v>40344</v>
      </c>
    </row>
    <row r="1953" spans="1:13">
      <c r="A1953" s="2">
        <v>4541</v>
      </c>
      <c r="B1953" s="2" t="s">
        <v>18351</v>
      </c>
      <c r="C1953" s="2">
        <v>17</v>
      </c>
      <c r="D1953" s="2">
        <v>341</v>
      </c>
      <c r="E1953" s="2">
        <v>200</v>
      </c>
      <c r="F1953" s="2">
        <v>32441</v>
      </c>
      <c r="G1953" s="2">
        <v>8.0864662759999995</v>
      </c>
      <c r="H1953" s="3">
        <v>1.5500000000000001E-10</v>
      </c>
      <c r="I1953" s="2" t="s">
        <v>40345</v>
      </c>
      <c r="J1953" s="2" t="s">
        <v>40346</v>
      </c>
      <c r="K1953" s="3">
        <v>2.0000000000000001E-9</v>
      </c>
      <c r="L1953" s="2" t="s">
        <v>1178</v>
      </c>
      <c r="M1953" s="4" t="s">
        <v>18354</v>
      </c>
    </row>
    <row r="1954" spans="1:13">
      <c r="A1954" s="2">
        <v>4107</v>
      </c>
      <c r="B1954" s="2" t="s">
        <v>20323</v>
      </c>
      <c r="C1954" s="2">
        <v>14</v>
      </c>
      <c r="D1954" s="2">
        <v>341</v>
      </c>
      <c r="E1954" s="2">
        <v>122</v>
      </c>
      <c r="F1954" s="2">
        <v>32441</v>
      </c>
      <c r="G1954" s="2">
        <v>10.91711937</v>
      </c>
      <c r="H1954" s="3">
        <v>1.81E-10</v>
      </c>
      <c r="I1954" s="2" t="s">
        <v>40347</v>
      </c>
      <c r="J1954" s="2" t="s">
        <v>40348</v>
      </c>
      <c r="K1954" s="3">
        <v>2.3199999999999998E-9</v>
      </c>
      <c r="L1954" s="2" t="s">
        <v>1178</v>
      </c>
      <c r="M1954" s="4" t="s">
        <v>20326</v>
      </c>
    </row>
    <row r="1955" spans="1:13">
      <c r="A1955" s="2">
        <v>2460</v>
      </c>
      <c r="B1955" s="2" t="s">
        <v>16244</v>
      </c>
      <c r="C1955" s="2">
        <v>15</v>
      </c>
      <c r="D1955" s="2">
        <v>341</v>
      </c>
      <c r="E1955" s="2">
        <v>147</v>
      </c>
      <c r="F1955" s="2">
        <v>32441</v>
      </c>
      <c r="G1955" s="2">
        <v>9.7076425880000006</v>
      </c>
      <c r="H1955" s="3">
        <v>1.8199999999999999E-10</v>
      </c>
      <c r="I1955" s="2" t="s">
        <v>40349</v>
      </c>
      <c r="J1955" s="2" t="s">
        <v>40350</v>
      </c>
      <c r="K1955" s="3">
        <v>2.3400000000000002E-9</v>
      </c>
      <c r="L1955" s="2" t="s">
        <v>1178</v>
      </c>
      <c r="M1955" s="4" t="s">
        <v>16247</v>
      </c>
    </row>
    <row r="1956" spans="1:13">
      <c r="A1956" s="2">
        <v>28931</v>
      </c>
      <c r="B1956" s="2" t="s">
        <v>40351</v>
      </c>
      <c r="C1956" s="2">
        <v>15</v>
      </c>
      <c r="D1956" s="2">
        <v>341</v>
      </c>
      <c r="E1956" s="2">
        <v>158</v>
      </c>
      <c r="F1956" s="2">
        <v>32441</v>
      </c>
      <c r="G1956" s="2">
        <v>9.0317940530000005</v>
      </c>
      <c r="H1956" s="3">
        <v>4.6000000000000001E-10</v>
      </c>
      <c r="I1956" s="2" t="s">
        <v>40352</v>
      </c>
      <c r="J1956" s="2" t="s">
        <v>40353</v>
      </c>
      <c r="K1956" s="3">
        <v>5.8800000000000004E-9</v>
      </c>
      <c r="L1956" s="2" t="s">
        <v>1178</v>
      </c>
      <c r="M1956" s="4" t="s">
        <v>40354</v>
      </c>
    </row>
    <row r="1957" spans="1:13">
      <c r="A1957" s="2">
        <v>2529</v>
      </c>
      <c r="B1957" s="2" t="s">
        <v>22735</v>
      </c>
      <c r="C1957" s="2">
        <v>15</v>
      </c>
      <c r="D1957" s="2">
        <v>341</v>
      </c>
      <c r="E1957" s="2">
        <v>167</v>
      </c>
      <c r="F1957" s="2">
        <v>32441</v>
      </c>
      <c r="G1957" s="2">
        <v>8.5450506609999994</v>
      </c>
      <c r="H1957" s="3">
        <v>9.3400000000000008E-10</v>
      </c>
      <c r="I1957" s="2" t="s">
        <v>40355</v>
      </c>
      <c r="J1957" s="2" t="s">
        <v>40356</v>
      </c>
      <c r="K1957" s="3">
        <v>1.1900000000000001E-8</v>
      </c>
      <c r="L1957" s="2" t="s">
        <v>1178</v>
      </c>
      <c r="M1957" s="4" t="s">
        <v>22738</v>
      </c>
    </row>
    <row r="1958" spans="1:13">
      <c r="A1958" s="2">
        <v>2533</v>
      </c>
      <c r="B1958" s="2" t="s">
        <v>21699</v>
      </c>
      <c r="C1958" s="2">
        <v>16</v>
      </c>
      <c r="D1958" s="2">
        <v>341</v>
      </c>
      <c r="E1958" s="2">
        <v>199</v>
      </c>
      <c r="F1958" s="2">
        <v>32441</v>
      </c>
      <c r="G1958" s="2">
        <v>7.6490369740000004</v>
      </c>
      <c r="H1958" s="3">
        <v>1.15E-9</v>
      </c>
      <c r="I1958" s="2" t="s">
        <v>40357</v>
      </c>
      <c r="J1958" s="2" t="s">
        <v>40358</v>
      </c>
      <c r="K1958" s="3">
        <v>1.46E-8</v>
      </c>
      <c r="L1958" s="2" t="s">
        <v>1178</v>
      </c>
      <c r="M1958" s="4" t="s">
        <v>21702</v>
      </c>
    </row>
    <row r="1959" spans="1:13">
      <c r="A1959" s="2">
        <v>2591</v>
      </c>
      <c r="B1959" s="2" t="s">
        <v>14132</v>
      </c>
      <c r="C1959" s="2">
        <v>16</v>
      </c>
      <c r="D1959" s="2">
        <v>341</v>
      </c>
      <c r="E1959" s="2">
        <v>199</v>
      </c>
      <c r="F1959" s="2">
        <v>32441</v>
      </c>
      <c r="G1959" s="2">
        <v>7.6490369740000004</v>
      </c>
      <c r="H1959" s="3">
        <v>1.15E-9</v>
      </c>
      <c r="I1959" s="2" t="s">
        <v>40359</v>
      </c>
      <c r="J1959" s="2" t="s">
        <v>40360</v>
      </c>
      <c r="K1959" s="3">
        <v>1.46E-8</v>
      </c>
      <c r="L1959" s="2" t="s">
        <v>1178</v>
      </c>
      <c r="M1959" s="4" t="s">
        <v>14135</v>
      </c>
    </row>
    <row r="1960" spans="1:13">
      <c r="A1960" s="2">
        <v>172</v>
      </c>
      <c r="B1960" s="2" t="s">
        <v>24303</v>
      </c>
      <c r="C1960" s="2">
        <v>16</v>
      </c>
      <c r="D1960" s="2">
        <v>341</v>
      </c>
      <c r="E1960" s="2">
        <v>200</v>
      </c>
      <c r="F1960" s="2">
        <v>32441</v>
      </c>
      <c r="G1960" s="2">
        <v>7.6107917890000003</v>
      </c>
      <c r="H1960" s="3">
        <v>1.2300000000000001E-9</v>
      </c>
      <c r="I1960" s="2" t="s">
        <v>40361</v>
      </c>
      <c r="J1960" s="2" t="s">
        <v>40362</v>
      </c>
      <c r="K1960" s="3">
        <v>1.51E-8</v>
      </c>
      <c r="L1960" s="2" t="s">
        <v>1178</v>
      </c>
      <c r="M1960" s="4" t="s">
        <v>24306</v>
      </c>
    </row>
    <row r="1961" spans="1:13">
      <c r="A1961" s="2">
        <v>406</v>
      </c>
      <c r="B1961" s="2" t="s">
        <v>17760</v>
      </c>
      <c r="C1961" s="2">
        <v>16</v>
      </c>
      <c r="D1961" s="2">
        <v>341</v>
      </c>
      <c r="E1961" s="2">
        <v>200</v>
      </c>
      <c r="F1961" s="2">
        <v>32441</v>
      </c>
      <c r="G1961" s="2">
        <v>7.6107917890000003</v>
      </c>
      <c r="H1961" s="3">
        <v>1.2300000000000001E-9</v>
      </c>
      <c r="I1961" s="2" t="s">
        <v>40363</v>
      </c>
      <c r="J1961" s="2" t="s">
        <v>40364</v>
      </c>
      <c r="K1961" s="3">
        <v>1.51E-8</v>
      </c>
      <c r="L1961" s="2" t="s">
        <v>1178</v>
      </c>
      <c r="M1961" s="4" t="s">
        <v>17763</v>
      </c>
    </row>
    <row r="1962" spans="1:13">
      <c r="A1962" s="2">
        <v>670</v>
      </c>
      <c r="B1962" s="2" t="s">
        <v>17003</v>
      </c>
      <c r="C1962" s="2">
        <v>16</v>
      </c>
      <c r="D1962" s="2">
        <v>341</v>
      </c>
      <c r="E1962" s="2">
        <v>200</v>
      </c>
      <c r="F1962" s="2">
        <v>32441</v>
      </c>
      <c r="G1962" s="2">
        <v>7.6107917890000003</v>
      </c>
      <c r="H1962" s="3">
        <v>1.2300000000000001E-9</v>
      </c>
      <c r="I1962" s="2" t="s">
        <v>40365</v>
      </c>
      <c r="J1962" s="2" t="s">
        <v>40366</v>
      </c>
      <c r="K1962" s="3">
        <v>1.51E-8</v>
      </c>
      <c r="L1962" s="2" t="s">
        <v>1178</v>
      </c>
      <c r="M1962" s="4" t="s">
        <v>17006</v>
      </c>
    </row>
    <row r="1963" spans="1:13">
      <c r="A1963" s="2">
        <v>919</v>
      </c>
      <c r="B1963" s="2" t="s">
        <v>23185</v>
      </c>
      <c r="C1963" s="2">
        <v>16</v>
      </c>
      <c r="D1963" s="2">
        <v>341</v>
      </c>
      <c r="E1963" s="2">
        <v>200</v>
      </c>
      <c r="F1963" s="2">
        <v>32441</v>
      </c>
      <c r="G1963" s="2">
        <v>7.6107917890000003</v>
      </c>
      <c r="H1963" s="3">
        <v>1.2300000000000001E-9</v>
      </c>
      <c r="I1963" s="2" t="s">
        <v>40367</v>
      </c>
      <c r="J1963" s="2" t="s">
        <v>40368</v>
      </c>
      <c r="K1963" s="3">
        <v>1.51E-8</v>
      </c>
      <c r="L1963" s="2" t="s">
        <v>1178</v>
      </c>
      <c r="M1963" s="4" t="s">
        <v>23188</v>
      </c>
    </row>
    <row r="1964" spans="1:13">
      <c r="A1964" s="2">
        <v>1161</v>
      </c>
      <c r="B1964" s="2" t="s">
        <v>40369</v>
      </c>
      <c r="C1964" s="2">
        <v>16</v>
      </c>
      <c r="D1964" s="2">
        <v>341</v>
      </c>
      <c r="E1964" s="2">
        <v>200</v>
      </c>
      <c r="F1964" s="2">
        <v>32441</v>
      </c>
      <c r="G1964" s="2">
        <v>7.6107917890000003</v>
      </c>
      <c r="H1964" s="3">
        <v>1.2300000000000001E-9</v>
      </c>
      <c r="I1964" s="2" t="s">
        <v>40370</v>
      </c>
      <c r="J1964" s="2" t="s">
        <v>40371</v>
      </c>
      <c r="K1964" s="3">
        <v>1.51E-8</v>
      </c>
      <c r="L1964" s="2" t="s">
        <v>1178</v>
      </c>
      <c r="M1964" s="4" t="s">
        <v>40372</v>
      </c>
    </row>
    <row r="1965" spans="1:13">
      <c r="A1965" s="2">
        <v>1404</v>
      </c>
      <c r="B1965" s="2" t="s">
        <v>19699</v>
      </c>
      <c r="C1965" s="2">
        <v>16</v>
      </c>
      <c r="D1965" s="2">
        <v>341</v>
      </c>
      <c r="E1965" s="2">
        <v>200</v>
      </c>
      <c r="F1965" s="2">
        <v>32441</v>
      </c>
      <c r="G1965" s="2">
        <v>7.6107917890000003</v>
      </c>
      <c r="H1965" s="3">
        <v>1.2300000000000001E-9</v>
      </c>
      <c r="I1965" s="2" t="s">
        <v>40373</v>
      </c>
      <c r="J1965" s="2" t="s">
        <v>40374</v>
      </c>
      <c r="K1965" s="3">
        <v>1.51E-8</v>
      </c>
      <c r="L1965" s="2" t="s">
        <v>1178</v>
      </c>
      <c r="M1965" s="4" t="s">
        <v>19702</v>
      </c>
    </row>
    <row r="1966" spans="1:13">
      <c r="A1966" s="2">
        <v>1486</v>
      </c>
      <c r="B1966" s="2" t="s">
        <v>40375</v>
      </c>
      <c r="C1966" s="2">
        <v>16</v>
      </c>
      <c r="D1966" s="2">
        <v>341</v>
      </c>
      <c r="E1966" s="2">
        <v>200</v>
      </c>
      <c r="F1966" s="2">
        <v>32441</v>
      </c>
      <c r="G1966" s="2">
        <v>7.6107917890000003</v>
      </c>
      <c r="H1966" s="3">
        <v>1.2300000000000001E-9</v>
      </c>
      <c r="I1966" s="2" t="s">
        <v>40376</v>
      </c>
      <c r="J1966" s="2" t="s">
        <v>40377</v>
      </c>
      <c r="K1966" s="3">
        <v>1.51E-8</v>
      </c>
      <c r="L1966" s="2" t="s">
        <v>1178</v>
      </c>
      <c r="M1966" s="4" t="s">
        <v>40378</v>
      </c>
    </row>
    <row r="1967" spans="1:13">
      <c r="A1967" s="2">
        <v>1799</v>
      </c>
      <c r="B1967" s="2" t="s">
        <v>23457</v>
      </c>
      <c r="C1967" s="2">
        <v>16</v>
      </c>
      <c r="D1967" s="2">
        <v>341</v>
      </c>
      <c r="E1967" s="2">
        <v>200</v>
      </c>
      <c r="F1967" s="2">
        <v>32441</v>
      </c>
      <c r="G1967" s="2">
        <v>7.6107917890000003</v>
      </c>
      <c r="H1967" s="3">
        <v>1.2300000000000001E-9</v>
      </c>
      <c r="I1967" s="2" t="s">
        <v>40379</v>
      </c>
      <c r="J1967" s="2" t="s">
        <v>40380</v>
      </c>
      <c r="K1967" s="3">
        <v>1.51E-8</v>
      </c>
      <c r="L1967" s="2" t="s">
        <v>1178</v>
      </c>
      <c r="M1967" s="4" t="s">
        <v>23460</v>
      </c>
    </row>
    <row r="1968" spans="1:13">
      <c r="A1968" s="2">
        <v>2624</v>
      </c>
      <c r="B1968" s="2" t="s">
        <v>31400</v>
      </c>
      <c r="C1968" s="2">
        <v>16</v>
      </c>
      <c r="D1968" s="2">
        <v>341</v>
      </c>
      <c r="E1968" s="2">
        <v>200</v>
      </c>
      <c r="F1968" s="2">
        <v>32441</v>
      </c>
      <c r="G1968" s="2">
        <v>7.6107917890000003</v>
      </c>
      <c r="H1968" s="3">
        <v>1.2300000000000001E-9</v>
      </c>
      <c r="I1968" s="2" t="s">
        <v>40381</v>
      </c>
      <c r="J1968" s="2" t="s">
        <v>40382</v>
      </c>
      <c r="K1968" s="3">
        <v>1.51E-8</v>
      </c>
      <c r="L1968" s="2" t="s">
        <v>1178</v>
      </c>
      <c r="M1968" s="4" t="s">
        <v>31403</v>
      </c>
    </row>
    <row r="1969" spans="1:13">
      <c r="A1969" s="2">
        <v>2943</v>
      </c>
      <c r="B1969" s="2" t="s">
        <v>19948</v>
      </c>
      <c r="C1969" s="2">
        <v>16</v>
      </c>
      <c r="D1969" s="2">
        <v>341</v>
      </c>
      <c r="E1969" s="2">
        <v>200</v>
      </c>
      <c r="F1969" s="2">
        <v>32441</v>
      </c>
      <c r="G1969" s="2">
        <v>7.6107917890000003</v>
      </c>
      <c r="H1969" s="3">
        <v>1.2300000000000001E-9</v>
      </c>
      <c r="I1969" s="2" t="s">
        <v>40383</v>
      </c>
      <c r="J1969" s="2" t="s">
        <v>40384</v>
      </c>
      <c r="K1969" s="3">
        <v>1.51E-8</v>
      </c>
      <c r="L1969" s="2" t="s">
        <v>1178</v>
      </c>
      <c r="M1969" s="4" t="s">
        <v>19951</v>
      </c>
    </row>
    <row r="1970" spans="1:13">
      <c r="A1970" s="2">
        <v>3539</v>
      </c>
      <c r="B1970" s="2" t="s">
        <v>1434</v>
      </c>
      <c r="C1970" s="2">
        <v>16</v>
      </c>
      <c r="D1970" s="2">
        <v>341</v>
      </c>
      <c r="E1970" s="2">
        <v>200</v>
      </c>
      <c r="F1970" s="2">
        <v>32441</v>
      </c>
      <c r="G1970" s="2">
        <v>7.6107917890000003</v>
      </c>
      <c r="H1970" s="3">
        <v>1.2300000000000001E-9</v>
      </c>
      <c r="I1970" s="2" t="s">
        <v>40385</v>
      </c>
      <c r="J1970" s="2" t="s">
        <v>40386</v>
      </c>
      <c r="K1970" s="3">
        <v>1.51E-8</v>
      </c>
      <c r="L1970" s="2" t="s">
        <v>1178</v>
      </c>
      <c r="M1970" s="4" t="s">
        <v>40387</v>
      </c>
    </row>
    <row r="1971" spans="1:13">
      <c r="A1971" s="2">
        <v>3550</v>
      </c>
      <c r="B1971" s="2" t="s">
        <v>13584</v>
      </c>
      <c r="C1971" s="2">
        <v>16</v>
      </c>
      <c r="D1971" s="2">
        <v>341</v>
      </c>
      <c r="E1971" s="2">
        <v>200</v>
      </c>
      <c r="F1971" s="2">
        <v>32441</v>
      </c>
      <c r="G1971" s="2">
        <v>7.6107917890000003</v>
      </c>
      <c r="H1971" s="3">
        <v>1.2300000000000001E-9</v>
      </c>
      <c r="I1971" s="2" t="s">
        <v>40388</v>
      </c>
      <c r="J1971" s="2" t="s">
        <v>40389</v>
      </c>
      <c r="K1971" s="3">
        <v>1.51E-8</v>
      </c>
      <c r="L1971" s="2" t="s">
        <v>1178</v>
      </c>
      <c r="M1971" s="4" t="s">
        <v>13587</v>
      </c>
    </row>
    <row r="1972" spans="1:13">
      <c r="A1972" s="2">
        <v>44991</v>
      </c>
      <c r="B1972" s="2" t="s">
        <v>40390</v>
      </c>
      <c r="C1972" s="2">
        <v>16</v>
      </c>
      <c r="D1972" s="2">
        <v>341</v>
      </c>
      <c r="E1972" s="2">
        <v>200</v>
      </c>
      <c r="F1972" s="2">
        <v>32441</v>
      </c>
      <c r="G1972" s="2">
        <v>7.6107917890000003</v>
      </c>
      <c r="H1972" s="3">
        <v>1.2300000000000001E-9</v>
      </c>
      <c r="I1972" s="2" t="s">
        <v>40391</v>
      </c>
      <c r="J1972" s="2" t="s">
        <v>40392</v>
      </c>
      <c r="K1972" s="3">
        <v>1.51E-8</v>
      </c>
      <c r="L1972" s="2" t="s">
        <v>1178</v>
      </c>
      <c r="M1972" s="4" t="s">
        <v>40393</v>
      </c>
    </row>
    <row r="1973" spans="1:13">
      <c r="A1973" s="2">
        <v>2653</v>
      </c>
      <c r="B1973" s="2" t="s">
        <v>19300</v>
      </c>
      <c r="C1973" s="2">
        <v>15</v>
      </c>
      <c r="D1973" s="2">
        <v>341</v>
      </c>
      <c r="E1973" s="2">
        <v>173</v>
      </c>
      <c r="F1973" s="2">
        <v>32441</v>
      </c>
      <c r="G1973" s="2">
        <v>8.2486905230000005</v>
      </c>
      <c r="H1973" s="3">
        <v>1.4700000000000001E-9</v>
      </c>
      <c r="I1973" s="2" t="s">
        <v>40394</v>
      </c>
      <c r="J1973" s="2" t="s">
        <v>40395</v>
      </c>
      <c r="K1973" s="3">
        <v>1.7900000000000001E-8</v>
      </c>
      <c r="L1973" s="2" t="s">
        <v>1178</v>
      </c>
      <c r="M1973" s="4" t="s">
        <v>19303</v>
      </c>
    </row>
    <row r="1974" spans="1:13">
      <c r="A1974" s="2">
        <v>4111</v>
      </c>
      <c r="B1974" s="2" t="s">
        <v>20295</v>
      </c>
      <c r="C1974" s="2">
        <v>15</v>
      </c>
      <c r="D1974" s="2">
        <v>341</v>
      </c>
      <c r="E1974" s="2">
        <v>178</v>
      </c>
      <c r="F1974" s="2">
        <v>32441</v>
      </c>
      <c r="G1974" s="2">
        <v>8.0169857330000003</v>
      </c>
      <c r="H1974" s="3">
        <v>2.1000000000000002E-9</v>
      </c>
      <c r="I1974" s="2" t="s">
        <v>40396</v>
      </c>
      <c r="J1974" s="2" t="s">
        <v>40397</v>
      </c>
      <c r="K1974" s="3">
        <v>2.5699999999999999E-8</v>
      </c>
      <c r="L1974" s="2" t="s">
        <v>1178</v>
      </c>
      <c r="M1974" s="4" t="s">
        <v>20298</v>
      </c>
    </row>
    <row r="1975" spans="1:13">
      <c r="A1975" s="2">
        <v>2700</v>
      </c>
      <c r="B1975" s="2" t="s">
        <v>17688</v>
      </c>
      <c r="C1975" s="2">
        <v>14</v>
      </c>
      <c r="D1975" s="2">
        <v>341</v>
      </c>
      <c r="E1975" s="2">
        <v>165</v>
      </c>
      <c r="F1975" s="2">
        <v>32441</v>
      </c>
      <c r="G1975" s="2">
        <v>8.0720518969999997</v>
      </c>
      <c r="H1975" s="3">
        <v>6.7100000000000002E-9</v>
      </c>
      <c r="I1975" s="2" t="s">
        <v>40398</v>
      </c>
      <c r="J1975" s="2" t="s">
        <v>40399</v>
      </c>
      <c r="K1975" s="3">
        <v>8.1699999999999997E-8</v>
      </c>
      <c r="L1975" s="2" t="s">
        <v>1178</v>
      </c>
      <c r="M1975" s="4" t="s">
        <v>17691</v>
      </c>
    </row>
    <row r="1976" spans="1:13">
      <c r="A1976" s="2">
        <v>132</v>
      </c>
      <c r="B1976" s="2" t="s">
        <v>31490</v>
      </c>
      <c r="C1976" s="2">
        <v>15</v>
      </c>
      <c r="D1976" s="2">
        <v>341</v>
      </c>
      <c r="E1976" s="2">
        <v>200</v>
      </c>
      <c r="F1976" s="2">
        <v>32441</v>
      </c>
      <c r="G1976" s="2">
        <v>7.1351173020000003</v>
      </c>
      <c r="H1976" s="3">
        <v>9.1700000000000004E-9</v>
      </c>
      <c r="I1976" s="2" t="s">
        <v>40400</v>
      </c>
      <c r="J1976" s="2" t="s">
        <v>40401</v>
      </c>
      <c r="K1976" s="3">
        <v>1.03E-7</v>
      </c>
      <c r="L1976" s="2" t="s">
        <v>1178</v>
      </c>
      <c r="M1976" s="4" t="s">
        <v>31493</v>
      </c>
    </row>
    <row r="1977" spans="1:13">
      <c r="A1977" s="2">
        <v>8001</v>
      </c>
      <c r="B1977" s="2" t="s">
        <v>40402</v>
      </c>
      <c r="C1977" s="2">
        <v>15</v>
      </c>
      <c r="D1977" s="2">
        <v>341</v>
      </c>
      <c r="E1977" s="2">
        <v>200</v>
      </c>
      <c r="F1977" s="2">
        <v>32441</v>
      </c>
      <c r="G1977" s="2">
        <v>7.1351173020000003</v>
      </c>
      <c r="H1977" s="3">
        <v>9.1700000000000004E-9</v>
      </c>
      <c r="I1977" s="2" t="s">
        <v>40403</v>
      </c>
      <c r="J1977" s="2" t="s">
        <v>40404</v>
      </c>
      <c r="K1977" s="3">
        <v>1.03E-7</v>
      </c>
      <c r="L1977" s="2" t="s">
        <v>1178</v>
      </c>
      <c r="M1977" s="4" t="s">
        <v>40405</v>
      </c>
    </row>
    <row r="1978" spans="1:13">
      <c r="A1978" s="2">
        <v>881</v>
      </c>
      <c r="B1978" s="2" t="s">
        <v>13216</v>
      </c>
      <c r="C1978" s="2">
        <v>15</v>
      </c>
      <c r="D1978" s="2">
        <v>341</v>
      </c>
      <c r="E1978" s="2">
        <v>200</v>
      </c>
      <c r="F1978" s="2">
        <v>32441</v>
      </c>
      <c r="G1978" s="2">
        <v>7.1351173020000003</v>
      </c>
      <c r="H1978" s="3">
        <v>9.1700000000000004E-9</v>
      </c>
      <c r="I1978" s="2" t="s">
        <v>40406</v>
      </c>
      <c r="J1978" s="2" t="s">
        <v>40407</v>
      </c>
      <c r="K1978" s="3">
        <v>1.03E-7</v>
      </c>
      <c r="L1978" s="2" t="s">
        <v>1178</v>
      </c>
      <c r="M1978" s="4" t="s">
        <v>13219</v>
      </c>
    </row>
    <row r="1979" spans="1:13">
      <c r="A1979" s="2">
        <v>1149</v>
      </c>
      <c r="B1979" s="2" t="s">
        <v>40408</v>
      </c>
      <c r="C1979" s="2">
        <v>15</v>
      </c>
      <c r="D1979" s="2">
        <v>341</v>
      </c>
      <c r="E1979" s="2">
        <v>200</v>
      </c>
      <c r="F1979" s="2">
        <v>32441</v>
      </c>
      <c r="G1979" s="2">
        <v>7.1351173020000003</v>
      </c>
      <c r="H1979" s="3">
        <v>9.1700000000000004E-9</v>
      </c>
      <c r="I1979" s="2" t="s">
        <v>40409</v>
      </c>
      <c r="J1979" s="2" t="s">
        <v>40410</v>
      </c>
      <c r="K1979" s="3">
        <v>1.03E-7</v>
      </c>
      <c r="L1979" s="2" t="s">
        <v>1178</v>
      </c>
      <c r="M1979" s="4" t="s">
        <v>40411</v>
      </c>
    </row>
    <row r="1980" spans="1:13">
      <c r="A1980" s="2">
        <v>1153</v>
      </c>
      <c r="B1980" s="2" t="s">
        <v>40412</v>
      </c>
      <c r="C1980" s="2">
        <v>15</v>
      </c>
      <c r="D1980" s="2">
        <v>341</v>
      </c>
      <c r="E1980" s="2">
        <v>200</v>
      </c>
      <c r="F1980" s="2">
        <v>32441</v>
      </c>
      <c r="G1980" s="2">
        <v>7.1351173020000003</v>
      </c>
      <c r="H1980" s="3">
        <v>9.1700000000000004E-9</v>
      </c>
      <c r="I1980" s="2" t="s">
        <v>40413</v>
      </c>
      <c r="J1980" s="2" t="s">
        <v>40414</v>
      </c>
      <c r="K1980" s="3">
        <v>1.03E-7</v>
      </c>
      <c r="L1980" s="2" t="s">
        <v>1178</v>
      </c>
      <c r="M1980" s="4" t="s">
        <v>40415</v>
      </c>
    </row>
    <row r="1981" spans="1:13">
      <c r="A1981" s="2">
        <v>1163</v>
      </c>
      <c r="B1981" s="2" t="s">
        <v>40416</v>
      </c>
      <c r="C1981" s="2">
        <v>15</v>
      </c>
      <c r="D1981" s="2">
        <v>341</v>
      </c>
      <c r="E1981" s="2">
        <v>200</v>
      </c>
      <c r="F1981" s="2">
        <v>32441</v>
      </c>
      <c r="G1981" s="2">
        <v>7.1351173020000003</v>
      </c>
      <c r="H1981" s="3">
        <v>9.1700000000000004E-9</v>
      </c>
      <c r="I1981" s="2" t="s">
        <v>40417</v>
      </c>
      <c r="J1981" s="2" t="s">
        <v>40418</v>
      </c>
      <c r="K1981" s="3">
        <v>1.03E-7</v>
      </c>
      <c r="L1981" s="2" t="s">
        <v>1178</v>
      </c>
      <c r="M1981" s="4" t="s">
        <v>40419</v>
      </c>
    </row>
    <row r="1982" spans="1:13">
      <c r="A1982" s="2">
        <v>1172</v>
      </c>
      <c r="B1982" s="2" t="s">
        <v>40420</v>
      </c>
      <c r="C1982" s="2">
        <v>15</v>
      </c>
      <c r="D1982" s="2">
        <v>341</v>
      </c>
      <c r="E1982" s="2">
        <v>199</v>
      </c>
      <c r="F1982" s="2">
        <v>32441</v>
      </c>
      <c r="G1982" s="2">
        <v>7.1709721630000001</v>
      </c>
      <c r="H1982" s="3">
        <v>8.6100000000000007E-9</v>
      </c>
      <c r="I1982" s="2" t="s">
        <v>40421</v>
      </c>
      <c r="J1982" s="2" t="s">
        <v>40422</v>
      </c>
      <c r="K1982" s="3">
        <v>1.03E-7</v>
      </c>
      <c r="L1982" s="2" t="s">
        <v>1178</v>
      </c>
      <c r="M1982" s="4" t="s">
        <v>40423</v>
      </c>
    </row>
    <row r="1983" spans="1:13">
      <c r="A1983" s="2">
        <v>12021</v>
      </c>
      <c r="B1983" s="2" t="s">
        <v>23255</v>
      </c>
      <c r="C1983" s="2">
        <v>15</v>
      </c>
      <c r="D1983" s="2">
        <v>341</v>
      </c>
      <c r="E1983" s="2">
        <v>200</v>
      </c>
      <c r="F1983" s="2">
        <v>32441</v>
      </c>
      <c r="G1983" s="2">
        <v>7.1351173020000003</v>
      </c>
      <c r="H1983" s="3">
        <v>9.1700000000000004E-9</v>
      </c>
      <c r="I1983" s="2" t="s">
        <v>40424</v>
      </c>
      <c r="J1983" s="2" t="s">
        <v>40425</v>
      </c>
      <c r="K1983" s="3">
        <v>1.03E-7</v>
      </c>
      <c r="L1983" s="2" t="s">
        <v>1178</v>
      </c>
      <c r="M1983" s="4" t="s">
        <v>23258</v>
      </c>
    </row>
    <row r="1984" spans="1:13">
      <c r="A1984" s="2">
        <v>12201</v>
      </c>
      <c r="B1984" s="2" t="s">
        <v>40426</v>
      </c>
      <c r="C1984" s="2">
        <v>15</v>
      </c>
      <c r="D1984" s="2">
        <v>341</v>
      </c>
      <c r="E1984" s="2">
        <v>200</v>
      </c>
      <c r="F1984" s="2">
        <v>32441</v>
      </c>
      <c r="G1984" s="2">
        <v>7.1351173020000003</v>
      </c>
      <c r="H1984" s="3">
        <v>9.1700000000000004E-9</v>
      </c>
      <c r="I1984" s="2" t="s">
        <v>40427</v>
      </c>
      <c r="J1984" s="2" t="s">
        <v>40428</v>
      </c>
      <c r="K1984" s="3">
        <v>1.03E-7</v>
      </c>
      <c r="L1984" s="2" t="s">
        <v>1178</v>
      </c>
      <c r="M1984" s="4" t="s">
        <v>40429</v>
      </c>
    </row>
    <row r="1985" spans="1:13">
      <c r="A1985" s="2">
        <v>1244</v>
      </c>
      <c r="B1985" s="2" t="s">
        <v>17120</v>
      </c>
      <c r="C1985" s="2">
        <v>15</v>
      </c>
      <c r="D1985" s="2">
        <v>341</v>
      </c>
      <c r="E1985" s="2">
        <v>200</v>
      </c>
      <c r="F1985" s="2">
        <v>32441</v>
      </c>
      <c r="G1985" s="2">
        <v>7.1351173020000003</v>
      </c>
      <c r="H1985" s="3">
        <v>9.1700000000000004E-9</v>
      </c>
      <c r="I1985" s="2" t="s">
        <v>40430</v>
      </c>
      <c r="J1985" s="2" t="s">
        <v>40431</v>
      </c>
      <c r="K1985" s="3">
        <v>1.03E-7</v>
      </c>
      <c r="L1985" s="2" t="s">
        <v>1178</v>
      </c>
      <c r="M1985" s="4" t="s">
        <v>17123</v>
      </c>
    </row>
    <row r="1986" spans="1:13">
      <c r="A1986" s="2">
        <v>1672</v>
      </c>
      <c r="B1986" s="2" t="s">
        <v>2175</v>
      </c>
      <c r="C1986" s="2">
        <v>15</v>
      </c>
      <c r="D1986" s="2">
        <v>341</v>
      </c>
      <c r="E1986" s="2">
        <v>200</v>
      </c>
      <c r="F1986" s="2">
        <v>32441</v>
      </c>
      <c r="G1986" s="2">
        <v>7.1351173020000003</v>
      </c>
      <c r="H1986" s="3">
        <v>9.1700000000000004E-9</v>
      </c>
      <c r="I1986" s="2" t="s">
        <v>40432</v>
      </c>
      <c r="J1986" s="2" t="s">
        <v>40433</v>
      </c>
      <c r="K1986" s="3">
        <v>1.03E-7</v>
      </c>
      <c r="L1986" s="2" t="s">
        <v>1178</v>
      </c>
      <c r="M1986" s="4" t="s">
        <v>40434</v>
      </c>
    </row>
    <row r="1987" spans="1:13">
      <c r="A1987" s="2">
        <v>1812</v>
      </c>
      <c r="B1987" s="2" t="s">
        <v>14801</v>
      </c>
      <c r="C1987" s="2">
        <v>15</v>
      </c>
      <c r="D1987" s="2">
        <v>341</v>
      </c>
      <c r="E1987" s="2">
        <v>200</v>
      </c>
      <c r="F1987" s="2">
        <v>32441</v>
      </c>
      <c r="G1987" s="2">
        <v>7.1351173020000003</v>
      </c>
      <c r="H1987" s="3">
        <v>9.1700000000000004E-9</v>
      </c>
      <c r="I1987" s="2" t="s">
        <v>40435</v>
      </c>
      <c r="J1987" s="2" t="s">
        <v>40436</v>
      </c>
      <c r="K1987" s="3">
        <v>1.03E-7</v>
      </c>
      <c r="L1987" s="2" t="s">
        <v>1178</v>
      </c>
      <c r="M1987" s="4" t="s">
        <v>14804</v>
      </c>
    </row>
    <row r="1988" spans="1:13">
      <c r="A1988" s="2">
        <v>1964</v>
      </c>
      <c r="B1988" s="2" t="s">
        <v>31276</v>
      </c>
      <c r="C1988" s="2">
        <v>15</v>
      </c>
      <c r="D1988" s="2">
        <v>341</v>
      </c>
      <c r="E1988" s="2">
        <v>200</v>
      </c>
      <c r="F1988" s="2">
        <v>32441</v>
      </c>
      <c r="G1988" s="2">
        <v>7.1351173020000003</v>
      </c>
      <c r="H1988" s="3">
        <v>9.1700000000000004E-9</v>
      </c>
      <c r="I1988" s="2" t="s">
        <v>40437</v>
      </c>
      <c r="J1988" s="2" t="s">
        <v>40438</v>
      </c>
      <c r="K1988" s="3">
        <v>1.03E-7</v>
      </c>
      <c r="L1988" s="2" t="s">
        <v>1178</v>
      </c>
      <c r="M1988" s="4" t="s">
        <v>31279</v>
      </c>
    </row>
    <row r="1989" spans="1:13">
      <c r="A1989" s="2">
        <v>2189</v>
      </c>
      <c r="B1989" s="2" t="s">
        <v>14832</v>
      </c>
      <c r="C1989" s="2">
        <v>15</v>
      </c>
      <c r="D1989" s="2">
        <v>341</v>
      </c>
      <c r="E1989" s="2">
        <v>200</v>
      </c>
      <c r="F1989" s="2">
        <v>32441</v>
      </c>
      <c r="G1989" s="2">
        <v>7.1351173020000003</v>
      </c>
      <c r="H1989" s="3">
        <v>9.1700000000000004E-9</v>
      </c>
      <c r="I1989" s="2" t="s">
        <v>40439</v>
      </c>
      <c r="J1989" s="2" t="s">
        <v>40440</v>
      </c>
      <c r="K1989" s="3">
        <v>1.03E-7</v>
      </c>
      <c r="L1989" s="2" t="s">
        <v>1178</v>
      </c>
      <c r="M1989" s="4" t="s">
        <v>14835</v>
      </c>
    </row>
    <row r="1990" spans="1:13">
      <c r="A1990" s="2">
        <v>2311</v>
      </c>
      <c r="B1990" s="2" t="s">
        <v>40441</v>
      </c>
      <c r="C1990" s="2">
        <v>15</v>
      </c>
      <c r="D1990" s="2">
        <v>341</v>
      </c>
      <c r="E1990" s="2">
        <v>200</v>
      </c>
      <c r="F1990" s="2">
        <v>32441</v>
      </c>
      <c r="G1990" s="2">
        <v>7.1351173020000003</v>
      </c>
      <c r="H1990" s="3">
        <v>9.1700000000000004E-9</v>
      </c>
      <c r="I1990" s="2" t="s">
        <v>40442</v>
      </c>
      <c r="J1990" s="2" t="s">
        <v>40443</v>
      </c>
      <c r="K1990" s="3">
        <v>1.03E-7</v>
      </c>
      <c r="L1990" s="2" t="s">
        <v>1178</v>
      </c>
      <c r="M1990" s="4" t="s">
        <v>40444</v>
      </c>
    </row>
    <row r="1991" spans="1:13">
      <c r="A1991" s="2">
        <v>2435</v>
      </c>
      <c r="B1991" s="2" t="s">
        <v>33499</v>
      </c>
      <c r="C1991" s="2">
        <v>15</v>
      </c>
      <c r="D1991" s="2">
        <v>341</v>
      </c>
      <c r="E1991" s="2">
        <v>200</v>
      </c>
      <c r="F1991" s="2">
        <v>32441</v>
      </c>
      <c r="G1991" s="2">
        <v>7.1351173020000003</v>
      </c>
      <c r="H1991" s="3">
        <v>9.1700000000000004E-9</v>
      </c>
      <c r="I1991" s="2" t="s">
        <v>40445</v>
      </c>
      <c r="J1991" s="2" t="s">
        <v>40446</v>
      </c>
      <c r="K1991" s="3">
        <v>1.03E-7</v>
      </c>
      <c r="L1991" s="2" t="s">
        <v>1178</v>
      </c>
      <c r="M1991" s="4" t="s">
        <v>33502</v>
      </c>
    </row>
    <row r="1992" spans="1:13">
      <c r="A1992" s="2">
        <v>24922</v>
      </c>
      <c r="B1992" s="2" t="s">
        <v>19879</v>
      </c>
      <c r="C1992" s="2">
        <v>15</v>
      </c>
      <c r="D1992" s="2">
        <v>341</v>
      </c>
      <c r="E1992" s="2">
        <v>200</v>
      </c>
      <c r="F1992" s="2">
        <v>32441</v>
      </c>
      <c r="G1992" s="2">
        <v>7.1351173020000003</v>
      </c>
      <c r="H1992" s="3">
        <v>9.1700000000000004E-9</v>
      </c>
      <c r="I1992" s="2" t="s">
        <v>40447</v>
      </c>
      <c r="J1992" s="2" t="s">
        <v>40448</v>
      </c>
      <c r="K1992" s="3">
        <v>1.03E-7</v>
      </c>
      <c r="L1992" s="2" t="s">
        <v>1178</v>
      </c>
      <c r="M1992" s="4" t="s">
        <v>19882</v>
      </c>
    </row>
    <row r="1993" spans="1:13">
      <c r="A1993" s="2">
        <v>25751</v>
      </c>
      <c r="B1993" s="2" t="s">
        <v>40449</v>
      </c>
      <c r="C1993" s="2">
        <v>15</v>
      </c>
      <c r="D1993" s="2">
        <v>341</v>
      </c>
      <c r="E1993" s="2">
        <v>200</v>
      </c>
      <c r="F1993" s="2">
        <v>32441</v>
      </c>
      <c r="G1993" s="2">
        <v>7.1351173020000003</v>
      </c>
      <c r="H1993" s="3">
        <v>9.1700000000000004E-9</v>
      </c>
      <c r="I1993" s="2" t="s">
        <v>40450</v>
      </c>
      <c r="J1993" s="2" t="s">
        <v>40451</v>
      </c>
      <c r="K1993" s="3">
        <v>1.03E-7</v>
      </c>
      <c r="L1993" s="2" t="s">
        <v>1178</v>
      </c>
      <c r="M1993" s="4" t="s">
        <v>40452</v>
      </c>
    </row>
    <row r="1994" spans="1:13">
      <c r="A1994" s="2">
        <v>2606</v>
      </c>
      <c r="B1994" s="2" t="s">
        <v>22270</v>
      </c>
      <c r="C1994" s="2">
        <v>15</v>
      </c>
      <c r="D1994" s="2">
        <v>341</v>
      </c>
      <c r="E1994" s="2">
        <v>200</v>
      </c>
      <c r="F1994" s="2">
        <v>32441</v>
      </c>
      <c r="G1994" s="2">
        <v>7.1351173020000003</v>
      </c>
      <c r="H1994" s="3">
        <v>9.1700000000000004E-9</v>
      </c>
      <c r="I1994" s="2" t="s">
        <v>40453</v>
      </c>
      <c r="J1994" s="2" t="s">
        <v>40454</v>
      </c>
      <c r="K1994" s="3">
        <v>1.03E-7</v>
      </c>
      <c r="L1994" s="2" t="s">
        <v>1178</v>
      </c>
      <c r="M1994" s="4" t="s">
        <v>22273</v>
      </c>
    </row>
    <row r="1995" spans="1:13">
      <c r="A1995" s="2">
        <v>2636</v>
      </c>
      <c r="B1995" s="2" t="s">
        <v>40455</v>
      </c>
      <c r="C1995" s="2">
        <v>15</v>
      </c>
      <c r="D1995" s="2">
        <v>341</v>
      </c>
      <c r="E1995" s="2">
        <v>200</v>
      </c>
      <c r="F1995" s="2">
        <v>32441</v>
      </c>
      <c r="G1995" s="2">
        <v>7.1351173020000003</v>
      </c>
      <c r="H1995" s="3">
        <v>9.1700000000000004E-9</v>
      </c>
      <c r="I1995" s="2" t="s">
        <v>40456</v>
      </c>
      <c r="J1995" s="2" t="s">
        <v>40457</v>
      </c>
      <c r="K1995" s="3">
        <v>1.03E-7</v>
      </c>
      <c r="L1995" s="2" t="s">
        <v>1178</v>
      </c>
      <c r="M1995" s="4" t="s">
        <v>40458</v>
      </c>
    </row>
    <row r="1996" spans="1:13">
      <c r="A1996" s="2">
        <v>3085</v>
      </c>
      <c r="B1996" s="2" t="s">
        <v>23757</v>
      </c>
      <c r="C1996" s="2">
        <v>15</v>
      </c>
      <c r="D1996" s="2">
        <v>341</v>
      </c>
      <c r="E1996" s="2">
        <v>200</v>
      </c>
      <c r="F1996" s="2">
        <v>32441</v>
      </c>
      <c r="G1996" s="2">
        <v>7.1351173020000003</v>
      </c>
      <c r="H1996" s="3">
        <v>9.1700000000000004E-9</v>
      </c>
      <c r="I1996" s="2" t="s">
        <v>40459</v>
      </c>
      <c r="J1996" s="2" t="s">
        <v>40460</v>
      </c>
      <c r="K1996" s="3">
        <v>1.03E-7</v>
      </c>
      <c r="L1996" s="2" t="s">
        <v>1178</v>
      </c>
      <c r="M1996" s="4" t="s">
        <v>23760</v>
      </c>
    </row>
    <row r="1997" spans="1:13">
      <c r="A1997" s="2">
        <v>31621</v>
      </c>
      <c r="B1997" s="2" t="s">
        <v>19964</v>
      </c>
      <c r="C1997" s="2">
        <v>15</v>
      </c>
      <c r="D1997" s="2">
        <v>341</v>
      </c>
      <c r="E1997" s="2">
        <v>200</v>
      </c>
      <c r="F1997" s="2">
        <v>32441</v>
      </c>
      <c r="G1997" s="2">
        <v>7.1351173020000003</v>
      </c>
      <c r="H1997" s="3">
        <v>9.1700000000000004E-9</v>
      </c>
      <c r="I1997" s="2" t="s">
        <v>40461</v>
      </c>
      <c r="J1997" s="2" t="s">
        <v>40462</v>
      </c>
      <c r="K1997" s="3">
        <v>1.03E-7</v>
      </c>
      <c r="L1997" s="2" t="s">
        <v>1178</v>
      </c>
      <c r="M1997" s="4" t="s">
        <v>19967</v>
      </c>
    </row>
    <row r="1998" spans="1:13">
      <c r="A1998" s="2">
        <v>32241</v>
      </c>
      <c r="B1998" s="2" t="s">
        <v>2625</v>
      </c>
      <c r="C1998" s="2">
        <v>15</v>
      </c>
      <c r="D1998" s="2">
        <v>341</v>
      </c>
      <c r="E1998" s="2">
        <v>200</v>
      </c>
      <c r="F1998" s="2">
        <v>32441</v>
      </c>
      <c r="G1998" s="2">
        <v>7.1351173020000003</v>
      </c>
      <c r="H1998" s="3">
        <v>9.1700000000000004E-9</v>
      </c>
      <c r="I1998" s="2" t="s">
        <v>40463</v>
      </c>
      <c r="J1998" s="2" t="s">
        <v>40464</v>
      </c>
      <c r="K1998" s="3">
        <v>1.03E-7</v>
      </c>
      <c r="L1998" s="2" t="s">
        <v>1178</v>
      </c>
      <c r="M1998" s="4" t="s">
        <v>40465</v>
      </c>
    </row>
    <row r="1999" spans="1:13">
      <c r="A1999" s="2">
        <v>32831</v>
      </c>
      <c r="B1999" s="2" t="s">
        <v>1938</v>
      </c>
      <c r="C1999" s="2">
        <v>15</v>
      </c>
      <c r="D1999" s="2">
        <v>341</v>
      </c>
      <c r="E1999" s="2">
        <v>200</v>
      </c>
      <c r="F1999" s="2">
        <v>32441</v>
      </c>
      <c r="G1999" s="2">
        <v>7.1351173020000003</v>
      </c>
      <c r="H1999" s="3">
        <v>9.1700000000000004E-9</v>
      </c>
      <c r="I1999" s="2" t="s">
        <v>40466</v>
      </c>
      <c r="J1999" s="2" t="s">
        <v>40467</v>
      </c>
      <c r="K1999" s="3">
        <v>1.03E-7</v>
      </c>
      <c r="L1999" s="2" t="s">
        <v>1178</v>
      </c>
      <c r="M1999" s="4" t="s">
        <v>34304</v>
      </c>
    </row>
    <row r="2000" spans="1:13">
      <c r="A2000" s="2">
        <v>33631</v>
      </c>
      <c r="B2000" s="2" t="s">
        <v>32984</v>
      </c>
      <c r="C2000" s="2">
        <v>15</v>
      </c>
      <c r="D2000" s="2">
        <v>341</v>
      </c>
      <c r="E2000" s="2">
        <v>199</v>
      </c>
      <c r="F2000" s="2">
        <v>32441</v>
      </c>
      <c r="G2000" s="2">
        <v>7.1709721630000001</v>
      </c>
      <c r="H2000" s="3">
        <v>8.6100000000000007E-9</v>
      </c>
      <c r="I2000" s="2" t="s">
        <v>40468</v>
      </c>
      <c r="J2000" s="2" t="s">
        <v>40469</v>
      </c>
      <c r="K2000" s="3">
        <v>1.03E-7</v>
      </c>
      <c r="L2000" s="2" t="s">
        <v>1178</v>
      </c>
      <c r="M2000" s="4" t="s">
        <v>32987</v>
      </c>
    </row>
    <row r="2001" spans="1:13">
      <c r="A2001" s="2">
        <v>3367</v>
      </c>
      <c r="B2001" s="2" t="s">
        <v>34305</v>
      </c>
      <c r="C2001" s="2">
        <v>15</v>
      </c>
      <c r="D2001" s="2">
        <v>341</v>
      </c>
      <c r="E2001" s="2">
        <v>199</v>
      </c>
      <c r="F2001" s="2">
        <v>32441</v>
      </c>
      <c r="G2001" s="2">
        <v>7.1709721630000001</v>
      </c>
      <c r="H2001" s="3">
        <v>8.6100000000000007E-9</v>
      </c>
      <c r="I2001" s="2" t="s">
        <v>40470</v>
      </c>
      <c r="J2001" s="2" t="s">
        <v>40471</v>
      </c>
      <c r="K2001" s="3">
        <v>1.03E-7</v>
      </c>
      <c r="L2001" s="2" t="s">
        <v>1178</v>
      </c>
      <c r="M2001" s="4" t="s">
        <v>34308</v>
      </c>
    </row>
    <row r="2002" spans="1:13">
      <c r="A2002" s="2">
        <v>3467</v>
      </c>
      <c r="B2002" s="2" t="s">
        <v>40472</v>
      </c>
      <c r="C2002" s="2">
        <v>15</v>
      </c>
      <c r="D2002" s="2">
        <v>341</v>
      </c>
      <c r="E2002" s="2">
        <v>200</v>
      </c>
      <c r="F2002" s="2">
        <v>32441</v>
      </c>
      <c r="G2002" s="2">
        <v>7.1351173020000003</v>
      </c>
      <c r="H2002" s="3">
        <v>9.1700000000000004E-9</v>
      </c>
      <c r="I2002" s="2" t="s">
        <v>40473</v>
      </c>
      <c r="J2002" s="2" t="s">
        <v>40474</v>
      </c>
      <c r="K2002" s="3">
        <v>1.03E-7</v>
      </c>
      <c r="L2002" s="2" t="s">
        <v>1178</v>
      </c>
      <c r="M2002" s="4" t="s">
        <v>40475</v>
      </c>
    </row>
    <row r="2003" spans="1:13">
      <c r="A2003" s="2">
        <v>3557</v>
      </c>
      <c r="B2003" s="2" t="s">
        <v>13588</v>
      </c>
      <c r="C2003" s="2">
        <v>15</v>
      </c>
      <c r="D2003" s="2">
        <v>341</v>
      </c>
      <c r="E2003" s="2">
        <v>200</v>
      </c>
      <c r="F2003" s="2">
        <v>32441</v>
      </c>
      <c r="G2003" s="2">
        <v>7.1351173020000003</v>
      </c>
      <c r="H2003" s="3">
        <v>9.1700000000000004E-9</v>
      </c>
      <c r="I2003" s="2" t="s">
        <v>40476</v>
      </c>
      <c r="J2003" s="2" t="s">
        <v>40477</v>
      </c>
      <c r="K2003" s="3">
        <v>1.03E-7</v>
      </c>
      <c r="L2003" s="2" t="s">
        <v>1178</v>
      </c>
      <c r="M2003" s="4" t="s">
        <v>13591</v>
      </c>
    </row>
    <row r="2004" spans="1:13">
      <c r="A2004" s="2">
        <v>4276</v>
      </c>
      <c r="B2004" s="2" t="s">
        <v>23964</v>
      </c>
      <c r="C2004" s="2">
        <v>15</v>
      </c>
      <c r="D2004" s="2">
        <v>341</v>
      </c>
      <c r="E2004" s="2">
        <v>200</v>
      </c>
      <c r="F2004" s="2">
        <v>32441</v>
      </c>
      <c r="G2004" s="2">
        <v>7.1351173020000003</v>
      </c>
      <c r="H2004" s="3">
        <v>9.1700000000000004E-9</v>
      </c>
      <c r="I2004" s="2" t="s">
        <v>40478</v>
      </c>
      <c r="J2004" s="2" t="s">
        <v>40479</v>
      </c>
      <c r="K2004" s="3">
        <v>1.03E-7</v>
      </c>
      <c r="L2004" s="2" t="s">
        <v>1178</v>
      </c>
      <c r="M2004" s="4" t="s">
        <v>23967</v>
      </c>
    </row>
    <row r="2005" spans="1:13">
      <c r="A2005" s="2">
        <v>4302</v>
      </c>
      <c r="B2005" s="2" t="s">
        <v>19171</v>
      </c>
      <c r="C2005" s="2">
        <v>15</v>
      </c>
      <c r="D2005" s="2">
        <v>341</v>
      </c>
      <c r="E2005" s="2">
        <v>200</v>
      </c>
      <c r="F2005" s="2">
        <v>32441</v>
      </c>
      <c r="G2005" s="2">
        <v>7.1351173020000003</v>
      </c>
      <c r="H2005" s="3">
        <v>9.1700000000000004E-9</v>
      </c>
      <c r="I2005" s="2" t="s">
        <v>40480</v>
      </c>
      <c r="J2005" s="2" t="s">
        <v>40481</v>
      </c>
      <c r="K2005" s="3">
        <v>1.03E-7</v>
      </c>
      <c r="L2005" s="2" t="s">
        <v>1178</v>
      </c>
      <c r="M2005" s="4" t="s">
        <v>19174</v>
      </c>
    </row>
    <row r="2006" spans="1:13">
      <c r="A2006" s="2">
        <v>4334</v>
      </c>
      <c r="B2006" s="2" t="s">
        <v>22648</v>
      </c>
      <c r="C2006" s="2">
        <v>15</v>
      </c>
      <c r="D2006" s="2">
        <v>341</v>
      </c>
      <c r="E2006" s="2">
        <v>200</v>
      </c>
      <c r="F2006" s="2">
        <v>32441</v>
      </c>
      <c r="G2006" s="2">
        <v>7.1351173020000003</v>
      </c>
      <c r="H2006" s="3">
        <v>9.1700000000000004E-9</v>
      </c>
      <c r="I2006" s="2" t="s">
        <v>40482</v>
      </c>
      <c r="J2006" s="2" t="s">
        <v>40483</v>
      </c>
      <c r="K2006" s="3">
        <v>1.03E-7</v>
      </c>
      <c r="L2006" s="2" t="s">
        <v>1178</v>
      </c>
      <c r="M2006" s="4" t="s">
        <v>22651</v>
      </c>
    </row>
    <row r="2007" spans="1:13">
      <c r="A2007" s="2">
        <v>43871</v>
      </c>
      <c r="B2007" s="2" t="s">
        <v>16113</v>
      </c>
      <c r="C2007" s="2">
        <v>15</v>
      </c>
      <c r="D2007" s="2">
        <v>341</v>
      </c>
      <c r="E2007" s="2">
        <v>199</v>
      </c>
      <c r="F2007" s="2">
        <v>32441</v>
      </c>
      <c r="G2007" s="2">
        <v>7.1709721630000001</v>
      </c>
      <c r="H2007" s="3">
        <v>8.6100000000000007E-9</v>
      </c>
      <c r="I2007" s="2" t="s">
        <v>40484</v>
      </c>
      <c r="J2007" s="2" t="s">
        <v>40485</v>
      </c>
      <c r="K2007" s="3">
        <v>1.03E-7</v>
      </c>
      <c r="L2007" s="2" t="s">
        <v>1178</v>
      </c>
      <c r="M2007" s="4" t="s">
        <v>16116</v>
      </c>
    </row>
    <row r="2008" spans="1:13">
      <c r="A2008" s="2">
        <v>4699</v>
      </c>
      <c r="B2008" s="2" t="s">
        <v>17587</v>
      </c>
      <c r="C2008" s="2">
        <v>15</v>
      </c>
      <c r="D2008" s="2">
        <v>341</v>
      </c>
      <c r="E2008" s="2">
        <v>200</v>
      </c>
      <c r="F2008" s="2">
        <v>32441</v>
      </c>
      <c r="G2008" s="2">
        <v>7.1351173020000003</v>
      </c>
      <c r="H2008" s="3">
        <v>9.1700000000000004E-9</v>
      </c>
      <c r="I2008" s="2" t="s">
        <v>40486</v>
      </c>
      <c r="J2008" s="2" t="s">
        <v>40487</v>
      </c>
      <c r="K2008" s="3">
        <v>1.03E-7</v>
      </c>
      <c r="L2008" s="2" t="s">
        <v>1178</v>
      </c>
      <c r="M2008" s="4" t="s">
        <v>17590</v>
      </c>
    </row>
    <row r="2009" spans="1:13">
      <c r="A2009" s="2">
        <v>4763</v>
      </c>
      <c r="B2009" s="2" t="s">
        <v>19264</v>
      </c>
      <c r="C2009" s="2">
        <v>15</v>
      </c>
      <c r="D2009" s="2">
        <v>341</v>
      </c>
      <c r="E2009" s="2">
        <v>200</v>
      </c>
      <c r="F2009" s="2">
        <v>32441</v>
      </c>
      <c r="G2009" s="2">
        <v>7.1351173020000003</v>
      </c>
      <c r="H2009" s="3">
        <v>9.1700000000000004E-9</v>
      </c>
      <c r="I2009" s="2" t="s">
        <v>40488</v>
      </c>
      <c r="J2009" s="2" t="s">
        <v>40489</v>
      </c>
      <c r="K2009" s="3">
        <v>1.03E-7</v>
      </c>
      <c r="L2009" s="2" t="s">
        <v>1178</v>
      </c>
      <c r="M2009" s="4" t="s">
        <v>19267</v>
      </c>
    </row>
    <row r="2010" spans="1:13">
      <c r="A2010" s="2">
        <v>3655</v>
      </c>
      <c r="B2010" s="2" t="s">
        <v>30853</v>
      </c>
      <c r="C2010" s="2">
        <v>14</v>
      </c>
      <c r="D2010" s="2">
        <v>341</v>
      </c>
      <c r="E2010" s="2">
        <v>170</v>
      </c>
      <c r="F2010" s="2">
        <v>32441</v>
      </c>
      <c r="G2010" s="2">
        <v>7.8346386060000004</v>
      </c>
      <c r="H2010" s="3">
        <v>9.5599999999999992E-9</v>
      </c>
      <c r="I2010" s="2" t="s">
        <v>40490</v>
      </c>
      <c r="J2010" s="2" t="s">
        <v>40491</v>
      </c>
      <c r="K2010" s="3">
        <v>1.0700000000000001E-7</v>
      </c>
      <c r="L2010" s="2" t="s">
        <v>1178</v>
      </c>
      <c r="M2010" s="4" t="s">
        <v>30856</v>
      </c>
    </row>
    <row r="2011" spans="1:13">
      <c r="A2011" s="2">
        <v>2695</v>
      </c>
      <c r="B2011" s="2" t="s">
        <v>40492</v>
      </c>
      <c r="C2011" s="2">
        <v>13</v>
      </c>
      <c r="D2011" s="2">
        <v>341</v>
      </c>
      <c r="E2011" s="2">
        <v>144</v>
      </c>
      <c r="F2011" s="2">
        <v>32441</v>
      </c>
      <c r="G2011" s="2">
        <v>8.5885671230000007</v>
      </c>
      <c r="H2011" s="3">
        <v>1.18E-8</v>
      </c>
      <c r="I2011" s="2" t="s">
        <v>40493</v>
      </c>
      <c r="J2011" s="2" t="s">
        <v>40494</v>
      </c>
      <c r="K2011" s="3">
        <v>1.31E-7</v>
      </c>
      <c r="L2011" s="2" t="s">
        <v>1178</v>
      </c>
      <c r="M2011" s="4" t="s">
        <v>40495</v>
      </c>
    </row>
    <row r="2012" spans="1:13">
      <c r="A2012" s="2">
        <v>4828</v>
      </c>
      <c r="B2012" s="2" t="s">
        <v>40496</v>
      </c>
      <c r="C2012" s="2">
        <v>14</v>
      </c>
      <c r="D2012" s="2">
        <v>341</v>
      </c>
      <c r="E2012" s="2">
        <v>195</v>
      </c>
      <c r="F2012" s="2">
        <v>32441</v>
      </c>
      <c r="G2012" s="2">
        <v>6.8301977589999998</v>
      </c>
      <c r="H2012" s="3">
        <v>4.7899999999999999E-8</v>
      </c>
      <c r="I2012" s="2" t="s">
        <v>40497</v>
      </c>
      <c r="J2012" s="2" t="s">
        <v>40498</v>
      </c>
      <c r="K2012" s="3">
        <v>5.3399999999999999E-7</v>
      </c>
      <c r="L2012" s="2" t="s">
        <v>1178</v>
      </c>
      <c r="M2012" s="4" t="s">
        <v>40499</v>
      </c>
    </row>
    <row r="2013" spans="1:13">
      <c r="A2013" s="2">
        <v>38961</v>
      </c>
      <c r="B2013" s="2" t="s">
        <v>15593</v>
      </c>
      <c r="C2013" s="2">
        <v>14</v>
      </c>
      <c r="D2013" s="2">
        <v>341</v>
      </c>
      <c r="E2013" s="2">
        <v>197</v>
      </c>
      <c r="F2013" s="2">
        <v>32441</v>
      </c>
      <c r="G2013" s="2">
        <v>6.7608556499999999</v>
      </c>
      <c r="H2013" s="3">
        <v>5.4E-8</v>
      </c>
      <c r="I2013" s="2" t="s">
        <v>40500</v>
      </c>
      <c r="J2013" s="2" t="s">
        <v>40501</v>
      </c>
      <c r="K2013" s="3">
        <v>5.9999999999999997E-7</v>
      </c>
      <c r="L2013" s="2" t="s">
        <v>1178</v>
      </c>
      <c r="M2013" s="4" t="s">
        <v>15596</v>
      </c>
    </row>
    <row r="2014" spans="1:13">
      <c r="A2014" s="2">
        <v>2987</v>
      </c>
      <c r="B2014" s="2" t="s">
        <v>33532</v>
      </c>
      <c r="C2014" s="2">
        <v>14</v>
      </c>
      <c r="D2014" s="2">
        <v>341</v>
      </c>
      <c r="E2014" s="2">
        <v>199</v>
      </c>
      <c r="F2014" s="2">
        <v>32441</v>
      </c>
      <c r="G2014" s="2">
        <v>6.6929073519999998</v>
      </c>
      <c r="H2014" s="3">
        <v>6.0699999999999994E-8</v>
      </c>
      <c r="I2014" s="2" t="s">
        <v>40502</v>
      </c>
      <c r="J2014" s="2" t="s">
        <v>40503</v>
      </c>
      <c r="K2014" s="3">
        <v>6.7400000000000003E-7</v>
      </c>
      <c r="L2014" s="2" t="s">
        <v>1178</v>
      </c>
      <c r="M2014" s="4" t="s">
        <v>33535</v>
      </c>
    </row>
    <row r="2015" spans="1:13">
      <c r="A2015" s="2">
        <v>32</v>
      </c>
      <c r="B2015" s="2" t="s">
        <v>15610</v>
      </c>
      <c r="C2015" s="2">
        <v>14</v>
      </c>
      <c r="D2015" s="2">
        <v>341</v>
      </c>
      <c r="E2015" s="2">
        <v>200</v>
      </c>
      <c r="F2015" s="2">
        <v>32441</v>
      </c>
      <c r="G2015" s="2">
        <v>6.6594428150000002</v>
      </c>
      <c r="H2015" s="3">
        <v>6.4399999999999994E-8</v>
      </c>
      <c r="I2015" s="2" t="s">
        <v>40504</v>
      </c>
      <c r="J2015" s="2" t="s">
        <v>40505</v>
      </c>
      <c r="K2015" s="3">
        <v>6.7700000000000004E-7</v>
      </c>
      <c r="L2015" s="2" t="s">
        <v>1178</v>
      </c>
      <c r="M2015" s="4" t="s">
        <v>15613</v>
      </c>
    </row>
    <row r="2016" spans="1:13">
      <c r="A2016" s="2">
        <v>1225</v>
      </c>
      <c r="B2016" s="2" t="s">
        <v>21671</v>
      </c>
      <c r="C2016" s="2">
        <v>14</v>
      </c>
      <c r="D2016" s="2">
        <v>341</v>
      </c>
      <c r="E2016" s="2">
        <v>200</v>
      </c>
      <c r="F2016" s="2">
        <v>32441</v>
      </c>
      <c r="G2016" s="2">
        <v>6.6594428150000002</v>
      </c>
      <c r="H2016" s="3">
        <v>6.4399999999999994E-8</v>
      </c>
      <c r="I2016" s="2" t="s">
        <v>40506</v>
      </c>
      <c r="J2016" s="2" t="s">
        <v>40507</v>
      </c>
      <c r="K2016" s="3">
        <v>6.7700000000000004E-7</v>
      </c>
      <c r="L2016" s="2" t="s">
        <v>1178</v>
      </c>
      <c r="M2016" s="4" t="s">
        <v>21674</v>
      </c>
    </row>
    <row r="2017" spans="1:13">
      <c r="A2017" s="2">
        <v>174</v>
      </c>
      <c r="B2017" s="2" t="s">
        <v>40508</v>
      </c>
      <c r="C2017" s="2">
        <v>14</v>
      </c>
      <c r="D2017" s="2">
        <v>341</v>
      </c>
      <c r="E2017" s="2">
        <v>200</v>
      </c>
      <c r="F2017" s="2">
        <v>32441</v>
      </c>
      <c r="G2017" s="2">
        <v>6.6594428150000002</v>
      </c>
      <c r="H2017" s="3">
        <v>6.4399999999999994E-8</v>
      </c>
      <c r="I2017" s="2" t="s">
        <v>40509</v>
      </c>
      <c r="J2017" s="2" t="s">
        <v>40510</v>
      </c>
      <c r="K2017" s="3">
        <v>6.7700000000000004E-7</v>
      </c>
      <c r="L2017" s="2" t="s">
        <v>1178</v>
      </c>
      <c r="M2017" s="4" t="s">
        <v>40511</v>
      </c>
    </row>
    <row r="2018" spans="1:13">
      <c r="A2018" s="2">
        <v>3072</v>
      </c>
      <c r="B2018" s="2" t="s">
        <v>21711</v>
      </c>
      <c r="C2018" s="2">
        <v>14</v>
      </c>
      <c r="D2018" s="2">
        <v>341</v>
      </c>
      <c r="E2018" s="2">
        <v>200</v>
      </c>
      <c r="F2018" s="2">
        <v>32441</v>
      </c>
      <c r="G2018" s="2">
        <v>6.6594428150000002</v>
      </c>
      <c r="H2018" s="3">
        <v>6.4399999999999994E-8</v>
      </c>
      <c r="I2018" s="2" t="s">
        <v>40512</v>
      </c>
      <c r="J2018" s="2" t="s">
        <v>40513</v>
      </c>
      <c r="K2018" s="3">
        <v>6.7700000000000004E-7</v>
      </c>
      <c r="L2018" s="2" t="s">
        <v>1178</v>
      </c>
      <c r="M2018" s="4" t="s">
        <v>21714</v>
      </c>
    </row>
    <row r="2019" spans="1:13">
      <c r="A2019" s="2">
        <v>326</v>
      </c>
      <c r="B2019" s="2" t="s">
        <v>40514</v>
      </c>
      <c r="C2019" s="2">
        <v>14</v>
      </c>
      <c r="D2019" s="2">
        <v>341</v>
      </c>
      <c r="E2019" s="2">
        <v>200</v>
      </c>
      <c r="F2019" s="2">
        <v>32441</v>
      </c>
      <c r="G2019" s="2">
        <v>6.6594428150000002</v>
      </c>
      <c r="H2019" s="3">
        <v>6.4399999999999994E-8</v>
      </c>
      <c r="I2019" s="2" t="s">
        <v>40515</v>
      </c>
      <c r="J2019" s="2" t="s">
        <v>40516</v>
      </c>
      <c r="K2019" s="3">
        <v>6.7700000000000004E-7</v>
      </c>
      <c r="L2019" s="2" t="s">
        <v>1178</v>
      </c>
      <c r="M2019" s="4" t="s">
        <v>40517</v>
      </c>
    </row>
    <row r="2020" spans="1:13">
      <c r="A2020" s="2">
        <v>3431</v>
      </c>
      <c r="B2020" s="2" t="s">
        <v>20495</v>
      </c>
      <c r="C2020" s="2">
        <v>14</v>
      </c>
      <c r="D2020" s="2">
        <v>341</v>
      </c>
      <c r="E2020" s="2">
        <v>200</v>
      </c>
      <c r="F2020" s="2">
        <v>32441</v>
      </c>
      <c r="G2020" s="2">
        <v>6.6594428150000002</v>
      </c>
      <c r="H2020" s="3">
        <v>6.4399999999999994E-8</v>
      </c>
      <c r="I2020" s="2" t="s">
        <v>40518</v>
      </c>
      <c r="J2020" s="2" t="s">
        <v>40519</v>
      </c>
      <c r="K2020" s="3">
        <v>6.7700000000000004E-7</v>
      </c>
      <c r="L2020" s="2" t="s">
        <v>1178</v>
      </c>
      <c r="M2020" s="4" t="s">
        <v>20498</v>
      </c>
    </row>
    <row r="2021" spans="1:13">
      <c r="A2021" s="2">
        <v>419</v>
      </c>
      <c r="B2021" s="2" t="s">
        <v>2031</v>
      </c>
      <c r="C2021" s="2">
        <v>14</v>
      </c>
      <c r="D2021" s="2">
        <v>341</v>
      </c>
      <c r="E2021" s="2">
        <v>200</v>
      </c>
      <c r="F2021" s="2">
        <v>32441</v>
      </c>
      <c r="G2021" s="2">
        <v>6.6594428150000002</v>
      </c>
      <c r="H2021" s="3">
        <v>6.4399999999999994E-8</v>
      </c>
      <c r="I2021" s="2" t="s">
        <v>40520</v>
      </c>
      <c r="J2021" s="2" t="s">
        <v>40521</v>
      </c>
      <c r="K2021" s="3">
        <v>6.7700000000000004E-7</v>
      </c>
      <c r="L2021" s="2" t="s">
        <v>1178</v>
      </c>
      <c r="M2021" s="4" t="s">
        <v>17766</v>
      </c>
    </row>
    <row r="2022" spans="1:13">
      <c r="A2022" s="2">
        <v>10421</v>
      </c>
      <c r="B2022" s="2" t="s">
        <v>40522</v>
      </c>
      <c r="C2022" s="2">
        <v>14</v>
      </c>
      <c r="D2022" s="2">
        <v>341</v>
      </c>
      <c r="E2022" s="2">
        <v>200</v>
      </c>
      <c r="F2022" s="2">
        <v>32441</v>
      </c>
      <c r="G2022" s="2">
        <v>6.6594428150000002</v>
      </c>
      <c r="H2022" s="3">
        <v>6.4399999999999994E-8</v>
      </c>
      <c r="I2022" s="2" t="s">
        <v>40523</v>
      </c>
      <c r="J2022" s="2" t="s">
        <v>40524</v>
      </c>
      <c r="K2022" s="3">
        <v>6.7700000000000004E-7</v>
      </c>
      <c r="L2022" s="2" t="s">
        <v>1178</v>
      </c>
      <c r="M2022" s="4" t="s">
        <v>40525</v>
      </c>
    </row>
    <row r="2023" spans="1:13">
      <c r="A2023" s="2">
        <v>1212</v>
      </c>
      <c r="B2023" s="2" t="s">
        <v>23263</v>
      </c>
      <c r="C2023" s="2">
        <v>14</v>
      </c>
      <c r="D2023" s="2">
        <v>341</v>
      </c>
      <c r="E2023" s="2">
        <v>200</v>
      </c>
      <c r="F2023" s="2">
        <v>32441</v>
      </c>
      <c r="G2023" s="2">
        <v>6.6594428150000002</v>
      </c>
      <c r="H2023" s="3">
        <v>6.4399999999999994E-8</v>
      </c>
      <c r="I2023" s="2" t="s">
        <v>40526</v>
      </c>
      <c r="J2023" s="2" t="s">
        <v>40527</v>
      </c>
      <c r="K2023" s="3">
        <v>6.7700000000000004E-7</v>
      </c>
      <c r="L2023" s="2" t="s">
        <v>1178</v>
      </c>
      <c r="M2023" s="4" t="s">
        <v>23266</v>
      </c>
    </row>
    <row r="2024" spans="1:13">
      <c r="A2024" s="2">
        <v>1395</v>
      </c>
      <c r="B2024" s="2" t="s">
        <v>13492</v>
      </c>
      <c r="C2024" s="2">
        <v>14</v>
      </c>
      <c r="D2024" s="2">
        <v>341</v>
      </c>
      <c r="E2024" s="2">
        <v>200</v>
      </c>
      <c r="F2024" s="2">
        <v>32441</v>
      </c>
      <c r="G2024" s="2">
        <v>6.6594428150000002</v>
      </c>
      <c r="H2024" s="3">
        <v>6.4399999999999994E-8</v>
      </c>
      <c r="I2024" s="2" t="s">
        <v>40528</v>
      </c>
      <c r="J2024" s="2" t="s">
        <v>40529</v>
      </c>
      <c r="K2024" s="3">
        <v>6.7700000000000004E-7</v>
      </c>
      <c r="L2024" s="2" t="s">
        <v>1178</v>
      </c>
      <c r="M2024" s="4" t="s">
        <v>13495</v>
      </c>
    </row>
    <row r="2025" spans="1:13">
      <c r="A2025" s="2">
        <v>16962</v>
      </c>
      <c r="B2025" s="2" t="s">
        <v>23429</v>
      </c>
      <c r="C2025" s="2">
        <v>14</v>
      </c>
      <c r="D2025" s="2">
        <v>341</v>
      </c>
      <c r="E2025" s="2">
        <v>200</v>
      </c>
      <c r="F2025" s="2">
        <v>32441</v>
      </c>
      <c r="G2025" s="2">
        <v>6.6594428150000002</v>
      </c>
      <c r="H2025" s="3">
        <v>6.4399999999999994E-8</v>
      </c>
      <c r="I2025" s="2" t="s">
        <v>40530</v>
      </c>
      <c r="J2025" s="2" t="s">
        <v>40531</v>
      </c>
      <c r="K2025" s="3">
        <v>6.7700000000000004E-7</v>
      </c>
      <c r="L2025" s="2" t="s">
        <v>1178</v>
      </c>
      <c r="M2025" s="4" t="s">
        <v>23432</v>
      </c>
    </row>
    <row r="2026" spans="1:13">
      <c r="A2026" s="2">
        <v>1723</v>
      </c>
      <c r="B2026" s="2" t="s">
        <v>20877</v>
      </c>
      <c r="C2026" s="2">
        <v>14</v>
      </c>
      <c r="D2026" s="2">
        <v>341</v>
      </c>
      <c r="E2026" s="2">
        <v>200</v>
      </c>
      <c r="F2026" s="2">
        <v>32441</v>
      </c>
      <c r="G2026" s="2">
        <v>6.6594428150000002</v>
      </c>
      <c r="H2026" s="3">
        <v>6.4399999999999994E-8</v>
      </c>
      <c r="I2026" s="2" t="s">
        <v>40532</v>
      </c>
      <c r="J2026" s="2" t="s">
        <v>40533</v>
      </c>
      <c r="K2026" s="3">
        <v>6.7700000000000004E-7</v>
      </c>
      <c r="L2026" s="2" t="s">
        <v>1178</v>
      </c>
      <c r="M2026" s="4" t="s">
        <v>20880</v>
      </c>
    </row>
    <row r="2027" spans="1:13">
      <c r="A2027" s="2">
        <v>1823</v>
      </c>
      <c r="B2027" s="2" t="s">
        <v>3416</v>
      </c>
      <c r="C2027" s="2">
        <v>14</v>
      </c>
      <c r="D2027" s="2">
        <v>341</v>
      </c>
      <c r="E2027" s="2">
        <v>200</v>
      </c>
      <c r="F2027" s="2">
        <v>32441</v>
      </c>
      <c r="G2027" s="2">
        <v>6.6594428150000002</v>
      </c>
      <c r="H2027" s="3">
        <v>6.4399999999999994E-8</v>
      </c>
      <c r="I2027" s="2" t="s">
        <v>40534</v>
      </c>
      <c r="J2027" s="2" t="s">
        <v>40535</v>
      </c>
      <c r="K2027" s="3">
        <v>6.7700000000000004E-7</v>
      </c>
      <c r="L2027" s="2" t="s">
        <v>1178</v>
      </c>
      <c r="M2027" s="4" t="s">
        <v>3419</v>
      </c>
    </row>
    <row r="2028" spans="1:13">
      <c r="A2028" s="2">
        <v>18641</v>
      </c>
      <c r="B2028" s="2" t="s">
        <v>22116</v>
      </c>
      <c r="C2028" s="2">
        <v>14</v>
      </c>
      <c r="D2028" s="2">
        <v>341</v>
      </c>
      <c r="E2028" s="2">
        <v>200</v>
      </c>
      <c r="F2028" s="2">
        <v>32441</v>
      </c>
      <c r="G2028" s="2">
        <v>6.6594428150000002</v>
      </c>
      <c r="H2028" s="3">
        <v>6.4399999999999994E-8</v>
      </c>
      <c r="I2028" s="2" t="s">
        <v>40536</v>
      </c>
      <c r="J2028" s="2" t="s">
        <v>40537</v>
      </c>
      <c r="K2028" s="3">
        <v>6.7700000000000004E-7</v>
      </c>
      <c r="L2028" s="2" t="s">
        <v>1178</v>
      </c>
      <c r="M2028" s="4" t="s">
        <v>22119</v>
      </c>
    </row>
    <row r="2029" spans="1:13">
      <c r="A2029" s="2">
        <v>1868</v>
      </c>
      <c r="B2029" s="2" t="s">
        <v>20931</v>
      </c>
      <c r="C2029" s="2">
        <v>14</v>
      </c>
      <c r="D2029" s="2">
        <v>341</v>
      </c>
      <c r="E2029" s="2">
        <v>200</v>
      </c>
      <c r="F2029" s="2">
        <v>32441</v>
      </c>
      <c r="G2029" s="2">
        <v>6.6594428150000002</v>
      </c>
      <c r="H2029" s="3">
        <v>6.4399999999999994E-8</v>
      </c>
      <c r="I2029" s="2" t="s">
        <v>40538</v>
      </c>
      <c r="J2029" s="2" t="s">
        <v>40539</v>
      </c>
      <c r="K2029" s="3">
        <v>6.7700000000000004E-7</v>
      </c>
      <c r="L2029" s="2" t="s">
        <v>1178</v>
      </c>
      <c r="M2029" s="4" t="s">
        <v>20934</v>
      </c>
    </row>
    <row r="2030" spans="1:13">
      <c r="A2030" s="2">
        <v>21921</v>
      </c>
      <c r="B2030" s="2" t="s">
        <v>23571</v>
      </c>
      <c r="C2030" s="2">
        <v>14</v>
      </c>
      <c r="D2030" s="2">
        <v>341</v>
      </c>
      <c r="E2030" s="2">
        <v>200</v>
      </c>
      <c r="F2030" s="2">
        <v>32441</v>
      </c>
      <c r="G2030" s="2">
        <v>6.6594428150000002</v>
      </c>
      <c r="H2030" s="3">
        <v>6.4399999999999994E-8</v>
      </c>
      <c r="I2030" s="2" t="s">
        <v>40540</v>
      </c>
      <c r="J2030" s="2" t="s">
        <v>40541</v>
      </c>
      <c r="K2030" s="3">
        <v>6.7700000000000004E-7</v>
      </c>
      <c r="L2030" s="2" t="s">
        <v>1178</v>
      </c>
      <c r="M2030" s="4" t="s">
        <v>23574</v>
      </c>
    </row>
    <row r="2031" spans="1:13">
      <c r="A2031" s="2">
        <v>23681</v>
      </c>
      <c r="B2031" s="2" t="s">
        <v>14453</v>
      </c>
      <c r="C2031" s="2">
        <v>14</v>
      </c>
      <c r="D2031" s="2">
        <v>341</v>
      </c>
      <c r="E2031" s="2">
        <v>200</v>
      </c>
      <c r="F2031" s="2">
        <v>32441</v>
      </c>
      <c r="G2031" s="2">
        <v>6.6594428150000002</v>
      </c>
      <c r="H2031" s="3">
        <v>6.4399999999999994E-8</v>
      </c>
      <c r="I2031" s="2" t="s">
        <v>40542</v>
      </c>
      <c r="J2031" s="2" t="s">
        <v>40543</v>
      </c>
      <c r="K2031" s="3">
        <v>6.7700000000000004E-7</v>
      </c>
      <c r="L2031" s="2" t="s">
        <v>1178</v>
      </c>
      <c r="M2031" s="4" t="s">
        <v>14456</v>
      </c>
    </row>
    <row r="2032" spans="1:13">
      <c r="A2032" s="2">
        <v>2858</v>
      </c>
      <c r="B2032" s="2" t="s">
        <v>40544</v>
      </c>
      <c r="C2032" s="2">
        <v>14</v>
      </c>
      <c r="D2032" s="2">
        <v>341</v>
      </c>
      <c r="E2032" s="2">
        <v>200</v>
      </c>
      <c r="F2032" s="2">
        <v>32441</v>
      </c>
      <c r="G2032" s="2">
        <v>6.6594428150000002</v>
      </c>
      <c r="H2032" s="3">
        <v>6.4399999999999994E-8</v>
      </c>
      <c r="I2032" s="2" t="s">
        <v>40545</v>
      </c>
      <c r="J2032" s="2" t="s">
        <v>40546</v>
      </c>
      <c r="K2032" s="3">
        <v>6.7700000000000004E-7</v>
      </c>
      <c r="L2032" s="2" t="s">
        <v>1178</v>
      </c>
      <c r="M2032" s="4" t="s">
        <v>40547</v>
      </c>
    </row>
    <row r="2033" spans="1:13">
      <c r="A2033" s="2">
        <v>3222</v>
      </c>
      <c r="B2033" s="2" t="s">
        <v>2622</v>
      </c>
      <c r="C2033" s="2">
        <v>14</v>
      </c>
      <c r="D2033" s="2">
        <v>341</v>
      </c>
      <c r="E2033" s="2">
        <v>200</v>
      </c>
      <c r="F2033" s="2">
        <v>32441</v>
      </c>
      <c r="G2033" s="2">
        <v>6.6594428150000002</v>
      </c>
      <c r="H2033" s="3">
        <v>6.4399999999999994E-8</v>
      </c>
      <c r="I2033" s="2" t="s">
        <v>40548</v>
      </c>
      <c r="J2033" s="2" t="s">
        <v>40549</v>
      </c>
      <c r="K2033" s="3">
        <v>6.7700000000000004E-7</v>
      </c>
      <c r="L2033" s="2" t="s">
        <v>1178</v>
      </c>
      <c r="M2033" s="4" t="s">
        <v>40550</v>
      </c>
    </row>
    <row r="2034" spans="1:13">
      <c r="A2034" s="2">
        <v>3279</v>
      </c>
      <c r="B2034" s="2" t="s">
        <v>34298</v>
      </c>
      <c r="C2034" s="2">
        <v>14</v>
      </c>
      <c r="D2034" s="2">
        <v>341</v>
      </c>
      <c r="E2034" s="2">
        <v>200</v>
      </c>
      <c r="F2034" s="2">
        <v>32441</v>
      </c>
      <c r="G2034" s="2">
        <v>6.6594428150000002</v>
      </c>
      <c r="H2034" s="3">
        <v>6.4399999999999994E-8</v>
      </c>
      <c r="I2034" s="2" t="s">
        <v>40551</v>
      </c>
      <c r="J2034" s="2" t="s">
        <v>40552</v>
      </c>
      <c r="K2034" s="3">
        <v>6.7700000000000004E-7</v>
      </c>
      <c r="L2034" s="2" t="s">
        <v>1178</v>
      </c>
      <c r="M2034" s="4" t="s">
        <v>34301</v>
      </c>
    </row>
    <row r="2035" spans="1:13">
      <c r="A2035" s="2">
        <v>3287</v>
      </c>
      <c r="B2035" s="2" t="s">
        <v>2643</v>
      </c>
      <c r="C2035" s="2">
        <v>14</v>
      </c>
      <c r="D2035" s="2">
        <v>341</v>
      </c>
      <c r="E2035" s="2">
        <v>200</v>
      </c>
      <c r="F2035" s="2">
        <v>32441</v>
      </c>
      <c r="G2035" s="2">
        <v>6.6594428150000002</v>
      </c>
      <c r="H2035" s="3">
        <v>6.4399999999999994E-8</v>
      </c>
      <c r="I2035" s="2" t="s">
        <v>40553</v>
      </c>
      <c r="J2035" s="2" t="s">
        <v>40554</v>
      </c>
      <c r="K2035" s="3">
        <v>6.7700000000000004E-7</v>
      </c>
      <c r="L2035" s="2" t="s">
        <v>1178</v>
      </c>
      <c r="M2035" s="4" t="s">
        <v>40555</v>
      </c>
    </row>
    <row r="2036" spans="1:13">
      <c r="A2036" s="2">
        <v>3350</v>
      </c>
      <c r="B2036" s="2" t="s">
        <v>40556</v>
      </c>
      <c r="C2036" s="2">
        <v>14</v>
      </c>
      <c r="D2036" s="2">
        <v>341</v>
      </c>
      <c r="E2036" s="2">
        <v>200</v>
      </c>
      <c r="F2036" s="2">
        <v>32441</v>
      </c>
      <c r="G2036" s="2">
        <v>6.6594428150000002</v>
      </c>
      <c r="H2036" s="3">
        <v>6.4399999999999994E-8</v>
      </c>
      <c r="I2036" s="2" t="s">
        <v>40557</v>
      </c>
      <c r="J2036" s="2" t="s">
        <v>40558</v>
      </c>
      <c r="K2036" s="3">
        <v>6.7700000000000004E-7</v>
      </c>
      <c r="L2036" s="2" t="s">
        <v>1178</v>
      </c>
      <c r="M2036" s="4" t="s">
        <v>40559</v>
      </c>
    </row>
    <row r="2037" spans="1:13">
      <c r="A2037" s="2">
        <v>3641</v>
      </c>
      <c r="B2037" s="2" t="s">
        <v>16033</v>
      </c>
      <c r="C2037" s="2">
        <v>14</v>
      </c>
      <c r="D2037" s="2">
        <v>341</v>
      </c>
      <c r="E2037" s="2">
        <v>200</v>
      </c>
      <c r="F2037" s="2">
        <v>32441</v>
      </c>
      <c r="G2037" s="2">
        <v>6.6594428150000002</v>
      </c>
      <c r="H2037" s="3">
        <v>6.4399999999999994E-8</v>
      </c>
      <c r="I2037" s="2" t="s">
        <v>40560</v>
      </c>
      <c r="J2037" s="2" t="s">
        <v>40561</v>
      </c>
      <c r="K2037" s="3">
        <v>6.7700000000000004E-7</v>
      </c>
      <c r="L2037" s="2" t="s">
        <v>1178</v>
      </c>
      <c r="M2037" s="4" t="s">
        <v>16036</v>
      </c>
    </row>
    <row r="2038" spans="1:13">
      <c r="A2038" s="2">
        <v>44511</v>
      </c>
      <c r="B2038" s="2" t="s">
        <v>40562</v>
      </c>
      <c r="C2038" s="2">
        <v>14</v>
      </c>
      <c r="D2038" s="2">
        <v>341</v>
      </c>
      <c r="E2038" s="2">
        <v>200</v>
      </c>
      <c r="F2038" s="2">
        <v>32441</v>
      </c>
      <c r="G2038" s="2">
        <v>6.6594428150000002</v>
      </c>
      <c r="H2038" s="3">
        <v>6.4399999999999994E-8</v>
      </c>
      <c r="I2038" s="2" t="s">
        <v>40563</v>
      </c>
      <c r="J2038" s="2" t="s">
        <v>40564</v>
      </c>
      <c r="K2038" s="3">
        <v>6.7700000000000004E-7</v>
      </c>
      <c r="L2038" s="2" t="s">
        <v>1178</v>
      </c>
      <c r="M2038" s="4" t="s">
        <v>40565</v>
      </c>
    </row>
    <row r="2039" spans="1:13">
      <c r="A2039" s="2">
        <v>41711</v>
      </c>
      <c r="B2039" s="2" t="s">
        <v>20327</v>
      </c>
      <c r="C2039" s="2">
        <v>13</v>
      </c>
      <c r="D2039" s="2">
        <v>341</v>
      </c>
      <c r="E2039" s="2">
        <v>183</v>
      </c>
      <c r="F2039" s="2">
        <v>32441</v>
      </c>
      <c r="G2039" s="2">
        <v>6.758216752</v>
      </c>
      <c r="H2039" s="3">
        <v>1.6299999999999999E-7</v>
      </c>
      <c r="I2039" s="2" t="s">
        <v>40566</v>
      </c>
      <c r="J2039" s="2" t="s">
        <v>40567</v>
      </c>
      <c r="K2039" s="3">
        <v>1.7099999999999999E-6</v>
      </c>
      <c r="L2039" s="2" t="s">
        <v>1178</v>
      </c>
      <c r="M2039" s="4" t="s">
        <v>20330</v>
      </c>
    </row>
    <row r="2040" spans="1:13">
      <c r="A2040" s="2">
        <v>38252</v>
      </c>
      <c r="B2040" s="2" t="s">
        <v>40568</v>
      </c>
      <c r="C2040" s="2">
        <v>13</v>
      </c>
      <c r="D2040" s="2">
        <v>341</v>
      </c>
      <c r="E2040" s="2">
        <v>198</v>
      </c>
      <c r="F2040" s="2">
        <v>32441</v>
      </c>
      <c r="G2040" s="2">
        <v>6.2462306349999999</v>
      </c>
      <c r="H2040" s="3">
        <v>3.8000000000000001E-7</v>
      </c>
      <c r="I2040" s="2" t="s">
        <v>40569</v>
      </c>
      <c r="J2040" s="2" t="s">
        <v>40570</v>
      </c>
      <c r="K2040" s="3">
        <v>3.98E-6</v>
      </c>
      <c r="L2040" s="2" t="s">
        <v>1178</v>
      </c>
      <c r="M2040" s="4" t="s">
        <v>40571</v>
      </c>
    </row>
    <row r="2041" spans="1:13">
      <c r="A2041" s="2">
        <v>200</v>
      </c>
      <c r="B2041" s="2" t="s">
        <v>13441</v>
      </c>
      <c r="C2041" s="2">
        <v>13</v>
      </c>
      <c r="D2041" s="2">
        <v>341</v>
      </c>
      <c r="E2041" s="2">
        <v>200</v>
      </c>
      <c r="F2041" s="2">
        <v>32441</v>
      </c>
      <c r="G2041" s="2">
        <v>6.1837683280000002</v>
      </c>
      <c r="H2041" s="3">
        <v>4.2300000000000002E-7</v>
      </c>
      <c r="I2041" s="2" t="s">
        <v>40572</v>
      </c>
      <c r="J2041" s="2" t="s">
        <v>40573</v>
      </c>
      <c r="K2041" s="3">
        <v>4.1500000000000001E-6</v>
      </c>
      <c r="L2041" s="2" t="s">
        <v>1178</v>
      </c>
      <c r="M2041" s="4" t="s">
        <v>13444</v>
      </c>
    </row>
    <row r="2042" spans="1:13">
      <c r="A2042" s="2">
        <v>204</v>
      </c>
      <c r="B2042" s="2" t="s">
        <v>14309</v>
      </c>
      <c r="C2042" s="2">
        <v>13</v>
      </c>
      <c r="D2042" s="2">
        <v>341</v>
      </c>
      <c r="E2042" s="2">
        <v>199</v>
      </c>
      <c r="F2042" s="2">
        <v>32441</v>
      </c>
      <c r="G2042" s="2">
        <v>6.2148425410000003</v>
      </c>
      <c r="H2042" s="3">
        <v>4.01E-7</v>
      </c>
      <c r="I2042" s="2" t="s">
        <v>40574</v>
      </c>
      <c r="J2042" s="2" t="s">
        <v>40575</v>
      </c>
      <c r="K2042" s="3">
        <v>4.1500000000000001E-6</v>
      </c>
      <c r="L2042" s="2" t="s">
        <v>1178</v>
      </c>
      <c r="M2042" s="4" t="s">
        <v>14312</v>
      </c>
    </row>
    <row r="2043" spans="1:13">
      <c r="A2043" s="2">
        <v>2613</v>
      </c>
      <c r="B2043" s="2" t="s">
        <v>21707</v>
      </c>
      <c r="C2043" s="2">
        <v>13</v>
      </c>
      <c r="D2043" s="2">
        <v>341</v>
      </c>
      <c r="E2043" s="2">
        <v>200</v>
      </c>
      <c r="F2043" s="2">
        <v>32441</v>
      </c>
      <c r="G2043" s="2">
        <v>6.1837683280000002</v>
      </c>
      <c r="H2043" s="3">
        <v>4.2300000000000002E-7</v>
      </c>
      <c r="I2043" s="2" t="s">
        <v>40576</v>
      </c>
      <c r="J2043" s="2" t="s">
        <v>40577</v>
      </c>
      <c r="K2043" s="3">
        <v>4.1500000000000001E-6</v>
      </c>
      <c r="L2043" s="2" t="s">
        <v>1178</v>
      </c>
      <c r="M2043" s="4" t="s">
        <v>21710</v>
      </c>
    </row>
    <row r="2044" spans="1:13">
      <c r="A2044" s="2">
        <v>469</v>
      </c>
      <c r="B2044" s="2" t="s">
        <v>2037</v>
      </c>
      <c r="C2044" s="2">
        <v>13</v>
      </c>
      <c r="D2044" s="2">
        <v>341</v>
      </c>
      <c r="E2044" s="2">
        <v>200</v>
      </c>
      <c r="F2044" s="2">
        <v>32441</v>
      </c>
      <c r="G2044" s="2">
        <v>6.1837683280000002</v>
      </c>
      <c r="H2044" s="3">
        <v>4.2300000000000002E-7</v>
      </c>
      <c r="I2044" s="2" t="s">
        <v>40578</v>
      </c>
      <c r="J2044" s="2" t="s">
        <v>40579</v>
      </c>
      <c r="K2044" s="3">
        <v>4.1500000000000001E-6</v>
      </c>
      <c r="L2044" s="2" t="s">
        <v>1178</v>
      </c>
      <c r="M2044" s="4" t="s">
        <v>40580</v>
      </c>
    </row>
    <row r="2045" spans="1:13">
      <c r="A2045" s="2">
        <v>794</v>
      </c>
      <c r="B2045" s="2" t="s">
        <v>40581</v>
      </c>
      <c r="C2045" s="2">
        <v>13</v>
      </c>
      <c r="D2045" s="2">
        <v>341</v>
      </c>
      <c r="E2045" s="2">
        <v>200</v>
      </c>
      <c r="F2045" s="2">
        <v>32441</v>
      </c>
      <c r="G2045" s="2">
        <v>6.1837683280000002</v>
      </c>
      <c r="H2045" s="3">
        <v>4.2300000000000002E-7</v>
      </c>
      <c r="I2045" s="2" t="s">
        <v>40582</v>
      </c>
      <c r="J2045" s="2" t="s">
        <v>40583</v>
      </c>
      <c r="K2045" s="3">
        <v>4.1500000000000001E-6</v>
      </c>
      <c r="L2045" s="2" t="s">
        <v>1178</v>
      </c>
      <c r="M2045" s="4" t="s">
        <v>40584</v>
      </c>
    </row>
    <row r="2046" spans="1:13">
      <c r="A2046" s="2">
        <v>870</v>
      </c>
      <c r="B2046" s="2" t="s">
        <v>23169</v>
      </c>
      <c r="C2046" s="2">
        <v>13</v>
      </c>
      <c r="D2046" s="2">
        <v>341</v>
      </c>
      <c r="E2046" s="2">
        <v>200</v>
      </c>
      <c r="F2046" s="2">
        <v>32441</v>
      </c>
      <c r="G2046" s="2">
        <v>6.1837683280000002</v>
      </c>
      <c r="H2046" s="3">
        <v>4.2300000000000002E-7</v>
      </c>
      <c r="I2046" s="2" t="s">
        <v>40585</v>
      </c>
      <c r="J2046" s="2" t="s">
        <v>40586</v>
      </c>
      <c r="K2046" s="3">
        <v>4.1500000000000001E-6</v>
      </c>
      <c r="L2046" s="2" t="s">
        <v>1178</v>
      </c>
      <c r="M2046" s="4" t="s">
        <v>23172</v>
      </c>
    </row>
    <row r="2047" spans="1:13">
      <c r="A2047" s="2">
        <v>1020</v>
      </c>
      <c r="B2047" s="2" t="s">
        <v>18660</v>
      </c>
      <c r="C2047" s="2">
        <v>13</v>
      </c>
      <c r="D2047" s="2">
        <v>341</v>
      </c>
      <c r="E2047" s="2">
        <v>200</v>
      </c>
      <c r="F2047" s="2">
        <v>32441</v>
      </c>
      <c r="G2047" s="2">
        <v>6.1837683280000002</v>
      </c>
      <c r="H2047" s="3">
        <v>4.2300000000000002E-7</v>
      </c>
      <c r="I2047" s="2" t="s">
        <v>40587</v>
      </c>
      <c r="J2047" s="2" t="s">
        <v>40588</v>
      </c>
      <c r="K2047" s="3">
        <v>4.1500000000000001E-6</v>
      </c>
      <c r="L2047" s="2" t="s">
        <v>1178</v>
      </c>
      <c r="M2047" s="4" t="s">
        <v>18663</v>
      </c>
    </row>
    <row r="2048" spans="1:13">
      <c r="A2048" s="2">
        <v>10241</v>
      </c>
      <c r="B2048" s="2" t="s">
        <v>12313</v>
      </c>
      <c r="C2048" s="2">
        <v>13</v>
      </c>
      <c r="D2048" s="2">
        <v>341</v>
      </c>
      <c r="E2048" s="2">
        <v>200</v>
      </c>
      <c r="F2048" s="2">
        <v>32441</v>
      </c>
      <c r="G2048" s="2">
        <v>6.1837683280000002</v>
      </c>
      <c r="H2048" s="3">
        <v>4.2300000000000002E-7</v>
      </c>
      <c r="I2048" s="2" t="s">
        <v>40589</v>
      </c>
      <c r="J2048" s="2" t="s">
        <v>40590</v>
      </c>
      <c r="K2048" s="3">
        <v>4.1500000000000001E-6</v>
      </c>
      <c r="L2048" s="2" t="s">
        <v>1178</v>
      </c>
      <c r="M2048" s="4" t="s">
        <v>12316</v>
      </c>
    </row>
    <row r="2049" spans="1:13">
      <c r="A2049" s="2">
        <v>1077</v>
      </c>
      <c r="B2049" s="2" t="s">
        <v>14023</v>
      </c>
      <c r="C2049" s="2">
        <v>13</v>
      </c>
      <c r="D2049" s="2">
        <v>341</v>
      </c>
      <c r="E2049" s="2">
        <v>200</v>
      </c>
      <c r="F2049" s="2">
        <v>32441</v>
      </c>
      <c r="G2049" s="2">
        <v>6.1837683280000002</v>
      </c>
      <c r="H2049" s="3">
        <v>4.2300000000000002E-7</v>
      </c>
      <c r="I2049" s="2" t="s">
        <v>40591</v>
      </c>
      <c r="J2049" s="2" t="s">
        <v>40592</v>
      </c>
      <c r="K2049" s="3">
        <v>4.1500000000000001E-6</v>
      </c>
      <c r="L2049" s="2" t="s">
        <v>1178</v>
      </c>
      <c r="M2049" s="4" t="s">
        <v>14026</v>
      </c>
    </row>
    <row r="2050" spans="1:13">
      <c r="A2050" s="2">
        <v>1190</v>
      </c>
      <c r="B2050" s="2" t="s">
        <v>20738</v>
      </c>
      <c r="C2050" s="2">
        <v>13</v>
      </c>
      <c r="D2050" s="2">
        <v>341</v>
      </c>
      <c r="E2050" s="2">
        <v>200</v>
      </c>
      <c r="F2050" s="2">
        <v>32441</v>
      </c>
      <c r="G2050" s="2">
        <v>6.1837683280000002</v>
      </c>
      <c r="H2050" s="3">
        <v>4.2300000000000002E-7</v>
      </c>
      <c r="I2050" s="2" t="s">
        <v>40593</v>
      </c>
      <c r="J2050" s="2" t="s">
        <v>40594</v>
      </c>
      <c r="K2050" s="3">
        <v>4.1500000000000001E-6</v>
      </c>
      <c r="L2050" s="2" t="s">
        <v>1178</v>
      </c>
      <c r="M2050" s="4" t="s">
        <v>20741</v>
      </c>
    </row>
    <row r="2051" spans="1:13">
      <c r="A2051" s="2">
        <v>1448</v>
      </c>
      <c r="B2051" s="2" t="s">
        <v>40595</v>
      </c>
      <c r="C2051" s="2">
        <v>13</v>
      </c>
      <c r="D2051" s="2">
        <v>341</v>
      </c>
      <c r="E2051" s="2">
        <v>200</v>
      </c>
      <c r="F2051" s="2">
        <v>32441</v>
      </c>
      <c r="G2051" s="2">
        <v>6.1837683280000002</v>
      </c>
      <c r="H2051" s="3">
        <v>4.2300000000000002E-7</v>
      </c>
      <c r="I2051" s="2" t="s">
        <v>40596</v>
      </c>
      <c r="J2051" s="2" t="s">
        <v>40597</v>
      </c>
      <c r="K2051" s="3">
        <v>4.1500000000000001E-6</v>
      </c>
      <c r="L2051" s="2" t="s">
        <v>1178</v>
      </c>
      <c r="M2051" s="4" t="s">
        <v>40598</v>
      </c>
    </row>
    <row r="2052" spans="1:13">
      <c r="A2052" s="2">
        <v>14971</v>
      </c>
      <c r="B2052" s="2" t="s">
        <v>40599</v>
      </c>
      <c r="C2052" s="2">
        <v>13</v>
      </c>
      <c r="D2052" s="2">
        <v>341</v>
      </c>
      <c r="E2052" s="2">
        <v>200</v>
      </c>
      <c r="F2052" s="2">
        <v>32441</v>
      </c>
      <c r="G2052" s="2">
        <v>6.1837683280000002</v>
      </c>
      <c r="H2052" s="3">
        <v>4.2300000000000002E-7</v>
      </c>
      <c r="I2052" s="2" t="s">
        <v>40600</v>
      </c>
      <c r="J2052" s="2" t="s">
        <v>40601</v>
      </c>
      <c r="K2052" s="3">
        <v>4.1500000000000001E-6</v>
      </c>
      <c r="L2052" s="2" t="s">
        <v>1178</v>
      </c>
      <c r="M2052" s="4" t="s">
        <v>40602</v>
      </c>
    </row>
    <row r="2053" spans="1:13">
      <c r="A2053" s="2">
        <v>1594</v>
      </c>
      <c r="B2053" s="2" t="s">
        <v>1488</v>
      </c>
      <c r="C2053" s="2">
        <v>13</v>
      </c>
      <c r="D2053" s="2">
        <v>341</v>
      </c>
      <c r="E2053" s="2">
        <v>200</v>
      </c>
      <c r="F2053" s="2">
        <v>32441</v>
      </c>
      <c r="G2053" s="2">
        <v>6.1837683280000002</v>
      </c>
      <c r="H2053" s="3">
        <v>4.2300000000000002E-7</v>
      </c>
      <c r="I2053" s="2" t="s">
        <v>40603</v>
      </c>
      <c r="J2053" s="2" t="s">
        <v>40604</v>
      </c>
      <c r="K2053" s="3">
        <v>4.1500000000000001E-6</v>
      </c>
      <c r="L2053" s="2" t="s">
        <v>1178</v>
      </c>
      <c r="M2053" s="4" t="s">
        <v>40605</v>
      </c>
    </row>
    <row r="2054" spans="1:13">
      <c r="A2054" s="2">
        <v>1769</v>
      </c>
      <c r="B2054" s="2" t="s">
        <v>17247</v>
      </c>
      <c r="C2054" s="2">
        <v>13</v>
      </c>
      <c r="D2054" s="2">
        <v>341</v>
      </c>
      <c r="E2054" s="2">
        <v>200</v>
      </c>
      <c r="F2054" s="2">
        <v>32441</v>
      </c>
      <c r="G2054" s="2">
        <v>6.1837683280000002</v>
      </c>
      <c r="H2054" s="3">
        <v>4.2300000000000002E-7</v>
      </c>
      <c r="I2054" s="2" t="s">
        <v>40606</v>
      </c>
      <c r="J2054" s="2" t="s">
        <v>40607</v>
      </c>
      <c r="K2054" s="3">
        <v>4.1500000000000001E-6</v>
      </c>
      <c r="L2054" s="2" t="s">
        <v>1178</v>
      </c>
      <c r="M2054" s="4" t="s">
        <v>17250</v>
      </c>
    </row>
    <row r="2055" spans="1:13">
      <c r="A2055" s="2">
        <v>1814</v>
      </c>
      <c r="B2055" s="2" t="s">
        <v>40608</v>
      </c>
      <c r="C2055" s="2">
        <v>13</v>
      </c>
      <c r="D2055" s="2">
        <v>341</v>
      </c>
      <c r="E2055" s="2">
        <v>200</v>
      </c>
      <c r="F2055" s="2">
        <v>32441</v>
      </c>
      <c r="G2055" s="2">
        <v>6.1837683280000002</v>
      </c>
      <c r="H2055" s="3">
        <v>4.2300000000000002E-7</v>
      </c>
      <c r="I2055" s="2" t="s">
        <v>40609</v>
      </c>
      <c r="J2055" s="2" t="s">
        <v>40610</v>
      </c>
      <c r="K2055" s="3">
        <v>4.1500000000000001E-6</v>
      </c>
      <c r="L2055" s="2" t="s">
        <v>1178</v>
      </c>
      <c r="M2055" s="4" t="s">
        <v>40611</v>
      </c>
    </row>
    <row r="2056" spans="1:13">
      <c r="A2056" s="2">
        <v>2078</v>
      </c>
      <c r="B2056" s="2" t="s">
        <v>40612</v>
      </c>
      <c r="C2056" s="2">
        <v>13</v>
      </c>
      <c r="D2056" s="2">
        <v>341</v>
      </c>
      <c r="E2056" s="2">
        <v>200</v>
      </c>
      <c r="F2056" s="2">
        <v>32441</v>
      </c>
      <c r="G2056" s="2">
        <v>6.1837683280000002</v>
      </c>
      <c r="H2056" s="3">
        <v>4.2300000000000002E-7</v>
      </c>
      <c r="I2056" s="2" t="s">
        <v>40613</v>
      </c>
      <c r="J2056" s="2" t="s">
        <v>40614</v>
      </c>
      <c r="K2056" s="3">
        <v>4.1500000000000001E-6</v>
      </c>
      <c r="L2056" s="2" t="s">
        <v>1178</v>
      </c>
      <c r="M2056" s="4" t="s">
        <v>40615</v>
      </c>
    </row>
    <row r="2057" spans="1:13">
      <c r="A2057" s="2">
        <v>2131</v>
      </c>
      <c r="B2057" s="2" t="s">
        <v>40616</v>
      </c>
      <c r="C2057" s="2">
        <v>13</v>
      </c>
      <c r="D2057" s="2">
        <v>341</v>
      </c>
      <c r="E2057" s="2">
        <v>199</v>
      </c>
      <c r="F2057" s="2">
        <v>32441</v>
      </c>
      <c r="G2057" s="2">
        <v>6.2148425410000003</v>
      </c>
      <c r="H2057" s="3">
        <v>4.01E-7</v>
      </c>
      <c r="I2057" s="2" t="s">
        <v>40617</v>
      </c>
      <c r="J2057" s="2" t="s">
        <v>40618</v>
      </c>
      <c r="K2057" s="3">
        <v>4.1500000000000001E-6</v>
      </c>
      <c r="L2057" s="2" t="s">
        <v>1178</v>
      </c>
      <c r="M2057" s="4" t="s">
        <v>40619</v>
      </c>
    </row>
    <row r="2058" spans="1:13">
      <c r="A2058" s="2">
        <v>2157</v>
      </c>
      <c r="B2058" s="2" t="s">
        <v>15341</v>
      </c>
      <c r="C2058" s="2">
        <v>13</v>
      </c>
      <c r="D2058" s="2">
        <v>341</v>
      </c>
      <c r="E2058" s="2">
        <v>200</v>
      </c>
      <c r="F2058" s="2">
        <v>32441</v>
      </c>
      <c r="G2058" s="2">
        <v>6.1837683280000002</v>
      </c>
      <c r="H2058" s="3">
        <v>4.2300000000000002E-7</v>
      </c>
      <c r="I2058" s="2" t="s">
        <v>40620</v>
      </c>
      <c r="J2058" s="2" t="s">
        <v>40621</v>
      </c>
      <c r="K2058" s="3">
        <v>4.1500000000000001E-6</v>
      </c>
      <c r="L2058" s="2" t="s">
        <v>1178</v>
      </c>
      <c r="M2058" s="4" t="s">
        <v>15344</v>
      </c>
    </row>
    <row r="2059" spans="1:13">
      <c r="A2059" s="2">
        <v>2454</v>
      </c>
      <c r="B2059" s="2" t="s">
        <v>18916</v>
      </c>
      <c r="C2059" s="2">
        <v>13</v>
      </c>
      <c r="D2059" s="2">
        <v>341</v>
      </c>
      <c r="E2059" s="2">
        <v>200</v>
      </c>
      <c r="F2059" s="2">
        <v>32441</v>
      </c>
      <c r="G2059" s="2">
        <v>6.1837683280000002</v>
      </c>
      <c r="H2059" s="3">
        <v>4.2300000000000002E-7</v>
      </c>
      <c r="I2059" s="2" t="s">
        <v>40622</v>
      </c>
      <c r="J2059" s="2" t="s">
        <v>40623</v>
      </c>
      <c r="K2059" s="3">
        <v>4.1500000000000001E-6</v>
      </c>
      <c r="L2059" s="2" t="s">
        <v>1178</v>
      </c>
      <c r="M2059" s="4" t="s">
        <v>18919</v>
      </c>
    </row>
    <row r="2060" spans="1:13">
      <c r="A2060" s="2">
        <v>2611</v>
      </c>
      <c r="B2060" s="2" t="s">
        <v>40624</v>
      </c>
      <c r="C2060" s="2">
        <v>13</v>
      </c>
      <c r="D2060" s="2">
        <v>341</v>
      </c>
      <c r="E2060" s="2">
        <v>200</v>
      </c>
      <c r="F2060" s="2">
        <v>32441</v>
      </c>
      <c r="G2060" s="2">
        <v>6.1837683280000002</v>
      </c>
      <c r="H2060" s="3">
        <v>4.2300000000000002E-7</v>
      </c>
      <c r="I2060" s="2" t="s">
        <v>40625</v>
      </c>
      <c r="J2060" s="2" t="s">
        <v>40626</v>
      </c>
      <c r="K2060" s="3">
        <v>4.1500000000000001E-6</v>
      </c>
      <c r="L2060" s="2" t="s">
        <v>1178</v>
      </c>
      <c r="M2060" s="4" t="s">
        <v>40627</v>
      </c>
    </row>
    <row r="2061" spans="1:13">
      <c r="A2061" s="2">
        <v>3001</v>
      </c>
      <c r="B2061" s="2" t="s">
        <v>18980</v>
      </c>
      <c r="C2061" s="2">
        <v>13</v>
      </c>
      <c r="D2061" s="2">
        <v>341</v>
      </c>
      <c r="E2061" s="2">
        <v>200</v>
      </c>
      <c r="F2061" s="2">
        <v>32441</v>
      </c>
      <c r="G2061" s="2">
        <v>6.1837683280000002</v>
      </c>
      <c r="H2061" s="3">
        <v>4.2300000000000002E-7</v>
      </c>
      <c r="I2061" s="2" t="s">
        <v>40628</v>
      </c>
      <c r="J2061" s="2" t="s">
        <v>40629</v>
      </c>
      <c r="K2061" s="3">
        <v>4.1500000000000001E-6</v>
      </c>
      <c r="L2061" s="2" t="s">
        <v>1178</v>
      </c>
      <c r="M2061" s="4" t="s">
        <v>18983</v>
      </c>
    </row>
    <row r="2062" spans="1:13">
      <c r="A2062" s="2">
        <v>3191</v>
      </c>
      <c r="B2062" s="2" t="s">
        <v>40630</v>
      </c>
      <c r="C2062" s="2">
        <v>13</v>
      </c>
      <c r="D2062" s="2">
        <v>341</v>
      </c>
      <c r="E2062" s="2">
        <v>199</v>
      </c>
      <c r="F2062" s="2">
        <v>32441</v>
      </c>
      <c r="G2062" s="2">
        <v>6.2148425410000003</v>
      </c>
      <c r="H2062" s="3">
        <v>4.01E-7</v>
      </c>
      <c r="I2062" s="2" t="s">
        <v>40631</v>
      </c>
      <c r="J2062" s="2" t="s">
        <v>40632</v>
      </c>
      <c r="K2062" s="3">
        <v>4.1500000000000001E-6</v>
      </c>
      <c r="L2062" s="2" t="s">
        <v>1178</v>
      </c>
      <c r="M2062" s="4" t="s">
        <v>40633</v>
      </c>
    </row>
    <row r="2063" spans="1:13">
      <c r="A2063" s="2">
        <v>3359</v>
      </c>
      <c r="B2063" s="2" t="s">
        <v>2241</v>
      </c>
      <c r="C2063" s="2">
        <v>13</v>
      </c>
      <c r="D2063" s="2">
        <v>341</v>
      </c>
      <c r="E2063" s="2">
        <v>200</v>
      </c>
      <c r="F2063" s="2">
        <v>32441</v>
      </c>
      <c r="G2063" s="2">
        <v>6.1837683280000002</v>
      </c>
      <c r="H2063" s="3">
        <v>4.2300000000000002E-7</v>
      </c>
      <c r="I2063" s="2" t="s">
        <v>40634</v>
      </c>
      <c r="J2063" s="2" t="s">
        <v>40635</v>
      </c>
      <c r="K2063" s="3">
        <v>4.1500000000000001E-6</v>
      </c>
      <c r="L2063" s="2" t="s">
        <v>1178</v>
      </c>
      <c r="M2063" s="4" t="s">
        <v>40636</v>
      </c>
    </row>
    <row r="2064" spans="1:13">
      <c r="A2064" s="2">
        <v>3544</v>
      </c>
      <c r="B2064" s="2" t="s">
        <v>19073</v>
      </c>
      <c r="C2064" s="2">
        <v>13</v>
      </c>
      <c r="D2064" s="2">
        <v>341</v>
      </c>
      <c r="E2064" s="2">
        <v>200</v>
      </c>
      <c r="F2064" s="2">
        <v>32441</v>
      </c>
      <c r="G2064" s="2">
        <v>6.1837683280000002</v>
      </c>
      <c r="H2064" s="3">
        <v>4.2300000000000002E-7</v>
      </c>
      <c r="I2064" s="2" t="s">
        <v>40637</v>
      </c>
      <c r="J2064" s="2" t="s">
        <v>40638</v>
      </c>
      <c r="K2064" s="3">
        <v>4.1500000000000001E-6</v>
      </c>
      <c r="L2064" s="2" t="s">
        <v>1178</v>
      </c>
      <c r="M2064" s="4" t="s">
        <v>19076</v>
      </c>
    </row>
    <row r="2065" spans="1:13">
      <c r="A2065" s="2">
        <v>39171</v>
      </c>
      <c r="B2065" s="2" t="s">
        <v>21343</v>
      </c>
      <c r="C2065" s="2">
        <v>13</v>
      </c>
      <c r="D2065" s="2">
        <v>341</v>
      </c>
      <c r="E2065" s="2">
        <v>200</v>
      </c>
      <c r="F2065" s="2">
        <v>32441</v>
      </c>
      <c r="G2065" s="2">
        <v>6.1837683280000002</v>
      </c>
      <c r="H2065" s="3">
        <v>4.2300000000000002E-7</v>
      </c>
      <c r="I2065" s="2" t="s">
        <v>40639</v>
      </c>
      <c r="J2065" s="2" t="s">
        <v>40640</v>
      </c>
      <c r="K2065" s="3">
        <v>4.1500000000000001E-6</v>
      </c>
      <c r="L2065" s="2" t="s">
        <v>1178</v>
      </c>
      <c r="M2065" s="4" t="s">
        <v>21346</v>
      </c>
    </row>
    <row r="2066" spans="1:13">
      <c r="A2066" s="2">
        <v>4059</v>
      </c>
      <c r="B2066" s="2" t="s">
        <v>21351</v>
      </c>
      <c r="C2066" s="2">
        <v>13</v>
      </c>
      <c r="D2066" s="2">
        <v>341</v>
      </c>
      <c r="E2066" s="2">
        <v>200</v>
      </c>
      <c r="F2066" s="2">
        <v>32441</v>
      </c>
      <c r="G2066" s="2">
        <v>6.1837683280000002</v>
      </c>
      <c r="H2066" s="3">
        <v>4.2300000000000002E-7</v>
      </c>
      <c r="I2066" s="2" t="s">
        <v>40641</v>
      </c>
      <c r="J2066" s="2" t="s">
        <v>40642</v>
      </c>
      <c r="K2066" s="3">
        <v>4.1500000000000001E-6</v>
      </c>
      <c r="L2066" s="2" t="s">
        <v>1178</v>
      </c>
      <c r="M2066" s="4" t="s">
        <v>21354</v>
      </c>
    </row>
    <row r="2067" spans="1:13">
      <c r="A2067" s="2">
        <v>4253</v>
      </c>
      <c r="B2067" s="2" t="s">
        <v>40643</v>
      </c>
      <c r="C2067" s="2">
        <v>13</v>
      </c>
      <c r="D2067" s="2">
        <v>341</v>
      </c>
      <c r="E2067" s="2">
        <v>200</v>
      </c>
      <c r="F2067" s="2">
        <v>32441</v>
      </c>
      <c r="G2067" s="2">
        <v>6.1837683280000002</v>
      </c>
      <c r="H2067" s="3">
        <v>4.2300000000000002E-7</v>
      </c>
      <c r="I2067" s="2" t="s">
        <v>40644</v>
      </c>
      <c r="J2067" s="2" t="s">
        <v>40645</v>
      </c>
      <c r="K2067" s="3">
        <v>4.1500000000000001E-6</v>
      </c>
      <c r="L2067" s="2" t="s">
        <v>1178</v>
      </c>
      <c r="M2067" s="4" t="s">
        <v>40646</v>
      </c>
    </row>
    <row r="2068" spans="1:13">
      <c r="A2068" s="2">
        <v>4361</v>
      </c>
      <c r="B2068" s="2" t="s">
        <v>19182</v>
      </c>
      <c r="C2068" s="2">
        <v>13</v>
      </c>
      <c r="D2068" s="2">
        <v>341</v>
      </c>
      <c r="E2068" s="2">
        <v>200</v>
      </c>
      <c r="F2068" s="2">
        <v>32441</v>
      </c>
      <c r="G2068" s="2">
        <v>6.1837683280000002</v>
      </c>
      <c r="H2068" s="3">
        <v>4.2300000000000002E-7</v>
      </c>
      <c r="I2068" s="2" t="s">
        <v>40647</v>
      </c>
      <c r="J2068" s="2" t="s">
        <v>40648</v>
      </c>
      <c r="K2068" s="3">
        <v>4.1500000000000001E-6</v>
      </c>
      <c r="L2068" s="2" t="s">
        <v>1178</v>
      </c>
      <c r="M2068" s="4" t="s">
        <v>19185</v>
      </c>
    </row>
    <row r="2069" spans="1:13">
      <c r="A2069" s="2">
        <v>4389</v>
      </c>
      <c r="B2069" s="2" t="s">
        <v>18331</v>
      </c>
      <c r="C2069" s="2">
        <v>13</v>
      </c>
      <c r="D2069" s="2">
        <v>341</v>
      </c>
      <c r="E2069" s="2">
        <v>200</v>
      </c>
      <c r="F2069" s="2">
        <v>32441</v>
      </c>
      <c r="G2069" s="2">
        <v>6.1837683280000002</v>
      </c>
      <c r="H2069" s="3">
        <v>4.2300000000000002E-7</v>
      </c>
      <c r="I2069" s="2" t="s">
        <v>40649</v>
      </c>
      <c r="J2069" s="2" t="s">
        <v>40650</v>
      </c>
      <c r="K2069" s="3">
        <v>4.1500000000000001E-6</v>
      </c>
      <c r="L2069" s="2" t="s">
        <v>1178</v>
      </c>
      <c r="M2069" s="4" t="s">
        <v>18334</v>
      </c>
    </row>
    <row r="2070" spans="1:13">
      <c r="A2070" s="2">
        <v>4414</v>
      </c>
      <c r="B2070" s="2" t="s">
        <v>16125</v>
      </c>
      <c r="C2070" s="2">
        <v>13</v>
      </c>
      <c r="D2070" s="2">
        <v>341</v>
      </c>
      <c r="E2070" s="2">
        <v>199</v>
      </c>
      <c r="F2070" s="2">
        <v>32441</v>
      </c>
      <c r="G2070" s="2">
        <v>6.2148425410000003</v>
      </c>
      <c r="H2070" s="3">
        <v>4.01E-7</v>
      </c>
      <c r="I2070" s="2" t="s">
        <v>40651</v>
      </c>
      <c r="J2070" s="2" t="s">
        <v>40652</v>
      </c>
      <c r="K2070" s="3">
        <v>4.1500000000000001E-6</v>
      </c>
      <c r="L2070" s="2" t="s">
        <v>1178</v>
      </c>
      <c r="M2070" s="4" t="s">
        <v>16128</v>
      </c>
    </row>
    <row r="2071" spans="1:13">
      <c r="A2071" s="2">
        <v>4539</v>
      </c>
      <c r="B2071" s="2" t="s">
        <v>20209</v>
      </c>
      <c r="C2071" s="2">
        <v>13</v>
      </c>
      <c r="D2071" s="2">
        <v>341</v>
      </c>
      <c r="E2071" s="2">
        <v>200</v>
      </c>
      <c r="F2071" s="2">
        <v>32441</v>
      </c>
      <c r="G2071" s="2">
        <v>6.1837683280000002</v>
      </c>
      <c r="H2071" s="3">
        <v>4.2300000000000002E-7</v>
      </c>
      <c r="I2071" s="2" t="s">
        <v>40653</v>
      </c>
      <c r="J2071" s="2" t="s">
        <v>40654</v>
      </c>
      <c r="K2071" s="3">
        <v>4.1500000000000001E-6</v>
      </c>
      <c r="L2071" s="2" t="s">
        <v>1178</v>
      </c>
      <c r="M2071" s="4" t="s">
        <v>20212</v>
      </c>
    </row>
    <row r="2072" spans="1:13">
      <c r="A2072" s="2">
        <v>4543</v>
      </c>
      <c r="B2072" s="2" t="s">
        <v>1188</v>
      </c>
      <c r="C2072" s="2">
        <v>13</v>
      </c>
      <c r="D2072" s="2">
        <v>341</v>
      </c>
      <c r="E2072" s="2">
        <v>200</v>
      </c>
      <c r="F2072" s="2">
        <v>32441</v>
      </c>
      <c r="G2072" s="2">
        <v>6.1837683280000002</v>
      </c>
      <c r="H2072" s="3">
        <v>4.2300000000000002E-7</v>
      </c>
      <c r="I2072" s="2" t="s">
        <v>40655</v>
      </c>
      <c r="J2072" s="2" t="s">
        <v>40656</v>
      </c>
      <c r="K2072" s="3">
        <v>4.1500000000000001E-6</v>
      </c>
      <c r="L2072" s="2" t="s">
        <v>1178</v>
      </c>
      <c r="M2072" s="4" t="s">
        <v>40657</v>
      </c>
    </row>
    <row r="2073" spans="1:13">
      <c r="A2073" s="2">
        <v>4238</v>
      </c>
      <c r="B2073" s="2" t="s">
        <v>40658</v>
      </c>
      <c r="C2073" s="2">
        <v>12</v>
      </c>
      <c r="D2073" s="2">
        <v>341</v>
      </c>
      <c r="E2073" s="2">
        <v>167</v>
      </c>
      <c r="F2073" s="2">
        <v>32441</v>
      </c>
      <c r="G2073" s="2">
        <v>6.8360405289999999</v>
      </c>
      <c r="H2073" s="3">
        <v>4.3500000000000002E-7</v>
      </c>
      <c r="I2073" s="2" t="s">
        <v>40659</v>
      </c>
      <c r="J2073" s="2" t="s">
        <v>40660</v>
      </c>
      <c r="K2073" s="3">
        <v>4.25E-6</v>
      </c>
      <c r="L2073" s="2" t="s">
        <v>1178</v>
      </c>
      <c r="M2073" s="4" t="s">
        <v>40661</v>
      </c>
    </row>
    <row r="2074" spans="1:13">
      <c r="A2074" s="2">
        <v>2547</v>
      </c>
      <c r="B2074" s="2" t="s">
        <v>1794</v>
      </c>
      <c r="C2074" s="2">
        <v>12</v>
      </c>
      <c r="D2074" s="2">
        <v>341</v>
      </c>
      <c r="E2074" s="2">
        <v>174</v>
      </c>
      <c r="F2074" s="2">
        <v>32441</v>
      </c>
      <c r="G2074" s="2">
        <v>6.5610274039999998</v>
      </c>
      <c r="H2074" s="3">
        <v>6.5499999999999998E-7</v>
      </c>
      <c r="I2074" s="2" t="s">
        <v>40662</v>
      </c>
      <c r="J2074" s="2" t="s">
        <v>40663</v>
      </c>
      <c r="K2074" s="3">
        <v>6.3899999999999998E-6</v>
      </c>
      <c r="L2074" s="2" t="s">
        <v>1178</v>
      </c>
      <c r="M2074" s="4" t="s">
        <v>17627</v>
      </c>
    </row>
    <row r="2075" spans="1:13">
      <c r="A2075" s="2">
        <v>2429</v>
      </c>
      <c r="B2075" s="2" t="s">
        <v>33161</v>
      </c>
      <c r="C2075" s="2">
        <v>12</v>
      </c>
      <c r="D2075" s="2">
        <v>341</v>
      </c>
      <c r="E2075" s="2">
        <v>175</v>
      </c>
      <c r="F2075" s="2">
        <v>32441</v>
      </c>
      <c r="G2075" s="2">
        <v>6.5235358190000001</v>
      </c>
      <c r="H2075" s="3">
        <v>6.9299999999999997E-7</v>
      </c>
      <c r="I2075" s="2" t="s">
        <v>40664</v>
      </c>
      <c r="J2075" s="2" t="s">
        <v>40665</v>
      </c>
      <c r="K2075" s="3">
        <v>6.7499999999999997E-6</v>
      </c>
      <c r="L2075" s="2" t="s">
        <v>1178</v>
      </c>
      <c r="M2075" s="4" t="s">
        <v>33164</v>
      </c>
    </row>
    <row r="2076" spans="1:13">
      <c r="A2076" s="2">
        <v>2728</v>
      </c>
      <c r="B2076" s="2" t="s">
        <v>40666</v>
      </c>
      <c r="C2076" s="2">
        <v>11</v>
      </c>
      <c r="D2076" s="2">
        <v>341</v>
      </c>
      <c r="E2076" s="2">
        <v>148</v>
      </c>
      <c r="F2076" s="2">
        <v>32441</v>
      </c>
      <c r="G2076" s="2">
        <v>7.0708369659999999</v>
      </c>
      <c r="H2076" s="3">
        <v>9.6500000000000008E-7</v>
      </c>
      <c r="I2076" s="2" t="s">
        <v>40667</v>
      </c>
      <c r="J2076" s="2" t="s">
        <v>40668</v>
      </c>
      <c r="K2076" s="3">
        <v>9.3899999999999999E-6</v>
      </c>
      <c r="L2076" s="2" t="s">
        <v>1178</v>
      </c>
      <c r="M2076" s="4" t="s">
        <v>40669</v>
      </c>
    </row>
    <row r="2077" spans="1:13">
      <c r="A2077" s="2">
        <v>2505</v>
      </c>
      <c r="B2077" s="2" t="s">
        <v>40670</v>
      </c>
      <c r="C2077" s="2">
        <v>12</v>
      </c>
      <c r="D2077" s="2">
        <v>341</v>
      </c>
      <c r="E2077" s="2">
        <v>188</v>
      </c>
      <c r="F2077" s="2">
        <v>32441</v>
      </c>
      <c r="G2077" s="2">
        <v>6.0724402570000002</v>
      </c>
      <c r="H2077" s="3">
        <v>1.4100000000000001E-6</v>
      </c>
      <c r="I2077" s="2" t="s">
        <v>40671</v>
      </c>
      <c r="J2077" s="2" t="s">
        <v>40672</v>
      </c>
      <c r="K2077" s="3">
        <v>1.3699999999999999E-5</v>
      </c>
      <c r="L2077" s="2" t="s">
        <v>1178</v>
      </c>
      <c r="M2077" s="4" t="s">
        <v>40673</v>
      </c>
    </row>
    <row r="2078" spans="1:13">
      <c r="A2078" s="2">
        <v>3300</v>
      </c>
      <c r="B2078" s="2" t="s">
        <v>2748</v>
      </c>
      <c r="C2078" s="2">
        <v>10</v>
      </c>
      <c r="D2078" s="2">
        <v>341</v>
      </c>
      <c r="E2078" s="2">
        <v>126</v>
      </c>
      <c r="F2078" s="2">
        <v>32441</v>
      </c>
      <c r="G2078" s="2">
        <v>7.5503886790000001</v>
      </c>
      <c r="H2078" s="3">
        <v>1.7400000000000001E-6</v>
      </c>
      <c r="I2078" s="2" t="s">
        <v>40674</v>
      </c>
      <c r="J2078" s="2" t="s">
        <v>40675</v>
      </c>
      <c r="K2078" s="3">
        <v>1.6799999999999998E-5</v>
      </c>
      <c r="L2078" s="2" t="s">
        <v>1178</v>
      </c>
      <c r="M2078" s="4" t="s">
        <v>40676</v>
      </c>
    </row>
    <row r="2079" spans="1:13">
      <c r="A2079" s="2">
        <v>4765</v>
      </c>
      <c r="B2079" s="2" t="s">
        <v>40677</v>
      </c>
      <c r="C2079" s="2">
        <v>12</v>
      </c>
      <c r="D2079" s="2">
        <v>341</v>
      </c>
      <c r="E2079" s="2">
        <v>198</v>
      </c>
      <c r="F2079" s="2">
        <v>32441</v>
      </c>
      <c r="G2079" s="2">
        <v>5.7657513549999999</v>
      </c>
      <c r="H2079" s="3">
        <v>2.3499999999999999E-6</v>
      </c>
      <c r="I2079" s="2" t="s">
        <v>40678</v>
      </c>
      <c r="J2079" s="2" t="s">
        <v>40679</v>
      </c>
      <c r="K2079" s="3">
        <v>2.27E-5</v>
      </c>
      <c r="L2079" s="2" t="s">
        <v>1178</v>
      </c>
      <c r="M2079" s="4" t="s">
        <v>40680</v>
      </c>
    </row>
    <row r="2080" spans="1:13">
      <c r="A2080" s="2">
        <v>1891</v>
      </c>
      <c r="B2080" s="2" t="s">
        <v>33221</v>
      </c>
      <c r="C2080" s="2">
        <v>12</v>
      </c>
      <c r="D2080" s="2">
        <v>341</v>
      </c>
      <c r="E2080" s="2">
        <v>200</v>
      </c>
      <c r="F2080" s="2">
        <v>32441</v>
      </c>
      <c r="G2080" s="2">
        <v>5.7080938420000003</v>
      </c>
      <c r="H2080" s="3">
        <v>2.5900000000000002E-6</v>
      </c>
      <c r="I2080" s="2" t="s">
        <v>40681</v>
      </c>
      <c r="J2080" s="2" t="s">
        <v>40682</v>
      </c>
      <c r="K2080" s="3">
        <v>2.2799999999999999E-5</v>
      </c>
      <c r="L2080" s="2" t="s">
        <v>1178</v>
      </c>
      <c r="M2080" s="4" t="s">
        <v>33224</v>
      </c>
    </row>
    <row r="2081" spans="1:13">
      <c r="A2081" s="2">
        <v>3013</v>
      </c>
      <c r="B2081" s="2" t="s">
        <v>24273</v>
      </c>
      <c r="C2081" s="2">
        <v>12</v>
      </c>
      <c r="D2081" s="2">
        <v>341</v>
      </c>
      <c r="E2081" s="2">
        <v>200</v>
      </c>
      <c r="F2081" s="2">
        <v>32441</v>
      </c>
      <c r="G2081" s="2">
        <v>5.7080938420000003</v>
      </c>
      <c r="H2081" s="3">
        <v>2.5900000000000002E-6</v>
      </c>
      <c r="I2081" s="2" t="s">
        <v>40683</v>
      </c>
      <c r="J2081" s="2" t="s">
        <v>40684</v>
      </c>
      <c r="K2081" s="3">
        <v>2.2799999999999999E-5</v>
      </c>
      <c r="L2081" s="2" t="s">
        <v>1178</v>
      </c>
      <c r="M2081" s="4" t="s">
        <v>24276</v>
      </c>
    </row>
    <row r="2082" spans="1:13">
      <c r="A2082" s="2">
        <v>3521</v>
      </c>
      <c r="B2082" s="2" t="s">
        <v>32649</v>
      </c>
      <c r="C2082" s="2">
        <v>12</v>
      </c>
      <c r="D2082" s="2">
        <v>341</v>
      </c>
      <c r="E2082" s="2">
        <v>200</v>
      </c>
      <c r="F2082" s="2">
        <v>32441</v>
      </c>
      <c r="G2082" s="2">
        <v>5.7080938420000003</v>
      </c>
      <c r="H2082" s="3">
        <v>2.5900000000000002E-6</v>
      </c>
      <c r="I2082" s="2" t="s">
        <v>40685</v>
      </c>
      <c r="J2082" s="2" t="s">
        <v>40686</v>
      </c>
      <c r="K2082" s="3">
        <v>2.2799999999999999E-5</v>
      </c>
      <c r="L2082" s="2" t="s">
        <v>1178</v>
      </c>
      <c r="M2082" s="4" t="s">
        <v>32652</v>
      </c>
    </row>
    <row r="2083" spans="1:13">
      <c r="A2083" s="2">
        <v>4233</v>
      </c>
      <c r="B2083" s="2" t="s">
        <v>40687</v>
      </c>
      <c r="C2083" s="2">
        <v>12</v>
      </c>
      <c r="D2083" s="2">
        <v>341</v>
      </c>
      <c r="E2083" s="2">
        <v>200</v>
      </c>
      <c r="F2083" s="2">
        <v>32441</v>
      </c>
      <c r="G2083" s="2">
        <v>5.7080938420000003</v>
      </c>
      <c r="H2083" s="3">
        <v>2.5900000000000002E-6</v>
      </c>
      <c r="I2083" s="2" t="s">
        <v>40688</v>
      </c>
      <c r="J2083" s="2" t="s">
        <v>40689</v>
      </c>
      <c r="K2083" s="3">
        <v>2.2799999999999999E-5</v>
      </c>
      <c r="L2083" s="2" t="s">
        <v>1178</v>
      </c>
      <c r="M2083" s="4" t="s">
        <v>40690</v>
      </c>
    </row>
    <row r="2084" spans="1:13">
      <c r="A2084" s="2">
        <v>4472</v>
      </c>
      <c r="B2084" s="2" t="s">
        <v>20515</v>
      </c>
      <c r="C2084" s="2">
        <v>12</v>
      </c>
      <c r="D2084" s="2">
        <v>341</v>
      </c>
      <c r="E2084" s="2">
        <v>200</v>
      </c>
      <c r="F2084" s="2">
        <v>32441</v>
      </c>
      <c r="G2084" s="2">
        <v>5.7080938420000003</v>
      </c>
      <c r="H2084" s="3">
        <v>2.5900000000000002E-6</v>
      </c>
      <c r="I2084" s="2" t="s">
        <v>40691</v>
      </c>
      <c r="J2084" s="2" t="s">
        <v>40692</v>
      </c>
      <c r="K2084" s="3">
        <v>2.2799999999999999E-5</v>
      </c>
      <c r="L2084" s="2" t="s">
        <v>1178</v>
      </c>
      <c r="M2084" s="4" t="s">
        <v>20518</v>
      </c>
    </row>
    <row r="2085" spans="1:13">
      <c r="A2085" s="2">
        <v>4952</v>
      </c>
      <c r="B2085" s="2" t="s">
        <v>40693</v>
      </c>
      <c r="C2085" s="2">
        <v>12</v>
      </c>
      <c r="D2085" s="2">
        <v>341</v>
      </c>
      <c r="E2085" s="2">
        <v>200</v>
      </c>
      <c r="F2085" s="2">
        <v>32441</v>
      </c>
      <c r="G2085" s="2">
        <v>5.7080938420000003</v>
      </c>
      <c r="H2085" s="3">
        <v>2.5900000000000002E-6</v>
      </c>
      <c r="I2085" s="2" t="s">
        <v>40694</v>
      </c>
      <c r="J2085" s="2" t="s">
        <v>40695</v>
      </c>
      <c r="K2085" s="3">
        <v>2.2799999999999999E-5</v>
      </c>
      <c r="L2085" s="2" t="s">
        <v>1178</v>
      </c>
      <c r="M2085" s="4" t="s">
        <v>40696</v>
      </c>
    </row>
    <row r="2086" spans="1:13">
      <c r="A2086" s="2">
        <v>5211</v>
      </c>
      <c r="B2086" s="2" t="s">
        <v>23025</v>
      </c>
      <c r="C2086" s="2">
        <v>12</v>
      </c>
      <c r="D2086" s="2">
        <v>341</v>
      </c>
      <c r="E2086" s="2">
        <v>200</v>
      </c>
      <c r="F2086" s="2">
        <v>32441</v>
      </c>
      <c r="G2086" s="2">
        <v>5.7080938420000003</v>
      </c>
      <c r="H2086" s="3">
        <v>2.5900000000000002E-6</v>
      </c>
      <c r="I2086" s="2" t="s">
        <v>40697</v>
      </c>
      <c r="J2086" s="2" t="s">
        <v>40698</v>
      </c>
      <c r="K2086" s="3">
        <v>2.2799999999999999E-5</v>
      </c>
      <c r="L2086" s="2" t="s">
        <v>1178</v>
      </c>
      <c r="M2086" s="4" t="s">
        <v>23028</v>
      </c>
    </row>
    <row r="2087" spans="1:13">
      <c r="A2087" s="2">
        <v>713</v>
      </c>
      <c r="B2087" s="2" t="s">
        <v>1476</v>
      </c>
      <c r="C2087" s="2">
        <v>12</v>
      </c>
      <c r="D2087" s="2">
        <v>341</v>
      </c>
      <c r="E2087" s="2">
        <v>199</v>
      </c>
      <c r="F2087" s="2">
        <v>32441</v>
      </c>
      <c r="G2087" s="2">
        <v>5.73677773</v>
      </c>
      <c r="H2087" s="3">
        <v>2.4700000000000001E-6</v>
      </c>
      <c r="I2087" s="2" t="s">
        <v>40699</v>
      </c>
      <c r="J2087" s="2" t="s">
        <v>40700</v>
      </c>
      <c r="K2087" s="3">
        <v>2.2799999999999999E-5</v>
      </c>
      <c r="L2087" s="2" t="s">
        <v>1178</v>
      </c>
      <c r="M2087" s="4" t="s">
        <v>23101</v>
      </c>
    </row>
    <row r="2088" spans="1:13">
      <c r="A2088" s="2">
        <v>883</v>
      </c>
      <c r="B2088" s="2" t="s">
        <v>16371</v>
      </c>
      <c r="C2088" s="2">
        <v>12</v>
      </c>
      <c r="D2088" s="2">
        <v>341</v>
      </c>
      <c r="E2088" s="2">
        <v>200</v>
      </c>
      <c r="F2088" s="2">
        <v>32441</v>
      </c>
      <c r="G2088" s="2">
        <v>5.7080938420000003</v>
      </c>
      <c r="H2088" s="3">
        <v>2.5900000000000002E-6</v>
      </c>
      <c r="I2088" s="2" t="s">
        <v>40701</v>
      </c>
      <c r="J2088" s="2" t="s">
        <v>40702</v>
      </c>
      <c r="K2088" s="3">
        <v>2.2799999999999999E-5</v>
      </c>
      <c r="L2088" s="2" t="s">
        <v>1178</v>
      </c>
      <c r="M2088" s="4" t="s">
        <v>16374</v>
      </c>
    </row>
    <row r="2089" spans="1:13">
      <c r="A2089" s="2">
        <v>1079</v>
      </c>
      <c r="B2089" s="2" t="s">
        <v>23215</v>
      </c>
      <c r="C2089" s="2">
        <v>12</v>
      </c>
      <c r="D2089" s="2">
        <v>341</v>
      </c>
      <c r="E2089" s="2">
        <v>200</v>
      </c>
      <c r="F2089" s="2">
        <v>32441</v>
      </c>
      <c r="G2089" s="2">
        <v>5.7080938420000003</v>
      </c>
      <c r="H2089" s="3">
        <v>2.5900000000000002E-6</v>
      </c>
      <c r="I2089" s="2" t="s">
        <v>40703</v>
      </c>
      <c r="J2089" s="2" t="s">
        <v>40704</v>
      </c>
      <c r="K2089" s="3">
        <v>2.2799999999999999E-5</v>
      </c>
      <c r="L2089" s="2" t="s">
        <v>1178</v>
      </c>
      <c r="M2089" s="4" t="s">
        <v>23218</v>
      </c>
    </row>
    <row r="2090" spans="1:13">
      <c r="A2090" s="2">
        <v>1144</v>
      </c>
      <c r="B2090" s="2" t="s">
        <v>40705</v>
      </c>
      <c r="C2090" s="2">
        <v>12</v>
      </c>
      <c r="D2090" s="2">
        <v>341</v>
      </c>
      <c r="E2090" s="2">
        <v>199</v>
      </c>
      <c r="F2090" s="2">
        <v>32441</v>
      </c>
      <c r="G2090" s="2">
        <v>5.73677773</v>
      </c>
      <c r="H2090" s="3">
        <v>2.4700000000000001E-6</v>
      </c>
      <c r="I2090" s="2" t="s">
        <v>40706</v>
      </c>
      <c r="J2090" s="2" t="s">
        <v>40707</v>
      </c>
      <c r="K2090" s="3">
        <v>2.2799999999999999E-5</v>
      </c>
      <c r="L2090" s="2" t="s">
        <v>1178</v>
      </c>
      <c r="M2090" s="4" t="s">
        <v>40708</v>
      </c>
    </row>
    <row r="2091" spans="1:13">
      <c r="A2091" s="2">
        <v>1147</v>
      </c>
      <c r="B2091" s="2" t="s">
        <v>40709</v>
      </c>
      <c r="C2091" s="2">
        <v>12</v>
      </c>
      <c r="D2091" s="2">
        <v>341</v>
      </c>
      <c r="E2091" s="2">
        <v>200</v>
      </c>
      <c r="F2091" s="2">
        <v>32441</v>
      </c>
      <c r="G2091" s="2">
        <v>5.7080938420000003</v>
      </c>
      <c r="H2091" s="3">
        <v>2.5900000000000002E-6</v>
      </c>
      <c r="I2091" s="2" t="s">
        <v>40710</v>
      </c>
      <c r="J2091" s="2" t="s">
        <v>40711</v>
      </c>
      <c r="K2091" s="3">
        <v>2.2799999999999999E-5</v>
      </c>
      <c r="L2091" s="2" t="s">
        <v>1178</v>
      </c>
      <c r="M2091" s="4" t="s">
        <v>40712</v>
      </c>
    </row>
    <row r="2092" spans="1:13">
      <c r="A2092" s="2">
        <v>1179</v>
      </c>
      <c r="B2092" s="2" t="s">
        <v>32728</v>
      </c>
      <c r="C2092" s="2">
        <v>12</v>
      </c>
      <c r="D2092" s="2">
        <v>341</v>
      </c>
      <c r="E2092" s="2">
        <v>200</v>
      </c>
      <c r="F2092" s="2">
        <v>32441</v>
      </c>
      <c r="G2092" s="2">
        <v>5.7080938420000003</v>
      </c>
      <c r="H2092" s="3">
        <v>2.5900000000000002E-6</v>
      </c>
      <c r="I2092" s="2" t="s">
        <v>40713</v>
      </c>
      <c r="J2092" s="2" t="s">
        <v>40714</v>
      </c>
      <c r="K2092" s="3">
        <v>2.2799999999999999E-5</v>
      </c>
      <c r="L2092" s="2" t="s">
        <v>1178</v>
      </c>
      <c r="M2092" s="4" t="s">
        <v>32731</v>
      </c>
    </row>
    <row r="2093" spans="1:13">
      <c r="A2093" s="2">
        <v>12271</v>
      </c>
      <c r="B2093" s="2" t="s">
        <v>32739</v>
      </c>
      <c r="C2093" s="2">
        <v>12</v>
      </c>
      <c r="D2093" s="2">
        <v>341</v>
      </c>
      <c r="E2093" s="2">
        <v>199</v>
      </c>
      <c r="F2093" s="2">
        <v>32441</v>
      </c>
      <c r="G2093" s="2">
        <v>5.73677773</v>
      </c>
      <c r="H2093" s="3">
        <v>2.4700000000000001E-6</v>
      </c>
      <c r="I2093" s="2" t="s">
        <v>40715</v>
      </c>
      <c r="J2093" s="2" t="s">
        <v>40716</v>
      </c>
      <c r="K2093" s="3">
        <v>2.2799999999999999E-5</v>
      </c>
      <c r="L2093" s="2" t="s">
        <v>1178</v>
      </c>
      <c r="M2093" s="4" t="s">
        <v>32742</v>
      </c>
    </row>
    <row r="2094" spans="1:13">
      <c r="A2094" s="2">
        <v>1229</v>
      </c>
      <c r="B2094" s="2" t="s">
        <v>40717</v>
      </c>
      <c r="C2094" s="2">
        <v>12</v>
      </c>
      <c r="D2094" s="2">
        <v>341</v>
      </c>
      <c r="E2094" s="2">
        <v>200</v>
      </c>
      <c r="F2094" s="2">
        <v>32441</v>
      </c>
      <c r="G2094" s="2">
        <v>5.7080938420000003</v>
      </c>
      <c r="H2094" s="3">
        <v>2.5900000000000002E-6</v>
      </c>
      <c r="I2094" s="2" t="s">
        <v>40718</v>
      </c>
      <c r="J2094" s="2" t="s">
        <v>40719</v>
      </c>
      <c r="K2094" s="3">
        <v>2.2799999999999999E-5</v>
      </c>
      <c r="L2094" s="2" t="s">
        <v>1178</v>
      </c>
      <c r="M2094" s="4" t="s">
        <v>40720</v>
      </c>
    </row>
    <row r="2095" spans="1:13">
      <c r="A2095" s="2">
        <v>1378</v>
      </c>
      <c r="B2095" s="2" t="s">
        <v>14035</v>
      </c>
      <c r="C2095" s="2">
        <v>12</v>
      </c>
      <c r="D2095" s="2">
        <v>341</v>
      </c>
      <c r="E2095" s="2">
        <v>200</v>
      </c>
      <c r="F2095" s="2">
        <v>32441</v>
      </c>
      <c r="G2095" s="2">
        <v>5.7080938420000003</v>
      </c>
      <c r="H2095" s="3">
        <v>2.5900000000000002E-6</v>
      </c>
      <c r="I2095" s="2" t="s">
        <v>40721</v>
      </c>
      <c r="J2095" s="2" t="s">
        <v>40722</v>
      </c>
      <c r="K2095" s="3">
        <v>2.2799999999999999E-5</v>
      </c>
      <c r="L2095" s="2" t="s">
        <v>1178</v>
      </c>
      <c r="M2095" s="4" t="s">
        <v>14038</v>
      </c>
    </row>
    <row r="2096" spans="1:13">
      <c r="A2096" s="2">
        <v>1535</v>
      </c>
      <c r="B2096" s="2" t="s">
        <v>40723</v>
      </c>
      <c r="C2096" s="2">
        <v>12</v>
      </c>
      <c r="D2096" s="2">
        <v>341</v>
      </c>
      <c r="E2096" s="2">
        <v>200</v>
      </c>
      <c r="F2096" s="2">
        <v>32441</v>
      </c>
      <c r="G2096" s="2">
        <v>5.7080938420000003</v>
      </c>
      <c r="H2096" s="3">
        <v>2.5900000000000002E-6</v>
      </c>
      <c r="I2096" s="2" t="s">
        <v>40724</v>
      </c>
      <c r="J2096" s="2" t="s">
        <v>40725</v>
      </c>
      <c r="K2096" s="3">
        <v>2.2799999999999999E-5</v>
      </c>
      <c r="L2096" s="2" t="s">
        <v>1178</v>
      </c>
      <c r="M2096" s="4" t="s">
        <v>40726</v>
      </c>
    </row>
    <row r="2097" spans="1:13">
      <c r="A2097" s="2">
        <v>1580</v>
      </c>
      <c r="B2097" s="2" t="s">
        <v>14379</v>
      </c>
      <c r="C2097" s="2">
        <v>12</v>
      </c>
      <c r="D2097" s="2">
        <v>341</v>
      </c>
      <c r="E2097" s="2">
        <v>200</v>
      </c>
      <c r="F2097" s="2">
        <v>32441</v>
      </c>
      <c r="G2097" s="2">
        <v>5.7080938420000003</v>
      </c>
      <c r="H2097" s="3">
        <v>2.5900000000000002E-6</v>
      </c>
      <c r="I2097" s="2" t="s">
        <v>40727</v>
      </c>
      <c r="J2097" s="2" t="s">
        <v>40728</v>
      </c>
      <c r="K2097" s="3">
        <v>2.2799999999999999E-5</v>
      </c>
      <c r="L2097" s="2" t="s">
        <v>1178</v>
      </c>
      <c r="M2097" s="4" t="s">
        <v>14382</v>
      </c>
    </row>
    <row r="2098" spans="1:13">
      <c r="A2098" s="2">
        <v>1719</v>
      </c>
      <c r="B2098" s="2" t="s">
        <v>15808</v>
      </c>
      <c r="C2098" s="2">
        <v>12</v>
      </c>
      <c r="D2098" s="2">
        <v>341</v>
      </c>
      <c r="E2098" s="2">
        <v>200</v>
      </c>
      <c r="F2098" s="2">
        <v>32441</v>
      </c>
      <c r="G2098" s="2">
        <v>5.7080938420000003</v>
      </c>
      <c r="H2098" s="3">
        <v>2.5900000000000002E-6</v>
      </c>
      <c r="I2098" s="2" t="s">
        <v>40729</v>
      </c>
      <c r="J2098" s="2" t="s">
        <v>40730</v>
      </c>
      <c r="K2098" s="3">
        <v>2.2799999999999999E-5</v>
      </c>
      <c r="L2098" s="2" t="s">
        <v>1178</v>
      </c>
      <c r="M2098" s="4" t="s">
        <v>15811</v>
      </c>
    </row>
    <row r="2099" spans="1:13">
      <c r="A2099" s="2">
        <v>18151</v>
      </c>
      <c r="B2099" s="2" t="s">
        <v>31377</v>
      </c>
      <c r="C2099" s="2">
        <v>12</v>
      </c>
      <c r="D2099" s="2">
        <v>341</v>
      </c>
      <c r="E2099" s="2">
        <v>200</v>
      </c>
      <c r="F2099" s="2">
        <v>32441</v>
      </c>
      <c r="G2099" s="2">
        <v>5.7080938420000003</v>
      </c>
      <c r="H2099" s="3">
        <v>2.5900000000000002E-6</v>
      </c>
      <c r="I2099" s="2" t="s">
        <v>40731</v>
      </c>
      <c r="J2099" s="2" t="s">
        <v>40732</v>
      </c>
      <c r="K2099" s="3">
        <v>2.2799999999999999E-5</v>
      </c>
      <c r="L2099" s="2" t="s">
        <v>1178</v>
      </c>
      <c r="M2099" s="4" t="s">
        <v>31380</v>
      </c>
    </row>
    <row r="2100" spans="1:13">
      <c r="A2100" s="2">
        <v>1942</v>
      </c>
      <c r="B2100" s="2" t="s">
        <v>23501</v>
      </c>
      <c r="C2100" s="2">
        <v>12</v>
      </c>
      <c r="D2100" s="2">
        <v>341</v>
      </c>
      <c r="E2100" s="2">
        <v>200</v>
      </c>
      <c r="F2100" s="2">
        <v>32441</v>
      </c>
      <c r="G2100" s="2">
        <v>5.7080938420000003</v>
      </c>
      <c r="H2100" s="3">
        <v>2.5900000000000002E-6</v>
      </c>
      <c r="I2100" s="2" t="s">
        <v>40733</v>
      </c>
      <c r="J2100" s="2" t="s">
        <v>40734</v>
      </c>
      <c r="K2100" s="3">
        <v>2.2799999999999999E-5</v>
      </c>
      <c r="L2100" s="2" t="s">
        <v>1178</v>
      </c>
      <c r="M2100" s="4" t="s">
        <v>23504</v>
      </c>
    </row>
    <row r="2101" spans="1:13">
      <c r="A2101" s="2">
        <v>20841</v>
      </c>
      <c r="B2101" s="2" t="s">
        <v>1179</v>
      </c>
      <c r="C2101" s="2">
        <v>12</v>
      </c>
      <c r="D2101" s="2">
        <v>341</v>
      </c>
      <c r="E2101" s="2">
        <v>200</v>
      </c>
      <c r="F2101" s="2">
        <v>32441</v>
      </c>
      <c r="G2101" s="2">
        <v>5.7080938420000003</v>
      </c>
      <c r="H2101" s="3">
        <v>2.5900000000000002E-6</v>
      </c>
      <c r="I2101" s="2" t="s">
        <v>40735</v>
      </c>
      <c r="J2101" s="2" t="s">
        <v>40736</v>
      </c>
      <c r="K2101" s="3">
        <v>2.2799999999999999E-5</v>
      </c>
      <c r="L2101" s="2" t="s">
        <v>1178</v>
      </c>
      <c r="M2101" s="4" t="s">
        <v>40737</v>
      </c>
    </row>
    <row r="2102" spans="1:13">
      <c r="A2102" s="2">
        <v>2428</v>
      </c>
      <c r="B2102" s="2" t="s">
        <v>1311</v>
      </c>
      <c r="C2102" s="2">
        <v>11</v>
      </c>
      <c r="D2102" s="2">
        <v>341</v>
      </c>
      <c r="E2102" s="2">
        <v>164</v>
      </c>
      <c r="F2102" s="2">
        <v>32441</v>
      </c>
      <c r="G2102" s="2">
        <v>6.3809992129999999</v>
      </c>
      <c r="H2102" s="3">
        <v>2.4700000000000001E-6</v>
      </c>
      <c r="I2102" s="2" t="s">
        <v>40738</v>
      </c>
      <c r="J2102" s="2" t="s">
        <v>40739</v>
      </c>
      <c r="K2102" s="3">
        <v>2.2799999999999999E-5</v>
      </c>
      <c r="L2102" s="2" t="s">
        <v>1178</v>
      </c>
      <c r="M2102" s="4" t="s">
        <v>22253</v>
      </c>
    </row>
    <row r="2103" spans="1:13">
      <c r="A2103" s="2">
        <v>2573</v>
      </c>
      <c r="B2103" s="2" t="s">
        <v>18932</v>
      </c>
      <c r="C2103" s="2">
        <v>12</v>
      </c>
      <c r="D2103" s="2">
        <v>341</v>
      </c>
      <c r="E2103" s="2">
        <v>200</v>
      </c>
      <c r="F2103" s="2">
        <v>32441</v>
      </c>
      <c r="G2103" s="2">
        <v>5.7080938420000003</v>
      </c>
      <c r="H2103" s="3">
        <v>2.5900000000000002E-6</v>
      </c>
      <c r="I2103" s="2" t="s">
        <v>40740</v>
      </c>
      <c r="J2103" s="2" t="s">
        <v>40741</v>
      </c>
      <c r="K2103" s="3">
        <v>2.2799999999999999E-5</v>
      </c>
      <c r="L2103" s="2" t="s">
        <v>1178</v>
      </c>
      <c r="M2103" s="4" t="s">
        <v>18935</v>
      </c>
    </row>
    <row r="2104" spans="1:13">
      <c r="A2104" s="2">
        <v>25871</v>
      </c>
      <c r="B2104" s="2" t="s">
        <v>15906</v>
      </c>
      <c r="C2104" s="2">
        <v>12</v>
      </c>
      <c r="D2104" s="2">
        <v>341</v>
      </c>
      <c r="E2104" s="2">
        <v>199</v>
      </c>
      <c r="F2104" s="2">
        <v>32441</v>
      </c>
      <c r="G2104" s="2">
        <v>5.73677773</v>
      </c>
      <c r="H2104" s="3">
        <v>2.4700000000000001E-6</v>
      </c>
      <c r="I2104" s="2" t="s">
        <v>40742</v>
      </c>
      <c r="J2104" s="2" t="s">
        <v>40743</v>
      </c>
      <c r="K2104" s="3">
        <v>2.2799999999999999E-5</v>
      </c>
      <c r="L2104" s="2" t="s">
        <v>1178</v>
      </c>
      <c r="M2104" s="4" t="s">
        <v>15909</v>
      </c>
    </row>
    <row r="2105" spans="1:13">
      <c r="A2105" s="2">
        <v>2625</v>
      </c>
      <c r="B2105" s="2" t="s">
        <v>23673</v>
      </c>
      <c r="C2105" s="2">
        <v>12</v>
      </c>
      <c r="D2105" s="2">
        <v>341</v>
      </c>
      <c r="E2105" s="2">
        <v>200</v>
      </c>
      <c r="F2105" s="2">
        <v>32441</v>
      </c>
      <c r="G2105" s="2">
        <v>5.7080938420000003</v>
      </c>
      <c r="H2105" s="3">
        <v>2.5900000000000002E-6</v>
      </c>
      <c r="I2105" s="2" t="s">
        <v>40744</v>
      </c>
      <c r="J2105" s="2" t="s">
        <v>40745</v>
      </c>
      <c r="K2105" s="3">
        <v>2.2799999999999999E-5</v>
      </c>
      <c r="L2105" s="2" t="s">
        <v>1178</v>
      </c>
      <c r="M2105" s="4" t="s">
        <v>23676</v>
      </c>
    </row>
    <row r="2106" spans="1:13">
      <c r="A2106" s="2">
        <v>2730</v>
      </c>
      <c r="B2106" s="2" t="s">
        <v>40746</v>
      </c>
      <c r="C2106" s="2">
        <v>10</v>
      </c>
      <c r="D2106" s="2">
        <v>341</v>
      </c>
      <c r="E2106" s="2">
        <v>132</v>
      </c>
      <c r="F2106" s="2">
        <v>32441</v>
      </c>
      <c r="G2106" s="2">
        <v>7.2071891939999997</v>
      </c>
      <c r="H2106" s="3">
        <v>2.57E-6</v>
      </c>
      <c r="I2106" s="2" t="s">
        <v>40747</v>
      </c>
      <c r="J2106" s="2" t="s">
        <v>40748</v>
      </c>
      <c r="K2106" s="3">
        <v>2.2799999999999999E-5</v>
      </c>
      <c r="L2106" s="2" t="s">
        <v>1178</v>
      </c>
      <c r="M2106" s="4" t="s">
        <v>40749</v>
      </c>
    </row>
    <row r="2107" spans="1:13">
      <c r="A2107" s="2">
        <v>2885</v>
      </c>
      <c r="B2107" s="2" t="s">
        <v>31404</v>
      </c>
      <c r="C2107" s="2">
        <v>12</v>
      </c>
      <c r="D2107" s="2">
        <v>341</v>
      </c>
      <c r="E2107" s="2">
        <v>200</v>
      </c>
      <c r="F2107" s="2">
        <v>32441</v>
      </c>
      <c r="G2107" s="2">
        <v>5.7080938420000003</v>
      </c>
      <c r="H2107" s="3">
        <v>2.5900000000000002E-6</v>
      </c>
      <c r="I2107" s="2" t="s">
        <v>40750</v>
      </c>
      <c r="J2107" s="2" t="s">
        <v>40751</v>
      </c>
      <c r="K2107" s="3">
        <v>2.2799999999999999E-5</v>
      </c>
      <c r="L2107" s="2" t="s">
        <v>1178</v>
      </c>
      <c r="M2107" s="4" t="s">
        <v>31407</v>
      </c>
    </row>
    <row r="2108" spans="1:13">
      <c r="A2108" s="2">
        <v>3096</v>
      </c>
      <c r="B2108" s="2" t="s">
        <v>22360</v>
      </c>
      <c r="C2108" s="2">
        <v>12</v>
      </c>
      <c r="D2108" s="2">
        <v>341</v>
      </c>
      <c r="E2108" s="2">
        <v>200</v>
      </c>
      <c r="F2108" s="2">
        <v>32441</v>
      </c>
      <c r="G2108" s="2">
        <v>5.7080938420000003</v>
      </c>
      <c r="H2108" s="3">
        <v>2.5900000000000002E-6</v>
      </c>
      <c r="I2108" s="2" t="s">
        <v>40752</v>
      </c>
      <c r="J2108" s="2" t="s">
        <v>40753</v>
      </c>
      <c r="K2108" s="3">
        <v>2.2799999999999999E-5</v>
      </c>
      <c r="L2108" s="2" t="s">
        <v>1178</v>
      </c>
      <c r="M2108" s="4" t="s">
        <v>22363</v>
      </c>
    </row>
    <row r="2109" spans="1:13">
      <c r="A2109" s="2">
        <v>3227</v>
      </c>
      <c r="B2109" s="2" t="s">
        <v>2235</v>
      </c>
      <c r="C2109" s="2">
        <v>12</v>
      </c>
      <c r="D2109" s="2">
        <v>341</v>
      </c>
      <c r="E2109" s="2">
        <v>200</v>
      </c>
      <c r="F2109" s="2">
        <v>32441</v>
      </c>
      <c r="G2109" s="2">
        <v>5.7080938420000003</v>
      </c>
      <c r="H2109" s="3">
        <v>2.5900000000000002E-6</v>
      </c>
      <c r="I2109" s="2" t="s">
        <v>40754</v>
      </c>
      <c r="J2109" s="2" t="s">
        <v>40755</v>
      </c>
      <c r="K2109" s="3">
        <v>2.2799999999999999E-5</v>
      </c>
      <c r="L2109" s="2" t="s">
        <v>1178</v>
      </c>
      <c r="M2109" s="4" t="s">
        <v>19024</v>
      </c>
    </row>
    <row r="2110" spans="1:13">
      <c r="A2110" s="2">
        <v>3268</v>
      </c>
      <c r="B2110" s="2" t="s">
        <v>33579</v>
      </c>
      <c r="C2110" s="2">
        <v>12</v>
      </c>
      <c r="D2110" s="2">
        <v>341</v>
      </c>
      <c r="E2110" s="2">
        <v>200</v>
      </c>
      <c r="F2110" s="2">
        <v>32441</v>
      </c>
      <c r="G2110" s="2">
        <v>5.7080938420000003</v>
      </c>
      <c r="H2110" s="3">
        <v>2.5900000000000002E-6</v>
      </c>
      <c r="I2110" s="2" t="s">
        <v>40756</v>
      </c>
      <c r="J2110" s="2" t="s">
        <v>40757</v>
      </c>
      <c r="K2110" s="3">
        <v>2.2799999999999999E-5</v>
      </c>
      <c r="L2110" s="2" t="s">
        <v>1178</v>
      </c>
      <c r="M2110" s="4" t="s">
        <v>33582</v>
      </c>
    </row>
    <row r="2111" spans="1:13">
      <c r="A2111" s="2">
        <v>3277</v>
      </c>
      <c r="B2111" s="2" t="s">
        <v>23781</v>
      </c>
      <c r="C2111" s="2">
        <v>12</v>
      </c>
      <c r="D2111" s="2">
        <v>341</v>
      </c>
      <c r="E2111" s="2">
        <v>200</v>
      </c>
      <c r="F2111" s="2">
        <v>32441</v>
      </c>
      <c r="G2111" s="2">
        <v>5.7080938420000003</v>
      </c>
      <c r="H2111" s="3">
        <v>2.5900000000000002E-6</v>
      </c>
      <c r="I2111" s="2" t="s">
        <v>40758</v>
      </c>
      <c r="J2111" s="2" t="s">
        <v>40759</v>
      </c>
      <c r="K2111" s="3">
        <v>2.2799999999999999E-5</v>
      </c>
      <c r="L2111" s="2" t="s">
        <v>1178</v>
      </c>
      <c r="M2111" s="4" t="s">
        <v>23784</v>
      </c>
    </row>
    <row r="2112" spans="1:13">
      <c r="A2112" s="2">
        <v>32811</v>
      </c>
      <c r="B2112" s="2" t="s">
        <v>2640</v>
      </c>
      <c r="C2112" s="2">
        <v>12</v>
      </c>
      <c r="D2112" s="2">
        <v>341</v>
      </c>
      <c r="E2112" s="2">
        <v>200</v>
      </c>
      <c r="F2112" s="2">
        <v>32441</v>
      </c>
      <c r="G2112" s="2">
        <v>5.7080938420000003</v>
      </c>
      <c r="H2112" s="3">
        <v>2.5900000000000002E-6</v>
      </c>
      <c r="I2112" s="2" t="s">
        <v>40760</v>
      </c>
      <c r="J2112" s="2" t="s">
        <v>40761</v>
      </c>
      <c r="K2112" s="3">
        <v>2.2799999999999999E-5</v>
      </c>
      <c r="L2112" s="2" t="s">
        <v>1178</v>
      </c>
      <c r="M2112" s="4" t="s">
        <v>40762</v>
      </c>
    </row>
    <row r="2113" spans="1:13">
      <c r="A2113" s="2">
        <v>3293</v>
      </c>
      <c r="B2113" s="2" t="s">
        <v>40763</v>
      </c>
      <c r="C2113" s="2">
        <v>12</v>
      </c>
      <c r="D2113" s="2">
        <v>341</v>
      </c>
      <c r="E2113" s="2">
        <v>200</v>
      </c>
      <c r="F2113" s="2">
        <v>32441</v>
      </c>
      <c r="G2113" s="2">
        <v>5.7080938420000003</v>
      </c>
      <c r="H2113" s="3">
        <v>2.5900000000000002E-6</v>
      </c>
      <c r="I2113" s="2" t="s">
        <v>40764</v>
      </c>
      <c r="J2113" s="2" t="s">
        <v>40765</v>
      </c>
      <c r="K2113" s="3">
        <v>2.2799999999999999E-5</v>
      </c>
      <c r="L2113" s="2" t="s">
        <v>1178</v>
      </c>
      <c r="M2113" s="4" t="s">
        <v>40766</v>
      </c>
    </row>
    <row r="2114" spans="1:13">
      <c r="A2114" s="2">
        <v>3374</v>
      </c>
      <c r="B2114" s="2" t="s">
        <v>40767</v>
      </c>
      <c r="C2114" s="2">
        <v>12</v>
      </c>
      <c r="D2114" s="2">
        <v>341</v>
      </c>
      <c r="E2114" s="2">
        <v>200</v>
      </c>
      <c r="F2114" s="2">
        <v>32441</v>
      </c>
      <c r="G2114" s="2">
        <v>5.7080938420000003</v>
      </c>
      <c r="H2114" s="3">
        <v>2.5900000000000002E-6</v>
      </c>
      <c r="I2114" s="2" t="s">
        <v>40768</v>
      </c>
      <c r="J2114" s="2" t="s">
        <v>40769</v>
      </c>
      <c r="K2114" s="3">
        <v>2.2799999999999999E-5</v>
      </c>
      <c r="L2114" s="2" t="s">
        <v>1178</v>
      </c>
      <c r="M2114" s="4" t="s">
        <v>40770</v>
      </c>
    </row>
    <row r="2115" spans="1:13">
      <c r="A2115" s="2">
        <v>3382</v>
      </c>
      <c r="B2115" s="2" t="s">
        <v>1947</v>
      </c>
      <c r="C2115" s="2">
        <v>12</v>
      </c>
      <c r="D2115" s="2">
        <v>341</v>
      </c>
      <c r="E2115" s="2">
        <v>200</v>
      </c>
      <c r="F2115" s="2">
        <v>32441</v>
      </c>
      <c r="G2115" s="2">
        <v>5.7080938420000003</v>
      </c>
      <c r="H2115" s="3">
        <v>2.5900000000000002E-6</v>
      </c>
      <c r="I2115" s="2" t="s">
        <v>40771</v>
      </c>
      <c r="J2115" s="2" t="s">
        <v>40772</v>
      </c>
      <c r="K2115" s="3">
        <v>2.2799999999999999E-5</v>
      </c>
      <c r="L2115" s="2" t="s">
        <v>1178</v>
      </c>
      <c r="M2115" s="4" t="s">
        <v>40773</v>
      </c>
    </row>
    <row r="2116" spans="1:13">
      <c r="A2116" s="2">
        <v>3482</v>
      </c>
      <c r="B2116" s="2" t="s">
        <v>1953</v>
      </c>
      <c r="C2116" s="2">
        <v>12</v>
      </c>
      <c r="D2116" s="2">
        <v>341</v>
      </c>
      <c r="E2116" s="2">
        <v>200</v>
      </c>
      <c r="F2116" s="2">
        <v>32441</v>
      </c>
      <c r="G2116" s="2">
        <v>5.7080938420000003</v>
      </c>
      <c r="H2116" s="3">
        <v>2.5900000000000002E-6</v>
      </c>
      <c r="I2116" s="2" t="s">
        <v>40774</v>
      </c>
      <c r="J2116" s="2" t="s">
        <v>40775</v>
      </c>
      <c r="K2116" s="3">
        <v>2.2799999999999999E-5</v>
      </c>
      <c r="L2116" s="2" t="s">
        <v>1178</v>
      </c>
      <c r="M2116" s="4" t="s">
        <v>22432</v>
      </c>
    </row>
    <row r="2117" spans="1:13">
      <c r="A2117" s="2">
        <v>3490</v>
      </c>
      <c r="B2117" s="2" t="s">
        <v>40776</v>
      </c>
      <c r="C2117" s="2">
        <v>12</v>
      </c>
      <c r="D2117" s="2">
        <v>341</v>
      </c>
      <c r="E2117" s="2">
        <v>200</v>
      </c>
      <c r="F2117" s="2">
        <v>32441</v>
      </c>
      <c r="G2117" s="2">
        <v>5.7080938420000003</v>
      </c>
      <c r="H2117" s="3">
        <v>2.5900000000000002E-6</v>
      </c>
      <c r="I2117" s="2" t="s">
        <v>40777</v>
      </c>
      <c r="J2117" s="2" t="s">
        <v>40778</v>
      </c>
      <c r="K2117" s="3">
        <v>2.2799999999999999E-5</v>
      </c>
      <c r="L2117" s="2" t="s">
        <v>1178</v>
      </c>
      <c r="M2117" s="4" t="s">
        <v>40779</v>
      </c>
    </row>
    <row r="2118" spans="1:13">
      <c r="A2118" s="2">
        <v>35241</v>
      </c>
      <c r="B2118" s="2" t="s">
        <v>20025</v>
      </c>
      <c r="C2118" s="2">
        <v>12</v>
      </c>
      <c r="D2118" s="2">
        <v>341</v>
      </c>
      <c r="E2118" s="2">
        <v>200</v>
      </c>
      <c r="F2118" s="2">
        <v>32441</v>
      </c>
      <c r="G2118" s="2">
        <v>5.7080938420000003</v>
      </c>
      <c r="H2118" s="3">
        <v>2.5900000000000002E-6</v>
      </c>
      <c r="I2118" s="2" t="s">
        <v>40780</v>
      </c>
      <c r="J2118" s="2" t="s">
        <v>40781</v>
      </c>
      <c r="K2118" s="3">
        <v>2.2799999999999999E-5</v>
      </c>
      <c r="L2118" s="2" t="s">
        <v>1178</v>
      </c>
      <c r="M2118" s="4" t="s">
        <v>20028</v>
      </c>
    </row>
    <row r="2119" spans="1:13">
      <c r="A2119" s="2">
        <v>3645</v>
      </c>
      <c r="B2119" s="2" t="s">
        <v>15411</v>
      </c>
      <c r="C2119" s="2">
        <v>12</v>
      </c>
      <c r="D2119" s="2">
        <v>341</v>
      </c>
      <c r="E2119" s="2">
        <v>200</v>
      </c>
      <c r="F2119" s="2">
        <v>32441</v>
      </c>
      <c r="G2119" s="2">
        <v>5.7080938420000003</v>
      </c>
      <c r="H2119" s="3">
        <v>2.5900000000000002E-6</v>
      </c>
      <c r="I2119" s="2" t="s">
        <v>40782</v>
      </c>
      <c r="J2119" s="2" t="s">
        <v>40783</v>
      </c>
      <c r="K2119" s="3">
        <v>2.2799999999999999E-5</v>
      </c>
      <c r="L2119" s="2" t="s">
        <v>1178</v>
      </c>
      <c r="M2119" s="4" t="s">
        <v>15414</v>
      </c>
    </row>
    <row r="2120" spans="1:13">
      <c r="A2120" s="2">
        <v>39051</v>
      </c>
      <c r="B2120" s="2" t="s">
        <v>20126</v>
      </c>
      <c r="C2120" s="2">
        <v>12</v>
      </c>
      <c r="D2120" s="2">
        <v>341</v>
      </c>
      <c r="E2120" s="2">
        <v>200</v>
      </c>
      <c r="F2120" s="2">
        <v>32441</v>
      </c>
      <c r="G2120" s="2">
        <v>5.7080938420000003</v>
      </c>
      <c r="H2120" s="3">
        <v>2.5900000000000002E-6</v>
      </c>
      <c r="I2120" s="2" t="s">
        <v>40784</v>
      </c>
      <c r="J2120" s="2" t="s">
        <v>40785</v>
      </c>
      <c r="K2120" s="3">
        <v>2.2799999999999999E-5</v>
      </c>
      <c r="L2120" s="2" t="s">
        <v>1178</v>
      </c>
      <c r="M2120" s="4" t="s">
        <v>20129</v>
      </c>
    </row>
    <row r="2121" spans="1:13">
      <c r="A2121" s="2">
        <v>4022</v>
      </c>
      <c r="B2121" s="2" t="s">
        <v>2682</v>
      </c>
      <c r="C2121" s="2">
        <v>12</v>
      </c>
      <c r="D2121" s="2">
        <v>341</v>
      </c>
      <c r="E2121" s="2">
        <v>200</v>
      </c>
      <c r="F2121" s="2">
        <v>32441</v>
      </c>
      <c r="G2121" s="2">
        <v>5.7080938420000003</v>
      </c>
      <c r="H2121" s="3">
        <v>2.5900000000000002E-6</v>
      </c>
      <c r="I2121" s="2" t="s">
        <v>40786</v>
      </c>
      <c r="J2121" s="2" t="s">
        <v>40787</v>
      </c>
      <c r="K2121" s="3">
        <v>2.2799999999999999E-5</v>
      </c>
      <c r="L2121" s="2" t="s">
        <v>1178</v>
      </c>
      <c r="M2121" s="4" t="s">
        <v>40788</v>
      </c>
    </row>
    <row r="2122" spans="1:13">
      <c r="A2122" s="2">
        <v>4249</v>
      </c>
      <c r="B2122" s="2" t="s">
        <v>20164</v>
      </c>
      <c r="C2122" s="2">
        <v>12</v>
      </c>
      <c r="D2122" s="2">
        <v>341</v>
      </c>
      <c r="E2122" s="2">
        <v>200</v>
      </c>
      <c r="F2122" s="2">
        <v>32441</v>
      </c>
      <c r="G2122" s="2">
        <v>5.7080938420000003</v>
      </c>
      <c r="H2122" s="3">
        <v>2.5900000000000002E-6</v>
      </c>
      <c r="I2122" s="2" t="s">
        <v>40789</v>
      </c>
      <c r="J2122" s="2" t="s">
        <v>40790</v>
      </c>
      <c r="K2122" s="3">
        <v>2.2799999999999999E-5</v>
      </c>
      <c r="L2122" s="2" t="s">
        <v>1178</v>
      </c>
      <c r="M2122" s="4" t="s">
        <v>20167</v>
      </c>
    </row>
    <row r="2123" spans="1:13">
      <c r="A2123" s="2">
        <v>44321</v>
      </c>
      <c r="B2123" s="2" t="s">
        <v>16770</v>
      </c>
      <c r="C2123" s="2">
        <v>12</v>
      </c>
      <c r="D2123" s="2">
        <v>341</v>
      </c>
      <c r="E2123" s="2">
        <v>200</v>
      </c>
      <c r="F2123" s="2">
        <v>32441</v>
      </c>
      <c r="G2123" s="2">
        <v>5.7080938420000003</v>
      </c>
      <c r="H2123" s="3">
        <v>2.5900000000000002E-6</v>
      </c>
      <c r="I2123" s="2" t="s">
        <v>40791</v>
      </c>
      <c r="J2123" s="2" t="s">
        <v>40792</v>
      </c>
      <c r="K2123" s="3">
        <v>2.2799999999999999E-5</v>
      </c>
      <c r="L2123" s="2" t="s">
        <v>1178</v>
      </c>
      <c r="M2123" s="4" t="s">
        <v>16773</v>
      </c>
    </row>
    <row r="2124" spans="1:13">
      <c r="A2124" s="2">
        <v>4470</v>
      </c>
      <c r="B2124" s="2" t="s">
        <v>40793</v>
      </c>
      <c r="C2124" s="2">
        <v>12</v>
      </c>
      <c r="D2124" s="2">
        <v>341</v>
      </c>
      <c r="E2124" s="2">
        <v>200</v>
      </c>
      <c r="F2124" s="2">
        <v>32441</v>
      </c>
      <c r="G2124" s="2">
        <v>5.7080938420000003</v>
      </c>
      <c r="H2124" s="3">
        <v>2.5900000000000002E-6</v>
      </c>
      <c r="I2124" s="2" t="s">
        <v>40794</v>
      </c>
      <c r="J2124" s="2" t="s">
        <v>40795</v>
      </c>
      <c r="K2124" s="3">
        <v>2.2799999999999999E-5</v>
      </c>
      <c r="L2124" s="2" t="s">
        <v>1178</v>
      </c>
      <c r="M2124" s="4" t="s">
        <v>40796</v>
      </c>
    </row>
    <row r="2125" spans="1:13">
      <c r="A2125" s="2">
        <v>4480</v>
      </c>
      <c r="B2125" s="2" t="s">
        <v>40797</v>
      </c>
      <c r="C2125" s="2">
        <v>12</v>
      </c>
      <c r="D2125" s="2">
        <v>341</v>
      </c>
      <c r="E2125" s="2">
        <v>200</v>
      </c>
      <c r="F2125" s="2">
        <v>32441</v>
      </c>
      <c r="G2125" s="2">
        <v>5.7080938420000003</v>
      </c>
      <c r="H2125" s="3">
        <v>2.5900000000000002E-6</v>
      </c>
      <c r="I2125" s="2" t="s">
        <v>40798</v>
      </c>
      <c r="J2125" s="2" t="s">
        <v>40799</v>
      </c>
      <c r="K2125" s="3">
        <v>2.2799999999999999E-5</v>
      </c>
      <c r="L2125" s="2" t="s">
        <v>1178</v>
      </c>
      <c r="M2125" s="4" t="s">
        <v>40800</v>
      </c>
    </row>
    <row r="2126" spans="1:13">
      <c r="A2126" s="2">
        <v>47281</v>
      </c>
      <c r="B2126" s="2" t="s">
        <v>40801</v>
      </c>
      <c r="C2126" s="2">
        <v>12</v>
      </c>
      <c r="D2126" s="2">
        <v>341</v>
      </c>
      <c r="E2126" s="2">
        <v>200</v>
      </c>
      <c r="F2126" s="2">
        <v>32441</v>
      </c>
      <c r="G2126" s="2">
        <v>5.7080938420000003</v>
      </c>
      <c r="H2126" s="3">
        <v>2.5900000000000002E-6</v>
      </c>
      <c r="I2126" s="2" t="s">
        <v>40802</v>
      </c>
      <c r="J2126" s="2" t="s">
        <v>40803</v>
      </c>
      <c r="K2126" s="3">
        <v>2.2799999999999999E-5</v>
      </c>
      <c r="L2126" s="2" t="s">
        <v>1178</v>
      </c>
      <c r="M2126" s="4" t="s">
        <v>40804</v>
      </c>
    </row>
    <row r="2127" spans="1:13">
      <c r="A2127" s="2">
        <v>4758</v>
      </c>
      <c r="B2127" s="2" t="s">
        <v>40805</v>
      </c>
      <c r="C2127" s="2">
        <v>12</v>
      </c>
      <c r="D2127" s="2">
        <v>341</v>
      </c>
      <c r="E2127" s="2">
        <v>200</v>
      </c>
      <c r="F2127" s="2">
        <v>32441</v>
      </c>
      <c r="G2127" s="2">
        <v>5.7080938420000003</v>
      </c>
      <c r="H2127" s="3">
        <v>2.5900000000000002E-6</v>
      </c>
      <c r="I2127" s="2" t="s">
        <v>40806</v>
      </c>
      <c r="J2127" s="2" t="s">
        <v>40807</v>
      </c>
      <c r="K2127" s="3">
        <v>2.2799999999999999E-5</v>
      </c>
      <c r="L2127" s="2" t="s">
        <v>1178</v>
      </c>
      <c r="M2127" s="4" t="s">
        <v>40808</v>
      </c>
    </row>
    <row r="2128" spans="1:13">
      <c r="A2128" s="2">
        <v>4813</v>
      </c>
      <c r="B2128" s="2" t="s">
        <v>40809</v>
      </c>
      <c r="C2128" s="2">
        <v>12</v>
      </c>
      <c r="D2128" s="2">
        <v>341</v>
      </c>
      <c r="E2128" s="2">
        <v>199</v>
      </c>
      <c r="F2128" s="2">
        <v>32441</v>
      </c>
      <c r="G2128" s="2">
        <v>5.73677773</v>
      </c>
      <c r="H2128" s="3">
        <v>2.4700000000000001E-6</v>
      </c>
      <c r="I2128" s="2" t="s">
        <v>40810</v>
      </c>
      <c r="J2128" s="2" t="s">
        <v>40811</v>
      </c>
      <c r="K2128" s="3">
        <v>2.2799999999999999E-5</v>
      </c>
      <c r="L2128" s="2" t="s">
        <v>1178</v>
      </c>
      <c r="M2128" s="4" t="s">
        <v>40812</v>
      </c>
    </row>
    <row r="2129" spans="1:13">
      <c r="A2129" s="2">
        <v>2563</v>
      </c>
      <c r="B2129" s="2" t="s">
        <v>40813</v>
      </c>
      <c r="C2129" s="2">
        <v>11</v>
      </c>
      <c r="D2129" s="2">
        <v>341</v>
      </c>
      <c r="E2129" s="2">
        <v>170</v>
      </c>
      <c r="F2129" s="2">
        <v>32441</v>
      </c>
      <c r="G2129" s="2">
        <v>6.1557874760000004</v>
      </c>
      <c r="H2129" s="3">
        <v>3.4300000000000002E-6</v>
      </c>
      <c r="I2129" s="2" t="s">
        <v>40814</v>
      </c>
      <c r="J2129" s="2" t="s">
        <v>40815</v>
      </c>
      <c r="K2129" s="3">
        <v>3.01E-5</v>
      </c>
      <c r="L2129" s="2" t="s">
        <v>1178</v>
      </c>
      <c r="M2129" s="4" t="s">
        <v>40816</v>
      </c>
    </row>
    <row r="2130" spans="1:13">
      <c r="A2130" s="2">
        <v>2712</v>
      </c>
      <c r="B2130" s="2" t="s">
        <v>40817</v>
      </c>
      <c r="C2130" s="2">
        <v>10</v>
      </c>
      <c r="D2130" s="2">
        <v>341</v>
      </c>
      <c r="E2130" s="2">
        <v>141</v>
      </c>
      <c r="F2130" s="2">
        <v>32441</v>
      </c>
      <c r="G2130" s="2">
        <v>6.7471558409999997</v>
      </c>
      <c r="H2130" s="3">
        <v>4.4599999999999996E-6</v>
      </c>
      <c r="I2130" s="2" t="s">
        <v>40818</v>
      </c>
      <c r="J2130" s="2" t="s">
        <v>40819</v>
      </c>
      <c r="K2130" s="3">
        <v>3.9100000000000002E-5</v>
      </c>
      <c r="L2130" s="2" t="s">
        <v>1178</v>
      </c>
      <c r="M2130" s="4" t="s">
        <v>40820</v>
      </c>
    </row>
    <row r="2131" spans="1:13">
      <c r="A2131" s="2">
        <v>4236</v>
      </c>
      <c r="B2131" s="2" t="s">
        <v>40821</v>
      </c>
      <c r="C2131" s="2">
        <v>10</v>
      </c>
      <c r="D2131" s="2">
        <v>341</v>
      </c>
      <c r="E2131" s="2">
        <v>145</v>
      </c>
      <c r="F2131" s="2">
        <v>32441</v>
      </c>
      <c r="G2131" s="2">
        <v>6.5610274039999998</v>
      </c>
      <c r="H2131" s="3">
        <v>5.6300000000000003E-6</v>
      </c>
      <c r="I2131" s="2" t="s">
        <v>40822</v>
      </c>
      <c r="J2131" s="2" t="s">
        <v>40823</v>
      </c>
      <c r="K2131" s="3">
        <v>4.9299999999999999E-5</v>
      </c>
      <c r="L2131" s="2" t="s">
        <v>1178</v>
      </c>
      <c r="M2131" s="4" t="s">
        <v>40824</v>
      </c>
    </row>
    <row r="2132" spans="1:13">
      <c r="A2132" s="2">
        <v>26571</v>
      </c>
      <c r="B2132" s="2" t="s">
        <v>19346</v>
      </c>
      <c r="C2132" s="2">
        <v>10</v>
      </c>
      <c r="D2132" s="2">
        <v>341</v>
      </c>
      <c r="E2132" s="2">
        <v>156</v>
      </c>
      <c r="F2132" s="2">
        <v>32441</v>
      </c>
      <c r="G2132" s="2">
        <v>6.098390856</v>
      </c>
      <c r="H2132" s="3">
        <v>1.03E-5</v>
      </c>
      <c r="I2132" s="2" t="s">
        <v>40825</v>
      </c>
      <c r="J2132" s="2" t="s">
        <v>40826</v>
      </c>
      <c r="K2132" s="3">
        <v>9.0099999999999995E-5</v>
      </c>
      <c r="L2132" s="2" t="s">
        <v>1178</v>
      </c>
      <c r="M2132" s="4" t="s">
        <v>19349</v>
      </c>
    </row>
    <row r="2133" spans="1:13">
      <c r="A2133" s="2">
        <v>24421</v>
      </c>
      <c r="B2133" s="2" t="s">
        <v>20354</v>
      </c>
      <c r="C2133" s="2">
        <v>10</v>
      </c>
      <c r="D2133" s="2">
        <v>341</v>
      </c>
      <c r="E2133" s="2">
        <v>157</v>
      </c>
      <c r="F2133" s="2">
        <v>32441</v>
      </c>
      <c r="G2133" s="2">
        <v>6.0595476030000004</v>
      </c>
      <c r="H2133" s="3">
        <v>1.0900000000000001E-5</v>
      </c>
      <c r="I2133" s="2" t="s">
        <v>40827</v>
      </c>
      <c r="J2133" s="2" t="s">
        <v>40828</v>
      </c>
      <c r="K2133" s="3">
        <v>9.48E-5</v>
      </c>
      <c r="L2133" s="2" t="s">
        <v>1178</v>
      </c>
      <c r="M2133" s="4" t="s">
        <v>20357</v>
      </c>
    </row>
    <row r="2134" spans="1:13">
      <c r="A2134" s="2">
        <v>4320</v>
      </c>
      <c r="B2134" s="2" t="s">
        <v>13957</v>
      </c>
      <c r="C2134" s="2">
        <v>11</v>
      </c>
      <c r="D2134" s="2">
        <v>341</v>
      </c>
      <c r="E2134" s="2">
        <v>196</v>
      </c>
      <c r="F2134" s="2">
        <v>32441</v>
      </c>
      <c r="G2134" s="2">
        <v>5.3392034229999998</v>
      </c>
      <c r="H2134" s="3">
        <v>1.2300000000000001E-5</v>
      </c>
      <c r="I2134" s="2" t="s">
        <v>40829</v>
      </c>
      <c r="J2134" s="2" t="s">
        <v>40830</v>
      </c>
      <c r="K2134" s="2">
        <v>1.06869E-4</v>
      </c>
      <c r="L2134" s="2" t="s">
        <v>1178</v>
      </c>
      <c r="M2134" s="4" t="s">
        <v>13960</v>
      </c>
    </row>
    <row r="2135" spans="1:13">
      <c r="A2135" s="2">
        <v>4324</v>
      </c>
      <c r="B2135" s="2" t="s">
        <v>15089</v>
      </c>
      <c r="C2135" s="2">
        <v>11</v>
      </c>
      <c r="D2135" s="2">
        <v>341</v>
      </c>
      <c r="E2135" s="2">
        <v>196</v>
      </c>
      <c r="F2135" s="2">
        <v>32441</v>
      </c>
      <c r="G2135" s="2">
        <v>5.3392034229999998</v>
      </c>
      <c r="H2135" s="3">
        <v>1.2300000000000001E-5</v>
      </c>
      <c r="I2135" s="2" t="s">
        <v>40831</v>
      </c>
      <c r="J2135" s="2" t="s">
        <v>40832</v>
      </c>
      <c r="K2135" s="2">
        <v>1.06869E-4</v>
      </c>
      <c r="L2135" s="2" t="s">
        <v>1178</v>
      </c>
      <c r="M2135" s="4" t="s">
        <v>15092</v>
      </c>
    </row>
    <row r="2136" spans="1:13">
      <c r="A2136" s="2">
        <v>194</v>
      </c>
      <c r="B2136" s="2" t="s">
        <v>12582</v>
      </c>
      <c r="C2136" s="2">
        <v>11</v>
      </c>
      <c r="D2136" s="2">
        <v>341</v>
      </c>
      <c r="E2136" s="2">
        <v>200</v>
      </c>
      <c r="F2136" s="2">
        <v>32441</v>
      </c>
      <c r="G2136" s="2">
        <v>5.2324193550000002</v>
      </c>
      <c r="H2136" s="3">
        <v>1.47E-5</v>
      </c>
      <c r="I2136" s="2" t="s">
        <v>40833</v>
      </c>
      <c r="J2136" s="2" t="s">
        <v>40834</v>
      </c>
      <c r="K2136" s="2">
        <v>1.15448E-4</v>
      </c>
      <c r="L2136" s="2" t="s">
        <v>1178</v>
      </c>
      <c r="M2136" s="4" t="s">
        <v>12585</v>
      </c>
    </row>
    <row r="2137" spans="1:13">
      <c r="A2137" s="2">
        <v>223</v>
      </c>
      <c r="B2137" s="2" t="s">
        <v>40835</v>
      </c>
      <c r="C2137" s="2">
        <v>11</v>
      </c>
      <c r="D2137" s="2">
        <v>341</v>
      </c>
      <c r="E2137" s="2">
        <v>200</v>
      </c>
      <c r="F2137" s="2">
        <v>32441</v>
      </c>
      <c r="G2137" s="2">
        <v>5.2324193550000002</v>
      </c>
      <c r="H2137" s="3">
        <v>1.47E-5</v>
      </c>
      <c r="I2137" s="2" t="s">
        <v>40836</v>
      </c>
      <c r="J2137" s="2" t="s">
        <v>40837</v>
      </c>
      <c r="K2137" s="2">
        <v>1.15448E-4</v>
      </c>
      <c r="L2137" s="2" t="s">
        <v>1178</v>
      </c>
      <c r="M2137" s="4" t="s">
        <v>40838</v>
      </c>
    </row>
    <row r="2138" spans="1:13">
      <c r="A2138" s="2">
        <v>3452</v>
      </c>
      <c r="B2138" s="2" t="s">
        <v>21721</v>
      </c>
      <c r="C2138" s="2">
        <v>11</v>
      </c>
      <c r="D2138" s="2">
        <v>341</v>
      </c>
      <c r="E2138" s="2">
        <v>200</v>
      </c>
      <c r="F2138" s="2">
        <v>32441</v>
      </c>
      <c r="G2138" s="2">
        <v>5.2324193550000002</v>
      </c>
      <c r="H2138" s="3">
        <v>1.47E-5</v>
      </c>
      <c r="I2138" s="2" t="s">
        <v>40839</v>
      </c>
      <c r="J2138" s="2" t="s">
        <v>40840</v>
      </c>
      <c r="K2138" s="2">
        <v>1.15448E-4</v>
      </c>
      <c r="L2138" s="2" t="s">
        <v>1178</v>
      </c>
      <c r="M2138" s="4" t="s">
        <v>21724</v>
      </c>
    </row>
    <row r="2139" spans="1:13">
      <c r="A2139" s="2">
        <v>353</v>
      </c>
      <c r="B2139" s="2" t="s">
        <v>21725</v>
      </c>
      <c r="C2139" s="2">
        <v>11</v>
      </c>
      <c r="D2139" s="2">
        <v>341</v>
      </c>
      <c r="E2139" s="2">
        <v>200</v>
      </c>
      <c r="F2139" s="2">
        <v>32441</v>
      </c>
      <c r="G2139" s="2">
        <v>5.2324193550000002</v>
      </c>
      <c r="H2139" s="3">
        <v>1.47E-5</v>
      </c>
      <c r="I2139" s="2" t="s">
        <v>40841</v>
      </c>
      <c r="J2139" s="2" t="s">
        <v>40842</v>
      </c>
      <c r="K2139" s="2">
        <v>1.15448E-4</v>
      </c>
      <c r="L2139" s="2" t="s">
        <v>1178</v>
      </c>
      <c r="M2139" s="4" t="s">
        <v>21728</v>
      </c>
    </row>
    <row r="2140" spans="1:13">
      <c r="A2140" s="2">
        <v>436</v>
      </c>
      <c r="B2140" s="2" t="s">
        <v>17775</v>
      </c>
      <c r="C2140" s="2">
        <v>11</v>
      </c>
      <c r="D2140" s="2">
        <v>341</v>
      </c>
      <c r="E2140" s="2">
        <v>200</v>
      </c>
      <c r="F2140" s="2">
        <v>32441</v>
      </c>
      <c r="G2140" s="2">
        <v>5.2324193550000002</v>
      </c>
      <c r="H2140" s="3">
        <v>1.47E-5</v>
      </c>
      <c r="I2140" s="2" t="s">
        <v>40843</v>
      </c>
      <c r="J2140" s="2" t="s">
        <v>40844</v>
      </c>
      <c r="K2140" s="2">
        <v>1.15448E-4</v>
      </c>
      <c r="L2140" s="2" t="s">
        <v>1178</v>
      </c>
      <c r="M2140" s="4" t="s">
        <v>17778</v>
      </c>
    </row>
    <row r="2141" spans="1:13">
      <c r="A2141" s="2">
        <v>489</v>
      </c>
      <c r="B2141" s="2" t="s">
        <v>21769</v>
      </c>
      <c r="C2141" s="2">
        <v>11</v>
      </c>
      <c r="D2141" s="2">
        <v>341</v>
      </c>
      <c r="E2141" s="2">
        <v>200</v>
      </c>
      <c r="F2141" s="2">
        <v>32441</v>
      </c>
      <c r="G2141" s="2">
        <v>5.2324193550000002</v>
      </c>
      <c r="H2141" s="3">
        <v>1.47E-5</v>
      </c>
      <c r="I2141" s="2" t="s">
        <v>40845</v>
      </c>
      <c r="J2141" s="2" t="s">
        <v>40846</v>
      </c>
      <c r="K2141" s="2">
        <v>1.15448E-4</v>
      </c>
      <c r="L2141" s="2" t="s">
        <v>1178</v>
      </c>
      <c r="M2141" s="4" t="s">
        <v>21772</v>
      </c>
    </row>
    <row r="2142" spans="1:13">
      <c r="A2142" s="2">
        <v>523</v>
      </c>
      <c r="B2142" s="2" t="s">
        <v>1461</v>
      </c>
      <c r="C2142" s="2">
        <v>11</v>
      </c>
      <c r="D2142" s="2">
        <v>341</v>
      </c>
      <c r="E2142" s="2">
        <v>200</v>
      </c>
      <c r="F2142" s="2">
        <v>32441</v>
      </c>
      <c r="G2142" s="2">
        <v>5.2324193550000002</v>
      </c>
      <c r="H2142" s="3">
        <v>1.47E-5</v>
      </c>
      <c r="I2142" s="2" t="s">
        <v>40847</v>
      </c>
      <c r="J2142" s="2" t="s">
        <v>40848</v>
      </c>
      <c r="K2142" s="2">
        <v>1.15448E-4</v>
      </c>
      <c r="L2142" s="2" t="s">
        <v>1178</v>
      </c>
      <c r="M2142" s="4" t="s">
        <v>40849</v>
      </c>
    </row>
    <row r="2143" spans="1:13">
      <c r="A2143" s="2">
        <v>551</v>
      </c>
      <c r="B2143" s="2" t="s">
        <v>16975</v>
      </c>
      <c r="C2143" s="2">
        <v>11</v>
      </c>
      <c r="D2143" s="2">
        <v>341</v>
      </c>
      <c r="E2143" s="2">
        <v>200</v>
      </c>
      <c r="F2143" s="2">
        <v>32441</v>
      </c>
      <c r="G2143" s="2">
        <v>5.2324193550000002</v>
      </c>
      <c r="H2143" s="3">
        <v>1.47E-5</v>
      </c>
      <c r="I2143" s="2" t="s">
        <v>40850</v>
      </c>
      <c r="J2143" s="2" t="s">
        <v>40851</v>
      </c>
      <c r="K2143" s="2">
        <v>1.15448E-4</v>
      </c>
      <c r="L2143" s="2" t="s">
        <v>1178</v>
      </c>
      <c r="M2143" s="4" t="s">
        <v>16978</v>
      </c>
    </row>
    <row r="2144" spans="1:13">
      <c r="A2144" s="2">
        <v>5621</v>
      </c>
      <c r="B2144" s="2" t="s">
        <v>20543</v>
      </c>
      <c r="C2144" s="2">
        <v>11</v>
      </c>
      <c r="D2144" s="2">
        <v>341</v>
      </c>
      <c r="E2144" s="2">
        <v>200</v>
      </c>
      <c r="F2144" s="2">
        <v>32441</v>
      </c>
      <c r="G2144" s="2">
        <v>5.2324193550000002</v>
      </c>
      <c r="H2144" s="3">
        <v>1.47E-5</v>
      </c>
      <c r="I2144" s="2" t="s">
        <v>40852</v>
      </c>
      <c r="J2144" s="2" t="s">
        <v>40853</v>
      </c>
      <c r="K2144" s="2">
        <v>1.15448E-4</v>
      </c>
      <c r="L2144" s="2" t="s">
        <v>1178</v>
      </c>
      <c r="M2144" s="4" t="s">
        <v>20546</v>
      </c>
    </row>
    <row r="2145" spans="1:13">
      <c r="A2145" s="2">
        <v>725</v>
      </c>
      <c r="B2145" s="2" t="s">
        <v>2079</v>
      </c>
      <c r="C2145" s="2">
        <v>11</v>
      </c>
      <c r="D2145" s="2">
        <v>341</v>
      </c>
      <c r="E2145" s="2">
        <v>200</v>
      </c>
      <c r="F2145" s="2">
        <v>32441</v>
      </c>
      <c r="G2145" s="2">
        <v>5.2324193550000002</v>
      </c>
      <c r="H2145" s="3">
        <v>1.47E-5</v>
      </c>
      <c r="I2145" s="2" t="s">
        <v>40854</v>
      </c>
      <c r="J2145" s="2" t="s">
        <v>40855</v>
      </c>
      <c r="K2145" s="2">
        <v>1.15448E-4</v>
      </c>
      <c r="L2145" s="2" t="s">
        <v>1178</v>
      </c>
      <c r="M2145" s="4" t="s">
        <v>20618</v>
      </c>
    </row>
    <row r="2146" spans="1:13">
      <c r="A2146" s="2">
        <v>835</v>
      </c>
      <c r="B2146" s="2" t="s">
        <v>23153</v>
      </c>
      <c r="C2146" s="2">
        <v>11</v>
      </c>
      <c r="D2146" s="2">
        <v>341</v>
      </c>
      <c r="E2146" s="2">
        <v>200</v>
      </c>
      <c r="F2146" s="2">
        <v>32441</v>
      </c>
      <c r="G2146" s="2">
        <v>5.2324193550000002</v>
      </c>
      <c r="H2146" s="3">
        <v>1.47E-5</v>
      </c>
      <c r="I2146" s="2" t="s">
        <v>40856</v>
      </c>
      <c r="J2146" s="2" t="s">
        <v>40857</v>
      </c>
      <c r="K2146" s="2">
        <v>1.15448E-4</v>
      </c>
      <c r="L2146" s="2" t="s">
        <v>1178</v>
      </c>
      <c r="M2146" s="4" t="s">
        <v>23156</v>
      </c>
    </row>
    <row r="2147" spans="1:13">
      <c r="A2147" s="2">
        <v>849</v>
      </c>
      <c r="B2147" s="2" t="s">
        <v>21895</v>
      </c>
      <c r="C2147" s="2">
        <v>11</v>
      </c>
      <c r="D2147" s="2">
        <v>341</v>
      </c>
      <c r="E2147" s="2">
        <v>200</v>
      </c>
      <c r="F2147" s="2">
        <v>32441</v>
      </c>
      <c r="G2147" s="2">
        <v>5.2324193550000002</v>
      </c>
      <c r="H2147" s="3">
        <v>1.47E-5</v>
      </c>
      <c r="I2147" s="2" t="s">
        <v>40858</v>
      </c>
      <c r="J2147" s="2" t="s">
        <v>40859</v>
      </c>
      <c r="K2147" s="2">
        <v>1.15448E-4</v>
      </c>
      <c r="L2147" s="2" t="s">
        <v>1178</v>
      </c>
      <c r="M2147" s="4" t="s">
        <v>21898</v>
      </c>
    </row>
    <row r="2148" spans="1:13">
      <c r="A2148" s="2">
        <v>10811</v>
      </c>
      <c r="B2148" s="2" t="s">
        <v>23219</v>
      </c>
      <c r="C2148" s="2">
        <v>11</v>
      </c>
      <c r="D2148" s="2">
        <v>341</v>
      </c>
      <c r="E2148" s="2">
        <v>200</v>
      </c>
      <c r="F2148" s="2">
        <v>32441</v>
      </c>
      <c r="G2148" s="2">
        <v>5.2324193550000002</v>
      </c>
      <c r="H2148" s="3">
        <v>1.47E-5</v>
      </c>
      <c r="I2148" s="2" t="s">
        <v>40860</v>
      </c>
      <c r="J2148" s="2" t="s">
        <v>40861</v>
      </c>
      <c r="K2148" s="2">
        <v>1.15448E-4</v>
      </c>
      <c r="L2148" s="2" t="s">
        <v>1178</v>
      </c>
      <c r="M2148" s="4" t="s">
        <v>23222</v>
      </c>
    </row>
    <row r="2149" spans="1:13">
      <c r="A2149" s="2">
        <v>1085</v>
      </c>
      <c r="B2149" s="2" t="s">
        <v>13243</v>
      </c>
      <c r="C2149" s="2">
        <v>11</v>
      </c>
      <c r="D2149" s="2">
        <v>341</v>
      </c>
      <c r="E2149" s="2">
        <v>200</v>
      </c>
      <c r="F2149" s="2">
        <v>32441</v>
      </c>
      <c r="G2149" s="2">
        <v>5.2324193550000002</v>
      </c>
      <c r="H2149" s="3">
        <v>1.47E-5</v>
      </c>
      <c r="I2149" s="2" t="s">
        <v>40862</v>
      </c>
      <c r="J2149" s="2" t="s">
        <v>40863</v>
      </c>
      <c r="K2149" s="2">
        <v>1.15448E-4</v>
      </c>
      <c r="L2149" s="2" t="s">
        <v>1178</v>
      </c>
      <c r="M2149" s="4" t="s">
        <v>13246</v>
      </c>
    </row>
    <row r="2150" spans="1:13">
      <c r="A2150" s="2">
        <v>11041</v>
      </c>
      <c r="B2150" s="2" t="s">
        <v>23223</v>
      </c>
      <c r="C2150" s="2">
        <v>11</v>
      </c>
      <c r="D2150" s="2">
        <v>341</v>
      </c>
      <c r="E2150" s="2">
        <v>200</v>
      </c>
      <c r="F2150" s="2">
        <v>32441</v>
      </c>
      <c r="G2150" s="2">
        <v>5.2324193550000002</v>
      </c>
      <c r="H2150" s="3">
        <v>1.47E-5</v>
      </c>
      <c r="I2150" s="2" t="s">
        <v>40864</v>
      </c>
      <c r="J2150" s="2" t="s">
        <v>40865</v>
      </c>
      <c r="K2150" s="2">
        <v>1.15448E-4</v>
      </c>
      <c r="L2150" s="2" t="s">
        <v>1178</v>
      </c>
      <c r="M2150" s="4" t="s">
        <v>23226</v>
      </c>
    </row>
    <row r="2151" spans="1:13">
      <c r="A2151" s="2">
        <v>1167</v>
      </c>
      <c r="B2151" s="2" t="s">
        <v>40866</v>
      </c>
      <c r="C2151" s="2">
        <v>11</v>
      </c>
      <c r="D2151" s="2">
        <v>341</v>
      </c>
      <c r="E2151" s="2">
        <v>200</v>
      </c>
      <c r="F2151" s="2">
        <v>32441</v>
      </c>
      <c r="G2151" s="2">
        <v>5.2324193550000002</v>
      </c>
      <c r="H2151" s="3">
        <v>1.47E-5</v>
      </c>
      <c r="I2151" s="2" t="s">
        <v>40867</v>
      </c>
      <c r="J2151" s="2" t="s">
        <v>40868</v>
      </c>
      <c r="K2151" s="2">
        <v>1.15448E-4</v>
      </c>
      <c r="L2151" s="2" t="s">
        <v>1178</v>
      </c>
      <c r="M2151" s="4" t="s">
        <v>40869</v>
      </c>
    </row>
    <row r="2152" spans="1:13">
      <c r="A2152" s="2">
        <v>1210</v>
      </c>
      <c r="B2152" s="2" t="s">
        <v>20750</v>
      </c>
      <c r="C2152" s="2">
        <v>11</v>
      </c>
      <c r="D2152" s="2">
        <v>341</v>
      </c>
      <c r="E2152" s="2">
        <v>200</v>
      </c>
      <c r="F2152" s="2">
        <v>32441</v>
      </c>
      <c r="G2152" s="2">
        <v>5.2324193550000002</v>
      </c>
      <c r="H2152" s="3">
        <v>1.47E-5</v>
      </c>
      <c r="I2152" s="2" t="s">
        <v>40870</v>
      </c>
      <c r="J2152" s="2" t="s">
        <v>40871</v>
      </c>
      <c r="K2152" s="2">
        <v>1.15448E-4</v>
      </c>
      <c r="L2152" s="2" t="s">
        <v>1178</v>
      </c>
      <c r="M2152" s="4" t="s">
        <v>20753</v>
      </c>
    </row>
    <row r="2153" spans="1:13">
      <c r="A2153" s="2">
        <v>1236</v>
      </c>
      <c r="B2153" s="2" t="s">
        <v>23287</v>
      </c>
      <c r="C2153" s="2">
        <v>11</v>
      </c>
      <c r="D2153" s="2">
        <v>341</v>
      </c>
      <c r="E2153" s="2">
        <v>200</v>
      </c>
      <c r="F2153" s="2">
        <v>32441</v>
      </c>
      <c r="G2153" s="2">
        <v>5.2324193550000002</v>
      </c>
      <c r="H2153" s="3">
        <v>1.47E-5</v>
      </c>
      <c r="I2153" s="2" t="s">
        <v>40872</v>
      </c>
      <c r="J2153" s="2" t="s">
        <v>40873</v>
      </c>
      <c r="K2153" s="2">
        <v>1.15448E-4</v>
      </c>
      <c r="L2153" s="2" t="s">
        <v>1178</v>
      </c>
      <c r="M2153" s="4" t="s">
        <v>23290</v>
      </c>
    </row>
    <row r="2154" spans="1:13">
      <c r="A2154" s="2">
        <v>12391</v>
      </c>
      <c r="B2154" s="2" t="s">
        <v>18714</v>
      </c>
      <c r="C2154" s="2">
        <v>11</v>
      </c>
      <c r="D2154" s="2">
        <v>341</v>
      </c>
      <c r="E2154" s="2">
        <v>200</v>
      </c>
      <c r="F2154" s="2">
        <v>32441</v>
      </c>
      <c r="G2154" s="2">
        <v>5.2324193550000002</v>
      </c>
      <c r="H2154" s="3">
        <v>1.47E-5</v>
      </c>
      <c r="I2154" s="2" t="s">
        <v>40874</v>
      </c>
      <c r="J2154" s="2" t="s">
        <v>40875</v>
      </c>
      <c r="K2154" s="2">
        <v>1.15448E-4</v>
      </c>
      <c r="L2154" s="2" t="s">
        <v>1178</v>
      </c>
      <c r="M2154" s="4" t="s">
        <v>18717</v>
      </c>
    </row>
    <row r="2155" spans="1:13">
      <c r="A2155" s="2">
        <v>1379</v>
      </c>
      <c r="B2155" s="2" t="s">
        <v>20798</v>
      </c>
      <c r="C2155" s="2">
        <v>11</v>
      </c>
      <c r="D2155" s="2">
        <v>341</v>
      </c>
      <c r="E2155" s="2">
        <v>199</v>
      </c>
      <c r="F2155" s="2">
        <v>32441</v>
      </c>
      <c r="G2155" s="2">
        <v>5.2587129189999997</v>
      </c>
      <c r="H2155" s="3">
        <v>1.4100000000000001E-5</v>
      </c>
      <c r="I2155" s="2" t="s">
        <v>40876</v>
      </c>
      <c r="J2155" s="2" t="s">
        <v>40877</v>
      </c>
      <c r="K2155" s="2">
        <v>1.15448E-4</v>
      </c>
      <c r="L2155" s="2" t="s">
        <v>1178</v>
      </c>
      <c r="M2155" s="4" t="s">
        <v>20801</v>
      </c>
    </row>
    <row r="2156" spans="1:13">
      <c r="A2156" s="2">
        <v>1478</v>
      </c>
      <c r="B2156" s="2" t="s">
        <v>40878</v>
      </c>
      <c r="C2156" s="2">
        <v>11</v>
      </c>
      <c r="D2156" s="2">
        <v>341</v>
      </c>
      <c r="E2156" s="2">
        <v>200</v>
      </c>
      <c r="F2156" s="2">
        <v>32441</v>
      </c>
      <c r="G2156" s="2">
        <v>5.2324193550000002</v>
      </c>
      <c r="H2156" s="3">
        <v>1.47E-5</v>
      </c>
      <c r="I2156" s="2" t="s">
        <v>40879</v>
      </c>
      <c r="J2156" s="2" t="s">
        <v>40880</v>
      </c>
      <c r="K2156" s="2">
        <v>1.15448E-4</v>
      </c>
      <c r="L2156" s="2" t="s">
        <v>1178</v>
      </c>
      <c r="M2156" s="4" t="s">
        <v>40881</v>
      </c>
    </row>
    <row r="2157" spans="1:13">
      <c r="A2157" s="2">
        <v>1529</v>
      </c>
      <c r="B2157" s="2" t="s">
        <v>2151</v>
      </c>
      <c r="C2157" s="2">
        <v>11</v>
      </c>
      <c r="D2157" s="2">
        <v>341</v>
      </c>
      <c r="E2157" s="2">
        <v>200</v>
      </c>
      <c r="F2157" s="2">
        <v>32441</v>
      </c>
      <c r="G2157" s="2">
        <v>5.2324193550000002</v>
      </c>
      <c r="H2157" s="3">
        <v>1.47E-5</v>
      </c>
      <c r="I2157" s="2" t="s">
        <v>40882</v>
      </c>
      <c r="J2157" s="2" t="s">
        <v>40883</v>
      </c>
      <c r="K2157" s="2">
        <v>1.15448E-4</v>
      </c>
      <c r="L2157" s="2" t="s">
        <v>1178</v>
      </c>
      <c r="M2157" s="4" t="s">
        <v>40884</v>
      </c>
    </row>
    <row r="2158" spans="1:13">
      <c r="A2158" s="2">
        <v>16452</v>
      </c>
      <c r="B2158" s="2" t="s">
        <v>34076</v>
      </c>
      <c r="C2158" s="2">
        <v>11</v>
      </c>
      <c r="D2158" s="2">
        <v>341</v>
      </c>
      <c r="E2158" s="2">
        <v>199</v>
      </c>
      <c r="F2158" s="2">
        <v>32441</v>
      </c>
      <c r="G2158" s="2">
        <v>5.2587129189999997</v>
      </c>
      <c r="H2158" s="3">
        <v>1.4100000000000001E-5</v>
      </c>
      <c r="I2158" s="2" t="s">
        <v>40885</v>
      </c>
      <c r="J2158" s="2" t="s">
        <v>40886</v>
      </c>
      <c r="K2158" s="2">
        <v>1.15448E-4</v>
      </c>
      <c r="L2158" s="2" t="s">
        <v>1178</v>
      </c>
      <c r="M2158" s="4" t="s">
        <v>34079</v>
      </c>
    </row>
    <row r="2159" spans="1:13">
      <c r="A2159" s="2">
        <v>1653</v>
      </c>
      <c r="B2159" s="2" t="s">
        <v>15792</v>
      </c>
      <c r="C2159" s="2">
        <v>11</v>
      </c>
      <c r="D2159" s="2">
        <v>341</v>
      </c>
      <c r="E2159" s="2">
        <v>200</v>
      </c>
      <c r="F2159" s="2">
        <v>32441</v>
      </c>
      <c r="G2159" s="2">
        <v>5.2324193550000002</v>
      </c>
      <c r="H2159" s="3">
        <v>1.47E-5</v>
      </c>
      <c r="I2159" s="2" t="s">
        <v>40887</v>
      </c>
      <c r="J2159" s="2" t="s">
        <v>40888</v>
      </c>
      <c r="K2159" s="2">
        <v>1.15448E-4</v>
      </c>
      <c r="L2159" s="2" t="s">
        <v>1178</v>
      </c>
      <c r="M2159" s="4" t="s">
        <v>15795</v>
      </c>
    </row>
    <row r="2160" spans="1:13">
      <c r="A2160" s="2">
        <v>1715</v>
      </c>
      <c r="B2160" s="2" t="s">
        <v>15267</v>
      </c>
      <c r="C2160" s="2">
        <v>11</v>
      </c>
      <c r="D2160" s="2">
        <v>341</v>
      </c>
      <c r="E2160" s="2">
        <v>200</v>
      </c>
      <c r="F2160" s="2">
        <v>32441</v>
      </c>
      <c r="G2160" s="2">
        <v>5.2324193550000002</v>
      </c>
      <c r="H2160" s="3">
        <v>1.47E-5</v>
      </c>
      <c r="I2160" s="2" t="s">
        <v>40889</v>
      </c>
      <c r="J2160" s="2" t="s">
        <v>40890</v>
      </c>
      <c r="K2160" s="2">
        <v>1.15448E-4</v>
      </c>
      <c r="L2160" s="2" t="s">
        <v>1178</v>
      </c>
      <c r="M2160" s="4" t="s">
        <v>15270</v>
      </c>
    </row>
    <row r="2161" spans="1:13">
      <c r="A2161" s="2">
        <v>18471</v>
      </c>
      <c r="B2161" s="2" t="s">
        <v>33424</v>
      </c>
      <c r="C2161" s="2">
        <v>11</v>
      </c>
      <c r="D2161" s="2">
        <v>341</v>
      </c>
      <c r="E2161" s="2">
        <v>200</v>
      </c>
      <c r="F2161" s="2">
        <v>32441</v>
      </c>
      <c r="G2161" s="2">
        <v>5.2324193550000002</v>
      </c>
      <c r="H2161" s="3">
        <v>1.47E-5</v>
      </c>
      <c r="I2161" s="2" t="s">
        <v>40891</v>
      </c>
      <c r="J2161" s="2" t="s">
        <v>40892</v>
      </c>
      <c r="K2161" s="2">
        <v>1.15448E-4</v>
      </c>
      <c r="L2161" s="2" t="s">
        <v>1178</v>
      </c>
      <c r="M2161" s="4" t="s">
        <v>33427</v>
      </c>
    </row>
    <row r="2162" spans="1:13">
      <c r="A2162" s="2">
        <v>1866</v>
      </c>
      <c r="B2162" s="2" t="s">
        <v>40893</v>
      </c>
      <c r="C2162" s="2">
        <v>11</v>
      </c>
      <c r="D2162" s="2">
        <v>341</v>
      </c>
      <c r="E2162" s="2">
        <v>200</v>
      </c>
      <c r="F2162" s="2">
        <v>32441</v>
      </c>
      <c r="G2162" s="2">
        <v>5.2324193550000002</v>
      </c>
      <c r="H2162" s="3">
        <v>1.47E-5</v>
      </c>
      <c r="I2162" s="2" t="s">
        <v>40894</v>
      </c>
      <c r="J2162" s="2" t="s">
        <v>40895</v>
      </c>
      <c r="K2162" s="2">
        <v>1.15448E-4</v>
      </c>
      <c r="L2162" s="2" t="s">
        <v>1178</v>
      </c>
      <c r="M2162" s="4" t="s">
        <v>40896</v>
      </c>
    </row>
    <row r="2163" spans="1:13">
      <c r="A2163" s="2">
        <v>1934</v>
      </c>
      <c r="B2163" s="2" t="s">
        <v>33436</v>
      </c>
      <c r="C2163" s="2">
        <v>11</v>
      </c>
      <c r="D2163" s="2">
        <v>341</v>
      </c>
      <c r="E2163" s="2">
        <v>199</v>
      </c>
      <c r="F2163" s="2">
        <v>32441</v>
      </c>
      <c r="G2163" s="2">
        <v>5.2587129189999997</v>
      </c>
      <c r="H2163" s="3">
        <v>1.4100000000000001E-5</v>
      </c>
      <c r="I2163" s="2" t="s">
        <v>40897</v>
      </c>
      <c r="J2163" s="2" t="s">
        <v>40898</v>
      </c>
      <c r="K2163" s="2">
        <v>1.15448E-4</v>
      </c>
      <c r="L2163" s="2" t="s">
        <v>1178</v>
      </c>
      <c r="M2163" s="4" t="s">
        <v>33439</v>
      </c>
    </row>
    <row r="2164" spans="1:13">
      <c r="A2164" s="2">
        <v>1955</v>
      </c>
      <c r="B2164" s="2" t="s">
        <v>18024</v>
      </c>
      <c r="C2164" s="2">
        <v>11</v>
      </c>
      <c r="D2164" s="2">
        <v>341</v>
      </c>
      <c r="E2164" s="2">
        <v>200</v>
      </c>
      <c r="F2164" s="2">
        <v>32441</v>
      </c>
      <c r="G2164" s="2">
        <v>5.2324193550000002</v>
      </c>
      <c r="H2164" s="3">
        <v>1.47E-5</v>
      </c>
      <c r="I2164" s="2" t="s">
        <v>40899</v>
      </c>
      <c r="J2164" s="2" t="s">
        <v>40900</v>
      </c>
      <c r="K2164" s="2">
        <v>1.15448E-4</v>
      </c>
      <c r="L2164" s="2" t="s">
        <v>1178</v>
      </c>
      <c r="M2164" s="4" t="s">
        <v>18027</v>
      </c>
    </row>
    <row r="2165" spans="1:13">
      <c r="A2165" s="2">
        <v>21211</v>
      </c>
      <c r="B2165" s="2" t="s">
        <v>30927</v>
      </c>
      <c r="C2165" s="2">
        <v>11</v>
      </c>
      <c r="D2165" s="2">
        <v>341</v>
      </c>
      <c r="E2165" s="2">
        <v>200</v>
      </c>
      <c r="F2165" s="2">
        <v>32441</v>
      </c>
      <c r="G2165" s="2">
        <v>5.2324193550000002</v>
      </c>
      <c r="H2165" s="3">
        <v>1.47E-5</v>
      </c>
      <c r="I2165" s="2" t="s">
        <v>40901</v>
      </c>
      <c r="J2165" s="2" t="s">
        <v>40902</v>
      </c>
      <c r="K2165" s="2">
        <v>1.15448E-4</v>
      </c>
      <c r="L2165" s="2" t="s">
        <v>1178</v>
      </c>
      <c r="M2165" s="4" t="s">
        <v>30930</v>
      </c>
    </row>
    <row r="2166" spans="1:13">
      <c r="A2166" s="2">
        <v>2127</v>
      </c>
      <c r="B2166" s="2" t="s">
        <v>20975</v>
      </c>
      <c r="C2166" s="2">
        <v>11</v>
      </c>
      <c r="D2166" s="2">
        <v>341</v>
      </c>
      <c r="E2166" s="2">
        <v>200</v>
      </c>
      <c r="F2166" s="2">
        <v>32441</v>
      </c>
      <c r="G2166" s="2">
        <v>5.2324193550000002</v>
      </c>
      <c r="H2166" s="3">
        <v>1.47E-5</v>
      </c>
      <c r="I2166" s="2" t="s">
        <v>40903</v>
      </c>
      <c r="J2166" s="2" t="s">
        <v>40904</v>
      </c>
      <c r="K2166" s="2">
        <v>1.15448E-4</v>
      </c>
      <c r="L2166" s="2" t="s">
        <v>1178</v>
      </c>
      <c r="M2166" s="4" t="s">
        <v>20978</v>
      </c>
    </row>
    <row r="2167" spans="1:13">
      <c r="A2167" s="2">
        <v>21291</v>
      </c>
      <c r="B2167" s="2" t="s">
        <v>33459</v>
      </c>
      <c r="C2167" s="2">
        <v>11</v>
      </c>
      <c r="D2167" s="2">
        <v>341</v>
      </c>
      <c r="E2167" s="2">
        <v>200</v>
      </c>
      <c r="F2167" s="2">
        <v>32441</v>
      </c>
      <c r="G2167" s="2">
        <v>5.2324193550000002</v>
      </c>
      <c r="H2167" s="3">
        <v>1.47E-5</v>
      </c>
      <c r="I2167" s="2" t="s">
        <v>40905</v>
      </c>
      <c r="J2167" s="2" t="s">
        <v>40906</v>
      </c>
      <c r="K2167" s="2">
        <v>1.15448E-4</v>
      </c>
      <c r="L2167" s="2" t="s">
        <v>1178</v>
      </c>
      <c r="M2167" s="4" t="s">
        <v>33462</v>
      </c>
    </row>
    <row r="2168" spans="1:13">
      <c r="A2168" s="2">
        <v>2196</v>
      </c>
      <c r="B2168" s="2" t="s">
        <v>23579</v>
      </c>
      <c r="C2168" s="2">
        <v>11</v>
      </c>
      <c r="D2168" s="2">
        <v>341</v>
      </c>
      <c r="E2168" s="2">
        <v>200</v>
      </c>
      <c r="F2168" s="2">
        <v>32441</v>
      </c>
      <c r="G2168" s="2">
        <v>5.2324193550000002</v>
      </c>
      <c r="H2168" s="3">
        <v>1.47E-5</v>
      </c>
      <c r="I2168" s="2" t="s">
        <v>40907</v>
      </c>
      <c r="J2168" s="2" t="s">
        <v>40908</v>
      </c>
      <c r="K2168" s="2">
        <v>1.15448E-4</v>
      </c>
      <c r="L2168" s="2" t="s">
        <v>1178</v>
      </c>
      <c r="M2168" s="4" t="s">
        <v>23582</v>
      </c>
    </row>
    <row r="2169" spans="1:13">
      <c r="A2169" s="2">
        <v>2284</v>
      </c>
      <c r="B2169" s="2" t="s">
        <v>33475</v>
      </c>
      <c r="C2169" s="2">
        <v>11</v>
      </c>
      <c r="D2169" s="2">
        <v>341</v>
      </c>
      <c r="E2169" s="2">
        <v>199</v>
      </c>
      <c r="F2169" s="2">
        <v>32441</v>
      </c>
      <c r="G2169" s="2">
        <v>5.2587129189999997</v>
      </c>
      <c r="H2169" s="3">
        <v>1.4100000000000001E-5</v>
      </c>
      <c r="I2169" s="2" t="s">
        <v>40909</v>
      </c>
      <c r="J2169" s="2" t="s">
        <v>40910</v>
      </c>
      <c r="K2169" s="2">
        <v>1.15448E-4</v>
      </c>
      <c r="L2169" s="2" t="s">
        <v>1178</v>
      </c>
      <c r="M2169" s="4" t="s">
        <v>33478</v>
      </c>
    </row>
    <row r="2170" spans="1:13">
      <c r="A2170" s="2">
        <v>2301</v>
      </c>
      <c r="B2170" s="2" t="s">
        <v>22223</v>
      </c>
      <c r="C2170" s="2">
        <v>11</v>
      </c>
      <c r="D2170" s="2">
        <v>341</v>
      </c>
      <c r="E2170" s="2">
        <v>200</v>
      </c>
      <c r="F2170" s="2">
        <v>32441</v>
      </c>
      <c r="G2170" s="2">
        <v>5.2324193550000002</v>
      </c>
      <c r="H2170" s="3">
        <v>1.47E-5</v>
      </c>
      <c r="I2170" s="2" t="s">
        <v>40911</v>
      </c>
      <c r="J2170" s="2" t="s">
        <v>40912</v>
      </c>
      <c r="K2170" s="2">
        <v>1.15448E-4</v>
      </c>
      <c r="L2170" s="2" t="s">
        <v>1178</v>
      </c>
      <c r="M2170" s="4" t="s">
        <v>22226</v>
      </c>
    </row>
    <row r="2171" spans="1:13">
      <c r="A2171" s="2">
        <v>24991</v>
      </c>
      <c r="B2171" s="2" t="s">
        <v>34206</v>
      </c>
      <c r="C2171" s="2">
        <v>10</v>
      </c>
      <c r="D2171" s="2">
        <v>341</v>
      </c>
      <c r="E2171" s="2">
        <v>162</v>
      </c>
      <c r="F2171" s="2">
        <v>32441</v>
      </c>
      <c r="G2171" s="2">
        <v>5.8725245279999996</v>
      </c>
      <c r="H2171" s="3">
        <v>1.4E-5</v>
      </c>
      <c r="I2171" s="2" t="s">
        <v>40913</v>
      </c>
      <c r="J2171" s="2" t="s">
        <v>40914</v>
      </c>
      <c r="K2171" s="2">
        <v>1.15448E-4</v>
      </c>
      <c r="L2171" s="2" t="s">
        <v>1178</v>
      </c>
      <c r="M2171" s="4" t="s">
        <v>34209</v>
      </c>
    </row>
    <row r="2172" spans="1:13">
      <c r="A2172" s="2">
        <v>2608</v>
      </c>
      <c r="B2172" s="2" t="s">
        <v>32050</v>
      </c>
      <c r="C2172" s="2">
        <v>11</v>
      </c>
      <c r="D2172" s="2">
        <v>341</v>
      </c>
      <c r="E2172" s="2">
        <v>200</v>
      </c>
      <c r="F2172" s="2">
        <v>32441</v>
      </c>
      <c r="G2172" s="2">
        <v>5.2324193550000002</v>
      </c>
      <c r="H2172" s="3">
        <v>1.47E-5</v>
      </c>
      <c r="I2172" s="2" t="s">
        <v>40915</v>
      </c>
      <c r="J2172" s="2" t="s">
        <v>40916</v>
      </c>
      <c r="K2172" s="2">
        <v>1.15448E-4</v>
      </c>
      <c r="L2172" s="2" t="s">
        <v>1178</v>
      </c>
      <c r="M2172" s="4" t="s">
        <v>32053</v>
      </c>
    </row>
    <row r="2173" spans="1:13">
      <c r="A2173" s="2">
        <v>2649</v>
      </c>
      <c r="B2173" s="2" t="s">
        <v>32062</v>
      </c>
      <c r="C2173" s="2">
        <v>11</v>
      </c>
      <c r="D2173" s="2">
        <v>341</v>
      </c>
      <c r="E2173" s="2">
        <v>200</v>
      </c>
      <c r="F2173" s="2">
        <v>32441</v>
      </c>
      <c r="G2173" s="2">
        <v>5.2324193550000002</v>
      </c>
      <c r="H2173" s="3">
        <v>1.47E-5</v>
      </c>
      <c r="I2173" s="2" t="s">
        <v>40917</v>
      </c>
      <c r="J2173" s="2" t="s">
        <v>40918</v>
      </c>
      <c r="K2173" s="2">
        <v>1.15448E-4</v>
      </c>
      <c r="L2173" s="2" t="s">
        <v>1178</v>
      </c>
      <c r="M2173" s="4" t="s">
        <v>32065</v>
      </c>
    </row>
    <row r="2174" spans="1:13">
      <c r="A2174" s="2">
        <v>2841</v>
      </c>
      <c r="B2174" s="2" t="s">
        <v>40919</v>
      </c>
      <c r="C2174" s="2">
        <v>11</v>
      </c>
      <c r="D2174" s="2">
        <v>341</v>
      </c>
      <c r="E2174" s="2">
        <v>200</v>
      </c>
      <c r="F2174" s="2">
        <v>32441</v>
      </c>
      <c r="G2174" s="2">
        <v>5.2324193550000002</v>
      </c>
      <c r="H2174" s="3">
        <v>1.47E-5</v>
      </c>
      <c r="I2174" s="2" t="s">
        <v>40920</v>
      </c>
      <c r="J2174" s="2" t="s">
        <v>40921</v>
      </c>
      <c r="K2174" s="2">
        <v>1.15448E-4</v>
      </c>
      <c r="L2174" s="2" t="s">
        <v>1178</v>
      </c>
      <c r="M2174" s="4" t="s">
        <v>40922</v>
      </c>
    </row>
    <row r="2175" spans="1:13">
      <c r="A2175" s="2">
        <v>28541</v>
      </c>
      <c r="B2175" s="2" t="s">
        <v>40923</v>
      </c>
      <c r="C2175" s="2">
        <v>11</v>
      </c>
      <c r="D2175" s="2">
        <v>341</v>
      </c>
      <c r="E2175" s="2">
        <v>200</v>
      </c>
      <c r="F2175" s="2">
        <v>32441</v>
      </c>
      <c r="G2175" s="2">
        <v>5.2324193550000002</v>
      </c>
      <c r="H2175" s="3">
        <v>1.47E-5</v>
      </c>
      <c r="I2175" s="2" t="s">
        <v>40924</v>
      </c>
      <c r="J2175" s="2" t="s">
        <v>40925</v>
      </c>
      <c r="K2175" s="2">
        <v>1.15448E-4</v>
      </c>
      <c r="L2175" s="2" t="s">
        <v>1178</v>
      </c>
      <c r="M2175" s="4" t="s">
        <v>40926</v>
      </c>
    </row>
    <row r="2176" spans="1:13">
      <c r="A2176" s="2">
        <v>2859</v>
      </c>
      <c r="B2176" s="2" t="s">
        <v>32887</v>
      </c>
      <c r="C2176" s="2">
        <v>11</v>
      </c>
      <c r="D2176" s="2">
        <v>341</v>
      </c>
      <c r="E2176" s="2">
        <v>200</v>
      </c>
      <c r="F2176" s="2">
        <v>32441</v>
      </c>
      <c r="G2176" s="2">
        <v>5.2324193550000002</v>
      </c>
      <c r="H2176" s="3">
        <v>1.47E-5</v>
      </c>
      <c r="I2176" s="2" t="s">
        <v>40927</v>
      </c>
      <c r="J2176" s="2" t="s">
        <v>40928</v>
      </c>
      <c r="K2176" s="2">
        <v>1.15448E-4</v>
      </c>
      <c r="L2176" s="2" t="s">
        <v>1178</v>
      </c>
      <c r="M2176" s="4" t="s">
        <v>32890</v>
      </c>
    </row>
    <row r="2177" spans="1:13">
      <c r="A2177" s="2">
        <v>28621</v>
      </c>
      <c r="B2177" s="2" t="s">
        <v>19913</v>
      </c>
      <c r="C2177" s="2">
        <v>11</v>
      </c>
      <c r="D2177" s="2">
        <v>341</v>
      </c>
      <c r="E2177" s="2">
        <v>200</v>
      </c>
      <c r="F2177" s="2">
        <v>32441</v>
      </c>
      <c r="G2177" s="2">
        <v>5.2324193550000002</v>
      </c>
      <c r="H2177" s="3">
        <v>1.47E-5</v>
      </c>
      <c r="I2177" s="2" t="s">
        <v>40929</v>
      </c>
      <c r="J2177" s="2" t="s">
        <v>40930</v>
      </c>
      <c r="K2177" s="2">
        <v>1.15448E-4</v>
      </c>
      <c r="L2177" s="2" t="s">
        <v>1178</v>
      </c>
      <c r="M2177" s="4" t="s">
        <v>19916</v>
      </c>
    </row>
    <row r="2178" spans="1:13">
      <c r="A2178" s="2">
        <v>2878</v>
      </c>
      <c r="B2178" s="2" t="s">
        <v>40931</v>
      </c>
      <c r="C2178" s="2">
        <v>11</v>
      </c>
      <c r="D2178" s="2">
        <v>341</v>
      </c>
      <c r="E2178" s="2">
        <v>200</v>
      </c>
      <c r="F2178" s="2">
        <v>32441</v>
      </c>
      <c r="G2178" s="2">
        <v>5.2324193550000002</v>
      </c>
      <c r="H2178" s="3">
        <v>1.47E-5</v>
      </c>
      <c r="I2178" s="2" t="s">
        <v>40932</v>
      </c>
      <c r="J2178" s="2" t="s">
        <v>40933</v>
      </c>
      <c r="K2178" s="2">
        <v>1.15448E-4</v>
      </c>
      <c r="L2178" s="2" t="s">
        <v>1178</v>
      </c>
      <c r="M2178" s="4" t="s">
        <v>40934</v>
      </c>
    </row>
    <row r="2179" spans="1:13">
      <c r="A2179" s="2">
        <v>31361</v>
      </c>
      <c r="B2179" s="2" t="s">
        <v>13568</v>
      </c>
      <c r="C2179" s="2">
        <v>11</v>
      </c>
      <c r="D2179" s="2">
        <v>341</v>
      </c>
      <c r="E2179" s="2">
        <v>200</v>
      </c>
      <c r="F2179" s="2">
        <v>32441</v>
      </c>
      <c r="G2179" s="2">
        <v>5.2324193550000002</v>
      </c>
      <c r="H2179" s="3">
        <v>1.47E-5</v>
      </c>
      <c r="I2179" s="2" t="s">
        <v>40935</v>
      </c>
      <c r="J2179" s="2" t="s">
        <v>40936</v>
      </c>
      <c r="K2179" s="2">
        <v>1.15448E-4</v>
      </c>
      <c r="L2179" s="2" t="s">
        <v>1178</v>
      </c>
      <c r="M2179" s="4" t="s">
        <v>13571</v>
      </c>
    </row>
    <row r="2180" spans="1:13">
      <c r="A2180" s="2">
        <v>3229</v>
      </c>
      <c r="B2180" s="2" t="s">
        <v>2628</v>
      </c>
      <c r="C2180" s="2">
        <v>11</v>
      </c>
      <c r="D2180" s="2">
        <v>341</v>
      </c>
      <c r="E2180" s="2">
        <v>200</v>
      </c>
      <c r="F2180" s="2">
        <v>32441</v>
      </c>
      <c r="G2180" s="2">
        <v>5.2324193550000002</v>
      </c>
      <c r="H2180" s="3">
        <v>1.47E-5</v>
      </c>
      <c r="I2180" s="2" t="s">
        <v>40937</v>
      </c>
      <c r="J2180" s="2" t="s">
        <v>40938</v>
      </c>
      <c r="K2180" s="2">
        <v>1.15448E-4</v>
      </c>
      <c r="L2180" s="2" t="s">
        <v>1178</v>
      </c>
      <c r="M2180" s="4" t="s">
        <v>19972</v>
      </c>
    </row>
    <row r="2181" spans="1:13">
      <c r="A2181" s="2">
        <v>3289</v>
      </c>
      <c r="B2181" s="2" t="s">
        <v>32447</v>
      </c>
      <c r="C2181" s="2">
        <v>11</v>
      </c>
      <c r="D2181" s="2">
        <v>341</v>
      </c>
      <c r="E2181" s="2">
        <v>200</v>
      </c>
      <c r="F2181" s="2">
        <v>32441</v>
      </c>
      <c r="G2181" s="2">
        <v>5.2324193550000002</v>
      </c>
      <c r="H2181" s="3">
        <v>1.47E-5</v>
      </c>
      <c r="I2181" s="2" t="s">
        <v>40939</v>
      </c>
      <c r="J2181" s="2" t="s">
        <v>40940</v>
      </c>
      <c r="K2181" s="2">
        <v>1.15448E-4</v>
      </c>
      <c r="L2181" s="2" t="s">
        <v>1178</v>
      </c>
      <c r="M2181" s="4" t="s">
        <v>32450</v>
      </c>
    </row>
    <row r="2182" spans="1:13">
      <c r="A2182" s="2">
        <v>3343</v>
      </c>
      <c r="B2182" s="2" t="s">
        <v>21207</v>
      </c>
      <c r="C2182" s="2">
        <v>11</v>
      </c>
      <c r="D2182" s="2">
        <v>341</v>
      </c>
      <c r="E2182" s="2">
        <v>200</v>
      </c>
      <c r="F2182" s="2">
        <v>32441</v>
      </c>
      <c r="G2182" s="2">
        <v>5.2324193550000002</v>
      </c>
      <c r="H2182" s="3">
        <v>1.47E-5</v>
      </c>
      <c r="I2182" s="2" t="s">
        <v>40941</v>
      </c>
      <c r="J2182" s="2" t="s">
        <v>40942</v>
      </c>
      <c r="K2182" s="2">
        <v>1.15448E-4</v>
      </c>
      <c r="L2182" s="2" t="s">
        <v>1178</v>
      </c>
      <c r="M2182" s="4" t="s">
        <v>21210</v>
      </c>
    </row>
    <row r="2183" spans="1:13">
      <c r="A2183" s="2">
        <v>3352</v>
      </c>
      <c r="B2183" s="2" t="s">
        <v>19985</v>
      </c>
      <c r="C2183" s="2">
        <v>11</v>
      </c>
      <c r="D2183" s="2">
        <v>341</v>
      </c>
      <c r="E2183" s="2">
        <v>200</v>
      </c>
      <c r="F2183" s="2">
        <v>32441</v>
      </c>
      <c r="G2183" s="2">
        <v>5.2324193550000002</v>
      </c>
      <c r="H2183" s="3">
        <v>1.47E-5</v>
      </c>
      <c r="I2183" s="2" t="s">
        <v>40943</v>
      </c>
      <c r="J2183" s="2" t="s">
        <v>40944</v>
      </c>
      <c r="K2183" s="2">
        <v>1.15448E-4</v>
      </c>
      <c r="L2183" s="2" t="s">
        <v>1178</v>
      </c>
      <c r="M2183" s="4" t="s">
        <v>19988</v>
      </c>
    </row>
    <row r="2184" spans="1:13">
      <c r="A2184" s="2">
        <v>3472</v>
      </c>
      <c r="B2184" s="2" t="s">
        <v>16021</v>
      </c>
      <c r="C2184" s="2">
        <v>11</v>
      </c>
      <c r="D2184" s="2">
        <v>341</v>
      </c>
      <c r="E2184" s="2">
        <v>200</v>
      </c>
      <c r="F2184" s="2">
        <v>32441</v>
      </c>
      <c r="G2184" s="2">
        <v>5.2324193550000002</v>
      </c>
      <c r="H2184" s="3">
        <v>1.47E-5</v>
      </c>
      <c r="I2184" s="2" t="s">
        <v>40945</v>
      </c>
      <c r="J2184" s="2" t="s">
        <v>40946</v>
      </c>
      <c r="K2184" s="2">
        <v>1.15448E-4</v>
      </c>
      <c r="L2184" s="2" t="s">
        <v>1178</v>
      </c>
      <c r="M2184" s="4" t="s">
        <v>16024</v>
      </c>
    </row>
    <row r="2185" spans="1:13">
      <c r="A2185" s="2">
        <v>3571</v>
      </c>
      <c r="B2185" s="2" t="s">
        <v>19085</v>
      </c>
      <c r="C2185" s="2">
        <v>11</v>
      </c>
      <c r="D2185" s="2">
        <v>341</v>
      </c>
      <c r="E2185" s="2">
        <v>200</v>
      </c>
      <c r="F2185" s="2">
        <v>32441</v>
      </c>
      <c r="G2185" s="2">
        <v>5.2324193550000002</v>
      </c>
      <c r="H2185" s="3">
        <v>1.47E-5</v>
      </c>
      <c r="I2185" s="2" t="s">
        <v>40947</v>
      </c>
      <c r="J2185" s="2" t="s">
        <v>40948</v>
      </c>
      <c r="K2185" s="2">
        <v>1.15448E-4</v>
      </c>
      <c r="L2185" s="2" t="s">
        <v>1178</v>
      </c>
      <c r="M2185" s="4" t="s">
        <v>19088</v>
      </c>
    </row>
    <row r="2186" spans="1:13">
      <c r="A2186" s="2">
        <v>3636</v>
      </c>
      <c r="B2186" s="2" t="s">
        <v>13338</v>
      </c>
      <c r="C2186" s="2">
        <v>11</v>
      </c>
      <c r="D2186" s="2">
        <v>341</v>
      </c>
      <c r="E2186" s="2">
        <v>200</v>
      </c>
      <c r="F2186" s="2">
        <v>32441</v>
      </c>
      <c r="G2186" s="2">
        <v>5.2324193550000002</v>
      </c>
      <c r="H2186" s="3">
        <v>1.47E-5</v>
      </c>
      <c r="I2186" s="2" t="s">
        <v>40949</v>
      </c>
      <c r="J2186" s="2" t="s">
        <v>40950</v>
      </c>
      <c r="K2186" s="2">
        <v>1.15448E-4</v>
      </c>
      <c r="L2186" s="2" t="s">
        <v>1178</v>
      </c>
      <c r="M2186" s="4" t="s">
        <v>13341</v>
      </c>
    </row>
    <row r="2187" spans="1:13">
      <c r="A2187" s="2">
        <v>4259</v>
      </c>
      <c r="B2187" s="2" t="s">
        <v>18439</v>
      </c>
      <c r="C2187" s="2">
        <v>9</v>
      </c>
      <c r="D2187" s="2">
        <v>341</v>
      </c>
      <c r="E2187" s="2">
        <v>128</v>
      </c>
      <c r="F2187" s="2">
        <v>32441</v>
      </c>
      <c r="G2187" s="2">
        <v>6.689172471</v>
      </c>
      <c r="H2187" s="3">
        <v>1.43E-5</v>
      </c>
      <c r="I2187" s="2" t="s">
        <v>40951</v>
      </c>
      <c r="J2187" s="2" t="s">
        <v>40952</v>
      </c>
      <c r="K2187" s="2">
        <v>1.15448E-4</v>
      </c>
      <c r="L2187" s="2" t="s">
        <v>1178</v>
      </c>
      <c r="M2187" s="4" t="s">
        <v>18442</v>
      </c>
    </row>
    <row r="2188" spans="1:13">
      <c r="A2188" s="2">
        <v>43851</v>
      </c>
      <c r="B2188" s="2" t="s">
        <v>16109</v>
      </c>
      <c r="C2188" s="2">
        <v>11</v>
      </c>
      <c r="D2188" s="2">
        <v>341</v>
      </c>
      <c r="E2188" s="2">
        <v>200</v>
      </c>
      <c r="F2188" s="2">
        <v>32441</v>
      </c>
      <c r="G2188" s="2">
        <v>5.2324193550000002</v>
      </c>
      <c r="H2188" s="3">
        <v>1.47E-5</v>
      </c>
      <c r="I2188" s="2" t="s">
        <v>40953</v>
      </c>
      <c r="J2188" s="2" t="s">
        <v>40954</v>
      </c>
      <c r="K2188" s="2">
        <v>1.15448E-4</v>
      </c>
      <c r="L2188" s="2" t="s">
        <v>1178</v>
      </c>
      <c r="M2188" s="4" t="s">
        <v>16112</v>
      </c>
    </row>
    <row r="2189" spans="1:13">
      <c r="A2189" s="2">
        <v>4462</v>
      </c>
      <c r="B2189" s="2" t="s">
        <v>40955</v>
      </c>
      <c r="C2189" s="2">
        <v>11</v>
      </c>
      <c r="D2189" s="2">
        <v>341</v>
      </c>
      <c r="E2189" s="2">
        <v>200</v>
      </c>
      <c r="F2189" s="2">
        <v>32441</v>
      </c>
      <c r="G2189" s="2">
        <v>5.2324193550000002</v>
      </c>
      <c r="H2189" s="3">
        <v>1.47E-5</v>
      </c>
      <c r="I2189" s="2" t="s">
        <v>40956</v>
      </c>
      <c r="J2189" s="2" t="s">
        <v>40957</v>
      </c>
      <c r="K2189" s="2">
        <v>1.15448E-4</v>
      </c>
      <c r="L2189" s="2" t="s">
        <v>1178</v>
      </c>
      <c r="M2189" s="4" t="s">
        <v>40958</v>
      </c>
    </row>
    <row r="2190" spans="1:13">
      <c r="A2190" s="2">
        <v>4487</v>
      </c>
      <c r="B2190" s="2" t="s">
        <v>40959</v>
      </c>
      <c r="C2190" s="2">
        <v>11</v>
      </c>
      <c r="D2190" s="2">
        <v>341</v>
      </c>
      <c r="E2190" s="2">
        <v>200</v>
      </c>
      <c r="F2190" s="2">
        <v>32441</v>
      </c>
      <c r="G2190" s="2">
        <v>5.2324193550000002</v>
      </c>
      <c r="H2190" s="3">
        <v>1.47E-5</v>
      </c>
      <c r="I2190" s="2" t="s">
        <v>40960</v>
      </c>
      <c r="J2190" s="2" t="s">
        <v>40961</v>
      </c>
      <c r="K2190" s="2">
        <v>1.15448E-4</v>
      </c>
      <c r="L2190" s="2" t="s">
        <v>1178</v>
      </c>
      <c r="M2190" s="4" t="s">
        <v>40962</v>
      </c>
    </row>
    <row r="2191" spans="1:13">
      <c r="A2191" s="2">
        <v>4747</v>
      </c>
      <c r="B2191" s="2" t="s">
        <v>3521</v>
      </c>
      <c r="C2191" s="2">
        <v>11</v>
      </c>
      <c r="D2191" s="2">
        <v>341</v>
      </c>
      <c r="E2191" s="2">
        <v>200</v>
      </c>
      <c r="F2191" s="2">
        <v>32441</v>
      </c>
      <c r="G2191" s="2">
        <v>5.2324193550000002</v>
      </c>
      <c r="H2191" s="3">
        <v>1.47E-5</v>
      </c>
      <c r="I2191" s="2" t="s">
        <v>40963</v>
      </c>
      <c r="J2191" s="2" t="s">
        <v>40964</v>
      </c>
      <c r="K2191" s="2">
        <v>1.15448E-4</v>
      </c>
      <c r="L2191" s="2" t="s">
        <v>1178</v>
      </c>
      <c r="M2191" s="4" t="s">
        <v>3524</v>
      </c>
    </row>
    <row r="2192" spans="1:13">
      <c r="A2192" s="2">
        <v>4753</v>
      </c>
      <c r="B2192" s="2" t="s">
        <v>1530</v>
      </c>
      <c r="C2192" s="2">
        <v>11</v>
      </c>
      <c r="D2192" s="2">
        <v>341</v>
      </c>
      <c r="E2192" s="2">
        <v>200</v>
      </c>
      <c r="F2192" s="2">
        <v>32441</v>
      </c>
      <c r="G2192" s="2">
        <v>5.2324193550000002</v>
      </c>
      <c r="H2192" s="3">
        <v>1.47E-5</v>
      </c>
      <c r="I2192" s="2" t="s">
        <v>40965</v>
      </c>
      <c r="J2192" s="2" t="s">
        <v>40966</v>
      </c>
      <c r="K2192" s="2">
        <v>1.15448E-4</v>
      </c>
      <c r="L2192" s="2" t="s">
        <v>1178</v>
      </c>
      <c r="M2192" s="4" t="s">
        <v>24073</v>
      </c>
    </row>
    <row r="2193" spans="1:13">
      <c r="A2193" s="2">
        <v>4756</v>
      </c>
      <c r="B2193" s="2" t="s">
        <v>40967</v>
      </c>
      <c r="C2193" s="2">
        <v>11</v>
      </c>
      <c r="D2193" s="2">
        <v>341</v>
      </c>
      <c r="E2193" s="2">
        <v>200</v>
      </c>
      <c r="F2193" s="2">
        <v>32441</v>
      </c>
      <c r="G2193" s="2">
        <v>5.2324193550000002</v>
      </c>
      <c r="H2193" s="3">
        <v>1.47E-5</v>
      </c>
      <c r="I2193" s="2" t="s">
        <v>40968</v>
      </c>
      <c r="J2193" s="2" t="s">
        <v>40969</v>
      </c>
      <c r="K2193" s="2">
        <v>1.15448E-4</v>
      </c>
      <c r="L2193" s="2" t="s">
        <v>1178</v>
      </c>
      <c r="M2193" s="4" t="s">
        <v>40970</v>
      </c>
    </row>
    <row r="2194" spans="1:13">
      <c r="A2194" s="2">
        <v>4835</v>
      </c>
      <c r="B2194" s="2" t="s">
        <v>24093</v>
      </c>
      <c r="C2194" s="2">
        <v>11</v>
      </c>
      <c r="D2194" s="2">
        <v>341</v>
      </c>
      <c r="E2194" s="2">
        <v>198</v>
      </c>
      <c r="F2194" s="2">
        <v>32441</v>
      </c>
      <c r="G2194" s="2">
        <v>5.285272076</v>
      </c>
      <c r="H2194" s="3">
        <v>1.34E-5</v>
      </c>
      <c r="I2194" s="2" t="s">
        <v>40971</v>
      </c>
      <c r="J2194" s="2" t="s">
        <v>40972</v>
      </c>
      <c r="K2194" s="2">
        <v>1.15448E-4</v>
      </c>
      <c r="L2194" s="2" t="s">
        <v>1178</v>
      </c>
      <c r="M2194" s="4" t="s">
        <v>24096</v>
      </c>
    </row>
    <row r="2195" spans="1:13">
      <c r="A2195" s="2">
        <v>4843</v>
      </c>
      <c r="B2195" s="2" t="s">
        <v>31325</v>
      </c>
      <c r="C2195" s="2">
        <v>11</v>
      </c>
      <c r="D2195" s="2">
        <v>341</v>
      </c>
      <c r="E2195" s="2">
        <v>200</v>
      </c>
      <c r="F2195" s="2">
        <v>32441</v>
      </c>
      <c r="G2195" s="2">
        <v>5.2324193550000002</v>
      </c>
      <c r="H2195" s="3">
        <v>1.47E-5</v>
      </c>
      <c r="I2195" s="2" t="s">
        <v>40973</v>
      </c>
      <c r="J2195" s="2" t="s">
        <v>40974</v>
      </c>
      <c r="K2195" s="2">
        <v>1.15448E-4</v>
      </c>
      <c r="L2195" s="2" t="s">
        <v>1178</v>
      </c>
      <c r="M2195" s="4" t="s">
        <v>31328</v>
      </c>
    </row>
    <row r="2196" spans="1:13">
      <c r="A2196" s="2">
        <v>2451</v>
      </c>
      <c r="B2196" s="2" t="s">
        <v>2301</v>
      </c>
      <c r="C2196" s="2">
        <v>10</v>
      </c>
      <c r="D2196" s="2">
        <v>341</v>
      </c>
      <c r="E2196" s="2">
        <v>181</v>
      </c>
      <c r="F2196" s="2">
        <v>32441</v>
      </c>
      <c r="G2196" s="2">
        <v>5.2560716770000004</v>
      </c>
      <c r="H2196" s="3">
        <v>3.4600000000000001E-5</v>
      </c>
      <c r="I2196" s="2" t="s">
        <v>40975</v>
      </c>
      <c r="J2196" s="2" t="s">
        <v>40976</v>
      </c>
      <c r="K2196" s="2">
        <v>2.7142799999999999E-4</v>
      </c>
      <c r="L2196" s="2" t="s">
        <v>1178</v>
      </c>
      <c r="M2196" s="4" t="s">
        <v>40977</v>
      </c>
    </row>
    <row r="2197" spans="1:13">
      <c r="A2197" s="2">
        <v>2569</v>
      </c>
      <c r="B2197" s="2" t="s">
        <v>2757</v>
      </c>
      <c r="C2197" s="2">
        <v>9</v>
      </c>
      <c r="D2197" s="2">
        <v>341</v>
      </c>
      <c r="E2197" s="2">
        <v>146</v>
      </c>
      <c r="F2197" s="2">
        <v>32441</v>
      </c>
      <c r="G2197" s="2">
        <v>5.864479974</v>
      </c>
      <c r="H2197" s="3">
        <v>3.8099999999999998E-5</v>
      </c>
      <c r="I2197" s="2" t="s">
        <v>40978</v>
      </c>
      <c r="J2197" s="2" t="s">
        <v>40979</v>
      </c>
      <c r="K2197" s="2">
        <v>2.9853600000000002E-4</v>
      </c>
      <c r="L2197" s="2" t="s">
        <v>1178</v>
      </c>
      <c r="M2197" s="4" t="s">
        <v>40980</v>
      </c>
    </row>
    <row r="2198" spans="1:13">
      <c r="A2198" s="2">
        <v>2810</v>
      </c>
      <c r="B2198" s="2" t="s">
        <v>14656</v>
      </c>
      <c r="C2198" s="2">
        <v>9</v>
      </c>
      <c r="D2198" s="2">
        <v>341</v>
      </c>
      <c r="E2198" s="2">
        <v>149</v>
      </c>
      <c r="F2198" s="2">
        <v>32441</v>
      </c>
      <c r="G2198" s="2">
        <v>5.7464031960000002</v>
      </c>
      <c r="H2198" s="3">
        <v>4.4299999999999999E-5</v>
      </c>
      <c r="I2198" s="2" t="s">
        <v>40981</v>
      </c>
      <c r="J2198" s="2" t="s">
        <v>40982</v>
      </c>
      <c r="K2198" s="2">
        <v>3.4627200000000001E-4</v>
      </c>
      <c r="L2198" s="2" t="s">
        <v>1178</v>
      </c>
      <c r="M2198" s="4" t="s">
        <v>14659</v>
      </c>
    </row>
    <row r="2199" spans="1:13">
      <c r="A2199" s="2">
        <v>42701</v>
      </c>
      <c r="B2199" s="2" t="s">
        <v>40983</v>
      </c>
      <c r="C2199" s="2">
        <v>8</v>
      </c>
      <c r="D2199" s="2">
        <v>341</v>
      </c>
      <c r="E2199" s="2">
        <v>117</v>
      </c>
      <c r="F2199" s="2">
        <v>32441</v>
      </c>
      <c r="G2199" s="2">
        <v>6.504950247</v>
      </c>
      <c r="H2199" s="3">
        <v>5.1700000000000003E-5</v>
      </c>
      <c r="I2199" s="2" t="s">
        <v>40984</v>
      </c>
      <c r="J2199" s="2" t="s">
        <v>40985</v>
      </c>
      <c r="K2199" s="2">
        <v>4.03562E-4</v>
      </c>
      <c r="L2199" s="2" t="s">
        <v>1178</v>
      </c>
      <c r="M2199" s="4" t="s">
        <v>40986</v>
      </c>
    </row>
    <row r="2200" spans="1:13">
      <c r="A2200" s="2">
        <v>4101</v>
      </c>
      <c r="B2200" s="2" t="s">
        <v>21536</v>
      </c>
      <c r="C2200" s="2">
        <v>8</v>
      </c>
      <c r="D2200" s="2">
        <v>341</v>
      </c>
      <c r="E2200" s="2">
        <v>118</v>
      </c>
      <c r="F2200" s="2">
        <v>32441</v>
      </c>
      <c r="G2200" s="2">
        <v>6.4498235499999996</v>
      </c>
      <c r="H2200" s="3">
        <v>5.4700000000000001E-5</v>
      </c>
      <c r="I2200" s="2" t="s">
        <v>40987</v>
      </c>
      <c r="J2200" s="2" t="s">
        <v>40988</v>
      </c>
      <c r="K2200" s="2">
        <v>4.2639199999999999E-4</v>
      </c>
      <c r="L2200" s="2" t="s">
        <v>1178</v>
      </c>
      <c r="M2200" s="4" t="s">
        <v>21539</v>
      </c>
    </row>
    <row r="2201" spans="1:13">
      <c r="A2201" s="2">
        <v>32021</v>
      </c>
      <c r="B2201" s="2" t="s">
        <v>32439</v>
      </c>
      <c r="C2201" s="2">
        <v>10</v>
      </c>
      <c r="D2201" s="2">
        <v>341</v>
      </c>
      <c r="E2201" s="2">
        <v>197</v>
      </c>
      <c r="F2201" s="2">
        <v>32441</v>
      </c>
      <c r="G2201" s="2">
        <v>4.8291826069999999</v>
      </c>
      <c r="H2201" s="3">
        <v>6.8100000000000002E-5</v>
      </c>
      <c r="I2201" s="2" t="s">
        <v>40989</v>
      </c>
      <c r="J2201" s="2" t="s">
        <v>40990</v>
      </c>
      <c r="K2201" s="2">
        <v>5.3009200000000002E-4</v>
      </c>
      <c r="L2201" s="2" t="s">
        <v>1178</v>
      </c>
      <c r="M2201" s="4" t="s">
        <v>32442</v>
      </c>
    </row>
    <row r="2202" spans="1:13">
      <c r="A2202" s="2">
        <v>15</v>
      </c>
      <c r="B2202" s="2" t="s">
        <v>16920</v>
      </c>
      <c r="C2202" s="2">
        <v>10</v>
      </c>
      <c r="D2202" s="2">
        <v>341</v>
      </c>
      <c r="E2202" s="2">
        <v>200</v>
      </c>
      <c r="F2202" s="2">
        <v>32441</v>
      </c>
      <c r="G2202" s="2">
        <v>4.7567448680000002</v>
      </c>
      <c r="H2202" s="3">
        <v>7.6799999999999997E-5</v>
      </c>
      <c r="I2202" s="2" t="s">
        <v>40991</v>
      </c>
      <c r="J2202" s="2" t="s">
        <v>40992</v>
      </c>
      <c r="K2202" s="2">
        <v>5.3820799999999998E-4</v>
      </c>
      <c r="L2202" s="2" t="s">
        <v>1178</v>
      </c>
      <c r="M2202" s="4" t="s">
        <v>16923</v>
      </c>
    </row>
    <row r="2203" spans="1:13">
      <c r="A2203" s="2">
        <v>522</v>
      </c>
      <c r="B2203" s="2" t="s">
        <v>16255</v>
      </c>
      <c r="C2203" s="2">
        <v>10</v>
      </c>
      <c r="D2203" s="2">
        <v>341</v>
      </c>
      <c r="E2203" s="2">
        <v>200</v>
      </c>
      <c r="F2203" s="2">
        <v>32441</v>
      </c>
      <c r="G2203" s="2">
        <v>4.7567448680000002</v>
      </c>
      <c r="H2203" s="3">
        <v>7.6799999999999997E-5</v>
      </c>
      <c r="I2203" s="2" t="s">
        <v>40993</v>
      </c>
      <c r="J2203" s="2" t="s">
        <v>40994</v>
      </c>
      <c r="K2203" s="2">
        <v>5.3820799999999998E-4</v>
      </c>
      <c r="L2203" s="2" t="s">
        <v>1178</v>
      </c>
      <c r="M2203" s="4" t="s">
        <v>16258</v>
      </c>
    </row>
    <row r="2204" spans="1:13">
      <c r="A2204" s="2">
        <v>981</v>
      </c>
      <c r="B2204" s="2" t="s">
        <v>40995</v>
      </c>
      <c r="C2204" s="2">
        <v>10</v>
      </c>
      <c r="D2204" s="2">
        <v>341</v>
      </c>
      <c r="E2204" s="2">
        <v>200</v>
      </c>
      <c r="F2204" s="2">
        <v>32441</v>
      </c>
      <c r="G2204" s="2">
        <v>4.7567448680000002</v>
      </c>
      <c r="H2204" s="3">
        <v>7.6799999999999997E-5</v>
      </c>
      <c r="I2204" s="2" t="s">
        <v>40996</v>
      </c>
      <c r="J2204" s="2" t="s">
        <v>40997</v>
      </c>
      <c r="K2204" s="2">
        <v>5.3820799999999998E-4</v>
      </c>
      <c r="L2204" s="2" t="s">
        <v>1178</v>
      </c>
      <c r="M2204" s="4" t="s">
        <v>40998</v>
      </c>
    </row>
    <row r="2205" spans="1:13">
      <c r="A2205" s="2">
        <v>120</v>
      </c>
      <c r="B2205" s="2" t="s">
        <v>20437</v>
      </c>
      <c r="C2205" s="2">
        <v>10</v>
      </c>
      <c r="D2205" s="2">
        <v>341</v>
      </c>
      <c r="E2205" s="2">
        <v>200</v>
      </c>
      <c r="F2205" s="2">
        <v>32441</v>
      </c>
      <c r="G2205" s="2">
        <v>4.7567448680000002</v>
      </c>
      <c r="H2205" s="3">
        <v>7.6799999999999997E-5</v>
      </c>
      <c r="I2205" s="2" t="s">
        <v>40999</v>
      </c>
      <c r="J2205" s="2" t="s">
        <v>41000</v>
      </c>
      <c r="K2205" s="2">
        <v>5.3820799999999998E-4</v>
      </c>
      <c r="L2205" s="2" t="s">
        <v>1178</v>
      </c>
      <c r="M2205" s="4" t="s">
        <v>20440</v>
      </c>
    </row>
    <row r="2206" spans="1:13">
      <c r="A2206" s="2">
        <v>1361</v>
      </c>
      <c r="B2206" s="2" t="s">
        <v>41001</v>
      </c>
      <c r="C2206" s="2">
        <v>10</v>
      </c>
      <c r="D2206" s="2">
        <v>341</v>
      </c>
      <c r="E2206" s="2">
        <v>200</v>
      </c>
      <c r="F2206" s="2">
        <v>32441</v>
      </c>
      <c r="G2206" s="2">
        <v>4.7567448680000002</v>
      </c>
      <c r="H2206" s="3">
        <v>7.6799999999999997E-5</v>
      </c>
      <c r="I2206" s="2" t="s">
        <v>41002</v>
      </c>
      <c r="J2206" s="2" t="s">
        <v>41003</v>
      </c>
      <c r="K2206" s="2">
        <v>5.3820799999999998E-4</v>
      </c>
      <c r="L2206" s="2" t="s">
        <v>1178</v>
      </c>
      <c r="M2206" s="4" t="s">
        <v>41004</v>
      </c>
    </row>
    <row r="2207" spans="1:13">
      <c r="A2207" s="2">
        <v>1461</v>
      </c>
      <c r="B2207" s="2" t="s">
        <v>22880</v>
      </c>
      <c r="C2207" s="2">
        <v>10</v>
      </c>
      <c r="D2207" s="2">
        <v>341</v>
      </c>
      <c r="E2207" s="2">
        <v>200</v>
      </c>
      <c r="F2207" s="2">
        <v>32441</v>
      </c>
      <c r="G2207" s="2">
        <v>4.7567448680000002</v>
      </c>
      <c r="H2207" s="3">
        <v>7.6799999999999997E-5</v>
      </c>
      <c r="I2207" s="2" t="s">
        <v>41005</v>
      </c>
      <c r="J2207" s="2" t="s">
        <v>41006</v>
      </c>
      <c r="K2207" s="2">
        <v>5.3820799999999998E-4</v>
      </c>
      <c r="L2207" s="2" t="s">
        <v>1178</v>
      </c>
      <c r="M2207" s="4" t="s">
        <v>22883</v>
      </c>
    </row>
    <row r="2208" spans="1:13">
      <c r="A2208" s="2">
        <v>286</v>
      </c>
      <c r="B2208" s="2" t="s">
        <v>41007</v>
      </c>
      <c r="C2208" s="2">
        <v>10</v>
      </c>
      <c r="D2208" s="2">
        <v>341</v>
      </c>
      <c r="E2208" s="2">
        <v>200</v>
      </c>
      <c r="F2208" s="2">
        <v>32441</v>
      </c>
      <c r="G2208" s="2">
        <v>4.7567448680000002</v>
      </c>
      <c r="H2208" s="3">
        <v>7.6799999999999997E-5</v>
      </c>
      <c r="I2208" s="2" t="s">
        <v>41008</v>
      </c>
      <c r="J2208" s="2" t="s">
        <v>41009</v>
      </c>
      <c r="K2208" s="2">
        <v>5.3820799999999998E-4</v>
      </c>
      <c r="L2208" s="2" t="s">
        <v>1178</v>
      </c>
      <c r="M2208" s="4" t="s">
        <v>41010</v>
      </c>
    </row>
    <row r="2209" spans="1:13">
      <c r="A2209" s="2">
        <v>356</v>
      </c>
      <c r="B2209" s="2" t="s">
        <v>18533</v>
      </c>
      <c r="C2209" s="2">
        <v>10</v>
      </c>
      <c r="D2209" s="2">
        <v>341</v>
      </c>
      <c r="E2209" s="2">
        <v>200</v>
      </c>
      <c r="F2209" s="2">
        <v>32441</v>
      </c>
      <c r="G2209" s="2">
        <v>4.7567448680000002</v>
      </c>
      <c r="H2209" s="3">
        <v>7.6799999999999997E-5</v>
      </c>
      <c r="I2209" s="2" t="s">
        <v>41011</v>
      </c>
      <c r="J2209" s="2" t="s">
        <v>41012</v>
      </c>
      <c r="K2209" s="2">
        <v>5.3820799999999998E-4</v>
      </c>
      <c r="L2209" s="2" t="s">
        <v>1178</v>
      </c>
      <c r="M2209" s="4" t="s">
        <v>18536</v>
      </c>
    </row>
    <row r="2210" spans="1:13">
      <c r="A2210" s="2">
        <v>367</v>
      </c>
      <c r="B2210" s="2" t="s">
        <v>41013</v>
      </c>
      <c r="C2210" s="2">
        <v>10</v>
      </c>
      <c r="D2210" s="2">
        <v>341</v>
      </c>
      <c r="E2210" s="2">
        <v>200</v>
      </c>
      <c r="F2210" s="2">
        <v>32441</v>
      </c>
      <c r="G2210" s="2">
        <v>4.7567448680000002</v>
      </c>
      <c r="H2210" s="3">
        <v>7.6799999999999997E-5</v>
      </c>
      <c r="I2210" s="2" t="s">
        <v>41014</v>
      </c>
      <c r="J2210" s="2" t="s">
        <v>41015</v>
      </c>
      <c r="K2210" s="2">
        <v>5.3820799999999998E-4</v>
      </c>
      <c r="L2210" s="2" t="s">
        <v>1178</v>
      </c>
      <c r="M2210" s="4" t="s">
        <v>41016</v>
      </c>
    </row>
    <row r="2211" spans="1:13">
      <c r="A2211" s="2">
        <v>411</v>
      </c>
      <c r="B2211" s="2" t="s">
        <v>19496</v>
      </c>
      <c r="C2211" s="2">
        <v>10</v>
      </c>
      <c r="D2211" s="2">
        <v>341</v>
      </c>
      <c r="E2211" s="2">
        <v>200</v>
      </c>
      <c r="F2211" s="2">
        <v>32441</v>
      </c>
      <c r="G2211" s="2">
        <v>4.7567448680000002</v>
      </c>
      <c r="H2211" s="3">
        <v>7.6799999999999997E-5</v>
      </c>
      <c r="I2211" s="2" t="s">
        <v>41017</v>
      </c>
      <c r="J2211" s="2" t="s">
        <v>41018</v>
      </c>
      <c r="K2211" s="2">
        <v>5.3820799999999998E-4</v>
      </c>
      <c r="L2211" s="2" t="s">
        <v>1178</v>
      </c>
      <c r="M2211" s="4" t="s">
        <v>19499</v>
      </c>
    </row>
    <row r="2212" spans="1:13">
      <c r="A2212" s="2">
        <v>4511</v>
      </c>
      <c r="B2212" s="2" t="s">
        <v>41019</v>
      </c>
      <c r="C2212" s="2">
        <v>10</v>
      </c>
      <c r="D2212" s="2">
        <v>341</v>
      </c>
      <c r="E2212" s="2">
        <v>200</v>
      </c>
      <c r="F2212" s="2">
        <v>32441</v>
      </c>
      <c r="G2212" s="2">
        <v>4.7567448680000002</v>
      </c>
      <c r="H2212" s="3">
        <v>7.6799999999999997E-5</v>
      </c>
      <c r="I2212" s="2" t="s">
        <v>41020</v>
      </c>
      <c r="J2212" s="2" t="s">
        <v>41021</v>
      </c>
      <c r="K2212" s="2">
        <v>5.3820799999999998E-4</v>
      </c>
      <c r="L2212" s="2" t="s">
        <v>1178</v>
      </c>
      <c r="M2212" s="4" t="s">
        <v>41022</v>
      </c>
    </row>
    <row r="2213" spans="1:13">
      <c r="A2213" s="2">
        <v>507</v>
      </c>
      <c r="B2213" s="2" t="s">
        <v>2049</v>
      </c>
      <c r="C2213" s="2">
        <v>10</v>
      </c>
      <c r="D2213" s="2">
        <v>341</v>
      </c>
      <c r="E2213" s="2">
        <v>200</v>
      </c>
      <c r="F2213" s="2">
        <v>32441</v>
      </c>
      <c r="G2213" s="2">
        <v>4.7567448680000002</v>
      </c>
      <c r="H2213" s="3">
        <v>7.6799999999999997E-5</v>
      </c>
      <c r="I2213" s="2" t="s">
        <v>41023</v>
      </c>
      <c r="J2213" s="2" t="s">
        <v>41024</v>
      </c>
      <c r="K2213" s="2">
        <v>5.3820799999999998E-4</v>
      </c>
      <c r="L2213" s="2" t="s">
        <v>1178</v>
      </c>
      <c r="M2213" s="4" t="s">
        <v>41025</v>
      </c>
    </row>
    <row r="2214" spans="1:13">
      <c r="A2214" s="2">
        <v>5492</v>
      </c>
      <c r="B2214" s="2" t="s">
        <v>16308</v>
      </c>
      <c r="C2214" s="2">
        <v>10</v>
      </c>
      <c r="D2214" s="2">
        <v>341</v>
      </c>
      <c r="E2214" s="2">
        <v>200</v>
      </c>
      <c r="F2214" s="2">
        <v>32441</v>
      </c>
      <c r="G2214" s="2">
        <v>4.7567448680000002</v>
      </c>
      <c r="H2214" s="3">
        <v>7.6799999999999997E-5</v>
      </c>
      <c r="I2214" s="2" t="s">
        <v>41026</v>
      </c>
      <c r="J2214" s="2" t="s">
        <v>41027</v>
      </c>
      <c r="K2214" s="2">
        <v>5.3820799999999998E-4</v>
      </c>
      <c r="L2214" s="2" t="s">
        <v>1178</v>
      </c>
      <c r="M2214" s="4" t="s">
        <v>16311</v>
      </c>
    </row>
    <row r="2215" spans="1:13">
      <c r="A2215" s="2">
        <v>668</v>
      </c>
      <c r="B2215" s="2" t="s">
        <v>41028</v>
      </c>
      <c r="C2215" s="2">
        <v>10</v>
      </c>
      <c r="D2215" s="2">
        <v>341</v>
      </c>
      <c r="E2215" s="2">
        <v>200</v>
      </c>
      <c r="F2215" s="2">
        <v>32441</v>
      </c>
      <c r="G2215" s="2">
        <v>4.7567448680000002</v>
      </c>
      <c r="H2215" s="3">
        <v>7.6799999999999997E-5</v>
      </c>
      <c r="I2215" s="2" t="s">
        <v>41029</v>
      </c>
      <c r="J2215" s="2" t="s">
        <v>41030</v>
      </c>
      <c r="K2215" s="2">
        <v>5.3820799999999998E-4</v>
      </c>
      <c r="L2215" s="2" t="s">
        <v>1178</v>
      </c>
      <c r="M2215" s="4" t="s">
        <v>41031</v>
      </c>
    </row>
    <row r="2216" spans="1:13">
      <c r="A2216" s="2">
        <v>7061</v>
      </c>
      <c r="B2216" s="2" t="s">
        <v>17826</v>
      </c>
      <c r="C2216" s="2">
        <v>10</v>
      </c>
      <c r="D2216" s="2">
        <v>341</v>
      </c>
      <c r="E2216" s="2">
        <v>200</v>
      </c>
      <c r="F2216" s="2">
        <v>32441</v>
      </c>
      <c r="G2216" s="2">
        <v>4.7567448680000002</v>
      </c>
      <c r="H2216" s="3">
        <v>7.6799999999999997E-5</v>
      </c>
      <c r="I2216" s="2" t="s">
        <v>41032</v>
      </c>
      <c r="J2216" s="2" t="s">
        <v>41033</v>
      </c>
      <c r="K2216" s="2">
        <v>5.3820799999999998E-4</v>
      </c>
      <c r="L2216" s="2" t="s">
        <v>1178</v>
      </c>
      <c r="M2216" s="4" t="s">
        <v>17829</v>
      </c>
    </row>
    <row r="2217" spans="1:13">
      <c r="A2217" s="2">
        <v>707</v>
      </c>
      <c r="B2217" s="2" t="s">
        <v>1470</v>
      </c>
      <c r="C2217" s="2">
        <v>10</v>
      </c>
      <c r="D2217" s="2">
        <v>341</v>
      </c>
      <c r="E2217" s="2">
        <v>199</v>
      </c>
      <c r="F2217" s="2">
        <v>32441</v>
      </c>
      <c r="G2217" s="2">
        <v>4.7806481090000004</v>
      </c>
      <c r="H2217" s="3">
        <v>7.3800000000000005E-5</v>
      </c>
      <c r="I2217" s="2" t="s">
        <v>41034</v>
      </c>
      <c r="J2217" s="2" t="s">
        <v>41035</v>
      </c>
      <c r="K2217" s="2">
        <v>5.3820799999999998E-4</v>
      </c>
      <c r="L2217" s="2" t="s">
        <v>1178</v>
      </c>
      <c r="M2217" s="4" t="s">
        <v>19593</v>
      </c>
    </row>
    <row r="2218" spans="1:13">
      <c r="A2218" s="2">
        <v>7761</v>
      </c>
      <c r="B2218" s="2" t="s">
        <v>1854</v>
      </c>
      <c r="C2218" s="2">
        <v>10</v>
      </c>
      <c r="D2218" s="2">
        <v>341</v>
      </c>
      <c r="E2218" s="2">
        <v>200</v>
      </c>
      <c r="F2218" s="2">
        <v>32441</v>
      </c>
      <c r="G2218" s="2">
        <v>4.7567448680000002</v>
      </c>
      <c r="H2218" s="3">
        <v>7.6799999999999997E-5</v>
      </c>
      <c r="I2218" s="2" t="s">
        <v>41036</v>
      </c>
      <c r="J2218" s="2" t="s">
        <v>41037</v>
      </c>
      <c r="K2218" s="2">
        <v>5.3820799999999998E-4</v>
      </c>
      <c r="L2218" s="2" t="s">
        <v>1178</v>
      </c>
      <c r="M2218" s="4" t="s">
        <v>41038</v>
      </c>
    </row>
    <row r="2219" spans="1:13">
      <c r="A2219" s="2">
        <v>837</v>
      </c>
      <c r="B2219" s="2" t="s">
        <v>23161</v>
      </c>
      <c r="C2219" s="2">
        <v>10</v>
      </c>
      <c r="D2219" s="2">
        <v>341</v>
      </c>
      <c r="E2219" s="2">
        <v>200</v>
      </c>
      <c r="F2219" s="2">
        <v>32441</v>
      </c>
      <c r="G2219" s="2">
        <v>4.7567448680000002</v>
      </c>
      <c r="H2219" s="3">
        <v>7.6799999999999997E-5</v>
      </c>
      <c r="I2219" s="2" t="s">
        <v>41039</v>
      </c>
      <c r="J2219" s="2" t="s">
        <v>41040</v>
      </c>
      <c r="K2219" s="2">
        <v>5.3820799999999998E-4</v>
      </c>
      <c r="L2219" s="2" t="s">
        <v>1178</v>
      </c>
      <c r="M2219" s="4" t="s">
        <v>23164</v>
      </c>
    </row>
    <row r="2220" spans="1:13">
      <c r="A2220" s="2">
        <v>916</v>
      </c>
      <c r="B2220" s="2" t="s">
        <v>33966</v>
      </c>
      <c r="C2220" s="2">
        <v>10</v>
      </c>
      <c r="D2220" s="2">
        <v>341</v>
      </c>
      <c r="E2220" s="2">
        <v>199</v>
      </c>
      <c r="F2220" s="2">
        <v>32441</v>
      </c>
      <c r="G2220" s="2">
        <v>4.7806481090000004</v>
      </c>
      <c r="H2220" s="3">
        <v>7.3800000000000005E-5</v>
      </c>
      <c r="I2220" s="2" t="s">
        <v>41041</v>
      </c>
      <c r="J2220" s="2" t="s">
        <v>41042</v>
      </c>
      <c r="K2220" s="2">
        <v>5.3820799999999998E-4</v>
      </c>
      <c r="L2220" s="2" t="s">
        <v>1178</v>
      </c>
      <c r="M2220" s="4" t="s">
        <v>33969</v>
      </c>
    </row>
    <row r="2221" spans="1:13">
      <c r="A2221" s="2">
        <v>9581</v>
      </c>
      <c r="B2221" s="2" t="s">
        <v>41043</v>
      </c>
      <c r="C2221" s="2">
        <v>10</v>
      </c>
      <c r="D2221" s="2">
        <v>341</v>
      </c>
      <c r="E2221" s="2">
        <v>200</v>
      </c>
      <c r="F2221" s="2">
        <v>32441</v>
      </c>
      <c r="G2221" s="2">
        <v>4.7567448680000002</v>
      </c>
      <c r="H2221" s="3">
        <v>7.6799999999999997E-5</v>
      </c>
      <c r="I2221" s="2" t="s">
        <v>41044</v>
      </c>
      <c r="J2221" s="2" t="s">
        <v>41045</v>
      </c>
      <c r="K2221" s="2">
        <v>5.3820799999999998E-4</v>
      </c>
      <c r="L2221" s="2" t="s">
        <v>1178</v>
      </c>
      <c r="M2221" s="4" t="s">
        <v>41046</v>
      </c>
    </row>
    <row r="2222" spans="1:13">
      <c r="A2222" s="2">
        <v>971</v>
      </c>
      <c r="B2222" s="2" t="s">
        <v>15177</v>
      </c>
      <c r="C2222" s="2">
        <v>10</v>
      </c>
      <c r="D2222" s="2">
        <v>341</v>
      </c>
      <c r="E2222" s="2">
        <v>200</v>
      </c>
      <c r="F2222" s="2">
        <v>32441</v>
      </c>
      <c r="G2222" s="2">
        <v>4.7567448680000002</v>
      </c>
      <c r="H2222" s="3">
        <v>7.6799999999999997E-5</v>
      </c>
      <c r="I2222" s="2" t="s">
        <v>41047</v>
      </c>
      <c r="J2222" s="2" t="s">
        <v>41048</v>
      </c>
      <c r="K2222" s="2">
        <v>5.3820799999999998E-4</v>
      </c>
      <c r="L2222" s="2" t="s">
        <v>1178</v>
      </c>
      <c r="M2222" s="4" t="s">
        <v>15180</v>
      </c>
    </row>
    <row r="2223" spans="1:13">
      <c r="A2223" s="2">
        <v>1010</v>
      </c>
      <c r="B2223" s="2" t="s">
        <v>41049</v>
      </c>
      <c r="C2223" s="2">
        <v>10</v>
      </c>
      <c r="D2223" s="2">
        <v>341</v>
      </c>
      <c r="E2223" s="2">
        <v>200</v>
      </c>
      <c r="F2223" s="2">
        <v>32441</v>
      </c>
      <c r="G2223" s="2">
        <v>4.7567448680000002</v>
      </c>
      <c r="H2223" s="3">
        <v>7.6799999999999997E-5</v>
      </c>
      <c r="I2223" s="2" t="s">
        <v>41050</v>
      </c>
      <c r="J2223" s="2" t="s">
        <v>41051</v>
      </c>
      <c r="K2223" s="2">
        <v>5.3820799999999998E-4</v>
      </c>
      <c r="L2223" s="2" t="s">
        <v>1178</v>
      </c>
      <c r="M2223" s="4" t="s">
        <v>41052</v>
      </c>
    </row>
    <row r="2224" spans="1:13">
      <c r="A2224" s="2">
        <v>1151</v>
      </c>
      <c r="B2224" s="2" t="s">
        <v>41053</v>
      </c>
      <c r="C2224" s="2">
        <v>10</v>
      </c>
      <c r="D2224" s="2">
        <v>341</v>
      </c>
      <c r="E2224" s="2">
        <v>200</v>
      </c>
      <c r="F2224" s="2">
        <v>32441</v>
      </c>
      <c r="G2224" s="2">
        <v>4.7567448680000002</v>
      </c>
      <c r="H2224" s="3">
        <v>7.6799999999999997E-5</v>
      </c>
      <c r="I2224" s="2" t="s">
        <v>41054</v>
      </c>
      <c r="J2224" s="2" t="s">
        <v>41055</v>
      </c>
      <c r="K2224" s="2">
        <v>5.3820799999999998E-4</v>
      </c>
      <c r="L2224" s="2" t="s">
        <v>1178</v>
      </c>
      <c r="M2224" s="4" t="s">
        <v>41056</v>
      </c>
    </row>
    <row r="2225" spans="1:13">
      <c r="A2225" s="2">
        <v>13861</v>
      </c>
      <c r="B2225" s="2" t="s">
        <v>41057</v>
      </c>
      <c r="C2225" s="2">
        <v>10</v>
      </c>
      <c r="D2225" s="2">
        <v>341</v>
      </c>
      <c r="E2225" s="2">
        <v>200</v>
      </c>
      <c r="F2225" s="2">
        <v>32441</v>
      </c>
      <c r="G2225" s="2">
        <v>4.7567448680000002</v>
      </c>
      <c r="H2225" s="3">
        <v>7.6799999999999997E-5</v>
      </c>
      <c r="I2225" s="2" t="s">
        <v>41058</v>
      </c>
      <c r="J2225" s="2" t="s">
        <v>41059</v>
      </c>
      <c r="K2225" s="2">
        <v>5.3820799999999998E-4</v>
      </c>
      <c r="L2225" s="2" t="s">
        <v>1178</v>
      </c>
      <c r="M2225" s="4" t="s">
        <v>41060</v>
      </c>
    </row>
    <row r="2226" spans="1:13">
      <c r="A2226" s="2">
        <v>13972</v>
      </c>
      <c r="B2226" s="2" t="s">
        <v>17941</v>
      </c>
      <c r="C2226" s="2">
        <v>10</v>
      </c>
      <c r="D2226" s="2">
        <v>341</v>
      </c>
      <c r="E2226" s="2">
        <v>200</v>
      </c>
      <c r="F2226" s="2">
        <v>32441</v>
      </c>
      <c r="G2226" s="2">
        <v>4.7567448680000002</v>
      </c>
      <c r="H2226" s="3">
        <v>7.6799999999999997E-5</v>
      </c>
      <c r="I2226" s="2" t="s">
        <v>41061</v>
      </c>
      <c r="J2226" s="2" t="s">
        <v>41062</v>
      </c>
      <c r="K2226" s="2">
        <v>5.3820799999999998E-4</v>
      </c>
      <c r="L2226" s="2" t="s">
        <v>1178</v>
      </c>
      <c r="M2226" s="4" t="s">
        <v>17944</v>
      </c>
    </row>
    <row r="2227" spans="1:13">
      <c r="A2227" s="2">
        <v>1547</v>
      </c>
      <c r="B2227" s="2" t="s">
        <v>17968</v>
      </c>
      <c r="C2227" s="2">
        <v>10</v>
      </c>
      <c r="D2227" s="2">
        <v>341</v>
      </c>
      <c r="E2227" s="2">
        <v>200</v>
      </c>
      <c r="F2227" s="2">
        <v>32441</v>
      </c>
      <c r="G2227" s="2">
        <v>4.7567448680000002</v>
      </c>
      <c r="H2227" s="3">
        <v>7.6799999999999997E-5</v>
      </c>
      <c r="I2227" s="2" t="s">
        <v>41063</v>
      </c>
      <c r="J2227" s="2" t="s">
        <v>41064</v>
      </c>
      <c r="K2227" s="2">
        <v>5.3820799999999998E-4</v>
      </c>
      <c r="L2227" s="2" t="s">
        <v>1178</v>
      </c>
      <c r="M2227" s="4" t="s">
        <v>17971</v>
      </c>
    </row>
    <row r="2228" spans="1:13">
      <c r="A2228" s="2">
        <v>1674</v>
      </c>
      <c r="B2228" s="2" t="s">
        <v>2178</v>
      </c>
      <c r="C2228" s="2">
        <v>10</v>
      </c>
      <c r="D2228" s="2">
        <v>341</v>
      </c>
      <c r="E2228" s="2">
        <v>200</v>
      </c>
      <c r="F2228" s="2">
        <v>32441</v>
      </c>
      <c r="G2228" s="2">
        <v>4.7567448680000002</v>
      </c>
      <c r="H2228" s="3">
        <v>7.6799999999999997E-5</v>
      </c>
      <c r="I2228" s="2" t="s">
        <v>41065</v>
      </c>
      <c r="J2228" s="2" t="s">
        <v>41066</v>
      </c>
      <c r="K2228" s="2">
        <v>5.3820799999999998E-4</v>
      </c>
      <c r="L2228" s="2" t="s">
        <v>1178</v>
      </c>
      <c r="M2228" s="4" t="s">
        <v>31998</v>
      </c>
    </row>
    <row r="2229" spans="1:13">
      <c r="A2229" s="2">
        <v>17381</v>
      </c>
      <c r="B2229" s="2" t="s">
        <v>2181</v>
      </c>
      <c r="C2229" s="2">
        <v>10</v>
      </c>
      <c r="D2229" s="2">
        <v>341</v>
      </c>
      <c r="E2229" s="2">
        <v>200</v>
      </c>
      <c r="F2229" s="2">
        <v>32441</v>
      </c>
      <c r="G2229" s="2">
        <v>4.7567448680000002</v>
      </c>
      <c r="H2229" s="3">
        <v>7.6799999999999997E-5</v>
      </c>
      <c r="I2229" s="2" t="s">
        <v>41067</v>
      </c>
      <c r="J2229" s="2" t="s">
        <v>41068</v>
      </c>
      <c r="K2229" s="2">
        <v>5.3820799999999998E-4</v>
      </c>
      <c r="L2229" s="2" t="s">
        <v>1178</v>
      </c>
      <c r="M2229" s="4" t="s">
        <v>31760</v>
      </c>
    </row>
    <row r="2230" spans="1:13">
      <c r="A2230" s="2">
        <v>18051</v>
      </c>
      <c r="B2230" s="2" t="s">
        <v>41069</v>
      </c>
      <c r="C2230" s="2">
        <v>10</v>
      </c>
      <c r="D2230" s="2">
        <v>341</v>
      </c>
      <c r="E2230" s="2">
        <v>200</v>
      </c>
      <c r="F2230" s="2">
        <v>32441</v>
      </c>
      <c r="G2230" s="2">
        <v>4.7567448680000002</v>
      </c>
      <c r="H2230" s="3">
        <v>7.6799999999999997E-5</v>
      </c>
      <c r="I2230" s="2" t="s">
        <v>41070</v>
      </c>
      <c r="J2230" s="2" t="s">
        <v>41071</v>
      </c>
      <c r="K2230" s="2">
        <v>5.3820799999999998E-4</v>
      </c>
      <c r="L2230" s="2" t="s">
        <v>1178</v>
      </c>
      <c r="M2230" s="4" t="s">
        <v>41072</v>
      </c>
    </row>
    <row r="2231" spans="1:13">
      <c r="A2231" s="2">
        <v>1840</v>
      </c>
      <c r="B2231" s="2" t="s">
        <v>15297</v>
      </c>
      <c r="C2231" s="2">
        <v>10</v>
      </c>
      <c r="D2231" s="2">
        <v>341</v>
      </c>
      <c r="E2231" s="2">
        <v>200</v>
      </c>
      <c r="F2231" s="2">
        <v>32441</v>
      </c>
      <c r="G2231" s="2">
        <v>4.7567448680000002</v>
      </c>
      <c r="H2231" s="3">
        <v>7.6799999999999997E-5</v>
      </c>
      <c r="I2231" s="2" t="s">
        <v>41073</v>
      </c>
      <c r="J2231" s="2" t="s">
        <v>41074</v>
      </c>
      <c r="K2231" s="2">
        <v>5.3820799999999998E-4</v>
      </c>
      <c r="L2231" s="2" t="s">
        <v>1178</v>
      </c>
      <c r="M2231" s="4" t="s">
        <v>15300</v>
      </c>
    </row>
    <row r="2232" spans="1:13">
      <c r="A2232" s="2">
        <v>1882</v>
      </c>
      <c r="B2232" s="2" t="s">
        <v>41075</v>
      </c>
      <c r="C2232" s="2">
        <v>10</v>
      </c>
      <c r="D2232" s="2">
        <v>341</v>
      </c>
      <c r="E2232" s="2">
        <v>200</v>
      </c>
      <c r="F2232" s="2">
        <v>32441</v>
      </c>
      <c r="G2232" s="2">
        <v>4.7567448680000002</v>
      </c>
      <c r="H2232" s="3">
        <v>7.6799999999999997E-5</v>
      </c>
      <c r="I2232" s="2" t="s">
        <v>41076</v>
      </c>
      <c r="J2232" s="2" t="s">
        <v>41077</v>
      </c>
      <c r="K2232" s="2">
        <v>5.3820799999999998E-4</v>
      </c>
      <c r="L2232" s="2" t="s">
        <v>1178</v>
      </c>
      <c r="M2232" s="4" t="s">
        <v>41078</v>
      </c>
    </row>
    <row r="2233" spans="1:13">
      <c r="A2233" s="2">
        <v>1946</v>
      </c>
      <c r="B2233" s="2" t="s">
        <v>31575</v>
      </c>
      <c r="C2233" s="2">
        <v>10</v>
      </c>
      <c r="D2233" s="2">
        <v>341</v>
      </c>
      <c r="E2233" s="2">
        <v>199</v>
      </c>
      <c r="F2233" s="2">
        <v>32441</v>
      </c>
      <c r="G2233" s="2">
        <v>4.7806481090000004</v>
      </c>
      <c r="H2233" s="3">
        <v>7.3800000000000005E-5</v>
      </c>
      <c r="I2233" s="2" t="s">
        <v>41079</v>
      </c>
      <c r="J2233" s="2" t="s">
        <v>41080</v>
      </c>
      <c r="K2233" s="2">
        <v>5.3820799999999998E-4</v>
      </c>
      <c r="L2233" s="2" t="s">
        <v>1178</v>
      </c>
      <c r="M2233" s="4" t="s">
        <v>31578</v>
      </c>
    </row>
    <row r="2234" spans="1:13">
      <c r="A2234" s="2">
        <v>1948</v>
      </c>
      <c r="B2234" s="2" t="s">
        <v>41081</v>
      </c>
      <c r="C2234" s="2">
        <v>10</v>
      </c>
      <c r="D2234" s="2">
        <v>341</v>
      </c>
      <c r="E2234" s="2">
        <v>200</v>
      </c>
      <c r="F2234" s="2">
        <v>32441</v>
      </c>
      <c r="G2234" s="2">
        <v>4.7567448680000002</v>
      </c>
      <c r="H2234" s="3">
        <v>7.6799999999999997E-5</v>
      </c>
      <c r="I2234" s="2" t="s">
        <v>41082</v>
      </c>
      <c r="J2234" s="2" t="s">
        <v>41083</v>
      </c>
      <c r="K2234" s="2">
        <v>5.3820799999999998E-4</v>
      </c>
      <c r="L2234" s="2" t="s">
        <v>1178</v>
      </c>
      <c r="M2234" s="4" t="s">
        <v>41084</v>
      </c>
    </row>
    <row r="2235" spans="1:13">
      <c r="A2235" s="2">
        <v>20211</v>
      </c>
      <c r="B2235" s="2" t="s">
        <v>16517</v>
      </c>
      <c r="C2235" s="2">
        <v>10</v>
      </c>
      <c r="D2235" s="2">
        <v>341</v>
      </c>
      <c r="E2235" s="2">
        <v>200</v>
      </c>
      <c r="F2235" s="2">
        <v>32441</v>
      </c>
      <c r="G2235" s="2">
        <v>4.7567448680000002</v>
      </c>
      <c r="H2235" s="3">
        <v>7.6799999999999997E-5</v>
      </c>
      <c r="I2235" s="2" t="s">
        <v>41085</v>
      </c>
      <c r="J2235" s="2" t="s">
        <v>41086</v>
      </c>
      <c r="K2235" s="2">
        <v>5.3820799999999998E-4</v>
      </c>
      <c r="L2235" s="2" t="s">
        <v>1178</v>
      </c>
      <c r="M2235" s="4" t="s">
        <v>16520</v>
      </c>
    </row>
    <row r="2236" spans="1:13">
      <c r="A2236" s="2">
        <v>2091</v>
      </c>
      <c r="B2236" s="2" t="s">
        <v>18860</v>
      </c>
      <c r="C2236" s="2">
        <v>10</v>
      </c>
      <c r="D2236" s="2">
        <v>341</v>
      </c>
      <c r="E2236" s="2">
        <v>200</v>
      </c>
      <c r="F2236" s="2">
        <v>32441</v>
      </c>
      <c r="G2236" s="2">
        <v>4.7567448680000002</v>
      </c>
      <c r="H2236" s="3">
        <v>7.6799999999999997E-5</v>
      </c>
      <c r="I2236" s="2" t="s">
        <v>41087</v>
      </c>
      <c r="J2236" s="2" t="s">
        <v>41088</v>
      </c>
      <c r="K2236" s="2">
        <v>5.3820799999999998E-4</v>
      </c>
      <c r="L2236" s="2" t="s">
        <v>1178</v>
      </c>
      <c r="M2236" s="4" t="s">
        <v>18863</v>
      </c>
    </row>
    <row r="2237" spans="1:13">
      <c r="A2237" s="2">
        <v>2126</v>
      </c>
      <c r="B2237" s="2" t="s">
        <v>23551</v>
      </c>
      <c r="C2237" s="2">
        <v>10</v>
      </c>
      <c r="D2237" s="2">
        <v>341</v>
      </c>
      <c r="E2237" s="2">
        <v>200</v>
      </c>
      <c r="F2237" s="2">
        <v>32441</v>
      </c>
      <c r="G2237" s="2">
        <v>4.7567448680000002</v>
      </c>
      <c r="H2237" s="3">
        <v>7.6799999999999997E-5</v>
      </c>
      <c r="I2237" s="2" t="s">
        <v>41089</v>
      </c>
      <c r="J2237" s="2" t="s">
        <v>41090</v>
      </c>
      <c r="K2237" s="2">
        <v>5.3820799999999998E-4</v>
      </c>
      <c r="L2237" s="2" t="s">
        <v>1178</v>
      </c>
      <c r="M2237" s="4" t="s">
        <v>23554</v>
      </c>
    </row>
    <row r="2238" spans="1:13">
      <c r="A2238" s="2">
        <v>2163</v>
      </c>
      <c r="B2238" s="2" t="s">
        <v>19848</v>
      </c>
      <c r="C2238" s="2">
        <v>10</v>
      </c>
      <c r="D2238" s="2">
        <v>341</v>
      </c>
      <c r="E2238" s="2">
        <v>200</v>
      </c>
      <c r="F2238" s="2">
        <v>32441</v>
      </c>
      <c r="G2238" s="2">
        <v>4.7567448680000002</v>
      </c>
      <c r="H2238" s="3">
        <v>7.6799999999999997E-5</v>
      </c>
      <c r="I2238" s="2" t="s">
        <v>41091</v>
      </c>
      <c r="J2238" s="2" t="s">
        <v>41092</v>
      </c>
      <c r="K2238" s="2">
        <v>5.3820799999999998E-4</v>
      </c>
      <c r="L2238" s="2" t="s">
        <v>1178</v>
      </c>
      <c r="M2238" s="4" t="s">
        <v>19851</v>
      </c>
    </row>
    <row r="2239" spans="1:13">
      <c r="A2239" s="2">
        <v>2376</v>
      </c>
      <c r="B2239" s="2" t="s">
        <v>12202</v>
      </c>
      <c r="C2239" s="2">
        <v>10</v>
      </c>
      <c r="D2239" s="2">
        <v>341</v>
      </c>
      <c r="E2239" s="2">
        <v>200</v>
      </c>
      <c r="F2239" s="2">
        <v>32441</v>
      </c>
      <c r="G2239" s="2">
        <v>4.7567448680000002</v>
      </c>
      <c r="H2239" s="3">
        <v>7.6799999999999997E-5</v>
      </c>
      <c r="I2239" s="2" t="s">
        <v>41093</v>
      </c>
      <c r="J2239" s="2" t="s">
        <v>41094</v>
      </c>
      <c r="K2239" s="2">
        <v>5.3820799999999998E-4</v>
      </c>
      <c r="L2239" s="2" t="s">
        <v>1178</v>
      </c>
      <c r="M2239" s="4" t="s">
        <v>12205</v>
      </c>
    </row>
    <row r="2240" spans="1:13">
      <c r="A2240" s="2">
        <v>2391</v>
      </c>
      <c r="B2240" s="2" t="s">
        <v>18908</v>
      </c>
      <c r="C2240" s="2">
        <v>10</v>
      </c>
      <c r="D2240" s="2">
        <v>341</v>
      </c>
      <c r="E2240" s="2">
        <v>200</v>
      </c>
      <c r="F2240" s="2">
        <v>32441</v>
      </c>
      <c r="G2240" s="2">
        <v>4.7567448680000002</v>
      </c>
      <c r="H2240" s="3">
        <v>7.6799999999999997E-5</v>
      </c>
      <c r="I2240" s="2" t="s">
        <v>41095</v>
      </c>
      <c r="J2240" s="2" t="s">
        <v>41096</v>
      </c>
      <c r="K2240" s="2">
        <v>5.3820799999999998E-4</v>
      </c>
      <c r="L2240" s="2" t="s">
        <v>1178</v>
      </c>
      <c r="M2240" s="4" t="s">
        <v>18911</v>
      </c>
    </row>
    <row r="2241" spans="1:13">
      <c r="A2241" s="2">
        <v>2583</v>
      </c>
      <c r="B2241" s="2" t="s">
        <v>13548</v>
      </c>
      <c r="C2241" s="2">
        <v>10</v>
      </c>
      <c r="D2241" s="2">
        <v>341</v>
      </c>
      <c r="E2241" s="2">
        <v>200</v>
      </c>
      <c r="F2241" s="2">
        <v>32441</v>
      </c>
      <c r="G2241" s="2">
        <v>4.7567448680000002</v>
      </c>
      <c r="H2241" s="3">
        <v>7.6799999999999997E-5</v>
      </c>
      <c r="I2241" s="2" t="s">
        <v>41097</v>
      </c>
      <c r="J2241" s="2" t="s">
        <v>41098</v>
      </c>
      <c r="K2241" s="2">
        <v>5.3820799999999998E-4</v>
      </c>
      <c r="L2241" s="2" t="s">
        <v>1178</v>
      </c>
      <c r="M2241" s="4" t="s">
        <v>13551</v>
      </c>
    </row>
    <row r="2242" spans="1:13">
      <c r="A2242" s="2">
        <v>25891</v>
      </c>
      <c r="B2242" s="2" t="s">
        <v>15910</v>
      </c>
      <c r="C2242" s="2">
        <v>10</v>
      </c>
      <c r="D2242" s="2">
        <v>341</v>
      </c>
      <c r="E2242" s="2">
        <v>200</v>
      </c>
      <c r="F2242" s="2">
        <v>32441</v>
      </c>
      <c r="G2242" s="2">
        <v>4.7567448680000002</v>
      </c>
      <c r="H2242" s="3">
        <v>7.6799999999999997E-5</v>
      </c>
      <c r="I2242" s="2" t="s">
        <v>41099</v>
      </c>
      <c r="J2242" s="2" t="s">
        <v>41100</v>
      </c>
      <c r="K2242" s="2">
        <v>5.3820799999999998E-4</v>
      </c>
      <c r="L2242" s="2" t="s">
        <v>1178</v>
      </c>
      <c r="M2242" s="4" t="s">
        <v>15913</v>
      </c>
    </row>
    <row r="2243" spans="1:13">
      <c r="A2243" s="2">
        <v>2884</v>
      </c>
      <c r="B2243" s="2" t="s">
        <v>34236</v>
      </c>
      <c r="C2243" s="2">
        <v>10</v>
      </c>
      <c r="D2243" s="2">
        <v>341</v>
      </c>
      <c r="E2243" s="2">
        <v>200</v>
      </c>
      <c r="F2243" s="2">
        <v>32441</v>
      </c>
      <c r="G2243" s="2">
        <v>4.7567448680000002</v>
      </c>
      <c r="H2243" s="3">
        <v>7.6799999999999997E-5</v>
      </c>
      <c r="I2243" s="2" t="s">
        <v>41101</v>
      </c>
      <c r="J2243" s="2" t="s">
        <v>41102</v>
      </c>
      <c r="K2243" s="2">
        <v>5.3820799999999998E-4</v>
      </c>
      <c r="L2243" s="2" t="s">
        <v>1178</v>
      </c>
      <c r="M2243" s="4" t="s">
        <v>34239</v>
      </c>
    </row>
    <row r="2244" spans="1:13">
      <c r="A2244" s="2">
        <v>2957</v>
      </c>
      <c r="B2244" s="2" t="s">
        <v>1506</v>
      </c>
      <c r="C2244" s="2">
        <v>10</v>
      </c>
      <c r="D2244" s="2">
        <v>341</v>
      </c>
      <c r="E2244" s="2">
        <v>200</v>
      </c>
      <c r="F2244" s="2">
        <v>32441</v>
      </c>
      <c r="G2244" s="2">
        <v>4.7567448680000002</v>
      </c>
      <c r="H2244" s="3">
        <v>7.6799999999999997E-5</v>
      </c>
      <c r="I2244" s="2" t="s">
        <v>41103</v>
      </c>
      <c r="J2244" s="2" t="s">
        <v>41104</v>
      </c>
      <c r="K2244" s="2">
        <v>5.3820799999999998E-4</v>
      </c>
      <c r="L2244" s="2" t="s">
        <v>1178</v>
      </c>
      <c r="M2244" s="4" t="s">
        <v>21134</v>
      </c>
    </row>
    <row r="2245" spans="1:13">
      <c r="A2245" s="2">
        <v>3025</v>
      </c>
      <c r="B2245" s="2" t="s">
        <v>34258</v>
      </c>
      <c r="C2245" s="2">
        <v>10</v>
      </c>
      <c r="D2245" s="2">
        <v>341</v>
      </c>
      <c r="E2245" s="2">
        <v>200</v>
      </c>
      <c r="F2245" s="2">
        <v>32441</v>
      </c>
      <c r="G2245" s="2">
        <v>4.7567448680000002</v>
      </c>
      <c r="H2245" s="3">
        <v>7.6799999999999997E-5</v>
      </c>
      <c r="I2245" s="2" t="s">
        <v>41105</v>
      </c>
      <c r="J2245" s="2" t="s">
        <v>41106</v>
      </c>
      <c r="K2245" s="2">
        <v>5.3820799999999998E-4</v>
      </c>
      <c r="L2245" s="2" t="s">
        <v>1178</v>
      </c>
      <c r="M2245" s="4" t="s">
        <v>34261</v>
      </c>
    </row>
    <row r="2246" spans="1:13">
      <c r="A2246" s="2">
        <v>3043</v>
      </c>
      <c r="B2246" s="2" t="s">
        <v>3180</v>
      </c>
      <c r="C2246" s="2">
        <v>10</v>
      </c>
      <c r="D2246" s="2">
        <v>341</v>
      </c>
      <c r="E2246" s="2">
        <v>200</v>
      </c>
      <c r="F2246" s="2">
        <v>32441</v>
      </c>
      <c r="G2246" s="2">
        <v>4.7567448680000002</v>
      </c>
      <c r="H2246" s="3">
        <v>7.6799999999999997E-5</v>
      </c>
      <c r="I2246" s="2" t="s">
        <v>41107</v>
      </c>
      <c r="J2246" s="2" t="s">
        <v>41108</v>
      </c>
      <c r="K2246" s="2">
        <v>5.3820799999999998E-4</v>
      </c>
      <c r="L2246" s="2" t="s">
        <v>1178</v>
      </c>
      <c r="M2246" s="4" t="s">
        <v>3183</v>
      </c>
    </row>
    <row r="2247" spans="1:13">
      <c r="A2247" s="2">
        <v>3193</v>
      </c>
      <c r="B2247" s="2" t="s">
        <v>22376</v>
      </c>
      <c r="C2247" s="2">
        <v>10</v>
      </c>
      <c r="D2247" s="2">
        <v>341</v>
      </c>
      <c r="E2247" s="2">
        <v>199</v>
      </c>
      <c r="F2247" s="2">
        <v>32441</v>
      </c>
      <c r="G2247" s="2">
        <v>4.7806481090000004</v>
      </c>
      <c r="H2247" s="3">
        <v>7.3800000000000005E-5</v>
      </c>
      <c r="I2247" s="2" t="s">
        <v>41109</v>
      </c>
      <c r="J2247" s="2" t="s">
        <v>41110</v>
      </c>
      <c r="K2247" s="2">
        <v>5.3820799999999998E-4</v>
      </c>
      <c r="L2247" s="2" t="s">
        <v>1178</v>
      </c>
      <c r="M2247" s="4" t="s">
        <v>22379</v>
      </c>
    </row>
    <row r="2248" spans="1:13">
      <c r="A2248" s="2">
        <v>32061</v>
      </c>
      <c r="B2248" s="2" t="s">
        <v>32947</v>
      </c>
      <c r="C2248" s="2">
        <v>10</v>
      </c>
      <c r="D2248" s="2">
        <v>341</v>
      </c>
      <c r="E2248" s="2">
        <v>199</v>
      </c>
      <c r="F2248" s="2">
        <v>32441</v>
      </c>
      <c r="G2248" s="2">
        <v>4.7806481090000004</v>
      </c>
      <c r="H2248" s="3">
        <v>7.3800000000000005E-5</v>
      </c>
      <c r="I2248" s="2" t="s">
        <v>41111</v>
      </c>
      <c r="J2248" s="2" t="s">
        <v>41112</v>
      </c>
      <c r="K2248" s="2">
        <v>5.3820799999999998E-4</v>
      </c>
      <c r="L2248" s="2" t="s">
        <v>1178</v>
      </c>
      <c r="M2248" s="4" t="s">
        <v>32950</v>
      </c>
    </row>
    <row r="2249" spans="1:13">
      <c r="A2249" s="2">
        <v>3275</v>
      </c>
      <c r="B2249" s="2" t="s">
        <v>41113</v>
      </c>
      <c r="C2249" s="2">
        <v>10</v>
      </c>
      <c r="D2249" s="2">
        <v>341</v>
      </c>
      <c r="E2249" s="2">
        <v>200</v>
      </c>
      <c r="F2249" s="2">
        <v>32441</v>
      </c>
      <c r="G2249" s="2">
        <v>4.7567448680000002</v>
      </c>
      <c r="H2249" s="3">
        <v>7.6799999999999997E-5</v>
      </c>
      <c r="I2249" s="2" t="s">
        <v>41114</v>
      </c>
      <c r="J2249" s="2" t="s">
        <v>41115</v>
      </c>
      <c r="K2249" s="2">
        <v>5.3820799999999998E-4</v>
      </c>
      <c r="L2249" s="2" t="s">
        <v>1178</v>
      </c>
      <c r="M2249" s="4" t="s">
        <v>41116</v>
      </c>
    </row>
    <row r="2250" spans="1:13">
      <c r="A2250" s="2">
        <v>3317</v>
      </c>
      <c r="B2250" s="2" t="s">
        <v>2238</v>
      </c>
      <c r="C2250" s="2">
        <v>10</v>
      </c>
      <c r="D2250" s="2">
        <v>341</v>
      </c>
      <c r="E2250" s="2">
        <v>200</v>
      </c>
      <c r="F2250" s="2">
        <v>32441</v>
      </c>
      <c r="G2250" s="2">
        <v>4.7567448680000002</v>
      </c>
      <c r="H2250" s="3">
        <v>7.6799999999999997E-5</v>
      </c>
      <c r="I2250" s="2" t="s">
        <v>41117</v>
      </c>
      <c r="J2250" s="2" t="s">
        <v>41118</v>
      </c>
      <c r="K2250" s="2">
        <v>5.3820799999999998E-4</v>
      </c>
      <c r="L2250" s="2" t="s">
        <v>1178</v>
      </c>
      <c r="M2250" s="4" t="s">
        <v>32973</v>
      </c>
    </row>
    <row r="2251" spans="1:13">
      <c r="A2251" s="2">
        <v>3376</v>
      </c>
      <c r="B2251" s="2" t="s">
        <v>1944</v>
      </c>
      <c r="C2251" s="2">
        <v>10</v>
      </c>
      <c r="D2251" s="2">
        <v>341</v>
      </c>
      <c r="E2251" s="2">
        <v>199</v>
      </c>
      <c r="F2251" s="2">
        <v>32441</v>
      </c>
      <c r="G2251" s="2">
        <v>4.7806481090000004</v>
      </c>
      <c r="H2251" s="3">
        <v>7.3800000000000005E-5</v>
      </c>
      <c r="I2251" s="2" t="s">
        <v>41119</v>
      </c>
      <c r="J2251" s="2" t="s">
        <v>41120</v>
      </c>
      <c r="K2251" s="2">
        <v>5.3820799999999998E-4</v>
      </c>
      <c r="L2251" s="2" t="s">
        <v>1178</v>
      </c>
      <c r="M2251" s="4" t="s">
        <v>41121</v>
      </c>
    </row>
    <row r="2252" spans="1:13">
      <c r="A2252" s="2">
        <v>3384</v>
      </c>
      <c r="B2252" s="2" t="s">
        <v>41122</v>
      </c>
      <c r="C2252" s="2">
        <v>10</v>
      </c>
      <c r="D2252" s="2">
        <v>341</v>
      </c>
      <c r="E2252" s="2">
        <v>200</v>
      </c>
      <c r="F2252" s="2">
        <v>32441</v>
      </c>
      <c r="G2252" s="2">
        <v>4.7567448680000002</v>
      </c>
      <c r="H2252" s="3">
        <v>7.6799999999999997E-5</v>
      </c>
      <c r="I2252" s="2" t="s">
        <v>41123</v>
      </c>
      <c r="J2252" s="2" t="s">
        <v>41124</v>
      </c>
      <c r="K2252" s="2">
        <v>5.3820799999999998E-4</v>
      </c>
      <c r="L2252" s="2" t="s">
        <v>1178</v>
      </c>
      <c r="M2252" s="4" t="s">
        <v>41125</v>
      </c>
    </row>
    <row r="2253" spans="1:13">
      <c r="A2253" s="2">
        <v>3392</v>
      </c>
      <c r="B2253" s="2" t="s">
        <v>41126</v>
      </c>
      <c r="C2253" s="2">
        <v>10</v>
      </c>
      <c r="D2253" s="2">
        <v>341</v>
      </c>
      <c r="E2253" s="2">
        <v>200</v>
      </c>
      <c r="F2253" s="2">
        <v>32441</v>
      </c>
      <c r="G2253" s="2">
        <v>4.7567448680000002</v>
      </c>
      <c r="H2253" s="3">
        <v>7.6799999999999997E-5</v>
      </c>
      <c r="I2253" s="2" t="s">
        <v>41127</v>
      </c>
      <c r="J2253" s="2" t="s">
        <v>41128</v>
      </c>
      <c r="K2253" s="2">
        <v>5.3820799999999998E-4</v>
      </c>
      <c r="L2253" s="2" t="s">
        <v>1178</v>
      </c>
      <c r="M2253" s="4" t="s">
        <v>41129</v>
      </c>
    </row>
    <row r="2254" spans="1:13">
      <c r="A2254" s="2">
        <v>34241</v>
      </c>
      <c r="B2254" s="2" t="s">
        <v>33002</v>
      </c>
      <c r="C2254" s="2">
        <v>10</v>
      </c>
      <c r="D2254" s="2">
        <v>341</v>
      </c>
      <c r="E2254" s="2">
        <v>200</v>
      </c>
      <c r="F2254" s="2">
        <v>32441</v>
      </c>
      <c r="G2254" s="2">
        <v>4.7567448680000002</v>
      </c>
      <c r="H2254" s="3">
        <v>7.6799999999999997E-5</v>
      </c>
      <c r="I2254" s="2" t="s">
        <v>41130</v>
      </c>
      <c r="J2254" s="2" t="s">
        <v>41131</v>
      </c>
      <c r="K2254" s="2">
        <v>5.3820799999999998E-4</v>
      </c>
      <c r="L2254" s="2" t="s">
        <v>1178</v>
      </c>
      <c r="M2254" s="4" t="s">
        <v>33005</v>
      </c>
    </row>
    <row r="2255" spans="1:13">
      <c r="A2255" s="2">
        <v>3462</v>
      </c>
      <c r="B2255" s="2" t="s">
        <v>23826</v>
      </c>
      <c r="C2255" s="2">
        <v>10</v>
      </c>
      <c r="D2255" s="2">
        <v>341</v>
      </c>
      <c r="E2255" s="2">
        <v>200</v>
      </c>
      <c r="F2255" s="2">
        <v>32441</v>
      </c>
      <c r="G2255" s="2">
        <v>4.7567448680000002</v>
      </c>
      <c r="H2255" s="3">
        <v>7.6799999999999997E-5</v>
      </c>
      <c r="I2255" s="2" t="s">
        <v>41132</v>
      </c>
      <c r="J2255" s="2" t="s">
        <v>41133</v>
      </c>
      <c r="K2255" s="2">
        <v>5.3820799999999998E-4</v>
      </c>
      <c r="L2255" s="2" t="s">
        <v>1178</v>
      </c>
      <c r="M2255" s="4" t="s">
        <v>23829</v>
      </c>
    </row>
    <row r="2256" spans="1:13">
      <c r="A2256" s="2">
        <v>3484</v>
      </c>
      <c r="B2256" s="2" t="s">
        <v>41134</v>
      </c>
      <c r="C2256" s="2">
        <v>10</v>
      </c>
      <c r="D2256" s="2">
        <v>341</v>
      </c>
      <c r="E2256" s="2">
        <v>200</v>
      </c>
      <c r="F2256" s="2">
        <v>32441</v>
      </c>
      <c r="G2256" s="2">
        <v>4.7567448680000002</v>
      </c>
      <c r="H2256" s="3">
        <v>7.6799999999999997E-5</v>
      </c>
      <c r="I2256" s="2" t="s">
        <v>41135</v>
      </c>
      <c r="J2256" s="2" t="s">
        <v>41136</v>
      </c>
      <c r="K2256" s="2">
        <v>5.3820799999999998E-4</v>
      </c>
      <c r="L2256" s="2" t="s">
        <v>1178</v>
      </c>
      <c r="M2256" s="4" t="s">
        <v>41137</v>
      </c>
    </row>
    <row r="2257" spans="1:13">
      <c r="A2257" s="2">
        <v>35531</v>
      </c>
      <c r="B2257" s="2" t="s">
        <v>19077</v>
      </c>
      <c r="C2257" s="2">
        <v>10</v>
      </c>
      <c r="D2257" s="2">
        <v>341</v>
      </c>
      <c r="E2257" s="2">
        <v>200</v>
      </c>
      <c r="F2257" s="2">
        <v>32441</v>
      </c>
      <c r="G2257" s="2">
        <v>4.7567448680000002</v>
      </c>
      <c r="H2257" s="3">
        <v>7.6799999999999997E-5</v>
      </c>
      <c r="I2257" s="2" t="s">
        <v>41138</v>
      </c>
      <c r="J2257" s="2" t="s">
        <v>41139</v>
      </c>
      <c r="K2257" s="2">
        <v>5.3820799999999998E-4</v>
      </c>
      <c r="L2257" s="2" t="s">
        <v>1178</v>
      </c>
      <c r="M2257" s="4" t="s">
        <v>19080</v>
      </c>
    </row>
    <row r="2258" spans="1:13">
      <c r="A2258" s="2">
        <v>3560</v>
      </c>
      <c r="B2258" s="2" t="s">
        <v>15407</v>
      </c>
      <c r="C2258" s="2">
        <v>10</v>
      </c>
      <c r="D2258" s="2">
        <v>341</v>
      </c>
      <c r="E2258" s="2">
        <v>200</v>
      </c>
      <c r="F2258" s="2">
        <v>32441</v>
      </c>
      <c r="G2258" s="2">
        <v>4.7567448680000002</v>
      </c>
      <c r="H2258" s="3">
        <v>7.6799999999999997E-5</v>
      </c>
      <c r="I2258" s="2" t="s">
        <v>41140</v>
      </c>
      <c r="J2258" s="2" t="s">
        <v>41141</v>
      </c>
      <c r="K2258" s="2">
        <v>5.3820799999999998E-4</v>
      </c>
      <c r="L2258" s="2" t="s">
        <v>1178</v>
      </c>
      <c r="M2258" s="4" t="s">
        <v>15410</v>
      </c>
    </row>
    <row r="2259" spans="1:13">
      <c r="A2259" s="2">
        <v>3731</v>
      </c>
      <c r="B2259" s="2" t="s">
        <v>20076</v>
      </c>
      <c r="C2259" s="2">
        <v>10</v>
      </c>
      <c r="D2259" s="2">
        <v>341</v>
      </c>
      <c r="E2259" s="2">
        <v>200</v>
      </c>
      <c r="F2259" s="2">
        <v>32441</v>
      </c>
      <c r="G2259" s="2">
        <v>4.7567448680000002</v>
      </c>
      <c r="H2259" s="3">
        <v>7.6799999999999997E-5</v>
      </c>
      <c r="I2259" s="2" t="s">
        <v>41142</v>
      </c>
      <c r="J2259" s="2" t="s">
        <v>41143</v>
      </c>
      <c r="K2259" s="2">
        <v>5.3820799999999998E-4</v>
      </c>
      <c r="L2259" s="2" t="s">
        <v>1178</v>
      </c>
      <c r="M2259" s="4" t="s">
        <v>20079</v>
      </c>
    </row>
    <row r="2260" spans="1:13">
      <c r="A2260" s="2">
        <v>3763</v>
      </c>
      <c r="B2260" s="2" t="s">
        <v>22527</v>
      </c>
      <c r="C2260" s="2">
        <v>10</v>
      </c>
      <c r="D2260" s="2">
        <v>341</v>
      </c>
      <c r="E2260" s="2">
        <v>199</v>
      </c>
      <c r="F2260" s="2">
        <v>32441</v>
      </c>
      <c r="G2260" s="2">
        <v>4.7806481090000004</v>
      </c>
      <c r="H2260" s="3">
        <v>7.3800000000000005E-5</v>
      </c>
      <c r="I2260" s="2" t="s">
        <v>41144</v>
      </c>
      <c r="J2260" s="2" t="s">
        <v>41145</v>
      </c>
      <c r="K2260" s="2">
        <v>5.3820799999999998E-4</v>
      </c>
      <c r="L2260" s="2" t="s">
        <v>1178</v>
      </c>
      <c r="M2260" s="4" t="s">
        <v>22530</v>
      </c>
    </row>
    <row r="2261" spans="1:13">
      <c r="A2261" s="2">
        <v>3776</v>
      </c>
      <c r="B2261" s="2" t="s">
        <v>18248</v>
      </c>
      <c r="C2261" s="2">
        <v>10</v>
      </c>
      <c r="D2261" s="2">
        <v>341</v>
      </c>
      <c r="E2261" s="2">
        <v>200</v>
      </c>
      <c r="F2261" s="2">
        <v>32441</v>
      </c>
      <c r="G2261" s="2">
        <v>4.7567448680000002</v>
      </c>
      <c r="H2261" s="3">
        <v>7.6799999999999997E-5</v>
      </c>
      <c r="I2261" s="2" t="s">
        <v>41146</v>
      </c>
      <c r="J2261" s="2" t="s">
        <v>41147</v>
      </c>
      <c r="K2261" s="2">
        <v>5.3820799999999998E-4</v>
      </c>
      <c r="L2261" s="2" t="s">
        <v>1178</v>
      </c>
      <c r="M2261" s="4" t="s">
        <v>18251</v>
      </c>
    </row>
    <row r="2262" spans="1:13">
      <c r="A2262" s="2">
        <v>3808</v>
      </c>
      <c r="B2262" s="2" t="s">
        <v>1965</v>
      </c>
      <c r="C2262" s="2">
        <v>10</v>
      </c>
      <c r="D2262" s="2">
        <v>341</v>
      </c>
      <c r="E2262" s="2">
        <v>200</v>
      </c>
      <c r="F2262" s="2">
        <v>32441</v>
      </c>
      <c r="G2262" s="2">
        <v>4.7567448680000002</v>
      </c>
      <c r="H2262" s="3">
        <v>7.6799999999999997E-5</v>
      </c>
      <c r="I2262" s="2" t="s">
        <v>41148</v>
      </c>
      <c r="J2262" s="2" t="s">
        <v>41149</v>
      </c>
      <c r="K2262" s="2">
        <v>5.3820799999999998E-4</v>
      </c>
      <c r="L2262" s="2" t="s">
        <v>1178</v>
      </c>
      <c r="M2262" s="4" t="s">
        <v>41150</v>
      </c>
    </row>
    <row r="2263" spans="1:13">
      <c r="A2263" s="2">
        <v>3855</v>
      </c>
      <c r="B2263" s="2" t="s">
        <v>15427</v>
      </c>
      <c r="C2263" s="2">
        <v>10</v>
      </c>
      <c r="D2263" s="2">
        <v>341</v>
      </c>
      <c r="E2263" s="2">
        <v>200</v>
      </c>
      <c r="F2263" s="2">
        <v>32441</v>
      </c>
      <c r="G2263" s="2">
        <v>4.7567448680000002</v>
      </c>
      <c r="H2263" s="3">
        <v>7.6799999999999997E-5</v>
      </c>
      <c r="I2263" s="2" t="s">
        <v>41151</v>
      </c>
      <c r="J2263" s="2" t="s">
        <v>41152</v>
      </c>
      <c r="K2263" s="2">
        <v>5.3820799999999998E-4</v>
      </c>
      <c r="L2263" s="2" t="s">
        <v>1178</v>
      </c>
      <c r="M2263" s="4" t="s">
        <v>15430</v>
      </c>
    </row>
    <row r="2264" spans="1:13">
      <c r="A2264" s="2">
        <v>3913</v>
      </c>
      <c r="B2264" s="2" t="s">
        <v>22566</v>
      </c>
      <c r="C2264" s="2">
        <v>10</v>
      </c>
      <c r="D2264" s="2">
        <v>341</v>
      </c>
      <c r="E2264" s="2">
        <v>200</v>
      </c>
      <c r="F2264" s="2">
        <v>32441</v>
      </c>
      <c r="G2264" s="2">
        <v>4.7567448680000002</v>
      </c>
      <c r="H2264" s="3">
        <v>7.6799999999999997E-5</v>
      </c>
      <c r="I2264" s="2" t="s">
        <v>41153</v>
      </c>
      <c r="J2264" s="2" t="s">
        <v>41154</v>
      </c>
      <c r="K2264" s="2">
        <v>5.3820799999999998E-4</v>
      </c>
      <c r="L2264" s="2" t="s">
        <v>1178</v>
      </c>
      <c r="M2264" s="4" t="s">
        <v>22569</v>
      </c>
    </row>
    <row r="2265" spans="1:13">
      <c r="A2265" s="2">
        <v>3988</v>
      </c>
      <c r="B2265" s="2" t="s">
        <v>16081</v>
      </c>
      <c r="C2265" s="2">
        <v>10</v>
      </c>
      <c r="D2265" s="2">
        <v>341</v>
      </c>
      <c r="E2265" s="2">
        <v>199</v>
      </c>
      <c r="F2265" s="2">
        <v>32441</v>
      </c>
      <c r="G2265" s="2">
        <v>4.7806481090000004</v>
      </c>
      <c r="H2265" s="3">
        <v>7.3800000000000005E-5</v>
      </c>
      <c r="I2265" s="2" t="s">
        <v>41155</v>
      </c>
      <c r="J2265" s="2" t="s">
        <v>41156</v>
      </c>
      <c r="K2265" s="2">
        <v>5.3820799999999998E-4</v>
      </c>
      <c r="L2265" s="2" t="s">
        <v>1178</v>
      </c>
      <c r="M2265" s="4" t="s">
        <v>16084</v>
      </c>
    </row>
    <row r="2266" spans="1:13">
      <c r="A2266" s="2">
        <v>39901</v>
      </c>
      <c r="B2266" s="2" t="s">
        <v>2679</v>
      </c>
      <c r="C2266" s="2">
        <v>10</v>
      </c>
      <c r="D2266" s="2">
        <v>341</v>
      </c>
      <c r="E2266" s="2">
        <v>200</v>
      </c>
      <c r="F2266" s="2">
        <v>32441</v>
      </c>
      <c r="G2266" s="2">
        <v>4.7567448680000002</v>
      </c>
      <c r="H2266" s="3">
        <v>7.6799999999999997E-5</v>
      </c>
      <c r="I2266" s="2" t="s">
        <v>41157</v>
      </c>
      <c r="J2266" s="2" t="s">
        <v>41158</v>
      </c>
      <c r="K2266" s="2">
        <v>5.3820799999999998E-4</v>
      </c>
      <c r="L2266" s="2" t="s">
        <v>1178</v>
      </c>
      <c r="M2266" s="4" t="s">
        <v>14178</v>
      </c>
    </row>
    <row r="2267" spans="1:13">
      <c r="A2267" s="2">
        <v>4149</v>
      </c>
      <c r="B2267" s="2" t="s">
        <v>33062</v>
      </c>
      <c r="C2267" s="2">
        <v>10</v>
      </c>
      <c r="D2267" s="2">
        <v>341</v>
      </c>
      <c r="E2267" s="2">
        <v>200</v>
      </c>
      <c r="F2267" s="2">
        <v>32441</v>
      </c>
      <c r="G2267" s="2">
        <v>4.7567448680000002</v>
      </c>
      <c r="H2267" s="3">
        <v>7.6799999999999997E-5</v>
      </c>
      <c r="I2267" s="2" t="s">
        <v>41159</v>
      </c>
      <c r="J2267" s="2" t="s">
        <v>41160</v>
      </c>
      <c r="K2267" s="2">
        <v>5.3820799999999998E-4</v>
      </c>
      <c r="L2267" s="2" t="s">
        <v>1178</v>
      </c>
      <c r="M2267" s="4" t="s">
        <v>33065</v>
      </c>
    </row>
    <row r="2268" spans="1:13">
      <c r="A2268" s="2">
        <v>4309</v>
      </c>
      <c r="B2268" s="2" t="s">
        <v>32126</v>
      </c>
      <c r="C2268" s="2">
        <v>10</v>
      </c>
      <c r="D2268" s="2">
        <v>341</v>
      </c>
      <c r="E2268" s="2">
        <v>200</v>
      </c>
      <c r="F2268" s="2">
        <v>32441</v>
      </c>
      <c r="G2268" s="2">
        <v>4.7567448680000002</v>
      </c>
      <c r="H2268" s="3">
        <v>7.6799999999999997E-5</v>
      </c>
      <c r="I2268" s="2" t="s">
        <v>41161</v>
      </c>
      <c r="J2268" s="2" t="s">
        <v>41162</v>
      </c>
      <c r="K2268" s="2">
        <v>5.3820799999999998E-4</v>
      </c>
      <c r="L2268" s="2" t="s">
        <v>1178</v>
      </c>
      <c r="M2268" s="4" t="s">
        <v>32129</v>
      </c>
    </row>
    <row r="2269" spans="1:13">
      <c r="A2269" s="2">
        <v>43151</v>
      </c>
      <c r="B2269" s="2" t="s">
        <v>15483</v>
      </c>
      <c r="C2269" s="2">
        <v>10</v>
      </c>
      <c r="D2269" s="2">
        <v>341</v>
      </c>
      <c r="E2269" s="2">
        <v>200</v>
      </c>
      <c r="F2269" s="2">
        <v>32441</v>
      </c>
      <c r="G2269" s="2">
        <v>4.7567448680000002</v>
      </c>
      <c r="H2269" s="3">
        <v>7.6799999999999997E-5</v>
      </c>
      <c r="I2269" s="2" t="s">
        <v>41163</v>
      </c>
      <c r="J2269" s="2" t="s">
        <v>41164</v>
      </c>
      <c r="K2269" s="2">
        <v>5.3820799999999998E-4</v>
      </c>
      <c r="L2269" s="2" t="s">
        <v>1178</v>
      </c>
      <c r="M2269" s="4" t="s">
        <v>15486</v>
      </c>
    </row>
    <row r="2270" spans="1:13">
      <c r="A2270" s="2">
        <v>4434</v>
      </c>
      <c r="B2270" s="2" t="s">
        <v>24365</v>
      </c>
      <c r="C2270" s="2">
        <v>10</v>
      </c>
      <c r="D2270" s="2">
        <v>341</v>
      </c>
      <c r="E2270" s="2">
        <v>200</v>
      </c>
      <c r="F2270" s="2">
        <v>32441</v>
      </c>
      <c r="G2270" s="2">
        <v>4.7567448680000002</v>
      </c>
      <c r="H2270" s="3">
        <v>7.6799999999999997E-5</v>
      </c>
      <c r="I2270" s="2" t="s">
        <v>41165</v>
      </c>
      <c r="J2270" s="2" t="s">
        <v>41166</v>
      </c>
      <c r="K2270" s="2">
        <v>5.3820799999999998E-4</v>
      </c>
      <c r="L2270" s="2" t="s">
        <v>1178</v>
      </c>
      <c r="M2270" s="4" t="s">
        <v>24368</v>
      </c>
    </row>
    <row r="2271" spans="1:13">
      <c r="A2271" s="2">
        <v>2758</v>
      </c>
      <c r="B2271" s="2" t="s">
        <v>41167</v>
      </c>
      <c r="C2271" s="2">
        <v>8</v>
      </c>
      <c r="D2271" s="2">
        <v>341</v>
      </c>
      <c r="E2271" s="2">
        <v>128</v>
      </c>
      <c r="F2271" s="2">
        <v>32441</v>
      </c>
      <c r="G2271" s="2">
        <v>5.9459310849999998</v>
      </c>
      <c r="H2271" s="3">
        <v>9.3700000000000001E-5</v>
      </c>
      <c r="I2271" s="2" t="s">
        <v>41168</v>
      </c>
      <c r="J2271" s="2" t="s">
        <v>41169</v>
      </c>
      <c r="K2271" s="2">
        <v>6.55965E-4</v>
      </c>
      <c r="L2271" s="2" t="s">
        <v>1178</v>
      </c>
      <c r="M2271" s="4" t="s">
        <v>41170</v>
      </c>
    </row>
    <row r="2272" spans="1:13">
      <c r="A2272" s="2">
        <v>28011</v>
      </c>
      <c r="B2272" s="2" t="s">
        <v>32877</v>
      </c>
      <c r="C2272" s="2">
        <v>9</v>
      </c>
      <c r="D2272" s="2">
        <v>341</v>
      </c>
      <c r="E2272" s="2">
        <v>167</v>
      </c>
      <c r="F2272" s="2">
        <v>32441</v>
      </c>
      <c r="G2272" s="2">
        <v>5.1270303970000004</v>
      </c>
      <c r="H2272" s="2">
        <v>1.01777E-4</v>
      </c>
      <c r="I2272" s="2" t="s">
        <v>41171</v>
      </c>
      <c r="J2272" s="2" t="s">
        <v>41172</v>
      </c>
      <c r="K2272" s="2">
        <v>7.1040000000000003E-4</v>
      </c>
      <c r="L2272" s="2" t="s">
        <v>1178</v>
      </c>
      <c r="M2272" s="4" t="s">
        <v>32880</v>
      </c>
    </row>
    <row r="2273" spans="1:13">
      <c r="A2273" s="2">
        <v>36571</v>
      </c>
      <c r="B2273" s="2" t="s">
        <v>41173</v>
      </c>
      <c r="C2273" s="2">
        <v>9</v>
      </c>
      <c r="D2273" s="2">
        <v>341</v>
      </c>
      <c r="E2273" s="2">
        <v>167</v>
      </c>
      <c r="F2273" s="2">
        <v>32441</v>
      </c>
      <c r="G2273" s="2">
        <v>5.1270303970000004</v>
      </c>
      <c r="H2273" s="2">
        <v>1.01777E-4</v>
      </c>
      <c r="I2273" s="2" t="s">
        <v>41174</v>
      </c>
      <c r="J2273" s="2" t="s">
        <v>41175</v>
      </c>
      <c r="K2273" s="2">
        <v>7.1040000000000003E-4</v>
      </c>
      <c r="L2273" s="2" t="s">
        <v>1178</v>
      </c>
      <c r="M2273" s="4" t="s">
        <v>41176</v>
      </c>
    </row>
    <row r="2274" spans="1:13">
      <c r="A2274" s="2">
        <v>2818</v>
      </c>
      <c r="B2274" s="2" t="s">
        <v>19901</v>
      </c>
      <c r="C2274" s="2">
        <v>9</v>
      </c>
      <c r="D2274" s="2">
        <v>341</v>
      </c>
      <c r="E2274" s="2">
        <v>168</v>
      </c>
      <c r="F2274" s="2">
        <v>32441</v>
      </c>
      <c r="G2274" s="2">
        <v>5.0965123590000001</v>
      </c>
      <c r="H2274" s="2">
        <v>1.06265E-4</v>
      </c>
      <c r="I2274" s="2" t="s">
        <v>41177</v>
      </c>
      <c r="J2274" s="2" t="s">
        <v>41178</v>
      </c>
      <c r="K2274" s="2">
        <v>7.4066099999999999E-4</v>
      </c>
      <c r="L2274" s="2" t="s">
        <v>1178</v>
      </c>
      <c r="M2274" s="4" t="s">
        <v>19904</v>
      </c>
    </row>
    <row r="2275" spans="1:13">
      <c r="A2275" s="2">
        <v>4120</v>
      </c>
      <c r="B2275" s="2" t="s">
        <v>21480</v>
      </c>
      <c r="C2275" s="2">
        <v>9</v>
      </c>
      <c r="D2275" s="2">
        <v>341</v>
      </c>
      <c r="E2275" s="2">
        <v>171</v>
      </c>
      <c r="F2275" s="2">
        <v>32441</v>
      </c>
      <c r="G2275" s="2">
        <v>5.0070998610000004</v>
      </c>
      <c r="H2275" s="2">
        <v>1.20734E-4</v>
      </c>
      <c r="I2275" s="2" t="s">
        <v>41179</v>
      </c>
      <c r="J2275" s="2" t="s">
        <v>41180</v>
      </c>
      <c r="K2275" s="2">
        <v>8.4030599999999997E-4</v>
      </c>
      <c r="L2275" s="2" t="s">
        <v>1178</v>
      </c>
      <c r="M2275" s="4" t="s">
        <v>21483</v>
      </c>
    </row>
    <row r="2276" spans="1:13">
      <c r="A2276" s="2">
        <v>36141</v>
      </c>
      <c r="B2276" s="2" t="s">
        <v>41181</v>
      </c>
      <c r="C2276" s="2">
        <v>9</v>
      </c>
      <c r="D2276" s="2">
        <v>341</v>
      </c>
      <c r="E2276" s="2">
        <v>180</v>
      </c>
      <c r="F2276" s="2">
        <v>32441</v>
      </c>
      <c r="G2276" s="2">
        <v>4.7567448680000002</v>
      </c>
      <c r="H2276" s="2">
        <v>1.7437900000000001E-4</v>
      </c>
      <c r="I2276" s="2" t="s">
        <v>41182</v>
      </c>
      <c r="J2276" s="2" t="s">
        <v>41183</v>
      </c>
      <c r="K2276" s="2">
        <v>1.2119489999999999E-3</v>
      </c>
      <c r="L2276" s="2" t="s">
        <v>1178</v>
      </c>
      <c r="M2276" s="4" t="s">
        <v>41184</v>
      </c>
    </row>
    <row r="2277" spans="1:13">
      <c r="A2277" s="2">
        <v>26761</v>
      </c>
      <c r="B2277" s="2" t="s">
        <v>41185</v>
      </c>
      <c r="C2277" s="2">
        <v>9</v>
      </c>
      <c r="D2277" s="2">
        <v>341</v>
      </c>
      <c r="E2277" s="2">
        <v>185</v>
      </c>
      <c r="F2277" s="2">
        <v>32441</v>
      </c>
      <c r="G2277" s="2">
        <v>4.6281841960000003</v>
      </c>
      <c r="H2277" s="2">
        <v>2.1191E-4</v>
      </c>
      <c r="I2277" s="2" t="s">
        <v>41186</v>
      </c>
      <c r="J2277" s="2" t="s">
        <v>41187</v>
      </c>
      <c r="K2277" s="2">
        <v>1.47069E-3</v>
      </c>
      <c r="L2277" s="2" t="s">
        <v>1178</v>
      </c>
      <c r="M2277" s="4" t="s">
        <v>41188</v>
      </c>
    </row>
    <row r="2278" spans="1:13">
      <c r="A2278" s="2">
        <v>4261</v>
      </c>
      <c r="B2278" s="2" t="s">
        <v>41189</v>
      </c>
      <c r="C2278" s="2">
        <v>8</v>
      </c>
      <c r="D2278" s="2">
        <v>341</v>
      </c>
      <c r="E2278" s="2">
        <v>150</v>
      </c>
      <c r="F2278" s="2">
        <v>32441</v>
      </c>
      <c r="G2278" s="2">
        <v>5.0738611929999999</v>
      </c>
      <c r="H2278" s="2">
        <v>2.6311299999999999E-4</v>
      </c>
      <c r="I2278" s="2" t="s">
        <v>41190</v>
      </c>
      <c r="J2278" s="2" t="s">
        <v>41191</v>
      </c>
      <c r="K2278" s="2">
        <v>1.823454E-3</v>
      </c>
      <c r="L2278" s="2" t="s">
        <v>1178</v>
      </c>
      <c r="M2278" s="4" t="s">
        <v>41192</v>
      </c>
    </row>
    <row r="2279" spans="1:13">
      <c r="A2279" s="2">
        <v>4234</v>
      </c>
      <c r="B2279" s="2" t="s">
        <v>41193</v>
      </c>
      <c r="C2279" s="2">
        <v>8</v>
      </c>
      <c r="D2279" s="2">
        <v>341</v>
      </c>
      <c r="E2279" s="2">
        <v>154</v>
      </c>
      <c r="F2279" s="2">
        <v>32441</v>
      </c>
      <c r="G2279" s="2">
        <v>4.9420725900000004</v>
      </c>
      <c r="H2279" s="2">
        <v>3.1149500000000001E-4</v>
      </c>
      <c r="I2279" s="2" t="s">
        <v>41194</v>
      </c>
      <c r="J2279" s="2" t="s">
        <v>41195</v>
      </c>
      <c r="K2279" s="2">
        <v>2.1556850000000001E-3</v>
      </c>
      <c r="L2279" s="2" t="s">
        <v>1178</v>
      </c>
      <c r="M2279" s="4" t="s">
        <v>41196</v>
      </c>
    </row>
    <row r="2280" spans="1:13">
      <c r="A2280" s="2">
        <v>2047</v>
      </c>
      <c r="B2280" s="2" t="s">
        <v>41197</v>
      </c>
      <c r="C2280" s="2">
        <v>9</v>
      </c>
      <c r="D2280" s="2">
        <v>341</v>
      </c>
      <c r="E2280" s="2">
        <v>197</v>
      </c>
      <c r="F2280" s="2">
        <v>32441</v>
      </c>
      <c r="G2280" s="2">
        <v>4.3462643459999999</v>
      </c>
      <c r="H2280" s="2">
        <v>3.3004300000000002E-4</v>
      </c>
      <c r="I2280" s="2" t="s">
        <v>41198</v>
      </c>
      <c r="J2280" s="2" t="s">
        <v>41199</v>
      </c>
      <c r="K2280" s="2">
        <v>2.2775740000000001E-3</v>
      </c>
      <c r="L2280" s="2" t="s">
        <v>1178</v>
      </c>
      <c r="M2280" s="4" t="s">
        <v>41200</v>
      </c>
    </row>
    <row r="2281" spans="1:13">
      <c r="A2281" s="2">
        <v>3500</v>
      </c>
      <c r="B2281" s="2" t="s">
        <v>41201</v>
      </c>
      <c r="C2281" s="2">
        <v>9</v>
      </c>
      <c r="D2281" s="2">
        <v>341</v>
      </c>
      <c r="E2281" s="2">
        <v>197</v>
      </c>
      <c r="F2281" s="2">
        <v>32441</v>
      </c>
      <c r="G2281" s="2">
        <v>4.3462643459999999</v>
      </c>
      <c r="H2281" s="2">
        <v>3.3004300000000002E-4</v>
      </c>
      <c r="I2281" s="2" t="s">
        <v>41202</v>
      </c>
      <c r="J2281" s="2" t="s">
        <v>41203</v>
      </c>
      <c r="K2281" s="2">
        <v>2.2775740000000001E-3</v>
      </c>
      <c r="L2281" s="2" t="s">
        <v>1178</v>
      </c>
      <c r="M2281" s="4" t="s">
        <v>41204</v>
      </c>
    </row>
    <row r="2282" spans="1:13">
      <c r="A2282" s="2">
        <v>50</v>
      </c>
      <c r="B2282" s="2" t="s">
        <v>16251</v>
      </c>
      <c r="C2282" s="2">
        <v>9</v>
      </c>
      <c r="D2282" s="2">
        <v>341</v>
      </c>
      <c r="E2282" s="2">
        <v>200</v>
      </c>
      <c r="F2282" s="2">
        <v>32441</v>
      </c>
      <c r="G2282" s="2">
        <v>4.2810703810000001</v>
      </c>
      <c r="H2282" s="2">
        <v>3.66826E-4</v>
      </c>
      <c r="I2282" s="2" t="s">
        <v>41205</v>
      </c>
      <c r="J2282" s="2" t="s">
        <v>41206</v>
      </c>
      <c r="K2282" s="2">
        <v>2.28539E-3</v>
      </c>
      <c r="L2282" s="2" t="s">
        <v>1178</v>
      </c>
      <c r="M2282" s="4" t="s">
        <v>16254</v>
      </c>
    </row>
    <row r="2283" spans="1:13">
      <c r="A2283" s="2">
        <v>961</v>
      </c>
      <c r="B2283" s="2" t="s">
        <v>41207</v>
      </c>
      <c r="C2283" s="2">
        <v>9</v>
      </c>
      <c r="D2283" s="2">
        <v>341</v>
      </c>
      <c r="E2283" s="2">
        <v>200</v>
      </c>
      <c r="F2283" s="2">
        <v>32441</v>
      </c>
      <c r="G2283" s="2">
        <v>4.2810703810000001</v>
      </c>
      <c r="H2283" s="2">
        <v>3.66826E-4</v>
      </c>
      <c r="I2283" s="2" t="s">
        <v>41208</v>
      </c>
      <c r="J2283" s="2" t="s">
        <v>41209</v>
      </c>
      <c r="K2283" s="2">
        <v>2.28539E-3</v>
      </c>
      <c r="L2283" s="2" t="s">
        <v>1178</v>
      </c>
      <c r="M2283" s="4" t="s">
        <v>41210</v>
      </c>
    </row>
    <row r="2284" spans="1:13">
      <c r="A2284" s="2">
        <v>1541</v>
      </c>
      <c r="B2284" s="2" t="s">
        <v>22884</v>
      </c>
      <c r="C2284" s="2">
        <v>9</v>
      </c>
      <c r="D2284" s="2">
        <v>341</v>
      </c>
      <c r="E2284" s="2">
        <v>200</v>
      </c>
      <c r="F2284" s="2">
        <v>32441</v>
      </c>
      <c r="G2284" s="2">
        <v>4.2810703810000001</v>
      </c>
      <c r="H2284" s="2">
        <v>3.66826E-4</v>
      </c>
      <c r="I2284" s="2" t="s">
        <v>41211</v>
      </c>
      <c r="J2284" s="2" t="s">
        <v>41212</v>
      </c>
      <c r="K2284" s="2">
        <v>2.28539E-3</v>
      </c>
      <c r="L2284" s="2" t="s">
        <v>1178</v>
      </c>
      <c r="M2284" s="4" t="s">
        <v>22887</v>
      </c>
    </row>
    <row r="2285" spans="1:13">
      <c r="A2285" s="2">
        <v>2144</v>
      </c>
      <c r="B2285" s="2" t="s">
        <v>19454</v>
      </c>
      <c r="C2285" s="2">
        <v>9</v>
      </c>
      <c r="D2285" s="2">
        <v>341</v>
      </c>
      <c r="E2285" s="2">
        <v>200</v>
      </c>
      <c r="F2285" s="2">
        <v>32441</v>
      </c>
      <c r="G2285" s="2">
        <v>4.2810703810000001</v>
      </c>
      <c r="H2285" s="2">
        <v>3.66826E-4</v>
      </c>
      <c r="I2285" s="2" t="s">
        <v>41213</v>
      </c>
      <c r="J2285" s="2" t="s">
        <v>41214</v>
      </c>
      <c r="K2285" s="2">
        <v>2.28539E-3</v>
      </c>
      <c r="L2285" s="2" t="s">
        <v>1178</v>
      </c>
      <c r="M2285" s="4" t="s">
        <v>19457</v>
      </c>
    </row>
    <row r="2286" spans="1:13">
      <c r="A2286" s="2">
        <v>233</v>
      </c>
      <c r="B2286" s="2" t="s">
        <v>32200</v>
      </c>
      <c r="C2286" s="2">
        <v>9</v>
      </c>
      <c r="D2286" s="2">
        <v>341</v>
      </c>
      <c r="E2286" s="2">
        <v>200</v>
      </c>
      <c r="F2286" s="2">
        <v>32441</v>
      </c>
      <c r="G2286" s="2">
        <v>4.2810703810000001</v>
      </c>
      <c r="H2286" s="2">
        <v>3.66826E-4</v>
      </c>
      <c r="I2286" s="2" t="s">
        <v>41215</v>
      </c>
      <c r="J2286" s="2" t="s">
        <v>41216</v>
      </c>
      <c r="K2286" s="2">
        <v>2.28539E-3</v>
      </c>
      <c r="L2286" s="2" t="s">
        <v>1178</v>
      </c>
      <c r="M2286" s="4" t="s">
        <v>32203</v>
      </c>
    </row>
    <row r="2287" spans="1:13">
      <c r="A2287" s="2">
        <v>255</v>
      </c>
      <c r="B2287" s="2" t="s">
        <v>41217</v>
      </c>
      <c r="C2287" s="2">
        <v>9</v>
      </c>
      <c r="D2287" s="2">
        <v>341</v>
      </c>
      <c r="E2287" s="2">
        <v>200</v>
      </c>
      <c r="F2287" s="2">
        <v>32441</v>
      </c>
      <c r="G2287" s="2">
        <v>4.2810703810000001</v>
      </c>
      <c r="H2287" s="2">
        <v>3.66826E-4</v>
      </c>
      <c r="I2287" s="2" t="s">
        <v>41218</v>
      </c>
      <c r="J2287" s="2" t="s">
        <v>41219</v>
      </c>
      <c r="K2287" s="2">
        <v>2.28539E-3</v>
      </c>
      <c r="L2287" s="2" t="s">
        <v>1178</v>
      </c>
      <c r="M2287" s="4" t="s">
        <v>41220</v>
      </c>
    </row>
    <row r="2288" spans="1:13">
      <c r="A2288" s="2">
        <v>275</v>
      </c>
      <c r="B2288" s="2" t="s">
        <v>31680</v>
      </c>
      <c r="C2288" s="2">
        <v>9</v>
      </c>
      <c r="D2288" s="2">
        <v>341</v>
      </c>
      <c r="E2288" s="2">
        <v>200</v>
      </c>
      <c r="F2288" s="2">
        <v>32441</v>
      </c>
      <c r="G2288" s="2">
        <v>4.2810703810000001</v>
      </c>
      <c r="H2288" s="2">
        <v>3.66826E-4</v>
      </c>
      <c r="I2288" s="2" t="s">
        <v>41221</v>
      </c>
      <c r="J2288" s="2" t="s">
        <v>41222</v>
      </c>
      <c r="K2288" s="2">
        <v>2.28539E-3</v>
      </c>
      <c r="L2288" s="2" t="s">
        <v>1178</v>
      </c>
      <c r="M2288" s="4" t="s">
        <v>31683</v>
      </c>
    </row>
    <row r="2289" spans="1:13">
      <c r="A2289" s="2">
        <v>279</v>
      </c>
      <c r="B2289" s="2" t="s">
        <v>22921</v>
      </c>
      <c r="C2289" s="2">
        <v>9</v>
      </c>
      <c r="D2289" s="2">
        <v>341</v>
      </c>
      <c r="E2289" s="2">
        <v>200</v>
      </c>
      <c r="F2289" s="2">
        <v>32441</v>
      </c>
      <c r="G2289" s="2">
        <v>4.2810703810000001</v>
      </c>
      <c r="H2289" s="2">
        <v>3.66826E-4</v>
      </c>
      <c r="I2289" s="2" t="s">
        <v>41223</v>
      </c>
      <c r="J2289" s="2" t="s">
        <v>41224</v>
      </c>
      <c r="K2289" s="2">
        <v>2.28539E-3</v>
      </c>
      <c r="L2289" s="2" t="s">
        <v>1178</v>
      </c>
      <c r="M2289" s="4" t="s">
        <v>22924</v>
      </c>
    </row>
    <row r="2290" spans="1:13">
      <c r="A2290" s="2">
        <v>3151</v>
      </c>
      <c r="B2290" s="2" t="s">
        <v>41225</v>
      </c>
      <c r="C2290" s="2">
        <v>9</v>
      </c>
      <c r="D2290" s="2">
        <v>341</v>
      </c>
      <c r="E2290" s="2">
        <v>200</v>
      </c>
      <c r="F2290" s="2">
        <v>32441</v>
      </c>
      <c r="G2290" s="2">
        <v>4.2810703810000001</v>
      </c>
      <c r="H2290" s="2">
        <v>3.66826E-4</v>
      </c>
      <c r="I2290" s="2" t="s">
        <v>41226</v>
      </c>
      <c r="J2290" s="2" t="s">
        <v>41227</v>
      </c>
      <c r="K2290" s="2">
        <v>2.28539E-3</v>
      </c>
      <c r="L2290" s="2" t="s">
        <v>1178</v>
      </c>
      <c r="M2290" s="4" t="s">
        <v>41228</v>
      </c>
    </row>
    <row r="2291" spans="1:13">
      <c r="A2291" s="2">
        <v>3194</v>
      </c>
      <c r="B2291" s="2" t="s">
        <v>41229</v>
      </c>
      <c r="C2291" s="2">
        <v>9</v>
      </c>
      <c r="D2291" s="2">
        <v>341</v>
      </c>
      <c r="E2291" s="2">
        <v>200</v>
      </c>
      <c r="F2291" s="2">
        <v>32441</v>
      </c>
      <c r="G2291" s="2">
        <v>4.2810703810000001</v>
      </c>
      <c r="H2291" s="2">
        <v>3.66826E-4</v>
      </c>
      <c r="I2291" s="2" t="s">
        <v>41230</v>
      </c>
      <c r="J2291" s="2" t="s">
        <v>41231</v>
      </c>
      <c r="K2291" s="2">
        <v>2.28539E-3</v>
      </c>
      <c r="L2291" s="2" t="s">
        <v>1178</v>
      </c>
      <c r="M2291" s="4" t="s">
        <v>41232</v>
      </c>
    </row>
    <row r="2292" spans="1:13">
      <c r="A2292" s="2">
        <v>426</v>
      </c>
      <c r="B2292" s="2" t="s">
        <v>41233</v>
      </c>
      <c r="C2292" s="2">
        <v>9</v>
      </c>
      <c r="D2292" s="2">
        <v>341</v>
      </c>
      <c r="E2292" s="2">
        <v>200</v>
      </c>
      <c r="F2292" s="2">
        <v>32441</v>
      </c>
      <c r="G2292" s="2">
        <v>4.2810703810000001</v>
      </c>
      <c r="H2292" s="2">
        <v>3.66826E-4</v>
      </c>
      <c r="I2292" s="2" t="s">
        <v>41234</v>
      </c>
      <c r="J2292" s="2" t="s">
        <v>41235</v>
      </c>
      <c r="K2292" s="2">
        <v>2.28539E-3</v>
      </c>
      <c r="L2292" s="2" t="s">
        <v>1178</v>
      </c>
      <c r="M2292" s="4" t="s">
        <v>41236</v>
      </c>
    </row>
    <row r="2293" spans="1:13">
      <c r="A2293" s="2">
        <v>461</v>
      </c>
      <c r="B2293" s="2" t="s">
        <v>17779</v>
      </c>
      <c r="C2293" s="2">
        <v>9</v>
      </c>
      <c r="D2293" s="2">
        <v>341</v>
      </c>
      <c r="E2293" s="2">
        <v>199</v>
      </c>
      <c r="F2293" s="2">
        <v>32441</v>
      </c>
      <c r="G2293" s="2">
        <v>4.3025832980000001</v>
      </c>
      <c r="H2293" s="2">
        <v>3.5420699999999999E-4</v>
      </c>
      <c r="I2293" s="2" t="s">
        <v>41237</v>
      </c>
      <c r="J2293" s="2" t="s">
        <v>41238</v>
      </c>
      <c r="K2293" s="2">
        <v>2.28539E-3</v>
      </c>
      <c r="L2293" s="2" t="s">
        <v>1178</v>
      </c>
      <c r="M2293" s="4" t="s">
        <v>17782</v>
      </c>
    </row>
    <row r="2294" spans="1:13">
      <c r="A2294" s="2">
        <v>465</v>
      </c>
      <c r="B2294" s="2" t="s">
        <v>22989</v>
      </c>
      <c r="C2294" s="2">
        <v>9</v>
      </c>
      <c r="D2294" s="2">
        <v>341</v>
      </c>
      <c r="E2294" s="2">
        <v>200</v>
      </c>
      <c r="F2294" s="2">
        <v>32441</v>
      </c>
      <c r="G2294" s="2">
        <v>4.2810703810000001</v>
      </c>
      <c r="H2294" s="2">
        <v>3.66826E-4</v>
      </c>
      <c r="I2294" s="2" t="s">
        <v>41239</v>
      </c>
      <c r="J2294" s="2" t="s">
        <v>41240</v>
      </c>
      <c r="K2294" s="2">
        <v>2.28539E-3</v>
      </c>
      <c r="L2294" s="2" t="s">
        <v>1178</v>
      </c>
      <c r="M2294" s="4" t="s">
        <v>22992</v>
      </c>
    </row>
    <row r="2295" spans="1:13">
      <c r="A2295" s="2">
        <v>4751</v>
      </c>
      <c r="B2295" s="2" t="s">
        <v>2040</v>
      </c>
      <c r="C2295" s="2">
        <v>9</v>
      </c>
      <c r="D2295" s="2">
        <v>341</v>
      </c>
      <c r="E2295" s="2">
        <v>200</v>
      </c>
      <c r="F2295" s="2">
        <v>32441</v>
      </c>
      <c r="G2295" s="2">
        <v>4.2810703810000001</v>
      </c>
      <c r="H2295" s="2">
        <v>3.66826E-4</v>
      </c>
      <c r="I2295" s="2" t="s">
        <v>41241</v>
      </c>
      <c r="J2295" s="2" t="s">
        <v>41242</v>
      </c>
      <c r="K2295" s="2">
        <v>2.28539E-3</v>
      </c>
      <c r="L2295" s="2" t="s">
        <v>1178</v>
      </c>
      <c r="M2295" s="4" t="s">
        <v>41243</v>
      </c>
    </row>
    <row r="2296" spans="1:13">
      <c r="A2296" s="2">
        <v>4791</v>
      </c>
      <c r="B2296" s="2" t="s">
        <v>22997</v>
      </c>
      <c r="C2296" s="2">
        <v>9</v>
      </c>
      <c r="D2296" s="2">
        <v>341</v>
      </c>
      <c r="E2296" s="2">
        <v>200</v>
      </c>
      <c r="F2296" s="2">
        <v>32441</v>
      </c>
      <c r="G2296" s="2">
        <v>4.2810703810000001</v>
      </c>
      <c r="H2296" s="2">
        <v>3.66826E-4</v>
      </c>
      <c r="I2296" s="2" t="s">
        <v>41244</v>
      </c>
      <c r="J2296" s="2" t="s">
        <v>41245</v>
      </c>
      <c r="K2296" s="2">
        <v>2.28539E-3</v>
      </c>
      <c r="L2296" s="2" t="s">
        <v>1178</v>
      </c>
      <c r="M2296" s="4" t="s">
        <v>23000</v>
      </c>
    </row>
    <row r="2297" spans="1:13">
      <c r="A2297" s="2">
        <v>499</v>
      </c>
      <c r="B2297" s="2" t="s">
        <v>41246</v>
      </c>
      <c r="C2297" s="2">
        <v>9</v>
      </c>
      <c r="D2297" s="2">
        <v>341</v>
      </c>
      <c r="E2297" s="2">
        <v>200</v>
      </c>
      <c r="F2297" s="2">
        <v>32441</v>
      </c>
      <c r="G2297" s="2">
        <v>4.2810703810000001</v>
      </c>
      <c r="H2297" s="2">
        <v>3.66826E-4</v>
      </c>
      <c r="I2297" s="2" t="s">
        <v>41247</v>
      </c>
      <c r="J2297" s="2" t="s">
        <v>41248</v>
      </c>
      <c r="K2297" s="2">
        <v>2.28539E-3</v>
      </c>
      <c r="L2297" s="2" t="s">
        <v>1178</v>
      </c>
      <c r="M2297" s="4" t="s">
        <v>41249</v>
      </c>
    </row>
    <row r="2298" spans="1:13">
      <c r="A2298" s="2">
        <v>5171</v>
      </c>
      <c r="B2298" s="2" t="s">
        <v>41250</v>
      </c>
      <c r="C2298" s="2">
        <v>9</v>
      </c>
      <c r="D2298" s="2">
        <v>341</v>
      </c>
      <c r="E2298" s="2">
        <v>200</v>
      </c>
      <c r="F2298" s="2">
        <v>32441</v>
      </c>
      <c r="G2298" s="2">
        <v>4.2810703810000001</v>
      </c>
      <c r="H2298" s="2">
        <v>3.66826E-4</v>
      </c>
      <c r="I2298" s="2" t="s">
        <v>41251</v>
      </c>
      <c r="J2298" s="2" t="s">
        <v>41252</v>
      </c>
      <c r="K2298" s="2">
        <v>2.28539E-3</v>
      </c>
      <c r="L2298" s="2" t="s">
        <v>1178</v>
      </c>
      <c r="M2298" s="4" t="s">
        <v>41253</v>
      </c>
    </row>
    <row r="2299" spans="1:13">
      <c r="A2299" s="2">
        <v>519</v>
      </c>
      <c r="B2299" s="2" t="s">
        <v>21788</v>
      </c>
      <c r="C2299" s="2">
        <v>9</v>
      </c>
      <c r="D2299" s="2">
        <v>341</v>
      </c>
      <c r="E2299" s="2">
        <v>200</v>
      </c>
      <c r="F2299" s="2">
        <v>32441</v>
      </c>
      <c r="G2299" s="2">
        <v>4.2810703810000001</v>
      </c>
      <c r="H2299" s="2">
        <v>3.66826E-4</v>
      </c>
      <c r="I2299" s="2" t="s">
        <v>41254</v>
      </c>
      <c r="J2299" s="2" t="s">
        <v>41255</v>
      </c>
      <c r="K2299" s="2">
        <v>2.28539E-3</v>
      </c>
      <c r="L2299" s="2" t="s">
        <v>1178</v>
      </c>
      <c r="M2299" s="4" t="s">
        <v>21791</v>
      </c>
    </row>
    <row r="2300" spans="1:13">
      <c r="A2300" s="2">
        <v>6141</v>
      </c>
      <c r="B2300" s="2" t="s">
        <v>1659</v>
      </c>
      <c r="C2300" s="2">
        <v>9</v>
      </c>
      <c r="D2300" s="2">
        <v>341</v>
      </c>
      <c r="E2300" s="2">
        <v>200</v>
      </c>
      <c r="F2300" s="2">
        <v>32441</v>
      </c>
      <c r="G2300" s="2">
        <v>4.2810703810000001</v>
      </c>
      <c r="H2300" s="2">
        <v>3.66826E-4</v>
      </c>
      <c r="I2300" s="2" t="s">
        <v>41256</v>
      </c>
      <c r="J2300" s="2" t="s">
        <v>41257</v>
      </c>
      <c r="K2300" s="2">
        <v>2.28539E-3</v>
      </c>
      <c r="L2300" s="2" t="s">
        <v>1178</v>
      </c>
      <c r="M2300" s="4" t="s">
        <v>20572</v>
      </c>
    </row>
    <row r="2301" spans="1:13">
      <c r="A2301" s="2">
        <v>6191</v>
      </c>
      <c r="B2301" s="2" t="s">
        <v>32242</v>
      </c>
      <c r="C2301" s="2">
        <v>9</v>
      </c>
      <c r="D2301" s="2">
        <v>341</v>
      </c>
      <c r="E2301" s="2">
        <v>200</v>
      </c>
      <c r="F2301" s="2">
        <v>32441</v>
      </c>
      <c r="G2301" s="2">
        <v>4.2810703810000001</v>
      </c>
      <c r="H2301" s="2">
        <v>3.66826E-4</v>
      </c>
      <c r="I2301" s="2" t="s">
        <v>41258</v>
      </c>
      <c r="J2301" s="2" t="s">
        <v>41259</v>
      </c>
      <c r="K2301" s="2">
        <v>2.28539E-3</v>
      </c>
      <c r="L2301" s="2" t="s">
        <v>1178</v>
      </c>
      <c r="M2301" s="4" t="s">
        <v>32245</v>
      </c>
    </row>
    <row r="2302" spans="1:13">
      <c r="A2302" s="2">
        <v>723</v>
      </c>
      <c r="B2302" s="2" t="s">
        <v>2076</v>
      </c>
      <c r="C2302" s="2">
        <v>9</v>
      </c>
      <c r="D2302" s="2">
        <v>341</v>
      </c>
      <c r="E2302" s="2">
        <v>200</v>
      </c>
      <c r="F2302" s="2">
        <v>32441</v>
      </c>
      <c r="G2302" s="2">
        <v>4.2810703810000001</v>
      </c>
      <c r="H2302" s="2">
        <v>3.66826E-4</v>
      </c>
      <c r="I2302" s="2" t="s">
        <v>41260</v>
      </c>
      <c r="J2302" s="2" t="s">
        <v>41261</v>
      </c>
      <c r="K2302" s="2">
        <v>2.28539E-3</v>
      </c>
      <c r="L2302" s="2" t="s">
        <v>1178</v>
      </c>
      <c r="M2302" s="4" t="s">
        <v>41262</v>
      </c>
    </row>
    <row r="2303" spans="1:13">
      <c r="A2303" s="2">
        <v>830</v>
      </c>
      <c r="B2303" s="2" t="s">
        <v>41263</v>
      </c>
      <c r="C2303" s="2">
        <v>9</v>
      </c>
      <c r="D2303" s="2">
        <v>341</v>
      </c>
      <c r="E2303" s="2">
        <v>200</v>
      </c>
      <c r="F2303" s="2">
        <v>32441</v>
      </c>
      <c r="G2303" s="2">
        <v>4.2810703810000001</v>
      </c>
      <c r="H2303" s="2">
        <v>3.66826E-4</v>
      </c>
      <c r="I2303" s="2" t="s">
        <v>41264</v>
      </c>
      <c r="J2303" s="2" t="s">
        <v>41265</v>
      </c>
      <c r="K2303" s="2">
        <v>2.28539E-3</v>
      </c>
      <c r="L2303" s="2" t="s">
        <v>1178</v>
      </c>
      <c r="M2303" s="4" t="s">
        <v>41266</v>
      </c>
    </row>
    <row r="2304" spans="1:13">
      <c r="A2304" s="2">
        <v>8391</v>
      </c>
      <c r="B2304" s="2" t="s">
        <v>41267</v>
      </c>
      <c r="C2304" s="2">
        <v>9</v>
      </c>
      <c r="D2304" s="2">
        <v>341</v>
      </c>
      <c r="E2304" s="2">
        <v>200</v>
      </c>
      <c r="F2304" s="2">
        <v>32441</v>
      </c>
      <c r="G2304" s="2">
        <v>4.2810703810000001</v>
      </c>
      <c r="H2304" s="2">
        <v>3.66826E-4</v>
      </c>
      <c r="I2304" s="2" t="s">
        <v>41268</v>
      </c>
      <c r="J2304" s="2" t="s">
        <v>41269</v>
      </c>
      <c r="K2304" s="2">
        <v>2.28539E-3</v>
      </c>
      <c r="L2304" s="2" t="s">
        <v>1178</v>
      </c>
      <c r="M2304" s="4" t="s">
        <v>41270</v>
      </c>
    </row>
    <row r="2305" spans="1:13">
      <c r="A2305" s="2">
        <v>880</v>
      </c>
      <c r="B2305" s="2" t="s">
        <v>17059</v>
      </c>
      <c r="C2305" s="2">
        <v>9</v>
      </c>
      <c r="D2305" s="2">
        <v>341</v>
      </c>
      <c r="E2305" s="2">
        <v>200</v>
      </c>
      <c r="F2305" s="2">
        <v>32441</v>
      </c>
      <c r="G2305" s="2">
        <v>4.2810703810000001</v>
      </c>
      <c r="H2305" s="2">
        <v>3.66826E-4</v>
      </c>
      <c r="I2305" s="2" t="s">
        <v>41271</v>
      </c>
      <c r="J2305" s="2" t="s">
        <v>41272</v>
      </c>
      <c r="K2305" s="2">
        <v>2.28539E-3</v>
      </c>
      <c r="L2305" s="2" t="s">
        <v>1178</v>
      </c>
      <c r="M2305" s="4" t="s">
        <v>17062</v>
      </c>
    </row>
    <row r="2306" spans="1:13">
      <c r="A2306" s="2">
        <v>1123</v>
      </c>
      <c r="B2306" s="2" t="s">
        <v>2412</v>
      </c>
      <c r="C2306" s="2">
        <v>9</v>
      </c>
      <c r="D2306" s="2">
        <v>341</v>
      </c>
      <c r="E2306" s="2">
        <v>200</v>
      </c>
      <c r="F2306" s="2">
        <v>32441</v>
      </c>
      <c r="G2306" s="2">
        <v>4.2810703810000001</v>
      </c>
      <c r="H2306" s="2">
        <v>3.66826E-4</v>
      </c>
      <c r="I2306" s="2" t="s">
        <v>41273</v>
      </c>
      <c r="J2306" s="2" t="s">
        <v>41274</v>
      </c>
      <c r="K2306" s="2">
        <v>2.28539E-3</v>
      </c>
      <c r="L2306" s="2" t="s">
        <v>1178</v>
      </c>
      <c r="M2306" s="4" t="s">
        <v>19661</v>
      </c>
    </row>
    <row r="2307" spans="1:13">
      <c r="A2307" s="2">
        <v>1198</v>
      </c>
      <c r="B2307" s="2" t="s">
        <v>41275</v>
      </c>
      <c r="C2307" s="2">
        <v>9</v>
      </c>
      <c r="D2307" s="2">
        <v>341</v>
      </c>
      <c r="E2307" s="2">
        <v>199</v>
      </c>
      <c r="F2307" s="2">
        <v>32441</v>
      </c>
      <c r="G2307" s="2">
        <v>4.3025832980000001</v>
      </c>
      <c r="H2307" s="2">
        <v>3.5420699999999999E-4</v>
      </c>
      <c r="I2307" s="2" t="s">
        <v>41276</v>
      </c>
      <c r="J2307" s="2" t="s">
        <v>41277</v>
      </c>
      <c r="K2307" s="2">
        <v>2.28539E-3</v>
      </c>
      <c r="L2307" s="2" t="s">
        <v>1178</v>
      </c>
      <c r="M2307" s="4" t="s">
        <v>41278</v>
      </c>
    </row>
    <row r="2308" spans="1:13">
      <c r="A2308" s="2">
        <v>12161</v>
      </c>
      <c r="B2308" s="2" t="s">
        <v>41279</v>
      </c>
      <c r="C2308" s="2">
        <v>9</v>
      </c>
      <c r="D2308" s="2">
        <v>341</v>
      </c>
      <c r="E2308" s="2">
        <v>199</v>
      </c>
      <c r="F2308" s="2">
        <v>32441</v>
      </c>
      <c r="G2308" s="2">
        <v>4.3025832980000001</v>
      </c>
      <c r="H2308" s="2">
        <v>3.5420699999999999E-4</v>
      </c>
      <c r="I2308" s="2" t="s">
        <v>41280</v>
      </c>
      <c r="J2308" s="2" t="s">
        <v>41281</v>
      </c>
      <c r="K2308" s="2">
        <v>2.28539E-3</v>
      </c>
      <c r="L2308" s="2" t="s">
        <v>1178</v>
      </c>
      <c r="M2308" s="4" t="s">
        <v>41282</v>
      </c>
    </row>
    <row r="2309" spans="1:13">
      <c r="A2309" s="2">
        <v>12221</v>
      </c>
      <c r="B2309" s="2" t="s">
        <v>41283</v>
      </c>
      <c r="C2309" s="2">
        <v>9</v>
      </c>
      <c r="D2309" s="2">
        <v>341</v>
      </c>
      <c r="E2309" s="2">
        <v>199</v>
      </c>
      <c r="F2309" s="2">
        <v>32441</v>
      </c>
      <c r="G2309" s="2">
        <v>4.3025832980000001</v>
      </c>
      <c r="H2309" s="2">
        <v>3.5420699999999999E-4</v>
      </c>
      <c r="I2309" s="2" t="s">
        <v>41284</v>
      </c>
      <c r="J2309" s="2" t="s">
        <v>41285</v>
      </c>
      <c r="K2309" s="2">
        <v>2.28539E-3</v>
      </c>
      <c r="L2309" s="2" t="s">
        <v>1178</v>
      </c>
      <c r="M2309" s="4" t="s">
        <v>41286</v>
      </c>
    </row>
    <row r="2310" spans="1:13">
      <c r="A2310" s="2">
        <v>1347</v>
      </c>
      <c r="B2310" s="2" t="s">
        <v>2445</v>
      </c>
      <c r="C2310" s="2">
        <v>9</v>
      </c>
      <c r="D2310" s="2">
        <v>341</v>
      </c>
      <c r="E2310" s="2">
        <v>200</v>
      </c>
      <c r="F2310" s="2">
        <v>32441</v>
      </c>
      <c r="G2310" s="2">
        <v>4.2810703810000001</v>
      </c>
      <c r="H2310" s="2">
        <v>3.66826E-4</v>
      </c>
      <c r="I2310" s="2" t="s">
        <v>41287</v>
      </c>
      <c r="J2310" s="2" t="s">
        <v>41288</v>
      </c>
      <c r="K2310" s="2">
        <v>2.28539E-3</v>
      </c>
      <c r="L2310" s="2" t="s">
        <v>1178</v>
      </c>
      <c r="M2310" s="4" t="s">
        <v>32310</v>
      </c>
    </row>
    <row r="2311" spans="1:13">
      <c r="A2311" s="2">
        <v>1382</v>
      </c>
      <c r="B2311" s="2" t="s">
        <v>2454</v>
      </c>
      <c r="C2311" s="2">
        <v>9</v>
      </c>
      <c r="D2311" s="2">
        <v>341</v>
      </c>
      <c r="E2311" s="2">
        <v>199</v>
      </c>
      <c r="F2311" s="2">
        <v>32441</v>
      </c>
      <c r="G2311" s="2">
        <v>4.3025832980000001</v>
      </c>
      <c r="H2311" s="2">
        <v>3.5420699999999999E-4</v>
      </c>
      <c r="I2311" s="2" t="s">
        <v>41289</v>
      </c>
      <c r="J2311" s="2" t="s">
        <v>41290</v>
      </c>
      <c r="K2311" s="2">
        <v>2.28539E-3</v>
      </c>
      <c r="L2311" s="2" t="s">
        <v>1178</v>
      </c>
      <c r="M2311" s="4" t="s">
        <v>32751</v>
      </c>
    </row>
    <row r="2312" spans="1:13">
      <c r="A2312" s="2">
        <v>1407</v>
      </c>
      <c r="B2312" s="2" t="s">
        <v>2133</v>
      </c>
      <c r="C2312" s="2">
        <v>9</v>
      </c>
      <c r="D2312" s="2">
        <v>341</v>
      </c>
      <c r="E2312" s="2">
        <v>200</v>
      </c>
      <c r="F2312" s="2">
        <v>32441</v>
      </c>
      <c r="G2312" s="2">
        <v>4.2810703810000001</v>
      </c>
      <c r="H2312" s="2">
        <v>3.66826E-4</v>
      </c>
      <c r="I2312" s="2" t="s">
        <v>41291</v>
      </c>
      <c r="J2312" s="2" t="s">
        <v>41292</v>
      </c>
      <c r="K2312" s="2">
        <v>2.28539E-3</v>
      </c>
      <c r="L2312" s="2" t="s">
        <v>1178</v>
      </c>
      <c r="M2312" s="4" t="s">
        <v>14756</v>
      </c>
    </row>
    <row r="2313" spans="1:13">
      <c r="A2313" s="2">
        <v>1457</v>
      </c>
      <c r="B2313" s="2" t="s">
        <v>18747</v>
      </c>
      <c r="C2313" s="2">
        <v>9</v>
      </c>
      <c r="D2313" s="2">
        <v>341</v>
      </c>
      <c r="E2313" s="2">
        <v>200</v>
      </c>
      <c r="F2313" s="2">
        <v>32441</v>
      </c>
      <c r="G2313" s="2">
        <v>4.2810703810000001</v>
      </c>
      <c r="H2313" s="2">
        <v>3.66826E-4</v>
      </c>
      <c r="I2313" s="2" t="s">
        <v>41293</v>
      </c>
      <c r="J2313" s="2" t="s">
        <v>41294</v>
      </c>
      <c r="K2313" s="2">
        <v>2.28539E-3</v>
      </c>
      <c r="L2313" s="2" t="s">
        <v>1178</v>
      </c>
      <c r="M2313" s="4" t="s">
        <v>18750</v>
      </c>
    </row>
    <row r="2314" spans="1:13">
      <c r="A2314" s="2">
        <v>1475</v>
      </c>
      <c r="B2314" s="2" t="s">
        <v>32762</v>
      </c>
      <c r="C2314" s="2">
        <v>9</v>
      </c>
      <c r="D2314" s="2">
        <v>341</v>
      </c>
      <c r="E2314" s="2">
        <v>200</v>
      </c>
      <c r="F2314" s="2">
        <v>32441</v>
      </c>
      <c r="G2314" s="2">
        <v>4.2810703810000001</v>
      </c>
      <c r="H2314" s="2">
        <v>3.66826E-4</v>
      </c>
      <c r="I2314" s="2" t="s">
        <v>41295</v>
      </c>
      <c r="J2314" s="2" t="s">
        <v>41296</v>
      </c>
      <c r="K2314" s="2">
        <v>2.28539E-3</v>
      </c>
      <c r="L2314" s="2" t="s">
        <v>1178</v>
      </c>
      <c r="M2314" s="4" t="s">
        <v>32765</v>
      </c>
    </row>
    <row r="2315" spans="1:13">
      <c r="A2315" s="2">
        <v>14931</v>
      </c>
      <c r="B2315" s="2" t="s">
        <v>23382</v>
      </c>
      <c r="C2315" s="2">
        <v>9</v>
      </c>
      <c r="D2315" s="2">
        <v>341</v>
      </c>
      <c r="E2315" s="2">
        <v>200</v>
      </c>
      <c r="F2315" s="2">
        <v>32441</v>
      </c>
      <c r="G2315" s="2">
        <v>4.2810703810000001</v>
      </c>
      <c r="H2315" s="2">
        <v>3.66826E-4</v>
      </c>
      <c r="I2315" s="2" t="s">
        <v>41297</v>
      </c>
      <c r="J2315" s="2" t="s">
        <v>41298</v>
      </c>
      <c r="K2315" s="2">
        <v>2.28539E-3</v>
      </c>
      <c r="L2315" s="2" t="s">
        <v>1178</v>
      </c>
      <c r="M2315" s="4" t="s">
        <v>23385</v>
      </c>
    </row>
    <row r="2316" spans="1:13">
      <c r="A2316" s="2">
        <v>1567</v>
      </c>
      <c r="B2316" s="2" t="s">
        <v>41299</v>
      </c>
      <c r="C2316" s="2">
        <v>9</v>
      </c>
      <c r="D2316" s="2">
        <v>341</v>
      </c>
      <c r="E2316" s="2">
        <v>200</v>
      </c>
      <c r="F2316" s="2">
        <v>32441</v>
      </c>
      <c r="G2316" s="2">
        <v>4.2810703810000001</v>
      </c>
      <c r="H2316" s="2">
        <v>3.66826E-4</v>
      </c>
      <c r="I2316" s="2" t="s">
        <v>41300</v>
      </c>
      <c r="J2316" s="2" t="s">
        <v>41301</v>
      </c>
      <c r="K2316" s="2">
        <v>2.28539E-3</v>
      </c>
      <c r="L2316" s="2" t="s">
        <v>1178</v>
      </c>
      <c r="M2316" s="4" t="s">
        <v>41302</v>
      </c>
    </row>
    <row r="2317" spans="1:13">
      <c r="A2317" s="2">
        <v>1629</v>
      </c>
      <c r="B2317" s="2" t="s">
        <v>1593</v>
      </c>
      <c r="C2317" s="2">
        <v>9</v>
      </c>
      <c r="D2317" s="2">
        <v>341</v>
      </c>
      <c r="E2317" s="2">
        <v>200</v>
      </c>
      <c r="F2317" s="2">
        <v>32441</v>
      </c>
      <c r="G2317" s="2">
        <v>4.2810703810000001</v>
      </c>
      <c r="H2317" s="2">
        <v>3.66826E-4</v>
      </c>
      <c r="I2317" s="2" t="s">
        <v>41303</v>
      </c>
      <c r="J2317" s="2" t="s">
        <v>41304</v>
      </c>
      <c r="K2317" s="2">
        <v>2.28539E-3</v>
      </c>
      <c r="L2317" s="2" t="s">
        <v>1178</v>
      </c>
      <c r="M2317" s="4" t="s">
        <v>33391</v>
      </c>
    </row>
    <row r="2318" spans="1:13">
      <c r="A2318" s="2">
        <v>16551</v>
      </c>
      <c r="B2318" s="2" t="s">
        <v>16485</v>
      </c>
      <c r="C2318" s="2">
        <v>9</v>
      </c>
      <c r="D2318" s="2">
        <v>341</v>
      </c>
      <c r="E2318" s="2">
        <v>200</v>
      </c>
      <c r="F2318" s="2">
        <v>32441</v>
      </c>
      <c r="G2318" s="2">
        <v>4.2810703810000001</v>
      </c>
      <c r="H2318" s="2">
        <v>3.66826E-4</v>
      </c>
      <c r="I2318" s="2" t="s">
        <v>41305</v>
      </c>
      <c r="J2318" s="2" t="s">
        <v>41306</v>
      </c>
      <c r="K2318" s="2">
        <v>2.28539E-3</v>
      </c>
      <c r="L2318" s="2" t="s">
        <v>1178</v>
      </c>
      <c r="M2318" s="4" t="s">
        <v>16488</v>
      </c>
    </row>
    <row r="2319" spans="1:13">
      <c r="A2319" s="2">
        <v>1802</v>
      </c>
      <c r="B2319" s="2" t="s">
        <v>13068</v>
      </c>
      <c r="C2319" s="2">
        <v>9</v>
      </c>
      <c r="D2319" s="2">
        <v>341</v>
      </c>
      <c r="E2319" s="2">
        <v>200</v>
      </c>
      <c r="F2319" s="2">
        <v>32441</v>
      </c>
      <c r="G2319" s="2">
        <v>4.2810703810000001</v>
      </c>
      <c r="H2319" s="2">
        <v>3.66826E-4</v>
      </c>
      <c r="I2319" s="2" t="s">
        <v>41307</v>
      </c>
      <c r="J2319" s="2" t="s">
        <v>41308</v>
      </c>
      <c r="K2319" s="2">
        <v>2.28539E-3</v>
      </c>
      <c r="L2319" s="2" t="s">
        <v>1178</v>
      </c>
      <c r="M2319" s="4" t="s">
        <v>13071</v>
      </c>
    </row>
    <row r="2320" spans="1:13">
      <c r="A2320" s="2">
        <v>2011</v>
      </c>
      <c r="B2320" s="2" t="s">
        <v>41309</v>
      </c>
      <c r="C2320" s="2">
        <v>9</v>
      </c>
      <c r="D2320" s="2">
        <v>341</v>
      </c>
      <c r="E2320" s="2">
        <v>200</v>
      </c>
      <c r="F2320" s="2">
        <v>32441</v>
      </c>
      <c r="G2320" s="2">
        <v>4.2810703810000001</v>
      </c>
      <c r="H2320" s="2">
        <v>3.66826E-4</v>
      </c>
      <c r="I2320" s="2" t="s">
        <v>41310</v>
      </c>
      <c r="J2320" s="2" t="s">
        <v>41311</v>
      </c>
      <c r="K2320" s="2">
        <v>2.28539E-3</v>
      </c>
      <c r="L2320" s="2" t="s">
        <v>1178</v>
      </c>
      <c r="M2320" s="4" t="s">
        <v>41312</v>
      </c>
    </row>
    <row r="2321" spans="1:13">
      <c r="A2321" s="2">
        <v>2083</v>
      </c>
      <c r="B2321" s="2" t="s">
        <v>33451</v>
      </c>
      <c r="C2321" s="2">
        <v>9</v>
      </c>
      <c r="D2321" s="2">
        <v>341</v>
      </c>
      <c r="E2321" s="2">
        <v>200</v>
      </c>
      <c r="F2321" s="2">
        <v>32441</v>
      </c>
      <c r="G2321" s="2">
        <v>4.2810703810000001</v>
      </c>
      <c r="H2321" s="2">
        <v>3.66826E-4</v>
      </c>
      <c r="I2321" s="2" t="s">
        <v>41313</v>
      </c>
      <c r="J2321" s="2" t="s">
        <v>41314</v>
      </c>
      <c r="K2321" s="2">
        <v>2.28539E-3</v>
      </c>
      <c r="L2321" s="2" t="s">
        <v>1178</v>
      </c>
      <c r="M2321" s="4" t="s">
        <v>33454</v>
      </c>
    </row>
    <row r="2322" spans="1:13">
      <c r="A2322" s="2">
        <v>22111</v>
      </c>
      <c r="B2322" s="2" t="s">
        <v>41315</v>
      </c>
      <c r="C2322" s="2">
        <v>9</v>
      </c>
      <c r="D2322" s="2">
        <v>341</v>
      </c>
      <c r="E2322" s="2">
        <v>200</v>
      </c>
      <c r="F2322" s="2">
        <v>32441</v>
      </c>
      <c r="G2322" s="2">
        <v>4.2810703810000001</v>
      </c>
      <c r="H2322" s="2">
        <v>3.66826E-4</v>
      </c>
      <c r="I2322" s="2" t="s">
        <v>41316</v>
      </c>
      <c r="J2322" s="2" t="s">
        <v>41317</v>
      </c>
      <c r="K2322" s="2">
        <v>2.28539E-3</v>
      </c>
      <c r="L2322" s="2" t="s">
        <v>1178</v>
      </c>
      <c r="M2322" s="4" t="s">
        <v>41318</v>
      </c>
    </row>
    <row r="2323" spans="1:13">
      <c r="A2323" s="2">
        <v>2246</v>
      </c>
      <c r="B2323" s="2" t="s">
        <v>41319</v>
      </c>
      <c r="C2323" s="2">
        <v>9</v>
      </c>
      <c r="D2323" s="2">
        <v>341</v>
      </c>
      <c r="E2323" s="2">
        <v>200</v>
      </c>
      <c r="F2323" s="2">
        <v>32441</v>
      </c>
      <c r="G2323" s="2">
        <v>4.2810703810000001</v>
      </c>
      <c r="H2323" s="2">
        <v>3.66826E-4</v>
      </c>
      <c r="I2323" s="2" t="s">
        <v>41320</v>
      </c>
      <c r="J2323" s="2" t="s">
        <v>41321</v>
      </c>
      <c r="K2323" s="2">
        <v>2.28539E-3</v>
      </c>
      <c r="L2323" s="2" t="s">
        <v>1178</v>
      </c>
      <c r="M2323" s="4" t="s">
        <v>41322</v>
      </c>
    </row>
    <row r="2324" spans="1:13">
      <c r="A2324" s="2">
        <v>26181</v>
      </c>
      <c r="B2324" s="2" t="s">
        <v>31290</v>
      </c>
      <c r="C2324" s="2">
        <v>9</v>
      </c>
      <c r="D2324" s="2">
        <v>341</v>
      </c>
      <c r="E2324" s="2">
        <v>200</v>
      </c>
      <c r="F2324" s="2">
        <v>32441</v>
      </c>
      <c r="G2324" s="2">
        <v>4.2810703810000001</v>
      </c>
      <c r="H2324" s="2">
        <v>3.66826E-4</v>
      </c>
      <c r="I2324" s="2" t="s">
        <v>41323</v>
      </c>
      <c r="J2324" s="2" t="s">
        <v>41324</v>
      </c>
      <c r="K2324" s="2">
        <v>2.28539E-3</v>
      </c>
      <c r="L2324" s="2" t="s">
        <v>1178</v>
      </c>
      <c r="M2324" s="4" t="s">
        <v>31293</v>
      </c>
    </row>
    <row r="2325" spans="1:13">
      <c r="A2325" s="2">
        <v>2620</v>
      </c>
      <c r="B2325" s="2" t="s">
        <v>2214</v>
      </c>
      <c r="C2325" s="2">
        <v>9</v>
      </c>
      <c r="D2325" s="2">
        <v>341</v>
      </c>
      <c r="E2325" s="2">
        <v>200</v>
      </c>
      <c r="F2325" s="2">
        <v>32441</v>
      </c>
      <c r="G2325" s="2">
        <v>4.2810703810000001</v>
      </c>
      <c r="H2325" s="2">
        <v>3.66826E-4</v>
      </c>
      <c r="I2325" s="2" t="s">
        <v>41325</v>
      </c>
      <c r="J2325" s="2" t="s">
        <v>41326</v>
      </c>
      <c r="K2325" s="2">
        <v>2.28539E-3</v>
      </c>
      <c r="L2325" s="2" t="s">
        <v>1178</v>
      </c>
      <c r="M2325" s="4" t="s">
        <v>18100</v>
      </c>
    </row>
    <row r="2326" spans="1:13">
      <c r="A2326" s="2">
        <v>2638</v>
      </c>
      <c r="B2326" s="2" t="s">
        <v>22274</v>
      </c>
      <c r="C2326" s="2">
        <v>9</v>
      </c>
      <c r="D2326" s="2">
        <v>341</v>
      </c>
      <c r="E2326" s="2">
        <v>200</v>
      </c>
      <c r="F2326" s="2">
        <v>32441</v>
      </c>
      <c r="G2326" s="2">
        <v>4.2810703810000001</v>
      </c>
      <c r="H2326" s="2">
        <v>3.66826E-4</v>
      </c>
      <c r="I2326" s="2" t="s">
        <v>41327</v>
      </c>
      <c r="J2326" s="2" t="s">
        <v>41328</v>
      </c>
      <c r="K2326" s="2">
        <v>2.28539E-3</v>
      </c>
      <c r="L2326" s="2" t="s">
        <v>1178</v>
      </c>
      <c r="M2326" s="4" t="s">
        <v>22277</v>
      </c>
    </row>
    <row r="2327" spans="1:13">
      <c r="A2327" s="2">
        <v>26481</v>
      </c>
      <c r="B2327" s="2" t="s">
        <v>41329</v>
      </c>
      <c r="C2327" s="2">
        <v>9</v>
      </c>
      <c r="D2327" s="2">
        <v>341</v>
      </c>
      <c r="E2327" s="2">
        <v>200</v>
      </c>
      <c r="F2327" s="2">
        <v>32441</v>
      </c>
      <c r="G2327" s="2">
        <v>4.2810703810000001</v>
      </c>
      <c r="H2327" s="2">
        <v>3.66826E-4</v>
      </c>
      <c r="I2327" s="2" t="s">
        <v>41330</v>
      </c>
      <c r="J2327" s="2" t="s">
        <v>41331</v>
      </c>
      <c r="K2327" s="2">
        <v>2.28539E-3</v>
      </c>
      <c r="L2327" s="2" t="s">
        <v>1178</v>
      </c>
      <c r="M2327" s="4" t="s">
        <v>41332</v>
      </c>
    </row>
    <row r="2328" spans="1:13">
      <c r="A2328" s="2">
        <v>28561</v>
      </c>
      <c r="B2328" s="2" t="s">
        <v>41333</v>
      </c>
      <c r="C2328" s="2">
        <v>9</v>
      </c>
      <c r="D2328" s="2">
        <v>341</v>
      </c>
      <c r="E2328" s="2">
        <v>200</v>
      </c>
      <c r="F2328" s="2">
        <v>32441</v>
      </c>
      <c r="G2328" s="2">
        <v>4.2810703810000001</v>
      </c>
      <c r="H2328" s="2">
        <v>3.66826E-4</v>
      </c>
      <c r="I2328" s="2" t="s">
        <v>41334</v>
      </c>
      <c r="J2328" s="2" t="s">
        <v>41335</v>
      </c>
      <c r="K2328" s="2">
        <v>2.28539E-3</v>
      </c>
      <c r="L2328" s="2" t="s">
        <v>1178</v>
      </c>
      <c r="M2328" s="4" t="s">
        <v>41336</v>
      </c>
    </row>
    <row r="2329" spans="1:13">
      <c r="A2329" s="2">
        <v>28641</v>
      </c>
      <c r="B2329" s="2" t="s">
        <v>18960</v>
      </c>
      <c r="C2329" s="2">
        <v>9</v>
      </c>
      <c r="D2329" s="2">
        <v>341</v>
      </c>
      <c r="E2329" s="2">
        <v>200</v>
      </c>
      <c r="F2329" s="2">
        <v>32441</v>
      </c>
      <c r="G2329" s="2">
        <v>4.2810703810000001</v>
      </c>
      <c r="H2329" s="2">
        <v>3.66826E-4</v>
      </c>
      <c r="I2329" s="2" t="s">
        <v>41337</v>
      </c>
      <c r="J2329" s="2" t="s">
        <v>41338</v>
      </c>
      <c r="K2329" s="2">
        <v>2.28539E-3</v>
      </c>
      <c r="L2329" s="2" t="s">
        <v>1178</v>
      </c>
      <c r="M2329" s="4" t="s">
        <v>18963</v>
      </c>
    </row>
    <row r="2330" spans="1:13">
      <c r="A2330" s="2">
        <v>2886</v>
      </c>
      <c r="B2330" s="2" t="s">
        <v>22301</v>
      </c>
      <c r="C2330" s="2">
        <v>9</v>
      </c>
      <c r="D2330" s="2">
        <v>341</v>
      </c>
      <c r="E2330" s="2">
        <v>200</v>
      </c>
      <c r="F2330" s="2">
        <v>32441</v>
      </c>
      <c r="G2330" s="2">
        <v>4.2810703810000001</v>
      </c>
      <c r="H2330" s="2">
        <v>3.66826E-4</v>
      </c>
      <c r="I2330" s="2" t="s">
        <v>41339</v>
      </c>
      <c r="J2330" s="2" t="s">
        <v>41340</v>
      </c>
      <c r="K2330" s="2">
        <v>2.28539E-3</v>
      </c>
      <c r="L2330" s="2" t="s">
        <v>1178</v>
      </c>
      <c r="M2330" s="4" t="s">
        <v>22304</v>
      </c>
    </row>
    <row r="2331" spans="1:13">
      <c r="A2331" s="2">
        <v>29491</v>
      </c>
      <c r="B2331" s="2" t="s">
        <v>23737</v>
      </c>
      <c r="C2331" s="2">
        <v>9</v>
      </c>
      <c r="D2331" s="2">
        <v>341</v>
      </c>
      <c r="E2331" s="2">
        <v>200</v>
      </c>
      <c r="F2331" s="2">
        <v>32441</v>
      </c>
      <c r="G2331" s="2">
        <v>4.2810703810000001</v>
      </c>
      <c r="H2331" s="2">
        <v>3.66826E-4</v>
      </c>
      <c r="I2331" s="2" t="s">
        <v>41341</v>
      </c>
      <c r="J2331" s="2" t="s">
        <v>41342</v>
      </c>
      <c r="K2331" s="2">
        <v>2.28539E-3</v>
      </c>
      <c r="L2331" s="2" t="s">
        <v>1178</v>
      </c>
      <c r="M2331" s="4" t="s">
        <v>23740</v>
      </c>
    </row>
    <row r="2332" spans="1:13">
      <c r="A2332" s="2">
        <v>2959</v>
      </c>
      <c r="B2332" s="2" t="s">
        <v>1428</v>
      </c>
      <c r="C2332" s="2">
        <v>9</v>
      </c>
      <c r="D2332" s="2">
        <v>341</v>
      </c>
      <c r="E2332" s="2">
        <v>200</v>
      </c>
      <c r="F2332" s="2">
        <v>32441</v>
      </c>
      <c r="G2332" s="2">
        <v>4.2810703810000001</v>
      </c>
      <c r="H2332" s="2">
        <v>3.66826E-4</v>
      </c>
      <c r="I2332" s="2" t="s">
        <v>41343</v>
      </c>
      <c r="J2332" s="2" t="s">
        <v>41344</v>
      </c>
      <c r="K2332" s="2">
        <v>2.28539E-3</v>
      </c>
      <c r="L2332" s="2" t="s">
        <v>1178</v>
      </c>
      <c r="M2332" s="4" t="s">
        <v>41345</v>
      </c>
    </row>
    <row r="2333" spans="1:13">
      <c r="A2333" s="2">
        <v>30891</v>
      </c>
      <c r="B2333" s="2" t="s">
        <v>41346</v>
      </c>
      <c r="C2333" s="2">
        <v>9</v>
      </c>
      <c r="D2333" s="2">
        <v>341</v>
      </c>
      <c r="E2333" s="2">
        <v>200</v>
      </c>
      <c r="F2333" s="2">
        <v>32441</v>
      </c>
      <c r="G2333" s="2">
        <v>4.2810703810000001</v>
      </c>
      <c r="H2333" s="2">
        <v>3.66826E-4</v>
      </c>
      <c r="I2333" s="2" t="s">
        <v>41347</v>
      </c>
      <c r="J2333" s="2" t="s">
        <v>41348</v>
      </c>
      <c r="K2333" s="2">
        <v>2.28539E-3</v>
      </c>
      <c r="L2333" s="2" t="s">
        <v>1178</v>
      </c>
      <c r="M2333" s="4" t="s">
        <v>41349</v>
      </c>
    </row>
    <row r="2334" spans="1:13">
      <c r="A2334" s="2">
        <v>3269</v>
      </c>
      <c r="B2334" s="2" t="s">
        <v>2637</v>
      </c>
      <c r="C2334" s="2">
        <v>9</v>
      </c>
      <c r="D2334" s="2">
        <v>341</v>
      </c>
      <c r="E2334" s="2">
        <v>200</v>
      </c>
      <c r="F2334" s="2">
        <v>32441</v>
      </c>
      <c r="G2334" s="2">
        <v>4.2810703810000001</v>
      </c>
      <c r="H2334" s="2">
        <v>3.66826E-4</v>
      </c>
      <c r="I2334" s="2" t="s">
        <v>41350</v>
      </c>
      <c r="J2334" s="2" t="s">
        <v>41351</v>
      </c>
      <c r="K2334" s="2">
        <v>2.28539E-3</v>
      </c>
      <c r="L2334" s="2" t="s">
        <v>1178</v>
      </c>
      <c r="M2334" s="4" t="s">
        <v>22390</v>
      </c>
    </row>
    <row r="2335" spans="1:13">
      <c r="A2335" s="2">
        <v>3273</v>
      </c>
      <c r="B2335" s="2" t="s">
        <v>33583</v>
      </c>
      <c r="C2335" s="2">
        <v>9</v>
      </c>
      <c r="D2335" s="2">
        <v>341</v>
      </c>
      <c r="E2335" s="2">
        <v>200</v>
      </c>
      <c r="F2335" s="2">
        <v>32441</v>
      </c>
      <c r="G2335" s="2">
        <v>4.2810703810000001</v>
      </c>
      <c r="H2335" s="2">
        <v>3.66826E-4</v>
      </c>
      <c r="I2335" s="2" t="s">
        <v>41352</v>
      </c>
      <c r="J2335" s="2" t="s">
        <v>41353</v>
      </c>
      <c r="K2335" s="2">
        <v>2.28539E-3</v>
      </c>
      <c r="L2335" s="2" t="s">
        <v>1178</v>
      </c>
      <c r="M2335" s="4" t="s">
        <v>33586</v>
      </c>
    </row>
    <row r="2336" spans="1:13">
      <c r="A2336" s="2">
        <v>32912</v>
      </c>
      <c r="B2336" s="2" t="s">
        <v>31308</v>
      </c>
      <c r="C2336" s="2">
        <v>9</v>
      </c>
      <c r="D2336" s="2">
        <v>341</v>
      </c>
      <c r="E2336" s="2">
        <v>200</v>
      </c>
      <c r="F2336" s="2">
        <v>32441</v>
      </c>
      <c r="G2336" s="2">
        <v>4.2810703810000001</v>
      </c>
      <c r="H2336" s="2">
        <v>3.66826E-4</v>
      </c>
      <c r="I2336" s="2" t="s">
        <v>41354</v>
      </c>
      <c r="J2336" s="2" t="s">
        <v>41355</v>
      </c>
      <c r="K2336" s="2">
        <v>2.28539E-3</v>
      </c>
      <c r="L2336" s="2" t="s">
        <v>1178</v>
      </c>
      <c r="M2336" s="4" t="s">
        <v>31311</v>
      </c>
    </row>
    <row r="2337" spans="1:13">
      <c r="A2337" s="2">
        <v>33791</v>
      </c>
      <c r="B2337" s="2" t="s">
        <v>14911</v>
      </c>
      <c r="C2337" s="2">
        <v>9</v>
      </c>
      <c r="D2337" s="2">
        <v>341</v>
      </c>
      <c r="E2337" s="2">
        <v>200</v>
      </c>
      <c r="F2337" s="2">
        <v>32441</v>
      </c>
      <c r="G2337" s="2">
        <v>4.2810703810000001</v>
      </c>
      <c r="H2337" s="2">
        <v>3.66826E-4</v>
      </c>
      <c r="I2337" s="2" t="s">
        <v>41356</v>
      </c>
      <c r="J2337" s="2" t="s">
        <v>41357</v>
      </c>
      <c r="K2337" s="2">
        <v>2.28539E-3</v>
      </c>
      <c r="L2337" s="2" t="s">
        <v>1178</v>
      </c>
      <c r="M2337" s="4" t="s">
        <v>14914</v>
      </c>
    </row>
    <row r="2338" spans="1:13">
      <c r="A2338" s="2">
        <v>33861</v>
      </c>
      <c r="B2338" s="2" t="s">
        <v>19993</v>
      </c>
      <c r="C2338" s="2">
        <v>9</v>
      </c>
      <c r="D2338" s="2">
        <v>341</v>
      </c>
      <c r="E2338" s="2">
        <v>199</v>
      </c>
      <c r="F2338" s="2">
        <v>32441</v>
      </c>
      <c r="G2338" s="2">
        <v>4.3025832980000001</v>
      </c>
      <c r="H2338" s="2">
        <v>3.5420699999999999E-4</v>
      </c>
      <c r="I2338" s="2" t="s">
        <v>41358</v>
      </c>
      <c r="J2338" s="2" t="s">
        <v>41359</v>
      </c>
      <c r="K2338" s="2">
        <v>2.28539E-3</v>
      </c>
      <c r="L2338" s="2" t="s">
        <v>1178</v>
      </c>
      <c r="M2338" s="4" t="s">
        <v>19996</v>
      </c>
    </row>
    <row r="2339" spans="1:13">
      <c r="A2339" s="2">
        <v>3432</v>
      </c>
      <c r="B2339" s="2" t="s">
        <v>19053</v>
      </c>
      <c r="C2339" s="2">
        <v>9</v>
      </c>
      <c r="D2339" s="2">
        <v>341</v>
      </c>
      <c r="E2339" s="2">
        <v>199</v>
      </c>
      <c r="F2339" s="2">
        <v>32441</v>
      </c>
      <c r="G2339" s="2">
        <v>4.3025832980000001</v>
      </c>
      <c r="H2339" s="2">
        <v>3.5420699999999999E-4</v>
      </c>
      <c r="I2339" s="2" t="s">
        <v>41360</v>
      </c>
      <c r="J2339" s="2" t="s">
        <v>41361</v>
      </c>
      <c r="K2339" s="2">
        <v>2.28539E-3</v>
      </c>
      <c r="L2339" s="2" t="s">
        <v>1178</v>
      </c>
      <c r="M2339" s="4" t="s">
        <v>19056</v>
      </c>
    </row>
    <row r="2340" spans="1:13">
      <c r="A2340" s="2">
        <v>3460</v>
      </c>
      <c r="B2340" s="2" t="s">
        <v>13576</v>
      </c>
      <c r="C2340" s="2">
        <v>9</v>
      </c>
      <c r="D2340" s="2">
        <v>341</v>
      </c>
      <c r="E2340" s="2">
        <v>200</v>
      </c>
      <c r="F2340" s="2">
        <v>32441</v>
      </c>
      <c r="G2340" s="2">
        <v>4.2810703810000001</v>
      </c>
      <c r="H2340" s="2">
        <v>3.66826E-4</v>
      </c>
      <c r="I2340" s="2" t="s">
        <v>41362</v>
      </c>
      <c r="J2340" s="2" t="s">
        <v>41363</v>
      </c>
      <c r="K2340" s="2">
        <v>2.28539E-3</v>
      </c>
      <c r="L2340" s="2" t="s">
        <v>1178</v>
      </c>
      <c r="M2340" s="4" t="s">
        <v>13579</v>
      </c>
    </row>
    <row r="2341" spans="1:13">
      <c r="A2341" s="2">
        <v>3722</v>
      </c>
      <c r="B2341" s="2" t="s">
        <v>21284</v>
      </c>
      <c r="C2341" s="2">
        <v>9</v>
      </c>
      <c r="D2341" s="2">
        <v>341</v>
      </c>
      <c r="E2341" s="2">
        <v>200</v>
      </c>
      <c r="F2341" s="2">
        <v>32441</v>
      </c>
      <c r="G2341" s="2">
        <v>4.2810703810000001</v>
      </c>
      <c r="H2341" s="2">
        <v>3.66826E-4</v>
      </c>
      <c r="I2341" s="2" t="s">
        <v>41364</v>
      </c>
      <c r="J2341" s="2" t="s">
        <v>41365</v>
      </c>
      <c r="K2341" s="2">
        <v>2.28539E-3</v>
      </c>
      <c r="L2341" s="2" t="s">
        <v>1178</v>
      </c>
      <c r="M2341" s="4" t="s">
        <v>21287</v>
      </c>
    </row>
    <row r="2342" spans="1:13">
      <c r="A2342" s="2">
        <v>3743</v>
      </c>
      <c r="B2342" s="2" t="s">
        <v>16679</v>
      </c>
      <c r="C2342" s="2">
        <v>9</v>
      </c>
      <c r="D2342" s="2">
        <v>341</v>
      </c>
      <c r="E2342" s="2">
        <v>200</v>
      </c>
      <c r="F2342" s="2">
        <v>32441</v>
      </c>
      <c r="G2342" s="2">
        <v>4.2810703810000001</v>
      </c>
      <c r="H2342" s="2">
        <v>3.66826E-4</v>
      </c>
      <c r="I2342" s="2" t="s">
        <v>41366</v>
      </c>
      <c r="J2342" s="2" t="s">
        <v>41367</v>
      </c>
      <c r="K2342" s="2">
        <v>2.28539E-3</v>
      </c>
      <c r="L2342" s="2" t="s">
        <v>1178</v>
      </c>
      <c r="M2342" s="4" t="s">
        <v>16682</v>
      </c>
    </row>
    <row r="2343" spans="1:13">
      <c r="A2343" s="2">
        <v>3779</v>
      </c>
      <c r="B2343" s="2" t="s">
        <v>20115</v>
      </c>
      <c r="C2343" s="2">
        <v>9</v>
      </c>
      <c r="D2343" s="2">
        <v>341</v>
      </c>
      <c r="E2343" s="2">
        <v>200</v>
      </c>
      <c r="F2343" s="2">
        <v>32441</v>
      </c>
      <c r="G2343" s="2">
        <v>4.2810703810000001</v>
      </c>
      <c r="H2343" s="2">
        <v>3.66826E-4</v>
      </c>
      <c r="I2343" s="2" t="s">
        <v>41368</v>
      </c>
      <c r="J2343" s="2" t="s">
        <v>41369</v>
      </c>
      <c r="K2343" s="2">
        <v>2.28539E-3</v>
      </c>
      <c r="L2343" s="2" t="s">
        <v>1178</v>
      </c>
      <c r="M2343" s="4" t="s">
        <v>20118</v>
      </c>
    </row>
    <row r="2344" spans="1:13">
      <c r="A2344" s="2">
        <v>3810</v>
      </c>
      <c r="B2344" s="2" t="s">
        <v>1752</v>
      </c>
      <c r="C2344" s="2">
        <v>9</v>
      </c>
      <c r="D2344" s="2">
        <v>341</v>
      </c>
      <c r="E2344" s="2">
        <v>200</v>
      </c>
      <c r="F2344" s="2">
        <v>32441</v>
      </c>
      <c r="G2344" s="2">
        <v>4.2810703810000001</v>
      </c>
      <c r="H2344" s="2">
        <v>3.66826E-4</v>
      </c>
      <c r="I2344" s="2" t="s">
        <v>41370</v>
      </c>
      <c r="J2344" s="2" t="s">
        <v>41371</v>
      </c>
      <c r="K2344" s="2">
        <v>2.28539E-3</v>
      </c>
      <c r="L2344" s="2" t="s">
        <v>1178</v>
      </c>
      <c r="M2344" s="4" t="s">
        <v>19128</v>
      </c>
    </row>
    <row r="2345" spans="1:13">
      <c r="A2345" s="2">
        <v>4005</v>
      </c>
      <c r="B2345" s="2" t="s">
        <v>22586</v>
      </c>
      <c r="C2345" s="2">
        <v>9</v>
      </c>
      <c r="D2345" s="2">
        <v>341</v>
      </c>
      <c r="E2345" s="2">
        <v>200</v>
      </c>
      <c r="F2345" s="2">
        <v>32441</v>
      </c>
      <c r="G2345" s="2">
        <v>4.2810703810000001</v>
      </c>
      <c r="H2345" s="2">
        <v>3.66826E-4</v>
      </c>
      <c r="I2345" s="2" t="s">
        <v>41372</v>
      </c>
      <c r="J2345" s="2" t="s">
        <v>41373</v>
      </c>
      <c r="K2345" s="2">
        <v>2.28539E-3</v>
      </c>
      <c r="L2345" s="2" t="s">
        <v>1178</v>
      </c>
      <c r="M2345" s="4" t="s">
        <v>22589</v>
      </c>
    </row>
    <row r="2346" spans="1:13">
      <c r="A2346" s="2">
        <v>4037</v>
      </c>
      <c r="B2346" s="2" t="s">
        <v>41374</v>
      </c>
      <c r="C2346" s="2">
        <v>9</v>
      </c>
      <c r="D2346" s="2">
        <v>341</v>
      </c>
      <c r="E2346" s="2">
        <v>200</v>
      </c>
      <c r="F2346" s="2">
        <v>32441</v>
      </c>
      <c r="G2346" s="2">
        <v>4.2810703810000001</v>
      </c>
      <c r="H2346" s="2">
        <v>3.66826E-4</v>
      </c>
      <c r="I2346" s="2" t="s">
        <v>41375</v>
      </c>
      <c r="J2346" s="2" t="s">
        <v>41376</v>
      </c>
      <c r="K2346" s="2">
        <v>2.28539E-3</v>
      </c>
      <c r="L2346" s="2" t="s">
        <v>1178</v>
      </c>
      <c r="M2346" s="4" t="s">
        <v>41377</v>
      </c>
    </row>
    <row r="2347" spans="1:13">
      <c r="A2347" s="2">
        <v>4282</v>
      </c>
      <c r="B2347" s="2" t="s">
        <v>15479</v>
      </c>
      <c r="C2347" s="2">
        <v>9</v>
      </c>
      <c r="D2347" s="2">
        <v>341</v>
      </c>
      <c r="E2347" s="2">
        <v>200</v>
      </c>
      <c r="F2347" s="2">
        <v>32441</v>
      </c>
      <c r="G2347" s="2">
        <v>4.2810703810000001</v>
      </c>
      <c r="H2347" s="2">
        <v>3.66826E-4</v>
      </c>
      <c r="I2347" s="2" t="s">
        <v>41378</v>
      </c>
      <c r="J2347" s="2" t="s">
        <v>41379</v>
      </c>
      <c r="K2347" s="2">
        <v>2.28539E-3</v>
      </c>
      <c r="L2347" s="2" t="s">
        <v>1178</v>
      </c>
      <c r="M2347" s="4" t="s">
        <v>15482</v>
      </c>
    </row>
    <row r="2348" spans="1:13">
      <c r="A2348" s="2">
        <v>4296</v>
      </c>
      <c r="B2348" s="2" t="s">
        <v>17519</v>
      </c>
      <c r="C2348" s="2">
        <v>9</v>
      </c>
      <c r="D2348" s="2">
        <v>341</v>
      </c>
      <c r="E2348" s="2">
        <v>200</v>
      </c>
      <c r="F2348" s="2">
        <v>32441</v>
      </c>
      <c r="G2348" s="2">
        <v>4.2810703810000001</v>
      </c>
      <c r="H2348" s="2">
        <v>3.66826E-4</v>
      </c>
      <c r="I2348" s="2" t="s">
        <v>41380</v>
      </c>
      <c r="J2348" s="2" t="s">
        <v>41381</v>
      </c>
      <c r="K2348" s="2">
        <v>2.28539E-3</v>
      </c>
      <c r="L2348" s="2" t="s">
        <v>1178</v>
      </c>
      <c r="M2348" s="4" t="s">
        <v>17522</v>
      </c>
    </row>
    <row r="2349" spans="1:13">
      <c r="A2349" s="2">
        <v>43131</v>
      </c>
      <c r="B2349" s="2" t="s">
        <v>2697</v>
      </c>
      <c r="C2349" s="2">
        <v>9</v>
      </c>
      <c r="D2349" s="2">
        <v>341</v>
      </c>
      <c r="E2349" s="2">
        <v>200</v>
      </c>
      <c r="F2349" s="2">
        <v>32441</v>
      </c>
      <c r="G2349" s="2">
        <v>4.2810703810000001</v>
      </c>
      <c r="H2349" s="2">
        <v>3.66826E-4</v>
      </c>
      <c r="I2349" s="2" t="s">
        <v>41382</v>
      </c>
      <c r="J2349" s="2" t="s">
        <v>41383</v>
      </c>
      <c r="K2349" s="2">
        <v>2.28539E-3</v>
      </c>
      <c r="L2349" s="2" t="s">
        <v>1178</v>
      </c>
      <c r="M2349" s="4" t="s">
        <v>41384</v>
      </c>
    </row>
    <row r="2350" spans="1:13">
      <c r="A2350" s="2">
        <v>4363</v>
      </c>
      <c r="B2350" s="2" t="s">
        <v>34419</v>
      </c>
      <c r="C2350" s="2">
        <v>9</v>
      </c>
      <c r="D2350" s="2">
        <v>341</v>
      </c>
      <c r="E2350" s="2">
        <v>200</v>
      </c>
      <c r="F2350" s="2">
        <v>32441</v>
      </c>
      <c r="G2350" s="2">
        <v>4.2810703810000001</v>
      </c>
      <c r="H2350" s="2">
        <v>3.66826E-4</v>
      </c>
      <c r="I2350" s="2" t="s">
        <v>41385</v>
      </c>
      <c r="J2350" s="2" t="s">
        <v>41386</v>
      </c>
      <c r="K2350" s="2">
        <v>2.28539E-3</v>
      </c>
      <c r="L2350" s="2" t="s">
        <v>1178</v>
      </c>
      <c r="M2350" s="4" t="s">
        <v>34422</v>
      </c>
    </row>
    <row r="2351" spans="1:13">
      <c r="A2351" s="2">
        <v>4370</v>
      </c>
      <c r="B2351" s="2" t="s">
        <v>20191</v>
      </c>
      <c r="C2351" s="2">
        <v>9</v>
      </c>
      <c r="D2351" s="2">
        <v>341</v>
      </c>
      <c r="E2351" s="2">
        <v>199</v>
      </c>
      <c r="F2351" s="2">
        <v>32441</v>
      </c>
      <c r="G2351" s="2">
        <v>4.3025832980000001</v>
      </c>
      <c r="H2351" s="2">
        <v>3.5420699999999999E-4</v>
      </c>
      <c r="I2351" s="2" t="s">
        <v>41387</v>
      </c>
      <c r="J2351" s="2" t="s">
        <v>41388</v>
      </c>
      <c r="K2351" s="2">
        <v>2.28539E-3</v>
      </c>
      <c r="L2351" s="2" t="s">
        <v>1178</v>
      </c>
      <c r="M2351" s="4" t="s">
        <v>20194</v>
      </c>
    </row>
    <row r="2352" spans="1:13">
      <c r="A2352" s="2">
        <v>4398</v>
      </c>
      <c r="B2352" s="2" t="s">
        <v>34429</v>
      </c>
      <c r="C2352" s="2">
        <v>9</v>
      </c>
      <c r="D2352" s="2">
        <v>341</v>
      </c>
      <c r="E2352" s="2">
        <v>200</v>
      </c>
      <c r="F2352" s="2">
        <v>32441</v>
      </c>
      <c r="G2352" s="2">
        <v>4.2810703810000001</v>
      </c>
      <c r="H2352" s="2">
        <v>3.66826E-4</v>
      </c>
      <c r="I2352" s="2" t="s">
        <v>41389</v>
      </c>
      <c r="J2352" s="2" t="s">
        <v>41390</v>
      </c>
      <c r="K2352" s="2">
        <v>2.28539E-3</v>
      </c>
      <c r="L2352" s="2" t="s">
        <v>1178</v>
      </c>
      <c r="M2352" s="4" t="s">
        <v>34432</v>
      </c>
    </row>
    <row r="2353" spans="1:13">
      <c r="A2353" s="2">
        <v>4415</v>
      </c>
      <c r="B2353" s="2" t="s">
        <v>19197</v>
      </c>
      <c r="C2353" s="2">
        <v>9</v>
      </c>
      <c r="D2353" s="2">
        <v>341</v>
      </c>
      <c r="E2353" s="2">
        <v>200</v>
      </c>
      <c r="F2353" s="2">
        <v>32441</v>
      </c>
      <c r="G2353" s="2">
        <v>4.2810703810000001</v>
      </c>
      <c r="H2353" s="2">
        <v>3.66826E-4</v>
      </c>
      <c r="I2353" s="2" t="s">
        <v>41391</v>
      </c>
      <c r="J2353" s="2" t="s">
        <v>41392</v>
      </c>
      <c r="K2353" s="2">
        <v>2.28539E-3</v>
      </c>
      <c r="L2353" s="2" t="s">
        <v>1178</v>
      </c>
      <c r="M2353" s="4" t="s">
        <v>19200</v>
      </c>
    </row>
    <row r="2354" spans="1:13">
      <c r="A2354" s="2">
        <v>44221</v>
      </c>
      <c r="B2354" s="2" t="s">
        <v>13365</v>
      </c>
      <c r="C2354" s="2">
        <v>9</v>
      </c>
      <c r="D2354" s="2">
        <v>341</v>
      </c>
      <c r="E2354" s="2">
        <v>200</v>
      </c>
      <c r="F2354" s="2">
        <v>32441</v>
      </c>
      <c r="G2354" s="2">
        <v>4.2810703810000001</v>
      </c>
      <c r="H2354" s="2">
        <v>3.66826E-4</v>
      </c>
      <c r="I2354" s="2" t="s">
        <v>41393</v>
      </c>
      <c r="J2354" s="2" t="s">
        <v>41394</v>
      </c>
      <c r="K2354" s="2">
        <v>2.28539E-3</v>
      </c>
      <c r="L2354" s="2" t="s">
        <v>1178</v>
      </c>
      <c r="M2354" s="4" t="s">
        <v>13368</v>
      </c>
    </row>
    <row r="2355" spans="1:13">
      <c r="A2355" s="2">
        <v>4474</v>
      </c>
      <c r="B2355" s="2" t="s">
        <v>24291</v>
      </c>
      <c r="C2355" s="2">
        <v>9</v>
      </c>
      <c r="D2355" s="2">
        <v>341</v>
      </c>
      <c r="E2355" s="2">
        <v>200</v>
      </c>
      <c r="F2355" s="2">
        <v>32441</v>
      </c>
      <c r="G2355" s="2">
        <v>4.2810703810000001</v>
      </c>
      <c r="H2355" s="2">
        <v>3.66826E-4</v>
      </c>
      <c r="I2355" s="2" t="s">
        <v>41395</v>
      </c>
      <c r="J2355" s="2" t="s">
        <v>41396</v>
      </c>
      <c r="K2355" s="2">
        <v>2.28539E-3</v>
      </c>
      <c r="L2355" s="2" t="s">
        <v>1178</v>
      </c>
      <c r="M2355" s="4" t="s">
        <v>24294</v>
      </c>
    </row>
    <row r="2356" spans="1:13">
      <c r="A2356" s="2">
        <v>4478</v>
      </c>
      <c r="B2356" s="2" t="s">
        <v>41397</v>
      </c>
      <c r="C2356" s="2">
        <v>9</v>
      </c>
      <c r="D2356" s="2">
        <v>341</v>
      </c>
      <c r="E2356" s="2">
        <v>200</v>
      </c>
      <c r="F2356" s="2">
        <v>32441</v>
      </c>
      <c r="G2356" s="2">
        <v>4.2810703810000001</v>
      </c>
      <c r="H2356" s="2">
        <v>3.66826E-4</v>
      </c>
      <c r="I2356" s="2" t="s">
        <v>41398</v>
      </c>
      <c r="J2356" s="2" t="s">
        <v>41399</v>
      </c>
      <c r="K2356" s="2">
        <v>2.28539E-3</v>
      </c>
      <c r="L2356" s="2" t="s">
        <v>1178</v>
      </c>
      <c r="M2356" s="4" t="s">
        <v>41400</v>
      </c>
    </row>
    <row r="2357" spans="1:13">
      <c r="A2357" s="2">
        <v>47331</v>
      </c>
      <c r="B2357" s="2" t="s">
        <v>20252</v>
      </c>
      <c r="C2357" s="2">
        <v>9</v>
      </c>
      <c r="D2357" s="2">
        <v>341</v>
      </c>
      <c r="E2357" s="2">
        <v>200</v>
      </c>
      <c r="F2357" s="2">
        <v>32441</v>
      </c>
      <c r="G2357" s="2">
        <v>4.2810703810000001</v>
      </c>
      <c r="H2357" s="2">
        <v>3.66826E-4</v>
      </c>
      <c r="I2357" s="2" t="s">
        <v>41401</v>
      </c>
      <c r="J2357" s="2" t="s">
        <v>41402</v>
      </c>
      <c r="K2357" s="2">
        <v>2.28539E-3</v>
      </c>
      <c r="L2357" s="2" t="s">
        <v>1178</v>
      </c>
      <c r="M2357" s="4" t="s">
        <v>20255</v>
      </c>
    </row>
    <row r="2358" spans="1:13">
      <c r="A2358" s="2">
        <v>3616</v>
      </c>
      <c r="B2358" s="2" t="s">
        <v>16218</v>
      </c>
      <c r="C2358" s="2">
        <v>8</v>
      </c>
      <c r="D2358" s="2">
        <v>341</v>
      </c>
      <c r="E2358" s="2">
        <v>162</v>
      </c>
      <c r="F2358" s="2">
        <v>32441</v>
      </c>
      <c r="G2358" s="2">
        <v>4.6980196230000004</v>
      </c>
      <c r="H2358" s="2">
        <v>4.3008199999999998E-4</v>
      </c>
      <c r="I2358" s="2" t="s">
        <v>41403</v>
      </c>
      <c r="J2358" s="2" t="s">
        <v>41404</v>
      </c>
      <c r="K2358" s="2">
        <v>2.6760680000000002E-3</v>
      </c>
      <c r="L2358" s="2" t="s">
        <v>1178</v>
      </c>
      <c r="M2358" s="4" t="s">
        <v>16221</v>
      </c>
    </row>
    <row r="2359" spans="1:13">
      <c r="A2359" s="2">
        <v>2698</v>
      </c>
      <c r="B2359" s="2" t="s">
        <v>34512</v>
      </c>
      <c r="C2359" s="2">
        <v>8</v>
      </c>
      <c r="D2359" s="2">
        <v>341</v>
      </c>
      <c r="E2359" s="2">
        <v>174</v>
      </c>
      <c r="F2359" s="2">
        <v>32441</v>
      </c>
      <c r="G2359" s="2">
        <v>4.3740182689999996</v>
      </c>
      <c r="H2359" s="2">
        <v>6.7440999999999996E-4</v>
      </c>
      <c r="I2359" s="2" t="s">
        <v>41405</v>
      </c>
      <c r="J2359" s="2" t="s">
        <v>41406</v>
      </c>
      <c r="K2359" s="2">
        <v>4.1909770000000002E-3</v>
      </c>
      <c r="L2359" s="2" t="s">
        <v>1178</v>
      </c>
      <c r="M2359" s="4" t="s">
        <v>34515</v>
      </c>
    </row>
    <row r="2360" spans="1:13">
      <c r="A2360" s="2">
        <v>2663</v>
      </c>
      <c r="B2360" s="2" t="s">
        <v>14247</v>
      </c>
      <c r="C2360" s="2">
        <v>7</v>
      </c>
      <c r="D2360" s="2">
        <v>341</v>
      </c>
      <c r="E2360" s="2">
        <v>142</v>
      </c>
      <c r="F2360" s="2">
        <v>32441</v>
      </c>
      <c r="G2360" s="2">
        <v>4.6897484609999998</v>
      </c>
      <c r="H2360" s="2">
        <v>9.8530699999999994E-4</v>
      </c>
      <c r="I2360" s="2" t="s">
        <v>41407</v>
      </c>
      <c r="J2360" s="2" t="s">
        <v>41408</v>
      </c>
      <c r="K2360" s="2">
        <v>6.1151820000000003E-3</v>
      </c>
      <c r="L2360" s="2" t="s">
        <v>1178</v>
      </c>
      <c r="M2360" s="4" t="s">
        <v>14250</v>
      </c>
    </row>
    <row r="2361" spans="1:13">
      <c r="A2361" s="2">
        <v>2756</v>
      </c>
      <c r="B2361" s="2" t="s">
        <v>22786</v>
      </c>
      <c r="C2361" s="2">
        <v>7</v>
      </c>
      <c r="D2361" s="2">
        <v>341</v>
      </c>
      <c r="E2361" s="2">
        <v>147</v>
      </c>
      <c r="F2361" s="2">
        <v>32441</v>
      </c>
      <c r="G2361" s="2">
        <v>4.5302332080000003</v>
      </c>
      <c r="H2361" s="2">
        <v>1.1936780000000001E-3</v>
      </c>
      <c r="I2361" s="2" t="s">
        <v>41409</v>
      </c>
      <c r="J2361" s="2" t="s">
        <v>41410</v>
      </c>
      <c r="K2361" s="2">
        <v>7.3989829999999996E-3</v>
      </c>
      <c r="L2361" s="2" t="s">
        <v>1178</v>
      </c>
      <c r="M2361" s="4" t="s">
        <v>22789</v>
      </c>
    </row>
    <row r="2362" spans="1:13">
      <c r="A2362" s="2">
        <v>2669</v>
      </c>
      <c r="B2362" s="2" t="s">
        <v>1779</v>
      </c>
      <c r="C2362" s="2">
        <v>7</v>
      </c>
      <c r="D2362" s="2">
        <v>341</v>
      </c>
      <c r="E2362" s="2">
        <v>148</v>
      </c>
      <c r="F2362" s="2">
        <v>32441</v>
      </c>
      <c r="G2362" s="2">
        <v>4.4996235240000004</v>
      </c>
      <c r="H2362" s="2">
        <v>1.2392099999999999E-3</v>
      </c>
      <c r="I2362" s="2" t="s">
        <v>41411</v>
      </c>
      <c r="J2362" s="2" t="s">
        <v>41412</v>
      </c>
      <c r="K2362" s="2">
        <v>7.6714469999999996E-3</v>
      </c>
      <c r="L2362" s="2" t="s">
        <v>1178</v>
      </c>
      <c r="M2362" s="4" t="s">
        <v>41413</v>
      </c>
    </row>
    <row r="2363" spans="1:13">
      <c r="A2363" s="2">
        <v>87</v>
      </c>
      <c r="B2363" s="2" t="s">
        <v>33205</v>
      </c>
      <c r="C2363" s="2">
        <v>8</v>
      </c>
      <c r="D2363" s="2">
        <v>341</v>
      </c>
      <c r="E2363" s="2">
        <v>200</v>
      </c>
      <c r="F2363" s="2">
        <v>32441</v>
      </c>
      <c r="G2363" s="2">
        <v>3.8053958940000001</v>
      </c>
      <c r="H2363" s="2">
        <v>1.5885739999999999E-3</v>
      </c>
      <c r="I2363" s="2" t="s">
        <v>41414</v>
      </c>
      <c r="J2363" s="2" t="s">
        <v>41415</v>
      </c>
      <c r="K2363" s="2">
        <v>8.5237130000000005E-3</v>
      </c>
      <c r="L2363" s="2" t="s">
        <v>1178</v>
      </c>
      <c r="M2363" s="4" t="s">
        <v>33208</v>
      </c>
    </row>
    <row r="2364" spans="1:13">
      <c r="A2364" s="2">
        <v>931</v>
      </c>
      <c r="B2364" s="2" t="s">
        <v>41416</v>
      </c>
      <c r="C2364" s="2">
        <v>8</v>
      </c>
      <c r="D2364" s="2">
        <v>341</v>
      </c>
      <c r="E2364" s="2">
        <v>200</v>
      </c>
      <c r="F2364" s="2">
        <v>32441</v>
      </c>
      <c r="G2364" s="2">
        <v>3.8053958940000001</v>
      </c>
      <c r="H2364" s="2">
        <v>1.5885739999999999E-3</v>
      </c>
      <c r="I2364" s="2" t="s">
        <v>41417</v>
      </c>
      <c r="J2364" s="2" t="s">
        <v>41418</v>
      </c>
      <c r="K2364" s="2">
        <v>8.5237130000000005E-3</v>
      </c>
      <c r="L2364" s="2" t="s">
        <v>1178</v>
      </c>
      <c r="M2364" s="4" t="s">
        <v>41419</v>
      </c>
    </row>
    <row r="2365" spans="1:13">
      <c r="A2365" s="2">
        <v>1002</v>
      </c>
      <c r="B2365" s="2" t="s">
        <v>2307</v>
      </c>
      <c r="C2365" s="2">
        <v>8</v>
      </c>
      <c r="D2365" s="2">
        <v>341</v>
      </c>
      <c r="E2365" s="2">
        <v>200</v>
      </c>
      <c r="F2365" s="2">
        <v>32441</v>
      </c>
      <c r="G2365" s="2">
        <v>3.8053958940000001</v>
      </c>
      <c r="H2365" s="2">
        <v>1.5885739999999999E-3</v>
      </c>
      <c r="I2365" s="2" t="s">
        <v>41420</v>
      </c>
      <c r="J2365" s="2" t="s">
        <v>41421</v>
      </c>
      <c r="K2365" s="2">
        <v>8.5237130000000005E-3</v>
      </c>
      <c r="L2365" s="2" t="s">
        <v>1178</v>
      </c>
      <c r="M2365" s="4" t="s">
        <v>41422</v>
      </c>
    </row>
    <row r="2366" spans="1:13">
      <c r="A2366" s="2">
        <v>1981</v>
      </c>
      <c r="B2366" s="2" t="s">
        <v>19450</v>
      </c>
      <c r="C2366" s="2">
        <v>8</v>
      </c>
      <c r="D2366" s="2">
        <v>341</v>
      </c>
      <c r="E2366" s="2">
        <v>200</v>
      </c>
      <c r="F2366" s="2">
        <v>32441</v>
      </c>
      <c r="G2366" s="2">
        <v>3.8053958940000001</v>
      </c>
      <c r="H2366" s="2">
        <v>1.5885739999999999E-3</v>
      </c>
      <c r="I2366" s="2" t="s">
        <v>41423</v>
      </c>
      <c r="J2366" s="2" t="s">
        <v>41424</v>
      </c>
      <c r="K2366" s="2">
        <v>8.5237130000000005E-3</v>
      </c>
      <c r="L2366" s="2" t="s">
        <v>1178</v>
      </c>
      <c r="M2366" s="4" t="s">
        <v>19453</v>
      </c>
    </row>
    <row r="2367" spans="1:13">
      <c r="A2367" s="2">
        <v>229</v>
      </c>
      <c r="B2367" s="2" t="s">
        <v>31498</v>
      </c>
      <c r="C2367" s="2">
        <v>8</v>
      </c>
      <c r="D2367" s="2">
        <v>341</v>
      </c>
      <c r="E2367" s="2">
        <v>200</v>
      </c>
      <c r="F2367" s="2">
        <v>32441</v>
      </c>
      <c r="G2367" s="2">
        <v>3.8053958940000001</v>
      </c>
      <c r="H2367" s="2">
        <v>1.5885739999999999E-3</v>
      </c>
      <c r="I2367" s="2" t="s">
        <v>41425</v>
      </c>
      <c r="J2367" s="2" t="s">
        <v>41426</v>
      </c>
      <c r="K2367" s="2">
        <v>8.5237130000000005E-3</v>
      </c>
      <c r="L2367" s="2" t="s">
        <v>1178</v>
      </c>
      <c r="M2367" s="4" t="s">
        <v>31501</v>
      </c>
    </row>
    <row r="2368" spans="1:13">
      <c r="A2368" s="2">
        <v>238</v>
      </c>
      <c r="B2368" s="2" t="s">
        <v>41427</v>
      </c>
      <c r="C2368" s="2">
        <v>8</v>
      </c>
      <c r="D2368" s="2">
        <v>341</v>
      </c>
      <c r="E2368" s="2">
        <v>200</v>
      </c>
      <c r="F2368" s="2">
        <v>32441</v>
      </c>
      <c r="G2368" s="2">
        <v>3.8053958940000001</v>
      </c>
      <c r="H2368" s="2">
        <v>1.5885739999999999E-3</v>
      </c>
      <c r="I2368" s="2" t="s">
        <v>41428</v>
      </c>
      <c r="J2368" s="2" t="s">
        <v>41429</v>
      </c>
      <c r="K2368" s="2">
        <v>8.5237130000000005E-3</v>
      </c>
      <c r="L2368" s="2" t="s">
        <v>1178</v>
      </c>
      <c r="M2368" s="4" t="s">
        <v>41430</v>
      </c>
    </row>
    <row r="2369" spans="1:13">
      <c r="A2369" s="2">
        <v>2471</v>
      </c>
      <c r="B2369" s="2" t="s">
        <v>22909</v>
      </c>
      <c r="C2369" s="2">
        <v>8</v>
      </c>
      <c r="D2369" s="2">
        <v>341</v>
      </c>
      <c r="E2369" s="2">
        <v>200</v>
      </c>
      <c r="F2369" s="2">
        <v>32441</v>
      </c>
      <c r="G2369" s="2">
        <v>3.8053958940000001</v>
      </c>
      <c r="H2369" s="2">
        <v>1.5885739999999999E-3</v>
      </c>
      <c r="I2369" s="2" t="s">
        <v>41431</v>
      </c>
      <c r="J2369" s="2" t="s">
        <v>41432</v>
      </c>
      <c r="K2369" s="2">
        <v>8.5237130000000005E-3</v>
      </c>
      <c r="L2369" s="2" t="s">
        <v>1178</v>
      </c>
      <c r="M2369" s="4" t="s">
        <v>22912</v>
      </c>
    </row>
    <row r="2370" spans="1:13">
      <c r="A2370" s="2">
        <v>265</v>
      </c>
      <c r="B2370" s="2" t="s">
        <v>41433</v>
      </c>
      <c r="C2370" s="2">
        <v>8</v>
      </c>
      <c r="D2370" s="2">
        <v>341</v>
      </c>
      <c r="E2370" s="2">
        <v>200</v>
      </c>
      <c r="F2370" s="2">
        <v>32441</v>
      </c>
      <c r="G2370" s="2">
        <v>3.8053958940000001</v>
      </c>
      <c r="H2370" s="2">
        <v>1.5885739999999999E-3</v>
      </c>
      <c r="I2370" s="2" t="s">
        <v>41434</v>
      </c>
      <c r="J2370" s="2" t="s">
        <v>41435</v>
      </c>
      <c r="K2370" s="2">
        <v>8.5237130000000005E-3</v>
      </c>
      <c r="L2370" s="2" t="s">
        <v>1178</v>
      </c>
      <c r="M2370" s="4" t="s">
        <v>41436</v>
      </c>
    </row>
    <row r="2371" spans="1:13">
      <c r="A2371" s="2">
        <v>2921</v>
      </c>
      <c r="B2371" s="2" t="s">
        <v>14317</v>
      </c>
      <c r="C2371" s="2">
        <v>8</v>
      </c>
      <c r="D2371" s="2">
        <v>341</v>
      </c>
      <c r="E2371" s="2">
        <v>200</v>
      </c>
      <c r="F2371" s="2">
        <v>32441</v>
      </c>
      <c r="G2371" s="2">
        <v>3.8053958940000001</v>
      </c>
      <c r="H2371" s="2">
        <v>1.5885739999999999E-3</v>
      </c>
      <c r="I2371" s="2" t="s">
        <v>41437</v>
      </c>
      <c r="J2371" s="2" t="s">
        <v>41438</v>
      </c>
      <c r="K2371" s="2">
        <v>8.5237130000000005E-3</v>
      </c>
      <c r="L2371" s="2" t="s">
        <v>1178</v>
      </c>
      <c r="M2371" s="4" t="s">
        <v>14320</v>
      </c>
    </row>
    <row r="2372" spans="1:13">
      <c r="A2372" s="2">
        <v>3503</v>
      </c>
      <c r="B2372" s="2" t="s">
        <v>32220</v>
      </c>
      <c r="C2372" s="2">
        <v>8</v>
      </c>
      <c r="D2372" s="2">
        <v>341</v>
      </c>
      <c r="E2372" s="2">
        <v>200</v>
      </c>
      <c r="F2372" s="2">
        <v>32441</v>
      </c>
      <c r="G2372" s="2">
        <v>3.8053958940000001</v>
      </c>
      <c r="H2372" s="2">
        <v>1.5885739999999999E-3</v>
      </c>
      <c r="I2372" s="2" t="s">
        <v>41439</v>
      </c>
      <c r="J2372" s="2" t="s">
        <v>41440</v>
      </c>
      <c r="K2372" s="2">
        <v>8.5237130000000005E-3</v>
      </c>
      <c r="L2372" s="2" t="s">
        <v>1178</v>
      </c>
      <c r="M2372" s="4" t="s">
        <v>32223</v>
      </c>
    </row>
    <row r="2373" spans="1:13">
      <c r="A2373" s="2">
        <v>413</v>
      </c>
      <c r="B2373" s="2" t="s">
        <v>18549</v>
      </c>
      <c r="C2373" s="2">
        <v>8</v>
      </c>
      <c r="D2373" s="2">
        <v>341</v>
      </c>
      <c r="E2373" s="2">
        <v>200</v>
      </c>
      <c r="F2373" s="2">
        <v>32441</v>
      </c>
      <c r="G2373" s="2">
        <v>3.8053958940000001</v>
      </c>
      <c r="H2373" s="2">
        <v>1.5885739999999999E-3</v>
      </c>
      <c r="I2373" s="2" t="s">
        <v>41441</v>
      </c>
      <c r="J2373" s="2" t="s">
        <v>41442</v>
      </c>
      <c r="K2373" s="2">
        <v>8.5237130000000005E-3</v>
      </c>
      <c r="L2373" s="2" t="s">
        <v>1178</v>
      </c>
      <c r="M2373" s="4" t="s">
        <v>18552</v>
      </c>
    </row>
    <row r="2374" spans="1:13">
      <c r="A2374" s="2">
        <v>4161</v>
      </c>
      <c r="B2374" s="2" t="s">
        <v>32655</v>
      </c>
      <c r="C2374" s="2">
        <v>8</v>
      </c>
      <c r="D2374" s="2">
        <v>341</v>
      </c>
      <c r="E2374" s="2">
        <v>200</v>
      </c>
      <c r="F2374" s="2">
        <v>32441</v>
      </c>
      <c r="G2374" s="2">
        <v>3.8053958940000001</v>
      </c>
      <c r="H2374" s="2">
        <v>1.5885739999999999E-3</v>
      </c>
      <c r="I2374" s="2" t="s">
        <v>41443</v>
      </c>
      <c r="J2374" s="2" t="s">
        <v>41444</v>
      </c>
      <c r="K2374" s="2">
        <v>8.5237130000000005E-3</v>
      </c>
      <c r="L2374" s="2" t="s">
        <v>1178</v>
      </c>
      <c r="M2374" s="4" t="s">
        <v>32658</v>
      </c>
    </row>
    <row r="2375" spans="1:13">
      <c r="A2375" s="2">
        <v>4491</v>
      </c>
      <c r="B2375" s="2" t="s">
        <v>31935</v>
      </c>
      <c r="C2375" s="2">
        <v>8</v>
      </c>
      <c r="D2375" s="2">
        <v>341</v>
      </c>
      <c r="E2375" s="2">
        <v>200</v>
      </c>
      <c r="F2375" s="2">
        <v>32441</v>
      </c>
      <c r="G2375" s="2">
        <v>3.8053958940000001</v>
      </c>
      <c r="H2375" s="2">
        <v>1.5885739999999999E-3</v>
      </c>
      <c r="I2375" s="2" t="s">
        <v>41445</v>
      </c>
      <c r="J2375" s="2" t="s">
        <v>41446</v>
      </c>
      <c r="K2375" s="2">
        <v>8.5237130000000005E-3</v>
      </c>
      <c r="L2375" s="2" t="s">
        <v>1178</v>
      </c>
      <c r="M2375" s="4" t="s">
        <v>31938</v>
      </c>
    </row>
    <row r="2376" spans="1:13">
      <c r="A2376" s="2">
        <v>4532</v>
      </c>
      <c r="B2376" s="2" t="s">
        <v>32659</v>
      </c>
      <c r="C2376" s="2">
        <v>8</v>
      </c>
      <c r="D2376" s="2">
        <v>341</v>
      </c>
      <c r="E2376" s="2">
        <v>200</v>
      </c>
      <c r="F2376" s="2">
        <v>32441</v>
      </c>
      <c r="G2376" s="2">
        <v>3.8053958940000001</v>
      </c>
      <c r="H2376" s="2">
        <v>1.5885739999999999E-3</v>
      </c>
      <c r="I2376" s="2" t="s">
        <v>41447</v>
      </c>
      <c r="J2376" s="2" t="s">
        <v>41448</v>
      </c>
      <c r="K2376" s="2">
        <v>8.5237130000000005E-3</v>
      </c>
      <c r="L2376" s="2" t="s">
        <v>1178</v>
      </c>
      <c r="M2376" s="4" t="s">
        <v>32662</v>
      </c>
    </row>
    <row r="2377" spans="1:13">
      <c r="A2377" s="2">
        <v>485</v>
      </c>
      <c r="B2377" s="2" t="s">
        <v>21765</v>
      </c>
      <c r="C2377" s="2">
        <v>8</v>
      </c>
      <c r="D2377" s="2">
        <v>341</v>
      </c>
      <c r="E2377" s="2">
        <v>200</v>
      </c>
      <c r="F2377" s="2">
        <v>32441</v>
      </c>
      <c r="G2377" s="2">
        <v>3.8053958940000001</v>
      </c>
      <c r="H2377" s="2">
        <v>1.5885739999999999E-3</v>
      </c>
      <c r="I2377" s="2" t="s">
        <v>41449</v>
      </c>
      <c r="J2377" s="2" t="s">
        <v>41450</v>
      </c>
      <c r="K2377" s="2">
        <v>8.5237130000000005E-3</v>
      </c>
      <c r="L2377" s="2" t="s">
        <v>1178</v>
      </c>
      <c r="M2377" s="4" t="s">
        <v>21768</v>
      </c>
    </row>
    <row r="2378" spans="1:13">
      <c r="A2378" s="2">
        <v>501</v>
      </c>
      <c r="B2378" s="2" t="s">
        <v>2046</v>
      </c>
      <c r="C2378" s="2">
        <v>8</v>
      </c>
      <c r="D2378" s="2">
        <v>341</v>
      </c>
      <c r="E2378" s="2">
        <v>200</v>
      </c>
      <c r="F2378" s="2">
        <v>32441</v>
      </c>
      <c r="G2378" s="2">
        <v>3.8053958940000001</v>
      </c>
      <c r="H2378" s="2">
        <v>1.5885739999999999E-3</v>
      </c>
      <c r="I2378" s="2" t="s">
        <v>41451</v>
      </c>
      <c r="J2378" s="2" t="s">
        <v>41452</v>
      </c>
      <c r="K2378" s="2">
        <v>8.5237130000000005E-3</v>
      </c>
      <c r="L2378" s="2" t="s">
        <v>1178</v>
      </c>
      <c r="M2378" s="4" t="s">
        <v>21775</v>
      </c>
    </row>
    <row r="2379" spans="1:13">
      <c r="A2379" s="2">
        <v>536</v>
      </c>
      <c r="B2379" s="2" t="s">
        <v>1827</v>
      </c>
      <c r="C2379" s="2">
        <v>8</v>
      </c>
      <c r="D2379" s="2">
        <v>341</v>
      </c>
      <c r="E2379" s="2">
        <v>199</v>
      </c>
      <c r="F2379" s="2">
        <v>32441</v>
      </c>
      <c r="G2379" s="2">
        <v>3.8245184870000002</v>
      </c>
      <c r="H2379" s="2">
        <v>1.5410980000000001E-3</v>
      </c>
      <c r="I2379" s="2" t="s">
        <v>41453</v>
      </c>
      <c r="J2379" s="2" t="s">
        <v>41454</v>
      </c>
      <c r="K2379" s="2">
        <v>8.5237130000000005E-3</v>
      </c>
      <c r="L2379" s="2" t="s">
        <v>1178</v>
      </c>
      <c r="M2379" s="4" t="s">
        <v>17789</v>
      </c>
    </row>
    <row r="2380" spans="1:13">
      <c r="A2380" s="2">
        <v>544</v>
      </c>
      <c r="B2380" s="2" t="s">
        <v>2352</v>
      </c>
      <c r="C2380" s="2">
        <v>8</v>
      </c>
      <c r="D2380" s="2">
        <v>341</v>
      </c>
      <c r="E2380" s="2">
        <v>200</v>
      </c>
      <c r="F2380" s="2">
        <v>32441</v>
      </c>
      <c r="G2380" s="2">
        <v>3.8053958940000001</v>
      </c>
      <c r="H2380" s="2">
        <v>1.5885739999999999E-3</v>
      </c>
      <c r="I2380" s="2" t="s">
        <v>41455</v>
      </c>
      <c r="J2380" s="2" t="s">
        <v>41456</v>
      </c>
      <c r="K2380" s="2">
        <v>8.5237130000000005E-3</v>
      </c>
      <c r="L2380" s="2" t="s">
        <v>1178</v>
      </c>
      <c r="M2380" s="4" t="s">
        <v>13447</v>
      </c>
    </row>
    <row r="2381" spans="1:13">
      <c r="A2381" s="2">
        <v>554</v>
      </c>
      <c r="B2381" s="2" t="s">
        <v>41457</v>
      </c>
      <c r="C2381" s="2">
        <v>8</v>
      </c>
      <c r="D2381" s="2">
        <v>341</v>
      </c>
      <c r="E2381" s="2">
        <v>200</v>
      </c>
      <c r="F2381" s="2">
        <v>32441</v>
      </c>
      <c r="G2381" s="2">
        <v>3.8053958940000001</v>
      </c>
      <c r="H2381" s="2">
        <v>1.5885739999999999E-3</v>
      </c>
      <c r="I2381" s="2" t="s">
        <v>41458</v>
      </c>
      <c r="J2381" s="2" t="s">
        <v>41459</v>
      </c>
      <c r="K2381" s="2">
        <v>8.5237130000000005E-3</v>
      </c>
      <c r="L2381" s="2" t="s">
        <v>1178</v>
      </c>
      <c r="M2381" s="4" t="s">
        <v>41460</v>
      </c>
    </row>
    <row r="2382" spans="1:13">
      <c r="A2382" s="2">
        <v>571</v>
      </c>
      <c r="B2382" s="2" t="s">
        <v>33246</v>
      </c>
      <c r="C2382" s="2">
        <v>8</v>
      </c>
      <c r="D2382" s="2">
        <v>341</v>
      </c>
      <c r="E2382" s="2">
        <v>200</v>
      </c>
      <c r="F2382" s="2">
        <v>32441</v>
      </c>
      <c r="G2382" s="2">
        <v>3.8053958940000001</v>
      </c>
      <c r="H2382" s="2">
        <v>1.5885739999999999E-3</v>
      </c>
      <c r="I2382" s="2" t="s">
        <v>41461</v>
      </c>
      <c r="J2382" s="2" t="s">
        <v>41462</v>
      </c>
      <c r="K2382" s="2">
        <v>8.5237130000000005E-3</v>
      </c>
      <c r="L2382" s="2" t="s">
        <v>1178</v>
      </c>
      <c r="M2382" s="4" t="s">
        <v>33249</v>
      </c>
    </row>
    <row r="2383" spans="1:13">
      <c r="A2383" s="2">
        <v>623</v>
      </c>
      <c r="B2383" s="2" t="s">
        <v>1569</v>
      </c>
      <c r="C2383" s="2">
        <v>8</v>
      </c>
      <c r="D2383" s="2">
        <v>341</v>
      </c>
      <c r="E2383" s="2">
        <v>200</v>
      </c>
      <c r="F2383" s="2">
        <v>32441</v>
      </c>
      <c r="G2383" s="2">
        <v>3.8053958940000001</v>
      </c>
      <c r="H2383" s="2">
        <v>1.5885739999999999E-3</v>
      </c>
      <c r="I2383" s="2" t="s">
        <v>41463</v>
      </c>
      <c r="J2383" s="2" t="s">
        <v>41464</v>
      </c>
      <c r="K2383" s="2">
        <v>8.5237130000000005E-3</v>
      </c>
      <c r="L2383" s="2" t="s">
        <v>1178</v>
      </c>
      <c r="M2383" s="4" t="s">
        <v>21829</v>
      </c>
    </row>
    <row r="2384" spans="1:13">
      <c r="A2384" s="2">
        <v>6342</v>
      </c>
      <c r="B2384" s="2" t="s">
        <v>41465</v>
      </c>
      <c r="C2384" s="2">
        <v>8</v>
      </c>
      <c r="D2384" s="2">
        <v>341</v>
      </c>
      <c r="E2384" s="2">
        <v>200</v>
      </c>
      <c r="F2384" s="2">
        <v>32441</v>
      </c>
      <c r="G2384" s="2">
        <v>3.8053958940000001</v>
      </c>
      <c r="H2384" s="2">
        <v>1.5885739999999999E-3</v>
      </c>
      <c r="I2384" s="2" t="s">
        <v>41466</v>
      </c>
      <c r="J2384" s="2" t="s">
        <v>41467</v>
      </c>
      <c r="K2384" s="2">
        <v>8.5237130000000005E-3</v>
      </c>
      <c r="L2384" s="2" t="s">
        <v>1178</v>
      </c>
      <c r="M2384" s="4" t="s">
        <v>41468</v>
      </c>
    </row>
    <row r="2385" spans="1:13">
      <c r="A2385" s="2">
        <v>674</v>
      </c>
      <c r="B2385" s="2" t="s">
        <v>17814</v>
      </c>
      <c r="C2385" s="2">
        <v>8</v>
      </c>
      <c r="D2385" s="2">
        <v>341</v>
      </c>
      <c r="E2385" s="2">
        <v>199</v>
      </c>
      <c r="F2385" s="2">
        <v>32441</v>
      </c>
      <c r="G2385" s="2">
        <v>3.8245184870000002</v>
      </c>
      <c r="H2385" s="2">
        <v>1.5410980000000001E-3</v>
      </c>
      <c r="I2385" s="2" t="s">
        <v>41469</v>
      </c>
      <c r="J2385" s="2" t="s">
        <v>41470</v>
      </c>
      <c r="K2385" s="2">
        <v>8.5237130000000005E-3</v>
      </c>
      <c r="L2385" s="2" t="s">
        <v>1178</v>
      </c>
      <c r="M2385" s="4" t="s">
        <v>17817</v>
      </c>
    </row>
    <row r="2386" spans="1:13">
      <c r="A2386" s="2">
        <v>677</v>
      </c>
      <c r="B2386" s="2" t="s">
        <v>23085</v>
      </c>
      <c r="C2386" s="2">
        <v>8</v>
      </c>
      <c r="D2386" s="2">
        <v>341</v>
      </c>
      <c r="E2386" s="2">
        <v>200</v>
      </c>
      <c r="F2386" s="2">
        <v>32441</v>
      </c>
      <c r="G2386" s="2">
        <v>3.8053958940000001</v>
      </c>
      <c r="H2386" s="2">
        <v>1.5885739999999999E-3</v>
      </c>
      <c r="I2386" s="2" t="s">
        <v>41471</v>
      </c>
      <c r="J2386" s="2" t="s">
        <v>41472</v>
      </c>
      <c r="K2386" s="2">
        <v>8.5237130000000005E-3</v>
      </c>
      <c r="L2386" s="2" t="s">
        <v>1178</v>
      </c>
      <c r="M2386" s="4" t="s">
        <v>23088</v>
      </c>
    </row>
    <row r="2387" spans="1:13">
      <c r="A2387" s="2">
        <v>6861</v>
      </c>
      <c r="B2387" s="2" t="s">
        <v>1839</v>
      </c>
      <c r="C2387" s="2">
        <v>8</v>
      </c>
      <c r="D2387" s="2">
        <v>341</v>
      </c>
      <c r="E2387" s="2">
        <v>200</v>
      </c>
      <c r="F2387" s="2">
        <v>32441</v>
      </c>
      <c r="G2387" s="2">
        <v>3.8053958940000001</v>
      </c>
      <c r="H2387" s="2">
        <v>1.5885739999999999E-3</v>
      </c>
      <c r="I2387" s="2" t="s">
        <v>41473</v>
      </c>
      <c r="J2387" s="2" t="s">
        <v>41474</v>
      </c>
      <c r="K2387" s="2">
        <v>8.5237130000000005E-3</v>
      </c>
      <c r="L2387" s="2" t="s">
        <v>1178</v>
      </c>
      <c r="M2387" s="4" t="s">
        <v>21870</v>
      </c>
    </row>
    <row r="2388" spans="1:13">
      <c r="A2388" s="2">
        <v>709</v>
      </c>
      <c r="B2388" s="2" t="s">
        <v>41475</v>
      </c>
      <c r="C2388" s="2">
        <v>8</v>
      </c>
      <c r="D2388" s="2">
        <v>341</v>
      </c>
      <c r="E2388" s="2">
        <v>200</v>
      </c>
      <c r="F2388" s="2">
        <v>32441</v>
      </c>
      <c r="G2388" s="2">
        <v>3.8053958940000001</v>
      </c>
      <c r="H2388" s="2">
        <v>1.5885739999999999E-3</v>
      </c>
      <c r="I2388" s="2" t="s">
        <v>41476</v>
      </c>
      <c r="J2388" s="2" t="s">
        <v>41477</v>
      </c>
      <c r="K2388" s="2">
        <v>8.5237130000000005E-3</v>
      </c>
      <c r="L2388" s="2" t="s">
        <v>1178</v>
      </c>
      <c r="M2388" s="4" t="s">
        <v>41478</v>
      </c>
    </row>
    <row r="2389" spans="1:13">
      <c r="A2389" s="2">
        <v>743</v>
      </c>
      <c r="B2389" s="2" t="s">
        <v>18621</v>
      </c>
      <c r="C2389" s="2">
        <v>8</v>
      </c>
      <c r="D2389" s="2">
        <v>341</v>
      </c>
      <c r="E2389" s="2">
        <v>200</v>
      </c>
      <c r="F2389" s="2">
        <v>32441</v>
      </c>
      <c r="G2389" s="2">
        <v>3.8053958940000001</v>
      </c>
      <c r="H2389" s="2">
        <v>1.5885739999999999E-3</v>
      </c>
      <c r="I2389" s="2" t="s">
        <v>41479</v>
      </c>
      <c r="J2389" s="2" t="s">
        <v>41480</v>
      </c>
      <c r="K2389" s="2">
        <v>8.5237130000000005E-3</v>
      </c>
      <c r="L2389" s="2" t="s">
        <v>1178</v>
      </c>
      <c r="M2389" s="4" t="s">
        <v>18624</v>
      </c>
    </row>
    <row r="2390" spans="1:13">
      <c r="A2390" s="2">
        <v>763</v>
      </c>
      <c r="B2390" s="2" t="s">
        <v>13700</v>
      </c>
      <c r="C2390" s="2">
        <v>8</v>
      </c>
      <c r="D2390" s="2">
        <v>341</v>
      </c>
      <c r="E2390" s="2">
        <v>200</v>
      </c>
      <c r="F2390" s="2">
        <v>32441</v>
      </c>
      <c r="G2390" s="2">
        <v>3.8053958940000001</v>
      </c>
      <c r="H2390" s="2">
        <v>1.5885739999999999E-3</v>
      </c>
      <c r="I2390" s="2" t="s">
        <v>41481</v>
      </c>
      <c r="J2390" s="2" t="s">
        <v>41482</v>
      </c>
      <c r="K2390" s="2">
        <v>8.5237130000000005E-3</v>
      </c>
      <c r="L2390" s="2" t="s">
        <v>1178</v>
      </c>
      <c r="M2390" s="4" t="s">
        <v>13703</v>
      </c>
    </row>
    <row r="2391" spans="1:13">
      <c r="A2391" s="2">
        <v>8181</v>
      </c>
      <c r="B2391" s="2" t="s">
        <v>12360</v>
      </c>
      <c r="C2391" s="2">
        <v>8</v>
      </c>
      <c r="D2391" s="2">
        <v>341</v>
      </c>
      <c r="E2391" s="2">
        <v>200</v>
      </c>
      <c r="F2391" s="2">
        <v>32441</v>
      </c>
      <c r="G2391" s="2">
        <v>3.8053958940000001</v>
      </c>
      <c r="H2391" s="2">
        <v>1.5885739999999999E-3</v>
      </c>
      <c r="I2391" s="2" t="s">
        <v>41483</v>
      </c>
      <c r="J2391" s="2" t="s">
        <v>41484</v>
      </c>
      <c r="K2391" s="2">
        <v>8.5237130000000005E-3</v>
      </c>
      <c r="L2391" s="2" t="s">
        <v>1178</v>
      </c>
      <c r="M2391" s="4" t="s">
        <v>12363</v>
      </c>
    </row>
    <row r="2392" spans="1:13">
      <c r="A2392" s="2">
        <v>8411</v>
      </c>
      <c r="B2392" s="2" t="s">
        <v>41485</v>
      </c>
      <c r="C2392" s="2">
        <v>8</v>
      </c>
      <c r="D2392" s="2">
        <v>341</v>
      </c>
      <c r="E2392" s="2">
        <v>200</v>
      </c>
      <c r="F2392" s="2">
        <v>32441</v>
      </c>
      <c r="G2392" s="2">
        <v>3.8053958940000001</v>
      </c>
      <c r="H2392" s="2">
        <v>1.5885739999999999E-3</v>
      </c>
      <c r="I2392" s="2" t="s">
        <v>41486</v>
      </c>
      <c r="J2392" s="2" t="s">
        <v>41487</v>
      </c>
      <c r="K2392" s="2">
        <v>8.5237130000000005E-3</v>
      </c>
      <c r="L2392" s="2" t="s">
        <v>1178</v>
      </c>
      <c r="M2392" s="4" t="s">
        <v>41488</v>
      </c>
    </row>
    <row r="2393" spans="1:13">
      <c r="A2393" s="2">
        <v>845</v>
      </c>
      <c r="B2393" s="2" t="s">
        <v>23165</v>
      </c>
      <c r="C2393" s="2">
        <v>8</v>
      </c>
      <c r="D2393" s="2">
        <v>341</v>
      </c>
      <c r="E2393" s="2">
        <v>200</v>
      </c>
      <c r="F2393" s="2">
        <v>32441</v>
      </c>
      <c r="G2393" s="2">
        <v>3.8053958940000001</v>
      </c>
      <c r="H2393" s="2">
        <v>1.5885739999999999E-3</v>
      </c>
      <c r="I2393" s="2" t="s">
        <v>41489</v>
      </c>
      <c r="J2393" s="2" t="s">
        <v>41490</v>
      </c>
      <c r="K2393" s="2">
        <v>8.5237130000000005E-3</v>
      </c>
      <c r="L2393" s="2" t="s">
        <v>1178</v>
      </c>
      <c r="M2393" s="4" t="s">
        <v>23168</v>
      </c>
    </row>
    <row r="2394" spans="1:13">
      <c r="A2394" s="2">
        <v>861</v>
      </c>
      <c r="B2394" s="2" t="s">
        <v>32260</v>
      </c>
      <c r="C2394" s="2">
        <v>8</v>
      </c>
      <c r="D2394" s="2">
        <v>341</v>
      </c>
      <c r="E2394" s="2">
        <v>200</v>
      </c>
      <c r="F2394" s="2">
        <v>32441</v>
      </c>
      <c r="G2394" s="2">
        <v>3.8053958940000001</v>
      </c>
      <c r="H2394" s="2">
        <v>1.5885739999999999E-3</v>
      </c>
      <c r="I2394" s="2" t="s">
        <v>41491</v>
      </c>
      <c r="J2394" s="2" t="s">
        <v>41492</v>
      </c>
      <c r="K2394" s="2">
        <v>8.5237130000000005E-3</v>
      </c>
      <c r="L2394" s="2" t="s">
        <v>1178</v>
      </c>
      <c r="M2394" s="4" t="s">
        <v>32263</v>
      </c>
    </row>
    <row r="2395" spans="1:13">
      <c r="A2395" s="2">
        <v>8771</v>
      </c>
      <c r="B2395" s="2" t="s">
        <v>21907</v>
      </c>
      <c r="C2395" s="2">
        <v>8</v>
      </c>
      <c r="D2395" s="2">
        <v>341</v>
      </c>
      <c r="E2395" s="2">
        <v>200</v>
      </c>
      <c r="F2395" s="2">
        <v>32441</v>
      </c>
      <c r="G2395" s="2">
        <v>3.8053958940000001</v>
      </c>
      <c r="H2395" s="2">
        <v>1.5885739999999999E-3</v>
      </c>
      <c r="I2395" s="2" t="s">
        <v>41493</v>
      </c>
      <c r="J2395" s="2" t="s">
        <v>41494</v>
      </c>
      <c r="K2395" s="2">
        <v>8.5237130000000005E-3</v>
      </c>
      <c r="L2395" s="2" t="s">
        <v>1178</v>
      </c>
      <c r="M2395" s="4" t="s">
        <v>21910</v>
      </c>
    </row>
    <row r="2396" spans="1:13">
      <c r="A2396" s="2">
        <v>928</v>
      </c>
      <c r="B2396" s="2" t="s">
        <v>19641</v>
      </c>
      <c r="C2396" s="2">
        <v>8</v>
      </c>
      <c r="D2396" s="2">
        <v>341</v>
      </c>
      <c r="E2396" s="2">
        <v>200</v>
      </c>
      <c r="F2396" s="2">
        <v>32441</v>
      </c>
      <c r="G2396" s="2">
        <v>3.8053958940000001</v>
      </c>
      <c r="H2396" s="2">
        <v>1.5885739999999999E-3</v>
      </c>
      <c r="I2396" s="2" t="s">
        <v>41495</v>
      </c>
      <c r="J2396" s="2" t="s">
        <v>41496</v>
      </c>
      <c r="K2396" s="2">
        <v>8.5237130000000005E-3</v>
      </c>
      <c r="L2396" s="2" t="s">
        <v>1178</v>
      </c>
      <c r="M2396" s="4" t="s">
        <v>19644</v>
      </c>
    </row>
    <row r="2397" spans="1:13">
      <c r="A2397" s="2">
        <v>973</v>
      </c>
      <c r="B2397" s="2" t="s">
        <v>1575</v>
      </c>
      <c r="C2397" s="2">
        <v>8</v>
      </c>
      <c r="D2397" s="2">
        <v>341</v>
      </c>
      <c r="E2397" s="2">
        <v>200</v>
      </c>
      <c r="F2397" s="2">
        <v>32441</v>
      </c>
      <c r="G2397" s="2">
        <v>3.8053958940000001</v>
      </c>
      <c r="H2397" s="2">
        <v>1.5885739999999999E-3</v>
      </c>
      <c r="I2397" s="2" t="s">
        <v>41497</v>
      </c>
      <c r="J2397" s="2" t="s">
        <v>41498</v>
      </c>
      <c r="K2397" s="2">
        <v>8.5237130000000005E-3</v>
      </c>
      <c r="L2397" s="2" t="s">
        <v>1178</v>
      </c>
      <c r="M2397" s="4" t="s">
        <v>23202</v>
      </c>
    </row>
    <row r="2398" spans="1:13">
      <c r="A2398" s="2">
        <v>983</v>
      </c>
      <c r="B2398" s="2" t="s">
        <v>17882</v>
      </c>
      <c r="C2398" s="2">
        <v>8</v>
      </c>
      <c r="D2398" s="2">
        <v>341</v>
      </c>
      <c r="E2398" s="2">
        <v>200</v>
      </c>
      <c r="F2398" s="2">
        <v>32441</v>
      </c>
      <c r="G2398" s="2">
        <v>3.8053958940000001</v>
      </c>
      <c r="H2398" s="2">
        <v>1.5885739999999999E-3</v>
      </c>
      <c r="I2398" s="2" t="s">
        <v>41499</v>
      </c>
      <c r="J2398" s="2" t="s">
        <v>41500</v>
      </c>
      <c r="K2398" s="2">
        <v>8.5237130000000005E-3</v>
      </c>
      <c r="L2398" s="2" t="s">
        <v>1178</v>
      </c>
      <c r="M2398" s="4" t="s">
        <v>17885</v>
      </c>
    </row>
    <row r="2399" spans="1:13">
      <c r="A2399" s="2">
        <v>1039</v>
      </c>
      <c r="B2399" s="2" t="s">
        <v>15185</v>
      </c>
      <c r="C2399" s="2">
        <v>8</v>
      </c>
      <c r="D2399" s="2">
        <v>341</v>
      </c>
      <c r="E2399" s="2">
        <v>200</v>
      </c>
      <c r="F2399" s="2">
        <v>32441</v>
      </c>
      <c r="G2399" s="2">
        <v>3.8053958940000001</v>
      </c>
      <c r="H2399" s="2">
        <v>1.5885739999999999E-3</v>
      </c>
      <c r="I2399" s="2" t="s">
        <v>41501</v>
      </c>
      <c r="J2399" s="2" t="s">
        <v>41502</v>
      </c>
      <c r="K2399" s="2">
        <v>8.5237130000000005E-3</v>
      </c>
      <c r="L2399" s="2" t="s">
        <v>1178</v>
      </c>
      <c r="M2399" s="4" t="s">
        <v>15188</v>
      </c>
    </row>
    <row r="2400" spans="1:13">
      <c r="A2400" s="2">
        <v>1093</v>
      </c>
      <c r="B2400" s="2" t="s">
        <v>18687</v>
      </c>
      <c r="C2400" s="2">
        <v>8</v>
      </c>
      <c r="D2400" s="2">
        <v>341</v>
      </c>
      <c r="E2400" s="2">
        <v>200</v>
      </c>
      <c r="F2400" s="2">
        <v>32441</v>
      </c>
      <c r="G2400" s="2">
        <v>3.8053958940000001</v>
      </c>
      <c r="H2400" s="2">
        <v>1.5885739999999999E-3</v>
      </c>
      <c r="I2400" s="2" t="s">
        <v>41503</v>
      </c>
      <c r="J2400" s="2" t="s">
        <v>41504</v>
      </c>
      <c r="K2400" s="2">
        <v>8.5237130000000005E-3</v>
      </c>
      <c r="L2400" s="2" t="s">
        <v>1178</v>
      </c>
      <c r="M2400" s="4" t="s">
        <v>18690</v>
      </c>
    </row>
    <row r="2401" spans="1:13">
      <c r="A2401" s="2">
        <v>1145</v>
      </c>
      <c r="B2401" s="2" t="s">
        <v>41505</v>
      </c>
      <c r="C2401" s="2">
        <v>8</v>
      </c>
      <c r="D2401" s="2">
        <v>341</v>
      </c>
      <c r="E2401" s="2">
        <v>200</v>
      </c>
      <c r="F2401" s="2">
        <v>32441</v>
      </c>
      <c r="G2401" s="2">
        <v>3.8053958940000001</v>
      </c>
      <c r="H2401" s="2">
        <v>1.5885739999999999E-3</v>
      </c>
      <c r="I2401" s="2" t="s">
        <v>41506</v>
      </c>
      <c r="J2401" s="2" t="s">
        <v>41507</v>
      </c>
      <c r="K2401" s="2">
        <v>8.5237130000000005E-3</v>
      </c>
      <c r="L2401" s="2" t="s">
        <v>1178</v>
      </c>
      <c r="M2401" s="4" t="s">
        <v>41508</v>
      </c>
    </row>
    <row r="2402" spans="1:13">
      <c r="A2402" s="2">
        <v>1175</v>
      </c>
      <c r="B2402" s="2" t="s">
        <v>31734</v>
      </c>
      <c r="C2402" s="2">
        <v>8</v>
      </c>
      <c r="D2402" s="2">
        <v>341</v>
      </c>
      <c r="E2402" s="2">
        <v>200</v>
      </c>
      <c r="F2402" s="2">
        <v>32441</v>
      </c>
      <c r="G2402" s="2">
        <v>3.8053958940000001</v>
      </c>
      <c r="H2402" s="2">
        <v>1.5885739999999999E-3</v>
      </c>
      <c r="I2402" s="2" t="s">
        <v>41509</v>
      </c>
      <c r="J2402" s="2" t="s">
        <v>41510</v>
      </c>
      <c r="K2402" s="2">
        <v>8.5237130000000005E-3</v>
      </c>
      <c r="L2402" s="2" t="s">
        <v>1178</v>
      </c>
      <c r="M2402" s="4" t="s">
        <v>31737</v>
      </c>
    </row>
    <row r="2403" spans="1:13">
      <c r="A2403" s="2">
        <v>1194</v>
      </c>
      <c r="B2403" s="2" t="s">
        <v>18706</v>
      </c>
      <c r="C2403" s="2">
        <v>8</v>
      </c>
      <c r="D2403" s="2">
        <v>341</v>
      </c>
      <c r="E2403" s="2">
        <v>200</v>
      </c>
      <c r="F2403" s="2">
        <v>32441</v>
      </c>
      <c r="G2403" s="2">
        <v>3.8053958940000001</v>
      </c>
      <c r="H2403" s="2">
        <v>1.5885739999999999E-3</v>
      </c>
      <c r="I2403" s="2" t="s">
        <v>41511</v>
      </c>
      <c r="J2403" s="2" t="s">
        <v>41512</v>
      </c>
      <c r="K2403" s="2">
        <v>8.5237130000000005E-3</v>
      </c>
      <c r="L2403" s="2" t="s">
        <v>1178</v>
      </c>
      <c r="M2403" s="4" t="s">
        <v>18709</v>
      </c>
    </row>
    <row r="2404" spans="1:13">
      <c r="A2404" s="2">
        <v>1262</v>
      </c>
      <c r="B2404" s="2" t="s">
        <v>41513</v>
      </c>
      <c r="C2404" s="2">
        <v>8</v>
      </c>
      <c r="D2404" s="2">
        <v>341</v>
      </c>
      <c r="E2404" s="2">
        <v>200</v>
      </c>
      <c r="F2404" s="2">
        <v>32441</v>
      </c>
      <c r="G2404" s="2">
        <v>3.8053958940000001</v>
      </c>
      <c r="H2404" s="2">
        <v>1.5885739999999999E-3</v>
      </c>
      <c r="I2404" s="2" t="s">
        <v>41514</v>
      </c>
      <c r="J2404" s="2" t="s">
        <v>41515</v>
      </c>
      <c r="K2404" s="2">
        <v>8.5237130000000005E-3</v>
      </c>
      <c r="L2404" s="2" t="s">
        <v>1178</v>
      </c>
      <c r="M2404" s="4" t="s">
        <v>41516</v>
      </c>
    </row>
    <row r="2405" spans="1:13">
      <c r="A2405" s="2">
        <v>1394</v>
      </c>
      <c r="B2405" s="2" t="s">
        <v>20806</v>
      </c>
      <c r="C2405" s="2">
        <v>8</v>
      </c>
      <c r="D2405" s="2">
        <v>341</v>
      </c>
      <c r="E2405" s="2">
        <v>200</v>
      </c>
      <c r="F2405" s="2">
        <v>32441</v>
      </c>
      <c r="G2405" s="2">
        <v>3.8053958940000001</v>
      </c>
      <c r="H2405" s="2">
        <v>1.5885739999999999E-3</v>
      </c>
      <c r="I2405" s="2" t="s">
        <v>41517</v>
      </c>
      <c r="J2405" s="2" t="s">
        <v>41518</v>
      </c>
      <c r="K2405" s="2">
        <v>8.5237130000000005E-3</v>
      </c>
      <c r="L2405" s="2" t="s">
        <v>1178</v>
      </c>
      <c r="M2405" s="4" t="s">
        <v>20809</v>
      </c>
    </row>
    <row r="2406" spans="1:13">
      <c r="A2406" s="2">
        <v>1415</v>
      </c>
      <c r="B2406" s="2" t="s">
        <v>22002</v>
      </c>
      <c r="C2406" s="2">
        <v>8</v>
      </c>
      <c r="D2406" s="2">
        <v>341</v>
      </c>
      <c r="E2406" s="2">
        <v>200</v>
      </c>
      <c r="F2406" s="2">
        <v>32441</v>
      </c>
      <c r="G2406" s="2">
        <v>3.8053958940000001</v>
      </c>
      <c r="H2406" s="2">
        <v>1.5885739999999999E-3</v>
      </c>
      <c r="I2406" s="2" t="s">
        <v>41519</v>
      </c>
      <c r="J2406" s="2" t="s">
        <v>41520</v>
      </c>
      <c r="K2406" s="2">
        <v>8.5237130000000005E-3</v>
      </c>
      <c r="L2406" s="2" t="s">
        <v>1178</v>
      </c>
      <c r="M2406" s="4" t="s">
        <v>22005</v>
      </c>
    </row>
    <row r="2407" spans="1:13">
      <c r="A2407" s="2">
        <v>14261</v>
      </c>
      <c r="B2407" s="2" t="s">
        <v>20817</v>
      </c>
      <c r="C2407" s="2">
        <v>8</v>
      </c>
      <c r="D2407" s="2">
        <v>341</v>
      </c>
      <c r="E2407" s="2">
        <v>200</v>
      </c>
      <c r="F2407" s="2">
        <v>32441</v>
      </c>
      <c r="G2407" s="2">
        <v>3.8053958940000001</v>
      </c>
      <c r="H2407" s="2">
        <v>1.5885739999999999E-3</v>
      </c>
      <c r="I2407" s="2" t="s">
        <v>41521</v>
      </c>
      <c r="J2407" s="2" t="s">
        <v>41522</v>
      </c>
      <c r="K2407" s="2">
        <v>8.5237130000000005E-3</v>
      </c>
      <c r="L2407" s="2" t="s">
        <v>1178</v>
      </c>
      <c r="M2407" s="4" t="s">
        <v>20820</v>
      </c>
    </row>
    <row r="2408" spans="1:13">
      <c r="A2408" s="2">
        <v>1433</v>
      </c>
      <c r="B2408" s="2" t="s">
        <v>17147</v>
      </c>
      <c r="C2408" s="2">
        <v>8</v>
      </c>
      <c r="D2408" s="2">
        <v>341</v>
      </c>
      <c r="E2408" s="2">
        <v>200</v>
      </c>
      <c r="F2408" s="2">
        <v>32441</v>
      </c>
      <c r="G2408" s="2">
        <v>3.8053958940000001</v>
      </c>
      <c r="H2408" s="2">
        <v>1.5885739999999999E-3</v>
      </c>
      <c r="I2408" s="2" t="s">
        <v>41523</v>
      </c>
      <c r="J2408" s="2" t="s">
        <v>41524</v>
      </c>
      <c r="K2408" s="2">
        <v>8.5237130000000005E-3</v>
      </c>
      <c r="L2408" s="2" t="s">
        <v>1178</v>
      </c>
      <c r="M2408" s="4" t="s">
        <v>17150</v>
      </c>
    </row>
    <row r="2409" spans="1:13">
      <c r="A2409" s="2">
        <v>14431</v>
      </c>
      <c r="B2409" s="2" t="s">
        <v>13267</v>
      </c>
      <c r="C2409" s="2">
        <v>8</v>
      </c>
      <c r="D2409" s="2">
        <v>341</v>
      </c>
      <c r="E2409" s="2">
        <v>200</v>
      </c>
      <c r="F2409" s="2">
        <v>32441</v>
      </c>
      <c r="G2409" s="2">
        <v>3.8053958940000001</v>
      </c>
      <c r="H2409" s="2">
        <v>1.5885739999999999E-3</v>
      </c>
      <c r="I2409" s="2" t="s">
        <v>41525</v>
      </c>
      <c r="J2409" s="2" t="s">
        <v>41526</v>
      </c>
      <c r="K2409" s="2">
        <v>8.5237130000000005E-3</v>
      </c>
      <c r="L2409" s="2" t="s">
        <v>1178</v>
      </c>
      <c r="M2409" s="4" t="s">
        <v>13270</v>
      </c>
    </row>
    <row r="2410" spans="1:13">
      <c r="A2410" s="2">
        <v>1470</v>
      </c>
      <c r="B2410" s="2" t="s">
        <v>23374</v>
      </c>
      <c r="C2410" s="2">
        <v>8</v>
      </c>
      <c r="D2410" s="2">
        <v>341</v>
      </c>
      <c r="E2410" s="2">
        <v>200</v>
      </c>
      <c r="F2410" s="2">
        <v>32441</v>
      </c>
      <c r="G2410" s="2">
        <v>3.8053958940000001</v>
      </c>
      <c r="H2410" s="2">
        <v>1.5885739999999999E-3</v>
      </c>
      <c r="I2410" s="2" t="s">
        <v>41527</v>
      </c>
      <c r="J2410" s="2" t="s">
        <v>41528</v>
      </c>
      <c r="K2410" s="2">
        <v>8.5237130000000005E-3</v>
      </c>
      <c r="L2410" s="2" t="s">
        <v>1178</v>
      </c>
      <c r="M2410" s="4" t="s">
        <v>23377</v>
      </c>
    </row>
    <row r="2411" spans="1:13">
      <c r="A2411" s="2">
        <v>14991</v>
      </c>
      <c r="B2411" s="2" t="s">
        <v>2145</v>
      </c>
      <c r="C2411" s="2">
        <v>8</v>
      </c>
      <c r="D2411" s="2">
        <v>341</v>
      </c>
      <c r="E2411" s="2">
        <v>200</v>
      </c>
      <c r="F2411" s="2">
        <v>32441</v>
      </c>
      <c r="G2411" s="2">
        <v>3.8053958940000001</v>
      </c>
      <c r="H2411" s="2">
        <v>1.5885739999999999E-3</v>
      </c>
      <c r="I2411" s="2" t="s">
        <v>41529</v>
      </c>
      <c r="J2411" s="2" t="s">
        <v>41530</v>
      </c>
      <c r="K2411" s="2">
        <v>8.5237130000000005E-3</v>
      </c>
      <c r="L2411" s="2" t="s">
        <v>1178</v>
      </c>
      <c r="M2411" s="4" t="s">
        <v>41531</v>
      </c>
    </row>
    <row r="2412" spans="1:13">
      <c r="A2412" s="2">
        <v>1583</v>
      </c>
      <c r="B2412" s="2" t="s">
        <v>1587</v>
      </c>
      <c r="C2412" s="2">
        <v>8</v>
      </c>
      <c r="D2412" s="2">
        <v>341</v>
      </c>
      <c r="E2412" s="2">
        <v>200</v>
      </c>
      <c r="F2412" s="2">
        <v>32441</v>
      </c>
      <c r="G2412" s="2">
        <v>3.8053958940000001</v>
      </c>
      <c r="H2412" s="2">
        <v>1.5885739999999999E-3</v>
      </c>
      <c r="I2412" s="2" t="s">
        <v>41532</v>
      </c>
      <c r="J2412" s="2" t="s">
        <v>41533</v>
      </c>
      <c r="K2412" s="2">
        <v>8.5237130000000005E-3</v>
      </c>
      <c r="L2412" s="2" t="s">
        <v>1178</v>
      </c>
      <c r="M2412" s="4" t="s">
        <v>32778</v>
      </c>
    </row>
    <row r="2413" spans="1:13">
      <c r="A2413" s="2">
        <v>15861</v>
      </c>
      <c r="B2413" s="2" t="s">
        <v>1590</v>
      </c>
      <c r="C2413" s="2">
        <v>8</v>
      </c>
      <c r="D2413" s="2">
        <v>341</v>
      </c>
      <c r="E2413" s="2">
        <v>200</v>
      </c>
      <c r="F2413" s="2">
        <v>32441</v>
      </c>
      <c r="G2413" s="2">
        <v>3.8053958940000001</v>
      </c>
      <c r="H2413" s="2">
        <v>1.5885739999999999E-3</v>
      </c>
      <c r="I2413" s="2" t="s">
        <v>41534</v>
      </c>
      <c r="J2413" s="2" t="s">
        <v>41535</v>
      </c>
      <c r="K2413" s="2">
        <v>8.5237130000000005E-3</v>
      </c>
      <c r="L2413" s="2" t="s">
        <v>1178</v>
      </c>
      <c r="M2413" s="4" t="s">
        <v>41536</v>
      </c>
    </row>
    <row r="2414" spans="1:13">
      <c r="A2414" s="2">
        <v>1590</v>
      </c>
      <c r="B2414" s="2" t="s">
        <v>41537</v>
      </c>
      <c r="C2414" s="2">
        <v>8</v>
      </c>
      <c r="D2414" s="2">
        <v>341</v>
      </c>
      <c r="E2414" s="2">
        <v>200</v>
      </c>
      <c r="F2414" s="2">
        <v>32441</v>
      </c>
      <c r="G2414" s="2">
        <v>3.8053958940000001</v>
      </c>
      <c r="H2414" s="2">
        <v>1.5885739999999999E-3</v>
      </c>
      <c r="I2414" s="2" t="s">
        <v>41538</v>
      </c>
      <c r="J2414" s="2" t="s">
        <v>41539</v>
      </c>
      <c r="K2414" s="2">
        <v>8.5237130000000005E-3</v>
      </c>
      <c r="L2414" s="2" t="s">
        <v>1178</v>
      </c>
      <c r="M2414" s="4" t="s">
        <v>41540</v>
      </c>
    </row>
    <row r="2415" spans="1:13">
      <c r="A2415" s="2">
        <v>1664</v>
      </c>
      <c r="B2415" s="2" t="s">
        <v>1701</v>
      </c>
      <c r="C2415" s="2">
        <v>8</v>
      </c>
      <c r="D2415" s="2">
        <v>341</v>
      </c>
      <c r="E2415" s="2">
        <v>200</v>
      </c>
      <c r="F2415" s="2">
        <v>32441</v>
      </c>
      <c r="G2415" s="2">
        <v>3.8053958940000001</v>
      </c>
      <c r="H2415" s="2">
        <v>1.5885739999999999E-3</v>
      </c>
      <c r="I2415" s="2" t="s">
        <v>41541</v>
      </c>
      <c r="J2415" s="2" t="s">
        <v>41542</v>
      </c>
      <c r="K2415" s="2">
        <v>8.5237130000000005E-3</v>
      </c>
      <c r="L2415" s="2" t="s">
        <v>1178</v>
      </c>
      <c r="M2415" s="4" t="s">
        <v>32344</v>
      </c>
    </row>
    <row r="2416" spans="1:13">
      <c r="A2416" s="2">
        <v>1721</v>
      </c>
      <c r="B2416" s="2" t="s">
        <v>3404</v>
      </c>
      <c r="C2416" s="2">
        <v>8</v>
      </c>
      <c r="D2416" s="2">
        <v>341</v>
      </c>
      <c r="E2416" s="2">
        <v>200</v>
      </c>
      <c r="F2416" s="2">
        <v>32441</v>
      </c>
      <c r="G2416" s="2">
        <v>3.8053958940000001</v>
      </c>
      <c r="H2416" s="2">
        <v>1.5885739999999999E-3</v>
      </c>
      <c r="I2416" s="2" t="s">
        <v>41543</v>
      </c>
      <c r="J2416" s="2" t="s">
        <v>41544</v>
      </c>
      <c r="K2416" s="2">
        <v>8.5237130000000005E-3</v>
      </c>
      <c r="L2416" s="2" t="s">
        <v>1178</v>
      </c>
      <c r="M2416" s="4" t="s">
        <v>3407</v>
      </c>
    </row>
    <row r="2417" spans="1:13">
      <c r="A2417" s="2">
        <v>1735</v>
      </c>
      <c r="B2417" s="2" t="s">
        <v>33405</v>
      </c>
      <c r="C2417" s="2">
        <v>8</v>
      </c>
      <c r="D2417" s="2">
        <v>341</v>
      </c>
      <c r="E2417" s="2">
        <v>199</v>
      </c>
      <c r="F2417" s="2">
        <v>32441</v>
      </c>
      <c r="G2417" s="2">
        <v>3.8245184870000002</v>
      </c>
      <c r="H2417" s="2">
        <v>1.5410980000000001E-3</v>
      </c>
      <c r="I2417" s="2" t="s">
        <v>41545</v>
      </c>
      <c r="J2417" s="2" t="s">
        <v>41546</v>
      </c>
      <c r="K2417" s="2">
        <v>8.5237130000000005E-3</v>
      </c>
      <c r="L2417" s="2" t="s">
        <v>1178</v>
      </c>
      <c r="M2417" s="4" t="s">
        <v>33408</v>
      </c>
    </row>
    <row r="2418" spans="1:13">
      <c r="A2418" s="2">
        <v>1781</v>
      </c>
      <c r="B2418" s="2" t="s">
        <v>14797</v>
      </c>
      <c r="C2418" s="2">
        <v>8</v>
      </c>
      <c r="D2418" s="2">
        <v>341</v>
      </c>
      <c r="E2418" s="2">
        <v>200</v>
      </c>
      <c r="F2418" s="2">
        <v>32441</v>
      </c>
      <c r="G2418" s="2">
        <v>3.8053958940000001</v>
      </c>
      <c r="H2418" s="2">
        <v>1.5885739999999999E-3</v>
      </c>
      <c r="I2418" s="2" t="s">
        <v>41547</v>
      </c>
      <c r="J2418" s="2" t="s">
        <v>41548</v>
      </c>
      <c r="K2418" s="2">
        <v>8.5237130000000005E-3</v>
      </c>
      <c r="L2418" s="2" t="s">
        <v>1178</v>
      </c>
      <c r="M2418" s="4" t="s">
        <v>14800</v>
      </c>
    </row>
    <row r="2419" spans="1:13">
      <c r="A2419" s="2">
        <v>1783</v>
      </c>
      <c r="B2419" s="2" t="s">
        <v>23449</v>
      </c>
      <c r="C2419" s="2">
        <v>8</v>
      </c>
      <c r="D2419" s="2">
        <v>341</v>
      </c>
      <c r="E2419" s="2">
        <v>200</v>
      </c>
      <c r="F2419" s="2">
        <v>32441</v>
      </c>
      <c r="G2419" s="2">
        <v>3.8053958940000001</v>
      </c>
      <c r="H2419" s="2">
        <v>1.5885739999999999E-3</v>
      </c>
      <c r="I2419" s="2" t="s">
        <v>41549</v>
      </c>
      <c r="J2419" s="2" t="s">
        <v>41550</v>
      </c>
      <c r="K2419" s="2">
        <v>8.5237130000000005E-3</v>
      </c>
      <c r="L2419" s="2" t="s">
        <v>1178</v>
      </c>
      <c r="M2419" s="4" t="s">
        <v>23452</v>
      </c>
    </row>
    <row r="2420" spans="1:13">
      <c r="A2420" s="2">
        <v>1827</v>
      </c>
      <c r="B2420" s="2" t="s">
        <v>23469</v>
      </c>
      <c r="C2420" s="2">
        <v>8</v>
      </c>
      <c r="D2420" s="2">
        <v>341</v>
      </c>
      <c r="E2420" s="2">
        <v>200</v>
      </c>
      <c r="F2420" s="2">
        <v>32441</v>
      </c>
      <c r="G2420" s="2">
        <v>3.8053958940000001</v>
      </c>
      <c r="H2420" s="2">
        <v>1.5885739999999999E-3</v>
      </c>
      <c r="I2420" s="2" t="s">
        <v>41551</v>
      </c>
      <c r="J2420" s="2" t="s">
        <v>41552</v>
      </c>
      <c r="K2420" s="2">
        <v>8.5237130000000005E-3</v>
      </c>
      <c r="L2420" s="2" t="s">
        <v>1178</v>
      </c>
      <c r="M2420" s="4" t="s">
        <v>23472</v>
      </c>
    </row>
    <row r="2421" spans="1:13">
      <c r="A2421" s="2">
        <v>1853</v>
      </c>
      <c r="B2421" s="2" t="s">
        <v>1713</v>
      </c>
      <c r="C2421" s="2">
        <v>8</v>
      </c>
      <c r="D2421" s="2">
        <v>341</v>
      </c>
      <c r="E2421" s="2">
        <v>200</v>
      </c>
      <c r="F2421" s="2">
        <v>32441</v>
      </c>
      <c r="G2421" s="2">
        <v>3.8053958940000001</v>
      </c>
      <c r="H2421" s="2">
        <v>1.5885739999999999E-3</v>
      </c>
      <c r="I2421" s="2" t="s">
        <v>41553</v>
      </c>
      <c r="J2421" s="2" t="s">
        <v>41554</v>
      </c>
      <c r="K2421" s="2">
        <v>8.5237130000000005E-3</v>
      </c>
      <c r="L2421" s="2" t="s">
        <v>1178</v>
      </c>
      <c r="M2421" s="4" t="s">
        <v>41555</v>
      </c>
    </row>
    <row r="2422" spans="1:13">
      <c r="A2422" s="2">
        <v>1860</v>
      </c>
      <c r="B2422" s="2" t="s">
        <v>20927</v>
      </c>
      <c r="C2422" s="2">
        <v>8</v>
      </c>
      <c r="D2422" s="2">
        <v>341</v>
      </c>
      <c r="E2422" s="2">
        <v>200</v>
      </c>
      <c r="F2422" s="2">
        <v>32441</v>
      </c>
      <c r="G2422" s="2">
        <v>3.8053958940000001</v>
      </c>
      <c r="H2422" s="2">
        <v>1.5885739999999999E-3</v>
      </c>
      <c r="I2422" s="2" t="s">
        <v>41556</v>
      </c>
      <c r="J2422" s="2" t="s">
        <v>41557</v>
      </c>
      <c r="K2422" s="2">
        <v>8.5237130000000005E-3</v>
      </c>
      <c r="L2422" s="2" t="s">
        <v>1178</v>
      </c>
      <c r="M2422" s="4" t="s">
        <v>20930</v>
      </c>
    </row>
    <row r="2423" spans="1:13">
      <c r="A2423" s="2">
        <v>1894</v>
      </c>
      <c r="B2423" s="2" t="s">
        <v>41558</v>
      </c>
      <c r="C2423" s="2">
        <v>8</v>
      </c>
      <c r="D2423" s="2">
        <v>341</v>
      </c>
      <c r="E2423" s="2">
        <v>200</v>
      </c>
      <c r="F2423" s="2">
        <v>32441</v>
      </c>
      <c r="G2423" s="2">
        <v>3.8053958940000001</v>
      </c>
      <c r="H2423" s="2">
        <v>1.5885739999999999E-3</v>
      </c>
      <c r="I2423" s="2" t="s">
        <v>41559</v>
      </c>
      <c r="J2423" s="2" t="s">
        <v>41560</v>
      </c>
      <c r="K2423" s="2">
        <v>8.5237130000000005E-3</v>
      </c>
      <c r="L2423" s="2" t="s">
        <v>1178</v>
      </c>
      <c r="M2423" s="4" t="s">
        <v>41561</v>
      </c>
    </row>
    <row r="2424" spans="1:13">
      <c r="A2424" s="2">
        <v>1915</v>
      </c>
      <c r="B2424" s="2" t="s">
        <v>3420</v>
      </c>
      <c r="C2424" s="2">
        <v>8</v>
      </c>
      <c r="D2424" s="2">
        <v>341</v>
      </c>
      <c r="E2424" s="2">
        <v>200</v>
      </c>
      <c r="F2424" s="2">
        <v>32441</v>
      </c>
      <c r="G2424" s="2">
        <v>3.8053958940000001</v>
      </c>
      <c r="H2424" s="2">
        <v>1.5885739999999999E-3</v>
      </c>
      <c r="I2424" s="2" t="s">
        <v>41562</v>
      </c>
      <c r="J2424" s="2" t="s">
        <v>41563</v>
      </c>
      <c r="K2424" s="2">
        <v>8.5237130000000005E-3</v>
      </c>
      <c r="L2424" s="2" t="s">
        <v>1178</v>
      </c>
      <c r="M2424" s="4" t="s">
        <v>3423</v>
      </c>
    </row>
    <row r="2425" spans="1:13">
      <c r="A2425" s="2">
        <v>1985</v>
      </c>
      <c r="B2425" s="2" t="s">
        <v>2517</v>
      </c>
      <c r="C2425" s="2">
        <v>8</v>
      </c>
      <c r="D2425" s="2">
        <v>341</v>
      </c>
      <c r="E2425" s="2">
        <v>199</v>
      </c>
      <c r="F2425" s="2">
        <v>32441</v>
      </c>
      <c r="G2425" s="2">
        <v>3.8245184870000002</v>
      </c>
      <c r="H2425" s="2">
        <v>1.5410980000000001E-3</v>
      </c>
      <c r="I2425" s="2" t="s">
        <v>41564</v>
      </c>
      <c r="J2425" s="2" t="s">
        <v>41565</v>
      </c>
      <c r="K2425" s="2">
        <v>8.5237130000000005E-3</v>
      </c>
      <c r="L2425" s="2" t="s">
        <v>1178</v>
      </c>
      <c r="M2425" s="4" t="s">
        <v>41566</v>
      </c>
    </row>
    <row r="2426" spans="1:13">
      <c r="A2426" s="2">
        <v>1986</v>
      </c>
      <c r="B2426" s="2" t="s">
        <v>23519</v>
      </c>
      <c r="C2426" s="2">
        <v>8</v>
      </c>
      <c r="D2426" s="2">
        <v>341</v>
      </c>
      <c r="E2426" s="2">
        <v>198</v>
      </c>
      <c r="F2426" s="2">
        <v>32441</v>
      </c>
      <c r="G2426" s="2">
        <v>3.8438342369999998</v>
      </c>
      <c r="H2426" s="2">
        <v>1.494754E-3</v>
      </c>
      <c r="I2426" s="2" t="s">
        <v>41567</v>
      </c>
      <c r="J2426" s="2" t="s">
        <v>41568</v>
      </c>
      <c r="K2426" s="2">
        <v>8.5237130000000005E-3</v>
      </c>
      <c r="L2426" s="2" t="s">
        <v>1178</v>
      </c>
      <c r="M2426" s="4" t="s">
        <v>23522</v>
      </c>
    </row>
    <row r="2427" spans="1:13">
      <c r="A2427" s="2">
        <v>20091</v>
      </c>
      <c r="B2427" s="2" t="s">
        <v>41569</v>
      </c>
      <c r="C2427" s="2">
        <v>8</v>
      </c>
      <c r="D2427" s="2">
        <v>341</v>
      </c>
      <c r="E2427" s="2">
        <v>200</v>
      </c>
      <c r="F2427" s="2">
        <v>32441</v>
      </c>
      <c r="G2427" s="2">
        <v>3.8053958940000001</v>
      </c>
      <c r="H2427" s="2">
        <v>1.5885739999999999E-3</v>
      </c>
      <c r="I2427" s="2" t="s">
        <v>41570</v>
      </c>
      <c r="J2427" s="2" t="s">
        <v>41571</v>
      </c>
      <c r="K2427" s="2">
        <v>8.5237130000000005E-3</v>
      </c>
      <c r="L2427" s="2" t="s">
        <v>1178</v>
      </c>
      <c r="M2427" s="4" t="s">
        <v>41572</v>
      </c>
    </row>
    <row r="2428" spans="1:13">
      <c r="A2428" s="2">
        <v>2143</v>
      </c>
      <c r="B2428" s="2" t="s">
        <v>2526</v>
      </c>
      <c r="C2428" s="2">
        <v>8</v>
      </c>
      <c r="D2428" s="2">
        <v>341</v>
      </c>
      <c r="E2428" s="2">
        <v>200</v>
      </c>
      <c r="F2428" s="2">
        <v>32441</v>
      </c>
      <c r="G2428" s="2">
        <v>3.8053958940000001</v>
      </c>
      <c r="H2428" s="2">
        <v>1.5885739999999999E-3</v>
      </c>
      <c r="I2428" s="2" t="s">
        <v>41573</v>
      </c>
      <c r="J2428" s="2" t="s">
        <v>41574</v>
      </c>
      <c r="K2428" s="2">
        <v>8.5237130000000005E-3</v>
      </c>
      <c r="L2428" s="2" t="s">
        <v>1178</v>
      </c>
      <c r="M2428" s="4" t="s">
        <v>20985</v>
      </c>
    </row>
    <row r="2429" spans="1:13">
      <c r="A2429" s="2">
        <v>21651</v>
      </c>
      <c r="B2429" s="2" t="s">
        <v>2535</v>
      </c>
      <c r="C2429" s="2">
        <v>8</v>
      </c>
      <c r="D2429" s="2">
        <v>341</v>
      </c>
      <c r="E2429" s="2">
        <v>200</v>
      </c>
      <c r="F2429" s="2">
        <v>32441</v>
      </c>
      <c r="G2429" s="2">
        <v>3.8053958940000001</v>
      </c>
      <c r="H2429" s="2">
        <v>1.5885739999999999E-3</v>
      </c>
      <c r="I2429" s="2" t="s">
        <v>41575</v>
      </c>
      <c r="J2429" s="2" t="s">
        <v>41576</v>
      </c>
      <c r="K2429" s="2">
        <v>8.5237130000000005E-3</v>
      </c>
      <c r="L2429" s="2" t="s">
        <v>1178</v>
      </c>
      <c r="M2429" s="4" t="s">
        <v>18883</v>
      </c>
    </row>
    <row r="2430" spans="1:13">
      <c r="A2430" s="2">
        <v>22171</v>
      </c>
      <c r="B2430" s="2" t="s">
        <v>41577</v>
      </c>
      <c r="C2430" s="2">
        <v>8</v>
      </c>
      <c r="D2430" s="2">
        <v>341</v>
      </c>
      <c r="E2430" s="2">
        <v>200</v>
      </c>
      <c r="F2430" s="2">
        <v>32441</v>
      </c>
      <c r="G2430" s="2">
        <v>3.8053958940000001</v>
      </c>
      <c r="H2430" s="2">
        <v>1.5885739999999999E-3</v>
      </c>
      <c r="I2430" s="2" t="s">
        <v>41578</v>
      </c>
      <c r="J2430" s="2" t="s">
        <v>41579</v>
      </c>
      <c r="K2430" s="2">
        <v>8.5237130000000005E-3</v>
      </c>
      <c r="L2430" s="2" t="s">
        <v>1178</v>
      </c>
      <c r="M2430" s="4" t="s">
        <v>41580</v>
      </c>
    </row>
    <row r="2431" spans="1:13">
      <c r="A2431" s="2">
        <v>22571</v>
      </c>
      <c r="B2431" s="2" t="s">
        <v>13792</v>
      </c>
      <c r="C2431" s="2">
        <v>8</v>
      </c>
      <c r="D2431" s="2">
        <v>341</v>
      </c>
      <c r="E2431" s="2">
        <v>200</v>
      </c>
      <c r="F2431" s="2">
        <v>32441</v>
      </c>
      <c r="G2431" s="2">
        <v>3.8053958940000001</v>
      </c>
      <c r="H2431" s="2">
        <v>1.5885739999999999E-3</v>
      </c>
      <c r="I2431" s="2" t="s">
        <v>41581</v>
      </c>
      <c r="J2431" s="2" t="s">
        <v>41582</v>
      </c>
      <c r="K2431" s="2">
        <v>8.5237130000000005E-3</v>
      </c>
      <c r="L2431" s="2" t="s">
        <v>1178</v>
      </c>
      <c r="M2431" s="4" t="s">
        <v>13795</v>
      </c>
    </row>
    <row r="2432" spans="1:13">
      <c r="A2432" s="2">
        <v>2297</v>
      </c>
      <c r="B2432" s="2" t="s">
        <v>2553</v>
      </c>
      <c r="C2432" s="2">
        <v>8</v>
      </c>
      <c r="D2432" s="2">
        <v>341</v>
      </c>
      <c r="E2432" s="2">
        <v>200</v>
      </c>
      <c r="F2432" s="2">
        <v>32441</v>
      </c>
      <c r="G2432" s="2">
        <v>3.8053958940000001</v>
      </c>
      <c r="H2432" s="2">
        <v>1.5885739999999999E-3</v>
      </c>
      <c r="I2432" s="2" t="s">
        <v>41583</v>
      </c>
      <c r="J2432" s="2" t="s">
        <v>41584</v>
      </c>
      <c r="K2432" s="2">
        <v>8.5237130000000005E-3</v>
      </c>
      <c r="L2432" s="2" t="s">
        <v>1178</v>
      </c>
      <c r="M2432" s="4" t="s">
        <v>22222</v>
      </c>
    </row>
    <row r="2433" spans="1:13">
      <c r="A2433" s="2">
        <v>2348</v>
      </c>
      <c r="B2433" s="2" t="s">
        <v>23615</v>
      </c>
      <c r="C2433" s="2">
        <v>8</v>
      </c>
      <c r="D2433" s="2">
        <v>341</v>
      </c>
      <c r="E2433" s="2">
        <v>196</v>
      </c>
      <c r="F2433" s="2">
        <v>32441</v>
      </c>
      <c r="G2433" s="2">
        <v>3.8830570350000002</v>
      </c>
      <c r="H2433" s="2">
        <v>1.405384E-3</v>
      </c>
      <c r="I2433" s="2" t="s">
        <v>41585</v>
      </c>
      <c r="J2433" s="2" t="s">
        <v>41586</v>
      </c>
      <c r="K2433" s="2">
        <v>8.5237130000000005E-3</v>
      </c>
      <c r="L2433" s="2" t="s">
        <v>1178</v>
      </c>
      <c r="M2433" s="4" t="s">
        <v>23618</v>
      </c>
    </row>
    <row r="2434" spans="1:13">
      <c r="A2434" s="2">
        <v>23541</v>
      </c>
      <c r="B2434" s="2" t="s">
        <v>2562</v>
      </c>
      <c r="C2434" s="2">
        <v>8</v>
      </c>
      <c r="D2434" s="2">
        <v>341</v>
      </c>
      <c r="E2434" s="2">
        <v>200</v>
      </c>
      <c r="F2434" s="2">
        <v>32441</v>
      </c>
      <c r="G2434" s="2">
        <v>3.8053958940000001</v>
      </c>
      <c r="H2434" s="2">
        <v>1.5885739999999999E-3</v>
      </c>
      <c r="I2434" s="2" t="s">
        <v>41587</v>
      </c>
      <c r="J2434" s="2" t="s">
        <v>41588</v>
      </c>
      <c r="K2434" s="2">
        <v>8.5237130000000005E-3</v>
      </c>
      <c r="L2434" s="2" t="s">
        <v>1178</v>
      </c>
      <c r="M2434" s="4" t="s">
        <v>41589</v>
      </c>
    </row>
    <row r="2435" spans="1:13">
      <c r="A2435" s="2">
        <v>2356</v>
      </c>
      <c r="B2435" s="2" t="s">
        <v>14844</v>
      </c>
      <c r="C2435" s="2">
        <v>8</v>
      </c>
      <c r="D2435" s="2">
        <v>341</v>
      </c>
      <c r="E2435" s="2">
        <v>200</v>
      </c>
      <c r="F2435" s="2">
        <v>32441</v>
      </c>
      <c r="G2435" s="2">
        <v>3.8053958940000001</v>
      </c>
      <c r="H2435" s="2">
        <v>1.5885739999999999E-3</v>
      </c>
      <c r="I2435" s="2" t="s">
        <v>41590</v>
      </c>
      <c r="J2435" s="2" t="s">
        <v>41591</v>
      </c>
      <c r="K2435" s="2">
        <v>8.5237130000000005E-3</v>
      </c>
      <c r="L2435" s="2" t="s">
        <v>1178</v>
      </c>
      <c r="M2435" s="4" t="s">
        <v>14847</v>
      </c>
    </row>
    <row r="2436" spans="1:13">
      <c r="A2436" s="2">
        <v>24341</v>
      </c>
      <c r="B2436" s="2" t="s">
        <v>13076</v>
      </c>
      <c r="C2436" s="2">
        <v>8</v>
      </c>
      <c r="D2436" s="2">
        <v>341</v>
      </c>
      <c r="E2436" s="2">
        <v>199</v>
      </c>
      <c r="F2436" s="2">
        <v>32441</v>
      </c>
      <c r="G2436" s="2">
        <v>3.8245184870000002</v>
      </c>
      <c r="H2436" s="2">
        <v>1.5410980000000001E-3</v>
      </c>
      <c r="I2436" s="2" t="s">
        <v>41592</v>
      </c>
      <c r="J2436" s="2" t="s">
        <v>41593</v>
      </c>
      <c r="K2436" s="2">
        <v>8.5237130000000005E-3</v>
      </c>
      <c r="L2436" s="2" t="s">
        <v>1178</v>
      </c>
      <c r="M2436" s="4" t="s">
        <v>13079</v>
      </c>
    </row>
    <row r="2437" spans="1:13">
      <c r="A2437" s="2">
        <v>24881</v>
      </c>
      <c r="B2437" s="2" t="s">
        <v>41594</v>
      </c>
      <c r="C2437" s="2">
        <v>8</v>
      </c>
      <c r="D2437" s="2">
        <v>341</v>
      </c>
      <c r="E2437" s="2">
        <v>200</v>
      </c>
      <c r="F2437" s="2">
        <v>32441</v>
      </c>
      <c r="G2437" s="2">
        <v>3.8053958940000001</v>
      </c>
      <c r="H2437" s="2">
        <v>1.5885739999999999E-3</v>
      </c>
      <c r="I2437" s="2" t="s">
        <v>41595</v>
      </c>
      <c r="J2437" s="2" t="s">
        <v>41596</v>
      </c>
      <c r="K2437" s="2">
        <v>8.5237130000000005E-3</v>
      </c>
      <c r="L2437" s="2" t="s">
        <v>1178</v>
      </c>
      <c r="M2437" s="4" t="s">
        <v>41597</v>
      </c>
    </row>
    <row r="2438" spans="1:13">
      <c r="A2438" s="2">
        <v>2610</v>
      </c>
      <c r="B2438" s="2" t="s">
        <v>12938</v>
      </c>
      <c r="C2438" s="2">
        <v>8</v>
      </c>
      <c r="D2438" s="2">
        <v>341</v>
      </c>
      <c r="E2438" s="2">
        <v>200</v>
      </c>
      <c r="F2438" s="2">
        <v>32441</v>
      </c>
      <c r="G2438" s="2">
        <v>3.8053958940000001</v>
      </c>
      <c r="H2438" s="2">
        <v>1.5885739999999999E-3</v>
      </c>
      <c r="I2438" s="2" t="s">
        <v>41598</v>
      </c>
      <c r="J2438" s="2" t="s">
        <v>41599</v>
      </c>
      <c r="K2438" s="2">
        <v>8.5237130000000005E-3</v>
      </c>
      <c r="L2438" s="2" t="s">
        <v>1178</v>
      </c>
      <c r="M2438" s="4" t="s">
        <v>12941</v>
      </c>
    </row>
    <row r="2439" spans="1:13">
      <c r="A2439" s="2">
        <v>2629</v>
      </c>
      <c r="B2439" s="2" t="s">
        <v>41600</v>
      </c>
      <c r="C2439" s="2">
        <v>8</v>
      </c>
      <c r="D2439" s="2">
        <v>341</v>
      </c>
      <c r="E2439" s="2">
        <v>200</v>
      </c>
      <c r="F2439" s="2">
        <v>32441</v>
      </c>
      <c r="G2439" s="2">
        <v>3.8053958940000001</v>
      </c>
      <c r="H2439" s="2">
        <v>1.5885739999999999E-3</v>
      </c>
      <c r="I2439" s="2" t="s">
        <v>41601</v>
      </c>
      <c r="J2439" s="2" t="s">
        <v>41602</v>
      </c>
      <c r="K2439" s="2">
        <v>8.5237130000000005E-3</v>
      </c>
      <c r="L2439" s="2" t="s">
        <v>1178</v>
      </c>
      <c r="M2439" s="4" t="s">
        <v>41603</v>
      </c>
    </row>
    <row r="2440" spans="1:13">
      <c r="A2440" s="2">
        <v>2778</v>
      </c>
      <c r="B2440" s="2" t="s">
        <v>12942</v>
      </c>
      <c r="C2440" s="2">
        <v>8</v>
      </c>
      <c r="D2440" s="2">
        <v>341</v>
      </c>
      <c r="E2440" s="2">
        <v>200</v>
      </c>
      <c r="F2440" s="2">
        <v>32441</v>
      </c>
      <c r="G2440" s="2">
        <v>3.8053958940000001</v>
      </c>
      <c r="H2440" s="2">
        <v>1.5885739999999999E-3</v>
      </c>
      <c r="I2440" s="2" t="s">
        <v>41604</v>
      </c>
      <c r="J2440" s="2" t="s">
        <v>41605</v>
      </c>
      <c r="K2440" s="2">
        <v>8.5237130000000005E-3</v>
      </c>
      <c r="L2440" s="2" t="s">
        <v>1178</v>
      </c>
      <c r="M2440" s="4" t="s">
        <v>12945</v>
      </c>
    </row>
    <row r="2441" spans="1:13">
      <c r="A2441" s="2">
        <v>28481</v>
      </c>
      <c r="B2441" s="2" t="s">
        <v>16613</v>
      </c>
      <c r="C2441" s="2">
        <v>8</v>
      </c>
      <c r="D2441" s="2">
        <v>341</v>
      </c>
      <c r="E2441" s="2">
        <v>200</v>
      </c>
      <c r="F2441" s="2">
        <v>32441</v>
      </c>
      <c r="G2441" s="2">
        <v>3.8053958940000001</v>
      </c>
      <c r="H2441" s="2">
        <v>1.5885739999999999E-3</v>
      </c>
      <c r="I2441" s="2" t="s">
        <v>41606</v>
      </c>
      <c r="J2441" s="2" t="s">
        <v>41607</v>
      </c>
      <c r="K2441" s="2">
        <v>8.5237130000000005E-3</v>
      </c>
      <c r="L2441" s="2" t="s">
        <v>1178</v>
      </c>
      <c r="M2441" s="4" t="s">
        <v>16616</v>
      </c>
    </row>
    <row r="2442" spans="1:13">
      <c r="A2442" s="2">
        <v>29031</v>
      </c>
      <c r="B2442" s="2" t="s">
        <v>16617</v>
      </c>
      <c r="C2442" s="2">
        <v>8</v>
      </c>
      <c r="D2442" s="2">
        <v>341</v>
      </c>
      <c r="E2442" s="2">
        <v>199</v>
      </c>
      <c r="F2442" s="2">
        <v>32441</v>
      </c>
      <c r="G2442" s="2">
        <v>3.8245184870000002</v>
      </c>
      <c r="H2442" s="2">
        <v>1.5410980000000001E-3</v>
      </c>
      <c r="I2442" s="2" t="s">
        <v>41608</v>
      </c>
      <c r="J2442" s="2" t="s">
        <v>41609</v>
      </c>
      <c r="K2442" s="2">
        <v>8.5237130000000005E-3</v>
      </c>
      <c r="L2442" s="2" t="s">
        <v>1178</v>
      </c>
      <c r="M2442" s="4" t="s">
        <v>16620</v>
      </c>
    </row>
    <row r="2443" spans="1:13">
      <c r="A2443" s="2">
        <v>3007</v>
      </c>
      <c r="B2443" s="2" t="s">
        <v>41610</v>
      </c>
      <c r="C2443" s="2">
        <v>8</v>
      </c>
      <c r="D2443" s="2">
        <v>341</v>
      </c>
      <c r="E2443" s="2">
        <v>200</v>
      </c>
      <c r="F2443" s="2">
        <v>32441</v>
      </c>
      <c r="G2443" s="2">
        <v>3.8053958940000001</v>
      </c>
      <c r="H2443" s="2">
        <v>1.5885739999999999E-3</v>
      </c>
      <c r="I2443" s="2" t="s">
        <v>41611</v>
      </c>
      <c r="J2443" s="2" t="s">
        <v>41612</v>
      </c>
      <c r="K2443" s="2">
        <v>8.5237130000000005E-3</v>
      </c>
      <c r="L2443" s="2" t="s">
        <v>1178</v>
      </c>
      <c r="M2443" s="4" t="s">
        <v>41613</v>
      </c>
    </row>
    <row r="2444" spans="1:13">
      <c r="A2444" s="2">
        <v>3067</v>
      </c>
      <c r="B2444" s="2" t="s">
        <v>32917</v>
      </c>
      <c r="C2444" s="2">
        <v>8</v>
      </c>
      <c r="D2444" s="2">
        <v>341</v>
      </c>
      <c r="E2444" s="2">
        <v>199</v>
      </c>
      <c r="F2444" s="2">
        <v>32441</v>
      </c>
      <c r="G2444" s="2">
        <v>3.8245184870000002</v>
      </c>
      <c r="H2444" s="2">
        <v>1.5410980000000001E-3</v>
      </c>
      <c r="I2444" s="2" t="s">
        <v>41614</v>
      </c>
      <c r="J2444" s="2" t="s">
        <v>41615</v>
      </c>
      <c r="K2444" s="2">
        <v>8.5237130000000005E-3</v>
      </c>
      <c r="L2444" s="2" t="s">
        <v>1178</v>
      </c>
      <c r="M2444" s="4" t="s">
        <v>32920</v>
      </c>
    </row>
    <row r="2445" spans="1:13">
      <c r="A2445" s="2">
        <v>31201</v>
      </c>
      <c r="B2445" s="2" t="s">
        <v>32931</v>
      </c>
      <c r="C2445" s="2">
        <v>8</v>
      </c>
      <c r="D2445" s="2">
        <v>341</v>
      </c>
      <c r="E2445" s="2">
        <v>197</v>
      </c>
      <c r="F2445" s="2">
        <v>32441</v>
      </c>
      <c r="G2445" s="2">
        <v>3.863346086</v>
      </c>
      <c r="H2445" s="2">
        <v>1.4495230000000001E-3</v>
      </c>
      <c r="I2445" s="2" t="s">
        <v>41616</v>
      </c>
      <c r="J2445" s="2" t="s">
        <v>41617</v>
      </c>
      <c r="K2445" s="2">
        <v>8.5237130000000005E-3</v>
      </c>
      <c r="L2445" s="2" t="s">
        <v>1178</v>
      </c>
      <c r="M2445" s="4" t="s">
        <v>32934</v>
      </c>
    </row>
    <row r="2446" spans="1:13">
      <c r="A2446" s="2">
        <v>3154</v>
      </c>
      <c r="B2446" s="2" t="s">
        <v>41618</v>
      </c>
      <c r="C2446" s="2">
        <v>8</v>
      </c>
      <c r="D2446" s="2">
        <v>341</v>
      </c>
      <c r="E2446" s="2">
        <v>200</v>
      </c>
      <c r="F2446" s="2">
        <v>32441</v>
      </c>
      <c r="G2446" s="2">
        <v>3.8053958940000001</v>
      </c>
      <c r="H2446" s="2">
        <v>1.5885739999999999E-3</v>
      </c>
      <c r="I2446" s="2" t="s">
        <v>41619</v>
      </c>
      <c r="J2446" s="2" t="s">
        <v>41620</v>
      </c>
      <c r="K2446" s="2">
        <v>8.5237130000000005E-3</v>
      </c>
      <c r="L2446" s="2" t="s">
        <v>1178</v>
      </c>
      <c r="M2446" s="4" t="s">
        <v>41621</v>
      </c>
    </row>
    <row r="2447" spans="1:13">
      <c r="A2447" s="2">
        <v>32861</v>
      </c>
      <c r="B2447" s="2" t="s">
        <v>33599</v>
      </c>
      <c r="C2447" s="2">
        <v>8</v>
      </c>
      <c r="D2447" s="2">
        <v>341</v>
      </c>
      <c r="E2447" s="2">
        <v>200</v>
      </c>
      <c r="F2447" s="2">
        <v>32441</v>
      </c>
      <c r="G2447" s="2">
        <v>3.8053958940000001</v>
      </c>
      <c r="H2447" s="2">
        <v>1.5885739999999999E-3</v>
      </c>
      <c r="I2447" s="2" t="s">
        <v>41622</v>
      </c>
      <c r="J2447" s="2" t="s">
        <v>41623</v>
      </c>
      <c r="K2447" s="2">
        <v>8.5237130000000005E-3</v>
      </c>
      <c r="L2447" s="2" t="s">
        <v>1178</v>
      </c>
      <c r="M2447" s="4" t="s">
        <v>33602</v>
      </c>
    </row>
    <row r="2448" spans="1:13">
      <c r="A2448" s="2">
        <v>33131</v>
      </c>
      <c r="B2448" s="2" t="s">
        <v>19025</v>
      </c>
      <c r="C2448" s="2">
        <v>8</v>
      </c>
      <c r="D2448" s="2">
        <v>341</v>
      </c>
      <c r="E2448" s="2">
        <v>200</v>
      </c>
      <c r="F2448" s="2">
        <v>32441</v>
      </c>
      <c r="G2448" s="2">
        <v>3.8053958940000001</v>
      </c>
      <c r="H2448" s="2">
        <v>1.5885739999999999E-3</v>
      </c>
      <c r="I2448" s="2" t="s">
        <v>41624</v>
      </c>
      <c r="J2448" s="2" t="s">
        <v>41625</v>
      </c>
      <c r="K2448" s="2">
        <v>8.5237130000000005E-3</v>
      </c>
      <c r="L2448" s="2" t="s">
        <v>1178</v>
      </c>
      <c r="M2448" s="4" t="s">
        <v>19028</v>
      </c>
    </row>
    <row r="2449" spans="1:13">
      <c r="A2449" s="2">
        <v>3319</v>
      </c>
      <c r="B2449" s="2" t="s">
        <v>15997</v>
      </c>
      <c r="C2449" s="2">
        <v>8</v>
      </c>
      <c r="D2449" s="2">
        <v>341</v>
      </c>
      <c r="E2449" s="2">
        <v>200</v>
      </c>
      <c r="F2449" s="2">
        <v>32441</v>
      </c>
      <c r="G2449" s="2">
        <v>3.8053958940000001</v>
      </c>
      <c r="H2449" s="2">
        <v>1.5885739999999999E-3</v>
      </c>
      <c r="I2449" s="2" t="s">
        <v>41626</v>
      </c>
      <c r="J2449" s="2" t="s">
        <v>41627</v>
      </c>
      <c r="K2449" s="2">
        <v>8.5237130000000005E-3</v>
      </c>
      <c r="L2449" s="2" t="s">
        <v>1178</v>
      </c>
      <c r="M2449" s="4" t="s">
        <v>16000</v>
      </c>
    </row>
    <row r="2450" spans="1:13">
      <c r="A2450" s="2">
        <v>3346</v>
      </c>
      <c r="B2450" s="2" t="s">
        <v>41628</v>
      </c>
      <c r="C2450" s="2">
        <v>8</v>
      </c>
      <c r="D2450" s="2">
        <v>341</v>
      </c>
      <c r="E2450" s="2">
        <v>200</v>
      </c>
      <c r="F2450" s="2">
        <v>32441</v>
      </c>
      <c r="G2450" s="2">
        <v>3.8053958940000001</v>
      </c>
      <c r="H2450" s="2">
        <v>1.5885739999999999E-3</v>
      </c>
      <c r="I2450" s="2" t="s">
        <v>41629</v>
      </c>
      <c r="J2450" s="2" t="s">
        <v>41630</v>
      </c>
      <c r="K2450" s="2">
        <v>8.5237130000000005E-3</v>
      </c>
      <c r="L2450" s="2" t="s">
        <v>1178</v>
      </c>
      <c r="M2450" s="4" t="s">
        <v>41631</v>
      </c>
    </row>
    <row r="2451" spans="1:13">
      <c r="A2451" s="2">
        <v>3351</v>
      </c>
      <c r="B2451" s="2" t="s">
        <v>31197</v>
      </c>
      <c r="C2451" s="2">
        <v>8</v>
      </c>
      <c r="D2451" s="2">
        <v>341</v>
      </c>
      <c r="E2451" s="2">
        <v>200</v>
      </c>
      <c r="F2451" s="2">
        <v>32441</v>
      </c>
      <c r="G2451" s="2">
        <v>3.8053958940000001</v>
      </c>
      <c r="H2451" s="2">
        <v>1.5885739999999999E-3</v>
      </c>
      <c r="I2451" s="2" t="s">
        <v>41632</v>
      </c>
      <c r="J2451" s="2" t="s">
        <v>41633</v>
      </c>
      <c r="K2451" s="2">
        <v>8.5237130000000005E-3</v>
      </c>
      <c r="L2451" s="2" t="s">
        <v>1178</v>
      </c>
      <c r="M2451" s="4" t="s">
        <v>31200</v>
      </c>
    </row>
    <row r="2452" spans="1:13">
      <c r="A2452" s="2">
        <v>3430</v>
      </c>
      <c r="B2452" s="2" t="s">
        <v>41634</v>
      </c>
      <c r="C2452" s="2">
        <v>8</v>
      </c>
      <c r="D2452" s="2">
        <v>341</v>
      </c>
      <c r="E2452" s="2">
        <v>200</v>
      </c>
      <c r="F2452" s="2">
        <v>32441</v>
      </c>
      <c r="G2452" s="2">
        <v>3.8053958940000001</v>
      </c>
      <c r="H2452" s="2">
        <v>1.5885739999999999E-3</v>
      </c>
      <c r="I2452" s="2" t="s">
        <v>41635</v>
      </c>
      <c r="J2452" s="2" t="s">
        <v>41636</v>
      </c>
      <c r="K2452" s="2">
        <v>8.5237130000000005E-3</v>
      </c>
      <c r="L2452" s="2" t="s">
        <v>1178</v>
      </c>
      <c r="M2452" s="4" t="s">
        <v>41637</v>
      </c>
    </row>
    <row r="2453" spans="1:13">
      <c r="A2453" s="2">
        <v>3491</v>
      </c>
      <c r="B2453" s="2" t="s">
        <v>41638</v>
      </c>
      <c r="C2453" s="2">
        <v>8</v>
      </c>
      <c r="D2453" s="2">
        <v>341</v>
      </c>
      <c r="E2453" s="2">
        <v>197</v>
      </c>
      <c r="F2453" s="2">
        <v>32441</v>
      </c>
      <c r="G2453" s="2">
        <v>3.863346086</v>
      </c>
      <c r="H2453" s="2">
        <v>1.4495230000000001E-3</v>
      </c>
      <c r="I2453" s="2" t="s">
        <v>41639</v>
      </c>
      <c r="J2453" s="2" t="s">
        <v>41640</v>
      </c>
      <c r="K2453" s="2">
        <v>8.5237130000000005E-3</v>
      </c>
      <c r="L2453" s="2" t="s">
        <v>1178</v>
      </c>
      <c r="M2453" s="4" t="s">
        <v>41641</v>
      </c>
    </row>
    <row r="2454" spans="1:13">
      <c r="A2454" s="2">
        <v>3519</v>
      </c>
      <c r="B2454" s="2" t="s">
        <v>20017</v>
      </c>
      <c r="C2454" s="2">
        <v>8</v>
      </c>
      <c r="D2454" s="2">
        <v>341</v>
      </c>
      <c r="E2454" s="2">
        <v>199</v>
      </c>
      <c r="F2454" s="2">
        <v>32441</v>
      </c>
      <c r="G2454" s="2">
        <v>3.8245184870000002</v>
      </c>
      <c r="H2454" s="2">
        <v>1.5410980000000001E-3</v>
      </c>
      <c r="I2454" s="2" t="s">
        <v>41642</v>
      </c>
      <c r="J2454" s="2" t="s">
        <v>41643</v>
      </c>
      <c r="K2454" s="2">
        <v>8.5237130000000005E-3</v>
      </c>
      <c r="L2454" s="2" t="s">
        <v>1178</v>
      </c>
      <c r="M2454" s="4" t="s">
        <v>20020</v>
      </c>
    </row>
    <row r="2455" spans="1:13">
      <c r="A2455" s="2">
        <v>3528</v>
      </c>
      <c r="B2455" s="2" t="s">
        <v>14156</v>
      </c>
      <c r="C2455" s="2">
        <v>8</v>
      </c>
      <c r="D2455" s="2">
        <v>341</v>
      </c>
      <c r="E2455" s="2">
        <v>200</v>
      </c>
      <c r="F2455" s="2">
        <v>32441</v>
      </c>
      <c r="G2455" s="2">
        <v>3.8053958940000001</v>
      </c>
      <c r="H2455" s="2">
        <v>1.5885739999999999E-3</v>
      </c>
      <c r="I2455" s="2" t="s">
        <v>41644</v>
      </c>
      <c r="J2455" s="2" t="s">
        <v>41645</v>
      </c>
      <c r="K2455" s="2">
        <v>8.5237130000000005E-3</v>
      </c>
      <c r="L2455" s="2" t="s">
        <v>1178</v>
      </c>
      <c r="M2455" s="4" t="s">
        <v>14159</v>
      </c>
    </row>
    <row r="2456" spans="1:13">
      <c r="A2456" s="2">
        <v>3589</v>
      </c>
      <c r="B2456" s="2" t="s">
        <v>23838</v>
      </c>
      <c r="C2456" s="2">
        <v>8</v>
      </c>
      <c r="D2456" s="2">
        <v>341</v>
      </c>
      <c r="E2456" s="2">
        <v>199</v>
      </c>
      <c r="F2456" s="2">
        <v>32441</v>
      </c>
      <c r="G2456" s="2">
        <v>3.8245184870000002</v>
      </c>
      <c r="H2456" s="2">
        <v>1.5410980000000001E-3</v>
      </c>
      <c r="I2456" s="2" t="s">
        <v>41646</v>
      </c>
      <c r="J2456" s="2" t="s">
        <v>41647</v>
      </c>
      <c r="K2456" s="2">
        <v>8.5237130000000005E-3</v>
      </c>
      <c r="L2456" s="2" t="s">
        <v>1178</v>
      </c>
      <c r="M2456" s="4" t="s">
        <v>23841</v>
      </c>
    </row>
    <row r="2457" spans="1:13">
      <c r="A2457" s="2">
        <v>35931</v>
      </c>
      <c r="B2457" s="2" t="s">
        <v>33022</v>
      </c>
      <c r="C2457" s="2">
        <v>8</v>
      </c>
      <c r="D2457" s="2">
        <v>341</v>
      </c>
      <c r="E2457" s="2">
        <v>200</v>
      </c>
      <c r="F2457" s="2">
        <v>32441</v>
      </c>
      <c r="G2457" s="2">
        <v>3.8053958940000001</v>
      </c>
      <c r="H2457" s="2">
        <v>1.5885739999999999E-3</v>
      </c>
      <c r="I2457" s="2" t="s">
        <v>41648</v>
      </c>
      <c r="J2457" s="2" t="s">
        <v>41649</v>
      </c>
      <c r="K2457" s="2">
        <v>8.5237130000000005E-3</v>
      </c>
      <c r="L2457" s="2" t="s">
        <v>1178</v>
      </c>
      <c r="M2457" s="4" t="s">
        <v>33025</v>
      </c>
    </row>
    <row r="2458" spans="1:13">
      <c r="A2458" s="2">
        <v>3596</v>
      </c>
      <c r="B2458" s="2" t="s">
        <v>41650</v>
      </c>
      <c r="C2458" s="2">
        <v>8</v>
      </c>
      <c r="D2458" s="2">
        <v>341</v>
      </c>
      <c r="E2458" s="2">
        <v>200</v>
      </c>
      <c r="F2458" s="2">
        <v>32441</v>
      </c>
      <c r="G2458" s="2">
        <v>3.8053958940000001</v>
      </c>
      <c r="H2458" s="2">
        <v>1.5885739999999999E-3</v>
      </c>
      <c r="I2458" s="2" t="s">
        <v>41651</v>
      </c>
      <c r="J2458" s="2" t="s">
        <v>41652</v>
      </c>
      <c r="K2458" s="2">
        <v>8.5237130000000005E-3</v>
      </c>
      <c r="L2458" s="2" t="s">
        <v>1178</v>
      </c>
      <c r="M2458" s="4" t="s">
        <v>41653</v>
      </c>
    </row>
    <row r="2459" spans="1:13">
      <c r="A2459" s="2">
        <v>3606</v>
      </c>
      <c r="B2459" s="2" t="s">
        <v>41654</v>
      </c>
      <c r="C2459" s="2">
        <v>8</v>
      </c>
      <c r="D2459" s="2">
        <v>341</v>
      </c>
      <c r="E2459" s="2">
        <v>200</v>
      </c>
      <c r="F2459" s="2">
        <v>32441</v>
      </c>
      <c r="G2459" s="2">
        <v>3.8053958940000001</v>
      </c>
      <c r="H2459" s="2">
        <v>1.5885739999999999E-3</v>
      </c>
      <c r="I2459" s="2" t="s">
        <v>41655</v>
      </c>
      <c r="J2459" s="2" t="s">
        <v>41656</v>
      </c>
      <c r="K2459" s="2">
        <v>8.5237130000000005E-3</v>
      </c>
      <c r="L2459" s="2" t="s">
        <v>1178</v>
      </c>
      <c r="M2459" s="4" t="s">
        <v>41657</v>
      </c>
    </row>
    <row r="2460" spans="1:13">
      <c r="A2460" s="2">
        <v>3609</v>
      </c>
      <c r="B2460" s="2" t="s">
        <v>41658</v>
      </c>
      <c r="C2460" s="2">
        <v>8</v>
      </c>
      <c r="D2460" s="2">
        <v>341</v>
      </c>
      <c r="E2460" s="2">
        <v>200</v>
      </c>
      <c r="F2460" s="2">
        <v>32441</v>
      </c>
      <c r="G2460" s="2">
        <v>3.8053958940000001</v>
      </c>
      <c r="H2460" s="2">
        <v>1.5885739999999999E-3</v>
      </c>
      <c r="I2460" s="2" t="s">
        <v>41659</v>
      </c>
      <c r="J2460" s="2" t="s">
        <v>41660</v>
      </c>
      <c r="K2460" s="2">
        <v>8.5237130000000005E-3</v>
      </c>
      <c r="L2460" s="2" t="s">
        <v>1178</v>
      </c>
      <c r="M2460" s="4" t="s">
        <v>41661</v>
      </c>
    </row>
    <row r="2461" spans="1:13">
      <c r="A2461" s="2">
        <v>37872</v>
      </c>
      <c r="B2461" s="2" t="s">
        <v>23880</v>
      </c>
      <c r="C2461" s="2">
        <v>8</v>
      </c>
      <c r="D2461" s="2">
        <v>341</v>
      </c>
      <c r="E2461" s="2">
        <v>199</v>
      </c>
      <c r="F2461" s="2">
        <v>32441</v>
      </c>
      <c r="G2461" s="2">
        <v>3.8245184870000002</v>
      </c>
      <c r="H2461" s="2">
        <v>1.5410980000000001E-3</v>
      </c>
      <c r="I2461" s="2" t="s">
        <v>41662</v>
      </c>
      <c r="J2461" s="2" t="s">
        <v>41663</v>
      </c>
      <c r="K2461" s="2">
        <v>8.5237130000000005E-3</v>
      </c>
      <c r="L2461" s="2" t="s">
        <v>1178</v>
      </c>
      <c r="M2461" s="4" t="s">
        <v>23883</v>
      </c>
    </row>
    <row r="2462" spans="1:13">
      <c r="A2462" s="2">
        <v>38031</v>
      </c>
      <c r="B2462" s="2" t="s">
        <v>14942</v>
      </c>
      <c r="C2462" s="2">
        <v>8</v>
      </c>
      <c r="D2462" s="2">
        <v>341</v>
      </c>
      <c r="E2462" s="2">
        <v>200</v>
      </c>
      <c r="F2462" s="2">
        <v>32441</v>
      </c>
      <c r="G2462" s="2">
        <v>3.8053958940000001</v>
      </c>
      <c r="H2462" s="2">
        <v>1.5885739999999999E-3</v>
      </c>
      <c r="I2462" s="2" t="s">
        <v>41664</v>
      </c>
      <c r="J2462" s="2" t="s">
        <v>41665</v>
      </c>
      <c r="K2462" s="2">
        <v>8.5237130000000005E-3</v>
      </c>
      <c r="L2462" s="2" t="s">
        <v>1178</v>
      </c>
      <c r="M2462" s="4" t="s">
        <v>14945</v>
      </c>
    </row>
    <row r="2463" spans="1:13">
      <c r="A2463" s="2">
        <v>3909</v>
      </c>
      <c r="B2463" s="2" t="s">
        <v>12958</v>
      </c>
      <c r="C2463" s="2">
        <v>8</v>
      </c>
      <c r="D2463" s="2">
        <v>341</v>
      </c>
      <c r="E2463" s="2">
        <v>200</v>
      </c>
      <c r="F2463" s="2">
        <v>32441</v>
      </c>
      <c r="G2463" s="2">
        <v>3.8053958940000001</v>
      </c>
      <c r="H2463" s="2">
        <v>1.5885739999999999E-3</v>
      </c>
      <c r="I2463" s="2" t="s">
        <v>41666</v>
      </c>
      <c r="J2463" s="2" t="s">
        <v>41667</v>
      </c>
      <c r="K2463" s="2">
        <v>8.5237130000000005E-3</v>
      </c>
      <c r="L2463" s="2" t="s">
        <v>1178</v>
      </c>
      <c r="M2463" s="4" t="s">
        <v>12961</v>
      </c>
    </row>
    <row r="2464" spans="1:13">
      <c r="A2464" s="2">
        <v>3911</v>
      </c>
      <c r="B2464" s="2" t="s">
        <v>18268</v>
      </c>
      <c r="C2464" s="2">
        <v>8</v>
      </c>
      <c r="D2464" s="2">
        <v>341</v>
      </c>
      <c r="E2464" s="2">
        <v>200</v>
      </c>
      <c r="F2464" s="2">
        <v>32441</v>
      </c>
      <c r="G2464" s="2">
        <v>3.8053958940000001</v>
      </c>
      <c r="H2464" s="2">
        <v>1.5885739999999999E-3</v>
      </c>
      <c r="I2464" s="2" t="s">
        <v>41668</v>
      </c>
      <c r="J2464" s="2" t="s">
        <v>41669</v>
      </c>
      <c r="K2464" s="2">
        <v>8.5237130000000005E-3</v>
      </c>
      <c r="L2464" s="2" t="s">
        <v>1178</v>
      </c>
      <c r="M2464" s="4" t="s">
        <v>18271</v>
      </c>
    </row>
    <row r="2465" spans="1:13">
      <c r="A2465" s="2">
        <v>3923</v>
      </c>
      <c r="B2465" s="2" t="s">
        <v>14554</v>
      </c>
      <c r="C2465" s="2">
        <v>8</v>
      </c>
      <c r="D2465" s="2">
        <v>341</v>
      </c>
      <c r="E2465" s="2">
        <v>200</v>
      </c>
      <c r="F2465" s="2">
        <v>32441</v>
      </c>
      <c r="G2465" s="2">
        <v>3.8053958940000001</v>
      </c>
      <c r="H2465" s="2">
        <v>1.5885739999999999E-3</v>
      </c>
      <c r="I2465" s="2" t="s">
        <v>41670</v>
      </c>
      <c r="J2465" s="2" t="s">
        <v>41671</v>
      </c>
      <c r="K2465" s="2">
        <v>8.5237130000000005E-3</v>
      </c>
      <c r="L2465" s="2" t="s">
        <v>1178</v>
      </c>
      <c r="M2465" s="4" t="s">
        <v>14557</v>
      </c>
    </row>
    <row r="2466" spans="1:13">
      <c r="A2466" s="2">
        <v>4036</v>
      </c>
      <c r="B2466" s="2" t="s">
        <v>33680</v>
      </c>
      <c r="C2466" s="2">
        <v>8</v>
      </c>
      <c r="D2466" s="2">
        <v>341</v>
      </c>
      <c r="E2466" s="2">
        <v>200</v>
      </c>
      <c r="F2466" s="2">
        <v>32441</v>
      </c>
      <c r="G2466" s="2">
        <v>3.8053958940000001</v>
      </c>
      <c r="H2466" s="2">
        <v>1.5885739999999999E-3</v>
      </c>
      <c r="I2466" s="2" t="s">
        <v>41672</v>
      </c>
      <c r="J2466" s="2" t="s">
        <v>41673</v>
      </c>
      <c r="K2466" s="2">
        <v>8.5237130000000005E-3</v>
      </c>
      <c r="L2466" s="2" t="s">
        <v>1178</v>
      </c>
      <c r="M2466" s="4" t="s">
        <v>33683</v>
      </c>
    </row>
    <row r="2467" spans="1:13">
      <c r="A2467" s="2">
        <v>40381</v>
      </c>
      <c r="B2467" s="2" t="s">
        <v>33684</v>
      </c>
      <c r="C2467" s="2">
        <v>8</v>
      </c>
      <c r="D2467" s="2">
        <v>341</v>
      </c>
      <c r="E2467" s="2">
        <v>200</v>
      </c>
      <c r="F2467" s="2">
        <v>32441</v>
      </c>
      <c r="G2467" s="2">
        <v>3.8053958940000001</v>
      </c>
      <c r="H2467" s="2">
        <v>1.5885739999999999E-3</v>
      </c>
      <c r="I2467" s="2" t="s">
        <v>41674</v>
      </c>
      <c r="J2467" s="2" t="s">
        <v>41675</v>
      </c>
      <c r="K2467" s="2">
        <v>8.5237130000000005E-3</v>
      </c>
      <c r="L2467" s="2" t="s">
        <v>1178</v>
      </c>
      <c r="M2467" s="4" t="s">
        <v>33687</v>
      </c>
    </row>
    <row r="2468" spans="1:13">
      <c r="A2468" s="2">
        <v>4053</v>
      </c>
      <c r="B2468" s="2" t="s">
        <v>33056</v>
      </c>
      <c r="C2468" s="2">
        <v>8</v>
      </c>
      <c r="D2468" s="2">
        <v>341</v>
      </c>
      <c r="E2468" s="2">
        <v>200</v>
      </c>
      <c r="F2468" s="2">
        <v>32441</v>
      </c>
      <c r="G2468" s="2">
        <v>3.8053958940000001</v>
      </c>
      <c r="H2468" s="2">
        <v>1.5885739999999999E-3</v>
      </c>
      <c r="I2468" s="2" t="s">
        <v>41676</v>
      </c>
      <c r="J2468" s="2" t="s">
        <v>41677</v>
      </c>
      <c r="K2468" s="2">
        <v>8.5237130000000005E-3</v>
      </c>
      <c r="L2468" s="2" t="s">
        <v>1178</v>
      </c>
      <c r="M2468" s="4" t="s">
        <v>33059</v>
      </c>
    </row>
    <row r="2469" spans="1:13">
      <c r="A2469" s="2">
        <v>4126</v>
      </c>
      <c r="B2469" s="2" t="s">
        <v>41678</v>
      </c>
      <c r="C2469" s="2">
        <v>8</v>
      </c>
      <c r="D2469" s="2">
        <v>341</v>
      </c>
      <c r="E2469" s="2">
        <v>200</v>
      </c>
      <c r="F2469" s="2">
        <v>32441</v>
      </c>
      <c r="G2469" s="2">
        <v>3.8053958940000001</v>
      </c>
      <c r="H2469" s="2">
        <v>1.5885739999999999E-3</v>
      </c>
      <c r="I2469" s="2" t="s">
        <v>41679</v>
      </c>
      <c r="J2469" s="2" t="s">
        <v>41680</v>
      </c>
      <c r="K2469" s="2">
        <v>8.5237130000000005E-3</v>
      </c>
      <c r="L2469" s="2" t="s">
        <v>1178</v>
      </c>
      <c r="M2469" s="4" t="s">
        <v>41681</v>
      </c>
    </row>
    <row r="2470" spans="1:13">
      <c r="A2470" s="2">
        <v>4128</v>
      </c>
      <c r="B2470" s="2" t="s">
        <v>41682</v>
      </c>
      <c r="C2470" s="2">
        <v>8</v>
      </c>
      <c r="D2470" s="2">
        <v>341</v>
      </c>
      <c r="E2470" s="2">
        <v>200</v>
      </c>
      <c r="F2470" s="2">
        <v>32441</v>
      </c>
      <c r="G2470" s="2">
        <v>3.8053958940000001</v>
      </c>
      <c r="H2470" s="2">
        <v>1.5885739999999999E-3</v>
      </c>
      <c r="I2470" s="2" t="s">
        <v>41683</v>
      </c>
      <c r="J2470" s="2" t="s">
        <v>41684</v>
      </c>
      <c r="K2470" s="2">
        <v>8.5237130000000005E-3</v>
      </c>
      <c r="L2470" s="2" t="s">
        <v>1178</v>
      </c>
      <c r="M2470" s="4" t="s">
        <v>41685</v>
      </c>
    </row>
    <row r="2471" spans="1:13">
      <c r="A2471" s="2">
        <v>4306</v>
      </c>
      <c r="B2471" s="2" t="s">
        <v>19175</v>
      </c>
      <c r="C2471" s="2">
        <v>8</v>
      </c>
      <c r="D2471" s="2">
        <v>341</v>
      </c>
      <c r="E2471" s="2">
        <v>200</v>
      </c>
      <c r="F2471" s="2">
        <v>32441</v>
      </c>
      <c r="G2471" s="2">
        <v>3.8053958940000001</v>
      </c>
      <c r="H2471" s="2">
        <v>1.5885739999999999E-3</v>
      </c>
      <c r="I2471" s="2" t="s">
        <v>41686</v>
      </c>
      <c r="J2471" s="2" t="s">
        <v>41687</v>
      </c>
      <c r="K2471" s="2">
        <v>8.5237130000000005E-3</v>
      </c>
      <c r="L2471" s="2" t="s">
        <v>1178</v>
      </c>
      <c r="M2471" s="4" t="s">
        <v>19178</v>
      </c>
    </row>
    <row r="2472" spans="1:13">
      <c r="A2472" s="2">
        <v>43781</v>
      </c>
      <c r="B2472" s="2" t="s">
        <v>21395</v>
      </c>
      <c r="C2472" s="2">
        <v>8</v>
      </c>
      <c r="D2472" s="2">
        <v>341</v>
      </c>
      <c r="E2472" s="2">
        <v>200</v>
      </c>
      <c r="F2472" s="2">
        <v>32441</v>
      </c>
      <c r="G2472" s="2">
        <v>3.8053958940000001</v>
      </c>
      <c r="H2472" s="2">
        <v>1.5885739999999999E-3</v>
      </c>
      <c r="I2472" s="2" t="s">
        <v>41688</v>
      </c>
      <c r="J2472" s="2" t="s">
        <v>41689</v>
      </c>
      <c r="K2472" s="2">
        <v>8.5237130000000005E-3</v>
      </c>
      <c r="L2472" s="2" t="s">
        <v>1178</v>
      </c>
      <c r="M2472" s="4" t="s">
        <v>21398</v>
      </c>
    </row>
    <row r="2473" spans="1:13">
      <c r="A2473" s="2">
        <v>4402</v>
      </c>
      <c r="B2473" s="2" t="s">
        <v>16121</v>
      </c>
      <c r="C2473" s="2">
        <v>8</v>
      </c>
      <c r="D2473" s="2">
        <v>341</v>
      </c>
      <c r="E2473" s="2">
        <v>200</v>
      </c>
      <c r="F2473" s="2">
        <v>32441</v>
      </c>
      <c r="G2473" s="2">
        <v>3.8053958940000001</v>
      </c>
      <c r="H2473" s="2">
        <v>1.5885739999999999E-3</v>
      </c>
      <c r="I2473" s="2" t="s">
        <v>41690</v>
      </c>
      <c r="J2473" s="2" t="s">
        <v>41691</v>
      </c>
      <c r="K2473" s="2">
        <v>8.5237130000000005E-3</v>
      </c>
      <c r="L2473" s="2" t="s">
        <v>1178</v>
      </c>
      <c r="M2473" s="4" t="s">
        <v>16124</v>
      </c>
    </row>
    <row r="2474" spans="1:13">
      <c r="A2474" s="2">
        <v>4468</v>
      </c>
      <c r="B2474" s="2" t="s">
        <v>33084</v>
      </c>
      <c r="C2474" s="2">
        <v>8</v>
      </c>
      <c r="D2474" s="2">
        <v>341</v>
      </c>
      <c r="E2474" s="2">
        <v>200</v>
      </c>
      <c r="F2474" s="2">
        <v>32441</v>
      </c>
      <c r="G2474" s="2">
        <v>3.8053958940000001</v>
      </c>
      <c r="H2474" s="2">
        <v>1.5885739999999999E-3</v>
      </c>
      <c r="I2474" s="2" t="s">
        <v>41692</v>
      </c>
      <c r="J2474" s="2" t="s">
        <v>41693</v>
      </c>
      <c r="K2474" s="2">
        <v>8.5237130000000005E-3</v>
      </c>
      <c r="L2474" s="2" t="s">
        <v>1178</v>
      </c>
      <c r="M2474" s="4" t="s">
        <v>33087</v>
      </c>
    </row>
    <row r="2475" spans="1:13">
      <c r="A2475" s="2">
        <v>4482</v>
      </c>
      <c r="B2475" s="2" t="s">
        <v>33088</v>
      </c>
      <c r="C2475" s="2">
        <v>8</v>
      </c>
      <c r="D2475" s="2">
        <v>341</v>
      </c>
      <c r="E2475" s="2">
        <v>200</v>
      </c>
      <c r="F2475" s="2">
        <v>32441</v>
      </c>
      <c r="G2475" s="2">
        <v>3.8053958940000001</v>
      </c>
      <c r="H2475" s="2">
        <v>1.5885739999999999E-3</v>
      </c>
      <c r="I2475" s="2" t="s">
        <v>41694</v>
      </c>
      <c r="J2475" s="2" t="s">
        <v>41695</v>
      </c>
      <c r="K2475" s="2">
        <v>8.5237130000000005E-3</v>
      </c>
      <c r="L2475" s="2" t="s">
        <v>1178</v>
      </c>
      <c r="M2475" s="4" t="s">
        <v>33091</v>
      </c>
    </row>
    <row r="2476" spans="1:13">
      <c r="A2476" s="2">
        <v>4485</v>
      </c>
      <c r="B2476" s="2" t="s">
        <v>33722</v>
      </c>
      <c r="C2476" s="2">
        <v>8</v>
      </c>
      <c r="D2476" s="2">
        <v>341</v>
      </c>
      <c r="E2476" s="2">
        <v>199</v>
      </c>
      <c r="F2476" s="2">
        <v>32441</v>
      </c>
      <c r="G2476" s="2">
        <v>3.8245184870000002</v>
      </c>
      <c r="H2476" s="2">
        <v>1.5410980000000001E-3</v>
      </c>
      <c r="I2476" s="2" t="s">
        <v>41696</v>
      </c>
      <c r="J2476" s="2" t="s">
        <v>41697</v>
      </c>
      <c r="K2476" s="2">
        <v>8.5237130000000005E-3</v>
      </c>
      <c r="L2476" s="2" t="s">
        <v>1178</v>
      </c>
      <c r="M2476" s="4" t="s">
        <v>33725</v>
      </c>
    </row>
    <row r="2477" spans="1:13">
      <c r="A2477" s="2">
        <v>45531</v>
      </c>
      <c r="B2477" s="2" t="s">
        <v>33110</v>
      </c>
      <c r="C2477" s="2">
        <v>8</v>
      </c>
      <c r="D2477" s="2">
        <v>341</v>
      </c>
      <c r="E2477" s="2">
        <v>200</v>
      </c>
      <c r="F2477" s="2">
        <v>32441</v>
      </c>
      <c r="G2477" s="2">
        <v>3.8053958940000001</v>
      </c>
      <c r="H2477" s="2">
        <v>1.5885739999999999E-3</v>
      </c>
      <c r="I2477" s="2" t="s">
        <v>41698</v>
      </c>
      <c r="J2477" s="2" t="s">
        <v>41699</v>
      </c>
      <c r="K2477" s="2">
        <v>8.5237130000000005E-3</v>
      </c>
      <c r="L2477" s="2" t="s">
        <v>1178</v>
      </c>
      <c r="M2477" s="4" t="s">
        <v>33113</v>
      </c>
    </row>
    <row r="2478" spans="1:13">
      <c r="A2478" s="2">
        <v>4569</v>
      </c>
      <c r="B2478" s="2" t="s">
        <v>41700</v>
      </c>
      <c r="C2478" s="2">
        <v>8</v>
      </c>
      <c r="D2478" s="2">
        <v>341</v>
      </c>
      <c r="E2478" s="2">
        <v>200</v>
      </c>
      <c r="F2478" s="2">
        <v>32441</v>
      </c>
      <c r="G2478" s="2">
        <v>3.8053958940000001</v>
      </c>
      <c r="H2478" s="2">
        <v>1.5885739999999999E-3</v>
      </c>
      <c r="I2478" s="2" t="s">
        <v>41701</v>
      </c>
      <c r="J2478" s="2" t="s">
        <v>41702</v>
      </c>
      <c r="K2478" s="2">
        <v>8.5237130000000005E-3</v>
      </c>
      <c r="L2478" s="2" t="s">
        <v>1178</v>
      </c>
      <c r="M2478" s="4" t="s">
        <v>41703</v>
      </c>
    </row>
    <row r="2479" spans="1:13">
      <c r="A2479" s="2">
        <v>46141</v>
      </c>
      <c r="B2479" s="2" t="s">
        <v>33738</v>
      </c>
      <c r="C2479" s="2">
        <v>8</v>
      </c>
      <c r="D2479" s="2">
        <v>341</v>
      </c>
      <c r="E2479" s="2">
        <v>200</v>
      </c>
      <c r="F2479" s="2">
        <v>32441</v>
      </c>
      <c r="G2479" s="2">
        <v>3.8053958940000001</v>
      </c>
      <c r="H2479" s="2">
        <v>1.5885739999999999E-3</v>
      </c>
      <c r="I2479" s="2" t="s">
        <v>41704</v>
      </c>
      <c r="J2479" s="2" t="s">
        <v>41705</v>
      </c>
      <c r="K2479" s="2">
        <v>8.5237130000000005E-3</v>
      </c>
      <c r="L2479" s="2" t="s">
        <v>1178</v>
      </c>
      <c r="M2479" s="4" t="s">
        <v>33741</v>
      </c>
    </row>
    <row r="2480" spans="1:13">
      <c r="A2480" s="2">
        <v>4621</v>
      </c>
      <c r="B2480" s="2" t="s">
        <v>2712</v>
      </c>
      <c r="C2480" s="2">
        <v>8</v>
      </c>
      <c r="D2480" s="2">
        <v>341</v>
      </c>
      <c r="E2480" s="2">
        <v>200</v>
      </c>
      <c r="F2480" s="2">
        <v>32441</v>
      </c>
      <c r="G2480" s="2">
        <v>3.8053958940000001</v>
      </c>
      <c r="H2480" s="2">
        <v>1.5885739999999999E-3</v>
      </c>
      <c r="I2480" s="2" t="s">
        <v>41706</v>
      </c>
      <c r="J2480" s="2" t="s">
        <v>41707</v>
      </c>
      <c r="K2480" s="2">
        <v>8.5237130000000005E-3</v>
      </c>
      <c r="L2480" s="2" t="s">
        <v>1178</v>
      </c>
      <c r="M2480" s="4" t="s">
        <v>41708</v>
      </c>
    </row>
    <row r="2481" spans="1:13">
      <c r="A2481" s="2">
        <v>4626</v>
      </c>
      <c r="B2481" s="2" t="s">
        <v>16149</v>
      </c>
      <c r="C2481" s="2">
        <v>8</v>
      </c>
      <c r="D2481" s="2">
        <v>341</v>
      </c>
      <c r="E2481" s="2">
        <v>200</v>
      </c>
      <c r="F2481" s="2">
        <v>32441</v>
      </c>
      <c r="G2481" s="2">
        <v>3.8053958940000001</v>
      </c>
      <c r="H2481" s="2">
        <v>1.5885739999999999E-3</v>
      </c>
      <c r="I2481" s="2" t="s">
        <v>41709</v>
      </c>
      <c r="J2481" s="2" t="s">
        <v>41710</v>
      </c>
      <c r="K2481" s="2">
        <v>8.5237130000000005E-3</v>
      </c>
      <c r="L2481" s="2" t="s">
        <v>1178</v>
      </c>
      <c r="M2481" s="4" t="s">
        <v>16152</v>
      </c>
    </row>
    <row r="2482" spans="1:13">
      <c r="A2482" s="2">
        <v>48561</v>
      </c>
      <c r="B2482" s="2" t="s">
        <v>2742</v>
      </c>
      <c r="C2482" s="2">
        <v>8</v>
      </c>
      <c r="D2482" s="2">
        <v>341</v>
      </c>
      <c r="E2482" s="2">
        <v>199</v>
      </c>
      <c r="F2482" s="2">
        <v>32441</v>
      </c>
      <c r="G2482" s="2">
        <v>3.8245184870000002</v>
      </c>
      <c r="H2482" s="2">
        <v>1.5410980000000001E-3</v>
      </c>
      <c r="I2482" s="2" t="s">
        <v>41711</v>
      </c>
      <c r="J2482" s="2" t="s">
        <v>41712</v>
      </c>
      <c r="K2482" s="2">
        <v>8.5237130000000005E-3</v>
      </c>
      <c r="L2482" s="2" t="s">
        <v>1178</v>
      </c>
      <c r="M2482" s="4" t="s">
        <v>41713</v>
      </c>
    </row>
    <row r="2483" spans="1:13">
      <c r="A2483" s="2">
        <v>4859</v>
      </c>
      <c r="B2483" s="2" t="s">
        <v>33139</v>
      </c>
      <c r="C2483" s="2">
        <v>8</v>
      </c>
      <c r="D2483" s="2">
        <v>341</v>
      </c>
      <c r="E2483" s="2">
        <v>199</v>
      </c>
      <c r="F2483" s="2">
        <v>32441</v>
      </c>
      <c r="G2483" s="2">
        <v>3.8245184870000002</v>
      </c>
      <c r="H2483" s="2">
        <v>1.5410980000000001E-3</v>
      </c>
      <c r="I2483" s="2" t="s">
        <v>41714</v>
      </c>
      <c r="J2483" s="2" t="s">
        <v>41715</v>
      </c>
      <c r="K2483" s="2">
        <v>8.5237130000000005E-3</v>
      </c>
      <c r="L2483" s="2" t="s">
        <v>1178</v>
      </c>
      <c r="M2483" s="4" t="s">
        <v>33142</v>
      </c>
    </row>
    <row r="2484" spans="1:13">
      <c r="A2484" s="2">
        <v>3305</v>
      </c>
      <c r="B2484" s="2" t="s">
        <v>20370</v>
      </c>
      <c r="C2484" s="2">
        <v>7</v>
      </c>
      <c r="D2484" s="2">
        <v>341</v>
      </c>
      <c r="E2484" s="2">
        <v>159</v>
      </c>
      <c r="F2484" s="2">
        <v>32441</v>
      </c>
      <c r="G2484" s="2">
        <v>4.1883288150000002</v>
      </c>
      <c r="H2484" s="2">
        <v>1.835227E-3</v>
      </c>
      <c r="I2484" s="2" t="s">
        <v>41716</v>
      </c>
      <c r="J2484" s="2" t="s">
        <v>41717</v>
      </c>
      <c r="K2484" s="2">
        <v>9.8363340000000004E-3</v>
      </c>
      <c r="L2484" s="2" t="s">
        <v>1178</v>
      </c>
      <c r="M2484" s="4" t="s">
        <v>20373</v>
      </c>
    </row>
    <row r="2485" spans="1:13">
      <c r="A2485" s="2">
        <v>26591</v>
      </c>
      <c r="B2485" s="2" t="s">
        <v>14235</v>
      </c>
      <c r="C2485" s="2">
        <v>7</v>
      </c>
      <c r="D2485" s="2">
        <v>341</v>
      </c>
      <c r="E2485" s="2">
        <v>161</v>
      </c>
      <c r="F2485" s="2">
        <v>32441</v>
      </c>
      <c r="G2485" s="2">
        <v>4.1362998849999997</v>
      </c>
      <c r="H2485" s="2">
        <v>1.9640840000000001E-3</v>
      </c>
      <c r="I2485" s="2" t="s">
        <v>41718</v>
      </c>
      <c r="J2485" s="2" t="s">
        <v>41719</v>
      </c>
      <c r="K2485" s="2">
        <v>1.0515404000000001E-2</v>
      </c>
      <c r="L2485" s="2" t="s">
        <v>1178</v>
      </c>
      <c r="M2485" s="4" t="s">
        <v>14238</v>
      </c>
    </row>
    <row r="2486" spans="1:13">
      <c r="A2486" s="2">
        <v>4231</v>
      </c>
      <c r="B2486" s="2" t="s">
        <v>12440</v>
      </c>
      <c r="C2486" s="2">
        <v>7</v>
      </c>
      <c r="D2486" s="2">
        <v>341</v>
      </c>
      <c r="E2486" s="2">
        <v>162</v>
      </c>
      <c r="F2486" s="2">
        <v>32441</v>
      </c>
      <c r="G2486" s="2">
        <v>4.1107671699999999</v>
      </c>
      <c r="H2486" s="2">
        <v>2.0310839999999998E-3</v>
      </c>
      <c r="I2486" s="2" t="s">
        <v>41720</v>
      </c>
      <c r="J2486" s="2" t="s">
        <v>41721</v>
      </c>
      <c r="K2486" s="2">
        <v>1.0850264E-2</v>
      </c>
      <c r="L2486" s="2" t="s">
        <v>1178</v>
      </c>
      <c r="M2486" s="4" t="s">
        <v>12443</v>
      </c>
    </row>
    <row r="2487" spans="1:13">
      <c r="A2487" s="2">
        <v>4241</v>
      </c>
      <c r="B2487" s="2" t="s">
        <v>17676</v>
      </c>
      <c r="C2487" s="2">
        <v>7</v>
      </c>
      <c r="D2487" s="2">
        <v>341</v>
      </c>
      <c r="E2487" s="2">
        <v>162</v>
      </c>
      <c r="F2487" s="2">
        <v>32441</v>
      </c>
      <c r="G2487" s="2">
        <v>4.1107671699999999</v>
      </c>
      <c r="H2487" s="2">
        <v>2.0310839999999998E-3</v>
      </c>
      <c r="I2487" s="2" t="s">
        <v>41722</v>
      </c>
      <c r="J2487" s="2" t="s">
        <v>41723</v>
      </c>
      <c r="K2487" s="2">
        <v>1.0850264E-2</v>
      </c>
      <c r="L2487" s="2" t="s">
        <v>1178</v>
      </c>
      <c r="M2487" s="4" t="s">
        <v>17679</v>
      </c>
    </row>
    <row r="2488" spans="1:13">
      <c r="A2488" s="2">
        <v>2417</v>
      </c>
      <c r="B2488" s="2" t="s">
        <v>24101</v>
      </c>
      <c r="C2488" s="2">
        <v>7</v>
      </c>
      <c r="D2488" s="2">
        <v>341</v>
      </c>
      <c r="E2488" s="2">
        <v>165</v>
      </c>
      <c r="F2488" s="2">
        <v>32441</v>
      </c>
      <c r="G2488" s="2">
        <v>4.0360259489999999</v>
      </c>
      <c r="H2488" s="2">
        <v>2.242735E-3</v>
      </c>
      <c r="I2488" s="2" t="s">
        <v>41724</v>
      </c>
      <c r="J2488" s="2" t="s">
        <v>41725</v>
      </c>
      <c r="K2488" s="2">
        <v>1.1967805999999999E-2</v>
      </c>
      <c r="L2488" s="2" t="s">
        <v>1178</v>
      </c>
      <c r="M2488" s="4" t="s">
        <v>24104</v>
      </c>
    </row>
    <row r="2489" spans="1:13">
      <c r="A2489" s="2">
        <v>2282</v>
      </c>
      <c r="B2489" s="2" t="s">
        <v>24109</v>
      </c>
      <c r="C2489" s="2">
        <v>7</v>
      </c>
      <c r="D2489" s="2">
        <v>341</v>
      </c>
      <c r="E2489" s="2">
        <v>166</v>
      </c>
      <c r="F2489" s="2">
        <v>32441</v>
      </c>
      <c r="G2489" s="2">
        <v>4.0117125390000004</v>
      </c>
      <c r="H2489" s="2">
        <v>2.3169390000000001E-3</v>
      </c>
      <c r="I2489" s="2" t="s">
        <v>41726</v>
      </c>
      <c r="J2489" s="2" t="s">
        <v>41727</v>
      </c>
      <c r="K2489" s="2">
        <v>1.235025E-2</v>
      </c>
      <c r="L2489" s="2" t="s">
        <v>1178</v>
      </c>
      <c r="M2489" s="4" t="s">
        <v>24112</v>
      </c>
    </row>
    <row r="2490" spans="1:13">
      <c r="A2490" s="2">
        <v>1753</v>
      </c>
      <c r="B2490" s="2" t="s">
        <v>21476</v>
      </c>
      <c r="C2490" s="2">
        <v>7</v>
      </c>
      <c r="D2490" s="2">
        <v>341</v>
      </c>
      <c r="E2490" s="2">
        <v>169</v>
      </c>
      <c r="F2490" s="2">
        <v>32441</v>
      </c>
      <c r="G2490" s="2">
        <v>3.9404987070000002</v>
      </c>
      <c r="H2490" s="2">
        <v>2.5509489999999998E-3</v>
      </c>
      <c r="I2490" s="2" t="s">
        <v>41728</v>
      </c>
      <c r="J2490" s="2" t="s">
        <v>41729</v>
      </c>
      <c r="K2490" s="2">
        <v>1.3567930000000001E-2</v>
      </c>
      <c r="L2490" s="2" t="s">
        <v>1178</v>
      </c>
      <c r="M2490" s="4" t="s">
        <v>21479</v>
      </c>
    </row>
    <row r="2491" spans="1:13">
      <c r="A2491" s="2">
        <v>2278</v>
      </c>
      <c r="B2491" s="2" t="s">
        <v>41730</v>
      </c>
      <c r="C2491" s="2">
        <v>7</v>
      </c>
      <c r="D2491" s="2">
        <v>341</v>
      </c>
      <c r="E2491" s="2">
        <v>169</v>
      </c>
      <c r="F2491" s="2">
        <v>32441</v>
      </c>
      <c r="G2491" s="2">
        <v>3.9404987070000002</v>
      </c>
      <c r="H2491" s="2">
        <v>2.5509489999999998E-3</v>
      </c>
      <c r="I2491" s="2" t="s">
        <v>41731</v>
      </c>
      <c r="J2491" s="2" t="s">
        <v>41732</v>
      </c>
      <c r="K2491" s="2">
        <v>1.3567930000000001E-2</v>
      </c>
      <c r="L2491" s="2" t="s">
        <v>1178</v>
      </c>
      <c r="M2491" s="4" t="s">
        <v>41733</v>
      </c>
    </row>
    <row r="2492" spans="1:13">
      <c r="A2492" s="2">
        <v>17511</v>
      </c>
      <c r="B2492" s="2" t="s">
        <v>20283</v>
      </c>
      <c r="C2492" s="2">
        <v>7</v>
      </c>
      <c r="D2492" s="2">
        <v>341</v>
      </c>
      <c r="E2492" s="2">
        <v>171</v>
      </c>
      <c r="F2492" s="2">
        <v>32441</v>
      </c>
      <c r="G2492" s="2">
        <v>3.8944110030000001</v>
      </c>
      <c r="H2492" s="2">
        <v>2.7167699999999999E-3</v>
      </c>
      <c r="I2492" s="2" t="s">
        <v>41734</v>
      </c>
      <c r="J2492" s="2" t="s">
        <v>41735</v>
      </c>
      <c r="K2492" s="2">
        <v>1.4434137999999999E-2</v>
      </c>
      <c r="L2492" s="2" t="s">
        <v>1178</v>
      </c>
      <c r="M2492" s="4" t="s">
        <v>20286</v>
      </c>
    </row>
    <row r="2493" spans="1:13">
      <c r="A2493" s="2">
        <v>26791</v>
      </c>
      <c r="B2493" s="2" t="s">
        <v>41736</v>
      </c>
      <c r="C2493" s="2">
        <v>7</v>
      </c>
      <c r="D2493" s="2">
        <v>341</v>
      </c>
      <c r="E2493" s="2">
        <v>172</v>
      </c>
      <c r="F2493" s="2">
        <v>32441</v>
      </c>
      <c r="G2493" s="2">
        <v>3.8717690789999999</v>
      </c>
      <c r="H2493" s="2">
        <v>2.8027210000000002E-3</v>
      </c>
      <c r="I2493" s="2" t="s">
        <v>41737</v>
      </c>
      <c r="J2493" s="2" t="s">
        <v>41738</v>
      </c>
      <c r="K2493" s="2">
        <v>1.4874573E-2</v>
      </c>
      <c r="L2493" s="2" t="s">
        <v>1178</v>
      </c>
      <c r="M2493" s="4" t="s">
        <v>41739</v>
      </c>
    </row>
    <row r="2494" spans="1:13">
      <c r="A2494" s="2">
        <v>4155</v>
      </c>
      <c r="B2494" s="2" t="s">
        <v>34516</v>
      </c>
      <c r="C2494" s="2">
        <v>7</v>
      </c>
      <c r="D2494" s="2">
        <v>341</v>
      </c>
      <c r="E2494" s="2">
        <v>174</v>
      </c>
      <c r="F2494" s="2">
        <v>32441</v>
      </c>
      <c r="G2494" s="2">
        <v>3.827265986</v>
      </c>
      <c r="H2494" s="2">
        <v>2.9808650000000001E-3</v>
      </c>
      <c r="I2494" s="2" t="s">
        <v>41740</v>
      </c>
      <c r="J2494" s="2" t="s">
        <v>41741</v>
      </c>
      <c r="K2494" s="2">
        <v>1.5802803000000001E-2</v>
      </c>
      <c r="L2494" s="2" t="s">
        <v>1178</v>
      </c>
      <c r="M2494" s="4" t="s">
        <v>34519</v>
      </c>
    </row>
    <row r="2495" spans="1:13">
      <c r="A2495" s="2">
        <v>4083</v>
      </c>
      <c r="B2495" s="2" t="s">
        <v>14223</v>
      </c>
      <c r="C2495" s="2">
        <v>7</v>
      </c>
      <c r="D2495" s="2">
        <v>341</v>
      </c>
      <c r="E2495" s="2">
        <v>179</v>
      </c>
      <c r="F2495" s="2">
        <v>32441</v>
      </c>
      <c r="G2495" s="2">
        <v>3.7203591149999999</v>
      </c>
      <c r="H2495" s="2">
        <v>3.4641630000000001E-3</v>
      </c>
      <c r="I2495" s="2" t="s">
        <v>41742</v>
      </c>
      <c r="J2495" s="2" t="s">
        <v>41743</v>
      </c>
      <c r="K2495" s="2">
        <v>1.8345004000000002E-2</v>
      </c>
      <c r="L2495" s="2" t="s">
        <v>1178</v>
      </c>
      <c r="M2495" s="4" t="s">
        <v>14226</v>
      </c>
    </row>
    <row r="2496" spans="1:13">
      <c r="A2496" s="2">
        <v>24231</v>
      </c>
      <c r="B2496" s="2" t="s">
        <v>32158</v>
      </c>
      <c r="C2496" s="2">
        <v>7</v>
      </c>
      <c r="D2496" s="2">
        <v>341</v>
      </c>
      <c r="E2496" s="2">
        <v>180</v>
      </c>
      <c r="F2496" s="2">
        <v>32441</v>
      </c>
      <c r="G2496" s="2">
        <v>3.6996904530000001</v>
      </c>
      <c r="H2496" s="2">
        <v>3.5675910000000002E-3</v>
      </c>
      <c r="I2496" s="2" t="s">
        <v>41744</v>
      </c>
      <c r="J2496" s="2" t="s">
        <v>41745</v>
      </c>
      <c r="K2496" s="2">
        <v>1.8851737E-2</v>
      </c>
      <c r="L2496" s="2" t="s">
        <v>1178</v>
      </c>
      <c r="M2496" s="4" t="s">
        <v>32161</v>
      </c>
    </row>
    <row r="2497" spans="1:13">
      <c r="A2497" s="2">
        <v>4094</v>
      </c>
      <c r="B2497" s="2" t="s">
        <v>13349</v>
      </c>
      <c r="C2497" s="2">
        <v>7</v>
      </c>
      <c r="D2497" s="2">
        <v>341</v>
      </c>
      <c r="E2497" s="2">
        <v>180</v>
      </c>
      <c r="F2497" s="2">
        <v>32441</v>
      </c>
      <c r="G2497" s="2">
        <v>3.6996904530000001</v>
      </c>
      <c r="H2497" s="2">
        <v>3.5675910000000002E-3</v>
      </c>
      <c r="I2497" s="2" t="s">
        <v>41746</v>
      </c>
      <c r="J2497" s="2" t="s">
        <v>41747</v>
      </c>
      <c r="K2497" s="2">
        <v>1.8851737E-2</v>
      </c>
      <c r="L2497" s="2" t="s">
        <v>1178</v>
      </c>
      <c r="M2497" s="4" t="s">
        <v>13352</v>
      </c>
    </row>
    <row r="2498" spans="1:13">
      <c r="A2498" s="2">
        <v>25071</v>
      </c>
      <c r="B2498" s="2" t="s">
        <v>41748</v>
      </c>
      <c r="C2498" s="2">
        <v>7</v>
      </c>
      <c r="D2498" s="2">
        <v>341</v>
      </c>
      <c r="E2498" s="2">
        <v>184</v>
      </c>
      <c r="F2498" s="2">
        <v>32441</v>
      </c>
      <c r="G2498" s="2">
        <v>3.6192624000000002</v>
      </c>
      <c r="H2498" s="2">
        <v>4.0049710000000004E-3</v>
      </c>
      <c r="I2498" s="2" t="s">
        <v>41749</v>
      </c>
      <c r="J2498" s="2" t="s">
        <v>41750</v>
      </c>
      <c r="K2498" s="2">
        <v>2.1139999999999999E-2</v>
      </c>
      <c r="L2498" s="2" t="s">
        <v>1178</v>
      </c>
      <c r="M2498" s="4" t="s">
        <v>41751</v>
      </c>
    </row>
    <row r="2499" spans="1:13">
      <c r="A2499" s="2">
        <v>3464</v>
      </c>
      <c r="B2499" s="2" t="s">
        <v>41752</v>
      </c>
      <c r="C2499" s="2">
        <v>6</v>
      </c>
      <c r="D2499" s="2">
        <v>341</v>
      </c>
      <c r="E2499" s="2">
        <v>139</v>
      </c>
      <c r="F2499" s="2">
        <v>32441</v>
      </c>
      <c r="G2499" s="2">
        <v>4.1065423320000001</v>
      </c>
      <c r="H2499" s="2">
        <v>4.2097890000000002E-3</v>
      </c>
      <c r="I2499" s="2" t="s">
        <v>41753</v>
      </c>
      <c r="J2499" s="2" t="s">
        <v>41754</v>
      </c>
      <c r="K2499" s="2">
        <v>2.2197069999999999E-2</v>
      </c>
      <c r="L2499" s="2" t="s">
        <v>1178</v>
      </c>
      <c r="M2499" s="4" t="s">
        <v>41755</v>
      </c>
    </row>
    <row r="2500" spans="1:13">
      <c r="A2500" s="2">
        <v>211</v>
      </c>
      <c r="B2500" s="2" t="s">
        <v>31482</v>
      </c>
      <c r="C2500" s="2">
        <v>7</v>
      </c>
      <c r="D2500" s="2">
        <v>341</v>
      </c>
      <c r="E2500" s="2">
        <v>200</v>
      </c>
      <c r="F2500" s="2">
        <v>32441</v>
      </c>
      <c r="G2500" s="2">
        <v>3.3297214080000002</v>
      </c>
      <c r="H2500" s="2">
        <v>6.1713949999999997E-3</v>
      </c>
      <c r="I2500" s="2" t="s">
        <v>41756</v>
      </c>
      <c r="J2500" s="2" t="s">
        <v>41757</v>
      </c>
      <c r="K2500" s="2">
        <v>2.7533915999999999E-2</v>
      </c>
      <c r="L2500" s="2" t="s">
        <v>1178</v>
      </c>
      <c r="M2500" s="4" t="s">
        <v>31485</v>
      </c>
    </row>
    <row r="2501" spans="1:13">
      <c r="A2501" s="2">
        <v>473</v>
      </c>
      <c r="B2501" s="2" t="s">
        <v>1644</v>
      </c>
      <c r="C2501" s="2">
        <v>7</v>
      </c>
      <c r="D2501" s="2">
        <v>341</v>
      </c>
      <c r="E2501" s="2">
        <v>200</v>
      </c>
      <c r="F2501" s="2">
        <v>32441</v>
      </c>
      <c r="G2501" s="2">
        <v>3.3297214080000002</v>
      </c>
      <c r="H2501" s="2">
        <v>6.1713949999999997E-3</v>
      </c>
      <c r="I2501" s="2" t="s">
        <v>41758</v>
      </c>
      <c r="J2501" s="2" t="s">
        <v>41759</v>
      </c>
      <c r="K2501" s="2">
        <v>2.7533915999999999E-2</v>
      </c>
      <c r="L2501" s="2" t="s">
        <v>1178</v>
      </c>
      <c r="M2501" s="4" t="s">
        <v>20416</v>
      </c>
    </row>
    <row r="2502" spans="1:13">
      <c r="A2502" s="2">
        <v>843</v>
      </c>
      <c r="B2502" s="2" t="s">
        <v>20425</v>
      </c>
      <c r="C2502" s="2">
        <v>7</v>
      </c>
      <c r="D2502" s="2">
        <v>341</v>
      </c>
      <c r="E2502" s="2">
        <v>200</v>
      </c>
      <c r="F2502" s="2">
        <v>32441</v>
      </c>
      <c r="G2502" s="2">
        <v>3.3297214080000002</v>
      </c>
      <c r="H2502" s="2">
        <v>6.1713949999999997E-3</v>
      </c>
      <c r="I2502" s="2" t="s">
        <v>41760</v>
      </c>
      <c r="J2502" s="2" t="s">
        <v>41761</v>
      </c>
      <c r="K2502" s="2">
        <v>2.7533915999999999E-2</v>
      </c>
      <c r="L2502" s="2" t="s">
        <v>1178</v>
      </c>
      <c r="M2502" s="4" t="s">
        <v>20428</v>
      </c>
    </row>
    <row r="2503" spans="1:13">
      <c r="A2503" s="2">
        <v>912</v>
      </c>
      <c r="B2503" s="2" t="s">
        <v>15621</v>
      </c>
      <c r="C2503" s="2">
        <v>7</v>
      </c>
      <c r="D2503" s="2">
        <v>341</v>
      </c>
      <c r="E2503" s="2">
        <v>200</v>
      </c>
      <c r="F2503" s="2">
        <v>32441</v>
      </c>
      <c r="G2503" s="2">
        <v>3.3297214080000002</v>
      </c>
      <c r="H2503" s="2">
        <v>6.1713949999999997E-3</v>
      </c>
      <c r="I2503" s="2" t="s">
        <v>41762</v>
      </c>
      <c r="J2503" s="2" t="s">
        <v>41763</v>
      </c>
      <c r="K2503" s="2">
        <v>2.7533915999999999E-2</v>
      </c>
      <c r="L2503" s="2" t="s">
        <v>1178</v>
      </c>
      <c r="M2503" s="4" t="s">
        <v>15624</v>
      </c>
    </row>
    <row r="2504" spans="1:13">
      <c r="A2504" s="2">
        <v>2022</v>
      </c>
      <c r="B2504" s="2" t="s">
        <v>2316</v>
      </c>
      <c r="C2504" s="2">
        <v>7</v>
      </c>
      <c r="D2504" s="2">
        <v>341</v>
      </c>
      <c r="E2504" s="2">
        <v>200</v>
      </c>
      <c r="F2504" s="2">
        <v>32441</v>
      </c>
      <c r="G2504" s="2">
        <v>3.3297214080000002</v>
      </c>
      <c r="H2504" s="2">
        <v>6.1713949999999997E-3</v>
      </c>
      <c r="I2504" s="2" t="s">
        <v>41764</v>
      </c>
      <c r="J2504" s="2" t="s">
        <v>41765</v>
      </c>
      <c r="K2504" s="2">
        <v>2.7533915999999999E-2</v>
      </c>
      <c r="L2504" s="2" t="s">
        <v>1178</v>
      </c>
      <c r="M2504" s="4" t="s">
        <v>41766</v>
      </c>
    </row>
    <row r="2505" spans="1:13">
      <c r="A2505" s="2">
        <v>212</v>
      </c>
      <c r="B2505" s="2" t="s">
        <v>22901</v>
      </c>
      <c r="C2505" s="2">
        <v>7</v>
      </c>
      <c r="D2505" s="2">
        <v>341</v>
      </c>
      <c r="E2505" s="2">
        <v>200</v>
      </c>
      <c r="F2505" s="2">
        <v>32441</v>
      </c>
      <c r="G2505" s="2">
        <v>3.3297214080000002</v>
      </c>
      <c r="H2505" s="2">
        <v>6.1713949999999997E-3</v>
      </c>
      <c r="I2505" s="2" t="s">
        <v>41767</v>
      </c>
      <c r="J2505" s="2" t="s">
        <v>41768</v>
      </c>
      <c r="K2505" s="2">
        <v>2.7533915999999999E-2</v>
      </c>
      <c r="L2505" s="2" t="s">
        <v>1178</v>
      </c>
      <c r="M2505" s="4" t="s">
        <v>22904</v>
      </c>
    </row>
    <row r="2506" spans="1:13">
      <c r="A2506" s="2">
        <v>227</v>
      </c>
      <c r="B2506" s="2" t="s">
        <v>41769</v>
      </c>
      <c r="C2506" s="2">
        <v>7</v>
      </c>
      <c r="D2506" s="2">
        <v>341</v>
      </c>
      <c r="E2506" s="2">
        <v>200</v>
      </c>
      <c r="F2506" s="2">
        <v>32441</v>
      </c>
      <c r="G2506" s="2">
        <v>3.3297214080000002</v>
      </c>
      <c r="H2506" s="2">
        <v>6.1713949999999997E-3</v>
      </c>
      <c r="I2506" s="2" t="s">
        <v>41770</v>
      </c>
      <c r="J2506" s="2" t="s">
        <v>41771</v>
      </c>
      <c r="K2506" s="2">
        <v>2.7533915999999999E-2</v>
      </c>
      <c r="L2506" s="2" t="s">
        <v>1178</v>
      </c>
      <c r="M2506" s="4" t="s">
        <v>41772</v>
      </c>
    </row>
    <row r="2507" spans="1:13">
      <c r="A2507" s="2">
        <v>2512</v>
      </c>
      <c r="B2507" s="2" t="s">
        <v>41773</v>
      </c>
      <c r="C2507" s="2">
        <v>7</v>
      </c>
      <c r="D2507" s="2">
        <v>341</v>
      </c>
      <c r="E2507" s="2">
        <v>200</v>
      </c>
      <c r="F2507" s="2">
        <v>32441</v>
      </c>
      <c r="G2507" s="2">
        <v>3.3297214080000002</v>
      </c>
      <c r="H2507" s="2">
        <v>6.1713949999999997E-3</v>
      </c>
      <c r="I2507" s="2" t="s">
        <v>41774</v>
      </c>
      <c r="J2507" s="2" t="s">
        <v>41775</v>
      </c>
      <c r="K2507" s="2">
        <v>2.7533915999999999E-2</v>
      </c>
      <c r="L2507" s="2" t="s">
        <v>1178</v>
      </c>
      <c r="M2507" s="4" t="s">
        <v>41776</v>
      </c>
    </row>
    <row r="2508" spans="1:13">
      <c r="A2508" s="2">
        <v>259</v>
      </c>
      <c r="B2508" s="2" t="s">
        <v>41777</v>
      </c>
      <c r="C2508" s="2">
        <v>7</v>
      </c>
      <c r="D2508" s="2">
        <v>341</v>
      </c>
      <c r="E2508" s="2">
        <v>199</v>
      </c>
      <c r="F2508" s="2">
        <v>32441</v>
      </c>
      <c r="G2508" s="2">
        <v>3.3464536759999999</v>
      </c>
      <c r="H2508" s="2">
        <v>6.0148149999999997E-3</v>
      </c>
      <c r="I2508" s="2" t="s">
        <v>41778</v>
      </c>
      <c r="J2508" s="2" t="s">
        <v>41779</v>
      </c>
      <c r="K2508" s="2">
        <v>2.7533915999999999E-2</v>
      </c>
      <c r="L2508" s="2" t="s">
        <v>1178</v>
      </c>
      <c r="M2508" s="4" t="s">
        <v>41780</v>
      </c>
    </row>
    <row r="2509" spans="1:13">
      <c r="A2509" s="2">
        <v>284</v>
      </c>
      <c r="B2509" s="2" t="s">
        <v>41781</v>
      </c>
      <c r="C2509" s="2">
        <v>7</v>
      </c>
      <c r="D2509" s="2">
        <v>341</v>
      </c>
      <c r="E2509" s="2">
        <v>200</v>
      </c>
      <c r="F2509" s="2">
        <v>32441</v>
      </c>
      <c r="G2509" s="2">
        <v>3.3297214080000002</v>
      </c>
      <c r="H2509" s="2">
        <v>6.1713949999999997E-3</v>
      </c>
      <c r="I2509" s="2" t="s">
        <v>41782</v>
      </c>
      <c r="J2509" s="2" t="s">
        <v>41783</v>
      </c>
      <c r="K2509" s="2">
        <v>2.7533915999999999E-2</v>
      </c>
      <c r="L2509" s="2" t="s">
        <v>1178</v>
      </c>
      <c r="M2509" s="4" t="s">
        <v>41784</v>
      </c>
    </row>
    <row r="2510" spans="1:13">
      <c r="A2510" s="2">
        <v>317</v>
      </c>
      <c r="B2510" s="2" t="s">
        <v>32641</v>
      </c>
      <c r="C2510" s="2">
        <v>7</v>
      </c>
      <c r="D2510" s="2">
        <v>341</v>
      </c>
      <c r="E2510" s="2">
        <v>200</v>
      </c>
      <c r="F2510" s="2">
        <v>32441</v>
      </c>
      <c r="G2510" s="2">
        <v>3.3297214080000002</v>
      </c>
      <c r="H2510" s="2">
        <v>6.1713949999999997E-3</v>
      </c>
      <c r="I2510" s="2" t="s">
        <v>41785</v>
      </c>
      <c r="J2510" s="2" t="s">
        <v>41786</v>
      </c>
      <c r="K2510" s="2">
        <v>2.7533915999999999E-2</v>
      </c>
      <c r="L2510" s="2" t="s">
        <v>1178</v>
      </c>
      <c r="M2510" s="4" t="s">
        <v>32644</v>
      </c>
    </row>
    <row r="2511" spans="1:13">
      <c r="A2511" s="2">
        <v>330</v>
      </c>
      <c r="B2511" s="2" t="s">
        <v>19478</v>
      </c>
      <c r="C2511" s="2">
        <v>7</v>
      </c>
      <c r="D2511" s="2">
        <v>341</v>
      </c>
      <c r="E2511" s="2">
        <v>200</v>
      </c>
      <c r="F2511" s="2">
        <v>32441</v>
      </c>
      <c r="G2511" s="2">
        <v>3.3297214080000002</v>
      </c>
      <c r="H2511" s="2">
        <v>6.1713949999999997E-3</v>
      </c>
      <c r="I2511" s="2" t="s">
        <v>41787</v>
      </c>
      <c r="J2511" s="2" t="s">
        <v>41788</v>
      </c>
      <c r="K2511" s="2">
        <v>2.7533915999999999E-2</v>
      </c>
      <c r="L2511" s="2" t="s">
        <v>1178</v>
      </c>
      <c r="M2511" s="4" t="s">
        <v>19481</v>
      </c>
    </row>
    <row r="2512" spans="1:13">
      <c r="A2512" s="2">
        <v>361</v>
      </c>
      <c r="B2512" s="2" t="s">
        <v>41789</v>
      </c>
      <c r="C2512" s="2">
        <v>7</v>
      </c>
      <c r="D2512" s="2">
        <v>341</v>
      </c>
      <c r="E2512" s="2">
        <v>200</v>
      </c>
      <c r="F2512" s="2">
        <v>32441</v>
      </c>
      <c r="G2512" s="2">
        <v>3.3297214080000002</v>
      </c>
      <c r="H2512" s="2">
        <v>6.1713949999999997E-3</v>
      </c>
      <c r="I2512" s="2" t="s">
        <v>41790</v>
      </c>
      <c r="J2512" s="2" t="s">
        <v>41791</v>
      </c>
      <c r="K2512" s="2">
        <v>2.7533915999999999E-2</v>
      </c>
      <c r="L2512" s="2" t="s">
        <v>1178</v>
      </c>
      <c r="M2512" s="4" t="s">
        <v>41792</v>
      </c>
    </row>
    <row r="2513" spans="1:13">
      <c r="A2513" s="2">
        <v>432</v>
      </c>
      <c r="B2513" s="2" t="s">
        <v>12305</v>
      </c>
      <c r="C2513" s="2">
        <v>7</v>
      </c>
      <c r="D2513" s="2">
        <v>341</v>
      </c>
      <c r="E2513" s="2">
        <v>200</v>
      </c>
      <c r="F2513" s="2">
        <v>32441</v>
      </c>
      <c r="G2513" s="2">
        <v>3.3297214080000002</v>
      </c>
      <c r="H2513" s="2">
        <v>6.1713949999999997E-3</v>
      </c>
      <c r="I2513" s="2" t="s">
        <v>41793</v>
      </c>
      <c r="J2513" s="2" t="s">
        <v>41794</v>
      </c>
      <c r="K2513" s="2">
        <v>2.7533915999999999E-2</v>
      </c>
      <c r="L2513" s="2" t="s">
        <v>1178</v>
      </c>
      <c r="M2513" s="4" t="s">
        <v>12308</v>
      </c>
    </row>
    <row r="2514" spans="1:13">
      <c r="A2514" s="2">
        <v>433</v>
      </c>
      <c r="B2514" s="2" t="s">
        <v>22974</v>
      </c>
      <c r="C2514" s="2">
        <v>7</v>
      </c>
      <c r="D2514" s="2">
        <v>341</v>
      </c>
      <c r="E2514" s="2">
        <v>199</v>
      </c>
      <c r="F2514" s="2">
        <v>32441</v>
      </c>
      <c r="G2514" s="2">
        <v>3.3464536759999999</v>
      </c>
      <c r="H2514" s="2">
        <v>6.0148149999999997E-3</v>
      </c>
      <c r="I2514" s="2" t="s">
        <v>41795</v>
      </c>
      <c r="J2514" s="2" t="s">
        <v>41796</v>
      </c>
      <c r="K2514" s="2">
        <v>2.7533915999999999E-2</v>
      </c>
      <c r="L2514" s="2" t="s">
        <v>1178</v>
      </c>
      <c r="M2514" s="4" t="s">
        <v>22977</v>
      </c>
    </row>
    <row r="2515" spans="1:13">
      <c r="A2515" s="2">
        <v>4411</v>
      </c>
      <c r="B2515" s="2" t="s">
        <v>15129</v>
      </c>
      <c r="C2515" s="2">
        <v>7</v>
      </c>
      <c r="D2515" s="2">
        <v>341</v>
      </c>
      <c r="E2515" s="2">
        <v>200</v>
      </c>
      <c r="F2515" s="2">
        <v>32441</v>
      </c>
      <c r="G2515" s="2">
        <v>3.3297214080000002</v>
      </c>
      <c r="H2515" s="2">
        <v>6.1713949999999997E-3</v>
      </c>
      <c r="I2515" s="2" t="s">
        <v>41797</v>
      </c>
      <c r="J2515" s="2" t="s">
        <v>41798</v>
      </c>
      <c r="K2515" s="2">
        <v>2.7533915999999999E-2</v>
      </c>
      <c r="L2515" s="2" t="s">
        <v>1178</v>
      </c>
      <c r="M2515" s="4" t="s">
        <v>15132</v>
      </c>
    </row>
    <row r="2516" spans="1:13">
      <c r="A2516" s="2">
        <v>446</v>
      </c>
      <c r="B2516" s="2" t="s">
        <v>16971</v>
      </c>
      <c r="C2516" s="2">
        <v>7</v>
      </c>
      <c r="D2516" s="2">
        <v>341</v>
      </c>
      <c r="E2516" s="2">
        <v>200</v>
      </c>
      <c r="F2516" s="2">
        <v>32441</v>
      </c>
      <c r="G2516" s="2">
        <v>3.3297214080000002</v>
      </c>
      <c r="H2516" s="2">
        <v>6.1713949999999997E-3</v>
      </c>
      <c r="I2516" s="2" t="s">
        <v>41799</v>
      </c>
      <c r="J2516" s="2" t="s">
        <v>41800</v>
      </c>
      <c r="K2516" s="2">
        <v>2.7533915999999999E-2</v>
      </c>
      <c r="L2516" s="2" t="s">
        <v>1178</v>
      </c>
      <c r="M2516" s="4" t="s">
        <v>16974</v>
      </c>
    </row>
    <row r="2517" spans="1:13">
      <c r="A2517" s="2">
        <v>4561</v>
      </c>
      <c r="B2517" s="2" t="s">
        <v>19508</v>
      </c>
      <c r="C2517" s="2">
        <v>7</v>
      </c>
      <c r="D2517" s="2">
        <v>341</v>
      </c>
      <c r="E2517" s="2">
        <v>200</v>
      </c>
      <c r="F2517" s="2">
        <v>32441</v>
      </c>
      <c r="G2517" s="2">
        <v>3.3297214080000002</v>
      </c>
      <c r="H2517" s="2">
        <v>6.1713949999999997E-3</v>
      </c>
      <c r="I2517" s="2" t="s">
        <v>41801</v>
      </c>
      <c r="J2517" s="2" t="s">
        <v>41802</v>
      </c>
      <c r="K2517" s="2">
        <v>2.7533915999999999E-2</v>
      </c>
      <c r="L2517" s="2" t="s">
        <v>1178</v>
      </c>
      <c r="M2517" s="4" t="s">
        <v>19511</v>
      </c>
    </row>
    <row r="2518" spans="1:13">
      <c r="A2518" s="2">
        <v>4631</v>
      </c>
      <c r="B2518" s="2" t="s">
        <v>18561</v>
      </c>
      <c r="C2518" s="2">
        <v>7</v>
      </c>
      <c r="D2518" s="2">
        <v>341</v>
      </c>
      <c r="E2518" s="2">
        <v>200</v>
      </c>
      <c r="F2518" s="2">
        <v>32441</v>
      </c>
      <c r="G2518" s="2">
        <v>3.3297214080000002</v>
      </c>
      <c r="H2518" s="2">
        <v>6.1713949999999997E-3</v>
      </c>
      <c r="I2518" s="2" t="s">
        <v>41803</v>
      </c>
      <c r="J2518" s="2" t="s">
        <v>41804</v>
      </c>
      <c r="K2518" s="2">
        <v>2.7533915999999999E-2</v>
      </c>
      <c r="L2518" s="2" t="s">
        <v>1178</v>
      </c>
      <c r="M2518" s="4" t="s">
        <v>18564</v>
      </c>
    </row>
    <row r="2519" spans="1:13">
      <c r="A2519" s="2">
        <v>4671</v>
      </c>
      <c r="B2519" s="2" t="s">
        <v>41805</v>
      </c>
      <c r="C2519" s="2">
        <v>7</v>
      </c>
      <c r="D2519" s="2">
        <v>341</v>
      </c>
      <c r="E2519" s="2">
        <v>200</v>
      </c>
      <c r="F2519" s="2">
        <v>32441</v>
      </c>
      <c r="G2519" s="2">
        <v>3.3297214080000002</v>
      </c>
      <c r="H2519" s="2">
        <v>6.1713949999999997E-3</v>
      </c>
      <c r="I2519" s="2" t="s">
        <v>41806</v>
      </c>
      <c r="J2519" s="2" t="s">
        <v>41807</v>
      </c>
      <c r="K2519" s="2">
        <v>2.7533915999999999E-2</v>
      </c>
      <c r="L2519" s="2" t="s">
        <v>1178</v>
      </c>
      <c r="M2519" s="4" t="s">
        <v>41808</v>
      </c>
    </row>
    <row r="2520" spans="1:13">
      <c r="A2520" s="2">
        <v>471</v>
      </c>
      <c r="B2520" s="2" t="s">
        <v>1821</v>
      </c>
      <c r="C2520" s="2">
        <v>7</v>
      </c>
      <c r="D2520" s="2">
        <v>341</v>
      </c>
      <c r="E2520" s="2">
        <v>200</v>
      </c>
      <c r="F2520" s="2">
        <v>32441</v>
      </c>
      <c r="G2520" s="2">
        <v>3.3297214080000002</v>
      </c>
      <c r="H2520" s="2">
        <v>6.1713949999999997E-3</v>
      </c>
      <c r="I2520" s="2" t="s">
        <v>41809</v>
      </c>
      <c r="J2520" s="2" t="s">
        <v>41810</v>
      </c>
      <c r="K2520" s="2">
        <v>2.7533915999999999E-2</v>
      </c>
      <c r="L2520" s="2" t="s">
        <v>1178</v>
      </c>
      <c r="M2520" s="4" t="s">
        <v>41811</v>
      </c>
    </row>
    <row r="2521" spans="1:13">
      <c r="A2521" s="2">
        <v>474</v>
      </c>
      <c r="B2521" s="2" t="s">
        <v>19523</v>
      </c>
      <c r="C2521" s="2">
        <v>7</v>
      </c>
      <c r="D2521" s="2">
        <v>341</v>
      </c>
      <c r="E2521" s="2">
        <v>200</v>
      </c>
      <c r="F2521" s="2">
        <v>32441</v>
      </c>
      <c r="G2521" s="2">
        <v>3.3297214080000002</v>
      </c>
      <c r="H2521" s="2">
        <v>6.1713949999999997E-3</v>
      </c>
      <c r="I2521" s="2" t="s">
        <v>41812</v>
      </c>
      <c r="J2521" s="2" t="s">
        <v>41813</v>
      </c>
      <c r="K2521" s="2">
        <v>2.7533915999999999E-2</v>
      </c>
      <c r="L2521" s="2" t="s">
        <v>1178</v>
      </c>
      <c r="M2521" s="4" t="s">
        <v>19526</v>
      </c>
    </row>
    <row r="2522" spans="1:13">
      <c r="A2522" s="2">
        <v>4811</v>
      </c>
      <c r="B2522" s="2" t="s">
        <v>41814</v>
      </c>
      <c r="C2522" s="2">
        <v>7</v>
      </c>
      <c r="D2522" s="2">
        <v>341</v>
      </c>
      <c r="E2522" s="2">
        <v>200</v>
      </c>
      <c r="F2522" s="2">
        <v>32441</v>
      </c>
      <c r="G2522" s="2">
        <v>3.3297214080000002</v>
      </c>
      <c r="H2522" s="2">
        <v>6.1713949999999997E-3</v>
      </c>
      <c r="I2522" s="2" t="s">
        <v>41815</v>
      </c>
      <c r="J2522" s="2" t="s">
        <v>41816</v>
      </c>
      <c r="K2522" s="2">
        <v>2.7533915999999999E-2</v>
      </c>
      <c r="L2522" s="2" t="s">
        <v>1178</v>
      </c>
      <c r="M2522" s="4" t="s">
        <v>41817</v>
      </c>
    </row>
    <row r="2523" spans="1:13">
      <c r="A2523" s="2">
        <v>491</v>
      </c>
      <c r="B2523" s="2" t="s">
        <v>41818</v>
      </c>
      <c r="C2523" s="2">
        <v>7</v>
      </c>
      <c r="D2523" s="2">
        <v>341</v>
      </c>
      <c r="E2523" s="2">
        <v>200</v>
      </c>
      <c r="F2523" s="2">
        <v>32441</v>
      </c>
      <c r="G2523" s="2">
        <v>3.3297214080000002</v>
      </c>
      <c r="H2523" s="2">
        <v>6.1713949999999997E-3</v>
      </c>
      <c r="I2523" s="2" t="s">
        <v>41819</v>
      </c>
      <c r="J2523" s="2" t="s">
        <v>41820</v>
      </c>
      <c r="K2523" s="2">
        <v>2.7533915999999999E-2</v>
      </c>
      <c r="L2523" s="2" t="s">
        <v>1178</v>
      </c>
      <c r="M2523" s="4" t="s">
        <v>41821</v>
      </c>
    </row>
    <row r="2524" spans="1:13">
      <c r="A2524" s="2">
        <v>5101</v>
      </c>
      <c r="B2524" s="2" t="s">
        <v>41822</v>
      </c>
      <c r="C2524" s="2">
        <v>7</v>
      </c>
      <c r="D2524" s="2">
        <v>341</v>
      </c>
      <c r="E2524" s="2">
        <v>200</v>
      </c>
      <c r="F2524" s="2">
        <v>32441</v>
      </c>
      <c r="G2524" s="2">
        <v>3.3297214080000002</v>
      </c>
      <c r="H2524" s="2">
        <v>6.1713949999999997E-3</v>
      </c>
      <c r="I2524" s="2" t="s">
        <v>41823</v>
      </c>
      <c r="J2524" s="2" t="s">
        <v>41824</v>
      </c>
      <c r="K2524" s="2">
        <v>2.7533915999999999E-2</v>
      </c>
      <c r="L2524" s="2" t="s">
        <v>1178</v>
      </c>
      <c r="M2524" s="4" t="s">
        <v>41825</v>
      </c>
    </row>
    <row r="2525" spans="1:13">
      <c r="A2525" s="2">
        <v>514</v>
      </c>
      <c r="B2525" s="2" t="s">
        <v>17783</v>
      </c>
      <c r="C2525" s="2">
        <v>7</v>
      </c>
      <c r="D2525" s="2">
        <v>341</v>
      </c>
      <c r="E2525" s="2">
        <v>200</v>
      </c>
      <c r="F2525" s="2">
        <v>32441</v>
      </c>
      <c r="G2525" s="2">
        <v>3.3297214080000002</v>
      </c>
      <c r="H2525" s="2">
        <v>6.1713949999999997E-3</v>
      </c>
      <c r="I2525" s="2" t="s">
        <v>41826</v>
      </c>
      <c r="J2525" s="2" t="s">
        <v>41827</v>
      </c>
      <c r="K2525" s="2">
        <v>2.7533915999999999E-2</v>
      </c>
      <c r="L2525" s="2" t="s">
        <v>1178</v>
      </c>
      <c r="M2525" s="4" t="s">
        <v>17786</v>
      </c>
    </row>
    <row r="2526" spans="1:13">
      <c r="A2526" s="2">
        <v>515</v>
      </c>
      <c r="B2526" s="2" t="s">
        <v>2346</v>
      </c>
      <c r="C2526" s="2">
        <v>7</v>
      </c>
      <c r="D2526" s="2">
        <v>341</v>
      </c>
      <c r="E2526" s="2">
        <v>200</v>
      </c>
      <c r="F2526" s="2">
        <v>32441</v>
      </c>
      <c r="G2526" s="2">
        <v>3.3297214080000002</v>
      </c>
      <c r="H2526" s="2">
        <v>6.1713949999999997E-3</v>
      </c>
      <c r="I2526" s="2" t="s">
        <v>41828</v>
      </c>
      <c r="J2526" s="2" t="s">
        <v>41829</v>
      </c>
      <c r="K2526" s="2">
        <v>2.7533915999999999E-2</v>
      </c>
      <c r="L2526" s="2" t="s">
        <v>1178</v>
      </c>
      <c r="M2526" s="4" t="s">
        <v>41830</v>
      </c>
    </row>
    <row r="2527" spans="1:13">
      <c r="A2527" s="2">
        <v>530</v>
      </c>
      <c r="B2527" s="2" t="s">
        <v>3345</v>
      </c>
      <c r="C2527" s="2">
        <v>7</v>
      </c>
      <c r="D2527" s="2">
        <v>341</v>
      </c>
      <c r="E2527" s="2">
        <v>200</v>
      </c>
      <c r="F2527" s="2">
        <v>32441</v>
      </c>
      <c r="G2527" s="2">
        <v>3.3297214080000002</v>
      </c>
      <c r="H2527" s="2">
        <v>6.1713949999999997E-3</v>
      </c>
      <c r="I2527" s="2" t="s">
        <v>41831</v>
      </c>
      <c r="J2527" s="2" t="s">
        <v>41832</v>
      </c>
      <c r="K2527" s="2">
        <v>2.7533915999999999E-2</v>
      </c>
      <c r="L2527" s="2" t="s">
        <v>1178</v>
      </c>
      <c r="M2527" s="4" t="s">
        <v>3348</v>
      </c>
    </row>
    <row r="2528" spans="1:13">
      <c r="A2528" s="2">
        <v>534</v>
      </c>
      <c r="B2528" s="2" t="s">
        <v>2052</v>
      </c>
      <c r="C2528" s="2">
        <v>7</v>
      </c>
      <c r="D2528" s="2">
        <v>341</v>
      </c>
      <c r="E2528" s="2">
        <v>200</v>
      </c>
      <c r="F2528" s="2">
        <v>32441</v>
      </c>
      <c r="G2528" s="2">
        <v>3.3297214080000002</v>
      </c>
      <c r="H2528" s="2">
        <v>6.1713949999999997E-3</v>
      </c>
      <c r="I2528" s="2" t="s">
        <v>41833</v>
      </c>
      <c r="J2528" s="2" t="s">
        <v>41834</v>
      </c>
      <c r="K2528" s="2">
        <v>2.7533915999999999E-2</v>
      </c>
      <c r="L2528" s="2" t="s">
        <v>1178</v>
      </c>
      <c r="M2528" s="4" t="s">
        <v>18590</v>
      </c>
    </row>
    <row r="2529" spans="1:13">
      <c r="A2529" s="2">
        <v>5661</v>
      </c>
      <c r="B2529" s="2" t="s">
        <v>41835</v>
      </c>
      <c r="C2529" s="2">
        <v>7</v>
      </c>
      <c r="D2529" s="2">
        <v>341</v>
      </c>
      <c r="E2529" s="2">
        <v>200</v>
      </c>
      <c r="F2529" s="2">
        <v>32441</v>
      </c>
      <c r="G2529" s="2">
        <v>3.3297214080000002</v>
      </c>
      <c r="H2529" s="2">
        <v>6.1713949999999997E-3</v>
      </c>
      <c r="I2529" s="2" t="s">
        <v>41836</v>
      </c>
      <c r="J2529" s="2" t="s">
        <v>41837</v>
      </c>
      <c r="K2529" s="2">
        <v>2.7533915999999999E-2</v>
      </c>
      <c r="L2529" s="2" t="s">
        <v>1178</v>
      </c>
      <c r="M2529" s="4" t="s">
        <v>41838</v>
      </c>
    </row>
    <row r="2530" spans="1:13">
      <c r="A2530" s="2">
        <v>572</v>
      </c>
      <c r="B2530" s="2" t="s">
        <v>18595</v>
      </c>
      <c r="C2530" s="2">
        <v>7</v>
      </c>
      <c r="D2530" s="2">
        <v>341</v>
      </c>
      <c r="E2530" s="2">
        <v>200</v>
      </c>
      <c r="F2530" s="2">
        <v>32441</v>
      </c>
      <c r="G2530" s="2">
        <v>3.3297214080000002</v>
      </c>
      <c r="H2530" s="2">
        <v>6.1713949999999997E-3</v>
      </c>
      <c r="I2530" s="2" t="s">
        <v>41839</v>
      </c>
      <c r="J2530" s="2" t="s">
        <v>41840</v>
      </c>
      <c r="K2530" s="2">
        <v>2.7533915999999999E-2</v>
      </c>
      <c r="L2530" s="2" t="s">
        <v>1178</v>
      </c>
      <c r="M2530" s="4" t="s">
        <v>18598</v>
      </c>
    </row>
    <row r="2531" spans="1:13">
      <c r="A2531" s="2">
        <v>587</v>
      </c>
      <c r="B2531" s="2" t="s">
        <v>16320</v>
      </c>
      <c r="C2531" s="2">
        <v>7</v>
      </c>
      <c r="D2531" s="2">
        <v>341</v>
      </c>
      <c r="E2531" s="2">
        <v>200</v>
      </c>
      <c r="F2531" s="2">
        <v>32441</v>
      </c>
      <c r="G2531" s="2">
        <v>3.3297214080000002</v>
      </c>
      <c r="H2531" s="2">
        <v>6.1713949999999997E-3</v>
      </c>
      <c r="I2531" s="2" t="s">
        <v>41841</v>
      </c>
      <c r="J2531" s="2" t="s">
        <v>41842</v>
      </c>
      <c r="K2531" s="2">
        <v>2.7533915999999999E-2</v>
      </c>
      <c r="L2531" s="2" t="s">
        <v>1178</v>
      </c>
      <c r="M2531" s="4" t="s">
        <v>16323</v>
      </c>
    </row>
    <row r="2532" spans="1:13">
      <c r="A2532" s="2">
        <v>590</v>
      </c>
      <c r="B2532" s="2" t="s">
        <v>20551</v>
      </c>
      <c r="C2532" s="2">
        <v>7</v>
      </c>
      <c r="D2532" s="2">
        <v>341</v>
      </c>
      <c r="E2532" s="2">
        <v>200</v>
      </c>
      <c r="F2532" s="2">
        <v>32441</v>
      </c>
      <c r="G2532" s="2">
        <v>3.3297214080000002</v>
      </c>
      <c r="H2532" s="2">
        <v>6.1713949999999997E-3</v>
      </c>
      <c r="I2532" s="2" t="s">
        <v>41843</v>
      </c>
      <c r="J2532" s="2" t="s">
        <v>41844</v>
      </c>
      <c r="K2532" s="2">
        <v>2.7533915999999999E-2</v>
      </c>
      <c r="L2532" s="2" t="s">
        <v>1178</v>
      </c>
      <c r="M2532" s="4" t="s">
        <v>20554</v>
      </c>
    </row>
    <row r="2533" spans="1:13">
      <c r="A2533" s="2">
        <v>605</v>
      </c>
      <c r="B2533" s="2" t="s">
        <v>18599</v>
      </c>
      <c r="C2533" s="2">
        <v>7</v>
      </c>
      <c r="D2533" s="2">
        <v>341</v>
      </c>
      <c r="E2533" s="2">
        <v>200</v>
      </c>
      <c r="F2533" s="2">
        <v>32441</v>
      </c>
      <c r="G2533" s="2">
        <v>3.3297214080000002</v>
      </c>
      <c r="H2533" s="2">
        <v>6.1713949999999997E-3</v>
      </c>
      <c r="I2533" s="2" t="s">
        <v>41845</v>
      </c>
      <c r="J2533" s="2" t="s">
        <v>41846</v>
      </c>
      <c r="K2533" s="2">
        <v>2.7533915999999999E-2</v>
      </c>
      <c r="L2533" s="2" t="s">
        <v>1178</v>
      </c>
      <c r="M2533" s="4" t="s">
        <v>18602</v>
      </c>
    </row>
    <row r="2534" spans="1:13">
      <c r="A2534" s="2">
        <v>6081</v>
      </c>
      <c r="B2534" s="2" t="s">
        <v>19551</v>
      </c>
      <c r="C2534" s="2">
        <v>7</v>
      </c>
      <c r="D2534" s="2">
        <v>341</v>
      </c>
      <c r="E2534" s="2">
        <v>199</v>
      </c>
      <c r="F2534" s="2">
        <v>32441</v>
      </c>
      <c r="G2534" s="2">
        <v>3.3464536759999999</v>
      </c>
      <c r="H2534" s="2">
        <v>6.0148149999999997E-3</v>
      </c>
      <c r="I2534" s="2" t="s">
        <v>41847</v>
      </c>
      <c r="J2534" s="2" t="s">
        <v>41848</v>
      </c>
      <c r="K2534" s="2">
        <v>2.7533915999999999E-2</v>
      </c>
      <c r="L2534" s="2" t="s">
        <v>1178</v>
      </c>
      <c r="M2534" s="4" t="s">
        <v>19554</v>
      </c>
    </row>
    <row r="2535" spans="1:13">
      <c r="A2535" s="2">
        <v>6123</v>
      </c>
      <c r="B2535" s="2" t="s">
        <v>2058</v>
      </c>
      <c r="C2535" s="2">
        <v>7</v>
      </c>
      <c r="D2535" s="2">
        <v>341</v>
      </c>
      <c r="E2535" s="2">
        <v>200</v>
      </c>
      <c r="F2535" s="2">
        <v>32441</v>
      </c>
      <c r="G2535" s="2">
        <v>3.3297214080000002</v>
      </c>
      <c r="H2535" s="2">
        <v>6.1713949999999997E-3</v>
      </c>
      <c r="I2535" s="2" t="s">
        <v>41849</v>
      </c>
      <c r="J2535" s="2" t="s">
        <v>41850</v>
      </c>
      <c r="K2535" s="2">
        <v>2.7533915999999999E-2</v>
      </c>
      <c r="L2535" s="2" t="s">
        <v>1178</v>
      </c>
      <c r="M2535" s="4" t="s">
        <v>41851</v>
      </c>
    </row>
    <row r="2536" spans="1:13">
      <c r="A2536" s="2">
        <v>616</v>
      </c>
      <c r="B2536" s="2" t="s">
        <v>2061</v>
      </c>
      <c r="C2536" s="2">
        <v>7</v>
      </c>
      <c r="D2536" s="2">
        <v>341</v>
      </c>
      <c r="E2536" s="2">
        <v>200</v>
      </c>
      <c r="F2536" s="2">
        <v>32441</v>
      </c>
      <c r="G2536" s="2">
        <v>3.3297214080000002</v>
      </c>
      <c r="H2536" s="2">
        <v>6.1713949999999997E-3</v>
      </c>
      <c r="I2536" s="2" t="s">
        <v>41852</v>
      </c>
      <c r="J2536" s="2" t="s">
        <v>41853</v>
      </c>
      <c r="K2536" s="2">
        <v>2.7533915999999999E-2</v>
      </c>
      <c r="L2536" s="2" t="s">
        <v>1178</v>
      </c>
      <c r="M2536" s="4" t="s">
        <v>18609</v>
      </c>
    </row>
    <row r="2537" spans="1:13">
      <c r="A2537" s="2">
        <v>632</v>
      </c>
      <c r="B2537" s="2" t="s">
        <v>2367</v>
      </c>
      <c r="C2537" s="2">
        <v>7</v>
      </c>
      <c r="D2537" s="2">
        <v>341</v>
      </c>
      <c r="E2537" s="2">
        <v>200</v>
      </c>
      <c r="F2537" s="2">
        <v>32441</v>
      </c>
      <c r="G2537" s="2">
        <v>3.3297214080000002</v>
      </c>
      <c r="H2537" s="2">
        <v>6.1713949999999997E-3</v>
      </c>
      <c r="I2537" s="2" t="s">
        <v>41854</v>
      </c>
      <c r="J2537" s="2" t="s">
        <v>41855</v>
      </c>
      <c r="K2537" s="2">
        <v>2.7533915999999999E-2</v>
      </c>
      <c r="L2537" s="2" t="s">
        <v>1178</v>
      </c>
      <c r="M2537" s="4" t="s">
        <v>41856</v>
      </c>
    </row>
    <row r="2538" spans="1:13">
      <c r="A2538" s="2">
        <v>636</v>
      </c>
      <c r="B2538" s="2" t="s">
        <v>20581</v>
      </c>
      <c r="C2538" s="2">
        <v>7</v>
      </c>
      <c r="D2538" s="2">
        <v>341</v>
      </c>
      <c r="E2538" s="2">
        <v>200</v>
      </c>
      <c r="F2538" s="2">
        <v>32441</v>
      </c>
      <c r="G2538" s="2">
        <v>3.3297214080000002</v>
      </c>
      <c r="H2538" s="2">
        <v>6.1713949999999997E-3</v>
      </c>
      <c r="I2538" s="2" t="s">
        <v>41857</v>
      </c>
      <c r="J2538" s="2" t="s">
        <v>41858</v>
      </c>
      <c r="K2538" s="2">
        <v>2.7533915999999999E-2</v>
      </c>
      <c r="L2538" s="2" t="s">
        <v>1178</v>
      </c>
      <c r="M2538" s="4" t="s">
        <v>20584</v>
      </c>
    </row>
    <row r="2539" spans="1:13">
      <c r="A2539" s="2">
        <v>638</v>
      </c>
      <c r="B2539" s="2" t="s">
        <v>19555</v>
      </c>
      <c r="C2539" s="2">
        <v>7</v>
      </c>
      <c r="D2539" s="2">
        <v>341</v>
      </c>
      <c r="E2539" s="2">
        <v>200</v>
      </c>
      <c r="F2539" s="2">
        <v>32441</v>
      </c>
      <c r="G2539" s="2">
        <v>3.3297214080000002</v>
      </c>
      <c r="H2539" s="2">
        <v>6.1713949999999997E-3</v>
      </c>
      <c r="I2539" s="2" t="s">
        <v>41859</v>
      </c>
      <c r="J2539" s="2" t="s">
        <v>41860</v>
      </c>
      <c r="K2539" s="2">
        <v>2.7533915999999999E-2</v>
      </c>
      <c r="L2539" s="2" t="s">
        <v>1178</v>
      </c>
      <c r="M2539" s="4" t="s">
        <v>19558</v>
      </c>
    </row>
    <row r="2540" spans="1:13">
      <c r="A2540" s="2">
        <v>6401</v>
      </c>
      <c r="B2540" s="2" t="s">
        <v>21842</v>
      </c>
      <c r="C2540" s="2">
        <v>7</v>
      </c>
      <c r="D2540" s="2">
        <v>341</v>
      </c>
      <c r="E2540" s="2">
        <v>200</v>
      </c>
      <c r="F2540" s="2">
        <v>32441</v>
      </c>
      <c r="G2540" s="2">
        <v>3.3297214080000002</v>
      </c>
      <c r="H2540" s="2">
        <v>6.1713949999999997E-3</v>
      </c>
      <c r="I2540" s="2" t="s">
        <v>41861</v>
      </c>
      <c r="J2540" s="2" t="s">
        <v>41862</v>
      </c>
      <c r="K2540" s="2">
        <v>2.7533915999999999E-2</v>
      </c>
      <c r="L2540" s="2" t="s">
        <v>1178</v>
      </c>
      <c r="M2540" s="4" t="s">
        <v>21845</v>
      </c>
    </row>
    <row r="2541" spans="1:13">
      <c r="A2541" s="2">
        <v>641</v>
      </c>
      <c r="B2541" s="2" t="s">
        <v>20585</v>
      </c>
      <c r="C2541" s="2">
        <v>7</v>
      </c>
      <c r="D2541" s="2">
        <v>341</v>
      </c>
      <c r="E2541" s="2">
        <v>200</v>
      </c>
      <c r="F2541" s="2">
        <v>32441</v>
      </c>
      <c r="G2541" s="2">
        <v>3.3297214080000002</v>
      </c>
      <c r="H2541" s="2">
        <v>6.1713949999999997E-3</v>
      </c>
      <c r="I2541" s="2" t="s">
        <v>41863</v>
      </c>
      <c r="J2541" s="2" t="s">
        <v>41864</v>
      </c>
      <c r="K2541" s="2">
        <v>2.7533915999999999E-2</v>
      </c>
      <c r="L2541" s="2" t="s">
        <v>1178</v>
      </c>
      <c r="M2541" s="4" t="s">
        <v>20588</v>
      </c>
    </row>
    <row r="2542" spans="1:13">
      <c r="A2542" s="2">
        <v>6551</v>
      </c>
      <c r="B2542" s="2" t="s">
        <v>23074</v>
      </c>
      <c r="C2542" s="2">
        <v>7</v>
      </c>
      <c r="D2542" s="2">
        <v>341</v>
      </c>
      <c r="E2542" s="2">
        <v>200</v>
      </c>
      <c r="F2542" s="2">
        <v>32441</v>
      </c>
      <c r="G2542" s="2">
        <v>3.3297214080000002</v>
      </c>
      <c r="H2542" s="2">
        <v>6.1713949999999997E-3</v>
      </c>
      <c r="I2542" s="2" t="s">
        <v>41865</v>
      </c>
      <c r="J2542" s="2" t="s">
        <v>41866</v>
      </c>
      <c r="K2542" s="2">
        <v>2.7533915999999999E-2</v>
      </c>
      <c r="L2542" s="2" t="s">
        <v>1178</v>
      </c>
      <c r="M2542" s="4" t="s">
        <v>23077</v>
      </c>
    </row>
    <row r="2543" spans="1:13">
      <c r="A2543" s="2">
        <v>690</v>
      </c>
      <c r="B2543" s="2" t="s">
        <v>31513</v>
      </c>
      <c r="C2543" s="2">
        <v>7</v>
      </c>
      <c r="D2543" s="2">
        <v>341</v>
      </c>
      <c r="E2543" s="2">
        <v>200</v>
      </c>
      <c r="F2543" s="2">
        <v>32441</v>
      </c>
      <c r="G2543" s="2">
        <v>3.3297214080000002</v>
      </c>
      <c r="H2543" s="2">
        <v>6.1713949999999997E-3</v>
      </c>
      <c r="I2543" s="2" t="s">
        <v>41867</v>
      </c>
      <c r="J2543" s="2" t="s">
        <v>41868</v>
      </c>
      <c r="K2543" s="2">
        <v>2.7533915999999999E-2</v>
      </c>
      <c r="L2543" s="2" t="s">
        <v>1178</v>
      </c>
      <c r="M2543" s="4" t="s">
        <v>31516</v>
      </c>
    </row>
    <row r="2544" spans="1:13">
      <c r="A2544" s="2">
        <v>696</v>
      </c>
      <c r="B2544" s="2" t="s">
        <v>33926</v>
      </c>
      <c r="C2544" s="2">
        <v>7</v>
      </c>
      <c r="D2544" s="2">
        <v>341</v>
      </c>
      <c r="E2544" s="2">
        <v>199</v>
      </c>
      <c r="F2544" s="2">
        <v>32441</v>
      </c>
      <c r="G2544" s="2">
        <v>3.3464536759999999</v>
      </c>
      <c r="H2544" s="2">
        <v>6.0148149999999997E-3</v>
      </c>
      <c r="I2544" s="2" t="s">
        <v>41869</v>
      </c>
      <c r="J2544" s="2" t="s">
        <v>41870</v>
      </c>
      <c r="K2544" s="2">
        <v>2.7533915999999999E-2</v>
      </c>
      <c r="L2544" s="2" t="s">
        <v>1178</v>
      </c>
      <c r="M2544" s="4" t="s">
        <v>33929</v>
      </c>
    </row>
    <row r="2545" spans="1:13">
      <c r="A2545" s="2">
        <v>7311</v>
      </c>
      <c r="B2545" s="2" t="s">
        <v>15690</v>
      </c>
      <c r="C2545" s="2">
        <v>7</v>
      </c>
      <c r="D2545" s="2">
        <v>341</v>
      </c>
      <c r="E2545" s="2">
        <v>200</v>
      </c>
      <c r="F2545" s="2">
        <v>32441</v>
      </c>
      <c r="G2545" s="2">
        <v>3.3297214080000002</v>
      </c>
      <c r="H2545" s="2">
        <v>6.1713949999999997E-3</v>
      </c>
      <c r="I2545" s="2" t="s">
        <v>41871</v>
      </c>
      <c r="J2545" s="2" t="s">
        <v>41872</v>
      </c>
      <c r="K2545" s="2">
        <v>2.7533915999999999E-2</v>
      </c>
      <c r="L2545" s="2" t="s">
        <v>1178</v>
      </c>
      <c r="M2545" s="4" t="s">
        <v>15693</v>
      </c>
    </row>
    <row r="2546" spans="1:13">
      <c r="A2546" s="2">
        <v>774</v>
      </c>
      <c r="B2546" s="2" t="s">
        <v>2088</v>
      </c>
      <c r="C2546" s="2">
        <v>7</v>
      </c>
      <c r="D2546" s="2">
        <v>341</v>
      </c>
      <c r="E2546" s="2">
        <v>200</v>
      </c>
      <c r="F2546" s="2">
        <v>32441</v>
      </c>
      <c r="G2546" s="2">
        <v>3.3297214080000002</v>
      </c>
      <c r="H2546" s="2">
        <v>6.1713949999999997E-3</v>
      </c>
      <c r="I2546" s="2" t="s">
        <v>41873</v>
      </c>
      <c r="J2546" s="2" t="s">
        <v>41874</v>
      </c>
      <c r="K2546" s="2">
        <v>2.7533915999999999E-2</v>
      </c>
      <c r="L2546" s="2" t="s">
        <v>1178</v>
      </c>
      <c r="M2546" s="4" t="s">
        <v>41875</v>
      </c>
    </row>
    <row r="2547" spans="1:13">
      <c r="A2547" s="2">
        <v>8661</v>
      </c>
      <c r="B2547" s="2" t="s">
        <v>41876</v>
      </c>
      <c r="C2547" s="2">
        <v>7</v>
      </c>
      <c r="D2547" s="2">
        <v>341</v>
      </c>
      <c r="E2547" s="2">
        <v>200</v>
      </c>
      <c r="F2547" s="2">
        <v>32441</v>
      </c>
      <c r="G2547" s="2">
        <v>3.3297214080000002</v>
      </c>
      <c r="H2547" s="2">
        <v>6.1713949999999997E-3</v>
      </c>
      <c r="I2547" s="2" t="s">
        <v>41877</v>
      </c>
      <c r="J2547" s="2" t="s">
        <v>41878</v>
      </c>
      <c r="K2547" s="2">
        <v>2.7533915999999999E-2</v>
      </c>
      <c r="L2547" s="2" t="s">
        <v>1178</v>
      </c>
      <c r="M2547" s="4" t="s">
        <v>41879</v>
      </c>
    </row>
    <row r="2548" spans="1:13">
      <c r="A2548" s="2">
        <v>951</v>
      </c>
      <c r="B2548" s="2" t="s">
        <v>1572</v>
      </c>
      <c r="C2548" s="2">
        <v>7</v>
      </c>
      <c r="D2548" s="2">
        <v>341</v>
      </c>
      <c r="E2548" s="2">
        <v>200</v>
      </c>
      <c r="F2548" s="2">
        <v>32441</v>
      </c>
      <c r="G2548" s="2">
        <v>3.3297214080000002</v>
      </c>
      <c r="H2548" s="2">
        <v>6.1713949999999997E-3</v>
      </c>
      <c r="I2548" s="2" t="s">
        <v>41880</v>
      </c>
      <c r="J2548" s="2" t="s">
        <v>41881</v>
      </c>
      <c r="K2548" s="2">
        <v>2.7533915999999999E-2</v>
      </c>
      <c r="L2548" s="2" t="s">
        <v>1178</v>
      </c>
      <c r="M2548" s="4" t="s">
        <v>13462</v>
      </c>
    </row>
    <row r="2549" spans="1:13">
      <c r="A2549" s="2">
        <v>1033</v>
      </c>
      <c r="B2549" s="2" t="s">
        <v>18664</v>
      </c>
      <c r="C2549" s="2">
        <v>7</v>
      </c>
      <c r="D2549" s="2">
        <v>341</v>
      </c>
      <c r="E2549" s="2">
        <v>200</v>
      </c>
      <c r="F2549" s="2">
        <v>32441</v>
      </c>
      <c r="G2549" s="2">
        <v>3.3297214080000002</v>
      </c>
      <c r="H2549" s="2">
        <v>6.1713949999999997E-3</v>
      </c>
      <c r="I2549" s="2" t="s">
        <v>41882</v>
      </c>
      <c r="J2549" s="2" t="s">
        <v>41883</v>
      </c>
      <c r="K2549" s="2">
        <v>2.7533915999999999E-2</v>
      </c>
      <c r="L2549" s="2" t="s">
        <v>1178</v>
      </c>
      <c r="M2549" s="4" t="s">
        <v>18667</v>
      </c>
    </row>
    <row r="2550" spans="1:13">
      <c r="A2550" s="2">
        <v>1102</v>
      </c>
      <c r="B2550" s="2" t="s">
        <v>21943</v>
      </c>
      <c r="C2550" s="2">
        <v>7</v>
      </c>
      <c r="D2550" s="2">
        <v>341</v>
      </c>
      <c r="E2550" s="2">
        <v>200</v>
      </c>
      <c r="F2550" s="2">
        <v>32441</v>
      </c>
      <c r="G2550" s="2">
        <v>3.3297214080000002</v>
      </c>
      <c r="H2550" s="2">
        <v>6.1713949999999997E-3</v>
      </c>
      <c r="I2550" s="2" t="s">
        <v>41884</v>
      </c>
      <c r="J2550" s="2" t="s">
        <v>41885</v>
      </c>
      <c r="K2550" s="2">
        <v>2.7533915999999999E-2</v>
      </c>
      <c r="L2550" s="2" t="s">
        <v>1178</v>
      </c>
      <c r="M2550" s="4" t="s">
        <v>21946</v>
      </c>
    </row>
    <row r="2551" spans="1:13">
      <c r="A2551" s="2">
        <v>11561</v>
      </c>
      <c r="B2551" s="2" t="s">
        <v>23235</v>
      </c>
      <c r="C2551" s="2">
        <v>7</v>
      </c>
      <c r="D2551" s="2">
        <v>341</v>
      </c>
      <c r="E2551" s="2">
        <v>200</v>
      </c>
      <c r="F2551" s="2">
        <v>32441</v>
      </c>
      <c r="G2551" s="2">
        <v>3.3297214080000002</v>
      </c>
      <c r="H2551" s="2">
        <v>6.1713949999999997E-3</v>
      </c>
      <c r="I2551" s="2" t="s">
        <v>41886</v>
      </c>
      <c r="J2551" s="2" t="s">
        <v>41887</v>
      </c>
      <c r="K2551" s="2">
        <v>2.7533915999999999E-2</v>
      </c>
      <c r="L2551" s="2" t="s">
        <v>1178</v>
      </c>
      <c r="M2551" s="4" t="s">
        <v>23238</v>
      </c>
    </row>
    <row r="2552" spans="1:13">
      <c r="A2552" s="2">
        <v>1157</v>
      </c>
      <c r="B2552" s="2" t="s">
        <v>41888</v>
      </c>
      <c r="C2552" s="2">
        <v>7</v>
      </c>
      <c r="D2552" s="2">
        <v>341</v>
      </c>
      <c r="E2552" s="2">
        <v>200</v>
      </c>
      <c r="F2552" s="2">
        <v>32441</v>
      </c>
      <c r="G2552" s="2">
        <v>3.3297214080000002</v>
      </c>
      <c r="H2552" s="2">
        <v>6.1713949999999997E-3</v>
      </c>
      <c r="I2552" s="2" t="s">
        <v>41889</v>
      </c>
      <c r="J2552" s="2" t="s">
        <v>41890</v>
      </c>
      <c r="K2552" s="2">
        <v>2.7533915999999999E-2</v>
      </c>
      <c r="L2552" s="2" t="s">
        <v>1178</v>
      </c>
      <c r="M2552" s="4" t="s">
        <v>41891</v>
      </c>
    </row>
    <row r="2553" spans="1:13">
      <c r="A2553" s="2">
        <v>1177</v>
      </c>
      <c r="B2553" s="2" t="s">
        <v>31968</v>
      </c>
      <c r="C2553" s="2">
        <v>7</v>
      </c>
      <c r="D2553" s="2">
        <v>341</v>
      </c>
      <c r="E2553" s="2">
        <v>200</v>
      </c>
      <c r="F2553" s="2">
        <v>32441</v>
      </c>
      <c r="G2553" s="2">
        <v>3.3297214080000002</v>
      </c>
      <c r="H2553" s="2">
        <v>6.1713949999999997E-3</v>
      </c>
      <c r="I2553" s="2" t="s">
        <v>41892</v>
      </c>
      <c r="J2553" s="2" t="s">
        <v>41893</v>
      </c>
      <c r="K2553" s="2">
        <v>2.7533915999999999E-2</v>
      </c>
      <c r="L2553" s="2" t="s">
        <v>1178</v>
      </c>
      <c r="M2553" s="4" t="s">
        <v>31971</v>
      </c>
    </row>
    <row r="2554" spans="1:13">
      <c r="A2554" s="2">
        <v>1181</v>
      </c>
      <c r="B2554" s="2" t="s">
        <v>32284</v>
      </c>
      <c r="C2554" s="2">
        <v>7</v>
      </c>
      <c r="D2554" s="2">
        <v>341</v>
      </c>
      <c r="E2554" s="2">
        <v>200</v>
      </c>
      <c r="F2554" s="2">
        <v>32441</v>
      </c>
      <c r="G2554" s="2">
        <v>3.3297214080000002</v>
      </c>
      <c r="H2554" s="2">
        <v>6.1713949999999997E-3</v>
      </c>
      <c r="I2554" s="2" t="s">
        <v>41894</v>
      </c>
      <c r="J2554" s="2" t="s">
        <v>41895</v>
      </c>
      <c r="K2554" s="2">
        <v>2.7533915999999999E-2</v>
      </c>
      <c r="L2554" s="2" t="s">
        <v>1178</v>
      </c>
      <c r="M2554" s="4" t="s">
        <v>32287</v>
      </c>
    </row>
    <row r="2555" spans="1:13">
      <c r="A2555" s="2">
        <v>1183</v>
      </c>
      <c r="B2555" s="2" t="s">
        <v>31539</v>
      </c>
      <c r="C2555" s="2">
        <v>7</v>
      </c>
      <c r="D2555" s="2">
        <v>341</v>
      </c>
      <c r="E2555" s="2">
        <v>200</v>
      </c>
      <c r="F2555" s="2">
        <v>32441</v>
      </c>
      <c r="G2555" s="2">
        <v>3.3297214080000002</v>
      </c>
      <c r="H2555" s="2">
        <v>6.1713949999999997E-3</v>
      </c>
      <c r="I2555" s="2" t="s">
        <v>41896</v>
      </c>
      <c r="J2555" s="2" t="s">
        <v>41897</v>
      </c>
      <c r="K2555" s="2">
        <v>2.7533915999999999E-2</v>
      </c>
      <c r="L2555" s="2" t="s">
        <v>1178</v>
      </c>
      <c r="M2555" s="4" t="s">
        <v>31542</v>
      </c>
    </row>
    <row r="2556" spans="1:13">
      <c r="A2556" s="2">
        <v>1196</v>
      </c>
      <c r="B2556" s="2" t="s">
        <v>17908</v>
      </c>
      <c r="C2556" s="2">
        <v>7</v>
      </c>
      <c r="D2556" s="2">
        <v>341</v>
      </c>
      <c r="E2556" s="2">
        <v>200</v>
      </c>
      <c r="F2556" s="2">
        <v>32441</v>
      </c>
      <c r="G2556" s="2">
        <v>3.3297214080000002</v>
      </c>
      <c r="H2556" s="2">
        <v>6.1713949999999997E-3</v>
      </c>
      <c r="I2556" s="2" t="s">
        <v>41898</v>
      </c>
      <c r="J2556" s="2" t="s">
        <v>41899</v>
      </c>
      <c r="K2556" s="2">
        <v>2.7533915999999999E-2</v>
      </c>
      <c r="L2556" s="2" t="s">
        <v>1178</v>
      </c>
      <c r="M2556" s="4" t="s">
        <v>17911</v>
      </c>
    </row>
    <row r="2557" spans="1:13">
      <c r="A2557" s="2">
        <v>12661</v>
      </c>
      <c r="B2557" s="2" t="s">
        <v>24283</v>
      </c>
      <c r="C2557" s="2">
        <v>7</v>
      </c>
      <c r="D2557" s="2">
        <v>341</v>
      </c>
      <c r="E2557" s="2">
        <v>200</v>
      </c>
      <c r="F2557" s="2">
        <v>32441</v>
      </c>
      <c r="G2557" s="2">
        <v>3.3297214080000002</v>
      </c>
      <c r="H2557" s="2">
        <v>6.1713949999999997E-3</v>
      </c>
      <c r="I2557" s="2" t="s">
        <v>41900</v>
      </c>
      <c r="J2557" s="2" t="s">
        <v>41901</v>
      </c>
      <c r="K2557" s="2">
        <v>2.7533915999999999E-2</v>
      </c>
      <c r="L2557" s="2" t="s">
        <v>1178</v>
      </c>
      <c r="M2557" s="4" t="s">
        <v>24286</v>
      </c>
    </row>
    <row r="2558" spans="1:13">
      <c r="A2558" s="2">
        <v>1370</v>
      </c>
      <c r="B2558" s="2" t="s">
        <v>19691</v>
      </c>
      <c r="C2558" s="2">
        <v>7</v>
      </c>
      <c r="D2558" s="2">
        <v>341</v>
      </c>
      <c r="E2558" s="2">
        <v>200</v>
      </c>
      <c r="F2558" s="2">
        <v>32441</v>
      </c>
      <c r="G2558" s="2">
        <v>3.3297214080000002</v>
      </c>
      <c r="H2558" s="2">
        <v>6.1713949999999997E-3</v>
      </c>
      <c r="I2558" s="2" t="s">
        <v>41902</v>
      </c>
      <c r="J2558" s="2" t="s">
        <v>41903</v>
      </c>
      <c r="K2558" s="2">
        <v>2.7533915999999999E-2</v>
      </c>
      <c r="L2558" s="2" t="s">
        <v>1178</v>
      </c>
      <c r="M2558" s="4" t="s">
        <v>19694</v>
      </c>
    </row>
    <row r="2559" spans="1:13">
      <c r="A2559" s="2">
        <v>1371</v>
      </c>
      <c r="B2559" s="2" t="s">
        <v>21987</v>
      </c>
      <c r="C2559" s="2">
        <v>7</v>
      </c>
      <c r="D2559" s="2">
        <v>341</v>
      </c>
      <c r="E2559" s="2">
        <v>200</v>
      </c>
      <c r="F2559" s="2">
        <v>32441</v>
      </c>
      <c r="G2559" s="2">
        <v>3.3297214080000002</v>
      </c>
      <c r="H2559" s="2">
        <v>6.1713949999999997E-3</v>
      </c>
      <c r="I2559" s="2" t="s">
        <v>41904</v>
      </c>
      <c r="J2559" s="2" t="s">
        <v>41905</v>
      </c>
      <c r="K2559" s="2">
        <v>2.7533915999999999E-2</v>
      </c>
      <c r="L2559" s="2" t="s">
        <v>1178</v>
      </c>
      <c r="M2559" s="4" t="s">
        <v>21990</v>
      </c>
    </row>
    <row r="2560" spans="1:13">
      <c r="A2560" s="2">
        <v>14812</v>
      </c>
      <c r="B2560" s="2" t="s">
        <v>20828</v>
      </c>
      <c r="C2560" s="2">
        <v>7</v>
      </c>
      <c r="D2560" s="2">
        <v>341</v>
      </c>
      <c r="E2560" s="2">
        <v>200</v>
      </c>
      <c r="F2560" s="2">
        <v>32441</v>
      </c>
      <c r="G2560" s="2">
        <v>3.3297214080000002</v>
      </c>
      <c r="H2560" s="2">
        <v>6.1713949999999997E-3</v>
      </c>
      <c r="I2560" s="2" t="s">
        <v>41906</v>
      </c>
      <c r="J2560" s="2" t="s">
        <v>41907</v>
      </c>
      <c r="K2560" s="2">
        <v>2.7533915999999999E-2</v>
      </c>
      <c r="L2560" s="2" t="s">
        <v>1178</v>
      </c>
      <c r="M2560" s="4" t="s">
        <v>20831</v>
      </c>
    </row>
    <row r="2561" spans="1:13">
      <c r="A2561" s="2">
        <v>1505</v>
      </c>
      <c r="B2561" s="2" t="s">
        <v>1374</v>
      </c>
      <c r="C2561" s="2">
        <v>7</v>
      </c>
      <c r="D2561" s="2">
        <v>341</v>
      </c>
      <c r="E2561" s="2">
        <v>200</v>
      </c>
      <c r="F2561" s="2">
        <v>32441</v>
      </c>
      <c r="G2561" s="2">
        <v>3.3297214080000002</v>
      </c>
      <c r="H2561" s="2">
        <v>6.1713949999999997E-3</v>
      </c>
      <c r="I2561" s="2" t="s">
        <v>41908</v>
      </c>
      <c r="J2561" s="2" t="s">
        <v>41909</v>
      </c>
      <c r="K2561" s="2">
        <v>2.7533915999999999E-2</v>
      </c>
      <c r="L2561" s="2" t="s">
        <v>1178</v>
      </c>
      <c r="M2561" s="4" t="s">
        <v>19725</v>
      </c>
    </row>
    <row r="2562" spans="1:13">
      <c r="A2562" s="2">
        <v>1510</v>
      </c>
      <c r="B2562" s="2" t="s">
        <v>2148</v>
      </c>
      <c r="C2562" s="2">
        <v>7</v>
      </c>
      <c r="D2562" s="2">
        <v>341</v>
      </c>
      <c r="E2562" s="2">
        <v>200</v>
      </c>
      <c r="F2562" s="2">
        <v>32441</v>
      </c>
      <c r="G2562" s="2">
        <v>3.3297214080000002</v>
      </c>
      <c r="H2562" s="2">
        <v>6.1713949999999997E-3</v>
      </c>
      <c r="I2562" s="2" t="s">
        <v>41910</v>
      </c>
      <c r="J2562" s="2" t="s">
        <v>41911</v>
      </c>
      <c r="K2562" s="2">
        <v>2.7533915999999999E-2</v>
      </c>
      <c r="L2562" s="2" t="s">
        <v>1178</v>
      </c>
      <c r="M2562" s="4" t="s">
        <v>22047</v>
      </c>
    </row>
    <row r="2563" spans="1:13">
      <c r="A2563" s="2">
        <v>1518</v>
      </c>
      <c r="B2563" s="2" t="s">
        <v>16471</v>
      </c>
      <c r="C2563" s="2">
        <v>7</v>
      </c>
      <c r="D2563" s="2">
        <v>341</v>
      </c>
      <c r="E2563" s="2">
        <v>200</v>
      </c>
      <c r="F2563" s="2">
        <v>32441</v>
      </c>
      <c r="G2563" s="2">
        <v>3.3297214080000002</v>
      </c>
      <c r="H2563" s="2">
        <v>6.1713949999999997E-3</v>
      </c>
      <c r="I2563" s="2" t="s">
        <v>41912</v>
      </c>
      <c r="J2563" s="2" t="s">
        <v>41913</v>
      </c>
      <c r="K2563" s="2">
        <v>2.7533915999999999E-2</v>
      </c>
      <c r="L2563" s="2" t="s">
        <v>1178</v>
      </c>
      <c r="M2563" s="4" t="s">
        <v>16474</v>
      </c>
    </row>
    <row r="2564" spans="1:13">
      <c r="A2564" s="2">
        <v>15241</v>
      </c>
      <c r="B2564" s="2" t="s">
        <v>20840</v>
      </c>
      <c r="C2564" s="2">
        <v>7</v>
      </c>
      <c r="D2564" s="2">
        <v>341</v>
      </c>
      <c r="E2564" s="2">
        <v>200</v>
      </c>
      <c r="F2564" s="2">
        <v>32441</v>
      </c>
      <c r="G2564" s="2">
        <v>3.3297214080000002</v>
      </c>
      <c r="H2564" s="2">
        <v>6.1713949999999997E-3</v>
      </c>
      <c r="I2564" s="2" t="s">
        <v>41914</v>
      </c>
      <c r="J2564" s="2" t="s">
        <v>41915</v>
      </c>
      <c r="K2564" s="2">
        <v>2.7533915999999999E-2</v>
      </c>
      <c r="L2564" s="2" t="s">
        <v>1178</v>
      </c>
      <c r="M2564" s="4" t="s">
        <v>20843</v>
      </c>
    </row>
    <row r="2565" spans="1:13">
      <c r="A2565" s="2">
        <v>1571</v>
      </c>
      <c r="B2565" s="2" t="s">
        <v>19748</v>
      </c>
      <c r="C2565" s="2">
        <v>7</v>
      </c>
      <c r="D2565" s="2">
        <v>341</v>
      </c>
      <c r="E2565" s="2">
        <v>200</v>
      </c>
      <c r="F2565" s="2">
        <v>32441</v>
      </c>
      <c r="G2565" s="2">
        <v>3.3297214080000002</v>
      </c>
      <c r="H2565" s="2">
        <v>6.1713949999999997E-3</v>
      </c>
      <c r="I2565" s="2" t="s">
        <v>41916</v>
      </c>
      <c r="J2565" s="2" t="s">
        <v>41917</v>
      </c>
      <c r="K2565" s="2">
        <v>2.7533915999999999E-2</v>
      </c>
      <c r="L2565" s="2" t="s">
        <v>1178</v>
      </c>
      <c r="M2565" s="4" t="s">
        <v>19751</v>
      </c>
    </row>
    <row r="2566" spans="1:13">
      <c r="A2566" s="2">
        <v>1600</v>
      </c>
      <c r="B2566" s="2" t="s">
        <v>1380</v>
      </c>
      <c r="C2566" s="2">
        <v>7</v>
      </c>
      <c r="D2566" s="2">
        <v>341</v>
      </c>
      <c r="E2566" s="2">
        <v>200</v>
      </c>
      <c r="F2566" s="2">
        <v>32441</v>
      </c>
      <c r="G2566" s="2">
        <v>3.3297214080000002</v>
      </c>
      <c r="H2566" s="2">
        <v>6.1713949999999997E-3</v>
      </c>
      <c r="I2566" s="2" t="s">
        <v>41918</v>
      </c>
      <c r="J2566" s="2" t="s">
        <v>41919</v>
      </c>
      <c r="K2566" s="2">
        <v>2.7533915999999999E-2</v>
      </c>
      <c r="L2566" s="2" t="s">
        <v>1178</v>
      </c>
      <c r="M2566" s="4" t="s">
        <v>41920</v>
      </c>
    </row>
    <row r="2567" spans="1:13">
      <c r="A2567" s="2">
        <v>16621</v>
      </c>
      <c r="B2567" s="2" t="s">
        <v>1299</v>
      </c>
      <c r="C2567" s="2">
        <v>7</v>
      </c>
      <c r="D2567" s="2">
        <v>341</v>
      </c>
      <c r="E2567" s="2">
        <v>200</v>
      </c>
      <c r="F2567" s="2">
        <v>32441</v>
      </c>
      <c r="G2567" s="2">
        <v>3.3297214080000002</v>
      </c>
      <c r="H2567" s="2">
        <v>6.1713949999999997E-3</v>
      </c>
      <c r="I2567" s="2" t="s">
        <v>41921</v>
      </c>
      <c r="J2567" s="2" t="s">
        <v>41922</v>
      </c>
      <c r="K2567" s="2">
        <v>2.7533915999999999E-2</v>
      </c>
      <c r="L2567" s="2" t="s">
        <v>1178</v>
      </c>
      <c r="M2567" s="4" t="s">
        <v>23420</v>
      </c>
    </row>
    <row r="2568" spans="1:13">
      <c r="A2568" s="2">
        <v>1670</v>
      </c>
      <c r="B2568" s="2" t="s">
        <v>2496</v>
      </c>
      <c r="C2568" s="2">
        <v>7</v>
      </c>
      <c r="D2568" s="2">
        <v>341</v>
      </c>
      <c r="E2568" s="2">
        <v>200</v>
      </c>
      <c r="F2568" s="2">
        <v>32441</v>
      </c>
      <c r="G2568" s="2">
        <v>3.3297214080000002</v>
      </c>
      <c r="H2568" s="2">
        <v>6.1713949999999997E-3</v>
      </c>
      <c r="I2568" s="2" t="s">
        <v>41923</v>
      </c>
      <c r="J2568" s="2" t="s">
        <v>41924</v>
      </c>
      <c r="K2568" s="2">
        <v>2.7533915999999999E-2</v>
      </c>
      <c r="L2568" s="2" t="s">
        <v>1178</v>
      </c>
      <c r="M2568" s="4" t="s">
        <v>33400</v>
      </c>
    </row>
    <row r="2569" spans="1:13">
      <c r="A2569" s="2">
        <v>17322</v>
      </c>
      <c r="B2569" s="2" t="s">
        <v>2502</v>
      </c>
      <c r="C2569" s="2">
        <v>7</v>
      </c>
      <c r="D2569" s="2">
        <v>341</v>
      </c>
      <c r="E2569" s="2">
        <v>200</v>
      </c>
      <c r="F2569" s="2">
        <v>32441</v>
      </c>
      <c r="G2569" s="2">
        <v>3.3297214080000002</v>
      </c>
      <c r="H2569" s="2">
        <v>6.1713949999999997E-3</v>
      </c>
      <c r="I2569" s="2" t="s">
        <v>41925</v>
      </c>
      <c r="J2569" s="2" t="s">
        <v>41926</v>
      </c>
      <c r="K2569" s="2">
        <v>2.7533915999999999E-2</v>
      </c>
      <c r="L2569" s="2" t="s">
        <v>1178</v>
      </c>
      <c r="M2569" s="4" t="s">
        <v>41927</v>
      </c>
    </row>
    <row r="2570" spans="1:13">
      <c r="A2570" s="2">
        <v>1789</v>
      </c>
      <c r="B2570" s="2" t="s">
        <v>14077</v>
      </c>
      <c r="C2570" s="2">
        <v>7</v>
      </c>
      <c r="D2570" s="2">
        <v>341</v>
      </c>
      <c r="E2570" s="2">
        <v>200</v>
      </c>
      <c r="F2570" s="2">
        <v>32441</v>
      </c>
      <c r="G2570" s="2">
        <v>3.3297214080000002</v>
      </c>
      <c r="H2570" s="2">
        <v>6.1713949999999997E-3</v>
      </c>
      <c r="I2570" s="2" t="s">
        <v>41928</v>
      </c>
      <c r="J2570" s="2" t="s">
        <v>41929</v>
      </c>
      <c r="K2570" s="2">
        <v>2.7533915999999999E-2</v>
      </c>
      <c r="L2570" s="2" t="s">
        <v>1178</v>
      </c>
      <c r="M2570" s="4" t="s">
        <v>14080</v>
      </c>
    </row>
    <row r="2571" spans="1:13">
      <c r="A2571" s="2">
        <v>1884</v>
      </c>
      <c r="B2571" s="2" t="s">
        <v>12483</v>
      </c>
      <c r="C2571" s="2">
        <v>7</v>
      </c>
      <c r="D2571" s="2">
        <v>341</v>
      </c>
      <c r="E2571" s="2">
        <v>200</v>
      </c>
      <c r="F2571" s="2">
        <v>32441</v>
      </c>
      <c r="G2571" s="2">
        <v>3.3297214080000002</v>
      </c>
      <c r="H2571" s="2">
        <v>6.1713949999999997E-3</v>
      </c>
      <c r="I2571" s="2" t="s">
        <v>41930</v>
      </c>
      <c r="J2571" s="2" t="s">
        <v>41931</v>
      </c>
      <c r="K2571" s="2">
        <v>2.7533915999999999E-2</v>
      </c>
      <c r="L2571" s="2" t="s">
        <v>1178</v>
      </c>
      <c r="M2571" s="4" t="s">
        <v>12486</v>
      </c>
    </row>
    <row r="2572" spans="1:13">
      <c r="A2572" s="2">
        <v>1886</v>
      </c>
      <c r="B2572" s="2" t="s">
        <v>12487</v>
      </c>
      <c r="C2572" s="2">
        <v>7</v>
      </c>
      <c r="D2572" s="2">
        <v>341</v>
      </c>
      <c r="E2572" s="2">
        <v>200</v>
      </c>
      <c r="F2572" s="2">
        <v>32441</v>
      </c>
      <c r="G2572" s="2">
        <v>3.3297214080000002</v>
      </c>
      <c r="H2572" s="2">
        <v>6.1713949999999997E-3</v>
      </c>
      <c r="I2572" s="2" t="s">
        <v>41932</v>
      </c>
      <c r="J2572" s="2" t="s">
        <v>41933</v>
      </c>
      <c r="K2572" s="2">
        <v>2.7533915999999999E-2</v>
      </c>
      <c r="L2572" s="2" t="s">
        <v>1178</v>
      </c>
      <c r="M2572" s="4" t="s">
        <v>12490</v>
      </c>
    </row>
    <row r="2573" spans="1:13">
      <c r="A2573" s="2">
        <v>1893</v>
      </c>
      <c r="B2573" s="2" t="s">
        <v>41934</v>
      </c>
      <c r="C2573" s="2">
        <v>7</v>
      </c>
      <c r="D2573" s="2">
        <v>341</v>
      </c>
      <c r="E2573" s="2">
        <v>199</v>
      </c>
      <c r="F2573" s="2">
        <v>32441</v>
      </c>
      <c r="G2573" s="2">
        <v>3.3464536759999999</v>
      </c>
      <c r="H2573" s="2">
        <v>6.0148149999999997E-3</v>
      </c>
      <c r="I2573" s="2" t="s">
        <v>41935</v>
      </c>
      <c r="J2573" s="2" t="s">
        <v>41936</v>
      </c>
      <c r="K2573" s="2">
        <v>2.7533915999999999E-2</v>
      </c>
      <c r="L2573" s="2" t="s">
        <v>1178</v>
      </c>
      <c r="M2573" s="4" t="s">
        <v>41937</v>
      </c>
    </row>
    <row r="2574" spans="1:13">
      <c r="A2574" s="2">
        <v>1912</v>
      </c>
      <c r="B2574" s="2" t="s">
        <v>32809</v>
      </c>
      <c r="C2574" s="2">
        <v>7</v>
      </c>
      <c r="D2574" s="2">
        <v>341</v>
      </c>
      <c r="E2574" s="2">
        <v>200</v>
      </c>
      <c r="F2574" s="2">
        <v>32441</v>
      </c>
      <c r="G2574" s="2">
        <v>3.3297214080000002</v>
      </c>
      <c r="H2574" s="2">
        <v>6.1713949999999997E-3</v>
      </c>
      <c r="I2574" s="2" t="s">
        <v>41938</v>
      </c>
      <c r="J2574" s="2" t="s">
        <v>41939</v>
      </c>
      <c r="K2574" s="2">
        <v>2.7533915999999999E-2</v>
      </c>
      <c r="L2574" s="2" t="s">
        <v>1178</v>
      </c>
      <c r="M2574" s="4" t="s">
        <v>32812</v>
      </c>
    </row>
    <row r="2575" spans="1:13">
      <c r="A2575" s="2">
        <v>19601</v>
      </c>
      <c r="B2575" s="2" t="s">
        <v>41940</v>
      </c>
      <c r="C2575" s="2">
        <v>7</v>
      </c>
      <c r="D2575" s="2">
        <v>341</v>
      </c>
      <c r="E2575" s="2">
        <v>200</v>
      </c>
      <c r="F2575" s="2">
        <v>32441</v>
      </c>
      <c r="G2575" s="2">
        <v>3.3297214080000002</v>
      </c>
      <c r="H2575" s="2">
        <v>6.1713949999999997E-3</v>
      </c>
      <c r="I2575" s="2" t="s">
        <v>41941</v>
      </c>
      <c r="J2575" s="2" t="s">
        <v>41942</v>
      </c>
      <c r="K2575" s="2">
        <v>2.7533915999999999E-2</v>
      </c>
      <c r="L2575" s="2" t="s">
        <v>1178</v>
      </c>
      <c r="M2575" s="4" t="s">
        <v>41943</v>
      </c>
    </row>
    <row r="2576" spans="1:13">
      <c r="A2576" s="2">
        <v>1973</v>
      </c>
      <c r="B2576" s="2" t="s">
        <v>34120</v>
      </c>
      <c r="C2576" s="2">
        <v>7</v>
      </c>
      <c r="D2576" s="2">
        <v>341</v>
      </c>
      <c r="E2576" s="2">
        <v>199</v>
      </c>
      <c r="F2576" s="2">
        <v>32441</v>
      </c>
      <c r="G2576" s="2">
        <v>3.3464536759999999</v>
      </c>
      <c r="H2576" s="2">
        <v>6.0148149999999997E-3</v>
      </c>
      <c r="I2576" s="2" t="s">
        <v>41944</v>
      </c>
      <c r="J2576" s="2" t="s">
        <v>41945</v>
      </c>
      <c r="K2576" s="2">
        <v>2.7533915999999999E-2</v>
      </c>
      <c r="L2576" s="2" t="s">
        <v>1178</v>
      </c>
      <c r="M2576" s="4" t="s">
        <v>34123</v>
      </c>
    </row>
    <row r="2577" spans="1:13">
      <c r="A2577" s="2">
        <v>2054</v>
      </c>
      <c r="B2577" s="2" t="s">
        <v>16240</v>
      </c>
      <c r="C2577" s="2">
        <v>7</v>
      </c>
      <c r="D2577" s="2">
        <v>341</v>
      </c>
      <c r="E2577" s="2">
        <v>196</v>
      </c>
      <c r="F2577" s="2">
        <v>32441</v>
      </c>
      <c r="G2577" s="2">
        <v>3.3976749060000002</v>
      </c>
      <c r="H2577" s="2">
        <v>5.5628500000000003E-3</v>
      </c>
      <c r="I2577" s="2" t="s">
        <v>41946</v>
      </c>
      <c r="J2577" s="2" t="s">
        <v>41947</v>
      </c>
      <c r="K2577" s="2">
        <v>2.7533915999999999E-2</v>
      </c>
      <c r="L2577" s="2" t="s">
        <v>1178</v>
      </c>
      <c r="M2577" s="4" t="s">
        <v>16243</v>
      </c>
    </row>
    <row r="2578" spans="1:13">
      <c r="A2578" s="2">
        <v>2111</v>
      </c>
      <c r="B2578" s="2" t="s">
        <v>15851</v>
      </c>
      <c r="C2578" s="2">
        <v>7</v>
      </c>
      <c r="D2578" s="2">
        <v>341</v>
      </c>
      <c r="E2578" s="2">
        <v>200</v>
      </c>
      <c r="F2578" s="2">
        <v>32441</v>
      </c>
      <c r="G2578" s="2">
        <v>3.3297214080000002</v>
      </c>
      <c r="H2578" s="2">
        <v>6.1713949999999997E-3</v>
      </c>
      <c r="I2578" s="2" t="s">
        <v>41948</v>
      </c>
      <c r="J2578" s="2" t="s">
        <v>41949</v>
      </c>
      <c r="K2578" s="2">
        <v>2.7533915999999999E-2</v>
      </c>
      <c r="L2578" s="2" t="s">
        <v>1178</v>
      </c>
      <c r="M2578" s="4" t="s">
        <v>15854</v>
      </c>
    </row>
    <row r="2579" spans="1:13">
      <c r="A2579" s="2">
        <v>2136</v>
      </c>
      <c r="B2579" s="2" t="s">
        <v>2523</v>
      </c>
      <c r="C2579" s="2">
        <v>7</v>
      </c>
      <c r="D2579" s="2">
        <v>341</v>
      </c>
      <c r="E2579" s="2">
        <v>198</v>
      </c>
      <c r="F2579" s="2">
        <v>32441</v>
      </c>
      <c r="G2579" s="2">
        <v>3.3633549569999999</v>
      </c>
      <c r="H2579" s="2">
        <v>5.8612209999999998E-3</v>
      </c>
      <c r="I2579" s="2" t="s">
        <v>41950</v>
      </c>
      <c r="J2579" s="2" t="s">
        <v>41951</v>
      </c>
      <c r="K2579" s="2">
        <v>2.7533915999999999E-2</v>
      </c>
      <c r="L2579" s="2" t="s">
        <v>1178</v>
      </c>
      <c r="M2579" s="4" t="s">
        <v>19844</v>
      </c>
    </row>
    <row r="2580" spans="1:13">
      <c r="A2580" s="2">
        <v>2141</v>
      </c>
      <c r="B2580" s="2" t="s">
        <v>1500</v>
      </c>
      <c r="C2580" s="2">
        <v>7</v>
      </c>
      <c r="D2580" s="2">
        <v>341</v>
      </c>
      <c r="E2580" s="2">
        <v>200</v>
      </c>
      <c r="F2580" s="2">
        <v>32441</v>
      </c>
      <c r="G2580" s="2">
        <v>3.3297214080000002</v>
      </c>
      <c r="H2580" s="2">
        <v>6.1713949999999997E-3</v>
      </c>
      <c r="I2580" s="2" t="s">
        <v>41952</v>
      </c>
      <c r="J2580" s="2" t="s">
        <v>41953</v>
      </c>
      <c r="K2580" s="2">
        <v>2.7533915999999999E-2</v>
      </c>
      <c r="L2580" s="2" t="s">
        <v>1178</v>
      </c>
      <c r="M2580" s="4" t="s">
        <v>19847</v>
      </c>
    </row>
    <row r="2581" spans="1:13">
      <c r="A2581" s="2">
        <v>2213</v>
      </c>
      <c r="B2581" s="2" t="s">
        <v>41954</v>
      </c>
      <c r="C2581" s="2">
        <v>7</v>
      </c>
      <c r="D2581" s="2">
        <v>341</v>
      </c>
      <c r="E2581" s="2">
        <v>199</v>
      </c>
      <c r="F2581" s="2">
        <v>32441</v>
      </c>
      <c r="G2581" s="2">
        <v>3.3464536759999999</v>
      </c>
      <c r="H2581" s="2">
        <v>6.0148149999999997E-3</v>
      </c>
      <c r="I2581" s="2" t="s">
        <v>41955</v>
      </c>
      <c r="J2581" s="2" t="s">
        <v>41956</v>
      </c>
      <c r="K2581" s="2">
        <v>2.7533915999999999E-2</v>
      </c>
      <c r="L2581" s="2" t="s">
        <v>1178</v>
      </c>
      <c r="M2581" s="4" t="s">
        <v>41957</v>
      </c>
    </row>
    <row r="2582" spans="1:13">
      <c r="A2582" s="2">
        <v>22281</v>
      </c>
      <c r="B2582" s="2" t="s">
        <v>1908</v>
      </c>
      <c r="C2582" s="2">
        <v>7</v>
      </c>
      <c r="D2582" s="2">
        <v>341</v>
      </c>
      <c r="E2582" s="2">
        <v>200</v>
      </c>
      <c r="F2582" s="2">
        <v>32441</v>
      </c>
      <c r="G2582" s="2">
        <v>3.3297214080000002</v>
      </c>
      <c r="H2582" s="2">
        <v>6.1713949999999997E-3</v>
      </c>
      <c r="I2582" s="2" t="s">
        <v>41958</v>
      </c>
      <c r="J2582" s="2" t="s">
        <v>41959</v>
      </c>
      <c r="K2582" s="2">
        <v>2.7533915999999999E-2</v>
      </c>
      <c r="L2582" s="2" t="s">
        <v>1178</v>
      </c>
      <c r="M2582" s="4" t="s">
        <v>20996</v>
      </c>
    </row>
    <row r="2583" spans="1:13">
      <c r="A2583" s="2">
        <v>22642</v>
      </c>
      <c r="B2583" s="2" t="s">
        <v>15345</v>
      </c>
      <c r="C2583" s="2">
        <v>7</v>
      </c>
      <c r="D2583" s="2">
        <v>341</v>
      </c>
      <c r="E2583" s="2">
        <v>200</v>
      </c>
      <c r="F2583" s="2">
        <v>32441</v>
      </c>
      <c r="G2583" s="2">
        <v>3.3297214080000002</v>
      </c>
      <c r="H2583" s="2">
        <v>6.1713949999999997E-3</v>
      </c>
      <c r="I2583" s="2" t="s">
        <v>41960</v>
      </c>
      <c r="J2583" s="2" t="s">
        <v>41961</v>
      </c>
      <c r="K2583" s="2">
        <v>2.7533915999999999E-2</v>
      </c>
      <c r="L2583" s="2" t="s">
        <v>1178</v>
      </c>
      <c r="M2583" s="4" t="s">
        <v>15348</v>
      </c>
    </row>
    <row r="2584" spans="1:13">
      <c r="A2584" s="2">
        <v>2313</v>
      </c>
      <c r="B2584" s="2" t="s">
        <v>16577</v>
      </c>
      <c r="C2584" s="2">
        <v>7</v>
      </c>
      <c r="D2584" s="2">
        <v>341</v>
      </c>
      <c r="E2584" s="2">
        <v>200</v>
      </c>
      <c r="F2584" s="2">
        <v>32441</v>
      </c>
      <c r="G2584" s="2">
        <v>3.3297214080000002</v>
      </c>
      <c r="H2584" s="2">
        <v>6.1713949999999997E-3</v>
      </c>
      <c r="I2584" s="2" t="s">
        <v>41962</v>
      </c>
      <c r="J2584" s="2" t="s">
        <v>41963</v>
      </c>
      <c r="K2584" s="2">
        <v>2.7533915999999999E-2</v>
      </c>
      <c r="L2584" s="2" t="s">
        <v>1178</v>
      </c>
      <c r="M2584" s="4" t="s">
        <v>16580</v>
      </c>
    </row>
    <row r="2585" spans="1:13">
      <c r="A2585" s="2">
        <v>24501</v>
      </c>
      <c r="B2585" s="2" t="s">
        <v>18086</v>
      </c>
      <c r="C2585" s="2">
        <v>7</v>
      </c>
      <c r="D2585" s="2">
        <v>341</v>
      </c>
      <c r="E2585" s="2">
        <v>198</v>
      </c>
      <c r="F2585" s="2">
        <v>32441</v>
      </c>
      <c r="G2585" s="2">
        <v>3.3633549569999999</v>
      </c>
      <c r="H2585" s="2">
        <v>5.8612209999999998E-3</v>
      </c>
      <c r="I2585" s="2" t="s">
        <v>41964</v>
      </c>
      <c r="J2585" s="2" t="s">
        <v>41965</v>
      </c>
      <c r="K2585" s="2">
        <v>2.7533915999999999E-2</v>
      </c>
      <c r="L2585" s="2" t="s">
        <v>1178</v>
      </c>
      <c r="M2585" s="4" t="s">
        <v>18089</v>
      </c>
    </row>
    <row r="2586" spans="1:13">
      <c r="A2586" s="2">
        <v>2473</v>
      </c>
      <c r="B2586" s="2" t="s">
        <v>41966</v>
      </c>
      <c r="C2586" s="2">
        <v>7</v>
      </c>
      <c r="D2586" s="2">
        <v>341</v>
      </c>
      <c r="E2586" s="2">
        <v>200</v>
      </c>
      <c r="F2586" s="2">
        <v>32441</v>
      </c>
      <c r="G2586" s="2">
        <v>3.3297214080000002</v>
      </c>
      <c r="H2586" s="2">
        <v>6.1713949999999997E-3</v>
      </c>
      <c r="I2586" s="2" t="s">
        <v>41967</v>
      </c>
      <c r="J2586" s="2" t="s">
        <v>41968</v>
      </c>
      <c r="K2586" s="2">
        <v>2.7533915999999999E-2</v>
      </c>
      <c r="L2586" s="2" t="s">
        <v>1178</v>
      </c>
      <c r="M2586" s="4" t="s">
        <v>41969</v>
      </c>
    </row>
    <row r="2587" spans="1:13">
      <c r="A2587" s="2">
        <v>24811</v>
      </c>
      <c r="B2587" s="2" t="s">
        <v>21059</v>
      </c>
      <c r="C2587" s="2">
        <v>7</v>
      </c>
      <c r="D2587" s="2">
        <v>341</v>
      </c>
      <c r="E2587" s="2">
        <v>200</v>
      </c>
      <c r="F2587" s="2">
        <v>32441</v>
      </c>
      <c r="G2587" s="2">
        <v>3.3297214080000002</v>
      </c>
      <c r="H2587" s="2">
        <v>6.1713949999999997E-3</v>
      </c>
      <c r="I2587" s="2" t="s">
        <v>41970</v>
      </c>
      <c r="J2587" s="2" t="s">
        <v>41971</v>
      </c>
      <c r="K2587" s="2">
        <v>2.7533915999999999E-2</v>
      </c>
      <c r="L2587" s="2" t="s">
        <v>1178</v>
      </c>
      <c r="M2587" s="4" t="s">
        <v>21062</v>
      </c>
    </row>
    <row r="2588" spans="1:13">
      <c r="A2588" s="2">
        <v>2519</v>
      </c>
      <c r="B2588" s="2" t="s">
        <v>23658</v>
      </c>
      <c r="C2588" s="2">
        <v>7</v>
      </c>
      <c r="D2588" s="2">
        <v>341</v>
      </c>
      <c r="E2588" s="2">
        <v>200</v>
      </c>
      <c r="F2588" s="2">
        <v>32441</v>
      </c>
      <c r="G2588" s="2">
        <v>3.3297214080000002</v>
      </c>
      <c r="H2588" s="2">
        <v>6.1713949999999997E-3</v>
      </c>
      <c r="I2588" s="2" t="s">
        <v>41972</v>
      </c>
      <c r="J2588" s="2" t="s">
        <v>41973</v>
      </c>
      <c r="K2588" s="2">
        <v>2.7533915999999999E-2</v>
      </c>
      <c r="L2588" s="2" t="s">
        <v>1178</v>
      </c>
      <c r="M2588" s="4" t="s">
        <v>23661</v>
      </c>
    </row>
    <row r="2589" spans="1:13">
      <c r="A2589" s="2">
        <v>2585</v>
      </c>
      <c r="B2589" s="2" t="s">
        <v>12707</v>
      </c>
      <c r="C2589" s="2">
        <v>7</v>
      </c>
      <c r="D2589" s="2">
        <v>341</v>
      </c>
      <c r="E2589" s="2">
        <v>200</v>
      </c>
      <c r="F2589" s="2">
        <v>32441</v>
      </c>
      <c r="G2589" s="2">
        <v>3.3297214080000002</v>
      </c>
      <c r="H2589" s="2">
        <v>6.1713949999999997E-3</v>
      </c>
      <c r="I2589" s="2" t="s">
        <v>41974</v>
      </c>
      <c r="J2589" s="2" t="s">
        <v>41975</v>
      </c>
      <c r="K2589" s="2">
        <v>2.7533915999999999E-2</v>
      </c>
      <c r="L2589" s="2" t="s">
        <v>1178</v>
      </c>
      <c r="M2589" s="4" t="s">
        <v>12710</v>
      </c>
    </row>
    <row r="2590" spans="1:13">
      <c r="A2590" s="2">
        <v>2600</v>
      </c>
      <c r="B2590" s="2" t="s">
        <v>12934</v>
      </c>
      <c r="C2590" s="2">
        <v>7</v>
      </c>
      <c r="D2590" s="2">
        <v>341</v>
      </c>
      <c r="E2590" s="2">
        <v>200</v>
      </c>
      <c r="F2590" s="2">
        <v>32441</v>
      </c>
      <c r="G2590" s="2">
        <v>3.3297214080000002</v>
      </c>
      <c r="H2590" s="2">
        <v>6.1713949999999997E-3</v>
      </c>
      <c r="I2590" s="2" t="s">
        <v>41976</v>
      </c>
      <c r="J2590" s="2" t="s">
        <v>41977</v>
      </c>
      <c r="K2590" s="2">
        <v>2.7533915999999999E-2</v>
      </c>
      <c r="L2590" s="2" t="s">
        <v>1178</v>
      </c>
      <c r="M2590" s="4" t="s">
        <v>12937</v>
      </c>
    </row>
    <row r="2591" spans="1:13">
      <c r="A2591" s="2">
        <v>2603</v>
      </c>
      <c r="B2591" s="2" t="s">
        <v>41978</v>
      </c>
      <c r="C2591" s="2">
        <v>7</v>
      </c>
      <c r="D2591" s="2">
        <v>341</v>
      </c>
      <c r="E2591" s="2">
        <v>200</v>
      </c>
      <c r="F2591" s="2">
        <v>32441</v>
      </c>
      <c r="G2591" s="2">
        <v>3.3297214080000002</v>
      </c>
      <c r="H2591" s="2">
        <v>6.1713949999999997E-3</v>
      </c>
      <c r="I2591" s="2" t="s">
        <v>41979</v>
      </c>
      <c r="J2591" s="2" t="s">
        <v>41980</v>
      </c>
      <c r="K2591" s="2">
        <v>2.7533915999999999E-2</v>
      </c>
      <c r="L2591" s="2" t="s">
        <v>1178</v>
      </c>
      <c r="M2591" s="4" t="s">
        <v>41981</v>
      </c>
    </row>
    <row r="2592" spans="1:13">
      <c r="A2592" s="2">
        <v>2619</v>
      </c>
      <c r="B2592" s="2" t="s">
        <v>41982</v>
      </c>
      <c r="C2592" s="2">
        <v>7</v>
      </c>
      <c r="D2592" s="2">
        <v>341</v>
      </c>
      <c r="E2592" s="2">
        <v>200</v>
      </c>
      <c r="F2592" s="2">
        <v>32441</v>
      </c>
      <c r="G2592" s="2">
        <v>3.3297214080000002</v>
      </c>
      <c r="H2592" s="2">
        <v>6.1713949999999997E-3</v>
      </c>
      <c r="I2592" s="2" t="s">
        <v>41983</v>
      </c>
      <c r="J2592" s="2" t="s">
        <v>41984</v>
      </c>
      <c r="K2592" s="2">
        <v>2.7533915999999999E-2</v>
      </c>
      <c r="L2592" s="2" t="s">
        <v>1178</v>
      </c>
      <c r="M2592" s="4" t="s">
        <v>41985</v>
      </c>
    </row>
    <row r="2593" spans="1:13">
      <c r="A2593" s="2">
        <v>2642</v>
      </c>
      <c r="B2593" s="2" t="s">
        <v>32873</v>
      </c>
      <c r="C2593" s="2">
        <v>7</v>
      </c>
      <c r="D2593" s="2">
        <v>341</v>
      </c>
      <c r="E2593" s="2">
        <v>200</v>
      </c>
      <c r="F2593" s="2">
        <v>32441</v>
      </c>
      <c r="G2593" s="2">
        <v>3.3297214080000002</v>
      </c>
      <c r="H2593" s="2">
        <v>6.1713949999999997E-3</v>
      </c>
      <c r="I2593" s="2" t="s">
        <v>41986</v>
      </c>
      <c r="J2593" s="2" t="s">
        <v>41987</v>
      </c>
      <c r="K2593" s="2">
        <v>2.7533915999999999E-2</v>
      </c>
      <c r="L2593" s="2" t="s">
        <v>1178</v>
      </c>
      <c r="M2593" s="4" t="s">
        <v>32876</v>
      </c>
    </row>
    <row r="2594" spans="1:13">
      <c r="A2594" s="2">
        <v>2671</v>
      </c>
      <c r="B2594" s="2" t="s">
        <v>41988</v>
      </c>
      <c r="C2594" s="2">
        <v>6</v>
      </c>
      <c r="D2594" s="2">
        <v>341</v>
      </c>
      <c r="E2594" s="2">
        <v>147</v>
      </c>
      <c r="F2594" s="2">
        <v>32441</v>
      </c>
      <c r="G2594" s="2">
        <v>3.8830570350000002</v>
      </c>
      <c r="H2594" s="2">
        <v>5.4555109999999997E-3</v>
      </c>
      <c r="I2594" s="2" t="s">
        <v>41989</v>
      </c>
      <c r="J2594" s="2" t="s">
        <v>41990</v>
      </c>
      <c r="K2594" s="2">
        <v>2.7533915999999999E-2</v>
      </c>
      <c r="L2594" s="2" t="s">
        <v>1178</v>
      </c>
      <c r="M2594" s="4" t="s">
        <v>41991</v>
      </c>
    </row>
    <row r="2595" spans="1:13">
      <c r="A2595" s="2">
        <v>2692</v>
      </c>
      <c r="B2595" s="2" t="s">
        <v>17325</v>
      </c>
      <c r="C2595" s="2">
        <v>7</v>
      </c>
      <c r="D2595" s="2">
        <v>341</v>
      </c>
      <c r="E2595" s="2">
        <v>200</v>
      </c>
      <c r="F2595" s="2">
        <v>32441</v>
      </c>
      <c r="G2595" s="2">
        <v>3.3297214080000002</v>
      </c>
      <c r="H2595" s="2">
        <v>6.1713949999999997E-3</v>
      </c>
      <c r="I2595" s="2" t="s">
        <v>41992</v>
      </c>
      <c r="J2595" s="2" t="s">
        <v>41993</v>
      </c>
      <c r="K2595" s="2">
        <v>2.7533915999999999E-2</v>
      </c>
      <c r="L2595" s="2" t="s">
        <v>1178</v>
      </c>
      <c r="M2595" s="4" t="s">
        <v>17328</v>
      </c>
    </row>
    <row r="2596" spans="1:13">
      <c r="A2596" s="2">
        <v>2694</v>
      </c>
      <c r="B2596" s="2" t="s">
        <v>31092</v>
      </c>
      <c r="C2596" s="2">
        <v>7</v>
      </c>
      <c r="D2596" s="2">
        <v>341</v>
      </c>
      <c r="E2596" s="2">
        <v>200</v>
      </c>
      <c r="F2596" s="2">
        <v>32441</v>
      </c>
      <c r="G2596" s="2">
        <v>3.3297214080000002</v>
      </c>
      <c r="H2596" s="2">
        <v>6.1713949999999997E-3</v>
      </c>
      <c r="I2596" s="2" t="s">
        <v>41994</v>
      </c>
      <c r="J2596" s="2" t="s">
        <v>41995</v>
      </c>
      <c r="K2596" s="2">
        <v>2.7533915999999999E-2</v>
      </c>
      <c r="L2596" s="2" t="s">
        <v>1178</v>
      </c>
      <c r="M2596" s="4" t="s">
        <v>31095</v>
      </c>
    </row>
    <row r="2597" spans="1:13">
      <c r="A2597" s="2">
        <v>2836</v>
      </c>
      <c r="B2597" s="2" t="s">
        <v>23705</v>
      </c>
      <c r="C2597" s="2">
        <v>7</v>
      </c>
      <c r="D2597" s="2">
        <v>341</v>
      </c>
      <c r="E2597" s="2">
        <v>200</v>
      </c>
      <c r="F2597" s="2">
        <v>32441</v>
      </c>
      <c r="G2597" s="2">
        <v>3.3297214080000002</v>
      </c>
      <c r="H2597" s="2">
        <v>6.1713949999999997E-3</v>
      </c>
      <c r="I2597" s="2" t="s">
        <v>41996</v>
      </c>
      <c r="J2597" s="2" t="s">
        <v>41997</v>
      </c>
      <c r="K2597" s="2">
        <v>2.7533915999999999E-2</v>
      </c>
      <c r="L2597" s="2" t="s">
        <v>1178</v>
      </c>
      <c r="M2597" s="4" t="s">
        <v>23708</v>
      </c>
    </row>
    <row r="2598" spans="1:13">
      <c r="A2598" s="2">
        <v>2850</v>
      </c>
      <c r="B2598" s="2" t="s">
        <v>21112</v>
      </c>
      <c r="C2598" s="2">
        <v>7</v>
      </c>
      <c r="D2598" s="2">
        <v>341</v>
      </c>
      <c r="E2598" s="2">
        <v>200</v>
      </c>
      <c r="F2598" s="2">
        <v>32441</v>
      </c>
      <c r="G2598" s="2">
        <v>3.3297214080000002</v>
      </c>
      <c r="H2598" s="2">
        <v>6.1713949999999997E-3</v>
      </c>
      <c r="I2598" s="2" t="s">
        <v>41998</v>
      </c>
      <c r="J2598" s="2" t="s">
        <v>41999</v>
      </c>
      <c r="K2598" s="2">
        <v>2.7533915999999999E-2</v>
      </c>
      <c r="L2598" s="2" t="s">
        <v>1178</v>
      </c>
      <c r="M2598" s="4" t="s">
        <v>21115</v>
      </c>
    </row>
    <row r="2599" spans="1:13">
      <c r="A2599" s="2">
        <v>2866</v>
      </c>
      <c r="B2599" s="2" t="s">
        <v>22289</v>
      </c>
      <c r="C2599" s="2">
        <v>7</v>
      </c>
      <c r="D2599" s="2">
        <v>341</v>
      </c>
      <c r="E2599" s="2">
        <v>200</v>
      </c>
      <c r="F2599" s="2">
        <v>32441</v>
      </c>
      <c r="G2599" s="2">
        <v>3.3297214080000002</v>
      </c>
      <c r="H2599" s="2">
        <v>6.1713949999999997E-3</v>
      </c>
      <c r="I2599" s="2" t="s">
        <v>42000</v>
      </c>
      <c r="J2599" s="2" t="s">
        <v>42001</v>
      </c>
      <c r="K2599" s="2">
        <v>2.7533915999999999E-2</v>
      </c>
      <c r="L2599" s="2" t="s">
        <v>1178</v>
      </c>
      <c r="M2599" s="4" t="s">
        <v>22292</v>
      </c>
    </row>
    <row r="2600" spans="1:13">
      <c r="A2600" s="2">
        <v>29081</v>
      </c>
      <c r="B2600" s="2" t="s">
        <v>22305</v>
      </c>
      <c r="C2600" s="2">
        <v>7</v>
      </c>
      <c r="D2600" s="2">
        <v>341</v>
      </c>
      <c r="E2600" s="2">
        <v>200</v>
      </c>
      <c r="F2600" s="2">
        <v>32441</v>
      </c>
      <c r="G2600" s="2">
        <v>3.3297214080000002</v>
      </c>
      <c r="H2600" s="2">
        <v>6.1713949999999997E-3</v>
      </c>
      <c r="I2600" s="2" t="s">
        <v>42002</v>
      </c>
      <c r="J2600" s="2" t="s">
        <v>42003</v>
      </c>
      <c r="K2600" s="2">
        <v>2.7533915999999999E-2</v>
      </c>
      <c r="L2600" s="2" t="s">
        <v>1178</v>
      </c>
      <c r="M2600" s="4" t="s">
        <v>22308</v>
      </c>
    </row>
    <row r="2601" spans="1:13">
      <c r="A2601" s="2">
        <v>29091</v>
      </c>
      <c r="B2601" s="2" t="s">
        <v>22309</v>
      </c>
      <c r="C2601" s="2">
        <v>7</v>
      </c>
      <c r="D2601" s="2">
        <v>341</v>
      </c>
      <c r="E2601" s="2">
        <v>200</v>
      </c>
      <c r="F2601" s="2">
        <v>32441</v>
      </c>
      <c r="G2601" s="2">
        <v>3.3297214080000002</v>
      </c>
      <c r="H2601" s="2">
        <v>6.1713949999999997E-3</v>
      </c>
      <c r="I2601" s="2" t="s">
        <v>42004</v>
      </c>
      <c r="J2601" s="2" t="s">
        <v>42005</v>
      </c>
      <c r="K2601" s="2">
        <v>2.7533915999999999E-2</v>
      </c>
      <c r="L2601" s="2" t="s">
        <v>1178</v>
      </c>
      <c r="M2601" s="4" t="s">
        <v>22312</v>
      </c>
    </row>
    <row r="2602" spans="1:13">
      <c r="A2602" s="2">
        <v>2985</v>
      </c>
      <c r="B2602" s="2" t="s">
        <v>2607</v>
      </c>
      <c r="C2602" s="2">
        <v>7</v>
      </c>
      <c r="D2602" s="2">
        <v>341</v>
      </c>
      <c r="E2602" s="2">
        <v>200</v>
      </c>
      <c r="F2602" s="2">
        <v>32441</v>
      </c>
      <c r="G2602" s="2">
        <v>3.3297214080000002</v>
      </c>
      <c r="H2602" s="2">
        <v>6.1713949999999997E-3</v>
      </c>
      <c r="I2602" s="2" t="s">
        <v>42006</v>
      </c>
      <c r="J2602" s="2" t="s">
        <v>42007</v>
      </c>
      <c r="K2602" s="2">
        <v>2.7533915999999999E-2</v>
      </c>
      <c r="L2602" s="2" t="s">
        <v>1178</v>
      </c>
      <c r="M2602" s="4" t="s">
        <v>42008</v>
      </c>
    </row>
    <row r="2603" spans="1:13">
      <c r="A2603" s="2">
        <v>2991</v>
      </c>
      <c r="B2603" s="2" t="s">
        <v>33536</v>
      </c>
      <c r="C2603" s="2">
        <v>7</v>
      </c>
      <c r="D2603" s="2">
        <v>341</v>
      </c>
      <c r="E2603" s="2">
        <v>200</v>
      </c>
      <c r="F2603" s="2">
        <v>32441</v>
      </c>
      <c r="G2603" s="2">
        <v>3.3297214080000002</v>
      </c>
      <c r="H2603" s="2">
        <v>6.1713949999999997E-3</v>
      </c>
      <c r="I2603" s="2" t="s">
        <v>42009</v>
      </c>
      <c r="J2603" s="2" t="s">
        <v>42010</v>
      </c>
      <c r="K2603" s="2">
        <v>2.7533915999999999E-2</v>
      </c>
      <c r="L2603" s="2" t="s">
        <v>1178</v>
      </c>
      <c r="M2603" s="4" t="s">
        <v>33539</v>
      </c>
    </row>
    <row r="2604" spans="1:13">
      <c r="A2604" s="2">
        <v>2998</v>
      </c>
      <c r="B2604" s="2" t="s">
        <v>22325</v>
      </c>
      <c r="C2604" s="2">
        <v>7</v>
      </c>
      <c r="D2604" s="2">
        <v>341</v>
      </c>
      <c r="E2604" s="2">
        <v>200</v>
      </c>
      <c r="F2604" s="2">
        <v>32441</v>
      </c>
      <c r="G2604" s="2">
        <v>3.3297214080000002</v>
      </c>
      <c r="H2604" s="2">
        <v>6.1713949999999997E-3</v>
      </c>
      <c r="I2604" s="2" t="s">
        <v>42011</v>
      </c>
      <c r="J2604" s="2" t="s">
        <v>42012</v>
      </c>
      <c r="K2604" s="2">
        <v>2.7533915999999999E-2</v>
      </c>
      <c r="L2604" s="2" t="s">
        <v>1178</v>
      </c>
      <c r="M2604" s="4" t="s">
        <v>22328</v>
      </c>
    </row>
    <row r="2605" spans="1:13">
      <c r="A2605" s="2">
        <v>30111</v>
      </c>
      <c r="B2605" s="2" t="s">
        <v>42013</v>
      </c>
      <c r="C2605" s="2">
        <v>7</v>
      </c>
      <c r="D2605" s="2">
        <v>341</v>
      </c>
      <c r="E2605" s="2">
        <v>200</v>
      </c>
      <c r="F2605" s="2">
        <v>32441</v>
      </c>
      <c r="G2605" s="2">
        <v>3.3297214080000002</v>
      </c>
      <c r="H2605" s="2">
        <v>6.1713949999999997E-3</v>
      </c>
      <c r="I2605" s="2" t="s">
        <v>42014</v>
      </c>
      <c r="J2605" s="2" t="s">
        <v>42015</v>
      </c>
      <c r="K2605" s="2">
        <v>2.7533915999999999E-2</v>
      </c>
      <c r="L2605" s="2" t="s">
        <v>1178</v>
      </c>
      <c r="M2605" s="4" t="s">
        <v>42016</v>
      </c>
    </row>
    <row r="2606" spans="1:13">
      <c r="A2606" s="2">
        <v>3012</v>
      </c>
      <c r="B2606" s="2" t="s">
        <v>17364</v>
      </c>
      <c r="C2606" s="2">
        <v>7</v>
      </c>
      <c r="D2606" s="2">
        <v>341</v>
      </c>
      <c r="E2606" s="2">
        <v>199</v>
      </c>
      <c r="F2606" s="2">
        <v>32441</v>
      </c>
      <c r="G2606" s="2">
        <v>3.3464536759999999</v>
      </c>
      <c r="H2606" s="2">
        <v>6.0148149999999997E-3</v>
      </c>
      <c r="I2606" s="2" t="s">
        <v>42017</v>
      </c>
      <c r="J2606" s="2" t="s">
        <v>42018</v>
      </c>
      <c r="K2606" s="2">
        <v>2.7533915999999999E-2</v>
      </c>
      <c r="L2606" s="2" t="s">
        <v>1178</v>
      </c>
      <c r="M2606" s="4" t="s">
        <v>17367</v>
      </c>
    </row>
    <row r="2607" spans="1:13">
      <c r="A2607" s="2">
        <v>3027</v>
      </c>
      <c r="B2607" s="2" t="s">
        <v>31300</v>
      </c>
      <c r="C2607" s="2">
        <v>7</v>
      </c>
      <c r="D2607" s="2">
        <v>341</v>
      </c>
      <c r="E2607" s="2">
        <v>200</v>
      </c>
      <c r="F2607" s="2">
        <v>32441</v>
      </c>
      <c r="G2607" s="2">
        <v>3.3297214080000002</v>
      </c>
      <c r="H2607" s="2">
        <v>6.1713949999999997E-3</v>
      </c>
      <c r="I2607" s="2" t="s">
        <v>42019</v>
      </c>
      <c r="J2607" s="2" t="s">
        <v>42020</v>
      </c>
      <c r="K2607" s="2">
        <v>2.7533915999999999E-2</v>
      </c>
      <c r="L2607" s="2" t="s">
        <v>1178</v>
      </c>
      <c r="M2607" s="4" t="s">
        <v>31303</v>
      </c>
    </row>
    <row r="2608" spans="1:13">
      <c r="A2608" s="2">
        <v>30461</v>
      </c>
      <c r="B2608" s="2" t="s">
        <v>18992</v>
      </c>
      <c r="C2608" s="2">
        <v>7</v>
      </c>
      <c r="D2608" s="2">
        <v>341</v>
      </c>
      <c r="E2608" s="2">
        <v>200</v>
      </c>
      <c r="F2608" s="2">
        <v>32441</v>
      </c>
      <c r="G2608" s="2">
        <v>3.3297214080000002</v>
      </c>
      <c r="H2608" s="2">
        <v>6.1713949999999997E-3</v>
      </c>
      <c r="I2608" s="2" t="s">
        <v>42021</v>
      </c>
      <c r="J2608" s="2" t="s">
        <v>42022</v>
      </c>
      <c r="K2608" s="2">
        <v>2.7533915999999999E-2</v>
      </c>
      <c r="L2608" s="2" t="s">
        <v>1178</v>
      </c>
      <c r="M2608" s="4" t="s">
        <v>18995</v>
      </c>
    </row>
    <row r="2609" spans="1:13">
      <c r="A2609" s="2">
        <v>30711</v>
      </c>
      <c r="B2609" s="2" t="s">
        <v>34264</v>
      </c>
      <c r="C2609" s="2">
        <v>7</v>
      </c>
      <c r="D2609" s="2">
        <v>341</v>
      </c>
      <c r="E2609" s="2">
        <v>200</v>
      </c>
      <c r="F2609" s="2">
        <v>32441</v>
      </c>
      <c r="G2609" s="2">
        <v>3.3297214080000002</v>
      </c>
      <c r="H2609" s="2">
        <v>6.1713949999999997E-3</v>
      </c>
      <c r="I2609" s="2" t="s">
        <v>42023</v>
      </c>
      <c r="J2609" s="2" t="s">
        <v>42024</v>
      </c>
      <c r="K2609" s="2">
        <v>2.7533915999999999E-2</v>
      </c>
      <c r="L2609" s="2" t="s">
        <v>1178</v>
      </c>
      <c r="M2609" s="4" t="s">
        <v>34267</v>
      </c>
    </row>
    <row r="2610" spans="1:13">
      <c r="A2610" s="2">
        <v>3080</v>
      </c>
      <c r="B2610" s="2" t="s">
        <v>22352</v>
      </c>
      <c r="C2610" s="2">
        <v>7</v>
      </c>
      <c r="D2610" s="2">
        <v>341</v>
      </c>
      <c r="E2610" s="2">
        <v>199</v>
      </c>
      <c r="F2610" s="2">
        <v>32441</v>
      </c>
      <c r="G2610" s="2">
        <v>3.3464536759999999</v>
      </c>
      <c r="H2610" s="2">
        <v>6.0148149999999997E-3</v>
      </c>
      <c r="I2610" s="2" t="s">
        <v>42025</v>
      </c>
      <c r="J2610" s="2" t="s">
        <v>42026</v>
      </c>
      <c r="K2610" s="2">
        <v>2.7533915999999999E-2</v>
      </c>
      <c r="L2610" s="2" t="s">
        <v>1178</v>
      </c>
      <c r="M2610" s="4" t="s">
        <v>22355</v>
      </c>
    </row>
    <row r="2611" spans="1:13">
      <c r="A2611" s="2">
        <v>30881</v>
      </c>
      <c r="B2611" s="2" t="s">
        <v>15964</v>
      </c>
      <c r="C2611" s="2">
        <v>7</v>
      </c>
      <c r="D2611" s="2">
        <v>341</v>
      </c>
      <c r="E2611" s="2">
        <v>199</v>
      </c>
      <c r="F2611" s="2">
        <v>32441</v>
      </c>
      <c r="G2611" s="2">
        <v>3.3464536759999999</v>
      </c>
      <c r="H2611" s="2">
        <v>6.0148149999999997E-3</v>
      </c>
      <c r="I2611" s="2" t="s">
        <v>42027</v>
      </c>
      <c r="J2611" s="2" t="s">
        <v>42028</v>
      </c>
      <c r="K2611" s="2">
        <v>2.7533915999999999E-2</v>
      </c>
      <c r="L2611" s="2" t="s">
        <v>1178</v>
      </c>
      <c r="M2611" s="4" t="s">
        <v>15967</v>
      </c>
    </row>
    <row r="2612" spans="1:13">
      <c r="A2612" s="2">
        <v>3165</v>
      </c>
      <c r="B2612" s="2" t="s">
        <v>33561</v>
      </c>
      <c r="C2612" s="2">
        <v>7</v>
      </c>
      <c r="D2612" s="2">
        <v>341</v>
      </c>
      <c r="E2612" s="2">
        <v>200</v>
      </c>
      <c r="F2612" s="2">
        <v>32441</v>
      </c>
      <c r="G2612" s="2">
        <v>3.3297214080000002</v>
      </c>
      <c r="H2612" s="2">
        <v>6.1713949999999997E-3</v>
      </c>
      <c r="I2612" s="2" t="s">
        <v>42029</v>
      </c>
      <c r="J2612" s="2" t="s">
        <v>42030</v>
      </c>
      <c r="K2612" s="2">
        <v>2.7533915999999999E-2</v>
      </c>
      <c r="L2612" s="2" t="s">
        <v>1178</v>
      </c>
      <c r="M2612" s="4" t="s">
        <v>33564</v>
      </c>
    </row>
    <row r="2613" spans="1:13">
      <c r="A2613" s="2">
        <v>32621</v>
      </c>
      <c r="B2613" s="2" t="s">
        <v>42031</v>
      </c>
      <c r="C2613" s="2">
        <v>7</v>
      </c>
      <c r="D2613" s="2">
        <v>341</v>
      </c>
      <c r="E2613" s="2">
        <v>200</v>
      </c>
      <c r="F2613" s="2">
        <v>32441</v>
      </c>
      <c r="G2613" s="2">
        <v>3.3297214080000002</v>
      </c>
      <c r="H2613" s="2">
        <v>6.1713949999999997E-3</v>
      </c>
      <c r="I2613" s="2" t="s">
        <v>42032</v>
      </c>
      <c r="J2613" s="2" t="s">
        <v>42033</v>
      </c>
      <c r="K2613" s="2">
        <v>2.7533915999999999E-2</v>
      </c>
      <c r="L2613" s="2" t="s">
        <v>1178</v>
      </c>
      <c r="M2613" s="4" t="s">
        <v>42034</v>
      </c>
    </row>
    <row r="2614" spans="1:13">
      <c r="A2614" s="2">
        <v>33091</v>
      </c>
      <c r="B2614" s="2" t="s">
        <v>21191</v>
      </c>
      <c r="C2614" s="2">
        <v>7</v>
      </c>
      <c r="D2614" s="2">
        <v>341</v>
      </c>
      <c r="E2614" s="2">
        <v>200</v>
      </c>
      <c r="F2614" s="2">
        <v>32441</v>
      </c>
      <c r="G2614" s="2">
        <v>3.3297214080000002</v>
      </c>
      <c r="H2614" s="2">
        <v>6.1713949999999997E-3</v>
      </c>
      <c r="I2614" s="2" t="s">
        <v>42035</v>
      </c>
      <c r="J2614" s="2" t="s">
        <v>42036</v>
      </c>
      <c r="K2614" s="2">
        <v>2.7533915999999999E-2</v>
      </c>
      <c r="L2614" s="2" t="s">
        <v>1178</v>
      </c>
      <c r="M2614" s="4" t="s">
        <v>21194</v>
      </c>
    </row>
    <row r="2615" spans="1:13">
      <c r="A2615" s="2">
        <v>3315</v>
      </c>
      <c r="B2615" s="2" t="s">
        <v>21195</v>
      </c>
      <c r="C2615" s="2">
        <v>7</v>
      </c>
      <c r="D2615" s="2">
        <v>341</v>
      </c>
      <c r="E2615" s="2">
        <v>200</v>
      </c>
      <c r="F2615" s="2">
        <v>32441</v>
      </c>
      <c r="G2615" s="2">
        <v>3.3297214080000002</v>
      </c>
      <c r="H2615" s="2">
        <v>6.1713949999999997E-3</v>
      </c>
      <c r="I2615" s="2" t="s">
        <v>42037</v>
      </c>
      <c r="J2615" s="2" t="s">
        <v>42038</v>
      </c>
      <c r="K2615" s="2">
        <v>2.7533915999999999E-2</v>
      </c>
      <c r="L2615" s="2" t="s">
        <v>1178</v>
      </c>
      <c r="M2615" s="4" t="s">
        <v>21198</v>
      </c>
    </row>
    <row r="2616" spans="1:13">
      <c r="A2616" s="2">
        <v>3355</v>
      </c>
      <c r="B2616" s="2" t="s">
        <v>32455</v>
      </c>
      <c r="C2616" s="2">
        <v>7</v>
      </c>
      <c r="D2616" s="2">
        <v>341</v>
      </c>
      <c r="E2616" s="2">
        <v>200</v>
      </c>
      <c r="F2616" s="2">
        <v>32441</v>
      </c>
      <c r="G2616" s="2">
        <v>3.3297214080000002</v>
      </c>
      <c r="H2616" s="2">
        <v>6.1713949999999997E-3</v>
      </c>
      <c r="I2616" s="2" t="s">
        <v>42039</v>
      </c>
      <c r="J2616" s="2" t="s">
        <v>42040</v>
      </c>
      <c r="K2616" s="2">
        <v>2.7533915999999999E-2</v>
      </c>
      <c r="L2616" s="2" t="s">
        <v>1178</v>
      </c>
      <c r="M2616" s="4" t="s">
        <v>32458</v>
      </c>
    </row>
    <row r="2617" spans="1:13">
      <c r="A2617" s="2">
        <v>33721</v>
      </c>
      <c r="B2617" s="2" t="s">
        <v>33615</v>
      </c>
      <c r="C2617" s="2">
        <v>7</v>
      </c>
      <c r="D2617" s="2">
        <v>341</v>
      </c>
      <c r="E2617" s="2">
        <v>200</v>
      </c>
      <c r="F2617" s="2">
        <v>32441</v>
      </c>
      <c r="G2617" s="2">
        <v>3.3297214080000002</v>
      </c>
      <c r="H2617" s="2">
        <v>6.1713949999999997E-3</v>
      </c>
      <c r="I2617" s="2" t="s">
        <v>42041</v>
      </c>
      <c r="J2617" s="2" t="s">
        <v>42042</v>
      </c>
      <c r="K2617" s="2">
        <v>2.7533915999999999E-2</v>
      </c>
      <c r="L2617" s="2" t="s">
        <v>1178</v>
      </c>
      <c r="M2617" s="4" t="s">
        <v>33618</v>
      </c>
    </row>
    <row r="2618" spans="1:13">
      <c r="A2618" s="2">
        <v>3377</v>
      </c>
      <c r="B2618" s="2" t="s">
        <v>18176</v>
      </c>
      <c r="C2618" s="2">
        <v>7</v>
      </c>
      <c r="D2618" s="2">
        <v>341</v>
      </c>
      <c r="E2618" s="2">
        <v>200</v>
      </c>
      <c r="F2618" s="2">
        <v>32441</v>
      </c>
      <c r="G2618" s="2">
        <v>3.3297214080000002</v>
      </c>
      <c r="H2618" s="2">
        <v>6.1713949999999997E-3</v>
      </c>
      <c r="I2618" s="2" t="s">
        <v>42043</v>
      </c>
      <c r="J2618" s="2" t="s">
        <v>42044</v>
      </c>
      <c r="K2618" s="2">
        <v>2.7533915999999999E-2</v>
      </c>
      <c r="L2618" s="2" t="s">
        <v>1178</v>
      </c>
      <c r="M2618" s="4" t="s">
        <v>18179</v>
      </c>
    </row>
    <row r="2619" spans="1:13">
      <c r="A2619" s="2">
        <v>3426</v>
      </c>
      <c r="B2619" s="2" t="s">
        <v>1734</v>
      </c>
      <c r="C2619" s="2">
        <v>7</v>
      </c>
      <c r="D2619" s="2">
        <v>341</v>
      </c>
      <c r="E2619" s="2">
        <v>200</v>
      </c>
      <c r="F2619" s="2">
        <v>32441</v>
      </c>
      <c r="G2619" s="2">
        <v>3.3297214080000002</v>
      </c>
      <c r="H2619" s="2">
        <v>6.1713949999999997E-3</v>
      </c>
      <c r="I2619" s="2" t="s">
        <v>42045</v>
      </c>
      <c r="J2619" s="2" t="s">
        <v>42046</v>
      </c>
      <c r="K2619" s="2">
        <v>2.7533915999999999E-2</v>
      </c>
      <c r="L2619" s="2" t="s">
        <v>1178</v>
      </c>
      <c r="M2619" s="4" t="s">
        <v>31849</v>
      </c>
    </row>
    <row r="2620" spans="1:13">
      <c r="A2620" s="2">
        <v>3466</v>
      </c>
      <c r="B2620" s="2" t="s">
        <v>1431</v>
      </c>
      <c r="C2620" s="2">
        <v>7</v>
      </c>
      <c r="D2620" s="2">
        <v>341</v>
      </c>
      <c r="E2620" s="2">
        <v>199</v>
      </c>
      <c r="F2620" s="2">
        <v>32441</v>
      </c>
      <c r="G2620" s="2">
        <v>3.3464536759999999</v>
      </c>
      <c r="H2620" s="2">
        <v>6.0148149999999997E-3</v>
      </c>
      <c r="I2620" s="2" t="s">
        <v>42047</v>
      </c>
      <c r="J2620" s="2" t="s">
        <v>42048</v>
      </c>
      <c r="K2620" s="2">
        <v>2.7533915999999999E-2</v>
      </c>
      <c r="L2620" s="2" t="s">
        <v>1178</v>
      </c>
      <c r="M2620" s="4" t="s">
        <v>42049</v>
      </c>
    </row>
    <row r="2621" spans="1:13">
      <c r="A2621" s="2">
        <v>3473</v>
      </c>
      <c r="B2621" s="2" t="s">
        <v>13855</v>
      </c>
      <c r="C2621" s="2">
        <v>7</v>
      </c>
      <c r="D2621" s="2">
        <v>341</v>
      </c>
      <c r="E2621" s="2">
        <v>200</v>
      </c>
      <c r="F2621" s="2">
        <v>32441</v>
      </c>
      <c r="G2621" s="2">
        <v>3.3297214080000002</v>
      </c>
      <c r="H2621" s="2">
        <v>6.1713949999999997E-3</v>
      </c>
      <c r="I2621" s="2" t="s">
        <v>42050</v>
      </c>
      <c r="J2621" s="2" t="s">
        <v>42051</v>
      </c>
      <c r="K2621" s="2">
        <v>2.7533915999999999E-2</v>
      </c>
      <c r="L2621" s="2" t="s">
        <v>1178</v>
      </c>
      <c r="M2621" s="4" t="s">
        <v>13858</v>
      </c>
    </row>
    <row r="2622" spans="1:13">
      <c r="A2622" s="2">
        <v>35561</v>
      </c>
      <c r="B2622" s="2" t="s">
        <v>15403</v>
      </c>
      <c r="C2622" s="2">
        <v>7</v>
      </c>
      <c r="D2622" s="2">
        <v>341</v>
      </c>
      <c r="E2622" s="2">
        <v>200</v>
      </c>
      <c r="F2622" s="2">
        <v>32441</v>
      </c>
      <c r="G2622" s="2">
        <v>3.3297214080000002</v>
      </c>
      <c r="H2622" s="2">
        <v>6.1713949999999997E-3</v>
      </c>
      <c r="I2622" s="2" t="s">
        <v>42052</v>
      </c>
      <c r="J2622" s="2" t="s">
        <v>42053</v>
      </c>
      <c r="K2622" s="2">
        <v>2.7533915999999999E-2</v>
      </c>
      <c r="L2622" s="2" t="s">
        <v>1178</v>
      </c>
      <c r="M2622" s="4" t="s">
        <v>15406</v>
      </c>
    </row>
    <row r="2623" spans="1:13">
      <c r="A2623" s="2">
        <v>3634</v>
      </c>
      <c r="B2623" s="2" t="s">
        <v>42054</v>
      </c>
      <c r="C2623" s="2">
        <v>7</v>
      </c>
      <c r="D2623" s="2">
        <v>341</v>
      </c>
      <c r="E2623" s="2">
        <v>200</v>
      </c>
      <c r="F2623" s="2">
        <v>32441</v>
      </c>
      <c r="G2623" s="2">
        <v>3.3297214080000002</v>
      </c>
      <c r="H2623" s="2">
        <v>6.1713949999999997E-3</v>
      </c>
      <c r="I2623" s="2" t="s">
        <v>42055</v>
      </c>
      <c r="J2623" s="2" t="s">
        <v>42056</v>
      </c>
      <c r="K2623" s="2">
        <v>2.7533915999999999E-2</v>
      </c>
      <c r="L2623" s="2" t="s">
        <v>1178</v>
      </c>
      <c r="M2623" s="4" t="s">
        <v>42057</v>
      </c>
    </row>
    <row r="2624" spans="1:13">
      <c r="A2624" s="2">
        <v>3648</v>
      </c>
      <c r="B2624" s="2" t="s">
        <v>31856</v>
      </c>
      <c r="C2624" s="2">
        <v>7</v>
      </c>
      <c r="D2624" s="2">
        <v>341</v>
      </c>
      <c r="E2624" s="2">
        <v>200</v>
      </c>
      <c r="F2624" s="2">
        <v>32441</v>
      </c>
      <c r="G2624" s="2">
        <v>3.3297214080000002</v>
      </c>
      <c r="H2624" s="2">
        <v>6.1713949999999997E-3</v>
      </c>
      <c r="I2624" s="2" t="s">
        <v>42058</v>
      </c>
      <c r="J2624" s="2" t="s">
        <v>42059</v>
      </c>
      <c r="K2624" s="2">
        <v>2.7533915999999999E-2</v>
      </c>
      <c r="L2624" s="2" t="s">
        <v>1178</v>
      </c>
      <c r="M2624" s="4" t="s">
        <v>31859</v>
      </c>
    </row>
    <row r="2625" spans="1:13">
      <c r="A2625" s="2">
        <v>36911</v>
      </c>
      <c r="B2625" s="2" t="s">
        <v>16671</v>
      </c>
      <c r="C2625" s="2">
        <v>7</v>
      </c>
      <c r="D2625" s="2">
        <v>341</v>
      </c>
      <c r="E2625" s="2">
        <v>200</v>
      </c>
      <c r="F2625" s="2">
        <v>32441</v>
      </c>
      <c r="G2625" s="2">
        <v>3.3297214080000002</v>
      </c>
      <c r="H2625" s="2">
        <v>6.1713949999999997E-3</v>
      </c>
      <c r="I2625" s="2" t="s">
        <v>42060</v>
      </c>
      <c r="J2625" s="2" t="s">
        <v>42061</v>
      </c>
      <c r="K2625" s="2">
        <v>2.7533915999999999E-2</v>
      </c>
      <c r="L2625" s="2" t="s">
        <v>1178</v>
      </c>
      <c r="M2625" s="4" t="s">
        <v>16674</v>
      </c>
    </row>
    <row r="2626" spans="1:13">
      <c r="A2626" s="2">
        <v>3712</v>
      </c>
      <c r="B2626" s="2" t="s">
        <v>23861</v>
      </c>
      <c r="C2626" s="2">
        <v>7</v>
      </c>
      <c r="D2626" s="2">
        <v>341</v>
      </c>
      <c r="E2626" s="2">
        <v>200</v>
      </c>
      <c r="F2626" s="2">
        <v>32441</v>
      </c>
      <c r="G2626" s="2">
        <v>3.3297214080000002</v>
      </c>
      <c r="H2626" s="2">
        <v>6.1713949999999997E-3</v>
      </c>
      <c r="I2626" s="2" t="s">
        <v>42062</v>
      </c>
      <c r="J2626" s="2" t="s">
        <v>42063</v>
      </c>
      <c r="K2626" s="2">
        <v>2.7533915999999999E-2</v>
      </c>
      <c r="L2626" s="2" t="s">
        <v>1178</v>
      </c>
      <c r="M2626" s="4" t="s">
        <v>23864</v>
      </c>
    </row>
    <row r="2627" spans="1:13">
      <c r="A2627" s="2">
        <v>3728</v>
      </c>
      <c r="B2627" s="2" t="s">
        <v>22503</v>
      </c>
      <c r="C2627" s="2">
        <v>7</v>
      </c>
      <c r="D2627" s="2">
        <v>341</v>
      </c>
      <c r="E2627" s="2">
        <v>198</v>
      </c>
      <c r="F2627" s="2">
        <v>32441</v>
      </c>
      <c r="G2627" s="2">
        <v>3.3633549569999999</v>
      </c>
      <c r="H2627" s="2">
        <v>5.8612209999999998E-3</v>
      </c>
      <c r="I2627" s="2" t="s">
        <v>42064</v>
      </c>
      <c r="J2627" s="2" t="s">
        <v>42065</v>
      </c>
      <c r="K2627" s="2">
        <v>2.7533915999999999E-2</v>
      </c>
      <c r="L2627" s="2" t="s">
        <v>1178</v>
      </c>
      <c r="M2627" s="4" t="s">
        <v>22506</v>
      </c>
    </row>
    <row r="2628" spans="1:13">
      <c r="A2628" s="2">
        <v>3760</v>
      </c>
      <c r="B2628" s="2" t="s">
        <v>18240</v>
      </c>
      <c r="C2628" s="2">
        <v>7</v>
      </c>
      <c r="D2628" s="2">
        <v>341</v>
      </c>
      <c r="E2628" s="2">
        <v>200</v>
      </c>
      <c r="F2628" s="2">
        <v>32441</v>
      </c>
      <c r="G2628" s="2">
        <v>3.3297214080000002</v>
      </c>
      <c r="H2628" s="2">
        <v>6.1713949999999997E-3</v>
      </c>
      <c r="I2628" s="2" t="s">
        <v>42066</v>
      </c>
      <c r="J2628" s="2" t="s">
        <v>42067</v>
      </c>
      <c r="K2628" s="2">
        <v>2.7533915999999999E-2</v>
      </c>
      <c r="L2628" s="2" t="s">
        <v>1178</v>
      </c>
      <c r="M2628" s="4" t="s">
        <v>18243</v>
      </c>
    </row>
    <row r="2629" spans="1:13">
      <c r="A2629" s="2">
        <v>3761</v>
      </c>
      <c r="B2629" s="2" t="s">
        <v>20103</v>
      </c>
      <c r="C2629" s="2">
        <v>7</v>
      </c>
      <c r="D2629" s="2">
        <v>341</v>
      </c>
      <c r="E2629" s="2">
        <v>200</v>
      </c>
      <c r="F2629" s="2">
        <v>32441</v>
      </c>
      <c r="G2629" s="2">
        <v>3.3297214080000002</v>
      </c>
      <c r="H2629" s="2">
        <v>6.1713949999999997E-3</v>
      </c>
      <c r="I2629" s="2" t="s">
        <v>42068</v>
      </c>
      <c r="J2629" s="2" t="s">
        <v>42069</v>
      </c>
      <c r="K2629" s="2">
        <v>2.7533915999999999E-2</v>
      </c>
      <c r="L2629" s="2" t="s">
        <v>1178</v>
      </c>
      <c r="M2629" s="4" t="s">
        <v>20106</v>
      </c>
    </row>
    <row r="2630" spans="1:13">
      <c r="A2630" s="2">
        <v>38721</v>
      </c>
      <c r="B2630" s="2" t="s">
        <v>14546</v>
      </c>
      <c r="C2630" s="2">
        <v>7</v>
      </c>
      <c r="D2630" s="2">
        <v>341</v>
      </c>
      <c r="E2630" s="2">
        <v>200</v>
      </c>
      <c r="F2630" s="2">
        <v>32441</v>
      </c>
      <c r="G2630" s="2">
        <v>3.3297214080000002</v>
      </c>
      <c r="H2630" s="2">
        <v>6.1713949999999997E-3</v>
      </c>
      <c r="I2630" s="2" t="s">
        <v>42070</v>
      </c>
      <c r="J2630" s="2" t="s">
        <v>42071</v>
      </c>
      <c r="K2630" s="2">
        <v>2.7533915999999999E-2</v>
      </c>
      <c r="L2630" s="2" t="s">
        <v>1178</v>
      </c>
      <c r="M2630" s="4" t="s">
        <v>14549</v>
      </c>
    </row>
    <row r="2631" spans="1:13">
      <c r="A2631" s="2">
        <v>39221</v>
      </c>
      <c r="B2631" s="2" t="s">
        <v>17466</v>
      </c>
      <c r="C2631" s="2">
        <v>7</v>
      </c>
      <c r="D2631" s="2">
        <v>341</v>
      </c>
      <c r="E2631" s="2">
        <v>200</v>
      </c>
      <c r="F2631" s="2">
        <v>32441</v>
      </c>
      <c r="G2631" s="2">
        <v>3.3297214080000002</v>
      </c>
      <c r="H2631" s="2">
        <v>6.1713949999999997E-3</v>
      </c>
      <c r="I2631" s="2" t="s">
        <v>42072</v>
      </c>
      <c r="J2631" s="2" t="s">
        <v>42073</v>
      </c>
      <c r="K2631" s="2">
        <v>2.7533915999999999E-2</v>
      </c>
      <c r="L2631" s="2" t="s">
        <v>1178</v>
      </c>
      <c r="M2631" s="4" t="s">
        <v>17469</v>
      </c>
    </row>
    <row r="2632" spans="1:13">
      <c r="A2632" s="2">
        <v>39251</v>
      </c>
      <c r="B2632" s="2" t="s">
        <v>18272</v>
      </c>
      <c r="C2632" s="2">
        <v>7</v>
      </c>
      <c r="D2632" s="2">
        <v>341</v>
      </c>
      <c r="E2632" s="2">
        <v>200</v>
      </c>
      <c r="F2632" s="2">
        <v>32441</v>
      </c>
      <c r="G2632" s="2">
        <v>3.3297214080000002</v>
      </c>
      <c r="H2632" s="2">
        <v>6.1713949999999997E-3</v>
      </c>
      <c r="I2632" s="2" t="s">
        <v>42074</v>
      </c>
      <c r="J2632" s="2" t="s">
        <v>42075</v>
      </c>
      <c r="K2632" s="2">
        <v>2.7533915999999999E-2</v>
      </c>
      <c r="L2632" s="2" t="s">
        <v>1178</v>
      </c>
      <c r="M2632" s="4" t="s">
        <v>18275</v>
      </c>
    </row>
    <row r="2633" spans="1:13">
      <c r="A2633" s="2">
        <v>3948</v>
      </c>
      <c r="B2633" s="2" t="s">
        <v>1335</v>
      </c>
      <c r="C2633" s="2">
        <v>7</v>
      </c>
      <c r="D2633" s="2">
        <v>341</v>
      </c>
      <c r="E2633" s="2">
        <v>198</v>
      </c>
      <c r="F2633" s="2">
        <v>32441</v>
      </c>
      <c r="G2633" s="2">
        <v>3.3633549569999999</v>
      </c>
      <c r="H2633" s="2">
        <v>5.8612209999999998E-3</v>
      </c>
      <c r="I2633" s="2" t="s">
        <v>42076</v>
      </c>
      <c r="J2633" s="2" t="s">
        <v>42077</v>
      </c>
      <c r="K2633" s="2">
        <v>2.7533915999999999E-2</v>
      </c>
      <c r="L2633" s="2" t="s">
        <v>1178</v>
      </c>
      <c r="M2633" s="4" t="s">
        <v>3289</v>
      </c>
    </row>
    <row r="2634" spans="1:13">
      <c r="A2634" s="2">
        <v>3995</v>
      </c>
      <c r="B2634" s="2" t="s">
        <v>20150</v>
      </c>
      <c r="C2634" s="2">
        <v>7</v>
      </c>
      <c r="D2634" s="2">
        <v>341</v>
      </c>
      <c r="E2634" s="2">
        <v>200</v>
      </c>
      <c r="F2634" s="2">
        <v>32441</v>
      </c>
      <c r="G2634" s="2">
        <v>3.3297214080000002</v>
      </c>
      <c r="H2634" s="2">
        <v>6.1713949999999997E-3</v>
      </c>
      <c r="I2634" s="2" t="s">
        <v>42078</v>
      </c>
      <c r="J2634" s="2" t="s">
        <v>42079</v>
      </c>
      <c r="K2634" s="2">
        <v>2.7533915999999999E-2</v>
      </c>
      <c r="L2634" s="2" t="s">
        <v>1178</v>
      </c>
      <c r="M2634" s="4" t="s">
        <v>20153</v>
      </c>
    </row>
    <row r="2635" spans="1:13">
      <c r="A2635" s="2">
        <v>3998</v>
      </c>
      <c r="B2635" s="2" t="s">
        <v>1968</v>
      </c>
      <c r="C2635" s="2">
        <v>7</v>
      </c>
      <c r="D2635" s="2">
        <v>341</v>
      </c>
      <c r="E2635" s="2">
        <v>200</v>
      </c>
      <c r="F2635" s="2">
        <v>32441</v>
      </c>
      <c r="G2635" s="2">
        <v>3.3297214080000002</v>
      </c>
      <c r="H2635" s="2">
        <v>6.1713949999999997E-3</v>
      </c>
      <c r="I2635" s="2" t="s">
        <v>42080</v>
      </c>
      <c r="J2635" s="2" t="s">
        <v>42081</v>
      </c>
      <c r="K2635" s="2">
        <v>2.7533915999999999E-2</v>
      </c>
      <c r="L2635" s="2" t="s">
        <v>1178</v>
      </c>
      <c r="M2635" s="4" t="s">
        <v>3501</v>
      </c>
    </row>
    <row r="2636" spans="1:13">
      <c r="A2636" s="2">
        <v>3999</v>
      </c>
      <c r="B2636" s="2" t="s">
        <v>22582</v>
      </c>
      <c r="C2636" s="2">
        <v>7</v>
      </c>
      <c r="D2636" s="2">
        <v>341</v>
      </c>
      <c r="E2636" s="2">
        <v>200</v>
      </c>
      <c r="F2636" s="2">
        <v>32441</v>
      </c>
      <c r="G2636" s="2">
        <v>3.3297214080000002</v>
      </c>
      <c r="H2636" s="2">
        <v>6.1713949999999997E-3</v>
      </c>
      <c r="I2636" s="2" t="s">
        <v>42082</v>
      </c>
      <c r="J2636" s="2" t="s">
        <v>42083</v>
      </c>
      <c r="K2636" s="2">
        <v>2.7533915999999999E-2</v>
      </c>
      <c r="L2636" s="2" t="s">
        <v>1178</v>
      </c>
      <c r="M2636" s="4" t="s">
        <v>22585</v>
      </c>
    </row>
    <row r="2637" spans="1:13">
      <c r="A2637" s="2">
        <v>40351</v>
      </c>
      <c r="B2637" s="2" t="s">
        <v>1518</v>
      </c>
      <c r="C2637" s="2">
        <v>7</v>
      </c>
      <c r="D2637" s="2">
        <v>341</v>
      </c>
      <c r="E2637" s="2">
        <v>200</v>
      </c>
      <c r="F2637" s="2">
        <v>32441</v>
      </c>
      <c r="G2637" s="2">
        <v>3.3297214080000002</v>
      </c>
      <c r="H2637" s="2">
        <v>6.1713949999999997E-3</v>
      </c>
      <c r="I2637" s="2" t="s">
        <v>42084</v>
      </c>
      <c r="J2637" s="2" t="s">
        <v>42085</v>
      </c>
      <c r="K2637" s="2">
        <v>2.7533915999999999E-2</v>
      </c>
      <c r="L2637" s="2" t="s">
        <v>1178</v>
      </c>
      <c r="M2637" s="4" t="s">
        <v>42086</v>
      </c>
    </row>
    <row r="2638" spans="1:13">
      <c r="A2638" s="2">
        <v>4042</v>
      </c>
      <c r="B2638" s="2" t="s">
        <v>19141</v>
      </c>
      <c r="C2638" s="2">
        <v>7</v>
      </c>
      <c r="D2638" s="2">
        <v>341</v>
      </c>
      <c r="E2638" s="2">
        <v>200</v>
      </c>
      <c r="F2638" s="2">
        <v>32441</v>
      </c>
      <c r="G2638" s="2">
        <v>3.3297214080000002</v>
      </c>
      <c r="H2638" s="2">
        <v>6.1713949999999997E-3</v>
      </c>
      <c r="I2638" s="2" t="s">
        <v>42087</v>
      </c>
      <c r="J2638" s="2" t="s">
        <v>42088</v>
      </c>
      <c r="K2638" s="2">
        <v>2.7533915999999999E-2</v>
      </c>
      <c r="L2638" s="2" t="s">
        <v>1178</v>
      </c>
      <c r="M2638" s="4" t="s">
        <v>19144</v>
      </c>
    </row>
    <row r="2639" spans="1:13">
      <c r="A2639" s="2">
        <v>4051</v>
      </c>
      <c r="B2639" s="2" t="s">
        <v>23942</v>
      </c>
      <c r="C2639" s="2">
        <v>7</v>
      </c>
      <c r="D2639" s="2">
        <v>341</v>
      </c>
      <c r="E2639" s="2">
        <v>200</v>
      </c>
      <c r="F2639" s="2">
        <v>32441</v>
      </c>
      <c r="G2639" s="2">
        <v>3.3297214080000002</v>
      </c>
      <c r="H2639" s="2">
        <v>6.1713949999999997E-3</v>
      </c>
      <c r="I2639" s="2" t="s">
        <v>42089</v>
      </c>
      <c r="J2639" s="2" t="s">
        <v>42090</v>
      </c>
      <c r="K2639" s="2">
        <v>2.7533915999999999E-2</v>
      </c>
      <c r="L2639" s="2" t="s">
        <v>1178</v>
      </c>
      <c r="M2639" s="4" t="s">
        <v>23945</v>
      </c>
    </row>
    <row r="2640" spans="1:13">
      <c r="A2640" s="2">
        <v>4064</v>
      </c>
      <c r="B2640" s="2" t="s">
        <v>42091</v>
      </c>
      <c r="C2640" s="2">
        <v>7</v>
      </c>
      <c r="D2640" s="2">
        <v>341</v>
      </c>
      <c r="E2640" s="2">
        <v>200</v>
      </c>
      <c r="F2640" s="2">
        <v>32441</v>
      </c>
      <c r="G2640" s="2">
        <v>3.3297214080000002</v>
      </c>
      <c r="H2640" s="2">
        <v>6.1713949999999997E-3</v>
      </c>
      <c r="I2640" s="2" t="s">
        <v>42092</v>
      </c>
      <c r="J2640" s="2" t="s">
        <v>42093</v>
      </c>
      <c r="K2640" s="2">
        <v>2.7533915999999999E-2</v>
      </c>
      <c r="L2640" s="2" t="s">
        <v>1178</v>
      </c>
      <c r="M2640" s="4" t="s">
        <v>42094</v>
      </c>
    </row>
    <row r="2641" spans="1:13">
      <c r="A2641" s="2">
        <v>41471</v>
      </c>
      <c r="B2641" s="2" t="s">
        <v>32495</v>
      </c>
      <c r="C2641" s="2">
        <v>7</v>
      </c>
      <c r="D2641" s="2">
        <v>341</v>
      </c>
      <c r="E2641" s="2">
        <v>200</v>
      </c>
      <c r="F2641" s="2">
        <v>32441</v>
      </c>
      <c r="G2641" s="2">
        <v>3.3297214080000002</v>
      </c>
      <c r="H2641" s="2">
        <v>6.1713949999999997E-3</v>
      </c>
      <c r="I2641" s="2" t="s">
        <v>42095</v>
      </c>
      <c r="J2641" s="2" t="s">
        <v>42096</v>
      </c>
      <c r="K2641" s="2">
        <v>2.7533915999999999E-2</v>
      </c>
      <c r="L2641" s="2" t="s">
        <v>1178</v>
      </c>
      <c r="M2641" s="4" t="s">
        <v>32498</v>
      </c>
    </row>
    <row r="2642" spans="1:13">
      <c r="A2642" s="2">
        <v>41621</v>
      </c>
      <c r="B2642" s="2" t="s">
        <v>42097</v>
      </c>
      <c r="C2642" s="2">
        <v>7</v>
      </c>
      <c r="D2642" s="2">
        <v>341</v>
      </c>
      <c r="E2642" s="2">
        <v>200</v>
      </c>
      <c r="F2642" s="2">
        <v>32441</v>
      </c>
      <c r="G2642" s="2">
        <v>3.3297214080000002</v>
      </c>
      <c r="H2642" s="2">
        <v>6.1713949999999997E-3</v>
      </c>
      <c r="I2642" s="2" t="s">
        <v>42098</v>
      </c>
      <c r="J2642" s="2" t="s">
        <v>42099</v>
      </c>
      <c r="K2642" s="2">
        <v>2.7533915999999999E-2</v>
      </c>
      <c r="L2642" s="2" t="s">
        <v>1178</v>
      </c>
      <c r="M2642" s="4" t="s">
        <v>42100</v>
      </c>
    </row>
    <row r="2643" spans="1:13">
      <c r="A2643" s="2">
        <v>4192</v>
      </c>
      <c r="B2643" s="2" t="s">
        <v>2268</v>
      </c>
      <c r="C2643" s="2">
        <v>7</v>
      </c>
      <c r="D2643" s="2">
        <v>341</v>
      </c>
      <c r="E2643" s="2">
        <v>200</v>
      </c>
      <c r="F2643" s="2">
        <v>32441</v>
      </c>
      <c r="G2643" s="2">
        <v>3.3297214080000002</v>
      </c>
      <c r="H2643" s="2">
        <v>6.1713949999999997E-3</v>
      </c>
      <c r="I2643" s="2" t="s">
        <v>42101</v>
      </c>
      <c r="J2643" s="2" t="s">
        <v>42102</v>
      </c>
      <c r="K2643" s="2">
        <v>2.7533915999999999E-2</v>
      </c>
      <c r="L2643" s="2" t="s">
        <v>1178</v>
      </c>
      <c r="M2643" s="4" t="s">
        <v>34397</v>
      </c>
    </row>
    <row r="2644" spans="1:13">
      <c r="A2644" s="2">
        <v>4274</v>
      </c>
      <c r="B2644" s="2" t="s">
        <v>23960</v>
      </c>
      <c r="C2644" s="2">
        <v>7</v>
      </c>
      <c r="D2644" s="2">
        <v>341</v>
      </c>
      <c r="E2644" s="2">
        <v>200</v>
      </c>
      <c r="F2644" s="2">
        <v>32441</v>
      </c>
      <c r="G2644" s="2">
        <v>3.3297214080000002</v>
      </c>
      <c r="H2644" s="2">
        <v>6.1713949999999997E-3</v>
      </c>
      <c r="I2644" s="2" t="s">
        <v>42103</v>
      </c>
      <c r="J2644" s="2" t="s">
        <v>42104</v>
      </c>
      <c r="K2644" s="2">
        <v>2.7533915999999999E-2</v>
      </c>
      <c r="L2644" s="2" t="s">
        <v>1178</v>
      </c>
      <c r="M2644" s="4" t="s">
        <v>23963</v>
      </c>
    </row>
    <row r="2645" spans="1:13">
      <c r="A2645" s="2">
        <v>4299</v>
      </c>
      <c r="B2645" s="2" t="s">
        <v>16105</v>
      </c>
      <c r="C2645" s="2">
        <v>7</v>
      </c>
      <c r="D2645" s="2">
        <v>341</v>
      </c>
      <c r="E2645" s="2">
        <v>200</v>
      </c>
      <c r="F2645" s="2">
        <v>32441</v>
      </c>
      <c r="G2645" s="2">
        <v>3.3297214080000002</v>
      </c>
      <c r="H2645" s="2">
        <v>6.1713949999999997E-3</v>
      </c>
      <c r="I2645" s="2" t="s">
        <v>42105</v>
      </c>
      <c r="J2645" s="2" t="s">
        <v>42106</v>
      </c>
      <c r="K2645" s="2">
        <v>2.7533915999999999E-2</v>
      </c>
      <c r="L2645" s="2" t="s">
        <v>1178</v>
      </c>
      <c r="M2645" s="4" t="s">
        <v>16108</v>
      </c>
    </row>
    <row r="2646" spans="1:13">
      <c r="A2646" s="2">
        <v>4307</v>
      </c>
      <c r="B2646" s="2" t="s">
        <v>2694</v>
      </c>
      <c r="C2646" s="2">
        <v>7</v>
      </c>
      <c r="D2646" s="2">
        <v>341</v>
      </c>
      <c r="E2646" s="2">
        <v>199</v>
      </c>
      <c r="F2646" s="2">
        <v>32441</v>
      </c>
      <c r="G2646" s="2">
        <v>3.3464536759999999</v>
      </c>
      <c r="H2646" s="2">
        <v>6.0148149999999997E-3</v>
      </c>
      <c r="I2646" s="2" t="s">
        <v>42107</v>
      </c>
      <c r="J2646" s="2" t="s">
        <v>42108</v>
      </c>
      <c r="K2646" s="2">
        <v>2.7533915999999999E-2</v>
      </c>
      <c r="L2646" s="2" t="s">
        <v>1178</v>
      </c>
      <c r="M2646" s="4" t="s">
        <v>31874</v>
      </c>
    </row>
    <row r="2647" spans="1:13">
      <c r="A2647" s="2">
        <v>43551</v>
      </c>
      <c r="B2647" s="2" t="s">
        <v>12384</v>
      </c>
      <c r="C2647" s="2">
        <v>7</v>
      </c>
      <c r="D2647" s="2">
        <v>341</v>
      </c>
      <c r="E2647" s="2">
        <v>200</v>
      </c>
      <c r="F2647" s="2">
        <v>32441</v>
      </c>
      <c r="G2647" s="2">
        <v>3.3297214080000002</v>
      </c>
      <c r="H2647" s="2">
        <v>6.1713949999999997E-3</v>
      </c>
      <c r="I2647" s="2" t="s">
        <v>42109</v>
      </c>
      <c r="J2647" s="2" t="s">
        <v>42110</v>
      </c>
      <c r="K2647" s="2">
        <v>2.7533915999999999E-2</v>
      </c>
      <c r="L2647" s="2" t="s">
        <v>1178</v>
      </c>
      <c r="M2647" s="4" t="s">
        <v>12387</v>
      </c>
    </row>
    <row r="2648" spans="1:13">
      <c r="A2648" s="2">
        <v>4427</v>
      </c>
      <c r="B2648" s="2" t="s">
        <v>18339</v>
      </c>
      <c r="C2648" s="2">
        <v>7</v>
      </c>
      <c r="D2648" s="2">
        <v>341</v>
      </c>
      <c r="E2648" s="2">
        <v>200</v>
      </c>
      <c r="F2648" s="2">
        <v>32441</v>
      </c>
      <c r="G2648" s="2">
        <v>3.3297214080000002</v>
      </c>
      <c r="H2648" s="2">
        <v>6.1713949999999997E-3</v>
      </c>
      <c r="I2648" s="2" t="s">
        <v>42111</v>
      </c>
      <c r="J2648" s="2" t="s">
        <v>42112</v>
      </c>
      <c r="K2648" s="2">
        <v>2.7533915999999999E-2</v>
      </c>
      <c r="L2648" s="2" t="s">
        <v>1178</v>
      </c>
      <c r="M2648" s="4" t="s">
        <v>18342</v>
      </c>
    </row>
    <row r="2649" spans="1:13">
      <c r="A2649" s="2">
        <v>4429</v>
      </c>
      <c r="B2649" s="2" t="s">
        <v>42113</v>
      </c>
      <c r="C2649" s="2">
        <v>7</v>
      </c>
      <c r="D2649" s="2">
        <v>341</v>
      </c>
      <c r="E2649" s="2">
        <v>200</v>
      </c>
      <c r="F2649" s="2">
        <v>32441</v>
      </c>
      <c r="G2649" s="2">
        <v>3.3297214080000002</v>
      </c>
      <c r="H2649" s="2">
        <v>6.1713949999999997E-3</v>
      </c>
      <c r="I2649" s="2" t="s">
        <v>42114</v>
      </c>
      <c r="J2649" s="2" t="s">
        <v>42115</v>
      </c>
      <c r="K2649" s="2">
        <v>2.7533915999999999E-2</v>
      </c>
      <c r="L2649" s="2" t="s">
        <v>1178</v>
      </c>
      <c r="M2649" s="4" t="s">
        <v>42116</v>
      </c>
    </row>
    <row r="2650" spans="1:13">
      <c r="A2650" s="2">
        <v>4475</v>
      </c>
      <c r="B2650" s="2" t="s">
        <v>2706</v>
      </c>
      <c r="C2650" s="2">
        <v>7</v>
      </c>
      <c r="D2650" s="2">
        <v>341</v>
      </c>
      <c r="E2650" s="2">
        <v>200</v>
      </c>
      <c r="F2650" s="2">
        <v>32441</v>
      </c>
      <c r="G2650" s="2">
        <v>3.3297214080000002</v>
      </c>
      <c r="H2650" s="2">
        <v>6.1713949999999997E-3</v>
      </c>
      <c r="I2650" s="2" t="s">
        <v>42117</v>
      </c>
      <c r="J2650" s="2" t="s">
        <v>42118</v>
      </c>
      <c r="K2650" s="2">
        <v>2.7533915999999999E-2</v>
      </c>
      <c r="L2650" s="2" t="s">
        <v>1178</v>
      </c>
      <c r="M2650" s="4" t="s">
        <v>42119</v>
      </c>
    </row>
    <row r="2651" spans="1:13">
      <c r="A2651" s="2">
        <v>4507</v>
      </c>
      <c r="B2651" s="2" t="s">
        <v>42120</v>
      </c>
      <c r="C2651" s="2">
        <v>7</v>
      </c>
      <c r="D2651" s="2">
        <v>341</v>
      </c>
      <c r="E2651" s="2">
        <v>200</v>
      </c>
      <c r="F2651" s="2">
        <v>32441</v>
      </c>
      <c r="G2651" s="2">
        <v>3.3297214080000002</v>
      </c>
      <c r="H2651" s="2">
        <v>6.1713949999999997E-3</v>
      </c>
      <c r="I2651" s="2" t="s">
        <v>42121</v>
      </c>
      <c r="J2651" s="2" t="s">
        <v>42122</v>
      </c>
      <c r="K2651" s="2">
        <v>2.7533915999999999E-2</v>
      </c>
      <c r="L2651" s="2" t="s">
        <v>1178</v>
      </c>
      <c r="M2651" s="4" t="s">
        <v>42123</v>
      </c>
    </row>
    <row r="2652" spans="1:13">
      <c r="A2652" s="2">
        <v>4563</v>
      </c>
      <c r="B2652" s="2" t="s">
        <v>42124</v>
      </c>
      <c r="C2652" s="2">
        <v>7</v>
      </c>
      <c r="D2652" s="2">
        <v>341</v>
      </c>
      <c r="E2652" s="2">
        <v>200</v>
      </c>
      <c r="F2652" s="2">
        <v>32441</v>
      </c>
      <c r="G2652" s="2">
        <v>3.3297214080000002</v>
      </c>
      <c r="H2652" s="2">
        <v>6.1713949999999997E-3</v>
      </c>
      <c r="I2652" s="2" t="s">
        <v>42125</v>
      </c>
      <c r="J2652" s="2" t="s">
        <v>42126</v>
      </c>
      <c r="K2652" s="2">
        <v>2.7533915999999999E-2</v>
      </c>
      <c r="L2652" s="2" t="s">
        <v>1178</v>
      </c>
      <c r="M2652" s="4" t="s">
        <v>42127</v>
      </c>
    </row>
    <row r="2653" spans="1:13">
      <c r="A2653" s="2">
        <v>45741</v>
      </c>
      <c r="B2653" s="2" t="s">
        <v>42128</v>
      </c>
      <c r="C2653" s="2">
        <v>7</v>
      </c>
      <c r="D2653" s="2">
        <v>341</v>
      </c>
      <c r="E2653" s="2">
        <v>200</v>
      </c>
      <c r="F2653" s="2">
        <v>32441</v>
      </c>
      <c r="G2653" s="2">
        <v>3.3297214080000002</v>
      </c>
      <c r="H2653" s="2">
        <v>6.1713949999999997E-3</v>
      </c>
      <c r="I2653" s="2" t="s">
        <v>42129</v>
      </c>
      <c r="J2653" s="2" t="s">
        <v>42130</v>
      </c>
      <c r="K2653" s="2">
        <v>2.7533915999999999E-2</v>
      </c>
      <c r="L2653" s="2" t="s">
        <v>1178</v>
      </c>
      <c r="M2653" s="4" t="s">
        <v>42131</v>
      </c>
    </row>
    <row r="2654" spans="1:13">
      <c r="A2654" s="2">
        <v>4578</v>
      </c>
      <c r="B2654" s="2" t="s">
        <v>17568</v>
      </c>
      <c r="C2654" s="2">
        <v>7</v>
      </c>
      <c r="D2654" s="2">
        <v>341</v>
      </c>
      <c r="E2654" s="2">
        <v>200</v>
      </c>
      <c r="F2654" s="2">
        <v>32441</v>
      </c>
      <c r="G2654" s="2">
        <v>3.3297214080000002</v>
      </c>
      <c r="H2654" s="2">
        <v>6.1713949999999997E-3</v>
      </c>
      <c r="I2654" s="2" t="s">
        <v>42132</v>
      </c>
      <c r="J2654" s="2" t="s">
        <v>42133</v>
      </c>
      <c r="K2654" s="2">
        <v>2.7533915999999999E-2</v>
      </c>
      <c r="L2654" s="2" t="s">
        <v>1178</v>
      </c>
      <c r="M2654" s="4" t="s">
        <v>17571</v>
      </c>
    </row>
    <row r="2655" spans="1:13">
      <c r="A2655" s="2">
        <v>4591</v>
      </c>
      <c r="B2655" s="2" t="s">
        <v>20217</v>
      </c>
      <c r="C2655" s="2">
        <v>7</v>
      </c>
      <c r="D2655" s="2">
        <v>341</v>
      </c>
      <c r="E2655" s="2">
        <v>200</v>
      </c>
      <c r="F2655" s="2">
        <v>32441</v>
      </c>
      <c r="G2655" s="2">
        <v>3.3297214080000002</v>
      </c>
      <c r="H2655" s="2">
        <v>6.1713949999999997E-3</v>
      </c>
      <c r="I2655" s="2" t="s">
        <v>42134</v>
      </c>
      <c r="J2655" s="2" t="s">
        <v>42135</v>
      </c>
      <c r="K2655" s="2">
        <v>2.7533915999999999E-2</v>
      </c>
      <c r="L2655" s="2" t="s">
        <v>1178</v>
      </c>
      <c r="M2655" s="4" t="s">
        <v>20220</v>
      </c>
    </row>
    <row r="2656" spans="1:13">
      <c r="A2656" s="2">
        <v>45931</v>
      </c>
      <c r="B2656" s="2" t="s">
        <v>42136</v>
      </c>
      <c r="C2656" s="2">
        <v>7</v>
      </c>
      <c r="D2656" s="2">
        <v>341</v>
      </c>
      <c r="E2656" s="2">
        <v>200</v>
      </c>
      <c r="F2656" s="2">
        <v>32441</v>
      </c>
      <c r="G2656" s="2">
        <v>3.3297214080000002</v>
      </c>
      <c r="H2656" s="2">
        <v>6.1713949999999997E-3</v>
      </c>
      <c r="I2656" s="2" t="s">
        <v>42137</v>
      </c>
      <c r="J2656" s="2" t="s">
        <v>42138</v>
      </c>
      <c r="K2656" s="2">
        <v>2.7533915999999999E-2</v>
      </c>
      <c r="L2656" s="2" t="s">
        <v>1178</v>
      </c>
      <c r="M2656" s="4" t="s">
        <v>42139</v>
      </c>
    </row>
    <row r="2657" spans="1:13">
      <c r="A2657" s="2">
        <v>4615</v>
      </c>
      <c r="B2657" s="2" t="s">
        <v>42140</v>
      </c>
      <c r="C2657" s="2">
        <v>7</v>
      </c>
      <c r="D2657" s="2">
        <v>341</v>
      </c>
      <c r="E2657" s="2">
        <v>200</v>
      </c>
      <c r="F2657" s="2">
        <v>32441</v>
      </c>
      <c r="G2657" s="2">
        <v>3.3297214080000002</v>
      </c>
      <c r="H2657" s="2">
        <v>6.1713949999999997E-3</v>
      </c>
      <c r="I2657" s="2" t="s">
        <v>42141</v>
      </c>
      <c r="J2657" s="2" t="s">
        <v>42142</v>
      </c>
      <c r="K2657" s="2">
        <v>2.7533915999999999E-2</v>
      </c>
      <c r="L2657" s="2" t="s">
        <v>1178</v>
      </c>
      <c r="M2657" s="4" t="s">
        <v>42143</v>
      </c>
    </row>
    <row r="2658" spans="1:13">
      <c r="A2658" s="2">
        <v>4619</v>
      </c>
      <c r="B2658" s="2" t="s">
        <v>24036</v>
      </c>
      <c r="C2658" s="2">
        <v>7</v>
      </c>
      <c r="D2658" s="2">
        <v>341</v>
      </c>
      <c r="E2658" s="2">
        <v>200</v>
      </c>
      <c r="F2658" s="2">
        <v>32441</v>
      </c>
      <c r="G2658" s="2">
        <v>3.3297214080000002</v>
      </c>
      <c r="H2658" s="2">
        <v>6.1713949999999997E-3</v>
      </c>
      <c r="I2658" s="2" t="s">
        <v>42144</v>
      </c>
      <c r="J2658" s="2" t="s">
        <v>42145</v>
      </c>
      <c r="K2658" s="2">
        <v>2.7533915999999999E-2</v>
      </c>
      <c r="L2658" s="2" t="s">
        <v>1178</v>
      </c>
      <c r="M2658" s="4" t="s">
        <v>24039</v>
      </c>
    </row>
    <row r="2659" spans="1:13">
      <c r="A2659" s="2">
        <v>4665</v>
      </c>
      <c r="B2659" s="2" t="s">
        <v>33116</v>
      </c>
      <c r="C2659" s="2">
        <v>7</v>
      </c>
      <c r="D2659" s="2">
        <v>341</v>
      </c>
      <c r="E2659" s="2">
        <v>200</v>
      </c>
      <c r="F2659" s="2">
        <v>32441</v>
      </c>
      <c r="G2659" s="2">
        <v>3.3297214080000002</v>
      </c>
      <c r="H2659" s="2">
        <v>6.1713949999999997E-3</v>
      </c>
      <c r="I2659" s="2" t="s">
        <v>42146</v>
      </c>
      <c r="J2659" s="2" t="s">
        <v>42147</v>
      </c>
      <c r="K2659" s="2">
        <v>2.7533915999999999E-2</v>
      </c>
      <c r="L2659" s="2" t="s">
        <v>1178</v>
      </c>
      <c r="M2659" s="4" t="s">
        <v>33119</v>
      </c>
    </row>
    <row r="2660" spans="1:13">
      <c r="A2660" s="2">
        <v>4718</v>
      </c>
      <c r="B2660" s="2" t="s">
        <v>42148</v>
      </c>
      <c r="C2660" s="2">
        <v>7</v>
      </c>
      <c r="D2660" s="2">
        <v>341</v>
      </c>
      <c r="E2660" s="2">
        <v>200</v>
      </c>
      <c r="F2660" s="2">
        <v>32441</v>
      </c>
      <c r="G2660" s="2">
        <v>3.3297214080000002</v>
      </c>
      <c r="H2660" s="2">
        <v>6.1713949999999997E-3</v>
      </c>
      <c r="I2660" s="2" t="s">
        <v>42149</v>
      </c>
      <c r="J2660" s="2" t="s">
        <v>42150</v>
      </c>
      <c r="K2660" s="2">
        <v>2.7533915999999999E-2</v>
      </c>
      <c r="L2660" s="2" t="s">
        <v>1178</v>
      </c>
      <c r="M2660" s="4" t="s">
        <v>42151</v>
      </c>
    </row>
    <row r="2661" spans="1:13">
      <c r="A2661" s="2">
        <v>4720</v>
      </c>
      <c r="B2661" s="2" t="s">
        <v>32136</v>
      </c>
      <c r="C2661" s="2">
        <v>7</v>
      </c>
      <c r="D2661" s="2">
        <v>341</v>
      </c>
      <c r="E2661" s="2">
        <v>200</v>
      </c>
      <c r="F2661" s="2">
        <v>32441</v>
      </c>
      <c r="G2661" s="2">
        <v>3.3297214080000002</v>
      </c>
      <c r="H2661" s="2">
        <v>6.1713949999999997E-3</v>
      </c>
      <c r="I2661" s="2" t="s">
        <v>42152</v>
      </c>
      <c r="J2661" s="2" t="s">
        <v>42153</v>
      </c>
      <c r="K2661" s="2">
        <v>2.7533915999999999E-2</v>
      </c>
      <c r="L2661" s="2" t="s">
        <v>1178</v>
      </c>
      <c r="M2661" s="4" t="s">
        <v>32139</v>
      </c>
    </row>
    <row r="2662" spans="1:13">
      <c r="A2662" s="2">
        <v>4722</v>
      </c>
      <c r="B2662" s="2" t="s">
        <v>24067</v>
      </c>
      <c r="C2662" s="2">
        <v>7</v>
      </c>
      <c r="D2662" s="2">
        <v>341</v>
      </c>
      <c r="E2662" s="2">
        <v>199</v>
      </c>
      <c r="F2662" s="2">
        <v>32441</v>
      </c>
      <c r="G2662" s="2">
        <v>3.3464536759999999</v>
      </c>
      <c r="H2662" s="2">
        <v>6.0148149999999997E-3</v>
      </c>
      <c r="I2662" s="2" t="s">
        <v>42154</v>
      </c>
      <c r="J2662" s="2" t="s">
        <v>42155</v>
      </c>
      <c r="K2662" s="2">
        <v>2.7533915999999999E-2</v>
      </c>
      <c r="L2662" s="2" t="s">
        <v>1178</v>
      </c>
      <c r="M2662" s="4" t="s">
        <v>24070</v>
      </c>
    </row>
    <row r="2663" spans="1:13">
      <c r="A2663" s="2">
        <v>47432</v>
      </c>
      <c r="B2663" s="2" t="s">
        <v>1398</v>
      </c>
      <c r="C2663" s="2">
        <v>7</v>
      </c>
      <c r="D2663" s="2">
        <v>341</v>
      </c>
      <c r="E2663" s="2">
        <v>200</v>
      </c>
      <c r="F2663" s="2">
        <v>32441</v>
      </c>
      <c r="G2663" s="2">
        <v>3.3297214080000002</v>
      </c>
      <c r="H2663" s="2">
        <v>6.1713949999999997E-3</v>
      </c>
      <c r="I2663" s="2" t="s">
        <v>42156</v>
      </c>
      <c r="J2663" s="2" t="s">
        <v>42157</v>
      </c>
      <c r="K2663" s="2">
        <v>2.7533915999999999E-2</v>
      </c>
      <c r="L2663" s="2" t="s">
        <v>1178</v>
      </c>
      <c r="M2663" s="4" t="s">
        <v>42158</v>
      </c>
    </row>
    <row r="2664" spans="1:13">
      <c r="A2664" s="2">
        <v>4784</v>
      </c>
      <c r="B2664" s="2" t="s">
        <v>42159</v>
      </c>
      <c r="C2664" s="2">
        <v>7</v>
      </c>
      <c r="D2664" s="2">
        <v>341</v>
      </c>
      <c r="E2664" s="2">
        <v>200</v>
      </c>
      <c r="F2664" s="2">
        <v>32441</v>
      </c>
      <c r="G2664" s="2">
        <v>3.3297214080000002</v>
      </c>
      <c r="H2664" s="2">
        <v>6.1713949999999997E-3</v>
      </c>
      <c r="I2664" s="2" t="s">
        <v>42160</v>
      </c>
      <c r="J2664" s="2" t="s">
        <v>42161</v>
      </c>
      <c r="K2664" s="2">
        <v>2.7533915999999999E-2</v>
      </c>
      <c r="L2664" s="2" t="s">
        <v>1178</v>
      </c>
      <c r="M2664" s="4" t="s">
        <v>42162</v>
      </c>
    </row>
    <row r="2665" spans="1:13">
      <c r="A2665" s="2">
        <v>4837</v>
      </c>
      <c r="B2665" s="2" t="s">
        <v>31670</v>
      </c>
      <c r="C2665" s="2">
        <v>7</v>
      </c>
      <c r="D2665" s="2">
        <v>341</v>
      </c>
      <c r="E2665" s="2">
        <v>194</v>
      </c>
      <c r="F2665" s="2">
        <v>32441</v>
      </c>
      <c r="G2665" s="2">
        <v>3.4327024819999998</v>
      </c>
      <c r="H2665" s="2">
        <v>5.2760050000000003E-3</v>
      </c>
      <c r="I2665" s="2" t="s">
        <v>42163</v>
      </c>
      <c r="J2665" s="2" t="s">
        <v>42164</v>
      </c>
      <c r="K2665" s="2">
        <v>2.7533915999999999E-2</v>
      </c>
      <c r="L2665" s="2" t="s">
        <v>1178</v>
      </c>
      <c r="M2665" s="4" t="s">
        <v>31673</v>
      </c>
    </row>
    <row r="2666" spans="1:13">
      <c r="A2666" s="2">
        <v>48531</v>
      </c>
      <c r="B2666" s="2" t="s">
        <v>42165</v>
      </c>
      <c r="C2666" s="2">
        <v>7</v>
      </c>
      <c r="D2666" s="2">
        <v>341</v>
      </c>
      <c r="E2666" s="2">
        <v>196</v>
      </c>
      <c r="F2666" s="2">
        <v>32441</v>
      </c>
      <c r="G2666" s="2">
        <v>3.3976749060000002</v>
      </c>
      <c r="H2666" s="2">
        <v>5.5628500000000003E-3</v>
      </c>
      <c r="I2666" s="2" t="s">
        <v>42166</v>
      </c>
      <c r="J2666" s="2" t="s">
        <v>42167</v>
      </c>
      <c r="K2666" s="2">
        <v>2.7533915999999999E-2</v>
      </c>
      <c r="L2666" s="2" t="s">
        <v>1178</v>
      </c>
      <c r="M2666" s="4" t="s">
        <v>42168</v>
      </c>
    </row>
    <row r="2667" spans="1:13">
      <c r="A2667" s="2">
        <v>48621</v>
      </c>
      <c r="B2667" s="2" t="s">
        <v>1989</v>
      </c>
      <c r="C2667" s="2">
        <v>7</v>
      </c>
      <c r="D2667" s="2">
        <v>341</v>
      </c>
      <c r="E2667" s="2">
        <v>199</v>
      </c>
      <c r="F2667" s="2">
        <v>32441</v>
      </c>
      <c r="G2667" s="2">
        <v>3.3464536759999999</v>
      </c>
      <c r="H2667" s="2">
        <v>6.0148149999999997E-3</v>
      </c>
      <c r="I2667" s="2" t="s">
        <v>42169</v>
      </c>
      <c r="J2667" s="2" t="s">
        <v>42170</v>
      </c>
      <c r="K2667" s="2">
        <v>2.7533915999999999E-2</v>
      </c>
      <c r="L2667" s="2" t="s">
        <v>1178</v>
      </c>
      <c r="M2667" s="4" t="s">
        <v>33782</v>
      </c>
    </row>
    <row r="2668" spans="1:13">
      <c r="A2668" s="2">
        <v>2407</v>
      </c>
      <c r="B2668" s="2" t="s">
        <v>42171</v>
      </c>
      <c r="C2668" s="2">
        <v>6</v>
      </c>
      <c r="D2668" s="2">
        <v>341</v>
      </c>
      <c r="E2668" s="2">
        <v>153</v>
      </c>
      <c r="F2668" s="2">
        <v>32441</v>
      </c>
      <c r="G2668" s="2">
        <v>3.7307802890000001</v>
      </c>
      <c r="H2668" s="2">
        <v>6.5526739999999997E-3</v>
      </c>
      <c r="I2668" s="2" t="s">
        <v>42172</v>
      </c>
      <c r="J2668" s="2" t="s">
        <v>42173</v>
      </c>
      <c r="K2668" s="2">
        <v>2.920826E-2</v>
      </c>
      <c r="L2668" s="2" t="s">
        <v>1178</v>
      </c>
      <c r="M2668" s="4" t="s">
        <v>42174</v>
      </c>
    </row>
    <row r="2669" spans="1:13">
      <c r="A2669" s="2">
        <v>2564</v>
      </c>
      <c r="B2669" s="2" t="s">
        <v>18443</v>
      </c>
      <c r="C2669" s="2">
        <v>6</v>
      </c>
      <c r="D2669" s="2">
        <v>341</v>
      </c>
      <c r="E2669" s="2">
        <v>157</v>
      </c>
      <c r="F2669" s="2">
        <v>32441</v>
      </c>
      <c r="G2669" s="2">
        <v>3.6357285620000002</v>
      </c>
      <c r="H2669" s="2">
        <v>7.3678770000000001E-3</v>
      </c>
      <c r="I2669" s="2" t="s">
        <v>42175</v>
      </c>
      <c r="J2669" s="2" t="s">
        <v>42176</v>
      </c>
      <c r="K2669" s="2">
        <v>3.2811972000000002E-2</v>
      </c>
      <c r="L2669" s="2" t="s">
        <v>1178</v>
      </c>
      <c r="M2669" s="4" t="s">
        <v>18446</v>
      </c>
    </row>
    <row r="2670" spans="1:13">
      <c r="A2670" s="2">
        <v>4229</v>
      </c>
      <c r="B2670" s="2" t="s">
        <v>15554</v>
      </c>
      <c r="C2670" s="2">
        <v>6</v>
      </c>
      <c r="D2670" s="2">
        <v>341</v>
      </c>
      <c r="E2670" s="2">
        <v>162</v>
      </c>
      <c r="F2670" s="2">
        <v>32441</v>
      </c>
      <c r="G2670" s="2">
        <v>3.5235147169999999</v>
      </c>
      <c r="H2670" s="2">
        <v>8.4868689999999993E-3</v>
      </c>
      <c r="I2670" s="2" t="s">
        <v>42177</v>
      </c>
      <c r="J2670" s="2" t="s">
        <v>42178</v>
      </c>
      <c r="K2670" s="2">
        <v>3.7760754000000001E-2</v>
      </c>
      <c r="L2670" s="2" t="s">
        <v>1178</v>
      </c>
      <c r="M2670" s="4" t="s">
        <v>15557</v>
      </c>
    </row>
    <row r="2671" spans="1:13">
      <c r="A2671" s="2">
        <v>2414</v>
      </c>
      <c r="B2671" s="2" t="s">
        <v>19369</v>
      </c>
      <c r="C2671" s="2">
        <v>6</v>
      </c>
      <c r="D2671" s="2">
        <v>341</v>
      </c>
      <c r="E2671" s="2">
        <v>163</v>
      </c>
      <c r="F2671" s="2">
        <v>32441</v>
      </c>
      <c r="G2671" s="2">
        <v>3.501898062</v>
      </c>
      <c r="H2671" s="2">
        <v>8.7245050000000005E-3</v>
      </c>
      <c r="I2671" s="2" t="s">
        <v>42179</v>
      </c>
      <c r="J2671" s="2" t="s">
        <v>42180</v>
      </c>
      <c r="K2671" s="2">
        <v>3.8782654E-2</v>
      </c>
      <c r="L2671" s="2" t="s">
        <v>1178</v>
      </c>
      <c r="M2671" s="4" t="s">
        <v>19372</v>
      </c>
    </row>
    <row r="2672" spans="1:13">
      <c r="A2672" s="2">
        <v>24251</v>
      </c>
      <c r="B2672" s="2" t="s">
        <v>18479</v>
      </c>
      <c r="C2672" s="2">
        <v>6</v>
      </c>
      <c r="D2672" s="2">
        <v>341</v>
      </c>
      <c r="E2672" s="2">
        <v>167</v>
      </c>
      <c r="F2672" s="2">
        <v>32441</v>
      </c>
      <c r="G2672" s="2">
        <v>3.4180202639999999</v>
      </c>
      <c r="H2672" s="2">
        <v>9.7228420000000006E-3</v>
      </c>
      <c r="I2672" s="2" t="s">
        <v>42181</v>
      </c>
      <c r="J2672" s="2" t="s">
        <v>42182</v>
      </c>
      <c r="K2672" s="2">
        <v>4.3181118999999997E-2</v>
      </c>
      <c r="L2672" s="2" t="s">
        <v>1178</v>
      </c>
      <c r="M2672" s="4" t="s">
        <v>18482</v>
      </c>
    </row>
    <row r="2673" spans="1:13">
      <c r="A2673" s="2">
        <v>2794</v>
      </c>
      <c r="B2673" s="2" t="s">
        <v>12337</v>
      </c>
      <c r="C2673" s="2">
        <v>6</v>
      </c>
      <c r="D2673" s="2">
        <v>341</v>
      </c>
      <c r="E2673" s="2">
        <v>169</v>
      </c>
      <c r="F2673" s="2">
        <v>32441</v>
      </c>
      <c r="G2673" s="2">
        <v>3.3775703199999998</v>
      </c>
      <c r="H2673" s="2">
        <v>1.0251377000000001E-2</v>
      </c>
      <c r="I2673" s="2" t="s">
        <v>42183</v>
      </c>
      <c r="J2673" s="2" t="s">
        <v>42184</v>
      </c>
      <c r="K2673" s="2">
        <v>4.5486984000000001E-2</v>
      </c>
      <c r="L2673" s="2" t="s">
        <v>1178</v>
      </c>
      <c r="M2673" s="4" t="s">
        <v>12340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5"/>
  <sheetViews>
    <sheetView tabSelected="1" workbookViewId="0">
      <selection sqref="A1:M2165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30</v>
      </c>
      <c r="B2" s="2" t="s">
        <v>43296</v>
      </c>
      <c r="C2" s="2">
        <v>65</v>
      </c>
      <c r="D2" s="2">
        <v>291</v>
      </c>
      <c r="E2" s="2">
        <v>200</v>
      </c>
      <c r="F2" s="2">
        <v>32441</v>
      </c>
      <c r="G2" s="2">
        <v>36.231357389999999</v>
      </c>
      <c r="H2" s="3">
        <v>4.1599999999999999E-75</v>
      </c>
      <c r="I2" s="3" t="s">
        <v>43297</v>
      </c>
      <c r="J2" s="3" t="s">
        <v>43298</v>
      </c>
      <c r="K2" s="3">
        <v>2.0800000000000001E-73</v>
      </c>
      <c r="L2" s="2" t="s">
        <v>15</v>
      </c>
      <c r="M2" s="4" t="s">
        <v>43299</v>
      </c>
    </row>
    <row r="3" spans="1:13">
      <c r="A3" s="2">
        <v>16</v>
      </c>
      <c r="B3" s="2" t="s">
        <v>43300</v>
      </c>
      <c r="C3" s="2">
        <v>19</v>
      </c>
      <c r="D3" s="2">
        <v>291</v>
      </c>
      <c r="E3" s="2">
        <v>200</v>
      </c>
      <c r="F3" s="2">
        <v>32441</v>
      </c>
      <c r="G3" s="2">
        <v>10.59070447</v>
      </c>
      <c r="H3" s="3">
        <v>1.31E-13</v>
      </c>
      <c r="I3" s="2" t="s">
        <v>43301</v>
      </c>
      <c r="J3" s="2" t="s">
        <v>43302</v>
      </c>
      <c r="K3" s="3">
        <v>3.2599999999999998E-12</v>
      </c>
      <c r="L3" s="2" t="s">
        <v>15</v>
      </c>
      <c r="M3" s="4" t="s">
        <v>43303</v>
      </c>
    </row>
    <row r="4" spans="1:13">
      <c r="A4" s="2">
        <v>20</v>
      </c>
      <c r="B4" s="2" t="s">
        <v>3576</v>
      </c>
      <c r="C4" s="2">
        <v>16</v>
      </c>
      <c r="D4" s="2">
        <v>291</v>
      </c>
      <c r="E4" s="2">
        <v>200</v>
      </c>
      <c r="F4" s="2">
        <v>32441</v>
      </c>
      <c r="G4" s="2">
        <v>8.9184879729999995</v>
      </c>
      <c r="H4" s="3">
        <v>1.2500000000000001E-10</v>
      </c>
      <c r="I4" s="2" t="s">
        <v>43304</v>
      </c>
      <c r="J4" s="2" t="s">
        <v>43305</v>
      </c>
      <c r="K4" s="3">
        <v>2.0799999999999998E-9</v>
      </c>
      <c r="L4" s="2" t="s">
        <v>15</v>
      </c>
      <c r="M4" s="4" t="s">
        <v>3579</v>
      </c>
    </row>
    <row r="5" spans="1:13">
      <c r="A5" s="2">
        <v>42</v>
      </c>
      <c r="B5" s="2" t="s">
        <v>42379</v>
      </c>
      <c r="C5" s="2">
        <v>13</v>
      </c>
      <c r="D5" s="2">
        <v>291</v>
      </c>
      <c r="E5" s="2">
        <v>138</v>
      </c>
      <c r="F5" s="2">
        <v>32441</v>
      </c>
      <c r="G5" s="2">
        <v>10.501842720000001</v>
      </c>
      <c r="H5" s="3">
        <v>1.1100000000000001E-9</v>
      </c>
      <c r="I5" s="2" t="s">
        <v>43306</v>
      </c>
      <c r="J5" s="2" t="s">
        <v>43307</v>
      </c>
      <c r="K5" s="3">
        <v>1.39E-8</v>
      </c>
      <c r="L5" s="2" t="s">
        <v>15</v>
      </c>
      <c r="M5" s="4" t="s">
        <v>42382</v>
      </c>
    </row>
    <row r="6" spans="1:13">
      <c r="A6" s="2">
        <v>40</v>
      </c>
      <c r="B6" s="2" t="s">
        <v>43308</v>
      </c>
      <c r="C6" s="2">
        <v>7</v>
      </c>
      <c r="D6" s="2">
        <v>291</v>
      </c>
      <c r="E6" s="2">
        <v>36</v>
      </c>
      <c r="F6" s="2">
        <v>32441</v>
      </c>
      <c r="G6" s="2">
        <v>21.676880489999999</v>
      </c>
      <c r="H6" s="3">
        <v>9.9999999999999995E-8</v>
      </c>
      <c r="I6" s="2" t="s">
        <v>43309</v>
      </c>
      <c r="J6" s="2" t="s">
        <v>43310</v>
      </c>
      <c r="K6" s="3">
        <v>9.9999999999999995E-7</v>
      </c>
      <c r="L6" s="2" t="s">
        <v>15</v>
      </c>
      <c r="M6" s="4" t="s">
        <v>43311</v>
      </c>
    </row>
    <row r="7" spans="1:13">
      <c r="A7" s="2">
        <v>39</v>
      </c>
      <c r="B7" s="2" t="s">
        <v>43312</v>
      </c>
      <c r="C7" s="2">
        <v>9</v>
      </c>
      <c r="D7" s="2">
        <v>291</v>
      </c>
      <c r="E7" s="2">
        <v>144</v>
      </c>
      <c r="F7" s="2">
        <v>32441</v>
      </c>
      <c r="G7" s="2">
        <v>6.9675687289999999</v>
      </c>
      <c r="H7" s="3">
        <v>1.0000000000000001E-5</v>
      </c>
      <c r="I7" s="2" t="s">
        <v>43313</v>
      </c>
      <c r="J7" s="2" t="s">
        <v>43314</v>
      </c>
      <c r="K7" s="3">
        <v>8.3300000000000005E-5</v>
      </c>
      <c r="L7" s="2" t="s">
        <v>15</v>
      </c>
      <c r="M7" s="4" t="s">
        <v>43315</v>
      </c>
    </row>
    <row r="8" spans="1:13">
      <c r="A8" s="2">
        <v>10</v>
      </c>
      <c r="B8" s="2" t="s">
        <v>3572</v>
      </c>
      <c r="C8" s="2">
        <v>9</v>
      </c>
      <c r="D8" s="2">
        <v>291</v>
      </c>
      <c r="E8" s="2">
        <v>161</v>
      </c>
      <c r="F8" s="2">
        <v>32441</v>
      </c>
      <c r="G8" s="2">
        <v>6.231862714</v>
      </c>
      <c r="H8" s="3">
        <v>2.3200000000000001E-5</v>
      </c>
      <c r="I8" s="2" t="s">
        <v>43316</v>
      </c>
      <c r="J8" s="2" t="s">
        <v>43317</v>
      </c>
      <c r="K8" s="2">
        <v>1.65644E-4</v>
      </c>
      <c r="L8" s="2" t="s">
        <v>15</v>
      </c>
      <c r="M8" s="4" t="s">
        <v>3575</v>
      </c>
    </row>
    <row r="9" spans="1:13">
      <c r="A9" s="2">
        <v>23</v>
      </c>
      <c r="B9" s="2" t="s">
        <v>3548</v>
      </c>
      <c r="C9" s="2">
        <v>8</v>
      </c>
      <c r="D9" s="2">
        <v>291</v>
      </c>
      <c r="E9" s="2">
        <v>200</v>
      </c>
      <c r="F9" s="2">
        <v>32441</v>
      </c>
      <c r="G9" s="2">
        <v>4.4592439859999997</v>
      </c>
      <c r="H9" s="2">
        <v>5.8127899999999998E-4</v>
      </c>
      <c r="I9" s="2" t="s">
        <v>43318</v>
      </c>
      <c r="J9" s="2" t="s">
        <v>43319</v>
      </c>
      <c r="K9" s="2">
        <v>3.2293270000000002E-3</v>
      </c>
      <c r="L9" s="2" t="s">
        <v>15</v>
      </c>
      <c r="M9" s="4" t="s">
        <v>3551</v>
      </c>
    </row>
    <row r="10" spans="1:13">
      <c r="A10" s="2">
        <v>48</v>
      </c>
      <c r="B10" s="2" t="s">
        <v>3556</v>
      </c>
      <c r="C10" s="2">
        <v>8</v>
      </c>
      <c r="D10" s="2">
        <v>291</v>
      </c>
      <c r="E10" s="2">
        <v>200</v>
      </c>
      <c r="F10" s="2">
        <v>32441</v>
      </c>
      <c r="G10" s="2">
        <v>4.4592439859999997</v>
      </c>
      <c r="H10" s="2">
        <v>5.8127899999999998E-4</v>
      </c>
      <c r="I10" s="2" t="s">
        <v>43320</v>
      </c>
      <c r="J10" s="2" t="s">
        <v>43321</v>
      </c>
      <c r="K10" s="2">
        <v>3.2293270000000002E-3</v>
      </c>
      <c r="L10" s="2" t="s">
        <v>15</v>
      </c>
      <c r="M10" s="4" t="s">
        <v>3559</v>
      </c>
    </row>
    <row r="11" spans="1:13">
      <c r="A11" s="2">
        <v>31</v>
      </c>
      <c r="B11" s="2" t="s">
        <v>3540</v>
      </c>
      <c r="C11" s="2">
        <v>7</v>
      </c>
      <c r="D11" s="2">
        <v>291</v>
      </c>
      <c r="E11" s="2">
        <v>200</v>
      </c>
      <c r="F11" s="2">
        <v>32441</v>
      </c>
      <c r="G11" s="2">
        <v>3.9018384880000001</v>
      </c>
      <c r="H11" s="2">
        <v>2.6360559999999999E-3</v>
      </c>
      <c r="I11" s="2" t="s">
        <v>43322</v>
      </c>
      <c r="J11" s="2" t="s">
        <v>43323</v>
      </c>
      <c r="K11" s="2">
        <v>1.3180281E-2</v>
      </c>
      <c r="L11" s="2" t="s">
        <v>15</v>
      </c>
      <c r="M11" s="4" t="s">
        <v>3543</v>
      </c>
    </row>
    <row r="12" spans="1:13">
      <c r="A12" s="2">
        <v>21</v>
      </c>
      <c r="B12" s="2" t="s">
        <v>43324</v>
      </c>
      <c r="C12" s="2">
        <v>3</v>
      </c>
      <c r="D12" s="2">
        <v>291</v>
      </c>
      <c r="E12" s="2">
        <v>44</v>
      </c>
      <c r="F12" s="2">
        <v>32441</v>
      </c>
      <c r="G12" s="2">
        <v>7.6009840669999997</v>
      </c>
      <c r="H12" s="2">
        <v>8.4501950000000006E-3</v>
      </c>
      <c r="I12" s="2" t="s">
        <v>43325</v>
      </c>
      <c r="J12" s="2" t="s">
        <v>43326</v>
      </c>
      <c r="K12" s="2">
        <v>3.8409977999999997E-2</v>
      </c>
      <c r="L12" s="2" t="s">
        <v>15</v>
      </c>
      <c r="M12" s="4" t="s">
        <v>43327</v>
      </c>
    </row>
    <row r="13" spans="1:13">
      <c r="A13" s="2">
        <v>2</v>
      </c>
      <c r="B13" s="2" t="s">
        <v>43328</v>
      </c>
      <c r="C13" s="2">
        <v>6</v>
      </c>
      <c r="D13" s="2">
        <v>291</v>
      </c>
      <c r="E13" s="2">
        <v>200</v>
      </c>
      <c r="F13" s="2">
        <v>32441</v>
      </c>
      <c r="G13" s="2">
        <v>3.34443299</v>
      </c>
      <c r="H13" s="2">
        <v>1.0565905E-2</v>
      </c>
      <c r="I13" s="2" t="s">
        <v>43329</v>
      </c>
      <c r="J13" s="2" t="s">
        <v>43330</v>
      </c>
      <c r="K13" s="2">
        <v>4.4024605000000001E-2</v>
      </c>
      <c r="L13" s="2" t="s">
        <v>15</v>
      </c>
      <c r="M13" s="4" t="s">
        <v>43331</v>
      </c>
    </row>
    <row r="14" spans="1:13">
      <c r="A14" s="2">
        <v>1356</v>
      </c>
      <c r="B14" s="2" t="s">
        <v>3637</v>
      </c>
      <c r="C14" s="2">
        <v>96</v>
      </c>
      <c r="D14" s="2">
        <v>291</v>
      </c>
      <c r="E14" s="2">
        <v>351</v>
      </c>
      <c r="F14" s="2">
        <v>32441</v>
      </c>
      <c r="G14" s="2">
        <v>30.490557169999999</v>
      </c>
      <c r="H14" s="3">
        <v>1.56E-106</v>
      </c>
      <c r="I14" s="3" t="s">
        <v>43332</v>
      </c>
      <c r="J14" s="3" t="s">
        <v>43333</v>
      </c>
      <c r="K14" s="3">
        <v>7.4399999999999999E-103</v>
      </c>
      <c r="L14" s="2" t="s">
        <v>35</v>
      </c>
      <c r="M14" s="4" t="s">
        <v>3640</v>
      </c>
    </row>
    <row r="15" spans="1:13">
      <c r="A15" s="2">
        <v>4676</v>
      </c>
      <c r="B15" s="2" t="s">
        <v>43334</v>
      </c>
      <c r="C15" s="2">
        <v>52</v>
      </c>
      <c r="D15" s="2">
        <v>291</v>
      </c>
      <c r="E15" s="2">
        <v>64</v>
      </c>
      <c r="F15" s="2">
        <v>32441</v>
      </c>
      <c r="G15" s="2">
        <v>90.578393469999995</v>
      </c>
      <c r="H15" s="3">
        <v>3.7499999999999998E-76</v>
      </c>
      <c r="I15" s="3" t="s">
        <v>43335</v>
      </c>
      <c r="J15" s="3" t="s">
        <v>43336</v>
      </c>
      <c r="K15" s="3">
        <v>8.9399999999999998E-73</v>
      </c>
      <c r="L15" s="2" t="s">
        <v>35</v>
      </c>
      <c r="M15" s="4" t="s">
        <v>43337</v>
      </c>
    </row>
    <row r="16" spans="1:13">
      <c r="A16" s="2">
        <v>3665</v>
      </c>
      <c r="B16" s="2" t="s">
        <v>42393</v>
      </c>
      <c r="C16" s="2">
        <v>69</v>
      </c>
      <c r="D16" s="2">
        <v>291</v>
      </c>
      <c r="E16" s="2">
        <v>260</v>
      </c>
      <c r="F16" s="2">
        <v>32441</v>
      </c>
      <c r="G16" s="2">
        <v>29.585368750000001</v>
      </c>
      <c r="H16" s="3">
        <v>1.11E-74</v>
      </c>
      <c r="I16" s="3" t="s">
        <v>43338</v>
      </c>
      <c r="J16" s="3" t="s">
        <v>43339</v>
      </c>
      <c r="K16" s="3">
        <v>1.7700000000000001E-71</v>
      </c>
      <c r="L16" s="2" t="s">
        <v>35</v>
      </c>
      <c r="M16" s="4" t="s">
        <v>42396</v>
      </c>
    </row>
    <row r="17" spans="1:13">
      <c r="A17" s="2">
        <v>4721</v>
      </c>
      <c r="B17" s="2" t="s">
        <v>4501</v>
      </c>
      <c r="C17" s="2">
        <v>97</v>
      </c>
      <c r="D17" s="2">
        <v>291</v>
      </c>
      <c r="E17" s="2">
        <v>1028</v>
      </c>
      <c r="F17" s="2">
        <v>32441</v>
      </c>
      <c r="G17" s="2">
        <v>10.519131</v>
      </c>
      <c r="H17" s="3">
        <v>4.81E-68</v>
      </c>
      <c r="I17" s="3" t="s">
        <v>43340</v>
      </c>
      <c r="J17" s="3" t="s">
        <v>43341</v>
      </c>
      <c r="K17" s="3">
        <v>5.72E-65</v>
      </c>
      <c r="L17" s="2" t="s">
        <v>35</v>
      </c>
      <c r="M17" s="4" t="s">
        <v>4504</v>
      </c>
    </row>
    <row r="18" spans="1:13">
      <c r="A18" s="2">
        <v>4677</v>
      </c>
      <c r="B18" s="2" t="s">
        <v>5171</v>
      </c>
      <c r="C18" s="2">
        <v>75</v>
      </c>
      <c r="D18" s="2">
        <v>291</v>
      </c>
      <c r="E18" s="2">
        <v>489</v>
      </c>
      <c r="F18" s="2">
        <v>32441</v>
      </c>
      <c r="G18" s="2">
        <v>17.098328169999998</v>
      </c>
      <c r="H18" s="3">
        <v>9.3400000000000005E-66</v>
      </c>
      <c r="I18" s="3" t="s">
        <v>43342</v>
      </c>
      <c r="J18" s="3" t="s">
        <v>43343</v>
      </c>
      <c r="K18" s="3">
        <v>8.8900000000000002E-63</v>
      </c>
      <c r="L18" s="2" t="s">
        <v>35</v>
      </c>
      <c r="M18" s="4" t="s">
        <v>5174</v>
      </c>
    </row>
    <row r="19" spans="1:13">
      <c r="A19" s="2">
        <v>1495</v>
      </c>
      <c r="B19" s="2" t="s">
        <v>4700</v>
      </c>
      <c r="C19" s="2">
        <v>56</v>
      </c>
      <c r="D19" s="2">
        <v>291</v>
      </c>
      <c r="E19" s="2">
        <v>175</v>
      </c>
      <c r="F19" s="2">
        <v>32441</v>
      </c>
      <c r="G19" s="2">
        <v>35.673951889999998</v>
      </c>
      <c r="H19" s="3">
        <v>3.2399999999999998E-64</v>
      </c>
      <c r="I19" s="3" t="s">
        <v>43344</v>
      </c>
      <c r="J19" s="3" t="s">
        <v>43345</v>
      </c>
      <c r="K19" s="3">
        <v>2.5700000000000002E-61</v>
      </c>
      <c r="L19" s="2" t="s">
        <v>35</v>
      </c>
      <c r="M19" s="4" t="s">
        <v>4703</v>
      </c>
    </row>
    <row r="20" spans="1:13">
      <c r="A20" s="2">
        <v>4718</v>
      </c>
      <c r="B20" s="2" t="s">
        <v>42528</v>
      </c>
      <c r="C20" s="2">
        <v>62</v>
      </c>
      <c r="D20" s="2">
        <v>291</v>
      </c>
      <c r="E20" s="2">
        <v>275</v>
      </c>
      <c r="F20" s="2">
        <v>32441</v>
      </c>
      <c r="G20" s="2">
        <v>25.13392065</v>
      </c>
      <c r="H20" s="3">
        <v>3.9599999999999999E-63</v>
      </c>
      <c r="I20" s="3" t="s">
        <v>43346</v>
      </c>
      <c r="J20" s="3" t="s">
        <v>43347</v>
      </c>
      <c r="K20" s="3">
        <v>2.7E-60</v>
      </c>
      <c r="L20" s="2" t="s">
        <v>35</v>
      </c>
      <c r="M20" s="4" t="s">
        <v>42529</v>
      </c>
    </row>
    <row r="21" spans="1:13">
      <c r="A21" s="2">
        <v>4378</v>
      </c>
      <c r="B21" s="2" t="s">
        <v>35715</v>
      </c>
      <c r="C21" s="2">
        <v>69</v>
      </c>
      <c r="D21" s="2">
        <v>291</v>
      </c>
      <c r="E21" s="2">
        <v>567</v>
      </c>
      <c r="F21" s="2">
        <v>32441</v>
      </c>
      <c r="G21" s="2">
        <v>13.566483030000001</v>
      </c>
      <c r="H21" s="3">
        <v>3.6899999999999999E-54</v>
      </c>
      <c r="I21" s="3" t="s">
        <v>43348</v>
      </c>
      <c r="J21" s="3" t="s">
        <v>43349</v>
      </c>
      <c r="K21" s="3">
        <v>2.1900000000000001E-51</v>
      </c>
      <c r="L21" s="2" t="s">
        <v>35</v>
      </c>
      <c r="M21" s="4" t="s">
        <v>35718</v>
      </c>
    </row>
    <row r="22" spans="1:13">
      <c r="A22" s="2">
        <v>2554</v>
      </c>
      <c r="B22" s="2" t="s">
        <v>43350</v>
      </c>
      <c r="C22" s="2">
        <v>51</v>
      </c>
      <c r="D22" s="2">
        <v>291</v>
      </c>
      <c r="E22" s="2">
        <v>256</v>
      </c>
      <c r="F22" s="2">
        <v>32441</v>
      </c>
      <c r="G22" s="2">
        <v>22.209125319999998</v>
      </c>
      <c r="H22" s="3">
        <v>2.1100000000000002E-49</v>
      </c>
      <c r="I22" s="3" t="s">
        <v>43351</v>
      </c>
      <c r="J22" s="3" t="s">
        <v>43352</v>
      </c>
      <c r="K22" s="3">
        <v>1.1099999999999999E-46</v>
      </c>
      <c r="L22" s="2" t="s">
        <v>35</v>
      </c>
      <c r="M22" s="4" t="s">
        <v>43353</v>
      </c>
    </row>
    <row r="23" spans="1:13">
      <c r="A23" s="2">
        <v>1349</v>
      </c>
      <c r="B23" s="2" t="s">
        <v>43354</v>
      </c>
      <c r="C23" s="2">
        <v>60</v>
      </c>
      <c r="D23" s="2">
        <v>291</v>
      </c>
      <c r="E23" s="2">
        <v>481</v>
      </c>
      <c r="F23" s="2">
        <v>32441</v>
      </c>
      <c r="G23" s="2">
        <v>13.906166280000001</v>
      </c>
      <c r="H23" s="3">
        <v>1.7499999999999999E-47</v>
      </c>
      <c r="I23" s="3" t="s">
        <v>43355</v>
      </c>
      <c r="J23" s="3" t="s">
        <v>43356</v>
      </c>
      <c r="K23" s="3">
        <v>8.3499999999999995E-45</v>
      </c>
      <c r="L23" s="2" t="s">
        <v>35</v>
      </c>
      <c r="M23" s="4" t="s">
        <v>43357</v>
      </c>
    </row>
    <row r="24" spans="1:13">
      <c r="A24" s="2">
        <v>1407</v>
      </c>
      <c r="B24" s="2" t="s">
        <v>5982</v>
      </c>
      <c r="C24" s="2">
        <v>34</v>
      </c>
      <c r="D24" s="2">
        <v>291</v>
      </c>
      <c r="E24" s="2">
        <v>69</v>
      </c>
      <c r="F24" s="2">
        <v>32441</v>
      </c>
      <c r="G24" s="2">
        <v>54.932715770000001</v>
      </c>
      <c r="H24" s="3">
        <v>2.9000000000000001E-44</v>
      </c>
      <c r="I24" s="2" t="s">
        <v>43358</v>
      </c>
      <c r="J24" s="2" t="s">
        <v>43359</v>
      </c>
      <c r="K24" s="3">
        <v>1.2499999999999999E-41</v>
      </c>
      <c r="L24" s="2" t="s">
        <v>35</v>
      </c>
      <c r="M24" s="4" t="s">
        <v>5985</v>
      </c>
    </row>
    <row r="25" spans="1:13">
      <c r="A25" s="2">
        <v>1410</v>
      </c>
      <c r="B25" s="2" t="s">
        <v>43360</v>
      </c>
      <c r="C25" s="2">
        <v>33</v>
      </c>
      <c r="D25" s="2">
        <v>291</v>
      </c>
      <c r="E25" s="2">
        <v>74</v>
      </c>
      <c r="F25" s="2">
        <v>32441</v>
      </c>
      <c r="G25" s="2">
        <v>49.714544439999997</v>
      </c>
      <c r="H25" s="3">
        <v>7.6800000000000006E-42</v>
      </c>
      <c r="I25" s="2" t="s">
        <v>43361</v>
      </c>
      <c r="J25" s="2" t="s">
        <v>43362</v>
      </c>
      <c r="K25" s="3">
        <v>3.05E-39</v>
      </c>
      <c r="L25" s="2" t="s">
        <v>35</v>
      </c>
      <c r="M25" s="4" t="s">
        <v>43363</v>
      </c>
    </row>
    <row r="26" spans="1:13">
      <c r="A26" s="2">
        <v>1332</v>
      </c>
      <c r="B26" s="2" t="s">
        <v>4158</v>
      </c>
      <c r="C26" s="2">
        <v>42</v>
      </c>
      <c r="D26" s="2">
        <v>291</v>
      </c>
      <c r="E26" s="2">
        <v>205</v>
      </c>
      <c r="F26" s="2">
        <v>32441</v>
      </c>
      <c r="G26" s="2">
        <v>22.840030169999999</v>
      </c>
      <c r="H26" s="3">
        <v>3.87E-41</v>
      </c>
      <c r="I26" s="2" t="s">
        <v>43364</v>
      </c>
      <c r="J26" s="2" t="s">
        <v>43365</v>
      </c>
      <c r="K26" s="3">
        <v>1.4199999999999999E-38</v>
      </c>
      <c r="L26" s="2" t="s">
        <v>35</v>
      </c>
      <c r="M26" s="4" t="s">
        <v>4161</v>
      </c>
    </row>
    <row r="27" spans="1:13">
      <c r="A27" s="2">
        <v>1453</v>
      </c>
      <c r="B27" s="2" t="s">
        <v>5318</v>
      </c>
      <c r="C27" s="2">
        <v>51</v>
      </c>
      <c r="D27" s="2">
        <v>291</v>
      </c>
      <c r="E27" s="2">
        <v>460</v>
      </c>
      <c r="F27" s="2">
        <v>32441</v>
      </c>
      <c r="G27" s="2">
        <v>12.359861049999999</v>
      </c>
      <c r="H27" s="3">
        <v>5.6600000000000002E-38</v>
      </c>
      <c r="I27" s="3" t="s">
        <v>43366</v>
      </c>
      <c r="J27" s="3" t="s">
        <v>43367</v>
      </c>
      <c r="K27" s="3">
        <v>1.92E-35</v>
      </c>
      <c r="L27" s="2" t="s">
        <v>35</v>
      </c>
      <c r="M27" s="4" t="s">
        <v>5321</v>
      </c>
    </row>
    <row r="28" spans="1:13">
      <c r="A28" s="2">
        <v>1980</v>
      </c>
      <c r="B28" s="2" t="s">
        <v>3633</v>
      </c>
      <c r="C28" s="2">
        <v>48</v>
      </c>
      <c r="D28" s="2">
        <v>291</v>
      </c>
      <c r="E28" s="2">
        <v>392</v>
      </c>
      <c r="F28" s="2">
        <v>32441</v>
      </c>
      <c r="G28" s="2">
        <v>13.6507469</v>
      </c>
      <c r="H28" s="3">
        <v>1.46E-37</v>
      </c>
      <c r="I28" s="2" t="s">
        <v>43368</v>
      </c>
      <c r="J28" s="2" t="s">
        <v>43369</v>
      </c>
      <c r="K28" s="3">
        <v>4.6400000000000002E-35</v>
      </c>
      <c r="L28" s="2" t="s">
        <v>35</v>
      </c>
      <c r="M28" s="4" t="s">
        <v>3636</v>
      </c>
    </row>
    <row r="29" spans="1:13">
      <c r="A29" s="2">
        <v>3268</v>
      </c>
      <c r="B29" s="2" t="s">
        <v>43370</v>
      </c>
      <c r="C29" s="2">
        <v>42</v>
      </c>
      <c r="D29" s="2">
        <v>291</v>
      </c>
      <c r="E29" s="2">
        <v>280</v>
      </c>
      <c r="F29" s="2">
        <v>32441</v>
      </c>
      <c r="G29" s="2">
        <v>16.72216495</v>
      </c>
      <c r="H29" s="3">
        <v>3.7299999999999998E-36</v>
      </c>
      <c r="I29" s="2" t="s">
        <v>43371</v>
      </c>
      <c r="J29" s="2" t="s">
        <v>43372</v>
      </c>
      <c r="K29" s="3">
        <v>1.11E-33</v>
      </c>
      <c r="L29" s="2" t="s">
        <v>35</v>
      </c>
      <c r="M29" s="4" t="s">
        <v>43373</v>
      </c>
    </row>
    <row r="30" spans="1:13">
      <c r="A30" s="2">
        <v>4713</v>
      </c>
      <c r="B30" s="2" t="s">
        <v>42482</v>
      </c>
      <c r="C30" s="2">
        <v>36</v>
      </c>
      <c r="D30" s="2">
        <v>291</v>
      </c>
      <c r="E30" s="2">
        <v>196</v>
      </c>
      <c r="F30" s="2">
        <v>32441</v>
      </c>
      <c r="G30" s="2">
        <v>20.476120349999999</v>
      </c>
      <c r="H30" s="3">
        <v>7.6000000000000002E-34</v>
      </c>
      <c r="I30" s="2" t="s">
        <v>43374</v>
      </c>
      <c r="J30" s="2" t="s">
        <v>43375</v>
      </c>
      <c r="K30" s="3">
        <v>2.1299999999999999E-31</v>
      </c>
      <c r="L30" s="2" t="s">
        <v>35</v>
      </c>
      <c r="M30" s="4" t="s">
        <v>42485</v>
      </c>
    </row>
    <row r="31" spans="1:13">
      <c r="A31" s="2">
        <v>2925</v>
      </c>
      <c r="B31" s="2" t="s">
        <v>43376</v>
      </c>
      <c r="C31" s="2">
        <v>44</v>
      </c>
      <c r="D31" s="2">
        <v>291</v>
      </c>
      <c r="E31" s="2">
        <v>408</v>
      </c>
      <c r="F31" s="2">
        <v>32441</v>
      </c>
      <c r="G31" s="2">
        <v>12.022471530000001</v>
      </c>
      <c r="H31" s="3">
        <v>2.62E-32</v>
      </c>
      <c r="I31" s="2" t="s">
        <v>43377</v>
      </c>
      <c r="J31" s="2" t="s">
        <v>43378</v>
      </c>
      <c r="K31" s="3">
        <v>6.93E-30</v>
      </c>
      <c r="L31" s="2" t="s">
        <v>35</v>
      </c>
      <c r="M31" s="4" t="s">
        <v>43379</v>
      </c>
    </row>
    <row r="32" spans="1:13">
      <c r="A32" s="2">
        <v>4742</v>
      </c>
      <c r="B32" s="2" t="s">
        <v>6372</v>
      </c>
      <c r="C32" s="2">
        <v>38</v>
      </c>
      <c r="D32" s="2">
        <v>291</v>
      </c>
      <c r="E32" s="2">
        <v>278</v>
      </c>
      <c r="F32" s="2">
        <v>32441</v>
      </c>
      <c r="G32" s="2">
        <v>15.238423689999999</v>
      </c>
      <c r="H32" s="3">
        <v>2.0699999999999999E-31</v>
      </c>
      <c r="I32" s="2" t="s">
        <v>43380</v>
      </c>
      <c r="J32" s="2" t="s">
        <v>43381</v>
      </c>
      <c r="K32" s="3">
        <v>5.2000000000000004E-29</v>
      </c>
      <c r="L32" s="2" t="s">
        <v>35</v>
      </c>
      <c r="M32" s="4" t="s">
        <v>6375</v>
      </c>
    </row>
    <row r="33" spans="1:13">
      <c r="A33" s="2">
        <v>1355</v>
      </c>
      <c r="B33" s="2" t="s">
        <v>43382</v>
      </c>
      <c r="C33" s="2">
        <v>31</v>
      </c>
      <c r="D33" s="2">
        <v>291</v>
      </c>
      <c r="E33" s="2">
        <v>169</v>
      </c>
      <c r="F33" s="2">
        <v>32441</v>
      </c>
      <c r="G33" s="2">
        <v>20.449195790000001</v>
      </c>
      <c r="H33" s="3">
        <v>3.0600000000000003E-29</v>
      </c>
      <c r="I33" s="2" t="s">
        <v>43383</v>
      </c>
      <c r="J33" s="2" t="s">
        <v>43384</v>
      </c>
      <c r="K33" s="3">
        <v>7.2900000000000006E-27</v>
      </c>
      <c r="L33" s="2" t="s">
        <v>35</v>
      </c>
      <c r="M33" s="4" t="s">
        <v>43385</v>
      </c>
    </row>
    <row r="34" spans="1:13">
      <c r="A34" s="2">
        <v>4219</v>
      </c>
      <c r="B34" s="2" t="s">
        <v>4815</v>
      </c>
      <c r="C34" s="2">
        <v>50</v>
      </c>
      <c r="D34" s="2">
        <v>291</v>
      </c>
      <c r="E34" s="2">
        <v>721</v>
      </c>
      <c r="F34" s="2">
        <v>32441</v>
      </c>
      <c r="G34" s="2">
        <v>7.7310055240000004</v>
      </c>
      <c r="H34" s="3">
        <v>2.4599999999999999E-28</v>
      </c>
      <c r="I34" s="3" t="s">
        <v>43386</v>
      </c>
      <c r="J34" s="3" t="s">
        <v>43387</v>
      </c>
      <c r="K34" s="3">
        <v>5.5700000000000003E-26</v>
      </c>
      <c r="L34" s="2" t="s">
        <v>35</v>
      </c>
      <c r="M34" s="4" t="s">
        <v>4818</v>
      </c>
    </row>
    <row r="35" spans="1:13">
      <c r="A35" s="2">
        <v>3680</v>
      </c>
      <c r="B35" s="2" t="s">
        <v>328</v>
      </c>
      <c r="C35" s="2">
        <v>44</v>
      </c>
      <c r="D35" s="2">
        <v>291</v>
      </c>
      <c r="E35" s="2">
        <v>546</v>
      </c>
      <c r="F35" s="2">
        <v>32441</v>
      </c>
      <c r="G35" s="2">
        <v>8.9838248810000003</v>
      </c>
      <c r="H35" s="3">
        <v>1.9300000000000001E-27</v>
      </c>
      <c r="I35" s="2" t="s">
        <v>43388</v>
      </c>
      <c r="J35" s="2" t="s">
        <v>43389</v>
      </c>
      <c r="K35" s="3">
        <v>4.1700000000000001E-25</v>
      </c>
      <c r="L35" s="2" t="s">
        <v>35</v>
      </c>
      <c r="M35" s="4" t="s">
        <v>42405</v>
      </c>
    </row>
    <row r="36" spans="1:13">
      <c r="A36" s="2">
        <v>4558</v>
      </c>
      <c r="B36" s="2" t="s">
        <v>4756</v>
      </c>
      <c r="C36" s="2">
        <v>29</v>
      </c>
      <c r="D36" s="2">
        <v>291</v>
      </c>
      <c r="E36" s="2">
        <v>163</v>
      </c>
      <c r="F36" s="2">
        <v>32441</v>
      </c>
      <c r="G36" s="2">
        <v>19.83406068</v>
      </c>
      <c r="H36" s="3">
        <v>4.4400000000000001E-27</v>
      </c>
      <c r="I36" s="2" t="s">
        <v>43390</v>
      </c>
      <c r="J36" s="2" t="s">
        <v>43391</v>
      </c>
      <c r="K36" s="3">
        <v>9.1999999999999997E-25</v>
      </c>
      <c r="L36" s="2" t="s">
        <v>35</v>
      </c>
      <c r="M36" s="4" t="s">
        <v>4759</v>
      </c>
    </row>
    <row r="37" spans="1:13">
      <c r="A37" s="2">
        <v>4458</v>
      </c>
      <c r="B37" s="2" t="s">
        <v>43392</v>
      </c>
      <c r="C37" s="2">
        <v>32</v>
      </c>
      <c r="D37" s="2">
        <v>291</v>
      </c>
      <c r="E37" s="2">
        <v>229</v>
      </c>
      <c r="F37" s="2">
        <v>32441</v>
      </c>
      <c r="G37" s="2">
        <v>15.578144930000001</v>
      </c>
      <c r="H37" s="3">
        <v>7.6999999999999997E-27</v>
      </c>
      <c r="I37" s="2" t="s">
        <v>43393</v>
      </c>
      <c r="J37" s="2" t="s">
        <v>43394</v>
      </c>
      <c r="K37" s="3">
        <v>1.5300000000000001E-24</v>
      </c>
      <c r="L37" s="2" t="s">
        <v>35</v>
      </c>
      <c r="M37" s="4" t="s">
        <v>43395</v>
      </c>
    </row>
    <row r="38" spans="1:13">
      <c r="A38" s="2">
        <v>1795</v>
      </c>
      <c r="B38" s="2" t="s">
        <v>43396</v>
      </c>
      <c r="C38" s="2">
        <v>38</v>
      </c>
      <c r="D38" s="2">
        <v>291</v>
      </c>
      <c r="E38" s="2">
        <v>394</v>
      </c>
      <c r="F38" s="2">
        <v>32441</v>
      </c>
      <c r="G38" s="2">
        <v>10.75198423</v>
      </c>
      <c r="H38" s="3">
        <v>2.3499999999999999E-26</v>
      </c>
      <c r="I38" s="2" t="s">
        <v>43397</v>
      </c>
      <c r="J38" s="2" t="s">
        <v>43398</v>
      </c>
      <c r="K38" s="3">
        <v>4.4799999999999998E-24</v>
      </c>
      <c r="L38" s="2" t="s">
        <v>35</v>
      </c>
      <c r="M38" s="4" t="s">
        <v>43399</v>
      </c>
    </row>
    <row r="39" spans="1:13">
      <c r="A39" s="2">
        <v>4724</v>
      </c>
      <c r="B39" s="2" t="s">
        <v>43400</v>
      </c>
      <c r="C39" s="2">
        <v>17</v>
      </c>
      <c r="D39" s="2">
        <v>291</v>
      </c>
      <c r="E39" s="2">
        <v>19</v>
      </c>
      <c r="F39" s="2">
        <v>32441</v>
      </c>
      <c r="G39" s="2">
        <v>99.746247060000002</v>
      </c>
      <c r="H39" s="3">
        <v>6.2399999999999996E-26</v>
      </c>
      <c r="I39" s="2" t="s">
        <v>43401</v>
      </c>
      <c r="J39" s="2" t="s">
        <v>43402</v>
      </c>
      <c r="K39" s="3">
        <v>1.14E-23</v>
      </c>
      <c r="L39" s="2" t="s">
        <v>35</v>
      </c>
      <c r="M39" s="4" t="s">
        <v>43403</v>
      </c>
    </row>
    <row r="40" spans="1:13">
      <c r="A40" s="2">
        <v>3531</v>
      </c>
      <c r="B40" s="2" t="s">
        <v>35567</v>
      </c>
      <c r="C40" s="2">
        <v>29</v>
      </c>
      <c r="D40" s="2">
        <v>291</v>
      </c>
      <c r="E40" s="2">
        <v>191</v>
      </c>
      <c r="F40" s="2">
        <v>32441</v>
      </c>
      <c r="G40" s="2">
        <v>16.926449689999998</v>
      </c>
      <c r="H40" s="3">
        <v>2.4899999999999998E-25</v>
      </c>
      <c r="I40" s="2" t="s">
        <v>43404</v>
      </c>
      <c r="J40" s="2" t="s">
        <v>43405</v>
      </c>
      <c r="K40" s="3">
        <v>4.3899999999999998E-23</v>
      </c>
      <c r="L40" s="2" t="s">
        <v>35</v>
      </c>
      <c r="M40" s="4" t="s">
        <v>35570</v>
      </c>
    </row>
    <row r="41" spans="1:13">
      <c r="A41" s="2">
        <v>750</v>
      </c>
      <c r="B41" s="2" t="s">
        <v>43406</v>
      </c>
      <c r="C41" s="2">
        <v>23</v>
      </c>
      <c r="D41" s="2">
        <v>291</v>
      </c>
      <c r="E41" s="2">
        <v>87</v>
      </c>
      <c r="F41" s="2">
        <v>32441</v>
      </c>
      <c r="G41" s="2">
        <v>29.472014850000001</v>
      </c>
      <c r="H41" s="3">
        <v>4.05E-25</v>
      </c>
      <c r="I41" s="2" t="s">
        <v>43407</v>
      </c>
      <c r="J41" s="2" t="s">
        <v>43408</v>
      </c>
      <c r="K41" s="3">
        <v>6.89E-23</v>
      </c>
      <c r="L41" s="2" t="s">
        <v>35</v>
      </c>
      <c r="M41" s="4" t="s">
        <v>43409</v>
      </c>
    </row>
    <row r="42" spans="1:13">
      <c r="A42" s="2">
        <v>4503</v>
      </c>
      <c r="B42" s="2" t="s">
        <v>5751</v>
      </c>
      <c r="C42" s="2">
        <v>47</v>
      </c>
      <c r="D42" s="2">
        <v>291</v>
      </c>
      <c r="E42" s="2">
        <v>745</v>
      </c>
      <c r="F42" s="2">
        <v>32441</v>
      </c>
      <c r="G42" s="2">
        <v>7.033035817</v>
      </c>
      <c r="H42" s="3">
        <v>5.3900000000000004E-25</v>
      </c>
      <c r="I42" s="2" t="s">
        <v>43410</v>
      </c>
      <c r="J42" s="2" t="s">
        <v>43411</v>
      </c>
      <c r="K42" s="3">
        <v>8.86E-23</v>
      </c>
      <c r="L42" s="2" t="s">
        <v>35</v>
      </c>
      <c r="M42" s="4" t="s">
        <v>5754</v>
      </c>
    </row>
    <row r="43" spans="1:13">
      <c r="A43" s="2">
        <v>3113</v>
      </c>
      <c r="B43" s="2" t="s">
        <v>43412</v>
      </c>
      <c r="C43" s="2">
        <v>23</v>
      </c>
      <c r="D43" s="2">
        <v>291</v>
      </c>
      <c r="E43" s="2">
        <v>91</v>
      </c>
      <c r="F43" s="2">
        <v>32441</v>
      </c>
      <c r="G43" s="2">
        <v>28.176541669999999</v>
      </c>
      <c r="H43" s="3">
        <v>9.7999999999999998E-25</v>
      </c>
      <c r="I43" s="2" t="s">
        <v>43413</v>
      </c>
      <c r="J43" s="2" t="s">
        <v>43414</v>
      </c>
      <c r="K43" s="3">
        <v>1.5500000000000001E-22</v>
      </c>
      <c r="L43" s="2" t="s">
        <v>35</v>
      </c>
      <c r="M43" s="4" t="s">
        <v>43415</v>
      </c>
    </row>
    <row r="44" spans="1:13">
      <c r="A44" s="2">
        <v>3164</v>
      </c>
      <c r="B44" s="2" t="s">
        <v>43416</v>
      </c>
      <c r="C44" s="2">
        <v>25</v>
      </c>
      <c r="D44" s="2">
        <v>291</v>
      </c>
      <c r="E44" s="2">
        <v>128</v>
      </c>
      <c r="F44" s="2">
        <v>32441</v>
      </c>
      <c r="G44" s="2">
        <v>21.77365228</v>
      </c>
      <c r="H44" s="3">
        <v>2.2599999999999998E-24</v>
      </c>
      <c r="I44" s="2" t="s">
        <v>43417</v>
      </c>
      <c r="J44" s="2" t="s">
        <v>43418</v>
      </c>
      <c r="K44" s="3">
        <v>3.4800000000000002E-22</v>
      </c>
      <c r="L44" s="2" t="s">
        <v>35</v>
      </c>
      <c r="M44" s="4" t="s">
        <v>43419</v>
      </c>
    </row>
    <row r="45" spans="1:13">
      <c r="A45" s="2">
        <v>3933</v>
      </c>
      <c r="B45" s="2" t="s">
        <v>3600</v>
      </c>
      <c r="C45" s="2">
        <v>57</v>
      </c>
      <c r="D45" s="2">
        <v>291</v>
      </c>
      <c r="E45" s="2">
        <v>1210</v>
      </c>
      <c r="F45" s="2">
        <v>32441</v>
      </c>
      <c r="G45" s="2">
        <v>5.2515889920000003</v>
      </c>
      <c r="H45" s="3">
        <v>3E-24</v>
      </c>
      <c r="I45" s="3" t="s">
        <v>43420</v>
      </c>
      <c r="J45" s="3" t="s">
        <v>43421</v>
      </c>
      <c r="K45" s="3">
        <v>4.4600000000000002E-22</v>
      </c>
      <c r="L45" s="2" t="s">
        <v>35</v>
      </c>
      <c r="M45" s="4" t="s">
        <v>3603</v>
      </c>
    </row>
    <row r="46" spans="1:13">
      <c r="A46" s="2">
        <v>3174</v>
      </c>
      <c r="B46" s="2" t="s">
        <v>551</v>
      </c>
      <c r="C46" s="2">
        <v>36</v>
      </c>
      <c r="D46" s="2">
        <v>291</v>
      </c>
      <c r="E46" s="2">
        <v>428</v>
      </c>
      <c r="F46" s="2">
        <v>32441</v>
      </c>
      <c r="G46" s="2">
        <v>9.3769149239999994</v>
      </c>
      <c r="H46" s="3">
        <v>3.8399999999999997E-23</v>
      </c>
      <c r="I46" s="2" t="s">
        <v>43422</v>
      </c>
      <c r="J46" s="2" t="s">
        <v>43423</v>
      </c>
      <c r="K46" s="3">
        <v>5.54E-21</v>
      </c>
      <c r="L46" s="2" t="s">
        <v>35</v>
      </c>
      <c r="M46" s="4" t="s">
        <v>34911</v>
      </c>
    </row>
    <row r="47" spans="1:13">
      <c r="A47" s="2">
        <v>3155</v>
      </c>
      <c r="B47" s="2" t="s">
        <v>530</v>
      </c>
      <c r="C47" s="2">
        <v>28</v>
      </c>
      <c r="D47" s="2">
        <v>291</v>
      </c>
      <c r="E47" s="2">
        <v>222</v>
      </c>
      <c r="F47" s="2">
        <v>32441</v>
      </c>
      <c r="G47" s="2">
        <v>14.060679240000001</v>
      </c>
      <c r="H47" s="3">
        <v>1.6400000000000001E-22</v>
      </c>
      <c r="I47" s="2" t="s">
        <v>43424</v>
      </c>
      <c r="J47" s="2" t="s">
        <v>43425</v>
      </c>
      <c r="K47" s="3">
        <v>2.2999999999999999E-20</v>
      </c>
      <c r="L47" s="2" t="s">
        <v>35</v>
      </c>
      <c r="M47" s="4" t="s">
        <v>6083</v>
      </c>
    </row>
    <row r="48" spans="1:13">
      <c r="A48" s="2">
        <v>769</v>
      </c>
      <c r="B48" s="2" t="s">
        <v>43426</v>
      </c>
      <c r="C48" s="2">
        <v>19</v>
      </c>
      <c r="D48" s="2">
        <v>291</v>
      </c>
      <c r="E48" s="2">
        <v>58</v>
      </c>
      <c r="F48" s="2">
        <v>32441</v>
      </c>
      <c r="G48" s="2">
        <v>36.519670580000003</v>
      </c>
      <c r="H48" s="3">
        <v>1.89E-22</v>
      </c>
      <c r="I48" s="2" t="s">
        <v>43427</v>
      </c>
      <c r="J48" s="2" t="s">
        <v>43428</v>
      </c>
      <c r="K48" s="3">
        <v>2.5699999999999999E-20</v>
      </c>
      <c r="L48" s="2" t="s">
        <v>35</v>
      </c>
      <c r="M48" s="4" t="s">
        <v>43429</v>
      </c>
    </row>
    <row r="49" spans="1:13">
      <c r="A49" s="2">
        <v>462</v>
      </c>
      <c r="B49" s="2" t="s">
        <v>43430</v>
      </c>
      <c r="C49" s="2">
        <v>19</v>
      </c>
      <c r="D49" s="2">
        <v>291</v>
      </c>
      <c r="E49" s="2">
        <v>66</v>
      </c>
      <c r="F49" s="2">
        <v>32441</v>
      </c>
      <c r="G49" s="2">
        <v>32.09304384</v>
      </c>
      <c r="H49" s="3">
        <v>1.4900000000000001E-21</v>
      </c>
      <c r="I49" s="2" t="s">
        <v>43431</v>
      </c>
      <c r="J49" s="2" t="s">
        <v>43432</v>
      </c>
      <c r="K49" s="3">
        <v>1.9699999999999999E-19</v>
      </c>
      <c r="L49" s="2" t="s">
        <v>35</v>
      </c>
      <c r="M49" s="4" t="s">
        <v>43433</v>
      </c>
    </row>
    <row r="50" spans="1:13">
      <c r="A50" s="2">
        <v>4683</v>
      </c>
      <c r="B50" s="2" t="s">
        <v>43434</v>
      </c>
      <c r="C50" s="2">
        <v>30</v>
      </c>
      <c r="D50" s="2">
        <v>291</v>
      </c>
      <c r="E50" s="2">
        <v>297</v>
      </c>
      <c r="F50" s="2">
        <v>32441</v>
      </c>
      <c r="G50" s="2">
        <v>11.260717140000001</v>
      </c>
      <c r="H50" s="3">
        <v>1.64E-21</v>
      </c>
      <c r="I50" s="2" t="s">
        <v>43435</v>
      </c>
      <c r="J50" s="2" t="s">
        <v>43436</v>
      </c>
      <c r="K50" s="3">
        <v>2.11E-19</v>
      </c>
      <c r="L50" s="2" t="s">
        <v>35</v>
      </c>
      <c r="M50" s="4" t="s">
        <v>43437</v>
      </c>
    </row>
    <row r="51" spans="1:13">
      <c r="A51" s="2">
        <v>1894</v>
      </c>
      <c r="B51" s="2" t="s">
        <v>43438</v>
      </c>
      <c r="C51" s="2">
        <v>20</v>
      </c>
      <c r="D51" s="2">
        <v>291</v>
      </c>
      <c r="E51" s="2">
        <v>82</v>
      </c>
      <c r="F51" s="2">
        <v>32441</v>
      </c>
      <c r="G51" s="2">
        <v>27.19051211</v>
      </c>
      <c r="H51" s="3">
        <v>2.1300000000000001E-21</v>
      </c>
      <c r="I51" s="2" t="s">
        <v>43439</v>
      </c>
      <c r="J51" s="2" t="s">
        <v>43440</v>
      </c>
      <c r="K51" s="3">
        <v>2.67E-19</v>
      </c>
      <c r="L51" s="2" t="s">
        <v>35</v>
      </c>
      <c r="M51" s="4" t="s">
        <v>43441</v>
      </c>
    </row>
    <row r="52" spans="1:13">
      <c r="A52" s="2">
        <v>113</v>
      </c>
      <c r="B52" s="2" t="s">
        <v>43442</v>
      </c>
      <c r="C52" s="2">
        <v>26</v>
      </c>
      <c r="D52" s="2">
        <v>291</v>
      </c>
      <c r="E52" s="2">
        <v>201</v>
      </c>
      <c r="F52" s="2">
        <v>32441</v>
      </c>
      <c r="G52" s="2">
        <v>14.420440749999999</v>
      </c>
      <c r="H52" s="3">
        <v>3.1299999999999999E-21</v>
      </c>
      <c r="I52" s="2" t="s">
        <v>43443</v>
      </c>
      <c r="J52" s="2" t="s">
        <v>43444</v>
      </c>
      <c r="K52" s="3">
        <v>3.83E-19</v>
      </c>
      <c r="L52" s="2" t="s">
        <v>35</v>
      </c>
      <c r="M52" s="4" t="s">
        <v>43445</v>
      </c>
    </row>
    <row r="53" spans="1:13">
      <c r="A53" s="2">
        <v>114</v>
      </c>
      <c r="B53" s="2" t="s">
        <v>43446</v>
      </c>
      <c r="C53" s="2">
        <v>20</v>
      </c>
      <c r="D53" s="2">
        <v>291</v>
      </c>
      <c r="E53" s="2">
        <v>84</v>
      </c>
      <c r="F53" s="2">
        <v>32441</v>
      </c>
      <c r="G53" s="2">
        <v>26.543118969999998</v>
      </c>
      <c r="H53" s="3">
        <v>3.2199999999999999E-21</v>
      </c>
      <c r="I53" s="2" t="s">
        <v>43447</v>
      </c>
      <c r="J53" s="2" t="s">
        <v>43448</v>
      </c>
      <c r="K53" s="3">
        <v>3.83E-19</v>
      </c>
      <c r="L53" s="2" t="s">
        <v>35</v>
      </c>
      <c r="M53" s="4" t="s">
        <v>43449</v>
      </c>
    </row>
    <row r="54" spans="1:13">
      <c r="A54" s="2">
        <v>3331</v>
      </c>
      <c r="B54" s="2" t="s">
        <v>43450</v>
      </c>
      <c r="C54" s="2">
        <v>16</v>
      </c>
      <c r="D54" s="2">
        <v>291</v>
      </c>
      <c r="E54" s="2">
        <v>36</v>
      </c>
      <c r="F54" s="2">
        <v>32441</v>
      </c>
      <c r="G54" s="2">
        <v>49.547155400000001</v>
      </c>
      <c r="H54" s="3">
        <v>7.8199999999999999E-21</v>
      </c>
      <c r="I54" s="2" t="s">
        <v>43451</v>
      </c>
      <c r="J54" s="2" t="s">
        <v>43452</v>
      </c>
      <c r="K54" s="3">
        <v>9.0799999999999991E-19</v>
      </c>
      <c r="L54" s="2" t="s">
        <v>35</v>
      </c>
      <c r="M54" s="4" t="s">
        <v>43453</v>
      </c>
    </row>
    <row r="55" spans="1:13">
      <c r="A55" s="2">
        <v>4163</v>
      </c>
      <c r="B55" s="2" t="s">
        <v>3729</v>
      </c>
      <c r="C55" s="2">
        <v>27</v>
      </c>
      <c r="D55" s="2">
        <v>291</v>
      </c>
      <c r="E55" s="2">
        <v>237</v>
      </c>
      <c r="F55" s="2">
        <v>32441</v>
      </c>
      <c r="G55" s="2">
        <v>12.70037844</v>
      </c>
      <c r="H55" s="3">
        <v>1.07E-20</v>
      </c>
      <c r="I55" s="2" t="s">
        <v>43454</v>
      </c>
      <c r="J55" s="2" t="s">
        <v>43455</v>
      </c>
      <c r="K55" s="3">
        <v>1.2099999999999999E-18</v>
      </c>
      <c r="L55" s="2" t="s">
        <v>35</v>
      </c>
      <c r="M55" s="4" t="s">
        <v>3732</v>
      </c>
    </row>
    <row r="56" spans="1:13">
      <c r="A56" s="2">
        <v>2198</v>
      </c>
      <c r="B56" s="2" t="s">
        <v>43456</v>
      </c>
      <c r="C56" s="2">
        <v>17</v>
      </c>
      <c r="D56" s="2">
        <v>291</v>
      </c>
      <c r="E56" s="2">
        <v>50</v>
      </c>
      <c r="F56" s="2">
        <v>32441</v>
      </c>
      <c r="G56" s="2">
        <v>37.903573880000003</v>
      </c>
      <c r="H56" s="3">
        <v>1.9099999999999999E-20</v>
      </c>
      <c r="I56" s="2" t="s">
        <v>43457</v>
      </c>
      <c r="J56" s="2" t="s">
        <v>43458</v>
      </c>
      <c r="K56" s="3">
        <v>2.1199999999999999E-18</v>
      </c>
      <c r="L56" s="2" t="s">
        <v>35</v>
      </c>
      <c r="M56" s="4" t="s">
        <v>43459</v>
      </c>
    </row>
    <row r="57" spans="1:13">
      <c r="A57" s="2">
        <v>3958</v>
      </c>
      <c r="B57" s="2" t="s">
        <v>35669</v>
      </c>
      <c r="C57" s="2">
        <v>49</v>
      </c>
      <c r="D57" s="2">
        <v>291</v>
      </c>
      <c r="E57" s="2">
        <v>1069</v>
      </c>
      <c r="F57" s="2">
        <v>32441</v>
      </c>
      <c r="G57" s="2">
        <v>5.1099849229999998</v>
      </c>
      <c r="H57" s="3">
        <v>2.22E-20</v>
      </c>
      <c r="I57" s="3" t="s">
        <v>43460</v>
      </c>
      <c r="J57" s="3" t="s">
        <v>43461</v>
      </c>
      <c r="K57" s="3">
        <v>2.3999999999999999E-18</v>
      </c>
      <c r="L57" s="2" t="s">
        <v>35</v>
      </c>
      <c r="M57" s="4" t="s">
        <v>35672</v>
      </c>
    </row>
    <row r="58" spans="1:13">
      <c r="A58" s="2">
        <v>2895</v>
      </c>
      <c r="B58" s="2" t="s">
        <v>4442</v>
      </c>
      <c r="C58" s="2">
        <v>23</v>
      </c>
      <c r="D58" s="2">
        <v>291</v>
      </c>
      <c r="E58" s="2">
        <v>151</v>
      </c>
      <c r="F58" s="2">
        <v>32441</v>
      </c>
      <c r="G58" s="2">
        <v>16.98056485</v>
      </c>
      <c r="H58" s="3">
        <v>2.41E-20</v>
      </c>
      <c r="I58" s="2" t="s">
        <v>43462</v>
      </c>
      <c r="J58" s="2" t="s">
        <v>43463</v>
      </c>
      <c r="K58" s="3">
        <v>2.5499999999999999E-18</v>
      </c>
      <c r="L58" s="2" t="s">
        <v>35</v>
      </c>
      <c r="M58" s="4" t="s">
        <v>4445</v>
      </c>
    </row>
    <row r="59" spans="1:13">
      <c r="A59" s="2">
        <v>2385</v>
      </c>
      <c r="B59" s="2" t="s">
        <v>5503</v>
      </c>
      <c r="C59" s="2">
        <v>33</v>
      </c>
      <c r="D59" s="2">
        <v>291</v>
      </c>
      <c r="E59" s="2">
        <v>428</v>
      </c>
      <c r="F59" s="2">
        <v>32441</v>
      </c>
      <c r="G59" s="2">
        <v>8.5955053469999996</v>
      </c>
      <c r="H59" s="3">
        <v>3.3099999999999997E-20</v>
      </c>
      <c r="I59" s="2" t="s">
        <v>43464</v>
      </c>
      <c r="J59" s="2" t="s">
        <v>43465</v>
      </c>
      <c r="K59" s="3">
        <v>3.4E-18</v>
      </c>
      <c r="L59" s="2" t="s">
        <v>35</v>
      </c>
      <c r="M59" s="4" t="s">
        <v>5506</v>
      </c>
    </row>
    <row r="60" spans="1:13">
      <c r="A60" s="2">
        <v>3069</v>
      </c>
      <c r="B60" s="2" t="s">
        <v>43466</v>
      </c>
      <c r="C60" s="2">
        <v>19</v>
      </c>
      <c r="D60" s="2">
        <v>291</v>
      </c>
      <c r="E60" s="2">
        <v>80</v>
      </c>
      <c r="F60" s="2">
        <v>32441</v>
      </c>
      <c r="G60" s="2">
        <v>26.47676117</v>
      </c>
      <c r="H60" s="3">
        <v>3.3499999999999999E-20</v>
      </c>
      <c r="I60" s="2" t="s">
        <v>43467</v>
      </c>
      <c r="J60" s="2" t="s">
        <v>43468</v>
      </c>
      <c r="K60" s="3">
        <v>3.4E-18</v>
      </c>
      <c r="L60" s="2" t="s">
        <v>35</v>
      </c>
      <c r="M60" s="4" t="s">
        <v>43469</v>
      </c>
    </row>
    <row r="61" spans="1:13">
      <c r="A61" s="2">
        <v>3886</v>
      </c>
      <c r="B61" s="2" t="s">
        <v>5239</v>
      </c>
      <c r="C61" s="2">
        <v>33</v>
      </c>
      <c r="D61" s="2">
        <v>291</v>
      </c>
      <c r="E61" s="2">
        <v>435</v>
      </c>
      <c r="F61" s="2">
        <v>32441</v>
      </c>
      <c r="G61" s="2">
        <v>8.4571868699999992</v>
      </c>
      <c r="H61" s="3">
        <v>5.2499999999999997E-20</v>
      </c>
      <c r="I61" s="2" t="s">
        <v>43470</v>
      </c>
      <c r="J61" s="2" t="s">
        <v>43471</v>
      </c>
      <c r="K61" s="3">
        <v>5.21E-18</v>
      </c>
      <c r="L61" s="2" t="s">
        <v>35</v>
      </c>
      <c r="M61" s="4" t="s">
        <v>5242</v>
      </c>
    </row>
    <row r="62" spans="1:13">
      <c r="A62" s="2">
        <v>4460</v>
      </c>
      <c r="B62" s="2" t="s">
        <v>4246</v>
      </c>
      <c r="C62" s="2">
        <v>19</v>
      </c>
      <c r="D62" s="2">
        <v>291</v>
      </c>
      <c r="E62" s="2">
        <v>84</v>
      </c>
      <c r="F62" s="2">
        <v>32441</v>
      </c>
      <c r="G62" s="2">
        <v>25.21596302</v>
      </c>
      <c r="H62" s="3">
        <v>7.4400000000000002E-20</v>
      </c>
      <c r="I62" s="2" t="s">
        <v>43472</v>
      </c>
      <c r="J62" s="2" t="s">
        <v>43473</v>
      </c>
      <c r="K62" s="3">
        <v>7.2299999999999993E-18</v>
      </c>
      <c r="L62" s="2" t="s">
        <v>35</v>
      </c>
      <c r="M62" s="4" t="s">
        <v>4249</v>
      </c>
    </row>
    <row r="63" spans="1:13">
      <c r="A63" s="2">
        <v>4478</v>
      </c>
      <c r="B63" s="2" t="s">
        <v>43474</v>
      </c>
      <c r="C63" s="2">
        <v>29</v>
      </c>
      <c r="D63" s="2">
        <v>291</v>
      </c>
      <c r="E63" s="2">
        <v>315</v>
      </c>
      <c r="F63" s="2">
        <v>32441</v>
      </c>
      <c r="G63" s="2">
        <v>10.263339330000001</v>
      </c>
      <c r="H63" s="3">
        <v>8.2499999999999994E-20</v>
      </c>
      <c r="I63" s="2" t="s">
        <v>43475</v>
      </c>
      <c r="J63" s="2" t="s">
        <v>43476</v>
      </c>
      <c r="K63" s="3">
        <v>7.8599999999999998E-18</v>
      </c>
      <c r="L63" s="2" t="s">
        <v>35</v>
      </c>
      <c r="M63" s="4" t="s">
        <v>43477</v>
      </c>
    </row>
    <row r="64" spans="1:13">
      <c r="A64" s="2">
        <v>1401</v>
      </c>
      <c r="B64" s="2" t="s">
        <v>36502</v>
      </c>
      <c r="C64" s="2">
        <v>16</v>
      </c>
      <c r="D64" s="2">
        <v>291</v>
      </c>
      <c r="E64" s="2">
        <v>44</v>
      </c>
      <c r="F64" s="2">
        <v>32441</v>
      </c>
      <c r="G64" s="2">
        <v>40.538581690000001</v>
      </c>
      <c r="H64" s="3">
        <v>1.06E-19</v>
      </c>
      <c r="I64" s="2" t="s">
        <v>43478</v>
      </c>
      <c r="J64" s="2" t="s">
        <v>43479</v>
      </c>
      <c r="K64" s="3">
        <v>9.8900000000000005E-18</v>
      </c>
      <c r="L64" s="2" t="s">
        <v>35</v>
      </c>
      <c r="M64" s="4" t="s">
        <v>36505</v>
      </c>
    </row>
    <row r="65" spans="1:13">
      <c r="A65" s="2">
        <v>4038</v>
      </c>
      <c r="B65" s="2" t="s">
        <v>4927</v>
      </c>
      <c r="C65" s="2">
        <v>23</v>
      </c>
      <c r="D65" s="2">
        <v>291</v>
      </c>
      <c r="E65" s="2">
        <v>170</v>
      </c>
      <c r="F65" s="2">
        <v>32441</v>
      </c>
      <c r="G65" s="2">
        <v>15.082737010000001</v>
      </c>
      <c r="H65" s="3">
        <v>2.6300000000000002E-19</v>
      </c>
      <c r="I65" s="2" t="s">
        <v>43480</v>
      </c>
      <c r="J65" s="2" t="s">
        <v>43481</v>
      </c>
      <c r="K65" s="3">
        <v>2.41E-17</v>
      </c>
      <c r="L65" s="2" t="s">
        <v>35</v>
      </c>
      <c r="M65" s="4" t="s">
        <v>4930</v>
      </c>
    </row>
    <row r="66" spans="1:13">
      <c r="A66" s="2">
        <v>3075</v>
      </c>
      <c r="B66" s="2" t="s">
        <v>5523</v>
      </c>
      <c r="C66" s="2">
        <v>34</v>
      </c>
      <c r="D66" s="2">
        <v>291</v>
      </c>
      <c r="E66" s="2">
        <v>504</v>
      </c>
      <c r="F66" s="2">
        <v>32441</v>
      </c>
      <c r="G66" s="2">
        <v>7.5205503739999999</v>
      </c>
      <c r="H66" s="3">
        <v>4.22E-19</v>
      </c>
      <c r="I66" s="2" t="s">
        <v>43482</v>
      </c>
      <c r="J66" s="2" t="s">
        <v>43483</v>
      </c>
      <c r="K66" s="3">
        <v>3.8000000000000001E-17</v>
      </c>
      <c r="L66" s="2" t="s">
        <v>35</v>
      </c>
      <c r="M66" s="4" t="s">
        <v>5526</v>
      </c>
    </row>
    <row r="67" spans="1:13">
      <c r="A67" s="2">
        <v>4258</v>
      </c>
      <c r="B67" s="2" t="s">
        <v>43484</v>
      </c>
      <c r="C67" s="2">
        <v>18</v>
      </c>
      <c r="D67" s="2">
        <v>291</v>
      </c>
      <c r="E67" s="2">
        <v>79</v>
      </c>
      <c r="F67" s="2">
        <v>32441</v>
      </c>
      <c r="G67" s="2">
        <v>25.400756879999999</v>
      </c>
      <c r="H67" s="3">
        <v>6.3399999999999996E-19</v>
      </c>
      <c r="I67" s="2" t="s">
        <v>43485</v>
      </c>
      <c r="J67" s="2" t="s">
        <v>43486</v>
      </c>
      <c r="K67" s="3">
        <v>5.5900000000000006E-17</v>
      </c>
      <c r="L67" s="2" t="s">
        <v>35</v>
      </c>
      <c r="M67" s="4" t="s">
        <v>43487</v>
      </c>
    </row>
    <row r="68" spans="1:13">
      <c r="A68" s="2">
        <v>1595</v>
      </c>
      <c r="B68" s="2" t="s">
        <v>43488</v>
      </c>
      <c r="C68" s="2">
        <v>25</v>
      </c>
      <c r="D68" s="2">
        <v>291</v>
      </c>
      <c r="E68" s="2">
        <v>232</v>
      </c>
      <c r="F68" s="2">
        <v>32441</v>
      </c>
      <c r="G68" s="2">
        <v>12.01304953</v>
      </c>
      <c r="H68" s="3">
        <v>1.02E-18</v>
      </c>
      <c r="I68" s="2" t="s">
        <v>43489</v>
      </c>
      <c r="J68" s="2" t="s">
        <v>43490</v>
      </c>
      <c r="K68" s="3">
        <v>8.8100000000000004E-17</v>
      </c>
      <c r="L68" s="2" t="s">
        <v>35</v>
      </c>
      <c r="M68" s="4" t="s">
        <v>43491</v>
      </c>
    </row>
    <row r="69" spans="1:13">
      <c r="A69" s="2">
        <v>2566</v>
      </c>
      <c r="B69" s="2" t="s">
        <v>4871</v>
      </c>
      <c r="C69" s="2">
        <v>26</v>
      </c>
      <c r="D69" s="2">
        <v>291</v>
      </c>
      <c r="E69" s="2">
        <v>266</v>
      </c>
      <c r="F69" s="2">
        <v>32441</v>
      </c>
      <c r="G69" s="2">
        <v>10.896648839999999</v>
      </c>
      <c r="H69" s="3">
        <v>1.8399999999999998E-18</v>
      </c>
      <c r="I69" s="2" t="s">
        <v>43492</v>
      </c>
      <c r="J69" s="2" t="s">
        <v>43493</v>
      </c>
      <c r="K69" s="3">
        <v>1.5700000000000001E-16</v>
      </c>
      <c r="L69" s="2" t="s">
        <v>35</v>
      </c>
      <c r="M69" s="4" t="s">
        <v>4874</v>
      </c>
    </row>
    <row r="70" spans="1:13">
      <c r="A70" s="2">
        <v>1614</v>
      </c>
      <c r="B70" s="2" t="s">
        <v>43494</v>
      </c>
      <c r="C70" s="2">
        <v>28</v>
      </c>
      <c r="D70" s="2">
        <v>291</v>
      </c>
      <c r="E70" s="2">
        <v>329</v>
      </c>
      <c r="F70" s="2">
        <v>32441</v>
      </c>
      <c r="G70" s="2">
        <v>9.4877531620000006</v>
      </c>
      <c r="H70" s="3">
        <v>2.47E-18</v>
      </c>
      <c r="I70" s="2" t="s">
        <v>43495</v>
      </c>
      <c r="J70" s="2" t="s">
        <v>43496</v>
      </c>
      <c r="K70" s="3">
        <v>2.0700000000000001E-16</v>
      </c>
      <c r="L70" s="2" t="s">
        <v>35</v>
      </c>
      <c r="M70" s="4" t="s">
        <v>43497</v>
      </c>
    </row>
    <row r="71" spans="1:13">
      <c r="A71" s="2">
        <v>4712</v>
      </c>
      <c r="B71" s="2" t="s">
        <v>43498</v>
      </c>
      <c r="C71" s="2">
        <v>15</v>
      </c>
      <c r="D71" s="2">
        <v>291</v>
      </c>
      <c r="E71" s="2">
        <v>44</v>
      </c>
      <c r="F71" s="2">
        <v>32441</v>
      </c>
      <c r="G71" s="2">
        <v>38.004920339999998</v>
      </c>
      <c r="H71" s="3">
        <v>3.3499999999999999E-18</v>
      </c>
      <c r="I71" s="2" t="s">
        <v>43499</v>
      </c>
      <c r="J71" s="2" t="s">
        <v>43500</v>
      </c>
      <c r="K71" s="3">
        <v>2.7499999999999998E-16</v>
      </c>
      <c r="L71" s="2" t="s">
        <v>35</v>
      </c>
      <c r="M71" s="4" t="s">
        <v>43501</v>
      </c>
    </row>
    <row r="72" spans="1:13">
      <c r="A72" s="2">
        <v>4752</v>
      </c>
      <c r="B72" s="2" t="s">
        <v>4194</v>
      </c>
      <c r="C72" s="2">
        <v>19</v>
      </c>
      <c r="D72" s="2">
        <v>291</v>
      </c>
      <c r="E72" s="2">
        <v>106</v>
      </c>
      <c r="F72" s="2">
        <v>32441</v>
      </c>
      <c r="G72" s="2">
        <v>19.982461260000001</v>
      </c>
      <c r="H72" s="3">
        <v>3.4400000000000002E-18</v>
      </c>
      <c r="I72" s="2" t="s">
        <v>43502</v>
      </c>
      <c r="J72" s="2" t="s">
        <v>43503</v>
      </c>
      <c r="K72" s="3">
        <v>2.7700000000000001E-16</v>
      </c>
      <c r="L72" s="2" t="s">
        <v>35</v>
      </c>
      <c r="M72" s="4" t="s">
        <v>4197</v>
      </c>
    </row>
    <row r="73" spans="1:13">
      <c r="A73" s="2">
        <v>2242</v>
      </c>
      <c r="B73" s="2" t="s">
        <v>43504</v>
      </c>
      <c r="C73" s="2">
        <v>14</v>
      </c>
      <c r="D73" s="2">
        <v>291</v>
      </c>
      <c r="E73" s="2">
        <v>35</v>
      </c>
      <c r="F73" s="2">
        <v>32441</v>
      </c>
      <c r="G73" s="2">
        <v>44.592439859999999</v>
      </c>
      <c r="H73" s="3">
        <v>7.1899999999999995E-18</v>
      </c>
      <c r="I73" s="2" t="s">
        <v>43505</v>
      </c>
      <c r="J73" s="2" t="s">
        <v>43506</v>
      </c>
      <c r="K73" s="3">
        <v>5.7100000000000001E-16</v>
      </c>
      <c r="L73" s="2" t="s">
        <v>35</v>
      </c>
      <c r="M73" s="4" t="s">
        <v>43507</v>
      </c>
    </row>
    <row r="74" spans="1:13">
      <c r="A74" s="2">
        <v>3156</v>
      </c>
      <c r="B74" s="2" t="s">
        <v>274</v>
      </c>
      <c r="C74" s="2">
        <v>32</v>
      </c>
      <c r="D74" s="2">
        <v>291</v>
      </c>
      <c r="E74" s="2">
        <v>487</v>
      </c>
      <c r="F74" s="2">
        <v>32441</v>
      </c>
      <c r="G74" s="2">
        <v>7.325246795</v>
      </c>
      <c r="H74" s="3">
        <v>1.01E-17</v>
      </c>
      <c r="I74" s="2" t="s">
        <v>43508</v>
      </c>
      <c r="J74" s="2" t="s">
        <v>43509</v>
      </c>
      <c r="K74" s="3">
        <v>7.9100000000000003E-16</v>
      </c>
      <c r="L74" s="2" t="s">
        <v>35</v>
      </c>
      <c r="M74" s="4" t="s">
        <v>3630</v>
      </c>
    </row>
    <row r="75" spans="1:13">
      <c r="A75" s="2">
        <v>3744</v>
      </c>
      <c r="B75" s="2" t="s">
        <v>43510</v>
      </c>
      <c r="C75" s="2">
        <v>16</v>
      </c>
      <c r="D75" s="2">
        <v>291</v>
      </c>
      <c r="E75" s="2">
        <v>63</v>
      </c>
      <c r="F75" s="2">
        <v>32441</v>
      </c>
      <c r="G75" s="2">
        <v>28.312660229999999</v>
      </c>
      <c r="H75" s="3">
        <v>1.31E-17</v>
      </c>
      <c r="I75" s="2" t="s">
        <v>43511</v>
      </c>
      <c r="J75" s="2" t="s">
        <v>43512</v>
      </c>
      <c r="K75" s="3">
        <v>1.01E-15</v>
      </c>
      <c r="L75" s="2" t="s">
        <v>35</v>
      </c>
      <c r="M75" s="4" t="s">
        <v>43513</v>
      </c>
    </row>
    <row r="76" spans="1:13">
      <c r="A76" s="2">
        <v>3667</v>
      </c>
      <c r="B76" s="2" t="s">
        <v>5479</v>
      </c>
      <c r="C76" s="2">
        <v>30</v>
      </c>
      <c r="D76" s="2">
        <v>291</v>
      </c>
      <c r="E76" s="2">
        <v>425</v>
      </c>
      <c r="F76" s="2">
        <v>32441</v>
      </c>
      <c r="G76" s="2">
        <v>7.8692540930000003</v>
      </c>
      <c r="H76" s="3">
        <v>1.8E-17</v>
      </c>
      <c r="I76" s="2" t="s">
        <v>43514</v>
      </c>
      <c r="J76" s="2" t="s">
        <v>43515</v>
      </c>
      <c r="K76" s="3">
        <v>1.36E-15</v>
      </c>
      <c r="L76" s="2" t="s">
        <v>35</v>
      </c>
      <c r="M76" s="4" t="s">
        <v>5482</v>
      </c>
    </row>
    <row r="77" spans="1:13">
      <c r="A77" s="2">
        <v>2560</v>
      </c>
      <c r="B77" s="2" t="s">
        <v>43516</v>
      </c>
      <c r="C77" s="2">
        <v>17</v>
      </c>
      <c r="D77" s="2">
        <v>291</v>
      </c>
      <c r="E77" s="2">
        <v>83</v>
      </c>
      <c r="F77" s="2">
        <v>32441</v>
      </c>
      <c r="G77" s="2">
        <v>22.833478240000002</v>
      </c>
      <c r="H77" s="3">
        <v>2.9000000000000003E-17</v>
      </c>
      <c r="I77" s="2" t="s">
        <v>43517</v>
      </c>
      <c r="J77" s="2" t="s">
        <v>43518</v>
      </c>
      <c r="K77" s="3">
        <v>2.16E-15</v>
      </c>
      <c r="L77" s="2" t="s">
        <v>35</v>
      </c>
      <c r="M77" s="4" t="s">
        <v>43519</v>
      </c>
    </row>
    <row r="78" spans="1:13">
      <c r="A78" s="2">
        <v>2998</v>
      </c>
      <c r="B78" s="2" t="s">
        <v>43520</v>
      </c>
      <c r="C78" s="2">
        <v>24</v>
      </c>
      <c r="D78" s="2">
        <v>291</v>
      </c>
      <c r="E78" s="2">
        <v>249</v>
      </c>
      <c r="F78" s="2">
        <v>32441</v>
      </c>
      <c r="G78" s="2">
        <v>10.745166230000001</v>
      </c>
      <c r="H78" s="3">
        <v>5.3100000000000002E-17</v>
      </c>
      <c r="I78" s="2" t="s">
        <v>43521</v>
      </c>
      <c r="J78" s="2" t="s">
        <v>43522</v>
      </c>
      <c r="K78" s="3">
        <v>3.8899999999999997E-15</v>
      </c>
      <c r="L78" s="2" t="s">
        <v>35</v>
      </c>
      <c r="M78" s="4" t="s">
        <v>43523</v>
      </c>
    </row>
    <row r="79" spans="1:13">
      <c r="A79" s="2">
        <v>2620</v>
      </c>
      <c r="B79" s="2" t="s">
        <v>5578</v>
      </c>
      <c r="C79" s="2">
        <v>16</v>
      </c>
      <c r="D79" s="2">
        <v>291</v>
      </c>
      <c r="E79" s="2">
        <v>71</v>
      </c>
      <c r="F79" s="2">
        <v>32441</v>
      </c>
      <c r="G79" s="2">
        <v>25.122501329999999</v>
      </c>
      <c r="H79" s="3">
        <v>6.7699999999999996E-17</v>
      </c>
      <c r="I79" s="2" t="s">
        <v>43524</v>
      </c>
      <c r="J79" s="2" t="s">
        <v>43525</v>
      </c>
      <c r="K79" s="3">
        <v>4.8799999999999996E-15</v>
      </c>
      <c r="L79" s="2" t="s">
        <v>35</v>
      </c>
      <c r="M79" s="4" t="s">
        <v>5581</v>
      </c>
    </row>
    <row r="80" spans="1:13">
      <c r="A80" s="2">
        <v>3616</v>
      </c>
      <c r="B80" s="2" t="s">
        <v>43526</v>
      </c>
      <c r="C80" s="2">
        <v>18</v>
      </c>
      <c r="D80" s="2">
        <v>291</v>
      </c>
      <c r="E80" s="2">
        <v>108</v>
      </c>
      <c r="F80" s="2">
        <v>32441</v>
      </c>
      <c r="G80" s="2">
        <v>18.58018328</v>
      </c>
      <c r="H80" s="3">
        <v>8.3900000000000005E-17</v>
      </c>
      <c r="I80" s="2" t="s">
        <v>43527</v>
      </c>
      <c r="J80" s="2" t="s">
        <v>43528</v>
      </c>
      <c r="K80" s="3">
        <v>5.9599999999999998E-15</v>
      </c>
      <c r="L80" s="2" t="s">
        <v>35</v>
      </c>
      <c r="M80" s="4" t="s">
        <v>43529</v>
      </c>
    </row>
    <row r="81" spans="1:13">
      <c r="A81" s="2">
        <v>4600</v>
      </c>
      <c r="B81" s="2" t="s">
        <v>6074</v>
      </c>
      <c r="C81" s="2">
        <v>25</v>
      </c>
      <c r="D81" s="2">
        <v>291</v>
      </c>
      <c r="E81" s="2">
        <v>289</v>
      </c>
      <c r="F81" s="2">
        <v>32441</v>
      </c>
      <c r="G81" s="2">
        <v>9.643693742</v>
      </c>
      <c r="H81" s="3">
        <v>1.2200000000000001E-16</v>
      </c>
      <c r="I81" s="2" t="s">
        <v>43530</v>
      </c>
      <c r="J81" s="2" t="s">
        <v>43531</v>
      </c>
      <c r="K81" s="3">
        <v>8.5099999999999998E-15</v>
      </c>
      <c r="L81" s="2" t="s">
        <v>35</v>
      </c>
      <c r="M81" s="4" t="s">
        <v>6077</v>
      </c>
    </row>
    <row r="82" spans="1:13">
      <c r="A82" s="2">
        <v>1593</v>
      </c>
      <c r="B82" s="2" t="s">
        <v>43532</v>
      </c>
      <c r="C82" s="2">
        <v>24</v>
      </c>
      <c r="D82" s="2">
        <v>291</v>
      </c>
      <c r="E82" s="2">
        <v>260</v>
      </c>
      <c r="F82" s="2">
        <v>32441</v>
      </c>
      <c r="G82" s="2">
        <v>10.290563049999999</v>
      </c>
      <c r="H82" s="3">
        <v>1.3100000000000001E-16</v>
      </c>
      <c r="I82" s="2" t="s">
        <v>43533</v>
      </c>
      <c r="J82" s="2" t="s">
        <v>43534</v>
      </c>
      <c r="K82" s="3">
        <v>9.0300000000000004E-15</v>
      </c>
      <c r="L82" s="2" t="s">
        <v>35</v>
      </c>
      <c r="M82" s="4" t="s">
        <v>43535</v>
      </c>
    </row>
    <row r="83" spans="1:13">
      <c r="A83" s="2">
        <v>556</v>
      </c>
      <c r="B83" s="2" t="s">
        <v>43536</v>
      </c>
      <c r="C83" s="2">
        <v>16</v>
      </c>
      <c r="D83" s="2">
        <v>291</v>
      </c>
      <c r="E83" s="2">
        <v>75</v>
      </c>
      <c r="F83" s="2">
        <v>32441</v>
      </c>
      <c r="G83" s="2">
        <v>23.782634590000001</v>
      </c>
      <c r="H83" s="3">
        <v>1.44E-16</v>
      </c>
      <c r="I83" s="2" t="s">
        <v>43537</v>
      </c>
      <c r="J83" s="2" t="s">
        <v>43538</v>
      </c>
      <c r="K83" s="3">
        <v>9.8099999999999997E-15</v>
      </c>
      <c r="L83" s="2" t="s">
        <v>35</v>
      </c>
      <c r="M83" s="4" t="s">
        <v>43539</v>
      </c>
    </row>
    <row r="84" spans="1:13">
      <c r="A84" s="2">
        <v>582</v>
      </c>
      <c r="B84" s="2" t="s">
        <v>43540</v>
      </c>
      <c r="C84" s="2">
        <v>14</v>
      </c>
      <c r="D84" s="2">
        <v>291</v>
      </c>
      <c r="E84" s="2">
        <v>46</v>
      </c>
      <c r="F84" s="2">
        <v>32441</v>
      </c>
      <c r="G84" s="2">
        <v>33.929030330000003</v>
      </c>
      <c r="H84" s="3">
        <v>1.6900000000000001E-16</v>
      </c>
      <c r="I84" s="2" t="s">
        <v>43541</v>
      </c>
      <c r="J84" s="2" t="s">
        <v>43542</v>
      </c>
      <c r="K84" s="3">
        <v>1.13E-14</v>
      </c>
      <c r="L84" s="2" t="s">
        <v>35</v>
      </c>
      <c r="M84" s="4" t="s">
        <v>43543</v>
      </c>
    </row>
    <row r="85" spans="1:13">
      <c r="A85" s="2">
        <v>2179</v>
      </c>
      <c r="B85" s="2" t="s">
        <v>4795</v>
      </c>
      <c r="C85" s="2">
        <v>27</v>
      </c>
      <c r="D85" s="2">
        <v>291</v>
      </c>
      <c r="E85" s="2">
        <v>358</v>
      </c>
      <c r="F85" s="2">
        <v>32441</v>
      </c>
      <c r="G85" s="2">
        <v>8.4077924320000008</v>
      </c>
      <c r="H85" s="3">
        <v>1.7E-16</v>
      </c>
      <c r="I85" s="2" t="s">
        <v>43544</v>
      </c>
      <c r="J85" s="2" t="s">
        <v>43545</v>
      </c>
      <c r="K85" s="3">
        <v>1.13E-14</v>
      </c>
      <c r="L85" s="2" t="s">
        <v>35</v>
      </c>
      <c r="M85" s="4" t="s">
        <v>4798</v>
      </c>
    </row>
    <row r="86" spans="1:13">
      <c r="A86" s="2">
        <v>1369</v>
      </c>
      <c r="B86" s="2" t="s">
        <v>4469</v>
      </c>
      <c r="C86" s="2">
        <v>25</v>
      </c>
      <c r="D86" s="2">
        <v>291</v>
      </c>
      <c r="E86" s="2">
        <v>294</v>
      </c>
      <c r="F86" s="2">
        <v>32441</v>
      </c>
      <c r="G86" s="2">
        <v>9.479685345</v>
      </c>
      <c r="H86" s="3">
        <v>1.76E-16</v>
      </c>
      <c r="I86" s="2" t="s">
        <v>43546</v>
      </c>
      <c r="J86" s="2" t="s">
        <v>43547</v>
      </c>
      <c r="K86" s="3">
        <v>1.15E-14</v>
      </c>
      <c r="L86" s="2" t="s">
        <v>35</v>
      </c>
      <c r="M86" s="4" t="s">
        <v>4472</v>
      </c>
    </row>
    <row r="87" spans="1:13">
      <c r="A87" s="2">
        <v>4682</v>
      </c>
      <c r="B87" s="2" t="s">
        <v>5326</v>
      </c>
      <c r="C87" s="2">
        <v>17</v>
      </c>
      <c r="D87" s="2">
        <v>291</v>
      </c>
      <c r="E87" s="2">
        <v>99</v>
      </c>
      <c r="F87" s="2">
        <v>32441</v>
      </c>
      <c r="G87" s="2">
        <v>19.143219129999999</v>
      </c>
      <c r="H87" s="3">
        <v>3.9299999999999998E-16</v>
      </c>
      <c r="I87" s="2" t="s">
        <v>43548</v>
      </c>
      <c r="J87" s="2" t="s">
        <v>43549</v>
      </c>
      <c r="K87" s="3">
        <v>2.53E-14</v>
      </c>
      <c r="L87" s="2" t="s">
        <v>35</v>
      </c>
      <c r="M87" s="4" t="s">
        <v>5329</v>
      </c>
    </row>
    <row r="88" spans="1:13">
      <c r="A88" s="2">
        <v>1414</v>
      </c>
      <c r="B88" s="2" t="s">
        <v>43550</v>
      </c>
      <c r="C88" s="2">
        <v>15</v>
      </c>
      <c r="D88" s="2">
        <v>291</v>
      </c>
      <c r="E88" s="2">
        <v>66</v>
      </c>
      <c r="F88" s="2">
        <v>32441</v>
      </c>
      <c r="G88" s="2">
        <v>25.33661356</v>
      </c>
      <c r="H88" s="3">
        <v>5.7399999999999996E-16</v>
      </c>
      <c r="I88" s="2" t="s">
        <v>43551</v>
      </c>
      <c r="J88" s="2" t="s">
        <v>43552</v>
      </c>
      <c r="K88" s="3">
        <v>3.6500000000000002E-14</v>
      </c>
      <c r="L88" s="2" t="s">
        <v>35</v>
      </c>
      <c r="M88" s="4" t="s">
        <v>43553</v>
      </c>
    </row>
    <row r="89" spans="1:13">
      <c r="A89" s="2">
        <v>1837</v>
      </c>
      <c r="B89" s="2" t="s">
        <v>43554</v>
      </c>
      <c r="C89" s="2">
        <v>20</v>
      </c>
      <c r="D89" s="2">
        <v>291</v>
      </c>
      <c r="E89" s="2">
        <v>169</v>
      </c>
      <c r="F89" s="2">
        <v>32441</v>
      </c>
      <c r="G89" s="2">
        <v>13.19302955</v>
      </c>
      <c r="H89" s="3">
        <v>6.2999999999999998E-16</v>
      </c>
      <c r="I89" s="2" t="s">
        <v>43555</v>
      </c>
      <c r="J89" s="2" t="s">
        <v>43556</v>
      </c>
      <c r="K89" s="3">
        <v>3.9500000000000002E-14</v>
      </c>
      <c r="L89" s="2" t="s">
        <v>35</v>
      </c>
      <c r="M89" s="4" t="s">
        <v>43557</v>
      </c>
    </row>
    <row r="90" spans="1:13">
      <c r="A90" s="2">
        <v>3059</v>
      </c>
      <c r="B90" s="2" t="s">
        <v>403</v>
      </c>
      <c r="C90" s="2">
        <v>54</v>
      </c>
      <c r="D90" s="2">
        <v>291</v>
      </c>
      <c r="E90" s="2">
        <v>1691</v>
      </c>
      <c r="F90" s="2">
        <v>32441</v>
      </c>
      <c r="G90" s="2">
        <v>3.5600114619999998</v>
      </c>
      <c r="H90" s="3">
        <v>8.74E-16</v>
      </c>
      <c r="I90" s="3" t="s">
        <v>43558</v>
      </c>
      <c r="J90" s="3" t="s">
        <v>43559</v>
      </c>
      <c r="K90" s="3">
        <v>5.4099999999999998E-14</v>
      </c>
      <c r="L90" s="2" t="s">
        <v>35</v>
      </c>
      <c r="M90" s="4" t="s">
        <v>5577</v>
      </c>
    </row>
    <row r="91" spans="1:13">
      <c r="A91" s="2">
        <v>1787</v>
      </c>
      <c r="B91" s="2" t="s">
        <v>43560</v>
      </c>
      <c r="C91" s="2">
        <v>19</v>
      </c>
      <c r="D91" s="2">
        <v>291</v>
      </c>
      <c r="E91" s="2">
        <v>149</v>
      </c>
      <c r="F91" s="2">
        <v>32441</v>
      </c>
      <c r="G91" s="2">
        <v>14.21571069</v>
      </c>
      <c r="H91" s="3">
        <v>9.8600000000000005E-16</v>
      </c>
      <c r="I91" s="2" t="s">
        <v>43561</v>
      </c>
      <c r="J91" s="2" t="s">
        <v>43562</v>
      </c>
      <c r="K91" s="3">
        <v>6.0199999999999998E-14</v>
      </c>
      <c r="L91" s="2" t="s">
        <v>35</v>
      </c>
      <c r="M91" s="4" t="s">
        <v>43563</v>
      </c>
    </row>
    <row r="92" spans="1:13">
      <c r="A92" s="2">
        <v>3796</v>
      </c>
      <c r="B92" s="2" t="s">
        <v>43564</v>
      </c>
      <c r="C92" s="2">
        <v>15</v>
      </c>
      <c r="D92" s="2">
        <v>291</v>
      </c>
      <c r="E92" s="2">
        <v>71</v>
      </c>
      <c r="F92" s="2">
        <v>32441</v>
      </c>
      <c r="G92" s="2">
        <v>23.552344999999999</v>
      </c>
      <c r="H92" s="3">
        <v>1.48E-15</v>
      </c>
      <c r="I92" s="2" t="s">
        <v>43565</v>
      </c>
      <c r="J92" s="2" t="s">
        <v>43566</v>
      </c>
      <c r="K92" s="3">
        <v>8.8999999999999999E-14</v>
      </c>
      <c r="L92" s="2" t="s">
        <v>35</v>
      </c>
      <c r="M92" s="4" t="s">
        <v>43567</v>
      </c>
    </row>
    <row r="93" spans="1:13">
      <c r="A93" s="2">
        <v>1403</v>
      </c>
      <c r="B93" s="2" t="s">
        <v>35595</v>
      </c>
      <c r="C93" s="2">
        <v>15</v>
      </c>
      <c r="D93" s="2">
        <v>291</v>
      </c>
      <c r="E93" s="2">
        <v>73</v>
      </c>
      <c r="F93" s="2">
        <v>32441</v>
      </c>
      <c r="G93" s="2">
        <v>22.90707527</v>
      </c>
      <c r="H93" s="3">
        <v>2.1200000000000001E-15</v>
      </c>
      <c r="I93" s="2" t="s">
        <v>43568</v>
      </c>
      <c r="J93" s="2" t="s">
        <v>43569</v>
      </c>
      <c r="K93" s="3">
        <v>1.2599999999999999E-13</v>
      </c>
      <c r="L93" s="2" t="s">
        <v>35</v>
      </c>
      <c r="M93" s="4" t="s">
        <v>35598</v>
      </c>
    </row>
    <row r="94" spans="1:13">
      <c r="A94" s="2">
        <v>1597</v>
      </c>
      <c r="B94" s="2" t="s">
        <v>43570</v>
      </c>
      <c r="C94" s="2">
        <v>18</v>
      </c>
      <c r="D94" s="2">
        <v>291</v>
      </c>
      <c r="E94" s="2">
        <v>133</v>
      </c>
      <c r="F94" s="2">
        <v>32441</v>
      </c>
      <c r="G94" s="2">
        <v>15.08766762</v>
      </c>
      <c r="H94" s="3">
        <v>2.2299999999999999E-15</v>
      </c>
      <c r="I94" s="2" t="s">
        <v>43571</v>
      </c>
      <c r="J94" s="2" t="s">
        <v>43572</v>
      </c>
      <c r="K94" s="3">
        <v>1.31E-13</v>
      </c>
      <c r="L94" s="2" t="s">
        <v>35</v>
      </c>
      <c r="M94" s="4" t="s">
        <v>43573</v>
      </c>
    </row>
    <row r="95" spans="1:13">
      <c r="A95" s="2">
        <v>2966</v>
      </c>
      <c r="B95" s="2" t="s">
        <v>43574</v>
      </c>
      <c r="C95" s="2">
        <v>14</v>
      </c>
      <c r="D95" s="2">
        <v>291</v>
      </c>
      <c r="E95" s="2">
        <v>59</v>
      </c>
      <c r="F95" s="2">
        <v>32441</v>
      </c>
      <c r="G95" s="2">
        <v>26.453142289999999</v>
      </c>
      <c r="H95" s="3">
        <v>3.2600000000000001E-15</v>
      </c>
      <c r="I95" s="2" t="s">
        <v>43575</v>
      </c>
      <c r="J95" s="2" t="s">
        <v>43576</v>
      </c>
      <c r="K95" s="3">
        <v>1.89E-13</v>
      </c>
      <c r="L95" s="2" t="s">
        <v>35</v>
      </c>
      <c r="M95" s="4" t="s">
        <v>43577</v>
      </c>
    </row>
    <row r="96" spans="1:13">
      <c r="A96" s="2">
        <v>3976</v>
      </c>
      <c r="B96" s="2" t="s">
        <v>43578</v>
      </c>
      <c r="C96" s="2">
        <v>14</v>
      </c>
      <c r="D96" s="2">
        <v>291</v>
      </c>
      <c r="E96" s="2">
        <v>60</v>
      </c>
      <c r="F96" s="2">
        <v>32441</v>
      </c>
      <c r="G96" s="2">
        <v>26.01225659</v>
      </c>
      <c r="H96" s="3">
        <v>3.98E-15</v>
      </c>
      <c r="I96" s="2" t="s">
        <v>43579</v>
      </c>
      <c r="J96" s="2" t="s">
        <v>43580</v>
      </c>
      <c r="K96" s="3">
        <v>2.2899999999999998E-13</v>
      </c>
      <c r="L96" s="2" t="s">
        <v>35</v>
      </c>
      <c r="M96" s="4" t="s">
        <v>43581</v>
      </c>
    </row>
    <row r="97" spans="1:13">
      <c r="A97" s="2">
        <v>4675</v>
      </c>
      <c r="B97" s="2" t="s">
        <v>42436</v>
      </c>
      <c r="C97" s="2">
        <v>24</v>
      </c>
      <c r="D97" s="2">
        <v>291</v>
      </c>
      <c r="E97" s="2">
        <v>308</v>
      </c>
      <c r="F97" s="2">
        <v>32441</v>
      </c>
      <c r="G97" s="2">
        <v>8.6868389340000007</v>
      </c>
      <c r="H97" s="3">
        <v>4.4100000000000003E-15</v>
      </c>
      <c r="I97" s="2" t="s">
        <v>43582</v>
      </c>
      <c r="J97" s="2" t="s">
        <v>43583</v>
      </c>
      <c r="K97" s="3">
        <v>2.4999999999999999E-13</v>
      </c>
      <c r="L97" s="2" t="s">
        <v>35</v>
      </c>
      <c r="M97" s="4" t="s">
        <v>42439</v>
      </c>
    </row>
    <row r="98" spans="1:13">
      <c r="A98" s="2">
        <v>4719</v>
      </c>
      <c r="B98" s="2" t="s">
        <v>4430</v>
      </c>
      <c r="C98" s="2">
        <v>35</v>
      </c>
      <c r="D98" s="2">
        <v>291</v>
      </c>
      <c r="E98" s="2">
        <v>753</v>
      </c>
      <c r="F98" s="2">
        <v>32441</v>
      </c>
      <c r="G98" s="2">
        <v>5.1817244200000001</v>
      </c>
      <c r="H98" s="3">
        <v>6.3900000000000001E-15</v>
      </c>
      <c r="I98" s="2" t="s">
        <v>43584</v>
      </c>
      <c r="J98" s="2" t="s">
        <v>43585</v>
      </c>
      <c r="K98" s="3">
        <v>3.5799999999999999E-13</v>
      </c>
      <c r="L98" s="2" t="s">
        <v>35</v>
      </c>
      <c r="M98" s="4" t="s">
        <v>4433</v>
      </c>
    </row>
    <row r="99" spans="1:13">
      <c r="A99" s="2">
        <v>4015</v>
      </c>
      <c r="B99" s="2" t="s">
        <v>3612</v>
      </c>
      <c r="C99" s="2">
        <v>23</v>
      </c>
      <c r="D99" s="2">
        <v>291</v>
      </c>
      <c r="E99" s="2">
        <v>288</v>
      </c>
      <c r="F99" s="2">
        <v>32441</v>
      </c>
      <c r="G99" s="2">
        <v>8.9030044860000004</v>
      </c>
      <c r="H99" s="3">
        <v>1.0299999999999999E-14</v>
      </c>
      <c r="I99" s="2" t="s">
        <v>43586</v>
      </c>
      <c r="J99" s="2" t="s">
        <v>43587</v>
      </c>
      <c r="K99" s="3">
        <v>5.69E-13</v>
      </c>
      <c r="L99" s="2" t="s">
        <v>35</v>
      </c>
      <c r="M99" s="4" t="s">
        <v>3615</v>
      </c>
    </row>
    <row r="100" spans="1:13">
      <c r="A100" s="2">
        <v>1470</v>
      </c>
      <c r="B100" s="2" t="s">
        <v>43588</v>
      </c>
      <c r="C100" s="2">
        <v>13</v>
      </c>
      <c r="D100" s="2">
        <v>291</v>
      </c>
      <c r="E100" s="2">
        <v>50</v>
      </c>
      <c r="F100" s="2">
        <v>32441</v>
      </c>
      <c r="G100" s="2">
        <v>28.985085909999999</v>
      </c>
      <c r="H100" s="3">
        <v>1.17E-14</v>
      </c>
      <c r="I100" s="2" t="s">
        <v>43589</v>
      </c>
      <c r="J100" s="2" t="s">
        <v>43590</v>
      </c>
      <c r="K100" s="3">
        <v>6.3800000000000001E-13</v>
      </c>
      <c r="L100" s="2" t="s">
        <v>35</v>
      </c>
      <c r="M100" s="4" t="s">
        <v>43591</v>
      </c>
    </row>
    <row r="101" spans="1:13">
      <c r="A101" s="2">
        <v>3121</v>
      </c>
      <c r="B101" s="2" t="s">
        <v>43592</v>
      </c>
      <c r="C101" s="2">
        <v>19</v>
      </c>
      <c r="D101" s="2">
        <v>291</v>
      </c>
      <c r="E101" s="2">
        <v>178</v>
      </c>
      <c r="F101" s="2">
        <v>32441</v>
      </c>
      <c r="G101" s="2">
        <v>11.89966794</v>
      </c>
      <c r="H101" s="3">
        <v>1.9000000000000001E-14</v>
      </c>
      <c r="I101" s="2" t="s">
        <v>43593</v>
      </c>
      <c r="J101" s="2" t="s">
        <v>43594</v>
      </c>
      <c r="K101" s="3">
        <v>1.0300000000000001E-12</v>
      </c>
      <c r="L101" s="2" t="s">
        <v>35</v>
      </c>
      <c r="M101" s="4" t="s">
        <v>43595</v>
      </c>
    </row>
    <row r="102" spans="1:13">
      <c r="A102" s="2">
        <v>3719</v>
      </c>
      <c r="B102" s="2" t="s">
        <v>43596</v>
      </c>
      <c r="C102" s="2">
        <v>10</v>
      </c>
      <c r="D102" s="2">
        <v>291</v>
      </c>
      <c r="E102" s="2">
        <v>17</v>
      </c>
      <c r="F102" s="2">
        <v>32441</v>
      </c>
      <c r="G102" s="2">
        <v>65.577117439999995</v>
      </c>
      <c r="H102" s="3">
        <v>1.9499999999999999E-14</v>
      </c>
      <c r="I102" s="2" t="s">
        <v>43597</v>
      </c>
      <c r="J102" s="2" t="s">
        <v>43598</v>
      </c>
      <c r="K102" s="3">
        <v>1.04E-12</v>
      </c>
      <c r="L102" s="2" t="s">
        <v>35</v>
      </c>
      <c r="M102" s="4" t="s">
        <v>43599</v>
      </c>
    </row>
    <row r="103" spans="1:13">
      <c r="A103" s="2">
        <v>1703</v>
      </c>
      <c r="B103" s="2" t="s">
        <v>43600</v>
      </c>
      <c r="C103" s="2">
        <v>14</v>
      </c>
      <c r="D103" s="2">
        <v>291</v>
      </c>
      <c r="E103" s="2">
        <v>70</v>
      </c>
      <c r="F103" s="2">
        <v>32441</v>
      </c>
      <c r="G103" s="2">
        <v>22.296219929999999</v>
      </c>
      <c r="H103" s="3">
        <v>2.5599999999999999E-14</v>
      </c>
      <c r="I103" s="2" t="s">
        <v>43601</v>
      </c>
      <c r="J103" s="2" t="s">
        <v>43602</v>
      </c>
      <c r="K103" s="3">
        <v>1.3600000000000001E-12</v>
      </c>
      <c r="L103" s="2" t="s">
        <v>35</v>
      </c>
      <c r="M103" s="4" t="s">
        <v>43603</v>
      </c>
    </row>
    <row r="104" spans="1:13">
      <c r="A104" s="2">
        <v>2564</v>
      </c>
      <c r="B104" s="2" t="s">
        <v>43604</v>
      </c>
      <c r="C104" s="2">
        <v>11</v>
      </c>
      <c r="D104" s="2">
        <v>291</v>
      </c>
      <c r="E104" s="2">
        <v>33</v>
      </c>
      <c r="F104" s="2">
        <v>32441</v>
      </c>
      <c r="G104" s="2">
        <v>37.160366549999999</v>
      </c>
      <c r="H104" s="3">
        <v>1.3400000000000001E-13</v>
      </c>
      <c r="I104" s="2" t="s">
        <v>43605</v>
      </c>
      <c r="J104" s="2" t="s">
        <v>43606</v>
      </c>
      <c r="K104" s="3">
        <v>7.0200000000000004E-12</v>
      </c>
      <c r="L104" s="2" t="s">
        <v>35</v>
      </c>
      <c r="M104" s="4" t="s">
        <v>43607</v>
      </c>
    </row>
    <row r="105" spans="1:13">
      <c r="A105" s="2">
        <v>3013</v>
      </c>
      <c r="B105" s="2" t="s">
        <v>43608</v>
      </c>
      <c r="C105" s="2">
        <v>17</v>
      </c>
      <c r="D105" s="2">
        <v>291</v>
      </c>
      <c r="E105" s="2">
        <v>148</v>
      </c>
      <c r="F105" s="2">
        <v>32441</v>
      </c>
      <c r="G105" s="2">
        <v>12.80526145</v>
      </c>
      <c r="H105" s="3">
        <v>1.55E-13</v>
      </c>
      <c r="I105" s="2" t="s">
        <v>43609</v>
      </c>
      <c r="J105" s="2" t="s">
        <v>43610</v>
      </c>
      <c r="K105" s="3">
        <v>8.0500000000000006E-12</v>
      </c>
      <c r="L105" s="2" t="s">
        <v>35</v>
      </c>
      <c r="M105" s="4" t="s">
        <v>43611</v>
      </c>
    </row>
    <row r="106" spans="1:13">
      <c r="A106" s="2">
        <v>1981</v>
      </c>
      <c r="B106" s="2" t="s">
        <v>43612</v>
      </c>
      <c r="C106" s="2">
        <v>12</v>
      </c>
      <c r="D106" s="2">
        <v>291</v>
      </c>
      <c r="E106" s="2">
        <v>49</v>
      </c>
      <c r="F106" s="2">
        <v>32441</v>
      </c>
      <c r="G106" s="2">
        <v>27.301493789999999</v>
      </c>
      <c r="H106" s="3">
        <v>2.2999999999999998E-13</v>
      </c>
      <c r="I106" s="2" t="s">
        <v>43613</v>
      </c>
      <c r="J106" s="2" t="s">
        <v>43614</v>
      </c>
      <c r="K106" s="3">
        <v>1.1600000000000001E-11</v>
      </c>
      <c r="L106" s="2" t="s">
        <v>35</v>
      </c>
      <c r="M106" s="4" t="s">
        <v>43615</v>
      </c>
    </row>
    <row r="107" spans="1:13">
      <c r="A107" s="2">
        <v>4716</v>
      </c>
      <c r="B107" s="2" t="s">
        <v>43616</v>
      </c>
      <c r="C107" s="2">
        <v>11</v>
      </c>
      <c r="D107" s="2">
        <v>291</v>
      </c>
      <c r="E107" s="2">
        <v>35</v>
      </c>
      <c r="F107" s="2">
        <v>32441</v>
      </c>
      <c r="G107" s="2">
        <v>35.036917029999998</v>
      </c>
      <c r="H107" s="3">
        <v>2.2999999999999998E-13</v>
      </c>
      <c r="I107" s="2" t="s">
        <v>43617</v>
      </c>
      <c r="J107" s="2" t="s">
        <v>43618</v>
      </c>
      <c r="K107" s="3">
        <v>1.1600000000000001E-11</v>
      </c>
      <c r="L107" s="2" t="s">
        <v>35</v>
      </c>
      <c r="M107" s="4" t="s">
        <v>43619</v>
      </c>
    </row>
    <row r="108" spans="1:13">
      <c r="A108" s="2">
        <v>4088</v>
      </c>
      <c r="B108" s="2" t="s">
        <v>5691</v>
      </c>
      <c r="C108" s="2">
        <v>16</v>
      </c>
      <c r="D108" s="2">
        <v>291</v>
      </c>
      <c r="E108" s="2">
        <v>128</v>
      </c>
      <c r="F108" s="2">
        <v>32441</v>
      </c>
      <c r="G108" s="2">
        <v>13.93513746</v>
      </c>
      <c r="H108" s="3">
        <v>2.4999999999999999E-13</v>
      </c>
      <c r="I108" s="2" t="s">
        <v>43620</v>
      </c>
      <c r="J108" s="2" t="s">
        <v>43621</v>
      </c>
      <c r="K108" s="3">
        <v>1.25E-11</v>
      </c>
      <c r="L108" s="2" t="s">
        <v>35</v>
      </c>
      <c r="M108" s="4" t="s">
        <v>5694</v>
      </c>
    </row>
    <row r="109" spans="1:13">
      <c r="A109" s="2">
        <v>4377</v>
      </c>
      <c r="B109" s="2" t="s">
        <v>34795</v>
      </c>
      <c r="C109" s="2">
        <v>20</v>
      </c>
      <c r="D109" s="2">
        <v>291</v>
      </c>
      <c r="E109" s="2">
        <v>243</v>
      </c>
      <c r="F109" s="2">
        <v>32441</v>
      </c>
      <c r="G109" s="2">
        <v>9.1753991490000004</v>
      </c>
      <c r="H109" s="3">
        <v>3.5100000000000002E-13</v>
      </c>
      <c r="I109" s="2" t="s">
        <v>43622</v>
      </c>
      <c r="J109" s="2" t="s">
        <v>43623</v>
      </c>
      <c r="K109" s="3">
        <v>1.7399999999999999E-11</v>
      </c>
      <c r="L109" s="2" t="s">
        <v>35</v>
      </c>
      <c r="M109" s="4" t="s">
        <v>34798</v>
      </c>
    </row>
    <row r="110" spans="1:13">
      <c r="A110" s="2">
        <v>3001</v>
      </c>
      <c r="B110" s="2" t="s">
        <v>43624</v>
      </c>
      <c r="C110" s="2">
        <v>11</v>
      </c>
      <c r="D110" s="2">
        <v>291</v>
      </c>
      <c r="E110" s="2">
        <v>37</v>
      </c>
      <c r="F110" s="2">
        <v>32441</v>
      </c>
      <c r="G110" s="2">
        <v>33.143029630000001</v>
      </c>
      <c r="H110" s="3">
        <v>3.8299999999999998E-13</v>
      </c>
      <c r="I110" s="2" t="s">
        <v>43625</v>
      </c>
      <c r="J110" s="2" t="s">
        <v>43626</v>
      </c>
      <c r="K110" s="3">
        <v>1.8799999999999999E-11</v>
      </c>
      <c r="L110" s="2" t="s">
        <v>35</v>
      </c>
      <c r="M110" s="4" t="s">
        <v>43627</v>
      </c>
    </row>
    <row r="111" spans="1:13">
      <c r="A111" s="2">
        <v>4452</v>
      </c>
      <c r="B111" s="2" t="s">
        <v>25784</v>
      </c>
      <c r="C111" s="2">
        <v>40</v>
      </c>
      <c r="D111" s="2">
        <v>291</v>
      </c>
      <c r="E111" s="2">
        <v>1137</v>
      </c>
      <c r="F111" s="2">
        <v>32441</v>
      </c>
      <c r="G111" s="2">
        <v>3.9219384220000002</v>
      </c>
      <c r="H111" s="3">
        <v>4.0699999999999998E-13</v>
      </c>
      <c r="I111" s="2" t="s">
        <v>43628</v>
      </c>
      <c r="J111" s="2" t="s">
        <v>43629</v>
      </c>
      <c r="K111" s="3">
        <v>1.9799999999999999E-11</v>
      </c>
      <c r="L111" s="2" t="s">
        <v>35</v>
      </c>
      <c r="M111" s="4" t="s">
        <v>25787</v>
      </c>
    </row>
    <row r="112" spans="1:13">
      <c r="A112" s="2">
        <v>4204</v>
      </c>
      <c r="B112" s="2" t="s">
        <v>6046</v>
      </c>
      <c r="C112" s="2">
        <v>20</v>
      </c>
      <c r="D112" s="2">
        <v>291</v>
      </c>
      <c r="E112" s="2">
        <v>253</v>
      </c>
      <c r="F112" s="2">
        <v>32441</v>
      </c>
      <c r="G112" s="2">
        <v>8.812735151</v>
      </c>
      <c r="H112" s="3">
        <v>7.0300000000000003E-13</v>
      </c>
      <c r="I112" s="2" t="s">
        <v>43630</v>
      </c>
      <c r="J112" s="2" t="s">
        <v>43631</v>
      </c>
      <c r="K112" s="3">
        <v>3.3800000000000002E-11</v>
      </c>
      <c r="L112" s="2" t="s">
        <v>35</v>
      </c>
      <c r="M112" s="4" t="s">
        <v>6049</v>
      </c>
    </row>
    <row r="113" spans="1:13">
      <c r="A113" s="2">
        <v>4720</v>
      </c>
      <c r="B113" s="2" t="s">
        <v>43632</v>
      </c>
      <c r="C113" s="2">
        <v>11</v>
      </c>
      <c r="D113" s="2">
        <v>291</v>
      </c>
      <c r="E113" s="2">
        <v>40</v>
      </c>
      <c r="F113" s="2">
        <v>32441</v>
      </c>
      <c r="G113" s="2">
        <v>30.65730241</v>
      </c>
      <c r="H113" s="3">
        <v>7.8899999999999997E-13</v>
      </c>
      <c r="I113" s="2" t="s">
        <v>43633</v>
      </c>
      <c r="J113" s="2" t="s">
        <v>43634</v>
      </c>
      <c r="K113" s="3">
        <v>3.7599999999999998E-11</v>
      </c>
      <c r="L113" s="2" t="s">
        <v>35</v>
      </c>
      <c r="M113" s="4" t="s">
        <v>43635</v>
      </c>
    </row>
    <row r="114" spans="1:13">
      <c r="A114" s="2">
        <v>3110</v>
      </c>
      <c r="B114" s="2" t="s">
        <v>43636</v>
      </c>
      <c r="C114" s="2">
        <v>12</v>
      </c>
      <c r="D114" s="2">
        <v>291</v>
      </c>
      <c r="E114" s="2">
        <v>58</v>
      </c>
      <c r="F114" s="2">
        <v>32441</v>
      </c>
      <c r="G114" s="2">
        <v>23.065055099999999</v>
      </c>
      <c r="H114" s="3">
        <v>1.3100000000000001E-12</v>
      </c>
      <c r="I114" s="2" t="s">
        <v>43637</v>
      </c>
      <c r="J114" s="2" t="s">
        <v>43638</v>
      </c>
      <c r="K114" s="3">
        <v>6.1599999999999999E-11</v>
      </c>
      <c r="L114" s="2" t="s">
        <v>35</v>
      </c>
      <c r="M114" s="4" t="s">
        <v>43639</v>
      </c>
    </row>
    <row r="115" spans="1:13">
      <c r="A115" s="2">
        <v>3981</v>
      </c>
      <c r="B115" s="2" t="s">
        <v>34982</v>
      </c>
      <c r="C115" s="2">
        <v>14</v>
      </c>
      <c r="D115" s="2">
        <v>291</v>
      </c>
      <c r="E115" s="2">
        <v>99</v>
      </c>
      <c r="F115" s="2">
        <v>32441</v>
      </c>
      <c r="G115" s="2">
        <v>15.76500399</v>
      </c>
      <c r="H115" s="3">
        <v>1.76E-12</v>
      </c>
      <c r="I115" s="2" t="s">
        <v>43640</v>
      </c>
      <c r="J115" s="2" t="s">
        <v>43641</v>
      </c>
      <c r="K115" s="3">
        <v>8.2100000000000006E-11</v>
      </c>
      <c r="L115" s="2" t="s">
        <v>35</v>
      </c>
      <c r="M115" s="4" t="s">
        <v>34985</v>
      </c>
    </row>
    <row r="116" spans="1:13">
      <c r="A116" s="2">
        <v>4714</v>
      </c>
      <c r="B116" s="2" t="s">
        <v>43642</v>
      </c>
      <c r="C116" s="2">
        <v>19</v>
      </c>
      <c r="D116" s="2">
        <v>291</v>
      </c>
      <c r="E116" s="2">
        <v>238</v>
      </c>
      <c r="F116" s="2">
        <v>32441</v>
      </c>
      <c r="G116" s="2">
        <v>8.8997516529999992</v>
      </c>
      <c r="H116" s="3">
        <v>2.28E-12</v>
      </c>
      <c r="I116" s="2" t="s">
        <v>43643</v>
      </c>
      <c r="J116" s="2" t="s">
        <v>43644</v>
      </c>
      <c r="K116" s="3">
        <v>1.05E-10</v>
      </c>
      <c r="L116" s="2" t="s">
        <v>35</v>
      </c>
      <c r="M116" s="4" t="s">
        <v>43645</v>
      </c>
    </row>
    <row r="117" spans="1:13">
      <c r="A117" s="2">
        <v>4225</v>
      </c>
      <c r="B117" s="2" t="s">
        <v>43646</v>
      </c>
      <c r="C117" s="2">
        <v>21</v>
      </c>
      <c r="D117" s="2">
        <v>291</v>
      </c>
      <c r="E117" s="2">
        <v>306</v>
      </c>
      <c r="F117" s="2">
        <v>32441</v>
      </c>
      <c r="G117" s="2">
        <v>7.6506637020000001</v>
      </c>
      <c r="H117" s="3">
        <v>2.33E-12</v>
      </c>
      <c r="I117" s="2" t="s">
        <v>43647</v>
      </c>
      <c r="J117" s="2" t="s">
        <v>43648</v>
      </c>
      <c r="K117" s="3">
        <v>1.0700000000000001E-10</v>
      </c>
      <c r="L117" s="2" t="s">
        <v>35</v>
      </c>
      <c r="M117" s="4" t="s">
        <v>43649</v>
      </c>
    </row>
    <row r="118" spans="1:13">
      <c r="A118" s="2">
        <v>3099</v>
      </c>
      <c r="B118" s="2" t="s">
        <v>43650</v>
      </c>
      <c r="C118" s="2">
        <v>12</v>
      </c>
      <c r="D118" s="2">
        <v>291</v>
      </c>
      <c r="E118" s="2">
        <v>64</v>
      </c>
      <c r="F118" s="2">
        <v>32441</v>
      </c>
      <c r="G118" s="2">
        <v>20.90270619</v>
      </c>
      <c r="H118" s="3">
        <v>3.6300000000000001E-12</v>
      </c>
      <c r="I118" s="2" t="s">
        <v>43651</v>
      </c>
      <c r="J118" s="2" t="s">
        <v>43652</v>
      </c>
      <c r="K118" s="3">
        <v>1.65E-10</v>
      </c>
      <c r="L118" s="2" t="s">
        <v>35</v>
      </c>
      <c r="M118" s="4" t="s">
        <v>43653</v>
      </c>
    </row>
    <row r="119" spans="1:13">
      <c r="A119" s="2">
        <v>1776</v>
      </c>
      <c r="B119" s="2" t="s">
        <v>43654</v>
      </c>
      <c r="C119" s="2">
        <v>17</v>
      </c>
      <c r="D119" s="2">
        <v>291</v>
      </c>
      <c r="E119" s="2">
        <v>185</v>
      </c>
      <c r="F119" s="2">
        <v>32441</v>
      </c>
      <c r="G119" s="2">
        <v>10.24420916</v>
      </c>
      <c r="H119" s="3">
        <v>4.2399999999999997E-12</v>
      </c>
      <c r="I119" s="2" t="s">
        <v>43655</v>
      </c>
      <c r="J119" s="2" t="s">
        <v>43656</v>
      </c>
      <c r="K119" s="3">
        <v>1.9100000000000001E-10</v>
      </c>
      <c r="L119" s="2" t="s">
        <v>35</v>
      </c>
      <c r="M119" s="4" t="s">
        <v>43657</v>
      </c>
    </row>
    <row r="120" spans="1:13">
      <c r="A120" s="2">
        <v>3079</v>
      </c>
      <c r="B120" s="2" t="s">
        <v>43658</v>
      </c>
      <c r="C120" s="2">
        <v>14</v>
      </c>
      <c r="D120" s="2">
        <v>291</v>
      </c>
      <c r="E120" s="2">
        <v>108</v>
      </c>
      <c r="F120" s="2">
        <v>32441</v>
      </c>
      <c r="G120" s="2">
        <v>14.451253660000001</v>
      </c>
      <c r="H120" s="3">
        <v>5.1099999999999998E-12</v>
      </c>
      <c r="I120" s="2" t="s">
        <v>43575</v>
      </c>
      <c r="J120" s="2" t="s">
        <v>43576</v>
      </c>
      <c r="K120" s="3">
        <v>2.2699999999999999E-10</v>
      </c>
      <c r="L120" s="2" t="s">
        <v>35</v>
      </c>
      <c r="M120" s="4" t="s">
        <v>43659</v>
      </c>
    </row>
    <row r="121" spans="1:13">
      <c r="A121" s="2">
        <v>2478</v>
      </c>
      <c r="B121" s="2" t="s">
        <v>43660</v>
      </c>
      <c r="C121" s="2">
        <v>14</v>
      </c>
      <c r="D121" s="2">
        <v>291</v>
      </c>
      <c r="E121" s="2">
        <v>110</v>
      </c>
      <c r="F121" s="2">
        <v>32441</v>
      </c>
      <c r="G121" s="2">
        <v>14.18850359</v>
      </c>
      <c r="H121" s="3">
        <v>6.4000000000000002E-12</v>
      </c>
      <c r="I121" s="2" t="s">
        <v>43661</v>
      </c>
      <c r="J121" s="2" t="s">
        <v>43662</v>
      </c>
      <c r="K121" s="3">
        <v>2.8200000000000001E-10</v>
      </c>
      <c r="L121" s="2" t="s">
        <v>35</v>
      </c>
      <c r="M121" s="4" t="s">
        <v>43663</v>
      </c>
    </row>
    <row r="122" spans="1:13">
      <c r="A122" s="2">
        <v>3696</v>
      </c>
      <c r="B122" s="2" t="s">
        <v>43664</v>
      </c>
      <c r="C122" s="2">
        <v>8</v>
      </c>
      <c r="D122" s="2">
        <v>291</v>
      </c>
      <c r="E122" s="2">
        <v>13</v>
      </c>
      <c r="F122" s="2">
        <v>32441</v>
      </c>
      <c r="G122" s="2">
        <v>68.60375363</v>
      </c>
      <c r="H122" s="3">
        <v>6.5199999999999997E-12</v>
      </c>
      <c r="I122" s="2" t="s">
        <v>43665</v>
      </c>
      <c r="J122" s="2" t="s">
        <v>43666</v>
      </c>
      <c r="K122" s="3">
        <v>2.85E-10</v>
      </c>
      <c r="L122" s="2" t="s">
        <v>35</v>
      </c>
      <c r="M122" s="4" t="s">
        <v>43667</v>
      </c>
    </row>
    <row r="123" spans="1:13">
      <c r="A123" s="2">
        <v>4172</v>
      </c>
      <c r="B123" s="2" t="s">
        <v>43668</v>
      </c>
      <c r="C123" s="2">
        <v>16</v>
      </c>
      <c r="D123" s="2">
        <v>291</v>
      </c>
      <c r="E123" s="2">
        <v>166</v>
      </c>
      <c r="F123" s="2">
        <v>32441</v>
      </c>
      <c r="G123" s="2">
        <v>10.745166230000001</v>
      </c>
      <c r="H123" s="3">
        <v>9.4400000000000002E-12</v>
      </c>
      <c r="I123" s="2" t="s">
        <v>43669</v>
      </c>
      <c r="J123" s="2" t="s">
        <v>43670</v>
      </c>
      <c r="K123" s="3">
        <v>4.0899999999999998E-10</v>
      </c>
      <c r="L123" s="2" t="s">
        <v>35</v>
      </c>
      <c r="M123" s="4" t="s">
        <v>43671</v>
      </c>
    </row>
    <row r="124" spans="1:13">
      <c r="A124" s="2">
        <v>4465</v>
      </c>
      <c r="B124" s="2" t="s">
        <v>43672</v>
      </c>
      <c r="C124" s="2">
        <v>9</v>
      </c>
      <c r="D124" s="2">
        <v>291</v>
      </c>
      <c r="E124" s="2">
        <v>25</v>
      </c>
      <c r="F124" s="2">
        <v>32441</v>
      </c>
      <c r="G124" s="2">
        <v>40.133195880000002</v>
      </c>
      <c r="H124" s="3">
        <v>1.32E-11</v>
      </c>
      <c r="I124" s="2" t="s">
        <v>43673</v>
      </c>
      <c r="J124" s="2" t="s">
        <v>43674</v>
      </c>
      <c r="K124" s="3">
        <v>5.68E-10</v>
      </c>
      <c r="L124" s="2" t="s">
        <v>35</v>
      </c>
      <c r="M124" s="4" t="s">
        <v>43675</v>
      </c>
    </row>
    <row r="125" spans="1:13">
      <c r="A125" s="2">
        <v>4436</v>
      </c>
      <c r="B125" s="2" t="s">
        <v>24592</v>
      </c>
      <c r="C125" s="2">
        <v>25</v>
      </c>
      <c r="D125" s="2">
        <v>291</v>
      </c>
      <c r="E125" s="2">
        <v>504</v>
      </c>
      <c r="F125" s="2">
        <v>32441</v>
      </c>
      <c r="G125" s="2">
        <v>5.5298164510000003</v>
      </c>
      <c r="H125" s="3">
        <v>1.54E-11</v>
      </c>
      <c r="I125" s="2" t="s">
        <v>43676</v>
      </c>
      <c r="J125" s="2" t="s">
        <v>43677</v>
      </c>
      <c r="K125" s="3">
        <v>6.5300000000000002E-10</v>
      </c>
      <c r="L125" s="2" t="s">
        <v>35</v>
      </c>
      <c r="M125" s="4" t="s">
        <v>24595</v>
      </c>
    </row>
    <row r="126" spans="1:13">
      <c r="A126" s="2">
        <v>3860</v>
      </c>
      <c r="B126" s="2" t="s">
        <v>43678</v>
      </c>
      <c r="C126" s="2">
        <v>15</v>
      </c>
      <c r="D126" s="2">
        <v>291</v>
      </c>
      <c r="E126" s="2">
        <v>153</v>
      </c>
      <c r="F126" s="2">
        <v>32441</v>
      </c>
      <c r="G126" s="2">
        <v>10.92951957</v>
      </c>
      <c r="H126" s="3">
        <v>3.3999999999999999E-11</v>
      </c>
      <c r="I126" s="2" t="s">
        <v>43679</v>
      </c>
      <c r="J126" s="2" t="s">
        <v>43680</v>
      </c>
      <c r="K126" s="3">
        <v>1.43E-9</v>
      </c>
      <c r="L126" s="2" t="s">
        <v>35</v>
      </c>
      <c r="M126" s="4" t="s">
        <v>43681</v>
      </c>
    </row>
    <row r="127" spans="1:13">
      <c r="A127" s="2">
        <v>485</v>
      </c>
      <c r="B127" s="2" t="s">
        <v>43682</v>
      </c>
      <c r="C127" s="2">
        <v>10</v>
      </c>
      <c r="D127" s="2">
        <v>291</v>
      </c>
      <c r="E127" s="2">
        <v>43</v>
      </c>
      <c r="F127" s="2">
        <v>32441</v>
      </c>
      <c r="G127" s="2">
        <v>25.925837130000001</v>
      </c>
      <c r="H127" s="3">
        <v>3.6799999999999998E-11</v>
      </c>
      <c r="I127" s="2" t="s">
        <v>43683</v>
      </c>
      <c r="J127" s="2" t="s">
        <v>43684</v>
      </c>
      <c r="K127" s="3">
        <v>1.5400000000000001E-9</v>
      </c>
      <c r="L127" s="2" t="s">
        <v>35</v>
      </c>
      <c r="M127" s="4" t="s">
        <v>43685</v>
      </c>
    </row>
    <row r="128" spans="1:13">
      <c r="A128" s="2">
        <v>1330</v>
      </c>
      <c r="B128" s="2" t="s">
        <v>35111</v>
      </c>
      <c r="C128" s="2">
        <v>19</v>
      </c>
      <c r="D128" s="2">
        <v>291</v>
      </c>
      <c r="E128" s="2">
        <v>285</v>
      </c>
      <c r="F128" s="2">
        <v>32441</v>
      </c>
      <c r="G128" s="2">
        <v>7.4320733099999998</v>
      </c>
      <c r="H128" s="3">
        <v>4.2500000000000002E-11</v>
      </c>
      <c r="I128" s="2" t="s">
        <v>43686</v>
      </c>
      <c r="J128" s="2" t="s">
        <v>43687</v>
      </c>
      <c r="K128" s="3">
        <v>1.7599999999999999E-9</v>
      </c>
      <c r="L128" s="2" t="s">
        <v>35</v>
      </c>
      <c r="M128" s="4" t="s">
        <v>35114</v>
      </c>
    </row>
    <row r="129" spans="1:13">
      <c r="A129" s="2">
        <v>1748</v>
      </c>
      <c r="B129" s="2" t="s">
        <v>43688</v>
      </c>
      <c r="C129" s="2">
        <v>10</v>
      </c>
      <c r="D129" s="2">
        <v>291</v>
      </c>
      <c r="E129" s="2">
        <v>45</v>
      </c>
      <c r="F129" s="2">
        <v>32441</v>
      </c>
      <c r="G129" s="2">
        <v>24.773577700000001</v>
      </c>
      <c r="H129" s="3">
        <v>5.4300000000000002E-11</v>
      </c>
      <c r="I129" s="2" t="s">
        <v>43689</v>
      </c>
      <c r="J129" s="2" t="s">
        <v>43690</v>
      </c>
      <c r="K129" s="3">
        <v>2.23E-9</v>
      </c>
      <c r="L129" s="2" t="s">
        <v>35</v>
      </c>
      <c r="M129" s="4" t="s">
        <v>43691</v>
      </c>
    </row>
    <row r="130" spans="1:13">
      <c r="A130" s="2">
        <v>2704</v>
      </c>
      <c r="B130" s="2" t="s">
        <v>43692</v>
      </c>
      <c r="C130" s="2">
        <v>12</v>
      </c>
      <c r="D130" s="2">
        <v>291</v>
      </c>
      <c r="E130" s="2">
        <v>84</v>
      </c>
      <c r="F130" s="2">
        <v>32441</v>
      </c>
      <c r="G130" s="2">
        <v>15.92587138</v>
      </c>
      <c r="H130" s="3">
        <v>6.2500000000000004E-11</v>
      </c>
      <c r="I130" s="2" t="s">
        <v>43693</v>
      </c>
      <c r="J130" s="2" t="s">
        <v>43694</v>
      </c>
      <c r="K130" s="3">
        <v>2.5399999999999999E-9</v>
      </c>
      <c r="L130" s="2" t="s">
        <v>35</v>
      </c>
      <c r="M130" s="4" t="s">
        <v>43695</v>
      </c>
    </row>
    <row r="131" spans="1:13">
      <c r="A131" s="2">
        <v>2429</v>
      </c>
      <c r="B131" s="2" t="s">
        <v>6598</v>
      </c>
      <c r="C131" s="2">
        <v>36</v>
      </c>
      <c r="D131" s="2">
        <v>291</v>
      </c>
      <c r="E131" s="2">
        <v>1118</v>
      </c>
      <c r="F131" s="2">
        <v>32441</v>
      </c>
      <c r="G131" s="2">
        <v>3.589731295</v>
      </c>
      <c r="H131" s="3">
        <v>7.4300000000000005E-11</v>
      </c>
      <c r="I131" s="2" t="s">
        <v>43696</v>
      </c>
      <c r="J131" s="2" t="s">
        <v>43697</v>
      </c>
      <c r="K131" s="3">
        <v>3E-9</v>
      </c>
      <c r="L131" s="2" t="s">
        <v>35</v>
      </c>
      <c r="M131" s="4" t="s">
        <v>6601</v>
      </c>
    </row>
    <row r="132" spans="1:13">
      <c r="A132" s="2">
        <v>3969</v>
      </c>
      <c r="B132" s="2" t="s">
        <v>25537</v>
      </c>
      <c r="C132" s="2">
        <v>23</v>
      </c>
      <c r="D132" s="2">
        <v>291</v>
      </c>
      <c r="E132" s="2">
        <v>457</v>
      </c>
      <c r="F132" s="2">
        <v>32441</v>
      </c>
      <c r="G132" s="2">
        <v>5.6106461530000002</v>
      </c>
      <c r="H132" s="3">
        <v>7.85E-11</v>
      </c>
      <c r="I132" s="2" t="s">
        <v>43698</v>
      </c>
      <c r="J132" s="2" t="s">
        <v>43699</v>
      </c>
      <c r="K132" s="3">
        <v>3.1399999999999999E-9</v>
      </c>
      <c r="L132" s="2" t="s">
        <v>35</v>
      </c>
      <c r="M132" s="4" t="s">
        <v>25540</v>
      </c>
    </row>
    <row r="133" spans="1:13">
      <c r="A133" s="2">
        <v>3770</v>
      </c>
      <c r="B133" s="2" t="s">
        <v>5473</v>
      </c>
      <c r="C133" s="2">
        <v>15</v>
      </c>
      <c r="D133" s="2">
        <v>291</v>
      </c>
      <c r="E133" s="2">
        <v>165</v>
      </c>
      <c r="F133" s="2">
        <v>32441</v>
      </c>
      <c r="G133" s="2">
        <v>10.13464542</v>
      </c>
      <c r="H133" s="3">
        <v>9.0999999999999996E-11</v>
      </c>
      <c r="I133" s="2" t="s">
        <v>43700</v>
      </c>
      <c r="J133" s="2" t="s">
        <v>43701</v>
      </c>
      <c r="K133" s="3">
        <v>3.6100000000000001E-9</v>
      </c>
      <c r="L133" s="2" t="s">
        <v>35</v>
      </c>
      <c r="M133" s="4" t="s">
        <v>5476</v>
      </c>
    </row>
    <row r="134" spans="1:13">
      <c r="A134" s="2">
        <v>1666</v>
      </c>
      <c r="B134" s="2" t="s">
        <v>518</v>
      </c>
      <c r="C134" s="2">
        <v>40</v>
      </c>
      <c r="D134" s="2">
        <v>291</v>
      </c>
      <c r="E134" s="2">
        <v>1375</v>
      </c>
      <c r="F134" s="2">
        <v>32441</v>
      </c>
      <c r="G134" s="2">
        <v>3.2430865350000002</v>
      </c>
      <c r="H134" s="3">
        <v>1.1399999999999999E-10</v>
      </c>
      <c r="I134" s="2" t="s">
        <v>43702</v>
      </c>
      <c r="J134" s="2" t="s">
        <v>43703</v>
      </c>
      <c r="K134" s="3">
        <v>4.4800000000000002E-9</v>
      </c>
      <c r="L134" s="2" t="s">
        <v>35</v>
      </c>
      <c r="M134" s="4" t="s">
        <v>4762</v>
      </c>
    </row>
    <row r="135" spans="1:13">
      <c r="A135" s="2">
        <v>1658</v>
      </c>
      <c r="B135" s="2" t="s">
        <v>5801</v>
      </c>
      <c r="C135" s="2">
        <v>16</v>
      </c>
      <c r="D135" s="2">
        <v>291</v>
      </c>
      <c r="E135" s="2">
        <v>199</v>
      </c>
      <c r="F135" s="2">
        <v>32441</v>
      </c>
      <c r="G135" s="2">
        <v>8.9633044949999992</v>
      </c>
      <c r="H135" s="3">
        <v>1.16E-10</v>
      </c>
      <c r="I135" s="2" t="s">
        <v>43704</v>
      </c>
      <c r="J135" s="2" t="s">
        <v>43705</v>
      </c>
      <c r="K135" s="3">
        <v>4.5399999999999996E-9</v>
      </c>
      <c r="L135" s="2" t="s">
        <v>35</v>
      </c>
      <c r="M135" s="4" t="s">
        <v>5804</v>
      </c>
    </row>
    <row r="136" spans="1:13">
      <c r="A136" s="2">
        <v>2435</v>
      </c>
      <c r="B136" s="2" t="s">
        <v>43706</v>
      </c>
      <c r="C136" s="2">
        <v>9</v>
      </c>
      <c r="D136" s="2">
        <v>291</v>
      </c>
      <c r="E136" s="2">
        <v>34</v>
      </c>
      <c r="F136" s="2">
        <v>32441</v>
      </c>
      <c r="G136" s="2">
        <v>29.50970285</v>
      </c>
      <c r="H136" s="3">
        <v>1.3300000000000001E-10</v>
      </c>
      <c r="I136" s="2" t="s">
        <v>43707</v>
      </c>
      <c r="J136" s="2" t="s">
        <v>43708</v>
      </c>
      <c r="K136" s="3">
        <v>5.14E-9</v>
      </c>
      <c r="L136" s="2" t="s">
        <v>35</v>
      </c>
      <c r="M136" s="4" t="s">
        <v>43709</v>
      </c>
    </row>
    <row r="137" spans="1:13">
      <c r="A137" s="2">
        <v>4387</v>
      </c>
      <c r="B137" s="2" t="s">
        <v>43710</v>
      </c>
      <c r="C137" s="2">
        <v>13</v>
      </c>
      <c r="D137" s="2">
        <v>291</v>
      </c>
      <c r="E137" s="2">
        <v>115</v>
      </c>
      <c r="F137" s="2">
        <v>32441</v>
      </c>
      <c r="G137" s="2">
        <v>12.60221127</v>
      </c>
      <c r="H137" s="3">
        <v>1.41E-10</v>
      </c>
      <c r="I137" s="2" t="s">
        <v>43711</v>
      </c>
      <c r="J137" s="2" t="s">
        <v>43712</v>
      </c>
      <c r="K137" s="3">
        <v>5.4199999999999999E-9</v>
      </c>
      <c r="L137" s="2" t="s">
        <v>35</v>
      </c>
      <c r="M137" s="4" t="s">
        <v>43713</v>
      </c>
    </row>
    <row r="138" spans="1:13">
      <c r="A138" s="2">
        <v>1819</v>
      </c>
      <c r="B138" s="2" t="s">
        <v>585</v>
      </c>
      <c r="C138" s="2">
        <v>18</v>
      </c>
      <c r="D138" s="2">
        <v>291</v>
      </c>
      <c r="E138" s="2">
        <v>271</v>
      </c>
      <c r="F138" s="2">
        <v>32441</v>
      </c>
      <c r="G138" s="2">
        <v>7.4046486859999998</v>
      </c>
      <c r="H138" s="3">
        <v>1.4800000000000001E-10</v>
      </c>
      <c r="I138" s="2" t="s">
        <v>43714</v>
      </c>
      <c r="J138" s="2" t="s">
        <v>43715</v>
      </c>
      <c r="K138" s="3">
        <v>5.6299999999999998E-9</v>
      </c>
      <c r="L138" s="2" t="s">
        <v>35</v>
      </c>
      <c r="M138" s="4" t="s">
        <v>43716</v>
      </c>
    </row>
    <row r="139" spans="1:13">
      <c r="A139" s="2">
        <v>2225</v>
      </c>
      <c r="B139" s="2" t="s">
        <v>5483</v>
      </c>
      <c r="C139" s="2">
        <v>21</v>
      </c>
      <c r="D139" s="2">
        <v>291</v>
      </c>
      <c r="E139" s="2">
        <v>390</v>
      </c>
      <c r="F139" s="2">
        <v>32441</v>
      </c>
      <c r="G139" s="2">
        <v>6.0028284430000003</v>
      </c>
      <c r="H139" s="3">
        <v>1.6699999999999999E-10</v>
      </c>
      <c r="I139" s="2" t="s">
        <v>43717</v>
      </c>
      <c r="J139" s="2" t="s">
        <v>43718</v>
      </c>
      <c r="K139" s="3">
        <v>6.3199999999999997E-9</v>
      </c>
      <c r="L139" s="2" t="s">
        <v>35</v>
      </c>
      <c r="M139" s="4" t="s">
        <v>5486</v>
      </c>
    </row>
    <row r="140" spans="1:13">
      <c r="A140" s="2">
        <v>2427</v>
      </c>
      <c r="B140" s="2" t="s">
        <v>6412</v>
      </c>
      <c r="C140" s="2">
        <v>34</v>
      </c>
      <c r="D140" s="2">
        <v>291</v>
      </c>
      <c r="E140" s="2">
        <v>1038</v>
      </c>
      <c r="F140" s="2">
        <v>32441</v>
      </c>
      <c r="G140" s="2">
        <v>3.651596713</v>
      </c>
      <c r="H140" s="3">
        <v>1.7000000000000001E-10</v>
      </c>
      <c r="I140" s="2" t="s">
        <v>43719</v>
      </c>
      <c r="J140" s="2" t="s">
        <v>43720</v>
      </c>
      <c r="K140" s="3">
        <v>6.3700000000000001E-9</v>
      </c>
      <c r="L140" s="2" t="s">
        <v>35</v>
      </c>
      <c r="M140" s="4" t="s">
        <v>6415</v>
      </c>
    </row>
    <row r="141" spans="1:13">
      <c r="A141" s="2">
        <v>1600</v>
      </c>
      <c r="B141" s="2" t="s">
        <v>43721</v>
      </c>
      <c r="C141" s="2">
        <v>14</v>
      </c>
      <c r="D141" s="2">
        <v>291</v>
      </c>
      <c r="E141" s="2">
        <v>146</v>
      </c>
      <c r="F141" s="2">
        <v>32441</v>
      </c>
      <c r="G141" s="2">
        <v>10.689968459999999</v>
      </c>
      <c r="H141" s="3">
        <v>2.03E-10</v>
      </c>
      <c r="I141" s="2" t="s">
        <v>43722</v>
      </c>
      <c r="J141" s="2" t="s">
        <v>43723</v>
      </c>
      <c r="K141" s="3">
        <v>7.5699999999999993E-9</v>
      </c>
      <c r="L141" s="2" t="s">
        <v>35</v>
      </c>
      <c r="M141" s="4" t="s">
        <v>43724</v>
      </c>
    </row>
    <row r="142" spans="1:13">
      <c r="A142" s="2">
        <v>4492</v>
      </c>
      <c r="B142" s="2" t="s">
        <v>6528</v>
      </c>
      <c r="C142" s="2">
        <v>13</v>
      </c>
      <c r="D142" s="2">
        <v>291</v>
      </c>
      <c r="E142" s="2">
        <v>121</v>
      </c>
      <c r="F142" s="2">
        <v>32441</v>
      </c>
      <c r="G142" s="2">
        <v>11.97730823</v>
      </c>
      <c r="H142" s="3">
        <v>2.5100000000000001E-10</v>
      </c>
      <c r="I142" s="2" t="s">
        <v>43725</v>
      </c>
      <c r="J142" s="2" t="s">
        <v>43726</v>
      </c>
      <c r="K142" s="3">
        <v>9.2699999999999996E-9</v>
      </c>
      <c r="L142" s="2" t="s">
        <v>35</v>
      </c>
      <c r="M142" s="4" t="s">
        <v>6531</v>
      </c>
    </row>
    <row r="143" spans="1:13">
      <c r="A143" s="2">
        <v>1708</v>
      </c>
      <c r="B143" s="2" t="s">
        <v>4070</v>
      </c>
      <c r="C143" s="2">
        <v>22</v>
      </c>
      <c r="D143" s="2">
        <v>291</v>
      </c>
      <c r="E143" s="2">
        <v>443</v>
      </c>
      <c r="F143" s="2">
        <v>32441</v>
      </c>
      <c r="G143" s="2">
        <v>5.5363074320000001</v>
      </c>
      <c r="H143" s="3">
        <v>2.6099999999999998E-10</v>
      </c>
      <c r="I143" s="2" t="s">
        <v>43727</v>
      </c>
      <c r="J143" s="2" t="s">
        <v>43728</v>
      </c>
      <c r="K143" s="3">
        <v>9.5499999999999995E-9</v>
      </c>
      <c r="L143" s="2" t="s">
        <v>35</v>
      </c>
      <c r="M143" s="4" t="s">
        <v>4073</v>
      </c>
    </row>
    <row r="144" spans="1:13">
      <c r="A144" s="2">
        <v>942</v>
      </c>
      <c r="B144" s="2" t="s">
        <v>43729</v>
      </c>
      <c r="C144" s="2">
        <v>13</v>
      </c>
      <c r="D144" s="2">
        <v>291</v>
      </c>
      <c r="E144" s="2">
        <v>122</v>
      </c>
      <c r="F144" s="2">
        <v>32441</v>
      </c>
      <c r="G144" s="2">
        <v>11.87913357</v>
      </c>
      <c r="H144" s="3">
        <v>2.7599999999999998E-10</v>
      </c>
      <c r="I144" s="2" t="s">
        <v>43730</v>
      </c>
      <c r="J144" s="2" t="s">
        <v>43731</v>
      </c>
      <c r="K144" s="3">
        <v>1E-8</v>
      </c>
      <c r="L144" s="2" t="s">
        <v>35</v>
      </c>
      <c r="M144" s="4" t="s">
        <v>43732</v>
      </c>
    </row>
    <row r="145" spans="1:13">
      <c r="A145" s="2">
        <v>4271</v>
      </c>
      <c r="B145" s="2" t="s">
        <v>43733</v>
      </c>
      <c r="C145" s="2">
        <v>9</v>
      </c>
      <c r="D145" s="2">
        <v>291</v>
      </c>
      <c r="E145" s="2">
        <v>38</v>
      </c>
      <c r="F145" s="2">
        <v>32441</v>
      </c>
      <c r="G145" s="2">
        <v>26.403418340000002</v>
      </c>
      <c r="H145" s="3">
        <v>3.1100000000000001E-10</v>
      </c>
      <c r="I145" s="2" t="s">
        <v>43734</v>
      </c>
      <c r="J145" s="2" t="s">
        <v>43735</v>
      </c>
      <c r="K145" s="3">
        <v>1.1199999999999999E-8</v>
      </c>
      <c r="L145" s="2" t="s">
        <v>35</v>
      </c>
      <c r="M145" s="4" t="s">
        <v>43736</v>
      </c>
    </row>
    <row r="146" spans="1:13">
      <c r="A146" s="2">
        <v>1392</v>
      </c>
      <c r="B146" s="2" t="s">
        <v>43737</v>
      </c>
      <c r="C146" s="2">
        <v>15</v>
      </c>
      <c r="D146" s="2">
        <v>291</v>
      </c>
      <c r="E146" s="2">
        <v>182</v>
      </c>
      <c r="F146" s="2">
        <v>32441</v>
      </c>
      <c r="G146" s="2">
        <v>9.188002719</v>
      </c>
      <c r="H146" s="3">
        <v>3.2500000000000002E-10</v>
      </c>
      <c r="I146" s="2" t="s">
        <v>43738</v>
      </c>
      <c r="J146" s="2" t="s">
        <v>43739</v>
      </c>
      <c r="K146" s="3">
        <v>1.16E-8</v>
      </c>
      <c r="L146" s="2" t="s">
        <v>35</v>
      </c>
      <c r="M146" s="4" t="s">
        <v>43740</v>
      </c>
    </row>
    <row r="147" spans="1:13">
      <c r="A147" s="2">
        <v>4372</v>
      </c>
      <c r="B147" s="2" t="s">
        <v>3677</v>
      </c>
      <c r="C147" s="2">
        <v>16</v>
      </c>
      <c r="D147" s="2">
        <v>291</v>
      </c>
      <c r="E147" s="2">
        <v>216</v>
      </c>
      <c r="F147" s="2">
        <v>32441</v>
      </c>
      <c r="G147" s="2">
        <v>8.2578592339999997</v>
      </c>
      <c r="H147" s="3">
        <v>3.58E-10</v>
      </c>
      <c r="I147" s="2" t="s">
        <v>43741</v>
      </c>
      <c r="J147" s="2" t="s">
        <v>43742</v>
      </c>
      <c r="K147" s="3">
        <v>1.27E-8</v>
      </c>
      <c r="L147" s="2" t="s">
        <v>35</v>
      </c>
      <c r="M147" s="4" t="s">
        <v>3680</v>
      </c>
    </row>
    <row r="148" spans="1:13">
      <c r="A148" s="2">
        <v>978</v>
      </c>
      <c r="B148" s="2" t="s">
        <v>43743</v>
      </c>
      <c r="C148" s="2">
        <v>9</v>
      </c>
      <c r="D148" s="2">
        <v>291</v>
      </c>
      <c r="E148" s="2">
        <v>39</v>
      </c>
      <c r="F148" s="2">
        <v>32441</v>
      </c>
      <c r="G148" s="2">
        <v>25.726407609999999</v>
      </c>
      <c r="H148" s="3">
        <v>3.7999999999999998E-10</v>
      </c>
      <c r="I148" s="2" t="s">
        <v>43744</v>
      </c>
      <c r="J148" s="2" t="s">
        <v>43745</v>
      </c>
      <c r="K148" s="3">
        <v>1.33E-8</v>
      </c>
      <c r="L148" s="2" t="s">
        <v>35</v>
      </c>
      <c r="M148" s="4" t="s">
        <v>43746</v>
      </c>
    </row>
    <row r="149" spans="1:13">
      <c r="A149" s="2">
        <v>4603</v>
      </c>
      <c r="B149" s="2" t="s">
        <v>43747</v>
      </c>
      <c r="C149" s="2">
        <v>20</v>
      </c>
      <c r="D149" s="2">
        <v>291</v>
      </c>
      <c r="E149" s="2">
        <v>367</v>
      </c>
      <c r="F149" s="2">
        <v>32441</v>
      </c>
      <c r="G149" s="2">
        <v>6.0752642860000003</v>
      </c>
      <c r="H149" s="3">
        <v>3.7799999999999999E-10</v>
      </c>
      <c r="I149" s="2" t="s">
        <v>43748</v>
      </c>
      <c r="J149" s="2" t="s">
        <v>43749</v>
      </c>
      <c r="K149" s="3">
        <v>1.33E-8</v>
      </c>
      <c r="L149" s="2" t="s">
        <v>35</v>
      </c>
      <c r="M149" s="4" t="s">
        <v>43750</v>
      </c>
    </row>
    <row r="150" spans="1:13">
      <c r="A150" s="2">
        <v>1451</v>
      </c>
      <c r="B150" s="2" t="s">
        <v>43751</v>
      </c>
      <c r="C150" s="2">
        <v>22</v>
      </c>
      <c r="D150" s="2">
        <v>291</v>
      </c>
      <c r="E150" s="2">
        <v>455</v>
      </c>
      <c r="F150" s="2">
        <v>32441</v>
      </c>
      <c r="G150" s="2">
        <v>5.3902949280000003</v>
      </c>
      <c r="H150" s="3">
        <v>4.2099999999999999E-10</v>
      </c>
      <c r="I150" s="2" t="s">
        <v>43752</v>
      </c>
      <c r="J150" s="2" t="s">
        <v>43753</v>
      </c>
      <c r="K150" s="3">
        <v>1.46E-8</v>
      </c>
      <c r="L150" s="2" t="s">
        <v>35</v>
      </c>
      <c r="M150" s="4" t="s">
        <v>43754</v>
      </c>
    </row>
    <row r="151" spans="1:13">
      <c r="A151" s="2">
        <v>862</v>
      </c>
      <c r="B151" s="2" t="s">
        <v>5362</v>
      </c>
      <c r="C151" s="2">
        <v>11</v>
      </c>
      <c r="D151" s="2">
        <v>291</v>
      </c>
      <c r="E151" s="2">
        <v>79</v>
      </c>
      <c r="F151" s="2">
        <v>32441</v>
      </c>
      <c r="G151" s="2">
        <v>15.522684760000001</v>
      </c>
      <c r="H151" s="3">
        <v>5.0700000000000001E-10</v>
      </c>
      <c r="I151" s="2" t="s">
        <v>43755</v>
      </c>
      <c r="J151" s="2" t="s">
        <v>43756</v>
      </c>
      <c r="K151" s="3">
        <v>1.7500000000000001E-8</v>
      </c>
      <c r="L151" s="2" t="s">
        <v>35</v>
      </c>
      <c r="M151" s="4" t="s">
        <v>5365</v>
      </c>
    </row>
    <row r="152" spans="1:13">
      <c r="A152" s="2">
        <v>3794</v>
      </c>
      <c r="B152" s="2" t="s">
        <v>43757</v>
      </c>
      <c r="C152" s="2">
        <v>11</v>
      </c>
      <c r="D152" s="2">
        <v>291</v>
      </c>
      <c r="E152" s="2">
        <v>80</v>
      </c>
      <c r="F152" s="2">
        <v>32441</v>
      </c>
      <c r="G152" s="2">
        <v>15.328651199999999</v>
      </c>
      <c r="H152" s="3">
        <v>5.7199999999999999E-10</v>
      </c>
      <c r="I152" s="2" t="s">
        <v>43758</v>
      </c>
      <c r="J152" s="2" t="s">
        <v>43759</v>
      </c>
      <c r="K152" s="3">
        <v>1.96E-8</v>
      </c>
      <c r="L152" s="2" t="s">
        <v>35</v>
      </c>
      <c r="M152" s="4" t="s">
        <v>43760</v>
      </c>
    </row>
    <row r="153" spans="1:13">
      <c r="A153" s="2">
        <v>2842</v>
      </c>
      <c r="B153" s="2" t="s">
        <v>43761</v>
      </c>
      <c r="C153" s="2">
        <v>14</v>
      </c>
      <c r="D153" s="2">
        <v>291</v>
      </c>
      <c r="E153" s="2">
        <v>162</v>
      </c>
      <c r="F153" s="2">
        <v>32441</v>
      </c>
      <c r="G153" s="2">
        <v>9.6341691059999999</v>
      </c>
      <c r="H153" s="3">
        <v>7.19E-10</v>
      </c>
      <c r="I153" s="2" t="s">
        <v>43762</v>
      </c>
      <c r="J153" s="2" t="s">
        <v>43763</v>
      </c>
      <c r="K153" s="3">
        <v>2.4500000000000001E-8</v>
      </c>
      <c r="L153" s="2" t="s">
        <v>35</v>
      </c>
      <c r="M153" s="4" t="s">
        <v>43764</v>
      </c>
    </row>
    <row r="154" spans="1:13">
      <c r="A154" s="2">
        <v>2280</v>
      </c>
      <c r="B154" s="2" t="s">
        <v>43765</v>
      </c>
      <c r="C154" s="2">
        <v>9</v>
      </c>
      <c r="D154" s="2">
        <v>291</v>
      </c>
      <c r="E154" s="2">
        <v>43</v>
      </c>
      <c r="F154" s="2">
        <v>32441</v>
      </c>
      <c r="G154" s="2">
        <v>23.333253419999998</v>
      </c>
      <c r="H154" s="3">
        <v>8.07E-10</v>
      </c>
      <c r="I154" s="2" t="s">
        <v>43766</v>
      </c>
      <c r="J154" s="2" t="s">
        <v>43767</v>
      </c>
      <c r="K154" s="3">
        <v>2.73E-8</v>
      </c>
      <c r="L154" s="2" t="s">
        <v>35</v>
      </c>
      <c r="M154" s="4" t="s">
        <v>43768</v>
      </c>
    </row>
    <row r="155" spans="1:13">
      <c r="A155" s="2">
        <v>3313</v>
      </c>
      <c r="B155" s="2" t="s">
        <v>25475</v>
      </c>
      <c r="C155" s="2">
        <v>24</v>
      </c>
      <c r="D155" s="2">
        <v>291</v>
      </c>
      <c r="E155" s="2">
        <v>566</v>
      </c>
      <c r="F155" s="2">
        <v>32441</v>
      </c>
      <c r="G155" s="2">
        <v>4.7271137660000004</v>
      </c>
      <c r="H155" s="3">
        <v>8.1999999999999996E-10</v>
      </c>
      <c r="I155" s="2" t="s">
        <v>43769</v>
      </c>
      <c r="J155" s="2" t="s">
        <v>43770</v>
      </c>
      <c r="K155" s="3">
        <v>2.7500000000000001E-8</v>
      </c>
      <c r="L155" s="2" t="s">
        <v>35</v>
      </c>
      <c r="M155" s="4" t="s">
        <v>25478</v>
      </c>
    </row>
    <row r="156" spans="1:13">
      <c r="A156" s="2">
        <v>3200</v>
      </c>
      <c r="B156" s="2" t="s">
        <v>43771</v>
      </c>
      <c r="C156" s="2">
        <v>10</v>
      </c>
      <c r="D156" s="2">
        <v>291</v>
      </c>
      <c r="E156" s="2">
        <v>63</v>
      </c>
      <c r="F156" s="2">
        <v>32441</v>
      </c>
      <c r="G156" s="2">
        <v>17.695412640000001</v>
      </c>
      <c r="H156" s="3">
        <v>1.0000000000000001E-9</v>
      </c>
      <c r="I156" s="2" t="s">
        <v>43772</v>
      </c>
      <c r="J156" s="2" t="s">
        <v>43773</v>
      </c>
      <c r="K156" s="3">
        <v>3.3400000000000001E-8</v>
      </c>
      <c r="L156" s="2" t="s">
        <v>35</v>
      </c>
      <c r="M156" s="4" t="s">
        <v>43774</v>
      </c>
    </row>
    <row r="157" spans="1:13">
      <c r="A157" s="2">
        <v>3419</v>
      </c>
      <c r="B157" s="2" t="s">
        <v>43775</v>
      </c>
      <c r="C157" s="2">
        <v>7</v>
      </c>
      <c r="D157" s="2">
        <v>291</v>
      </c>
      <c r="E157" s="2">
        <v>17</v>
      </c>
      <c r="F157" s="2">
        <v>32441</v>
      </c>
      <c r="G157" s="2">
        <v>45.903982210000002</v>
      </c>
      <c r="H157" s="3">
        <v>1.2400000000000001E-9</v>
      </c>
      <c r="I157" s="2" t="s">
        <v>43776</v>
      </c>
      <c r="J157" s="2" t="s">
        <v>43777</v>
      </c>
      <c r="K157" s="3">
        <v>4.0800000000000001E-8</v>
      </c>
      <c r="L157" s="2" t="s">
        <v>35</v>
      </c>
      <c r="M157" s="4" t="s">
        <v>43778</v>
      </c>
    </row>
    <row r="158" spans="1:13">
      <c r="A158" s="2">
        <v>4751</v>
      </c>
      <c r="B158" s="2" t="s">
        <v>43779</v>
      </c>
      <c r="C158" s="2">
        <v>7</v>
      </c>
      <c r="D158" s="2">
        <v>291</v>
      </c>
      <c r="E158" s="2">
        <v>17</v>
      </c>
      <c r="F158" s="2">
        <v>32441</v>
      </c>
      <c r="G158" s="2">
        <v>45.903982210000002</v>
      </c>
      <c r="H158" s="3">
        <v>1.2400000000000001E-9</v>
      </c>
      <c r="I158" s="2" t="s">
        <v>43780</v>
      </c>
      <c r="J158" s="2" t="s">
        <v>43781</v>
      </c>
      <c r="K158" s="3">
        <v>4.0800000000000001E-8</v>
      </c>
      <c r="L158" s="2" t="s">
        <v>35</v>
      </c>
      <c r="M158" s="4" t="s">
        <v>43782</v>
      </c>
    </row>
    <row r="159" spans="1:13">
      <c r="A159" s="2">
        <v>3288</v>
      </c>
      <c r="B159" s="2" t="s">
        <v>43783</v>
      </c>
      <c r="C159" s="2">
        <v>8</v>
      </c>
      <c r="D159" s="2">
        <v>291</v>
      </c>
      <c r="E159" s="2">
        <v>30</v>
      </c>
      <c r="F159" s="2">
        <v>32441</v>
      </c>
      <c r="G159" s="2">
        <v>29.728293239999999</v>
      </c>
      <c r="H159" s="3">
        <v>1.38E-9</v>
      </c>
      <c r="I159" s="2" t="s">
        <v>43784</v>
      </c>
      <c r="J159" s="2" t="s">
        <v>43785</v>
      </c>
      <c r="K159" s="3">
        <v>4.4899999999999998E-8</v>
      </c>
      <c r="L159" s="2" t="s">
        <v>35</v>
      </c>
      <c r="M159" s="4" t="s">
        <v>43786</v>
      </c>
    </row>
    <row r="160" spans="1:13">
      <c r="A160" s="2">
        <v>2804</v>
      </c>
      <c r="B160" s="2" t="s">
        <v>36101</v>
      </c>
      <c r="C160" s="2">
        <v>18</v>
      </c>
      <c r="D160" s="2">
        <v>291</v>
      </c>
      <c r="E160" s="2">
        <v>318</v>
      </c>
      <c r="F160" s="2">
        <v>32441</v>
      </c>
      <c r="G160" s="2">
        <v>6.310250924</v>
      </c>
      <c r="H160" s="3">
        <v>1.6600000000000001E-9</v>
      </c>
      <c r="I160" s="2" t="s">
        <v>43787</v>
      </c>
      <c r="J160" s="2" t="s">
        <v>43788</v>
      </c>
      <c r="K160" s="3">
        <v>5.3599999999999997E-8</v>
      </c>
      <c r="L160" s="2" t="s">
        <v>35</v>
      </c>
      <c r="M160" s="4" t="s">
        <v>36104</v>
      </c>
    </row>
    <row r="161" spans="1:13">
      <c r="A161" s="2">
        <v>2725</v>
      </c>
      <c r="B161" s="2" t="s">
        <v>43789</v>
      </c>
      <c r="C161" s="2">
        <v>15</v>
      </c>
      <c r="D161" s="2">
        <v>291</v>
      </c>
      <c r="E161" s="2">
        <v>207</v>
      </c>
      <c r="F161" s="2">
        <v>32441</v>
      </c>
      <c r="G161" s="2">
        <v>8.0783405550000005</v>
      </c>
      <c r="H161" s="3">
        <v>1.6999999999999999E-9</v>
      </c>
      <c r="I161" s="2" t="s">
        <v>43790</v>
      </c>
      <c r="J161" s="2" t="s">
        <v>43791</v>
      </c>
      <c r="K161" s="3">
        <v>5.4800000000000001E-8</v>
      </c>
      <c r="L161" s="2" t="s">
        <v>35</v>
      </c>
      <c r="M161" s="4" t="s">
        <v>43792</v>
      </c>
    </row>
    <row r="162" spans="1:13">
      <c r="A162" s="2">
        <v>4593</v>
      </c>
      <c r="B162" s="2" t="s">
        <v>5922</v>
      </c>
      <c r="C162" s="2">
        <v>16</v>
      </c>
      <c r="D162" s="2">
        <v>291</v>
      </c>
      <c r="E162" s="2">
        <v>244</v>
      </c>
      <c r="F162" s="2">
        <v>32441</v>
      </c>
      <c r="G162" s="2">
        <v>7.3102360429999997</v>
      </c>
      <c r="H162" s="3">
        <v>1.8800000000000001E-9</v>
      </c>
      <c r="I162" s="2" t="s">
        <v>43793</v>
      </c>
      <c r="J162" s="2" t="s">
        <v>43794</v>
      </c>
      <c r="K162" s="3">
        <v>6.0199999999999996E-8</v>
      </c>
      <c r="L162" s="2" t="s">
        <v>35</v>
      </c>
      <c r="M162" s="4" t="s">
        <v>5925</v>
      </c>
    </row>
    <row r="163" spans="1:13">
      <c r="A163" s="2">
        <v>4171</v>
      </c>
      <c r="B163" s="2" t="s">
        <v>5632</v>
      </c>
      <c r="C163" s="2">
        <v>15</v>
      </c>
      <c r="D163" s="2">
        <v>291</v>
      </c>
      <c r="E163" s="2">
        <v>210</v>
      </c>
      <c r="F163" s="2">
        <v>32441</v>
      </c>
      <c r="G163" s="2">
        <v>7.9629356900000001</v>
      </c>
      <c r="H163" s="3">
        <v>2.0500000000000002E-9</v>
      </c>
      <c r="I163" s="2" t="s">
        <v>43795</v>
      </c>
      <c r="J163" s="2" t="s">
        <v>43796</v>
      </c>
      <c r="K163" s="3">
        <v>6.5E-8</v>
      </c>
      <c r="L163" s="2" t="s">
        <v>35</v>
      </c>
      <c r="M163" s="4" t="s">
        <v>5635</v>
      </c>
    </row>
    <row r="164" spans="1:13">
      <c r="A164" s="2">
        <v>3240</v>
      </c>
      <c r="B164" s="2" t="s">
        <v>43797</v>
      </c>
      <c r="C164" s="2">
        <v>7</v>
      </c>
      <c r="D164" s="2">
        <v>291</v>
      </c>
      <c r="E164" s="2">
        <v>19</v>
      </c>
      <c r="F164" s="2">
        <v>32441</v>
      </c>
      <c r="G164" s="2">
        <v>41.07198408</v>
      </c>
      <c r="H164" s="3">
        <v>2.3199999999999998E-9</v>
      </c>
      <c r="I164" s="2" t="s">
        <v>43798</v>
      </c>
      <c r="J164" s="2" t="s">
        <v>43799</v>
      </c>
      <c r="K164" s="3">
        <v>7.3300000000000001E-8</v>
      </c>
      <c r="L164" s="2" t="s">
        <v>35</v>
      </c>
      <c r="M164" s="4" t="s">
        <v>43800</v>
      </c>
    </row>
    <row r="165" spans="1:13">
      <c r="A165" s="2">
        <v>1714</v>
      </c>
      <c r="B165" s="2" t="s">
        <v>43801</v>
      </c>
      <c r="C165" s="2">
        <v>12</v>
      </c>
      <c r="D165" s="2">
        <v>291</v>
      </c>
      <c r="E165" s="2">
        <v>120</v>
      </c>
      <c r="F165" s="2">
        <v>32441</v>
      </c>
      <c r="G165" s="2">
        <v>11.14810997</v>
      </c>
      <c r="H165" s="3">
        <v>2.6299999999999998E-9</v>
      </c>
      <c r="I165" s="2" t="s">
        <v>43802</v>
      </c>
      <c r="J165" s="2" t="s">
        <v>43803</v>
      </c>
      <c r="K165" s="3">
        <v>8.1800000000000005E-8</v>
      </c>
      <c r="L165" s="2" t="s">
        <v>35</v>
      </c>
      <c r="M165" s="4" t="s">
        <v>43804</v>
      </c>
    </row>
    <row r="166" spans="1:13">
      <c r="A166" s="2">
        <v>1723</v>
      </c>
      <c r="B166" s="2" t="s">
        <v>43805</v>
      </c>
      <c r="C166" s="2">
        <v>12</v>
      </c>
      <c r="D166" s="2">
        <v>291</v>
      </c>
      <c r="E166" s="2">
        <v>120</v>
      </c>
      <c r="F166" s="2">
        <v>32441</v>
      </c>
      <c r="G166" s="2">
        <v>11.14810997</v>
      </c>
      <c r="H166" s="3">
        <v>2.6299999999999998E-9</v>
      </c>
      <c r="I166" s="2" t="s">
        <v>43806</v>
      </c>
      <c r="J166" s="2" t="s">
        <v>43807</v>
      </c>
      <c r="K166" s="3">
        <v>8.1800000000000005E-8</v>
      </c>
      <c r="L166" s="2" t="s">
        <v>35</v>
      </c>
      <c r="M166" s="4" t="s">
        <v>43808</v>
      </c>
    </row>
    <row r="167" spans="1:13">
      <c r="A167" s="2">
        <v>3216</v>
      </c>
      <c r="B167" s="2" t="s">
        <v>43809</v>
      </c>
      <c r="C167" s="2">
        <v>11</v>
      </c>
      <c r="D167" s="2">
        <v>291</v>
      </c>
      <c r="E167" s="2">
        <v>95</v>
      </c>
      <c r="F167" s="2">
        <v>32441</v>
      </c>
      <c r="G167" s="2">
        <v>12.908337850000001</v>
      </c>
      <c r="H167" s="3">
        <v>2.9899999999999998E-9</v>
      </c>
      <c r="I167" s="2" t="s">
        <v>43810</v>
      </c>
      <c r="J167" s="2" t="s">
        <v>43811</v>
      </c>
      <c r="K167" s="3">
        <v>9.2399999999999994E-8</v>
      </c>
      <c r="L167" s="2" t="s">
        <v>35</v>
      </c>
      <c r="M167" s="4" t="s">
        <v>43812</v>
      </c>
    </row>
    <row r="168" spans="1:13">
      <c r="A168" s="2">
        <v>1618</v>
      </c>
      <c r="B168" s="2" t="s">
        <v>4660</v>
      </c>
      <c r="C168" s="2">
        <v>17</v>
      </c>
      <c r="D168" s="2">
        <v>291</v>
      </c>
      <c r="E168" s="2">
        <v>291</v>
      </c>
      <c r="F168" s="2">
        <v>32441</v>
      </c>
      <c r="G168" s="2">
        <v>6.5126415609999997</v>
      </c>
      <c r="H168" s="3">
        <v>3.0300000000000001E-9</v>
      </c>
      <c r="I168" s="2" t="s">
        <v>43813</v>
      </c>
      <c r="J168" s="2" t="s">
        <v>43814</v>
      </c>
      <c r="K168" s="3">
        <v>9.3100000000000006E-8</v>
      </c>
      <c r="L168" s="2" t="s">
        <v>35</v>
      </c>
      <c r="M168" s="4" t="s">
        <v>4663</v>
      </c>
    </row>
    <row r="169" spans="1:13">
      <c r="A169" s="2">
        <v>3601</v>
      </c>
      <c r="B169" s="2" t="s">
        <v>42602</v>
      </c>
      <c r="C169" s="2">
        <v>22</v>
      </c>
      <c r="D169" s="2">
        <v>291</v>
      </c>
      <c r="E169" s="2">
        <v>510</v>
      </c>
      <c r="F169" s="2">
        <v>32441</v>
      </c>
      <c r="G169" s="2">
        <v>4.8089886130000004</v>
      </c>
      <c r="H169" s="3">
        <v>3.1599999999999998E-9</v>
      </c>
      <c r="I169" s="2" t="s">
        <v>43815</v>
      </c>
      <c r="J169" s="2" t="s">
        <v>43816</v>
      </c>
      <c r="K169" s="3">
        <v>9.6299999999999995E-8</v>
      </c>
      <c r="L169" s="2" t="s">
        <v>35</v>
      </c>
      <c r="M169" s="4" t="s">
        <v>42605</v>
      </c>
    </row>
    <row r="170" spans="1:13">
      <c r="A170" s="2">
        <v>1393</v>
      </c>
      <c r="B170" s="2" t="s">
        <v>43817</v>
      </c>
      <c r="C170" s="2">
        <v>16</v>
      </c>
      <c r="D170" s="2">
        <v>291</v>
      </c>
      <c r="E170" s="2">
        <v>255</v>
      </c>
      <c r="F170" s="2">
        <v>32441</v>
      </c>
      <c r="G170" s="2">
        <v>6.9948925270000002</v>
      </c>
      <c r="H170" s="3">
        <v>3.41E-9</v>
      </c>
      <c r="I170" s="2" t="s">
        <v>43818</v>
      </c>
      <c r="J170" s="2" t="s">
        <v>43819</v>
      </c>
      <c r="K170" s="3">
        <v>1.04E-7</v>
      </c>
      <c r="L170" s="2" t="s">
        <v>35</v>
      </c>
      <c r="M170" s="4" t="s">
        <v>43820</v>
      </c>
    </row>
    <row r="171" spans="1:13">
      <c r="A171" s="2">
        <v>1431</v>
      </c>
      <c r="B171" s="2" t="s">
        <v>3697</v>
      </c>
      <c r="C171" s="2">
        <v>20</v>
      </c>
      <c r="D171" s="2">
        <v>291</v>
      </c>
      <c r="E171" s="2">
        <v>423</v>
      </c>
      <c r="F171" s="2">
        <v>32441</v>
      </c>
      <c r="G171" s="2">
        <v>5.2709739789999999</v>
      </c>
      <c r="H171" s="3">
        <v>3.8499999999999997E-9</v>
      </c>
      <c r="I171" s="2" t="s">
        <v>43821</v>
      </c>
      <c r="J171" s="2" t="s">
        <v>43822</v>
      </c>
      <c r="K171" s="3">
        <v>1.1600000000000001E-7</v>
      </c>
      <c r="L171" s="2" t="s">
        <v>35</v>
      </c>
      <c r="M171" s="4" t="s">
        <v>3700</v>
      </c>
    </row>
    <row r="172" spans="1:13">
      <c r="A172" s="2">
        <v>3727</v>
      </c>
      <c r="B172" s="2" t="s">
        <v>43823</v>
      </c>
      <c r="C172" s="2">
        <v>11</v>
      </c>
      <c r="D172" s="2">
        <v>291</v>
      </c>
      <c r="E172" s="2">
        <v>100</v>
      </c>
      <c r="F172" s="2">
        <v>32441</v>
      </c>
      <c r="G172" s="2">
        <v>12.262920960000001</v>
      </c>
      <c r="H172" s="3">
        <v>4.8900000000000003E-9</v>
      </c>
      <c r="I172" s="2" t="s">
        <v>43824</v>
      </c>
      <c r="J172" s="2" t="s">
        <v>43825</v>
      </c>
      <c r="K172" s="3">
        <v>1.4600000000000001E-7</v>
      </c>
      <c r="L172" s="2" t="s">
        <v>35</v>
      </c>
      <c r="M172" s="4" t="s">
        <v>43826</v>
      </c>
    </row>
    <row r="173" spans="1:13">
      <c r="A173" s="2">
        <v>4375</v>
      </c>
      <c r="B173" s="2" t="s">
        <v>24945</v>
      </c>
      <c r="C173" s="2">
        <v>23</v>
      </c>
      <c r="D173" s="2">
        <v>291</v>
      </c>
      <c r="E173" s="2">
        <v>572</v>
      </c>
      <c r="F173" s="2">
        <v>32441</v>
      </c>
      <c r="G173" s="2">
        <v>4.4826316300000002</v>
      </c>
      <c r="H173" s="3">
        <v>4.8900000000000003E-9</v>
      </c>
      <c r="I173" s="2" t="s">
        <v>43827</v>
      </c>
      <c r="J173" s="2" t="s">
        <v>43828</v>
      </c>
      <c r="K173" s="3">
        <v>1.4600000000000001E-7</v>
      </c>
      <c r="L173" s="2" t="s">
        <v>35</v>
      </c>
      <c r="M173" s="4" t="s">
        <v>24948</v>
      </c>
    </row>
    <row r="174" spans="1:13">
      <c r="A174" s="2">
        <v>3588</v>
      </c>
      <c r="B174" s="2" t="s">
        <v>3604</v>
      </c>
      <c r="C174" s="2">
        <v>21</v>
      </c>
      <c r="D174" s="2">
        <v>291</v>
      </c>
      <c r="E174" s="2">
        <v>476</v>
      </c>
      <c r="F174" s="2">
        <v>32441</v>
      </c>
      <c r="G174" s="2">
        <v>4.918283808</v>
      </c>
      <c r="H174" s="3">
        <v>5.0000000000000001E-9</v>
      </c>
      <c r="I174" s="2" t="s">
        <v>43829</v>
      </c>
      <c r="J174" s="2" t="s">
        <v>43830</v>
      </c>
      <c r="K174" s="3">
        <v>1.48E-7</v>
      </c>
      <c r="L174" s="2" t="s">
        <v>35</v>
      </c>
      <c r="M174" s="4" t="s">
        <v>3607</v>
      </c>
    </row>
    <row r="175" spans="1:13">
      <c r="A175" s="2">
        <v>3701</v>
      </c>
      <c r="B175" s="2" t="s">
        <v>43831</v>
      </c>
      <c r="C175" s="2">
        <v>7</v>
      </c>
      <c r="D175" s="2">
        <v>291</v>
      </c>
      <c r="E175" s="2">
        <v>22</v>
      </c>
      <c r="F175" s="2">
        <v>32441</v>
      </c>
      <c r="G175" s="2">
        <v>35.471258980000002</v>
      </c>
      <c r="H175" s="3">
        <v>5.3899999999999998E-9</v>
      </c>
      <c r="I175" s="2" t="s">
        <v>43832</v>
      </c>
      <c r="J175" s="2" t="s">
        <v>43833</v>
      </c>
      <c r="K175" s="3">
        <v>1.5800000000000001E-7</v>
      </c>
      <c r="L175" s="2" t="s">
        <v>35</v>
      </c>
      <c r="M175" s="4" t="s">
        <v>43834</v>
      </c>
    </row>
    <row r="176" spans="1:13">
      <c r="A176" s="2">
        <v>1753</v>
      </c>
      <c r="B176" s="2" t="s">
        <v>43835</v>
      </c>
      <c r="C176" s="2">
        <v>8</v>
      </c>
      <c r="D176" s="2">
        <v>291</v>
      </c>
      <c r="E176" s="2">
        <v>37</v>
      </c>
      <c r="F176" s="2">
        <v>32441</v>
      </c>
      <c r="G176" s="2">
        <v>24.104021549999999</v>
      </c>
      <c r="H176" s="3">
        <v>5.7500000000000002E-9</v>
      </c>
      <c r="I176" s="2" t="s">
        <v>43836</v>
      </c>
      <c r="J176" s="2" t="s">
        <v>43837</v>
      </c>
      <c r="K176" s="3">
        <v>1.68E-7</v>
      </c>
      <c r="L176" s="2" t="s">
        <v>35</v>
      </c>
      <c r="M176" s="4" t="s">
        <v>43838</v>
      </c>
    </row>
    <row r="177" spans="1:13">
      <c r="A177" s="2">
        <v>4269</v>
      </c>
      <c r="B177" s="2" t="s">
        <v>6463</v>
      </c>
      <c r="C177" s="2">
        <v>8</v>
      </c>
      <c r="D177" s="2">
        <v>291</v>
      </c>
      <c r="E177" s="2">
        <v>38</v>
      </c>
      <c r="F177" s="2">
        <v>32441</v>
      </c>
      <c r="G177" s="2">
        <v>23.469705189999999</v>
      </c>
      <c r="H177" s="3">
        <v>6.8999999999999997E-9</v>
      </c>
      <c r="I177" s="2" t="s">
        <v>43839</v>
      </c>
      <c r="J177" s="2" t="s">
        <v>43840</v>
      </c>
      <c r="K177" s="3">
        <v>1.9999999999999999E-7</v>
      </c>
      <c r="L177" s="2" t="s">
        <v>35</v>
      </c>
      <c r="M177" s="4" t="s">
        <v>6466</v>
      </c>
    </row>
    <row r="178" spans="1:13">
      <c r="A178" s="2">
        <v>1709</v>
      </c>
      <c r="B178" s="2" t="s">
        <v>42462</v>
      </c>
      <c r="C178" s="2">
        <v>15</v>
      </c>
      <c r="D178" s="2">
        <v>291</v>
      </c>
      <c r="E178" s="2">
        <v>232</v>
      </c>
      <c r="F178" s="2">
        <v>32441</v>
      </c>
      <c r="G178" s="2">
        <v>7.2078297190000002</v>
      </c>
      <c r="H178" s="3">
        <v>7.2799999999999997E-9</v>
      </c>
      <c r="I178" s="2" t="s">
        <v>43841</v>
      </c>
      <c r="J178" s="2" t="s">
        <v>43842</v>
      </c>
      <c r="K178" s="3">
        <v>2.1E-7</v>
      </c>
      <c r="L178" s="2" t="s">
        <v>35</v>
      </c>
      <c r="M178" s="4" t="s">
        <v>42465</v>
      </c>
    </row>
    <row r="179" spans="1:13">
      <c r="A179" s="2">
        <v>1599</v>
      </c>
      <c r="B179" s="2" t="s">
        <v>35855</v>
      </c>
      <c r="C179" s="2">
        <v>22</v>
      </c>
      <c r="D179" s="2">
        <v>291</v>
      </c>
      <c r="E179" s="2">
        <v>536</v>
      </c>
      <c r="F179" s="2">
        <v>32441</v>
      </c>
      <c r="G179" s="2">
        <v>4.5757167770000002</v>
      </c>
      <c r="H179" s="3">
        <v>7.4899999999999996E-9</v>
      </c>
      <c r="I179" s="2" t="s">
        <v>43843</v>
      </c>
      <c r="J179" s="2" t="s">
        <v>43844</v>
      </c>
      <c r="K179" s="3">
        <v>2.1500000000000001E-7</v>
      </c>
      <c r="L179" s="2" t="s">
        <v>35</v>
      </c>
      <c r="M179" s="4" t="s">
        <v>35858</v>
      </c>
    </row>
    <row r="180" spans="1:13">
      <c r="A180" s="2">
        <v>3500</v>
      </c>
      <c r="B180" s="2" t="s">
        <v>5469</v>
      </c>
      <c r="C180" s="2">
        <v>18</v>
      </c>
      <c r="D180" s="2">
        <v>291</v>
      </c>
      <c r="E180" s="2">
        <v>353</v>
      </c>
      <c r="F180" s="2">
        <v>32441</v>
      </c>
      <c r="G180" s="2">
        <v>5.6845886510000003</v>
      </c>
      <c r="H180" s="3">
        <v>7.8000000000000004E-9</v>
      </c>
      <c r="I180" s="2" t="s">
        <v>43845</v>
      </c>
      <c r="J180" s="2" t="s">
        <v>43846</v>
      </c>
      <c r="K180" s="3">
        <v>2.22E-7</v>
      </c>
      <c r="L180" s="2" t="s">
        <v>35</v>
      </c>
      <c r="M180" s="4" t="s">
        <v>5472</v>
      </c>
    </row>
    <row r="181" spans="1:13">
      <c r="A181" s="2">
        <v>1475</v>
      </c>
      <c r="B181" s="2" t="s">
        <v>43847</v>
      </c>
      <c r="C181" s="2">
        <v>8</v>
      </c>
      <c r="D181" s="2">
        <v>291</v>
      </c>
      <c r="E181" s="2">
        <v>39</v>
      </c>
      <c r="F181" s="2">
        <v>32441</v>
      </c>
      <c r="G181" s="2">
        <v>22.86791788</v>
      </c>
      <c r="H181" s="3">
        <v>8.2499999999999994E-9</v>
      </c>
      <c r="I181" s="2" t="s">
        <v>43848</v>
      </c>
      <c r="J181" s="2" t="s">
        <v>43849</v>
      </c>
      <c r="K181" s="3">
        <v>2.34E-7</v>
      </c>
      <c r="L181" s="2" t="s">
        <v>35</v>
      </c>
      <c r="M181" s="4" t="s">
        <v>43850</v>
      </c>
    </row>
    <row r="182" spans="1:13">
      <c r="A182" s="2">
        <v>4410</v>
      </c>
      <c r="B182" s="2" t="s">
        <v>5011</v>
      </c>
      <c r="C182" s="2">
        <v>12</v>
      </c>
      <c r="D182" s="2">
        <v>291</v>
      </c>
      <c r="E182" s="2">
        <v>134</v>
      </c>
      <c r="F182" s="2">
        <v>32441</v>
      </c>
      <c r="G182" s="2">
        <v>9.9833820590000002</v>
      </c>
      <c r="H182" s="3">
        <v>8.2999999999999999E-9</v>
      </c>
      <c r="I182" s="2" t="s">
        <v>43851</v>
      </c>
      <c r="J182" s="2" t="s">
        <v>43852</v>
      </c>
      <c r="K182" s="3">
        <v>2.34E-7</v>
      </c>
      <c r="L182" s="2" t="s">
        <v>35</v>
      </c>
      <c r="M182" s="4" t="s">
        <v>5014</v>
      </c>
    </row>
    <row r="183" spans="1:13">
      <c r="A183" s="2">
        <v>3480</v>
      </c>
      <c r="B183" s="2" t="s">
        <v>343</v>
      </c>
      <c r="C183" s="2">
        <v>23</v>
      </c>
      <c r="D183" s="2">
        <v>291</v>
      </c>
      <c r="E183" s="2">
        <v>591</v>
      </c>
      <c r="F183" s="2">
        <v>32441</v>
      </c>
      <c r="G183" s="2">
        <v>4.3385199529999996</v>
      </c>
      <c r="H183" s="3">
        <v>8.7799999999999999E-9</v>
      </c>
      <c r="I183" s="2" t="s">
        <v>43853</v>
      </c>
      <c r="J183" s="2" t="s">
        <v>43854</v>
      </c>
      <c r="K183" s="3">
        <v>2.4600000000000001E-7</v>
      </c>
      <c r="L183" s="2" t="s">
        <v>35</v>
      </c>
      <c r="M183" s="4" t="s">
        <v>24992</v>
      </c>
    </row>
    <row r="184" spans="1:13">
      <c r="A184" s="2">
        <v>1055</v>
      </c>
      <c r="B184" s="2" t="s">
        <v>43855</v>
      </c>
      <c r="C184" s="2">
        <v>7</v>
      </c>
      <c r="D184" s="2">
        <v>291</v>
      </c>
      <c r="E184" s="2">
        <v>25</v>
      </c>
      <c r="F184" s="2">
        <v>32441</v>
      </c>
      <c r="G184" s="2">
        <v>31.214707900000001</v>
      </c>
      <c r="H184" s="3">
        <v>1.14E-8</v>
      </c>
      <c r="I184" s="2" t="s">
        <v>43856</v>
      </c>
      <c r="J184" s="2" t="s">
        <v>43857</v>
      </c>
      <c r="K184" s="3">
        <v>3.15E-7</v>
      </c>
      <c r="L184" s="2" t="s">
        <v>35</v>
      </c>
      <c r="M184" s="4" t="s">
        <v>43858</v>
      </c>
    </row>
    <row r="185" spans="1:13">
      <c r="A185" s="2">
        <v>3083</v>
      </c>
      <c r="B185" s="2" t="s">
        <v>43859</v>
      </c>
      <c r="C185" s="2">
        <v>7</v>
      </c>
      <c r="D185" s="2">
        <v>291</v>
      </c>
      <c r="E185" s="2">
        <v>25</v>
      </c>
      <c r="F185" s="2">
        <v>32441</v>
      </c>
      <c r="G185" s="2">
        <v>31.214707900000001</v>
      </c>
      <c r="H185" s="3">
        <v>1.14E-8</v>
      </c>
      <c r="I185" s="2" t="s">
        <v>43860</v>
      </c>
      <c r="J185" s="2" t="s">
        <v>43861</v>
      </c>
      <c r="K185" s="3">
        <v>3.15E-7</v>
      </c>
      <c r="L185" s="2" t="s">
        <v>35</v>
      </c>
      <c r="M185" s="4" t="s">
        <v>43862</v>
      </c>
    </row>
    <row r="186" spans="1:13">
      <c r="A186" s="2">
        <v>1436</v>
      </c>
      <c r="B186" s="2" t="s">
        <v>43863</v>
      </c>
      <c r="C186" s="2">
        <v>9</v>
      </c>
      <c r="D186" s="2">
        <v>291</v>
      </c>
      <c r="E186" s="2">
        <v>62</v>
      </c>
      <c r="F186" s="2">
        <v>32441</v>
      </c>
      <c r="G186" s="2">
        <v>16.18274027</v>
      </c>
      <c r="H186" s="3">
        <v>1.4100000000000001E-8</v>
      </c>
      <c r="I186" s="2" t="s">
        <v>43864</v>
      </c>
      <c r="J186" s="2" t="s">
        <v>43865</v>
      </c>
      <c r="K186" s="3">
        <v>3.8799999999999998E-7</v>
      </c>
      <c r="L186" s="2" t="s">
        <v>35</v>
      </c>
      <c r="M186" s="4" t="s">
        <v>43866</v>
      </c>
    </row>
    <row r="187" spans="1:13">
      <c r="A187" s="2">
        <v>1713</v>
      </c>
      <c r="B187" s="2" t="s">
        <v>43867</v>
      </c>
      <c r="C187" s="2">
        <v>12</v>
      </c>
      <c r="D187" s="2">
        <v>291</v>
      </c>
      <c r="E187" s="2">
        <v>142</v>
      </c>
      <c r="F187" s="2">
        <v>32441</v>
      </c>
      <c r="G187" s="2">
        <v>9.4209379989999995</v>
      </c>
      <c r="H187" s="3">
        <v>1.52E-8</v>
      </c>
      <c r="I187" s="2" t="s">
        <v>43868</v>
      </c>
      <c r="J187" s="2" t="s">
        <v>43869</v>
      </c>
      <c r="K187" s="3">
        <v>4.15E-7</v>
      </c>
      <c r="L187" s="2" t="s">
        <v>35</v>
      </c>
      <c r="M187" s="4" t="s">
        <v>43870</v>
      </c>
    </row>
    <row r="188" spans="1:13">
      <c r="A188" s="2">
        <v>1583</v>
      </c>
      <c r="B188" s="2" t="s">
        <v>43871</v>
      </c>
      <c r="C188" s="2">
        <v>8</v>
      </c>
      <c r="D188" s="2">
        <v>291</v>
      </c>
      <c r="E188" s="2">
        <v>43</v>
      </c>
      <c r="F188" s="2">
        <v>32441</v>
      </c>
      <c r="G188" s="2">
        <v>20.740669700000002</v>
      </c>
      <c r="H188" s="3">
        <v>1.6199999999999999E-8</v>
      </c>
      <c r="I188" s="2" t="s">
        <v>43872</v>
      </c>
      <c r="J188" s="2" t="s">
        <v>43873</v>
      </c>
      <c r="K188" s="3">
        <v>4.3799999999999998E-7</v>
      </c>
      <c r="L188" s="2" t="s">
        <v>35</v>
      </c>
      <c r="M188" s="4" t="s">
        <v>43874</v>
      </c>
    </row>
    <row r="189" spans="1:13">
      <c r="A189" s="2">
        <v>4235</v>
      </c>
      <c r="B189" s="2" t="s">
        <v>43875</v>
      </c>
      <c r="C189" s="2">
        <v>14</v>
      </c>
      <c r="D189" s="2">
        <v>291</v>
      </c>
      <c r="E189" s="2">
        <v>210</v>
      </c>
      <c r="F189" s="2">
        <v>32441</v>
      </c>
      <c r="G189" s="2">
        <v>7.4320733099999998</v>
      </c>
      <c r="H189" s="3">
        <v>1.6199999999999999E-8</v>
      </c>
      <c r="I189" s="2" t="s">
        <v>43876</v>
      </c>
      <c r="J189" s="2" t="s">
        <v>43877</v>
      </c>
      <c r="K189" s="3">
        <v>4.3799999999999998E-7</v>
      </c>
      <c r="L189" s="2" t="s">
        <v>35</v>
      </c>
      <c r="M189" s="4" t="s">
        <v>43878</v>
      </c>
    </row>
    <row r="190" spans="1:13">
      <c r="A190" s="2">
        <v>3583</v>
      </c>
      <c r="B190" s="2" t="s">
        <v>3685</v>
      </c>
      <c r="C190" s="2">
        <v>22</v>
      </c>
      <c r="D190" s="2">
        <v>291</v>
      </c>
      <c r="E190" s="2">
        <v>564</v>
      </c>
      <c r="F190" s="2">
        <v>32441</v>
      </c>
      <c r="G190" s="2">
        <v>4.3485535329999996</v>
      </c>
      <c r="H190" s="3">
        <v>1.7999999999999999E-8</v>
      </c>
      <c r="I190" s="2" t="s">
        <v>43879</v>
      </c>
      <c r="J190" s="2" t="s">
        <v>43880</v>
      </c>
      <c r="K190" s="3">
        <v>4.8299999999999997E-7</v>
      </c>
      <c r="L190" s="2" t="s">
        <v>35</v>
      </c>
      <c r="M190" s="4" t="s">
        <v>3688</v>
      </c>
    </row>
    <row r="191" spans="1:13">
      <c r="A191" s="2">
        <v>981</v>
      </c>
      <c r="B191" s="2" t="s">
        <v>43881</v>
      </c>
      <c r="C191" s="2">
        <v>9</v>
      </c>
      <c r="D191" s="2">
        <v>291</v>
      </c>
      <c r="E191" s="2">
        <v>64</v>
      </c>
      <c r="F191" s="2">
        <v>32441</v>
      </c>
      <c r="G191" s="2">
        <v>15.677029640000001</v>
      </c>
      <c r="H191" s="3">
        <v>1.81E-8</v>
      </c>
      <c r="I191" s="2" t="s">
        <v>43744</v>
      </c>
      <c r="J191" s="2" t="s">
        <v>43745</v>
      </c>
      <c r="K191" s="3">
        <v>4.8400000000000005E-7</v>
      </c>
      <c r="L191" s="2" t="s">
        <v>35</v>
      </c>
      <c r="M191" s="4" t="s">
        <v>43882</v>
      </c>
    </row>
    <row r="192" spans="1:13">
      <c r="A192" s="2">
        <v>105</v>
      </c>
      <c r="B192" s="2" t="s">
        <v>43883</v>
      </c>
      <c r="C192" s="2">
        <v>11</v>
      </c>
      <c r="D192" s="2">
        <v>291</v>
      </c>
      <c r="E192" s="2">
        <v>115</v>
      </c>
      <c r="F192" s="2">
        <v>32441</v>
      </c>
      <c r="G192" s="2">
        <v>10.663409529999999</v>
      </c>
      <c r="H192" s="3">
        <v>1.8699999999999999E-8</v>
      </c>
      <c r="I192" s="2" t="s">
        <v>43884</v>
      </c>
      <c r="J192" s="2" t="s">
        <v>43885</v>
      </c>
      <c r="K192" s="3">
        <v>4.9599999999999999E-7</v>
      </c>
      <c r="L192" s="2" t="s">
        <v>35</v>
      </c>
      <c r="M192" s="4" t="s">
        <v>43886</v>
      </c>
    </row>
    <row r="193" spans="1:13">
      <c r="A193" s="2">
        <v>4539</v>
      </c>
      <c r="B193" s="2" t="s">
        <v>24550</v>
      </c>
      <c r="C193" s="2">
        <v>31</v>
      </c>
      <c r="D193" s="2">
        <v>291</v>
      </c>
      <c r="E193" s="2">
        <v>1080</v>
      </c>
      <c r="F193" s="2">
        <v>32441</v>
      </c>
      <c r="G193" s="2">
        <v>3.1999204529999998</v>
      </c>
      <c r="H193" s="3">
        <v>2.2600000000000001E-8</v>
      </c>
      <c r="I193" s="2" t="s">
        <v>43887</v>
      </c>
      <c r="J193" s="2" t="s">
        <v>43888</v>
      </c>
      <c r="K193" s="3">
        <v>5.99E-7</v>
      </c>
      <c r="L193" s="2" t="s">
        <v>35</v>
      </c>
      <c r="M193" s="4" t="s">
        <v>24553</v>
      </c>
    </row>
    <row r="194" spans="1:13">
      <c r="A194" s="2">
        <v>1334</v>
      </c>
      <c r="B194" s="2" t="s">
        <v>43889</v>
      </c>
      <c r="C194" s="2">
        <v>7</v>
      </c>
      <c r="D194" s="2">
        <v>291</v>
      </c>
      <c r="E194" s="2">
        <v>29</v>
      </c>
      <c r="F194" s="2">
        <v>32441</v>
      </c>
      <c r="G194" s="2">
        <v>26.909230950000001</v>
      </c>
      <c r="H194" s="3">
        <v>2.73E-8</v>
      </c>
      <c r="I194" s="2" t="s">
        <v>43832</v>
      </c>
      <c r="J194" s="2" t="s">
        <v>43833</v>
      </c>
      <c r="K194" s="3">
        <v>7.1699999999999997E-7</v>
      </c>
      <c r="L194" s="2" t="s">
        <v>35</v>
      </c>
      <c r="M194" s="4" t="s">
        <v>43890</v>
      </c>
    </row>
    <row r="195" spans="1:13">
      <c r="A195" s="2">
        <v>1345</v>
      </c>
      <c r="B195" s="2" t="s">
        <v>43891</v>
      </c>
      <c r="C195" s="2">
        <v>10</v>
      </c>
      <c r="D195" s="2">
        <v>291</v>
      </c>
      <c r="E195" s="2">
        <v>92</v>
      </c>
      <c r="F195" s="2">
        <v>32441</v>
      </c>
      <c r="G195" s="2">
        <v>12.117510830000001</v>
      </c>
      <c r="H195" s="3">
        <v>2.7400000000000001E-8</v>
      </c>
      <c r="I195" s="2" t="s">
        <v>43892</v>
      </c>
      <c r="J195" s="2" t="s">
        <v>43893</v>
      </c>
      <c r="K195" s="3">
        <v>7.1699999999999997E-7</v>
      </c>
      <c r="L195" s="2" t="s">
        <v>35</v>
      </c>
      <c r="M195" s="4" t="s">
        <v>43894</v>
      </c>
    </row>
    <row r="196" spans="1:13">
      <c r="A196" s="2">
        <v>3225</v>
      </c>
      <c r="B196" s="2" t="s">
        <v>43895</v>
      </c>
      <c r="C196" s="2">
        <v>19</v>
      </c>
      <c r="D196" s="2">
        <v>291</v>
      </c>
      <c r="E196" s="2">
        <v>434</v>
      </c>
      <c r="F196" s="2">
        <v>32441</v>
      </c>
      <c r="G196" s="2">
        <v>4.8805089710000003</v>
      </c>
      <c r="H196" s="3">
        <v>3.0799999999999998E-8</v>
      </c>
      <c r="I196" s="2" t="s">
        <v>43896</v>
      </c>
      <c r="J196" s="2" t="s">
        <v>43897</v>
      </c>
      <c r="K196" s="3">
        <v>8.0200000000000001E-7</v>
      </c>
      <c r="L196" s="2" t="s">
        <v>35</v>
      </c>
      <c r="M196" s="4" t="s">
        <v>43898</v>
      </c>
    </row>
    <row r="197" spans="1:13">
      <c r="A197" s="2">
        <v>2413</v>
      </c>
      <c r="B197" s="2" t="s">
        <v>36020</v>
      </c>
      <c r="C197" s="2">
        <v>9</v>
      </c>
      <c r="D197" s="2">
        <v>291</v>
      </c>
      <c r="E197" s="2">
        <v>69</v>
      </c>
      <c r="F197" s="2">
        <v>32441</v>
      </c>
      <c r="G197" s="2">
        <v>14.541013</v>
      </c>
      <c r="H197" s="3">
        <v>3.2700000000000002E-8</v>
      </c>
      <c r="I197" s="2" t="s">
        <v>43899</v>
      </c>
      <c r="J197" s="2" t="s">
        <v>43900</v>
      </c>
      <c r="K197" s="3">
        <v>8.4600000000000003E-7</v>
      </c>
      <c r="L197" s="2" t="s">
        <v>35</v>
      </c>
      <c r="M197" s="4" t="s">
        <v>36023</v>
      </c>
    </row>
    <row r="198" spans="1:13">
      <c r="A198" s="2">
        <v>1774</v>
      </c>
      <c r="B198" s="2" t="s">
        <v>43901</v>
      </c>
      <c r="C198" s="2">
        <v>10</v>
      </c>
      <c r="D198" s="2">
        <v>291</v>
      </c>
      <c r="E198" s="2">
        <v>97</v>
      </c>
      <c r="F198" s="2">
        <v>32441</v>
      </c>
      <c r="G198" s="2">
        <v>11.492896869999999</v>
      </c>
      <c r="H198" s="3">
        <v>4.3499999999999999E-8</v>
      </c>
      <c r="I198" s="2" t="s">
        <v>43902</v>
      </c>
      <c r="J198" s="2" t="s">
        <v>43903</v>
      </c>
      <c r="K198" s="3">
        <v>1.1200000000000001E-6</v>
      </c>
      <c r="L198" s="2" t="s">
        <v>35</v>
      </c>
      <c r="M198" s="4" t="s">
        <v>43904</v>
      </c>
    </row>
    <row r="199" spans="1:13">
      <c r="A199" s="2">
        <v>3039</v>
      </c>
      <c r="B199" s="2" t="s">
        <v>43905</v>
      </c>
      <c r="C199" s="2">
        <v>7</v>
      </c>
      <c r="D199" s="2">
        <v>291</v>
      </c>
      <c r="E199" s="2">
        <v>35</v>
      </c>
      <c r="F199" s="2">
        <v>32441</v>
      </c>
      <c r="G199" s="2">
        <v>22.296219929999999</v>
      </c>
      <c r="H199" s="3">
        <v>8.4400000000000001E-8</v>
      </c>
      <c r="I199" s="2" t="s">
        <v>43906</v>
      </c>
      <c r="J199" s="2" t="s">
        <v>43907</v>
      </c>
      <c r="K199" s="3">
        <v>2.1600000000000001E-6</v>
      </c>
      <c r="L199" s="2" t="s">
        <v>35</v>
      </c>
      <c r="M199" s="4" t="s">
        <v>43908</v>
      </c>
    </row>
    <row r="200" spans="1:13">
      <c r="A200" s="2">
        <v>3154</v>
      </c>
      <c r="B200" s="2" t="s">
        <v>43909</v>
      </c>
      <c r="C200" s="2">
        <v>11</v>
      </c>
      <c r="D200" s="2">
        <v>291</v>
      </c>
      <c r="E200" s="2">
        <v>135</v>
      </c>
      <c r="F200" s="2">
        <v>32441</v>
      </c>
      <c r="G200" s="2">
        <v>9.0836451569999994</v>
      </c>
      <c r="H200" s="3">
        <v>8.5899999999999995E-8</v>
      </c>
      <c r="I200" s="2" t="s">
        <v>43910</v>
      </c>
      <c r="J200" s="2" t="s">
        <v>43911</v>
      </c>
      <c r="K200" s="3">
        <v>2.1799999999999999E-6</v>
      </c>
      <c r="L200" s="2" t="s">
        <v>35</v>
      </c>
      <c r="M200" s="4" t="s">
        <v>43912</v>
      </c>
    </row>
    <row r="201" spans="1:13">
      <c r="A201" s="2">
        <v>3698</v>
      </c>
      <c r="B201" s="2" t="s">
        <v>43913</v>
      </c>
      <c r="C201" s="2">
        <v>9</v>
      </c>
      <c r="D201" s="2">
        <v>291</v>
      </c>
      <c r="E201" s="2">
        <v>78</v>
      </c>
      <c r="F201" s="2">
        <v>32441</v>
      </c>
      <c r="G201" s="2">
        <v>12.86320381</v>
      </c>
      <c r="H201" s="3">
        <v>8.5800000000000001E-8</v>
      </c>
      <c r="I201" s="2" t="s">
        <v>43914</v>
      </c>
      <c r="J201" s="2" t="s">
        <v>43915</v>
      </c>
      <c r="K201" s="3">
        <v>2.1799999999999999E-6</v>
      </c>
      <c r="L201" s="2" t="s">
        <v>35</v>
      </c>
      <c r="M201" s="4" t="s">
        <v>43916</v>
      </c>
    </row>
    <row r="202" spans="1:13">
      <c r="A202" s="2">
        <v>4064</v>
      </c>
      <c r="B202" s="2" t="s">
        <v>5731</v>
      </c>
      <c r="C202" s="2">
        <v>10</v>
      </c>
      <c r="D202" s="2">
        <v>291</v>
      </c>
      <c r="E202" s="2">
        <v>105</v>
      </c>
      <c r="F202" s="2">
        <v>32441</v>
      </c>
      <c r="G202" s="2">
        <v>10.61724759</v>
      </c>
      <c r="H202" s="3">
        <v>8.6599999999999995E-8</v>
      </c>
      <c r="I202" s="2" t="s">
        <v>43917</v>
      </c>
      <c r="J202" s="2" t="s">
        <v>43918</v>
      </c>
      <c r="K202" s="3">
        <v>2.1799999999999999E-6</v>
      </c>
      <c r="L202" s="2" t="s">
        <v>35</v>
      </c>
      <c r="M202" s="4" t="s">
        <v>5734</v>
      </c>
    </row>
    <row r="203" spans="1:13">
      <c r="A203" s="2">
        <v>1323</v>
      </c>
      <c r="B203" s="2" t="s">
        <v>43919</v>
      </c>
      <c r="C203" s="2">
        <v>6</v>
      </c>
      <c r="D203" s="2">
        <v>291</v>
      </c>
      <c r="E203" s="2">
        <v>20</v>
      </c>
      <c r="F203" s="2">
        <v>32441</v>
      </c>
      <c r="G203" s="2">
        <v>33.4443299</v>
      </c>
      <c r="H203" s="3">
        <v>9.2999999999999999E-8</v>
      </c>
      <c r="I203" s="2" t="s">
        <v>43920</v>
      </c>
      <c r="J203" s="2" t="s">
        <v>43921</v>
      </c>
      <c r="K203" s="3">
        <v>2.3300000000000001E-6</v>
      </c>
      <c r="L203" s="2" t="s">
        <v>35</v>
      </c>
      <c r="M203" s="4" t="s">
        <v>43922</v>
      </c>
    </row>
    <row r="204" spans="1:13">
      <c r="A204" s="2">
        <v>1949</v>
      </c>
      <c r="B204" s="2" t="s">
        <v>43923</v>
      </c>
      <c r="C204" s="2">
        <v>5</v>
      </c>
      <c r="D204" s="2">
        <v>291</v>
      </c>
      <c r="E204" s="2">
        <v>9</v>
      </c>
      <c r="F204" s="2">
        <v>32441</v>
      </c>
      <c r="G204" s="2">
        <v>61.933944250000003</v>
      </c>
      <c r="H204" s="3">
        <v>1.01E-7</v>
      </c>
      <c r="I204" s="2" t="s">
        <v>43924</v>
      </c>
      <c r="J204" s="2" t="s">
        <v>43925</v>
      </c>
      <c r="K204" s="3">
        <v>2.5100000000000001E-6</v>
      </c>
      <c r="L204" s="2" t="s">
        <v>35</v>
      </c>
      <c r="M204" s="4" t="s">
        <v>43926</v>
      </c>
    </row>
    <row r="205" spans="1:13">
      <c r="A205" s="2">
        <v>3148</v>
      </c>
      <c r="B205" s="2" t="s">
        <v>43927</v>
      </c>
      <c r="C205" s="2">
        <v>9</v>
      </c>
      <c r="D205" s="2">
        <v>291</v>
      </c>
      <c r="E205" s="2">
        <v>82</v>
      </c>
      <c r="F205" s="2">
        <v>32441</v>
      </c>
      <c r="G205" s="2">
        <v>12.23573045</v>
      </c>
      <c r="H205" s="3">
        <v>1.2700000000000001E-7</v>
      </c>
      <c r="I205" s="2" t="s">
        <v>43928</v>
      </c>
      <c r="J205" s="2" t="s">
        <v>43929</v>
      </c>
      <c r="K205" s="3">
        <v>3.1499999999999999E-6</v>
      </c>
      <c r="L205" s="2" t="s">
        <v>35</v>
      </c>
      <c r="M205" s="4" t="s">
        <v>43930</v>
      </c>
    </row>
    <row r="206" spans="1:13">
      <c r="A206" s="2">
        <v>971</v>
      </c>
      <c r="B206" s="2" t="s">
        <v>43931</v>
      </c>
      <c r="C206" s="2">
        <v>14</v>
      </c>
      <c r="D206" s="2">
        <v>291</v>
      </c>
      <c r="E206" s="2">
        <v>251</v>
      </c>
      <c r="F206" s="2">
        <v>32441</v>
      </c>
      <c r="G206" s="2">
        <v>6.2180693040000001</v>
      </c>
      <c r="H206" s="3">
        <v>1.31E-7</v>
      </c>
      <c r="I206" s="2" t="s">
        <v>43932</v>
      </c>
      <c r="J206" s="2" t="s">
        <v>43933</v>
      </c>
      <c r="K206" s="3">
        <v>3.2399999999999999E-6</v>
      </c>
      <c r="L206" s="2" t="s">
        <v>35</v>
      </c>
      <c r="M206" s="4" t="s">
        <v>43934</v>
      </c>
    </row>
    <row r="207" spans="1:13">
      <c r="A207" s="2">
        <v>3584</v>
      </c>
      <c r="B207" s="2" t="s">
        <v>42428</v>
      </c>
      <c r="C207" s="2">
        <v>9</v>
      </c>
      <c r="D207" s="2">
        <v>291</v>
      </c>
      <c r="E207" s="2">
        <v>84</v>
      </c>
      <c r="F207" s="2">
        <v>32441</v>
      </c>
      <c r="G207" s="2">
        <v>11.944403530000001</v>
      </c>
      <c r="H207" s="3">
        <v>1.54E-7</v>
      </c>
      <c r="I207" s="2" t="s">
        <v>43935</v>
      </c>
      <c r="J207" s="2" t="s">
        <v>43936</v>
      </c>
      <c r="K207" s="3">
        <v>3.7699999999999999E-6</v>
      </c>
      <c r="L207" s="2" t="s">
        <v>35</v>
      </c>
      <c r="M207" s="4" t="s">
        <v>42431</v>
      </c>
    </row>
    <row r="208" spans="1:13">
      <c r="A208" s="2">
        <v>3134</v>
      </c>
      <c r="B208" s="2" t="s">
        <v>43937</v>
      </c>
      <c r="C208" s="2">
        <v>7</v>
      </c>
      <c r="D208" s="2">
        <v>291</v>
      </c>
      <c r="E208" s="2">
        <v>39</v>
      </c>
      <c r="F208" s="2">
        <v>32441</v>
      </c>
      <c r="G208" s="2">
        <v>20.009428140000001</v>
      </c>
      <c r="H208" s="3">
        <v>1.6199999999999999E-7</v>
      </c>
      <c r="I208" s="2" t="s">
        <v>43938</v>
      </c>
      <c r="J208" s="2" t="s">
        <v>43939</v>
      </c>
      <c r="K208" s="3">
        <v>3.9700000000000001E-6</v>
      </c>
      <c r="L208" s="2" t="s">
        <v>35</v>
      </c>
      <c r="M208" s="4" t="s">
        <v>43940</v>
      </c>
    </row>
    <row r="209" spans="1:13">
      <c r="A209" s="2">
        <v>2245</v>
      </c>
      <c r="B209" s="2" t="s">
        <v>43941</v>
      </c>
      <c r="C209" s="2">
        <v>7</v>
      </c>
      <c r="D209" s="2">
        <v>291</v>
      </c>
      <c r="E209" s="2">
        <v>40</v>
      </c>
      <c r="F209" s="2">
        <v>32441</v>
      </c>
      <c r="G209" s="2">
        <v>19.50919244</v>
      </c>
      <c r="H209" s="3">
        <v>1.8900000000000001E-7</v>
      </c>
      <c r="I209" s="2" t="s">
        <v>43942</v>
      </c>
      <c r="J209" s="2" t="s">
        <v>43943</v>
      </c>
      <c r="K209" s="3">
        <v>4.6E-6</v>
      </c>
      <c r="L209" s="2" t="s">
        <v>35</v>
      </c>
      <c r="M209" s="4" t="s">
        <v>43944</v>
      </c>
    </row>
    <row r="210" spans="1:13">
      <c r="A210" s="2">
        <v>4049</v>
      </c>
      <c r="B210" s="2" t="s">
        <v>4748</v>
      </c>
      <c r="C210" s="2">
        <v>8</v>
      </c>
      <c r="D210" s="2">
        <v>291</v>
      </c>
      <c r="E210" s="2">
        <v>62</v>
      </c>
      <c r="F210" s="2">
        <v>32441</v>
      </c>
      <c r="G210" s="2">
        <v>14.38465802</v>
      </c>
      <c r="H210" s="3">
        <v>2.0800000000000001E-7</v>
      </c>
      <c r="I210" s="2" t="s">
        <v>43945</v>
      </c>
      <c r="J210" s="2" t="s">
        <v>43946</v>
      </c>
      <c r="K210" s="3">
        <v>5.0200000000000002E-6</v>
      </c>
      <c r="L210" s="2" t="s">
        <v>35</v>
      </c>
      <c r="M210" s="4" t="s">
        <v>4751</v>
      </c>
    </row>
    <row r="211" spans="1:13">
      <c r="A211" s="2">
        <v>677</v>
      </c>
      <c r="B211" s="2" t="s">
        <v>43947</v>
      </c>
      <c r="C211" s="2">
        <v>17</v>
      </c>
      <c r="D211" s="2">
        <v>291</v>
      </c>
      <c r="E211" s="2">
        <v>396</v>
      </c>
      <c r="F211" s="2">
        <v>32441</v>
      </c>
      <c r="G211" s="2">
        <v>4.7858047829999997</v>
      </c>
      <c r="H211" s="3">
        <v>2.17E-7</v>
      </c>
      <c r="I211" s="2" t="s">
        <v>43948</v>
      </c>
      <c r="J211" s="2" t="s">
        <v>43949</v>
      </c>
      <c r="K211" s="3">
        <v>5.1800000000000004E-6</v>
      </c>
      <c r="L211" s="2" t="s">
        <v>35</v>
      </c>
      <c r="M211" s="4" t="s">
        <v>43950</v>
      </c>
    </row>
    <row r="212" spans="1:13">
      <c r="A212" s="2">
        <v>2408</v>
      </c>
      <c r="B212" s="2" t="s">
        <v>43951</v>
      </c>
      <c r="C212" s="2">
        <v>12</v>
      </c>
      <c r="D212" s="2">
        <v>291</v>
      </c>
      <c r="E212" s="2">
        <v>184</v>
      </c>
      <c r="F212" s="2">
        <v>32441</v>
      </c>
      <c r="G212" s="2">
        <v>7.2705064989999997</v>
      </c>
      <c r="H212" s="3">
        <v>2.17E-7</v>
      </c>
      <c r="I212" s="2" t="s">
        <v>43952</v>
      </c>
      <c r="J212" s="2" t="s">
        <v>43953</v>
      </c>
      <c r="K212" s="3">
        <v>5.1800000000000004E-6</v>
      </c>
      <c r="L212" s="2" t="s">
        <v>35</v>
      </c>
      <c r="M212" s="4" t="s">
        <v>43954</v>
      </c>
    </row>
    <row r="213" spans="1:13">
      <c r="A213" s="2">
        <v>1476</v>
      </c>
      <c r="B213" s="2" t="s">
        <v>5866</v>
      </c>
      <c r="C213" s="2">
        <v>15</v>
      </c>
      <c r="D213" s="2">
        <v>291</v>
      </c>
      <c r="E213" s="2">
        <v>306</v>
      </c>
      <c r="F213" s="2">
        <v>32441</v>
      </c>
      <c r="G213" s="2">
        <v>5.4647597870000002</v>
      </c>
      <c r="H213" s="3">
        <v>2.28E-7</v>
      </c>
      <c r="I213" s="2" t="s">
        <v>43955</v>
      </c>
      <c r="J213" s="2" t="s">
        <v>43956</v>
      </c>
      <c r="K213" s="3">
        <v>5.4299999999999997E-6</v>
      </c>
      <c r="L213" s="2" t="s">
        <v>35</v>
      </c>
      <c r="M213" s="4" t="s">
        <v>5869</v>
      </c>
    </row>
    <row r="214" spans="1:13">
      <c r="A214" s="2">
        <v>2638</v>
      </c>
      <c r="B214" s="2" t="s">
        <v>223</v>
      </c>
      <c r="C214" s="2">
        <v>17</v>
      </c>
      <c r="D214" s="2">
        <v>291</v>
      </c>
      <c r="E214" s="2">
        <v>398</v>
      </c>
      <c r="F214" s="2">
        <v>32441</v>
      </c>
      <c r="G214" s="2">
        <v>4.7617555129999998</v>
      </c>
      <c r="H214" s="3">
        <v>2.3200000000000001E-7</v>
      </c>
      <c r="I214" s="2" t="s">
        <v>43957</v>
      </c>
      <c r="J214" s="2" t="s">
        <v>43958</v>
      </c>
      <c r="K214" s="3">
        <v>5.4600000000000002E-6</v>
      </c>
      <c r="L214" s="2" t="s">
        <v>35</v>
      </c>
      <c r="M214" s="4" t="s">
        <v>4460</v>
      </c>
    </row>
    <row r="215" spans="1:13">
      <c r="A215" s="2">
        <v>3477</v>
      </c>
      <c r="B215" s="2" t="s">
        <v>4688</v>
      </c>
      <c r="C215" s="2">
        <v>21</v>
      </c>
      <c r="D215" s="2">
        <v>291</v>
      </c>
      <c r="E215" s="2">
        <v>602</v>
      </c>
      <c r="F215" s="2">
        <v>32441</v>
      </c>
      <c r="G215" s="2">
        <v>3.8888755690000001</v>
      </c>
      <c r="H215" s="3">
        <v>2.2999999999999999E-7</v>
      </c>
      <c r="I215" s="2" t="s">
        <v>43959</v>
      </c>
      <c r="J215" s="2" t="s">
        <v>43960</v>
      </c>
      <c r="K215" s="3">
        <v>5.4600000000000002E-6</v>
      </c>
      <c r="L215" s="2" t="s">
        <v>35</v>
      </c>
      <c r="M215" s="4" t="s">
        <v>4691</v>
      </c>
    </row>
    <row r="216" spans="1:13">
      <c r="A216" s="2">
        <v>3545</v>
      </c>
      <c r="B216" s="2" t="s">
        <v>43961</v>
      </c>
      <c r="C216" s="2">
        <v>6</v>
      </c>
      <c r="D216" s="2">
        <v>291</v>
      </c>
      <c r="E216" s="2">
        <v>24</v>
      </c>
      <c r="F216" s="2">
        <v>32441</v>
      </c>
      <c r="G216" s="2">
        <v>27.870274909999999</v>
      </c>
      <c r="H216" s="3">
        <v>2.3300000000000001E-7</v>
      </c>
      <c r="I216" s="2" t="s">
        <v>43962</v>
      </c>
      <c r="J216" s="2" t="s">
        <v>43963</v>
      </c>
      <c r="K216" s="3">
        <v>5.4600000000000002E-6</v>
      </c>
      <c r="L216" s="2" t="s">
        <v>35</v>
      </c>
      <c r="M216" s="4" t="s">
        <v>43964</v>
      </c>
    </row>
    <row r="217" spans="1:13">
      <c r="A217" s="2">
        <v>4448</v>
      </c>
      <c r="B217" s="2" t="s">
        <v>5870</v>
      </c>
      <c r="C217" s="2">
        <v>26</v>
      </c>
      <c r="D217" s="2">
        <v>291</v>
      </c>
      <c r="E217" s="2">
        <v>898</v>
      </c>
      <c r="F217" s="2">
        <v>32441</v>
      </c>
      <c r="G217" s="2">
        <v>3.2277378520000002</v>
      </c>
      <c r="H217" s="3">
        <v>2.8000000000000002E-7</v>
      </c>
      <c r="I217" s="2" t="s">
        <v>43965</v>
      </c>
      <c r="J217" s="2" t="s">
        <v>43966</v>
      </c>
      <c r="K217" s="3">
        <v>6.5300000000000002E-6</v>
      </c>
      <c r="L217" s="2" t="s">
        <v>35</v>
      </c>
      <c r="M217" s="4" t="s">
        <v>5873</v>
      </c>
    </row>
    <row r="218" spans="1:13">
      <c r="A218" s="2">
        <v>1808</v>
      </c>
      <c r="B218" s="2" t="s">
        <v>5306</v>
      </c>
      <c r="C218" s="2">
        <v>10</v>
      </c>
      <c r="D218" s="2">
        <v>291</v>
      </c>
      <c r="E218" s="2">
        <v>121</v>
      </c>
      <c r="F218" s="2">
        <v>32441</v>
      </c>
      <c r="G218" s="2">
        <v>9.2133140210000004</v>
      </c>
      <c r="H218" s="3">
        <v>2.96E-7</v>
      </c>
      <c r="I218" s="2" t="s">
        <v>43967</v>
      </c>
      <c r="J218" s="2" t="s">
        <v>43968</v>
      </c>
      <c r="K218" s="3">
        <v>6.8399999999999997E-6</v>
      </c>
      <c r="L218" s="2" t="s">
        <v>35</v>
      </c>
      <c r="M218" s="4" t="s">
        <v>5309</v>
      </c>
    </row>
    <row r="219" spans="1:13">
      <c r="A219" s="2">
        <v>2373</v>
      </c>
      <c r="B219" s="2" t="s">
        <v>35992</v>
      </c>
      <c r="C219" s="2">
        <v>10</v>
      </c>
      <c r="D219" s="2">
        <v>291</v>
      </c>
      <c r="E219" s="2">
        <v>121</v>
      </c>
      <c r="F219" s="2">
        <v>32441</v>
      </c>
      <c r="G219" s="2">
        <v>9.2133140210000004</v>
      </c>
      <c r="H219" s="3">
        <v>2.96E-7</v>
      </c>
      <c r="I219" s="2" t="s">
        <v>43969</v>
      </c>
      <c r="J219" s="2" t="s">
        <v>43970</v>
      </c>
      <c r="K219" s="3">
        <v>6.8399999999999997E-6</v>
      </c>
      <c r="L219" s="2" t="s">
        <v>35</v>
      </c>
      <c r="M219" s="4" t="s">
        <v>35995</v>
      </c>
    </row>
    <row r="220" spans="1:13">
      <c r="A220" s="2">
        <v>185</v>
      </c>
      <c r="B220" s="2" t="s">
        <v>43971</v>
      </c>
      <c r="C220" s="2">
        <v>9</v>
      </c>
      <c r="D220" s="2">
        <v>291</v>
      </c>
      <c r="E220" s="2">
        <v>92</v>
      </c>
      <c r="F220" s="2">
        <v>32441</v>
      </c>
      <c r="G220" s="2">
        <v>10.90575975</v>
      </c>
      <c r="H220" s="3">
        <v>3.1300000000000001E-7</v>
      </c>
      <c r="I220" s="2" t="s">
        <v>43972</v>
      </c>
      <c r="J220" s="2" t="s">
        <v>43973</v>
      </c>
      <c r="K220" s="3">
        <v>7.2099999999999996E-6</v>
      </c>
      <c r="L220" s="2" t="s">
        <v>35</v>
      </c>
      <c r="M220" s="4" t="s">
        <v>43974</v>
      </c>
    </row>
    <row r="221" spans="1:13">
      <c r="A221" s="2">
        <v>1639</v>
      </c>
      <c r="B221" s="2" t="s">
        <v>42552</v>
      </c>
      <c r="C221" s="2">
        <v>15</v>
      </c>
      <c r="D221" s="2">
        <v>291</v>
      </c>
      <c r="E221" s="2">
        <v>316</v>
      </c>
      <c r="F221" s="2">
        <v>32441</v>
      </c>
      <c r="G221" s="2">
        <v>5.2918243509999998</v>
      </c>
      <c r="H221" s="3">
        <v>3.3700000000000001E-7</v>
      </c>
      <c r="I221" s="2" t="s">
        <v>43975</v>
      </c>
      <c r="J221" s="2" t="s">
        <v>43976</v>
      </c>
      <c r="K221" s="3">
        <v>7.7300000000000005E-6</v>
      </c>
      <c r="L221" s="2" t="s">
        <v>35</v>
      </c>
      <c r="M221" s="4" t="s">
        <v>42555</v>
      </c>
    </row>
    <row r="222" spans="1:13">
      <c r="A222" s="2">
        <v>3475</v>
      </c>
      <c r="B222" s="2" t="s">
        <v>24727</v>
      </c>
      <c r="C222" s="2">
        <v>22</v>
      </c>
      <c r="D222" s="2">
        <v>291</v>
      </c>
      <c r="E222" s="2">
        <v>673</v>
      </c>
      <c r="F222" s="2">
        <v>32441</v>
      </c>
      <c r="G222" s="2">
        <v>3.6442558580000002</v>
      </c>
      <c r="H222" s="3">
        <v>3.4299999999999999E-7</v>
      </c>
      <c r="I222" s="2" t="s">
        <v>43977</v>
      </c>
      <c r="J222" s="2" t="s">
        <v>43978</v>
      </c>
      <c r="K222" s="3">
        <v>7.8199999999999997E-6</v>
      </c>
      <c r="L222" s="2" t="s">
        <v>35</v>
      </c>
      <c r="M222" s="4" t="s">
        <v>24730</v>
      </c>
    </row>
    <row r="223" spans="1:13">
      <c r="A223" s="2">
        <v>3238</v>
      </c>
      <c r="B223" s="2" t="s">
        <v>43979</v>
      </c>
      <c r="C223" s="2">
        <v>7</v>
      </c>
      <c r="D223" s="2">
        <v>291</v>
      </c>
      <c r="E223" s="2">
        <v>46</v>
      </c>
      <c r="F223" s="2">
        <v>32441</v>
      </c>
      <c r="G223" s="2">
        <v>16.964515169999999</v>
      </c>
      <c r="H223" s="3">
        <v>4.4400000000000001E-7</v>
      </c>
      <c r="I223" s="2" t="s">
        <v>43980</v>
      </c>
      <c r="J223" s="2" t="s">
        <v>43981</v>
      </c>
      <c r="K223" s="3">
        <v>1.01E-5</v>
      </c>
      <c r="L223" s="2" t="s">
        <v>35</v>
      </c>
      <c r="M223" s="4" t="s">
        <v>43982</v>
      </c>
    </row>
    <row r="224" spans="1:13">
      <c r="A224" s="2">
        <v>3738</v>
      </c>
      <c r="B224" s="2" t="s">
        <v>43983</v>
      </c>
      <c r="C224" s="2">
        <v>13</v>
      </c>
      <c r="D224" s="2">
        <v>291</v>
      </c>
      <c r="E224" s="2">
        <v>242</v>
      </c>
      <c r="F224" s="2">
        <v>32441</v>
      </c>
      <c r="G224" s="2">
        <v>5.988654114</v>
      </c>
      <c r="H224" s="3">
        <v>5.5400000000000001E-7</v>
      </c>
      <c r="I224" s="2" t="s">
        <v>43984</v>
      </c>
      <c r="J224" s="2" t="s">
        <v>43985</v>
      </c>
      <c r="K224" s="3">
        <v>1.2500000000000001E-5</v>
      </c>
      <c r="L224" s="2" t="s">
        <v>35</v>
      </c>
      <c r="M224" s="4" t="s">
        <v>43986</v>
      </c>
    </row>
    <row r="225" spans="1:13">
      <c r="A225" s="2">
        <v>3176</v>
      </c>
      <c r="B225" s="2" t="s">
        <v>43987</v>
      </c>
      <c r="C225" s="2">
        <v>5</v>
      </c>
      <c r="D225" s="2">
        <v>291</v>
      </c>
      <c r="E225" s="2">
        <v>14</v>
      </c>
      <c r="F225" s="2">
        <v>32441</v>
      </c>
      <c r="G225" s="2">
        <v>39.814678450000002</v>
      </c>
      <c r="H225" s="3">
        <v>5.6300000000000005E-7</v>
      </c>
      <c r="I225" s="2" t="s">
        <v>43988</v>
      </c>
      <c r="J225" s="2" t="s">
        <v>43989</v>
      </c>
      <c r="K225" s="3">
        <v>1.27E-5</v>
      </c>
      <c r="L225" s="2" t="s">
        <v>35</v>
      </c>
      <c r="M225" s="4" t="s">
        <v>43990</v>
      </c>
    </row>
    <row r="226" spans="1:13">
      <c r="A226" s="2">
        <v>956</v>
      </c>
      <c r="B226" s="2" t="s">
        <v>43991</v>
      </c>
      <c r="C226" s="2">
        <v>7</v>
      </c>
      <c r="D226" s="2">
        <v>291</v>
      </c>
      <c r="E226" s="2">
        <v>48</v>
      </c>
      <c r="F226" s="2">
        <v>32441</v>
      </c>
      <c r="G226" s="2">
        <v>16.25766037</v>
      </c>
      <c r="H226" s="3">
        <v>5.75E-7</v>
      </c>
      <c r="I226" s="2" t="s">
        <v>43856</v>
      </c>
      <c r="J226" s="2" t="s">
        <v>43857</v>
      </c>
      <c r="K226" s="3">
        <v>1.2799999999999999E-5</v>
      </c>
      <c r="L226" s="2" t="s">
        <v>35</v>
      </c>
      <c r="M226" s="4" t="s">
        <v>43992</v>
      </c>
    </row>
    <row r="227" spans="1:13">
      <c r="A227" s="2">
        <v>2403</v>
      </c>
      <c r="B227" s="2" t="s">
        <v>43993</v>
      </c>
      <c r="C227" s="2">
        <v>7</v>
      </c>
      <c r="D227" s="2">
        <v>291</v>
      </c>
      <c r="E227" s="2">
        <v>48</v>
      </c>
      <c r="F227" s="2">
        <v>32441</v>
      </c>
      <c r="G227" s="2">
        <v>16.25766037</v>
      </c>
      <c r="H227" s="3">
        <v>5.75E-7</v>
      </c>
      <c r="I227" s="2" t="s">
        <v>43994</v>
      </c>
      <c r="J227" s="2" t="s">
        <v>43995</v>
      </c>
      <c r="K227" s="3">
        <v>1.2799999999999999E-5</v>
      </c>
      <c r="L227" s="2" t="s">
        <v>35</v>
      </c>
      <c r="M227" s="4" t="s">
        <v>43996</v>
      </c>
    </row>
    <row r="228" spans="1:13">
      <c r="A228" s="2">
        <v>1959</v>
      </c>
      <c r="B228" s="2" t="s">
        <v>42544</v>
      </c>
      <c r="C228" s="2">
        <v>9</v>
      </c>
      <c r="D228" s="2">
        <v>291</v>
      </c>
      <c r="E228" s="2">
        <v>100</v>
      </c>
      <c r="F228" s="2">
        <v>32441</v>
      </c>
      <c r="G228" s="2">
        <v>10.033298970000001</v>
      </c>
      <c r="H228" s="3">
        <v>6.0100000000000005E-7</v>
      </c>
      <c r="I228" s="2" t="s">
        <v>43997</v>
      </c>
      <c r="J228" s="2" t="s">
        <v>43998</v>
      </c>
      <c r="K228" s="3">
        <v>1.33E-5</v>
      </c>
      <c r="L228" s="2" t="s">
        <v>35</v>
      </c>
      <c r="M228" s="4" t="s">
        <v>42547</v>
      </c>
    </row>
    <row r="229" spans="1:13">
      <c r="A229" s="2">
        <v>4110</v>
      </c>
      <c r="B229" s="2" t="s">
        <v>43999</v>
      </c>
      <c r="C229" s="2">
        <v>6</v>
      </c>
      <c r="D229" s="2">
        <v>291</v>
      </c>
      <c r="E229" s="2">
        <v>29</v>
      </c>
      <c r="F229" s="2">
        <v>32441</v>
      </c>
      <c r="G229" s="2">
        <v>23.065055099999999</v>
      </c>
      <c r="H229" s="3">
        <v>6.13E-7</v>
      </c>
      <c r="I229" s="2" t="s">
        <v>44000</v>
      </c>
      <c r="J229" s="2" t="s">
        <v>44001</v>
      </c>
      <c r="K229" s="3">
        <v>1.3499999999999999E-5</v>
      </c>
      <c r="L229" s="2" t="s">
        <v>35</v>
      </c>
      <c r="M229" s="4" t="s">
        <v>44002</v>
      </c>
    </row>
    <row r="230" spans="1:13">
      <c r="A230" s="2">
        <v>2883</v>
      </c>
      <c r="B230" s="2" t="s">
        <v>4481</v>
      </c>
      <c r="C230" s="2">
        <v>13</v>
      </c>
      <c r="D230" s="2">
        <v>291</v>
      </c>
      <c r="E230" s="2">
        <v>246</v>
      </c>
      <c r="F230" s="2">
        <v>32441</v>
      </c>
      <c r="G230" s="2">
        <v>5.8912776239999998</v>
      </c>
      <c r="H230" s="3">
        <v>6.61E-7</v>
      </c>
      <c r="I230" s="2" t="s">
        <v>44003</v>
      </c>
      <c r="J230" s="2" t="s">
        <v>44004</v>
      </c>
      <c r="K230" s="3">
        <v>1.45E-5</v>
      </c>
      <c r="L230" s="2" t="s">
        <v>35</v>
      </c>
      <c r="M230" s="4" t="s">
        <v>4484</v>
      </c>
    </row>
    <row r="231" spans="1:13">
      <c r="A231" s="2">
        <v>2112</v>
      </c>
      <c r="B231" s="2" t="s">
        <v>4787</v>
      </c>
      <c r="C231" s="2">
        <v>7</v>
      </c>
      <c r="D231" s="2">
        <v>291</v>
      </c>
      <c r="E231" s="2">
        <v>50</v>
      </c>
      <c r="F231" s="2">
        <v>32441</v>
      </c>
      <c r="G231" s="2">
        <v>15.60735395</v>
      </c>
      <c r="H231" s="3">
        <v>7.3799999999999996E-7</v>
      </c>
      <c r="I231" s="2" t="s">
        <v>44005</v>
      </c>
      <c r="J231" s="2" t="s">
        <v>44006</v>
      </c>
      <c r="K231" s="3">
        <v>1.6099999999999998E-5</v>
      </c>
      <c r="L231" s="2" t="s">
        <v>35</v>
      </c>
      <c r="M231" s="4" t="s">
        <v>4790</v>
      </c>
    </row>
    <row r="232" spans="1:13">
      <c r="A232" s="2">
        <v>1932</v>
      </c>
      <c r="B232" s="2" t="s">
        <v>44007</v>
      </c>
      <c r="C232" s="2">
        <v>5</v>
      </c>
      <c r="D232" s="2">
        <v>291</v>
      </c>
      <c r="E232" s="2">
        <v>15</v>
      </c>
      <c r="F232" s="2">
        <v>32441</v>
      </c>
      <c r="G232" s="2">
        <v>37.160366549999999</v>
      </c>
      <c r="H232" s="3">
        <v>7.4600000000000004E-7</v>
      </c>
      <c r="I232" s="2" t="s">
        <v>44008</v>
      </c>
      <c r="J232" s="2" t="s">
        <v>44009</v>
      </c>
      <c r="K232" s="3">
        <v>1.6099999999999998E-5</v>
      </c>
      <c r="L232" s="2" t="s">
        <v>35</v>
      </c>
      <c r="M232" s="4" t="s">
        <v>44010</v>
      </c>
    </row>
    <row r="233" spans="1:13">
      <c r="A233" s="2">
        <v>2635</v>
      </c>
      <c r="B233" s="2" t="s">
        <v>44011</v>
      </c>
      <c r="C233" s="2">
        <v>5</v>
      </c>
      <c r="D233" s="2">
        <v>291</v>
      </c>
      <c r="E233" s="2">
        <v>15</v>
      </c>
      <c r="F233" s="2">
        <v>32441</v>
      </c>
      <c r="G233" s="2">
        <v>37.160366549999999</v>
      </c>
      <c r="H233" s="3">
        <v>7.4600000000000004E-7</v>
      </c>
      <c r="I233" s="2" t="s">
        <v>44012</v>
      </c>
      <c r="J233" s="2" t="s">
        <v>44013</v>
      </c>
      <c r="K233" s="3">
        <v>1.6099999999999998E-5</v>
      </c>
      <c r="L233" s="2" t="s">
        <v>35</v>
      </c>
      <c r="M233" s="4" t="s">
        <v>44014</v>
      </c>
    </row>
    <row r="234" spans="1:13">
      <c r="A234" s="2">
        <v>1711</v>
      </c>
      <c r="B234" s="2" t="s">
        <v>44015</v>
      </c>
      <c r="C234" s="2">
        <v>7</v>
      </c>
      <c r="D234" s="2">
        <v>291</v>
      </c>
      <c r="E234" s="2">
        <v>51</v>
      </c>
      <c r="F234" s="2">
        <v>32441</v>
      </c>
      <c r="G234" s="2">
        <v>15.3013274</v>
      </c>
      <c r="H234" s="3">
        <v>8.3300000000000001E-7</v>
      </c>
      <c r="I234" s="2" t="s">
        <v>44016</v>
      </c>
      <c r="J234" s="2" t="s">
        <v>44017</v>
      </c>
      <c r="K234" s="3">
        <v>1.8E-5</v>
      </c>
      <c r="L234" s="2" t="s">
        <v>35</v>
      </c>
      <c r="M234" s="4" t="s">
        <v>44018</v>
      </c>
    </row>
    <row r="235" spans="1:13">
      <c r="A235" s="2">
        <v>184</v>
      </c>
      <c r="B235" s="2" t="s">
        <v>44019</v>
      </c>
      <c r="C235" s="2">
        <v>8</v>
      </c>
      <c r="D235" s="2">
        <v>291</v>
      </c>
      <c r="E235" s="2">
        <v>76</v>
      </c>
      <c r="F235" s="2">
        <v>32441</v>
      </c>
      <c r="G235" s="2">
        <v>11.7348526</v>
      </c>
      <c r="H235" s="3">
        <v>8.6099999999999999E-7</v>
      </c>
      <c r="I235" s="2" t="s">
        <v>44020</v>
      </c>
      <c r="J235" s="2" t="s">
        <v>44021</v>
      </c>
      <c r="K235" s="3">
        <v>1.84E-5</v>
      </c>
      <c r="L235" s="2" t="s">
        <v>35</v>
      </c>
      <c r="M235" s="4" t="s">
        <v>44022</v>
      </c>
    </row>
    <row r="236" spans="1:13">
      <c r="A236" s="2">
        <v>4220</v>
      </c>
      <c r="B236" s="2" t="s">
        <v>3723</v>
      </c>
      <c r="C236" s="2">
        <v>8</v>
      </c>
      <c r="D236" s="2">
        <v>291</v>
      </c>
      <c r="E236" s="2">
        <v>76</v>
      </c>
      <c r="F236" s="2">
        <v>32441</v>
      </c>
      <c r="G236" s="2">
        <v>11.7348526</v>
      </c>
      <c r="H236" s="3">
        <v>8.6099999999999999E-7</v>
      </c>
      <c r="I236" s="2" t="s">
        <v>44023</v>
      </c>
      <c r="J236" s="2" t="s">
        <v>44024</v>
      </c>
      <c r="K236" s="3">
        <v>1.84E-5</v>
      </c>
      <c r="L236" s="2" t="s">
        <v>35</v>
      </c>
      <c r="M236" s="4" t="s">
        <v>3726</v>
      </c>
    </row>
    <row r="237" spans="1:13">
      <c r="A237" s="2">
        <v>4428</v>
      </c>
      <c r="B237" s="2" t="s">
        <v>4186</v>
      </c>
      <c r="C237" s="2">
        <v>12</v>
      </c>
      <c r="D237" s="2">
        <v>291</v>
      </c>
      <c r="E237" s="2">
        <v>213</v>
      </c>
      <c r="F237" s="2">
        <v>32441</v>
      </c>
      <c r="G237" s="2">
        <v>6.2806253329999997</v>
      </c>
      <c r="H237" s="3">
        <v>9.4399999999999998E-7</v>
      </c>
      <c r="I237" s="2" t="s">
        <v>44025</v>
      </c>
      <c r="J237" s="2" t="s">
        <v>44026</v>
      </c>
      <c r="K237" s="3">
        <v>2.0100000000000001E-5</v>
      </c>
      <c r="L237" s="2" t="s">
        <v>35</v>
      </c>
      <c r="M237" s="4" t="s">
        <v>4189</v>
      </c>
    </row>
    <row r="238" spans="1:13">
      <c r="A238" s="2">
        <v>3024</v>
      </c>
      <c r="B238" s="2" t="s">
        <v>44027</v>
      </c>
      <c r="C238" s="2">
        <v>11</v>
      </c>
      <c r="D238" s="2">
        <v>291</v>
      </c>
      <c r="E238" s="2">
        <v>175</v>
      </c>
      <c r="F238" s="2">
        <v>32441</v>
      </c>
      <c r="G238" s="2">
        <v>7.0073834069999998</v>
      </c>
      <c r="H238" s="3">
        <v>9.8100000000000001E-7</v>
      </c>
      <c r="I238" s="2" t="s">
        <v>44028</v>
      </c>
      <c r="J238" s="2" t="s">
        <v>44029</v>
      </c>
      <c r="K238" s="3">
        <v>2.0800000000000001E-5</v>
      </c>
      <c r="L238" s="2" t="s">
        <v>35</v>
      </c>
      <c r="M238" s="4" t="s">
        <v>44030</v>
      </c>
    </row>
    <row r="239" spans="1:13">
      <c r="A239" s="2">
        <v>1624</v>
      </c>
      <c r="B239" s="2" t="s">
        <v>44031</v>
      </c>
      <c r="C239" s="2">
        <v>12</v>
      </c>
      <c r="D239" s="2">
        <v>291</v>
      </c>
      <c r="E239" s="2">
        <v>214</v>
      </c>
      <c r="F239" s="2">
        <v>32441</v>
      </c>
      <c r="G239" s="2">
        <v>6.2512766160000002</v>
      </c>
      <c r="H239" s="3">
        <v>9.8899999999999998E-7</v>
      </c>
      <c r="I239" s="2" t="s">
        <v>44032</v>
      </c>
      <c r="J239" s="2" t="s">
        <v>44033</v>
      </c>
      <c r="K239" s="3">
        <v>2.0800000000000001E-5</v>
      </c>
      <c r="L239" s="2" t="s">
        <v>35</v>
      </c>
      <c r="M239" s="4" t="s">
        <v>44034</v>
      </c>
    </row>
    <row r="240" spans="1:13">
      <c r="A240" s="2">
        <v>561</v>
      </c>
      <c r="B240" s="2" t="s">
        <v>44035</v>
      </c>
      <c r="C240" s="2">
        <v>6</v>
      </c>
      <c r="D240" s="2">
        <v>291</v>
      </c>
      <c r="E240" s="2">
        <v>32</v>
      </c>
      <c r="F240" s="2">
        <v>32441</v>
      </c>
      <c r="G240" s="2">
        <v>20.90270619</v>
      </c>
      <c r="H240" s="3">
        <v>1.02E-6</v>
      </c>
      <c r="I240" s="2" t="s">
        <v>44036</v>
      </c>
      <c r="J240" s="2" t="s">
        <v>44037</v>
      </c>
      <c r="K240" s="3">
        <v>2.1399999999999998E-5</v>
      </c>
      <c r="L240" s="2" t="s">
        <v>35</v>
      </c>
      <c r="M240" s="4" t="s">
        <v>44038</v>
      </c>
    </row>
    <row r="241" spans="1:13">
      <c r="A241" s="2">
        <v>4703</v>
      </c>
      <c r="B241" s="2" t="s">
        <v>4126</v>
      </c>
      <c r="C241" s="2">
        <v>37</v>
      </c>
      <c r="D241" s="2">
        <v>291</v>
      </c>
      <c r="E241" s="2">
        <v>1725</v>
      </c>
      <c r="F241" s="2">
        <v>32441</v>
      </c>
      <c r="G241" s="2">
        <v>2.391188804</v>
      </c>
      <c r="H241" s="3">
        <v>1.19E-6</v>
      </c>
      <c r="I241" s="2" t="s">
        <v>44039</v>
      </c>
      <c r="J241" s="2" t="s">
        <v>44040</v>
      </c>
      <c r="K241" s="3">
        <v>2.4899999999999999E-5</v>
      </c>
      <c r="L241" s="2" t="s">
        <v>35</v>
      </c>
      <c r="M241" s="4" t="s">
        <v>4129</v>
      </c>
    </row>
    <row r="242" spans="1:13">
      <c r="A242" s="2">
        <v>3869</v>
      </c>
      <c r="B242" s="2" t="s">
        <v>44041</v>
      </c>
      <c r="C242" s="2">
        <v>6</v>
      </c>
      <c r="D242" s="2">
        <v>291</v>
      </c>
      <c r="E242" s="2">
        <v>33</v>
      </c>
      <c r="F242" s="2">
        <v>32441</v>
      </c>
      <c r="G242" s="2">
        <v>20.269290850000001</v>
      </c>
      <c r="H242" s="3">
        <v>1.1999999999999999E-6</v>
      </c>
      <c r="I242" s="2" t="s">
        <v>44042</v>
      </c>
      <c r="J242" s="2" t="s">
        <v>44043</v>
      </c>
      <c r="K242" s="3">
        <v>2.4899999999999999E-5</v>
      </c>
      <c r="L242" s="2" t="s">
        <v>35</v>
      </c>
      <c r="M242" s="4" t="s">
        <v>44044</v>
      </c>
    </row>
    <row r="243" spans="1:13">
      <c r="A243" s="2">
        <v>2598</v>
      </c>
      <c r="B243" s="2" t="s">
        <v>44045</v>
      </c>
      <c r="C243" s="2">
        <v>5</v>
      </c>
      <c r="D243" s="2">
        <v>291</v>
      </c>
      <c r="E243" s="2">
        <v>17</v>
      </c>
      <c r="F243" s="2">
        <v>32441</v>
      </c>
      <c r="G243" s="2">
        <v>32.788558719999997</v>
      </c>
      <c r="H243" s="3">
        <v>1.2500000000000001E-6</v>
      </c>
      <c r="I243" s="2" t="s">
        <v>44046</v>
      </c>
      <c r="J243" s="2" t="s">
        <v>44047</v>
      </c>
      <c r="K243" s="3">
        <v>2.58E-5</v>
      </c>
      <c r="L243" s="2" t="s">
        <v>35</v>
      </c>
      <c r="M243" s="4" t="s">
        <v>44048</v>
      </c>
    </row>
    <row r="244" spans="1:13">
      <c r="A244" s="2">
        <v>3791</v>
      </c>
      <c r="B244" s="2" t="s">
        <v>44049</v>
      </c>
      <c r="C244" s="2">
        <v>7</v>
      </c>
      <c r="D244" s="2">
        <v>291</v>
      </c>
      <c r="E244" s="2">
        <v>55</v>
      </c>
      <c r="F244" s="2">
        <v>32441</v>
      </c>
      <c r="G244" s="2">
        <v>14.18850359</v>
      </c>
      <c r="H244" s="3">
        <v>1.3200000000000001E-6</v>
      </c>
      <c r="I244" s="2" t="s">
        <v>44050</v>
      </c>
      <c r="J244" s="2" t="s">
        <v>44051</v>
      </c>
      <c r="K244" s="3">
        <v>2.73E-5</v>
      </c>
      <c r="L244" s="2" t="s">
        <v>35</v>
      </c>
      <c r="M244" s="4" t="s">
        <v>44052</v>
      </c>
    </row>
    <row r="245" spans="1:13">
      <c r="A245" s="2">
        <v>812</v>
      </c>
      <c r="B245" s="2" t="s">
        <v>44053</v>
      </c>
      <c r="C245" s="2">
        <v>9</v>
      </c>
      <c r="D245" s="2">
        <v>291</v>
      </c>
      <c r="E245" s="2">
        <v>111</v>
      </c>
      <c r="F245" s="2">
        <v>32441</v>
      </c>
      <c r="G245" s="2">
        <v>9.0390080800000003</v>
      </c>
      <c r="H245" s="3">
        <v>1.35E-6</v>
      </c>
      <c r="I245" s="2" t="s">
        <v>44054</v>
      </c>
      <c r="J245" s="2" t="s">
        <v>44055</v>
      </c>
      <c r="K245" s="3">
        <v>2.7800000000000001E-5</v>
      </c>
      <c r="L245" s="2" t="s">
        <v>35</v>
      </c>
      <c r="M245" s="4" t="s">
        <v>44056</v>
      </c>
    </row>
    <row r="246" spans="1:13">
      <c r="A246" s="2">
        <v>3932</v>
      </c>
      <c r="B246" s="2" t="s">
        <v>35081</v>
      </c>
      <c r="C246" s="2">
        <v>15</v>
      </c>
      <c r="D246" s="2">
        <v>291</v>
      </c>
      <c r="E246" s="2">
        <v>356</v>
      </c>
      <c r="F246" s="2">
        <v>32441</v>
      </c>
      <c r="G246" s="2">
        <v>4.6972373449999996</v>
      </c>
      <c r="H246" s="3">
        <v>1.4100000000000001E-6</v>
      </c>
      <c r="I246" s="2" t="s">
        <v>44057</v>
      </c>
      <c r="J246" s="2" t="s">
        <v>44058</v>
      </c>
      <c r="K246" s="3">
        <v>2.8799999999999999E-5</v>
      </c>
      <c r="L246" s="2" t="s">
        <v>35</v>
      </c>
      <c r="M246" s="4" t="s">
        <v>35084</v>
      </c>
    </row>
    <row r="247" spans="1:13">
      <c r="A247" s="2">
        <v>4648</v>
      </c>
      <c r="B247" s="2" t="s">
        <v>2871</v>
      </c>
      <c r="C247" s="2">
        <v>10</v>
      </c>
      <c r="D247" s="2">
        <v>291</v>
      </c>
      <c r="E247" s="2">
        <v>146</v>
      </c>
      <c r="F247" s="2">
        <v>32441</v>
      </c>
      <c r="G247" s="2">
        <v>7.635691757</v>
      </c>
      <c r="H247" s="3">
        <v>1.48E-6</v>
      </c>
      <c r="I247" s="2" t="s">
        <v>44059</v>
      </c>
      <c r="J247" s="2" t="s">
        <v>44060</v>
      </c>
      <c r="K247" s="3">
        <v>3.01E-5</v>
      </c>
      <c r="L247" s="2" t="s">
        <v>35</v>
      </c>
      <c r="M247" s="4" t="s">
        <v>2874</v>
      </c>
    </row>
    <row r="248" spans="1:13">
      <c r="A248" s="2">
        <v>2235</v>
      </c>
      <c r="B248" s="2" t="s">
        <v>35928</v>
      </c>
      <c r="C248" s="2">
        <v>5</v>
      </c>
      <c r="D248" s="2">
        <v>291</v>
      </c>
      <c r="E248" s="2">
        <v>18</v>
      </c>
      <c r="F248" s="2">
        <v>32441</v>
      </c>
      <c r="G248" s="2">
        <v>30.966972129999998</v>
      </c>
      <c r="H248" s="3">
        <v>1.5799999999999999E-6</v>
      </c>
      <c r="I248" s="2" t="s">
        <v>44061</v>
      </c>
      <c r="J248" s="2" t="s">
        <v>44062</v>
      </c>
      <c r="K248" s="3">
        <v>3.2100000000000001E-5</v>
      </c>
      <c r="L248" s="2" t="s">
        <v>35</v>
      </c>
      <c r="M248" s="4" t="s">
        <v>35931</v>
      </c>
    </row>
    <row r="249" spans="1:13">
      <c r="A249" s="2">
        <v>4553</v>
      </c>
      <c r="B249" s="2" t="s">
        <v>35876</v>
      </c>
      <c r="C249" s="2">
        <v>10</v>
      </c>
      <c r="D249" s="2">
        <v>291</v>
      </c>
      <c r="E249" s="2">
        <v>148</v>
      </c>
      <c r="F249" s="2">
        <v>32441</v>
      </c>
      <c r="G249" s="2">
        <v>7.532506734</v>
      </c>
      <c r="H249" s="3">
        <v>1.66E-6</v>
      </c>
      <c r="I249" s="2" t="s">
        <v>44063</v>
      </c>
      <c r="J249" s="2" t="s">
        <v>44064</v>
      </c>
      <c r="K249" s="3">
        <v>3.3500000000000001E-5</v>
      </c>
      <c r="L249" s="2" t="s">
        <v>35</v>
      </c>
      <c r="M249" s="4" t="s">
        <v>35879</v>
      </c>
    </row>
    <row r="250" spans="1:13">
      <c r="A250" s="2">
        <v>183</v>
      </c>
      <c r="B250" s="2" t="s">
        <v>44065</v>
      </c>
      <c r="C250" s="2">
        <v>8</v>
      </c>
      <c r="D250" s="2">
        <v>291</v>
      </c>
      <c r="E250" s="2">
        <v>85</v>
      </c>
      <c r="F250" s="2">
        <v>32441</v>
      </c>
      <c r="G250" s="2">
        <v>10.49233879</v>
      </c>
      <c r="H250" s="3">
        <v>1.88E-6</v>
      </c>
      <c r="I250" s="2" t="s">
        <v>44066</v>
      </c>
      <c r="J250" s="2" t="s">
        <v>44067</v>
      </c>
      <c r="K250" s="3">
        <v>3.7700000000000002E-5</v>
      </c>
      <c r="L250" s="2" t="s">
        <v>35</v>
      </c>
      <c r="M250" s="4" t="s">
        <v>44068</v>
      </c>
    </row>
    <row r="251" spans="1:13">
      <c r="A251" s="2">
        <v>4347</v>
      </c>
      <c r="B251" s="2" t="s">
        <v>4597</v>
      </c>
      <c r="C251" s="2">
        <v>9</v>
      </c>
      <c r="D251" s="2">
        <v>291</v>
      </c>
      <c r="E251" s="2">
        <v>116</v>
      </c>
      <c r="F251" s="2">
        <v>32441</v>
      </c>
      <c r="G251" s="2">
        <v>8.649395663</v>
      </c>
      <c r="H251" s="3">
        <v>1.9099999999999999E-6</v>
      </c>
      <c r="I251" s="2" t="s">
        <v>44069</v>
      </c>
      <c r="J251" s="2" t="s">
        <v>44070</v>
      </c>
      <c r="K251" s="3">
        <v>3.8099999999999998E-5</v>
      </c>
      <c r="L251" s="2" t="s">
        <v>35</v>
      </c>
      <c r="M251" s="4" t="s">
        <v>4600</v>
      </c>
    </row>
    <row r="252" spans="1:13">
      <c r="A252" s="2">
        <v>3000</v>
      </c>
      <c r="B252" s="2" t="s">
        <v>44071</v>
      </c>
      <c r="C252" s="2">
        <v>5</v>
      </c>
      <c r="D252" s="2">
        <v>291</v>
      </c>
      <c r="E252" s="2">
        <v>19</v>
      </c>
      <c r="F252" s="2">
        <v>32441</v>
      </c>
      <c r="G252" s="2">
        <v>29.337131490000001</v>
      </c>
      <c r="H252" s="3">
        <v>1.99E-6</v>
      </c>
      <c r="I252" s="2" t="s">
        <v>44072</v>
      </c>
      <c r="J252" s="2" t="s">
        <v>44073</v>
      </c>
      <c r="K252" s="3">
        <v>3.96E-5</v>
      </c>
      <c r="L252" s="2" t="s">
        <v>35</v>
      </c>
      <c r="M252" s="4" t="s">
        <v>44074</v>
      </c>
    </row>
    <row r="253" spans="1:13">
      <c r="A253" s="2">
        <v>1498</v>
      </c>
      <c r="B253" s="2" t="s">
        <v>24145</v>
      </c>
      <c r="C253" s="2">
        <v>15</v>
      </c>
      <c r="D253" s="2">
        <v>291</v>
      </c>
      <c r="E253" s="2">
        <v>367</v>
      </c>
      <c r="F253" s="2">
        <v>32441</v>
      </c>
      <c r="G253" s="2">
        <v>4.5564482149999996</v>
      </c>
      <c r="H253" s="3">
        <v>2.0200000000000001E-6</v>
      </c>
      <c r="I253" s="2" t="s">
        <v>44075</v>
      </c>
      <c r="J253" s="2" t="s">
        <v>44076</v>
      </c>
      <c r="K253" s="3">
        <v>3.9900000000000001E-5</v>
      </c>
      <c r="L253" s="2" t="s">
        <v>35</v>
      </c>
      <c r="M253" s="4" t="s">
        <v>24148</v>
      </c>
    </row>
    <row r="254" spans="1:13">
      <c r="A254" s="2">
        <v>2681</v>
      </c>
      <c r="B254" s="2" t="s">
        <v>117</v>
      </c>
      <c r="C254" s="2">
        <v>7</v>
      </c>
      <c r="D254" s="2">
        <v>291</v>
      </c>
      <c r="E254" s="2">
        <v>59</v>
      </c>
      <c r="F254" s="2">
        <v>32441</v>
      </c>
      <c r="G254" s="2">
        <v>13.22657115</v>
      </c>
      <c r="H254" s="3">
        <v>2.03E-6</v>
      </c>
      <c r="I254" s="2" t="s">
        <v>44077</v>
      </c>
      <c r="J254" s="2" t="s">
        <v>44078</v>
      </c>
      <c r="K254" s="3">
        <v>3.9900000000000001E-5</v>
      </c>
      <c r="L254" s="2" t="s">
        <v>35</v>
      </c>
      <c r="M254" s="4" t="s">
        <v>44079</v>
      </c>
    </row>
    <row r="255" spans="1:13">
      <c r="A255" s="2">
        <v>2965</v>
      </c>
      <c r="B255" s="2" t="s">
        <v>44080</v>
      </c>
      <c r="C255" s="2">
        <v>8</v>
      </c>
      <c r="D255" s="2">
        <v>291</v>
      </c>
      <c r="E255" s="2">
        <v>86</v>
      </c>
      <c r="F255" s="2">
        <v>32441</v>
      </c>
      <c r="G255" s="2">
        <v>10.370334850000001</v>
      </c>
      <c r="H255" s="3">
        <v>2.04E-6</v>
      </c>
      <c r="I255" s="2" t="s">
        <v>44081</v>
      </c>
      <c r="J255" s="2" t="s">
        <v>44082</v>
      </c>
      <c r="K255" s="3">
        <v>3.9900000000000001E-5</v>
      </c>
      <c r="L255" s="2" t="s">
        <v>35</v>
      </c>
      <c r="M255" s="4" t="s">
        <v>44083</v>
      </c>
    </row>
    <row r="256" spans="1:13">
      <c r="A256" s="2">
        <v>4309</v>
      </c>
      <c r="B256" s="2" t="s">
        <v>44084</v>
      </c>
      <c r="C256" s="2">
        <v>7</v>
      </c>
      <c r="D256" s="2">
        <v>291</v>
      </c>
      <c r="E256" s="2">
        <v>59</v>
      </c>
      <c r="F256" s="2">
        <v>32441</v>
      </c>
      <c r="G256" s="2">
        <v>13.22657115</v>
      </c>
      <c r="H256" s="3">
        <v>2.03E-6</v>
      </c>
      <c r="I256" s="2" t="s">
        <v>44085</v>
      </c>
      <c r="J256" s="2" t="s">
        <v>44086</v>
      </c>
      <c r="K256" s="3">
        <v>3.9900000000000001E-5</v>
      </c>
      <c r="L256" s="2" t="s">
        <v>35</v>
      </c>
      <c r="M256" s="4" t="s">
        <v>44087</v>
      </c>
    </row>
    <row r="257" spans="1:13">
      <c r="A257" s="2">
        <v>3864</v>
      </c>
      <c r="B257" s="2" t="s">
        <v>3753</v>
      </c>
      <c r="C257" s="2">
        <v>16</v>
      </c>
      <c r="D257" s="2">
        <v>291</v>
      </c>
      <c r="E257" s="2">
        <v>418</v>
      </c>
      <c r="F257" s="2">
        <v>32441</v>
      </c>
      <c r="G257" s="2">
        <v>4.2672191259999996</v>
      </c>
      <c r="H257" s="3">
        <v>2.08E-6</v>
      </c>
      <c r="I257" s="2" t="s">
        <v>44088</v>
      </c>
      <c r="J257" s="2" t="s">
        <v>44089</v>
      </c>
      <c r="K257" s="3">
        <v>4.0599999999999998E-5</v>
      </c>
      <c r="L257" s="2" t="s">
        <v>35</v>
      </c>
      <c r="M257" s="4" t="s">
        <v>3756</v>
      </c>
    </row>
    <row r="258" spans="1:13">
      <c r="A258" s="2">
        <v>3577</v>
      </c>
      <c r="B258" s="2" t="s">
        <v>44090</v>
      </c>
      <c r="C258" s="2">
        <v>6</v>
      </c>
      <c r="D258" s="2">
        <v>291</v>
      </c>
      <c r="E258" s="2">
        <v>37</v>
      </c>
      <c r="F258" s="2">
        <v>32441</v>
      </c>
      <c r="G258" s="2">
        <v>18.078016160000001</v>
      </c>
      <c r="H258" s="3">
        <v>2.17E-6</v>
      </c>
      <c r="I258" s="2" t="s">
        <v>44091</v>
      </c>
      <c r="J258" s="2" t="s">
        <v>44092</v>
      </c>
      <c r="K258" s="3">
        <v>4.21E-5</v>
      </c>
      <c r="L258" s="2" t="s">
        <v>35</v>
      </c>
      <c r="M258" s="4" t="s">
        <v>44093</v>
      </c>
    </row>
    <row r="259" spans="1:13">
      <c r="A259" s="2">
        <v>4222</v>
      </c>
      <c r="B259" s="2" t="s">
        <v>34889</v>
      </c>
      <c r="C259" s="2">
        <v>8</v>
      </c>
      <c r="D259" s="2">
        <v>291</v>
      </c>
      <c r="E259" s="2">
        <v>87</v>
      </c>
      <c r="F259" s="2">
        <v>32441</v>
      </c>
      <c r="G259" s="2">
        <v>10.2511356</v>
      </c>
      <c r="H259" s="3">
        <v>2.21E-6</v>
      </c>
      <c r="I259" s="2" t="s">
        <v>44094</v>
      </c>
      <c r="J259" s="2" t="s">
        <v>44095</v>
      </c>
      <c r="K259" s="3">
        <v>4.2700000000000001E-5</v>
      </c>
      <c r="L259" s="2" t="s">
        <v>35</v>
      </c>
      <c r="M259" s="4" t="s">
        <v>34892</v>
      </c>
    </row>
    <row r="260" spans="1:13">
      <c r="A260" s="2">
        <v>1958</v>
      </c>
      <c r="B260" s="2" t="s">
        <v>44096</v>
      </c>
      <c r="C260" s="2">
        <v>8</v>
      </c>
      <c r="D260" s="2">
        <v>291</v>
      </c>
      <c r="E260" s="2">
        <v>88</v>
      </c>
      <c r="F260" s="2">
        <v>32441</v>
      </c>
      <c r="G260" s="2">
        <v>10.13464542</v>
      </c>
      <c r="H260" s="3">
        <v>2.39E-6</v>
      </c>
      <c r="I260" s="2" t="s">
        <v>44097</v>
      </c>
      <c r="J260" s="2" t="s">
        <v>44098</v>
      </c>
      <c r="K260" s="3">
        <v>4.6100000000000002E-5</v>
      </c>
      <c r="L260" s="2" t="s">
        <v>35</v>
      </c>
      <c r="M260" s="4" t="s">
        <v>44099</v>
      </c>
    </row>
    <row r="261" spans="1:13">
      <c r="A261" s="2">
        <v>3591</v>
      </c>
      <c r="B261" s="2" t="s">
        <v>42456</v>
      </c>
      <c r="C261" s="2">
        <v>21</v>
      </c>
      <c r="D261" s="2">
        <v>291</v>
      </c>
      <c r="E261" s="2">
        <v>701</v>
      </c>
      <c r="F261" s="2">
        <v>32441</v>
      </c>
      <c r="G261" s="2">
        <v>3.3396620440000002</v>
      </c>
      <c r="H261" s="3">
        <v>2.43E-6</v>
      </c>
      <c r="I261" s="2" t="s">
        <v>44100</v>
      </c>
      <c r="J261" s="2" t="s">
        <v>44101</v>
      </c>
      <c r="K261" s="3">
        <v>4.6699999999999997E-5</v>
      </c>
      <c r="L261" s="2" t="s">
        <v>35</v>
      </c>
      <c r="M261" s="4" t="s">
        <v>42459</v>
      </c>
    </row>
    <row r="262" spans="1:13">
      <c r="A262" s="2">
        <v>1641</v>
      </c>
      <c r="B262" s="2" t="s">
        <v>44102</v>
      </c>
      <c r="C262" s="2">
        <v>5</v>
      </c>
      <c r="D262" s="2">
        <v>291</v>
      </c>
      <c r="E262" s="2">
        <v>20</v>
      </c>
      <c r="F262" s="2">
        <v>32441</v>
      </c>
      <c r="G262" s="2">
        <v>27.870274909999999</v>
      </c>
      <c r="H262" s="3">
        <v>2.4600000000000002E-6</v>
      </c>
      <c r="I262" s="2" t="s">
        <v>44103</v>
      </c>
      <c r="J262" s="2" t="s">
        <v>44104</v>
      </c>
      <c r="K262" s="3">
        <v>4.6900000000000002E-5</v>
      </c>
      <c r="L262" s="2" t="s">
        <v>35</v>
      </c>
      <c r="M262" s="4" t="s">
        <v>44105</v>
      </c>
    </row>
    <row r="263" spans="1:13">
      <c r="A263" s="2">
        <v>4303</v>
      </c>
      <c r="B263" s="2" t="s">
        <v>44106</v>
      </c>
      <c r="C263" s="2">
        <v>5</v>
      </c>
      <c r="D263" s="2">
        <v>291</v>
      </c>
      <c r="E263" s="2">
        <v>20</v>
      </c>
      <c r="F263" s="2">
        <v>32441</v>
      </c>
      <c r="G263" s="2">
        <v>27.870274909999999</v>
      </c>
      <c r="H263" s="3">
        <v>2.4600000000000002E-6</v>
      </c>
      <c r="I263" s="2" t="s">
        <v>44107</v>
      </c>
      <c r="J263" s="2" t="s">
        <v>44108</v>
      </c>
      <c r="K263" s="3">
        <v>4.6900000000000002E-5</v>
      </c>
      <c r="L263" s="2" t="s">
        <v>35</v>
      </c>
      <c r="M263" s="4" t="s">
        <v>44109</v>
      </c>
    </row>
    <row r="264" spans="1:13">
      <c r="A264" s="2">
        <v>2763</v>
      </c>
      <c r="B264" s="2" t="s">
        <v>4170</v>
      </c>
      <c r="C264" s="2">
        <v>7</v>
      </c>
      <c r="D264" s="2">
        <v>291</v>
      </c>
      <c r="E264" s="2">
        <v>61</v>
      </c>
      <c r="F264" s="2">
        <v>32441</v>
      </c>
      <c r="G264" s="2">
        <v>12.79291308</v>
      </c>
      <c r="H264" s="3">
        <v>2.4899999999999999E-6</v>
      </c>
      <c r="I264" s="2" t="s">
        <v>44110</v>
      </c>
      <c r="J264" s="2" t="s">
        <v>44111</v>
      </c>
      <c r="K264" s="3">
        <v>4.7299999999999998E-5</v>
      </c>
      <c r="L264" s="2" t="s">
        <v>35</v>
      </c>
      <c r="M264" s="4" t="s">
        <v>4173</v>
      </c>
    </row>
    <row r="265" spans="1:13">
      <c r="A265" s="2">
        <v>1539</v>
      </c>
      <c r="B265" s="2" t="s">
        <v>5278</v>
      </c>
      <c r="C265" s="2">
        <v>11</v>
      </c>
      <c r="D265" s="2">
        <v>291</v>
      </c>
      <c r="E265" s="2">
        <v>194</v>
      </c>
      <c r="F265" s="2">
        <v>32441</v>
      </c>
      <c r="G265" s="2">
        <v>6.3210932790000003</v>
      </c>
      <c r="H265" s="3">
        <v>2.5299999999999999E-6</v>
      </c>
      <c r="I265" s="2" t="s">
        <v>44112</v>
      </c>
      <c r="J265" s="2" t="s">
        <v>44113</v>
      </c>
      <c r="K265" s="3">
        <v>4.7899999999999999E-5</v>
      </c>
      <c r="L265" s="2" t="s">
        <v>35</v>
      </c>
      <c r="M265" s="4" t="s">
        <v>5281</v>
      </c>
    </row>
    <row r="266" spans="1:13">
      <c r="A266" s="2">
        <v>2631</v>
      </c>
      <c r="B266" s="2" t="s">
        <v>322</v>
      </c>
      <c r="C266" s="2">
        <v>9</v>
      </c>
      <c r="D266" s="2">
        <v>291</v>
      </c>
      <c r="E266" s="2">
        <v>121</v>
      </c>
      <c r="F266" s="2">
        <v>32441</v>
      </c>
      <c r="G266" s="2">
        <v>8.2919826190000006</v>
      </c>
      <c r="H266" s="3">
        <v>2.6400000000000001E-6</v>
      </c>
      <c r="I266" s="2" t="s">
        <v>44114</v>
      </c>
      <c r="J266" s="2" t="s">
        <v>44115</v>
      </c>
      <c r="K266" s="3">
        <v>4.9700000000000002E-5</v>
      </c>
      <c r="L266" s="2" t="s">
        <v>35</v>
      </c>
      <c r="M266" s="4" t="s">
        <v>44116</v>
      </c>
    </row>
    <row r="267" spans="1:13">
      <c r="A267" s="2">
        <v>1501</v>
      </c>
      <c r="B267" s="2" t="s">
        <v>3994</v>
      </c>
      <c r="C267" s="2">
        <v>10</v>
      </c>
      <c r="D267" s="2">
        <v>291</v>
      </c>
      <c r="E267" s="2">
        <v>158</v>
      </c>
      <c r="F267" s="2">
        <v>32441</v>
      </c>
      <c r="G267" s="2">
        <v>7.0557658009999997</v>
      </c>
      <c r="H267" s="3">
        <v>2.8899999999999999E-6</v>
      </c>
      <c r="I267" s="2" t="s">
        <v>44117</v>
      </c>
      <c r="J267" s="2" t="s">
        <v>44118</v>
      </c>
      <c r="K267" s="3">
        <v>5.41E-5</v>
      </c>
      <c r="L267" s="2" t="s">
        <v>35</v>
      </c>
      <c r="M267" s="4" t="s">
        <v>3997</v>
      </c>
    </row>
    <row r="268" spans="1:13">
      <c r="A268" s="2">
        <v>3478</v>
      </c>
      <c r="B268" s="2" t="s">
        <v>388</v>
      </c>
      <c r="C268" s="2">
        <v>19</v>
      </c>
      <c r="D268" s="2">
        <v>291</v>
      </c>
      <c r="E268" s="2">
        <v>593</v>
      </c>
      <c r="F268" s="2">
        <v>32441</v>
      </c>
      <c r="G268" s="2">
        <v>3.5719070720000001</v>
      </c>
      <c r="H268" s="3">
        <v>2.92E-6</v>
      </c>
      <c r="I268" s="2" t="s">
        <v>44119</v>
      </c>
      <c r="J268" s="2" t="s">
        <v>44120</v>
      </c>
      <c r="K268" s="3">
        <v>5.4599999999999999E-5</v>
      </c>
      <c r="L268" s="2" t="s">
        <v>35</v>
      </c>
      <c r="M268" s="4" t="s">
        <v>24998</v>
      </c>
    </row>
    <row r="269" spans="1:13">
      <c r="A269" s="2">
        <v>3763</v>
      </c>
      <c r="B269" s="2" t="s">
        <v>44121</v>
      </c>
      <c r="C269" s="2">
        <v>5</v>
      </c>
      <c r="D269" s="2">
        <v>291</v>
      </c>
      <c r="E269" s="2">
        <v>21</v>
      </c>
      <c r="F269" s="2">
        <v>32441</v>
      </c>
      <c r="G269" s="2">
        <v>26.543118969999998</v>
      </c>
      <c r="H269" s="3">
        <v>3.0299999999999998E-6</v>
      </c>
      <c r="I269" s="2" t="s">
        <v>44122</v>
      </c>
      <c r="J269" s="2" t="s">
        <v>44123</v>
      </c>
      <c r="K269" s="3">
        <v>5.63E-5</v>
      </c>
      <c r="L269" s="2" t="s">
        <v>35</v>
      </c>
      <c r="M269" s="4" t="s">
        <v>44124</v>
      </c>
    </row>
    <row r="270" spans="1:13">
      <c r="A270" s="2">
        <v>2309</v>
      </c>
      <c r="B270" s="2" t="s">
        <v>44125</v>
      </c>
      <c r="C270" s="2">
        <v>7</v>
      </c>
      <c r="D270" s="2">
        <v>291</v>
      </c>
      <c r="E270" s="2">
        <v>64</v>
      </c>
      <c r="F270" s="2">
        <v>32441</v>
      </c>
      <c r="G270" s="2">
        <v>12.19324527</v>
      </c>
      <c r="H270" s="3">
        <v>3.3400000000000002E-6</v>
      </c>
      <c r="I270" s="2" t="s">
        <v>44126</v>
      </c>
      <c r="J270" s="2" t="s">
        <v>44127</v>
      </c>
      <c r="K270" s="3">
        <v>6.1600000000000007E-5</v>
      </c>
      <c r="L270" s="2" t="s">
        <v>35</v>
      </c>
      <c r="M270" s="4" t="s">
        <v>44128</v>
      </c>
    </row>
    <row r="271" spans="1:13">
      <c r="A271" s="2">
        <v>3189</v>
      </c>
      <c r="B271" s="2" t="s">
        <v>44129</v>
      </c>
      <c r="C271" s="2">
        <v>7</v>
      </c>
      <c r="D271" s="2">
        <v>291</v>
      </c>
      <c r="E271" s="2">
        <v>64</v>
      </c>
      <c r="F271" s="2">
        <v>32441</v>
      </c>
      <c r="G271" s="2">
        <v>12.19324527</v>
      </c>
      <c r="H271" s="3">
        <v>3.3400000000000002E-6</v>
      </c>
      <c r="I271" s="2" t="s">
        <v>44130</v>
      </c>
      <c r="J271" s="2" t="s">
        <v>44131</v>
      </c>
      <c r="K271" s="3">
        <v>6.1600000000000007E-5</v>
      </c>
      <c r="L271" s="2" t="s">
        <v>35</v>
      </c>
      <c r="M271" s="4" t="s">
        <v>44132</v>
      </c>
    </row>
    <row r="272" spans="1:13">
      <c r="A272" s="2">
        <v>4080</v>
      </c>
      <c r="B272" s="2" t="s">
        <v>44133</v>
      </c>
      <c r="C272" s="2">
        <v>16</v>
      </c>
      <c r="D272" s="2">
        <v>291</v>
      </c>
      <c r="E272" s="2">
        <v>435</v>
      </c>
      <c r="F272" s="2">
        <v>32441</v>
      </c>
      <c r="G272" s="2">
        <v>4.1004542400000004</v>
      </c>
      <c r="H272" s="3">
        <v>3.4000000000000001E-6</v>
      </c>
      <c r="I272" s="2" t="s">
        <v>44134</v>
      </c>
      <c r="J272" s="2" t="s">
        <v>44135</v>
      </c>
      <c r="K272" s="3">
        <v>6.2500000000000001E-5</v>
      </c>
      <c r="L272" s="2" t="s">
        <v>35</v>
      </c>
      <c r="M272" s="4" t="s">
        <v>44136</v>
      </c>
    </row>
    <row r="273" spans="1:13">
      <c r="A273" s="2">
        <v>1628</v>
      </c>
      <c r="B273" s="2" t="s">
        <v>44137</v>
      </c>
      <c r="C273" s="2">
        <v>10</v>
      </c>
      <c r="D273" s="2">
        <v>291</v>
      </c>
      <c r="E273" s="2">
        <v>162</v>
      </c>
      <c r="F273" s="2">
        <v>32441</v>
      </c>
      <c r="G273" s="2">
        <v>6.8815493620000003</v>
      </c>
      <c r="H273" s="3">
        <v>3.5700000000000001E-6</v>
      </c>
      <c r="I273" s="2" t="s">
        <v>44138</v>
      </c>
      <c r="J273" s="2" t="s">
        <v>44139</v>
      </c>
      <c r="K273" s="3">
        <v>6.5300000000000002E-5</v>
      </c>
      <c r="L273" s="2" t="s">
        <v>35</v>
      </c>
      <c r="M273" s="4" t="s">
        <v>44140</v>
      </c>
    </row>
    <row r="274" spans="1:13">
      <c r="A274" s="2">
        <v>2424</v>
      </c>
      <c r="B274" s="2" t="s">
        <v>25388</v>
      </c>
      <c r="C274" s="2">
        <v>13</v>
      </c>
      <c r="D274" s="2">
        <v>291</v>
      </c>
      <c r="E274" s="2">
        <v>290</v>
      </c>
      <c r="F274" s="2">
        <v>32441</v>
      </c>
      <c r="G274" s="2">
        <v>4.9974286049999996</v>
      </c>
      <c r="H274" s="3">
        <v>3.76E-6</v>
      </c>
      <c r="I274" s="2" t="s">
        <v>44141</v>
      </c>
      <c r="J274" s="2" t="s">
        <v>44142</v>
      </c>
      <c r="K274" s="3">
        <v>6.8399999999999996E-5</v>
      </c>
      <c r="L274" s="2" t="s">
        <v>35</v>
      </c>
      <c r="M274" s="4" t="s">
        <v>25391</v>
      </c>
    </row>
    <row r="275" spans="1:13">
      <c r="A275" s="2">
        <v>3443</v>
      </c>
      <c r="B275" s="2" t="s">
        <v>44143</v>
      </c>
      <c r="C275" s="2">
        <v>12</v>
      </c>
      <c r="D275" s="2">
        <v>291</v>
      </c>
      <c r="E275" s="2">
        <v>245</v>
      </c>
      <c r="F275" s="2">
        <v>32441</v>
      </c>
      <c r="G275" s="2">
        <v>5.4602987589999996</v>
      </c>
      <c r="H275" s="3">
        <v>3.76E-6</v>
      </c>
      <c r="I275" s="2" t="s">
        <v>44144</v>
      </c>
      <c r="J275" s="2" t="s">
        <v>44145</v>
      </c>
      <c r="K275" s="3">
        <v>6.8399999999999996E-5</v>
      </c>
      <c r="L275" s="2" t="s">
        <v>35</v>
      </c>
      <c r="M275" s="4" t="s">
        <v>44146</v>
      </c>
    </row>
    <row r="276" spans="1:13">
      <c r="A276" s="2">
        <v>3923</v>
      </c>
      <c r="B276" s="2" t="s">
        <v>44147</v>
      </c>
      <c r="C276" s="2">
        <v>13</v>
      </c>
      <c r="D276" s="2">
        <v>291</v>
      </c>
      <c r="E276" s="2">
        <v>293</v>
      </c>
      <c r="F276" s="2">
        <v>32441</v>
      </c>
      <c r="G276" s="2">
        <v>4.9462603940000003</v>
      </c>
      <c r="H276" s="3">
        <v>4.1799999999999998E-6</v>
      </c>
      <c r="I276" s="2" t="s">
        <v>44148</v>
      </c>
      <c r="J276" s="2" t="s">
        <v>44149</v>
      </c>
      <c r="K276" s="3">
        <v>7.5699999999999997E-5</v>
      </c>
      <c r="L276" s="2" t="s">
        <v>35</v>
      </c>
      <c r="M276" s="4" t="s">
        <v>44150</v>
      </c>
    </row>
    <row r="277" spans="1:13">
      <c r="A277" s="2">
        <v>3971</v>
      </c>
      <c r="B277" s="2" t="s">
        <v>44151</v>
      </c>
      <c r="C277" s="2">
        <v>20</v>
      </c>
      <c r="D277" s="2">
        <v>291</v>
      </c>
      <c r="E277" s="2">
        <v>668</v>
      </c>
      <c r="F277" s="2">
        <v>32441</v>
      </c>
      <c r="G277" s="2">
        <v>3.3377574750000001</v>
      </c>
      <c r="H277" s="3">
        <v>4.2799999999999997E-6</v>
      </c>
      <c r="I277" s="2" t="s">
        <v>44152</v>
      </c>
      <c r="J277" s="2" t="s">
        <v>44153</v>
      </c>
      <c r="K277" s="3">
        <v>7.7200000000000006E-5</v>
      </c>
      <c r="L277" s="2" t="s">
        <v>35</v>
      </c>
      <c r="M277" s="4" t="s">
        <v>44154</v>
      </c>
    </row>
    <row r="278" spans="1:13">
      <c r="A278" s="2">
        <v>1917</v>
      </c>
      <c r="B278" s="2" t="s">
        <v>6360</v>
      </c>
      <c r="C278" s="2">
        <v>11</v>
      </c>
      <c r="D278" s="2">
        <v>291</v>
      </c>
      <c r="E278" s="2">
        <v>207</v>
      </c>
      <c r="F278" s="2">
        <v>32441</v>
      </c>
      <c r="G278" s="2">
        <v>5.9241164069999996</v>
      </c>
      <c r="H278" s="3">
        <v>4.5800000000000002E-6</v>
      </c>
      <c r="I278" s="2" t="s">
        <v>44155</v>
      </c>
      <c r="J278" s="2" t="s">
        <v>44156</v>
      </c>
      <c r="K278" s="3">
        <v>8.2299999999999995E-5</v>
      </c>
      <c r="L278" s="2" t="s">
        <v>35</v>
      </c>
      <c r="M278" s="4" t="s">
        <v>6363</v>
      </c>
    </row>
    <row r="279" spans="1:13">
      <c r="A279" s="2">
        <v>4552</v>
      </c>
      <c r="B279" s="2" t="s">
        <v>5083</v>
      </c>
      <c r="C279" s="2">
        <v>10</v>
      </c>
      <c r="D279" s="2">
        <v>291</v>
      </c>
      <c r="E279" s="2">
        <v>169</v>
      </c>
      <c r="F279" s="2">
        <v>32441</v>
      </c>
      <c r="G279" s="2">
        <v>6.596514773</v>
      </c>
      <c r="H279" s="3">
        <v>5.0900000000000004E-6</v>
      </c>
      <c r="I279" s="2" t="s">
        <v>44157</v>
      </c>
      <c r="J279" s="2" t="s">
        <v>44158</v>
      </c>
      <c r="K279" s="3">
        <v>9.1000000000000003E-5</v>
      </c>
      <c r="L279" s="2" t="s">
        <v>35</v>
      </c>
      <c r="M279" s="4" t="s">
        <v>5086</v>
      </c>
    </row>
    <row r="280" spans="1:13">
      <c r="A280" s="2">
        <v>2222</v>
      </c>
      <c r="B280" s="2" t="s">
        <v>5551</v>
      </c>
      <c r="C280" s="2">
        <v>7</v>
      </c>
      <c r="D280" s="2">
        <v>291</v>
      </c>
      <c r="E280" s="2">
        <v>69</v>
      </c>
      <c r="F280" s="2">
        <v>32441</v>
      </c>
      <c r="G280" s="2">
        <v>11.30967678</v>
      </c>
      <c r="H280" s="3">
        <v>5.2900000000000002E-6</v>
      </c>
      <c r="I280" s="2" t="s">
        <v>44159</v>
      </c>
      <c r="J280" s="2" t="s">
        <v>44160</v>
      </c>
      <c r="K280" s="3">
        <v>9.4300000000000002E-5</v>
      </c>
      <c r="L280" s="2" t="s">
        <v>35</v>
      </c>
      <c r="M280" s="4" t="s">
        <v>5554</v>
      </c>
    </row>
    <row r="281" spans="1:13">
      <c r="A281" s="2">
        <v>1760</v>
      </c>
      <c r="B281" s="2" t="s">
        <v>4867</v>
      </c>
      <c r="C281" s="2">
        <v>11</v>
      </c>
      <c r="D281" s="2">
        <v>291</v>
      </c>
      <c r="E281" s="2">
        <v>211</v>
      </c>
      <c r="F281" s="2">
        <v>32441</v>
      </c>
      <c r="G281" s="2">
        <v>5.8118108829999997</v>
      </c>
      <c r="H281" s="3">
        <v>5.4399999999999996E-6</v>
      </c>
      <c r="I281" s="2" t="s">
        <v>44161</v>
      </c>
      <c r="J281" s="2" t="s">
        <v>44162</v>
      </c>
      <c r="K281" s="3">
        <v>9.6399999999999999E-5</v>
      </c>
      <c r="L281" s="2" t="s">
        <v>35</v>
      </c>
      <c r="M281" s="4" t="s">
        <v>4870</v>
      </c>
    </row>
    <row r="282" spans="1:13">
      <c r="A282" s="2">
        <v>4074</v>
      </c>
      <c r="B282" s="2" t="s">
        <v>44163</v>
      </c>
      <c r="C282" s="2">
        <v>14</v>
      </c>
      <c r="D282" s="2">
        <v>291</v>
      </c>
      <c r="E282" s="2">
        <v>349</v>
      </c>
      <c r="F282" s="2">
        <v>32441</v>
      </c>
      <c r="G282" s="2">
        <v>4.4720211900000004</v>
      </c>
      <c r="H282" s="3">
        <v>5.4500000000000003E-6</v>
      </c>
      <c r="I282" s="2" t="s">
        <v>44164</v>
      </c>
      <c r="J282" s="2" t="s">
        <v>44165</v>
      </c>
      <c r="K282" s="3">
        <v>9.6399999999999999E-5</v>
      </c>
      <c r="L282" s="2" t="s">
        <v>35</v>
      </c>
      <c r="M282" s="4" t="s">
        <v>44166</v>
      </c>
    </row>
    <row r="283" spans="1:13">
      <c r="A283" s="2">
        <v>1668</v>
      </c>
      <c r="B283" s="2" t="s">
        <v>24485</v>
      </c>
      <c r="C283" s="2">
        <v>22</v>
      </c>
      <c r="D283" s="2">
        <v>291</v>
      </c>
      <c r="E283" s="2">
        <v>805</v>
      </c>
      <c r="F283" s="2">
        <v>32441</v>
      </c>
      <c r="G283" s="2">
        <v>3.0466884379999999</v>
      </c>
      <c r="H283" s="3">
        <v>5.8200000000000002E-6</v>
      </c>
      <c r="I283" s="2" t="s">
        <v>44167</v>
      </c>
      <c r="J283" s="2" t="s">
        <v>44168</v>
      </c>
      <c r="K283" s="2">
        <v>1.0257200000000001E-4</v>
      </c>
      <c r="L283" s="2" t="s">
        <v>35</v>
      </c>
      <c r="M283" s="4" t="s">
        <v>24488</v>
      </c>
    </row>
    <row r="284" spans="1:13">
      <c r="A284" s="2">
        <v>3049</v>
      </c>
      <c r="B284" s="2" t="s">
        <v>44169</v>
      </c>
      <c r="C284" s="2">
        <v>8</v>
      </c>
      <c r="D284" s="2">
        <v>291</v>
      </c>
      <c r="E284" s="2">
        <v>101</v>
      </c>
      <c r="F284" s="2">
        <v>32441</v>
      </c>
      <c r="G284" s="2">
        <v>8.8301861109999997</v>
      </c>
      <c r="H284" s="3">
        <v>6.19E-6</v>
      </c>
      <c r="I284" s="2" t="s">
        <v>44170</v>
      </c>
      <c r="J284" s="2" t="s">
        <v>44171</v>
      </c>
      <c r="K284" s="2">
        <v>1.08454E-4</v>
      </c>
      <c r="L284" s="2" t="s">
        <v>35</v>
      </c>
      <c r="M284" s="4" t="s">
        <v>44172</v>
      </c>
    </row>
    <row r="285" spans="1:13">
      <c r="A285" s="2">
        <v>3291</v>
      </c>
      <c r="B285" s="2" t="s">
        <v>25647</v>
      </c>
      <c r="C285" s="2">
        <v>8</v>
      </c>
      <c r="D285" s="2">
        <v>291</v>
      </c>
      <c r="E285" s="2">
        <v>101</v>
      </c>
      <c r="F285" s="2">
        <v>32441</v>
      </c>
      <c r="G285" s="2">
        <v>8.8301861109999997</v>
      </c>
      <c r="H285" s="3">
        <v>6.19E-6</v>
      </c>
      <c r="I285" s="2" t="s">
        <v>44173</v>
      </c>
      <c r="J285" s="2" t="s">
        <v>44174</v>
      </c>
      <c r="K285" s="2">
        <v>1.08454E-4</v>
      </c>
      <c r="L285" s="2" t="s">
        <v>35</v>
      </c>
      <c r="M285" s="4" t="s">
        <v>25650</v>
      </c>
    </row>
    <row r="286" spans="1:13">
      <c r="A286" s="2">
        <v>819</v>
      </c>
      <c r="B286" s="2" t="s">
        <v>44175</v>
      </c>
      <c r="C286" s="2">
        <v>5</v>
      </c>
      <c r="D286" s="2">
        <v>291</v>
      </c>
      <c r="E286" s="2">
        <v>25</v>
      </c>
      <c r="F286" s="2">
        <v>32441</v>
      </c>
      <c r="G286" s="2">
        <v>22.296219929999999</v>
      </c>
      <c r="H286" s="3">
        <v>6.37E-6</v>
      </c>
      <c r="I286" s="2" t="s">
        <v>44176</v>
      </c>
      <c r="J286" s="2" t="s">
        <v>44177</v>
      </c>
      <c r="K286" s="2">
        <v>1.11177E-4</v>
      </c>
      <c r="L286" s="2" t="s">
        <v>35</v>
      </c>
      <c r="M286" s="4" t="s">
        <v>44178</v>
      </c>
    </row>
    <row r="287" spans="1:13">
      <c r="A287" s="2">
        <v>1919</v>
      </c>
      <c r="B287" s="2" t="s">
        <v>44179</v>
      </c>
      <c r="C287" s="2">
        <v>14</v>
      </c>
      <c r="D287" s="2">
        <v>291</v>
      </c>
      <c r="E287" s="2">
        <v>355</v>
      </c>
      <c r="F287" s="2">
        <v>32441</v>
      </c>
      <c r="G287" s="2">
        <v>4.396437733</v>
      </c>
      <c r="H287" s="3">
        <v>6.5599999999999999E-6</v>
      </c>
      <c r="I287" s="2" t="s">
        <v>44180</v>
      </c>
      <c r="J287" s="2" t="s">
        <v>44181</v>
      </c>
      <c r="K287" s="2">
        <v>1.13638E-4</v>
      </c>
      <c r="L287" s="2" t="s">
        <v>35</v>
      </c>
      <c r="M287" s="4" t="s">
        <v>44182</v>
      </c>
    </row>
    <row r="288" spans="1:13">
      <c r="A288" s="2">
        <v>2145</v>
      </c>
      <c r="B288" s="2" t="s">
        <v>2901</v>
      </c>
      <c r="C288" s="2">
        <v>17</v>
      </c>
      <c r="D288" s="2">
        <v>291</v>
      </c>
      <c r="E288" s="2">
        <v>514</v>
      </c>
      <c r="F288" s="2">
        <v>32441</v>
      </c>
      <c r="G288" s="2">
        <v>3.687118082</v>
      </c>
      <c r="H288" s="3">
        <v>6.5599999999999999E-6</v>
      </c>
      <c r="I288" s="2" t="s">
        <v>44183</v>
      </c>
      <c r="J288" s="2" t="s">
        <v>44184</v>
      </c>
      <c r="K288" s="2">
        <v>1.13638E-4</v>
      </c>
      <c r="L288" s="2" t="s">
        <v>35</v>
      </c>
      <c r="M288" s="4" t="s">
        <v>2904</v>
      </c>
    </row>
    <row r="289" spans="1:13">
      <c r="A289" s="2">
        <v>3100</v>
      </c>
      <c r="B289" s="2" t="s">
        <v>44185</v>
      </c>
      <c r="C289" s="2">
        <v>12</v>
      </c>
      <c r="D289" s="2">
        <v>291</v>
      </c>
      <c r="E289" s="2">
        <v>262</v>
      </c>
      <c r="F289" s="2">
        <v>32441</v>
      </c>
      <c r="G289" s="2">
        <v>5.106004564</v>
      </c>
      <c r="H289" s="3">
        <v>7.2200000000000003E-6</v>
      </c>
      <c r="I289" s="2" t="s">
        <v>44186</v>
      </c>
      <c r="J289" s="2" t="s">
        <v>44187</v>
      </c>
      <c r="K289" s="2">
        <v>1.2450800000000001E-4</v>
      </c>
      <c r="L289" s="2" t="s">
        <v>35</v>
      </c>
      <c r="M289" s="4" t="s">
        <v>44188</v>
      </c>
    </row>
    <row r="290" spans="1:13">
      <c r="A290" s="2">
        <v>4051</v>
      </c>
      <c r="B290" s="2" t="s">
        <v>6084</v>
      </c>
      <c r="C290" s="2">
        <v>7</v>
      </c>
      <c r="D290" s="2">
        <v>291</v>
      </c>
      <c r="E290" s="2">
        <v>73</v>
      </c>
      <c r="F290" s="2">
        <v>32441</v>
      </c>
      <c r="G290" s="2">
        <v>10.689968459999999</v>
      </c>
      <c r="H290" s="3">
        <v>7.4499999999999998E-6</v>
      </c>
      <c r="I290" s="2" t="s">
        <v>44189</v>
      </c>
      <c r="J290" s="2" t="s">
        <v>44190</v>
      </c>
      <c r="K290" s="2">
        <v>1.28124E-4</v>
      </c>
      <c r="L290" s="2" t="s">
        <v>35</v>
      </c>
      <c r="M290" s="4" t="s">
        <v>6087</v>
      </c>
    </row>
    <row r="291" spans="1:13">
      <c r="A291" s="2">
        <v>3340</v>
      </c>
      <c r="B291" s="2" t="s">
        <v>35275</v>
      </c>
      <c r="C291" s="2">
        <v>17</v>
      </c>
      <c r="D291" s="2">
        <v>291</v>
      </c>
      <c r="E291" s="2">
        <v>528</v>
      </c>
      <c r="F291" s="2">
        <v>32441</v>
      </c>
      <c r="G291" s="2">
        <v>3.5893535870000002</v>
      </c>
      <c r="H291" s="3">
        <v>9.2E-6</v>
      </c>
      <c r="I291" s="2" t="s">
        <v>44191</v>
      </c>
      <c r="J291" s="2" t="s">
        <v>44192</v>
      </c>
      <c r="K291" s="2">
        <v>1.5756099999999999E-4</v>
      </c>
      <c r="L291" s="2" t="s">
        <v>35</v>
      </c>
      <c r="M291" s="4" t="s">
        <v>35278</v>
      </c>
    </row>
    <row r="292" spans="1:13">
      <c r="A292" s="2">
        <v>803</v>
      </c>
      <c r="B292" s="2" t="s">
        <v>44193</v>
      </c>
      <c r="C292" s="2">
        <v>6</v>
      </c>
      <c r="D292" s="2">
        <v>291</v>
      </c>
      <c r="E292" s="2">
        <v>49</v>
      </c>
      <c r="F292" s="2">
        <v>32441</v>
      </c>
      <c r="G292" s="2">
        <v>13.6507469</v>
      </c>
      <c r="H292" s="3">
        <v>9.4299999999999995E-6</v>
      </c>
      <c r="I292" s="2" t="s">
        <v>44194</v>
      </c>
      <c r="J292" s="2" t="s">
        <v>44195</v>
      </c>
      <c r="K292" s="2">
        <v>1.5980399999999999E-4</v>
      </c>
      <c r="L292" s="2" t="s">
        <v>35</v>
      </c>
      <c r="M292" s="4" t="s">
        <v>44196</v>
      </c>
    </row>
    <row r="293" spans="1:13">
      <c r="A293" s="2">
        <v>2692</v>
      </c>
      <c r="B293" s="2" t="s">
        <v>44197</v>
      </c>
      <c r="C293" s="2">
        <v>6</v>
      </c>
      <c r="D293" s="2">
        <v>291</v>
      </c>
      <c r="E293" s="2">
        <v>49</v>
      </c>
      <c r="F293" s="2">
        <v>32441</v>
      </c>
      <c r="G293" s="2">
        <v>13.6507469</v>
      </c>
      <c r="H293" s="3">
        <v>9.4299999999999995E-6</v>
      </c>
      <c r="I293" s="2" t="s">
        <v>44198</v>
      </c>
      <c r="J293" s="2" t="s">
        <v>44199</v>
      </c>
      <c r="K293" s="2">
        <v>1.5980399999999999E-4</v>
      </c>
      <c r="L293" s="2" t="s">
        <v>35</v>
      </c>
      <c r="M293" s="4" t="s">
        <v>44200</v>
      </c>
    </row>
    <row r="294" spans="1:13">
      <c r="A294" s="2">
        <v>3257</v>
      </c>
      <c r="B294" s="2" t="s">
        <v>5159</v>
      </c>
      <c r="C294" s="2">
        <v>15</v>
      </c>
      <c r="D294" s="2">
        <v>291</v>
      </c>
      <c r="E294" s="2">
        <v>419</v>
      </c>
      <c r="F294" s="2">
        <v>32441</v>
      </c>
      <c r="G294" s="2">
        <v>3.9909701549999999</v>
      </c>
      <c r="H294" s="3">
        <v>9.3899999999999999E-6</v>
      </c>
      <c r="I294" s="2" t="s">
        <v>44201</v>
      </c>
      <c r="J294" s="2" t="s">
        <v>44202</v>
      </c>
      <c r="K294" s="2">
        <v>1.5980399999999999E-4</v>
      </c>
      <c r="L294" s="2" t="s">
        <v>35</v>
      </c>
      <c r="M294" s="4" t="s">
        <v>5162</v>
      </c>
    </row>
    <row r="295" spans="1:13">
      <c r="A295" s="2">
        <v>1455</v>
      </c>
      <c r="B295" s="2" t="s">
        <v>44203</v>
      </c>
      <c r="C295" s="2">
        <v>6</v>
      </c>
      <c r="D295" s="2">
        <v>291</v>
      </c>
      <c r="E295" s="2">
        <v>50</v>
      </c>
      <c r="F295" s="2">
        <v>32441</v>
      </c>
      <c r="G295" s="2">
        <v>13.37773196</v>
      </c>
      <c r="H295" s="3">
        <v>1.0499999999999999E-5</v>
      </c>
      <c r="I295" s="2" t="s">
        <v>44204</v>
      </c>
      <c r="J295" s="2" t="s">
        <v>44205</v>
      </c>
      <c r="K295" s="2">
        <v>1.76398E-4</v>
      </c>
      <c r="L295" s="2" t="s">
        <v>35</v>
      </c>
      <c r="M295" s="4" t="s">
        <v>44206</v>
      </c>
    </row>
    <row r="296" spans="1:13">
      <c r="A296" s="2">
        <v>1998</v>
      </c>
      <c r="B296" s="2" t="s">
        <v>44207</v>
      </c>
      <c r="C296" s="2">
        <v>6</v>
      </c>
      <c r="D296" s="2">
        <v>291</v>
      </c>
      <c r="E296" s="2">
        <v>50</v>
      </c>
      <c r="F296" s="2">
        <v>32441</v>
      </c>
      <c r="G296" s="2">
        <v>13.37773196</v>
      </c>
      <c r="H296" s="3">
        <v>1.0499999999999999E-5</v>
      </c>
      <c r="I296" s="2" t="s">
        <v>44208</v>
      </c>
      <c r="J296" s="2" t="s">
        <v>44209</v>
      </c>
      <c r="K296" s="2">
        <v>1.76398E-4</v>
      </c>
      <c r="L296" s="2" t="s">
        <v>35</v>
      </c>
      <c r="M296" s="4" t="s">
        <v>44210</v>
      </c>
    </row>
    <row r="297" spans="1:13">
      <c r="A297" s="2">
        <v>2186</v>
      </c>
      <c r="B297" s="2" t="s">
        <v>44211</v>
      </c>
      <c r="C297" s="2">
        <v>6</v>
      </c>
      <c r="D297" s="2">
        <v>291</v>
      </c>
      <c r="E297" s="2">
        <v>51</v>
      </c>
      <c r="F297" s="2">
        <v>32441</v>
      </c>
      <c r="G297" s="2">
        <v>13.11542349</v>
      </c>
      <c r="H297" s="3">
        <v>1.1600000000000001E-5</v>
      </c>
      <c r="I297" s="2" t="s">
        <v>44212</v>
      </c>
      <c r="J297" s="2" t="s">
        <v>44213</v>
      </c>
      <c r="K297" s="2">
        <v>1.9431599999999999E-4</v>
      </c>
      <c r="L297" s="2" t="s">
        <v>35</v>
      </c>
      <c r="M297" s="4" t="s">
        <v>44214</v>
      </c>
    </row>
    <row r="298" spans="1:13">
      <c r="A298" s="2">
        <v>4025</v>
      </c>
      <c r="B298" s="2" t="s">
        <v>44215</v>
      </c>
      <c r="C298" s="2">
        <v>6</v>
      </c>
      <c r="D298" s="2">
        <v>291</v>
      </c>
      <c r="E298" s="2">
        <v>51</v>
      </c>
      <c r="F298" s="2">
        <v>32441</v>
      </c>
      <c r="G298" s="2">
        <v>13.11542349</v>
      </c>
      <c r="H298" s="3">
        <v>1.1600000000000001E-5</v>
      </c>
      <c r="I298" s="2" t="s">
        <v>44216</v>
      </c>
      <c r="J298" s="2" t="s">
        <v>44217</v>
      </c>
      <c r="K298" s="2">
        <v>1.9431599999999999E-4</v>
      </c>
      <c r="L298" s="2" t="s">
        <v>35</v>
      </c>
      <c r="M298" s="4" t="s">
        <v>44218</v>
      </c>
    </row>
    <row r="299" spans="1:13">
      <c r="A299" s="2">
        <v>1727</v>
      </c>
      <c r="B299" s="2" t="s">
        <v>44219</v>
      </c>
      <c r="C299" s="2">
        <v>5</v>
      </c>
      <c r="D299" s="2">
        <v>291</v>
      </c>
      <c r="E299" s="2">
        <v>29</v>
      </c>
      <c r="F299" s="2">
        <v>32441</v>
      </c>
      <c r="G299" s="2">
        <v>19.220879249999999</v>
      </c>
      <c r="H299" s="3">
        <v>1.2099999999999999E-5</v>
      </c>
      <c r="I299" s="2" t="s">
        <v>44220</v>
      </c>
      <c r="J299" s="2" t="s">
        <v>44221</v>
      </c>
      <c r="K299" s="2">
        <v>1.9987600000000001E-4</v>
      </c>
      <c r="L299" s="2" t="s">
        <v>35</v>
      </c>
      <c r="M299" s="4" t="s">
        <v>44222</v>
      </c>
    </row>
    <row r="300" spans="1:13">
      <c r="A300" s="2">
        <v>3196</v>
      </c>
      <c r="B300" s="2" t="s">
        <v>44223</v>
      </c>
      <c r="C300" s="2">
        <v>5</v>
      </c>
      <c r="D300" s="2">
        <v>291</v>
      </c>
      <c r="E300" s="2">
        <v>29</v>
      </c>
      <c r="F300" s="2">
        <v>32441</v>
      </c>
      <c r="G300" s="2">
        <v>19.220879249999999</v>
      </c>
      <c r="H300" s="3">
        <v>1.2099999999999999E-5</v>
      </c>
      <c r="I300" s="2" t="s">
        <v>44224</v>
      </c>
      <c r="J300" s="2" t="s">
        <v>44225</v>
      </c>
      <c r="K300" s="2">
        <v>1.9987600000000001E-4</v>
      </c>
      <c r="L300" s="2" t="s">
        <v>35</v>
      </c>
      <c r="M300" s="4" t="s">
        <v>44226</v>
      </c>
    </row>
    <row r="301" spans="1:13">
      <c r="A301" s="2">
        <v>4167</v>
      </c>
      <c r="B301" s="2" t="s">
        <v>44227</v>
      </c>
      <c r="C301" s="2">
        <v>5</v>
      </c>
      <c r="D301" s="2">
        <v>291</v>
      </c>
      <c r="E301" s="2">
        <v>29</v>
      </c>
      <c r="F301" s="2">
        <v>32441</v>
      </c>
      <c r="G301" s="2">
        <v>19.220879249999999</v>
      </c>
      <c r="H301" s="3">
        <v>1.2099999999999999E-5</v>
      </c>
      <c r="I301" s="2" t="s">
        <v>44228</v>
      </c>
      <c r="J301" s="2" t="s">
        <v>44229</v>
      </c>
      <c r="K301" s="2">
        <v>1.9987600000000001E-4</v>
      </c>
      <c r="L301" s="2" t="s">
        <v>35</v>
      </c>
      <c r="M301" s="4" t="s">
        <v>44230</v>
      </c>
    </row>
    <row r="302" spans="1:13">
      <c r="A302" s="2">
        <v>3530</v>
      </c>
      <c r="B302" s="2" t="s">
        <v>4406</v>
      </c>
      <c r="C302" s="2">
        <v>15</v>
      </c>
      <c r="D302" s="2">
        <v>291</v>
      </c>
      <c r="E302" s="2">
        <v>430</v>
      </c>
      <c r="F302" s="2">
        <v>32441</v>
      </c>
      <c r="G302" s="2">
        <v>3.8888755690000001</v>
      </c>
      <c r="H302" s="3">
        <v>1.26E-5</v>
      </c>
      <c r="I302" s="2" t="s">
        <v>44231</v>
      </c>
      <c r="J302" s="2" t="s">
        <v>44232</v>
      </c>
      <c r="K302" s="2">
        <v>2.0775399999999999E-4</v>
      </c>
      <c r="L302" s="2" t="s">
        <v>35</v>
      </c>
      <c r="M302" s="4" t="s">
        <v>4409</v>
      </c>
    </row>
    <row r="303" spans="1:13">
      <c r="A303" s="2">
        <v>3476</v>
      </c>
      <c r="B303" s="2" t="s">
        <v>358</v>
      </c>
      <c r="C303" s="2">
        <v>17</v>
      </c>
      <c r="D303" s="2">
        <v>291</v>
      </c>
      <c r="E303" s="2">
        <v>543</v>
      </c>
      <c r="F303" s="2">
        <v>32441</v>
      </c>
      <c r="G303" s="2">
        <v>3.4902001729999999</v>
      </c>
      <c r="H303" s="3">
        <v>1.2999999999999999E-5</v>
      </c>
      <c r="I303" s="2" t="s">
        <v>44233</v>
      </c>
      <c r="J303" s="2" t="s">
        <v>44234</v>
      </c>
      <c r="K303" s="2">
        <v>2.1421799999999999E-4</v>
      </c>
      <c r="L303" s="2" t="s">
        <v>35</v>
      </c>
      <c r="M303" s="4" t="s">
        <v>6311</v>
      </c>
    </row>
    <row r="304" spans="1:13">
      <c r="A304" s="2">
        <v>3207</v>
      </c>
      <c r="B304" s="2" t="s">
        <v>44235</v>
      </c>
      <c r="C304" s="2">
        <v>4</v>
      </c>
      <c r="D304" s="2">
        <v>291</v>
      </c>
      <c r="E304" s="2">
        <v>13</v>
      </c>
      <c r="F304" s="2">
        <v>32441</v>
      </c>
      <c r="G304" s="2">
        <v>34.301876819999997</v>
      </c>
      <c r="H304" s="3">
        <v>1.33E-5</v>
      </c>
      <c r="I304" s="2" t="s">
        <v>44236</v>
      </c>
      <c r="J304" s="2" t="s">
        <v>44237</v>
      </c>
      <c r="K304" s="2">
        <v>2.1755099999999999E-4</v>
      </c>
      <c r="L304" s="2" t="s">
        <v>35</v>
      </c>
      <c r="M304" s="4" t="s">
        <v>44238</v>
      </c>
    </row>
    <row r="305" spans="1:13">
      <c r="A305" s="2">
        <v>4760</v>
      </c>
      <c r="B305" s="2" t="s">
        <v>34581</v>
      </c>
      <c r="C305" s="2">
        <v>10</v>
      </c>
      <c r="D305" s="2">
        <v>291</v>
      </c>
      <c r="E305" s="2">
        <v>190</v>
      </c>
      <c r="F305" s="2">
        <v>32441</v>
      </c>
      <c r="G305" s="2">
        <v>5.8674262979999998</v>
      </c>
      <c r="H305" s="3">
        <v>1.3499999999999999E-5</v>
      </c>
      <c r="I305" s="2" t="s">
        <v>44239</v>
      </c>
      <c r="J305" s="2" t="s">
        <v>44240</v>
      </c>
      <c r="K305" s="2">
        <v>2.19514E-4</v>
      </c>
      <c r="L305" s="2" t="s">
        <v>35</v>
      </c>
      <c r="M305" s="4" t="s">
        <v>34584</v>
      </c>
    </row>
    <row r="306" spans="1:13">
      <c r="A306" s="2">
        <v>2798</v>
      </c>
      <c r="B306" s="2" t="s">
        <v>44241</v>
      </c>
      <c r="C306" s="2">
        <v>5</v>
      </c>
      <c r="D306" s="2">
        <v>291</v>
      </c>
      <c r="E306" s="2">
        <v>30</v>
      </c>
      <c r="F306" s="2">
        <v>32441</v>
      </c>
      <c r="G306" s="2">
        <v>18.58018328</v>
      </c>
      <c r="H306" s="3">
        <v>1.4E-5</v>
      </c>
      <c r="I306" s="2" t="s">
        <v>44242</v>
      </c>
      <c r="J306" s="2" t="s">
        <v>44243</v>
      </c>
      <c r="K306" s="2">
        <v>2.2754900000000001E-4</v>
      </c>
      <c r="L306" s="2" t="s">
        <v>35</v>
      </c>
      <c r="M306" s="4" t="s">
        <v>44244</v>
      </c>
    </row>
    <row r="307" spans="1:13">
      <c r="A307" s="2">
        <v>4449</v>
      </c>
      <c r="B307" s="2" t="s">
        <v>5567</v>
      </c>
      <c r="C307" s="2">
        <v>17</v>
      </c>
      <c r="D307" s="2">
        <v>291</v>
      </c>
      <c r="E307" s="2">
        <v>549</v>
      </c>
      <c r="F307" s="2">
        <v>32441</v>
      </c>
      <c r="G307" s="2">
        <v>3.4520559089999998</v>
      </c>
      <c r="H307" s="3">
        <v>1.49E-5</v>
      </c>
      <c r="I307" s="2" t="s">
        <v>44245</v>
      </c>
      <c r="J307" s="2" t="s">
        <v>44246</v>
      </c>
      <c r="K307" s="2">
        <v>2.42141E-4</v>
      </c>
      <c r="L307" s="2" t="s">
        <v>35</v>
      </c>
      <c r="M307" s="4" t="s">
        <v>5570</v>
      </c>
    </row>
    <row r="308" spans="1:13">
      <c r="A308" s="2">
        <v>425</v>
      </c>
      <c r="B308" s="2" t="s">
        <v>25788</v>
      </c>
      <c r="C308" s="2">
        <v>7</v>
      </c>
      <c r="D308" s="2">
        <v>291</v>
      </c>
      <c r="E308" s="2">
        <v>82</v>
      </c>
      <c r="F308" s="2">
        <v>32441</v>
      </c>
      <c r="G308" s="2">
        <v>9.5166792390000001</v>
      </c>
      <c r="H308" s="3">
        <v>1.5099999999999999E-5</v>
      </c>
      <c r="I308" s="2" t="s">
        <v>44247</v>
      </c>
      <c r="J308" s="2" t="s">
        <v>44248</v>
      </c>
      <c r="K308" s="2">
        <v>2.4295E-4</v>
      </c>
      <c r="L308" s="2" t="s">
        <v>35</v>
      </c>
      <c r="M308" s="4" t="s">
        <v>25791</v>
      </c>
    </row>
    <row r="309" spans="1:13">
      <c r="A309" s="2">
        <v>1740</v>
      </c>
      <c r="B309" s="2" t="s">
        <v>35201</v>
      </c>
      <c r="C309" s="2">
        <v>8</v>
      </c>
      <c r="D309" s="2">
        <v>291</v>
      </c>
      <c r="E309" s="2">
        <v>115</v>
      </c>
      <c r="F309" s="2">
        <v>32441</v>
      </c>
      <c r="G309" s="2">
        <v>7.7552069330000002</v>
      </c>
      <c r="H309" s="3">
        <v>1.5099999999999999E-5</v>
      </c>
      <c r="I309" s="2" t="s">
        <v>44249</v>
      </c>
      <c r="J309" s="2" t="s">
        <v>44250</v>
      </c>
      <c r="K309" s="2">
        <v>2.4295E-4</v>
      </c>
      <c r="L309" s="2" t="s">
        <v>35</v>
      </c>
      <c r="M309" s="4" t="s">
        <v>35204</v>
      </c>
    </row>
    <row r="310" spans="1:13">
      <c r="A310" s="2">
        <v>1778</v>
      </c>
      <c r="B310" s="2" t="s">
        <v>44251</v>
      </c>
      <c r="C310" s="2">
        <v>11</v>
      </c>
      <c r="D310" s="2">
        <v>291</v>
      </c>
      <c r="E310" s="2">
        <v>238</v>
      </c>
      <c r="F310" s="2">
        <v>32441</v>
      </c>
      <c r="G310" s="2">
        <v>5.1524877990000002</v>
      </c>
      <c r="H310" s="3">
        <v>1.5999999999999999E-5</v>
      </c>
      <c r="I310" s="2" t="s">
        <v>44252</v>
      </c>
      <c r="J310" s="2" t="s">
        <v>44253</v>
      </c>
      <c r="K310" s="2">
        <v>2.56865E-4</v>
      </c>
      <c r="L310" s="2" t="s">
        <v>35</v>
      </c>
      <c r="M310" s="4" t="s">
        <v>44254</v>
      </c>
    </row>
    <row r="311" spans="1:13">
      <c r="A311" s="2">
        <v>3050</v>
      </c>
      <c r="B311" s="2" t="s">
        <v>44255</v>
      </c>
      <c r="C311" s="2">
        <v>5</v>
      </c>
      <c r="D311" s="2">
        <v>291</v>
      </c>
      <c r="E311" s="2">
        <v>31</v>
      </c>
      <c r="F311" s="2">
        <v>32441</v>
      </c>
      <c r="G311" s="2">
        <v>17.980822530000001</v>
      </c>
      <c r="H311" s="3">
        <v>1.6099999999999998E-5</v>
      </c>
      <c r="I311" s="2" t="s">
        <v>44256</v>
      </c>
      <c r="J311" s="2" t="s">
        <v>44257</v>
      </c>
      <c r="K311" s="2">
        <v>2.5793600000000001E-4</v>
      </c>
      <c r="L311" s="2" t="s">
        <v>35</v>
      </c>
      <c r="M311" s="4" t="s">
        <v>44258</v>
      </c>
    </row>
    <row r="312" spans="1:13">
      <c r="A312" s="2">
        <v>2428</v>
      </c>
      <c r="B312" s="2" t="s">
        <v>42622</v>
      </c>
      <c r="C312" s="2">
        <v>25</v>
      </c>
      <c r="D312" s="2">
        <v>291</v>
      </c>
      <c r="E312" s="2">
        <v>1062</v>
      </c>
      <c r="F312" s="2">
        <v>32441</v>
      </c>
      <c r="G312" s="2">
        <v>2.6243196719999999</v>
      </c>
      <c r="H312" s="3">
        <v>1.63E-5</v>
      </c>
      <c r="I312" s="2" t="s">
        <v>44259</v>
      </c>
      <c r="J312" s="2" t="s">
        <v>44260</v>
      </c>
      <c r="K312" s="2">
        <v>2.5912100000000001E-4</v>
      </c>
      <c r="L312" s="2" t="s">
        <v>35</v>
      </c>
      <c r="M312" s="4" t="s">
        <v>42625</v>
      </c>
    </row>
    <row r="313" spans="1:13">
      <c r="A313" s="2">
        <v>4615</v>
      </c>
      <c r="B313" s="2" t="s">
        <v>44261</v>
      </c>
      <c r="C313" s="2">
        <v>11</v>
      </c>
      <c r="D313" s="2">
        <v>291</v>
      </c>
      <c r="E313" s="2">
        <v>239</v>
      </c>
      <c r="F313" s="2">
        <v>32441</v>
      </c>
      <c r="G313" s="2">
        <v>5.1309292729999996</v>
      </c>
      <c r="H313" s="3">
        <v>1.66E-5</v>
      </c>
      <c r="I313" s="2" t="s">
        <v>44262</v>
      </c>
      <c r="J313" s="2" t="s">
        <v>44263</v>
      </c>
      <c r="K313" s="2">
        <v>2.6393100000000002E-4</v>
      </c>
      <c r="L313" s="2" t="s">
        <v>35</v>
      </c>
      <c r="M313" s="4" t="s">
        <v>44264</v>
      </c>
    </row>
    <row r="314" spans="1:13">
      <c r="A314" s="2">
        <v>1692</v>
      </c>
      <c r="B314" s="2" t="s">
        <v>44265</v>
      </c>
      <c r="C314" s="2">
        <v>8</v>
      </c>
      <c r="D314" s="2">
        <v>291</v>
      </c>
      <c r="E314" s="2">
        <v>117</v>
      </c>
      <c r="F314" s="2">
        <v>32441</v>
      </c>
      <c r="G314" s="2">
        <v>7.6226392929999998</v>
      </c>
      <c r="H314" s="3">
        <v>1.7E-5</v>
      </c>
      <c r="I314" s="2" t="s">
        <v>44266</v>
      </c>
      <c r="J314" s="2" t="s">
        <v>44267</v>
      </c>
      <c r="K314" s="2">
        <v>2.6845299999999999E-4</v>
      </c>
      <c r="L314" s="2" t="s">
        <v>35</v>
      </c>
      <c r="M314" s="4" t="s">
        <v>44268</v>
      </c>
    </row>
    <row r="315" spans="1:13">
      <c r="A315" s="2">
        <v>2937</v>
      </c>
      <c r="B315" s="2" t="s">
        <v>6364</v>
      </c>
      <c r="C315" s="2">
        <v>14</v>
      </c>
      <c r="D315" s="2">
        <v>291</v>
      </c>
      <c r="E315" s="2">
        <v>390</v>
      </c>
      <c r="F315" s="2">
        <v>32441</v>
      </c>
      <c r="G315" s="2">
        <v>4.0018856290000002</v>
      </c>
      <c r="H315" s="3">
        <v>1.8099999999999999E-5</v>
      </c>
      <c r="I315" s="2" t="s">
        <v>44269</v>
      </c>
      <c r="J315" s="2" t="s">
        <v>44270</v>
      </c>
      <c r="K315" s="2">
        <v>2.8535799999999999E-4</v>
      </c>
      <c r="L315" s="2" t="s">
        <v>35</v>
      </c>
      <c r="M315" s="4" t="s">
        <v>6367</v>
      </c>
    </row>
    <row r="316" spans="1:13">
      <c r="A316" s="2">
        <v>110</v>
      </c>
      <c r="B316" s="2" t="s">
        <v>44271</v>
      </c>
      <c r="C316" s="2">
        <v>7</v>
      </c>
      <c r="D316" s="2">
        <v>291</v>
      </c>
      <c r="E316" s="2">
        <v>86</v>
      </c>
      <c r="F316" s="2">
        <v>32441</v>
      </c>
      <c r="G316" s="2">
        <v>9.0740429949999992</v>
      </c>
      <c r="H316" s="3">
        <v>2.0100000000000001E-5</v>
      </c>
      <c r="I316" s="2" t="s">
        <v>44272</v>
      </c>
      <c r="J316" s="2" t="s">
        <v>44273</v>
      </c>
      <c r="K316" s="2">
        <v>3.1556299999999999E-4</v>
      </c>
      <c r="L316" s="2" t="s">
        <v>35</v>
      </c>
      <c r="M316" s="4" t="s">
        <v>44274</v>
      </c>
    </row>
    <row r="317" spans="1:13">
      <c r="A317" s="2">
        <v>3106</v>
      </c>
      <c r="B317" s="2" t="s">
        <v>44275</v>
      </c>
      <c r="C317" s="2">
        <v>7</v>
      </c>
      <c r="D317" s="2">
        <v>291</v>
      </c>
      <c r="E317" s="2">
        <v>86</v>
      </c>
      <c r="F317" s="2">
        <v>32441</v>
      </c>
      <c r="G317" s="2">
        <v>9.0740429949999992</v>
      </c>
      <c r="H317" s="3">
        <v>2.0100000000000001E-5</v>
      </c>
      <c r="I317" s="2" t="s">
        <v>44276</v>
      </c>
      <c r="J317" s="2" t="s">
        <v>44277</v>
      </c>
      <c r="K317" s="2">
        <v>3.1556299999999999E-4</v>
      </c>
      <c r="L317" s="2" t="s">
        <v>35</v>
      </c>
      <c r="M317" s="4" t="s">
        <v>44278</v>
      </c>
    </row>
    <row r="318" spans="1:13">
      <c r="A318" s="2">
        <v>4393</v>
      </c>
      <c r="B318" s="2" t="s">
        <v>44279</v>
      </c>
      <c r="C318" s="2">
        <v>16</v>
      </c>
      <c r="D318" s="2">
        <v>291</v>
      </c>
      <c r="E318" s="2">
        <v>505</v>
      </c>
      <c r="F318" s="2">
        <v>32441</v>
      </c>
      <c r="G318" s="2">
        <v>3.5320744450000001</v>
      </c>
      <c r="H318" s="3">
        <v>2.0400000000000001E-5</v>
      </c>
      <c r="I318" s="2" t="s">
        <v>44280</v>
      </c>
      <c r="J318" s="2" t="s">
        <v>44281</v>
      </c>
      <c r="K318" s="2">
        <v>3.1830900000000002E-4</v>
      </c>
      <c r="L318" s="2" t="s">
        <v>35</v>
      </c>
      <c r="M318" s="4" t="s">
        <v>44282</v>
      </c>
    </row>
    <row r="319" spans="1:13">
      <c r="A319" s="2">
        <v>3023</v>
      </c>
      <c r="B319" s="2" t="s">
        <v>44283</v>
      </c>
      <c r="C319" s="2">
        <v>6</v>
      </c>
      <c r="D319" s="2">
        <v>291</v>
      </c>
      <c r="E319" s="2">
        <v>57</v>
      </c>
      <c r="F319" s="2">
        <v>32441</v>
      </c>
      <c r="G319" s="2">
        <v>11.7348526</v>
      </c>
      <c r="H319" s="3">
        <v>2.0800000000000001E-5</v>
      </c>
      <c r="I319" s="2" t="s">
        <v>44284</v>
      </c>
      <c r="J319" s="2" t="s">
        <v>44285</v>
      </c>
      <c r="K319" s="2">
        <v>3.2301900000000002E-4</v>
      </c>
      <c r="L319" s="2" t="s">
        <v>35</v>
      </c>
      <c r="M319" s="4" t="s">
        <v>44286</v>
      </c>
    </row>
    <row r="320" spans="1:13">
      <c r="A320" s="2">
        <v>3526</v>
      </c>
      <c r="B320" s="2" t="s">
        <v>6356</v>
      </c>
      <c r="C320" s="2">
        <v>6</v>
      </c>
      <c r="D320" s="2">
        <v>291</v>
      </c>
      <c r="E320" s="2">
        <v>57</v>
      </c>
      <c r="F320" s="2">
        <v>32441</v>
      </c>
      <c r="G320" s="2">
        <v>11.7348526</v>
      </c>
      <c r="H320" s="3">
        <v>2.0800000000000001E-5</v>
      </c>
      <c r="I320" s="2" t="s">
        <v>44287</v>
      </c>
      <c r="J320" s="2" t="s">
        <v>44288</v>
      </c>
      <c r="K320" s="2">
        <v>3.2301900000000002E-4</v>
      </c>
      <c r="L320" s="2" t="s">
        <v>35</v>
      </c>
      <c r="M320" s="4" t="s">
        <v>6359</v>
      </c>
    </row>
    <row r="321" spans="1:13">
      <c r="A321" s="2">
        <v>2708</v>
      </c>
      <c r="B321" s="2" t="s">
        <v>44289</v>
      </c>
      <c r="C321" s="2">
        <v>7</v>
      </c>
      <c r="D321" s="2">
        <v>291</v>
      </c>
      <c r="E321" s="2">
        <v>87</v>
      </c>
      <c r="F321" s="2">
        <v>32441</v>
      </c>
      <c r="G321" s="2">
        <v>8.9697436509999999</v>
      </c>
      <c r="H321" s="3">
        <v>2.16E-5</v>
      </c>
      <c r="I321" s="2" t="s">
        <v>44290</v>
      </c>
      <c r="J321" s="2" t="s">
        <v>44291</v>
      </c>
      <c r="K321" s="2">
        <v>3.3399299999999999E-4</v>
      </c>
      <c r="L321" s="2" t="s">
        <v>35</v>
      </c>
      <c r="M321" s="4" t="s">
        <v>44292</v>
      </c>
    </row>
    <row r="322" spans="1:13">
      <c r="A322" s="2">
        <v>440</v>
      </c>
      <c r="B322" s="2" t="s">
        <v>44293</v>
      </c>
      <c r="C322" s="2">
        <v>5</v>
      </c>
      <c r="D322" s="2">
        <v>291</v>
      </c>
      <c r="E322" s="2">
        <v>34</v>
      </c>
      <c r="F322" s="2">
        <v>32441</v>
      </c>
      <c r="G322" s="2">
        <v>16.394279359999999</v>
      </c>
      <c r="H322" s="3">
        <v>2.41E-5</v>
      </c>
      <c r="I322" s="2" t="s">
        <v>44294</v>
      </c>
      <c r="J322" s="2" t="s">
        <v>44295</v>
      </c>
      <c r="K322" s="2">
        <v>3.7171600000000002E-4</v>
      </c>
      <c r="L322" s="2" t="s">
        <v>35</v>
      </c>
      <c r="M322" s="4" t="s">
        <v>44296</v>
      </c>
    </row>
    <row r="323" spans="1:13">
      <c r="A323" s="2">
        <v>4684</v>
      </c>
      <c r="B323" s="2" t="s">
        <v>44297</v>
      </c>
      <c r="C323" s="2">
        <v>9</v>
      </c>
      <c r="D323" s="2">
        <v>291</v>
      </c>
      <c r="E323" s="2">
        <v>162</v>
      </c>
      <c r="F323" s="2">
        <v>32441</v>
      </c>
      <c r="G323" s="2">
        <v>6.1933944250000001</v>
      </c>
      <c r="H323" s="3">
        <v>2.4300000000000001E-5</v>
      </c>
      <c r="I323" s="2" t="s">
        <v>44298</v>
      </c>
      <c r="J323" s="2" t="s">
        <v>44299</v>
      </c>
      <c r="K323" s="2">
        <v>3.7313400000000001E-4</v>
      </c>
      <c r="L323" s="2" t="s">
        <v>35</v>
      </c>
      <c r="M323" s="4" t="s">
        <v>44300</v>
      </c>
    </row>
    <row r="324" spans="1:13">
      <c r="A324" s="2">
        <v>2839</v>
      </c>
      <c r="B324" s="2" t="s">
        <v>44301</v>
      </c>
      <c r="C324" s="2">
        <v>7</v>
      </c>
      <c r="D324" s="2">
        <v>291</v>
      </c>
      <c r="E324" s="2">
        <v>89</v>
      </c>
      <c r="F324" s="2">
        <v>32441</v>
      </c>
      <c r="G324" s="2">
        <v>8.7681763769999996</v>
      </c>
      <c r="H324" s="3">
        <v>2.48E-5</v>
      </c>
      <c r="I324" s="2" t="s">
        <v>44302</v>
      </c>
      <c r="J324" s="2" t="s">
        <v>44303</v>
      </c>
      <c r="K324" s="2">
        <v>3.7817599999999998E-4</v>
      </c>
      <c r="L324" s="2" t="s">
        <v>35</v>
      </c>
      <c r="M324" s="4" t="s">
        <v>44304</v>
      </c>
    </row>
    <row r="325" spans="1:13">
      <c r="A325" s="2">
        <v>3972</v>
      </c>
      <c r="B325" s="2" t="s">
        <v>4422</v>
      </c>
      <c r="C325" s="2">
        <v>7</v>
      </c>
      <c r="D325" s="2">
        <v>291</v>
      </c>
      <c r="E325" s="2">
        <v>89</v>
      </c>
      <c r="F325" s="2">
        <v>32441</v>
      </c>
      <c r="G325" s="2">
        <v>8.7681763769999996</v>
      </c>
      <c r="H325" s="3">
        <v>2.48E-5</v>
      </c>
      <c r="I325" s="2" t="s">
        <v>44305</v>
      </c>
      <c r="J325" s="2" t="s">
        <v>44306</v>
      </c>
      <c r="K325" s="2">
        <v>3.7817599999999998E-4</v>
      </c>
      <c r="L325" s="2" t="s">
        <v>35</v>
      </c>
      <c r="M325" s="4" t="s">
        <v>4425</v>
      </c>
    </row>
    <row r="326" spans="1:13">
      <c r="A326" s="2">
        <v>4091</v>
      </c>
      <c r="B326" s="2" t="s">
        <v>44307</v>
      </c>
      <c r="C326" s="2">
        <v>8</v>
      </c>
      <c r="D326" s="2">
        <v>291</v>
      </c>
      <c r="E326" s="2">
        <v>126</v>
      </c>
      <c r="F326" s="2">
        <v>32441</v>
      </c>
      <c r="G326" s="2">
        <v>7.0781650579999997</v>
      </c>
      <c r="H326" s="3">
        <v>2.8099999999999999E-5</v>
      </c>
      <c r="I326" s="2" t="s">
        <v>44308</v>
      </c>
      <c r="J326" s="2" t="s">
        <v>44309</v>
      </c>
      <c r="K326" s="2">
        <v>4.2694199999999998E-4</v>
      </c>
      <c r="L326" s="2" t="s">
        <v>35</v>
      </c>
      <c r="M326" s="4" t="s">
        <v>44310</v>
      </c>
    </row>
    <row r="327" spans="1:13">
      <c r="A327" s="2">
        <v>2308</v>
      </c>
      <c r="B327" s="2" t="s">
        <v>42586</v>
      </c>
      <c r="C327" s="2">
        <v>8</v>
      </c>
      <c r="D327" s="2">
        <v>291</v>
      </c>
      <c r="E327" s="2">
        <v>127</v>
      </c>
      <c r="F327" s="2">
        <v>32441</v>
      </c>
      <c r="G327" s="2">
        <v>7.0224314740000002</v>
      </c>
      <c r="H327" s="3">
        <v>2.9600000000000001E-5</v>
      </c>
      <c r="I327" s="2" t="s">
        <v>44311</v>
      </c>
      <c r="J327" s="2" t="s">
        <v>44312</v>
      </c>
      <c r="K327" s="2">
        <v>4.4894800000000001E-4</v>
      </c>
      <c r="L327" s="2" t="s">
        <v>35</v>
      </c>
      <c r="M327" s="4" t="s">
        <v>42589</v>
      </c>
    </row>
    <row r="328" spans="1:13">
      <c r="A328" s="2">
        <v>1218</v>
      </c>
      <c r="B328" s="2" t="s">
        <v>3990</v>
      </c>
      <c r="C328" s="2">
        <v>15</v>
      </c>
      <c r="D328" s="2">
        <v>291</v>
      </c>
      <c r="E328" s="2">
        <v>466</v>
      </c>
      <c r="F328" s="2">
        <v>32441</v>
      </c>
      <c r="G328" s="2">
        <v>3.588447414</v>
      </c>
      <c r="H328" s="3">
        <v>3.1000000000000001E-5</v>
      </c>
      <c r="I328" s="2" t="s">
        <v>44313</v>
      </c>
      <c r="J328" s="2" t="s">
        <v>44314</v>
      </c>
      <c r="K328" s="2">
        <v>4.69016E-4</v>
      </c>
      <c r="L328" s="2" t="s">
        <v>35</v>
      </c>
      <c r="M328" s="4" t="s">
        <v>3993</v>
      </c>
    </row>
    <row r="329" spans="1:13">
      <c r="A329" s="2">
        <v>1690</v>
      </c>
      <c r="B329" s="2" t="s">
        <v>35741</v>
      </c>
      <c r="C329" s="2">
        <v>8</v>
      </c>
      <c r="D329" s="2">
        <v>291</v>
      </c>
      <c r="E329" s="2">
        <v>128</v>
      </c>
      <c r="F329" s="2">
        <v>32441</v>
      </c>
      <c r="G329" s="2">
        <v>6.9675687289999999</v>
      </c>
      <c r="H329" s="3">
        <v>3.1199999999999999E-5</v>
      </c>
      <c r="I329" s="2" t="s">
        <v>44266</v>
      </c>
      <c r="J329" s="2" t="s">
        <v>44267</v>
      </c>
      <c r="K329" s="2">
        <v>4.7038000000000001E-4</v>
      </c>
      <c r="L329" s="2" t="s">
        <v>35</v>
      </c>
      <c r="M329" s="4" t="s">
        <v>35744</v>
      </c>
    </row>
    <row r="330" spans="1:13">
      <c r="A330" s="2">
        <v>2399</v>
      </c>
      <c r="B330" s="2" t="s">
        <v>24972</v>
      </c>
      <c r="C330" s="2">
        <v>14</v>
      </c>
      <c r="D330" s="2">
        <v>291</v>
      </c>
      <c r="E330" s="2">
        <v>411</v>
      </c>
      <c r="F330" s="2">
        <v>32441</v>
      </c>
      <c r="G330" s="2">
        <v>3.7974097210000002</v>
      </c>
      <c r="H330" s="3">
        <v>3.15E-5</v>
      </c>
      <c r="I330" s="2" t="s">
        <v>44315</v>
      </c>
      <c r="J330" s="2" t="s">
        <v>44316</v>
      </c>
      <c r="K330" s="2">
        <v>4.73671E-4</v>
      </c>
      <c r="L330" s="2" t="s">
        <v>35</v>
      </c>
      <c r="M330" s="4" t="s">
        <v>24975</v>
      </c>
    </row>
    <row r="331" spans="1:13">
      <c r="A331" s="2">
        <v>4434</v>
      </c>
      <c r="B331" s="2" t="s">
        <v>44317</v>
      </c>
      <c r="C331" s="2">
        <v>4</v>
      </c>
      <c r="D331" s="2">
        <v>291</v>
      </c>
      <c r="E331" s="2">
        <v>17</v>
      </c>
      <c r="F331" s="2">
        <v>32441</v>
      </c>
      <c r="G331" s="2">
        <v>26.230846979999999</v>
      </c>
      <c r="H331" s="3">
        <v>3.2499999999999997E-5</v>
      </c>
      <c r="I331" s="2" t="s">
        <v>44318</v>
      </c>
      <c r="J331" s="2" t="s">
        <v>44319</v>
      </c>
      <c r="K331" s="2">
        <v>4.8678000000000003E-4</v>
      </c>
      <c r="L331" s="2" t="s">
        <v>35</v>
      </c>
      <c r="M331" s="4" t="s">
        <v>44320</v>
      </c>
    </row>
    <row r="332" spans="1:13">
      <c r="A332" s="2">
        <v>4382</v>
      </c>
      <c r="B332" s="2" t="s">
        <v>44321</v>
      </c>
      <c r="C332" s="2">
        <v>5</v>
      </c>
      <c r="D332" s="2">
        <v>291</v>
      </c>
      <c r="E332" s="2">
        <v>37</v>
      </c>
      <c r="F332" s="2">
        <v>32441</v>
      </c>
      <c r="G332" s="2">
        <v>15.06501347</v>
      </c>
      <c r="H332" s="3">
        <v>3.4900000000000001E-5</v>
      </c>
      <c r="I332" s="2" t="s">
        <v>44322</v>
      </c>
      <c r="J332" s="2" t="s">
        <v>44323</v>
      </c>
      <c r="K332" s="2">
        <v>5.2052299999999995E-4</v>
      </c>
      <c r="L332" s="2" t="s">
        <v>35</v>
      </c>
      <c r="M332" s="4" t="s">
        <v>44324</v>
      </c>
    </row>
    <row r="333" spans="1:13">
      <c r="A333" s="2">
        <v>2430</v>
      </c>
      <c r="B333" s="2" t="s">
        <v>44325</v>
      </c>
      <c r="C333" s="2">
        <v>18</v>
      </c>
      <c r="D333" s="2">
        <v>291</v>
      </c>
      <c r="E333" s="2">
        <v>652</v>
      </c>
      <c r="F333" s="2">
        <v>32441</v>
      </c>
      <c r="G333" s="2">
        <v>3.07769907</v>
      </c>
      <c r="H333" s="3">
        <v>3.6600000000000002E-5</v>
      </c>
      <c r="I333" s="2" t="s">
        <v>44326</v>
      </c>
      <c r="J333" s="2" t="s">
        <v>44327</v>
      </c>
      <c r="K333" s="2">
        <v>5.4454799999999995E-4</v>
      </c>
      <c r="L333" s="2" t="s">
        <v>35</v>
      </c>
      <c r="M333" s="4" t="s">
        <v>44328</v>
      </c>
    </row>
    <row r="334" spans="1:13">
      <c r="A334" s="2">
        <v>2861</v>
      </c>
      <c r="B334" s="2" t="s">
        <v>6532</v>
      </c>
      <c r="C334" s="2">
        <v>6</v>
      </c>
      <c r="D334" s="2">
        <v>291</v>
      </c>
      <c r="E334" s="2">
        <v>64</v>
      </c>
      <c r="F334" s="2">
        <v>32441</v>
      </c>
      <c r="G334" s="2">
        <v>10.45135309</v>
      </c>
      <c r="H334" s="3">
        <v>3.8099999999999998E-5</v>
      </c>
      <c r="I334" s="2" t="s">
        <v>44329</v>
      </c>
      <c r="J334" s="2" t="s">
        <v>44330</v>
      </c>
      <c r="K334" s="2">
        <v>5.6593599999999996E-4</v>
      </c>
      <c r="L334" s="2" t="s">
        <v>35</v>
      </c>
      <c r="M334" s="4" t="s">
        <v>6535</v>
      </c>
    </row>
    <row r="335" spans="1:13">
      <c r="A335" s="2">
        <v>141</v>
      </c>
      <c r="B335" s="2" t="s">
        <v>5043</v>
      </c>
      <c r="C335" s="2">
        <v>10</v>
      </c>
      <c r="D335" s="2">
        <v>291</v>
      </c>
      <c r="E335" s="2">
        <v>216</v>
      </c>
      <c r="F335" s="2">
        <v>32441</v>
      </c>
      <c r="G335" s="2">
        <v>5.161162021</v>
      </c>
      <c r="H335" s="3">
        <v>3.8399999999999998E-5</v>
      </c>
      <c r="I335" s="2" t="s">
        <v>44331</v>
      </c>
      <c r="J335" s="2" t="s">
        <v>44332</v>
      </c>
      <c r="K335" s="2">
        <v>5.6627700000000001E-4</v>
      </c>
      <c r="L335" s="2" t="s">
        <v>35</v>
      </c>
      <c r="M335" s="4" t="s">
        <v>5046</v>
      </c>
    </row>
    <row r="336" spans="1:13">
      <c r="A336" s="2">
        <v>3329</v>
      </c>
      <c r="B336" s="2" t="s">
        <v>382</v>
      </c>
      <c r="C336" s="2">
        <v>8</v>
      </c>
      <c r="D336" s="2">
        <v>291</v>
      </c>
      <c r="E336" s="2">
        <v>132</v>
      </c>
      <c r="F336" s="2">
        <v>32441</v>
      </c>
      <c r="G336" s="2">
        <v>6.7564302820000002</v>
      </c>
      <c r="H336" s="3">
        <v>3.8399999999999998E-5</v>
      </c>
      <c r="I336" s="2" t="s">
        <v>44333</v>
      </c>
      <c r="J336" s="2" t="s">
        <v>44334</v>
      </c>
      <c r="K336" s="2">
        <v>5.6627700000000001E-4</v>
      </c>
      <c r="L336" s="2" t="s">
        <v>35</v>
      </c>
      <c r="M336" s="4" t="s">
        <v>44335</v>
      </c>
    </row>
    <row r="337" spans="1:13">
      <c r="A337" s="2">
        <v>2061</v>
      </c>
      <c r="B337" s="2" t="s">
        <v>35591</v>
      </c>
      <c r="C337" s="2">
        <v>5</v>
      </c>
      <c r="D337" s="2">
        <v>291</v>
      </c>
      <c r="E337" s="2">
        <v>38</v>
      </c>
      <c r="F337" s="2">
        <v>32441</v>
      </c>
      <c r="G337" s="2">
        <v>14.66856574</v>
      </c>
      <c r="H337" s="3">
        <v>3.9199999999999997E-5</v>
      </c>
      <c r="I337" s="2" t="s">
        <v>44336</v>
      </c>
      <c r="J337" s="2" t="s">
        <v>44337</v>
      </c>
      <c r="K337" s="2">
        <v>5.7572999999999999E-4</v>
      </c>
      <c r="L337" s="2" t="s">
        <v>35</v>
      </c>
      <c r="M337" s="4" t="s">
        <v>35594</v>
      </c>
    </row>
    <row r="338" spans="1:13">
      <c r="A338" s="2">
        <v>1739</v>
      </c>
      <c r="B338" s="2" t="s">
        <v>44338</v>
      </c>
      <c r="C338" s="2">
        <v>4</v>
      </c>
      <c r="D338" s="2">
        <v>291</v>
      </c>
      <c r="E338" s="2">
        <v>18</v>
      </c>
      <c r="F338" s="2">
        <v>32441</v>
      </c>
      <c r="G338" s="2">
        <v>24.773577700000001</v>
      </c>
      <c r="H338" s="3">
        <v>3.9499999999999998E-5</v>
      </c>
      <c r="I338" s="2" t="s">
        <v>44339</v>
      </c>
      <c r="J338" s="2" t="s">
        <v>44340</v>
      </c>
      <c r="K338" s="2">
        <v>5.7630099999999998E-4</v>
      </c>
      <c r="L338" s="2" t="s">
        <v>35</v>
      </c>
      <c r="M338" s="4" t="s">
        <v>44341</v>
      </c>
    </row>
    <row r="339" spans="1:13">
      <c r="A339" s="2">
        <v>2972</v>
      </c>
      <c r="B339" s="2" t="s">
        <v>44342</v>
      </c>
      <c r="C339" s="2">
        <v>4</v>
      </c>
      <c r="D339" s="2">
        <v>291</v>
      </c>
      <c r="E339" s="2">
        <v>18</v>
      </c>
      <c r="F339" s="2">
        <v>32441</v>
      </c>
      <c r="G339" s="2">
        <v>24.773577700000001</v>
      </c>
      <c r="H339" s="3">
        <v>3.9499999999999998E-5</v>
      </c>
      <c r="I339" s="2" t="s">
        <v>44343</v>
      </c>
      <c r="J339" s="2" t="s">
        <v>44344</v>
      </c>
      <c r="K339" s="2">
        <v>5.7630099999999998E-4</v>
      </c>
      <c r="L339" s="2" t="s">
        <v>35</v>
      </c>
      <c r="M339" s="4" t="s">
        <v>44345</v>
      </c>
    </row>
    <row r="340" spans="1:13">
      <c r="A340" s="2">
        <v>1670</v>
      </c>
      <c r="B340" s="2" t="s">
        <v>25255</v>
      </c>
      <c r="C340" s="2">
        <v>16</v>
      </c>
      <c r="D340" s="2">
        <v>291</v>
      </c>
      <c r="E340" s="2">
        <v>537</v>
      </c>
      <c r="F340" s="2">
        <v>32441</v>
      </c>
      <c r="G340" s="2">
        <v>3.3215970100000001</v>
      </c>
      <c r="H340" s="3">
        <v>4.1600000000000002E-5</v>
      </c>
      <c r="I340" s="2" t="s">
        <v>44346</v>
      </c>
      <c r="J340" s="2" t="s">
        <v>44347</v>
      </c>
      <c r="K340" s="2">
        <v>6.0633799999999999E-4</v>
      </c>
      <c r="L340" s="2" t="s">
        <v>35</v>
      </c>
      <c r="M340" s="4" t="s">
        <v>25258</v>
      </c>
    </row>
    <row r="341" spans="1:13">
      <c r="A341" s="2">
        <v>1541</v>
      </c>
      <c r="B341" s="2" t="s">
        <v>4190</v>
      </c>
      <c r="C341" s="2">
        <v>9</v>
      </c>
      <c r="D341" s="2">
        <v>291</v>
      </c>
      <c r="E341" s="2">
        <v>175</v>
      </c>
      <c r="F341" s="2">
        <v>32441</v>
      </c>
      <c r="G341" s="2">
        <v>5.7333136969999998</v>
      </c>
      <c r="H341" s="3">
        <v>4.32E-5</v>
      </c>
      <c r="I341" s="2" t="s">
        <v>44348</v>
      </c>
      <c r="J341" s="2" t="s">
        <v>44349</v>
      </c>
      <c r="K341" s="2">
        <v>6.2648399999999996E-4</v>
      </c>
      <c r="L341" s="2" t="s">
        <v>35</v>
      </c>
      <c r="M341" s="4" t="s">
        <v>4193</v>
      </c>
    </row>
    <row r="342" spans="1:13">
      <c r="A342" s="2">
        <v>2380</v>
      </c>
      <c r="B342" s="2" t="s">
        <v>44350</v>
      </c>
      <c r="C342" s="2">
        <v>9</v>
      </c>
      <c r="D342" s="2">
        <v>291</v>
      </c>
      <c r="E342" s="2">
        <v>176</v>
      </c>
      <c r="F342" s="2">
        <v>32441</v>
      </c>
      <c r="G342" s="2">
        <v>5.7007380510000001</v>
      </c>
      <c r="H342" s="3">
        <v>4.5000000000000003E-5</v>
      </c>
      <c r="I342" s="2" t="s">
        <v>44351</v>
      </c>
      <c r="J342" s="2" t="s">
        <v>44352</v>
      </c>
      <c r="K342" s="2">
        <v>6.4980099999999998E-4</v>
      </c>
      <c r="L342" s="2" t="s">
        <v>35</v>
      </c>
      <c r="M342" s="4" t="s">
        <v>44353</v>
      </c>
    </row>
    <row r="343" spans="1:13">
      <c r="A343" s="2">
        <v>3479</v>
      </c>
      <c r="B343" s="2" t="s">
        <v>4525</v>
      </c>
      <c r="C343" s="2">
        <v>17</v>
      </c>
      <c r="D343" s="2">
        <v>291</v>
      </c>
      <c r="E343" s="2">
        <v>601</v>
      </c>
      <c r="F343" s="2">
        <v>32441</v>
      </c>
      <c r="G343" s="2">
        <v>3.153375531</v>
      </c>
      <c r="H343" s="3">
        <v>4.5000000000000003E-5</v>
      </c>
      <c r="I343" s="2" t="s">
        <v>44354</v>
      </c>
      <c r="J343" s="2" t="s">
        <v>44355</v>
      </c>
      <c r="K343" s="2">
        <v>6.4980099999999998E-4</v>
      </c>
      <c r="L343" s="2" t="s">
        <v>35</v>
      </c>
      <c r="M343" s="4" t="s">
        <v>4528</v>
      </c>
    </row>
    <row r="344" spans="1:13">
      <c r="A344" s="2">
        <v>3093</v>
      </c>
      <c r="B344" s="2" t="s">
        <v>44356</v>
      </c>
      <c r="C344" s="2">
        <v>4</v>
      </c>
      <c r="D344" s="2">
        <v>291</v>
      </c>
      <c r="E344" s="2">
        <v>19</v>
      </c>
      <c r="F344" s="2">
        <v>32441</v>
      </c>
      <c r="G344" s="2">
        <v>23.469705189999999</v>
      </c>
      <c r="H344" s="3">
        <v>4.74E-5</v>
      </c>
      <c r="I344" s="2" t="s">
        <v>44357</v>
      </c>
      <c r="J344" s="2" t="s">
        <v>44358</v>
      </c>
      <c r="K344" s="2">
        <v>6.8229300000000005E-4</v>
      </c>
      <c r="L344" s="2" t="s">
        <v>35</v>
      </c>
      <c r="M344" s="4" t="s">
        <v>44359</v>
      </c>
    </row>
    <row r="345" spans="1:13">
      <c r="A345" s="2">
        <v>2426</v>
      </c>
      <c r="B345" s="2" t="s">
        <v>36420</v>
      </c>
      <c r="C345" s="2">
        <v>9</v>
      </c>
      <c r="D345" s="2">
        <v>291</v>
      </c>
      <c r="E345" s="2">
        <v>179</v>
      </c>
      <c r="F345" s="2">
        <v>32441</v>
      </c>
      <c r="G345" s="2">
        <v>5.605194955</v>
      </c>
      <c r="H345" s="3">
        <v>5.1E-5</v>
      </c>
      <c r="I345" s="2" t="s">
        <v>44360</v>
      </c>
      <c r="J345" s="2" t="s">
        <v>44361</v>
      </c>
      <c r="K345" s="2">
        <v>7.3145999999999997E-4</v>
      </c>
      <c r="L345" s="2" t="s">
        <v>35</v>
      </c>
      <c r="M345" s="4" t="s">
        <v>36423</v>
      </c>
    </row>
    <row r="346" spans="1:13">
      <c r="A346" s="2">
        <v>1729</v>
      </c>
      <c r="B346" s="2" t="s">
        <v>5115</v>
      </c>
      <c r="C346" s="2">
        <v>13</v>
      </c>
      <c r="D346" s="2">
        <v>291</v>
      </c>
      <c r="E346" s="2">
        <v>378</v>
      </c>
      <c r="F346" s="2">
        <v>32441</v>
      </c>
      <c r="G346" s="2">
        <v>3.8340060729999998</v>
      </c>
      <c r="H346" s="3">
        <v>5.49E-5</v>
      </c>
      <c r="I346" s="2" t="s">
        <v>44362</v>
      </c>
      <c r="J346" s="2" t="s">
        <v>44363</v>
      </c>
      <c r="K346" s="2">
        <v>7.8496000000000002E-4</v>
      </c>
      <c r="L346" s="2" t="s">
        <v>35</v>
      </c>
      <c r="M346" s="4" t="s">
        <v>5118</v>
      </c>
    </row>
    <row r="347" spans="1:13">
      <c r="A347" s="2">
        <v>4078</v>
      </c>
      <c r="B347" s="2" t="s">
        <v>44364</v>
      </c>
      <c r="C347" s="2">
        <v>15</v>
      </c>
      <c r="D347" s="2">
        <v>291</v>
      </c>
      <c r="E347" s="2">
        <v>491</v>
      </c>
      <c r="F347" s="2">
        <v>32441</v>
      </c>
      <c r="G347" s="2">
        <v>3.4057362420000001</v>
      </c>
      <c r="H347" s="3">
        <v>5.5099999999999998E-5</v>
      </c>
      <c r="I347" s="2" t="s">
        <v>44365</v>
      </c>
      <c r="J347" s="2" t="s">
        <v>44366</v>
      </c>
      <c r="K347" s="2">
        <v>7.8498800000000003E-4</v>
      </c>
      <c r="L347" s="2" t="s">
        <v>35</v>
      </c>
      <c r="M347" s="4" t="s">
        <v>44367</v>
      </c>
    </row>
    <row r="348" spans="1:13">
      <c r="A348" s="2">
        <v>1404</v>
      </c>
      <c r="B348" s="2" t="s">
        <v>44368</v>
      </c>
      <c r="C348" s="2">
        <v>6</v>
      </c>
      <c r="D348" s="2">
        <v>291</v>
      </c>
      <c r="E348" s="2">
        <v>69</v>
      </c>
      <c r="F348" s="2">
        <v>32441</v>
      </c>
      <c r="G348" s="2">
        <v>9.6940086660000002</v>
      </c>
      <c r="H348" s="3">
        <v>5.6499999999999998E-5</v>
      </c>
      <c r="I348" s="2" t="s">
        <v>44369</v>
      </c>
      <c r="J348" s="2" t="s">
        <v>44370</v>
      </c>
      <c r="K348" s="2">
        <v>7.9856199999999995E-4</v>
      </c>
      <c r="L348" s="2" t="s">
        <v>35</v>
      </c>
      <c r="M348" s="4" t="s">
        <v>44371</v>
      </c>
    </row>
    <row r="349" spans="1:13">
      <c r="A349" s="2">
        <v>3330</v>
      </c>
      <c r="B349" s="2" t="s">
        <v>44372</v>
      </c>
      <c r="C349" s="2">
        <v>4</v>
      </c>
      <c r="D349" s="2">
        <v>291</v>
      </c>
      <c r="E349" s="2">
        <v>20</v>
      </c>
      <c r="F349" s="2">
        <v>32441</v>
      </c>
      <c r="G349" s="2">
        <v>22.296219929999999</v>
      </c>
      <c r="H349" s="3">
        <v>5.6499999999999998E-5</v>
      </c>
      <c r="I349" s="2" t="s">
        <v>44373</v>
      </c>
      <c r="J349" s="2" t="s">
        <v>44374</v>
      </c>
      <c r="K349" s="2">
        <v>7.9856199999999995E-4</v>
      </c>
      <c r="L349" s="2" t="s">
        <v>35</v>
      </c>
      <c r="M349" s="4" t="s">
        <v>44375</v>
      </c>
    </row>
    <row r="350" spans="1:13">
      <c r="A350" s="2">
        <v>3544</v>
      </c>
      <c r="B350" s="2" t="s">
        <v>44376</v>
      </c>
      <c r="C350" s="2">
        <v>4</v>
      </c>
      <c r="D350" s="2">
        <v>291</v>
      </c>
      <c r="E350" s="2">
        <v>20</v>
      </c>
      <c r="F350" s="2">
        <v>32441</v>
      </c>
      <c r="G350" s="2">
        <v>22.296219929999999</v>
      </c>
      <c r="H350" s="3">
        <v>5.6499999999999998E-5</v>
      </c>
      <c r="I350" s="2" t="s">
        <v>44377</v>
      </c>
      <c r="J350" s="2" t="s">
        <v>44378</v>
      </c>
      <c r="K350" s="2">
        <v>7.9856199999999995E-4</v>
      </c>
      <c r="L350" s="2" t="s">
        <v>35</v>
      </c>
      <c r="M350" s="4" t="s">
        <v>44379</v>
      </c>
    </row>
    <row r="351" spans="1:13">
      <c r="A351" s="2">
        <v>1746</v>
      </c>
      <c r="B351" s="2" t="s">
        <v>5421</v>
      </c>
      <c r="C351" s="2">
        <v>16</v>
      </c>
      <c r="D351" s="2">
        <v>291</v>
      </c>
      <c r="E351" s="2">
        <v>552</v>
      </c>
      <c r="F351" s="2">
        <v>32441</v>
      </c>
      <c r="G351" s="2">
        <v>3.2313362219999999</v>
      </c>
      <c r="H351" s="3">
        <v>5.7099999999999999E-5</v>
      </c>
      <c r="I351" s="2" t="s">
        <v>44380</v>
      </c>
      <c r="J351" s="2" t="s">
        <v>44381</v>
      </c>
      <c r="K351" s="2">
        <v>8.0411299999999996E-4</v>
      </c>
      <c r="L351" s="2" t="s">
        <v>35</v>
      </c>
      <c r="M351" s="4" t="s">
        <v>5424</v>
      </c>
    </row>
    <row r="352" spans="1:13">
      <c r="A352" s="2">
        <v>3080</v>
      </c>
      <c r="B352" s="2" t="s">
        <v>44382</v>
      </c>
      <c r="C352" s="2">
        <v>7</v>
      </c>
      <c r="D352" s="2">
        <v>291</v>
      </c>
      <c r="E352" s="2">
        <v>103</v>
      </c>
      <c r="F352" s="2">
        <v>32441</v>
      </c>
      <c r="G352" s="2">
        <v>7.5763854139999998</v>
      </c>
      <c r="H352" s="3">
        <v>5.9500000000000003E-5</v>
      </c>
      <c r="I352" s="2" t="s">
        <v>44383</v>
      </c>
      <c r="J352" s="2" t="s">
        <v>44384</v>
      </c>
      <c r="K352" s="2">
        <v>8.3606100000000003E-4</v>
      </c>
      <c r="L352" s="2" t="s">
        <v>35</v>
      </c>
      <c r="M352" s="4" t="s">
        <v>44385</v>
      </c>
    </row>
    <row r="353" spans="1:13">
      <c r="A353" s="2">
        <v>162</v>
      </c>
      <c r="B353" s="2" t="s">
        <v>35944</v>
      </c>
      <c r="C353" s="2">
        <v>12</v>
      </c>
      <c r="D353" s="2">
        <v>291</v>
      </c>
      <c r="E353" s="2">
        <v>328</v>
      </c>
      <c r="F353" s="2">
        <v>32441</v>
      </c>
      <c r="G353" s="2">
        <v>4.0785768170000001</v>
      </c>
      <c r="H353" s="3">
        <v>6.02E-5</v>
      </c>
      <c r="I353" s="2" t="s">
        <v>44386</v>
      </c>
      <c r="J353" s="2" t="s">
        <v>44387</v>
      </c>
      <c r="K353" s="2">
        <v>8.4246099999999997E-4</v>
      </c>
      <c r="L353" s="2" t="s">
        <v>35</v>
      </c>
      <c r="M353" s="4" t="s">
        <v>35947</v>
      </c>
    </row>
    <row r="354" spans="1:13">
      <c r="A354" s="2">
        <v>3605</v>
      </c>
      <c r="B354" s="2" t="s">
        <v>44388</v>
      </c>
      <c r="C354" s="2">
        <v>5</v>
      </c>
      <c r="D354" s="2">
        <v>291</v>
      </c>
      <c r="E354" s="2">
        <v>42</v>
      </c>
      <c r="F354" s="2">
        <v>32441</v>
      </c>
      <c r="G354" s="2">
        <v>13.271559480000001</v>
      </c>
      <c r="H354" s="3">
        <v>6.0600000000000003E-5</v>
      </c>
      <c r="I354" s="2" t="s">
        <v>44389</v>
      </c>
      <c r="J354" s="2" t="s">
        <v>44390</v>
      </c>
      <c r="K354" s="2">
        <v>8.4678100000000001E-4</v>
      </c>
      <c r="L354" s="2" t="s">
        <v>35</v>
      </c>
      <c r="M354" s="4" t="s">
        <v>44391</v>
      </c>
    </row>
    <row r="355" spans="1:13">
      <c r="A355" s="2">
        <v>3953</v>
      </c>
      <c r="B355" s="2" t="s">
        <v>44392</v>
      </c>
      <c r="C355" s="2">
        <v>8</v>
      </c>
      <c r="D355" s="2">
        <v>291</v>
      </c>
      <c r="E355" s="2">
        <v>142</v>
      </c>
      <c r="F355" s="2">
        <v>32441</v>
      </c>
      <c r="G355" s="2">
        <v>6.2806253329999997</v>
      </c>
      <c r="H355" s="3">
        <v>6.2700000000000006E-5</v>
      </c>
      <c r="I355" s="2" t="s">
        <v>44393</v>
      </c>
      <c r="J355" s="2" t="s">
        <v>44394</v>
      </c>
      <c r="K355" s="2">
        <v>8.7248600000000001E-4</v>
      </c>
      <c r="L355" s="2" t="s">
        <v>35</v>
      </c>
      <c r="M355" s="4" t="s">
        <v>44395</v>
      </c>
    </row>
    <row r="356" spans="1:13">
      <c r="A356" s="2">
        <v>1569</v>
      </c>
      <c r="B356" s="2" t="s">
        <v>6018</v>
      </c>
      <c r="C356" s="2">
        <v>9</v>
      </c>
      <c r="D356" s="2">
        <v>291</v>
      </c>
      <c r="E356" s="2">
        <v>185</v>
      </c>
      <c r="F356" s="2">
        <v>32441</v>
      </c>
      <c r="G356" s="2">
        <v>5.4234048479999997</v>
      </c>
      <c r="H356" s="3">
        <v>6.4999999999999994E-5</v>
      </c>
      <c r="I356" s="2" t="s">
        <v>44396</v>
      </c>
      <c r="J356" s="2" t="s">
        <v>44397</v>
      </c>
      <c r="K356" s="2">
        <v>9.02439E-4</v>
      </c>
      <c r="L356" s="2" t="s">
        <v>35</v>
      </c>
      <c r="M356" s="4" t="s">
        <v>6021</v>
      </c>
    </row>
    <row r="357" spans="1:13">
      <c r="A357" s="2">
        <v>2912</v>
      </c>
      <c r="B357" s="2" t="s">
        <v>44398</v>
      </c>
      <c r="C357" s="2">
        <v>6</v>
      </c>
      <c r="D357" s="2">
        <v>291</v>
      </c>
      <c r="E357" s="2">
        <v>72</v>
      </c>
      <c r="F357" s="2">
        <v>32441</v>
      </c>
      <c r="G357" s="2">
        <v>9.2900916379999998</v>
      </c>
      <c r="H357" s="3">
        <v>7.0400000000000004E-5</v>
      </c>
      <c r="I357" s="2" t="s">
        <v>44399</v>
      </c>
      <c r="J357" s="2" t="s">
        <v>44400</v>
      </c>
      <c r="K357" s="2">
        <v>9.7473299999999998E-4</v>
      </c>
      <c r="L357" s="2" t="s">
        <v>35</v>
      </c>
      <c r="M357" s="4" t="s">
        <v>44401</v>
      </c>
    </row>
    <row r="358" spans="1:13">
      <c r="A358" s="2">
        <v>3187</v>
      </c>
      <c r="B358" s="2" t="s">
        <v>4537</v>
      </c>
      <c r="C358" s="2">
        <v>7</v>
      </c>
      <c r="D358" s="2">
        <v>291</v>
      </c>
      <c r="E358" s="2">
        <v>106</v>
      </c>
      <c r="F358" s="2">
        <v>32441</v>
      </c>
      <c r="G358" s="2">
        <v>7.361959411</v>
      </c>
      <c r="H358" s="3">
        <v>7.0599999999999995E-5</v>
      </c>
      <c r="I358" s="2" t="s">
        <v>44402</v>
      </c>
      <c r="J358" s="2" t="s">
        <v>44403</v>
      </c>
      <c r="K358" s="2">
        <v>9.7473299999999998E-4</v>
      </c>
      <c r="L358" s="2" t="s">
        <v>35</v>
      </c>
      <c r="M358" s="4" t="s">
        <v>4540</v>
      </c>
    </row>
    <row r="359" spans="1:13">
      <c r="A359" s="2">
        <v>4237</v>
      </c>
      <c r="B359" s="2" t="s">
        <v>44404</v>
      </c>
      <c r="C359" s="2">
        <v>14</v>
      </c>
      <c r="D359" s="2">
        <v>291</v>
      </c>
      <c r="E359" s="2">
        <v>445</v>
      </c>
      <c r="F359" s="2">
        <v>32441</v>
      </c>
      <c r="G359" s="2">
        <v>3.507270551</v>
      </c>
      <c r="H359" s="3">
        <v>7.2000000000000002E-5</v>
      </c>
      <c r="I359" s="2" t="s">
        <v>44405</v>
      </c>
      <c r="J359" s="2" t="s">
        <v>44406</v>
      </c>
      <c r="K359" s="2">
        <v>9.9102700000000001E-4</v>
      </c>
      <c r="L359" s="2" t="s">
        <v>35</v>
      </c>
      <c r="M359" s="4" t="s">
        <v>44407</v>
      </c>
    </row>
    <row r="360" spans="1:13">
      <c r="A360" s="2">
        <v>2851</v>
      </c>
      <c r="B360" s="2" t="s">
        <v>34839</v>
      </c>
      <c r="C360" s="2">
        <v>10</v>
      </c>
      <c r="D360" s="2">
        <v>291</v>
      </c>
      <c r="E360" s="2">
        <v>234</v>
      </c>
      <c r="F360" s="2">
        <v>32441</v>
      </c>
      <c r="G360" s="2">
        <v>4.7641495579999997</v>
      </c>
      <c r="H360" s="3">
        <v>7.2899999999999997E-5</v>
      </c>
      <c r="I360" s="2" t="s">
        <v>44408</v>
      </c>
      <c r="J360" s="2" t="s">
        <v>44409</v>
      </c>
      <c r="K360" s="2">
        <v>9.9997100000000011E-4</v>
      </c>
      <c r="L360" s="2" t="s">
        <v>35</v>
      </c>
      <c r="M360" s="4" t="s">
        <v>34842</v>
      </c>
    </row>
    <row r="361" spans="1:13">
      <c r="A361" s="2">
        <v>1504</v>
      </c>
      <c r="B361" s="2" t="s">
        <v>35535</v>
      </c>
      <c r="C361" s="2">
        <v>5</v>
      </c>
      <c r="D361" s="2">
        <v>291</v>
      </c>
      <c r="E361" s="2">
        <v>44</v>
      </c>
      <c r="F361" s="2">
        <v>32441</v>
      </c>
      <c r="G361" s="2">
        <v>12.66830678</v>
      </c>
      <c r="H361" s="3">
        <v>7.4300000000000004E-5</v>
      </c>
      <c r="I361" s="2" t="s">
        <v>44410</v>
      </c>
      <c r="J361" s="2" t="s">
        <v>44411</v>
      </c>
      <c r="K361" s="2">
        <v>1.0137220000000001E-3</v>
      </c>
      <c r="L361" s="2" t="s">
        <v>35</v>
      </c>
      <c r="M361" s="4" t="s">
        <v>35538</v>
      </c>
    </row>
    <row r="362" spans="1:13">
      <c r="A362" s="2">
        <v>3881</v>
      </c>
      <c r="B362" s="2" t="s">
        <v>44412</v>
      </c>
      <c r="C362" s="2">
        <v>5</v>
      </c>
      <c r="D362" s="2">
        <v>291</v>
      </c>
      <c r="E362" s="2">
        <v>44</v>
      </c>
      <c r="F362" s="2">
        <v>32441</v>
      </c>
      <c r="G362" s="2">
        <v>12.66830678</v>
      </c>
      <c r="H362" s="3">
        <v>7.4300000000000004E-5</v>
      </c>
      <c r="I362" s="2" t="s">
        <v>44413</v>
      </c>
      <c r="J362" s="2" t="s">
        <v>44414</v>
      </c>
      <c r="K362" s="2">
        <v>1.0137220000000001E-3</v>
      </c>
      <c r="L362" s="2" t="s">
        <v>35</v>
      </c>
      <c r="M362" s="4" t="s">
        <v>44415</v>
      </c>
    </row>
    <row r="363" spans="1:13">
      <c r="A363" s="2">
        <v>3862</v>
      </c>
      <c r="B363" s="2" t="s">
        <v>4222</v>
      </c>
      <c r="C363" s="2">
        <v>12</v>
      </c>
      <c r="D363" s="2">
        <v>291</v>
      </c>
      <c r="E363" s="2">
        <v>338</v>
      </c>
      <c r="F363" s="2">
        <v>32441</v>
      </c>
      <c r="G363" s="2">
        <v>3.9579088640000002</v>
      </c>
      <c r="H363" s="3">
        <v>7.9200000000000001E-5</v>
      </c>
      <c r="I363" s="2" t="s">
        <v>44416</v>
      </c>
      <c r="J363" s="2" t="s">
        <v>44417</v>
      </c>
      <c r="K363" s="2">
        <v>1.077721E-3</v>
      </c>
      <c r="L363" s="2" t="s">
        <v>35</v>
      </c>
      <c r="M363" s="4" t="s">
        <v>4225</v>
      </c>
    </row>
    <row r="364" spans="1:13">
      <c r="A364" s="2">
        <v>3939</v>
      </c>
      <c r="B364" s="2" t="s">
        <v>44418</v>
      </c>
      <c r="C364" s="2">
        <v>3</v>
      </c>
      <c r="D364" s="2">
        <v>291</v>
      </c>
      <c r="E364" s="2">
        <v>7</v>
      </c>
      <c r="F364" s="2">
        <v>32441</v>
      </c>
      <c r="G364" s="2">
        <v>47.777614139999997</v>
      </c>
      <c r="H364" s="3">
        <v>7.9699999999999999E-5</v>
      </c>
      <c r="I364" s="2" t="s">
        <v>44419</v>
      </c>
      <c r="J364" s="2" t="s">
        <v>44420</v>
      </c>
      <c r="K364" s="2">
        <v>1.0811110000000001E-3</v>
      </c>
      <c r="L364" s="2" t="s">
        <v>35</v>
      </c>
      <c r="M364" s="4" t="s">
        <v>44421</v>
      </c>
    </row>
    <row r="365" spans="1:13">
      <c r="A365" s="2">
        <v>2174</v>
      </c>
      <c r="B365" s="2" t="s">
        <v>44422</v>
      </c>
      <c r="C365" s="2">
        <v>5</v>
      </c>
      <c r="D365" s="2">
        <v>291</v>
      </c>
      <c r="E365" s="2">
        <v>45</v>
      </c>
      <c r="F365" s="2">
        <v>32441</v>
      </c>
      <c r="G365" s="2">
        <v>12.38678885</v>
      </c>
      <c r="H365" s="3">
        <v>8.2000000000000001E-5</v>
      </c>
      <c r="I365" s="2" t="s">
        <v>44423</v>
      </c>
      <c r="J365" s="2" t="s">
        <v>44424</v>
      </c>
      <c r="K365" s="2">
        <v>1.1086939999999999E-3</v>
      </c>
      <c r="L365" s="2" t="s">
        <v>35</v>
      </c>
      <c r="M365" s="4" t="s">
        <v>44425</v>
      </c>
    </row>
    <row r="366" spans="1:13">
      <c r="A366" s="2">
        <v>1594</v>
      </c>
      <c r="B366" s="2" t="s">
        <v>5354</v>
      </c>
      <c r="C366" s="2">
        <v>10</v>
      </c>
      <c r="D366" s="2">
        <v>291</v>
      </c>
      <c r="E366" s="2">
        <v>238</v>
      </c>
      <c r="F366" s="2">
        <v>32441</v>
      </c>
      <c r="G366" s="2">
        <v>4.6840798169999998</v>
      </c>
      <c r="H366" s="3">
        <v>8.3399999999999994E-5</v>
      </c>
      <c r="I366" s="2" t="s">
        <v>44426</v>
      </c>
      <c r="J366" s="2" t="s">
        <v>44427</v>
      </c>
      <c r="K366" s="2">
        <v>1.124674E-3</v>
      </c>
      <c r="L366" s="2" t="s">
        <v>35</v>
      </c>
      <c r="M366" s="4" t="s">
        <v>5357</v>
      </c>
    </row>
    <row r="367" spans="1:13">
      <c r="A367" s="2">
        <v>2315</v>
      </c>
      <c r="B367" s="2" t="s">
        <v>35004</v>
      </c>
      <c r="C367" s="2">
        <v>17</v>
      </c>
      <c r="D367" s="2">
        <v>291</v>
      </c>
      <c r="E367" s="2">
        <v>637</v>
      </c>
      <c r="F367" s="2">
        <v>32441</v>
      </c>
      <c r="G367" s="2">
        <v>2.9751627850000002</v>
      </c>
      <c r="H367" s="3">
        <v>8.9699999999999998E-5</v>
      </c>
      <c r="I367" s="2" t="s">
        <v>44428</v>
      </c>
      <c r="J367" s="2" t="s">
        <v>44429</v>
      </c>
      <c r="K367" s="2">
        <v>1.207313E-3</v>
      </c>
      <c r="L367" s="2" t="s">
        <v>35</v>
      </c>
      <c r="M367" s="4" t="s">
        <v>35007</v>
      </c>
    </row>
    <row r="368" spans="1:13">
      <c r="A368" s="2">
        <v>2359</v>
      </c>
      <c r="B368" s="2" t="s">
        <v>42406</v>
      </c>
      <c r="C368" s="2">
        <v>5</v>
      </c>
      <c r="D368" s="2">
        <v>291</v>
      </c>
      <c r="E368" s="2">
        <v>46</v>
      </c>
      <c r="F368" s="2">
        <v>32441</v>
      </c>
      <c r="G368" s="2">
        <v>12.117510830000001</v>
      </c>
      <c r="H368" s="3">
        <v>9.0199999999999997E-5</v>
      </c>
      <c r="I368" s="2" t="s">
        <v>44430</v>
      </c>
      <c r="J368" s="2" t="s">
        <v>44431</v>
      </c>
      <c r="K368" s="2">
        <v>1.2100170000000001E-3</v>
      </c>
      <c r="L368" s="2" t="s">
        <v>35</v>
      </c>
      <c r="M368" s="4" t="s">
        <v>42409</v>
      </c>
    </row>
    <row r="369" spans="1:13">
      <c r="A369" s="2">
        <v>4717</v>
      </c>
      <c r="B369" s="2" t="s">
        <v>5099</v>
      </c>
      <c r="C369" s="2">
        <v>12</v>
      </c>
      <c r="D369" s="2">
        <v>291</v>
      </c>
      <c r="E369" s="2">
        <v>344</v>
      </c>
      <c r="F369" s="2">
        <v>32441</v>
      </c>
      <c r="G369" s="2">
        <v>3.8888755690000001</v>
      </c>
      <c r="H369" s="3">
        <v>9.2999999999999997E-5</v>
      </c>
      <c r="I369" s="2" t="s">
        <v>44432</v>
      </c>
      <c r="J369" s="2" t="s">
        <v>44433</v>
      </c>
      <c r="K369" s="2">
        <v>1.2437489999999999E-3</v>
      </c>
      <c r="L369" s="2" t="s">
        <v>35</v>
      </c>
      <c r="M369" s="4" t="s">
        <v>5102</v>
      </c>
    </row>
    <row r="370" spans="1:13">
      <c r="A370" s="2">
        <v>2841</v>
      </c>
      <c r="B370" s="2" t="s">
        <v>6014</v>
      </c>
      <c r="C370" s="2">
        <v>5</v>
      </c>
      <c r="D370" s="2">
        <v>291</v>
      </c>
      <c r="E370" s="2">
        <v>47</v>
      </c>
      <c r="F370" s="2">
        <v>32441</v>
      </c>
      <c r="G370" s="2">
        <v>11.85969145</v>
      </c>
      <c r="H370" s="3">
        <v>9.9099999999999996E-5</v>
      </c>
      <c r="I370" s="2" t="s">
        <v>44434</v>
      </c>
      <c r="J370" s="2" t="s">
        <v>44435</v>
      </c>
      <c r="K370" s="2">
        <v>1.321633E-3</v>
      </c>
      <c r="L370" s="2" t="s">
        <v>35</v>
      </c>
      <c r="M370" s="4" t="s">
        <v>6017</v>
      </c>
    </row>
    <row r="371" spans="1:13">
      <c r="A371" s="2">
        <v>2377</v>
      </c>
      <c r="B371" s="2" t="s">
        <v>44436</v>
      </c>
      <c r="C371" s="2">
        <v>6</v>
      </c>
      <c r="D371" s="2">
        <v>291</v>
      </c>
      <c r="E371" s="2">
        <v>77</v>
      </c>
      <c r="F371" s="2">
        <v>32441</v>
      </c>
      <c r="G371" s="2">
        <v>8.6868389340000007</v>
      </c>
      <c r="H371" s="3">
        <v>9.9699999999999998E-5</v>
      </c>
      <c r="I371" s="2" t="s">
        <v>44437</v>
      </c>
      <c r="J371" s="2" t="s">
        <v>44438</v>
      </c>
      <c r="K371" s="2">
        <v>1.326476E-3</v>
      </c>
      <c r="L371" s="2" t="s">
        <v>35</v>
      </c>
      <c r="M371" s="4" t="s">
        <v>44439</v>
      </c>
    </row>
    <row r="372" spans="1:13">
      <c r="A372" s="2">
        <v>2171</v>
      </c>
      <c r="B372" s="2" t="s">
        <v>44440</v>
      </c>
      <c r="C372" s="2">
        <v>4</v>
      </c>
      <c r="D372" s="2">
        <v>291</v>
      </c>
      <c r="E372" s="2">
        <v>24</v>
      </c>
      <c r="F372" s="2">
        <v>32441</v>
      </c>
      <c r="G372" s="2">
        <v>18.58018328</v>
      </c>
      <c r="H372" s="2">
        <v>1.05888E-4</v>
      </c>
      <c r="I372" s="2" t="s">
        <v>44441</v>
      </c>
      <c r="J372" s="2" t="s">
        <v>44442</v>
      </c>
      <c r="K372" s="2">
        <v>1.40066E-3</v>
      </c>
      <c r="L372" s="2" t="s">
        <v>35</v>
      </c>
      <c r="M372" s="4" t="s">
        <v>44443</v>
      </c>
    </row>
    <row r="373" spans="1:13">
      <c r="A373" s="2">
        <v>2475</v>
      </c>
      <c r="B373" s="2" t="s">
        <v>44444</v>
      </c>
      <c r="C373" s="2">
        <v>4</v>
      </c>
      <c r="D373" s="2">
        <v>291</v>
      </c>
      <c r="E373" s="2">
        <v>24</v>
      </c>
      <c r="F373" s="2">
        <v>32441</v>
      </c>
      <c r="G373" s="2">
        <v>18.58018328</v>
      </c>
      <c r="H373" s="2">
        <v>1.05888E-4</v>
      </c>
      <c r="I373" s="2" t="s">
        <v>44445</v>
      </c>
      <c r="J373" s="2" t="s">
        <v>44446</v>
      </c>
      <c r="K373" s="2">
        <v>1.40066E-3</v>
      </c>
      <c r="L373" s="2" t="s">
        <v>35</v>
      </c>
      <c r="M373" s="4" t="s">
        <v>44447</v>
      </c>
    </row>
    <row r="374" spans="1:13">
      <c r="A374" s="2">
        <v>1725</v>
      </c>
      <c r="B374" s="2" t="s">
        <v>44448</v>
      </c>
      <c r="C374" s="2">
        <v>5</v>
      </c>
      <c r="D374" s="2">
        <v>291</v>
      </c>
      <c r="E374" s="2">
        <v>48</v>
      </c>
      <c r="F374" s="2">
        <v>32441</v>
      </c>
      <c r="G374" s="2">
        <v>11.61261455</v>
      </c>
      <c r="H374" s="2">
        <v>1.08612E-4</v>
      </c>
      <c r="I374" s="2" t="s">
        <v>44449</v>
      </c>
      <c r="J374" s="2" t="s">
        <v>44450</v>
      </c>
      <c r="K374" s="2">
        <v>1.431872E-3</v>
      </c>
      <c r="L374" s="2" t="s">
        <v>35</v>
      </c>
      <c r="M374" s="4" t="s">
        <v>44451</v>
      </c>
    </row>
    <row r="375" spans="1:13">
      <c r="A375" s="2">
        <v>3569</v>
      </c>
      <c r="B375" s="2" t="s">
        <v>44452</v>
      </c>
      <c r="C375" s="2">
        <v>3</v>
      </c>
      <c r="D375" s="2">
        <v>291</v>
      </c>
      <c r="E375" s="2">
        <v>8</v>
      </c>
      <c r="F375" s="2">
        <v>32441</v>
      </c>
      <c r="G375" s="2">
        <v>41.805412369999999</v>
      </c>
      <c r="H375" s="2">
        <v>1.08849E-4</v>
      </c>
      <c r="I375" s="2" t="s">
        <v>44453</v>
      </c>
      <c r="J375" s="2" t="s">
        <v>44454</v>
      </c>
      <c r="K375" s="2">
        <v>1.431872E-3</v>
      </c>
      <c r="L375" s="2" t="s">
        <v>35</v>
      </c>
      <c r="M375" s="4" t="s">
        <v>44455</v>
      </c>
    </row>
    <row r="376" spans="1:13">
      <c r="A376" s="2">
        <v>3590</v>
      </c>
      <c r="B376" s="2" t="s">
        <v>34946</v>
      </c>
      <c r="C376" s="2">
        <v>17</v>
      </c>
      <c r="D376" s="2">
        <v>291</v>
      </c>
      <c r="E376" s="2">
        <v>648</v>
      </c>
      <c r="F376" s="2">
        <v>32441</v>
      </c>
      <c r="G376" s="2">
        <v>2.9246584790000001</v>
      </c>
      <c r="H376" s="2">
        <v>1.09616E-4</v>
      </c>
      <c r="I376" s="2" t="s">
        <v>44456</v>
      </c>
      <c r="J376" s="2" t="s">
        <v>44457</v>
      </c>
      <c r="K376" s="2">
        <v>1.4379869999999999E-3</v>
      </c>
      <c r="L376" s="2" t="s">
        <v>35</v>
      </c>
      <c r="M376" s="4" t="s">
        <v>34949</v>
      </c>
    </row>
    <row r="377" spans="1:13">
      <c r="A377" s="2">
        <v>4592</v>
      </c>
      <c r="B377" s="2" t="s">
        <v>44458</v>
      </c>
      <c r="C377" s="2">
        <v>9</v>
      </c>
      <c r="D377" s="2">
        <v>291</v>
      </c>
      <c r="E377" s="2">
        <v>199</v>
      </c>
      <c r="F377" s="2">
        <v>32441</v>
      </c>
      <c r="G377" s="2">
        <v>5.0418587779999999</v>
      </c>
      <c r="H377" s="2">
        <v>1.10683E-4</v>
      </c>
      <c r="I377" s="2" t="s">
        <v>44459</v>
      </c>
      <c r="J377" s="2" t="s">
        <v>44460</v>
      </c>
      <c r="K377" s="2">
        <v>1.448003E-3</v>
      </c>
      <c r="L377" s="2" t="s">
        <v>35</v>
      </c>
      <c r="M377" s="4" t="s">
        <v>44461</v>
      </c>
    </row>
    <row r="378" spans="1:13">
      <c r="A378" s="2">
        <v>4073</v>
      </c>
      <c r="B378" s="2" t="s">
        <v>4763</v>
      </c>
      <c r="C378" s="2">
        <v>12</v>
      </c>
      <c r="D378" s="2">
        <v>291</v>
      </c>
      <c r="E378" s="2">
        <v>351</v>
      </c>
      <c r="F378" s="2">
        <v>32441</v>
      </c>
      <c r="G378" s="2">
        <v>3.8113196459999998</v>
      </c>
      <c r="H378" s="2">
        <v>1.11605E-4</v>
      </c>
      <c r="I378" s="2" t="s">
        <v>44462</v>
      </c>
      <c r="J378" s="2" t="s">
        <v>44463</v>
      </c>
      <c r="K378" s="2">
        <v>1.456059E-3</v>
      </c>
      <c r="L378" s="2" t="s">
        <v>35</v>
      </c>
      <c r="M378" s="4" t="s">
        <v>4766</v>
      </c>
    </row>
    <row r="379" spans="1:13">
      <c r="A379" s="2">
        <v>3022</v>
      </c>
      <c r="B379" s="2" t="s">
        <v>36716</v>
      </c>
      <c r="C379" s="2">
        <v>11</v>
      </c>
      <c r="D379" s="2">
        <v>291</v>
      </c>
      <c r="E379" s="2">
        <v>298</v>
      </c>
      <c r="F379" s="2">
        <v>32441</v>
      </c>
      <c r="G379" s="2">
        <v>4.1150741479999997</v>
      </c>
      <c r="H379" s="2">
        <v>1.1270899999999999E-4</v>
      </c>
      <c r="I379" s="2" t="s">
        <v>44464</v>
      </c>
      <c r="J379" s="2" t="s">
        <v>44465</v>
      </c>
      <c r="K379" s="2">
        <v>1.4664529999999999E-3</v>
      </c>
      <c r="L379" s="2" t="s">
        <v>35</v>
      </c>
      <c r="M379" s="4" t="s">
        <v>36719</v>
      </c>
    </row>
    <row r="380" spans="1:13">
      <c r="A380" s="2">
        <v>1824</v>
      </c>
      <c r="B380" s="2" t="s">
        <v>35936</v>
      </c>
      <c r="C380" s="2">
        <v>6</v>
      </c>
      <c r="D380" s="2">
        <v>291</v>
      </c>
      <c r="E380" s="2">
        <v>79</v>
      </c>
      <c r="F380" s="2">
        <v>32441</v>
      </c>
      <c r="G380" s="2">
        <v>8.4669189609999993</v>
      </c>
      <c r="H380" s="2">
        <v>1.1385E-4</v>
      </c>
      <c r="I380" s="2" t="s">
        <v>44466</v>
      </c>
      <c r="J380" s="2" t="s">
        <v>44467</v>
      </c>
      <c r="K380" s="2">
        <v>1.4772559999999999E-3</v>
      </c>
      <c r="L380" s="2" t="s">
        <v>35</v>
      </c>
      <c r="M380" s="4" t="s">
        <v>35939</v>
      </c>
    </row>
    <row r="381" spans="1:13">
      <c r="A381" s="2">
        <v>3307</v>
      </c>
      <c r="B381" s="2" t="s">
        <v>44468</v>
      </c>
      <c r="C381" s="2">
        <v>5</v>
      </c>
      <c r="D381" s="2">
        <v>291</v>
      </c>
      <c r="E381" s="2">
        <v>49</v>
      </c>
      <c r="F381" s="2">
        <v>32441</v>
      </c>
      <c r="G381" s="2">
        <v>11.37562241</v>
      </c>
      <c r="H381" s="2">
        <v>1.18831E-4</v>
      </c>
      <c r="I381" s="2" t="s">
        <v>44469</v>
      </c>
      <c r="J381" s="2" t="s">
        <v>44470</v>
      </c>
      <c r="K381" s="2">
        <v>1.537704E-3</v>
      </c>
      <c r="L381" s="2" t="s">
        <v>35</v>
      </c>
      <c r="M381" s="4" t="s">
        <v>44471</v>
      </c>
    </row>
    <row r="382" spans="1:13">
      <c r="A382" s="2">
        <v>4229</v>
      </c>
      <c r="B382" s="2" t="s">
        <v>5457</v>
      </c>
      <c r="C382" s="2">
        <v>18</v>
      </c>
      <c r="D382" s="2">
        <v>291</v>
      </c>
      <c r="E382" s="2">
        <v>718</v>
      </c>
      <c r="F382" s="2">
        <v>32441</v>
      </c>
      <c r="G382" s="2">
        <v>2.7947907989999998</v>
      </c>
      <c r="H382" s="2">
        <v>1.20111E-4</v>
      </c>
      <c r="I382" s="2" t="s">
        <v>44472</v>
      </c>
      <c r="J382" s="2" t="s">
        <v>44473</v>
      </c>
      <c r="K382" s="2">
        <v>1.5500449999999999E-3</v>
      </c>
      <c r="L382" s="2" t="s">
        <v>35</v>
      </c>
      <c r="M382" s="4" t="s">
        <v>5460</v>
      </c>
    </row>
    <row r="383" spans="1:13">
      <c r="A383" s="2">
        <v>599</v>
      </c>
      <c r="B383" s="2" t="s">
        <v>44474</v>
      </c>
      <c r="C383" s="2">
        <v>6</v>
      </c>
      <c r="D383" s="2">
        <v>291</v>
      </c>
      <c r="E383" s="2">
        <v>80</v>
      </c>
      <c r="F383" s="2">
        <v>32441</v>
      </c>
      <c r="G383" s="2">
        <v>8.3610824739999998</v>
      </c>
      <c r="H383" s="2">
        <v>1.2148500000000001E-4</v>
      </c>
      <c r="I383" s="2" t="s">
        <v>44475</v>
      </c>
      <c r="J383" s="2" t="s">
        <v>44476</v>
      </c>
      <c r="K383" s="2">
        <v>1.5572089999999999E-3</v>
      </c>
      <c r="L383" s="2" t="s">
        <v>35</v>
      </c>
      <c r="M383" s="4" t="s">
        <v>44477</v>
      </c>
    </row>
    <row r="384" spans="1:13">
      <c r="A384" s="2">
        <v>635</v>
      </c>
      <c r="B384" s="2" t="s">
        <v>44478</v>
      </c>
      <c r="C384" s="2">
        <v>4</v>
      </c>
      <c r="D384" s="2">
        <v>291</v>
      </c>
      <c r="E384" s="2">
        <v>25</v>
      </c>
      <c r="F384" s="2">
        <v>32441</v>
      </c>
      <c r="G384" s="2">
        <v>17.836975949999999</v>
      </c>
      <c r="H384" s="2">
        <v>1.2197399999999999E-4</v>
      </c>
      <c r="I384" s="2" t="s">
        <v>44479</v>
      </c>
      <c r="J384" s="2" t="s">
        <v>44480</v>
      </c>
      <c r="K384" s="2">
        <v>1.5572089999999999E-3</v>
      </c>
      <c r="L384" s="2" t="s">
        <v>35</v>
      </c>
      <c r="M384" s="4" t="s">
        <v>44481</v>
      </c>
    </row>
    <row r="385" spans="1:13">
      <c r="A385" s="2">
        <v>3202</v>
      </c>
      <c r="B385" s="2" t="s">
        <v>36631</v>
      </c>
      <c r="C385" s="2">
        <v>4</v>
      </c>
      <c r="D385" s="2">
        <v>291</v>
      </c>
      <c r="E385" s="2">
        <v>25</v>
      </c>
      <c r="F385" s="2">
        <v>32441</v>
      </c>
      <c r="G385" s="2">
        <v>17.836975949999999</v>
      </c>
      <c r="H385" s="2">
        <v>1.2197399999999999E-4</v>
      </c>
      <c r="I385" s="2" t="s">
        <v>44482</v>
      </c>
      <c r="J385" s="2" t="s">
        <v>44483</v>
      </c>
      <c r="K385" s="2">
        <v>1.5572089999999999E-3</v>
      </c>
      <c r="L385" s="2" t="s">
        <v>35</v>
      </c>
      <c r="M385" s="4" t="s">
        <v>36634</v>
      </c>
    </row>
    <row r="386" spans="1:13">
      <c r="A386" s="2">
        <v>3612</v>
      </c>
      <c r="B386" s="2" t="s">
        <v>5377</v>
      </c>
      <c r="C386" s="2">
        <v>6</v>
      </c>
      <c r="D386" s="2">
        <v>291</v>
      </c>
      <c r="E386" s="2">
        <v>80</v>
      </c>
      <c r="F386" s="2">
        <v>32441</v>
      </c>
      <c r="G386" s="2">
        <v>8.3610824739999998</v>
      </c>
      <c r="H386" s="2">
        <v>1.2148500000000001E-4</v>
      </c>
      <c r="I386" s="2" t="s">
        <v>44484</v>
      </c>
      <c r="J386" s="2" t="s">
        <v>44485</v>
      </c>
      <c r="K386" s="2">
        <v>1.5572089999999999E-3</v>
      </c>
      <c r="L386" s="2" t="s">
        <v>35</v>
      </c>
      <c r="M386" s="4" t="s">
        <v>5380</v>
      </c>
    </row>
    <row r="387" spans="1:13">
      <c r="A387" s="2">
        <v>133</v>
      </c>
      <c r="B387" s="2" t="s">
        <v>4752</v>
      </c>
      <c r="C387" s="2">
        <v>7</v>
      </c>
      <c r="D387" s="2">
        <v>291</v>
      </c>
      <c r="E387" s="2">
        <v>118</v>
      </c>
      <c r="F387" s="2">
        <v>32441</v>
      </c>
      <c r="G387" s="2">
        <v>6.6132855729999998</v>
      </c>
      <c r="H387" s="2">
        <v>1.3320500000000001E-4</v>
      </c>
      <c r="I387" s="2" t="s">
        <v>44486</v>
      </c>
      <c r="J387" s="2" t="s">
        <v>44487</v>
      </c>
      <c r="K387" s="2">
        <v>1.6960440000000001E-3</v>
      </c>
      <c r="L387" s="2" t="s">
        <v>35</v>
      </c>
      <c r="M387" s="4" t="s">
        <v>4755</v>
      </c>
    </row>
    <row r="388" spans="1:13">
      <c r="A388" s="2">
        <v>1320</v>
      </c>
      <c r="B388" s="2" t="s">
        <v>44488</v>
      </c>
      <c r="C388" s="2">
        <v>4</v>
      </c>
      <c r="D388" s="2">
        <v>291</v>
      </c>
      <c r="E388" s="2">
        <v>26</v>
      </c>
      <c r="F388" s="2">
        <v>32441</v>
      </c>
      <c r="G388" s="2">
        <v>17.150938409999998</v>
      </c>
      <c r="H388" s="2">
        <v>1.39758E-4</v>
      </c>
      <c r="I388" s="2" t="s">
        <v>44489</v>
      </c>
      <c r="J388" s="2" t="s">
        <v>44490</v>
      </c>
      <c r="K388" s="2">
        <v>1.774746E-3</v>
      </c>
      <c r="L388" s="2" t="s">
        <v>35</v>
      </c>
      <c r="M388" s="4" t="s">
        <v>44491</v>
      </c>
    </row>
    <row r="389" spans="1:13">
      <c r="A389" s="2">
        <v>3186</v>
      </c>
      <c r="B389" s="2" t="s">
        <v>44492</v>
      </c>
      <c r="C389" s="2">
        <v>5</v>
      </c>
      <c r="D389" s="2">
        <v>291</v>
      </c>
      <c r="E389" s="2">
        <v>51</v>
      </c>
      <c r="F389" s="2">
        <v>32441</v>
      </c>
      <c r="G389" s="2">
        <v>10.92951957</v>
      </c>
      <c r="H389" s="2">
        <v>1.4146699999999999E-4</v>
      </c>
      <c r="I389" s="2" t="s">
        <v>44493</v>
      </c>
      <c r="J389" s="2" t="s">
        <v>44494</v>
      </c>
      <c r="K389" s="2">
        <v>1.7821790000000001E-3</v>
      </c>
      <c r="L389" s="2" t="s">
        <v>35</v>
      </c>
      <c r="M389" s="4" t="s">
        <v>44495</v>
      </c>
    </row>
    <row r="390" spans="1:13">
      <c r="A390" s="2">
        <v>3954</v>
      </c>
      <c r="B390" s="2" t="s">
        <v>44496</v>
      </c>
      <c r="C390" s="2">
        <v>15</v>
      </c>
      <c r="D390" s="2">
        <v>291</v>
      </c>
      <c r="E390" s="2">
        <v>536</v>
      </c>
      <c r="F390" s="2">
        <v>32441</v>
      </c>
      <c r="G390" s="2">
        <v>3.1198068929999998</v>
      </c>
      <c r="H390" s="2">
        <v>1.40965E-4</v>
      </c>
      <c r="I390" s="2" t="s">
        <v>44497</v>
      </c>
      <c r="J390" s="2" t="s">
        <v>44498</v>
      </c>
      <c r="K390" s="2">
        <v>1.7821790000000001E-3</v>
      </c>
      <c r="L390" s="2" t="s">
        <v>35</v>
      </c>
      <c r="M390" s="4" t="s">
        <v>44499</v>
      </c>
    </row>
    <row r="391" spans="1:13">
      <c r="A391" s="2">
        <v>4700</v>
      </c>
      <c r="B391" s="2" t="s">
        <v>44500</v>
      </c>
      <c r="C391" s="2">
        <v>5</v>
      </c>
      <c r="D391" s="2">
        <v>291</v>
      </c>
      <c r="E391" s="2">
        <v>51</v>
      </c>
      <c r="F391" s="2">
        <v>32441</v>
      </c>
      <c r="G391" s="2">
        <v>10.92951957</v>
      </c>
      <c r="H391" s="2">
        <v>1.4146699999999999E-4</v>
      </c>
      <c r="I391" s="2" t="s">
        <v>44501</v>
      </c>
      <c r="J391" s="2" t="s">
        <v>44502</v>
      </c>
      <c r="K391" s="2">
        <v>1.7821790000000001E-3</v>
      </c>
      <c r="L391" s="2" t="s">
        <v>35</v>
      </c>
      <c r="M391" s="4" t="s">
        <v>44503</v>
      </c>
    </row>
    <row r="392" spans="1:13">
      <c r="A392" s="2">
        <v>4342</v>
      </c>
      <c r="B392" s="2" t="s">
        <v>44504</v>
      </c>
      <c r="C392" s="2">
        <v>9</v>
      </c>
      <c r="D392" s="2">
        <v>291</v>
      </c>
      <c r="E392" s="2">
        <v>207</v>
      </c>
      <c r="F392" s="2">
        <v>32441</v>
      </c>
      <c r="G392" s="2">
        <v>4.8470043330000001</v>
      </c>
      <c r="H392" s="2">
        <v>1.4714599999999999E-4</v>
      </c>
      <c r="I392" s="2" t="s">
        <v>44505</v>
      </c>
      <c r="J392" s="2" t="s">
        <v>44506</v>
      </c>
      <c r="K392" s="2">
        <v>1.8488339999999999E-3</v>
      </c>
      <c r="L392" s="2" t="s">
        <v>35</v>
      </c>
      <c r="M392" s="4" t="s">
        <v>44507</v>
      </c>
    </row>
    <row r="393" spans="1:13">
      <c r="A393" s="2">
        <v>4704</v>
      </c>
      <c r="B393" s="2" t="s">
        <v>24999</v>
      </c>
      <c r="C393" s="2">
        <v>33</v>
      </c>
      <c r="D393" s="2">
        <v>291</v>
      </c>
      <c r="E393" s="2">
        <v>1839</v>
      </c>
      <c r="F393" s="2">
        <v>32441</v>
      </c>
      <c r="G393" s="2">
        <v>2.0004765029999998</v>
      </c>
      <c r="H393" s="2">
        <v>1.4790300000000001E-4</v>
      </c>
      <c r="I393" s="2" t="s">
        <v>44508</v>
      </c>
      <c r="J393" s="2" t="s">
        <v>44509</v>
      </c>
      <c r="K393" s="2">
        <v>1.8534529999999999E-3</v>
      </c>
      <c r="L393" s="2" t="s">
        <v>35</v>
      </c>
      <c r="M393" s="4" t="s">
        <v>25002</v>
      </c>
    </row>
    <row r="394" spans="1:13">
      <c r="A394" s="2">
        <v>1288</v>
      </c>
      <c r="B394" s="2" t="s">
        <v>4625</v>
      </c>
      <c r="C394" s="2">
        <v>9</v>
      </c>
      <c r="D394" s="2">
        <v>291</v>
      </c>
      <c r="E394" s="2">
        <v>208</v>
      </c>
      <c r="F394" s="2">
        <v>32441</v>
      </c>
      <c r="G394" s="2">
        <v>4.8237014269999996</v>
      </c>
      <c r="H394" s="2">
        <v>1.52337E-4</v>
      </c>
      <c r="I394" s="2" t="s">
        <v>44510</v>
      </c>
      <c r="J394" s="2" t="s">
        <v>44511</v>
      </c>
      <c r="K394" s="2">
        <v>1.9040179999999999E-3</v>
      </c>
      <c r="L394" s="2" t="s">
        <v>35</v>
      </c>
      <c r="M394" s="4" t="s">
        <v>4628</v>
      </c>
    </row>
    <row r="395" spans="1:13">
      <c r="A395" s="2">
        <v>811</v>
      </c>
      <c r="B395" s="2" t="s">
        <v>44512</v>
      </c>
      <c r="C395" s="2">
        <v>5</v>
      </c>
      <c r="D395" s="2">
        <v>291</v>
      </c>
      <c r="E395" s="2">
        <v>52</v>
      </c>
      <c r="F395" s="2">
        <v>32441</v>
      </c>
      <c r="G395" s="2">
        <v>10.71933651</v>
      </c>
      <c r="H395" s="2">
        <v>1.5395099999999999E-4</v>
      </c>
      <c r="I395" s="2" t="s">
        <v>44176</v>
      </c>
      <c r="J395" s="2" t="s">
        <v>44177</v>
      </c>
      <c r="K395" s="2">
        <v>1.914135E-3</v>
      </c>
      <c r="L395" s="2" t="s">
        <v>35</v>
      </c>
      <c r="M395" s="4" t="s">
        <v>44513</v>
      </c>
    </row>
    <row r="396" spans="1:13">
      <c r="A396" s="2">
        <v>3015</v>
      </c>
      <c r="B396" s="2" t="s">
        <v>44514</v>
      </c>
      <c r="C396" s="2">
        <v>5</v>
      </c>
      <c r="D396" s="2">
        <v>291</v>
      </c>
      <c r="E396" s="2">
        <v>52</v>
      </c>
      <c r="F396" s="2">
        <v>32441</v>
      </c>
      <c r="G396" s="2">
        <v>10.71933651</v>
      </c>
      <c r="H396" s="2">
        <v>1.5395099999999999E-4</v>
      </c>
      <c r="I396" s="2" t="s">
        <v>44515</v>
      </c>
      <c r="J396" s="2" t="s">
        <v>44516</v>
      </c>
      <c r="K396" s="2">
        <v>1.914135E-3</v>
      </c>
      <c r="L396" s="2" t="s">
        <v>35</v>
      </c>
      <c r="M396" s="4" t="s">
        <v>44517</v>
      </c>
    </row>
    <row r="397" spans="1:13">
      <c r="A397" s="2">
        <v>3854</v>
      </c>
      <c r="B397" s="2" t="s">
        <v>25157</v>
      </c>
      <c r="C397" s="2">
        <v>12</v>
      </c>
      <c r="D397" s="2">
        <v>291</v>
      </c>
      <c r="E397" s="2">
        <v>366</v>
      </c>
      <c r="F397" s="2">
        <v>32441</v>
      </c>
      <c r="G397" s="2">
        <v>3.6551180219999999</v>
      </c>
      <c r="H397" s="2">
        <v>1.62547E-4</v>
      </c>
      <c r="I397" s="2" t="s">
        <v>44518</v>
      </c>
      <c r="J397" s="2" t="s">
        <v>44519</v>
      </c>
      <c r="K397" s="2">
        <v>2.0157460000000001E-3</v>
      </c>
      <c r="L397" s="2" t="s">
        <v>35</v>
      </c>
      <c r="M397" s="4" t="s">
        <v>25160</v>
      </c>
    </row>
    <row r="398" spans="1:13">
      <c r="A398" s="2">
        <v>2312</v>
      </c>
      <c r="B398" s="2" t="s">
        <v>44520</v>
      </c>
      <c r="C398" s="2">
        <v>6</v>
      </c>
      <c r="D398" s="2">
        <v>291</v>
      </c>
      <c r="E398" s="2">
        <v>86</v>
      </c>
      <c r="F398" s="2">
        <v>32441</v>
      </c>
      <c r="G398" s="2">
        <v>7.7777511390000003</v>
      </c>
      <c r="H398" s="2">
        <v>1.7624399999999999E-4</v>
      </c>
      <c r="I398" s="2" t="s">
        <v>44521</v>
      </c>
      <c r="J398" s="2" t="s">
        <v>44522</v>
      </c>
      <c r="K398" s="2">
        <v>2.1799380000000002E-3</v>
      </c>
      <c r="L398" s="2" t="s">
        <v>35</v>
      </c>
      <c r="M398" s="4" t="s">
        <v>44523</v>
      </c>
    </row>
    <row r="399" spans="1:13">
      <c r="A399" s="2">
        <v>3731</v>
      </c>
      <c r="B399" s="2" t="s">
        <v>44524</v>
      </c>
      <c r="C399" s="2">
        <v>5</v>
      </c>
      <c r="D399" s="2">
        <v>291</v>
      </c>
      <c r="E399" s="2">
        <v>54</v>
      </c>
      <c r="F399" s="2">
        <v>32441</v>
      </c>
      <c r="G399" s="2">
        <v>10.32232404</v>
      </c>
      <c r="H399" s="2">
        <v>1.8143E-4</v>
      </c>
      <c r="I399" s="2" t="s">
        <v>44525</v>
      </c>
      <c r="J399" s="2" t="s">
        <v>44526</v>
      </c>
      <c r="K399" s="2">
        <v>2.2382579999999999E-3</v>
      </c>
      <c r="L399" s="2" t="s">
        <v>35</v>
      </c>
      <c r="M399" s="4" t="s">
        <v>44527</v>
      </c>
    </row>
    <row r="400" spans="1:13">
      <c r="A400" s="2">
        <v>1817</v>
      </c>
      <c r="B400" s="2" t="s">
        <v>44528</v>
      </c>
      <c r="C400" s="2">
        <v>9</v>
      </c>
      <c r="D400" s="2">
        <v>291</v>
      </c>
      <c r="E400" s="2">
        <v>214</v>
      </c>
      <c r="F400" s="2">
        <v>32441</v>
      </c>
      <c r="G400" s="2">
        <v>4.6884574619999997</v>
      </c>
      <c r="H400" s="2">
        <v>1.8680300000000001E-4</v>
      </c>
      <c r="I400" s="2" t="s">
        <v>44529</v>
      </c>
      <c r="J400" s="2" t="s">
        <v>44530</v>
      </c>
      <c r="K400" s="2">
        <v>2.283439E-3</v>
      </c>
      <c r="L400" s="2" t="s">
        <v>35</v>
      </c>
      <c r="M400" s="4" t="s">
        <v>44531</v>
      </c>
    </row>
    <row r="401" spans="1:13">
      <c r="A401" s="2">
        <v>2177</v>
      </c>
      <c r="B401" s="2" t="s">
        <v>44532</v>
      </c>
      <c r="C401" s="2">
        <v>3</v>
      </c>
      <c r="D401" s="2">
        <v>291</v>
      </c>
      <c r="E401" s="2">
        <v>10</v>
      </c>
      <c r="F401" s="2">
        <v>32441</v>
      </c>
      <c r="G401" s="2">
        <v>33.4443299</v>
      </c>
      <c r="H401" s="2">
        <v>1.86198E-4</v>
      </c>
      <c r="I401" s="2" t="s">
        <v>44533</v>
      </c>
      <c r="J401" s="2" t="s">
        <v>44534</v>
      </c>
      <c r="K401" s="2">
        <v>2.283439E-3</v>
      </c>
      <c r="L401" s="2" t="s">
        <v>35</v>
      </c>
      <c r="M401" s="4" t="s">
        <v>44535</v>
      </c>
    </row>
    <row r="402" spans="1:13">
      <c r="A402" s="2">
        <v>2849</v>
      </c>
      <c r="B402" s="2" t="s">
        <v>44536</v>
      </c>
      <c r="C402" s="2">
        <v>9</v>
      </c>
      <c r="D402" s="2">
        <v>291</v>
      </c>
      <c r="E402" s="2">
        <v>214</v>
      </c>
      <c r="F402" s="2">
        <v>32441</v>
      </c>
      <c r="G402" s="2">
        <v>4.6884574619999997</v>
      </c>
      <c r="H402" s="2">
        <v>1.8680300000000001E-4</v>
      </c>
      <c r="I402" s="2" t="s">
        <v>44537</v>
      </c>
      <c r="J402" s="2" t="s">
        <v>44538</v>
      </c>
      <c r="K402" s="2">
        <v>2.283439E-3</v>
      </c>
      <c r="L402" s="2" t="s">
        <v>35</v>
      </c>
      <c r="M402" s="4" t="s">
        <v>44539</v>
      </c>
    </row>
    <row r="403" spans="1:13">
      <c r="A403" s="2">
        <v>4322</v>
      </c>
      <c r="B403" s="2" t="s">
        <v>44540</v>
      </c>
      <c r="C403" s="2">
        <v>6</v>
      </c>
      <c r="D403" s="2">
        <v>291</v>
      </c>
      <c r="E403" s="2">
        <v>87</v>
      </c>
      <c r="F403" s="2">
        <v>32441</v>
      </c>
      <c r="G403" s="2">
        <v>7.6883517000000001</v>
      </c>
      <c r="H403" s="2">
        <v>1.8700999999999999E-4</v>
      </c>
      <c r="I403" s="2" t="s">
        <v>44541</v>
      </c>
      <c r="J403" s="2" t="s">
        <v>44542</v>
      </c>
      <c r="K403" s="2">
        <v>2.283439E-3</v>
      </c>
      <c r="L403" s="2" t="s">
        <v>35</v>
      </c>
      <c r="M403" s="4" t="s">
        <v>44543</v>
      </c>
    </row>
    <row r="404" spans="1:13">
      <c r="A404" s="2">
        <v>1712</v>
      </c>
      <c r="B404" s="2" t="s">
        <v>6626</v>
      </c>
      <c r="C404" s="2">
        <v>7</v>
      </c>
      <c r="D404" s="2">
        <v>291</v>
      </c>
      <c r="E404" s="2">
        <v>126</v>
      </c>
      <c r="F404" s="2">
        <v>32441</v>
      </c>
      <c r="G404" s="2">
        <v>6.1933944250000001</v>
      </c>
      <c r="H404" s="2">
        <v>1.9566399999999999E-4</v>
      </c>
      <c r="I404" s="2" t="s">
        <v>44544</v>
      </c>
      <c r="J404" s="2" t="s">
        <v>44545</v>
      </c>
      <c r="K404" s="2">
        <v>2.3829939999999998E-3</v>
      </c>
      <c r="L404" s="2" t="s">
        <v>35</v>
      </c>
      <c r="M404" s="4" t="s">
        <v>6629</v>
      </c>
    </row>
    <row r="405" spans="1:13">
      <c r="A405" s="2">
        <v>2270</v>
      </c>
      <c r="B405" s="2" t="s">
        <v>44546</v>
      </c>
      <c r="C405" s="2">
        <v>6</v>
      </c>
      <c r="D405" s="2">
        <v>291</v>
      </c>
      <c r="E405" s="2">
        <v>88</v>
      </c>
      <c r="F405" s="2">
        <v>32441</v>
      </c>
      <c r="G405" s="2">
        <v>7.6009840669999997</v>
      </c>
      <c r="H405" s="2">
        <v>1.98288E-4</v>
      </c>
      <c r="I405" s="2" t="s">
        <v>44547</v>
      </c>
      <c r="J405" s="2" t="s">
        <v>44548</v>
      </c>
      <c r="K405" s="2">
        <v>2.4026619999999999E-3</v>
      </c>
      <c r="L405" s="2" t="s">
        <v>35</v>
      </c>
      <c r="M405" s="4" t="s">
        <v>44549</v>
      </c>
    </row>
    <row r="406" spans="1:13">
      <c r="A406" s="2">
        <v>4324</v>
      </c>
      <c r="B406" s="2" t="s">
        <v>44550</v>
      </c>
      <c r="C406" s="2">
        <v>6</v>
      </c>
      <c r="D406" s="2">
        <v>291</v>
      </c>
      <c r="E406" s="2">
        <v>88</v>
      </c>
      <c r="F406" s="2">
        <v>32441</v>
      </c>
      <c r="G406" s="2">
        <v>7.6009840669999997</v>
      </c>
      <c r="H406" s="2">
        <v>1.98288E-4</v>
      </c>
      <c r="I406" s="2" t="s">
        <v>44541</v>
      </c>
      <c r="J406" s="2" t="s">
        <v>44542</v>
      </c>
      <c r="K406" s="2">
        <v>2.4026619999999999E-3</v>
      </c>
      <c r="L406" s="2" t="s">
        <v>35</v>
      </c>
      <c r="M406" s="4" t="s">
        <v>44551</v>
      </c>
    </row>
    <row r="407" spans="1:13">
      <c r="A407" s="2">
        <v>1918</v>
      </c>
      <c r="B407" s="2" t="s">
        <v>5767</v>
      </c>
      <c r="C407" s="2">
        <v>24</v>
      </c>
      <c r="D407" s="2">
        <v>291</v>
      </c>
      <c r="E407" s="2">
        <v>1174</v>
      </c>
      <c r="F407" s="2">
        <v>32441</v>
      </c>
      <c r="G407" s="2">
        <v>2.279000334</v>
      </c>
      <c r="H407" s="2">
        <v>2.0082100000000001E-4</v>
      </c>
      <c r="I407" s="2" t="s">
        <v>44552</v>
      </c>
      <c r="J407" s="2" t="s">
        <v>44553</v>
      </c>
      <c r="K407" s="2">
        <v>2.4271800000000001E-3</v>
      </c>
      <c r="L407" s="2" t="s">
        <v>35</v>
      </c>
      <c r="M407" s="4" t="s">
        <v>5770</v>
      </c>
    </row>
    <row r="408" spans="1:13">
      <c r="A408" s="2">
        <v>735</v>
      </c>
      <c r="B408" s="2" t="s">
        <v>44554</v>
      </c>
      <c r="C408" s="2">
        <v>4</v>
      </c>
      <c r="D408" s="2">
        <v>291</v>
      </c>
      <c r="E408" s="2">
        <v>29</v>
      </c>
      <c r="F408" s="2">
        <v>32441</v>
      </c>
      <c r="G408" s="2">
        <v>15.3767034</v>
      </c>
      <c r="H408" s="2">
        <v>2.0435200000000001E-4</v>
      </c>
      <c r="I408" s="2" t="s">
        <v>44555</v>
      </c>
      <c r="J408" s="2" t="s">
        <v>44556</v>
      </c>
      <c r="K408" s="2">
        <v>2.4636100000000002E-3</v>
      </c>
      <c r="L408" s="2" t="s">
        <v>35</v>
      </c>
      <c r="M408" s="4" t="s">
        <v>44557</v>
      </c>
    </row>
    <row r="409" spans="1:13">
      <c r="A409" s="2">
        <v>86</v>
      </c>
      <c r="B409" s="2" t="s">
        <v>6231</v>
      </c>
      <c r="C409" s="2">
        <v>10</v>
      </c>
      <c r="D409" s="2">
        <v>291</v>
      </c>
      <c r="E409" s="2">
        <v>267</v>
      </c>
      <c r="F409" s="2">
        <v>32441</v>
      </c>
      <c r="G409" s="2">
        <v>4.1753220850000003</v>
      </c>
      <c r="H409" s="2">
        <v>2.0524000000000001E-4</v>
      </c>
      <c r="I409" s="2" t="s">
        <v>44558</v>
      </c>
      <c r="J409" s="2" t="s">
        <v>44559</v>
      </c>
      <c r="K409" s="2">
        <v>2.4680610000000001E-3</v>
      </c>
      <c r="L409" s="2" t="s">
        <v>35</v>
      </c>
      <c r="M409" s="4" t="s">
        <v>6234</v>
      </c>
    </row>
    <row r="410" spans="1:13">
      <c r="A410" s="2">
        <v>849</v>
      </c>
      <c r="B410" s="2" t="s">
        <v>42532</v>
      </c>
      <c r="C410" s="2">
        <v>6</v>
      </c>
      <c r="D410" s="2">
        <v>291</v>
      </c>
      <c r="E410" s="2">
        <v>89</v>
      </c>
      <c r="F410" s="2">
        <v>32441</v>
      </c>
      <c r="G410" s="2">
        <v>7.5155797519999998</v>
      </c>
      <c r="H410" s="2">
        <v>2.1009499999999999E-4</v>
      </c>
      <c r="I410" s="2" t="s">
        <v>44560</v>
      </c>
      <c r="J410" s="2" t="s">
        <v>44561</v>
      </c>
      <c r="K410" s="2">
        <v>2.5200829999999998E-3</v>
      </c>
      <c r="L410" s="2" t="s">
        <v>35</v>
      </c>
      <c r="M410" s="4" t="s">
        <v>42535</v>
      </c>
    </row>
    <row r="411" spans="1:13">
      <c r="A411" s="2">
        <v>3567</v>
      </c>
      <c r="B411" s="2" t="s">
        <v>44562</v>
      </c>
      <c r="C411" s="2">
        <v>5</v>
      </c>
      <c r="D411" s="2">
        <v>291</v>
      </c>
      <c r="E411" s="2">
        <v>56</v>
      </c>
      <c r="F411" s="2">
        <v>32441</v>
      </c>
      <c r="G411" s="2">
        <v>9.9536696120000006</v>
      </c>
      <c r="H411" s="2">
        <v>2.12499E-4</v>
      </c>
      <c r="I411" s="2" t="s">
        <v>44563</v>
      </c>
      <c r="J411" s="2" t="s">
        <v>44564</v>
      </c>
      <c r="K411" s="2">
        <v>2.5425119999999998E-3</v>
      </c>
      <c r="L411" s="2" t="s">
        <v>35</v>
      </c>
      <c r="M411" s="4" t="s">
        <v>44565</v>
      </c>
    </row>
    <row r="412" spans="1:13">
      <c r="A412" s="2">
        <v>2463</v>
      </c>
      <c r="B412" s="2" t="s">
        <v>44566</v>
      </c>
      <c r="C412" s="2">
        <v>5</v>
      </c>
      <c r="D412" s="2">
        <v>291</v>
      </c>
      <c r="E412" s="2">
        <v>57</v>
      </c>
      <c r="F412" s="2">
        <v>32441</v>
      </c>
      <c r="G412" s="2">
        <v>9.7790438300000009</v>
      </c>
      <c r="H412" s="2">
        <v>2.2947399999999999E-4</v>
      </c>
      <c r="I412" s="2" t="s">
        <v>44567</v>
      </c>
      <c r="J412" s="2" t="s">
        <v>44568</v>
      </c>
      <c r="K412" s="2">
        <v>2.7250759999999999E-3</v>
      </c>
      <c r="L412" s="2" t="s">
        <v>35</v>
      </c>
      <c r="M412" s="4" t="s">
        <v>44569</v>
      </c>
    </row>
    <row r="413" spans="1:13">
      <c r="A413" s="2">
        <v>3210</v>
      </c>
      <c r="B413" s="2" t="s">
        <v>25130</v>
      </c>
      <c r="C413" s="2">
        <v>5</v>
      </c>
      <c r="D413" s="2">
        <v>291</v>
      </c>
      <c r="E413" s="2">
        <v>57</v>
      </c>
      <c r="F413" s="2">
        <v>32441</v>
      </c>
      <c r="G413" s="2">
        <v>9.7790438300000009</v>
      </c>
      <c r="H413" s="2">
        <v>2.2947399999999999E-4</v>
      </c>
      <c r="I413" s="2" t="s">
        <v>44570</v>
      </c>
      <c r="J413" s="2" t="s">
        <v>44571</v>
      </c>
      <c r="K413" s="2">
        <v>2.7250759999999999E-3</v>
      </c>
      <c r="L413" s="2" t="s">
        <v>35</v>
      </c>
      <c r="M413" s="4" t="s">
        <v>25133</v>
      </c>
    </row>
    <row r="414" spans="1:13">
      <c r="A414" s="2">
        <v>4497</v>
      </c>
      <c r="B414" s="2" t="s">
        <v>44572</v>
      </c>
      <c r="C414" s="2">
        <v>5</v>
      </c>
      <c r="D414" s="2">
        <v>291</v>
      </c>
      <c r="E414" s="2">
        <v>57</v>
      </c>
      <c r="F414" s="2">
        <v>32441</v>
      </c>
      <c r="G414" s="2">
        <v>9.7790438300000009</v>
      </c>
      <c r="H414" s="2">
        <v>2.2947399999999999E-4</v>
      </c>
      <c r="I414" s="2" t="s">
        <v>44573</v>
      </c>
      <c r="J414" s="2" t="s">
        <v>44574</v>
      </c>
      <c r="K414" s="2">
        <v>2.7250759999999999E-3</v>
      </c>
      <c r="L414" s="2" t="s">
        <v>35</v>
      </c>
      <c r="M414" s="4" t="s">
        <v>44575</v>
      </c>
    </row>
    <row r="415" spans="1:13">
      <c r="A415" s="2">
        <v>810</v>
      </c>
      <c r="B415" s="2" t="s">
        <v>44576</v>
      </c>
      <c r="C415" s="2">
        <v>3</v>
      </c>
      <c r="D415" s="2">
        <v>291</v>
      </c>
      <c r="E415" s="2">
        <v>11</v>
      </c>
      <c r="F415" s="2">
        <v>32441</v>
      </c>
      <c r="G415" s="2">
        <v>30.403936269999999</v>
      </c>
      <c r="H415" s="2">
        <v>2.35422E-4</v>
      </c>
      <c r="I415" s="2" t="s">
        <v>44577</v>
      </c>
      <c r="J415" s="2" t="s">
        <v>44578</v>
      </c>
      <c r="K415" s="2">
        <v>2.7818320000000001E-3</v>
      </c>
      <c r="L415" s="2" t="s">
        <v>35</v>
      </c>
      <c r="M415" s="4" t="s">
        <v>44579</v>
      </c>
    </row>
    <row r="416" spans="1:13">
      <c r="A416" s="2">
        <v>3654</v>
      </c>
      <c r="B416" s="2" t="s">
        <v>25507</v>
      </c>
      <c r="C416" s="2">
        <v>6</v>
      </c>
      <c r="D416" s="2">
        <v>291</v>
      </c>
      <c r="E416" s="2">
        <v>91</v>
      </c>
      <c r="F416" s="2">
        <v>32441</v>
      </c>
      <c r="G416" s="2">
        <v>7.3504021750000001</v>
      </c>
      <c r="H416" s="2">
        <v>2.35369E-4</v>
      </c>
      <c r="I416" s="2" t="s">
        <v>44580</v>
      </c>
      <c r="J416" s="2" t="s">
        <v>44581</v>
      </c>
      <c r="K416" s="2">
        <v>2.7818320000000001E-3</v>
      </c>
      <c r="L416" s="2" t="s">
        <v>35</v>
      </c>
      <c r="M416" s="4" t="s">
        <v>25510</v>
      </c>
    </row>
    <row r="417" spans="1:13">
      <c r="A417" s="2">
        <v>4739</v>
      </c>
      <c r="B417" s="2" t="s">
        <v>35301</v>
      </c>
      <c r="C417" s="2">
        <v>8</v>
      </c>
      <c r="D417" s="2">
        <v>291</v>
      </c>
      <c r="E417" s="2">
        <v>174</v>
      </c>
      <c r="F417" s="2">
        <v>32441</v>
      </c>
      <c r="G417" s="2">
        <v>5.1255677999999998</v>
      </c>
      <c r="H417" s="2">
        <v>2.38595E-4</v>
      </c>
      <c r="I417" s="2" t="s">
        <v>44582</v>
      </c>
      <c r="J417" s="2" t="s">
        <v>44583</v>
      </c>
      <c r="K417" s="2">
        <v>2.812344E-3</v>
      </c>
      <c r="L417" s="2" t="s">
        <v>35</v>
      </c>
      <c r="M417" s="4" t="s">
        <v>35304</v>
      </c>
    </row>
    <row r="418" spans="1:13">
      <c r="A418" s="2">
        <v>3038</v>
      </c>
      <c r="B418" s="2" t="s">
        <v>25372</v>
      </c>
      <c r="C418" s="2">
        <v>5</v>
      </c>
      <c r="D418" s="2">
        <v>291</v>
      </c>
      <c r="E418" s="2">
        <v>58</v>
      </c>
      <c r="F418" s="2">
        <v>32441</v>
      </c>
      <c r="G418" s="2">
        <v>9.6104396259999998</v>
      </c>
      <c r="H418" s="2">
        <v>2.4746099999999998E-4</v>
      </c>
      <c r="I418" s="2" t="s">
        <v>44584</v>
      </c>
      <c r="J418" s="2" t="s">
        <v>44585</v>
      </c>
      <c r="K418" s="2">
        <v>2.902487E-3</v>
      </c>
      <c r="L418" s="2" t="s">
        <v>35</v>
      </c>
      <c r="M418" s="4" t="s">
        <v>25375</v>
      </c>
    </row>
    <row r="419" spans="1:13">
      <c r="A419" s="2">
        <v>3400</v>
      </c>
      <c r="B419" s="2" t="s">
        <v>44586</v>
      </c>
      <c r="C419" s="2">
        <v>5</v>
      </c>
      <c r="D419" s="2">
        <v>291</v>
      </c>
      <c r="E419" s="2">
        <v>58</v>
      </c>
      <c r="F419" s="2">
        <v>32441</v>
      </c>
      <c r="G419" s="2">
        <v>9.6104396259999998</v>
      </c>
      <c r="H419" s="2">
        <v>2.4746099999999998E-4</v>
      </c>
      <c r="I419" s="2" t="s">
        <v>44587</v>
      </c>
      <c r="J419" s="2" t="s">
        <v>44588</v>
      </c>
      <c r="K419" s="2">
        <v>2.902487E-3</v>
      </c>
      <c r="L419" s="2" t="s">
        <v>35</v>
      </c>
      <c r="M419" s="4" t="s">
        <v>44589</v>
      </c>
    </row>
    <row r="420" spans="1:13">
      <c r="A420" s="2">
        <v>3287</v>
      </c>
      <c r="B420" s="2" t="s">
        <v>44590</v>
      </c>
      <c r="C420" s="2">
        <v>6</v>
      </c>
      <c r="D420" s="2">
        <v>291</v>
      </c>
      <c r="E420" s="2">
        <v>92</v>
      </c>
      <c r="F420" s="2">
        <v>32441</v>
      </c>
      <c r="G420" s="2">
        <v>7.2705064989999997</v>
      </c>
      <c r="H420" s="2">
        <v>2.4887200000000003E-4</v>
      </c>
      <c r="I420" s="2" t="s">
        <v>44591</v>
      </c>
      <c r="J420" s="2" t="s">
        <v>44592</v>
      </c>
      <c r="K420" s="2">
        <v>2.911861E-3</v>
      </c>
      <c r="L420" s="2" t="s">
        <v>35</v>
      </c>
      <c r="M420" s="4" t="s">
        <v>44593</v>
      </c>
    </row>
    <row r="421" spans="1:13">
      <c r="A421" s="2">
        <v>2869</v>
      </c>
      <c r="B421" s="2" t="s">
        <v>6211</v>
      </c>
      <c r="C421" s="2">
        <v>4</v>
      </c>
      <c r="D421" s="2">
        <v>291</v>
      </c>
      <c r="E421" s="2">
        <v>31</v>
      </c>
      <c r="F421" s="2">
        <v>32441</v>
      </c>
      <c r="G421" s="2">
        <v>14.38465802</v>
      </c>
      <c r="H421" s="2">
        <v>2.5785700000000001E-4</v>
      </c>
      <c r="I421" s="2" t="s">
        <v>44594</v>
      </c>
      <c r="J421" s="2" t="s">
        <v>44595</v>
      </c>
      <c r="K421" s="2">
        <v>3.009594E-3</v>
      </c>
      <c r="L421" s="2" t="s">
        <v>35</v>
      </c>
      <c r="M421" s="4" t="s">
        <v>6214</v>
      </c>
    </row>
    <row r="422" spans="1:13">
      <c r="A422" s="2">
        <v>3171</v>
      </c>
      <c r="B422" s="2" t="s">
        <v>44596</v>
      </c>
      <c r="C422" s="2">
        <v>4</v>
      </c>
      <c r="D422" s="2">
        <v>291</v>
      </c>
      <c r="E422" s="2">
        <v>32</v>
      </c>
      <c r="F422" s="2">
        <v>32441</v>
      </c>
      <c r="G422" s="2">
        <v>13.93513746</v>
      </c>
      <c r="H422" s="2">
        <v>2.8807099999999999E-4</v>
      </c>
      <c r="I422" s="2" t="s">
        <v>44597</v>
      </c>
      <c r="J422" s="2" t="s">
        <v>44598</v>
      </c>
      <c r="K422" s="2">
        <v>3.3458429999999998E-3</v>
      </c>
      <c r="L422" s="2" t="s">
        <v>35</v>
      </c>
      <c r="M422" s="4" t="s">
        <v>44599</v>
      </c>
    </row>
    <row r="423" spans="1:13">
      <c r="A423" s="2">
        <v>3764</v>
      </c>
      <c r="B423" s="2" t="s">
        <v>44600</v>
      </c>
      <c r="C423" s="2">
        <v>4</v>
      </c>
      <c r="D423" s="2">
        <v>291</v>
      </c>
      <c r="E423" s="2">
        <v>32</v>
      </c>
      <c r="F423" s="2">
        <v>32441</v>
      </c>
      <c r="G423" s="2">
        <v>13.93513746</v>
      </c>
      <c r="H423" s="2">
        <v>2.8807099999999999E-4</v>
      </c>
      <c r="I423" s="2" t="s">
        <v>44601</v>
      </c>
      <c r="J423" s="2" t="s">
        <v>44602</v>
      </c>
      <c r="K423" s="2">
        <v>3.3458429999999998E-3</v>
      </c>
      <c r="L423" s="2" t="s">
        <v>35</v>
      </c>
      <c r="M423" s="4" t="s">
        <v>44603</v>
      </c>
    </row>
    <row r="424" spans="1:13">
      <c r="A424" s="2">
        <v>782</v>
      </c>
      <c r="B424" s="2" t="s">
        <v>44604</v>
      </c>
      <c r="C424" s="2">
        <v>3</v>
      </c>
      <c r="D424" s="2">
        <v>291</v>
      </c>
      <c r="E424" s="2">
        <v>12</v>
      </c>
      <c r="F424" s="2">
        <v>32441</v>
      </c>
      <c r="G424" s="2">
        <v>27.870274909999999</v>
      </c>
      <c r="H424" s="2">
        <v>2.9234399999999999E-4</v>
      </c>
      <c r="I424" s="2" t="s">
        <v>44605</v>
      </c>
      <c r="J424" s="2" t="s">
        <v>44606</v>
      </c>
      <c r="K424" s="2">
        <v>3.3789860000000001E-3</v>
      </c>
      <c r="L424" s="2" t="s">
        <v>35</v>
      </c>
      <c r="M424" s="4" t="s">
        <v>44607</v>
      </c>
    </row>
    <row r="425" spans="1:13">
      <c r="A425" s="2">
        <v>3461</v>
      </c>
      <c r="B425" s="2" t="s">
        <v>44608</v>
      </c>
      <c r="C425" s="2">
        <v>3</v>
      </c>
      <c r="D425" s="2">
        <v>291</v>
      </c>
      <c r="E425" s="2">
        <v>12</v>
      </c>
      <c r="F425" s="2">
        <v>32441</v>
      </c>
      <c r="G425" s="2">
        <v>27.870274909999999</v>
      </c>
      <c r="H425" s="2">
        <v>2.9234399999999999E-4</v>
      </c>
      <c r="I425" s="2" t="s">
        <v>44609</v>
      </c>
      <c r="J425" s="2" t="s">
        <v>44610</v>
      </c>
      <c r="K425" s="2">
        <v>3.3789860000000001E-3</v>
      </c>
      <c r="L425" s="2" t="s">
        <v>35</v>
      </c>
      <c r="M425" s="4" t="s">
        <v>44611</v>
      </c>
    </row>
    <row r="426" spans="1:13">
      <c r="A426" s="2">
        <v>3929</v>
      </c>
      <c r="B426" s="2" t="s">
        <v>25593</v>
      </c>
      <c r="C426" s="2">
        <v>12</v>
      </c>
      <c r="D426" s="2">
        <v>291</v>
      </c>
      <c r="E426" s="2">
        <v>395</v>
      </c>
      <c r="F426" s="2">
        <v>32441</v>
      </c>
      <c r="G426" s="2">
        <v>3.3867675840000002</v>
      </c>
      <c r="H426" s="2">
        <v>3.1868199999999998E-4</v>
      </c>
      <c r="I426" s="2" t="s">
        <v>44612</v>
      </c>
      <c r="J426" s="2" t="s">
        <v>44613</v>
      </c>
      <c r="K426" s="2">
        <v>3.6744910000000002E-3</v>
      </c>
      <c r="L426" s="2" t="s">
        <v>35</v>
      </c>
      <c r="M426" s="4" t="s">
        <v>25596</v>
      </c>
    </row>
    <row r="427" spans="1:13">
      <c r="A427" s="2">
        <v>638</v>
      </c>
      <c r="B427" s="2" t="s">
        <v>44614</v>
      </c>
      <c r="C427" s="2">
        <v>4</v>
      </c>
      <c r="D427" s="2">
        <v>291</v>
      </c>
      <c r="E427" s="2">
        <v>33</v>
      </c>
      <c r="F427" s="2">
        <v>32441</v>
      </c>
      <c r="G427" s="2">
        <v>13.51286056</v>
      </c>
      <c r="H427" s="2">
        <v>3.2074300000000002E-4</v>
      </c>
      <c r="I427" s="2" t="s">
        <v>44615</v>
      </c>
      <c r="J427" s="2" t="s">
        <v>44616</v>
      </c>
      <c r="K427" s="2">
        <v>3.6893220000000001E-3</v>
      </c>
      <c r="L427" s="2" t="s">
        <v>35</v>
      </c>
      <c r="M427" s="4" t="s">
        <v>44617</v>
      </c>
    </row>
    <row r="428" spans="1:13">
      <c r="A428" s="2">
        <v>1674</v>
      </c>
      <c r="B428" s="2" t="s">
        <v>44618</v>
      </c>
      <c r="C428" s="2">
        <v>18</v>
      </c>
      <c r="D428" s="2">
        <v>291</v>
      </c>
      <c r="E428" s="2">
        <v>781</v>
      </c>
      <c r="F428" s="2">
        <v>32441</v>
      </c>
      <c r="G428" s="2">
        <v>2.5693467270000001</v>
      </c>
      <c r="H428" s="2">
        <v>3.2512900000000001E-4</v>
      </c>
      <c r="I428" s="2" t="s">
        <v>44619</v>
      </c>
      <c r="J428" s="2" t="s">
        <v>44620</v>
      </c>
      <c r="K428" s="2">
        <v>3.7307619999999999E-3</v>
      </c>
      <c r="L428" s="2" t="s">
        <v>35</v>
      </c>
      <c r="M428" s="4" t="s">
        <v>44621</v>
      </c>
    </row>
    <row r="429" spans="1:13">
      <c r="A429" s="2">
        <v>1422</v>
      </c>
      <c r="B429" s="2" t="s">
        <v>44622</v>
      </c>
      <c r="C429" s="2">
        <v>5</v>
      </c>
      <c r="D429" s="2">
        <v>291</v>
      </c>
      <c r="E429" s="2">
        <v>62</v>
      </c>
      <c r="F429" s="2">
        <v>32441</v>
      </c>
      <c r="G429" s="2">
        <v>8.9904112630000004</v>
      </c>
      <c r="H429" s="2">
        <v>3.30327E-4</v>
      </c>
      <c r="I429" s="2" t="s">
        <v>44623</v>
      </c>
      <c r="J429" s="2" t="s">
        <v>44624</v>
      </c>
      <c r="K429" s="2">
        <v>3.7722200000000002E-3</v>
      </c>
      <c r="L429" s="2" t="s">
        <v>35</v>
      </c>
      <c r="M429" s="4" t="s">
        <v>44625</v>
      </c>
    </row>
    <row r="430" spans="1:13">
      <c r="A430" s="2">
        <v>2707</v>
      </c>
      <c r="B430" s="2" t="s">
        <v>5986</v>
      </c>
      <c r="C430" s="2">
        <v>8</v>
      </c>
      <c r="D430" s="2">
        <v>291</v>
      </c>
      <c r="E430" s="2">
        <v>183</v>
      </c>
      <c r="F430" s="2">
        <v>32441</v>
      </c>
      <c r="G430" s="2">
        <v>4.8734906950000001</v>
      </c>
      <c r="H430" s="2">
        <v>3.30272E-4</v>
      </c>
      <c r="I430" s="2" t="s">
        <v>44626</v>
      </c>
      <c r="J430" s="2" t="s">
        <v>44627</v>
      </c>
      <c r="K430" s="2">
        <v>3.7722200000000002E-3</v>
      </c>
      <c r="L430" s="2" t="s">
        <v>35</v>
      </c>
      <c r="M430" s="4" t="s">
        <v>5989</v>
      </c>
    </row>
    <row r="431" spans="1:13">
      <c r="A431" s="2">
        <v>2379</v>
      </c>
      <c r="B431" s="2" t="s">
        <v>44628</v>
      </c>
      <c r="C431" s="2">
        <v>4</v>
      </c>
      <c r="D431" s="2">
        <v>291</v>
      </c>
      <c r="E431" s="2">
        <v>34</v>
      </c>
      <c r="F431" s="2">
        <v>32441</v>
      </c>
      <c r="G431" s="2">
        <v>13.11542349</v>
      </c>
      <c r="H431" s="2">
        <v>3.5598599999999998E-4</v>
      </c>
      <c r="I431" s="2" t="s">
        <v>44629</v>
      </c>
      <c r="J431" s="2" t="s">
        <v>44630</v>
      </c>
      <c r="K431" s="2">
        <v>4.0519459999999998E-3</v>
      </c>
      <c r="L431" s="2" t="s">
        <v>35</v>
      </c>
      <c r="M431" s="4" t="s">
        <v>44631</v>
      </c>
    </row>
    <row r="432" spans="1:13">
      <c r="A432" s="2">
        <v>4354</v>
      </c>
      <c r="B432" s="2" t="s">
        <v>4238</v>
      </c>
      <c r="C432" s="2">
        <v>19</v>
      </c>
      <c r="D432" s="2">
        <v>291</v>
      </c>
      <c r="E432" s="2">
        <v>857</v>
      </c>
      <c r="F432" s="2">
        <v>32441</v>
      </c>
      <c r="G432" s="2">
        <v>2.4715763050000001</v>
      </c>
      <c r="H432" s="2">
        <v>3.5652399999999999E-4</v>
      </c>
      <c r="I432" s="2" t="s">
        <v>44632</v>
      </c>
      <c r="J432" s="2" t="s">
        <v>44633</v>
      </c>
      <c r="K432" s="2">
        <v>4.0519459999999998E-3</v>
      </c>
      <c r="L432" s="2" t="s">
        <v>35</v>
      </c>
      <c r="M432" s="4" t="s">
        <v>4241</v>
      </c>
    </row>
    <row r="433" spans="1:13">
      <c r="A433" s="2">
        <v>3646</v>
      </c>
      <c r="B433" s="2" t="s">
        <v>44634</v>
      </c>
      <c r="C433" s="2">
        <v>3</v>
      </c>
      <c r="D433" s="2">
        <v>291</v>
      </c>
      <c r="E433" s="2">
        <v>13</v>
      </c>
      <c r="F433" s="2">
        <v>32441</v>
      </c>
      <c r="G433" s="2">
        <v>25.726407609999999</v>
      </c>
      <c r="H433" s="2">
        <v>3.5744500000000002E-4</v>
      </c>
      <c r="I433" s="2" t="s">
        <v>44635</v>
      </c>
      <c r="J433" s="2" t="s">
        <v>44636</v>
      </c>
      <c r="K433" s="2">
        <v>4.0527510000000003E-3</v>
      </c>
      <c r="L433" s="2" t="s">
        <v>35</v>
      </c>
      <c r="M433" s="4" t="s">
        <v>44637</v>
      </c>
    </row>
    <row r="434" spans="1:13">
      <c r="A434" s="2">
        <v>3458</v>
      </c>
      <c r="B434" s="2" t="s">
        <v>6638</v>
      </c>
      <c r="C434" s="2">
        <v>13</v>
      </c>
      <c r="D434" s="2">
        <v>291</v>
      </c>
      <c r="E434" s="2">
        <v>461</v>
      </c>
      <c r="F434" s="2">
        <v>32441</v>
      </c>
      <c r="G434" s="2">
        <v>3.1437186449999999</v>
      </c>
      <c r="H434" s="2">
        <v>3.62278E-4</v>
      </c>
      <c r="I434" s="2" t="s">
        <v>44638</v>
      </c>
      <c r="J434" s="2" t="s">
        <v>44639</v>
      </c>
      <c r="K434" s="2">
        <v>4.097781E-3</v>
      </c>
      <c r="L434" s="2" t="s">
        <v>35</v>
      </c>
      <c r="M434" s="4" t="s">
        <v>6641</v>
      </c>
    </row>
    <row r="435" spans="1:13">
      <c r="A435" s="2">
        <v>2957</v>
      </c>
      <c r="B435" s="2" t="s">
        <v>42638</v>
      </c>
      <c r="C435" s="2">
        <v>5</v>
      </c>
      <c r="D435" s="2">
        <v>291</v>
      </c>
      <c r="E435" s="2">
        <v>64</v>
      </c>
      <c r="F435" s="2">
        <v>32441</v>
      </c>
      <c r="G435" s="2">
        <v>8.7094609110000007</v>
      </c>
      <c r="H435" s="2">
        <v>3.7888700000000001E-4</v>
      </c>
      <c r="I435" s="2" t="s">
        <v>44640</v>
      </c>
      <c r="J435" s="2" t="s">
        <v>44641</v>
      </c>
      <c r="K435" s="2">
        <v>4.2754990000000003E-3</v>
      </c>
      <c r="L435" s="2" t="s">
        <v>35</v>
      </c>
      <c r="M435" s="4" t="s">
        <v>42641</v>
      </c>
    </row>
    <row r="436" spans="1:13">
      <c r="A436" s="2">
        <v>422</v>
      </c>
      <c r="B436" s="2" t="s">
        <v>44642</v>
      </c>
      <c r="C436" s="2">
        <v>4</v>
      </c>
      <c r="D436" s="2">
        <v>291</v>
      </c>
      <c r="E436" s="2">
        <v>35</v>
      </c>
      <c r="F436" s="2">
        <v>32441</v>
      </c>
      <c r="G436" s="2">
        <v>12.7406971</v>
      </c>
      <c r="H436" s="2">
        <v>3.9391300000000002E-4</v>
      </c>
      <c r="I436" s="2" t="s">
        <v>44643</v>
      </c>
      <c r="J436" s="2" t="s">
        <v>44644</v>
      </c>
      <c r="K436" s="2">
        <v>4.4033220000000003E-3</v>
      </c>
      <c r="L436" s="2" t="s">
        <v>35</v>
      </c>
      <c r="M436" s="4" t="s">
        <v>44645</v>
      </c>
    </row>
    <row r="437" spans="1:13">
      <c r="A437" s="2">
        <v>1834</v>
      </c>
      <c r="B437" s="2" t="s">
        <v>44646</v>
      </c>
      <c r="C437" s="2">
        <v>4</v>
      </c>
      <c r="D437" s="2">
        <v>291</v>
      </c>
      <c r="E437" s="2">
        <v>35</v>
      </c>
      <c r="F437" s="2">
        <v>32441</v>
      </c>
      <c r="G437" s="2">
        <v>12.7406971</v>
      </c>
      <c r="H437" s="2">
        <v>3.9391300000000002E-4</v>
      </c>
      <c r="I437" s="2" t="s">
        <v>44647</v>
      </c>
      <c r="J437" s="2" t="s">
        <v>44648</v>
      </c>
      <c r="K437" s="2">
        <v>4.4033220000000003E-3</v>
      </c>
      <c r="L437" s="2" t="s">
        <v>35</v>
      </c>
      <c r="M437" s="4" t="s">
        <v>44649</v>
      </c>
    </row>
    <row r="438" spans="1:13">
      <c r="A438" s="2">
        <v>2410</v>
      </c>
      <c r="B438" s="2" t="s">
        <v>44650</v>
      </c>
      <c r="C438" s="2">
        <v>4</v>
      </c>
      <c r="D438" s="2">
        <v>291</v>
      </c>
      <c r="E438" s="2">
        <v>35</v>
      </c>
      <c r="F438" s="2">
        <v>32441</v>
      </c>
      <c r="G438" s="2">
        <v>12.7406971</v>
      </c>
      <c r="H438" s="2">
        <v>3.9391300000000002E-4</v>
      </c>
      <c r="I438" s="2" t="s">
        <v>44651</v>
      </c>
      <c r="J438" s="2" t="s">
        <v>44652</v>
      </c>
      <c r="K438" s="2">
        <v>4.4033220000000003E-3</v>
      </c>
      <c r="L438" s="2" t="s">
        <v>35</v>
      </c>
      <c r="M438" s="4" t="s">
        <v>44653</v>
      </c>
    </row>
    <row r="439" spans="1:13">
      <c r="A439" s="2">
        <v>3145</v>
      </c>
      <c r="B439" s="2" t="s">
        <v>44654</v>
      </c>
      <c r="C439" s="2">
        <v>4</v>
      </c>
      <c r="D439" s="2">
        <v>291</v>
      </c>
      <c r="E439" s="2">
        <v>35</v>
      </c>
      <c r="F439" s="2">
        <v>32441</v>
      </c>
      <c r="G439" s="2">
        <v>12.7406971</v>
      </c>
      <c r="H439" s="2">
        <v>3.9391300000000002E-4</v>
      </c>
      <c r="I439" s="2" t="s">
        <v>44655</v>
      </c>
      <c r="J439" s="2" t="s">
        <v>44656</v>
      </c>
      <c r="K439" s="2">
        <v>4.4033220000000003E-3</v>
      </c>
      <c r="L439" s="2" t="s">
        <v>35</v>
      </c>
      <c r="M439" s="4" t="s">
        <v>44657</v>
      </c>
    </row>
    <row r="440" spans="1:13">
      <c r="A440" s="2">
        <v>1763</v>
      </c>
      <c r="B440" s="2" t="s">
        <v>2931</v>
      </c>
      <c r="C440" s="2">
        <v>31</v>
      </c>
      <c r="D440" s="2">
        <v>291</v>
      </c>
      <c r="E440" s="2">
        <v>1781</v>
      </c>
      <c r="F440" s="2">
        <v>32441</v>
      </c>
      <c r="G440" s="2">
        <v>1.9404346370000001</v>
      </c>
      <c r="H440" s="2">
        <v>3.94848E-4</v>
      </c>
      <c r="I440" s="2" t="s">
        <v>44658</v>
      </c>
      <c r="J440" s="2" t="s">
        <v>44659</v>
      </c>
      <c r="K440" s="2">
        <v>4.4034319999999997E-3</v>
      </c>
      <c r="L440" s="2" t="s">
        <v>35</v>
      </c>
      <c r="M440" s="4" t="s">
        <v>2934</v>
      </c>
    </row>
    <row r="441" spans="1:13">
      <c r="A441" s="2">
        <v>2398</v>
      </c>
      <c r="B441" s="2" t="s">
        <v>44660</v>
      </c>
      <c r="C441" s="2">
        <v>10</v>
      </c>
      <c r="D441" s="2">
        <v>291</v>
      </c>
      <c r="E441" s="2">
        <v>292</v>
      </c>
      <c r="F441" s="2">
        <v>32441</v>
      </c>
      <c r="G441" s="2">
        <v>3.8178458790000001</v>
      </c>
      <c r="H441" s="2">
        <v>4.0701600000000001E-4</v>
      </c>
      <c r="I441" s="2" t="s">
        <v>44661</v>
      </c>
      <c r="J441" s="2" t="s">
        <v>44662</v>
      </c>
      <c r="K441" s="2">
        <v>4.5285239999999999E-3</v>
      </c>
      <c r="L441" s="2" t="s">
        <v>35</v>
      </c>
      <c r="M441" s="4" t="s">
        <v>44663</v>
      </c>
    </row>
    <row r="442" spans="1:13">
      <c r="A442" s="2">
        <v>3671</v>
      </c>
      <c r="B442" s="2" t="s">
        <v>44664</v>
      </c>
      <c r="C442" s="2">
        <v>6</v>
      </c>
      <c r="D442" s="2">
        <v>291</v>
      </c>
      <c r="E442" s="2">
        <v>102</v>
      </c>
      <c r="F442" s="2">
        <v>32441</v>
      </c>
      <c r="G442" s="2">
        <v>6.5577117439999997</v>
      </c>
      <c r="H442" s="2">
        <v>4.2019699999999998E-4</v>
      </c>
      <c r="I442" s="2" t="s">
        <v>44665</v>
      </c>
      <c r="J442" s="2" t="s">
        <v>44666</v>
      </c>
      <c r="K442" s="2">
        <v>4.6642849999999998E-3</v>
      </c>
      <c r="L442" s="2" t="s">
        <v>35</v>
      </c>
      <c r="M442" s="4" t="s">
        <v>44667</v>
      </c>
    </row>
    <row r="443" spans="1:13">
      <c r="A443" s="2">
        <v>3866</v>
      </c>
      <c r="B443" s="2" t="s">
        <v>3641</v>
      </c>
      <c r="C443" s="2">
        <v>12</v>
      </c>
      <c r="D443" s="2">
        <v>291</v>
      </c>
      <c r="E443" s="2">
        <v>408</v>
      </c>
      <c r="F443" s="2">
        <v>32441</v>
      </c>
      <c r="G443" s="2">
        <v>3.2788558719999998</v>
      </c>
      <c r="H443" s="2">
        <v>4.2207200000000001E-4</v>
      </c>
      <c r="I443" s="2" t="s">
        <v>44668</v>
      </c>
      <c r="J443" s="2" t="s">
        <v>44669</v>
      </c>
      <c r="K443" s="2">
        <v>4.6742040000000004E-3</v>
      </c>
      <c r="L443" s="2" t="s">
        <v>35</v>
      </c>
      <c r="M443" s="4" t="s">
        <v>3644</v>
      </c>
    </row>
    <row r="444" spans="1:13">
      <c r="A444" s="2">
        <v>1766</v>
      </c>
      <c r="B444" s="2" t="s">
        <v>24911</v>
      </c>
      <c r="C444" s="2">
        <v>8</v>
      </c>
      <c r="D444" s="2">
        <v>291</v>
      </c>
      <c r="E444" s="2">
        <v>191</v>
      </c>
      <c r="F444" s="2">
        <v>32441</v>
      </c>
      <c r="G444" s="2">
        <v>4.6693654310000001</v>
      </c>
      <c r="H444" s="2">
        <v>4.3417100000000001E-4</v>
      </c>
      <c r="I444" s="2" t="s">
        <v>44670</v>
      </c>
      <c r="J444" s="2" t="s">
        <v>44671</v>
      </c>
      <c r="K444" s="2">
        <v>4.747154E-3</v>
      </c>
      <c r="L444" s="2" t="s">
        <v>35</v>
      </c>
      <c r="M444" s="4" t="s">
        <v>24914</v>
      </c>
    </row>
    <row r="445" spans="1:13">
      <c r="A445" s="2">
        <v>2117</v>
      </c>
      <c r="B445" s="2" t="s">
        <v>44672</v>
      </c>
      <c r="C445" s="2">
        <v>4</v>
      </c>
      <c r="D445" s="2">
        <v>291</v>
      </c>
      <c r="E445" s="2">
        <v>36</v>
      </c>
      <c r="F445" s="2">
        <v>32441</v>
      </c>
      <c r="G445" s="2">
        <v>12.38678885</v>
      </c>
      <c r="H445" s="2">
        <v>4.3464099999999999E-4</v>
      </c>
      <c r="I445" s="2" t="s">
        <v>44673</v>
      </c>
      <c r="J445" s="2" t="s">
        <v>44674</v>
      </c>
      <c r="K445" s="2">
        <v>4.747154E-3</v>
      </c>
      <c r="L445" s="2" t="s">
        <v>35</v>
      </c>
      <c r="M445" s="4" t="s">
        <v>44675</v>
      </c>
    </row>
    <row r="446" spans="1:13">
      <c r="A446" s="2">
        <v>2785</v>
      </c>
      <c r="B446" s="2" t="s">
        <v>44676</v>
      </c>
      <c r="C446" s="2">
        <v>3</v>
      </c>
      <c r="D446" s="2">
        <v>291</v>
      </c>
      <c r="E446" s="2">
        <v>14</v>
      </c>
      <c r="F446" s="2">
        <v>32441</v>
      </c>
      <c r="G446" s="2">
        <v>23.888807069999999</v>
      </c>
      <c r="H446" s="2">
        <v>4.31192E-4</v>
      </c>
      <c r="I446" s="2" t="s">
        <v>44677</v>
      </c>
      <c r="J446" s="2" t="s">
        <v>44678</v>
      </c>
      <c r="K446" s="2">
        <v>4.747154E-3</v>
      </c>
      <c r="L446" s="2" t="s">
        <v>35</v>
      </c>
      <c r="M446" s="4" t="s">
        <v>44679</v>
      </c>
    </row>
    <row r="447" spans="1:13">
      <c r="A447" s="2">
        <v>2919</v>
      </c>
      <c r="B447" s="2" t="s">
        <v>44680</v>
      </c>
      <c r="C447" s="2">
        <v>4</v>
      </c>
      <c r="D447" s="2">
        <v>291</v>
      </c>
      <c r="E447" s="2">
        <v>36</v>
      </c>
      <c r="F447" s="2">
        <v>32441</v>
      </c>
      <c r="G447" s="2">
        <v>12.38678885</v>
      </c>
      <c r="H447" s="2">
        <v>4.3464099999999999E-4</v>
      </c>
      <c r="I447" s="2" t="s">
        <v>44681</v>
      </c>
      <c r="J447" s="2" t="s">
        <v>44682</v>
      </c>
      <c r="K447" s="2">
        <v>4.747154E-3</v>
      </c>
      <c r="L447" s="2" t="s">
        <v>35</v>
      </c>
      <c r="M447" s="4" t="s">
        <v>44683</v>
      </c>
    </row>
    <row r="448" spans="1:13">
      <c r="A448" s="2">
        <v>3328</v>
      </c>
      <c r="B448" s="2" t="s">
        <v>44684</v>
      </c>
      <c r="C448" s="2">
        <v>5</v>
      </c>
      <c r="D448" s="2">
        <v>291</v>
      </c>
      <c r="E448" s="2">
        <v>66</v>
      </c>
      <c r="F448" s="2">
        <v>32441</v>
      </c>
      <c r="G448" s="2">
        <v>8.4455378529999994</v>
      </c>
      <c r="H448" s="2">
        <v>4.3265300000000002E-4</v>
      </c>
      <c r="I448" s="2" t="s">
        <v>44685</v>
      </c>
      <c r="J448" s="2" t="s">
        <v>44686</v>
      </c>
      <c r="K448" s="2">
        <v>4.747154E-3</v>
      </c>
      <c r="L448" s="2" t="s">
        <v>35</v>
      </c>
      <c r="M448" s="4" t="s">
        <v>44687</v>
      </c>
    </row>
    <row r="449" spans="1:13">
      <c r="A449" s="2">
        <v>3739</v>
      </c>
      <c r="B449" s="2" t="s">
        <v>44688</v>
      </c>
      <c r="C449" s="2">
        <v>4</v>
      </c>
      <c r="D449" s="2">
        <v>291</v>
      </c>
      <c r="E449" s="2">
        <v>36</v>
      </c>
      <c r="F449" s="2">
        <v>32441</v>
      </c>
      <c r="G449" s="2">
        <v>12.38678885</v>
      </c>
      <c r="H449" s="2">
        <v>4.3464099999999999E-4</v>
      </c>
      <c r="I449" s="2" t="s">
        <v>44689</v>
      </c>
      <c r="J449" s="2" t="s">
        <v>44690</v>
      </c>
      <c r="K449" s="2">
        <v>4.747154E-3</v>
      </c>
      <c r="L449" s="2" t="s">
        <v>35</v>
      </c>
      <c r="M449" s="4" t="s">
        <v>44691</v>
      </c>
    </row>
    <row r="450" spans="1:13">
      <c r="A450" s="2">
        <v>3367</v>
      </c>
      <c r="B450" s="2" t="s">
        <v>44692</v>
      </c>
      <c r="C450" s="2">
        <v>6</v>
      </c>
      <c r="D450" s="2">
        <v>291</v>
      </c>
      <c r="E450" s="2">
        <v>103</v>
      </c>
      <c r="F450" s="2">
        <v>32441</v>
      </c>
      <c r="G450" s="2">
        <v>6.4940446400000003</v>
      </c>
      <c r="H450" s="2">
        <v>4.41404E-4</v>
      </c>
      <c r="I450" s="2" t="s">
        <v>44693</v>
      </c>
      <c r="J450" s="2" t="s">
        <v>44694</v>
      </c>
      <c r="K450" s="2">
        <v>4.788072E-3</v>
      </c>
      <c r="L450" s="2" t="s">
        <v>35</v>
      </c>
      <c r="M450" s="4" t="s">
        <v>44695</v>
      </c>
    </row>
    <row r="451" spans="1:13">
      <c r="A451" s="2">
        <v>3560</v>
      </c>
      <c r="B451" s="2" t="s">
        <v>5779</v>
      </c>
      <c r="C451" s="2">
        <v>10</v>
      </c>
      <c r="D451" s="2">
        <v>291</v>
      </c>
      <c r="E451" s="2">
        <v>295</v>
      </c>
      <c r="F451" s="2">
        <v>32441</v>
      </c>
      <c r="G451" s="2">
        <v>3.779020327</v>
      </c>
      <c r="H451" s="2">
        <v>4.3967499999999999E-4</v>
      </c>
      <c r="I451" s="2" t="s">
        <v>44696</v>
      </c>
      <c r="J451" s="2" t="s">
        <v>44697</v>
      </c>
      <c r="K451" s="2">
        <v>4.788072E-3</v>
      </c>
      <c r="L451" s="2" t="s">
        <v>35</v>
      </c>
      <c r="M451" s="4" t="s">
        <v>5782</v>
      </c>
    </row>
    <row r="452" spans="1:13">
      <c r="A452" s="2">
        <v>4374</v>
      </c>
      <c r="B452" s="2" t="s">
        <v>36449</v>
      </c>
      <c r="C452" s="2">
        <v>6</v>
      </c>
      <c r="D452" s="2">
        <v>291</v>
      </c>
      <c r="E452" s="2">
        <v>103</v>
      </c>
      <c r="F452" s="2">
        <v>32441</v>
      </c>
      <c r="G452" s="2">
        <v>6.4940446400000003</v>
      </c>
      <c r="H452" s="2">
        <v>4.41404E-4</v>
      </c>
      <c r="I452" s="2" t="s">
        <v>44698</v>
      </c>
      <c r="J452" s="2" t="s">
        <v>44699</v>
      </c>
      <c r="K452" s="2">
        <v>4.788072E-3</v>
      </c>
      <c r="L452" s="2" t="s">
        <v>35</v>
      </c>
      <c r="M452" s="4" t="s">
        <v>36452</v>
      </c>
    </row>
    <row r="453" spans="1:13">
      <c r="A453" s="2">
        <v>1562</v>
      </c>
      <c r="B453" s="2" t="s">
        <v>42612</v>
      </c>
      <c r="C453" s="2">
        <v>9</v>
      </c>
      <c r="D453" s="2">
        <v>291</v>
      </c>
      <c r="E453" s="2">
        <v>242</v>
      </c>
      <c r="F453" s="2">
        <v>32441</v>
      </c>
      <c r="G453" s="2">
        <v>4.1459913100000003</v>
      </c>
      <c r="H453" s="2">
        <v>4.4506400000000001E-4</v>
      </c>
      <c r="I453" s="2" t="s">
        <v>44700</v>
      </c>
      <c r="J453" s="2" t="s">
        <v>44701</v>
      </c>
      <c r="K453" s="2">
        <v>4.8168009999999999E-3</v>
      </c>
      <c r="L453" s="2" t="s">
        <v>35</v>
      </c>
      <c r="M453" s="4" t="s">
        <v>42615</v>
      </c>
    </row>
    <row r="454" spans="1:13">
      <c r="A454" s="2">
        <v>4270</v>
      </c>
      <c r="B454" s="2" t="s">
        <v>44702</v>
      </c>
      <c r="C454" s="2">
        <v>6</v>
      </c>
      <c r="D454" s="2">
        <v>291</v>
      </c>
      <c r="E454" s="2">
        <v>104</v>
      </c>
      <c r="F454" s="2">
        <v>32441</v>
      </c>
      <c r="G454" s="2">
        <v>6.4316019029999998</v>
      </c>
      <c r="H454" s="2">
        <v>4.63435E-4</v>
      </c>
      <c r="I454" s="2" t="s">
        <v>44703</v>
      </c>
      <c r="J454" s="2" t="s">
        <v>44704</v>
      </c>
      <c r="K454" s="2">
        <v>5.0042619999999998E-3</v>
      </c>
      <c r="L454" s="2" t="s">
        <v>35</v>
      </c>
      <c r="M454" s="4" t="s">
        <v>44705</v>
      </c>
    </row>
    <row r="455" spans="1:13">
      <c r="A455" s="2">
        <v>3435</v>
      </c>
      <c r="B455" s="2" t="s">
        <v>6163</v>
      </c>
      <c r="C455" s="2">
        <v>8</v>
      </c>
      <c r="D455" s="2">
        <v>291</v>
      </c>
      <c r="E455" s="2">
        <v>195</v>
      </c>
      <c r="F455" s="2">
        <v>32441</v>
      </c>
      <c r="G455" s="2">
        <v>4.5735835759999999</v>
      </c>
      <c r="H455" s="2">
        <v>4.9527900000000005E-4</v>
      </c>
      <c r="I455" s="2" t="s">
        <v>44706</v>
      </c>
      <c r="J455" s="2" t="s">
        <v>44707</v>
      </c>
      <c r="K455" s="2">
        <v>5.3360150000000004E-3</v>
      </c>
      <c r="L455" s="2" t="s">
        <v>35</v>
      </c>
      <c r="M455" s="4" t="s">
        <v>6166</v>
      </c>
    </row>
    <row r="456" spans="1:13">
      <c r="A456" s="2">
        <v>1209</v>
      </c>
      <c r="B456" s="2" t="s">
        <v>44708</v>
      </c>
      <c r="C456" s="2">
        <v>9</v>
      </c>
      <c r="D456" s="2">
        <v>291</v>
      </c>
      <c r="E456" s="2">
        <v>247</v>
      </c>
      <c r="F456" s="2">
        <v>32441</v>
      </c>
      <c r="G456" s="2">
        <v>4.0620643599999999</v>
      </c>
      <c r="H456" s="2">
        <v>5.1300900000000003E-4</v>
      </c>
      <c r="I456" s="2" t="s">
        <v>44054</v>
      </c>
      <c r="J456" s="2" t="s">
        <v>44055</v>
      </c>
      <c r="K456" s="2">
        <v>5.5145569999999998E-3</v>
      </c>
      <c r="L456" s="2" t="s">
        <v>35</v>
      </c>
      <c r="M456" s="4" t="s">
        <v>44709</v>
      </c>
    </row>
    <row r="457" spans="1:13">
      <c r="A457" s="2">
        <v>2958</v>
      </c>
      <c r="B457" s="2" t="s">
        <v>25167</v>
      </c>
      <c r="C457" s="2">
        <v>10</v>
      </c>
      <c r="D457" s="2">
        <v>291</v>
      </c>
      <c r="E457" s="2">
        <v>302</v>
      </c>
      <c r="F457" s="2">
        <v>32441</v>
      </c>
      <c r="G457" s="2">
        <v>3.6914271410000001</v>
      </c>
      <c r="H457" s="2">
        <v>5.2442999999999999E-4</v>
      </c>
      <c r="I457" s="2" t="s">
        <v>44710</v>
      </c>
      <c r="J457" s="2" t="s">
        <v>44711</v>
      </c>
      <c r="K457" s="2">
        <v>5.6246250000000003E-3</v>
      </c>
      <c r="L457" s="2" t="s">
        <v>35</v>
      </c>
      <c r="M457" s="4" t="s">
        <v>25170</v>
      </c>
    </row>
    <row r="458" spans="1:13">
      <c r="A458" s="2">
        <v>1823</v>
      </c>
      <c r="B458" s="2" t="s">
        <v>25414</v>
      </c>
      <c r="C458" s="2">
        <v>8</v>
      </c>
      <c r="D458" s="2">
        <v>291</v>
      </c>
      <c r="E458" s="2">
        <v>197</v>
      </c>
      <c r="F458" s="2">
        <v>32441</v>
      </c>
      <c r="G458" s="2">
        <v>4.5271512549999997</v>
      </c>
      <c r="H458" s="2">
        <v>5.2834599999999996E-4</v>
      </c>
      <c r="I458" s="2" t="s">
        <v>44712</v>
      </c>
      <c r="J458" s="2" t="s">
        <v>44713</v>
      </c>
      <c r="K458" s="2">
        <v>5.6538999999999999E-3</v>
      </c>
      <c r="L458" s="2" t="s">
        <v>35</v>
      </c>
      <c r="M458" s="4" t="s">
        <v>25417</v>
      </c>
    </row>
    <row r="459" spans="1:13">
      <c r="A459" s="2">
        <v>2238</v>
      </c>
      <c r="B459" s="2" t="s">
        <v>36469</v>
      </c>
      <c r="C459" s="2">
        <v>5</v>
      </c>
      <c r="D459" s="2">
        <v>291</v>
      </c>
      <c r="E459" s="2">
        <v>70</v>
      </c>
      <c r="F459" s="2">
        <v>32441</v>
      </c>
      <c r="G459" s="2">
        <v>7.9629356900000001</v>
      </c>
      <c r="H459" s="2">
        <v>5.5722200000000001E-4</v>
      </c>
      <c r="I459" s="2" t="s">
        <v>44714</v>
      </c>
      <c r="J459" s="2" t="s">
        <v>44715</v>
      </c>
      <c r="K459" s="2">
        <v>5.9495290000000003E-3</v>
      </c>
      <c r="L459" s="2" t="s">
        <v>35</v>
      </c>
      <c r="M459" s="4" t="s">
        <v>36472</v>
      </c>
    </row>
    <row r="460" spans="1:13">
      <c r="A460" s="2">
        <v>3960</v>
      </c>
      <c r="B460" s="2" t="s">
        <v>44716</v>
      </c>
      <c r="C460" s="2">
        <v>6</v>
      </c>
      <c r="D460" s="2">
        <v>291</v>
      </c>
      <c r="E460" s="2">
        <v>108</v>
      </c>
      <c r="F460" s="2">
        <v>32441</v>
      </c>
      <c r="G460" s="2">
        <v>6.1933944250000001</v>
      </c>
      <c r="H460" s="2">
        <v>5.6026299999999997E-4</v>
      </c>
      <c r="I460" s="2" t="s">
        <v>44717</v>
      </c>
      <c r="J460" s="2" t="s">
        <v>44718</v>
      </c>
      <c r="K460" s="2">
        <v>5.9686210000000003E-3</v>
      </c>
      <c r="L460" s="2" t="s">
        <v>35</v>
      </c>
      <c r="M460" s="4" t="s">
        <v>44719</v>
      </c>
    </row>
    <row r="461" spans="1:13">
      <c r="A461" s="2">
        <v>4579</v>
      </c>
      <c r="B461" s="2" t="s">
        <v>34978</v>
      </c>
      <c r="C461" s="2">
        <v>11</v>
      </c>
      <c r="D461" s="2">
        <v>291</v>
      </c>
      <c r="E461" s="2">
        <v>364</v>
      </c>
      <c r="F461" s="2">
        <v>32441</v>
      </c>
      <c r="G461" s="2">
        <v>3.3689343300000001</v>
      </c>
      <c r="H461" s="2">
        <v>5.8598400000000001E-4</v>
      </c>
      <c r="I461" s="2" t="s">
        <v>44720</v>
      </c>
      <c r="J461" s="2" t="s">
        <v>44721</v>
      </c>
      <c r="K461" s="2">
        <v>6.2286930000000004E-3</v>
      </c>
      <c r="L461" s="2" t="s">
        <v>35</v>
      </c>
      <c r="M461" s="4" t="s">
        <v>34981</v>
      </c>
    </row>
    <row r="462" spans="1:13">
      <c r="A462" s="2">
        <v>3788</v>
      </c>
      <c r="B462" s="2" t="s">
        <v>3839</v>
      </c>
      <c r="C462" s="2">
        <v>9</v>
      </c>
      <c r="D462" s="2">
        <v>291</v>
      </c>
      <c r="E462" s="2">
        <v>252</v>
      </c>
      <c r="F462" s="2">
        <v>32441</v>
      </c>
      <c r="G462" s="2">
        <v>3.9814678450000001</v>
      </c>
      <c r="H462" s="2">
        <v>5.8924400000000005E-4</v>
      </c>
      <c r="I462" s="2" t="s">
        <v>44722</v>
      </c>
      <c r="J462" s="2" t="s">
        <v>44723</v>
      </c>
      <c r="K462" s="2">
        <v>6.2494009999999999E-3</v>
      </c>
      <c r="L462" s="2" t="s">
        <v>35</v>
      </c>
      <c r="M462" s="4" t="s">
        <v>3842</v>
      </c>
    </row>
    <row r="463" spans="1:13">
      <c r="A463" s="2">
        <v>171</v>
      </c>
      <c r="B463" s="2" t="s">
        <v>44724</v>
      </c>
      <c r="C463" s="2">
        <v>5</v>
      </c>
      <c r="D463" s="2">
        <v>291</v>
      </c>
      <c r="E463" s="2">
        <v>71</v>
      </c>
      <c r="F463" s="2">
        <v>32441</v>
      </c>
      <c r="G463" s="2">
        <v>7.8507816659999996</v>
      </c>
      <c r="H463" s="2">
        <v>5.9217799999999995E-4</v>
      </c>
      <c r="I463" s="2" t="s">
        <v>44725</v>
      </c>
      <c r="J463" s="2" t="s">
        <v>44726</v>
      </c>
      <c r="K463" s="2">
        <v>6.260435E-3</v>
      </c>
      <c r="L463" s="2" t="s">
        <v>35</v>
      </c>
      <c r="M463" s="4" t="s">
        <v>44727</v>
      </c>
    </row>
    <row r="464" spans="1:13">
      <c r="A464" s="2">
        <v>3343</v>
      </c>
      <c r="B464" s="2" t="s">
        <v>44728</v>
      </c>
      <c r="C464" s="2">
        <v>10</v>
      </c>
      <c r="D464" s="2">
        <v>291</v>
      </c>
      <c r="E464" s="2">
        <v>307</v>
      </c>
      <c r="F464" s="2">
        <v>32441</v>
      </c>
      <c r="G464" s="2">
        <v>3.631306178</v>
      </c>
      <c r="H464" s="2">
        <v>5.9291400000000005E-4</v>
      </c>
      <c r="I464" s="2" t="s">
        <v>44729</v>
      </c>
      <c r="J464" s="2" t="s">
        <v>44730</v>
      </c>
      <c r="K464" s="2">
        <v>6.260435E-3</v>
      </c>
      <c r="L464" s="2" t="s">
        <v>35</v>
      </c>
      <c r="M464" s="4" t="s">
        <v>44731</v>
      </c>
    </row>
    <row r="465" spans="1:13">
      <c r="A465" s="2">
        <v>1973</v>
      </c>
      <c r="B465" s="2" t="s">
        <v>44732</v>
      </c>
      <c r="C465" s="2">
        <v>3</v>
      </c>
      <c r="D465" s="2">
        <v>291</v>
      </c>
      <c r="E465" s="2">
        <v>16</v>
      </c>
      <c r="F465" s="2">
        <v>32441</v>
      </c>
      <c r="G465" s="2">
        <v>20.90270619</v>
      </c>
      <c r="H465" s="2">
        <v>6.0641500000000001E-4</v>
      </c>
      <c r="I465" s="2" t="s">
        <v>44733</v>
      </c>
      <c r="J465" s="2" t="s">
        <v>44734</v>
      </c>
      <c r="K465" s="2">
        <v>6.3747170000000002E-3</v>
      </c>
      <c r="L465" s="2" t="s">
        <v>35</v>
      </c>
      <c r="M465" s="4" t="s">
        <v>44735</v>
      </c>
    </row>
    <row r="466" spans="1:13">
      <c r="A466" s="2">
        <v>3284</v>
      </c>
      <c r="B466" s="2" t="s">
        <v>44736</v>
      </c>
      <c r="C466" s="2">
        <v>3</v>
      </c>
      <c r="D466" s="2">
        <v>291</v>
      </c>
      <c r="E466" s="2">
        <v>16</v>
      </c>
      <c r="F466" s="2">
        <v>32441</v>
      </c>
      <c r="G466" s="2">
        <v>20.90270619</v>
      </c>
      <c r="H466" s="2">
        <v>6.0641500000000001E-4</v>
      </c>
      <c r="I466" s="2" t="s">
        <v>44737</v>
      </c>
      <c r="J466" s="2" t="s">
        <v>44738</v>
      </c>
      <c r="K466" s="2">
        <v>6.3747170000000002E-3</v>
      </c>
      <c r="L466" s="2" t="s">
        <v>35</v>
      </c>
      <c r="M466" s="4" t="s">
        <v>44739</v>
      </c>
    </row>
    <row r="467" spans="1:13">
      <c r="A467" s="2">
        <v>2749</v>
      </c>
      <c r="B467" s="2" t="s">
        <v>24536</v>
      </c>
      <c r="C467" s="2">
        <v>14</v>
      </c>
      <c r="D467" s="2">
        <v>291</v>
      </c>
      <c r="E467" s="2">
        <v>555</v>
      </c>
      <c r="F467" s="2">
        <v>32441</v>
      </c>
      <c r="G467" s="2">
        <v>2.812135847</v>
      </c>
      <c r="H467" s="2">
        <v>6.3816399999999998E-4</v>
      </c>
      <c r="I467" s="2" t="s">
        <v>44740</v>
      </c>
      <c r="J467" s="2" t="s">
        <v>44741</v>
      </c>
      <c r="K467" s="2">
        <v>6.6816430000000001E-3</v>
      </c>
      <c r="L467" s="2" t="s">
        <v>35</v>
      </c>
      <c r="M467" s="4" t="s">
        <v>24539</v>
      </c>
    </row>
    <row r="468" spans="1:13">
      <c r="A468" s="2">
        <v>3006</v>
      </c>
      <c r="B468" s="2" t="s">
        <v>35027</v>
      </c>
      <c r="C468" s="2">
        <v>8</v>
      </c>
      <c r="D468" s="2">
        <v>291</v>
      </c>
      <c r="E468" s="2">
        <v>203</v>
      </c>
      <c r="F468" s="2">
        <v>32441</v>
      </c>
      <c r="G468" s="2">
        <v>4.393343829</v>
      </c>
      <c r="H468" s="2">
        <v>6.3841799999999997E-4</v>
      </c>
      <c r="I468" s="2" t="s">
        <v>44742</v>
      </c>
      <c r="J468" s="2" t="s">
        <v>44743</v>
      </c>
      <c r="K468" s="2">
        <v>6.6816430000000001E-3</v>
      </c>
      <c r="L468" s="2" t="s">
        <v>35</v>
      </c>
      <c r="M468" s="4" t="s">
        <v>35030</v>
      </c>
    </row>
    <row r="469" spans="1:13">
      <c r="A469" s="2">
        <v>555</v>
      </c>
      <c r="B469" s="2" t="s">
        <v>5405</v>
      </c>
      <c r="C469" s="2">
        <v>4</v>
      </c>
      <c r="D469" s="2">
        <v>291</v>
      </c>
      <c r="E469" s="2">
        <v>41</v>
      </c>
      <c r="F469" s="2">
        <v>32441</v>
      </c>
      <c r="G469" s="2">
        <v>10.87620484</v>
      </c>
      <c r="H469" s="2">
        <v>6.8435000000000002E-4</v>
      </c>
      <c r="I469" s="2" t="s">
        <v>44744</v>
      </c>
      <c r="J469" s="2" t="s">
        <v>44745</v>
      </c>
      <c r="K469" s="2">
        <v>7.1466519999999999E-3</v>
      </c>
      <c r="L469" s="2" t="s">
        <v>35</v>
      </c>
      <c r="M469" s="4" t="s">
        <v>5408</v>
      </c>
    </row>
    <row r="470" spans="1:13">
      <c r="A470" s="2">
        <v>593</v>
      </c>
      <c r="B470" s="2" t="s">
        <v>44746</v>
      </c>
      <c r="C470" s="2">
        <v>3</v>
      </c>
      <c r="D470" s="2">
        <v>291</v>
      </c>
      <c r="E470" s="2">
        <v>17</v>
      </c>
      <c r="F470" s="2">
        <v>32441</v>
      </c>
      <c r="G470" s="2">
        <v>19.67313523</v>
      </c>
      <c r="H470" s="2">
        <v>7.0875300000000001E-4</v>
      </c>
      <c r="I470" s="2" t="s">
        <v>44747</v>
      </c>
      <c r="J470" s="2" t="s">
        <v>44748</v>
      </c>
      <c r="K470" s="2">
        <v>7.3212149999999998E-3</v>
      </c>
      <c r="L470" s="2" t="s">
        <v>35</v>
      </c>
      <c r="M470" s="4" t="s">
        <v>44749</v>
      </c>
    </row>
    <row r="471" spans="1:13">
      <c r="A471" s="2">
        <v>628</v>
      </c>
      <c r="B471" s="2" t="s">
        <v>44750</v>
      </c>
      <c r="C471" s="2">
        <v>3</v>
      </c>
      <c r="D471" s="2">
        <v>291</v>
      </c>
      <c r="E471" s="2">
        <v>17</v>
      </c>
      <c r="F471" s="2">
        <v>32441</v>
      </c>
      <c r="G471" s="2">
        <v>19.67313523</v>
      </c>
      <c r="H471" s="2">
        <v>7.0875300000000001E-4</v>
      </c>
      <c r="I471" s="2" t="s">
        <v>44751</v>
      </c>
      <c r="J471" s="2" t="s">
        <v>44752</v>
      </c>
      <c r="K471" s="2">
        <v>7.3212149999999998E-3</v>
      </c>
      <c r="L471" s="2" t="s">
        <v>35</v>
      </c>
      <c r="M471" s="4" t="s">
        <v>44753</v>
      </c>
    </row>
    <row r="472" spans="1:13">
      <c r="A472" s="2">
        <v>1435</v>
      </c>
      <c r="B472" s="2" t="s">
        <v>44754</v>
      </c>
      <c r="C472" s="2">
        <v>5</v>
      </c>
      <c r="D472" s="2">
        <v>291</v>
      </c>
      <c r="E472" s="2">
        <v>74</v>
      </c>
      <c r="F472" s="2">
        <v>32441</v>
      </c>
      <c r="G472" s="2">
        <v>7.532506734</v>
      </c>
      <c r="H472" s="2">
        <v>7.0695199999999995E-4</v>
      </c>
      <c r="I472" s="2" t="s">
        <v>44755</v>
      </c>
      <c r="J472" s="2" t="s">
        <v>44756</v>
      </c>
      <c r="K472" s="2">
        <v>7.3212149999999998E-3</v>
      </c>
      <c r="L472" s="2" t="s">
        <v>35</v>
      </c>
      <c r="M472" s="4" t="s">
        <v>44757</v>
      </c>
    </row>
    <row r="473" spans="1:13">
      <c r="A473" s="2">
        <v>3221</v>
      </c>
      <c r="B473" s="2" t="s">
        <v>44758</v>
      </c>
      <c r="C473" s="2">
        <v>6</v>
      </c>
      <c r="D473" s="2">
        <v>291</v>
      </c>
      <c r="E473" s="2">
        <v>113</v>
      </c>
      <c r="F473" s="2">
        <v>32441</v>
      </c>
      <c r="G473" s="2">
        <v>5.9193504240000001</v>
      </c>
      <c r="H473" s="2">
        <v>7.0260699999999995E-4</v>
      </c>
      <c r="I473" s="2" t="s">
        <v>44759</v>
      </c>
      <c r="J473" s="2" t="s">
        <v>44760</v>
      </c>
      <c r="K473" s="2">
        <v>7.3212149999999998E-3</v>
      </c>
      <c r="L473" s="2" t="s">
        <v>35</v>
      </c>
      <c r="M473" s="4" t="s">
        <v>44761</v>
      </c>
    </row>
    <row r="474" spans="1:13">
      <c r="A474" s="2">
        <v>3596</v>
      </c>
      <c r="B474" s="2" t="s">
        <v>44762</v>
      </c>
      <c r="C474" s="2">
        <v>3</v>
      </c>
      <c r="D474" s="2">
        <v>291</v>
      </c>
      <c r="E474" s="2">
        <v>17</v>
      </c>
      <c r="F474" s="2">
        <v>32441</v>
      </c>
      <c r="G474" s="2">
        <v>19.67313523</v>
      </c>
      <c r="H474" s="2">
        <v>7.0875300000000001E-4</v>
      </c>
      <c r="I474" s="2" t="s">
        <v>44763</v>
      </c>
      <c r="J474" s="2" t="s">
        <v>44764</v>
      </c>
      <c r="K474" s="2">
        <v>7.3212149999999998E-3</v>
      </c>
      <c r="L474" s="2" t="s">
        <v>35</v>
      </c>
      <c r="M474" s="4" t="s">
        <v>44765</v>
      </c>
    </row>
    <row r="475" spans="1:13">
      <c r="A475" s="2">
        <v>2563</v>
      </c>
      <c r="B475" s="2" t="s">
        <v>44766</v>
      </c>
      <c r="C475" s="2">
        <v>6</v>
      </c>
      <c r="D475" s="2">
        <v>291</v>
      </c>
      <c r="E475" s="2">
        <v>114</v>
      </c>
      <c r="F475" s="2">
        <v>32441</v>
      </c>
      <c r="G475" s="2">
        <v>5.8674262979999998</v>
      </c>
      <c r="H475" s="2">
        <v>7.3415500000000001E-4</v>
      </c>
      <c r="I475" s="2" t="s">
        <v>44767</v>
      </c>
      <c r="J475" s="2" t="s">
        <v>44768</v>
      </c>
      <c r="K475" s="2">
        <v>7.5672029999999998E-3</v>
      </c>
      <c r="L475" s="2" t="s">
        <v>35</v>
      </c>
      <c r="M475" s="4" t="s">
        <v>44769</v>
      </c>
    </row>
    <row r="476" spans="1:13">
      <c r="A476" s="2">
        <v>565</v>
      </c>
      <c r="B476" s="2" t="s">
        <v>5850</v>
      </c>
      <c r="C476" s="2">
        <v>4</v>
      </c>
      <c r="D476" s="2">
        <v>291</v>
      </c>
      <c r="E476" s="2">
        <v>42</v>
      </c>
      <c r="F476" s="2">
        <v>32441</v>
      </c>
      <c r="G476" s="2">
        <v>10.61724759</v>
      </c>
      <c r="H476" s="2">
        <v>7.4432800000000005E-4</v>
      </c>
      <c r="I476" s="2" t="s">
        <v>44770</v>
      </c>
      <c r="J476" s="2" t="s">
        <v>44771</v>
      </c>
      <c r="K476" s="2">
        <v>7.6554830000000003E-3</v>
      </c>
      <c r="L476" s="2" t="s">
        <v>35</v>
      </c>
      <c r="M476" s="4" t="s">
        <v>5853</v>
      </c>
    </row>
    <row r="477" spans="1:13">
      <c r="A477" s="2">
        <v>3892</v>
      </c>
      <c r="B477" s="2" t="s">
        <v>44772</v>
      </c>
      <c r="C477" s="2">
        <v>5</v>
      </c>
      <c r="D477" s="2">
        <v>291</v>
      </c>
      <c r="E477" s="2">
        <v>75</v>
      </c>
      <c r="F477" s="2">
        <v>32441</v>
      </c>
      <c r="G477" s="2">
        <v>7.4320733099999998</v>
      </c>
      <c r="H477" s="2">
        <v>7.4867E-4</v>
      </c>
      <c r="I477" s="2" t="s">
        <v>44773</v>
      </c>
      <c r="J477" s="2" t="s">
        <v>44774</v>
      </c>
      <c r="K477" s="2">
        <v>7.6835460000000003E-3</v>
      </c>
      <c r="L477" s="2" t="s">
        <v>35</v>
      </c>
      <c r="M477" s="4" t="s">
        <v>44775</v>
      </c>
    </row>
    <row r="478" spans="1:13">
      <c r="A478" s="2">
        <v>3057</v>
      </c>
      <c r="B478" s="2" t="s">
        <v>44776</v>
      </c>
      <c r="C478" s="2">
        <v>5</v>
      </c>
      <c r="D478" s="2">
        <v>291</v>
      </c>
      <c r="E478" s="2">
        <v>76</v>
      </c>
      <c r="F478" s="2">
        <v>32441</v>
      </c>
      <c r="G478" s="2">
        <v>7.3342828720000002</v>
      </c>
      <c r="H478" s="2">
        <v>7.9219900000000005E-4</v>
      </c>
      <c r="I478" s="2" t="s">
        <v>44777</v>
      </c>
      <c r="J478" s="2" t="s">
        <v>44778</v>
      </c>
      <c r="K478" s="2">
        <v>8.1127990000000004E-3</v>
      </c>
      <c r="L478" s="2" t="s">
        <v>35</v>
      </c>
      <c r="M478" s="4" t="s">
        <v>44779</v>
      </c>
    </row>
    <row r="479" spans="1:13">
      <c r="A479" s="2">
        <v>2310</v>
      </c>
      <c r="B479" s="2" t="s">
        <v>44780</v>
      </c>
      <c r="C479" s="2">
        <v>4</v>
      </c>
      <c r="D479" s="2">
        <v>291</v>
      </c>
      <c r="E479" s="2">
        <v>43</v>
      </c>
      <c r="F479" s="2">
        <v>32441</v>
      </c>
      <c r="G479" s="2">
        <v>10.370334850000001</v>
      </c>
      <c r="H479" s="2">
        <v>8.0792699999999995E-4</v>
      </c>
      <c r="I479" s="2" t="s">
        <v>44781</v>
      </c>
      <c r="J479" s="2" t="s">
        <v>44782</v>
      </c>
      <c r="K479" s="2">
        <v>8.256111E-3</v>
      </c>
      <c r="L479" s="2" t="s">
        <v>35</v>
      </c>
      <c r="M479" s="4" t="s">
        <v>44783</v>
      </c>
    </row>
    <row r="480" spans="1:13">
      <c r="A480" s="2">
        <v>4308</v>
      </c>
      <c r="B480" s="2" t="s">
        <v>44784</v>
      </c>
      <c r="C480" s="2">
        <v>3</v>
      </c>
      <c r="D480" s="2">
        <v>291</v>
      </c>
      <c r="E480" s="2">
        <v>18</v>
      </c>
      <c r="F480" s="2">
        <v>32441</v>
      </c>
      <c r="G480" s="2">
        <v>18.58018328</v>
      </c>
      <c r="H480" s="2">
        <v>8.2145999999999999E-4</v>
      </c>
      <c r="I480" s="2" t="s">
        <v>44785</v>
      </c>
      <c r="J480" s="2" t="s">
        <v>44786</v>
      </c>
      <c r="K480" s="2">
        <v>8.3764330000000008E-3</v>
      </c>
      <c r="L480" s="2" t="s">
        <v>35</v>
      </c>
      <c r="M480" s="4" t="s">
        <v>44787</v>
      </c>
    </row>
    <row r="481" spans="1:13">
      <c r="A481" s="2">
        <v>4084</v>
      </c>
      <c r="B481" s="2" t="s">
        <v>5035</v>
      </c>
      <c r="C481" s="2">
        <v>7</v>
      </c>
      <c r="D481" s="2">
        <v>291</v>
      </c>
      <c r="E481" s="2">
        <v>162</v>
      </c>
      <c r="F481" s="2">
        <v>32441</v>
      </c>
      <c r="G481" s="2">
        <v>4.8170845529999999</v>
      </c>
      <c r="H481" s="2">
        <v>8.2694699999999997E-4</v>
      </c>
      <c r="I481" s="2" t="s">
        <v>44788</v>
      </c>
      <c r="J481" s="2" t="s">
        <v>44789</v>
      </c>
      <c r="K481" s="2">
        <v>8.4143670000000007E-3</v>
      </c>
      <c r="L481" s="2" t="s">
        <v>35</v>
      </c>
      <c r="M481" s="4" t="s">
        <v>5038</v>
      </c>
    </row>
    <row r="482" spans="1:13">
      <c r="A482" s="2">
        <v>1722</v>
      </c>
      <c r="B482" s="2" t="s">
        <v>44790</v>
      </c>
      <c r="C482" s="2">
        <v>5</v>
      </c>
      <c r="D482" s="2">
        <v>291</v>
      </c>
      <c r="E482" s="2">
        <v>77</v>
      </c>
      <c r="F482" s="2">
        <v>32441</v>
      </c>
      <c r="G482" s="2">
        <v>7.2390324450000003</v>
      </c>
      <c r="H482" s="2">
        <v>8.37588E-4</v>
      </c>
      <c r="I482" s="2" t="s">
        <v>44791</v>
      </c>
      <c r="J482" s="2" t="s">
        <v>44792</v>
      </c>
      <c r="K482" s="2">
        <v>8.5044690000000006E-3</v>
      </c>
      <c r="L482" s="2" t="s">
        <v>35</v>
      </c>
      <c r="M482" s="4" t="s">
        <v>44793</v>
      </c>
    </row>
    <row r="483" spans="1:13">
      <c r="A483" s="2">
        <v>3762</v>
      </c>
      <c r="B483" s="2" t="s">
        <v>5163</v>
      </c>
      <c r="C483" s="2">
        <v>10</v>
      </c>
      <c r="D483" s="2">
        <v>291</v>
      </c>
      <c r="E483" s="2">
        <v>323</v>
      </c>
      <c r="F483" s="2">
        <v>32441</v>
      </c>
      <c r="G483" s="2">
        <v>3.4514272340000001</v>
      </c>
      <c r="H483" s="2">
        <v>8.6357600000000001E-4</v>
      </c>
      <c r="I483" s="2" t="s">
        <v>44794</v>
      </c>
      <c r="J483" s="2" t="s">
        <v>44795</v>
      </c>
      <c r="K483" s="2">
        <v>8.7496750000000002E-3</v>
      </c>
      <c r="L483" s="2" t="s">
        <v>35</v>
      </c>
      <c r="M483" s="4" t="s">
        <v>5166</v>
      </c>
    </row>
    <row r="484" spans="1:13">
      <c r="A484" s="2">
        <v>2569</v>
      </c>
      <c r="B484" s="2" t="s">
        <v>42494</v>
      </c>
      <c r="C484" s="2">
        <v>6</v>
      </c>
      <c r="D484" s="2">
        <v>291</v>
      </c>
      <c r="E484" s="2">
        <v>118</v>
      </c>
      <c r="F484" s="2">
        <v>32441</v>
      </c>
      <c r="G484" s="2">
        <v>5.6685304910000003</v>
      </c>
      <c r="H484" s="2">
        <v>8.7144200000000005E-4</v>
      </c>
      <c r="I484" s="2" t="s">
        <v>44796</v>
      </c>
      <c r="J484" s="2" t="s">
        <v>44797</v>
      </c>
      <c r="K484" s="2">
        <v>8.8106250000000007E-3</v>
      </c>
      <c r="L484" s="2" t="s">
        <v>35</v>
      </c>
      <c r="M484" s="4" t="s">
        <v>42497</v>
      </c>
    </row>
    <row r="485" spans="1:13">
      <c r="A485" s="2">
        <v>3352</v>
      </c>
      <c r="B485" s="2" t="s">
        <v>44798</v>
      </c>
      <c r="C485" s="2">
        <v>4</v>
      </c>
      <c r="D485" s="2">
        <v>291</v>
      </c>
      <c r="E485" s="2">
        <v>44</v>
      </c>
      <c r="F485" s="2">
        <v>32441</v>
      </c>
      <c r="G485" s="2">
        <v>10.13464542</v>
      </c>
      <c r="H485" s="2">
        <v>8.7526599999999998E-4</v>
      </c>
      <c r="I485" s="2" t="s">
        <v>44799</v>
      </c>
      <c r="J485" s="2" t="s">
        <v>44800</v>
      </c>
      <c r="K485" s="2">
        <v>8.8305420000000003E-3</v>
      </c>
      <c r="L485" s="2" t="s">
        <v>35</v>
      </c>
      <c r="M485" s="4" t="s">
        <v>44801</v>
      </c>
    </row>
    <row r="486" spans="1:13">
      <c r="A486" s="2">
        <v>4622</v>
      </c>
      <c r="B486" s="2" t="s">
        <v>44802</v>
      </c>
      <c r="C486" s="2">
        <v>17</v>
      </c>
      <c r="D486" s="2">
        <v>291</v>
      </c>
      <c r="E486" s="2">
        <v>784</v>
      </c>
      <c r="F486" s="2">
        <v>32441</v>
      </c>
      <c r="G486" s="2">
        <v>2.4173197630000001</v>
      </c>
      <c r="H486" s="2">
        <v>9.1605500000000004E-4</v>
      </c>
      <c r="I486" s="2" t="s">
        <v>44803</v>
      </c>
      <c r="J486" s="2" t="s">
        <v>44804</v>
      </c>
      <c r="K486" s="2">
        <v>9.2225209999999992E-3</v>
      </c>
      <c r="L486" s="2" t="s">
        <v>35</v>
      </c>
      <c r="M486" s="4" t="s">
        <v>44805</v>
      </c>
    </row>
    <row r="487" spans="1:13">
      <c r="A487" s="2">
        <v>1128</v>
      </c>
      <c r="B487" s="2" t="s">
        <v>44806</v>
      </c>
      <c r="C487" s="2">
        <v>3</v>
      </c>
      <c r="D487" s="2">
        <v>291</v>
      </c>
      <c r="E487" s="2">
        <v>19</v>
      </c>
      <c r="F487" s="2">
        <v>32441</v>
      </c>
      <c r="G487" s="2">
        <v>17.602278890000001</v>
      </c>
      <c r="H487" s="2">
        <v>9.4493500000000005E-4</v>
      </c>
      <c r="I487" s="2" t="s">
        <v>44807</v>
      </c>
      <c r="J487" s="2" t="s">
        <v>44808</v>
      </c>
      <c r="K487" s="2">
        <v>9.3701840000000002E-3</v>
      </c>
      <c r="L487" s="2" t="s">
        <v>35</v>
      </c>
      <c r="M487" s="4" t="s">
        <v>44809</v>
      </c>
    </row>
    <row r="488" spans="1:13">
      <c r="A488" s="2">
        <v>1877</v>
      </c>
      <c r="B488" s="2" t="s">
        <v>44810</v>
      </c>
      <c r="C488" s="2">
        <v>4</v>
      </c>
      <c r="D488" s="2">
        <v>291</v>
      </c>
      <c r="E488" s="2">
        <v>45</v>
      </c>
      <c r="F488" s="2">
        <v>32441</v>
      </c>
      <c r="G488" s="2">
        <v>9.9094310809999993</v>
      </c>
      <c r="H488" s="2">
        <v>9.4646300000000004E-4</v>
      </c>
      <c r="I488" s="2" t="s">
        <v>44811</v>
      </c>
      <c r="J488" s="2" t="s">
        <v>44812</v>
      </c>
      <c r="K488" s="2">
        <v>9.3701840000000002E-3</v>
      </c>
      <c r="L488" s="2" t="s">
        <v>35</v>
      </c>
      <c r="M488" s="4" t="s">
        <v>44813</v>
      </c>
    </row>
    <row r="489" spans="1:13">
      <c r="A489" s="2">
        <v>2397</v>
      </c>
      <c r="B489" s="2" t="s">
        <v>25213</v>
      </c>
      <c r="C489" s="2">
        <v>4</v>
      </c>
      <c r="D489" s="2">
        <v>291</v>
      </c>
      <c r="E489" s="2">
        <v>45</v>
      </c>
      <c r="F489" s="2">
        <v>32441</v>
      </c>
      <c r="G489" s="2">
        <v>9.9094310809999993</v>
      </c>
      <c r="H489" s="2">
        <v>9.4646300000000004E-4</v>
      </c>
      <c r="I489" s="2" t="s">
        <v>44814</v>
      </c>
      <c r="J489" s="2" t="s">
        <v>44815</v>
      </c>
      <c r="K489" s="2">
        <v>9.3701840000000002E-3</v>
      </c>
      <c r="L489" s="2" t="s">
        <v>35</v>
      </c>
      <c r="M489" s="4" t="s">
        <v>25216</v>
      </c>
    </row>
    <row r="490" spans="1:13">
      <c r="A490" s="2">
        <v>2757</v>
      </c>
      <c r="B490" s="2" t="s">
        <v>44816</v>
      </c>
      <c r="C490" s="2">
        <v>5</v>
      </c>
      <c r="D490" s="2">
        <v>291</v>
      </c>
      <c r="E490" s="2">
        <v>79</v>
      </c>
      <c r="F490" s="2">
        <v>32441</v>
      </c>
      <c r="G490" s="2">
        <v>7.0557658009999997</v>
      </c>
      <c r="H490" s="2">
        <v>9.3414599999999996E-4</v>
      </c>
      <c r="I490" s="2" t="s">
        <v>44817</v>
      </c>
      <c r="J490" s="2" t="s">
        <v>44818</v>
      </c>
      <c r="K490" s="2">
        <v>9.3701840000000002E-3</v>
      </c>
      <c r="L490" s="2" t="s">
        <v>35</v>
      </c>
      <c r="M490" s="4" t="s">
        <v>44819</v>
      </c>
    </row>
    <row r="491" spans="1:13">
      <c r="A491" s="2">
        <v>2987</v>
      </c>
      <c r="B491" s="2" t="s">
        <v>44820</v>
      </c>
      <c r="C491" s="2">
        <v>4</v>
      </c>
      <c r="D491" s="2">
        <v>291</v>
      </c>
      <c r="E491" s="2">
        <v>45</v>
      </c>
      <c r="F491" s="2">
        <v>32441</v>
      </c>
      <c r="G491" s="2">
        <v>9.9094310809999993</v>
      </c>
      <c r="H491" s="2">
        <v>9.4646300000000004E-4</v>
      </c>
      <c r="I491" s="2" t="s">
        <v>44821</v>
      </c>
      <c r="J491" s="2" t="s">
        <v>44822</v>
      </c>
      <c r="K491" s="2">
        <v>9.3701840000000002E-3</v>
      </c>
      <c r="L491" s="2" t="s">
        <v>35</v>
      </c>
      <c r="M491" s="4" t="s">
        <v>44823</v>
      </c>
    </row>
    <row r="492" spans="1:13">
      <c r="A492" s="2">
        <v>3277</v>
      </c>
      <c r="B492" s="2" t="s">
        <v>44824</v>
      </c>
      <c r="C492" s="2">
        <v>4</v>
      </c>
      <c r="D492" s="2">
        <v>291</v>
      </c>
      <c r="E492" s="2">
        <v>45</v>
      </c>
      <c r="F492" s="2">
        <v>32441</v>
      </c>
      <c r="G492" s="2">
        <v>9.9094310809999993</v>
      </c>
      <c r="H492" s="2">
        <v>9.4646300000000004E-4</v>
      </c>
      <c r="I492" s="2" t="s">
        <v>44825</v>
      </c>
      <c r="J492" s="2" t="s">
        <v>44826</v>
      </c>
      <c r="K492" s="2">
        <v>9.3701840000000002E-3</v>
      </c>
      <c r="L492" s="2" t="s">
        <v>35</v>
      </c>
      <c r="M492" s="4" t="s">
        <v>44827</v>
      </c>
    </row>
    <row r="493" spans="1:13">
      <c r="A493" s="2">
        <v>4435</v>
      </c>
      <c r="B493" s="2" t="s">
        <v>44828</v>
      </c>
      <c r="C493" s="2">
        <v>3</v>
      </c>
      <c r="D493" s="2">
        <v>291</v>
      </c>
      <c r="E493" s="2">
        <v>19</v>
      </c>
      <c r="F493" s="2">
        <v>32441</v>
      </c>
      <c r="G493" s="2">
        <v>17.602278890000001</v>
      </c>
      <c r="H493" s="2">
        <v>9.4493500000000005E-4</v>
      </c>
      <c r="I493" s="2" t="s">
        <v>44829</v>
      </c>
      <c r="J493" s="2" t="s">
        <v>44830</v>
      </c>
      <c r="K493" s="2">
        <v>9.3701840000000002E-3</v>
      </c>
      <c r="L493" s="2" t="s">
        <v>35</v>
      </c>
      <c r="M493" s="4" t="s">
        <v>44831</v>
      </c>
    </row>
    <row r="494" spans="1:13">
      <c r="A494" s="2">
        <v>4582</v>
      </c>
      <c r="B494" s="2" t="s">
        <v>44832</v>
      </c>
      <c r="C494" s="2">
        <v>3</v>
      </c>
      <c r="D494" s="2">
        <v>291</v>
      </c>
      <c r="E494" s="2">
        <v>19</v>
      </c>
      <c r="F494" s="2">
        <v>32441</v>
      </c>
      <c r="G494" s="2">
        <v>17.602278890000001</v>
      </c>
      <c r="H494" s="2">
        <v>9.4493500000000005E-4</v>
      </c>
      <c r="I494" s="2" t="s">
        <v>44833</v>
      </c>
      <c r="J494" s="2" t="s">
        <v>44834</v>
      </c>
      <c r="K494" s="2">
        <v>9.3701840000000002E-3</v>
      </c>
      <c r="L494" s="2" t="s">
        <v>35</v>
      </c>
      <c r="M494" s="4" t="s">
        <v>44835</v>
      </c>
    </row>
    <row r="495" spans="1:13">
      <c r="A495" s="2">
        <v>2062</v>
      </c>
      <c r="B495" s="2" t="s">
        <v>5401</v>
      </c>
      <c r="C495" s="2">
        <v>5</v>
      </c>
      <c r="D495" s="2">
        <v>291</v>
      </c>
      <c r="E495" s="2">
        <v>81</v>
      </c>
      <c r="F495" s="2">
        <v>32441</v>
      </c>
      <c r="G495" s="2">
        <v>6.8815493620000003</v>
      </c>
      <c r="H495" s="2">
        <v>1.0387440000000001E-3</v>
      </c>
      <c r="I495" s="2" t="s">
        <v>44836</v>
      </c>
      <c r="J495" s="2" t="s">
        <v>44837</v>
      </c>
      <c r="K495" s="2">
        <v>1.0220037E-2</v>
      </c>
      <c r="L495" s="2" t="s">
        <v>35</v>
      </c>
      <c r="M495" s="4" t="s">
        <v>5404</v>
      </c>
    </row>
    <row r="496" spans="1:13">
      <c r="A496" s="2">
        <v>2776</v>
      </c>
      <c r="B496" s="2" t="s">
        <v>25772</v>
      </c>
      <c r="C496" s="2">
        <v>5</v>
      </c>
      <c r="D496" s="2">
        <v>291</v>
      </c>
      <c r="E496" s="2">
        <v>81</v>
      </c>
      <c r="F496" s="2">
        <v>32441</v>
      </c>
      <c r="G496" s="2">
        <v>6.8815493620000003</v>
      </c>
      <c r="H496" s="2">
        <v>1.0387440000000001E-3</v>
      </c>
      <c r="I496" s="2" t="s">
        <v>44838</v>
      </c>
      <c r="J496" s="2" t="s">
        <v>44839</v>
      </c>
      <c r="K496" s="2">
        <v>1.0220037E-2</v>
      </c>
      <c r="L496" s="2" t="s">
        <v>35</v>
      </c>
      <c r="M496" s="4" t="s">
        <v>25775</v>
      </c>
    </row>
    <row r="497" spans="1:13">
      <c r="A497" s="2">
        <v>3722</v>
      </c>
      <c r="B497" s="2" t="s">
        <v>44840</v>
      </c>
      <c r="C497" s="2">
        <v>5</v>
      </c>
      <c r="D497" s="2">
        <v>291</v>
      </c>
      <c r="E497" s="2">
        <v>81</v>
      </c>
      <c r="F497" s="2">
        <v>32441</v>
      </c>
      <c r="G497" s="2">
        <v>6.8815493620000003</v>
      </c>
      <c r="H497" s="2">
        <v>1.0387440000000001E-3</v>
      </c>
      <c r="I497" s="2" t="s">
        <v>44841</v>
      </c>
      <c r="J497" s="2" t="s">
        <v>44842</v>
      </c>
      <c r="K497" s="2">
        <v>1.0220037E-2</v>
      </c>
      <c r="L497" s="2" t="s">
        <v>35</v>
      </c>
      <c r="M497" s="4" t="s">
        <v>44843</v>
      </c>
    </row>
    <row r="498" spans="1:13">
      <c r="A498" s="2">
        <v>3336</v>
      </c>
      <c r="B498" s="2" t="s">
        <v>24509</v>
      </c>
      <c r="C498" s="2">
        <v>11</v>
      </c>
      <c r="D498" s="2">
        <v>291</v>
      </c>
      <c r="E498" s="2">
        <v>393</v>
      </c>
      <c r="F498" s="2">
        <v>32441</v>
      </c>
      <c r="G498" s="2">
        <v>3.120336123</v>
      </c>
      <c r="H498" s="2">
        <v>1.0734329999999999E-3</v>
      </c>
      <c r="I498" s="2" t="s">
        <v>44844</v>
      </c>
      <c r="J498" s="2" t="s">
        <v>44845</v>
      </c>
      <c r="K498" s="2">
        <v>1.053956E-2</v>
      </c>
      <c r="L498" s="2" t="s">
        <v>35</v>
      </c>
      <c r="M498" s="4" t="s">
        <v>24512</v>
      </c>
    </row>
    <row r="499" spans="1:13">
      <c r="A499" s="2">
        <v>2975</v>
      </c>
      <c r="B499" s="2" t="s">
        <v>4266</v>
      </c>
      <c r="C499" s="2">
        <v>3</v>
      </c>
      <c r="D499" s="2">
        <v>291</v>
      </c>
      <c r="E499" s="2">
        <v>20</v>
      </c>
      <c r="F499" s="2">
        <v>32441</v>
      </c>
      <c r="G499" s="2">
        <v>16.72216495</v>
      </c>
      <c r="H499" s="2">
        <v>1.0795620000000001E-3</v>
      </c>
      <c r="I499" s="2" t="s">
        <v>44846</v>
      </c>
      <c r="J499" s="2" t="s">
        <v>44847</v>
      </c>
      <c r="K499" s="2">
        <v>1.0556207E-2</v>
      </c>
      <c r="L499" s="2" t="s">
        <v>35</v>
      </c>
      <c r="M499" s="4" t="s">
        <v>4269</v>
      </c>
    </row>
    <row r="500" spans="1:13">
      <c r="A500" s="2">
        <v>4466</v>
      </c>
      <c r="B500" s="2" t="s">
        <v>44848</v>
      </c>
      <c r="C500" s="2">
        <v>3</v>
      </c>
      <c r="D500" s="2">
        <v>291</v>
      </c>
      <c r="E500" s="2">
        <v>20</v>
      </c>
      <c r="F500" s="2">
        <v>32441</v>
      </c>
      <c r="G500" s="2">
        <v>16.72216495</v>
      </c>
      <c r="H500" s="2">
        <v>1.0795620000000001E-3</v>
      </c>
      <c r="I500" s="2" t="s">
        <v>44849</v>
      </c>
      <c r="J500" s="2" t="s">
        <v>44850</v>
      </c>
      <c r="K500" s="2">
        <v>1.0556207E-2</v>
      </c>
      <c r="L500" s="2" t="s">
        <v>35</v>
      </c>
      <c r="M500" s="4" t="s">
        <v>44851</v>
      </c>
    </row>
    <row r="501" spans="1:13">
      <c r="A501" s="2">
        <v>2165</v>
      </c>
      <c r="B501" s="2" t="s">
        <v>44852</v>
      </c>
      <c r="C501" s="2">
        <v>4</v>
      </c>
      <c r="D501" s="2">
        <v>291</v>
      </c>
      <c r="E501" s="2">
        <v>47</v>
      </c>
      <c r="F501" s="2">
        <v>32441</v>
      </c>
      <c r="G501" s="2">
        <v>9.4877531620000006</v>
      </c>
      <c r="H501" s="2">
        <v>1.100909E-3</v>
      </c>
      <c r="I501" s="2" t="s">
        <v>44853</v>
      </c>
      <c r="J501" s="2" t="s">
        <v>44854</v>
      </c>
      <c r="K501" s="2">
        <v>1.0720917999999999E-2</v>
      </c>
      <c r="L501" s="2" t="s">
        <v>35</v>
      </c>
      <c r="M501" s="4" t="s">
        <v>44855</v>
      </c>
    </row>
    <row r="502" spans="1:13">
      <c r="A502" s="2">
        <v>2273</v>
      </c>
      <c r="B502" s="2" t="s">
        <v>5519</v>
      </c>
      <c r="C502" s="2">
        <v>4</v>
      </c>
      <c r="D502" s="2">
        <v>291</v>
      </c>
      <c r="E502" s="2">
        <v>47</v>
      </c>
      <c r="F502" s="2">
        <v>32441</v>
      </c>
      <c r="G502" s="2">
        <v>9.4877531620000006</v>
      </c>
      <c r="H502" s="2">
        <v>1.100909E-3</v>
      </c>
      <c r="I502" s="2" t="s">
        <v>44856</v>
      </c>
      <c r="J502" s="2" t="s">
        <v>44857</v>
      </c>
      <c r="K502" s="2">
        <v>1.0720917999999999E-2</v>
      </c>
      <c r="L502" s="2" t="s">
        <v>35</v>
      </c>
      <c r="M502" s="4" t="s">
        <v>5522</v>
      </c>
    </row>
    <row r="503" spans="1:13">
      <c r="A503" s="2">
        <v>2701</v>
      </c>
      <c r="B503" s="2" t="s">
        <v>4935</v>
      </c>
      <c r="C503" s="2">
        <v>5</v>
      </c>
      <c r="D503" s="2">
        <v>291</v>
      </c>
      <c r="E503" s="2">
        <v>83</v>
      </c>
      <c r="F503" s="2">
        <v>32441</v>
      </c>
      <c r="G503" s="2">
        <v>6.7157288949999998</v>
      </c>
      <c r="H503" s="2">
        <v>1.151787E-3</v>
      </c>
      <c r="I503" s="2" t="s">
        <v>44858</v>
      </c>
      <c r="J503" s="2" t="s">
        <v>44859</v>
      </c>
      <c r="K503" s="2">
        <v>1.1193491999999999E-2</v>
      </c>
      <c r="L503" s="2" t="s">
        <v>35</v>
      </c>
      <c r="M503" s="4" t="s">
        <v>4938</v>
      </c>
    </row>
    <row r="504" spans="1:13">
      <c r="A504" s="2">
        <v>1757</v>
      </c>
      <c r="B504" s="2" t="s">
        <v>35215</v>
      </c>
      <c r="C504" s="2">
        <v>7</v>
      </c>
      <c r="D504" s="2">
        <v>291</v>
      </c>
      <c r="E504" s="2">
        <v>172</v>
      </c>
      <c r="F504" s="2">
        <v>32441</v>
      </c>
      <c r="G504" s="2">
        <v>4.5370214979999997</v>
      </c>
      <c r="H504" s="2">
        <v>1.1556839999999999E-3</v>
      </c>
      <c r="I504" s="2" t="s">
        <v>44860</v>
      </c>
      <c r="J504" s="2" t="s">
        <v>44861</v>
      </c>
      <c r="K504" s="2">
        <v>1.1208489E-2</v>
      </c>
      <c r="L504" s="2" t="s">
        <v>35</v>
      </c>
      <c r="M504" s="4" t="s">
        <v>35218</v>
      </c>
    </row>
    <row r="505" spans="1:13">
      <c r="A505" s="2">
        <v>2873</v>
      </c>
      <c r="B505" s="2" t="s">
        <v>44862</v>
      </c>
      <c r="C505" s="2">
        <v>4</v>
      </c>
      <c r="D505" s="2">
        <v>291</v>
      </c>
      <c r="E505" s="2">
        <v>48</v>
      </c>
      <c r="F505" s="2">
        <v>32441</v>
      </c>
      <c r="G505" s="2">
        <v>9.2900916379999998</v>
      </c>
      <c r="H505" s="2">
        <v>1.184395E-3</v>
      </c>
      <c r="I505" s="2" t="s">
        <v>44863</v>
      </c>
      <c r="J505" s="2" t="s">
        <v>44864</v>
      </c>
      <c r="K505" s="2">
        <v>1.1463592999999999E-2</v>
      </c>
      <c r="L505" s="2" t="s">
        <v>35</v>
      </c>
      <c r="M505" s="4" t="s">
        <v>44865</v>
      </c>
    </row>
    <row r="506" spans="1:13">
      <c r="A506" s="2">
        <v>2837</v>
      </c>
      <c r="B506" s="2" t="s">
        <v>44866</v>
      </c>
      <c r="C506" s="2">
        <v>6</v>
      </c>
      <c r="D506" s="2">
        <v>291</v>
      </c>
      <c r="E506" s="2">
        <v>126</v>
      </c>
      <c r="F506" s="2">
        <v>32441</v>
      </c>
      <c r="G506" s="2">
        <v>5.3086237929999998</v>
      </c>
      <c r="H506" s="2">
        <v>1.2046450000000001E-3</v>
      </c>
      <c r="I506" s="2" t="s">
        <v>44867</v>
      </c>
      <c r="J506" s="2" t="s">
        <v>44868</v>
      </c>
      <c r="K506" s="2">
        <v>1.1630499000000001E-2</v>
      </c>
      <c r="L506" s="2" t="s">
        <v>35</v>
      </c>
      <c r="M506" s="4" t="s">
        <v>44869</v>
      </c>
    </row>
    <row r="507" spans="1:13">
      <c r="A507" s="2">
        <v>4451</v>
      </c>
      <c r="B507" s="2" t="s">
        <v>44870</v>
      </c>
      <c r="C507" s="2">
        <v>9</v>
      </c>
      <c r="D507" s="2">
        <v>291</v>
      </c>
      <c r="E507" s="2">
        <v>280</v>
      </c>
      <c r="F507" s="2">
        <v>32441</v>
      </c>
      <c r="G507" s="2">
        <v>3.5833210599999998</v>
      </c>
      <c r="H507" s="2">
        <v>1.2065240000000001E-3</v>
      </c>
      <c r="I507" s="2" t="s">
        <v>44871</v>
      </c>
      <c r="J507" s="2" t="s">
        <v>44872</v>
      </c>
      <c r="K507" s="2">
        <v>1.1630499000000001E-2</v>
      </c>
      <c r="L507" s="2" t="s">
        <v>35</v>
      </c>
      <c r="M507" s="4" t="s">
        <v>44873</v>
      </c>
    </row>
    <row r="508" spans="1:13">
      <c r="A508" s="2">
        <v>175</v>
      </c>
      <c r="B508" s="2" t="s">
        <v>35968</v>
      </c>
      <c r="C508" s="2">
        <v>5</v>
      </c>
      <c r="D508" s="2">
        <v>291</v>
      </c>
      <c r="E508" s="2">
        <v>84</v>
      </c>
      <c r="F508" s="2">
        <v>32441</v>
      </c>
      <c r="G508" s="2">
        <v>6.6357797410000003</v>
      </c>
      <c r="H508" s="2">
        <v>1.2116049999999999E-3</v>
      </c>
      <c r="I508" s="2" t="s">
        <v>44874</v>
      </c>
      <c r="J508" s="2" t="s">
        <v>44875</v>
      </c>
      <c r="K508" s="2">
        <v>1.1655881999999999E-2</v>
      </c>
      <c r="L508" s="2" t="s">
        <v>35</v>
      </c>
      <c r="M508" s="4" t="s">
        <v>35971</v>
      </c>
    </row>
    <row r="509" spans="1:13">
      <c r="A509" s="2">
        <v>788</v>
      </c>
      <c r="B509" s="2" t="s">
        <v>44876</v>
      </c>
      <c r="C509" s="2">
        <v>3</v>
      </c>
      <c r="D509" s="2">
        <v>291</v>
      </c>
      <c r="E509" s="2">
        <v>21</v>
      </c>
      <c r="F509" s="2">
        <v>32441</v>
      </c>
      <c r="G509" s="2">
        <v>15.92587138</v>
      </c>
      <c r="H509" s="2">
        <v>1.225711E-3</v>
      </c>
      <c r="I509" s="2" t="s">
        <v>44605</v>
      </c>
      <c r="J509" s="2" t="s">
        <v>44606</v>
      </c>
      <c r="K509" s="2">
        <v>1.169707E-2</v>
      </c>
      <c r="L509" s="2" t="s">
        <v>35</v>
      </c>
      <c r="M509" s="4" t="s">
        <v>44877</v>
      </c>
    </row>
    <row r="510" spans="1:13">
      <c r="A510" s="2">
        <v>1845</v>
      </c>
      <c r="B510" s="2" t="s">
        <v>44878</v>
      </c>
      <c r="C510" s="2">
        <v>3</v>
      </c>
      <c r="D510" s="2">
        <v>291</v>
      </c>
      <c r="E510" s="2">
        <v>21</v>
      </c>
      <c r="F510" s="2">
        <v>32441</v>
      </c>
      <c r="G510" s="2">
        <v>15.92587138</v>
      </c>
      <c r="H510" s="2">
        <v>1.225711E-3</v>
      </c>
      <c r="I510" s="2" t="s">
        <v>44879</v>
      </c>
      <c r="J510" s="2" t="s">
        <v>44880</v>
      </c>
      <c r="K510" s="2">
        <v>1.169707E-2</v>
      </c>
      <c r="L510" s="2" t="s">
        <v>35</v>
      </c>
      <c r="M510" s="4" t="s">
        <v>44881</v>
      </c>
    </row>
    <row r="511" spans="1:13">
      <c r="A511" s="2">
        <v>3098</v>
      </c>
      <c r="B511" s="2" t="s">
        <v>44882</v>
      </c>
      <c r="C511" s="2">
        <v>3</v>
      </c>
      <c r="D511" s="2">
        <v>291</v>
      </c>
      <c r="E511" s="2">
        <v>21</v>
      </c>
      <c r="F511" s="2">
        <v>32441</v>
      </c>
      <c r="G511" s="2">
        <v>15.92587138</v>
      </c>
      <c r="H511" s="2">
        <v>1.225711E-3</v>
      </c>
      <c r="I511" s="2" t="s">
        <v>44883</v>
      </c>
      <c r="J511" s="2" t="s">
        <v>44884</v>
      </c>
      <c r="K511" s="2">
        <v>1.169707E-2</v>
      </c>
      <c r="L511" s="2" t="s">
        <v>35</v>
      </c>
      <c r="M511" s="4" t="s">
        <v>44885</v>
      </c>
    </row>
    <row r="512" spans="1:13">
      <c r="A512" s="2">
        <v>3547</v>
      </c>
      <c r="B512" s="2" t="s">
        <v>44886</v>
      </c>
      <c r="C512" s="2">
        <v>3</v>
      </c>
      <c r="D512" s="2">
        <v>291</v>
      </c>
      <c r="E512" s="2">
        <v>21</v>
      </c>
      <c r="F512" s="2">
        <v>32441</v>
      </c>
      <c r="G512" s="2">
        <v>15.92587138</v>
      </c>
      <c r="H512" s="2">
        <v>1.225711E-3</v>
      </c>
      <c r="I512" s="2" t="s">
        <v>44887</v>
      </c>
      <c r="J512" s="2" t="s">
        <v>44888</v>
      </c>
      <c r="K512" s="2">
        <v>1.169707E-2</v>
      </c>
      <c r="L512" s="2" t="s">
        <v>35</v>
      </c>
      <c r="M512" s="4" t="s">
        <v>44889</v>
      </c>
    </row>
    <row r="513" spans="1:13">
      <c r="A513" s="2">
        <v>4095</v>
      </c>
      <c r="B513" s="2" t="s">
        <v>5127</v>
      </c>
      <c r="C513" s="2">
        <v>7</v>
      </c>
      <c r="D513" s="2">
        <v>291</v>
      </c>
      <c r="E513" s="2">
        <v>174</v>
      </c>
      <c r="F513" s="2">
        <v>32441</v>
      </c>
      <c r="G513" s="2">
        <v>4.4848718249999999</v>
      </c>
      <c r="H513" s="2">
        <v>1.2322559999999999E-3</v>
      </c>
      <c r="I513" s="2" t="s">
        <v>44890</v>
      </c>
      <c r="J513" s="2" t="s">
        <v>44891</v>
      </c>
      <c r="K513" s="2">
        <v>1.1736006E-2</v>
      </c>
      <c r="L513" s="2" t="s">
        <v>35</v>
      </c>
      <c r="M513" s="4" t="s">
        <v>5130</v>
      </c>
    </row>
    <row r="514" spans="1:13">
      <c r="A514" s="2">
        <v>1640</v>
      </c>
      <c r="B514" s="2" t="s">
        <v>3620</v>
      </c>
      <c r="C514" s="2">
        <v>8</v>
      </c>
      <c r="D514" s="2">
        <v>291</v>
      </c>
      <c r="E514" s="2">
        <v>226</v>
      </c>
      <c r="F514" s="2">
        <v>32441</v>
      </c>
      <c r="G514" s="2">
        <v>3.9462336160000002</v>
      </c>
      <c r="H514" s="2">
        <v>1.2436389999999999E-3</v>
      </c>
      <c r="I514" s="2" t="s">
        <v>44892</v>
      </c>
      <c r="J514" s="2" t="s">
        <v>44893</v>
      </c>
      <c r="K514" s="2">
        <v>1.1820775E-2</v>
      </c>
      <c r="L514" s="2" t="s">
        <v>35</v>
      </c>
      <c r="M514" s="4" t="s">
        <v>3623</v>
      </c>
    </row>
    <row r="515" spans="1:13">
      <c r="A515" s="2">
        <v>3454</v>
      </c>
      <c r="B515" s="2" t="s">
        <v>3713</v>
      </c>
      <c r="C515" s="2">
        <v>9</v>
      </c>
      <c r="D515" s="2">
        <v>291</v>
      </c>
      <c r="E515" s="2">
        <v>282</v>
      </c>
      <c r="F515" s="2">
        <v>32441</v>
      </c>
      <c r="G515" s="2">
        <v>3.5579074359999998</v>
      </c>
      <c r="H515" s="2">
        <v>1.265427E-3</v>
      </c>
      <c r="I515" s="2" t="s">
        <v>44894</v>
      </c>
      <c r="J515" s="2" t="s">
        <v>44895</v>
      </c>
      <c r="K515" s="2">
        <v>1.2003911000000001E-2</v>
      </c>
      <c r="L515" s="2" t="s">
        <v>35</v>
      </c>
      <c r="M515" s="4" t="s">
        <v>3716</v>
      </c>
    </row>
    <row r="516" spans="1:13">
      <c r="A516" s="2">
        <v>1733</v>
      </c>
      <c r="B516" s="2" t="s">
        <v>466</v>
      </c>
      <c r="C516" s="2">
        <v>8</v>
      </c>
      <c r="D516" s="2">
        <v>291</v>
      </c>
      <c r="E516" s="2">
        <v>229</v>
      </c>
      <c r="F516" s="2">
        <v>32441</v>
      </c>
      <c r="G516" s="2">
        <v>3.8945362330000002</v>
      </c>
      <c r="H516" s="2">
        <v>1.3482469999999999E-3</v>
      </c>
      <c r="I516" s="2" t="s">
        <v>44896</v>
      </c>
      <c r="J516" s="2" t="s">
        <v>44897</v>
      </c>
      <c r="K516" s="2">
        <v>1.2764118E-2</v>
      </c>
      <c r="L516" s="2" t="s">
        <v>35</v>
      </c>
      <c r="M516" s="4" t="s">
        <v>44898</v>
      </c>
    </row>
    <row r="517" spans="1:13">
      <c r="A517" s="2">
        <v>2306</v>
      </c>
      <c r="B517" s="2" t="s">
        <v>4308</v>
      </c>
      <c r="C517" s="2">
        <v>20</v>
      </c>
      <c r="D517" s="2">
        <v>291</v>
      </c>
      <c r="E517" s="2">
        <v>1037</v>
      </c>
      <c r="F517" s="2">
        <v>32441</v>
      </c>
      <c r="G517" s="2">
        <v>2.1500694239999998</v>
      </c>
      <c r="H517" s="2">
        <v>1.352958E-3</v>
      </c>
      <c r="I517" s="2" t="s">
        <v>44899</v>
      </c>
      <c r="J517" s="2" t="s">
        <v>44900</v>
      </c>
      <c r="K517" s="2">
        <v>1.2783308E-2</v>
      </c>
      <c r="L517" s="2" t="s">
        <v>35</v>
      </c>
      <c r="M517" s="4" t="s">
        <v>4311</v>
      </c>
    </row>
    <row r="518" spans="1:13">
      <c r="A518" s="2">
        <v>2548</v>
      </c>
      <c r="B518" s="2" t="s">
        <v>44901</v>
      </c>
      <c r="C518" s="2">
        <v>4</v>
      </c>
      <c r="D518" s="2">
        <v>291</v>
      </c>
      <c r="E518" s="2">
        <v>50</v>
      </c>
      <c r="F518" s="2">
        <v>32441</v>
      </c>
      <c r="G518" s="2">
        <v>8.9184879729999995</v>
      </c>
      <c r="H518" s="2">
        <v>1.364484E-3</v>
      </c>
      <c r="I518" s="2" t="s">
        <v>44902</v>
      </c>
      <c r="J518" s="2" t="s">
        <v>44903</v>
      </c>
      <c r="K518" s="2">
        <v>1.2841253E-2</v>
      </c>
      <c r="L518" s="2" t="s">
        <v>35</v>
      </c>
      <c r="M518" s="4" t="s">
        <v>44904</v>
      </c>
    </row>
    <row r="519" spans="1:13">
      <c r="A519" s="2">
        <v>4350</v>
      </c>
      <c r="B519" s="2" t="s">
        <v>44905</v>
      </c>
      <c r="C519" s="2">
        <v>4</v>
      </c>
      <c r="D519" s="2">
        <v>291</v>
      </c>
      <c r="E519" s="2">
        <v>50</v>
      </c>
      <c r="F519" s="2">
        <v>32441</v>
      </c>
      <c r="G519" s="2">
        <v>8.9184879729999995</v>
      </c>
      <c r="H519" s="2">
        <v>1.364484E-3</v>
      </c>
      <c r="I519" s="2" t="s">
        <v>44906</v>
      </c>
      <c r="J519" s="2" t="s">
        <v>44907</v>
      </c>
      <c r="K519" s="2">
        <v>1.2841253E-2</v>
      </c>
      <c r="L519" s="2" t="s">
        <v>35</v>
      </c>
      <c r="M519" s="4" t="s">
        <v>44908</v>
      </c>
    </row>
    <row r="520" spans="1:13">
      <c r="A520" s="2">
        <v>4749</v>
      </c>
      <c r="B520" s="2" t="s">
        <v>44909</v>
      </c>
      <c r="C520" s="2">
        <v>3</v>
      </c>
      <c r="D520" s="2">
        <v>291</v>
      </c>
      <c r="E520" s="2">
        <v>22</v>
      </c>
      <c r="F520" s="2">
        <v>32441</v>
      </c>
      <c r="G520" s="2">
        <v>15.201968129999999</v>
      </c>
      <c r="H520" s="2">
        <v>1.3837439999999999E-3</v>
      </c>
      <c r="I520" s="2" t="s">
        <v>44910</v>
      </c>
      <c r="J520" s="2" t="s">
        <v>44911</v>
      </c>
      <c r="K520" s="2">
        <v>1.2996819999999999E-2</v>
      </c>
      <c r="L520" s="2" t="s">
        <v>35</v>
      </c>
      <c r="M520" s="4" t="s">
        <v>44912</v>
      </c>
    </row>
    <row r="521" spans="1:13">
      <c r="A521" s="2">
        <v>1481</v>
      </c>
      <c r="B521" s="2" t="s">
        <v>34615</v>
      </c>
      <c r="C521" s="2">
        <v>9</v>
      </c>
      <c r="D521" s="2">
        <v>291</v>
      </c>
      <c r="E521" s="2">
        <v>290</v>
      </c>
      <c r="F521" s="2">
        <v>32441</v>
      </c>
      <c r="G521" s="2">
        <v>3.4597582650000001</v>
      </c>
      <c r="H521" s="2">
        <v>1.524688E-3</v>
      </c>
      <c r="I521" s="2" t="s">
        <v>44913</v>
      </c>
      <c r="J521" s="2" t="s">
        <v>44914</v>
      </c>
      <c r="K521" s="2">
        <v>1.4292450999999999E-2</v>
      </c>
      <c r="L521" s="2" t="s">
        <v>35</v>
      </c>
      <c r="M521" s="4" t="s">
        <v>34618</v>
      </c>
    </row>
    <row r="522" spans="1:13">
      <c r="A522" s="2">
        <v>333</v>
      </c>
      <c r="B522" s="2" t="s">
        <v>44915</v>
      </c>
      <c r="C522" s="2">
        <v>3</v>
      </c>
      <c r="D522" s="2">
        <v>291</v>
      </c>
      <c r="E522" s="2">
        <v>23</v>
      </c>
      <c r="F522" s="2">
        <v>32441</v>
      </c>
      <c r="G522" s="2">
        <v>14.541013</v>
      </c>
      <c r="H522" s="2">
        <v>1.554005E-3</v>
      </c>
      <c r="I522" s="2" t="s">
        <v>44916</v>
      </c>
      <c r="J522" s="2" t="s">
        <v>44917</v>
      </c>
      <c r="K522" s="2">
        <v>1.436927E-2</v>
      </c>
      <c r="L522" s="2" t="s">
        <v>35</v>
      </c>
      <c r="M522" s="4" t="s">
        <v>44918</v>
      </c>
    </row>
    <row r="523" spans="1:13">
      <c r="A523" s="2">
        <v>527</v>
      </c>
      <c r="B523" s="2" t="s">
        <v>44919</v>
      </c>
      <c r="C523" s="2">
        <v>3</v>
      </c>
      <c r="D523" s="2">
        <v>291</v>
      </c>
      <c r="E523" s="2">
        <v>23</v>
      </c>
      <c r="F523" s="2">
        <v>32441</v>
      </c>
      <c r="G523" s="2">
        <v>14.541013</v>
      </c>
      <c r="H523" s="2">
        <v>1.554005E-3</v>
      </c>
      <c r="I523" s="2" t="s">
        <v>44920</v>
      </c>
      <c r="J523" s="2" t="s">
        <v>44921</v>
      </c>
      <c r="K523" s="2">
        <v>1.436927E-2</v>
      </c>
      <c r="L523" s="2" t="s">
        <v>35</v>
      </c>
      <c r="M523" s="4" t="s">
        <v>44922</v>
      </c>
    </row>
    <row r="524" spans="1:13">
      <c r="A524" s="2">
        <v>1865</v>
      </c>
      <c r="B524" s="2" t="s">
        <v>44923</v>
      </c>
      <c r="C524" s="2">
        <v>3</v>
      </c>
      <c r="D524" s="2">
        <v>291</v>
      </c>
      <c r="E524" s="2">
        <v>23</v>
      </c>
      <c r="F524" s="2">
        <v>32441</v>
      </c>
      <c r="G524" s="2">
        <v>14.541013</v>
      </c>
      <c r="H524" s="2">
        <v>1.554005E-3</v>
      </c>
      <c r="I524" s="2" t="s">
        <v>44924</v>
      </c>
      <c r="J524" s="2" t="s">
        <v>44925</v>
      </c>
      <c r="K524" s="2">
        <v>1.436927E-2</v>
      </c>
      <c r="L524" s="2" t="s">
        <v>35</v>
      </c>
      <c r="M524" s="4" t="s">
        <v>44926</v>
      </c>
    </row>
    <row r="525" spans="1:13">
      <c r="A525" s="2">
        <v>2859</v>
      </c>
      <c r="B525" s="2" t="s">
        <v>6203</v>
      </c>
      <c r="C525" s="2">
        <v>11</v>
      </c>
      <c r="D525" s="2">
        <v>291</v>
      </c>
      <c r="E525" s="2">
        <v>412</v>
      </c>
      <c r="F525" s="2">
        <v>32441</v>
      </c>
      <c r="G525" s="2">
        <v>2.9764371270000001</v>
      </c>
      <c r="H525" s="2">
        <v>1.5458329999999999E-3</v>
      </c>
      <c r="I525" s="2" t="s">
        <v>44927</v>
      </c>
      <c r="J525" s="2" t="s">
        <v>44928</v>
      </c>
      <c r="K525" s="2">
        <v>1.436927E-2</v>
      </c>
      <c r="L525" s="2" t="s">
        <v>35</v>
      </c>
      <c r="M525" s="4" t="s">
        <v>6206</v>
      </c>
    </row>
    <row r="526" spans="1:13">
      <c r="A526" s="2">
        <v>2935</v>
      </c>
      <c r="B526" s="2" t="s">
        <v>44929</v>
      </c>
      <c r="C526" s="2">
        <v>3</v>
      </c>
      <c r="D526" s="2">
        <v>291</v>
      </c>
      <c r="E526" s="2">
        <v>23</v>
      </c>
      <c r="F526" s="2">
        <v>32441</v>
      </c>
      <c r="G526" s="2">
        <v>14.541013</v>
      </c>
      <c r="H526" s="2">
        <v>1.554005E-3</v>
      </c>
      <c r="I526" s="2" t="s">
        <v>44930</v>
      </c>
      <c r="J526" s="2" t="s">
        <v>44931</v>
      </c>
      <c r="K526" s="2">
        <v>1.436927E-2</v>
      </c>
      <c r="L526" s="2" t="s">
        <v>35</v>
      </c>
      <c r="M526" s="4" t="s">
        <v>44932</v>
      </c>
    </row>
    <row r="527" spans="1:13">
      <c r="A527" s="2">
        <v>3817</v>
      </c>
      <c r="B527" s="2" t="s">
        <v>44933</v>
      </c>
      <c r="C527" s="2">
        <v>3</v>
      </c>
      <c r="D527" s="2">
        <v>291</v>
      </c>
      <c r="E527" s="2">
        <v>23</v>
      </c>
      <c r="F527" s="2">
        <v>32441</v>
      </c>
      <c r="G527" s="2">
        <v>14.541013</v>
      </c>
      <c r="H527" s="2">
        <v>1.554005E-3</v>
      </c>
      <c r="I527" s="2" t="s">
        <v>44934</v>
      </c>
      <c r="J527" s="2" t="s">
        <v>44935</v>
      </c>
      <c r="K527" s="2">
        <v>1.436927E-2</v>
      </c>
      <c r="L527" s="2" t="s">
        <v>35</v>
      </c>
      <c r="M527" s="4" t="s">
        <v>44936</v>
      </c>
    </row>
    <row r="528" spans="1:13">
      <c r="A528" s="2">
        <v>4527</v>
      </c>
      <c r="B528" s="2" t="s">
        <v>24805</v>
      </c>
      <c r="C528" s="2">
        <v>17</v>
      </c>
      <c r="D528" s="2">
        <v>291</v>
      </c>
      <c r="E528" s="2">
        <v>824</v>
      </c>
      <c r="F528" s="2">
        <v>32441</v>
      </c>
      <c r="G528" s="2">
        <v>2.299974143</v>
      </c>
      <c r="H528" s="2">
        <v>1.5422299999999999E-3</v>
      </c>
      <c r="I528" s="2" t="s">
        <v>44937</v>
      </c>
      <c r="J528" s="2" t="s">
        <v>44938</v>
      </c>
      <c r="K528" s="2">
        <v>1.436927E-2</v>
      </c>
      <c r="L528" s="2" t="s">
        <v>35</v>
      </c>
      <c r="M528" s="4" t="s">
        <v>24808</v>
      </c>
    </row>
    <row r="529" spans="1:13">
      <c r="A529" s="2">
        <v>2846</v>
      </c>
      <c r="B529" s="2" t="s">
        <v>42440</v>
      </c>
      <c r="C529" s="2">
        <v>7</v>
      </c>
      <c r="D529" s="2">
        <v>291</v>
      </c>
      <c r="E529" s="2">
        <v>182</v>
      </c>
      <c r="F529" s="2">
        <v>32441</v>
      </c>
      <c r="G529" s="2">
        <v>4.2877346019999996</v>
      </c>
      <c r="H529" s="2">
        <v>1.5790979999999999E-3</v>
      </c>
      <c r="I529" s="2" t="s">
        <v>44939</v>
      </c>
      <c r="J529" s="2" t="s">
        <v>44940</v>
      </c>
      <c r="K529" s="2">
        <v>1.4572994000000001E-2</v>
      </c>
      <c r="L529" s="2" t="s">
        <v>35</v>
      </c>
      <c r="M529" s="4" t="s">
        <v>42443</v>
      </c>
    </row>
    <row r="530" spans="1:13">
      <c r="A530" s="2">
        <v>1871</v>
      </c>
      <c r="B530" s="2" t="s">
        <v>44941</v>
      </c>
      <c r="C530" s="2">
        <v>2</v>
      </c>
      <c r="D530" s="2">
        <v>291</v>
      </c>
      <c r="E530" s="2">
        <v>5</v>
      </c>
      <c r="F530" s="2">
        <v>32441</v>
      </c>
      <c r="G530" s="2">
        <v>44.592439859999999</v>
      </c>
      <c r="H530" s="2">
        <v>1.606115E-3</v>
      </c>
      <c r="I530" s="2" t="s">
        <v>44942</v>
      </c>
      <c r="J530" s="2" t="s">
        <v>44943</v>
      </c>
      <c r="K530" s="2">
        <v>1.4793657E-2</v>
      </c>
      <c r="L530" s="2" t="s">
        <v>35</v>
      </c>
      <c r="M530" s="4" t="s">
        <v>44944</v>
      </c>
    </row>
    <row r="531" spans="1:13">
      <c r="A531" s="2">
        <v>2828</v>
      </c>
      <c r="B531" s="2" t="s">
        <v>2927</v>
      </c>
      <c r="C531" s="2">
        <v>9</v>
      </c>
      <c r="D531" s="2">
        <v>291</v>
      </c>
      <c r="E531" s="2">
        <v>293</v>
      </c>
      <c r="F531" s="2">
        <v>32441</v>
      </c>
      <c r="G531" s="2">
        <v>3.4243341190000001</v>
      </c>
      <c r="H531" s="2">
        <v>1.6322629999999999E-3</v>
      </c>
      <c r="I531" s="2" t="s">
        <v>44945</v>
      </c>
      <c r="J531" s="2" t="s">
        <v>44946</v>
      </c>
      <c r="K531" s="2">
        <v>1.5005473E-2</v>
      </c>
      <c r="L531" s="2" t="s">
        <v>35</v>
      </c>
      <c r="M531" s="4" t="s">
        <v>2930</v>
      </c>
    </row>
    <row r="532" spans="1:13">
      <c r="A532" s="2">
        <v>762</v>
      </c>
      <c r="B532" s="2" t="s">
        <v>4262</v>
      </c>
      <c r="C532" s="2">
        <v>5</v>
      </c>
      <c r="D532" s="2">
        <v>291</v>
      </c>
      <c r="E532" s="2">
        <v>91</v>
      </c>
      <c r="F532" s="2">
        <v>32441</v>
      </c>
      <c r="G532" s="2">
        <v>6.1253351460000003</v>
      </c>
      <c r="H532" s="2">
        <v>1.696719E-3</v>
      </c>
      <c r="I532" s="2" t="s">
        <v>44947</v>
      </c>
      <c r="J532" s="2" t="s">
        <v>44948</v>
      </c>
      <c r="K532" s="2">
        <v>1.5567966000000001E-2</v>
      </c>
      <c r="L532" s="2" t="s">
        <v>35</v>
      </c>
      <c r="M532" s="4" t="s">
        <v>4265</v>
      </c>
    </row>
    <row r="533" spans="1:13">
      <c r="A533" s="2">
        <v>2047</v>
      </c>
      <c r="B533" s="2" t="s">
        <v>44949</v>
      </c>
      <c r="C533" s="2">
        <v>3</v>
      </c>
      <c r="D533" s="2">
        <v>291</v>
      </c>
      <c r="E533" s="2">
        <v>24</v>
      </c>
      <c r="F533" s="2">
        <v>32441</v>
      </c>
      <c r="G533" s="2">
        <v>13.93513746</v>
      </c>
      <c r="H533" s="2">
        <v>1.7368310000000001E-3</v>
      </c>
      <c r="I533" s="2" t="s">
        <v>44950</v>
      </c>
      <c r="J533" s="2" t="s">
        <v>44951</v>
      </c>
      <c r="K533" s="2">
        <v>1.5753887000000001E-2</v>
      </c>
      <c r="L533" s="2" t="s">
        <v>35</v>
      </c>
      <c r="M533" s="4" t="s">
        <v>44952</v>
      </c>
    </row>
    <row r="534" spans="1:13">
      <c r="A534" s="2">
        <v>2161</v>
      </c>
      <c r="B534" s="2" t="s">
        <v>44953</v>
      </c>
      <c r="C534" s="2">
        <v>3</v>
      </c>
      <c r="D534" s="2">
        <v>291</v>
      </c>
      <c r="E534" s="2">
        <v>24</v>
      </c>
      <c r="F534" s="2">
        <v>32441</v>
      </c>
      <c r="G534" s="2">
        <v>13.93513746</v>
      </c>
      <c r="H534" s="2">
        <v>1.7368310000000001E-3</v>
      </c>
      <c r="I534" s="2" t="s">
        <v>44954</v>
      </c>
      <c r="J534" s="2" t="s">
        <v>44955</v>
      </c>
      <c r="K534" s="2">
        <v>1.5753887000000001E-2</v>
      </c>
      <c r="L534" s="2" t="s">
        <v>35</v>
      </c>
      <c r="M534" s="4" t="s">
        <v>44956</v>
      </c>
    </row>
    <row r="535" spans="1:13">
      <c r="A535" s="2">
        <v>3409</v>
      </c>
      <c r="B535" s="2" t="s">
        <v>44957</v>
      </c>
      <c r="C535" s="2">
        <v>3</v>
      </c>
      <c r="D535" s="2">
        <v>291</v>
      </c>
      <c r="E535" s="2">
        <v>24</v>
      </c>
      <c r="F535" s="2">
        <v>32441</v>
      </c>
      <c r="G535" s="2">
        <v>13.93513746</v>
      </c>
      <c r="H535" s="2">
        <v>1.7368310000000001E-3</v>
      </c>
      <c r="I535" s="2" t="s">
        <v>44958</v>
      </c>
      <c r="J535" s="2" t="s">
        <v>44959</v>
      </c>
      <c r="K535" s="2">
        <v>1.5753887000000001E-2</v>
      </c>
      <c r="L535" s="2" t="s">
        <v>35</v>
      </c>
      <c r="M535" s="4" t="s">
        <v>44960</v>
      </c>
    </row>
    <row r="536" spans="1:13">
      <c r="A536" s="2">
        <v>3619</v>
      </c>
      <c r="B536" s="2" t="s">
        <v>44961</v>
      </c>
      <c r="C536" s="2">
        <v>3</v>
      </c>
      <c r="D536" s="2">
        <v>291</v>
      </c>
      <c r="E536" s="2">
        <v>24</v>
      </c>
      <c r="F536" s="2">
        <v>32441</v>
      </c>
      <c r="G536" s="2">
        <v>13.93513746</v>
      </c>
      <c r="H536" s="2">
        <v>1.7368310000000001E-3</v>
      </c>
      <c r="I536" s="2" t="s">
        <v>44962</v>
      </c>
      <c r="J536" s="2" t="s">
        <v>44963</v>
      </c>
      <c r="K536" s="2">
        <v>1.5753887000000001E-2</v>
      </c>
      <c r="L536" s="2" t="s">
        <v>35</v>
      </c>
      <c r="M536" s="4" t="s">
        <v>44964</v>
      </c>
    </row>
    <row r="537" spans="1:13">
      <c r="A537" s="2">
        <v>4494</v>
      </c>
      <c r="B537" s="2" t="s">
        <v>44965</v>
      </c>
      <c r="C537" s="2">
        <v>3</v>
      </c>
      <c r="D537" s="2">
        <v>291</v>
      </c>
      <c r="E537" s="2">
        <v>24</v>
      </c>
      <c r="F537" s="2">
        <v>32441</v>
      </c>
      <c r="G537" s="2">
        <v>13.93513746</v>
      </c>
      <c r="H537" s="2">
        <v>1.7368310000000001E-3</v>
      </c>
      <c r="I537" s="2" t="s">
        <v>44966</v>
      </c>
      <c r="J537" s="2" t="s">
        <v>44967</v>
      </c>
      <c r="K537" s="2">
        <v>1.5753887000000001E-2</v>
      </c>
      <c r="L537" s="2" t="s">
        <v>35</v>
      </c>
      <c r="M537" s="4" t="s">
        <v>44968</v>
      </c>
    </row>
    <row r="538" spans="1:13">
      <c r="A538" s="2">
        <v>4605</v>
      </c>
      <c r="B538" s="2" t="s">
        <v>44969</v>
      </c>
      <c r="C538" s="2">
        <v>3</v>
      </c>
      <c r="D538" s="2">
        <v>291</v>
      </c>
      <c r="E538" s="2">
        <v>24</v>
      </c>
      <c r="F538" s="2">
        <v>32441</v>
      </c>
      <c r="G538" s="2">
        <v>13.93513746</v>
      </c>
      <c r="H538" s="2">
        <v>1.7368310000000001E-3</v>
      </c>
      <c r="I538" s="2" t="s">
        <v>44970</v>
      </c>
      <c r="J538" s="2" t="s">
        <v>44971</v>
      </c>
      <c r="K538" s="2">
        <v>1.5753887000000001E-2</v>
      </c>
      <c r="L538" s="2" t="s">
        <v>35</v>
      </c>
      <c r="M538" s="4" t="s">
        <v>44972</v>
      </c>
    </row>
    <row r="539" spans="1:13">
      <c r="A539" s="2">
        <v>4598</v>
      </c>
      <c r="B539" s="2" t="s">
        <v>44973</v>
      </c>
      <c r="C539" s="2">
        <v>4</v>
      </c>
      <c r="D539" s="2">
        <v>291</v>
      </c>
      <c r="E539" s="2">
        <v>54</v>
      </c>
      <c r="F539" s="2">
        <v>32441</v>
      </c>
      <c r="G539" s="2">
        <v>8.2578592339999997</v>
      </c>
      <c r="H539" s="2">
        <v>1.7804380000000001E-3</v>
      </c>
      <c r="I539" s="2" t="s">
        <v>44974</v>
      </c>
      <c r="J539" s="2" t="s">
        <v>44975</v>
      </c>
      <c r="K539" s="2">
        <v>1.6118717000000001E-2</v>
      </c>
      <c r="L539" s="2" t="s">
        <v>35</v>
      </c>
      <c r="M539" s="4" t="s">
        <v>44976</v>
      </c>
    </row>
    <row r="540" spans="1:13">
      <c r="A540" s="2">
        <v>4230</v>
      </c>
      <c r="B540" s="2" t="s">
        <v>5262</v>
      </c>
      <c r="C540" s="2">
        <v>6</v>
      </c>
      <c r="D540" s="2">
        <v>291</v>
      </c>
      <c r="E540" s="2">
        <v>137</v>
      </c>
      <c r="F540" s="2">
        <v>32441</v>
      </c>
      <c r="G540" s="2">
        <v>4.8823839270000002</v>
      </c>
      <c r="H540" s="2">
        <v>1.812293E-3</v>
      </c>
      <c r="I540" s="2" t="s">
        <v>44977</v>
      </c>
      <c r="J540" s="2" t="s">
        <v>44978</v>
      </c>
      <c r="K540" s="2">
        <v>1.6375975000000001E-2</v>
      </c>
      <c r="L540" s="2" t="s">
        <v>35</v>
      </c>
      <c r="M540" s="4" t="s">
        <v>5265</v>
      </c>
    </row>
    <row r="541" spans="1:13">
      <c r="A541" s="2">
        <v>1571</v>
      </c>
      <c r="B541" s="2" t="s">
        <v>42490</v>
      </c>
      <c r="C541" s="2">
        <v>4</v>
      </c>
      <c r="D541" s="2">
        <v>291</v>
      </c>
      <c r="E541" s="2">
        <v>55</v>
      </c>
      <c r="F541" s="2">
        <v>32441</v>
      </c>
      <c r="G541" s="2">
        <v>8.1077163389999996</v>
      </c>
      <c r="H541" s="2">
        <v>1.896729E-3</v>
      </c>
      <c r="I541" s="2" t="s">
        <v>44979</v>
      </c>
      <c r="J541" s="2" t="s">
        <v>44980</v>
      </c>
      <c r="K541" s="2">
        <v>1.7106487E-2</v>
      </c>
      <c r="L541" s="2" t="s">
        <v>35</v>
      </c>
      <c r="M541" s="4" t="s">
        <v>42493</v>
      </c>
    </row>
    <row r="542" spans="1:13">
      <c r="A542" s="2">
        <v>528</v>
      </c>
      <c r="B542" s="2" t="s">
        <v>44981</v>
      </c>
      <c r="C542" s="2">
        <v>3</v>
      </c>
      <c r="D542" s="2">
        <v>291</v>
      </c>
      <c r="E542" s="2">
        <v>25</v>
      </c>
      <c r="F542" s="2">
        <v>32441</v>
      </c>
      <c r="G542" s="2">
        <v>13.37773196</v>
      </c>
      <c r="H542" s="2">
        <v>1.9325449999999999E-3</v>
      </c>
      <c r="I542" s="2" t="s">
        <v>44982</v>
      </c>
      <c r="J542" s="2" t="s">
        <v>44983</v>
      </c>
      <c r="K542" s="2">
        <v>1.7331031E-2</v>
      </c>
      <c r="L542" s="2" t="s">
        <v>35</v>
      </c>
      <c r="M542" s="4" t="s">
        <v>44984</v>
      </c>
    </row>
    <row r="543" spans="1:13">
      <c r="A543" s="2">
        <v>1136</v>
      </c>
      <c r="B543" s="2" t="s">
        <v>44985</v>
      </c>
      <c r="C543" s="2">
        <v>3</v>
      </c>
      <c r="D543" s="2">
        <v>291</v>
      </c>
      <c r="E543" s="2">
        <v>25</v>
      </c>
      <c r="F543" s="2">
        <v>32441</v>
      </c>
      <c r="G543" s="2">
        <v>13.37773196</v>
      </c>
      <c r="H543" s="2">
        <v>1.9325449999999999E-3</v>
      </c>
      <c r="I543" s="2" t="s">
        <v>44807</v>
      </c>
      <c r="J543" s="2" t="s">
        <v>44808</v>
      </c>
      <c r="K543" s="2">
        <v>1.7331031E-2</v>
      </c>
      <c r="L543" s="2" t="s">
        <v>35</v>
      </c>
      <c r="M543" s="4" t="s">
        <v>44986</v>
      </c>
    </row>
    <row r="544" spans="1:13">
      <c r="A544" s="2">
        <v>3703</v>
      </c>
      <c r="B544" s="2" t="s">
        <v>36635</v>
      </c>
      <c r="C544" s="2">
        <v>3</v>
      </c>
      <c r="D544" s="2">
        <v>291</v>
      </c>
      <c r="E544" s="2">
        <v>25</v>
      </c>
      <c r="F544" s="2">
        <v>32441</v>
      </c>
      <c r="G544" s="2">
        <v>13.37773196</v>
      </c>
      <c r="H544" s="2">
        <v>1.9325449999999999E-3</v>
      </c>
      <c r="I544" s="2" t="s">
        <v>44987</v>
      </c>
      <c r="J544" s="2" t="s">
        <v>44988</v>
      </c>
      <c r="K544" s="2">
        <v>1.7331031E-2</v>
      </c>
      <c r="L544" s="2" t="s">
        <v>35</v>
      </c>
      <c r="M544" s="4" t="s">
        <v>36638</v>
      </c>
    </row>
    <row r="545" spans="1:13">
      <c r="A545" s="2">
        <v>2778</v>
      </c>
      <c r="B545" s="2" t="s">
        <v>5823</v>
      </c>
      <c r="C545" s="2">
        <v>6</v>
      </c>
      <c r="D545" s="2">
        <v>291</v>
      </c>
      <c r="E545" s="2">
        <v>140</v>
      </c>
      <c r="F545" s="2">
        <v>32441</v>
      </c>
      <c r="G545" s="2">
        <v>4.7777614140000004</v>
      </c>
      <c r="H545" s="2">
        <v>2.0124600000000002E-3</v>
      </c>
      <c r="I545" s="2" t="s">
        <v>44989</v>
      </c>
      <c r="J545" s="2" t="s">
        <v>44990</v>
      </c>
      <c r="K545" s="2">
        <v>1.8013786E-2</v>
      </c>
      <c r="L545" s="2" t="s">
        <v>35</v>
      </c>
      <c r="M545" s="4" t="s">
        <v>5826</v>
      </c>
    </row>
    <row r="546" spans="1:13">
      <c r="A546" s="2">
        <v>1652</v>
      </c>
      <c r="B546" s="2" t="s">
        <v>4446</v>
      </c>
      <c r="C546" s="2">
        <v>5</v>
      </c>
      <c r="D546" s="2">
        <v>291</v>
      </c>
      <c r="E546" s="2">
        <v>95</v>
      </c>
      <c r="F546" s="2">
        <v>32441</v>
      </c>
      <c r="G546" s="2">
        <v>5.8674262979999998</v>
      </c>
      <c r="H546" s="2">
        <v>2.030759E-3</v>
      </c>
      <c r="I546" s="2" t="s">
        <v>44991</v>
      </c>
      <c r="J546" s="2" t="s">
        <v>44992</v>
      </c>
      <c r="K546" s="2">
        <v>1.8109502999999999E-2</v>
      </c>
      <c r="L546" s="2" t="s">
        <v>35</v>
      </c>
      <c r="M546" s="4" t="s">
        <v>4449</v>
      </c>
    </row>
    <row r="547" spans="1:13">
      <c r="A547" s="2">
        <v>3867</v>
      </c>
      <c r="B547" s="2" t="s">
        <v>4473</v>
      </c>
      <c r="C547" s="2">
        <v>8</v>
      </c>
      <c r="D547" s="2">
        <v>291</v>
      </c>
      <c r="E547" s="2">
        <v>245</v>
      </c>
      <c r="F547" s="2">
        <v>32441</v>
      </c>
      <c r="G547" s="2">
        <v>3.640199172</v>
      </c>
      <c r="H547" s="2">
        <v>2.030221E-3</v>
      </c>
      <c r="I547" s="2" t="s">
        <v>44993</v>
      </c>
      <c r="J547" s="2" t="s">
        <v>44994</v>
      </c>
      <c r="K547" s="2">
        <v>1.8109502999999999E-2</v>
      </c>
      <c r="L547" s="2" t="s">
        <v>35</v>
      </c>
      <c r="M547" s="4" t="s">
        <v>4476</v>
      </c>
    </row>
    <row r="548" spans="1:13">
      <c r="A548" s="2">
        <v>4117</v>
      </c>
      <c r="B548" s="2" t="s">
        <v>44995</v>
      </c>
      <c r="C548" s="2">
        <v>2</v>
      </c>
      <c r="D548" s="2">
        <v>291</v>
      </c>
      <c r="E548" s="2">
        <v>6</v>
      </c>
      <c r="F548" s="2">
        <v>32441</v>
      </c>
      <c r="G548" s="2">
        <v>37.160366549999999</v>
      </c>
      <c r="H548" s="2">
        <v>2.1289260000000002E-3</v>
      </c>
      <c r="I548" s="2" t="s">
        <v>44996</v>
      </c>
      <c r="J548" s="2" t="s">
        <v>44997</v>
      </c>
      <c r="K548" s="2">
        <v>1.8949434000000001E-2</v>
      </c>
      <c r="L548" s="2" t="s">
        <v>35</v>
      </c>
      <c r="M548" s="4" t="s">
        <v>44998</v>
      </c>
    </row>
    <row r="549" spans="1:13">
      <c r="A549" s="2">
        <v>796</v>
      </c>
      <c r="B549" s="2" t="s">
        <v>44999</v>
      </c>
      <c r="C549" s="2">
        <v>3</v>
      </c>
      <c r="D549" s="2">
        <v>291</v>
      </c>
      <c r="E549" s="2">
        <v>26</v>
      </c>
      <c r="F549" s="2">
        <v>32441</v>
      </c>
      <c r="G549" s="2">
        <v>12.86320381</v>
      </c>
      <c r="H549" s="2">
        <v>2.1414569999999998E-3</v>
      </c>
      <c r="I549" s="2" t="s">
        <v>44577</v>
      </c>
      <c r="J549" s="2" t="s">
        <v>44578</v>
      </c>
      <c r="K549" s="2">
        <v>1.8949832E-2</v>
      </c>
      <c r="L549" s="2" t="s">
        <v>35</v>
      </c>
      <c r="M549" s="4" t="s">
        <v>45000</v>
      </c>
    </row>
    <row r="550" spans="1:13">
      <c r="A550" s="2">
        <v>1768</v>
      </c>
      <c r="B550" s="2" t="s">
        <v>45001</v>
      </c>
      <c r="C550" s="2">
        <v>3</v>
      </c>
      <c r="D550" s="2">
        <v>291</v>
      </c>
      <c r="E550" s="2">
        <v>26</v>
      </c>
      <c r="F550" s="2">
        <v>32441</v>
      </c>
      <c r="G550" s="2">
        <v>12.86320381</v>
      </c>
      <c r="H550" s="2">
        <v>2.1414569999999998E-3</v>
      </c>
      <c r="I550" s="2" t="s">
        <v>45002</v>
      </c>
      <c r="J550" s="2" t="s">
        <v>45003</v>
      </c>
      <c r="K550" s="2">
        <v>1.8949832E-2</v>
      </c>
      <c r="L550" s="2" t="s">
        <v>35</v>
      </c>
      <c r="M550" s="4" t="s">
        <v>45004</v>
      </c>
    </row>
    <row r="551" spans="1:13">
      <c r="A551" s="2">
        <v>2835</v>
      </c>
      <c r="B551" s="2" t="s">
        <v>45005</v>
      </c>
      <c r="C551" s="2">
        <v>3</v>
      </c>
      <c r="D551" s="2">
        <v>291</v>
      </c>
      <c r="E551" s="2">
        <v>26</v>
      </c>
      <c r="F551" s="2">
        <v>32441</v>
      </c>
      <c r="G551" s="2">
        <v>12.86320381</v>
      </c>
      <c r="H551" s="2">
        <v>2.1414569999999998E-3</v>
      </c>
      <c r="I551" s="2" t="s">
        <v>45006</v>
      </c>
      <c r="J551" s="2" t="s">
        <v>45007</v>
      </c>
      <c r="K551" s="2">
        <v>1.8949832E-2</v>
      </c>
      <c r="L551" s="2" t="s">
        <v>35</v>
      </c>
      <c r="M551" s="4" t="s">
        <v>45008</v>
      </c>
    </row>
    <row r="552" spans="1:13">
      <c r="A552" s="2">
        <v>4140</v>
      </c>
      <c r="B552" s="2" t="s">
        <v>45009</v>
      </c>
      <c r="C552" s="2">
        <v>4</v>
      </c>
      <c r="D552" s="2">
        <v>291</v>
      </c>
      <c r="E552" s="2">
        <v>57</v>
      </c>
      <c r="F552" s="2">
        <v>32441</v>
      </c>
      <c r="G552" s="2">
        <v>7.8232350640000003</v>
      </c>
      <c r="H552" s="2">
        <v>2.1448890000000001E-3</v>
      </c>
      <c r="I552" s="2" t="s">
        <v>45010</v>
      </c>
      <c r="J552" s="2" t="s">
        <v>45011</v>
      </c>
      <c r="K552" s="2">
        <v>1.8949832E-2</v>
      </c>
      <c r="L552" s="2" t="s">
        <v>35</v>
      </c>
      <c r="M552" s="4" t="s">
        <v>45012</v>
      </c>
    </row>
    <row r="553" spans="1:13">
      <c r="A553" s="2">
        <v>2167</v>
      </c>
      <c r="B553" s="2" t="s">
        <v>45013</v>
      </c>
      <c r="C553" s="2">
        <v>7</v>
      </c>
      <c r="D553" s="2">
        <v>291</v>
      </c>
      <c r="E553" s="2">
        <v>193</v>
      </c>
      <c r="F553" s="2">
        <v>32441</v>
      </c>
      <c r="G553" s="2">
        <v>4.0433559460000001</v>
      </c>
      <c r="H553" s="2">
        <v>2.1749709999999999E-3</v>
      </c>
      <c r="I553" s="2" t="s">
        <v>45014</v>
      </c>
      <c r="J553" s="2" t="s">
        <v>45015</v>
      </c>
      <c r="K553" s="2">
        <v>1.9180025E-2</v>
      </c>
      <c r="L553" s="2" t="s">
        <v>35</v>
      </c>
      <c r="M553" s="4" t="s">
        <v>45016</v>
      </c>
    </row>
    <row r="554" spans="1:13">
      <c r="A554" s="2">
        <v>1815</v>
      </c>
      <c r="B554" s="2" t="s">
        <v>35527</v>
      </c>
      <c r="C554" s="2">
        <v>4</v>
      </c>
      <c r="D554" s="2">
        <v>291</v>
      </c>
      <c r="E554" s="2">
        <v>58</v>
      </c>
      <c r="F554" s="2">
        <v>32441</v>
      </c>
      <c r="G554" s="2">
        <v>7.6883517000000001</v>
      </c>
      <c r="H554" s="2">
        <v>2.2769859999999999E-3</v>
      </c>
      <c r="I554" s="2" t="s">
        <v>45017</v>
      </c>
      <c r="J554" s="2" t="s">
        <v>45018</v>
      </c>
      <c r="K554" s="2">
        <v>2.000555E-2</v>
      </c>
      <c r="L554" s="2" t="s">
        <v>35</v>
      </c>
      <c r="M554" s="4" t="s">
        <v>35530</v>
      </c>
    </row>
    <row r="555" spans="1:13">
      <c r="A555" s="2">
        <v>3626</v>
      </c>
      <c r="B555" s="2" t="s">
        <v>45019</v>
      </c>
      <c r="C555" s="2">
        <v>4</v>
      </c>
      <c r="D555" s="2">
        <v>291</v>
      </c>
      <c r="E555" s="2">
        <v>58</v>
      </c>
      <c r="F555" s="2">
        <v>32441</v>
      </c>
      <c r="G555" s="2">
        <v>7.6883517000000001</v>
      </c>
      <c r="H555" s="2">
        <v>2.2769859999999999E-3</v>
      </c>
      <c r="I555" s="2" t="s">
        <v>45020</v>
      </c>
      <c r="J555" s="2" t="s">
        <v>45021</v>
      </c>
      <c r="K555" s="2">
        <v>2.000555E-2</v>
      </c>
      <c r="L555" s="2" t="s">
        <v>35</v>
      </c>
      <c r="M555" s="4" t="s">
        <v>45022</v>
      </c>
    </row>
    <row r="556" spans="1:13">
      <c r="A556" s="2">
        <v>3625</v>
      </c>
      <c r="B556" s="2" t="s">
        <v>34763</v>
      </c>
      <c r="C556" s="2">
        <v>8</v>
      </c>
      <c r="D556" s="2">
        <v>291</v>
      </c>
      <c r="E556" s="2">
        <v>250</v>
      </c>
      <c r="F556" s="2">
        <v>32441</v>
      </c>
      <c r="G556" s="2">
        <v>3.567395189</v>
      </c>
      <c r="H556" s="2">
        <v>2.2913669999999999E-3</v>
      </c>
      <c r="I556" s="2" t="s">
        <v>45023</v>
      </c>
      <c r="J556" s="2" t="s">
        <v>45024</v>
      </c>
      <c r="K556" s="2">
        <v>2.0094824000000001E-2</v>
      </c>
      <c r="L556" s="2" t="s">
        <v>35</v>
      </c>
      <c r="M556" s="4" t="s">
        <v>34766</v>
      </c>
    </row>
    <row r="557" spans="1:13">
      <c r="A557" s="2">
        <v>2436</v>
      </c>
      <c r="B557" s="2" t="s">
        <v>2939</v>
      </c>
      <c r="C557" s="2">
        <v>7</v>
      </c>
      <c r="D557" s="2">
        <v>291</v>
      </c>
      <c r="E557" s="2">
        <v>195</v>
      </c>
      <c r="F557" s="2">
        <v>32441</v>
      </c>
      <c r="G557" s="2">
        <v>4.0018856290000002</v>
      </c>
      <c r="H557" s="2">
        <v>2.299794E-3</v>
      </c>
      <c r="I557" s="2" t="s">
        <v>45025</v>
      </c>
      <c r="J557" s="2" t="s">
        <v>45026</v>
      </c>
      <c r="K557" s="2">
        <v>2.0131653999999999E-2</v>
      </c>
      <c r="L557" s="2" t="s">
        <v>35</v>
      </c>
      <c r="M557" s="4" t="s">
        <v>2942</v>
      </c>
    </row>
    <row r="558" spans="1:13">
      <c r="A558" s="2">
        <v>2680</v>
      </c>
      <c r="B558" s="2" t="s">
        <v>4775</v>
      </c>
      <c r="C558" s="2">
        <v>6</v>
      </c>
      <c r="D558" s="2">
        <v>291</v>
      </c>
      <c r="E558" s="2">
        <v>144</v>
      </c>
      <c r="F558" s="2">
        <v>32441</v>
      </c>
      <c r="G558" s="2">
        <v>4.6450458189999999</v>
      </c>
      <c r="H558" s="2">
        <v>2.3048109999999999E-3</v>
      </c>
      <c r="I558" s="2" t="s">
        <v>45027</v>
      </c>
      <c r="J558" s="2" t="s">
        <v>45028</v>
      </c>
      <c r="K558" s="2">
        <v>2.0138552000000001E-2</v>
      </c>
      <c r="L558" s="2" t="s">
        <v>35</v>
      </c>
      <c r="M558" s="4" t="s">
        <v>4778</v>
      </c>
    </row>
    <row r="559" spans="1:13">
      <c r="A559" s="2">
        <v>1598</v>
      </c>
      <c r="B559" s="2" t="s">
        <v>24497</v>
      </c>
      <c r="C559" s="2">
        <v>12</v>
      </c>
      <c r="D559" s="2">
        <v>291</v>
      </c>
      <c r="E559" s="2">
        <v>501</v>
      </c>
      <c r="F559" s="2">
        <v>32441</v>
      </c>
      <c r="G559" s="2">
        <v>2.67020598</v>
      </c>
      <c r="H559" s="2">
        <v>2.3232259999999999E-3</v>
      </c>
      <c r="I559" s="2" t="s">
        <v>45029</v>
      </c>
      <c r="J559" s="2" t="s">
        <v>45030</v>
      </c>
      <c r="K559" s="2">
        <v>2.0262272000000001E-2</v>
      </c>
      <c r="L559" s="2" t="s">
        <v>35</v>
      </c>
      <c r="M559" s="4" t="s">
        <v>24500</v>
      </c>
    </row>
    <row r="560" spans="1:13">
      <c r="A560" s="2">
        <v>1820</v>
      </c>
      <c r="B560" s="2" t="s">
        <v>45031</v>
      </c>
      <c r="C560" s="2">
        <v>7</v>
      </c>
      <c r="D560" s="2">
        <v>291</v>
      </c>
      <c r="E560" s="2">
        <v>196</v>
      </c>
      <c r="F560" s="2">
        <v>32441</v>
      </c>
      <c r="G560" s="2">
        <v>3.9814678450000001</v>
      </c>
      <c r="H560" s="2">
        <v>2.364241E-3</v>
      </c>
      <c r="I560" s="2" t="s">
        <v>45032</v>
      </c>
      <c r="J560" s="2" t="s">
        <v>45033</v>
      </c>
      <c r="K560" s="2">
        <v>2.047003E-2</v>
      </c>
      <c r="L560" s="2" t="s">
        <v>35</v>
      </c>
      <c r="M560" s="4" t="s">
        <v>45034</v>
      </c>
    </row>
    <row r="561" spans="1:13">
      <c r="A561" s="2">
        <v>2103</v>
      </c>
      <c r="B561" s="2" t="s">
        <v>45035</v>
      </c>
      <c r="C561" s="2">
        <v>3</v>
      </c>
      <c r="D561" s="2">
        <v>291</v>
      </c>
      <c r="E561" s="2">
        <v>27</v>
      </c>
      <c r="F561" s="2">
        <v>32441</v>
      </c>
      <c r="G561" s="2">
        <v>12.38678885</v>
      </c>
      <c r="H561" s="2">
        <v>2.3638679999999999E-3</v>
      </c>
      <c r="I561" s="2" t="s">
        <v>45036</v>
      </c>
      <c r="J561" s="2" t="s">
        <v>45037</v>
      </c>
      <c r="K561" s="2">
        <v>2.047003E-2</v>
      </c>
      <c r="L561" s="2" t="s">
        <v>35</v>
      </c>
      <c r="M561" s="4" t="s">
        <v>45038</v>
      </c>
    </row>
    <row r="562" spans="1:13">
      <c r="A562" s="2">
        <v>2275</v>
      </c>
      <c r="B562" s="2" t="s">
        <v>45039</v>
      </c>
      <c r="C562" s="2">
        <v>3</v>
      </c>
      <c r="D562" s="2">
        <v>291</v>
      </c>
      <c r="E562" s="2">
        <v>27</v>
      </c>
      <c r="F562" s="2">
        <v>32441</v>
      </c>
      <c r="G562" s="2">
        <v>12.38678885</v>
      </c>
      <c r="H562" s="2">
        <v>2.3638679999999999E-3</v>
      </c>
      <c r="I562" s="2" t="s">
        <v>45040</v>
      </c>
      <c r="J562" s="2" t="s">
        <v>45041</v>
      </c>
      <c r="K562" s="2">
        <v>2.047003E-2</v>
      </c>
      <c r="L562" s="2" t="s">
        <v>35</v>
      </c>
      <c r="M562" s="4" t="s">
        <v>45042</v>
      </c>
    </row>
    <row r="563" spans="1:13">
      <c r="A563" s="2">
        <v>3440</v>
      </c>
      <c r="B563" s="2" t="s">
        <v>4565</v>
      </c>
      <c r="C563" s="2">
        <v>7</v>
      </c>
      <c r="D563" s="2">
        <v>291</v>
      </c>
      <c r="E563" s="2">
        <v>196</v>
      </c>
      <c r="F563" s="2">
        <v>32441</v>
      </c>
      <c r="G563" s="2">
        <v>3.9814678450000001</v>
      </c>
      <c r="H563" s="2">
        <v>2.364241E-3</v>
      </c>
      <c r="I563" s="2" t="s">
        <v>45043</v>
      </c>
      <c r="J563" s="2" t="s">
        <v>45044</v>
      </c>
      <c r="K563" s="2">
        <v>2.047003E-2</v>
      </c>
      <c r="L563" s="2" t="s">
        <v>35</v>
      </c>
      <c r="M563" s="4" t="s">
        <v>4568</v>
      </c>
    </row>
    <row r="564" spans="1:13">
      <c r="A564" s="2">
        <v>3618</v>
      </c>
      <c r="B564" s="2" t="s">
        <v>45045</v>
      </c>
      <c r="C564" s="2">
        <v>6</v>
      </c>
      <c r="D564" s="2">
        <v>291</v>
      </c>
      <c r="E564" s="2">
        <v>145</v>
      </c>
      <c r="F564" s="2">
        <v>32441</v>
      </c>
      <c r="G564" s="2">
        <v>4.6130110200000001</v>
      </c>
      <c r="H564" s="2">
        <v>2.3826490000000001E-3</v>
      </c>
      <c r="I564" s="2" t="s">
        <v>45046</v>
      </c>
      <c r="J564" s="2" t="s">
        <v>45047</v>
      </c>
      <c r="K564" s="2">
        <v>2.0591966999999999E-2</v>
      </c>
      <c r="L564" s="2" t="s">
        <v>35</v>
      </c>
      <c r="M564" s="4" t="s">
        <v>45048</v>
      </c>
    </row>
    <row r="565" spans="1:13">
      <c r="A565" s="2">
        <v>2170</v>
      </c>
      <c r="B565" s="2" t="s">
        <v>45049</v>
      </c>
      <c r="C565" s="2">
        <v>4</v>
      </c>
      <c r="D565" s="2">
        <v>291</v>
      </c>
      <c r="E565" s="2">
        <v>59</v>
      </c>
      <c r="F565" s="2">
        <v>32441</v>
      </c>
      <c r="G565" s="2">
        <v>7.5580406550000001</v>
      </c>
      <c r="H565" s="2">
        <v>2.4145809999999998E-3</v>
      </c>
      <c r="I565" s="2" t="s">
        <v>45050</v>
      </c>
      <c r="J565" s="2" t="s">
        <v>45051</v>
      </c>
      <c r="K565" s="2">
        <v>2.0792469000000001E-2</v>
      </c>
      <c r="L565" s="2" t="s">
        <v>35</v>
      </c>
      <c r="M565" s="4" t="s">
        <v>45052</v>
      </c>
    </row>
    <row r="566" spans="1:13">
      <c r="A566" s="2">
        <v>4075</v>
      </c>
      <c r="B566" s="2" t="s">
        <v>45053</v>
      </c>
      <c r="C566" s="2">
        <v>4</v>
      </c>
      <c r="D566" s="2">
        <v>291</v>
      </c>
      <c r="E566" s="2">
        <v>59</v>
      </c>
      <c r="F566" s="2">
        <v>32441</v>
      </c>
      <c r="G566" s="2">
        <v>7.5580406550000001</v>
      </c>
      <c r="H566" s="2">
        <v>2.4145809999999998E-3</v>
      </c>
      <c r="I566" s="2" t="s">
        <v>45054</v>
      </c>
      <c r="J566" s="2" t="s">
        <v>45055</v>
      </c>
      <c r="K566" s="2">
        <v>2.0792469000000001E-2</v>
      </c>
      <c r="L566" s="2" t="s">
        <v>35</v>
      </c>
      <c r="M566" s="4" t="s">
        <v>45056</v>
      </c>
    </row>
    <row r="567" spans="1:13">
      <c r="A567" s="2">
        <v>1402</v>
      </c>
      <c r="B567" s="2" t="s">
        <v>45057</v>
      </c>
      <c r="C567" s="2">
        <v>7</v>
      </c>
      <c r="D567" s="2">
        <v>291</v>
      </c>
      <c r="E567" s="2">
        <v>198</v>
      </c>
      <c r="F567" s="2">
        <v>32441</v>
      </c>
      <c r="G567" s="2">
        <v>3.9412509980000001</v>
      </c>
      <c r="H567" s="2">
        <v>2.4973040000000001E-3</v>
      </c>
      <c r="I567" s="2" t="s">
        <v>45058</v>
      </c>
      <c r="J567" s="2" t="s">
        <v>45059</v>
      </c>
      <c r="K567" s="2">
        <v>2.1465995000000002E-2</v>
      </c>
      <c r="L567" s="2" t="s">
        <v>35</v>
      </c>
      <c r="M567" s="4" t="s">
        <v>45060</v>
      </c>
    </row>
    <row r="568" spans="1:13">
      <c r="A568" s="2">
        <v>3300</v>
      </c>
      <c r="B568" s="2" t="s">
        <v>3616</v>
      </c>
      <c r="C568" s="2">
        <v>8</v>
      </c>
      <c r="D568" s="2">
        <v>291</v>
      </c>
      <c r="E568" s="2">
        <v>254</v>
      </c>
      <c r="F568" s="2">
        <v>32441</v>
      </c>
      <c r="G568" s="2">
        <v>3.5112157370000001</v>
      </c>
      <c r="H568" s="2">
        <v>2.5186850000000001E-3</v>
      </c>
      <c r="I568" s="2" t="s">
        <v>45061</v>
      </c>
      <c r="J568" s="2" t="s">
        <v>45062</v>
      </c>
      <c r="K568" s="2">
        <v>2.1610768999999998E-2</v>
      </c>
      <c r="L568" s="2" t="s">
        <v>35</v>
      </c>
      <c r="M568" s="4" t="s">
        <v>3619</v>
      </c>
    </row>
    <row r="569" spans="1:13">
      <c r="A569" s="2">
        <v>1876</v>
      </c>
      <c r="B569" s="2" t="s">
        <v>42626</v>
      </c>
      <c r="C569" s="2">
        <v>4</v>
      </c>
      <c r="D569" s="2">
        <v>291</v>
      </c>
      <c r="E569" s="2">
        <v>60</v>
      </c>
      <c r="F569" s="2">
        <v>32441</v>
      </c>
      <c r="G569" s="2">
        <v>7.4320733099999998</v>
      </c>
      <c r="H569" s="2">
        <v>2.5577870000000002E-3</v>
      </c>
      <c r="I569" s="2" t="s">
        <v>45063</v>
      </c>
      <c r="J569" s="2" t="s">
        <v>45064</v>
      </c>
      <c r="K569" s="2">
        <v>2.1867468000000001E-2</v>
      </c>
      <c r="L569" s="2" t="s">
        <v>35</v>
      </c>
      <c r="M569" s="4" t="s">
        <v>42629</v>
      </c>
    </row>
    <row r="570" spans="1:13">
      <c r="A570" s="2">
        <v>2453</v>
      </c>
      <c r="B570" s="2" t="s">
        <v>45065</v>
      </c>
      <c r="C570" s="2">
        <v>4</v>
      </c>
      <c r="D570" s="2">
        <v>291</v>
      </c>
      <c r="E570" s="2">
        <v>60</v>
      </c>
      <c r="F570" s="2">
        <v>32441</v>
      </c>
      <c r="G570" s="2">
        <v>7.4320733099999998</v>
      </c>
      <c r="H570" s="2">
        <v>2.5577870000000002E-3</v>
      </c>
      <c r="I570" s="2" t="s">
        <v>45066</v>
      </c>
      <c r="J570" s="2" t="s">
        <v>45067</v>
      </c>
      <c r="K570" s="2">
        <v>2.1867468000000001E-2</v>
      </c>
      <c r="L570" s="2" t="s">
        <v>35</v>
      </c>
      <c r="M570" s="4" t="s">
        <v>45068</v>
      </c>
    </row>
    <row r="571" spans="1:13">
      <c r="A571" s="2">
        <v>4159</v>
      </c>
      <c r="B571" s="2" t="s">
        <v>4058</v>
      </c>
      <c r="C571" s="2">
        <v>5</v>
      </c>
      <c r="D571" s="2">
        <v>291</v>
      </c>
      <c r="E571" s="2">
        <v>101</v>
      </c>
      <c r="F571" s="2">
        <v>32441</v>
      </c>
      <c r="G571" s="2">
        <v>5.5188663199999999</v>
      </c>
      <c r="H571" s="2">
        <v>2.618469E-3</v>
      </c>
      <c r="I571" s="2" t="s">
        <v>45069</v>
      </c>
      <c r="J571" s="2" t="s">
        <v>45070</v>
      </c>
      <c r="K571" s="2">
        <v>2.2346147E-2</v>
      </c>
      <c r="L571" s="2" t="s">
        <v>35</v>
      </c>
      <c r="M571" s="4" t="s">
        <v>4061</v>
      </c>
    </row>
    <row r="572" spans="1:13">
      <c r="A572" s="2">
        <v>3930</v>
      </c>
      <c r="B572" s="2" t="s">
        <v>5594</v>
      </c>
      <c r="C572" s="2">
        <v>11</v>
      </c>
      <c r="D572" s="2">
        <v>291</v>
      </c>
      <c r="E572" s="2">
        <v>442</v>
      </c>
      <c r="F572" s="2">
        <v>32441</v>
      </c>
      <c r="G572" s="2">
        <v>2.7744165070000002</v>
      </c>
      <c r="H572" s="2">
        <v>2.6279810000000002E-3</v>
      </c>
      <c r="I572" s="2" t="s">
        <v>45071</v>
      </c>
      <c r="J572" s="2" t="s">
        <v>45072</v>
      </c>
      <c r="K572" s="2">
        <v>2.2387204000000001E-2</v>
      </c>
      <c r="L572" s="2" t="s">
        <v>35</v>
      </c>
      <c r="M572" s="4" t="s">
        <v>5597</v>
      </c>
    </row>
    <row r="573" spans="1:13">
      <c r="A573" s="2">
        <v>3016</v>
      </c>
      <c r="B573" s="2" t="s">
        <v>42632</v>
      </c>
      <c r="C573" s="2">
        <v>4</v>
      </c>
      <c r="D573" s="2">
        <v>291</v>
      </c>
      <c r="E573" s="2">
        <v>61</v>
      </c>
      <c r="F573" s="2">
        <v>32441</v>
      </c>
      <c r="G573" s="2">
        <v>7.3102360429999997</v>
      </c>
      <c r="H573" s="2">
        <v>2.7067150000000002E-3</v>
      </c>
      <c r="I573" s="2" t="s">
        <v>45073</v>
      </c>
      <c r="J573" s="2" t="s">
        <v>45074</v>
      </c>
      <c r="K573" s="2">
        <v>2.3016742999999999E-2</v>
      </c>
      <c r="L573" s="2" t="s">
        <v>35</v>
      </c>
      <c r="M573" s="4" t="s">
        <v>42635</v>
      </c>
    </row>
    <row r="574" spans="1:13">
      <c r="A574" s="2">
        <v>3525</v>
      </c>
      <c r="B574" s="2" t="s">
        <v>45075</v>
      </c>
      <c r="C574" s="2">
        <v>2</v>
      </c>
      <c r="D574" s="2">
        <v>291</v>
      </c>
      <c r="E574" s="2">
        <v>7</v>
      </c>
      <c r="F574" s="2">
        <v>32441</v>
      </c>
      <c r="G574" s="2">
        <v>31.85174276</v>
      </c>
      <c r="H574" s="2">
        <v>2.7211480000000001E-3</v>
      </c>
      <c r="I574" s="2" t="s">
        <v>45076</v>
      </c>
      <c r="J574" s="2" t="s">
        <v>45077</v>
      </c>
      <c r="K574" s="2">
        <v>2.3057128999999999E-2</v>
      </c>
      <c r="L574" s="2" t="s">
        <v>35</v>
      </c>
      <c r="M574" s="4" t="s">
        <v>45078</v>
      </c>
    </row>
    <row r="575" spans="1:13">
      <c r="A575" s="2">
        <v>4267</v>
      </c>
      <c r="B575" s="2" t="s">
        <v>45079</v>
      </c>
      <c r="C575" s="2">
        <v>2</v>
      </c>
      <c r="D575" s="2">
        <v>291</v>
      </c>
      <c r="E575" s="2">
        <v>7</v>
      </c>
      <c r="F575" s="2">
        <v>32441</v>
      </c>
      <c r="G575" s="2">
        <v>31.85174276</v>
      </c>
      <c r="H575" s="2">
        <v>2.7211480000000001E-3</v>
      </c>
      <c r="I575" s="2" t="s">
        <v>45080</v>
      </c>
      <c r="J575" s="2" t="s">
        <v>45081</v>
      </c>
      <c r="K575" s="2">
        <v>2.3057128999999999E-2</v>
      </c>
      <c r="L575" s="2" t="s">
        <v>35</v>
      </c>
      <c r="M575" s="4" t="s">
        <v>45082</v>
      </c>
    </row>
    <row r="576" spans="1:13">
      <c r="A576" s="2">
        <v>2202</v>
      </c>
      <c r="B576" s="2" t="s">
        <v>25682</v>
      </c>
      <c r="C576" s="2">
        <v>5</v>
      </c>
      <c r="D576" s="2">
        <v>291</v>
      </c>
      <c r="E576" s="2">
        <v>103</v>
      </c>
      <c r="F576" s="2">
        <v>32441</v>
      </c>
      <c r="G576" s="2">
        <v>5.4117038669999999</v>
      </c>
      <c r="H576" s="2">
        <v>2.839219E-3</v>
      </c>
      <c r="I576" s="2" t="s">
        <v>45083</v>
      </c>
      <c r="J576" s="2" t="s">
        <v>45084</v>
      </c>
      <c r="K576" s="2">
        <v>2.4014855000000002E-2</v>
      </c>
      <c r="L576" s="2" t="s">
        <v>35</v>
      </c>
      <c r="M576" s="4" t="s">
        <v>25685</v>
      </c>
    </row>
    <row r="577" spans="1:13">
      <c r="A577" s="2">
        <v>564</v>
      </c>
      <c r="B577" s="2" t="s">
        <v>4879</v>
      </c>
      <c r="C577" s="2">
        <v>3</v>
      </c>
      <c r="D577" s="2">
        <v>291</v>
      </c>
      <c r="E577" s="2">
        <v>29</v>
      </c>
      <c r="F577" s="2">
        <v>32441</v>
      </c>
      <c r="G577" s="2">
        <v>11.532527549999999</v>
      </c>
      <c r="H577" s="2">
        <v>2.8503309999999998E-3</v>
      </c>
      <c r="I577" s="2" t="s">
        <v>45085</v>
      </c>
      <c r="J577" s="2" t="s">
        <v>45086</v>
      </c>
      <c r="K577" s="2">
        <v>2.4023497000000001E-2</v>
      </c>
      <c r="L577" s="2" t="s">
        <v>35</v>
      </c>
      <c r="M577" s="4" t="s">
        <v>4882</v>
      </c>
    </row>
    <row r="578" spans="1:13">
      <c r="A578" s="2">
        <v>2137</v>
      </c>
      <c r="B578" s="2" t="s">
        <v>45087</v>
      </c>
      <c r="C578" s="2">
        <v>3</v>
      </c>
      <c r="D578" s="2">
        <v>291</v>
      </c>
      <c r="E578" s="2">
        <v>29</v>
      </c>
      <c r="F578" s="2">
        <v>32441</v>
      </c>
      <c r="G578" s="2">
        <v>11.532527549999999</v>
      </c>
      <c r="H578" s="2">
        <v>2.8503309999999998E-3</v>
      </c>
      <c r="I578" s="2" t="s">
        <v>45088</v>
      </c>
      <c r="J578" s="2" t="s">
        <v>45089</v>
      </c>
      <c r="K578" s="2">
        <v>2.4023497000000001E-2</v>
      </c>
      <c r="L578" s="2" t="s">
        <v>35</v>
      </c>
      <c r="M578" s="4" t="s">
        <v>45090</v>
      </c>
    </row>
    <row r="579" spans="1:13">
      <c r="A579" s="2">
        <v>2095</v>
      </c>
      <c r="B579" s="2" t="s">
        <v>45091</v>
      </c>
      <c r="C579" s="2">
        <v>4</v>
      </c>
      <c r="D579" s="2">
        <v>291</v>
      </c>
      <c r="E579" s="2">
        <v>62</v>
      </c>
      <c r="F579" s="2">
        <v>32441</v>
      </c>
      <c r="G579" s="2">
        <v>7.1923290099999999</v>
      </c>
      <c r="H579" s="2">
        <v>2.8614780000000002E-3</v>
      </c>
      <c r="I579" s="2" t="s">
        <v>45092</v>
      </c>
      <c r="J579" s="2" t="s">
        <v>45093</v>
      </c>
      <c r="K579" s="2">
        <v>2.4032375000000002E-2</v>
      </c>
      <c r="L579" s="2" t="s">
        <v>35</v>
      </c>
      <c r="M579" s="4" t="s">
        <v>45094</v>
      </c>
    </row>
    <row r="580" spans="1:13">
      <c r="A580" s="2">
        <v>2751</v>
      </c>
      <c r="B580" s="2" t="s">
        <v>45095</v>
      </c>
      <c r="C580" s="2">
        <v>4</v>
      </c>
      <c r="D580" s="2">
        <v>291</v>
      </c>
      <c r="E580" s="2">
        <v>62</v>
      </c>
      <c r="F580" s="2">
        <v>32441</v>
      </c>
      <c r="G580" s="2">
        <v>7.1923290099999999</v>
      </c>
      <c r="H580" s="2">
        <v>2.8614780000000002E-3</v>
      </c>
      <c r="I580" s="2" t="s">
        <v>45096</v>
      </c>
      <c r="J580" s="2" t="s">
        <v>45097</v>
      </c>
      <c r="K580" s="2">
        <v>2.4032375000000002E-2</v>
      </c>
      <c r="L580" s="2" t="s">
        <v>35</v>
      </c>
      <c r="M580" s="4" t="s">
        <v>45098</v>
      </c>
    </row>
    <row r="581" spans="1:13">
      <c r="A581" s="2">
        <v>2239</v>
      </c>
      <c r="B581" s="2" t="s">
        <v>6154</v>
      </c>
      <c r="C581" s="2">
        <v>8</v>
      </c>
      <c r="D581" s="2">
        <v>291</v>
      </c>
      <c r="E581" s="2">
        <v>261</v>
      </c>
      <c r="F581" s="2">
        <v>32441</v>
      </c>
      <c r="G581" s="2">
        <v>3.4170452</v>
      </c>
      <c r="H581" s="2">
        <v>2.9586209999999998E-3</v>
      </c>
      <c r="I581" s="2" t="s">
        <v>45099</v>
      </c>
      <c r="J581" s="2" t="s">
        <v>45100</v>
      </c>
      <c r="K581" s="2">
        <v>2.4760899999999999E-2</v>
      </c>
      <c r="L581" s="2" t="s">
        <v>35</v>
      </c>
      <c r="M581" s="4" t="s">
        <v>6157</v>
      </c>
    </row>
    <row r="582" spans="1:13">
      <c r="A582" s="2">
        <v>3132</v>
      </c>
      <c r="B582" s="2" t="s">
        <v>45101</v>
      </c>
      <c r="C582" s="2">
        <v>8</v>
      </c>
      <c r="D582" s="2">
        <v>291</v>
      </c>
      <c r="E582" s="2">
        <v>261</v>
      </c>
      <c r="F582" s="2">
        <v>32441</v>
      </c>
      <c r="G582" s="2">
        <v>3.4170452</v>
      </c>
      <c r="H582" s="2">
        <v>2.9586209999999998E-3</v>
      </c>
      <c r="I582" s="2" t="s">
        <v>45102</v>
      </c>
      <c r="J582" s="2" t="s">
        <v>45103</v>
      </c>
      <c r="K582" s="2">
        <v>2.4760899999999999E-2</v>
      </c>
      <c r="L582" s="2" t="s">
        <v>35</v>
      </c>
      <c r="M582" s="4" t="s">
        <v>45104</v>
      </c>
    </row>
    <row r="583" spans="1:13">
      <c r="A583" s="2">
        <v>1482</v>
      </c>
      <c r="B583" s="2" t="s">
        <v>24793</v>
      </c>
      <c r="C583" s="2">
        <v>10</v>
      </c>
      <c r="D583" s="2">
        <v>291</v>
      </c>
      <c r="E583" s="2">
        <v>384</v>
      </c>
      <c r="F583" s="2">
        <v>32441</v>
      </c>
      <c r="G583" s="2">
        <v>2.903153637</v>
      </c>
      <c r="H583" s="2">
        <v>2.9678529999999999E-3</v>
      </c>
      <c r="I583" s="2" t="s">
        <v>45105</v>
      </c>
      <c r="J583" s="2" t="s">
        <v>45106</v>
      </c>
      <c r="K583" s="2">
        <v>2.4794588999999999E-2</v>
      </c>
      <c r="L583" s="2" t="s">
        <v>35</v>
      </c>
      <c r="M583" s="4" t="s">
        <v>24796</v>
      </c>
    </row>
    <row r="584" spans="1:13">
      <c r="A584" s="2">
        <v>2870</v>
      </c>
      <c r="B584" s="2" t="s">
        <v>4074</v>
      </c>
      <c r="C584" s="2">
        <v>4</v>
      </c>
      <c r="D584" s="2">
        <v>291</v>
      </c>
      <c r="E584" s="2">
        <v>63</v>
      </c>
      <c r="F584" s="2">
        <v>32441</v>
      </c>
      <c r="G584" s="2">
        <v>7.0781650579999997</v>
      </c>
      <c r="H584" s="2">
        <v>3.0221860000000001E-3</v>
      </c>
      <c r="I584" s="2" t="s">
        <v>45107</v>
      </c>
      <c r="J584" s="2" t="s">
        <v>45108</v>
      </c>
      <c r="K584" s="2">
        <v>2.5160223999999998E-2</v>
      </c>
      <c r="L584" s="2" t="s">
        <v>35</v>
      </c>
      <c r="M584" s="4" t="s">
        <v>4077</v>
      </c>
    </row>
    <row r="585" spans="1:13">
      <c r="A585" s="2">
        <v>4443</v>
      </c>
      <c r="B585" s="2" t="s">
        <v>45109</v>
      </c>
      <c r="C585" s="2">
        <v>4</v>
      </c>
      <c r="D585" s="2">
        <v>291</v>
      </c>
      <c r="E585" s="2">
        <v>63</v>
      </c>
      <c r="F585" s="2">
        <v>32441</v>
      </c>
      <c r="G585" s="2">
        <v>7.0781650579999997</v>
      </c>
      <c r="H585" s="2">
        <v>3.0221860000000001E-3</v>
      </c>
      <c r="I585" s="2" t="s">
        <v>45110</v>
      </c>
      <c r="J585" s="2" t="s">
        <v>45111</v>
      </c>
      <c r="K585" s="2">
        <v>2.5160223999999998E-2</v>
      </c>
      <c r="L585" s="2" t="s">
        <v>35</v>
      </c>
      <c r="M585" s="4" t="s">
        <v>45112</v>
      </c>
    </row>
    <row r="586" spans="1:13">
      <c r="A586" s="2">
        <v>3036</v>
      </c>
      <c r="B586" s="2" t="s">
        <v>45113</v>
      </c>
      <c r="C586" s="2">
        <v>5</v>
      </c>
      <c r="D586" s="2">
        <v>291</v>
      </c>
      <c r="E586" s="2">
        <v>105</v>
      </c>
      <c r="F586" s="2">
        <v>32441</v>
      </c>
      <c r="G586" s="2">
        <v>5.3086237929999998</v>
      </c>
      <c r="H586" s="2">
        <v>3.0731209999999998E-3</v>
      </c>
      <c r="I586" s="2" t="s">
        <v>45114</v>
      </c>
      <c r="J586" s="2" t="s">
        <v>45115</v>
      </c>
      <c r="K586" s="2">
        <v>2.5539620999999998E-2</v>
      </c>
      <c r="L586" s="2" t="s">
        <v>35</v>
      </c>
      <c r="M586" s="4" t="s">
        <v>45116</v>
      </c>
    </row>
    <row r="587" spans="1:13">
      <c r="A587" s="2">
        <v>808</v>
      </c>
      <c r="B587" s="2" t="s">
        <v>45117</v>
      </c>
      <c r="C587" s="2">
        <v>3</v>
      </c>
      <c r="D587" s="2">
        <v>291</v>
      </c>
      <c r="E587" s="2">
        <v>30</v>
      </c>
      <c r="F587" s="2">
        <v>32441</v>
      </c>
      <c r="G587" s="2">
        <v>11.14810997</v>
      </c>
      <c r="H587" s="2">
        <v>3.1149289999999998E-3</v>
      </c>
      <c r="I587" s="2" t="s">
        <v>44577</v>
      </c>
      <c r="J587" s="2" t="s">
        <v>44578</v>
      </c>
      <c r="K587" s="2">
        <v>2.5841969999999999E-2</v>
      </c>
      <c r="L587" s="2" t="s">
        <v>35</v>
      </c>
      <c r="M587" s="4" t="s">
        <v>45118</v>
      </c>
    </row>
    <row r="588" spans="1:13">
      <c r="A588" s="2">
        <v>1629</v>
      </c>
      <c r="B588" s="2" t="s">
        <v>45119</v>
      </c>
      <c r="C588" s="2">
        <v>7</v>
      </c>
      <c r="D588" s="2">
        <v>291</v>
      </c>
      <c r="E588" s="2">
        <v>209</v>
      </c>
      <c r="F588" s="2">
        <v>32441</v>
      </c>
      <c r="G588" s="2">
        <v>3.733816735</v>
      </c>
      <c r="H588" s="2">
        <v>3.335144E-3</v>
      </c>
      <c r="I588" s="2" t="s">
        <v>45120</v>
      </c>
      <c r="J588" s="2" t="s">
        <v>45121</v>
      </c>
      <c r="K588" s="2">
        <v>2.7572842E-2</v>
      </c>
      <c r="L588" s="2" t="s">
        <v>35</v>
      </c>
      <c r="M588" s="4" t="s">
        <v>45122</v>
      </c>
    </row>
    <row r="589" spans="1:13">
      <c r="A589" s="2">
        <v>3871</v>
      </c>
      <c r="B589" s="2" t="s">
        <v>45123</v>
      </c>
      <c r="C589" s="2">
        <v>7</v>
      </c>
      <c r="D589" s="2">
        <v>291</v>
      </c>
      <c r="E589" s="2">
        <v>209</v>
      </c>
      <c r="F589" s="2">
        <v>32441</v>
      </c>
      <c r="G589" s="2">
        <v>3.733816735</v>
      </c>
      <c r="H589" s="2">
        <v>3.335144E-3</v>
      </c>
      <c r="I589" s="2" t="s">
        <v>45124</v>
      </c>
      <c r="J589" s="2" t="s">
        <v>45125</v>
      </c>
      <c r="K589" s="2">
        <v>2.7572842E-2</v>
      </c>
      <c r="L589" s="2" t="s">
        <v>35</v>
      </c>
      <c r="M589" s="4" t="s">
        <v>45126</v>
      </c>
    </row>
    <row r="590" spans="1:13">
      <c r="A590" s="2">
        <v>468</v>
      </c>
      <c r="B590" s="2" t="s">
        <v>4477</v>
      </c>
      <c r="C590" s="2">
        <v>4</v>
      </c>
      <c r="D590" s="2">
        <v>291</v>
      </c>
      <c r="E590" s="2">
        <v>65</v>
      </c>
      <c r="F590" s="2">
        <v>32441</v>
      </c>
      <c r="G590" s="2">
        <v>6.8603753630000002</v>
      </c>
      <c r="H590" s="2">
        <v>3.3618760000000002E-3</v>
      </c>
      <c r="I590" s="2" t="s">
        <v>45127</v>
      </c>
      <c r="J590" s="2" t="s">
        <v>45128</v>
      </c>
      <c r="K590" s="2">
        <v>2.7675999E-2</v>
      </c>
      <c r="L590" s="2" t="s">
        <v>35</v>
      </c>
      <c r="M590" s="4" t="s">
        <v>4480</v>
      </c>
    </row>
    <row r="591" spans="1:13">
      <c r="A591" s="2">
        <v>946</v>
      </c>
      <c r="B591" s="2" t="s">
        <v>4911</v>
      </c>
      <c r="C591" s="2">
        <v>3</v>
      </c>
      <c r="D591" s="2">
        <v>291</v>
      </c>
      <c r="E591" s="2">
        <v>31</v>
      </c>
      <c r="F591" s="2">
        <v>32441</v>
      </c>
      <c r="G591" s="2">
        <v>10.788493519999999</v>
      </c>
      <c r="H591" s="2">
        <v>3.3941169999999999E-3</v>
      </c>
      <c r="I591" s="2" t="s">
        <v>45129</v>
      </c>
      <c r="J591" s="2" t="s">
        <v>45130</v>
      </c>
      <c r="K591" s="2">
        <v>2.7675999E-2</v>
      </c>
      <c r="L591" s="2" t="s">
        <v>35</v>
      </c>
      <c r="M591" s="4" t="s">
        <v>4914</v>
      </c>
    </row>
    <row r="592" spans="1:13">
      <c r="A592" s="2">
        <v>1781</v>
      </c>
      <c r="B592" s="2" t="s">
        <v>45131</v>
      </c>
      <c r="C592" s="2">
        <v>3</v>
      </c>
      <c r="D592" s="2">
        <v>291</v>
      </c>
      <c r="E592" s="2">
        <v>31</v>
      </c>
      <c r="F592" s="2">
        <v>32441</v>
      </c>
      <c r="G592" s="2">
        <v>10.788493519999999</v>
      </c>
      <c r="H592" s="2">
        <v>3.3941169999999999E-3</v>
      </c>
      <c r="I592" s="2" t="s">
        <v>45132</v>
      </c>
      <c r="J592" s="2" t="s">
        <v>45133</v>
      </c>
      <c r="K592" s="2">
        <v>2.7675999E-2</v>
      </c>
      <c r="L592" s="2" t="s">
        <v>35</v>
      </c>
      <c r="M592" s="4" t="s">
        <v>45134</v>
      </c>
    </row>
    <row r="593" spans="1:13">
      <c r="A593" s="2">
        <v>1842</v>
      </c>
      <c r="B593" s="2" t="s">
        <v>45135</v>
      </c>
      <c r="C593" s="2">
        <v>2</v>
      </c>
      <c r="D593" s="2">
        <v>291</v>
      </c>
      <c r="E593" s="2">
        <v>8</v>
      </c>
      <c r="F593" s="2">
        <v>32441</v>
      </c>
      <c r="G593" s="2">
        <v>27.870274909999999</v>
      </c>
      <c r="H593" s="2">
        <v>3.3815130000000001E-3</v>
      </c>
      <c r="I593" s="2" t="s">
        <v>45136</v>
      </c>
      <c r="J593" s="2" t="s">
        <v>45137</v>
      </c>
      <c r="K593" s="2">
        <v>2.7675999E-2</v>
      </c>
      <c r="L593" s="2" t="s">
        <v>35</v>
      </c>
      <c r="M593" s="4" t="s">
        <v>45138</v>
      </c>
    </row>
    <row r="594" spans="1:13">
      <c r="A594" s="2">
        <v>2157</v>
      </c>
      <c r="B594" s="2" t="s">
        <v>45139</v>
      </c>
      <c r="C594" s="2">
        <v>2</v>
      </c>
      <c r="D594" s="2">
        <v>291</v>
      </c>
      <c r="E594" s="2">
        <v>8</v>
      </c>
      <c r="F594" s="2">
        <v>32441</v>
      </c>
      <c r="G594" s="2">
        <v>27.870274909999999</v>
      </c>
      <c r="H594" s="2">
        <v>3.3815130000000001E-3</v>
      </c>
      <c r="I594" s="2" t="s">
        <v>45140</v>
      </c>
      <c r="J594" s="2" t="s">
        <v>45141</v>
      </c>
      <c r="K594" s="2">
        <v>2.7675999E-2</v>
      </c>
      <c r="L594" s="2" t="s">
        <v>35</v>
      </c>
      <c r="M594" s="4" t="s">
        <v>45142</v>
      </c>
    </row>
    <row r="595" spans="1:13">
      <c r="A595" s="2">
        <v>2189</v>
      </c>
      <c r="B595" s="2" t="s">
        <v>45143</v>
      </c>
      <c r="C595" s="2">
        <v>3</v>
      </c>
      <c r="D595" s="2">
        <v>291</v>
      </c>
      <c r="E595" s="2">
        <v>31</v>
      </c>
      <c r="F595" s="2">
        <v>32441</v>
      </c>
      <c r="G595" s="2">
        <v>10.788493519999999</v>
      </c>
      <c r="H595" s="2">
        <v>3.3941169999999999E-3</v>
      </c>
      <c r="I595" s="2" t="s">
        <v>45144</v>
      </c>
      <c r="J595" s="2" t="s">
        <v>45145</v>
      </c>
      <c r="K595" s="2">
        <v>2.7675999E-2</v>
      </c>
      <c r="L595" s="2" t="s">
        <v>35</v>
      </c>
      <c r="M595" s="4" t="s">
        <v>45146</v>
      </c>
    </row>
    <row r="596" spans="1:13">
      <c r="A596" s="2">
        <v>3598</v>
      </c>
      <c r="B596" s="2" t="s">
        <v>45147</v>
      </c>
      <c r="C596" s="2">
        <v>3</v>
      </c>
      <c r="D596" s="2">
        <v>291</v>
      </c>
      <c r="E596" s="2">
        <v>31</v>
      </c>
      <c r="F596" s="2">
        <v>32441</v>
      </c>
      <c r="G596" s="2">
        <v>10.788493519999999</v>
      </c>
      <c r="H596" s="2">
        <v>3.3941169999999999E-3</v>
      </c>
      <c r="I596" s="2" t="s">
        <v>45148</v>
      </c>
      <c r="J596" s="2" t="s">
        <v>45149</v>
      </c>
      <c r="K596" s="2">
        <v>2.7675999E-2</v>
      </c>
      <c r="L596" s="2" t="s">
        <v>35</v>
      </c>
      <c r="M596" s="4" t="s">
        <v>45150</v>
      </c>
    </row>
    <row r="597" spans="1:13">
      <c r="A597" s="2">
        <v>4006</v>
      </c>
      <c r="B597" s="2" t="s">
        <v>45151</v>
      </c>
      <c r="C597" s="2">
        <v>3</v>
      </c>
      <c r="D597" s="2">
        <v>291</v>
      </c>
      <c r="E597" s="2">
        <v>31</v>
      </c>
      <c r="F597" s="2">
        <v>32441</v>
      </c>
      <c r="G597" s="2">
        <v>10.788493519999999</v>
      </c>
      <c r="H597" s="2">
        <v>3.3941169999999999E-3</v>
      </c>
      <c r="I597" s="2" t="s">
        <v>45152</v>
      </c>
      <c r="J597" s="2" t="s">
        <v>45153</v>
      </c>
      <c r="K597" s="2">
        <v>2.7675999E-2</v>
      </c>
      <c r="L597" s="2" t="s">
        <v>35</v>
      </c>
      <c r="M597" s="4" t="s">
        <v>45154</v>
      </c>
    </row>
    <row r="598" spans="1:13">
      <c r="A598" s="2">
        <v>1537</v>
      </c>
      <c r="B598" s="2" t="s">
        <v>6580</v>
      </c>
      <c r="C598" s="2">
        <v>6</v>
      </c>
      <c r="D598" s="2">
        <v>291</v>
      </c>
      <c r="E598" s="2">
        <v>157</v>
      </c>
      <c r="F598" s="2">
        <v>32441</v>
      </c>
      <c r="G598" s="2">
        <v>4.2604241910000002</v>
      </c>
      <c r="H598" s="2">
        <v>3.4786320000000002E-3</v>
      </c>
      <c r="I598" s="2" t="s">
        <v>45155</v>
      </c>
      <c r="J598" s="2" t="s">
        <v>45156</v>
      </c>
      <c r="K598" s="2">
        <v>2.8268333E-2</v>
      </c>
      <c r="L598" s="2" t="s">
        <v>35</v>
      </c>
      <c r="M598" s="4" t="s">
        <v>6583</v>
      </c>
    </row>
    <row r="599" spans="1:13">
      <c r="A599" s="2">
        <v>2737</v>
      </c>
      <c r="B599" s="2" t="s">
        <v>280</v>
      </c>
      <c r="C599" s="2">
        <v>6</v>
      </c>
      <c r="D599" s="2">
        <v>291</v>
      </c>
      <c r="E599" s="2">
        <v>157</v>
      </c>
      <c r="F599" s="2">
        <v>32441</v>
      </c>
      <c r="G599" s="2">
        <v>4.2604241910000002</v>
      </c>
      <c r="H599" s="2">
        <v>3.4786320000000002E-3</v>
      </c>
      <c r="I599" s="2" t="s">
        <v>45157</v>
      </c>
      <c r="J599" s="2" t="s">
        <v>45158</v>
      </c>
      <c r="K599" s="2">
        <v>2.8268333E-2</v>
      </c>
      <c r="L599" s="2" t="s">
        <v>35</v>
      </c>
      <c r="M599" s="4" t="s">
        <v>42650</v>
      </c>
    </row>
    <row r="600" spans="1:13">
      <c r="A600" s="2">
        <v>2184</v>
      </c>
      <c r="B600" s="2" t="s">
        <v>5231</v>
      </c>
      <c r="C600" s="2">
        <v>4</v>
      </c>
      <c r="D600" s="2">
        <v>291</v>
      </c>
      <c r="E600" s="2">
        <v>66</v>
      </c>
      <c r="F600" s="2">
        <v>32441</v>
      </c>
      <c r="G600" s="2">
        <v>6.7564302820000002</v>
      </c>
      <c r="H600" s="2">
        <v>3.541074E-3</v>
      </c>
      <c r="I600" s="2" t="s">
        <v>45159</v>
      </c>
      <c r="J600" s="2" t="s">
        <v>45160</v>
      </c>
      <c r="K600" s="2">
        <v>2.8629194E-2</v>
      </c>
      <c r="L600" s="2" t="s">
        <v>35</v>
      </c>
      <c r="M600" s="4" t="s">
        <v>5234</v>
      </c>
    </row>
    <row r="601" spans="1:13">
      <c r="A601" s="2">
        <v>2477</v>
      </c>
      <c r="B601" s="2" t="s">
        <v>45161</v>
      </c>
      <c r="C601" s="2">
        <v>4</v>
      </c>
      <c r="D601" s="2">
        <v>291</v>
      </c>
      <c r="E601" s="2">
        <v>66</v>
      </c>
      <c r="F601" s="2">
        <v>32441</v>
      </c>
      <c r="G601" s="2">
        <v>6.7564302820000002</v>
      </c>
      <c r="H601" s="2">
        <v>3.541074E-3</v>
      </c>
      <c r="I601" s="2" t="s">
        <v>45162</v>
      </c>
      <c r="J601" s="2" t="s">
        <v>45163</v>
      </c>
      <c r="K601" s="2">
        <v>2.8629194E-2</v>
      </c>
      <c r="L601" s="2" t="s">
        <v>35</v>
      </c>
      <c r="M601" s="4" t="s">
        <v>45164</v>
      </c>
    </row>
    <row r="602" spans="1:13">
      <c r="A602" s="2">
        <v>2906</v>
      </c>
      <c r="B602" s="2" t="s">
        <v>5902</v>
      </c>
      <c r="C602" s="2">
        <v>4</v>
      </c>
      <c r="D602" s="2">
        <v>291</v>
      </c>
      <c r="E602" s="2">
        <v>66</v>
      </c>
      <c r="F602" s="2">
        <v>32441</v>
      </c>
      <c r="G602" s="2">
        <v>6.7564302820000002</v>
      </c>
      <c r="H602" s="2">
        <v>3.541074E-3</v>
      </c>
      <c r="I602" s="2" t="s">
        <v>45165</v>
      </c>
      <c r="J602" s="2" t="s">
        <v>45166</v>
      </c>
      <c r="K602" s="2">
        <v>2.8629194E-2</v>
      </c>
      <c r="L602" s="2" t="s">
        <v>35</v>
      </c>
      <c r="M602" s="4" t="s">
        <v>5905</v>
      </c>
    </row>
    <row r="603" spans="1:13">
      <c r="A603" s="2">
        <v>1391</v>
      </c>
      <c r="B603" s="2" t="s">
        <v>25145</v>
      </c>
      <c r="C603" s="2">
        <v>9</v>
      </c>
      <c r="D603" s="2">
        <v>291</v>
      </c>
      <c r="E603" s="2">
        <v>332</v>
      </c>
      <c r="F603" s="2">
        <v>32441</v>
      </c>
      <c r="G603" s="2">
        <v>3.0220780029999998</v>
      </c>
      <c r="H603" s="2">
        <v>3.66899E-3</v>
      </c>
      <c r="I603" s="2" t="s">
        <v>45167</v>
      </c>
      <c r="J603" s="2" t="s">
        <v>45168</v>
      </c>
      <c r="K603" s="2">
        <v>2.9613106E-2</v>
      </c>
      <c r="L603" s="2" t="s">
        <v>35</v>
      </c>
      <c r="M603" s="4" t="s">
        <v>25148</v>
      </c>
    </row>
    <row r="604" spans="1:13">
      <c r="A604" s="2">
        <v>1416</v>
      </c>
      <c r="B604" s="2" t="s">
        <v>3645</v>
      </c>
      <c r="C604" s="2">
        <v>11</v>
      </c>
      <c r="D604" s="2">
        <v>291</v>
      </c>
      <c r="E604" s="2">
        <v>463</v>
      </c>
      <c r="F604" s="2">
        <v>32441</v>
      </c>
      <c r="G604" s="2">
        <v>2.6485790420000002</v>
      </c>
      <c r="H604" s="2">
        <v>3.6993239999999999E-3</v>
      </c>
      <c r="I604" s="2" t="s">
        <v>45169</v>
      </c>
      <c r="J604" s="2" t="s">
        <v>45170</v>
      </c>
      <c r="K604" s="2">
        <v>2.9807411999999998E-2</v>
      </c>
      <c r="L604" s="2" t="s">
        <v>35</v>
      </c>
      <c r="M604" s="4" t="s">
        <v>3648</v>
      </c>
    </row>
    <row r="605" spans="1:13">
      <c r="A605" s="2">
        <v>2860</v>
      </c>
      <c r="B605" s="2" t="s">
        <v>6606</v>
      </c>
      <c r="C605" s="2">
        <v>4</v>
      </c>
      <c r="D605" s="2">
        <v>291</v>
      </c>
      <c r="E605" s="2">
        <v>67</v>
      </c>
      <c r="F605" s="2">
        <v>32441</v>
      </c>
      <c r="G605" s="2">
        <v>6.6555880390000004</v>
      </c>
      <c r="H605" s="2">
        <v>3.726652E-3</v>
      </c>
      <c r="I605" s="2" t="s">
        <v>45171</v>
      </c>
      <c r="J605" s="2" t="s">
        <v>45172</v>
      </c>
      <c r="K605" s="2">
        <v>2.9976882999999999E-2</v>
      </c>
      <c r="L605" s="2" t="s">
        <v>35</v>
      </c>
      <c r="M605" s="4" t="s">
        <v>6609</v>
      </c>
    </row>
    <row r="606" spans="1:13">
      <c r="A606" s="2">
        <v>1656</v>
      </c>
      <c r="B606" s="2" t="s">
        <v>4410</v>
      </c>
      <c r="C606" s="2">
        <v>6</v>
      </c>
      <c r="D606" s="2">
        <v>291</v>
      </c>
      <c r="E606" s="2">
        <v>161</v>
      </c>
      <c r="F606" s="2">
        <v>32441</v>
      </c>
      <c r="G606" s="2">
        <v>4.1545751419999997</v>
      </c>
      <c r="H606" s="2">
        <v>3.916119E-3</v>
      </c>
      <c r="I606" s="2" t="s">
        <v>45173</v>
      </c>
      <c r="J606" s="2" t="s">
        <v>45174</v>
      </c>
      <c r="K606" s="2">
        <v>3.1447825999999998E-2</v>
      </c>
      <c r="L606" s="2" t="s">
        <v>35</v>
      </c>
      <c r="M606" s="4" t="s">
        <v>4413</v>
      </c>
    </row>
    <row r="607" spans="1:13">
      <c r="A607" s="2">
        <v>612</v>
      </c>
      <c r="B607" s="2" t="s">
        <v>45175</v>
      </c>
      <c r="C607" s="2">
        <v>3</v>
      </c>
      <c r="D607" s="2">
        <v>291</v>
      </c>
      <c r="E607" s="2">
        <v>33</v>
      </c>
      <c r="F607" s="2">
        <v>32441</v>
      </c>
      <c r="G607" s="2">
        <v>10.13464542</v>
      </c>
      <c r="H607" s="2">
        <v>3.9972380000000002E-3</v>
      </c>
      <c r="I607" s="2" t="s">
        <v>45176</v>
      </c>
      <c r="J607" s="2" t="s">
        <v>45177</v>
      </c>
      <c r="K607" s="2">
        <v>3.1972899999999999E-2</v>
      </c>
      <c r="L607" s="2" t="s">
        <v>35</v>
      </c>
      <c r="M607" s="4" t="s">
        <v>45178</v>
      </c>
    </row>
    <row r="608" spans="1:13">
      <c r="A608" s="2">
        <v>1466</v>
      </c>
      <c r="B608" s="2" t="s">
        <v>5819</v>
      </c>
      <c r="C608" s="2">
        <v>5</v>
      </c>
      <c r="D608" s="2">
        <v>291</v>
      </c>
      <c r="E608" s="2">
        <v>112</v>
      </c>
      <c r="F608" s="2">
        <v>32441</v>
      </c>
      <c r="G608" s="2">
        <v>4.9768348060000003</v>
      </c>
      <c r="H608" s="2">
        <v>4.001648E-3</v>
      </c>
      <c r="I608" s="2" t="s">
        <v>45179</v>
      </c>
      <c r="J608" s="2" t="s">
        <v>45180</v>
      </c>
      <c r="K608" s="2">
        <v>3.1972899999999999E-2</v>
      </c>
      <c r="L608" s="2" t="s">
        <v>35</v>
      </c>
      <c r="M608" s="4" t="s">
        <v>5822</v>
      </c>
    </row>
    <row r="609" spans="1:13">
      <c r="A609" s="2">
        <v>4690</v>
      </c>
      <c r="B609" s="2" t="s">
        <v>45181</v>
      </c>
      <c r="C609" s="2">
        <v>3</v>
      </c>
      <c r="D609" s="2">
        <v>291</v>
      </c>
      <c r="E609" s="2">
        <v>33</v>
      </c>
      <c r="F609" s="2">
        <v>32441</v>
      </c>
      <c r="G609" s="2">
        <v>10.13464542</v>
      </c>
      <c r="H609" s="2">
        <v>3.9972380000000002E-3</v>
      </c>
      <c r="I609" s="2" t="s">
        <v>45182</v>
      </c>
      <c r="J609" s="2" t="s">
        <v>45183</v>
      </c>
      <c r="K609" s="2">
        <v>3.1972899999999999E-2</v>
      </c>
      <c r="L609" s="2" t="s">
        <v>35</v>
      </c>
      <c r="M609" s="4" t="s">
        <v>45184</v>
      </c>
    </row>
    <row r="610" spans="1:13">
      <c r="A610" s="2">
        <v>3213</v>
      </c>
      <c r="B610" s="2" t="s">
        <v>25022</v>
      </c>
      <c r="C610" s="2">
        <v>14</v>
      </c>
      <c r="D610" s="2">
        <v>291</v>
      </c>
      <c r="E610" s="2">
        <v>681</v>
      </c>
      <c r="F610" s="2">
        <v>32441</v>
      </c>
      <c r="G610" s="2">
        <v>2.2918287739999998</v>
      </c>
      <c r="H610" s="2">
        <v>4.0323140000000004E-3</v>
      </c>
      <c r="I610" s="2" t="s">
        <v>45185</v>
      </c>
      <c r="J610" s="2" t="s">
        <v>45186</v>
      </c>
      <c r="K610" s="2">
        <v>3.2114436000000003E-2</v>
      </c>
      <c r="L610" s="2" t="s">
        <v>35</v>
      </c>
      <c r="M610" s="4" t="s">
        <v>25025</v>
      </c>
    </row>
    <row r="611" spans="1:13">
      <c r="A611" s="2">
        <v>4630</v>
      </c>
      <c r="B611" s="2" t="s">
        <v>5246</v>
      </c>
      <c r="C611" s="2">
        <v>9</v>
      </c>
      <c r="D611" s="2">
        <v>291</v>
      </c>
      <c r="E611" s="2">
        <v>337</v>
      </c>
      <c r="F611" s="2">
        <v>32441</v>
      </c>
      <c r="G611" s="2">
        <v>2.9772400499999998</v>
      </c>
      <c r="H611" s="2">
        <v>4.0328500000000001E-3</v>
      </c>
      <c r="I611" s="2" t="s">
        <v>45187</v>
      </c>
      <c r="J611" s="2" t="s">
        <v>45188</v>
      </c>
      <c r="K611" s="2">
        <v>3.2114436000000003E-2</v>
      </c>
      <c r="L611" s="2" t="s">
        <v>35</v>
      </c>
      <c r="M611" s="4" t="s">
        <v>5249</v>
      </c>
    </row>
    <row r="612" spans="1:13">
      <c r="A612" s="2">
        <v>2159</v>
      </c>
      <c r="B612" s="2" t="s">
        <v>45189</v>
      </c>
      <c r="C612" s="2">
        <v>2</v>
      </c>
      <c r="D612" s="2">
        <v>291</v>
      </c>
      <c r="E612" s="2">
        <v>9</v>
      </c>
      <c r="F612" s="2">
        <v>32441</v>
      </c>
      <c r="G612" s="2">
        <v>24.773577700000001</v>
      </c>
      <c r="H612" s="2">
        <v>4.1087720000000001E-3</v>
      </c>
      <c r="I612" s="2" t="s">
        <v>45140</v>
      </c>
      <c r="J612" s="2" t="s">
        <v>45141</v>
      </c>
      <c r="K612" s="2">
        <v>3.2501613999999998E-2</v>
      </c>
      <c r="L612" s="2" t="s">
        <v>35</v>
      </c>
      <c r="M612" s="4" t="s">
        <v>45190</v>
      </c>
    </row>
    <row r="613" spans="1:13">
      <c r="A613" s="2">
        <v>2741</v>
      </c>
      <c r="B613" s="2" t="s">
        <v>45191</v>
      </c>
      <c r="C613" s="2">
        <v>2</v>
      </c>
      <c r="D613" s="2">
        <v>291</v>
      </c>
      <c r="E613" s="2">
        <v>9</v>
      </c>
      <c r="F613" s="2">
        <v>32441</v>
      </c>
      <c r="G613" s="2">
        <v>24.773577700000001</v>
      </c>
      <c r="H613" s="2">
        <v>4.1087720000000001E-3</v>
      </c>
      <c r="I613" s="2" t="s">
        <v>45192</v>
      </c>
      <c r="J613" s="2" t="s">
        <v>45193</v>
      </c>
      <c r="K613" s="2">
        <v>3.2501613999999998E-2</v>
      </c>
      <c r="L613" s="2" t="s">
        <v>35</v>
      </c>
      <c r="M613" s="4" t="s">
        <v>45194</v>
      </c>
    </row>
    <row r="614" spans="1:13">
      <c r="A614" s="2">
        <v>3595</v>
      </c>
      <c r="B614" s="2" t="s">
        <v>45195</v>
      </c>
      <c r="C614" s="2">
        <v>2</v>
      </c>
      <c r="D614" s="2">
        <v>291</v>
      </c>
      <c r="E614" s="2">
        <v>9</v>
      </c>
      <c r="F614" s="2">
        <v>32441</v>
      </c>
      <c r="G614" s="2">
        <v>24.773577700000001</v>
      </c>
      <c r="H614" s="2">
        <v>4.1087720000000001E-3</v>
      </c>
      <c r="I614" s="2" t="s">
        <v>45196</v>
      </c>
      <c r="J614" s="2" t="s">
        <v>45197</v>
      </c>
      <c r="K614" s="2">
        <v>3.2501613999999998E-2</v>
      </c>
      <c r="L614" s="2" t="s">
        <v>35</v>
      </c>
      <c r="M614" s="4" t="s">
        <v>45198</v>
      </c>
    </row>
    <row r="615" spans="1:13">
      <c r="A615" s="2">
        <v>4194</v>
      </c>
      <c r="B615" s="2" t="s">
        <v>45199</v>
      </c>
      <c r="C615" s="2">
        <v>2</v>
      </c>
      <c r="D615" s="2">
        <v>291</v>
      </c>
      <c r="E615" s="2">
        <v>9</v>
      </c>
      <c r="F615" s="2">
        <v>32441</v>
      </c>
      <c r="G615" s="2">
        <v>24.773577700000001</v>
      </c>
      <c r="H615" s="2">
        <v>4.1087720000000001E-3</v>
      </c>
      <c r="I615" s="2" t="s">
        <v>45200</v>
      </c>
      <c r="J615" s="2" t="s">
        <v>45201</v>
      </c>
      <c r="K615" s="2">
        <v>3.2501613999999998E-2</v>
      </c>
      <c r="L615" s="2" t="s">
        <v>35</v>
      </c>
      <c r="M615" s="4" t="s">
        <v>45202</v>
      </c>
    </row>
    <row r="616" spans="1:13">
      <c r="A616" s="2">
        <v>664</v>
      </c>
      <c r="B616" s="2" t="s">
        <v>4839</v>
      </c>
      <c r="C616" s="2">
        <v>5</v>
      </c>
      <c r="D616" s="2">
        <v>291</v>
      </c>
      <c r="E616" s="2">
        <v>113</v>
      </c>
      <c r="F616" s="2">
        <v>32441</v>
      </c>
      <c r="G616" s="2">
        <v>4.9327920199999999</v>
      </c>
      <c r="H616" s="2">
        <v>4.1489730000000002E-3</v>
      </c>
      <c r="I616" s="2" t="s">
        <v>45203</v>
      </c>
      <c r="J616" s="2" t="s">
        <v>45204</v>
      </c>
      <c r="K616" s="2">
        <v>3.2765186000000002E-2</v>
      </c>
      <c r="L616" s="2" t="s">
        <v>35</v>
      </c>
      <c r="M616" s="4" t="s">
        <v>4842</v>
      </c>
    </row>
    <row r="617" spans="1:13">
      <c r="A617" s="2">
        <v>1626</v>
      </c>
      <c r="B617" s="2" t="s">
        <v>45205</v>
      </c>
      <c r="C617" s="2">
        <v>6</v>
      </c>
      <c r="D617" s="2">
        <v>291</v>
      </c>
      <c r="E617" s="2">
        <v>164</v>
      </c>
      <c r="F617" s="2">
        <v>32441</v>
      </c>
      <c r="G617" s="2">
        <v>4.0785768170000001</v>
      </c>
      <c r="H617" s="2">
        <v>4.2700380000000003E-3</v>
      </c>
      <c r="I617" s="2" t="s">
        <v>45206</v>
      </c>
      <c r="J617" s="2" t="s">
        <v>45207</v>
      </c>
      <c r="K617" s="2">
        <v>3.3665427999999997E-2</v>
      </c>
      <c r="L617" s="2" t="s">
        <v>35</v>
      </c>
      <c r="M617" s="4" t="s">
        <v>45208</v>
      </c>
    </row>
    <row r="618" spans="1:13">
      <c r="A618" s="2">
        <v>2824</v>
      </c>
      <c r="B618" s="2" t="s">
        <v>4118</v>
      </c>
      <c r="C618" s="2">
        <v>5</v>
      </c>
      <c r="D618" s="2">
        <v>291</v>
      </c>
      <c r="E618" s="2">
        <v>114</v>
      </c>
      <c r="F618" s="2">
        <v>32441</v>
      </c>
      <c r="G618" s="2">
        <v>4.8895219150000004</v>
      </c>
      <c r="H618" s="2">
        <v>4.3001289999999998E-3</v>
      </c>
      <c r="I618" s="2" t="s">
        <v>45209</v>
      </c>
      <c r="J618" s="2" t="s">
        <v>45210</v>
      </c>
      <c r="K618" s="2">
        <v>3.3846635E-2</v>
      </c>
      <c r="L618" s="2" t="s">
        <v>35</v>
      </c>
      <c r="M618" s="4" t="s">
        <v>4121</v>
      </c>
    </row>
    <row r="619" spans="1:13">
      <c r="A619" s="2">
        <v>1457</v>
      </c>
      <c r="B619" s="2" t="s">
        <v>45211</v>
      </c>
      <c r="C619" s="2">
        <v>3</v>
      </c>
      <c r="D619" s="2">
        <v>291</v>
      </c>
      <c r="E619" s="2">
        <v>34</v>
      </c>
      <c r="F619" s="2">
        <v>32441</v>
      </c>
      <c r="G619" s="2">
        <v>9.836567617</v>
      </c>
      <c r="H619" s="2">
        <v>4.3216349999999999E-3</v>
      </c>
      <c r="I619" s="2" t="s">
        <v>45212</v>
      </c>
      <c r="J619" s="2" t="s">
        <v>45213</v>
      </c>
      <c r="K619" s="2">
        <v>3.3856483E-2</v>
      </c>
      <c r="L619" s="2" t="s">
        <v>35</v>
      </c>
      <c r="M619" s="4" t="s">
        <v>45214</v>
      </c>
    </row>
    <row r="620" spans="1:13">
      <c r="A620" s="2">
        <v>4109</v>
      </c>
      <c r="B620" s="2" t="s">
        <v>6352</v>
      </c>
      <c r="C620" s="2">
        <v>3</v>
      </c>
      <c r="D620" s="2">
        <v>291</v>
      </c>
      <c r="E620" s="2">
        <v>34</v>
      </c>
      <c r="F620" s="2">
        <v>32441</v>
      </c>
      <c r="G620" s="2">
        <v>9.836567617</v>
      </c>
      <c r="H620" s="2">
        <v>4.3216349999999999E-3</v>
      </c>
      <c r="I620" s="2" t="s">
        <v>45215</v>
      </c>
      <c r="J620" s="2" t="s">
        <v>45216</v>
      </c>
      <c r="K620" s="2">
        <v>3.3856483E-2</v>
      </c>
      <c r="L620" s="2" t="s">
        <v>35</v>
      </c>
      <c r="M620" s="4" t="s">
        <v>6355</v>
      </c>
    </row>
    <row r="621" spans="1:13">
      <c r="A621" s="2">
        <v>4340</v>
      </c>
      <c r="B621" s="2" t="s">
        <v>6010</v>
      </c>
      <c r="C621" s="2">
        <v>4</v>
      </c>
      <c r="D621" s="2">
        <v>291</v>
      </c>
      <c r="E621" s="2">
        <v>70</v>
      </c>
      <c r="F621" s="2">
        <v>32441</v>
      </c>
      <c r="G621" s="2">
        <v>6.3703485520000003</v>
      </c>
      <c r="H621" s="2">
        <v>4.3227090000000001E-3</v>
      </c>
      <c r="I621" s="2" t="s">
        <v>45217</v>
      </c>
      <c r="J621" s="2" t="s">
        <v>45218</v>
      </c>
      <c r="K621" s="2">
        <v>3.3856483E-2</v>
      </c>
      <c r="L621" s="2" t="s">
        <v>35</v>
      </c>
      <c r="M621" s="4" t="s">
        <v>6013</v>
      </c>
    </row>
    <row r="622" spans="1:13">
      <c r="A622" s="2">
        <v>1610</v>
      </c>
      <c r="B622" s="2" t="s">
        <v>5962</v>
      </c>
      <c r="C622" s="2">
        <v>12</v>
      </c>
      <c r="D622" s="2">
        <v>291</v>
      </c>
      <c r="E622" s="2">
        <v>544</v>
      </c>
      <c r="F622" s="2">
        <v>32441</v>
      </c>
      <c r="G622" s="2">
        <v>2.459141904</v>
      </c>
      <c r="H622" s="2">
        <v>4.417659E-3</v>
      </c>
      <c r="I622" s="2" t="s">
        <v>45219</v>
      </c>
      <c r="J622" s="2" t="s">
        <v>45220</v>
      </c>
      <c r="K622" s="2">
        <v>3.4543338999999999E-2</v>
      </c>
      <c r="L622" s="2" t="s">
        <v>35</v>
      </c>
      <c r="M622" s="4" t="s">
        <v>5965</v>
      </c>
    </row>
    <row r="623" spans="1:13">
      <c r="A623" s="2">
        <v>3921</v>
      </c>
      <c r="B623" s="2" t="s">
        <v>45221</v>
      </c>
      <c r="C623" s="2">
        <v>7</v>
      </c>
      <c r="D623" s="2">
        <v>291</v>
      </c>
      <c r="E623" s="2">
        <v>221</v>
      </c>
      <c r="F623" s="2">
        <v>32441</v>
      </c>
      <c r="G623" s="2">
        <v>3.5310755550000001</v>
      </c>
      <c r="H623" s="2">
        <v>4.4772240000000001E-3</v>
      </c>
      <c r="I623" s="2" t="s">
        <v>45222</v>
      </c>
      <c r="J623" s="2" t="s">
        <v>45223</v>
      </c>
      <c r="K623" s="2">
        <v>3.4951703000000001E-2</v>
      </c>
      <c r="L623" s="2" t="s">
        <v>35</v>
      </c>
      <c r="M623" s="4" t="s">
        <v>45224</v>
      </c>
    </row>
    <row r="624" spans="1:13">
      <c r="A624" s="2">
        <v>1564</v>
      </c>
      <c r="B624" s="2" t="s">
        <v>45225</v>
      </c>
      <c r="C624" s="2">
        <v>8</v>
      </c>
      <c r="D624" s="2">
        <v>291</v>
      </c>
      <c r="E624" s="2">
        <v>281</v>
      </c>
      <c r="F624" s="2">
        <v>32441</v>
      </c>
      <c r="G624" s="2">
        <v>3.1738391359999998</v>
      </c>
      <c r="H624" s="2">
        <v>4.5503590000000003E-3</v>
      </c>
      <c r="I624" s="2" t="s">
        <v>45226</v>
      </c>
      <c r="J624" s="2" t="s">
        <v>45227</v>
      </c>
      <c r="K624" s="2">
        <v>3.5464497999999997E-2</v>
      </c>
      <c r="L624" s="2" t="s">
        <v>35</v>
      </c>
      <c r="M624" s="4" t="s">
        <v>45228</v>
      </c>
    </row>
    <row r="625" spans="1:13">
      <c r="A625" s="2">
        <v>3412</v>
      </c>
      <c r="B625" s="2" t="s">
        <v>4298</v>
      </c>
      <c r="C625" s="2">
        <v>10</v>
      </c>
      <c r="D625" s="2">
        <v>291</v>
      </c>
      <c r="E625" s="2">
        <v>409</v>
      </c>
      <c r="F625" s="2">
        <v>32441</v>
      </c>
      <c r="G625" s="2">
        <v>2.7256992580000001</v>
      </c>
      <c r="H625" s="2">
        <v>4.5651479999999998E-3</v>
      </c>
      <c r="I625" s="2" t="s">
        <v>45229</v>
      </c>
      <c r="J625" s="2" t="s">
        <v>45230</v>
      </c>
      <c r="K625" s="2">
        <v>3.5521624000000002E-2</v>
      </c>
      <c r="L625" s="2" t="s">
        <v>35</v>
      </c>
      <c r="M625" s="4" t="s">
        <v>4301</v>
      </c>
    </row>
    <row r="626" spans="1:13">
      <c r="A626" s="2">
        <v>2382</v>
      </c>
      <c r="B626" s="2" t="s">
        <v>45231</v>
      </c>
      <c r="C626" s="2">
        <v>5</v>
      </c>
      <c r="D626" s="2">
        <v>291</v>
      </c>
      <c r="E626" s="2">
        <v>116</v>
      </c>
      <c r="F626" s="2">
        <v>32441</v>
      </c>
      <c r="G626" s="2">
        <v>4.8052198129999999</v>
      </c>
      <c r="H626" s="2">
        <v>4.6141530000000002E-3</v>
      </c>
      <c r="I626" s="2" t="s">
        <v>45232</v>
      </c>
      <c r="J626" s="2" t="s">
        <v>45233</v>
      </c>
      <c r="K626" s="2">
        <v>3.5785989999999997E-2</v>
      </c>
      <c r="L626" s="2" t="s">
        <v>35</v>
      </c>
      <c r="M626" s="4" t="s">
        <v>45234</v>
      </c>
    </row>
    <row r="627" spans="1:13">
      <c r="A627" s="2">
        <v>4546</v>
      </c>
      <c r="B627" s="2" t="s">
        <v>24763</v>
      </c>
      <c r="C627" s="2">
        <v>5</v>
      </c>
      <c r="D627" s="2">
        <v>291</v>
      </c>
      <c r="E627" s="2">
        <v>116</v>
      </c>
      <c r="F627" s="2">
        <v>32441</v>
      </c>
      <c r="G627" s="2">
        <v>4.8052198129999999</v>
      </c>
      <c r="H627" s="2">
        <v>4.6141530000000002E-3</v>
      </c>
      <c r="I627" s="2" t="s">
        <v>45235</v>
      </c>
      <c r="J627" s="2" t="s">
        <v>45236</v>
      </c>
      <c r="K627" s="2">
        <v>3.5785989999999997E-2</v>
      </c>
      <c r="L627" s="2" t="s">
        <v>35</v>
      </c>
      <c r="M627" s="4" t="s">
        <v>24766</v>
      </c>
    </row>
    <row r="628" spans="1:13">
      <c r="A628" s="2">
        <v>2097</v>
      </c>
      <c r="B628" s="2" t="s">
        <v>45237</v>
      </c>
      <c r="C628" s="2">
        <v>3</v>
      </c>
      <c r="D628" s="2">
        <v>291</v>
      </c>
      <c r="E628" s="2">
        <v>35</v>
      </c>
      <c r="F628" s="2">
        <v>32441</v>
      </c>
      <c r="G628" s="2">
        <v>9.5555228280000009</v>
      </c>
      <c r="H628" s="2">
        <v>4.6615479999999997E-3</v>
      </c>
      <c r="I628" s="2" t="s">
        <v>45238</v>
      </c>
      <c r="J628" s="2" t="s">
        <v>45239</v>
      </c>
      <c r="K628" s="2">
        <v>3.5919563000000002E-2</v>
      </c>
      <c r="L628" s="2" t="s">
        <v>35</v>
      </c>
      <c r="M628" s="4" t="s">
        <v>45240</v>
      </c>
    </row>
    <row r="629" spans="1:13">
      <c r="A629" s="2">
        <v>3017</v>
      </c>
      <c r="B629" s="2" t="s">
        <v>45241</v>
      </c>
      <c r="C629" s="2">
        <v>3</v>
      </c>
      <c r="D629" s="2">
        <v>291</v>
      </c>
      <c r="E629" s="2">
        <v>35</v>
      </c>
      <c r="F629" s="2">
        <v>32441</v>
      </c>
      <c r="G629" s="2">
        <v>9.5555228280000009</v>
      </c>
      <c r="H629" s="2">
        <v>4.6615479999999997E-3</v>
      </c>
      <c r="I629" s="2" t="s">
        <v>45242</v>
      </c>
      <c r="J629" s="2" t="s">
        <v>45243</v>
      </c>
      <c r="K629" s="2">
        <v>3.5919563000000002E-2</v>
      </c>
      <c r="L629" s="2" t="s">
        <v>35</v>
      </c>
      <c r="M629" s="4" t="s">
        <v>45244</v>
      </c>
    </row>
    <row r="630" spans="1:13">
      <c r="A630" s="2">
        <v>3868</v>
      </c>
      <c r="B630" s="2" t="s">
        <v>45245</v>
      </c>
      <c r="C630" s="2">
        <v>3</v>
      </c>
      <c r="D630" s="2">
        <v>291</v>
      </c>
      <c r="E630" s="2">
        <v>35</v>
      </c>
      <c r="F630" s="2">
        <v>32441</v>
      </c>
      <c r="G630" s="2">
        <v>9.5555228280000009</v>
      </c>
      <c r="H630" s="2">
        <v>4.6615479999999997E-3</v>
      </c>
      <c r="I630" s="2" t="s">
        <v>45246</v>
      </c>
      <c r="J630" s="2" t="s">
        <v>45247</v>
      </c>
      <c r="K630" s="2">
        <v>3.5919563000000002E-2</v>
      </c>
      <c r="L630" s="2" t="s">
        <v>35</v>
      </c>
      <c r="M630" s="4" t="s">
        <v>45248</v>
      </c>
    </row>
    <row r="631" spans="1:13">
      <c r="A631" s="2">
        <v>4257</v>
      </c>
      <c r="B631" s="2" t="s">
        <v>36119</v>
      </c>
      <c r="C631" s="2">
        <v>3</v>
      </c>
      <c r="D631" s="2">
        <v>291</v>
      </c>
      <c r="E631" s="2">
        <v>35</v>
      </c>
      <c r="F631" s="2">
        <v>32441</v>
      </c>
      <c r="G631" s="2">
        <v>9.5555228280000009</v>
      </c>
      <c r="H631" s="2">
        <v>4.6615479999999997E-3</v>
      </c>
      <c r="I631" s="2" t="s">
        <v>45249</v>
      </c>
      <c r="J631" s="2" t="s">
        <v>45250</v>
      </c>
      <c r="K631" s="2">
        <v>3.5919563000000002E-2</v>
      </c>
      <c r="L631" s="2" t="s">
        <v>35</v>
      </c>
      <c r="M631" s="4" t="s">
        <v>36122</v>
      </c>
    </row>
    <row r="632" spans="1:13">
      <c r="A632" s="2">
        <v>4609</v>
      </c>
      <c r="B632" s="2" t="s">
        <v>25686</v>
      </c>
      <c r="C632" s="2">
        <v>15</v>
      </c>
      <c r="D632" s="2">
        <v>291</v>
      </c>
      <c r="E632" s="2">
        <v>770</v>
      </c>
      <c r="F632" s="2">
        <v>32441</v>
      </c>
      <c r="G632" s="2">
        <v>2.1717097339999998</v>
      </c>
      <c r="H632" s="2">
        <v>4.799752E-3</v>
      </c>
      <c r="I632" s="2" t="s">
        <v>45251</v>
      </c>
      <c r="J632" s="2" t="s">
        <v>45252</v>
      </c>
      <c r="K632" s="2">
        <v>3.6924750999999999E-2</v>
      </c>
      <c r="L632" s="2" t="s">
        <v>35</v>
      </c>
      <c r="M632" s="4" t="s">
        <v>25689</v>
      </c>
    </row>
    <row r="633" spans="1:13">
      <c r="A633" s="2">
        <v>3338</v>
      </c>
      <c r="B633" s="2" t="s">
        <v>45253</v>
      </c>
      <c r="C633" s="2">
        <v>2</v>
      </c>
      <c r="D633" s="2">
        <v>291</v>
      </c>
      <c r="E633" s="2">
        <v>10</v>
      </c>
      <c r="F633" s="2">
        <v>32441</v>
      </c>
      <c r="G633" s="2">
        <v>22.296219929999999</v>
      </c>
      <c r="H633" s="2">
        <v>4.9016909999999997E-3</v>
      </c>
      <c r="I633" s="2" t="s">
        <v>45254</v>
      </c>
      <c r="J633" s="2" t="s">
        <v>45255</v>
      </c>
      <c r="K633" s="2">
        <v>3.7648147999999999E-2</v>
      </c>
      <c r="L633" s="2" t="s">
        <v>35</v>
      </c>
      <c r="M633" s="4" t="s">
        <v>45256</v>
      </c>
    </row>
    <row r="634" spans="1:13">
      <c r="A634" s="2">
        <v>1601</v>
      </c>
      <c r="B634" s="2" t="s">
        <v>45257</v>
      </c>
      <c r="C634" s="2">
        <v>5</v>
      </c>
      <c r="D634" s="2">
        <v>291</v>
      </c>
      <c r="E634" s="2">
        <v>118</v>
      </c>
      <c r="F634" s="2">
        <v>32441</v>
      </c>
      <c r="G634" s="2">
        <v>4.7237754089999999</v>
      </c>
      <c r="H634" s="2">
        <v>4.9441509999999999E-3</v>
      </c>
      <c r="I634" s="2" t="s">
        <v>45258</v>
      </c>
      <c r="J634" s="2" t="s">
        <v>45259</v>
      </c>
      <c r="K634" s="2">
        <v>3.7913118000000003E-2</v>
      </c>
      <c r="L634" s="2" t="s">
        <v>35</v>
      </c>
      <c r="M634" s="4" t="s">
        <v>45260</v>
      </c>
    </row>
    <row r="635" spans="1:13">
      <c r="A635" s="2">
        <v>4385</v>
      </c>
      <c r="B635" s="2" t="s">
        <v>25084</v>
      </c>
      <c r="C635" s="2">
        <v>10</v>
      </c>
      <c r="D635" s="2">
        <v>291</v>
      </c>
      <c r="E635" s="2">
        <v>414</v>
      </c>
      <c r="F635" s="2">
        <v>32441</v>
      </c>
      <c r="G635" s="2">
        <v>2.6927801850000002</v>
      </c>
      <c r="H635" s="2">
        <v>4.9535650000000001E-3</v>
      </c>
      <c r="I635" s="2" t="s">
        <v>45261</v>
      </c>
      <c r="J635" s="2" t="s">
        <v>45262</v>
      </c>
      <c r="K635" s="2">
        <v>3.7924243000000003E-2</v>
      </c>
      <c r="L635" s="2" t="s">
        <v>35</v>
      </c>
      <c r="M635" s="4" t="s">
        <v>25087</v>
      </c>
    </row>
    <row r="636" spans="1:13">
      <c r="A636" s="2">
        <v>2108</v>
      </c>
      <c r="B636" s="2" t="s">
        <v>5616</v>
      </c>
      <c r="C636" s="2">
        <v>4</v>
      </c>
      <c r="D636" s="2">
        <v>291</v>
      </c>
      <c r="E636" s="2">
        <v>73</v>
      </c>
      <c r="F636" s="2">
        <v>32441</v>
      </c>
      <c r="G636" s="2">
        <v>6.1085534060000004</v>
      </c>
      <c r="H636" s="2">
        <v>4.979921E-3</v>
      </c>
      <c r="I636" s="2" t="s">
        <v>45263</v>
      </c>
      <c r="J636" s="2" t="s">
        <v>45264</v>
      </c>
      <c r="K636" s="2">
        <v>3.8064824999999997E-2</v>
      </c>
      <c r="L636" s="2" t="s">
        <v>35</v>
      </c>
      <c r="M636" s="4" t="s">
        <v>5619</v>
      </c>
    </row>
    <row r="637" spans="1:13">
      <c r="A637" s="2">
        <v>1686</v>
      </c>
      <c r="B637" s="2" t="s">
        <v>45265</v>
      </c>
      <c r="C637" s="2">
        <v>3</v>
      </c>
      <c r="D637" s="2">
        <v>291</v>
      </c>
      <c r="E637" s="2">
        <v>36</v>
      </c>
      <c r="F637" s="2">
        <v>32441</v>
      </c>
      <c r="G637" s="2">
        <v>9.2900916379999998</v>
      </c>
      <c r="H637" s="2">
        <v>5.0171840000000001E-3</v>
      </c>
      <c r="I637" s="2" t="s">
        <v>45266</v>
      </c>
      <c r="J637" s="2" t="s">
        <v>45267</v>
      </c>
      <c r="K637" s="2">
        <v>3.8288188000000001E-2</v>
      </c>
      <c r="L637" s="2" t="s">
        <v>35</v>
      </c>
      <c r="M637" s="4" t="s">
        <v>45268</v>
      </c>
    </row>
    <row r="638" spans="1:13">
      <c r="A638" s="2">
        <v>1419</v>
      </c>
      <c r="B638" s="2" t="s">
        <v>5620</v>
      </c>
      <c r="C638" s="2">
        <v>11</v>
      </c>
      <c r="D638" s="2">
        <v>291</v>
      </c>
      <c r="E638" s="2">
        <v>485</v>
      </c>
      <c r="F638" s="2">
        <v>32441</v>
      </c>
      <c r="G638" s="2">
        <v>2.5284373119999999</v>
      </c>
      <c r="H638" s="2">
        <v>5.1705240000000001E-3</v>
      </c>
      <c r="I638" s="2" t="s">
        <v>45269</v>
      </c>
      <c r="J638" s="2" t="s">
        <v>45270</v>
      </c>
      <c r="K638" s="2">
        <v>3.9395258000000002E-2</v>
      </c>
      <c r="L638" s="2" t="s">
        <v>35</v>
      </c>
      <c r="M638" s="4" t="s">
        <v>5623</v>
      </c>
    </row>
    <row r="639" spans="1:13">
      <c r="A639" s="2">
        <v>3273</v>
      </c>
      <c r="B639" s="2" t="s">
        <v>45271</v>
      </c>
      <c r="C639" s="2">
        <v>4</v>
      </c>
      <c r="D639" s="2">
        <v>291</v>
      </c>
      <c r="E639" s="2">
        <v>74</v>
      </c>
      <c r="F639" s="2">
        <v>32441</v>
      </c>
      <c r="G639" s="2">
        <v>6.0260053869999997</v>
      </c>
      <c r="H639" s="2">
        <v>5.2130529999999996E-3</v>
      </c>
      <c r="I639" s="2" t="s">
        <v>45272</v>
      </c>
      <c r="J639" s="2" t="s">
        <v>45273</v>
      </c>
      <c r="K639" s="2">
        <v>3.9592593000000002E-2</v>
      </c>
      <c r="L639" s="2" t="s">
        <v>35</v>
      </c>
      <c r="M639" s="4" t="s">
        <v>45274</v>
      </c>
    </row>
    <row r="640" spans="1:13">
      <c r="A640" s="2">
        <v>3877</v>
      </c>
      <c r="B640" s="2" t="s">
        <v>5055</v>
      </c>
      <c r="C640" s="2">
        <v>4</v>
      </c>
      <c r="D640" s="2">
        <v>291</v>
      </c>
      <c r="E640" s="2">
        <v>74</v>
      </c>
      <c r="F640" s="2">
        <v>32441</v>
      </c>
      <c r="G640" s="2">
        <v>6.0260053869999997</v>
      </c>
      <c r="H640" s="2">
        <v>5.2130529999999996E-3</v>
      </c>
      <c r="I640" s="2" t="s">
        <v>45275</v>
      </c>
      <c r="J640" s="2" t="s">
        <v>45276</v>
      </c>
      <c r="K640" s="2">
        <v>3.9592593000000002E-2</v>
      </c>
      <c r="L640" s="2" t="s">
        <v>35</v>
      </c>
      <c r="M640" s="4" t="s">
        <v>5058</v>
      </c>
    </row>
    <row r="641" spans="1:13">
      <c r="A641" s="2">
        <v>3047</v>
      </c>
      <c r="B641" s="2" t="s">
        <v>45277</v>
      </c>
      <c r="C641" s="2">
        <v>7</v>
      </c>
      <c r="D641" s="2">
        <v>291</v>
      </c>
      <c r="E641" s="2">
        <v>228</v>
      </c>
      <c r="F641" s="2">
        <v>32441</v>
      </c>
      <c r="G641" s="2">
        <v>3.42266534</v>
      </c>
      <c r="H641" s="2">
        <v>5.2672819999999999E-3</v>
      </c>
      <c r="I641" s="2" t="s">
        <v>45278</v>
      </c>
      <c r="J641" s="2" t="s">
        <v>45279</v>
      </c>
      <c r="K641" s="2">
        <v>3.9940758E-2</v>
      </c>
      <c r="L641" s="2" t="s">
        <v>35</v>
      </c>
      <c r="M641" s="4" t="s">
        <v>45280</v>
      </c>
    </row>
    <row r="642" spans="1:13">
      <c r="A642" s="2">
        <v>3502</v>
      </c>
      <c r="B642" s="2" t="s">
        <v>45281</v>
      </c>
      <c r="C642" s="2">
        <v>5</v>
      </c>
      <c r="D642" s="2">
        <v>291</v>
      </c>
      <c r="E642" s="2">
        <v>120</v>
      </c>
      <c r="F642" s="2">
        <v>32441</v>
      </c>
      <c r="G642" s="2">
        <v>4.6450458189999999</v>
      </c>
      <c r="H642" s="2">
        <v>5.2905490000000003E-3</v>
      </c>
      <c r="I642" s="2" t="s">
        <v>45282</v>
      </c>
      <c r="J642" s="2" t="s">
        <v>45283</v>
      </c>
      <c r="K642" s="2">
        <v>4.0053405E-2</v>
      </c>
      <c r="L642" s="2" t="s">
        <v>35</v>
      </c>
      <c r="M642" s="4" t="s">
        <v>45284</v>
      </c>
    </row>
    <row r="643" spans="1:13">
      <c r="A643" s="2">
        <v>494</v>
      </c>
      <c r="B643" s="2" t="s">
        <v>45285</v>
      </c>
      <c r="C643" s="2">
        <v>3</v>
      </c>
      <c r="D643" s="2">
        <v>291</v>
      </c>
      <c r="E643" s="2">
        <v>37</v>
      </c>
      <c r="F643" s="2">
        <v>32441</v>
      </c>
      <c r="G643" s="2">
        <v>9.0390080800000003</v>
      </c>
      <c r="H643" s="2">
        <v>5.3887409999999998E-3</v>
      </c>
      <c r="I643" s="2" t="s">
        <v>45286</v>
      </c>
      <c r="J643" s="2" t="s">
        <v>45287</v>
      </c>
      <c r="K643" s="2">
        <v>4.0603143000000001E-2</v>
      </c>
      <c r="L643" s="2" t="s">
        <v>35</v>
      </c>
      <c r="M643" s="4" t="s">
        <v>45288</v>
      </c>
    </row>
    <row r="644" spans="1:13">
      <c r="A644" s="2">
        <v>3133</v>
      </c>
      <c r="B644" s="2" t="s">
        <v>45289</v>
      </c>
      <c r="C644" s="2">
        <v>3</v>
      </c>
      <c r="D644" s="2">
        <v>291</v>
      </c>
      <c r="E644" s="2">
        <v>37</v>
      </c>
      <c r="F644" s="2">
        <v>32441</v>
      </c>
      <c r="G644" s="2">
        <v>9.0390080800000003</v>
      </c>
      <c r="H644" s="2">
        <v>5.3887409999999998E-3</v>
      </c>
      <c r="I644" s="2" t="s">
        <v>45290</v>
      </c>
      <c r="J644" s="2" t="s">
        <v>45291</v>
      </c>
      <c r="K644" s="2">
        <v>4.0603143000000001E-2</v>
      </c>
      <c r="L644" s="2" t="s">
        <v>35</v>
      </c>
      <c r="M644" s="4" t="s">
        <v>45292</v>
      </c>
    </row>
    <row r="645" spans="1:13">
      <c r="A645" s="2">
        <v>3358</v>
      </c>
      <c r="B645" s="2" t="s">
        <v>45293</v>
      </c>
      <c r="C645" s="2">
        <v>3</v>
      </c>
      <c r="D645" s="2">
        <v>291</v>
      </c>
      <c r="E645" s="2">
        <v>37</v>
      </c>
      <c r="F645" s="2">
        <v>32441</v>
      </c>
      <c r="G645" s="2">
        <v>9.0390080800000003</v>
      </c>
      <c r="H645" s="2">
        <v>5.3887409999999998E-3</v>
      </c>
      <c r="I645" s="2" t="s">
        <v>45294</v>
      </c>
      <c r="J645" s="2" t="s">
        <v>45295</v>
      </c>
      <c r="K645" s="2">
        <v>4.0603143000000001E-2</v>
      </c>
      <c r="L645" s="2" t="s">
        <v>35</v>
      </c>
      <c r="M645" s="4" t="s">
        <v>45296</v>
      </c>
    </row>
    <row r="646" spans="1:13">
      <c r="A646" s="2">
        <v>4071</v>
      </c>
      <c r="B646" s="2" t="s">
        <v>159</v>
      </c>
      <c r="C646" s="2">
        <v>10</v>
      </c>
      <c r="D646" s="2">
        <v>291</v>
      </c>
      <c r="E646" s="2">
        <v>422</v>
      </c>
      <c r="F646" s="2">
        <v>32441</v>
      </c>
      <c r="G646" s="2">
        <v>2.6417322190000001</v>
      </c>
      <c r="H646" s="2">
        <v>5.6285429999999997E-3</v>
      </c>
      <c r="I646" s="2" t="s">
        <v>45297</v>
      </c>
      <c r="J646" s="2" t="s">
        <v>45298</v>
      </c>
      <c r="K646" s="2">
        <v>4.2343000999999998E-2</v>
      </c>
      <c r="L646" s="2" t="s">
        <v>35</v>
      </c>
      <c r="M646" s="4" t="s">
        <v>25230</v>
      </c>
    </row>
    <row r="647" spans="1:13">
      <c r="A647" s="2">
        <v>4242</v>
      </c>
      <c r="B647" s="2" t="s">
        <v>45299</v>
      </c>
      <c r="C647" s="2">
        <v>4</v>
      </c>
      <c r="D647" s="2">
        <v>291</v>
      </c>
      <c r="E647" s="2">
        <v>76</v>
      </c>
      <c r="F647" s="2">
        <v>32441</v>
      </c>
      <c r="G647" s="2">
        <v>5.8674262979999998</v>
      </c>
      <c r="H647" s="2">
        <v>5.700994E-3</v>
      </c>
      <c r="I647" s="2" t="s">
        <v>45300</v>
      </c>
      <c r="J647" s="2" t="s">
        <v>45301</v>
      </c>
      <c r="K647" s="2">
        <v>4.2820401000000001E-2</v>
      </c>
      <c r="L647" s="2" t="s">
        <v>35</v>
      </c>
      <c r="M647" s="4" t="s">
        <v>45302</v>
      </c>
    </row>
    <row r="648" spans="1:13">
      <c r="A648" s="2">
        <v>554</v>
      </c>
      <c r="B648" s="2" t="s">
        <v>45303</v>
      </c>
      <c r="C648" s="2">
        <v>2</v>
      </c>
      <c r="D648" s="2">
        <v>291</v>
      </c>
      <c r="E648" s="2">
        <v>11</v>
      </c>
      <c r="F648" s="2">
        <v>32441</v>
      </c>
      <c r="G648" s="2">
        <v>20.269290850000001</v>
      </c>
      <c r="H648" s="2">
        <v>5.7590530000000001E-3</v>
      </c>
      <c r="I648" s="2" t="s">
        <v>45304</v>
      </c>
      <c r="J648" s="2" t="s">
        <v>45305</v>
      </c>
      <c r="K648" s="2">
        <v>4.3047355000000002E-2</v>
      </c>
      <c r="L648" s="2" t="s">
        <v>35</v>
      </c>
      <c r="M648" s="4" t="s">
        <v>45306</v>
      </c>
    </row>
    <row r="649" spans="1:13">
      <c r="A649" s="2">
        <v>613</v>
      </c>
      <c r="B649" s="2" t="s">
        <v>6459</v>
      </c>
      <c r="C649" s="2">
        <v>3</v>
      </c>
      <c r="D649" s="2">
        <v>291</v>
      </c>
      <c r="E649" s="2">
        <v>38</v>
      </c>
      <c r="F649" s="2">
        <v>32441</v>
      </c>
      <c r="G649" s="2">
        <v>8.8011394470000006</v>
      </c>
      <c r="H649" s="2">
        <v>5.7764089999999997E-3</v>
      </c>
      <c r="I649" s="2" t="s">
        <v>45307</v>
      </c>
      <c r="J649" s="2" t="s">
        <v>45308</v>
      </c>
      <c r="K649" s="2">
        <v>4.3047355000000002E-2</v>
      </c>
      <c r="L649" s="2" t="s">
        <v>35</v>
      </c>
      <c r="M649" s="4" t="s">
        <v>6462</v>
      </c>
    </row>
    <row r="650" spans="1:13">
      <c r="A650" s="2">
        <v>2216</v>
      </c>
      <c r="B650" s="2" t="s">
        <v>45309</v>
      </c>
      <c r="C650" s="2">
        <v>2</v>
      </c>
      <c r="D650" s="2">
        <v>291</v>
      </c>
      <c r="E650" s="2">
        <v>11</v>
      </c>
      <c r="F650" s="2">
        <v>32441</v>
      </c>
      <c r="G650" s="2">
        <v>20.269290850000001</v>
      </c>
      <c r="H650" s="2">
        <v>5.7590530000000001E-3</v>
      </c>
      <c r="I650" s="2" t="s">
        <v>45310</v>
      </c>
      <c r="J650" s="2" t="s">
        <v>45311</v>
      </c>
      <c r="K650" s="2">
        <v>4.3047355000000002E-2</v>
      </c>
      <c r="L650" s="2" t="s">
        <v>35</v>
      </c>
      <c r="M650" s="4" t="s">
        <v>45312</v>
      </c>
    </row>
    <row r="651" spans="1:13">
      <c r="A651" s="2">
        <v>2733</v>
      </c>
      <c r="B651" s="2" t="s">
        <v>5934</v>
      </c>
      <c r="C651" s="2">
        <v>2</v>
      </c>
      <c r="D651" s="2">
        <v>291</v>
      </c>
      <c r="E651" s="2">
        <v>11</v>
      </c>
      <c r="F651" s="2">
        <v>32441</v>
      </c>
      <c r="G651" s="2">
        <v>20.269290850000001</v>
      </c>
      <c r="H651" s="2">
        <v>5.7590530000000001E-3</v>
      </c>
      <c r="I651" s="2" t="s">
        <v>45313</v>
      </c>
      <c r="J651" s="2" t="s">
        <v>45314</v>
      </c>
      <c r="K651" s="2">
        <v>4.3047355000000002E-2</v>
      </c>
      <c r="L651" s="2" t="s">
        <v>35</v>
      </c>
      <c r="M651" s="4" t="s">
        <v>5937</v>
      </c>
    </row>
    <row r="652" spans="1:13">
      <c r="A652" s="2">
        <v>3040</v>
      </c>
      <c r="B652" s="2" t="s">
        <v>45315</v>
      </c>
      <c r="C652" s="2">
        <v>3</v>
      </c>
      <c r="D652" s="2">
        <v>291</v>
      </c>
      <c r="E652" s="2">
        <v>38</v>
      </c>
      <c r="F652" s="2">
        <v>32441</v>
      </c>
      <c r="G652" s="2">
        <v>8.8011394470000006</v>
      </c>
      <c r="H652" s="2">
        <v>5.7764089999999997E-3</v>
      </c>
      <c r="I652" s="2" t="s">
        <v>45316</v>
      </c>
      <c r="J652" s="2" t="s">
        <v>45317</v>
      </c>
      <c r="K652" s="2">
        <v>4.3047355000000002E-2</v>
      </c>
      <c r="L652" s="2" t="s">
        <v>35</v>
      </c>
      <c r="M652" s="4" t="s">
        <v>45318</v>
      </c>
    </row>
    <row r="653" spans="1:13">
      <c r="A653" s="2">
        <v>1851</v>
      </c>
      <c r="B653" s="2" t="s">
        <v>36006</v>
      </c>
      <c r="C653" s="2">
        <v>5</v>
      </c>
      <c r="D653" s="2">
        <v>291</v>
      </c>
      <c r="E653" s="2">
        <v>123</v>
      </c>
      <c r="F653" s="2">
        <v>32441</v>
      </c>
      <c r="G653" s="2">
        <v>4.5317520189999998</v>
      </c>
      <c r="H653" s="2">
        <v>5.8418209999999996E-3</v>
      </c>
      <c r="I653" s="2" t="s">
        <v>45319</v>
      </c>
      <c r="J653" s="2" t="s">
        <v>45320</v>
      </c>
      <c r="K653" s="2">
        <v>4.3398991999999997E-2</v>
      </c>
      <c r="L653" s="2" t="s">
        <v>35</v>
      </c>
      <c r="M653" s="4" t="s">
        <v>36009</v>
      </c>
    </row>
    <row r="654" spans="1:13">
      <c r="A654" s="2">
        <v>3070</v>
      </c>
      <c r="B654" s="2" t="s">
        <v>24584</v>
      </c>
      <c r="C654" s="2">
        <v>5</v>
      </c>
      <c r="D654" s="2">
        <v>291</v>
      </c>
      <c r="E654" s="2">
        <v>123</v>
      </c>
      <c r="F654" s="2">
        <v>32441</v>
      </c>
      <c r="G654" s="2">
        <v>4.5317520189999998</v>
      </c>
      <c r="H654" s="2">
        <v>5.8418209999999996E-3</v>
      </c>
      <c r="I654" s="2" t="s">
        <v>45321</v>
      </c>
      <c r="J654" s="2" t="s">
        <v>45322</v>
      </c>
      <c r="K654" s="2">
        <v>4.3398991999999997E-2</v>
      </c>
      <c r="L654" s="2" t="s">
        <v>35</v>
      </c>
      <c r="M654" s="4" t="s">
        <v>24587</v>
      </c>
    </row>
    <row r="655" spans="1:13">
      <c r="A655" s="2">
        <v>2142</v>
      </c>
      <c r="B655" s="2" t="s">
        <v>45323</v>
      </c>
      <c r="C655" s="2">
        <v>6</v>
      </c>
      <c r="D655" s="2">
        <v>291</v>
      </c>
      <c r="E655" s="2">
        <v>176</v>
      </c>
      <c r="F655" s="2">
        <v>32441</v>
      </c>
      <c r="G655" s="2">
        <v>3.8004920339999999</v>
      </c>
      <c r="H655" s="2">
        <v>5.9252640000000004E-3</v>
      </c>
      <c r="I655" s="2" t="s">
        <v>45324</v>
      </c>
      <c r="J655" s="2" t="s">
        <v>45325</v>
      </c>
      <c r="K655" s="2">
        <v>4.3950320000000001E-2</v>
      </c>
      <c r="L655" s="2" t="s">
        <v>35</v>
      </c>
      <c r="M655" s="4" t="s">
        <v>45326</v>
      </c>
    </row>
    <row r="656" spans="1:13">
      <c r="A656" s="2">
        <v>3327</v>
      </c>
      <c r="B656" s="2" t="s">
        <v>515</v>
      </c>
      <c r="C656" s="2">
        <v>4</v>
      </c>
      <c r="D656" s="2">
        <v>291</v>
      </c>
      <c r="E656" s="2">
        <v>77</v>
      </c>
      <c r="F656" s="2">
        <v>32441</v>
      </c>
      <c r="G656" s="2">
        <v>5.7912259559999999</v>
      </c>
      <c r="H656" s="2">
        <v>5.9559959999999999E-3</v>
      </c>
      <c r="I656" s="2" t="s">
        <v>45327</v>
      </c>
      <c r="J656" s="2" t="s">
        <v>45328</v>
      </c>
      <c r="K656" s="2">
        <v>4.4109572E-2</v>
      </c>
      <c r="L656" s="2" t="s">
        <v>35</v>
      </c>
      <c r="M656" s="4" t="s">
        <v>45329</v>
      </c>
    </row>
    <row r="657" spans="1:13">
      <c r="A657" s="2">
        <v>2169</v>
      </c>
      <c r="B657" s="2" t="s">
        <v>25299</v>
      </c>
      <c r="C657" s="2">
        <v>5</v>
      </c>
      <c r="D657" s="2">
        <v>291</v>
      </c>
      <c r="E657" s="2">
        <v>124</v>
      </c>
      <c r="F657" s="2">
        <v>32441</v>
      </c>
      <c r="G657" s="2">
        <v>4.4952056310000001</v>
      </c>
      <c r="H657" s="2">
        <v>6.0342360000000001E-3</v>
      </c>
      <c r="I657" s="2" t="s">
        <v>45330</v>
      </c>
      <c r="J657" s="2" t="s">
        <v>45331</v>
      </c>
      <c r="K657" s="2">
        <v>4.4619616000000001E-2</v>
      </c>
      <c r="L657" s="2" t="s">
        <v>35</v>
      </c>
      <c r="M657" s="4" t="s">
        <v>25302</v>
      </c>
    </row>
    <row r="658" spans="1:13">
      <c r="A658" s="2">
        <v>1677</v>
      </c>
      <c r="B658" s="2" t="s">
        <v>5151</v>
      </c>
      <c r="C658" s="2">
        <v>6</v>
      </c>
      <c r="D658" s="2">
        <v>291</v>
      </c>
      <c r="E658" s="2">
        <v>177</v>
      </c>
      <c r="F658" s="2">
        <v>32441</v>
      </c>
      <c r="G658" s="2">
        <v>3.779020327</v>
      </c>
      <c r="H658" s="2">
        <v>6.0816200000000003E-3</v>
      </c>
      <c r="I658" s="2" t="s">
        <v>45332</v>
      </c>
      <c r="J658" s="2" t="s">
        <v>45333</v>
      </c>
      <c r="K658" s="2">
        <v>4.4900271999999998E-2</v>
      </c>
      <c r="L658" s="2" t="s">
        <v>35</v>
      </c>
      <c r="M658" s="4" t="s">
        <v>5154</v>
      </c>
    </row>
    <row r="659" spans="1:13">
      <c r="A659" s="2">
        <v>1137</v>
      </c>
      <c r="B659" s="2" t="s">
        <v>45334</v>
      </c>
      <c r="C659" s="2">
        <v>4</v>
      </c>
      <c r="D659" s="2">
        <v>291</v>
      </c>
      <c r="E659" s="2">
        <v>78</v>
      </c>
      <c r="F659" s="2">
        <v>32441</v>
      </c>
      <c r="G659" s="2">
        <v>5.7169794700000001</v>
      </c>
      <c r="H659" s="2">
        <v>6.2184789999999998E-3</v>
      </c>
      <c r="I659" s="2" t="s">
        <v>45335</v>
      </c>
      <c r="J659" s="2" t="s">
        <v>45336</v>
      </c>
      <c r="K659" s="2">
        <v>4.5417786000000002E-2</v>
      </c>
      <c r="L659" s="2" t="s">
        <v>35</v>
      </c>
      <c r="M659" s="4" t="s">
        <v>45337</v>
      </c>
    </row>
    <row r="660" spans="1:13">
      <c r="A660" s="2">
        <v>2769</v>
      </c>
      <c r="B660" s="2" t="s">
        <v>45338</v>
      </c>
      <c r="C660" s="2">
        <v>4</v>
      </c>
      <c r="D660" s="2">
        <v>291</v>
      </c>
      <c r="E660" s="2">
        <v>78</v>
      </c>
      <c r="F660" s="2">
        <v>32441</v>
      </c>
      <c r="G660" s="2">
        <v>5.7169794700000001</v>
      </c>
      <c r="H660" s="2">
        <v>6.2184789999999998E-3</v>
      </c>
      <c r="I660" s="2" t="s">
        <v>45339</v>
      </c>
      <c r="J660" s="2" t="s">
        <v>45340</v>
      </c>
      <c r="K660" s="2">
        <v>4.5417786000000002E-2</v>
      </c>
      <c r="L660" s="2" t="s">
        <v>35</v>
      </c>
      <c r="M660" s="4" t="s">
        <v>45341</v>
      </c>
    </row>
    <row r="661" spans="1:13">
      <c r="A661" s="2">
        <v>3045</v>
      </c>
      <c r="B661" s="2" t="s">
        <v>45342</v>
      </c>
      <c r="C661" s="2">
        <v>4</v>
      </c>
      <c r="D661" s="2">
        <v>291</v>
      </c>
      <c r="E661" s="2">
        <v>78</v>
      </c>
      <c r="F661" s="2">
        <v>32441</v>
      </c>
      <c r="G661" s="2">
        <v>5.7169794700000001</v>
      </c>
      <c r="H661" s="2">
        <v>6.2184789999999998E-3</v>
      </c>
      <c r="I661" s="2" t="s">
        <v>45343</v>
      </c>
      <c r="J661" s="2" t="s">
        <v>45344</v>
      </c>
      <c r="K661" s="2">
        <v>4.5417786000000002E-2</v>
      </c>
      <c r="L661" s="2" t="s">
        <v>35</v>
      </c>
      <c r="M661" s="4" t="s">
        <v>45345</v>
      </c>
    </row>
    <row r="662" spans="1:13">
      <c r="A662" s="2">
        <v>3717</v>
      </c>
      <c r="B662" s="2" t="s">
        <v>45346</v>
      </c>
      <c r="C662" s="2">
        <v>3</v>
      </c>
      <c r="D662" s="2">
        <v>291</v>
      </c>
      <c r="E662" s="2">
        <v>39</v>
      </c>
      <c r="F662" s="2">
        <v>32441</v>
      </c>
      <c r="G662" s="2">
        <v>8.5754692039999991</v>
      </c>
      <c r="H662" s="2">
        <v>6.180367E-3</v>
      </c>
      <c r="I662" s="2" t="s">
        <v>45347</v>
      </c>
      <c r="J662" s="2" t="s">
        <v>45348</v>
      </c>
      <c r="K662" s="2">
        <v>4.5417786000000002E-2</v>
      </c>
      <c r="L662" s="2" t="s">
        <v>35</v>
      </c>
      <c r="M662" s="4" t="s">
        <v>45349</v>
      </c>
    </row>
    <row r="663" spans="1:13">
      <c r="A663" s="2">
        <v>3875</v>
      </c>
      <c r="B663" s="2" t="s">
        <v>4895</v>
      </c>
      <c r="C663" s="2">
        <v>4</v>
      </c>
      <c r="D663" s="2">
        <v>291</v>
      </c>
      <c r="E663" s="2">
        <v>78</v>
      </c>
      <c r="F663" s="2">
        <v>32441</v>
      </c>
      <c r="G663" s="2">
        <v>5.7169794700000001</v>
      </c>
      <c r="H663" s="2">
        <v>6.2184789999999998E-3</v>
      </c>
      <c r="I663" s="2" t="s">
        <v>45350</v>
      </c>
      <c r="J663" s="2" t="s">
        <v>45351</v>
      </c>
      <c r="K663" s="2">
        <v>4.5417786000000002E-2</v>
      </c>
      <c r="L663" s="2" t="s">
        <v>35</v>
      </c>
      <c r="M663" s="4" t="s">
        <v>4898</v>
      </c>
    </row>
    <row r="664" spans="1:13">
      <c r="A664" s="2">
        <v>4484</v>
      </c>
      <c r="B664" s="2" t="s">
        <v>45352</v>
      </c>
      <c r="C664" s="2">
        <v>3</v>
      </c>
      <c r="D664" s="2">
        <v>291</v>
      </c>
      <c r="E664" s="2">
        <v>39</v>
      </c>
      <c r="F664" s="2">
        <v>32441</v>
      </c>
      <c r="G664" s="2">
        <v>8.5754692039999991</v>
      </c>
      <c r="H664" s="2">
        <v>6.180367E-3</v>
      </c>
      <c r="I664" s="2" t="s">
        <v>45353</v>
      </c>
      <c r="J664" s="2" t="s">
        <v>45354</v>
      </c>
      <c r="K664" s="2">
        <v>4.5417786000000002E-2</v>
      </c>
      <c r="L664" s="2" t="s">
        <v>35</v>
      </c>
      <c r="M664" s="4" t="s">
        <v>45355</v>
      </c>
    </row>
    <row r="665" spans="1:13">
      <c r="A665" s="2">
        <v>4510</v>
      </c>
      <c r="B665" s="2" t="s">
        <v>24731</v>
      </c>
      <c r="C665" s="2">
        <v>3</v>
      </c>
      <c r="D665" s="2">
        <v>291</v>
      </c>
      <c r="E665" s="2">
        <v>39</v>
      </c>
      <c r="F665" s="2">
        <v>32441</v>
      </c>
      <c r="G665" s="2">
        <v>8.5754692039999991</v>
      </c>
      <c r="H665" s="2">
        <v>6.180367E-3</v>
      </c>
      <c r="I665" s="2" t="s">
        <v>45356</v>
      </c>
      <c r="J665" s="2" t="s">
        <v>45357</v>
      </c>
      <c r="K665" s="2">
        <v>4.5417786000000002E-2</v>
      </c>
      <c r="L665" s="2" t="s">
        <v>35</v>
      </c>
      <c r="M665" s="4" t="s">
        <v>24734</v>
      </c>
    </row>
    <row r="666" spans="1:13">
      <c r="A666" s="2">
        <v>1979</v>
      </c>
      <c r="B666" s="2" t="s">
        <v>99</v>
      </c>
      <c r="C666" s="2">
        <v>6</v>
      </c>
      <c r="D666" s="2">
        <v>291</v>
      </c>
      <c r="E666" s="2">
        <v>178</v>
      </c>
      <c r="F666" s="2">
        <v>32441</v>
      </c>
      <c r="G666" s="2">
        <v>3.7577898759999999</v>
      </c>
      <c r="H666" s="2">
        <v>6.2409609999999997E-3</v>
      </c>
      <c r="I666" s="2" t="s">
        <v>45358</v>
      </c>
      <c r="J666" s="2" t="s">
        <v>45359</v>
      </c>
      <c r="K666" s="2">
        <v>4.5512186000000003E-2</v>
      </c>
      <c r="L666" s="2" t="s">
        <v>35</v>
      </c>
      <c r="M666" s="4" t="s">
        <v>45360</v>
      </c>
    </row>
    <row r="667" spans="1:13">
      <c r="A667" s="2">
        <v>4737</v>
      </c>
      <c r="B667" s="2" t="s">
        <v>24775</v>
      </c>
      <c r="C667" s="2">
        <v>10</v>
      </c>
      <c r="D667" s="2">
        <v>291</v>
      </c>
      <c r="E667" s="2">
        <v>432</v>
      </c>
      <c r="F667" s="2">
        <v>32441</v>
      </c>
      <c r="G667" s="2">
        <v>2.580581011</v>
      </c>
      <c r="H667" s="2">
        <v>6.571075E-3</v>
      </c>
      <c r="I667" s="2" t="s">
        <v>45361</v>
      </c>
      <c r="J667" s="2" t="s">
        <v>45362</v>
      </c>
      <c r="K667" s="2">
        <v>4.7846265999999998E-2</v>
      </c>
      <c r="L667" s="2" t="s">
        <v>35</v>
      </c>
      <c r="M667" s="4" t="s">
        <v>24778</v>
      </c>
    </row>
    <row r="668" spans="1:13">
      <c r="A668" s="2">
        <v>567</v>
      </c>
      <c r="B668" s="2" t="s">
        <v>35193</v>
      </c>
      <c r="C668" s="2">
        <v>3</v>
      </c>
      <c r="D668" s="2">
        <v>291</v>
      </c>
      <c r="E668" s="2">
        <v>40</v>
      </c>
      <c r="F668" s="2">
        <v>32441</v>
      </c>
      <c r="G668" s="2">
        <v>8.3610824739999998</v>
      </c>
      <c r="H668" s="2">
        <v>6.6007849999999996E-3</v>
      </c>
      <c r="I668" s="2" t="s">
        <v>45363</v>
      </c>
      <c r="J668" s="2" t="s">
        <v>45364</v>
      </c>
      <c r="K668" s="2">
        <v>4.7916067999999999E-2</v>
      </c>
      <c r="L668" s="2" t="s">
        <v>35</v>
      </c>
      <c r="M668" s="4" t="s">
        <v>35196</v>
      </c>
    </row>
    <row r="669" spans="1:13">
      <c r="A669" s="2">
        <v>2332</v>
      </c>
      <c r="B669" s="2" t="s">
        <v>45365</v>
      </c>
      <c r="C669" s="2">
        <v>3</v>
      </c>
      <c r="D669" s="2">
        <v>291</v>
      </c>
      <c r="E669" s="2">
        <v>40</v>
      </c>
      <c r="F669" s="2">
        <v>32441</v>
      </c>
      <c r="G669" s="2">
        <v>8.3610824739999998</v>
      </c>
      <c r="H669" s="2">
        <v>6.6007849999999996E-3</v>
      </c>
      <c r="I669" s="2" t="s">
        <v>45366</v>
      </c>
      <c r="J669" s="2" t="s">
        <v>45367</v>
      </c>
      <c r="K669" s="2">
        <v>4.7916067999999999E-2</v>
      </c>
      <c r="L669" s="2" t="s">
        <v>35</v>
      </c>
      <c r="M669" s="4" t="s">
        <v>45368</v>
      </c>
    </row>
    <row r="670" spans="1:13">
      <c r="A670" s="2">
        <v>821</v>
      </c>
      <c r="B670" s="2" t="s">
        <v>45369</v>
      </c>
      <c r="C670" s="2">
        <v>2</v>
      </c>
      <c r="D670" s="2">
        <v>291</v>
      </c>
      <c r="E670" s="2">
        <v>12</v>
      </c>
      <c r="F670" s="2">
        <v>32441</v>
      </c>
      <c r="G670" s="2">
        <v>18.58018328</v>
      </c>
      <c r="H670" s="2">
        <v>6.6796590000000001E-3</v>
      </c>
      <c r="I670" s="2" t="s">
        <v>45370</v>
      </c>
      <c r="J670" s="2" t="s">
        <v>45371</v>
      </c>
      <c r="K670" s="2">
        <v>4.8121836000000001E-2</v>
      </c>
      <c r="L670" s="2" t="s">
        <v>35</v>
      </c>
      <c r="M670" s="4" t="s">
        <v>45372</v>
      </c>
    </row>
    <row r="671" spans="1:13">
      <c r="A671" s="2">
        <v>1642</v>
      </c>
      <c r="B671" s="2" t="s">
        <v>45373</v>
      </c>
      <c r="C671" s="2">
        <v>2</v>
      </c>
      <c r="D671" s="2">
        <v>291</v>
      </c>
      <c r="E671" s="2">
        <v>12</v>
      </c>
      <c r="F671" s="2">
        <v>32441</v>
      </c>
      <c r="G671" s="2">
        <v>18.58018328</v>
      </c>
      <c r="H671" s="2">
        <v>6.6796590000000001E-3</v>
      </c>
      <c r="I671" s="2" t="s">
        <v>45374</v>
      </c>
      <c r="J671" s="2" t="s">
        <v>45375</v>
      </c>
      <c r="K671" s="2">
        <v>4.8121836000000001E-2</v>
      </c>
      <c r="L671" s="2" t="s">
        <v>35</v>
      </c>
      <c r="M671" s="4" t="s">
        <v>45376</v>
      </c>
    </row>
    <row r="672" spans="1:13">
      <c r="A672" s="2">
        <v>3594</v>
      </c>
      <c r="B672" s="2" t="s">
        <v>45377</v>
      </c>
      <c r="C672" s="2">
        <v>2</v>
      </c>
      <c r="D672" s="2">
        <v>291</v>
      </c>
      <c r="E672" s="2">
        <v>12</v>
      </c>
      <c r="F672" s="2">
        <v>32441</v>
      </c>
      <c r="G672" s="2">
        <v>18.58018328</v>
      </c>
      <c r="H672" s="2">
        <v>6.6796590000000001E-3</v>
      </c>
      <c r="I672" s="2" t="s">
        <v>45378</v>
      </c>
      <c r="J672" s="2" t="s">
        <v>45379</v>
      </c>
      <c r="K672" s="2">
        <v>4.8121836000000001E-2</v>
      </c>
      <c r="L672" s="2" t="s">
        <v>35</v>
      </c>
      <c r="M672" s="4" t="s">
        <v>45380</v>
      </c>
    </row>
    <row r="673" spans="1:13">
      <c r="A673" s="2">
        <v>3851</v>
      </c>
      <c r="B673" s="2" t="s">
        <v>45381</v>
      </c>
      <c r="C673" s="2">
        <v>2</v>
      </c>
      <c r="D673" s="2">
        <v>291</v>
      </c>
      <c r="E673" s="2">
        <v>12</v>
      </c>
      <c r="F673" s="2">
        <v>32441</v>
      </c>
      <c r="G673" s="2">
        <v>18.58018328</v>
      </c>
      <c r="H673" s="2">
        <v>6.6796590000000001E-3</v>
      </c>
      <c r="I673" s="2" t="s">
        <v>45382</v>
      </c>
      <c r="J673" s="2" t="s">
        <v>45383</v>
      </c>
      <c r="K673" s="2">
        <v>4.8121836000000001E-2</v>
      </c>
      <c r="L673" s="2" t="s">
        <v>35</v>
      </c>
      <c r="M673" s="4" t="s">
        <v>45384</v>
      </c>
    </row>
    <row r="674" spans="1:13">
      <c r="A674" s="2">
        <v>4152</v>
      </c>
      <c r="B674" s="2" t="s">
        <v>45385</v>
      </c>
      <c r="C674" s="2">
        <v>2</v>
      </c>
      <c r="D674" s="2">
        <v>291</v>
      </c>
      <c r="E674" s="2">
        <v>12</v>
      </c>
      <c r="F674" s="2">
        <v>32441</v>
      </c>
      <c r="G674" s="2">
        <v>18.58018328</v>
      </c>
      <c r="H674" s="2">
        <v>6.6796590000000001E-3</v>
      </c>
      <c r="I674" s="2" t="s">
        <v>45386</v>
      </c>
      <c r="J674" s="2" t="s">
        <v>45387</v>
      </c>
      <c r="K674" s="2">
        <v>4.8121836000000001E-2</v>
      </c>
      <c r="L674" s="2" t="s">
        <v>35</v>
      </c>
      <c r="M674" s="4" t="s">
        <v>45388</v>
      </c>
    </row>
    <row r="675" spans="1:13">
      <c r="A675" s="2">
        <v>104</v>
      </c>
      <c r="B675" s="2" t="s">
        <v>379</v>
      </c>
      <c r="C675" s="2">
        <v>4</v>
      </c>
      <c r="D675" s="2">
        <v>291</v>
      </c>
      <c r="E675" s="2">
        <v>80</v>
      </c>
      <c r="F675" s="2">
        <v>32441</v>
      </c>
      <c r="G675" s="2">
        <v>5.5740549829999999</v>
      </c>
      <c r="H675" s="2">
        <v>6.7662540000000002E-3</v>
      </c>
      <c r="I675" s="2" t="s">
        <v>45389</v>
      </c>
      <c r="J675" s="2" t="s">
        <v>45390</v>
      </c>
      <c r="K675" s="2">
        <v>4.8672053999999999E-2</v>
      </c>
      <c r="L675" s="2" t="s">
        <v>35</v>
      </c>
      <c r="M675" s="4" t="s">
        <v>45391</v>
      </c>
    </row>
    <row r="676" spans="1:13">
      <c r="A676" s="2">
        <v>4697</v>
      </c>
      <c r="B676" s="2" t="s">
        <v>34641</v>
      </c>
      <c r="C676" s="2">
        <v>5</v>
      </c>
      <c r="D676" s="2">
        <v>291</v>
      </c>
      <c r="E676" s="2">
        <v>128</v>
      </c>
      <c r="F676" s="2">
        <v>32441</v>
      </c>
      <c r="G676" s="2">
        <v>4.3547304550000003</v>
      </c>
      <c r="H676" s="2">
        <v>6.8485639999999997E-3</v>
      </c>
      <c r="I676" s="2" t="s">
        <v>45392</v>
      </c>
      <c r="J676" s="2" t="s">
        <v>45393</v>
      </c>
      <c r="K676" s="2">
        <v>4.9189839999999999E-2</v>
      </c>
      <c r="L676" s="2" t="s">
        <v>35</v>
      </c>
      <c r="M676" s="4" t="s">
        <v>34644</v>
      </c>
    </row>
    <row r="677" spans="1:13">
      <c r="A677" s="2">
        <v>814</v>
      </c>
      <c r="B677" s="2" t="s">
        <v>6751</v>
      </c>
      <c r="C677" s="2">
        <v>80</v>
      </c>
      <c r="D677" s="2">
        <v>291</v>
      </c>
      <c r="E677" s="2">
        <v>1896</v>
      </c>
      <c r="F677" s="2">
        <v>32441</v>
      </c>
      <c r="G677" s="2">
        <v>4.7038438669999998</v>
      </c>
      <c r="H677" s="3">
        <v>2.6299999999999999E-31</v>
      </c>
      <c r="I677" s="3" t="s">
        <v>45394</v>
      </c>
      <c r="J677" s="3" t="s">
        <v>45395</v>
      </c>
      <c r="K677" s="3">
        <v>2.2E-28</v>
      </c>
      <c r="L677" s="2" t="s">
        <v>606</v>
      </c>
      <c r="M677" s="4" t="s">
        <v>6754</v>
      </c>
    </row>
    <row r="678" spans="1:13">
      <c r="A678" s="2">
        <v>793</v>
      </c>
      <c r="B678" s="2" t="s">
        <v>6777</v>
      </c>
      <c r="C678" s="2">
        <v>72</v>
      </c>
      <c r="D678" s="2">
        <v>291</v>
      </c>
      <c r="E678" s="2">
        <v>2061</v>
      </c>
      <c r="F678" s="2">
        <v>32441</v>
      </c>
      <c r="G678" s="2">
        <v>3.8945362330000002</v>
      </c>
      <c r="H678" s="3">
        <v>2.7199999999999999E-23</v>
      </c>
      <c r="I678" s="3" t="s">
        <v>45396</v>
      </c>
      <c r="J678" s="3" t="s">
        <v>45397</v>
      </c>
      <c r="K678" s="3">
        <v>1.1399999999999999E-20</v>
      </c>
      <c r="L678" s="2" t="s">
        <v>606</v>
      </c>
      <c r="M678" s="4" t="s">
        <v>6780</v>
      </c>
    </row>
    <row r="679" spans="1:13">
      <c r="A679" s="2">
        <v>131</v>
      </c>
      <c r="B679" s="2" t="s">
        <v>27464</v>
      </c>
      <c r="C679" s="2">
        <v>24</v>
      </c>
      <c r="D679" s="2">
        <v>291</v>
      </c>
      <c r="E679" s="2">
        <v>241</v>
      </c>
      <c r="F679" s="2">
        <v>32441</v>
      </c>
      <c r="G679" s="2">
        <v>11.10185225</v>
      </c>
      <c r="H679" s="3">
        <v>2.6799999999999999E-17</v>
      </c>
      <c r="I679" s="2" t="s">
        <v>45398</v>
      </c>
      <c r="J679" s="2" t="s">
        <v>45399</v>
      </c>
      <c r="K679" s="3">
        <v>5.6000000000000003E-15</v>
      </c>
      <c r="L679" s="2" t="s">
        <v>606</v>
      </c>
      <c r="M679" s="4" t="s">
        <v>27467</v>
      </c>
    </row>
    <row r="680" spans="1:13">
      <c r="A680" s="2">
        <v>153</v>
      </c>
      <c r="B680" s="2" t="s">
        <v>27508</v>
      </c>
      <c r="C680" s="2">
        <v>23</v>
      </c>
      <c r="D680" s="2">
        <v>291</v>
      </c>
      <c r="E680" s="2">
        <v>211</v>
      </c>
      <c r="F680" s="2">
        <v>32441</v>
      </c>
      <c r="G680" s="2">
        <v>12.15196821</v>
      </c>
      <c r="H680" s="3">
        <v>2.05E-17</v>
      </c>
      <c r="I680" s="2" t="s">
        <v>45400</v>
      </c>
      <c r="J680" s="2" t="s">
        <v>45401</v>
      </c>
      <c r="K680" s="3">
        <v>5.6000000000000003E-15</v>
      </c>
      <c r="L680" s="2" t="s">
        <v>606</v>
      </c>
      <c r="M680" s="4" t="s">
        <v>27511</v>
      </c>
    </row>
    <row r="681" spans="1:13">
      <c r="A681" s="2">
        <v>7</v>
      </c>
      <c r="B681" s="2" t="s">
        <v>25995</v>
      </c>
      <c r="C681" s="2">
        <v>59</v>
      </c>
      <c r="D681" s="2">
        <v>291</v>
      </c>
      <c r="E681" s="2">
        <v>1890</v>
      </c>
      <c r="F681" s="2">
        <v>32441</v>
      </c>
      <c r="G681" s="2">
        <v>3.4800978200000001</v>
      </c>
      <c r="H681" s="3">
        <v>8.4899999999999997E-17</v>
      </c>
      <c r="I681" s="3" t="s">
        <v>45402</v>
      </c>
      <c r="J681" s="3" t="s">
        <v>45403</v>
      </c>
      <c r="K681" s="3">
        <v>1.42E-14</v>
      </c>
      <c r="L681" s="2" t="s">
        <v>606</v>
      </c>
      <c r="M681" s="4" t="s">
        <v>25998</v>
      </c>
    </row>
    <row r="682" spans="1:13">
      <c r="A682" s="2">
        <v>780</v>
      </c>
      <c r="B682" s="2" t="s">
        <v>6755</v>
      </c>
      <c r="C682" s="2">
        <v>49</v>
      </c>
      <c r="D682" s="2">
        <v>291</v>
      </c>
      <c r="E682" s="2">
        <v>1524</v>
      </c>
      <c r="F682" s="2">
        <v>32441</v>
      </c>
      <c r="G682" s="2">
        <v>3.5843660650000002</v>
      </c>
      <c r="H682" s="3">
        <v>1.81E-14</v>
      </c>
      <c r="I682" s="3" t="s">
        <v>45404</v>
      </c>
      <c r="J682" s="3" t="s">
        <v>45405</v>
      </c>
      <c r="K682" s="3">
        <v>2.5299999999999999E-12</v>
      </c>
      <c r="L682" s="2" t="s">
        <v>606</v>
      </c>
      <c r="M682" s="4" t="s">
        <v>6758</v>
      </c>
    </row>
    <row r="683" spans="1:13">
      <c r="A683" s="2">
        <v>455</v>
      </c>
      <c r="B683" s="2" t="s">
        <v>27576</v>
      </c>
      <c r="C683" s="2">
        <v>20</v>
      </c>
      <c r="D683" s="2">
        <v>291</v>
      </c>
      <c r="E683" s="2">
        <v>220</v>
      </c>
      <c r="F683" s="2">
        <v>32441</v>
      </c>
      <c r="G683" s="2">
        <v>10.13464542</v>
      </c>
      <c r="H683" s="3">
        <v>6.2799999999999995E-14</v>
      </c>
      <c r="I683" s="2" t="s">
        <v>45406</v>
      </c>
      <c r="J683" s="2" t="s">
        <v>45407</v>
      </c>
      <c r="K683" s="3">
        <v>6.5600000000000003E-12</v>
      </c>
      <c r="L683" s="2" t="s">
        <v>606</v>
      </c>
      <c r="M683" s="4" t="s">
        <v>27579</v>
      </c>
    </row>
    <row r="684" spans="1:13">
      <c r="A684" s="2">
        <v>813</v>
      </c>
      <c r="B684" s="2" t="s">
        <v>26950</v>
      </c>
      <c r="C684" s="2">
        <v>33</v>
      </c>
      <c r="D684" s="2">
        <v>291</v>
      </c>
      <c r="E684" s="2">
        <v>722</v>
      </c>
      <c r="F684" s="2">
        <v>32441</v>
      </c>
      <c r="G684" s="2">
        <v>5.0953965219999997</v>
      </c>
      <c r="H684" s="3">
        <v>6.2799999999999995E-14</v>
      </c>
      <c r="I684" s="2" t="s">
        <v>45408</v>
      </c>
      <c r="J684" s="2" t="s">
        <v>45409</v>
      </c>
      <c r="K684" s="3">
        <v>6.5600000000000003E-12</v>
      </c>
      <c r="L684" s="2" t="s">
        <v>606</v>
      </c>
      <c r="M684" s="4" t="s">
        <v>26953</v>
      </c>
    </row>
    <row r="685" spans="1:13">
      <c r="A685" s="2">
        <v>807</v>
      </c>
      <c r="B685" s="2" t="s">
        <v>6825</v>
      </c>
      <c r="C685" s="2">
        <v>58</v>
      </c>
      <c r="D685" s="2">
        <v>291</v>
      </c>
      <c r="E685" s="2">
        <v>2274</v>
      </c>
      <c r="F685" s="2">
        <v>32441</v>
      </c>
      <c r="G685" s="2">
        <v>2.8434053559999999</v>
      </c>
      <c r="H685" s="3">
        <v>7.6499999999999997E-13</v>
      </c>
      <c r="I685" s="3" t="s">
        <v>45410</v>
      </c>
      <c r="J685" s="3" t="s">
        <v>45411</v>
      </c>
      <c r="K685" s="3">
        <v>7.1E-11</v>
      </c>
      <c r="L685" s="2" t="s">
        <v>606</v>
      </c>
      <c r="M685" s="4" t="s">
        <v>6828</v>
      </c>
    </row>
    <row r="686" spans="1:13">
      <c r="A686" s="2">
        <v>804</v>
      </c>
      <c r="B686" s="2" t="s">
        <v>6801</v>
      </c>
      <c r="C686" s="2">
        <v>40</v>
      </c>
      <c r="D686" s="2">
        <v>291</v>
      </c>
      <c r="E686" s="2">
        <v>1232</v>
      </c>
      <c r="F686" s="2">
        <v>32441</v>
      </c>
      <c r="G686" s="2">
        <v>3.6195162230000002</v>
      </c>
      <c r="H686" s="3">
        <v>4.5700000000000001E-12</v>
      </c>
      <c r="I686" s="2" t="s">
        <v>45412</v>
      </c>
      <c r="J686" s="2" t="s">
        <v>45413</v>
      </c>
      <c r="K686" s="3">
        <v>3.4799999999999999E-10</v>
      </c>
      <c r="L686" s="2" t="s">
        <v>606</v>
      </c>
      <c r="M686" s="4" t="s">
        <v>6804</v>
      </c>
    </row>
    <row r="687" spans="1:13">
      <c r="A687" s="2">
        <v>805</v>
      </c>
      <c r="B687" s="2" t="s">
        <v>25921</v>
      </c>
      <c r="C687" s="2">
        <v>52</v>
      </c>
      <c r="D687" s="2">
        <v>291</v>
      </c>
      <c r="E687" s="2">
        <v>1972</v>
      </c>
      <c r="F687" s="2">
        <v>32441</v>
      </c>
      <c r="G687" s="2">
        <v>2.9396638849999999</v>
      </c>
      <c r="H687" s="3">
        <v>4.4399999999999997E-12</v>
      </c>
      <c r="I687" s="3" t="s">
        <v>45414</v>
      </c>
      <c r="J687" s="3" t="s">
        <v>45415</v>
      </c>
      <c r="K687" s="3">
        <v>3.4799999999999999E-10</v>
      </c>
      <c r="L687" s="2" t="s">
        <v>606</v>
      </c>
      <c r="M687" s="4" t="s">
        <v>25924</v>
      </c>
    </row>
    <row r="688" spans="1:13">
      <c r="A688" s="2">
        <v>786</v>
      </c>
      <c r="B688" s="2" t="s">
        <v>6821</v>
      </c>
      <c r="C688" s="2">
        <v>58</v>
      </c>
      <c r="D688" s="2">
        <v>291</v>
      </c>
      <c r="E688" s="2">
        <v>2485</v>
      </c>
      <c r="F688" s="2">
        <v>32441</v>
      </c>
      <c r="G688" s="2">
        <v>2.6019733519999999</v>
      </c>
      <c r="H688" s="3">
        <v>2.5200000000000001E-11</v>
      </c>
      <c r="I688" s="3" t="s">
        <v>45416</v>
      </c>
      <c r="J688" s="3" t="s">
        <v>45417</v>
      </c>
      <c r="K688" s="3">
        <v>1.7599999999999999E-9</v>
      </c>
      <c r="L688" s="2" t="s">
        <v>606</v>
      </c>
      <c r="M688" s="4" t="s">
        <v>6824</v>
      </c>
    </row>
    <row r="689" spans="1:13">
      <c r="A689" s="2">
        <v>442</v>
      </c>
      <c r="B689" s="2" t="s">
        <v>26702</v>
      </c>
      <c r="C689" s="2">
        <v>17</v>
      </c>
      <c r="D689" s="2">
        <v>291</v>
      </c>
      <c r="E689" s="2">
        <v>221</v>
      </c>
      <c r="F689" s="2">
        <v>32441</v>
      </c>
      <c r="G689" s="2">
        <v>8.5754692039999991</v>
      </c>
      <c r="H689" s="3">
        <v>5.76E-11</v>
      </c>
      <c r="I689" s="2" t="s">
        <v>45418</v>
      </c>
      <c r="J689" s="2" t="s">
        <v>45419</v>
      </c>
      <c r="K689" s="3">
        <v>3.7099999999999998E-9</v>
      </c>
      <c r="L689" s="2" t="s">
        <v>606</v>
      </c>
      <c r="M689" s="4" t="s">
        <v>26705</v>
      </c>
    </row>
    <row r="690" spans="1:13">
      <c r="A690" s="2">
        <v>833</v>
      </c>
      <c r="B690" s="2" t="s">
        <v>45420</v>
      </c>
      <c r="C690" s="2">
        <v>39</v>
      </c>
      <c r="D690" s="2">
        <v>291</v>
      </c>
      <c r="E690" s="2">
        <v>1296</v>
      </c>
      <c r="F690" s="2">
        <v>32441</v>
      </c>
      <c r="G690" s="2">
        <v>3.3547553140000002</v>
      </c>
      <c r="H690" s="3">
        <v>7.7000000000000006E-11</v>
      </c>
      <c r="I690" s="2" t="s">
        <v>45421</v>
      </c>
      <c r="J690" s="2" t="s">
        <v>45422</v>
      </c>
      <c r="K690" s="3">
        <v>4.5999999999999998E-9</v>
      </c>
      <c r="L690" s="2" t="s">
        <v>606</v>
      </c>
      <c r="M690" s="4" t="s">
        <v>45423</v>
      </c>
    </row>
    <row r="691" spans="1:13">
      <c r="A691" s="2">
        <v>831</v>
      </c>
      <c r="B691" s="2" t="s">
        <v>45424</v>
      </c>
      <c r="C691" s="2">
        <v>12</v>
      </c>
      <c r="D691" s="2">
        <v>291</v>
      </c>
      <c r="E691" s="2">
        <v>87</v>
      </c>
      <c r="F691" s="2">
        <v>32441</v>
      </c>
      <c r="G691" s="2">
        <v>15.3767034</v>
      </c>
      <c r="H691" s="3">
        <v>9.0300000000000001E-11</v>
      </c>
      <c r="I691" s="2" t="s">
        <v>45425</v>
      </c>
      <c r="J691" s="2" t="s">
        <v>45426</v>
      </c>
      <c r="K691" s="3">
        <v>5.0300000000000002E-9</v>
      </c>
      <c r="L691" s="2" t="s">
        <v>606</v>
      </c>
      <c r="M691" s="4" t="s">
        <v>45427</v>
      </c>
    </row>
    <row r="692" spans="1:13">
      <c r="A692" s="2">
        <v>794</v>
      </c>
      <c r="B692" s="2" t="s">
        <v>6849</v>
      </c>
      <c r="C692" s="2">
        <v>32</v>
      </c>
      <c r="D692" s="2">
        <v>291</v>
      </c>
      <c r="E692" s="2">
        <v>919</v>
      </c>
      <c r="F692" s="2">
        <v>32441</v>
      </c>
      <c r="G692" s="2">
        <v>3.8818228389999998</v>
      </c>
      <c r="H692" s="3">
        <v>1.41E-10</v>
      </c>
      <c r="I692" s="2" t="s">
        <v>45428</v>
      </c>
      <c r="J692" s="2" t="s">
        <v>45429</v>
      </c>
      <c r="K692" s="3">
        <v>7.3499999999999996E-9</v>
      </c>
      <c r="L692" s="2" t="s">
        <v>606</v>
      </c>
      <c r="M692" s="4" t="s">
        <v>6852</v>
      </c>
    </row>
    <row r="693" spans="1:13">
      <c r="A693" s="2">
        <v>320</v>
      </c>
      <c r="B693" s="2" t="s">
        <v>45430</v>
      </c>
      <c r="C693" s="2">
        <v>16</v>
      </c>
      <c r="D693" s="2">
        <v>291</v>
      </c>
      <c r="E693" s="2">
        <v>207</v>
      </c>
      <c r="F693" s="2">
        <v>32441</v>
      </c>
      <c r="G693" s="2">
        <v>8.6168965919999998</v>
      </c>
      <c r="H693" s="3">
        <v>2.0000000000000001E-10</v>
      </c>
      <c r="I693" s="2" t="s">
        <v>45431</v>
      </c>
      <c r="J693" s="2" t="s">
        <v>45432</v>
      </c>
      <c r="K693" s="3">
        <v>9.8299999999999993E-9</v>
      </c>
      <c r="L693" s="2" t="s">
        <v>606</v>
      </c>
      <c r="M693" s="4" t="s">
        <v>45433</v>
      </c>
    </row>
    <row r="694" spans="1:13">
      <c r="A694" s="2">
        <v>201</v>
      </c>
      <c r="B694" s="2" t="s">
        <v>27282</v>
      </c>
      <c r="C694" s="2">
        <v>17</v>
      </c>
      <c r="D694" s="2">
        <v>291</v>
      </c>
      <c r="E694" s="2">
        <v>251</v>
      </c>
      <c r="F694" s="2">
        <v>32441</v>
      </c>
      <c r="G694" s="2">
        <v>7.550512726</v>
      </c>
      <c r="H694" s="3">
        <v>3.6499999999999998E-10</v>
      </c>
      <c r="I694" s="2" t="s">
        <v>45434</v>
      </c>
      <c r="J694" s="2" t="s">
        <v>45435</v>
      </c>
      <c r="K694" s="3">
        <v>1.7E-8</v>
      </c>
      <c r="L694" s="2" t="s">
        <v>606</v>
      </c>
      <c r="M694" s="4" t="s">
        <v>27285</v>
      </c>
    </row>
    <row r="695" spans="1:13">
      <c r="A695" s="2">
        <v>108</v>
      </c>
      <c r="B695" s="2" t="s">
        <v>26724</v>
      </c>
      <c r="C695" s="2">
        <v>16</v>
      </c>
      <c r="D695" s="2">
        <v>291</v>
      </c>
      <c r="E695" s="2">
        <v>224</v>
      </c>
      <c r="F695" s="2">
        <v>32441</v>
      </c>
      <c r="G695" s="2">
        <v>7.9629356900000001</v>
      </c>
      <c r="H695" s="3">
        <v>5.8900000000000003E-10</v>
      </c>
      <c r="I695" s="2" t="s">
        <v>45436</v>
      </c>
      <c r="J695" s="2" t="s">
        <v>45437</v>
      </c>
      <c r="K695" s="3">
        <v>2.3499999999999999E-8</v>
      </c>
      <c r="L695" s="2" t="s">
        <v>606</v>
      </c>
      <c r="M695" s="4" t="s">
        <v>26727</v>
      </c>
    </row>
    <row r="696" spans="1:13">
      <c r="A696" s="2">
        <v>326</v>
      </c>
      <c r="B696" s="2" t="s">
        <v>26962</v>
      </c>
      <c r="C696" s="2">
        <v>32</v>
      </c>
      <c r="D696" s="2">
        <v>291</v>
      </c>
      <c r="E696" s="2">
        <v>972</v>
      </c>
      <c r="F696" s="2">
        <v>32441</v>
      </c>
      <c r="G696" s="2">
        <v>3.6701596589999999</v>
      </c>
      <c r="H696" s="3">
        <v>5.4099999999999999E-10</v>
      </c>
      <c r="I696" s="2" t="s">
        <v>45438</v>
      </c>
      <c r="J696" s="2" t="s">
        <v>45439</v>
      </c>
      <c r="K696" s="3">
        <v>2.3499999999999999E-8</v>
      </c>
      <c r="L696" s="2" t="s">
        <v>606</v>
      </c>
      <c r="M696" s="4" t="s">
        <v>26965</v>
      </c>
    </row>
    <row r="697" spans="1:13">
      <c r="A697" s="2">
        <v>785</v>
      </c>
      <c r="B697" s="2" t="s">
        <v>45440</v>
      </c>
      <c r="C697" s="2">
        <v>29</v>
      </c>
      <c r="D697" s="2">
        <v>291</v>
      </c>
      <c r="E697" s="2">
        <v>810</v>
      </c>
      <c r="F697" s="2">
        <v>32441</v>
      </c>
      <c r="G697" s="2">
        <v>3.9912986300000002</v>
      </c>
      <c r="H697" s="3">
        <v>5.9000000000000003E-10</v>
      </c>
      <c r="I697" s="2" t="s">
        <v>45441</v>
      </c>
      <c r="J697" s="2" t="s">
        <v>45442</v>
      </c>
      <c r="K697" s="3">
        <v>2.3499999999999999E-8</v>
      </c>
      <c r="L697" s="2" t="s">
        <v>606</v>
      </c>
      <c r="M697" s="4" t="s">
        <v>45443</v>
      </c>
    </row>
    <row r="698" spans="1:13">
      <c r="A698" s="2">
        <v>745</v>
      </c>
      <c r="B698" s="2" t="s">
        <v>45444</v>
      </c>
      <c r="C698" s="2">
        <v>21</v>
      </c>
      <c r="D698" s="2">
        <v>291</v>
      </c>
      <c r="E698" s="2">
        <v>424</v>
      </c>
      <c r="F698" s="2">
        <v>32441</v>
      </c>
      <c r="G698" s="2">
        <v>5.5214695579999997</v>
      </c>
      <c r="H698" s="3">
        <v>7.0500000000000005E-10</v>
      </c>
      <c r="I698" s="2" t="s">
        <v>45445</v>
      </c>
      <c r="J698" s="2" t="s">
        <v>45446</v>
      </c>
      <c r="K698" s="3">
        <v>2.6799999999999998E-8</v>
      </c>
      <c r="L698" s="2" t="s">
        <v>606</v>
      </c>
      <c r="M698" s="4" t="s">
        <v>45447</v>
      </c>
    </row>
    <row r="699" spans="1:13">
      <c r="A699" s="2">
        <v>742</v>
      </c>
      <c r="B699" s="2" t="s">
        <v>6767</v>
      </c>
      <c r="C699" s="2">
        <v>26</v>
      </c>
      <c r="D699" s="2">
        <v>291</v>
      </c>
      <c r="E699" s="2">
        <v>665</v>
      </c>
      <c r="F699" s="2">
        <v>32441</v>
      </c>
      <c r="G699" s="2">
        <v>4.3586595350000001</v>
      </c>
      <c r="H699" s="3">
        <v>8.2299999999999995E-10</v>
      </c>
      <c r="I699" s="2" t="s">
        <v>45448</v>
      </c>
      <c r="J699" s="2" t="s">
        <v>45449</v>
      </c>
      <c r="K699" s="3">
        <v>2.9900000000000003E-8</v>
      </c>
      <c r="L699" s="2" t="s">
        <v>606</v>
      </c>
      <c r="M699" s="4" t="s">
        <v>6770</v>
      </c>
    </row>
    <row r="700" spans="1:13">
      <c r="A700" s="2">
        <v>497</v>
      </c>
      <c r="B700" s="2" t="s">
        <v>25937</v>
      </c>
      <c r="C700" s="2">
        <v>23</v>
      </c>
      <c r="D700" s="2">
        <v>291</v>
      </c>
      <c r="E700" s="2">
        <v>521</v>
      </c>
      <c r="F700" s="2">
        <v>32441</v>
      </c>
      <c r="G700" s="2">
        <v>4.9214305029999998</v>
      </c>
      <c r="H700" s="3">
        <v>8.9600000000000001E-10</v>
      </c>
      <c r="I700" s="2" t="s">
        <v>45450</v>
      </c>
      <c r="J700" s="2" t="s">
        <v>45451</v>
      </c>
      <c r="K700" s="3">
        <v>3.1200000000000001E-8</v>
      </c>
      <c r="L700" s="2" t="s">
        <v>606</v>
      </c>
      <c r="M700" s="4" t="s">
        <v>25940</v>
      </c>
    </row>
    <row r="701" spans="1:13">
      <c r="A701" s="2">
        <v>822</v>
      </c>
      <c r="B701" s="2" t="s">
        <v>26312</v>
      </c>
      <c r="C701" s="2">
        <v>36</v>
      </c>
      <c r="D701" s="2">
        <v>291</v>
      </c>
      <c r="E701" s="2">
        <v>1294</v>
      </c>
      <c r="F701" s="2">
        <v>32441</v>
      </c>
      <c r="G701" s="2">
        <v>3.1014834530000002</v>
      </c>
      <c r="H701" s="3">
        <v>3.34E-9</v>
      </c>
      <c r="I701" s="2" t="s">
        <v>45452</v>
      </c>
      <c r="J701" s="2" t="s">
        <v>45453</v>
      </c>
      <c r="K701" s="3">
        <v>1.12E-7</v>
      </c>
      <c r="L701" s="2" t="s">
        <v>606</v>
      </c>
      <c r="M701" s="4" t="s">
        <v>26315</v>
      </c>
    </row>
    <row r="702" spans="1:13">
      <c r="A702" s="2">
        <v>800</v>
      </c>
      <c r="B702" s="2" t="s">
        <v>26479</v>
      </c>
      <c r="C702" s="2">
        <v>26</v>
      </c>
      <c r="D702" s="2">
        <v>291</v>
      </c>
      <c r="E702" s="2">
        <v>738</v>
      </c>
      <c r="F702" s="2">
        <v>32441</v>
      </c>
      <c r="G702" s="2">
        <v>3.9275184159999998</v>
      </c>
      <c r="H702" s="3">
        <v>6.58E-9</v>
      </c>
      <c r="I702" s="2" t="s">
        <v>45454</v>
      </c>
      <c r="J702" s="2" t="s">
        <v>45455</v>
      </c>
      <c r="K702" s="3">
        <v>2.11E-7</v>
      </c>
      <c r="L702" s="2" t="s">
        <v>606</v>
      </c>
      <c r="M702" s="4" t="s">
        <v>26482</v>
      </c>
    </row>
    <row r="703" spans="1:13">
      <c r="A703" s="2">
        <v>97</v>
      </c>
      <c r="B703" s="2" t="s">
        <v>45456</v>
      </c>
      <c r="C703" s="2">
        <v>14</v>
      </c>
      <c r="D703" s="2">
        <v>291</v>
      </c>
      <c r="E703" s="2">
        <v>214</v>
      </c>
      <c r="F703" s="2">
        <v>32441</v>
      </c>
      <c r="G703" s="2">
        <v>7.2931560519999996</v>
      </c>
      <c r="H703" s="3">
        <v>2.0199999999999999E-8</v>
      </c>
      <c r="I703" s="2" t="s">
        <v>45457</v>
      </c>
      <c r="J703" s="2" t="s">
        <v>45458</v>
      </c>
      <c r="K703" s="3">
        <v>6.2600000000000002E-7</v>
      </c>
      <c r="L703" s="2" t="s">
        <v>606</v>
      </c>
      <c r="M703" s="4" t="s">
        <v>45459</v>
      </c>
    </row>
    <row r="704" spans="1:13">
      <c r="A704" s="2">
        <v>115</v>
      </c>
      <c r="B704" s="2" t="s">
        <v>26524</v>
      </c>
      <c r="C704" s="2">
        <v>15</v>
      </c>
      <c r="D704" s="2">
        <v>291</v>
      </c>
      <c r="E704" s="2">
        <v>255</v>
      </c>
      <c r="F704" s="2">
        <v>32441</v>
      </c>
      <c r="G704" s="2">
        <v>6.5577117439999997</v>
      </c>
      <c r="H704" s="3">
        <v>2.3899999999999999E-8</v>
      </c>
      <c r="I704" s="2" t="s">
        <v>45460</v>
      </c>
      <c r="J704" s="2" t="s">
        <v>45461</v>
      </c>
      <c r="K704" s="3">
        <v>7.1500000000000004E-7</v>
      </c>
      <c r="L704" s="2" t="s">
        <v>606</v>
      </c>
      <c r="M704" s="4" t="s">
        <v>26527</v>
      </c>
    </row>
    <row r="705" spans="1:13">
      <c r="A705" s="2">
        <v>1</v>
      </c>
      <c r="B705" s="2" t="s">
        <v>45462</v>
      </c>
      <c r="C705" s="2">
        <v>13</v>
      </c>
      <c r="D705" s="2">
        <v>291</v>
      </c>
      <c r="E705" s="2">
        <v>193</v>
      </c>
      <c r="F705" s="2">
        <v>32441</v>
      </c>
      <c r="G705" s="2">
        <v>7.5090896139999996</v>
      </c>
      <c r="H705" s="3">
        <v>4.7199999999999999E-8</v>
      </c>
      <c r="I705" s="2" t="s">
        <v>45463</v>
      </c>
      <c r="J705" s="2" t="s">
        <v>45464</v>
      </c>
      <c r="K705" s="3">
        <v>1.3200000000000001E-6</v>
      </c>
      <c r="L705" s="2" t="s">
        <v>606</v>
      </c>
      <c r="M705" s="4" t="s">
        <v>45465</v>
      </c>
    </row>
    <row r="706" spans="1:13">
      <c r="A706" s="2">
        <v>109</v>
      </c>
      <c r="B706" s="2" t="s">
        <v>45466</v>
      </c>
      <c r="C706" s="2">
        <v>8</v>
      </c>
      <c r="D706" s="2">
        <v>291</v>
      </c>
      <c r="E706" s="2">
        <v>50</v>
      </c>
      <c r="F706" s="2">
        <v>32441</v>
      </c>
      <c r="G706" s="2">
        <v>17.836975949999999</v>
      </c>
      <c r="H706" s="3">
        <v>4.6199999999999997E-8</v>
      </c>
      <c r="I706" s="2" t="s">
        <v>45467</v>
      </c>
      <c r="J706" s="2" t="s">
        <v>45468</v>
      </c>
      <c r="K706" s="3">
        <v>1.3200000000000001E-6</v>
      </c>
      <c r="L706" s="2" t="s">
        <v>606</v>
      </c>
      <c r="M706" s="4" t="s">
        <v>45469</v>
      </c>
    </row>
    <row r="707" spans="1:13">
      <c r="A707" s="2">
        <v>755</v>
      </c>
      <c r="B707" s="2" t="s">
        <v>26386</v>
      </c>
      <c r="C707" s="2">
        <v>21</v>
      </c>
      <c r="D707" s="2">
        <v>291</v>
      </c>
      <c r="E707" s="2">
        <v>547</v>
      </c>
      <c r="F707" s="2">
        <v>32441</v>
      </c>
      <c r="G707" s="2">
        <v>4.2798959649999997</v>
      </c>
      <c r="H707" s="3">
        <v>4.9600000000000001E-8</v>
      </c>
      <c r="I707" s="2" t="s">
        <v>45470</v>
      </c>
      <c r="J707" s="2" t="s">
        <v>45471</v>
      </c>
      <c r="K707" s="3">
        <v>1.3400000000000001E-6</v>
      </c>
      <c r="L707" s="2" t="s">
        <v>606</v>
      </c>
      <c r="M707" s="4" t="s">
        <v>26389</v>
      </c>
    </row>
    <row r="708" spans="1:13">
      <c r="A708" s="2">
        <v>55</v>
      </c>
      <c r="B708" s="2" t="s">
        <v>27192</v>
      </c>
      <c r="C708" s="2">
        <v>14</v>
      </c>
      <c r="D708" s="2">
        <v>291</v>
      </c>
      <c r="E708" s="2">
        <v>236</v>
      </c>
      <c r="F708" s="2">
        <v>32441</v>
      </c>
      <c r="G708" s="2">
        <v>6.6132855729999998</v>
      </c>
      <c r="H708" s="3">
        <v>6.3899999999999996E-8</v>
      </c>
      <c r="I708" s="2" t="s">
        <v>45472</v>
      </c>
      <c r="J708" s="2" t="s">
        <v>45473</v>
      </c>
      <c r="K708" s="3">
        <v>1.6700000000000001E-6</v>
      </c>
      <c r="L708" s="2" t="s">
        <v>606</v>
      </c>
      <c r="M708" s="4" t="s">
        <v>27195</v>
      </c>
    </row>
    <row r="709" spans="1:13">
      <c r="A709" s="2">
        <v>371</v>
      </c>
      <c r="B709" s="2" t="s">
        <v>27060</v>
      </c>
      <c r="C709" s="2">
        <v>14</v>
      </c>
      <c r="D709" s="2">
        <v>291</v>
      </c>
      <c r="E709" s="2">
        <v>251</v>
      </c>
      <c r="F709" s="2">
        <v>32441</v>
      </c>
      <c r="G709" s="2">
        <v>6.2180693040000001</v>
      </c>
      <c r="H709" s="3">
        <v>1.31E-7</v>
      </c>
      <c r="I709" s="2" t="s">
        <v>45474</v>
      </c>
      <c r="J709" s="2" t="s">
        <v>45475</v>
      </c>
      <c r="K709" s="3">
        <v>3.32E-6</v>
      </c>
      <c r="L709" s="2" t="s">
        <v>606</v>
      </c>
      <c r="M709" s="4" t="s">
        <v>27063</v>
      </c>
    </row>
    <row r="710" spans="1:13">
      <c r="A710" s="2">
        <v>779</v>
      </c>
      <c r="B710" s="2" t="s">
        <v>6699</v>
      </c>
      <c r="C710" s="2">
        <v>30</v>
      </c>
      <c r="D710" s="2">
        <v>291</v>
      </c>
      <c r="E710" s="2">
        <v>1121</v>
      </c>
      <c r="F710" s="2">
        <v>32441</v>
      </c>
      <c r="G710" s="2">
        <v>2.9834371009999998</v>
      </c>
      <c r="H710" s="3">
        <v>1.6899999999999999E-7</v>
      </c>
      <c r="I710" s="2" t="s">
        <v>45476</v>
      </c>
      <c r="J710" s="2" t="s">
        <v>45477</v>
      </c>
      <c r="K710" s="3">
        <v>4.1500000000000001E-6</v>
      </c>
      <c r="L710" s="2" t="s">
        <v>606</v>
      </c>
      <c r="M710" s="4" t="s">
        <v>6702</v>
      </c>
    </row>
    <row r="711" spans="1:13">
      <c r="A711" s="2">
        <v>202</v>
      </c>
      <c r="B711" s="2" t="s">
        <v>27288</v>
      </c>
      <c r="C711" s="2">
        <v>11</v>
      </c>
      <c r="D711" s="2">
        <v>291</v>
      </c>
      <c r="E711" s="2">
        <v>150</v>
      </c>
      <c r="F711" s="2">
        <v>32441</v>
      </c>
      <c r="G711" s="2">
        <v>8.1752806410000005</v>
      </c>
      <c r="H711" s="3">
        <v>2.3200000000000001E-7</v>
      </c>
      <c r="I711" s="2" t="s">
        <v>45478</v>
      </c>
      <c r="J711" s="2" t="s">
        <v>45479</v>
      </c>
      <c r="K711" s="3">
        <v>5.5500000000000002E-6</v>
      </c>
      <c r="L711" s="2" t="s">
        <v>606</v>
      </c>
      <c r="M711" s="4" t="s">
        <v>27291</v>
      </c>
    </row>
    <row r="712" spans="1:13">
      <c r="A712" s="2">
        <v>1141</v>
      </c>
      <c r="B712" s="2" t="s">
        <v>45480</v>
      </c>
      <c r="C712" s="2">
        <v>14</v>
      </c>
      <c r="D712" s="2">
        <v>291</v>
      </c>
      <c r="E712" s="2">
        <v>272</v>
      </c>
      <c r="F712" s="2">
        <v>32441</v>
      </c>
      <c r="G712" s="2">
        <v>5.7379977760000003</v>
      </c>
      <c r="H712" s="3">
        <v>3.3200000000000001E-7</v>
      </c>
      <c r="I712" s="2" t="s">
        <v>45481</v>
      </c>
      <c r="J712" s="2" t="s">
        <v>45482</v>
      </c>
      <c r="K712" s="3">
        <v>7.7000000000000008E-6</v>
      </c>
      <c r="L712" s="2" t="s">
        <v>606</v>
      </c>
      <c r="M712" s="4" t="s">
        <v>45483</v>
      </c>
    </row>
    <row r="713" spans="1:13">
      <c r="A713" s="2">
        <v>206</v>
      </c>
      <c r="B713" s="2" t="s">
        <v>27252</v>
      </c>
      <c r="C713" s="2">
        <v>13</v>
      </c>
      <c r="D713" s="2">
        <v>291</v>
      </c>
      <c r="E713" s="2">
        <v>246</v>
      </c>
      <c r="F713" s="2">
        <v>32441</v>
      </c>
      <c r="G713" s="2">
        <v>5.8912776239999998</v>
      </c>
      <c r="H713" s="3">
        <v>6.61E-7</v>
      </c>
      <c r="I713" s="2" t="s">
        <v>45484</v>
      </c>
      <c r="J713" s="2" t="s">
        <v>45485</v>
      </c>
      <c r="K713" s="3">
        <v>1.49E-5</v>
      </c>
      <c r="L713" s="2" t="s">
        <v>606</v>
      </c>
      <c r="M713" s="4" t="s">
        <v>27255</v>
      </c>
    </row>
    <row r="714" spans="1:13">
      <c r="A714" s="2">
        <v>237</v>
      </c>
      <c r="B714" s="2" t="s">
        <v>6805</v>
      </c>
      <c r="C714" s="2">
        <v>13</v>
      </c>
      <c r="D714" s="2">
        <v>291</v>
      </c>
      <c r="E714" s="2">
        <v>252</v>
      </c>
      <c r="F714" s="2">
        <v>32441</v>
      </c>
      <c r="G714" s="2">
        <v>5.751009109</v>
      </c>
      <c r="H714" s="3">
        <v>8.5499999999999997E-7</v>
      </c>
      <c r="I714" s="2" t="s">
        <v>45486</v>
      </c>
      <c r="J714" s="2" t="s">
        <v>45487</v>
      </c>
      <c r="K714" s="3">
        <v>1.88E-5</v>
      </c>
      <c r="L714" s="2" t="s">
        <v>606</v>
      </c>
      <c r="M714" s="4" t="s">
        <v>6808</v>
      </c>
    </row>
    <row r="715" spans="1:13">
      <c r="A715" s="2">
        <v>441</v>
      </c>
      <c r="B715" s="2" t="s">
        <v>45488</v>
      </c>
      <c r="C715" s="2">
        <v>12</v>
      </c>
      <c r="D715" s="2">
        <v>291</v>
      </c>
      <c r="E715" s="2">
        <v>213</v>
      </c>
      <c r="F715" s="2">
        <v>32441</v>
      </c>
      <c r="G715" s="2">
        <v>6.2806253329999997</v>
      </c>
      <c r="H715" s="3">
        <v>9.4399999999999998E-7</v>
      </c>
      <c r="I715" s="2" t="s">
        <v>45489</v>
      </c>
      <c r="J715" s="2" t="s">
        <v>45490</v>
      </c>
      <c r="K715" s="3">
        <v>2.02E-5</v>
      </c>
      <c r="L715" s="2" t="s">
        <v>606</v>
      </c>
      <c r="M715" s="4" t="s">
        <v>45491</v>
      </c>
    </row>
    <row r="716" spans="1:13">
      <c r="A716" s="2">
        <v>758</v>
      </c>
      <c r="B716" s="2" t="s">
        <v>45492</v>
      </c>
      <c r="C716" s="2">
        <v>10</v>
      </c>
      <c r="D716" s="2">
        <v>291</v>
      </c>
      <c r="E716" s="2">
        <v>142</v>
      </c>
      <c r="F716" s="2">
        <v>32441</v>
      </c>
      <c r="G716" s="2">
        <v>7.8507816659999996</v>
      </c>
      <c r="H716" s="3">
        <v>1.17E-6</v>
      </c>
      <c r="I716" s="2" t="s">
        <v>45493</v>
      </c>
      <c r="J716" s="2" t="s">
        <v>45494</v>
      </c>
      <c r="K716" s="3">
        <v>2.44E-5</v>
      </c>
      <c r="L716" s="2" t="s">
        <v>606</v>
      </c>
      <c r="M716" s="4" t="s">
        <v>45495</v>
      </c>
    </row>
    <row r="717" spans="1:13">
      <c r="A717" s="2">
        <v>72</v>
      </c>
      <c r="B717" s="2" t="s">
        <v>26458</v>
      </c>
      <c r="C717" s="2">
        <v>13</v>
      </c>
      <c r="D717" s="2">
        <v>291</v>
      </c>
      <c r="E717" s="2">
        <v>262</v>
      </c>
      <c r="F717" s="2">
        <v>32441</v>
      </c>
      <c r="G717" s="2">
        <v>5.531504945</v>
      </c>
      <c r="H717" s="3">
        <v>1.2899999999999999E-6</v>
      </c>
      <c r="I717" s="2" t="s">
        <v>45496</v>
      </c>
      <c r="J717" s="2" t="s">
        <v>45497</v>
      </c>
      <c r="K717" s="3">
        <v>2.5700000000000001E-5</v>
      </c>
      <c r="L717" s="2" t="s">
        <v>606</v>
      </c>
      <c r="M717" s="4" t="s">
        <v>26461</v>
      </c>
    </row>
    <row r="718" spans="1:13">
      <c r="A718" s="2">
        <v>170</v>
      </c>
      <c r="B718" s="2" t="s">
        <v>45498</v>
      </c>
      <c r="C718" s="2">
        <v>13</v>
      </c>
      <c r="D718" s="2">
        <v>291</v>
      </c>
      <c r="E718" s="2">
        <v>262</v>
      </c>
      <c r="F718" s="2">
        <v>32441</v>
      </c>
      <c r="G718" s="2">
        <v>5.531504945</v>
      </c>
      <c r="H718" s="3">
        <v>1.2899999999999999E-6</v>
      </c>
      <c r="I718" s="2" t="s">
        <v>45499</v>
      </c>
      <c r="J718" s="2" t="s">
        <v>45500</v>
      </c>
      <c r="K718" s="3">
        <v>2.5700000000000001E-5</v>
      </c>
      <c r="L718" s="2" t="s">
        <v>606</v>
      </c>
      <c r="M718" s="4" t="s">
        <v>45501</v>
      </c>
    </row>
    <row r="719" spans="1:13">
      <c r="A719" s="2">
        <v>339</v>
      </c>
      <c r="B719" s="2" t="s">
        <v>45502</v>
      </c>
      <c r="C719" s="2">
        <v>13</v>
      </c>
      <c r="D719" s="2">
        <v>291</v>
      </c>
      <c r="E719" s="2">
        <v>267</v>
      </c>
      <c r="F719" s="2">
        <v>32441</v>
      </c>
      <c r="G719" s="2">
        <v>5.4279187100000001</v>
      </c>
      <c r="H719" s="3">
        <v>1.5799999999999999E-6</v>
      </c>
      <c r="I719" s="2" t="s">
        <v>45503</v>
      </c>
      <c r="J719" s="2" t="s">
        <v>45504</v>
      </c>
      <c r="K719" s="3">
        <v>3.0700000000000001E-5</v>
      </c>
      <c r="L719" s="2" t="s">
        <v>606</v>
      </c>
      <c r="M719" s="4" t="s">
        <v>45505</v>
      </c>
    </row>
    <row r="720" spans="1:13">
      <c r="A720" s="2">
        <v>368</v>
      </c>
      <c r="B720" s="2" t="s">
        <v>26736</v>
      </c>
      <c r="C720" s="2">
        <v>12</v>
      </c>
      <c r="D720" s="2">
        <v>291</v>
      </c>
      <c r="E720" s="2">
        <v>226</v>
      </c>
      <c r="F720" s="2">
        <v>32441</v>
      </c>
      <c r="G720" s="2">
        <v>5.9193504240000001</v>
      </c>
      <c r="H720" s="3">
        <v>1.7E-6</v>
      </c>
      <c r="I720" s="2" t="s">
        <v>45506</v>
      </c>
      <c r="J720" s="2" t="s">
        <v>45507</v>
      </c>
      <c r="K720" s="3">
        <v>3.18E-5</v>
      </c>
      <c r="L720" s="2" t="s">
        <v>606</v>
      </c>
      <c r="M720" s="4" t="s">
        <v>26739</v>
      </c>
    </row>
    <row r="721" spans="1:13">
      <c r="A721" s="2">
        <v>757</v>
      </c>
      <c r="B721" s="2" t="s">
        <v>26794</v>
      </c>
      <c r="C721" s="2">
        <v>18</v>
      </c>
      <c r="D721" s="2">
        <v>291</v>
      </c>
      <c r="E721" s="2">
        <v>516</v>
      </c>
      <c r="F721" s="2">
        <v>32441</v>
      </c>
      <c r="G721" s="2">
        <v>3.8888755690000001</v>
      </c>
      <c r="H721" s="3">
        <v>1.7099999999999999E-6</v>
      </c>
      <c r="I721" s="2" t="s">
        <v>45508</v>
      </c>
      <c r="J721" s="2" t="s">
        <v>45509</v>
      </c>
      <c r="K721" s="3">
        <v>3.18E-5</v>
      </c>
      <c r="L721" s="2" t="s">
        <v>606</v>
      </c>
      <c r="M721" s="4" t="s">
        <v>26797</v>
      </c>
    </row>
    <row r="722" spans="1:13">
      <c r="A722" s="2">
        <v>8081</v>
      </c>
      <c r="B722" s="2" t="s">
        <v>6861</v>
      </c>
      <c r="C722" s="2">
        <v>21</v>
      </c>
      <c r="D722" s="2">
        <v>291</v>
      </c>
      <c r="E722" s="2">
        <v>697</v>
      </c>
      <c r="F722" s="2">
        <v>32441</v>
      </c>
      <c r="G722" s="2">
        <v>3.3588279669999999</v>
      </c>
      <c r="H722" s="3">
        <v>2.2299999999999998E-6</v>
      </c>
      <c r="I722" s="2" t="s">
        <v>45510</v>
      </c>
      <c r="J722" s="2" t="s">
        <v>45511</v>
      </c>
      <c r="K722" s="3">
        <v>4.0599999999999998E-5</v>
      </c>
      <c r="L722" s="2" t="s">
        <v>606</v>
      </c>
      <c r="M722" s="4" t="s">
        <v>6864</v>
      </c>
    </row>
    <row r="723" spans="1:13">
      <c r="A723" s="2">
        <v>433</v>
      </c>
      <c r="B723" s="2" t="s">
        <v>26942</v>
      </c>
      <c r="C723" s="2">
        <v>12</v>
      </c>
      <c r="D723" s="2">
        <v>291</v>
      </c>
      <c r="E723" s="2">
        <v>236</v>
      </c>
      <c r="F723" s="2">
        <v>32441</v>
      </c>
      <c r="G723" s="2">
        <v>5.6685304910000003</v>
      </c>
      <c r="H723" s="3">
        <v>2.61E-6</v>
      </c>
      <c r="I723" s="2" t="s">
        <v>45512</v>
      </c>
      <c r="J723" s="2" t="s">
        <v>45513</v>
      </c>
      <c r="K723" s="3">
        <v>4.6400000000000003E-5</v>
      </c>
      <c r="L723" s="2" t="s">
        <v>606</v>
      </c>
      <c r="M723" s="4" t="s">
        <v>26945</v>
      </c>
    </row>
    <row r="724" spans="1:13">
      <c r="A724" s="2">
        <v>835</v>
      </c>
      <c r="B724" s="2" t="s">
        <v>45514</v>
      </c>
      <c r="C724" s="2">
        <v>15</v>
      </c>
      <c r="D724" s="2">
        <v>291</v>
      </c>
      <c r="E724" s="2">
        <v>378</v>
      </c>
      <c r="F724" s="2">
        <v>32441</v>
      </c>
      <c r="G724" s="2">
        <v>4.4238531610000003</v>
      </c>
      <c r="H724" s="3">
        <v>2.8600000000000001E-6</v>
      </c>
      <c r="I724" s="2" t="s">
        <v>45515</v>
      </c>
      <c r="J724" s="2" t="s">
        <v>45516</v>
      </c>
      <c r="K724" s="3">
        <v>4.9799999999999998E-5</v>
      </c>
      <c r="L724" s="2" t="s">
        <v>606</v>
      </c>
      <c r="M724" s="4" t="s">
        <v>45517</v>
      </c>
    </row>
    <row r="725" spans="1:13">
      <c r="A725" s="2">
        <v>66</v>
      </c>
      <c r="B725" s="2" t="s">
        <v>45518</v>
      </c>
      <c r="C725" s="2">
        <v>12</v>
      </c>
      <c r="D725" s="2">
        <v>291</v>
      </c>
      <c r="E725" s="2">
        <v>245</v>
      </c>
      <c r="F725" s="2">
        <v>32441</v>
      </c>
      <c r="G725" s="2">
        <v>5.4602987589999996</v>
      </c>
      <c r="H725" s="3">
        <v>3.76E-6</v>
      </c>
      <c r="I725" s="2" t="s">
        <v>45519</v>
      </c>
      <c r="J725" s="2" t="s">
        <v>45520</v>
      </c>
      <c r="K725" s="3">
        <v>6.4200000000000002E-5</v>
      </c>
      <c r="L725" s="2" t="s">
        <v>606</v>
      </c>
      <c r="M725" s="4" t="s">
        <v>45521</v>
      </c>
    </row>
    <row r="726" spans="1:13">
      <c r="A726" s="2">
        <v>797</v>
      </c>
      <c r="B726" s="2" t="s">
        <v>27554</v>
      </c>
      <c r="C726" s="2">
        <v>13</v>
      </c>
      <c r="D726" s="2">
        <v>291</v>
      </c>
      <c r="E726" s="2">
        <v>294</v>
      </c>
      <c r="F726" s="2">
        <v>32441</v>
      </c>
      <c r="G726" s="2">
        <v>4.9294363790000002</v>
      </c>
      <c r="H726" s="3">
        <v>4.33E-6</v>
      </c>
      <c r="I726" s="2" t="s">
        <v>45522</v>
      </c>
      <c r="J726" s="2" t="s">
        <v>45523</v>
      </c>
      <c r="K726" s="3">
        <v>7.2399999999999998E-5</v>
      </c>
      <c r="L726" s="2" t="s">
        <v>606</v>
      </c>
      <c r="M726" s="4" t="s">
        <v>27557</v>
      </c>
    </row>
    <row r="727" spans="1:13">
      <c r="A727" s="2">
        <v>763</v>
      </c>
      <c r="B727" s="2" t="s">
        <v>27270</v>
      </c>
      <c r="C727" s="2">
        <v>18</v>
      </c>
      <c r="D727" s="2">
        <v>291</v>
      </c>
      <c r="E727" s="2">
        <v>556</v>
      </c>
      <c r="F727" s="2">
        <v>32441</v>
      </c>
      <c r="G727" s="2">
        <v>3.6091003490000002</v>
      </c>
      <c r="H727" s="3">
        <v>4.6600000000000003E-6</v>
      </c>
      <c r="I727" s="2" t="s">
        <v>45524</v>
      </c>
      <c r="J727" s="2" t="s">
        <v>45525</v>
      </c>
      <c r="K727" s="3">
        <v>7.64E-5</v>
      </c>
      <c r="L727" s="2" t="s">
        <v>606</v>
      </c>
      <c r="M727" s="4" t="s">
        <v>27273</v>
      </c>
    </row>
    <row r="728" spans="1:13">
      <c r="A728" s="2">
        <v>140</v>
      </c>
      <c r="B728" s="2" t="s">
        <v>6817</v>
      </c>
      <c r="C728" s="2">
        <v>12</v>
      </c>
      <c r="D728" s="2">
        <v>291</v>
      </c>
      <c r="E728" s="2">
        <v>254</v>
      </c>
      <c r="F728" s="2">
        <v>32441</v>
      </c>
      <c r="G728" s="2">
        <v>5.266823606</v>
      </c>
      <c r="H728" s="3">
        <v>5.3399999999999997E-6</v>
      </c>
      <c r="I728" s="2" t="s">
        <v>45526</v>
      </c>
      <c r="J728" s="2" t="s">
        <v>45527</v>
      </c>
      <c r="K728" s="3">
        <v>8.5900000000000001E-5</v>
      </c>
      <c r="L728" s="2" t="s">
        <v>606</v>
      </c>
      <c r="M728" s="4" t="s">
        <v>6820</v>
      </c>
    </row>
    <row r="729" spans="1:13">
      <c r="A729" s="2">
        <v>7351</v>
      </c>
      <c r="B729" s="2" t="s">
        <v>2962</v>
      </c>
      <c r="C729" s="2">
        <v>15</v>
      </c>
      <c r="D729" s="2">
        <v>291</v>
      </c>
      <c r="E729" s="2">
        <v>402</v>
      </c>
      <c r="F729" s="2">
        <v>32441</v>
      </c>
      <c r="G729" s="2">
        <v>4.1597425240000003</v>
      </c>
      <c r="H729" s="3">
        <v>5.84E-6</v>
      </c>
      <c r="I729" s="2" t="s">
        <v>45528</v>
      </c>
      <c r="J729" s="2" t="s">
        <v>45529</v>
      </c>
      <c r="K729" s="3">
        <v>9.1199999999999994E-5</v>
      </c>
      <c r="L729" s="2" t="s">
        <v>606</v>
      </c>
      <c r="M729" s="4" t="s">
        <v>2965</v>
      </c>
    </row>
    <row r="730" spans="1:13">
      <c r="A730" s="2">
        <v>739</v>
      </c>
      <c r="B730" s="2" t="s">
        <v>27208</v>
      </c>
      <c r="C730" s="2">
        <v>10</v>
      </c>
      <c r="D730" s="2">
        <v>291</v>
      </c>
      <c r="E730" s="2">
        <v>172</v>
      </c>
      <c r="F730" s="2">
        <v>32441</v>
      </c>
      <c r="G730" s="2">
        <v>6.4814592820000003</v>
      </c>
      <c r="H730" s="3">
        <v>5.8900000000000004E-6</v>
      </c>
      <c r="I730" s="2" t="s">
        <v>45530</v>
      </c>
      <c r="J730" s="2" t="s">
        <v>45531</v>
      </c>
      <c r="K730" s="3">
        <v>9.1199999999999994E-5</v>
      </c>
      <c r="L730" s="2" t="s">
        <v>606</v>
      </c>
      <c r="M730" s="4" t="s">
        <v>27211</v>
      </c>
    </row>
    <row r="731" spans="1:13">
      <c r="A731" s="2">
        <v>78</v>
      </c>
      <c r="B731" s="2" t="s">
        <v>27134</v>
      </c>
      <c r="C731" s="2">
        <v>12</v>
      </c>
      <c r="D731" s="2">
        <v>291</v>
      </c>
      <c r="E731" s="2">
        <v>258</v>
      </c>
      <c r="F731" s="2">
        <v>32441</v>
      </c>
      <c r="G731" s="2">
        <v>5.1851674259999996</v>
      </c>
      <c r="H731" s="3">
        <v>6.2199999999999997E-6</v>
      </c>
      <c r="I731" s="2" t="s">
        <v>45532</v>
      </c>
      <c r="J731" s="2" t="s">
        <v>45533</v>
      </c>
      <c r="K731" s="3">
        <v>9.4500000000000007E-5</v>
      </c>
      <c r="L731" s="2" t="s">
        <v>606</v>
      </c>
      <c r="M731" s="4" t="s">
        <v>27137</v>
      </c>
    </row>
    <row r="732" spans="1:13">
      <c r="A732" s="2">
        <v>45</v>
      </c>
      <c r="B732" s="2" t="s">
        <v>45534</v>
      </c>
      <c r="C732" s="2">
        <v>12</v>
      </c>
      <c r="D732" s="2">
        <v>291</v>
      </c>
      <c r="E732" s="2">
        <v>260</v>
      </c>
      <c r="F732" s="2">
        <v>32441</v>
      </c>
      <c r="G732" s="2">
        <v>5.1452815230000004</v>
      </c>
      <c r="H732" s="3">
        <v>6.7000000000000002E-6</v>
      </c>
      <c r="I732" s="2" t="s">
        <v>45535</v>
      </c>
      <c r="J732" s="2" t="s">
        <v>45536</v>
      </c>
      <c r="K732" s="3">
        <v>9.8300000000000004E-5</v>
      </c>
      <c r="L732" s="2" t="s">
        <v>606</v>
      </c>
      <c r="M732" s="4" t="s">
        <v>45537</v>
      </c>
    </row>
    <row r="733" spans="1:13">
      <c r="A733" s="2">
        <v>274</v>
      </c>
      <c r="B733" s="2" t="s">
        <v>27366</v>
      </c>
      <c r="C733" s="2">
        <v>12</v>
      </c>
      <c r="D733" s="2">
        <v>291</v>
      </c>
      <c r="E733" s="2">
        <v>260</v>
      </c>
      <c r="F733" s="2">
        <v>32441</v>
      </c>
      <c r="G733" s="2">
        <v>5.1452815230000004</v>
      </c>
      <c r="H733" s="3">
        <v>6.7000000000000002E-6</v>
      </c>
      <c r="I733" s="2" t="s">
        <v>45538</v>
      </c>
      <c r="J733" s="2" t="s">
        <v>45539</v>
      </c>
      <c r="K733" s="3">
        <v>9.8300000000000004E-5</v>
      </c>
      <c r="L733" s="2" t="s">
        <v>606</v>
      </c>
      <c r="M733" s="4" t="s">
        <v>27369</v>
      </c>
    </row>
    <row r="734" spans="1:13">
      <c r="A734" s="2">
        <v>828</v>
      </c>
      <c r="B734" s="2" t="s">
        <v>26554</v>
      </c>
      <c r="C734" s="2">
        <v>14</v>
      </c>
      <c r="D734" s="2">
        <v>291</v>
      </c>
      <c r="E734" s="2">
        <v>358</v>
      </c>
      <c r="F734" s="2">
        <v>32441</v>
      </c>
      <c r="G734" s="2">
        <v>4.3595960759999999</v>
      </c>
      <c r="H734" s="3">
        <v>7.1899999999999998E-6</v>
      </c>
      <c r="I734" s="2" t="s">
        <v>45540</v>
      </c>
      <c r="J734" s="2" t="s">
        <v>45541</v>
      </c>
      <c r="K734" s="2">
        <v>1.03676E-4</v>
      </c>
      <c r="L734" s="2" t="s">
        <v>606</v>
      </c>
      <c r="M734" s="4" t="s">
        <v>26557</v>
      </c>
    </row>
    <row r="735" spans="1:13">
      <c r="A735" s="2">
        <v>365</v>
      </c>
      <c r="B735" s="2" t="s">
        <v>45542</v>
      </c>
      <c r="C735" s="2">
        <v>12</v>
      </c>
      <c r="D735" s="2">
        <v>291</v>
      </c>
      <c r="E735" s="2">
        <v>265</v>
      </c>
      <c r="F735" s="2">
        <v>32441</v>
      </c>
      <c r="G735" s="2">
        <v>5.0482007390000003</v>
      </c>
      <c r="H735" s="3">
        <v>8.0499999999999992E-6</v>
      </c>
      <c r="I735" s="2" t="s">
        <v>45543</v>
      </c>
      <c r="J735" s="2" t="s">
        <v>45544</v>
      </c>
      <c r="K735" s="2">
        <v>1.1286900000000001E-4</v>
      </c>
      <c r="L735" s="2" t="s">
        <v>606</v>
      </c>
      <c r="M735" s="4" t="s">
        <v>45545</v>
      </c>
    </row>
    <row r="736" spans="1:13">
      <c r="A736" s="2">
        <v>792</v>
      </c>
      <c r="B736" s="2" t="s">
        <v>6660</v>
      </c>
      <c r="C736" s="2">
        <v>26</v>
      </c>
      <c r="D736" s="2">
        <v>291</v>
      </c>
      <c r="E736" s="2">
        <v>1085</v>
      </c>
      <c r="F736" s="2">
        <v>32441</v>
      </c>
      <c r="G736" s="2">
        <v>2.671436489</v>
      </c>
      <c r="H736" s="3">
        <v>8.1000000000000004E-6</v>
      </c>
      <c r="I736" s="2" t="s">
        <v>45546</v>
      </c>
      <c r="J736" s="2" t="s">
        <v>45547</v>
      </c>
      <c r="K736" s="2">
        <v>1.1286900000000001E-4</v>
      </c>
      <c r="L736" s="2" t="s">
        <v>606</v>
      </c>
      <c r="M736" s="4" t="s">
        <v>6663</v>
      </c>
    </row>
    <row r="737" spans="1:13">
      <c r="A737" s="2">
        <v>135</v>
      </c>
      <c r="B737" s="2" t="s">
        <v>27702</v>
      </c>
      <c r="C737" s="2">
        <v>11</v>
      </c>
      <c r="D737" s="2">
        <v>291</v>
      </c>
      <c r="E737" s="2">
        <v>234</v>
      </c>
      <c r="F737" s="2">
        <v>32441</v>
      </c>
      <c r="G737" s="2">
        <v>5.2405645139999999</v>
      </c>
      <c r="H737" s="3">
        <v>1.38E-5</v>
      </c>
      <c r="I737" s="2" t="s">
        <v>45548</v>
      </c>
      <c r="J737" s="2" t="s">
        <v>45549</v>
      </c>
      <c r="K737" s="2">
        <v>1.88858E-4</v>
      </c>
      <c r="L737" s="2" t="s">
        <v>606</v>
      </c>
      <c r="M737" s="4" t="s">
        <v>27705</v>
      </c>
    </row>
    <row r="738" spans="1:13">
      <c r="A738" s="2">
        <v>70</v>
      </c>
      <c r="B738" s="2" t="s">
        <v>45550</v>
      </c>
      <c r="C738" s="2">
        <v>11</v>
      </c>
      <c r="D738" s="2">
        <v>291</v>
      </c>
      <c r="E738" s="2">
        <v>236</v>
      </c>
      <c r="F738" s="2">
        <v>32441</v>
      </c>
      <c r="G738" s="2">
        <v>5.1961529500000001</v>
      </c>
      <c r="H738" s="3">
        <v>1.49E-5</v>
      </c>
      <c r="I738" s="2" t="s">
        <v>45551</v>
      </c>
      <c r="J738" s="2" t="s">
        <v>45552</v>
      </c>
      <c r="K738" s="2">
        <v>2.00421E-4</v>
      </c>
      <c r="L738" s="2" t="s">
        <v>606</v>
      </c>
      <c r="M738" s="4" t="s">
        <v>45553</v>
      </c>
    </row>
    <row r="739" spans="1:13">
      <c r="A739" s="2">
        <v>367</v>
      </c>
      <c r="B739" s="2" t="s">
        <v>45554</v>
      </c>
      <c r="C739" s="2">
        <v>11</v>
      </c>
      <c r="D739" s="2">
        <v>291</v>
      </c>
      <c r="E739" s="2">
        <v>239</v>
      </c>
      <c r="F739" s="2">
        <v>32441</v>
      </c>
      <c r="G739" s="2">
        <v>5.1309292729999996</v>
      </c>
      <c r="H739" s="3">
        <v>1.66E-5</v>
      </c>
      <c r="I739" s="2" t="s">
        <v>45555</v>
      </c>
      <c r="J739" s="2" t="s">
        <v>45556</v>
      </c>
      <c r="K739" s="2">
        <v>2.2064200000000001E-4</v>
      </c>
      <c r="L739" s="2" t="s">
        <v>606</v>
      </c>
      <c r="M739" s="4" t="s">
        <v>45557</v>
      </c>
    </row>
    <row r="740" spans="1:13">
      <c r="A740" s="2">
        <v>275</v>
      </c>
      <c r="B740" s="2" t="s">
        <v>45558</v>
      </c>
      <c r="C740" s="2">
        <v>11</v>
      </c>
      <c r="D740" s="2">
        <v>291</v>
      </c>
      <c r="E740" s="2">
        <v>240</v>
      </c>
      <c r="F740" s="2">
        <v>32441</v>
      </c>
      <c r="G740" s="2">
        <v>5.1095504009999999</v>
      </c>
      <c r="H740" s="3">
        <v>1.73E-5</v>
      </c>
      <c r="I740" s="2" t="s">
        <v>45559</v>
      </c>
      <c r="J740" s="2" t="s">
        <v>45560</v>
      </c>
      <c r="K740" s="2">
        <v>2.23367E-4</v>
      </c>
      <c r="L740" s="2" t="s">
        <v>606</v>
      </c>
      <c r="M740" s="4" t="s">
        <v>45561</v>
      </c>
    </row>
    <row r="741" spans="1:13">
      <c r="A741" s="2">
        <v>296</v>
      </c>
      <c r="B741" s="2" t="s">
        <v>45562</v>
      </c>
      <c r="C741" s="2">
        <v>11</v>
      </c>
      <c r="D741" s="2">
        <v>291</v>
      </c>
      <c r="E741" s="2">
        <v>241</v>
      </c>
      <c r="F741" s="2">
        <v>32441</v>
      </c>
      <c r="G741" s="2">
        <v>5.0883489470000001</v>
      </c>
      <c r="H741" s="3">
        <v>1.7900000000000001E-5</v>
      </c>
      <c r="I741" s="2" t="s">
        <v>45563</v>
      </c>
      <c r="J741" s="2" t="s">
        <v>45564</v>
      </c>
      <c r="K741" s="2">
        <v>2.23367E-4</v>
      </c>
      <c r="L741" s="2" t="s">
        <v>606</v>
      </c>
      <c r="M741" s="4" t="s">
        <v>45565</v>
      </c>
    </row>
    <row r="742" spans="1:13">
      <c r="A742" s="2">
        <v>385</v>
      </c>
      <c r="B742" s="2" t="s">
        <v>45566</v>
      </c>
      <c r="C742" s="2">
        <v>11</v>
      </c>
      <c r="D742" s="2">
        <v>291</v>
      </c>
      <c r="E742" s="2">
        <v>241</v>
      </c>
      <c r="F742" s="2">
        <v>32441</v>
      </c>
      <c r="G742" s="2">
        <v>5.0883489470000001</v>
      </c>
      <c r="H742" s="3">
        <v>1.7900000000000001E-5</v>
      </c>
      <c r="I742" s="2" t="s">
        <v>45567</v>
      </c>
      <c r="J742" s="2" t="s">
        <v>45568</v>
      </c>
      <c r="K742" s="2">
        <v>2.23367E-4</v>
      </c>
      <c r="L742" s="2" t="s">
        <v>606</v>
      </c>
      <c r="M742" s="4" t="s">
        <v>45569</v>
      </c>
    </row>
    <row r="743" spans="1:13">
      <c r="A743" s="2">
        <v>731</v>
      </c>
      <c r="B743" s="2" t="s">
        <v>27594</v>
      </c>
      <c r="C743" s="2">
        <v>7</v>
      </c>
      <c r="D743" s="2">
        <v>291</v>
      </c>
      <c r="E743" s="2">
        <v>84</v>
      </c>
      <c r="F743" s="2">
        <v>32441</v>
      </c>
      <c r="G743" s="2">
        <v>9.2900916379999998</v>
      </c>
      <c r="H743" s="3">
        <v>1.7499999999999998E-5</v>
      </c>
      <c r="I743" s="2" t="s">
        <v>45570</v>
      </c>
      <c r="J743" s="2" t="s">
        <v>45571</v>
      </c>
      <c r="K743" s="2">
        <v>2.23367E-4</v>
      </c>
      <c r="L743" s="2" t="s">
        <v>606</v>
      </c>
      <c r="M743" s="4" t="s">
        <v>27597</v>
      </c>
    </row>
    <row r="744" spans="1:13">
      <c r="A744" s="2">
        <v>486</v>
      </c>
      <c r="B744" s="2" t="s">
        <v>45572</v>
      </c>
      <c r="C744" s="2">
        <v>11</v>
      </c>
      <c r="D744" s="2">
        <v>291</v>
      </c>
      <c r="E744" s="2">
        <v>242</v>
      </c>
      <c r="F744" s="2">
        <v>32441</v>
      </c>
      <c r="G744" s="2">
        <v>5.0673227120000002</v>
      </c>
      <c r="H744" s="3">
        <v>1.8600000000000001E-5</v>
      </c>
      <c r="I744" s="2" t="s">
        <v>45573</v>
      </c>
      <c r="J744" s="2" t="s">
        <v>45574</v>
      </c>
      <c r="K744" s="2">
        <v>2.2829600000000001E-4</v>
      </c>
      <c r="L744" s="2" t="s">
        <v>606</v>
      </c>
      <c r="M744" s="4" t="s">
        <v>45575</v>
      </c>
    </row>
    <row r="745" spans="1:13">
      <c r="A745" s="2">
        <v>386</v>
      </c>
      <c r="B745" s="2" t="s">
        <v>27496</v>
      </c>
      <c r="C745" s="2">
        <v>11</v>
      </c>
      <c r="D745" s="2">
        <v>291</v>
      </c>
      <c r="E745" s="2">
        <v>246</v>
      </c>
      <c r="F745" s="2">
        <v>32441</v>
      </c>
      <c r="G745" s="2">
        <v>4.9849272200000003</v>
      </c>
      <c r="H745" s="3">
        <v>2.1500000000000001E-5</v>
      </c>
      <c r="I745" s="2" t="s">
        <v>45576</v>
      </c>
      <c r="J745" s="2" t="s">
        <v>45577</v>
      </c>
      <c r="K745" s="2">
        <v>2.6004499999999998E-4</v>
      </c>
      <c r="L745" s="2" t="s">
        <v>606</v>
      </c>
      <c r="M745" s="4" t="s">
        <v>27499</v>
      </c>
    </row>
    <row r="746" spans="1:13">
      <c r="A746" s="2">
        <v>38</v>
      </c>
      <c r="B746" s="2" t="s">
        <v>45578</v>
      </c>
      <c r="C746" s="2">
        <v>11</v>
      </c>
      <c r="D746" s="2">
        <v>291</v>
      </c>
      <c r="E746" s="2">
        <v>248</v>
      </c>
      <c r="F746" s="2">
        <v>32441</v>
      </c>
      <c r="G746" s="2">
        <v>4.9447261940000002</v>
      </c>
      <c r="H746" s="3">
        <v>2.3099999999999999E-5</v>
      </c>
      <c r="I746" s="2" t="s">
        <v>45579</v>
      </c>
      <c r="J746" s="2" t="s">
        <v>45580</v>
      </c>
      <c r="K746" s="2">
        <v>2.7528999999999997E-4</v>
      </c>
      <c r="L746" s="2" t="s">
        <v>606</v>
      </c>
      <c r="M746" s="4" t="s">
        <v>45581</v>
      </c>
    </row>
    <row r="747" spans="1:13">
      <c r="A747" s="2">
        <v>391</v>
      </c>
      <c r="B747" s="2" t="s">
        <v>27534</v>
      </c>
      <c r="C747" s="2">
        <v>11</v>
      </c>
      <c r="D747" s="2">
        <v>291</v>
      </c>
      <c r="E747" s="2">
        <v>252</v>
      </c>
      <c r="F747" s="2">
        <v>32441</v>
      </c>
      <c r="G747" s="2">
        <v>4.8662384769999996</v>
      </c>
      <c r="H747" s="3">
        <v>2.65E-5</v>
      </c>
      <c r="I747" s="2" t="s">
        <v>45582</v>
      </c>
      <c r="J747" s="2" t="s">
        <v>45583</v>
      </c>
      <c r="K747" s="2">
        <v>3.1241400000000001E-4</v>
      </c>
      <c r="L747" s="2" t="s">
        <v>606</v>
      </c>
      <c r="M747" s="4" t="s">
        <v>27537</v>
      </c>
    </row>
    <row r="748" spans="1:13">
      <c r="A748" s="2">
        <v>286</v>
      </c>
      <c r="B748" s="2" t="s">
        <v>27322</v>
      </c>
      <c r="C748" s="2">
        <v>11</v>
      </c>
      <c r="D748" s="2">
        <v>291</v>
      </c>
      <c r="E748" s="2">
        <v>255</v>
      </c>
      <c r="F748" s="2">
        <v>32441</v>
      </c>
      <c r="G748" s="2">
        <v>4.8089886130000004</v>
      </c>
      <c r="H748" s="3">
        <v>2.94E-5</v>
      </c>
      <c r="I748" s="2" t="s">
        <v>45584</v>
      </c>
      <c r="J748" s="2" t="s">
        <v>45585</v>
      </c>
      <c r="K748" s="2">
        <v>3.41765E-4</v>
      </c>
      <c r="L748" s="2" t="s">
        <v>606</v>
      </c>
      <c r="M748" s="4" t="s">
        <v>27325</v>
      </c>
    </row>
    <row r="749" spans="1:13">
      <c r="A749" s="2">
        <v>43</v>
      </c>
      <c r="B749" s="2" t="s">
        <v>45586</v>
      </c>
      <c r="C749" s="2">
        <v>11</v>
      </c>
      <c r="D749" s="2">
        <v>291</v>
      </c>
      <c r="E749" s="2">
        <v>256</v>
      </c>
      <c r="F749" s="2">
        <v>32441</v>
      </c>
      <c r="G749" s="2">
        <v>4.7902035009999997</v>
      </c>
      <c r="H749" s="3">
        <v>3.0499999999999999E-5</v>
      </c>
      <c r="I749" s="2" t="s">
        <v>45587</v>
      </c>
      <c r="J749" s="2" t="s">
        <v>45588</v>
      </c>
      <c r="K749" s="2">
        <v>3.4883499999999998E-4</v>
      </c>
      <c r="L749" s="2" t="s">
        <v>606</v>
      </c>
      <c r="M749" s="4" t="s">
        <v>45589</v>
      </c>
    </row>
    <row r="750" spans="1:13">
      <c r="A750" s="2">
        <v>228</v>
      </c>
      <c r="B750" s="2" t="s">
        <v>45590</v>
      </c>
      <c r="C750" s="2">
        <v>11</v>
      </c>
      <c r="D750" s="2">
        <v>291</v>
      </c>
      <c r="E750" s="2">
        <v>259</v>
      </c>
      <c r="F750" s="2">
        <v>32441</v>
      </c>
      <c r="G750" s="2">
        <v>4.7347185180000002</v>
      </c>
      <c r="H750" s="3">
        <v>3.3699999999999999E-5</v>
      </c>
      <c r="I750" s="2" t="s">
        <v>45591</v>
      </c>
      <c r="J750" s="2" t="s">
        <v>45592</v>
      </c>
      <c r="K750" s="2">
        <v>3.7593799999999998E-4</v>
      </c>
      <c r="L750" s="2" t="s">
        <v>606</v>
      </c>
      <c r="M750" s="4" t="s">
        <v>45593</v>
      </c>
    </row>
    <row r="751" spans="1:13">
      <c r="A751" s="2">
        <v>506</v>
      </c>
      <c r="B751" s="2" t="s">
        <v>25875</v>
      </c>
      <c r="C751" s="2">
        <v>15</v>
      </c>
      <c r="D751" s="2">
        <v>291</v>
      </c>
      <c r="E751" s="2">
        <v>469</v>
      </c>
      <c r="F751" s="2">
        <v>32441</v>
      </c>
      <c r="G751" s="2">
        <v>3.5654935920000002</v>
      </c>
      <c r="H751" s="3">
        <v>3.3300000000000003E-5</v>
      </c>
      <c r="I751" s="2" t="s">
        <v>45594</v>
      </c>
      <c r="J751" s="2" t="s">
        <v>45595</v>
      </c>
      <c r="K751" s="2">
        <v>3.7593799999999998E-4</v>
      </c>
      <c r="L751" s="2" t="s">
        <v>606</v>
      </c>
      <c r="M751" s="4" t="s">
        <v>25878</v>
      </c>
    </row>
    <row r="752" spans="1:13">
      <c r="A752" s="2">
        <v>256</v>
      </c>
      <c r="B752" s="2" t="s">
        <v>27598</v>
      </c>
      <c r="C752" s="2">
        <v>11</v>
      </c>
      <c r="D752" s="2">
        <v>291</v>
      </c>
      <c r="E752" s="2">
        <v>260</v>
      </c>
      <c r="F752" s="2">
        <v>32441</v>
      </c>
      <c r="G752" s="2">
        <v>4.7165080619999999</v>
      </c>
      <c r="H752" s="3">
        <v>3.4900000000000001E-5</v>
      </c>
      <c r="I752" s="2" t="s">
        <v>45596</v>
      </c>
      <c r="J752" s="2" t="s">
        <v>45597</v>
      </c>
      <c r="K752" s="2">
        <v>3.7869999999999999E-4</v>
      </c>
      <c r="L752" s="2" t="s">
        <v>606</v>
      </c>
      <c r="M752" s="4" t="s">
        <v>27601</v>
      </c>
    </row>
    <row r="753" spans="1:13">
      <c r="A753" s="2">
        <v>825</v>
      </c>
      <c r="B753" s="2" t="s">
        <v>45598</v>
      </c>
      <c r="C753" s="2">
        <v>13</v>
      </c>
      <c r="D753" s="2">
        <v>291</v>
      </c>
      <c r="E753" s="2">
        <v>361</v>
      </c>
      <c r="F753" s="2">
        <v>32441</v>
      </c>
      <c r="G753" s="2">
        <v>4.0145548350000002</v>
      </c>
      <c r="H753" s="3">
        <v>3.4900000000000001E-5</v>
      </c>
      <c r="I753" s="2" t="s">
        <v>45599</v>
      </c>
      <c r="J753" s="2" t="s">
        <v>45600</v>
      </c>
      <c r="K753" s="2">
        <v>3.7869999999999999E-4</v>
      </c>
      <c r="L753" s="2" t="s">
        <v>606</v>
      </c>
      <c r="M753" s="4" t="s">
        <v>45601</v>
      </c>
    </row>
    <row r="754" spans="1:13">
      <c r="A754" s="2">
        <v>179</v>
      </c>
      <c r="B754" s="2" t="s">
        <v>45602</v>
      </c>
      <c r="C754" s="2">
        <v>11</v>
      </c>
      <c r="D754" s="2">
        <v>291</v>
      </c>
      <c r="E754" s="2">
        <v>262</v>
      </c>
      <c r="F754" s="2">
        <v>32441</v>
      </c>
      <c r="G754" s="2">
        <v>4.6805041840000001</v>
      </c>
      <c r="H754" s="3">
        <v>3.7299999999999999E-5</v>
      </c>
      <c r="I754" s="2" t="s">
        <v>45603</v>
      </c>
      <c r="J754" s="2" t="s">
        <v>45604</v>
      </c>
      <c r="K754" s="2">
        <v>3.9967399999999998E-4</v>
      </c>
      <c r="L754" s="2" t="s">
        <v>606</v>
      </c>
      <c r="M754" s="4" t="s">
        <v>45605</v>
      </c>
    </row>
    <row r="755" spans="1:13">
      <c r="A755" s="2">
        <v>324</v>
      </c>
      <c r="B755" s="2" t="s">
        <v>27630</v>
      </c>
      <c r="C755" s="2">
        <v>11</v>
      </c>
      <c r="D755" s="2">
        <v>291</v>
      </c>
      <c r="E755" s="2">
        <v>264</v>
      </c>
      <c r="F755" s="2">
        <v>32441</v>
      </c>
      <c r="G755" s="2">
        <v>4.6450458189999999</v>
      </c>
      <c r="H755" s="3">
        <v>3.9799999999999998E-5</v>
      </c>
      <c r="I755" s="2" t="s">
        <v>45606</v>
      </c>
      <c r="J755" s="2" t="s">
        <v>45607</v>
      </c>
      <c r="K755" s="2">
        <v>4.2162100000000001E-4</v>
      </c>
      <c r="L755" s="2" t="s">
        <v>606</v>
      </c>
      <c r="M755" s="4" t="s">
        <v>27633</v>
      </c>
    </row>
    <row r="756" spans="1:13">
      <c r="A756" s="2">
        <v>180</v>
      </c>
      <c r="B756" s="2" t="s">
        <v>45608</v>
      </c>
      <c r="C756" s="2">
        <v>8</v>
      </c>
      <c r="D756" s="2">
        <v>291</v>
      </c>
      <c r="E756" s="2">
        <v>133</v>
      </c>
      <c r="F756" s="2">
        <v>32441</v>
      </c>
      <c r="G756" s="2">
        <v>6.7056300550000003</v>
      </c>
      <c r="H756" s="3">
        <v>4.0399999999999999E-5</v>
      </c>
      <c r="I756" s="2" t="s">
        <v>45609</v>
      </c>
      <c r="J756" s="2" t="s">
        <v>45610</v>
      </c>
      <c r="K756" s="2">
        <v>4.2228900000000001E-4</v>
      </c>
      <c r="L756" s="2" t="s">
        <v>606</v>
      </c>
      <c r="M756" s="4" t="s">
        <v>45611</v>
      </c>
    </row>
    <row r="757" spans="1:13">
      <c r="A757" s="2">
        <v>217</v>
      </c>
      <c r="B757" s="2" t="s">
        <v>45612</v>
      </c>
      <c r="C757" s="2">
        <v>11</v>
      </c>
      <c r="D757" s="2">
        <v>291</v>
      </c>
      <c r="E757" s="2">
        <v>267</v>
      </c>
      <c r="F757" s="2">
        <v>32441</v>
      </c>
      <c r="G757" s="2">
        <v>4.5928542930000003</v>
      </c>
      <c r="H757" s="3">
        <v>4.3999999999999999E-5</v>
      </c>
      <c r="I757" s="2" t="s">
        <v>45613</v>
      </c>
      <c r="J757" s="2" t="s">
        <v>45614</v>
      </c>
      <c r="K757" s="2">
        <v>4.5362700000000001E-4</v>
      </c>
      <c r="L757" s="2" t="s">
        <v>606</v>
      </c>
      <c r="M757" s="4" t="s">
        <v>45615</v>
      </c>
    </row>
    <row r="758" spans="1:13">
      <c r="A758" s="2">
        <v>329</v>
      </c>
      <c r="B758" s="2" t="s">
        <v>27188</v>
      </c>
      <c r="C758" s="2">
        <v>11</v>
      </c>
      <c r="D758" s="2">
        <v>291</v>
      </c>
      <c r="E758" s="2">
        <v>269</v>
      </c>
      <c r="F758" s="2">
        <v>32441</v>
      </c>
      <c r="G758" s="2">
        <v>4.558706677</v>
      </c>
      <c r="H758" s="3">
        <v>4.6900000000000002E-5</v>
      </c>
      <c r="I758" s="2" t="s">
        <v>45616</v>
      </c>
      <c r="J758" s="2" t="s">
        <v>45617</v>
      </c>
      <c r="K758" s="2">
        <v>4.7804999999999999E-4</v>
      </c>
      <c r="L758" s="2" t="s">
        <v>606</v>
      </c>
      <c r="M758" s="4" t="s">
        <v>27191</v>
      </c>
    </row>
    <row r="759" spans="1:13">
      <c r="A759" s="2">
        <v>26</v>
      </c>
      <c r="B759" s="2" t="s">
        <v>45618</v>
      </c>
      <c r="C759" s="2">
        <v>13</v>
      </c>
      <c r="D759" s="2">
        <v>291</v>
      </c>
      <c r="E759" s="2">
        <v>374</v>
      </c>
      <c r="F759" s="2">
        <v>32441</v>
      </c>
      <c r="G759" s="2">
        <v>3.8750114849999999</v>
      </c>
      <c r="H759" s="3">
        <v>4.9499999999999997E-5</v>
      </c>
      <c r="I759" s="2" t="s">
        <v>45619</v>
      </c>
      <c r="J759" s="2" t="s">
        <v>45620</v>
      </c>
      <c r="K759" s="2">
        <v>4.87667E-4</v>
      </c>
      <c r="L759" s="2" t="s">
        <v>606</v>
      </c>
      <c r="M759" s="4" t="s">
        <v>45621</v>
      </c>
    </row>
    <row r="760" spans="1:13">
      <c r="A760" s="2">
        <v>25</v>
      </c>
      <c r="B760" s="2" t="s">
        <v>27602</v>
      </c>
      <c r="C760" s="2">
        <v>10</v>
      </c>
      <c r="D760" s="2">
        <v>291</v>
      </c>
      <c r="E760" s="2">
        <v>223</v>
      </c>
      <c r="F760" s="2">
        <v>32441</v>
      </c>
      <c r="G760" s="2">
        <v>4.9991524509999996</v>
      </c>
      <c r="H760" s="3">
        <v>4.9599999999999999E-5</v>
      </c>
      <c r="I760" s="2" t="s">
        <v>45622</v>
      </c>
      <c r="J760" s="2" t="s">
        <v>45623</v>
      </c>
      <c r="K760" s="2">
        <v>4.87667E-4</v>
      </c>
      <c r="L760" s="2" t="s">
        <v>606</v>
      </c>
      <c r="M760" s="4" t="s">
        <v>27605</v>
      </c>
    </row>
    <row r="761" spans="1:13">
      <c r="A761" s="2">
        <v>278</v>
      </c>
      <c r="B761" s="2" t="s">
        <v>45624</v>
      </c>
      <c r="C761" s="2">
        <v>9</v>
      </c>
      <c r="D761" s="2">
        <v>291</v>
      </c>
      <c r="E761" s="2">
        <v>178</v>
      </c>
      <c r="F761" s="2">
        <v>32441</v>
      </c>
      <c r="G761" s="2">
        <v>5.6366848139999997</v>
      </c>
      <c r="H761" s="3">
        <v>4.8900000000000003E-5</v>
      </c>
      <c r="I761" s="2" t="s">
        <v>45625</v>
      </c>
      <c r="J761" s="2" t="s">
        <v>45626</v>
      </c>
      <c r="K761" s="2">
        <v>4.87667E-4</v>
      </c>
      <c r="L761" s="2" t="s">
        <v>606</v>
      </c>
      <c r="M761" s="4" t="s">
        <v>45627</v>
      </c>
    </row>
    <row r="762" spans="1:13">
      <c r="A762" s="2">
        <v>239</v>
      </c>
      <c r="B762" s="2" t="s">
        <v>26630</v>
      </c>
      <c r="C762" s="2">
        <v>10</v>
      </c>
      <c r="D762" s="2">
        <v>291</v>
      </c>
      <c r="E762" s="2">
        <v>226</v>
      </c>
      <c r="F762" s="2">
        <v>32441</v>
      </c>
      <c r="G762" s="2">
        <v>4.9327920199999999</v>
      </c>
      <c r="H762" s="3">
        <v>5.52E-5</v>
      </c>
      <c r="I762" s="2" t="s">
        <v>45628</v>
      </c>
      <c r="J762" s="2" t="s">
        <v>45629</v>
      </c>
      <c r="K762" s="2">
        <v>5.3036800000000003E-4</v>
      </c>
      <c r="L762" s="2" t="s">
        <v>606</v>
      </c>
      <c r="M762" s="4" t="s">
        <v>26633</v>
      </c>
    </row>
    <row r="763" spans="1:13">
      <c r="A763" s="2">
        <v>437</v>
      </c>
      <c r="B763" s="2" t="s">
        <v>45630</v>
      </c>
      <c r="C763" s="2">
        <v>10</v>
      </c>
      <c r="D763" s="2">
        <v>291</v>
      </c>
      <c r="E763" s="2">
        <v>226</v>
      </c>
      <c r="F763" s="2">
        <v>32441</v>
      </c>
      <c r="G763" s="2">
        <v>4.9327920199999999</v>
      </c>
      <c r="H763" s="3">
        <v>5.52E-5</v>
      </c>
      <c r="I763" s="2" t="s">
        <v>45631</v>
      </c>
      <c r="J763" s="2" t="s">
        <v>45632</v>
      </c>
      <c r="K763" s="2">
        <v>5.3036800000000003E-4</v>
      </c>
      <c r="L763" s="2" t="s">
        <v>606</v>
      </c>
      <c r="M763" s="4" t="s">
        <v>45633</v>
      </c>
    </row>
    <row r="764" spans="1:13">
      <c r="A764" s="2">
        <v>227</v>
      </c>
      <c r="B764" s="2" t="s">
        <v>45634</v>
      </c>
      <c r="C764" s="2">
        <v>7</v>
      </c>
      <c r="D764" s="2">
        <v>291</v>
      </c>
      <c r="E764" s="2">
        <v>102</v>
      </c>
      <c r="F764" s="2">
        <v>32441</v>
      </c>
      <c r="G764" s="2">
        <v>7.6506637020000001</v>
      </c>
      <c r="H764" s="3">
        <v>5.6199999999999997E-5</v>
      </c>
      <c r="I764" s="2" t="s">
        <v>45635</v>
      </c>
      <c r="J764" s="2" t="s">
        <v>45636</v>
      </c>
      <c r="K764" s="2">
        <v>5.3344799999999995E-4</v>
      </c>
      <c r="L764" s="2" t="s">
        <v>606</v>
      </c>
      <c r="M764" s="4" t="s">
        <v>45637</v>
      </c>
    </row>
    <row r="765" spans="1:13">
      <c r="A765" s="2">
        <v>768</v>
      </c>
      <c r="B765" s="2" t="s">
        <v>27726</v>
      </c>
      <c r="C765" s="2">
        <v>11</v>
      </c>
      <c r="D765" s="2">
        <v>291</v>
      </c>
      <c r="E765" s="2">
        <v>276</v>
      </c>
      <c r="F765" s="2">
        <v>32441</v>
      </c>
      <c r="G765" s="2">
        <v>4.4430873049999997</v>
      </c>
      <c r="H765" s="3">
        <v>5.8499999999999999E-5</v>
      </c>
      <c r="I765" s="2" t="s">
        <v>45638</v>
      </c>
      <c r="J765" s="2" t="s">
        <v>45639</v>
      </c>
      <c r="K765" s="2">
        <v>5.4991299999999996E-4</v>
      </c>
      <c r="L765" s="2" t="s">
        <v>606</v>
      </c>
      <c r="M765" s="4" t="s">
        <v>27729</v>
      </c>
    </row>
    <row r="766" spans="1:13">
      <c r="A766" s="2">
        <v>563</v>
      </c>
      <c r="B766" s="2" t="s">
        <v>25909</v>
      </c>
      <c r="C766" s="2">
        <v>9</v>
      </c>
      <c r="D766" s="2">
        <v>291</v>
      </c>
      <c r="E766" s="2">
        <v>183</v>
      </c>
      <c r="F766" s="2">
        <v>32441</v>
      </c>
      <c r="G766" s="2">
        <v>5.4826770319999998</v>
      </c>
      <c r="H766" s="3">
        <v>6.0000000000000002E-5</v>
      </c>
      <c r="I766" s="2" t="s">
        <v>45640</v>
      </c>
      <c r="J766" s="2" t="s">
        <v>45641</v>
      </c>
      <c r="K766" s="2">
        <v>5.5744699999999998E-4</v>
      </c>
      <c r="L766" s="2" t="s">
        <v>606</v>
      </c>
      <c r="M766" s="4" t="s">
        <v>25912</v>
      </c>
    </row>
    <row r="767" spans="1:13">
      <c r="A767" s="2">
        <v>806</v>
      </c>
      <c r="B767" s="2" t="s">
        <v>45642</v>
      </c>
      <c r="C767" s="2">
        <v>9</v>
      </c>
      <c r="D767" s="2">
        <v>291</v>
      </c>
      <c r="E767" s="2">
        <v>184</v>
      </c>
      <c r="F767" s="2">
        <v>32441</v>
      </c>
      <c r="G767" s="2">
        <v>5.4528798739999997</v>
      </c>
      <c r="H767" s="3">
        <v>6.2500000000000001E-5</v>
      </c>
      <c r="I767" s="2" t="s">
        <v>45643</v>
      </c>
      <c r="J767" s="2" t="s">
        <v>45644</v>
      </c>
      <c r="K767" s="2">
        <v>5.7385300000000004E-4</v>
      </c>
      <c r="L767" s="2" t="s">
        <v>606</v>
      </c>
      <c r="M767" s="4" t="s">
        <v>45645</v>
      </c>
    </row>
    <row r="768" spans="1:13">
      <c r="A768" s="2">
        <v>259</v>
      </c>
      <c r="B768" s="2" t="s">
        <v>26644</v>
      </c>
      <c r="C768" s="2">
        <v>10</v>
      </c>
      <c r="D768" s="2">
        <v>291</v>
      </c>
      <c r="E768" s="2">
        <v>231</v>
      </c>
      <c r="F768" s="2">
        <v>32441</v>
      </c>
      <c r="G768" s="2">
        <v>4.8260216299999996</v>
      </c>
      <c r="H768" s="3">
        <v>6.5699999999999998E-5</v>
      </c>
      <c r="I768" s="2" t="s">
        <v>45646</v>
      </c>
      <c r="J768" s="2" t="s">
        <v>45647</v>
      </c>
      <c r="K768" s="2">
        <v>5.9101200000000003E-4</v>
      </c>
      <c r="L768" s="2" t="s">
        <v>606</v>
      </c>
      <c r="M768" s="4" t="s">
        <v>26647</v>
      </c>
    </row>
    <row r="769" spans="1:13">
      <c r="A769" s="2">
        <v>682</v>
      </c>
      <c r="B769" s="2" t="s">
        <v>45648</v>
      </c>
      <c r="C769" s="2">
        <v>6</v>
      </c>
      <c r="D769" s="2">
        <v>291</v>
      </c>
      <c r="E769" s="2">
        <v>71</v>
      </c>
      <c r="F769" s="2">
        <v>32441</v>
      </c>
      <c r="G769" s="2">
        <v>9.4209379989999995</v>
      </c>
      <c r="H769" s="3">
        <v>6.5500000000000006E-5</v>
      </c>
      <c r="I769" s="2" t="s">
        <v>45649</v>
      </c>
      <c r="J769" s="2" t="s">
        <v>45650</v>
      </c>
      <c r="K769" s="2">
        <v>5.9101200000000003E-4</v>
      </c>
      <c r="L769" s="2" t="s">
        <v>606</v>
      </c>
      <c r="M769" s="4" t="s">
        <v>45651</v>
      </c>
    </row>
    <row r="770" spans="1:13">
      <c r="A770" s="2">
        <v>154</v>
      </c>
      <c r="B770" s="2" t="s">
        <v>45652</v>
      </c>
      <c r="C770" s="2">
        <v>11</v>
      </c>
      <c r="D770" s="2">
        <v>291</v>
      </c>
      <c r="E770" s="2">
        <v>283</v>
      </c>
      <c r="F770" s="2">
        <v>32441</v>
      </c>
      <c r="G770" s="2">
        <v>4.3331876190000003</v>
      </c>
      <c r="H770" s="3">
        <v>7.2600000000000003E-5</v>
      </c>
      <c r="I770" s="2" t="s">
        <v>45653</v>
      </c>
      <c r="J770" s="2" t="s">
        <v>45654</v>
      </c>
      <c r="K770" s="2">
        <v>6.4567800000000001E-4</v>
      </c>
      <c r="L770" s="2" t="s">
        <v>606</v>
      </c>
      <c r="M770" s="4" t="s">
        <v>45655</v>
      </c>
    </row>
    <row r="771" spans="1:13">
      <c r="A771" s="2">
        <v>802</v>
      </c>
      <c r="B771" s="2" t="s">
        <v>26380</v>
      </c>
      <c r="C771" s="2">
        <v>14</v>
      </c>
      <c r="D771" s="2">
        <v>291</v>
      </c>
      <c r="E771" s="2">
        <v>446</v>
      </c>
      <c r="F771" s="2">
        <v>32441</v>
      </c>
      <c r="G771" s="2">
        <v>3.4994067160000002</v>
      </c>
      <c r="H771" s="3">
        <v>7.3700000000000002E-5</v>
      </c>
      <c r="I771" s="2" t="s">
        <v>45656</v>
      </c>
      <c r="J771" s="2" t="s">
        <v>45657</v>
      </c>
      <c r="K771" s="2">
        <v>6.4842199999999995E-4</v>
      </c>
      <c r="L771" s="2" t="s">
        <v>606</v>
      </c>
      <c r="M771" s="4" t="s">
        <v>26383</v>
      </c>
    </row>
    <row r="772" spans="1:13">
      <c r="A772" s="2">
        <v>559</v>
      </c>
      <c r="B772" s="2" t="s">
        <v>26162</v>
      </c>
      <c r="C772" s="2">
        <v>11</v>
      </c>
      <c r="D772" s="2">
        <v>291</v>
      </c>
      <c r="E772" s="2">
        <v>284</v>
      </c>
      <c r="F772" s="2">
        <v>32441</v>
      </c>
      <c r="G772" s="2">
        <v>4.3179299159999998</v>
      </c>
      <c r="H772" s="3">
        <v>7.4800000000000002E-5</v>
      </c>
      <c r="I772" s="2" t="s">
        <v>45658</v>
      </c>
      <c r="J772" s="2" t="s">
        <v>45659</v>
      </c>
      <c r="K772" s="2">
        <v>6.5161699999999995E-4</v>
      </c>
      <c r="L772" s="2" t="s">
        <v>606</v>
      </c>
      <c r="M772" s="4" t="s">
        <v>26165</v>
      </c>
    </row>
    <row r="773" spans="1:13">
      <c r="A773" s="2">
        <v>489</v>
      </c>
      <c r="B773" s="2" t="s">
        <v>26116</v>
      </c>
      <c r="C773" s="2">
        <v>13</v>
      </c>
      <c r="D773" s="2">
        <v>291</v>
      </c>
      <c r="E773" s="2">
        <v>391</v>
      </c>
      <c r="F773" s="2">
        <v>32441</v>
      </c>
      <c r="G773" s="2">
        <v>3.7065327250000002</v>
      </c>
      <c r="H773" s="3">
        <v>7.6299999999999998E-5</v>
      </c>
      <c r="I773" s="2" t="s">
        <v>45660</v>
      </c>
      <c r="J773" s="2" t="s">
        <v>45661</v>
      </c>
      <c r="K773" s="2">
        <v>6.5781300000000004E-4</v>
      </c>
      <c r="L773" s="2" t="s">
        <v>606</v>
      </c>
      <c r="M773" s="4" t="s">
        <v>26119</v>
      </c>
    </row>
    <row r="774" spans="1:13">
      <c r="A774" s="2">
        <v>809</v>
      </c>
      <c r="B774" s="2" t="s">
        <v>26104</v>
      </c>
      <c r="C774" s="2">
        <v>20</v>
      </c>
      <c r="D774" s="2">
        <v>291</v>
      </c>
      <c r="E774" s="2">
        <v>827</v>
      </c>
      <c r="F774" s="2">
        <v>32441</v>
      </c>
      <c r="G774" s="2">
        <v>2.6960362670000002</v>
      </c>
      <c r="H774" s="3">
        <v>8.1600000000000005E-5</v>
      </c>
      <c r="I774" s="2" t="s">
        <v>45662</v>
      </c>
      <c r="J774" s="2" t="s">
        <v>45663</v>
      </c>
      <c r="K774" s="2">
        <v>6.9595200000000001E-4</v>
      </c>
      <c r="L774" s="2" t="s">
        <v>606</v>
      </c>
      <c r="M774" s="4" t="s">
        <v>26107</v>
      </c>
    </row>
    <row r="775" spans="1:13">
      <c r="A775" s="2">
        <v>226</v>
      </c>
      <c r="B775" s="2" t="s">
        <v>45664</v>
      </c>
      <c r="C775" s="2">
        <v>7</v>
      </c>
      <c r="D775" s="2">
        <v>291</v>
      </c>
      <c r="E775" s="2">
        <v>109</v>
      </c>
      <c r="F775" s="2">
        <v>32441</v>
      </c>
      <c r="G775" s="2">
        <v>7.1593366749999996</v>
      </c>
      <c r="H775" s="3">
        <v>8.3399999999999994E-5</v>
      </c>
      <c r="I775" s="2" t="s">
        <v>45665</v>
      </c>
      <c r="J775" s="2" t="s">
        <v>45666</v>
      </c>
      <c r="K775" s="2">
        <v>7.0387100000000001E-4</v>
      </c>
      <c r="L775" s="2" t="s">
        <v>606</v>
      </c>
      <c r="M775" s="4" t="s">
        <v>45667</v>
      </c>
    </row>
    <row r="776" spans="1:13">
      <c r="A776" s="2">
        <v>327</v>
      </c>
      <c r="B776" s="2" t="s">
        <v>27214</v>
      </c>
      <c r="C776" s="2">
        <v>10</v>
      </c>
      <c r="D776" s="2">
        <v>291</v>
      </c>
      <c r="E776" s="2">
        <v>240</v>
      </c>
      <c r="F776" s="2">
        <v>32441</v>
      </c>
      <c r="G776" s="2">
        <v>4.6450458189999999</v>
      </c>
      <c r="H776" s="3">
        <v>8.9099999999999997E-5</v>
      </c>
      <c r="I776" s="2" t="s">
        <v>45668</v>
      </c>
      <c r="J776" s="2" t="s">
        <v>45669</v>
      </c>
      <c r="K776" s="2">
        <v>7.44766E-4</v>
      </c>
      <c r="L776" s="2" t="s">
        <v>606</v>
      </c>
      <c r="M776" s="4" t="s">
        <v>27217</v>
      </c>
    </row>
    <row r="777" spans="1:13">
      <c r="A777" s="2">
        <v>791</v>
      </c>
      <c r="B777" s="2" t="s">
        <v>26542</v>
      </c>
      <c r="C777" s="2">
        <v>23</v>
      </c>
      <c r="D777" s="2">
        <v>291</v>
      </c>
      <c r="E777" s="2">
        <v>1043</v>
      </c>
      <c r="F777" s="2">
        <v>32441</v>
      </c>
      <c r="G777" s="2">
        <v>2.4583559849999999</v>
      </c>
      <c r="H777" s="3">
        <v>9.3499999999999996E-5</v>
      </c>
      <c r="I777" s="2" t="s">
        <v>45670</v>
      </c>
      <c r="J777" s="2" t="s">
        <v>45671</v>
      </c>
      <c r="K777" s="2">
        <v>7.7366399999999997E-4</v>
      </c>
      <c r="L777" s="2" t="s">
        <v>606</v>
      </c>
      <c r="M777" s="4" t="s">
        <v>26545</v>
      </c>
    </row>
    <row r="778" spans="1:13">
      <c r="A778" s="2">
        <v>87</v>
      </c>
      <c r="B778" s="2" t="s">
        <v>45672</v>
      </c>
      <c r="C778" s="2">
        <v>10</v>
      </c>
      <c r="D778" s="2">
        <v>291</v>
      </c>
      <c r="E778" s="2">
        <v>245</v>
      </c>
      <c r="F778" s="2">
        <v>32441</v>
      </c>
      <c r="G778" s="2">
        <v>4.5502489659999998</v>
      </c>
      <c r="H778" s="2">
        <v>1.0485E-4</v>
      </c>
      <c r="I778" s="2" t="s">
        <v>45673</v>
      </c>
      <c r="J778" s="2" t="s">
        <v>45674</v>
      </c>
      <c r="K778" s="2">
        <v>8.5101700000000003E-4</v>
      </c>
      <c r="L778" s="2" t="s">
        <v>606</v>
      </c>
      <c r="M778" s="4" t="s">
        <v>45675</v>
      </c>
    </row>
    <row r="779" spans="1:13">
      <c r="A779" s="2">
        <v>287</v>
      </c>
      <c r="B779" s="2" t="s">
        <v>27480</v>
      </c>
      <c r="C779" s="2">
        <v>10</v>
      </c>
      <c r="D779" s="2">
        <v>291</v>
      </c>
      <c r="E779" s="2">
        <v>245</v>
      </c>
      <c r="F779" s="2">
        <v>32441</v>
      </c>
      <c r="G779" s="2">
        <v>4.5502489659999998</v>
      </c>
      <c r="H779" s="2">
        <v>1.0485E-4</v>
      </c>
      <c r="I779" s="2" t="s">
        <v>45676</v>
      </c>
      <c r="J779" s="2" t="s">
        <v>45677</v>
      </c>
      <c r="K779" s="2">
        <v>8.5101700000000003E-4</v>
      </c>
      <c r="L779" s="2" t="s">
        <v>606</v>
      </c>
      <c r="M779" s="4" t="s">
        <v>27483</v>
      </c>
    </row>
    <row r="780" spans="1:13">
      <c r="A780" s="2">
        <v>360</v>
      </c>
      <c r="B780" s="2" t="s">
        <v>27500</v>
      </c>
      <c r="C780" s="2">
        <v>10</v>
      </c>
      <c r="D780" s="2">
        <v>291</v>
      </c>
      <c r="E780" s="2">
        <v>247</v>
      </c>
      <c r="F780" s="2">
        <v>32441</v>
      </c>
      <c r="G780" s="2">
        <v>4.5134048440000001</v>
      </c>
      <c r="H780" s="2">
        <v>1.11785E-4</v>
      </c>
      <c r="I780" s="2" t="s">
        <v>45678</v>
      </c>
      <c r="J780" s="2" t="s">
        <v>45679</v>
      </c>
      <c r="K780" s="2">
        <v>8.9857999999999995E-4</v>
      </c>
      <c r="L780" s="2" t="s">
        <v>606</v>
      </c>
      <c r="M780" s="4" t="s">
        <v>27503</v>
      </c>
    </row>
    <row r="781" spans="1:13">
      <c r="A781" s="2">
        <v>107</v>
      </c>
      <c r="B781" s="2" t="s">
        <v>45680</v>
      </c>
      <c r="C781" s="2">
        <v>10</v>
      </c>
      <c r="D781" s="2">
        <v>291</v>
      </c>
      <c r="E781" s="2">
        <v>250</v>
      </c>
      <c r="F781" s="2">
        <v>32441</v>
      </c>
      <c r="G781" s="2">
        <v>4.4592439859999997</v>
      </c>
      <c r="H781" s="2">
        <v>1.2291299999999999E-4</v>
      </c>
      <c r="I781" s="2" t="s">
        <v>45681</v>
      </c>
      <c r="J781" s="2" t="s">
        <v>45682</v>
      </c>
      <c r="K781" s="2">
        <v>9.7862300000000008E-4</v>
      </c>
      <c r="L781" s="2" t="s">
        <v>606</v>
      </c>
      <c r="M781" s="4" t="s">
        <v>45683</v>
      </c>
    </row>
    <row r="782" spans="1:13">
      <c r="A782" s="2">
        <v>63</v>
      </c>
      <c r="B782" s="2" t="s">
        <v>27086</v>
      </c>
      <c r="C782" s="2">
        <v>10</v>
      </c>
      <c r="D782" s="2">
        <v>291</v>
      </c>
      <c r="E782" s="2">
        <v>252</v>
      </c>
      <c r="F782" s="2">
        <v>32441</v>
      </c>
      <c r="G782" s="2">
        <v>4.4238531610000003</v>
      </c>
      <c r="H782" s="2">
        <v>1.3083999999999999E-4</v>
      </c>
      <c r="I782" s="2" t="s">
        <v>45684</v>
      </c>
      <c r="J782" s="2" t="s">
        <v>45685</v>
      </c>
      <c r="K782" s="2">
        <v>1.0319120000000001E-3</v>
      </c>
      <c r="L782" s="2" t="s">
        <v>606</v>
      </c>
      <c r="M782" s="4" t="s">
        <v>27089</v>
      </c>
    </row>
    <row r="783" spans="1:13">
      <c r="A783" s="2">
        <v>116</v>
      </c>
      <c r="B783" s="2" t="s">
        <v>45686</v>
      </c>
      <c r="C783" s="2">
        <v>10</v>
      </c>
      <c r="D783" s="2">
        <v>291</v>
      </c>
      <c r="E783" s="2">
        <v>254</v>
      </c>
      <c r="F783" s="2">
        <v>32441</v>
      </c>
      <c r="G783" s="2">
        <v>4.3890196719999999</v>
      </c>
      <c r="H783" s="2">
        <v>1.39195E-4</v>
      </c>
      <c r="I783" s="2" t="s">
        <v>45687</v>
      </c>
      <c r="J783" s="2" t="s">
        <v>45688</v>
      </c>
      <c r="K783" s="2">
        <v>1.0675890000000001E-3</v>
      </c>
      <c r="L783" s="2" t="s">
        <v>606</v>
      </c>
      <c r="M783" s="4" t="s">
        <v>45689</v>
      </c>
    </row>
    <row r="784" spans="1:13">
      <c r="A784" s="2">
        <v>186</v>
      </c>
      <c r="B784" s="2" t="s">
        <v>27542</v>
      </c>
      <c r="C784" s="2">
        <v>10</v>
      </c>
      <c r="D784" s="2">
        <v>291</v>
      </c>
      <c r="E784" s="2">
        <v>254</v>
      </c>
      <c r="F784" s="2">
        <v>32441</v>
      </c>
      <c r="G784" s="2">
        <v>4.3890196719999999</v>
      </c>
      <c r="H784" s="2">
        <v>1.39195E-4</v>
      </c>
      <c r="I784" s="2" t="s">
        <v>45690</v>
      </c>
      <c r="J784" s="2" t="s">
        <v>45691</v>
      </c>
      <c r="K784" s="2">
        <v>1.0675890000000001E-3</v>
      </c>
      <c r="L784" s="2" t="s">
        <v>606</v>
      </c>
      <c r="M784" s="4" t="s">
        <v>27545</v>
      </c>
    </row>
    <row r="785" spans="1:13">
      <c r="A785" s="2">
        <v>383</v>
      </c>
      <c r="B785" s="2" t="s">
        <v>27310</v>
      </c>
      <c r="C785" s="2">
        <v>10</v>
      </c>
      <c r="D785" s="2">
        <v>291</v>
      </c>
      <c r="E785" s="2">
        <v>254</v>
      </c>
      <c r="F785" s="2">
        <v>32441</v>
      </c>
      <c r="G785" s="2">
        <v>4.3890196719999999</v>
      </c>
      <c r="H785" s="2">
        <v>1.39195E-4</v>
      </c>
      <c r="I785" s="2" t="s">
        <v>45692</v>
      </c>
      <c r="J785" s="2" t="s">
        <v>45693</v>
      </c>
      <c r="K785" s="2">
        <v>1.0675890000000001E-3</v>
      </c>
      <c r="L785" s="2" t="s">
        <v>606</v>
      </c>
      <c r="M785" s="4" t="s">
        <v>27313</v>
      </c>
    </row>
    <row r="786" spans="1:13">
      <c r="A786" s="2">
        <v>403</v>
      </c>
      <c r="B786" s="2" t="s">
        <v>26982</v>
      </c>
      <c r="C786" s="2">
        <v>11</v>
      </c>
      <c r="D786" s="2">
        <v>291</v>
      </c>
      <c r="E786" s="2">
        <v>306</v>
      </c>
      <c r="F786" s="2">
        <v>32441</v>
      </c>
      <c r="G786" s="2">
        <v>4.0074905110000003</v>
      </c>
      <c r="H786" s="2">
        <v>1.4093499999999999E-4</v>
      </c>
      <c r="I786" s="2" t="s">
        <v>45694</v>
      </c>
      <c r="J786" s="2" t="s">
        <v>45695</v>
      </c>
      <c r="K786" s="2">
        <v>1.0711080000000001E-3</v>
      </c>
      <c r="L786" s="2" t="s">
        <v>606</v>
      </c>
      <c r="M786" s="4" t="s">
        <v>26985</v>
      </c>
    </row>
    <row r="787" spans="1:13">
      <c r="A787" s="2">
        <v>264</v>
      </c>
      <c r="B787" s="2" t="s">
        <v>27546</v>
      </c>
      <c r="C787" s="2">
        <v>10</v>
      </c>
      <c r="D787" s="2">
        <v>291</v>
      </c>
      <c r="E787" s="2">
        <v>255</v>
      </c>
      <c r="F787" s="2">
        <v>32441</v>
      </c>
      <c r="G787" s="2">
        <v>4.3718078299999998</v>
      </c>
      <c r="H787" s="2">
        <v>1.4353900000000001E-4</v>
      </c>
      <c r="I787" s="2" t="s">
        <v>45696</v>
      </c>
      <c r="J787" s="2" t="s">
        <v>45697</v>
      </c>
      <c r="K787" s="2">
        <v>1.0714139999999999E-3</v>
      </c>
      <c r="L787" s="2" t="s">
        <v>606</v>
      </c>
      <c r="M787" s="4" t="s">
        <v>27549</v>
      </c>
    </row>
    <row r="788" spans="1:13">
      <c r="A788" s="2">
        <v>356</v>
      </c>
      <c r="B788" s="2" t="s">
        <v>45698</v>
      </c>
      <c r="C788" s="2">
        <v>10</v>
      </c>
      <c r="D788" s="2">
        <v>291</v>
      </c>
      <c r="E788" s="2">
        <v>255</v>
      </c>
      <c r="F788" s="2">
        <v>32441</v>
      </c>
      <c r="G788" s="2">
        <v>4.3718078299999998</v>
      </c>
      <c r="H788" s="2">
        <v>1.4353900000000001E-4</v>
      </c>
      <c r="I788" s="2" t="s">
        <v>45699</v>
      </c>
      <c r="J788" s="2" t="s">
        <v>45700</v>
      </c>
      <c r="K788" s="2">
        <v>1.0714139999999999E-3</v>
      </c>
      <c r="L788" s="2" t="s">
        <v>606</v>
      </c>
      <c r="M788" s="4" t="s">
        <v>45701</v>
      </c>
    </row>
    <row r="789" spans="1:13">
      <c r="A789" s="2">
        <v>744</v>
      </c>
      <c r="B789" s="2" t="s">
        <v>6865</v>
      </c>
      <c r="C789" s="2">
        <v>15</v>
      </c>
      <c r="D789" s="2">
        <v>291</v>
      </c>
      <c r="E789" s="2">
        <v>538</v>
      </c>
      <c r="F789" s="2">
        <v>32441</v>
      </c>
      <c r="G789" s="2">
        <v>3.1082090980000001</v>
      </c>
      <c r="H789" s="2">
        <v>1.46611E-4</v>
      </c>
      <c r="I789" s="2" t="s">
        <v>45702</v>
      </c>
      <c r="J789" s="2" t="s">
        <v>45703</v>
      </c>
      <c r="K789" s="2">
        <v>1.0751490000000001E-3</v>
      </c>
      <c r="L789" s="2" t="s">
        <v>606</v>
      </c>
      <c r="M789" s="4" t="s">
        <v>6868</v>
      </c>
    </row>
    <row r="790" spans="1:13">
      <c r="A790" s="2">
        <v>783</v>
      </c>
      <c r="B790" s="2" t="s">
        <v>27026</v>
      </c>
      <c r="C790" s="2">
        <v>15</v>
      </c>
      <c r="D790" s="2">
        <v>291</v>
      </c>
      <c r="E790" s="2">
        <v>538</v>
      </c>
      <c r="F790" s="2">
        <v>32441</v>
      </c>
      <c r="G790" s="2">
        <v>3.1082090980000001</v>
      </c>
      <c r="H790" s="2">
        <v>1.46611E-4</v>
      </c>
      <c r="I790" s="2" t="s">
        <v>45704</v>
      </c>
      <c r="J790" s="2" t="s">
        <v>45705</v>
      </c>
      <c r="K790" s="2">
        <v>1.0751490000000001E-3</v>
      </c>
      <c r="L790" s="2" t="s">
        <v>606</v>
      </c>
      <c r="M790" s="4" t="s">
        <v>27029</v>
      </c>
    </row>
    <row r="791" spans="1:13">
      <c r="A791" s="2">
        <v>57</v>
      </c>
      <c r="B791" s="2" t="s">
        <v>27146</v>
      </c>
      <c r="C791" s="2">
        <v>10</v>
      </c>
      <c r="D791" s="2">
        <v>291</v>
      </c>
      <c r="E791" s="2">
        <v>259</v>
      </c>
      <c r="F791" s="2">
        <v>32441</v>
      </c>
      <c r="G791" s="2">
        <v>4.3042895620000001</v>
      </c>
      <c r="H791" s="2">
        <v>1.6207400000000001E-4</v>
      </c>
      <c r="I791" s="2" t="s">
        <v>45706</v>
      </c>
      <c r="J791" s="2" t="s">
        <v>45707</v>
      </c>
      <c r="K791" s="2">
        <v>1.1680519999999999E-3</v>
      </c>
      <c r="L791" s="2" t="s">
        <v>606</v>
      </c>
      <c r="M791" s="4" t="s">
        <v>27149</v>
      </c>
    </row>
    <row r="792" spans="1:13">
      <c r="A792" s="2">
        <v>344</v>
      </c>
      <c r="B792" s="2" t="s">
        <v>26538</v>
      </c>
      <c r="C792" s="2">
        <v>10</v>
      </c>
      <c r="D792" s="2">
        <v>291</v>
      </c>
      <c r="E792" s="2">
        <v>259</v>
      </c>
      <c r="F792" s="2">
        <v>32441</v>
      </c>
      <c r="G792" s="2">
        <v>4.3042895620000001</v>
      </c>
      <c r="H792" s="2">
        <v>1.6207400000000001E-4</v>
      </c>
      <c r="I792" s="2" t="s">
        <v>45708</v>
      </c>
      <c r="J792" s="2" t="s">
        <v>45709</v>
      </c>
      <c r="K792" s="2">
        <v>1.1680519999999999E-3</v>
      </c>
      <c r="L792" s="2" t="s">
        <v>606</v>
      </c>
      <c r="M792" s="4" t="s">
        <v>26541</v>
      </c>
    </row>
    <row r="793" spans="1:13">
      <c r="A793" s="2">
        <v>200</v>
      </c>
      <c r="B793" s="2" t="s">
        <v>27362</v>
      </c>
      <c r="C793" s="2">
        <v>10</v>
      </c>
      <c r="D793" s="2">
        <v>291</v>
      </c>
      <c r="E793" s="2">
        <v>260</v>
      </c>
      <c r="F793" s="2">
        <v>32441</v>
      </c>
      <c r="G793" s="2">
        <v>4.2877346019999996</v>
      </c>
      <c r="H793" s="2">
        <v>1.67011E-4</v>
      </c>
      <c r="I793" s="2" t="s">
        <v>45710</v>
      </c>
      <c r="J793" s="2" t="s">
        <v>45711</v>
      </c>
      <c r="K793" s="2">
        <v>1.1933410000000001E-3</v>
      </c>
      <c r="L793" s="2" t="s">
        <v>606</v>
      </c>
      <c r="M793" s="4" t="s">
        <v>27365</v>
      </c>
    </row>
    <row r="794" spans="1:13">
      <c r="A794" s="2">
        <v>262</v>
      </c>
      <c r="B794" s="2" t="s">
        <v>27162</v>
      </c>
      <c r="C794" s="2">
        <v>10</v>
      </c>
      <c r="D794" s="2">
        <v>291</v>
      </c>
      <c r="E794" s="2">
        <v>261</v>
      </c>
      <c r="F794" s="2">
        <v>32441</v>
      </c>
      <c r="G794" s="2">
        <v>4.2713064999999997</v>
      </c>
      <c r="H794" s="2">
        <v>1.7207299999999999E-4</v>
      </c>
      <c r="I794" s="2" t="s">
        <v>45712</v>
      </c>
      <c r="J794" s="2" t="s">
        <v>45713</v>
      </c>
      <c r="K794" s="2">
        <v>1.219094E-3</v>
      </c>
      <c r="L794" s="2" t="s">
        <v>606</v>
      </c>
      <c r="M794" s="4" t="s">
        <v>27165</v>
      </c>
    </row>
    <row r="795" spans="1:13">
      <c r="A795" s="2">
        <v>6</v>
      </c>
      <c r="B795" s="2" t="s">
        <v>27610</v>
      </c>
      <c r="C795" s="2">
        <v>10</v>
      </c>
      <c r="D795" s="2">
        <v>291</v>
      </c>
      <c r="E795" s="2">
        <v>262</v>
      </c>
      <c r="F795" s="2">
        <v>32441</v>
      </c>
      <c r="G795" s="2">
        <v>4.2550038040000002</v>
      </c>
      <c r="H795" s="2">
        <v>1.77264E-4</v>
      </c>
      <c r="I795" s="2" t="s">
        <v>45714</v>
      </c>
      <c r="J795" s="2" t="s">
        <v>45715</v>
      </c>
      <c r="K795" s="2">
        <v>1.2453169999999999E-3</v>
      </c>
      <c r="L795" s="2" t="s">
        <v>606</v>
      </c>
      <c r="M795" s="4" t="s">
        <v>27613</v>
      </c>
    </row>
    <row r="796" spans="1:13">
      <c r="A796" s="2">
        <v>188</v>
      </c>
      <c r="B796" s="2" t="s">
        <v>6771</v>
      </c>
      <c r="C796" s="2">
        <v>10</v>
      </c>
      <c r="D796" s="2">
        <v>291</v>
      </c>
      <c r="E796" s="2">
        <v>263</v>
      </c>
      <c r="F796" s="2">
        <v>32441</v>
      </c>
      <c r="G796" s="2">
        <v>4.238825082</v>
      </c>
      <c r="H796" s="2">
        <v>1.8258599999999999E-4</v>
      </c>
      <c r="I796" s="2" t="s">
        <v>45716</v>
      </c>
      <c r="J796" s="2" t="s">
        <v>45717</v>
      </c>
      <c r="K796" s="2">
        <v>1.261505E-3</v>
      </c>
      <c r="L796" s="2" t="s">
        <v>606</v>
      </c>
      <c r="M796" s="4" t="s">
        <v>6774</v>
      </c>
    </row>
    <row r="797" spans="1:13">
      <c r="A797" s="2">
        <v>400</v>
      </c>
      <c r="B797" s="2" t="s">
        <v>6775</v>
      </c>
      <c r="C797" s="2">
        <v>10</v>
      </c>
      <c r="D797" s="2">
        <v>291</v>
      </c>
      <c r="E797" s="2">
        <v>263</v>
      </c>
      <c r="F797" s="2">
        <v>32441</v>
      </c>
      <c r="G797" s="2">
        <v>4.238825082</v>
      </c>
      <c r="H797" s="2">
        <v>1.8258599999999999E-4</v>
      </c>
      <c r="I797" s="2" t="s">
        <v>45716</v>
      </c>
      <c r="J797" s="2" t="s">
        <v>45717</v>
      </c>
      <c r="K797" s="2">
        <v>1.261505E-3</v>
      </c>
      <c r="L797" s="2" t="s">
        <v>606</v>
      </c>
      <c r="M797" s="4" t="s">
        <v>6776</v>
      </c>
    </row>
    <row r="798" spans="1:13">
      <c r="A798" s="2">
        <v>190</v>
      </c>
      <c r="B798" s="2" t="s">
        <v>45718</v>
      </c>
      <c r="C798" s="2">
        <v>10</v>
      </c>
      <c r="D798" s="2">
        <v>291</v>
      </c>
      <c r="E798" s="2">
        <v>264</v>
      </c>
      <c r="F798" s="2">
        <v>32441</v>
      </c>
      <c r="G798" s="2">
        <v>4.2227689259999996</v>
      </c>
      <c r="H798" s="2">
        <v>1.88042E-4</v>
      </c>
      <c r="I798" s="2" t="s">
        <v>45719</v>
      </c>
      <c r="J798" s="2" t="s">
        <v>45720</v>
      </c>
      <c r="K798" s="2">
        <v>1.278076E-3</v>
      </c>
      <c r="L798" s="2" t="s">
        <v>606</v>
      </c>
      <c r="M798" s="4" t="s">
        <v>45721</v>
      </c>
    </row>
    <row r="799" spans="1:13">
      <c r="A799" s="2">
        <v>749</v>
      </c>
      <c r="B799" s="2" t="s">
        <v>26716</v>
      </c>
      <c r="C799" s="2">
        <v>21</v>
      </c>
      <c r="D799" s="2">
        <v>291</v>
      </c>
      <c r="E799" s="2">
        <v>952</v>
      </c>
      <c r="F799" s="2">
        <v>32441</v>
      </c>
      <c r="G799" s="2">
        <v>2.459141904</v>
      </c>
      <c r="H799" s="2">
        <v>1.87861E-4</v>
      </c>
      <c r="I799" s="2" t="s">
        <v>45722</v>
      </c>
      <c r="J799" s="2" t="s">
        <v>45723</v>
      </c>
      <c r="K799" s="2">
        <v>1.278076E-3</v>
      </c>
      <c r="L799" s="2" t="s">
        <v>606</v>
      </c>
      <c r="M799" s="4" t="s">
        <v>26719</v>
      </c>
    </row>
    <row r="800" spans="1:13">
      <c r="A800" s="2">
        <v>7881</v>
      </c>
      <c r="B800" s="2" t="s">
        <v>45724</v>
      </c>
      <c r="C800" s="2">
        <v>10</v>
      </c>
      <c r="D800" s="2">
        <v>291</v>
      </c>
      <c r="E800" s="2">
        <v>265</v>
      </c>
      <c r="F800" s="2">
        <v>32441</v>
      </c>
      <c r="G800" s="2">
        <v>4.206833949</v>
      </c>
      <c r="H800" s="2">
        <v>1.93635E-4</v>
      </c>
      <c r="I800" s="2" t="s">
        <v>45725</v>
      </c>
      <c r="J800" s="2" t="s">
        <v>45726</v>
      </c>
      <c r="K800" s="2">
        <v>1.3054729999999999E-3</v>
      </c>
      <c r="L800" s="2" t="s">
        <v>606</v>
      </c>
      <c r="M800" s="4" t="s">
        <v>45727</v>
      </c>
    </row>
    <row r="801" spans="1:13">
      <c r="A801" s="2">
        <v>96</v>
      </c>
      <c r="B801" s="2" t="s">
        <v>45728</v>
      </c>
      <c r="C801" s="2">
        <v>10</v>
      </c>
      <c r="D801" s="2">
        <v>291</v>
      </c>
      <c r="E801" s="2">
        <v>266</v>
      </c>
      <c r="F801" s="2">
        <v>32441</v>
      </c>
      <c r="G801" s="2">
        <v>4.1910187839999997</v>
      </c>
      <c r="H801" s="2">
        <v>1.99366E-4</v>
      </c>
      <c r="I801" s="2" t="s">
        <v>45729</v>
      </c>
      <c r="J801" s="2" t="s">
        <v>45730</v>
      </c>
      <c r="K801" s="2">
        <v>1.32278E-3</v>
      </c>
      <c r="L801" s="2" t="s">
        <v>606</v>
      </c>
      <c r="M801" s="4" t="s">
        <v>45731</v>
      </c>
    </row>
    <row r="802" spans="1:13">
      <c r="A802" s="2">
        <v>466</v>
      </c>
      <c r="B802" s="2" t="s">
        <v>45732</v>
      </c>
      <c r="C802" s="2">
        <v>10</v>
      </c>
      <c r="D802" s="2">
        <v>291</v>
      </c>
      <c r="E802" s="2">
        <v>266</v>
      </c>
      <c r="F802" s="2">
        <v>32441</v>
      </c>
      <c r="G802" s="2">
        <v>4.1910187839999997</v>
      </c>
      <c r="H802" s="2">
        <v>1.99366E-4</v>
      </c>
      <c r="I802" s="2" t="s">
        <v>45733</v>
      </c>
      <c r="J802" s="2" t="s">
        <v>45734</v>
      </c>
      <c r="K802" s="2">
        <v>1.32278E-3</v>
      </c>
      <c r="L802" s="2" t="s">
        <v>606</v>
      </c>
      <c r="M802" s="4" t="s">
        <v>45735</v>
      </c>
    </row>
    <row r="803" spans="1:13">
      <c r="A803" s="2">
        <v>1051</v>
      </c>
      <c r="B803" s="2" t="s">
        <v>27646</v>
      </c>
      <c r="C803" s="2">
        <v>10</v>
      </c>
      <c r="D803" s="2">
        <v>291</v>
      </c>
      <c r="E803" s="2">
        <v>267</v>
      </c>
      <c r="F803" s="2">
        <v>32441</v>
      </c>
      <c r="G803" s="2">
        <v>4.1753220850000003</v>
      </c>
      <c r="H803" s="2">
        <v>2.0524000000000001E-4</v>
      </c>
      <c r="I803" s="2" t="s">
        <v>45736</v>
      </c>
      <c r="J803" s="2" t="s">
        <v>45737</v>
      </c>
      <c r="K803" s="2">
        <v>1.351028E-3</v>
      </c>
      <c r="L803" s="2" t="s">
        <v>606</v>
      </c>
      <c r="M803" s="4" t="s">
        <v>27649</v>
      </c>
    </row>
    <row r="804" spans="1:13">
      <c r="A804" s="2">
        <v>292</v>
      </c>
      <c r="B804" s="2" t="s">
        <v>45738</v>
      </c>
      <c r="C804" s="2">
        <v>8</v>
      </c>
      <c r="D804" s="2">
        <v>291</v>
      </c>
      <c r="E804" s="2">
        <v>171</v>
      </c>
      <c r="F804" s="2">
        <v>32441</v>
      </c>
      <c r="G804" s="2">
        <v>5.2154900419999999</v>
      </c>
      <c r="H804" s="2">
        <v>2.1314500000000001E-4</v>
      </c>
      <c r="I804" s="2" t="s">
        <v>45739</v>
      </c>
      <c r="J804" s="2" t="s">
        <v>45740</v>
      </c>
      <c r="K804" s="2">
        <v>1.3706829999999999E-3</v>
      </c>
      <c r="L804" s="2" t="s">
        <v>606</v>
      </c>
      <c r="M804" s="4" t="s">
        <v>45741</v>
      </c>
    </row>
    <row r="805" spans="1:13">
      <c r="A805" s="2">
        <v>376</v>
      </c>
      <c r="B805" s="2" t="s">
        <v>45742</v>
      </c>
      <c r="C805" s="2">
        <v>10</v>
      </c>
      <c r="D805" s="2">
        <v>291</v>
      </c>
      <c r="E805" s="2">
        <v>268</v>
      </c>
      <c r="F805" s="2">
        <v>32441</v>
      </c>
      <c r="G805" s="2">
        <v>4.1597425240000003</v>
      </c>
      <c r="H805" s="2">
        <v>2.11258E-4</v>
      </c>
      <c r="I805" s="2" t="s">
        <v>45743</v>
      </c>
      <c r="J805" s="2" t="s">
        <v>45744</v>
      </c>
      <c r="K805" s="2">
        <v>1.3706829999999999E-3</v>
      </c>
      <c r="L805" s="2" t="s">
        <v>606</v>
      </c>
      <c r="M805" s="4" t="s">
        <v>45745</v>
      </c>
    </row>
    <row r="806" spans="1:13">
      <c r="A806" s="2">
        <v>7621</v>
      </c>
      <c r="B806" s="2" t="s">
        <v>27588</v>
      </c>
      <c r="C806" s="2">
        <v>12</v>
      </c>
      <c r="D806" s="2">
        <v>291</v>
      </c>
      <c r="E806" s="2">
        <v>377</v>
      </c>
      <c r="F806" s="2">
        <v>32441</v>
      </c>
      <c r="G806" s="2">
        <v>3.548470016</v>
      </c>
      <c r="H806" s="2">
        <v>2.1151199999999999E-4</v>
      </c>
      <c r="I806" s="2" t="s">
        <v>45746</v>
      </c>
      <c r="J806" s="2" t="s">
        <v>45747</v>
      </c>
      <c r="K806" s="2">
        <v>1.3706829999999999E-3</v>
      </c>
      <c r="L806" s="2" t="s">
        <v>606</v>
      </c>
      <c r="M806" s="4" t="s">
        <v>27591</v>
      </c>
    </row>
    <row r="807" spans="1:13">
      <c r="A807" s="2">
        <v>137</v>
      </c>
      <c r="B807" s="2" t="s">
        <v>45748</v>
      </c>
      <c r="C807" s="2">
        <v>10</v>
      </c>
      <c r="D807" s="2">
        <v>291</v>
      </c>
      <c r="E807" s="2">
        <v>271</v>
      </c>
      <c r="F807" s="2">
        <v>32441</v>
      </c>
      <c r="G807" s="2">
        <v>4.1136937140000001</v>
      </c>
      <c r="H807" s="2">
        <v>2.3020899999999999E-4</v>
      </c>
      <c r="I807" s="2" t="s">
        <v>45749</v>
      </c>
      <c r="J807" s="2" t="s">
        <v>45750</v>
      </c>
      <c r="K807" s="2">
        <v>1.4691210000000001E-3</v>
      </c>
      <c r="L807" s="2" t="s">
        <v>606</v>
      </c>
      <c r="M807" s="4" t="s">
        <v>45751</v>
      </c>
    </row>
    <row r="808" spans="1:13">
      <c r="A808" s="2">
        <v>91</v>
      </c>
      <c r="B808" s="2" t="s">
        <v>45752</v>
      </c>
      <c r="C808" s="2">
        <v>9</v>
      </c>
      <c r="D808" s="2">
        <v>291</v>
      </c>
      <c r="E808" s="2">
        <v>221</v>
      </c>
      <c r="F808" s="2">
        <v>32441</v>
      </c>
      <c r="G808" s="2">
        <v>4.5399542850000003</v>
      </c>
      <c r="H808" s="2">
        <v>2.34983E-4</v>
      </c>
      <c r="I808" s="2" t="s">
        <v>45753</v>
      </c>
      <c r="J808" s="2" t="s">
        <v>45754</v>
      </c>
      <c r="K808" s="2">
        <v>1.488224E-3</v>
      </c>
      <c r="L808" s="2" t="s">
        <v>606</v>
      </c>
      <c r="M808" s="4" t="s">
        <v>45755</v>
      </c>
    </row>
    <row r="809" spans="1:13">
      <c r="A809" s="2">
        <v>377</v>
      </c>
      <c r="B809" s="2" t="s">
        <v>6703</v>
      </c>
      <c r="C809" s="2">
        <v>10</v>
      </c>
      <c r="D809" s="2">
        <v>291</v>
      </c>
      <c r="E809" s="2">
        <v>273</v>
      </c>
      <c r="F809" s="2">
        <v>32441</v>
      </c>
      <c r="G809" s="2">
        <v>4.0835567639999999</v>
      </c>
      <c r="H809" s="2">
        <v>2.4361900000000001E-4</v>
      </c>
      <c r="I809" s="2" t="s">
        <v>45756</v>
      </c>
      <c r="J809" s="2" t="s">
        <v>45757</v>
      </c>
      <c r="K809" s="2">
        <v>1.5313219999999999E-3</v>
      </c>
      <c r="L809" s="2" t="s">
        <v>606</v>
      </c>
      <c r="M809" s="4" t="s">
        <v>6706</v>
      </c>
    </row>
    <row r="810" spans="1:13">
      <c r="A810" s="2">
        <v>648</v>
      </c>
      <c r="B810" s="2" t="s">
        <v>26096</v>
      </c>
      <c r="C810" s="2">
        <v>9</v>
      </c>
      <c r="D810" s="2">
        <v>291</v>
      </c>
      <c r="E810" s="2">
        <v>223</v>
      </c>
      <c r="F810" s="2">
        <v>32441</v>
      </c>
      <c r="G810" s="2">
        <v>4.4992372060000001</v>
      </c>
      <c r="H810" s="2">
        <v>2.5050199999999999E-4</v>
      </c>
      <c r="I810" s="2" t="s">
        <v>45758</v>
      </c>
      <c r="J810" s="2" t="s">
        <v>45759</v>
      </c>
      <c r="K810" s="2">
        <v>1.562833E-3</v>
      </c>
      <c r="L810" s="2" t="s">
        <v>606</v>
      </c>
      <c r="M810" s="4" t="s">
        <v>26099</v>
      </c>
    </row>
    <row r="811" spans="1:13">
      <c r="A811" s="2">
        <v>309</v>
      </c>
      <c r="B811" s="2" t="s">
        <v>45760</v>
      </c>
      <c r="C811" s="2">
        <v>9</v>
      </c>
      <c r="D811" s="2">
        <v>291</v>
      </c>
      <c r="E811" s="2">
        <v>224</v>
      </c>
      <c r="F811" s="2">
        <v>32441</v>
      </c>
      <c r="G811" s="2">
        <v>4.4791513250000001</v>
      </c>
      <c r="H811" s="2">
        <v>2.5857499999999998E-4</v>
      </c>
      <c r="I811" s="2" t="s">
        <v>45761</v>
      </c>
      <c r="J811" s="2" t="s">
        <v>45762</v>
      </c>
      <c r="K811" s="2">
        <v>1.5826080000000001E-3</v>
      </c>
      <c r="L811" s="2" t="s">
        <v>606</v>
      </c>
      <c r="M811" s="4" t="s">
        <v>45763</v>
      </c>
    </row>
    <row r="812" spans="1:13">
      <c r="A812" s="2">
        <v>456</v>
      </c>
      <c r="B812" s="2" t="s">
        <v>45764</v>
      </c>
      <c r="C812" s="2">
        <v>10</v>
      </c>
      <c r="D812" s="2">
        <v>291</v>
      </c>
      <c r="E812" s="2">
        <v>275</v>
      </c>
      <c r="F812" s="2">
        <v>32441</v>
      </c>
      <c r="G812" s="2">
        <v>4.0538581689999997</v>
      </c>
      <c r="H812" s="2">
        <v>2.5767800000000001E-4</v>
      </c>
      <c r="I812" s="2" t="s">
        <v>45765</v>
      </c>
      <c r="J812" s="2" t="s">
        <v>45766</v>
      </c>
      <c r="K812" s="2">
        <v>1.5826080000000001E-3</v>
      </c>
      <c r="L812" s="2" t="s">
        <v>606</v>
      </c>
      <c r="M812" s="4" t="s">
        <v>45767</v>
      </c>
    </row>
    <row r="813" spans="1:13">
      <c r="A813" s="2">
        <v>6771</v>
      </c>
      <c r="B813" s="2" t="s">
        <v>45768</v>
      </c>
      <c r="C813" s="2">
        <v>18</v>
      </c>
      <c r="D813" s="2">
        <v>291</v>
      </c>
      <c r="E813" s="2">
        <v>766</v>
      </c>
      <c r="F813" s="2">
        <v>32441</v>
      </c>
      <c r="G813" s="2">
        <v>2.619660305</v>
      </c>
      <c r="H813" s="2">
        <v>2.59351E-4</v>
      </c>
      <c r="I813" s="2" t="s">
        <v>45769</v>
      </c>
      <c r="J813" s="2" t="s">
        <v>45770</v>
      </c>
      <c r="K813" s="2">
        <v>1.5826080000000001E-3</v>
      </c>
      <c r="L813" s="2" t="s">
        <v>606</v>
      </c>
      <c r="M813" s="4" t="s">
        <v>45771</v>
      </c>
    </row>
    <row r="814" spans="1:13">
      <c r="A814" s="2">
        <v>22</v>
      </c>
      <c r="B814" s="2" t="s">
        <v>27538</v>
      </c>
      <c r="C814" s="2">
        <v>8</v>
      </c>
      <c r="D814" s="2">
        <v>291</v>
      </c>
      <c r="E814" s="2">
        <v>179</v>
      </c>
      <c r="F814" s="2">
        <v>32441</v>
      </c>
      <c r="G814" s="2">
        <v>4.9823955150000003</v>
      </c>
      <c r="H814" s="2">
        <v>2.8651300000000001E-4</v>
      </c>
      <c r="I814" s="2" t="s">
        <v>45772</v>
      </c>
      <c r="J814" s="2" t="s">
        <v>45773</v>
      </c>
      <c r="K814" s="2">
        <v>1.735688E-3</v>
      </c>
      <c r="L814" s="2" t="s">
        <v>606</v>
      </c>
      <c r="M814" s="4" t="s">
        <v>27541</v>
      </c>
    </row>
    <row r="815" spans="1:13">
      <c r="A815" s="2">
        <v>98</v>
      </c>
      <c r="B815" s="2" t="s">
        <v>27662</v>
      </c>
      <c r="C815" s="2">
        <v>9</v>
      </c>
      <c r="D815" s="2">
        <v>291</v>
      </c>
      <c r="E815" s="2">
        <v>230</v>
      </c>
      <c r="F815" s="2">
        <v>32441</v>
      </c>
      <c r="G815" s="2">
        <v>4.3623038999999997</v>
      </c>
      <c r="H815" s="2">
        <v>3.1167100000000002E-4</v>
      </c>
      <c r="I815" s="2" t="s">
        <v>45774</v>
      </c>
      <c r="J815" s="2" t="s">
        <v>45775</v>
      </c>
      <c r="K815" s="2">
        <v>1.8745089999999999E-3</v>
      </c>
      <c r="L815" s="2" t="s">
        <v>606</v>
      </c>
      <c r="M815" s="4" t="s">
        <v>27665</v>
      </c>
    </row>
    <row r="816" spans="1:13">
      <c r="A816" s="2">
        <v>737</v>
      </c>
      <c r="B816" s="2" t="s">
        <v>26774</v>
      </c>
      <c r="C816" s="2">
        <v>9</v>
      </c>
      <c r="D816" s="2">
        <v>291</v>
      </c>
      <c r="E816" s="2">
        <v>235</v>
      </c>
      <c r="F816" s="2">
        <v>32441</v>
      </c>
      <c r="G816" s="2">
        <v>4.2694889229999999</v>
      </c>
      <c r="H816" s="2">
        <v>3.62529E-4</v>
      </c>
      <c r="I816" s="2" t="s">
        <v>45776</v>
      </c>
      <c r="J816" s="2" t="s">
        <v>45777</v>
      </c>
      <c r="K816" s="2">
        <v>2.1648129999999998E-3</v>
      </c>
      <c r="L816" s="2" t="s">
        <v>606</v>
      </c>
      <c r="M816" s="4" t="s">
        <v>26777</v>
      </c>
    </row>
    <row r="817" spans="1:13">
      <c r="A817" s="2">
        <v>246</v>
      </c>
      <c r="B817" s="2" t="s">
        <v>45778</v>
      </c>
      <c r="C817" s="2">
        <v>9</v>
      </c>
      <c r="D817" s="2">
        <v>291</v>
      </c>
      <c r="E817" s="2">
        <v>236</v>
      </c>
      <c r="F817" s="2">
        <v>32441</v>
      </c>
      <c r="G817" s="2">
        <v>4.2513978679999997</v>
      </c>
      <c r="H817" s="2">
        <v>3.7347900000000002E-4</v>
      </c>
      <c r="I817" s="2" t="s">
        <v>45779</v>
      </c>
      <c r="J817" s="2" t="s">
        <v>45780</v>
      </c>
      <c r="K817" s="2">
        <v>2.214387E-3</v>
      </c>
      <c r="L817" s="2" t="s">
        <v>606</v>
      </c>
      <c r="M817" s="4" t="s">
        <v>45781</v>
      </c>
    </row>
    <row r="818" spans="1:13">
      <c r="A818" s="2">
        <v>245</v>
      </c>
      <c r="B818" s="2" t="s">
        <v>6897</v>
      </c>
      <c r="C818" s="2">
        <v>9</v>
      </c>
      <c r="D818" s="2">
        <v>291</v>
      </c>
      <c r="E818" s="2">
        <v>237</v>
      </c>
      <c r="F818" s="2">
        <v>32441</v>
      </c>
      <c r="G818" s="2">
        <v>4.2334594809999997</v>
      </c>
      <c r="H818" s="2">
        <v>3.8470099999999999E-4</v>
      </c>
      <c r="I818" s="2" t="s">
        <v>45782</v>
      </c>
      <c r="J818" s="2" t="s">
        <v>45783</v>
      </c>
      <c r="K818" s="2">
        <v>2.2648590000000001E-3</v>
      </c>
      <c r="L818" s="2" t="s">
        <v>606</v>
      </c>
      <c r="M818" s="4" t="s">
        <v>6900</v>
      </c>
    </row>
    <row r="819" spans="1:13">
      <c r="A819" s="2">
        <v>164</v>
      </c>
      <c r="B819" s="2" t="s">
        <v>45784</v>
      </c>
      <c r="C819" s="2">
        <v>9</v>
      </c>
      <c r="D819" s="2">
        <v>291</v>
      </c>
      <c r="E819" s="2">
        <v>238</v>
      </c>
      <c r="F819" s="2">
        <v>32441</v>
      </c>
      <c r="G819" s="2">
        <v>4.2156718360000003</v>
      </c>
      <c r="H819" s="2">
        <v>3.9619900000000002E-4</v>
      </c>
      <c r="I819" s="2" t="s">
        <v>45785</v>
      </c>
      <c r="J819" s="2" t="s">
        <v>45786</v>
      </c>
      <c r="K819" s="2">
        <v>2.3162429999999999E-3</v>
      </c>
      <c r="L819" s="2" t="s">
        <v>606</v>
      </c>
      <c r="M819" s="4" t="s">
        <v>45787</v>
      </c>
    </row>
    <row r="820" spans="1:13">
      <c r="A820" s="2">
        <v>351</v>
      </c>
      <c r="B820" s="2" t="s">
        <v>27010</v>
      </c>
      <c r="C820" s="2">
        <v>9</v>
      </c>
      <c r="D820" s="2">
        <v>291</v>
      </c>
      <c r="E820" s="2">
        <v>244</v>
      </c>
      <c r="F820" s="2">
        <v>32441</v>
      </c>
      <c r="G820" s="2">
        <v>4.1120077740000003</v>
      </c>
      <c r="H820" s="2">
        <v>4.7129300000000002E-4</v>
      </c>
      <c r="I820" s="2" t="s">
        <v>45788</v>
      </c>
      <c r="J820" s="2" t="s">
        <v>45789</v>
      </c>
      <c r="K820" s="2">
        <v>2.7361180000000001E-3</v>
      </c>
      <c r="L820" s="2" t="s">
        <v>606</v>
      </c>
      <c r="M820" s="4" t="s">
        <v>27013</v>
      </c>
    </row>
    <row r="821" spans="1:13">
      <c r="A821" s="2">
        <v>88</v>
      </c>
      <c r="B821" s="2" t="s">
        <v>45790</v>
      </c>
      <c r="C821" s="2">
        <v>9</v>
      </c>
      <c r="D821" s="2">
        <v>291</v>
      </c>
      <c r="E821" s="2">
        <v>245</v>
      </c>
      <c r="F821" s="2">
        <v>32441</v>
      </c>
      <c r="G821" s="2">
        <v>4.0952240690000004</v>
      </c>
      <c r="H821" s="2">
        <v>4.8487699999999999E-4</v>
      </c>
      <c r="I821" s="2" t="s">
        <v>45791</v>
      </c>
      <c r="J821" s="2" t="s">
        <v>45792</v>
      </c>
      <c r="K821" s="2">
        <v>2.7764159999999999E-3</v>
      </c>
      <c r="L821" s="2" t="s">
        <v>606</v>
      </c>
      <c r="M821" s="4" t="s">
        <v>45793</v>
      </c>
    </row>
    <row r="822" spans="1:13">
      <c r="A822" s="2">
        <v>281</v>
      </c>
      <c r="B822" s="2" t="s">
        <v>45794</v>
      </c>
      <c r="C822" s="2">
        <v>9</v>
      </c>
      <c r="D822" s="2">
        <v>291</v>
      </c>
      <c r="E822" s="2">
        <v>245</v>
      </c>
      <c r="F822" s="2">
        <v>32441</v>
      </c>
      <c r="G822" s="2">
        <v>4.0952240690000004</v>
      </c>
      <c r="H822" s="2">
        <v>4.8487699999999999E-4</v>
      </c>
      <c r="I822" s="2" t="s">
        <v>45795</v>
      </c>
      <c r="J822" s="2" t="s">
        <v>45796</v>
      </c>
      <c r="K822" s="2">
        <v>2.7764159999999999E-3</v>
      </c>
      <c r="L822" s="2" t="s">
        <v>606</v>
      </c>
      <c r="M822" s="4" t="s">
        <v>45797</v>
      </c>
    </row>
    <row r="823" spans="1:13">
      <c r="A823" s="2">
        <v>515</v>
      </c>
      <c r="B823" s="2" t="s">
        <v>25871</v>
      </c>
      <c r="C823" s="2">
        <v>10</v>
      </c>
      <c r="D823" s="2">
        <v>291</v>
      </c>
      <c r="E823" s="2">
        <v>300</v>
      </c>
      <c r="F823" s="2">
        <v>32441</v>
      </c>
      <c r="G823" s="2">
        <v>3.7160366549999999</v>
      </c>
      <c r="H823" s="2">
        <v>4.98939E-4</v>
      </c>
      <c r="I823" s="2" t="s">
        <v>45798</v>
      </c>
      <c r="J823" s="2" t="s">
        <v>45799</v>
      </c>
      <c r="K823" s="2">
        <v>2.8375029999999999E-3</v>
      </c>
      <c r="L823" s="2" t="s">
        <v>606</v>
      </c>
      <c r="M823" s="4" t="s">
        <v>25874</v>
      </c>
    </row>
    <row r="824" spans="1:13">
      <c r="A824" s="2">
        <v>209</v>
      </c>
      <c r="B824" s="2" t="s">
        <v>45800</v>
      </c>
      <c r="C824" s="2">
        <v>6</v>
      </c>
      <c r="D824" s="2">
        <v>291</v>
      </c>
      <c r="E824" s="2">
        <v>106</v>
      </c>
      <c r="F824" s="2">
        <v>32441</v>
      </c>
      <c r="G824" s="2">
        <v>6.310250924</v>
      </c>
      <c r="H824" s="2">
        <v>5.1006399999999996E-4</v>
      </c>
      <c r="I824" s="2" t="s">
        <v>45801</v>
      </c>
      <c r="J824" s="2" t="s">
        <v>45802</v>
      </c>
      <c r="K824" s="2">
        <v>2.881172E-3</v>
      </c>
      <c r="L824" s="2" t="s">
        <v>606</v>
      </c>
      <c r="M824" s="4" t="s">
        <v>45803</v>
      </c>
    </row>
    <row r="825" spans="1:13">
      <c r="A825" s="2">
        <v>399</v>
      </c>
      <c r="B825" s="2" t="s">
        <v>27266</v>
      </c>
      <c r="C825" s="2">
        <v>9</v>
      </c>
      <c r="D825" s="2">
        <v>291</v>
      </c>
      <c r="E825" s="2">
        <v>248</v>
      </c>
      <c r="F825" s="2">
        <v>32441</v>
      </c>
      <c r="G825" s="2">
        <v>4.0456850680000001</v>
      </c>
      <c r="H825" s="2">
        <v>5.2756999999999999E-4</v>
      </c>
      <c r="I825" s="2" t="s">
        <v>45804</v>
      </c>
      <c r="J825" s="2" t="s">
        <v>45805</v>
      </c>
      <c r="K825" s="2">
        <v>2.9600550000000001E-3</v>
      </c>
      <c r="L825" s="2" t="s">
        <v>606</v>
      </c>
      <c r="M825" s="4" t="s">
        <v>27269</v>
      </c>
    </row>
    <row r="826" spans="1:13">
      <c r="A826" s="2">
        <v>8191</v>
      </c>
      <c r="B826" s="2" t="s">
        <v>45806</v>
      </c>
      <c r="C826" s="2">
        <v>11</v>
      </c>
      <c r="D826" s="2">
        <v>291</v>
      </c>
      <c r="E826" s="2">
        <v>360</v>
      </c>
      <c r="F826" s="2">
        <v>32441</v>
      </c>
      <c r="G826" s="2">
        <v>3.4063669339999998</v>
      </c>
      <c r="H826" s="2">
        <v>5.3633000000000001E-4</v>
      </c>
      <c r="I826" s="2" t="s">
        <v>45807</v>
      </c>
      <c r="J826" s="2" t="s">
        <v>45808</v>
      </c>
      <c r="K826" s="2">
        <v>2.9891480000000001E-3</v>
      </c>
      <c r="L826" s="2" t="s">
        <v>606</v>
      </c>
      <c r="M826" s="4" t="s">
        <v>45809</v>
      </c>
    </row>
    <row r="827" spans="1:13">
      <c r="A827" s="2">
        <v>773</v>
      </c>
      <c r="B827" s="2" t="s">
        <v>45810</v>
      </c>
      <c r="C827" s="2">
        <v>7</v>
      </c>
      <c r="D827" s="2">
        <v>291</v>
      </c>
      <c r="E827" s="2">
        <v>151</v>
      </c>
      <c r="F827" s="2">
        <v>32441</v>
      </c>
      <c r="G827" s="2">
        <v>5.1679979969999996</v>
      </c>
      <c r="H827" s="2">
        <v>5.5565300000000003E-4</v>
      </c>
      <c r="I827" s="2" t="s">
        <v>45811</v>
      </c>
      <c r="J827" s="2" t="s">
        <v>45812</v>
      </c>
      <c r="K827" s="2">
        <v>3.0763320000000002E-3</v>
      </c>
      <c r="L827" s="2" t="s">
        <v>606</v>
      </c>
      <c r="M827" s="4" t="s">
        <v>45813</v>
      </c>
    </row>
    <row r="828" spans="1:13">
      <c r="A828" s="2">
        <v>144</v>
      </c>
      <c r="B828" s="2" t="s">
        <v>26920</v>
      </c>
      <c r="C828" s="2">
        <v>8</v>
      </c>
      <c r="D828" s="2">
        <v>291</v>
      </c>
      <c r="E828" s="2">
        <v>200</v>
      </c>
      <c r="F828" s="2">
        <v>32441</v>
      </c>
      <c r="G828" s="2">
        <v>4.4592439859999997</v>
      </c>
      <c r="H828" s="2">
        <v>5.8127899999999998E-4</v>
      </c>
      <c r="I828" s="2" t="s">
        <v>45814</v>
      </c>
      <c r="J828" s="2" t="s">
        <v>45815</v>
      </c>
      <c r="K828" s="2">
        <v>3.1761379999999998E-3</v>
      </c>
      <c r="L828" s="2" t="s">
        <v>606</v>
      </c>
      <c r="M828" s="4" t="s">
        <v>26923</v>
      </c>
    </row>
    <row r="829" spans="1:13">
      <c r="A829" s="2">
        <v>393</v>
      </c>
      <c r="B829" s="2" t="s">
        <v>45816</v>
      </c>
      <c r="C829" s="2">
        <v>8</v>
      </c>
      <c r="D829" s="2">
        <v>291</v>
      </c>
      <c r="E829" s="2">
        <v>200</v>
      </c>
      <c r="F829" s="2">
        <v>32441</v>
      </c>
      <c r="G829" s="2">
        <v>4.4592439859999997</v>
      </c>
      <c r="H829" s="2">
        <v>5.8127899999999998E-4</v>
      </c>
      <c r="I829" s="2" t="s">
        <v>45817</v>
      </c>
      <c r="J829" s="2" t="s">
        <v>45818</v>
      </c>
      <c r="K829" s="2">
        <v>3.1761379999999998E-3</v>
      </c>
      <c r="L829" s="2" t="s">
        <v>606</v>
      </c>
      <c r="M829" s="4" t="s">
        <v>45819</v>
      </c>
    </row>
    <row r="830" spans="1:13">
      <c r="A830" s="2">
        <v>512</v>
      </c>
      <c r="B830" s="2" t="s">
        <v>26434</v>
      </c>
      <c r="C830" s="2">
        <v>8</v>
      </c>
      <c r="D830" s="2">
        <v>291</v>
      </c>
      <c r="E830" s="2">
        <v>201</v>
      </c>
      <c r="F830" s="2">
        <v>32441</v>
      </c>
      <c r="G830" s="2">
        <v>4.437058693</v>
      </c>
      <c r="H830" s="2">
        <v>5.9984600000000002E-4</v>
      </c>
      <c r="I830" s="2" t="s">
        <v>45820</v>
      </c>
      <c r="J830" s="2" t="s">
        <v>45821</v>
      </c>
      <c r="K830" s="2">
        <v>3.2352990000000001E-3</v>
      </c>
      <c r="L830" s="2" t="s">
        <v>606</v>
      </c>
      <c r="M830" s="4" t="s">
        <v>26437</v>
      </c>
    </row>
    <row r="831" spans="1:13">
      <c r="A831" s="2">
        <v>7691</v>
      </c>
      <c r="B831" s="2" t="s">
        <v>26766</v>
      </c>
      <c r="C831" s="2">
        <v>11</v>
      </c>
      <c r="D831" s="2">
        <v>291</v>
      </c>
      <c r="E831" s="2">
        <v>365</v>
      </c>
      <c r="F831" s="2">
        <v>32441</v>
      </c>
      <c r="G831" s="2">
        <v>3.359704373</v>
      </c>
      <c r="H831" s="2">
        <v>5.9897900000000003E-4</v>
      </c>
      <c r="I831" s="2" t="s">
        <v>45822</v>
      </c>
      <c r="J831" s="2" t="s">
        <v>45823</v>
      </c>
      <c r="K831" s="2">
        <v>3.2352990000000001E-3</v>
      </c>
      <c r="L831" s="2" t="s">
        <v>606</v>
      </c>
      <c r="M831" s="4" t="s">
        <v>26769</v>
      </c>
    </row>
    <row r="832" spans="1:13">
      <c r="A832" s="2">
        <v>798</v>
      </c>
      <c r="B832" s="2" t="s">
        <v>27314</v>
      </c>
      <c r="C832" s="2">
        <v>9</v>
      </c>
      <c r="D832" s="2">
        <v>291</v>
      </c>
      <c r="E832" s="2">
        <v>254</v>
      </c>
      <c r="F832" s="2">
        <v>32441</v>
      </c>
      <c r="G832" s="2">
        <v>3.9501177040000002</v>
      </c>
      <c r="H832" s="2">
        <v>6.2222500000000001E-4</v>
      </c>
      <c r="I832" s="2" t="s">
        <v>45824</v>
      </c>
      <c r="J832" s="2" t="s">
        <v>45825</v>
      </c>
      <c r="K832" s="2">
        <v>3.3344899999999998E-3</v>
      </c>
      <c r="L832" s="2" t="s">
        <v>606</v>
      </c>
      <c r="M832" s="4" t="s">
        <v>27317</v>
      </c>
    </row>
    <row r="833" spans="1:13">
      <c r="A833" s="2">
        <v>321</v>
      </c>
      <c r="B833" s="2" t="s">
        <v>45826</v>
      </c>
      <c r="C833" s="2">
        <v>5</v>
      </c>
      <c r="D833" s="2">
        <v>291</v>
      </c>
      <c r="E833" s="2">
        <v>72</v>
      </c>
      <c r="F833" s="2">
        <v>32441</v>
      </c>
      <c r="G833" s="2">
        <v>7.7417430319999996</v>
      </c>
      <c r="H833" s="2">
        <v>6.2875400000000003E-4</v>
      </c>
      <c r="I833" s="2" t="s">
        <v>45827</v>
      </c>
      <c r="J833" s="2" t="s">
        <v>45828</v>
      </c>
      <c r="K833" s="2">
        <v>3.3480150000000002E-3</v>
      </c>
      <c r="L833" s="2" t="s">
        <v>606</v>
      </c>
      <c r="M833" s="4" t="s">
        <v>45829</v>
      </c>
    </row>
    <row r="834" spans="1:13">
      <c r="A834" s="2">
        <v>290</v>
      </c>
      <c r="B834" s="2" t="s">
        <v>45830</v>
      </c>
      <c r="C834" s="2">
        <v>9</v>
      </c>
      <c r="D834" s="2">
        <v>291</v>
      </c>
      <c r="E834" s="2">
        <v>255</v>
      </c>
      <c r="F834" s="2">
        <v>32441</v>
      </c>
      <c r="G834" s="2">
        <v>3.9346270470000002</v>
      </c>
      <c r="H834" s="2">
        <v>6.3927400000000001E-4</v>
      </c>
      <c r="I834" s="2" t="s">
        <v>45831</v>
      </c>
      <c r="J834" s="2" t="s">
        <v>45832</v>
      </c>
      <c r="K834" s="2">
        <v>3.3824860000000001E-3</v>
      </c>
      <c r="L834" s="2" t="s">
        <v>606</v>
      </c>
      <c r="M834" s="4" t="s">
        <v>45833</v>
      </c>
    </row>
    <row r="835" spans="1:13">
      <c r="A835" s="2">
        <v>484</v>
      </c>
      <c r="B835" s="2" t="s">
        <v>27330</v>
      </c>
      <c r="C835" s="2">
        <v>9</v>
      </c>
      <c r="D835" s="2">
        <v>291</v>
      </c>
      <c r="E835" s="2">
        <v>256</v>
      </c>
      <c r="F835" s="2">
        <v>32441</v>
      </c>
      <c r="G835" s="2">
        <v>3.9192574100000002</v>
      </c>
      <c r="H835" s="2">
        <v>6.56702E-4</v>
      </c>
      <c r="I835" s="2" t="s">
        <v>45834</v>
      </c>
      <c r="J835" s="2" t="s">
        <v>45835</v>
      </c>
      <c r="K835" s="2">
        <v>3.4528470000000002E-3</v>
      </c>
      <c r="L835" s="2" t="s">
        <v>606</v>
      </c>
      <c r="M835" s="4" t="s">
        <v>27333</v>
      </c>
    </row>
    <row r="836" spans="1:13">
      <c r="A836" s="2">
        <v>369</v>
      </c>
      <c r="B836" s="2" t="s">
        <v>26966</v>
      </c>
      <c r="C836" s="2">
        <v>8</v>
      </c>
      <c r="D836" s="2">
        <v>291</v>
      </c>
      <c r="E836" s="2">
        <v>205</v>
      </c>
      <c r="F836" s="2">
        <v>32441</v>
      </c>
      <c r="G836" s="2">
        <v>4.3504819379999997</v>
      </c>
      <c r="H836" s="2">
        <v>6.7896799999999995E-4</v>
      </c>
      <c r="I836" s="2" t="s">
        <v>45836</v>
      </c>
      <c r="J836" s="2" t="s">
        <v>45837</v>
      </c>
      <c r="K836" s="2">
        <v>3.5476069999999999E-3</v>
      </c>
      <c r="L836" s="2" t="s">
        <v>606</v>
      </c>
      <c r="M836" s="4" t="s">
        <v>26969</v>
      </c>
    </row>
    <row r="837" spans="1:13">
      <c r="A837" s="2">
        <v>417</v>
      </c>
      <c r="B837" s="2" t="s">
        <v>27580</v>
      </c>
      <c r="C837" s="2">
        <v>9</v>
      </c>
      <c r="D837" s="2">
        <v>291</v>
      </c>
      <c r="E837" s="2">
        <v>258</v>
      </c>
      <c r="F837" s="2">
        <v>32441</v>
      </c>
      <c r="G837" s="2">
        <v>3.8888755690000001</v>
      </c>
      <c r="H837" s="2">
        <v>6.9272400000000003E-4</v>
      </c>
      <c r="I837" s="2" t="s">
        <v>45838</v>
      </c>
      <c r="J837" s="2" t="s">
        <v>45839</v>
      </c>
      <c r="K837" s="2">
        <v>3.5970009999999998E-3</v>
      </c>
      <c r="L837" s="2" t="s">
        <v>606</v>
      </c>
      <c r="M837" s="4" t="s">
        <v>27583</v>
      </c>
    </row>
    <row r="838" spans="1:13">
      <c r="A838" s="2">
        <v>358</v>
      </c>
      <c r="B838" s="2" t="s">
        <v>27158</v>
      </c>
      <c r="C838" s="2">
        <v>9</v>
      </c>
      <c r="D838" s="2">
        <v>291</v>
      </c>
      <c r="E838" s="2">
        <v>260</v>
      </c>
      <c r="F838" s="2">
        <v>32441</v>
      </c>
      <c r="G838" s="2">
        <v>3.8589611420000001</v>
      </c>
      <c r="H838" s="2">
        <v>7.3034300000000005E-4</v>
      </c>
      <c r="I838" s="2" t="s">
        <v>45840</v>
      </c>
      <c r="J838" s="2" t="s">
        <v>45841</v>
      </c>
      <c r="K838" s="2">
        <v>3.74581E-3</v>
      </c>
      <c r="L838" s="2" t="s">
        <v>606</v>
      </c>
      <c r="M838" s="4" t="s">
        <v>27161</v>
      </c>
    </row>
    <row r="839" spans="1:13">
      <c r="A839" s="2">
        <v>4851</v>
      </c>
      <c r="B839" s="2" t="s">
        <v>26742</v>
      </c>
      <c r="C839" s="2">
        <v>9</v>
      </c>
      <c r="D839" s="2">
        <v>291</v>
      </c>
      <c r="E839" s="2">
        <v>260</v>
      </c>
      <c r="F839" s="2">
        <v>32441</v>
      </c>
      <c r="G839" s="2">
        <v>3.8589611420000001</v>
      </c>
      <c r="H839" s="2">
        <v>7.3034300000000005E-4</v>
      </c>
      <c r="I839" s="2" t="s">
        <v>45842</v>
      </c>
      <c r="J839" s="2" t="s">
        <v>45843</v>
      </c>
      <c r="K839" s="2">
        <v>3.74581E-3</v>
      </c>
      <c r="L839" s="2" t="s">
        <v>606</v>
      </c>
      <c r="M839" s="4" t="s">
        <v>26745</v>
      </c>
    </row>
    <row r="840" spans="1:13">
      <c r="A840" s="2">
        <v>378</v>
      </c>
      <c r="B840" s="2" t="s">
        <v>27476</v>
      </c>
      <c r="C840" s="2">
        <v>8</v>
      </c>
      <c r="D840" s="2">
        <v>291</v>
      </c>
      <c r="E840" s="2">
        <v>208</v>
      </c>
      <c r="F840" s="2">
        <v>32441</v>
      </c>
      <c r="G840" s="2">
        <v>4.2877346019999996</v>
      </c>
      <c r="H840" s="2">
        <v>7.4366199999999997E-4</v>
      </c>
      <c r="I840" s="2" t="s">
        <v>45844</v>
      </c>
      <c r="J840" s="2" t="s">
        <v>45845</v>
      </c>
      <c r="K840" s="2">
        <v>3.7678870000000001E-3</v>
      </c>
      <c r="L840" s="2" t="s">
        <v>606</v>
      </c>
      <c r="M840" s="4" t="s">
        <v>27479</v>
      </c>
    </row>
    <row r="841" spans="1:13">
      <c r="A841" s="2">
        <v>649</v>
      </c>
      <c r="B841" s="2" t="s">
        <v>26068</v>
      </c>
      <c r="C841" s="2">
        <v>13</v>
      </c>
      <c r="D841" s="2">
        <v>291</v>
      </c>
      <c r="E841" s="2">
        <v>499</v>
      </c>
      <c r="F841" s="2">
        <v>32441</v>
      </c>
      <c r="G841" s="2">
        <v>2.9043172259999999</v>
      </c>
      <c r="H841" s="2">
        <v>7.4246499999999999E-4</v>
      </c>
      <c r="I841" s="2" t="s">
        <v>45846</v>
      </c>
      <c r="J841" s="2" t="s">
        <v>45847</v>
      </c>
      <c r="K841" s="2">
        <v>3.7678870000000001E-3</v>
      </c>
      <c r="L841" s="2" t="s">
        <v>606</v>
      </c>
      <c r="M841" s="4" t="s">
        <v>26071</v>
      </c>
    </row>
    <row r="842" spans="1:13">
      <c r="A842" s="2">
        <v>33</v>
      </c>
      <c r="B842" s="2" t="s">
        <v>45848</v>
      </c>
      <c r="C842" s="2">
        <v>6</v>
      </c>
      <c r="D842" s="2">
        <v>291</v>
      </c>
      <c r="E842" s="2">
        <v>115</v>
      </c>
      <c r="F842" s="2">
        <v>32441</v>
      </c>
      <c r="G842" s="2">
        <v>5.8164051990000001</v>
      </c>
      <c r="H842" s="2">
        <v>7.6678800000000002E-4</v>
      </c>
      <c r="I842" s="2" t="s">
        <v>45849</v>
      </c>
      <c r="J842" s="2" t="s">
        <v>45850</v>
      </c>
      <c r="K842" s="2">
        <v>3.8526739999999999E-3</v>
      </c>
      <c r="L842" s="2" t="s">
        <v>606</v>
      </c>
      <c r="M842" s="4" t="s">
        <v>45851</v>
      </c>
    </row>
    <row r="843" spans="1:13">
      <c r="A843" s="2">
        <v>93</v>
      </c>
      <c r="B843" s="2" t="s">
        <v>27394</v>
      </c>
      <c r="C843" s="2">
        <v>9</v>
      </c>
      <c r="D843" s="2">
        <v>291</v>
      </c>
      <c r="E843" s="2">
        <v>262</v>
      </c>
      <c r="F843" s="2">
        <v>32441</v>
      </c>
      <c r="G843" s="2">
        <v>3.8295034229999998</v>
      </c>
      <c r="H843" s="2">
        <v>7.6961300000000005E-4</v>
      </c>
      <c r="I843" s="2" t="s">
        <v>45852</v>
      </c>
      <c r="J843" s="2" t="s">
        <v>45853</v>
      </c>
      <c r="K843" s="2">
        <v>3.8526739999999999E-3</v>
      </c>
      <c r="L843" s="2" t="s">
        <v>606</v>
      </c>
      <c r="M843" s="4" t="s">
        <v>27397</v>
      </c>
    </row>
    <row r="844" spans="1:13">
      <c r="A844" s="2">
        <v>101</v>
      </c>
      <c r="B844" s="2" t="s">
        <v>45854</v>
      </c>
      <c r="C844" s="2">
        <v>9</v>
      </c>
      <c r="D844" s="2">
        <v>291</v>
      </c>
      <c r="E844" s="2">
        <v>264</v>
      </c>
      <c r="F844" s="2">
        <v>32441</v>
      </c>
      <c r="G844" s="2">
        <v>3.8004920339999999</v>
      </c>
      <c r="H844" s="2">
        <v>8.1058699999999998E-4</v>
      </c>
      <c r="I844" s="2" t="s">
        <v>45855</v>
      </c>
      <c r="J844" s="2" t="s">
        <v>45856</v>
      </c>
      <c r="K844" s="2">
        <v>4.009767E-3</v>
      </c>
      <c r="L844" s="2" t="s">
        <v>606</v>
      </c>
      <c r="M844" s="4" t="s">
        <v>45857</v>
      </c>
    </row>
    <row r="845" spans="1:13">
      <c r="A845" s="2">
        <v>820</v>
      </c>
      <c r="B845" s="2" t="s">
        <v>45858</v>
      </c>
      <c r="C845" s="2">
        <v>10</v>
      </c>
      <c r="D845" s="2">
        <v>291</v>
      </c>
      <c r="E845" s="2">
        <v>320</v>
      </c>
      <c r="F845" s="2">
        <v>32441</v>
      </c>
      <c r="G845" s="2">
        <v>3.4837843639999999</v>
      </c>
      <c r="H845" s="2">
        <v>8.06291E-4</v>
      </c>
      <c r="I845" s="2" t="s">
        <v>45859</v>
      </c>
      <c r="J845" s="2" t="s">
        <v>45860</v>
      </c>
      <c r="K845" s="2">
        <v>4.009767E-3</v>
      </c>
      <c r="L845" s="2" t="s">
        <v>606</v>
      </c>
      <c r="M845" s="4" t="s">
        <v>45861</v>
      </c>
    </row>
    <row r="846" spans="1:13">
      <c r="A846" s="2">
        <v>24</v>
      </c>
      <c r="B846" s="2" t="s">
        <v>26364</v>
      </c>
      <c r="C846" s="2">
        <v>9</v>
      </c>
      <c r="D846" s="2">
        <v>291</v>
      </c>
      <c r="E846" s="2">
        <v>265</v>
      </c>
      <c r="F846" s="2">
        <v>32441</v>
      </c>
      <c r="G846" s="2">
        <v>3.7861505539999998</v>
      </c>
      <c r="H846" s="2">
        <v>8.3173000000000003E-4</v>
      </c>
      <c r="I846" s="2" t="s">
        <v>45862</v>
      </c>
      <c r="J846" s="2" t="s">
        <v>45863</v>
      </c>
      <c r="K846" s="2">
        <v>4.0662349999999996E-3</v>
      </c>
      <c r="L846" s="2" t="s">
        <v>606</v>
      </c>
      <c r="M846" s="4" t="s">
        <v>26367</v>
      </c>
    </row>
    <row r="847" spans="1:13">
      <c r="A847" s="2">
        <v>300</v>
      </c>
      <c r="B847" s="2" t="s">
        <v>45864</v>
      </c>
      <c r="C847" s="2">
        <v>9</v>
      </c>
      <c r="D847" s="2">
        <v>291</v>
      </c>
      <c r="E847" s="2">
        <v>265</v>
      </c>
      <c r="F847" s="2">
        <v>32441</v>
      </c>
      <c r="G847" s="2">
        <v>3.7861505539999998</v>
      </c>
      <c r="H847" s="2">
        <v>8.3173000000000003E-4</v>
      </c>
      <c r="I847" s="2" t="s">
        <v>45865</v>
      </c>
      <c r="J847" s="2" t="s">
        <v>45866</v>
      </c>
      <c r="K847" s="2">
        <v>4.0662349999999996E-3</v>
      </c>
      <c r="L847" s="2" t="s">
        <v>606</v>
      </c>
      <c r="M847" s="4" t="s">
        <v>45867</v>
      </c>
    </row>
    <row r="848" spans="1:13">
      <c r="A848" s="2">
        <v>59</v>
      </c>
      <c r="B848" s="2" t="s">
        <v>45868</v>
      </c>
      <c r="C848" s="2">
        <v>9</v>
      </c>
      <c r="D848" s="2">
        <v>291</v>
      </c>
      <c r="E848" s="2">
        <v>267</v>
      </c>
      <c r="F848" s="2">
        <v>32441</v>
      </c>
      <c r="G848" s="2">
        <v>3.7577898759999999</v>
      </c>
      <c r="H848" s="2">
        <v>8.7536299999999999E-4</v>
      </c>
      <c r="I848" s="2" t="s">
        <v>45869</v>
      </c>
      <c r="J848" s="2" t="s">
        <v>45870</v>
      </c>
      <c r="K848" s="2">
        <v>4.230078E-3</v>
      </c>
      <c r="L848" s="2" t="s">
        <v>606</v>
      </c>
      <c r="M848" s="4" t="s">
        <v>45871</v>
      </c>
    </row>
    <row r="849" spans="1:13">
      <c r="A849" s="2">
        <v>444</v>
      </c>
      <c r="B849" s="2" t="s">
        <v>45872</v>
      </c>
      <c r="C849" s="2">
        <v>9</v>
      </c>
      <c r="D849" s="2">
        <v>291</v>
      </c>
      <c r="E849" s="2">
        <v>267</v>
      </c>
      <c r="F849" s="2">
        <v>32441</v>
      </c>
      <c r="G849" s="2">
        <v>3.7577898759999999</v>
      </c>
      <c r="H849" s="2">
        <v>8.7536299999999999E-4</v>
      </c>
      <c r="I849" s="2" t="s">
        <v>45873</v>
      </c>
      <c r="J849" s="2" t="s">
        <v>45874</v>
      </c>
      <c r="K849" s="2">
        <v>4.230078E-3</v>
      </c>
      <c r="L849" s="2" t="s">
        <v>606</v>
      </c>
      <c r="M849" s="4" t="s">
        <v>45875</v>
      </c>
    </row>
    <row r="850" spans="1:13">
      <c r="A850" s="2">
        <v>1101</v>
      </c>
      <c r="B850" s="2" t="s">
        <v>45876</v>
      </c>
      <c r="C850" s="2">
        <v>7</v>
      </c>
      <c r="D850" s="2">
        <v>291</v>
      </c>
      <c r="E850" s="2">
        <v>165</v>
      </c>
      <c r="F850" s="2">
        <v>32441</v>
      </c>
      <c r="G850" s="2">
        <v>4.7295011980000004</v>
      </c>
      <c r="H850" s="2">
        <v>9.1660699999999995E-4</v>
      </c>
      <c r="I850" s="2" t="s">
        <v>45877</v>
      </c>
      <c r="J850" s="2" t="s">
        <v>45878</v>
      </c>
      <c r="K850" s="2">
        <v>4.3787610000000001E-3</v>
      </c>
      <c r="L850" s="2" t="s">
        <v>606</v>
      </c>
      <c r="M850" s="4" t="s">
        <v>45879</v>
      </c>
    </row>
    <row r="851" spans="1:13">
      <c r="A851" s="2">
        <v>826</v>
      </c>
      <c r="B851" s="2" t="s">
        <v>45880</v>
      </c>
      <c r="C851" s="2">
        <v>7</v>
      </c>
      <c r="D851" s="2">
        <v>291</v>
      </c>
      <c r="E851" s="2">
        <v>165</v>
      </c>
      <c r="F851" s="2">
        <v>32441</v>
      </c>
      <c r="G851" s="2">
        <v>4.7295011980000004</v>
      </c>
      <c r="H851" s="2">
        <v>9.1660699999999995E-4</v>
      </c>
      <c r="I851" s="2" t="s">
        <v>45881</v>
      </c>
      <c r="J851" s="2" t="s">
        <v>45882</v>
      </c>
      <c r="K851" s="2">
        <v>4.3787610000000001E-3</v>
      </c>
      <c r="L851" s="2" t="s">
        <v>606</v>
      </c>
      <c r="M851" s="4" t="s">
        <v>45883</v>
      </c>
    </row>
    <row r="852" spans="1:13">
      <c r="A852" s="2">
        <v>234</v>
      </c>
      <c r="B852" s="2" t="s">
        <v>45884</v>
      </c>
      <c r="C852" s="2">
        <v>9</v>
      </c>
      <c r="D852" s="2">
        <v>291</v>
      </c>
      <c r="E852" s="2">
        <v>271</v>
      </c>
      <c r="F852" s="2">
        <v>32441</v>
      </c>
      <c r="G852" s="2">
        <v>3.7023243429999999</v>
      </c>
      <c r="H852" s="2">
        <v>9.6821600000000004E-4</v>
      </c>
      <c r="I852" s="2" t="s">
        <v>45885</v>
      </c>
      <c r="J852" s="2" t="s">
        <v>45886</v>
      </c>
      <c r="K852" s="2">
        <v>4.599026E-3</v>
      </c>
      <c r="L852" s="2" t="s">
        <v>606</v>
      </c>
      <c r="M852" s="4" t="s">
        <v>45887</v>
      </c>
    </row>
    <row r="853" spans="1:13">
      <c r="A853" s="2">
        <v>117</v>
      </c>
      <c r="B853" s="2" t="s">
        <v>45888</v>
      </c>
      <c r="C853" s="2">
        <v>6</v>
      </c>
      <c r="D853" s="2">
        <v>291</v>
      </c>
      <c r="E853" s="2">
        <v>121</v>
      </c>
      <c r="F853" s="2">
        <v>32441</v>
      </c>
      <c r="G853" s="2">
        <v>5.5279884130000001</v>
      </c>
      <c r="H853" s="2">
        <v>9.8677000000000009E-4</v>
      </c>
      <c r="I853" s="2" t="s">
        <v>45889</v>
      </c>
      <c r="J853" s="2" t="s">
        <v>45890</v>
      </c>
      <c r="K853" s="2">
        <v>4.6344929999999999E-3</v>
      </c>
      <c r="L853" s="2" t="s">
        <v>606</v>
      </c>
      <c r="M853" s="4" t="s">
        <v>45891</v>
      </c>
    </row>
    <row r="854" spans="1:13">
      <c r="A854" s="2">
        <v>611</v>
      </c>
      <c r="B854" s="2" t="s">
        <v>26530</v>
      </c>
      <c r="C854" s="2">
        <v>5</v>
      </c>
      <c r="D854" s="2">
        <v>291</v>
      </c>
      <c r="E854" s="2">
        <v>80</v>
      </c>
      <c r="F854" s="2">
        <v>32441</v>
      </c>
      <c r="G854" s="2">
        <v>6.9675687289999999</v>
      </c>
      <c r="H854" s="2">
        <v>9.854149999999999E-4</v>
      </c>
      <c r="I854" s="2" t="s">
        <v>45892</v>
      </c>
      <c r="J854" s="2" t="s">
        <v>45893</v>
      </c>
      <c r="K854" s="2">
        <v>4.6344929999999999E-3</v>
      </c>
      <c r="L854" s="2" t="s">
        <v>606</v>
      </c>
      <c r="M854" s="4" t="s">
        <v>26533</v>
      </c>
    </row>
    <row r="855" spans="1:13">
      <c r="A855" s="2">
        <v>223</v>
      </c>
      <c r="B855" s="2" t="s">
        <v>26398</v>
      </c>
      <c r="C855" s="2">
        <v>8</v>
      </c>
      <c r="D855" s="2">
        <v>291</v>
      </c>
      <c r="E855" s="2">
        <v>218</v>
      </c>
      <c r="F855" s="2">
        <v>32441</v>
      </c>
      <c r="G855" s="2">
        <v>4.0910495290000002</v>
      </c>
      <c r="H855" s="2">
        <v>9.9598999999999998E-4</v>
      </c>
      <c r="I855" s="2" t="s">
        <v>45894</v>
      </c>
      <c r="J855" s="2" t="s">
        <v>45895</v>
      </c>
      <c r="K855" s="2">
        <v>4.6516630000000003E-3</v>
      </c>
      <c r="L855" s="2" t="s">
        <v>606</v>
      </c>
      <c r="M855" s="4" t="s">
        <v>26401</v>
      </c>
    </row>
    <row r="856" spans="1:13">
      <c r="A856" s="2">
        <v>13</v>
      </c>
      <c r="B856" s="2" t="s">
        <v>27426</v>
      </c>
      <c r="C856" s="2">
        <v>4</v>
      </c>
      <c r="D856" s="2">
        <v>291</v>
      </c>
      <c r="E856" s="2">
        <v>46</v>
      </c>
      <c r="F856" s="2">
        <v>32441</v>
      </c>
      <c r="G856" s="2">
        <v>9.6940086660000002</v>
      </c>
      <c r="H856" s="2">
        <v>1.0216380000000001E-3</v>
      </c>
      <c r="I856" s="2" t="s">
        <v>45896</v>
      </c>
      <c r="J856" s="2" t="s">
        <v>45897</v>
      </c>
      <c r="K856" s="2">
        <v>4.7449409999999999E-3</v>
      </c>
      <c r="L856" s="2" t="s">
        <v>606</v>
      </c>
      <c r="M856" s="4" t="s">
        <v>27429</v>
      </c>
    </row>
    <row r="857" spans="1:13">
      <c r="A857" s="2">
        <v>449</v>
      </c>
      <c r="B857" s="2" t="s">
        <v>27326</v>
      </c>
      <c r="C857" s="2">
        <v>8</v>
      </c>
      <c r="D857" s="2">
        <v>291</v>
      </c>
      <c r="E857" s="2">
        <v>220</v>
      </c>
      <c r="F857" s="2">
        <v>32441</v>
      </c>
      <c r="G857" s="2">
        <v>4.0538581689999997</v>
      </c>
      <c r="H857" s="2">
        <v>1.0538329999999999E-3</v>
      </c>
      <c r="I857" s="2" t="s">
        <v>45898</v>
      </c>
      <c r="J857" s="2" t="s">
        <v>45899</v>
      </c>
      <c r="K857" s="2">
        <v>4.8674260000000002E-3</v>
      </c>
      <c r="L857" s="2" t="s">
        <v>606</v>
      </c>
      <c r="M857" s="4" t="s">
        <v>27329</v>
      </c>
    </row>
    <row r="858" spans="1:13">
      <c r="A858" s="2">
        <v>531</v>
      </c>
      <c r="B858" s="2" t="s">
        <v>26190</v>
      </c>
      <c r="C858" s="2">
        <v>10</v>
      </c>
      <c r="D858" s="2">
        <v>291</v>
      </c>
      <c r="E858" s="2">
        <v>335</v>
      </c>
      <c r="F858" s="2">
        <v>32441</v>
      </c>
      <c r="G858" s="2">
        <v>3.3277940199999998</v>
      </c>
      <c r="H858" s="2">
        <v>1.127192E-3</v>
      </c>
      <c r="I858" s="2" t="s">
        <v>45900</v>
      </c>
      <c r="J858" s="2" t="s">
        <v>45901</v>
      </c>
      <c r="K858" s="2">
        <v>5.1776510000000001E-3</v>
      </c>
      <c r="L858" s="2" t="s">
        <v>606</v>
      </c>
      <c r="M858" s="4" t="s">
        <v>26193</v>
      </c>
    </row>
    <row r="859" spans="1:13">
      <c r="A859" s="2">
        <v>647</v>
      </c>
      <c r="B859" s="2" t="s">
        <v>27572</v>
      </c>
      <c r="C859" s="2">
        <v>5</v>
      </c>
      <c r="D859" s="2">
        <v>291</v>
      </c>
      <c r="E859" s="2">
        <v>83</v>
      </c>
      <c r="F859" s="2">
        <v>32441</v>
      </c>
      <c r="G859" s="2">
        <v>6.7157288949999998</v>
      </c>
      <c r="H859" s="2">
        <v>1.151787E-3</v>
      </c>
      <c r="I859" s="2" t="s">
        <v>45902</v>
      </c>
      <c r="J859" s="2" t="s">
        <v>45903</v>
      </c>
      <c r="K859" s="2">
        <v>5.261717E-3</v>
      </c>
      <c r="L859" s="2" t="s">
        <v>606</v>
      </c>
      <c r="M859" s="4" t="s">
        <v>27575</v>
      </c>
    </row>
    <row r="860" spans="1:13">
      <c r="A860" s="2">
        <v>60</v>
      </c>
      <c r="B860" s="2" t="s">
        <v>27622</v>
      </c>
      <c r="C860" s="2">
        <v>8</v>
      </c>
      <c r="D860" s="2">
        <v>291</v>
      </c>
      <c r="E860" s="2">
        <v>225</v>
      </c>
      <c r="F860" s="2">
        <v>32441</v>
      </c>
      <c r="G860" s="2">
        <v>3.9637724319999998</v>
      </c>
      <c r="H860" s="2">
        <v>1.210245E-3</v>
      </c>
      <c r="I860" s="2" t="s">
        <v>45904</v>
      </c>
      <c r="J860" s="2" t="s">
        <v>45905</v>
      </c>
      <c r="K860" s="2">
        <v>5.4987209999999998E-3</v>
      </c>
      <c r="L860" s="2" t="s">
        <v>606</v>
      </c>
      <c r="M860" s="4" t="s">
        <v>27625</v>
      </c>
    </row>
    <row r="861" spans="1:13">
      <c r="A861" s="2">
        <v>123</v>
      </c>
      <c r="B861" s="2" t="s">
        <v>27634</v>
      </c>
      <c r="C861" s="2">
        <v>8</v>
      </c>
      <c r="D861" s="2">
        <v>291</v>
      </c>
      <c r="E861" s="2">
        <v>226</v>
      </c>
      <c r="F861" s="2">
        <v>32441</v>
      </c>
      <c r="G861" s="2">
        <v>3.9462336160000002</v>
      </c>
      <c r="H861" s="2">
        <v>1.2436389999999999E-3</v>
      </c>
      <c r="I861" s="2" t="s">
        <v>45906</v>
      </c>
      <c r="J861" s="2" t="s">
        <v>45907</v>
      </c>
      <c r="K861" s="2">
        <v>5.6199029999999999E-3</v>
      </c>
      <c r="L861" s="2" t="s">
        <v>606</v>
      </c>
      <c r="M861" s="4" t="s">
        <v>27637</v>
      </c>
    </row>
    <row r="862" spans="1:13">
      <c r="A862" s="2">
        <v>338</v>
      </c>
      <c r="B862" s="2" t="s">
        <v>27706</v>
      </c>
      <c r="C862" s="2">
        <v>8</v>
      </c>
      <c r="D862" s="2">
        <v>291</v>
      </c>
      <c r="E862" s="2">
        <v>234</v>
      </c>
      <c r="F862" s="2">
        <v>32441</v>
      </c>
      <c r="G862" s="2">
        <v>3.8113196459999998</v>
      </c>
      <c r="H862" s="2">
        <v>1.538038E-3</v>
      </c>
      <c r="I862" s="2" t="s">
        <v>45908</v>
      </c>
      <c r="J862" s="2" t="s">
        <v>45909</v>
      </c>
      <c r="K862" s="2">
        <v>6.9129040000000001E-3</v>
      </c>
      <c r="L862" s="2" t="s">
        <v>606</v>
      </c>
      <c r="M862" s="4" t="s">
        <v>27709</v>
      </c>
    </row>
    <row r="863" spans="1:13">
      <c r="A863" s="2">
        <v>816</v>
      </c>
      <c r="B863" s="2" t="s">
        <v>6727</v>
      </c>
      <c r="C863" s="2">
        <v>6</v>
      </c>
      <c r="D863" s="2">
        <v>291</v>
      </c>
      <c r="E863" s="2">
        <v>134</v>
      </c>
      <c r="F863" s="2">
        <v>32441</v>
      </c>
      <c r="G863" s="2">
        <v>4.9916910290000001</v>
      </c>
      <c r="H863" s="2">
        <v>1.627592E-3</v>
      </c>
      <c r="I863" s="2" t="s">
        <v>45910</v>
      </c>
      <c r="J863" s="2" t="s">
        <v>45911</v>
      </c>
      <c r="K863" s="2">
        <v>7.276294E-3</v>
      </c>
      <c r="L863" s="2" t="s">
        <v>606</v>
      </c>
      <c r="M863" s="4" t="s">
        <v>6730</v>
      </c>
    </row>
    <row r="864" spans="1:13">
      <c r="A864" s="2">
        <v>1041</v>
      </c>
      <c r="B864" s="2" t="s">
        <v>27730</v>
      </c>
      <c r="C864" s="2">
        <v>8</v>
      </c>
      <c r="D864" s="2">
        <v>291</v>
      </c>
      <c r="E864" s="2">
        <v>237</v>
      </c>
      <c r="F864" s="2">
        <v>32441</v>
      </c>
      <c r="G864" s="2">
        <v>3.763075094</v>
      </c>
      <c r="H864" s="2">
        <v>1.661701E-3</v>
      </c>
      <c r="I864" s="2" t="s">
        <v>45912</v>
      </c>
      <c r="J864" s="2" t="s">
        <v>45913</v>
      </c>
      <c r="K864" s="2">
        <v>7.3501679999999998E-3</v>
      </c>
      <c r="L864" s="2" t="s">
        <v>606</v>
      </c>
      <c r="M864" s="4" t="s">
        <v>27733</v>
      </c>
    </row>
    <row r="865" spans="1:13">
      <c r="A865" s="2">
        <v>221</v>
      </c>
      <c r="B865" s="2" t="s">
        <v>27734</v>
      </c>
      <c r="C865" s="2">
        <v>8</v>
      </c>
      <c r="D865" s="2">
        <v>291</v>
      </c>
      <c r="E865" s="2">
        <v>237</v>
      </c>
      <c r="F865" s="2">
        <v>32441</v>
      </c>
      <c r="G865" s="2">
        <v>3.763075094</v>
      </c>
      <c r="H865" s="2">
        <v>1.661701E-3</v>
      </c>
      <c r="I865" s="2" t="s">
        <v>45914</v>
      </c>
      <c r="J865" s="2" t="s">
        <v>45915</v>
      </c>
      <c r="K865" s="2">
        <v>7.3501679999999998E-3</v>
      </c>
      <c r="L865" s="2" t="s">
        <v>606</v>
      </c>
      <c r="M865" s="4" t="s">
        <v>27737</v>
      </c>
    </row>
    <row r="866" spans="1:13">
      <c r="A866" s="2">
        <v>756</v>
      </c>
      <c r="B866" s="2" t="s">
        <v>26390</v>
      </c>
      <c r="C866" s="2">
        <v>14</v>
      </c>
      <c r="D866" s="2">
        <v>291</v>
      </c>
      <c r="E866" s="2">
        <v>616</v>
      </c>
      <c r="F866" s="2">
        <v>32441</v>
      </c>
      <c r="G866" s="2">
        <v>2.5336613560000001</v>
      </c>
      <c r="H866" s="2">
        <v>1.672233E-3</v>
      </c>
      <c r="I866" s="2" t="s">
        <v>45916</v>
      </c>
      <c r="J866" s="2" t="s">
        <v>45917</v>
      </c>
      <c r="K866" s="2">
        <v>7.3578250000000001E-3</v>
      </c>
      <c r="L866" s="2" t="s">
        <v>606</v>
      </c>
      <c r="M866" s="4" t="s">
        <v>26393</v>
      </c>
    </row>
    <row r="867" spans="1:13">
      <c r="A867" s="2">
        <v>178</v>
      </c>
      <c r="B867" s="2" t="s">
        <v>26974</v>
      </c>
      <c r="C867" s="2">
        <v>8</v>
      </c>
      <c r="D867" s="2">
        <v>291</v>
      </c>
      <c r="E867" s="2">
        <v>238</v>
      </c>
      <c r="F867" s="2">
        <v>32441</v>
      </c>
      <c r="G867" s="2">
        <v>3.7472638539999998</v>
      </c>
      <c r="H867" s="2">
        <v>1.704625E-3</v>
      </c>
      <c r="I867" s="2" t="s">
        <v>45918</v>
      </c>
      <c r="J867" s="2" t="s">
        <v>45919</v>
      </c>
      <c r="K867" s="2">
        <v>7.4222209999999997E-3</v>
      </c>
      <c r="L867" s="2" t="s">
        <v>606</v>
      </c>
      <c r="M867" s="4" t="s">
        <v>26977</v>
      </c>
    </row>
    <row r="868" spans="1:13">
      <c r="A868" s="2">
        <v>394</v>
      </c>
      <c r="B868" s="2" t="s">
        <v>26978</v>
      </c>
      <c r="C868" s="2">
        <v>8</v>
      </c>
      <c r="D868" s="2">
        <v>291</v>
      </c>
      <c r="E868" s="2">
        <v>238</v>
      </c>
      <c r="F868" s="2">
        <v>32441</v>
      </c>
      <c r="G868" s="2">
        <v>3.7472638539999998</v>
      </c>
      <c r="H868" s="2">
        <v>1.704625E-3</v>
      </c>
      <c r="I868" s="2" t="s">
        <v>45920</v>
      </c>
      <c r="J868" s="2" t="s">
        <v>45921</v>
      </c>
      <c r="K868" s="2">
        <v>7.4222209999999997E-3</v>
      </c>
      <c r="L868" s="2" t="s">
        <v>606</v>
      </c>
      <c r="M868" s="4" t="s">
        <v>26981</v>
      </c>
    </row>
    <row r="869" spans="1:13">
      <c r="A869" s="2">
        <v>510</v>
      </c>
      <c r="B869" s="2" t="s">
        <v>25855</v>
      </c>
      <c r="C869" s="2">
        <v>11</v>
      </c>
      <c r="D869" s="2">
        <v>291</v>
      </c>
      <c r="E869" s="2">
        <v>419</v>
      </c>
      <c r="F869" s="2">
        <v>32441</v>
      </c>
      <c r="G869" s="2">
        <v>2.9267114470000002</v>
      </c>
      <c r="H869" s="2">
        <v>1.7579130000000001E-3</v>
      </c>
      <c r="I869" s="2" t="s">
        <v>45922</v>
      </c>
      <c r="J869" s="2" t="s">
        <v>45923</v>
      </c>
      <c r="K869" s="2">
        <v>7.6145850000000001E-3</v>
      </c>
      <c r="L869" s="2" t="s">
        <v>606</v>
      </c>
      <c r="M869" s="4" t="s">
        <v>25858</v>
      </c>
    </row>
    <row r="870" spans="1:13">
      <c r="A870" s="2">
        <v>651</v>
      </c>
      <c r="B870" s="2" t="s">
        <v>26144</v>
      </c>
      <c r="C870" s="2">
        <v>13</v>
      </c>
      <c r="D870" s="2">
        <v>291</v>
      </c>
      <c r="E870" s="2">
        <v>552</v>
      </c>
      <c r="F870" s="2">
        <v>32441</v>
      </c>
      <c r="G870" s="2">
        <v>2.6254606800000002</v>
      </c>
      <c r="H870" s="2">
        <v>1.7919349999999999E-3</v>
      </c>
      <c r="I870" s="2" t="s">
        <v>45924</v>
      </c>
      <c r="J870" s="2" t="s">
        <v>45925</v>
      </c>
      <c r="K870" s="2">
        <v>7.721945E-3</v>
      </c>
      <c r="L870" s="2" t="s">
        <v>606</v>
      </c>
      <c r="M870" s="4" t="s">
        <v>26147</v>
      </c>
    </row>
    <row r="871" spans="1:13">
      <c r="A871" s="2">
        <v>99</v>
      </c>
      <c r="B871" s="2" t="s">
        <v>45926</v>
      </c>
      <c r="C871" s="2">
        <v>8</v>
      </c>
      <c r="D871" s="2">
        <v>291</v>
      </c>
      <c r="E871" s="2">
        <v>241</v>
      </c>
      <c r="F871" s="2">
        <v>32441</v>
      </c>
      <c r="G871" s="2">
        <v>3.700617416</v>
      </c>
      <c r="H871" s="2">
        <v>1.8386819999999999E-3</v>
      </c>
      <c r="I871" s="2" t="s">
        <v>45927</v>
      </c>
      <c r="J871" s="2" t="s">
        <v>45928</v>
      </c>
      <c r="K871" s="2">
        <v>7.8466879999999992E-3</v>
      </c>
      <c r="L871" s="2" t="s">
        <v>606</v>
      </c>
      <c r="M871" s="4" t="s">
        <v>45929</v>
      </c>
    </row>
    <row r="872" spans="1:13">
      <c r="A872" s="2">
        <v>293</v>
      </c>
      <c r="B872" s="2" t="s">
        <v>26838</v>
      </c>
      <c r="C872" s="2">
        <v>16</v>
      </c>
      <c r="D872" s="2">
        <v>291</v>
      </c>
      <c r="E872" s="2">
        <v>765</v>
      </c>
      <c r="F872" s="2">
        <v>32441</v>
      </c>
      <c r="G872" s="2">
        <v>2.331630842</v>
      </c>
      <c r="H872" s="2">
        <v>1.839654E-3</v>
      </c>
      <c r="I872" s="2" t="s">
        <v>45930</v>
      </c>
      <c r="J872" s="2" t="s">
        <v>45931</v>
      </c>
      <c r="K872" s="2">
        <v>7.8466879999999992E-3</v>
      </c>
      <c r="L872" s="2" t="s">
        <v>606</v>
      </c>
      <c r="M872" s="4" t="s">
        <v>26841</v>
      </c>
    </row>
    <row r="873" spans="1:13">
      <c r="A873" s="2">
        <v>375</v>
      </c>
      <c r="B873" s="2" t="s">
        <v>27472</v>
      </c>
      <c r="C873" s="2">
        <v>8</v>
      </c>
      <c r="D873" s="2">
        <v>291</v>
      </c>
      <c r="E873" s="2">
        <v>242</v>
      </c>
      <c r="F873" s="2">
        <v>32441</v>
      </c>
      <c r="G873" s="2">
        <v>3.6853256079999999</v>
      </c>
      <c r="H873" s="2">
        <v>1.88517E-3</v>
      </c>
      <c r="I873" s="2" t="s">
        <v>45932</v>
      </c>
      <c r="J873" s="2" t="s">
        <v>45933</v>
      </c>
      <c r="K873" s="2">
        <v>7.9221010000000008E-3</v>
      </c>
      <c r="L873" s="2" t="s">
        <v>606</v>
      </c>
      <c r="M873" s="4" t="s">
        <v>27475</v>
      </c>
    </row>
    <row r="874" spans="1:13">
      <c r="A874" s="2">
        <v>412</v>
      </c>
      <c r="B874" s="2" t="s">
        <v>6680</v>
      </c>
      <c r="C874" s="2">
        <v>8</v>
      </c>
      <c r="D874" s="2">
        <v>291</v>
      </c>
      <c r="E874" s="2">
        <v>242</v>
      </c>
      <c r="F874" s="2">
        <v>32441</v>
      </c>
      <c r="G874" s="2">
        <v>3.6853256079999999</v>
      </c>
      <c r="H874" s="2">
        <v>1.88517E-3</v>
      </c>
      <c r="I874" s="2" t="s">
        <v>45934</v>
      </c>
      <c r="J874" s="2" t="s">
        <v>45935</v>
      </c>
      <c r="K874" s="2">
        <v>7.9221010000000008E-3</v>
      </c>
      <c r="L874" s="2" t="s">
        <v>606</v>
      </c>
      <c r="M874" s="4" t="s">
        <v>6683</v>
      </c>
    </row>
    <row r="875" spans="1:13">
      <c r="A875" s="2">
        <v>8031</v>
      </c>
      <c r="B875" s="2" t="s">
        <v>6688</v>
      </c>
      <c r="C875" s="2">
        <v>7</v>
      </c>
      <c r="D875" s="2">
        <v>291</v>
      </c>
      <c r="E875" s="2">
        <v>188</v>
      </c>
      <c r="F875" s="2">
        <v>32441</v>
      </c>
      <c r="G875" s="2">
        <v>4.1508920079999996</v>
      </c>
      <c r="H875" s="2">
        <v>1.8857629999999999E-3</v>
      </c>
      <c r="I875" s="2" t="s">
        <v>45936</v>
      </c>
      <c r="J875" s="2" t="s">
        <v>45937</v>
      </c>
      <c r="K875" s="2">
        <v>7.9221010000000008E-3</v>
      </c>
      <c r="L875" s="2" t="s">
        <v>606</v>
      </c>
      <c r="M875" s="4" t="s">
        <v>6691</v>
      </c>
    </row>
    <row r="876" spans="1:13">
      <c r="A876" s="2">
        <v>89</v>
      </c>
      <c r="B876" s="2" t="s">
        <v>45938</v>
      </c>
      <c r="C876" s="2">
        <v>8</v>
      </c>
      <c r="D876" s="2">
        <v>291</v>
      </c>
      <c r="E876" s="2">
        <v>243</v>
      </c>
      <c r="F876" s="2">
        <v>32441</v>
      </c>
      <c r="G876" s="2">
        <v>3.6701596589999999</v>
      </c>
      <c r="H876" s="2">
        <v>1.9325810000000001E-3</v>
      </c>
      <c r="I876" s="2" t="s">
        <v>45939</v>
      </c>
      <c r="J876" s="2" t="s">
        <v>45940</v>
      </c>
      <c r="K876" s="2">
        <v>8.0379979999999993E-3</v>
      </c>
      <c r="L876" s="2" t="s">
        <v>606</v>
      </c>
      <c r="M876" s="4" t="s">
        <v>45941</v>
      </c>
    </row>
    <row r="877" spans="1:13">
      <c r="A877" s="2">
        <v>283</v>
      </c>
      <c r="B877" s="2" t="s">
        <v>45942</v>
      </c>
      <c r="C877" s="2">
        <v>8</v>
      </c>
      <c r="D877" s="2">
        <v>291</v>
      </c>
      <c r="E877" s="2">
        <v>243</v>
      </c>
      <c r="F877" s="2">
        <v>32441</v>
      </c>
      <c r="G877" s="2">
        <v>3.6701596589999999</v>
      </c>
      <c r="H877" s="2">
        <v>1.9325810000000001E-3</v>
      </c>
      <c r="I877" s="2" t="s">
        <v>45943</v>
      </c>
      <c r="J877" s="2" t="s">
        <v>45944</v>
      </c>
      <c r="K877" s="2">
        <v>8.0379979999999993E-3</v>
      </c>
      <c r="L877" s="2" t="s">
        <v>606</v>
      </c>
      <c r="M877" s="4" t="s">
        <v>45945</v>
      </c>
    </row>
    <row r="878" spans="1:13">
      <c r="A878" s="2">
        <v>35</v>
      </c>
      <c r="B878" s="2" t="s">
        <v>26092</v>
      </c>
      <c r="C878" s="2">
        <v>8</v>
      </c>
      <c r="D878" s="2">
        <v>291</v>
      </c>
      <c r="E878" s="2">
        <v>246</v>
      </c>
      <c r="F878" s="2">
        <v>32441</v>
      </c>
      <c r="G878" s="2">
        <v>3.6254016149999999</v>
      </c>
      <c r="H878" s="2">
        <v>2.0804759999999999E-3</v>
      </c>
      <c r="I878" s="2" t="s">
        <v>45946</v>
      </c>
      <c r="J878" s="2" t="s">
        <v>45947</v>
      </c>
      <c r="K878" s="2">
        <v>8.5678730000000002E-3</v>
      </c>
      <c r="L878" s="2" t="s">
        <v>606</v>
      </c>
      <c r="M878" s="4" t="s">
        <v>26095</v>
      </c>
    </row>
    <row r="879" spans="1:13">
      <c r="A879" s="2">
        <v>332</v>
      </c>
      <c r="B879" s="2" t="s">
        <v>6869</v>
      </c>
      <c r="C879" s="2">
        <v>8</v>
      </c>
      <c r="D879" s="2">
        <v>291</v>
      </c>
      <c r="E879" s="2">
        <v>246</v>
      </c>
      <c r="F879" s="2">
        <v>32441</v>
      </c>
      <c r="G879" s="2">
        <v>3.6254016149999999</v>
      </c>
      <c r="H879" s="2">
        <v>2.0804759999999999E-3</v>
      </c>
      <c r="I879" s="2" t="s">
        <v>45948</v>
      </c>
      <c r="J879" s="2" t="s">
        <v>45949</v>
      </c>
      <c r="K879" s="2">
        <v>8.5678730000000002E-3</v>
      </c>
      <c r="L879" s="2" t="s">
        <v>606</v>
      </c>
      <c r="M879" s="4" t="s">
        <v>6872</v>
      </c>
    </row>
    <row r="880" spans="1:13">
      <c r="A880" s="2">
        <v>8121</v>
      </c>
      <c r="B880" s="2" t="s">
        <v>45950</v>
      </c>
      <c r="C880" s="2">
        <v>18</v>
      </c>
      <c r="D880" s="2">
        <v>291</v>
      </c>
      <c r="E880" s="2">
        <v>924</v>
      </c>
      <c r="F880" s="2">
        <v>32441</v>
      </c>
      <c r="G880" s="2">
        <v>2.1717097339999998</v>
      </c>
      <c r="H880" s="2">
        <v>2.092755E-3</v>
      </c>
      <c r="I880" s="2" t="s">
        <v>45951</v>
      </c>
      <c r="J880" s="2" t="s">
        <v>45952</v>
      </c>
      <c r="K880" s="2">
        <v>8.5761929999999993E-3</v>
      </c>
      <c r="L880" s="2" t="s">
        <v>606</v>
      </c>
      <c r="M880" s="4" t="s">
        <v>45953</v>
      </c>
    </row>
    <row r="881" spans="1:13">
      <c r="A881" s="2">
        <v>641</v>
      </c>
      <c r="B881" s="2" t="s">
        <v>25825</v>
      </c>
      <c r="C881" s="2">
        <v>11</v>
      </c>
      <c r="D881" s="2">
        <v>291</v>
      </c>
      <c r="E881" s="2">
        <v>433</v>
      </c>
      <c r="F881" s="2">
        <v>32441</v>
      </c>
      <c r="G881" s="2">
        <v>2.8320833630000002</v>
      </c>
      <c r="H881" s="2">
        <v>2.2534669999999999E-3</v>
      </c>
      <c r="I881" s="2" t="s">
        <v>45954</v>
      </c>
      <c r="J881" s="2" t="s">
        <v>45955</v>
      </c>
      <c r="K881" s="2">
        <v>9.1897479999999993E-3</v>
      </c>
      <c r="L881" s="2" t="s">
        <v>606</v>
      </c>
      <c r="M881" s="4" t="s">
        <v>25828</v>
      </c>
    </row>
    <row r="882" spans="1:13">
      <c r="A882" s="2">
        <v>36</v>
      </c>
      <c r="B882" s="2" t="s">
        <v>6731</v>
      </c>
      <c r="C882" s="2">
        <v>8</v>
      </c>
      <c r="D882" s="2">
        <v>291</v>
      </c>
      <c r="E882" s="2">
        <v>250</v>
      </c>
      <c r="F882" s="2">
        <v>32441</v>
      </c>
      <c r="G882" s="2">
        <v>3.567395189</v>
      </c>
      <c r="H882" s="2">
        <v>2.2913669999999999E-3</v>
      </c>
      <c r="I882" s="2" t="s">
        <v>45956</v>
      </c>
      <c r="J882" s="2" t="s">
        <v>45957</v>
      </c>
      <c r="K882" s="2">
        <v>9.2880580000000001E-3</v>
      </c>
      <c r="L882" s="2" t="s">
        <v>606</v>
      </c>
      <c r="M882" s="4" t="s">
        <v>6734</v>
      </c>
    </row>
    <row r="883" spans="1:13">
      <c r="A883" s="2">
        <v>203</v>
      </c>
      <c r="B883" s="2" t="s">
        <v>45958</v>
      </c>
      <c r="C883" s="2">
        <v>7</v>
      </c>
      <c r="D883" s="2">
        <v>291</v>
      </c>
      <c r="E883" s="2">
        <v>195</v>
      </c>
      <c r="F883" s="2">
        <v>32441</v>
      </c>
      <c r="G883" s="2">
        <v>4.0018856290000002</v>
      </c>
      <c r="H883" s="2">
        <v>2.299794E-3</v>
      </c>
      <c r="I883" s="2" t="s">
        <v>45959</v>
      </c>
      <c r="J883" s="2" t="s">
        <v>45960</v>
      </c>
      <c r="K883" s="2">
        <v>9.2880580000000001E-3</v>
      </c>
      <c r="L883" s="2" t="s">
        <v>606</v>
      </c>
      <c r="M883" s="4" t="s">
        <v>45961</v>
      </c>
    </row>
    <row r="884" spans="1:13">
      <c r="A884" s="2">
        <v>483</v>
      </c>
      <c r="B884" s="2" t="s">
        <v>45962</v>
      </c>
      <c r="C884" s="2">
        <v>8</v>
      </c>
      <c r="D884" s="2">
        <v>291</v>
      </c>
      <c r="E884" s="2">
        <v>251</v>
      </c>
      <c r="F884" s="2">
        <v>32441</v>
      </c>
      <c r="G884" s="2">
        <v>3.5531824589999998</v>
      </c>
      <c r="H884" s="2">
        <v>2.3466229999999999E-3</v>
      </c>
      <c r="I884" s="2" t="s">
        <v>45963</v>
      </c>
      <c r="J884" s="2" t="s">
        <v>45964</v>
      </c>
      <c r="K884" s="2">
        <v>9.3864919999999998E-3</v>
      </c>
      <c r="L884" s="2" t="s">
        <v>606</v>
      </c>
      <c r="M884" s="4" t="s">
        <v>45965</v>
      </c>
    </row>
    <row r="885" spans="1:13">
      <c r="A885" s="2">
        <v>699</v>
      </c>
      <c r="B885" s="2" t="s">
        <v>26610</v>
      </c>
      <c r="C885" s="2">
        <v>8</v>
      </c>
      <c r="D885" s="2">
        <v>291</v>
      </c>
      <c r="E885" s="2">
        <v>251</v>
      </c>
      <c r="F885" s="2">
        <v>32441</v>
      </c>
      <c r="G885" s="2">
        <v>3.5531824589999998</v>
      </c>
      <c r="H885" s="2">
        <v>2.3466229999999999E-3</v>
      </c>
      <c r="I885" s="2" t="s">
        <v>45966</v>
      </c>
      <c r="J885" s="2" t="s">
        <v>45967</v>
      </c>
      <c r="K885" s="2">
        <v>9.3864919999999998E-3</v>
      </c>
      <c r="L885" s="2" t="s">
        <v>606</v>
      </c>
      <c r="M885" s="4" t="s">
        <v>26613</v>
      </c>
    </row>
    <row r="886" spans="1:13">
      <c r="A886" s="2">
        <v>526</v>
      </c>
      <c r="B886" s="2" t="s">
        <v>26406</v>
      </c>
      <c r="C886" s="2">
        <v>6</v>
      </c>
      <c r="D886" s="2">
        <v>291</v>
      </c>
      <c r="E886" s="2">
        <v>145</v>
      </c>
      <c r="F886" s="2">
        <v>32441</v>
      </c>
      <c r="G886" s="2">
        <v>4.6130110200000001</v>
      </c>
      <c r="H886" s="2">
        <v>2.3826490000000001E-3</v>
      </c>
      <c r="I886" s="2" t="s">
        <v>45968</v>
      </c>
      <c r="J886" s="2" t="s">
        <v>45969</v>
      </c>
      <c r="K886" s="2">
        <v>9.4852119999999998E-3</v>
      </c>
      <c r="L886" s="2" t="s">
        <v>606</v>
      </c>
      <c r="M886" s="4" t="s">
        <v>26409</v>
      </c>
    </row>
    <row r="887" spans="1:13">
      <c r="A887" s="2">
        <v>4941</v>
      </c>
      <c r="B887" s="2" t="s">
        <v>26426</v>
      </c>
      <c r="C887" s="2">
        <v>9</v>
      </c>
      <c r="D887" s="2">
        <v>291</v>
      </c>
      <c r="E887" s="2">
        <v>311</v>
      </c>
      <c r="F887" s="2">
        <v>32441</v>
      </c>
      <c r="G887" s="2">
        <v>3.226141148</v>
      </c>
      <c r="H887" s="2">
        <v>2.4123899999999999E-3</v>
      </c>
      <c r="I887" s="2" t="s">
        <v>45970</v>
      </c>
      <c r="J887" s="2" t="s">
        <v>45971</v>
      </c>
      <c r="K887" s="2">
        <v>9.5580950000000008E-3</v>
      </c>
      <c r="L887" s="2" t="s">
        <v>606</v>
      </c>
      <c r="M887" s="4" t="s">
        <v>26429</v>
      </c>
    </row>
    <row r="888" spans="1:13">
      <c r="A888" s="2">
        <v>197</v>
      </c>
      <c r="B888" s="2" t="s">
        <v>26182</v>
      </c>
      <c r="C888" s="2">
        <v>8</v>
      </c>
      <c r="D888" s="2">
        <v>291</v>
      </c>
      <c r="E888" s="2">
        <v>253</v>
      </c>
      <c r="F888" s="2">
        <v>32441</v>
      </c>
      <c r="G888" s="2">
        <v>3.5250940599999998</v>
      </c>
      <c r="H888" s="2">
        <v>2.4602679999999998E-3</v>
      </c>
      <c r="I888" s="2" t="s">
        <v>45972</v>
      </c>
      <c r="J888" s="2" t="s">
        <v>45973</v>
      </c>
      <c r="K888" s="2">
        <v>9.6562650000000007E-3</v>
      </c>
      <c r="L888" s="2" t="s">
        <v>606</v>
      </c>
      <c r="M888" s="4" t="s">
        <v>26185</v>
      </c>
    </row>
    <row r="889" spans="1:13">
      <c r="A889" s="2">
        <v>472</v>
      </c>
      <c r="B889" s="2" t="s">
        <v>27304</v>
      </c>
      <c r="C889" s="2">
        <v>8</v>
      </c>
      <c r="D889" s="2">
        <v>291</v>
      </c>
      <c r="E889" s="2">
        <v>253</v>
      </c>
      <c r="F889" s="2">
        <v>32441</v>
      </c>
      <c r="G889" s="2">
        <v>3.5250940599999998</v>
      </c>
      <c r="H889" s="2">
        <v>2.4602679999999998E-3</v>
      </c>
      <c r="I889" s="2" t="s">
        <v>45974</v>
      </c>
      <c r="J889" s="2" t="s">
        <v>45975</v>
      </c>
      <c r="K889" s="2">
        <v>9.6562650000000007E-3</v>
      </c>
      <c r="L889" s="2" t="s">
        <v>606</v>
      </c>
      <c r="M889" s="4" t="s">
        <v>27307</v>
      </c>
    </row>
    <row r="890" spans="1:13">
      <c r="A890" s="2">
        <v>420</v>
      </c>
      <c r="B890" s="2" t="s">
        <v>45976</v>
      </c>
      <c r="C890" s="2">
        <v>7</v>
      </c>
      <c r="D890" s="2">
        <v>291</v>
      </c>
      <c r="E890" s="2">
        <v>198</v>
      </c>
      <c r="F890" s="2">
        <v>32441</v>
      </c>
      <c r="G890" s="2">
        <v>3.9412509980000001</v>
      </c>
      <c r="H890" s="2">
        <v>2.4973040000000001E-3</v>
      </c>
      <c r="I890" s="2" t="s">
        <v>45977</v>
      </c>
      <c r="J890" s="2" t="s">
        <v>45978</v>
      </c>
      <c r="K890" s="2">
        <v>9.7558230000000003E-3</v>
      </c>
      <c r="L890" s="2" t="s">
        <v>606</v>
      </c>
      <c r="M890" s="4" t="s">
        <v>45979</v>
      </c>
    </row>
    <row r="891" spans="1:13">
      <c r="A891" s="2">
        <v>273</v>
      </c>
      <c r="B891" s="2" t="s">
        <v>27422</v>
      </c>
      <c r="C891" s="2">
        <v>5</v>
      </c>
      <c r="D891" s="2">
        <v>291</v>
      </c>
      <c r="E891" s="2">
        <v>100</v>
      </c>
      <c r="F891" s="2">
        <v>32441</v>
      </c>
      <c r="G891" s="2">
        <v>5.5740549829999999</v>
      </c>
      <c r="H891" s="2">
        <v>2.5128889999999999E-3</v>
      </c>
      <c r="I891" s="2" t="s">
        <v>45980</v>
      </c>
      <c r="J891" s="2" t="s">
        <v>45981</v>
      </c>
      <c r="K891" s="2">
        <v>9.7710479999999992E-3</v>
      </c>
      <c r="L891" s="2" t="s">
        <v>606</v>
      </c>
      <c r="M891" s="4" t="s">
        <v>27425</v>
      </c>
    </row>
    <row r="892" spans="1:13">
      <c r="A892" s="2">
        <v>181</v>
      </c>
      <c r="B892" s="2" t="s">
        <v>45982</v>
      </c>
      <c r="C892" s="2">
        <v>8</v>
      </c>
      <c r="D892" s="2">
        <v>291</v>
      </c>
      <c r="E892" s="2">
        <v>255</v>
      </c>
      <c r="F892" s="2">
        <v>32441</v>
      </c>
      <c r="G892" s="2">
        <v>3.4974462640000001</v>
      </c>
      <c r="H892" s="2">
        <v>2.578182E-3</v>
      </c>
      <c r="I892" s="2" t="s">
        <v>45983</v>
      </c>
      <c r="J892" s="2" t="s">
        <v>45984</v>
      </c>
      <c r="K892" s="2">
        <v>9.7970899999999996E-3</v>
      </c>
      <c r="L892" s="2" t="s">
        <v>606</v>
      </c>
      <c r="M892" s="4" t="s">
        <v>45985</v>
      </c>
    </row>
    <row r="893" spans="1:13">
      <c r="A893" s="2">
        <v>372</v>
      </c>
      <c r="B893" s="2" t="s">
        <v>45986</v>
      </c>
      <c r="C893" s="2">
        <v>8</v>
      </c>
      <c r="D893" s="2">
        <v>291</v>
      </c>
      <c r="E893" s="2">
        <v>255</v>
      </c>
      <c r="F893" s="2">
        <v>32441</v>
      </c>
      <c r="G893" s="2">
        <v>3.4974462640000001</v>
      </c>
      <c r="H893" s="2">
        <v>2.578182E-3</v>
      </c>
      <c r="I893" s="2" t="s">
        <v>45987</v>
      </c>
      <c r="J893" s="2" t="s">
        <v>45988</v>
      </c>
      <c r="K893" s="2">
        <v>9.7970899999999996E-3</v>
      </c>
      <c r="L893" s="2" t="s">
        <v>606</v>
      </c>
      <c r="M893" s="4" t="s">
        <v>45989</v>
      </c>
    </row>
    <row r="894" spans="1:13">
      <c r="A894" s="2">
        <v>423</v>
      </c>
      <c r="B894" s="2" t="s">
        <v>26728</v>
      </c>
      <c r="C894" s="2">
        <v>8</v>
      </c>
      <c r="D894" s="2">
        <v>291</v>
      </c>
      <c r="E894" s="2">
        <v>255</v>
      </c>
      <c r="F894" s="2">
        <v>32441</v>
      </c>
      <c r="G894" s="2">
        <v>3.4974462640000001</v>
      </c>
      <c r="H894" s="2">
        <v>2.578182E-3</v>
      </c>
      <c r="I894" s="2" t="s">
        <v>45990</v>
      </c>
      <c r="J894" s="2" t="s">
        <v>45991</v>
      </c>
      <c r="K894" s="2">
        <v>9.7970899999999996E-3</v>
      </c>
      <c r="L894" s="2" t="s">
        <v>606</v>
      </c>
      <c r="M894" s="4" t="s">
        <v>26731</v>
      </c>
    </row>
    <row r="895" spans="1:13">
      <c r="A895" s="2">
        <v>460</v>
      </c>
      <c r="B895" s="2" t="s">
        <v>27550</v>
      </c>
      <c r="C895" s="2">
        <v>8</v>
      </c>
      <c r="D895" s="2">
        <v>291</v>
      </c>
      <c r="E895" s="2">
        <v>255</v>
      </c>
      <c r="F895" s="2">
        <v>32441</v>
      </c>
      <c r="G895" s="2">
        <v>3.4974462640000001</v>
      </c>
      <c r="H895" s="2">
        <v>2.578182E-3</v>
      </c>
      <c r="I895" s="2" t="s">
        <v>45992</v>
      </c>
      <c r="J895" s="2" t="s">
        <v>45993</v>
      </c>
      <c r="K895" s="2">
        <v>9.7970899999999996E-3</v>
      </c>
      <c r="L895" s="2" t="s">
        <v>606</v>
      </c>
      <c r="M895" s="4" t="s">
        <v>27553</v>
      </c>
    </row>
    <row r="896" spans="1:13">
      <c r="A896" s="2">
        <v>620</v>
      </c>
      <c r="B896" s="2" t="s">
        <v>26886</v>
      </c>
      <c r="C896" s="2">
        <v>4</v>
      </c>
      <c r="D896" s="2">
        <v>291</v>
      </c>
      <c r="E896" s="2">
        <v>60</v>
      </c>
      <c r="F896" s="2">
        <v>32441</v>
      </c>
      <c r="G896" s="2">
        <v>7.4320733099999998</v>
      </c>
      <c r="H896" s="2">
        <v>2.5577870000000002E-3</v>
      </c>
      <c r="I896" s="2" t="s">
        <v>45994</v>
      </c>
      <c r="J896" s="2" t="s">
        <v>45995</v>
      </c>
      <c r="K896" s="2">
        <v>9.7970899999999996E-3</v>
      </c>
      <c r="L896" s="2" t="s">
        <v>606</v>
      </c>
      <c r="M896" s="4" t="s">
        <v>26889</v>
      </c>
    </row>
    <row r="897" spans="1:13">
      <c r="A897" s="2">
        <v>288</v>
      </c>
      <c r="B897" s="2" t="s">
        <v>45996</v>
      </c>
      <c r="C897" s="2">
        <v>8</v>
      </c>
      <c r="D897" s="2">
        <v>291</v>
      </c>
      <c r="E897" s="2">
        <v>256</v>
      </c>
      <c r="F897" s="2">
        <v>32441</v>
      </c>
      <c r="G897" s="2">
        <v>3.4837843639999999</v>
      </c>
      <c r="H897" s="2">
        <v>2.6387720000000002E-3</v>
      </c>
      <c r="I897" s="2" t="s">
        <v>45997</v>
      </c>
      <c r="J897" s="2" t="s">
        <v>45998</v>
      </c>
      <c r="K897" s="2">
        <v>9.9819620000000005E-3</v>
      </c>
      <c r="L897" s="2" t="s">
        <v>606</v>
      </c>
      <c r="M897" s="4" t="s">
        <v>45999</v>
      </c>
    </row>
    <row r="898" spans="1:13">
      <c r="A898" s="2">
        <v>295</v>
      </c>
      <c r="B898" s="2" t="s">
        <v>46000</v>
      </c>
      <c r="C898" s="2">
        <v>8</v>
      </c>
      <c r="D898" s="2">
        <v>291</v>
      </c>
      <c r="E898" s="2">
        <v>258</v>
      </c>
      <c r="F898" s="2">
        <v>32441</v>
      </c>
      <c r="G898" s="2">
        <v>3.4567782839999999</v>
      </c>
      <c r="H898" s="2">
        <v>2.7632910000000002E-3</v>
      </c>
      <c r="I898" s="2" t="s">
        <v>46001</v>
      </c>
      <c r="J898" s="2" t="s">
        <v>46002</v>
      </c>
      <c r="K898" s="2">
        <v>1.0405908E-2</v>
      </c>
      <c r="L898" s="2" t="s">
        <v>606</v>
      </c>
      <c r="M898" s="4" t="s">
        <v>46003</v>
      </c>
    </row>
    <row r="899" spans="1:13">
      <c r="A899" s="2">
        <v>653</v>
      </c>
      <c r="B899" s="2" t="s">
        <v>26438</v>
      </c>
      <c r="C899" s="2">
        <v>7</v>
      </c>
      <c r="D899" s="2">
        <v>291</v>
      </c>
      <c r="E899" s="2">
        <v>202</v>
      </c>
      <c r="F899" s="2">
        <v>32441</v>
      </c>
      <c r="G899" s="2">
        <v>3.8632064239999999</v>
      </c>
      <c r="H899" s="2">
        <v>2.7806570000000002E-3</v>
      </c>
      <c r="I899" s="2" t="s">
        <v>46004</v>
      </c>
      <c r="J899" s="2" t="s">
        <v>46005</v>
      </c>
      <c r="K899" s="2">
        <v>1.0424347E-2</v>
      </c>
      <c r="L899" s="2" t="s">
        <v>606</v>
      </c>
      <c r="M899" s="4" t="s">
        <v>26441</v>
      </c>
    </row>
    <row r="900" spans="1:13">
      <c r="A900" s="2">
        <v>232</v>
      </c>
      <c r="B900" s="2" t="s">
        <v>26634</v>
      </c>
      <c r="C900" s="2">
        <v>8</v>
      </c>
      <c r="D900" s="2">
        <v>291</v>
      </c>
      <c r="E900" s="2">
        <v>259</v>
      </c>
      <c r="F900" s="2">
        <v>32441</v>
      </c>
      <c r="G900" s="2">
        <v>3.44343165</v>
      </c>
      <c r="H900" s="2">
        <v>2.8272470000000002E-3</v>
      </c>
      <c r="I900" s="2" t="s">
        <v>46006</v>
      </c>
      <c r="J900" s="2" t="s">
        <v>46007</v>
      </c>
      <c r="K900" s="2">
        <v>1.0551690000000001E-2</v>
      </c>
      <c r="L900" s="2" t="s">
        <v>606</v>
      </c>
      <c r="M900" s="4" t="s">
        <v>26637</v>
      </c>
    </row>
    <row r="901" spans="1:13">
      <c r="A901" s="2">
        <v>727</v>
      </c>
      <c r="B901" s="2" t="s">
        <v>46008</v>
      </c>
      <c r="C901" s="2">
        <v>3</v>
      </c>
      <c r="D901" s="2">
        <v>291</v>
      </c>
      <c r="E901" s="2">
        <v>29</v>
      </c>
      <c r="F901" s="2">
        <v>32441</v>
      </c>
      <c r="G901" s="2">
        <v>11.532527549999999</v>
      </c>
      <c r="H901" s="2">
        <v>2.8503309999999998E-3</v>
      </c>
      <c r="I901" s="2" t="s">
        <v>46009</v>
      </c>
      <c r="J901" s="2" t="s">
        <v>46010</v>
      </c>
      <c r="K901" s="2">
        <v>1.0590563000000001E-2</v>
      </c>
      <c r="L901" s="2" t="s">
        <v>606</v>
      </c>
      <c r="M901" s="4" t="s">
        <v>46011</v>
      </c>
    </row>
    <row r="902" spans="1:13">
      <c r="A902" s="2">
        <v>504</v>
      </c>
      <c r="B902" s="2" t="s">
        <v>25796</v>
      </c>
      <c r="C902" s="2">
        <v>11</v>
      </c>
      <c r="D902" s="2">
        <v>291</v>
      </c>
      <c r="E902" s="2">
        <v>448</v>
      </c>
      <c r="F902" s="2">
        <v>32441</v>
      </c>
      <c r="G902" s="2">
        <v>2.7372591430000002</v>
      </c>
      <c r="H902" s="2">
        <v>2.9044930000000002E-3</v>
      </c>
      <c r="I902" s="2" t="s">
        <v>46012</v>
      </c>
      <c r="J902" s="2" t="s">
        <v>46013</v>
      </c>
      <c r="K902" s="2">
        <v>1.0744053E-2</v>
      </c>
      <c r="L902" s="2" t="s">
        <v>606</v>
      </c>
      <c r="M902" s="4" t="s">
        <v>25799</v>
      </c>
    </row>
    <row r="903" spans="1:13">
      <c r="A903" s="2">
        <v>47</v>
      </c>
      <c r="B903" s="2" t="s">
        <v>46014</v>
      </c>
      <c r="C903" s="2">
        <v>5</v>
      </c>
      <c r="D903" s="2">
        <v>291</v>
      </c>
      <c r="E903" s="2">
        <v>104</v>
      </c>
      <c r="F903" s="2">
        <v>32441</v>
      </c>
      <c r="G903" s="2">
        <v>5.3596682529999997</v>
      </c>
      <c r="H903" s="2">
        <v>2.9544990000000002E-3</v>
      </c>
      <c r="I903" s="2" t="s">
        <v>46015</v>
      </c>
      <c r="J903" s="2" t="s">
        <v>46016</v>
      </c>
      <c r="K903" s="2">
        <v>1.0785856999999999E-2</v>
      </c>
      <c r="L903" s="2" t="s">
        <v>606</v>
      </c>
      <c r="M903" s="4" t="s">
        <v>46017</v>
      </c>
    </row>
    <row r="904" spans="1:13">
      <c r="A904" s="2">
        <v>475</v>
      </c>
      <c r="B904" s="2" t="s">
        <v>46018</v>
      </c>
      <c r="C904" s="2">
        <v>7</v>
      </c>
      <c r="D904" s="2">
        <v>291</v>
      </c>
      <c r="E904" s="2">
        <v>204</v>
      </c>
      <c r="F904" s="2">
        <v>32441</v>
      </c>
      <c r="G904" s="2">
        <v>3.8253318510000001</v>
      </c>
      <c r="H904" s="2">
        <v>2.931267E-3</v>
      </c>
      <c r="I904" s="2" t="s">
        <v>46019</v>
      </c>
      <c r="J904" s="2" t="s">
        <v>46020</v>
      </c>
      <c r="K904" s="2">
        <v>1.0785856999999999E-2</v>
      </c>
      <c r="L904" s="2" t="s">
        <v>606</v>
      </c>
      <c r="M904" s="4" t="s">
        <v>46021</v>
      </c>
    </row>
    <row r="905" spans="1:13">
      <c r="A905" s="2">
        <v>761</v>
      </c>
      <c r="B905" s="2" t="s">
        <v>46022</v>
      </c>
      <c r="C905" s="2">
        <v>5</v>
      </c>
      <c r="D905" s="2">
        <v>291</v>
      </c>
      <c r="E905" s="2">
        <v>104</v>
      </c>
      <c r="F905" s="2">
        <v>32441</v>
      </c>
      <c r="G905" s="2">
        <v>5.3596682529999997</v>
      </c>
      <c r="H905" s="2">
        <v>2.9544990000000002E-3</v>
      </c>
      <c r="I905" s="2" t="s">
        <v>46023</v>
      </c>
      <c r="J905" s="2" t="s">
        <v>46024</v>
      </c>
      <c r="K905" s="2">
        <v>1.0785856999999999E-2</v>
      </c>
      <c r="L905" s="2" t="s">
        <v>606</v>
      </c>
      <c r="M905" s="4" t="s">
        <v>46025</v>
      </c>
    </row>
    <row r="906" spans="1:13">
      <c r="A906" s="2">
        <v>211</v>
      </c>
      <c r="B906" s="2" t="s">
        <v>27170</v>
      </c>
      <c r="C906" s="2">
        <v>8</v>
      </c>
      <c r="D906" s="2">
        <v>291</v>
      </c>
      <c r="E906" s="2">
        <v>262</v>
      </c>
      <c r="F906" s="2">
        <v>32441</v>
      </c>
      <c r="G906" s="2">
        <v>3.4040030429999999</v>
      </c>
      <c r="H906" s="2">
        <v>3.0260669999999999E-3</v>
      </c>
      <c r="I906" s="2" t="s">
        <v>46006</v>
      </c>
      <c r="J906" s="2" t="s">
        <v>46007</v>
      </c>
      <c r="K906" s="2">
        <v>1.0951479E-2</v>
      </c>
      <c r="L906" s="2" t="s">
        <v>606</v>
      </c>
      <c r="M906" s="4" t="s">
        <v>27171</v>
      </c>
    </row>
    <row r="907" spans="1:13">
      <c r="A907" s="2">
        <v>426</v>
      </c>
      <c r="B907" s="2" t="s">
        <v>46026</v>
      </c>
      <c r="C907" s="2">
        <v>8</v>
      </c>
      <c r="D907" s="2">
        <v>291</v>
      </c>
      <c r="E907" s="2">
        <v>262</v>
      </c>
      <c r="F907" s="2">
        <v>32441</v>
      </c>
      <c r="G907" s="2">
        <v>3.4040030429999999</v>
      </c>
      <c r="H907" s="2">
        <v>3.0260669999999999E-3</v>
      </c>
      <c r="I907" s="2" t="s">
        <v>46027</v>
      </c>
      <c r="J907" s="2" t="s">
        <v>46028</v>
      </c>
      <c r="K907" s="2">
        <v>1.0951479E-2</v>
      </c>
      <c r="L907" s="2" t="s">
        <v>606</v>
      </c>
      <c r="M907" s="4" t="s">
        <v>46029</v>
      </c>
    </row>
    <row r="908" spans="1:13">
      <c r="A908" s="2">
        <v>301</v>
      </c>
      <c r="B908" s="2" t="s">
        <v>27626</v>
      </c>
      <c r="C908" s="2">
        <v>8</v>
      </c>
      <c r="D908" s="2">
        <v>291</v>
      </c>
      <c r="E908" s="2">
        <v>264</v>
      </c>
      <c r="F908" s="2">
        <v>32441</v>
      </c>
      <c r="G908" s="2">
        <v>3.3782151410000001</v>
      </c>
      <c r="H908" s="2">
        <v>3.1645470000000002E-3</v>
      </c>
      <c r="I908" s="2" t="s">
        <v>46030</v>
      </c>
      <c r="J908" s="2" t="s">
        <v>46031</v>
      </c>
      <c r="K908" s="2">
        <v>1.1321019999999999E-2</v>
      </c>
      <c r="L908" s="2" t="s">
        <v>606</v>
      </c>
      <c r="M908" s="4" t="s">
        <v>27629</v>
      </c>
    </row>
    <row r="909" spans="1:13">
      <c r="A909" s="2">
        <v>384</v>
      </c>
      <c r="B909" s="2" t="s">
        <v>6881</v>
      </c>
      <c r="C909" s="2">
        <v>8</v>
      </c>
      <c r="D909" s="2">
        <v>291</v>
      </c>
      <c r="E909" s="2">
        <v>264</v>
      </c>
      <c r="F909" s="2">
        <v>32441</v>
      </c>
      <c r="G909" s="2">
        <v>3.3782151410000001</v>
      </c>
      <c r="H909" s="2">
        <v>3.1645470000000002E-3</v>
      </c>
      <c r="I909" s="2" t="s">
        <v>46032</v>
      </c>
      <c r="J909" s="2" t="s">
        <v>46033</v>
      </c>
      <c r="K909" s="2">
        <v>1.1321019999999999E-2</v>
      </c>
      <c r="L909" s="2" t="s">
        <v>606</v>
      </c>
      <c r="M909" s="4" t="s">
        <v>6884</v>
      </c>
    </row>
    <row r="910" spans="1:13">
      <c r="A910" s="2">
        <v>569</v>
      </c>
      <c r="B910" s="2" t="s">
        <v>26194</v>
      </c>
      <c r="C910" s="2">
        <v>7</v>
      </c>
      <c r="D910" s="2">
        <v>291</v>
      </c>
      <c r="E910" s="2">
        <v>207</v>
      </c>
      <c r="F910" s="2">
        <v>32441</v>
      </c>
      <c r="G910" s="2">
        <v>3.7698922590000001</v>
      </c>
      <c r="H910" s="2">
        <v>3.1688020000000001E-3</v>
      </c>
      <c r="I910" s="2" t="s">
        <v>46034</v>
      </c>
      <c r="J910" s="2" t="s">
        <v>46035</v>
      </c>
      <c r="K910" s="2">
        <v>1.1321019999999999E-2</v>
      </c>
      <c r="L910" s="2" t="s">
        <v>606</v>
      </c>
      <c r="M910" s="4" t="s">
        <v>26197</v>
      </c>
    </row>
    <row r="911" spans="1:13">
      <c r="A911" s="2">
        <v>502</v>
      </c>
      <c r="B911" s="2" t="s">
        <v>46036</v>
      </c>
      <c r="C911" s="2">
        <v>14</v>
      </c>
      <c r="D911" s="2">
        <v>291</v>
      </c>
      <c r="E911" s="2">
        <v>664</v>
      </c>
      <c r="F911" s="2">
        <v>32441</v>
      </c>
      <c r="G911" s="2">
        <v>2.3505051130000001</v>
      </c>
      <c r="H911" s="2">
        <v>3.2449029999999999E-3</v>
      </c>
      <c r="I911" s="2" t="s">
        <v>46037</v>
      </c>
      <c r="J911" s="2" t="s">
        <v>46038</v>
      </c>
      <c r="K911" s="2">
        <v>1.154357E-2</v>
      </c>
      <c r="L911" s="2" t="s">
        <v>606</v>
      </c>
      <c r="M911" s="4" t="s">
        <v>46039</v>
      </c>
    </row>
    <row r="912" spans="1:13">
      <c r="A912" s="2">
        <v>145</v>
      </c>
      <c r="B912" s="2" t="s">
        <v>46040</v>
      </c>
      <c r="C912" s="2">
        <v>8</v>
      </c>
      <c r="D912" s="2">
        <v>291</v>
      </c>
      <c r="E912" s="2">
        <v>266</v>
      </c>
      <c r="F912" s="2">
        <v>32441</v>
      </c>
      <c r="G912" s="2">
        <v>3.3528150270000001</v>
      </c>
      <c r="H912" s="2">
        <v>3.3079070000000001E-3</v>
      </c>
      <c r="I912" s="2" t="s">
        <v>46041</v>
      </c>
      <c r="J912" s="2" t="s">
        <v>46042</v>
      </c>
      <c r="K912" s="2">
        <v>1.1619371E-2</v>
      </c>
      <c r="L912" s="2" t="s">
        <v>606</v>
      </c>
      <c r="M912" s="4" t="s">
        <v>46043</v>
      </c>
    </row>
    <row r="913" spans="1:13">
      <c r="A913" s="2">
        <v>409</v>
      </c>
      <c r="B913" s="2" t="s">
        <v>6723</v>
      </c>
      <c r="C913" s="2">
        <v>8</v>
      </c>
      <c r="D913" s="2">
        <v>291</v>
      </c>
      <c r="E913" s="2">
        <v>266</v>
      </c>
      <c r="F913" s="2">
        <v>32441</v>
      </c>
      <c r="G913" s="2">
        <v>3.3528150270000001</v>
      </c>
      <c r="H913" s="2">
        <v>3.3079070000000001E-3</v>
      </c>
      <c r="I913" s="2" t="s">
        <v>46044</v>
      </c>
      <c r="J913" s="2" t="s">
        <v>46045</v>
      </c>
      <c r="K913" s="2">
        <v>1.1619371E-2</v>
      </c>
      <c r="L913" s="2" t="s">
        <v>606</v>
      </c>
      <c r="M913" s="4" t="s">
        <v>6726</v>
      </c>
    </row>
    <row r="914" spans="1:13">
      <c r="A914" s="2">
        <v>479</v>
      </c>
      <c r="B914" s="2" t="s">
        <v>46046</v>
      </c>
      <c r="C914" s="2">
        <v>8</v>
      </c>
      <c r="D914" s="2">
        <v>291</v>
      </c>
      <c r="E914" s="2">
        <v>266</v>
      </c>
      <c r="F914" s="2">
        <v>32441</v>
      </c>
      <c r="G914" s="2">
        <v>3.3528150270000001</v>
      </c>
      <c r="H914" s="2">
        <v>3.3079070000000001E-3</v>
      </c>
      <c r="I914" s="2" t="s">
        <v>46047</v>
      </c>
      <c r="J914" s="2" t="s">
        <v>46048</v>
      </c>
      <c r="K914" s="2">
        <v>1.1619371E-2</v>
      </c>
      <c r="L914" s="2" t="s">
        <v>606</v>
      </c>
      <c r="M914" s="4" t="s">
        <v>46049</v>
      </c>
    </row>
    <row r="915" spans="1:13">
      <c r="A915" s="2">
        <v>490</v>
      </c>
      <c r="B915" s="2" t="s">
        <v>25813</v>
      </c>
      <c r="C915" s="2">
        <v>13</v>
      </c>
      <c r="D915" s="2">
        <v>291</v>
      </c>
      <c r="E915" s="2">
        <v>595</v>
      </c>
      <c r="F915" s="2">
        <v>32441</v>
      </c>
      <c r="G915" s="2">
        <v>2.4357215050000001</v>
      </c>
      <c r="H915" s="2">
        <v>3.3590199999999999E-3</v>
      </c>
      <c r="I915" s="2" t="s">
        <v>46050</v>
      </c>
      <c r="J915" s="2" t="s">
        <v>46051</v>
      </c>
      <c r="K915" s="2">
        <v>1.1749544000000001E-2</v>
      </c>
      <c r="L915" s="2" t="s">
        <v>606</v>
      </c>
      <c r="M915" s="4" t="s">
        <v>25816</v>
      </c>
    </row>
    <row r="916" spans="1:13">
      <c r="A916" s="2">
        <v>67</v>
      </c>
      <c r="B916" s="2" t="s">
        <v>46052</v>
      </c>
      <c r="C916" s="2">
        <v>5</v>
      </c>
      <c r="D916" s="2">
        <v>291</v>
      </c>
      <c r="E916" s="2">
        <v>108</v>
      </c>
      <c r="F916" s="2">
        <v>32441</v>
      </c>
      <c r="G916" s="2">
        <v>5.161162021</v>
      </c>
      <c r="H916" s="2">
        <v>3.449588E-3</v>
      </c>
      <c r="I916" s="2" t="s">
        <v>46053</v>
      </c>
      <c r="J916" s="2" t="s">
        <v>46054</v>
      </c>
      <c r="K916" s="2">
        <v>1.2016066000000001E-2</v>
      </c>
      <c r="L916" s="2" t="s">
        <v>606</v>
      </c>
      <c r="M916" s="4" t="s">
        <v>46055</v>
      </c>
    </row>
    <row r="917" spans="1:13">
      <c r="A917" s="2">
        <v>94</v>
      </c>
      <c r="B917" s="2" t="s">
        <v>46056</v>
      </c>
      <c r="C917" s="2">
        <v>8</v>
      </c>
      <c r="D917" s="2">
        <v>291</v>
      </c>
      <c r="E917" s="2">
        <v>269</v>
      </c>
      <c r="F917" s="2">
        <v>32441</v>
      </c>
      <c r="G917" s="2">
        <v>3.315423038</v>
      </c>
      <c r="H917" s="2">
        <v>3.5323469999999999E-3</v>
      </c>
      <c r="I917" s="2" t="s">
        <v>46057</v>
      </c>
      <c r="J917" s="2" t="s">
        <v>46058</v>
      </c>
      <c r="K917" s="2">
        <v>1.2202655E-2</v>
      </c>
      <c r="L917" s="2" t="s">
        <v>606</v>
      </c>
      <c r="M917" s="4" t="s">
        <v>46059</v>
      </c>
    </row>
    <row r="918" spans="1:13">
      <c r="A918" s="2">
        <v>481</v>
      </c>
      <c r="B918" s="2" t="s">
        <v>26304</v>
      </c>
      <c r="C918" s="2">
        <v>8</v>
      </c>
      <c r="D918" s="2">
        <v>291</v>
      </c>
      <c r="E918" s="2">
        <v>269</v>
      </c>
      <c r="F918" s="2">
        <v>32441</v>
      </c>
      <c r="G918" s="2">
        <v>3.315423038</v>
      </c>
      <c r="H918" s="2">
        <v>3.5323469999999999E-3</v>
      </c>
      <c r="I918" s="2" t="s">
        <v>46060</v>
      </c>
      <c r="J918" s="2" t="s">
        <v>46061</v>
      </c>
      <c r="K918" s="2">
        <v>1.2202655E-2</v>
      </c>
      <c r="L918" s="2" t="s">
        <v>606</v>
      </c>
      <c r="M918" s="4" t="s">
        <v>26307</v>
      </c>
    </row>
    <row r="919" spans="1:13">
      <c r="A919" s="2">
        <v>1411</v>
      </c>
      <c r="B919" s="2" t="s">
        <v>46062</v>
      </c>
      <c r="C919" s="2">
        <v>8</v>
      </c>
      <c r="D919" s="2">
        <v>291</v>
      </c>
      <c r="E919" s="2">
        <v>270</v>
      </c>
      <c r="F919" s="2">
        <v>32441</v>
      </c>
      <c r="G919" s="2">
        <v>3.3031436940000001</v>
      </c>
      <c r="H919" s="2">
        <v>3.6097260000000002E-3</v>
      </c>
      <c r="I919" s="2" t="s">
        <v>46063</v>
      </c>
      <c r="J919" s="2" t="s">
        <v>46064</v>
      </c>
      <c r="K919" s="2">
        <v>1.2418644E-2</v>
      </c>
      <c r="L919" s="2" t="s">
        <v>606</v>
      </c>
      <c r="M919" s="4" t="s">
        <v>46065</v>
      </c>
    </row>
    <row r="920" spans="1:13">
      <c r="A920" s="2">
        <v>718</v>
      </c>
      <c r="B920" s="2" t="s">
        <v>27530</v>
      </c>
      <c r="C920" s="2">
        <v>5</v>
      </c>
      <c r="D920" s="2">
        <v>291</v>
      </c>
      <c r="E920" s="2">
        <v>111</v>
      </c>
      <c r="F920" s="2">
        <v>32441</v>
      </c>
      <c r="G920" s="2">
        <v>5.021671156</v>
      </c>
      <c r="H920" s="2">
        <v>3.858102E-3</v>
      </c>
      <c r="I920" s="2" t="s">
        <v>46066</v>
      </c>
      <c r="J920" s="2" t="s">
        <v>46067</v>
      </c>
      <c r="K920" s="2">
        <v>1.3218742E-2</v>
      </c>
      <c r="L920" s="2" t="s">
        <v>606</v>
      </c>
      <c r="M920" s="4" t="s">
        <v>27533</v>
      </c>
    </row>
    <row r="921" spans="1:13">
      <c r="A921" s="2">
        <v>136</v>
      </c>
      <c r="B921" s="2" t="s">
        <v>26998</v>
      </c>
      <c r="C921" s="2">
        <v>8</v>
      </c>
      <c r="D921" s="2">
        <v>291</v>
      </c>
      <c r="E921" s="2">
        <v>276</v>
      </c>
      <c r="F921" s="2">
        <v>32441</v>
      </c>
      <c r="G921" s="2">
        <v>3.2313362219999999</v>
      </c>
      <c r="H921" s="2">
        <v>4.1019450000000001E-3</v>
      </c>
      <c r="I921" s="2" t="s">
        <v>46068</v>
      </c>
      <c r="J921" s="2" t="s">
        <v>46069</v>
      </c>
      <c r="K921" s="2">
        <v>1.399684E-2</v>
      </c>
      <c r="L921" s="2" t="s">
        <v>606</v>
      </c>
      <c r="M921" s="4" t="s">
        <v>27001</v>
      </c>
    </row>
    <row r="922" spans="1:13">
      <c r="A922" s="2">
        <v>58</v>
      </c>
      <c r="B922" s="2" t="s">
        <v>27738</v>
      </c>
      <c r="C922" s="2">
        <v>8</v>
      </c>
      <c r="D922" s="2">
        <v>291</v>
      </c>
      <c r="E922" s="2">
        <v>278</v>
      </c>
      <c r="F922" s="2">
        <v>32441</v>
      </c>
      <c r="G922" s="2">
        <v>3.2080891989999998</v>
      </c>
      <c r="H922" s="2">
        <v>4.2770200000000003E-3</v>
      </c>
      <c r="I922" s="2" t="s">
        <v>46070</v>
      </c>
      <c r="J922" s="2" t="s">
        <v>46071</v>
      </c>
      <c r="K922" s="2">
        <v>1.4534913999999999E-2</v>
      </c>
      <c r="L922" s="2" t="s">
        <v>606</v>
      </c>
      <c r="M922" s="4" t="s">
        <v>27741</v>
      </c>
    </row>
    <row r="923" spans="1:13">
      <c r="A923" s="2">
        <v>454</v>
      </c>
      <c r="B923" s="2" t="s">
        <v>27228</v>
      </c>
      <c r="C923" s="2">
        <v>8</v>
      </c>
      <c r="D923" s="2">
        <v>291</v>
      </c>
      <c r="E923" s="2">
        <v>279</v>
      </c>
      <c r="F923" s="2">
        <v>32441</v>
      </c>
      <c r="G923" s="2">
        <v>3.1965906710000001</v>
      </c>
      <c r="H923" s="2">
        <v>4.3666879999999996E-3</v>
      </c>
      <c r="I923" s="2" t="s">
        <v>46072</v>
      </c>
      <c r="J923" s="2" t="s">
        <v>46073</v>
      </c>
      <c r="K923" s="2">
        <v>1.4779560000000001E-2</v>
      </c>
      <c r="L923" s="2" t="s">
        <v>606</v>
      </c>
      <c r="M923" s="4" t="s">
        <v>27231</v>
      </c>
    </row>
    <row r="924" spans="1:13">
      <c r="A924" s="2">
        <v>267</v>
      </c>
      <c r="B924" s="2" t="s">
        <v>26854</v>
      </c>
      <c r="C924" s="2">
        <v>7</v>
      </c>
      <c r="D924" s="2">
        <v>291</v>
      </c>
      <c r="E924" s="2">
        <v>222</v>
      </c>
      <c r="F924" s="2">
        <v>32441</v>
      </c>
      <c r="G924" s="2">
        <v>3.5151698090000001</v>
      </c>
      <c r="H924" s="2">
        <v>4.5842249999999999E-3</v>
      </c>
      <c r="I924" s="2" t="s">
        <v>46074</v>
      </c>
      <c r="J924" s="2" t="s">
        <v>46075</v>
      </c>
      <c r="K924" s="2">
        <v>1.5453275000000001E-2</v>
      </c>
      <c r="L924" s="2" t="s">
        <v>606</v>
      </c>
      <c r="M924" s="4" t="s">
        <v>26857</v>
      </c>
    </row>
    <row r="925" spans="1:13">
      <c r="A925" s="2">
        <v>194</v>
      </c>
      <c r="B925" s="2" t="s">
        <v>27274</v>
      </c>
      <c r="C925" s="2">
        <v>5</v>
      </c>
      <c r="D925" s="2">
        <v>291</v>
      </c>
      <c r="E925" s="2">
        <v>117</v>
      </c>
      <c r="F925" s="2">
        <v>32441</v>
      </c>
      <c r="G925" s="2">
        <v>4.7641495579999997</v>
      </c>
      <c r="H925" s="2">
        <v>4.7771289999999998E-3</v>
      </c>
      <c r="I925" s="2" t="s">
        <v>46076</v>
      </c>
      <c r="J925" s="2" t="s">
        <v>46077</v>
      </c>
      <c r="K925" s="2">
        <v>1.6038874000000002E-2</v>
      </c>
      <c r="L925" s="2" t="s">
        <v>606</v>
      </c>
      <c r="M925" s="4" t="s">
        <v>27277</v>
      </c>
    </row>
    <row r="926" spans="1:13">
      <c r="A926" s="2">
        <v>257</v>
      </c>
      <c r="B926" s="2" t="s">
        <v>46078</v>
      </c>
      <c r="C926" s="2">
        <v>7</v>
      </c>
      <c r="D926" s="2">
        <v>291</v>
      </c>
      <c r="E926" s="2">
        <v>225</v>
      </c>
      <c r="F926" s="2">
        <v>32441</v>
      </c>
      <c r="G926" s="2">
        <v>3.468300878</v>
      </c>
      <c r="H926" s="2">
        <v>4.9168290000000002E-3</v>
      </c>
      <c r="I926" s="2" t="s">
        <v>46079</v>
      </c>
      <c r="J926" s="2" t="s">
        <v>46080</v>
      </c>
      <c r="K926" s="2">
        <v>1.6376370000000001E-2</v>
      </c>
      <c r="L926" s="2" t="s">
        <v>606</v>
      </c>
      <c r="M926" s="4" t="s">
        <v>46081</v>
      </c>
    </row>
    <row r="927" spans="1:13">
      <c r="A927" s="2">
        <v>258</v>
      </c>
      <c r="B927" s="2" t="s">
        <v>26870</v>
      </c>
      <c r="C927" s="2">
        <v>7</v>
      </c>
      <c r="D927" s="2">
        <v>291</v>
      </c>
      <c r="E927" s="2">
        <v>225</v>
      </c>
      <c r="F927" s="2">
        <v>32441</v>
      </c>
      <c r="G927" s="2">
        <v>3.468300878</v>
      </c>
      <c r="H927" s="2">
        <v>4.9168290000000002E-3</v>
      </c>
      <c r="I927" s="2" t="s">
        <v>46082</v>
      </c>
      <c r="J927" s="2" t="s">
        <v>46083</v>
      </c>
      <c r="K927" s="2">
        <v>1.6376370000000001E-2</v>
      </c>
      <c r="L927" s="2" t="s">
        <v>606</v>
      </c>
      <c r="M927" s="4" t="s">
        <v>26873</v>
      </c>
    </row>
    <row r="928" spans="1:13">
      <c r="A928" s="2">
        <v>161</v>
      </c>
      <c r="B928" s="2" t="s">
        <v>46084</v>
      </c>
      <c r="C928" s="2">
        <v>4</v>
      </c>
      <c r="D928" s="2">
        <v>291</v>
      </c>
      <c r="E928" s="2">
        <v>75</v>
      </c>
      <c r="F928" s="2">
        <v>32441</v>
      </c>
      <c r="G928" s="2">
        <v>5.9456586480000002</v>
      </c>
      <c r="H928" s="2">
        <v>5.453378E-3</v>
      </c>
      <c r="I928" s="2" t="s">
        <v>46085</v>
      </c>
      <c r="J928" s="2" t="s">
        <v>46086</v>
      </c>
      <c r="K928" s="2">
        <v>1.8091365000000002E-2</v>
      </c>
      <c r="L928" s="2" t="s">
        <v>606</v>
      </c>
      <c r="M928" s="4" t="s">
        <v>46087</v>
      </c>
    </row>
    <row r="929" spans="1:13">
      <c r="A929" s="2">
        <v>379</v>
      </c>
      <c r="B929" s="2" t="s">
        <v>27666</v>
      </c>
      <c r="C929" s="2">
        <v>7</v>
      </c>
      <c r="D929" s="2">
        <v>291</v>
      </c>
      <c r="E929" s="2">
        <v>230</v>
      </c>
      <c r="F929" s="2">
        <v>32441</v>
      </c>
      <c r="G929" s="2">
        <v>3.3929030330000001</v>
      </c>
      <c r="H929" s="2">
        <v>5.5111200000000004E-3</v>
      </c>
      <c r="I929" s="2" t="s">
        <v>46088</v>
      </c>
      <c r="J929" s="2" t="s">
        <v>46089</v>
      </c>
      <c r="K929" s="2">
        <v>1.8210659000000001E-2</v>
      </c>
      <c r="L929" s="2" t="s">
        <v>606</v>
      </c>
      <c r="M929" s="4" t="s">
        <v>27669</v>
      </c>
    </row>
    <row r="930" spans="1:13">
      <c r="A930" s="2">
        <v>224</v>
      </c>
      <c r="B930" s="2" t="s">
        <v>46090</v>
      </c>
      <c r="C930" s="2">
        <v>6</v>
      </c>
      <c r="D930" s="2">
        <v>291</v>
      </c>
      <c r="E930" s="2">
        <v>174</v>
      </c>
      <c r="F930" s="2">
        <v>32441</v>
      </c>
      <c r="G930" s="2">
        <v>3.8441758500000001</v>
      </c>
      <c r="H930" s="2">
        <v>5.6213749999999996E-3</v>
      </c>
      <c r="I930" s="2" t="s">
        <v>46091</v>
      </c>
      <c r="J930" s="2" t="s">
        <v>46092</v>
      </c>
      <c r="K930" s="2">
        <v>1.8477782000000002E-2</v>
      </c>
      <c r="L930" s="2" t="s">
        <v>606</v>
      </c>
      <c r="M930" s="4" t="s">
        <v>46093</v>
      </c>
    </row>
    <row r="931" spans="1:13">
      <c r="A931" s="2">
        <v>7821</v>
      </c>
      <c r="B931" s="2" t="s">
        <v>26916</v>
      </c>
      <c r="C931" s="2">
        <v>7</v>
      </c>
      <c r="D931" s="2">
        <v>291</v>
      </c>
      <c r="E931" s="2">
        <v>231</v>
      </c>
      <c r="F931" s="2">
        <v>32441</v>
      </c>
      <c r="G931" s="2">
        <v>3.3782151410000001</v>
      </c>
      <c r="H931" s="2">
        <v>5.6361659999999997E-3</v>
      </c>
      <c r="I931" s="2" t="s">
        <v>46094</v>
      </c>
      <c r="J931" s="2" t="s">
        <v>46095</v>
      </c>
      <c r="K931" s="2">
        <v>1.8477782000000002E-2</v>
      </c>
      <c r="L931" s="2" t="s">
        <v>606</v>
      </c>
      <c r="M931" s="4" t="s">
        <v>26919</v>
      </c>
    </row>
    <row r="932" spans="1:13">
      <c r="A932" s="2">
        <v>7961</v>
      </c>
      <c r="B932" s="2" t="s">
        <v>46096</v>
      </c>
      <c r="C932" s="2">
        <v>8</v>
      </c>
      <c r="D932" s="2">
        <v>291</v>
      </c>
      <c r="E932" s="2">
        <v>295</v>
      </c>
      <c r="F932" s="2">
        <v>32441</v>
      </c>
      <c r="G932" s="2">
        <v>3.023216262</v>
      </c>
      <c r="H932" s="2">
        <v>6.007554E-3</v>
      </c>
      <c r="I932" s="2" t="s">
        <v>46097</v>
      </c>
      <c r="J932" s="2" t="s">
        <v>46098</v>
      </c>
      <c r="K932" s="2">
        <v>1.9618416999999999E-2</v>
      </c>
      <c r="L932" s="2" t="s">
        <v>606</v>
      </c>
      <c r="M932" s="4" t="s">
        <v>46099</v>
      </c>
    </row>
    <row r="933" spans="1:13">
      <c r="A933" s="2">
        <v>261</v>
      </c>
      <c r="B933" s="2" t="s">
        <v>46100</v>
      </c>
      <c r="C933" s="2">
        <v>5</v>
      </c>
      <c r="D933" s="2">
        <v>291</v>
      </c>
      <c r="E933" s="2">
        <v>125</v>
      </c>
      <c r="F933" s="2">
        <v>32441</v>
      </c>
      <c r="G933" s="2">
        <v>4.4592439859999997</v>
      </c>
      <c r="H933" s="2">
        <v>6.2310660000000004E-3</v>
      </c>
      <c r="I933" s="2" t="s">
        <v>46101</v>
      </c>
      <c r="J933" s="2" t="s">
        <v>46102</v>
      </c>
      <c r="K933" s="2">
        <v>2.0269149E-2</v>
      </c>
      <c r="L933" s="2" t="s">
        <v>606</v>
      </c>
      <c r="M933" s="4" t="s">
        <v>46103</v>
      </c>
    </row>
    <row r="934" spans="1:13">
      <c r="A934" s="2">
        <v>594</v>
      </c>
      <c r="B934" s="2" t="s">
        <v>25973</v>
      </c>
      <c r="C934" s="2">
        <v>7</v>
      </c>
      <c r="D934" s="2">
        <v>291</v>
      </c>
      <c r="E934" s="2">
        <v>236</v>
      </c>
      <c r="F934" s="2">
        <v>32441</v>
      </c>
      <c r="G934" s="2">
        <v>3.3066427859999998</v>
      </c>
      <c r="H934" s="2">
        <v>6.2935170000000002E-3</v>
      </c>
      <c r="I934" s="2" t="s">
        <v>46104</v>
      </c>
      <c r="J934" s="2" t="s">
        <v>46105</v>
      </c>
      <c r="K934" s="2">
        <v>2.0392944999999999E-2</v>
      </c>
      <c r="L934" s="2" t="s">
        <v>606</v>
      </c>
      <c r="M934" s="4" t="s">
        <v>25976</v>
      </c>
    </row>
    <row r="935" spans="1:13">
      <c r="A935" s="2">
        <v>631</v>
      </c>
      <c r="B935" s="2" t="s">
        <v>26136</v>
      </c>
      <c r="C935" s="2">
        <v>6</v>
      </c>
      <c r="D935" s="2">
        <v>291</v>
      </c>
      <c r="E935" s="2">
        <v>179</v>
      </c>
      <c r="F935" s="2">
        <v>32441</v>
      </c>
      <c r="G935" s="2">
        <v>3.7367966369999999</v>
      </c>
      <c r="H935" s="2">
        <v>6.4033190000000002E-3</v>
      </c>
      <c r="I935" s="2" t="s">
        <v>46106</v>
      </c>
      <c r="J935" s="2" t="s">
        <v>46107</v>
      </c>
      <c r="K935" s="2">
        <v>2.0668628000000001E-2</v>
      </c>
      <c r="L935" s="2" t="s">
        <v>606</v>
      </c>
      <c r="M935" s="4" t="s">
        <v>26139</v>
      </c>
    </row>
    <row r="936" spans="1:13">
      <c r="A936" s="2">
        <v>102</v>
      </c>
      <c r="B936" s="2" t="s">
        <v>26954</v>
      </c>
      <c r="C936" s="2">
        <v>7</v>
      </c>
      <c r="D936" s="2">
        <v>291</v>
      </c>
      <c r="E936" s="2">
        <v>237</v>
      </c>
      <c r="F936" s="2">
        <v>32441</v>
      </c>
      <c r="G936" s="2">
        <v>3.2926907070000002</v>
      </c>
      <c r="H936" s="2">
        <v>6.4315639999999999E-3</v>
      </c>
      <c r="I936" s="2" t="s">
        <v>46108</v>
      </c>
      <c r="J936" s="2" t="s">
        <v>46109</v>
      </c>
      <c r="K936" s="2">
        <v>2.0679950999999999E-2</v>
      </c>
      <c r="L936" s="2" t="s">
        <v>606</v>
      </c>
      <c r="M936" s="4" t="s">
        <v>26957</v>
      </c>
    </row>
    <row r="937" spans="1:13">
      <c r="A937" s="2">
        <v>53</v>
      </c>
      <c r="B937" s="2" t="s">
        <v>46110</v>
      </c>
      <c r="C937" s="2">
        <v>7</v>
      </c>
      <c r="D937" s="2">
        <v>291</v>
      </c>
      <c r="E937" s="2">
        <v>238</v>
      </c>
      <c r="F937" s="2">
        <v>32441</v>
      </c>
      <c r="G937" s="2">
        <v>3.2788558719999998</v>
      </c>
      <c r="H937" s="2">
        <v>6.5718540000000002E-3</v>
      </c>
      <c r="I937" s="2" t="s">
        <v>46111</v>
      </c>
      <c r="J937" s="2" t="s">
        <v>46112</v>
      </c>
      <c r="K937" s="2">
        <v>2.1050076000000001E-2</v>
      </c>
      <c r="L937" s="2" t="s">
        <v>606</v>
      </c>
      <c r="M937" s="4" t="s">
        <v>46113</v>
      </c>
    </row>
    <row r="938" spans="1:13">
      <c r="A938" s="2">
        <v>241</v>
      </c>
      <c r="B938" s="2" t="s">
        <v>27200</v>
      </c>
      <c r="C938" s="2">
        <v>7</v>
      </c>
      <c r="D938" s="2">
        <v>291</v>
      </c>
      <c r="E938" s="2">
        <v>239</v>
      </c>
      <c r="F938" s="2">
        <v>32441</v>
      </c>
      <c r="G938" s="2">
        <v>3.26513681</v>
      </c>
      <c r="H938" s="2">
        <v>6.7144090000000002E-3</v>
      </c>
      <c r="I938" s="2" t="s">
        <v>46114</v>
      </c>
      <c r="J938" s="2" t="s">
        <v>46115</v>
      </c>
      <c r="K938" s="2">
        <v>2.1424601000000001E-2</v>
      </c>
      <c r="L938" s="2" t="s">
        <v>606</v>
      </c>
      <c r="M938" s="4" t="s">
        <v>27203</v>
      </c>
    </row>
    <row r="939" spans="1:13">
      <c r="A939" s="2">
        <v>542</v>
      </c>
      <c r="B939" s="2" t="s">
        <v>26100</v>
      </c>
      <c r="C939" s="2">
        <v>14</v>
      </c>
      <c r="D939" s="2">
        <v>291</v>
      </c>
      <c r="E939" s="2">
        <v>727</v>
      </c>
      <c r="F939" s="2">
        <v>32441</v>
      </c>
      <c r="G939" s="2">
        <v>2.1468162240000002</v>
      </c>
      <c r="H939" s="2">
        <v>6.9662020000000003E-3</v>
      </c>
      <c r="I939" s="2" t="s">
        <v>46116</v>
      </c>
      <c r="J939" s="2" t="s">
        <v>46117</v>
      </c>
      <c r="K939" s="2">
        <v>2.2143515999999999E-2</v>
      </c>
      <c r="L939" s="2" t="s">
        <v>606</v>
      </c>
      <c r="M939" s="4" t="s">
        <v>26103</v>
      </c>
    </row>
    <row r="940" spans="1:13">
      <c r="A940" s="2">
        <v>861</v>
      </c>
      <c r="B940" s="2" t="s">
        <v>27236</v>
      </c>
      <c r="C940" s="2">
        <v>7</v>
      </c>
      <c r="D940" s="2">
        <v>291</v>
      </c>
      <c r="E940" s="2">
        <v>244</v>
      </c>
      <c r="F940" s="2">
        <v>32441</v>
      </c>
      <c r="G940" s="2">
        <v>3.1982282689999999</v>
      </c>
      <c r="H940" s="2">
        <v>7.461914E-3</v>
      </c>
      <c r="I940" s="2" t="s">
        <v>46118</v>
      </c>
      <c r="J940" s="2" t="s">
        <v>46119</v>
      </c>
      <c r="K940" s="2">
        <v>2.3540228E-2</v>
      </c>
      <c r="L940" s="2" t="s">
        <v>606</v>
      </c>
      <c r="M940" s="4" t="s">
        <v>27239</v>
      </c>
    </row>
    <row r="941" spans="1:13">
      <c r="A941" s="2">
        <v>471</v>
      </c>
      <c r="B941" s="2" t="s">
        <v>46120</v>
      </c>
      <c r="C941" s="2">
        <v>7</v>
      </c>
      <c r="D941" s="2">
        <v>291</v>
      </c>
      <c r="E941" s="2">
        <v>244</v>
      </c>
      <c r="F941" s="2">
        <v>32441</v>
      </c>
      <c r="G941" s="2">
        <v>3.1982282689999999</v>
      </c>
      <c r="H941" s="2">
        <v>7.461914E-3</v>
      </c>
      <c r="I941" s="2" t="s">
        <v>46121</v>
      </c>
      <c r="J941" s="2" t="s">
        <v>46122</v>
      </c>
      <c r="K941" s="2">
        <v>2.3540228E-2</v>
      </c>
      <c r="L941" s="2" t="s">
        <v>606</v>
      </c>
      <c r="M941" s="4" t="s">
        <v>46123</v>
      </c>
    </row>
    <row r="942" spans="1:13">
      <c r="A942" s="2">
        <v>165</v>
      </c>
      <c r="B942" s="2" t="s">
        <v>46124</v>
      </c>
      <c r="C942" s="2">
        <v>7</v>
      </c>
      <c r="D942" s="2">
        <v>291</v>
      </c>
      <c r="E942" s="2">
        <v>245</v>
      </c>
      <c r="F942" s="2">
        <v>32441</v>
      </c>
      <c r="G942" s="2">
        <v>3.1851742760000001</v>
      </c>
      <c r="H942" s="2">
        <v>7.6185139999999998E-3</v>
      </c>
      <c r="I942" s="2" t="s">
        <v>46125</v>
      </c>
      <c r="J942" s="2" t="s">
        <v>46126</v>
      </c>
      <c r="K942" s="2">
        <v>2.3765215999999999E-2</v>
      </c>
      <c r="L942" s="2" t="s">
        <v>606</v>
      </c>
      <c r="M942" s="4" t="s">
        <v>46127</v>
      </c>
    </row>
    <row r="943" spans="1:13">
      <c r="A943" s="2">
        <v>284</v>
      </c>
      <c r="B943" s="2" t="s">
        <v>46128</v>
      </c>
      <c r="C943" s="2">
        <v>7</v>
      </c>
      <c r="D943" s="2">
        <v>291</v>
      </c>
      <c r="E943" s="2">
        <v>245</v>
      </c>
      <c r="F943" s="2">
        <v>32441</v>
      </c>
      <c r="G943" s="2">
        <v>3.1851742760000001</v>
      </c>
      <c r="H943" s="2">
        <v>7.6185139999999998E-3</v>
      </c>
      <c r="I943" s="2" t="s">
        <v>46129</v>
      </c>
      <c r="J943" s="2" t="s">
        <v>46130</v>
      </c>
      <c r="K943" s="2">
        <v>2.3765215999999999E-2</v>
      </c>
      <c r="L943" s="2" t="s">
        <v>606</v>
      </c>
      <c r="M943" s="4" t="s">
        <v>46131</v>
      </c>
    </row>
    <row r="944" spans="1:13">
      <c r="A944" s="2">
        <v>398</v>
      </c>
      <c r="B944" s="2" t="s">
        <v>27022</v>
      </c>
      <c r="C944" s="2">
        <v>7</v>
      </c>
      <c r="D944" s="2">
        <v>291</v>
      </c>
      <c r="E944" s="2">
        <v>245</v>
      </c>
      <c r="F944" s="2">
        <v>32441</v>
      </c>
      <c r="G944" s="2">
        <v>3.1851742760000001</v>
      </c>
      <c r="H944" s="2">
        <v>7.6185139999999998E-3</v>
      </c>
      <c r="I944" s="2" t="s">
        <v>46132</v>
      </c>
      <c r="J944" s="2" t="s">
        <v>46133</v>
      </c>
      <c r="K944" s="2">
        <v>2.3765215999999999E-2</v>
      </c>
      <c r="L944" s="2" t="s">
        <v>606</v>
      </c>
      <c r="M944" s="4" t="s">
        <v>27025</v>
      </c>
    </row>
    <row r="945" spans="1:13">
      <c r="A945" s="2">
        <v>191</v>
      </c>
      <c r="B945" s="2" t="s">
        <v>42671</v>
      </c>
      <c r="C945" s="2">
        <v>7</v>
      </c>
      <c r="D945" s="2">
        <v>291</v>
      </c>
      <c r="E945" s="2">
        <v>246</v>
      </c>
      <c r="F945" s="2">
        <v>32441</v>
      </c>
      <c r="G945" s="2">
        <v>3.1722264130000002</v>
      </c>
      <c r="H945" s="2">
        <v>7.7775309999999999E-3</v>
      </c>
      <c r="I945" s="2" t="s">
        <v>46134</v>
      </c>
      <c r="J945" s="2" t="s">
        <v>46135</v>
      </c>
      <c r="K945" s="2">
        <v>2.4171061000000001E-2</v>
      </c>
      <c r="L945" s="2" t="s">
        <v>606</v>
      </c>
      <c r="M945" s="4" t="s">
        <v>42674</v>
      </c>
    </row>
    <row r="946" spans="1:13">
      <c r="A946" s="2">
        <v>823</v>
      </c>
      <c r="B946" s="2" t="s">
        <v>27082</v>
      </c>
      <c r="C946" s="2">
        <v>12</v>
      </c>
      <c r="D946" s="2">
        <v>291</v>
      </c>
      <c r="E946" s="2">
        <v>587</v>
      </c>
      <c r="F946" s="2">
        <v>32441</v>
      </c>
      <c r="G946" s="2">
        <v>2.279000334</v>
      </c>
      <c r="H946" s="2">
        <v>7.8123009999999998E-3</v>
      </c>
      <c r="I946" s="2" t="s">
        <v>46136</v>
      </c>
      <c r="J946" s="2" t="s">
        <v>46137</v>
      </c>
      <c r="K946" s="2">
        <v>2.4189197999999999E-2</v>
      </c>
      <c r="L946" s="2" t="s">
        <v>606</v>
      </c>
      <c r="M946" s="4" t="s">
        <v>27085</v>
      </c>
    </row>
    <row r="947" spans="1:13">
      <c r="A947" s="2">
        <v>1852</v>
      </c>
      <c r="B947" s="2" t="s">
        <v>6743</v>
      </c>
      <c r="C947" s="2">
        <v>7</v>
      </c>
      <c r="D947" s="2">
        <v>291</v>
      </c>
      <c r="E947" s="2">
        <v>247</v>
      </c>
      <c r="F947" s="2">
        <v>32441</v>
      </c>
      <c r="G947" s="2">
        <v>3.159383391</v>
      </c>
      <c r="H947" s="2">
        <v>7.9389860000000003E-3</v>
      </c>
      <c r="I947" s="2" t="s">
        <v>46138</v>
      </c>
      <c r="J947" s="2" t="s">
        <v>46139</v>
      </c>
      <c r="K947" s="2">
        <v>2.4319687999999999E-2</v>
      </c>
      <c r="L947" s="2" t="s">
        <v>606</v>
      </c>
      <c r="M947" s="4" t="s">
        <v>6746</v>
      </c>
    </row>
    <row r="948" spans="1:13">
      <c r="A948" s="2">
        <v>315</v>
      </c>
      <c r="B948" s="2" t="s">
        <v>46140</v>
      </c>
      <c r="C948" s="2">
        <v>4</v>
      </c>
      <c r="D948" s="2">
        <v>291</v>
      </c>
      <c r="E948" s="2">
        <v>84</v>
      </c>
      <c r="F948" s="2">
        <v>32441</v>
      </c>
      <c r="G948" s="2">
        <v>5.3086237929999998</v>
      </c>
      <c r="H948" s="2">
        <v>7.9555519999999994E-3</v>
      </c>
      <c r="I948" s="2" t="s">
        <v>46141</v>
      </c>
      <c r="J948" s="2" t="s">
        <v>46142</v>
      </c>
      <c r="K948" s="2">
        <v>2.4319687999999999E-2</v>
      </c>
      <c r="L948" s="2" t="s">
        <v>606</v>
      </c>
      <c r="M948" s="4" t="s">
        <v>46143</v>
      </c>
    </row>
    <row r="949" spans="1:13">
      <c r="A949" s="2">
        <v>411</v>
      </c>
      <c r="B949" s="2" t="s">
        <v>6695</v>
      </c>
      <c r="C949" s="2">
        <v>7</v>
      </c>
      <c r="D949" s="2">
        <v>291</v>
      </c>
      <c r="E949" s="2">
        <v>247</v>
      </c>
      <c r="F949" s="2">
        <v>32441</v>
      </c>
      <c r="G949" s="2">
        <v>3.159383391</v>
      </c>
      <c r="H949" s="2">
        <v>7.9389860000000003E-3</v>
      </c>
      <c r="I949" s="2" t="s">
        <v>46144</v>
      </c>
      <c r="J949" s="2" t="s">
        <v>46145</v>
      </c>
      <c r="K949" s="2">
        <v>2.4319687999999999E-2</v>
      </c>
      <c r="L949" s="2" t="s">
        <v>606</v>
      </c>
      <c r="M949" s="4" t="s">
        <v>6698</v>
      </c>
    </row>
    <row r="950" spans="1:13">
      <c r="A950" s="2">
        <v>752</v>
      </c>
      <c r="B950" s="2" t="s">
        <v>46146</v>
      </c>
      <c r="C950" s="2">
        <v>5</v>
      </c>
      <c r="D950" s="2">
        <v>291</v>
      </c>
      <c r="E950" s="2">
        <v>133</v>
      </c>
      <c r="F950" s="2">
        <v>32441</v>
      </c>
      <c r="G950" s="2">
        <v>4.1910187839999997</v>
      </c>
      <c r="H950" s="2">
        <v>7.9708069999999999E-3</v>
      </c>
      <c r="I950" s="2" t="s">
        <v>46147</v>
      </c>
      <c r="J950" s="2" t="s">
        <v>46148</v>
      </c>
      <c r="K950" s="2">
        <v>2.4319687999999999E-2</v>
      </c>
      <c r="L950" s="2" t="s">
        <v>606</v>
      </c>
      <c r="M950" s="4" t="s">
        <v>46149</v>
      </c>
    </row>
    <row r="951" spans="1:13">
      <c r="A951" s="2">
        <v>366</v>
      </c>
      <c r="B951" s="2" t="s">
        <v>6747</v>
      </c>
      <c r="C951" s="2">
        <v>7</v>
      </c>
      <c r="D951" s="2">
        <v>291</v>
      </c>
      <c r="E951" s="2">
        <v>248</v>
      </c>
      <c r="F951" s="2">
        <v>32441</v>
      </c>
      <c r="G951" s="2">
        <v>3.1466439419999999</v>
      </c>
      <c r="H951" s="2">
        <v>8.1029009999999992E-3</v>
      </c>
      <c r="I951" s="2" t="s">
        <v>46150</v>
      </c>
      <c r="J951" s="2" t="s">
        <v>46151</v>
      </c>
      <c r="K951" s="2">
        <v>2.4632818000000001E-2</v>
      </c>
      <c r="L951" s="2" t="s">
        <v>606</v>
      </c>
      <c r="M951" s="4" t="s">
        <v>6750</v>
      </c>
    </row>
    <row r="952" spans="1:13">
      <c r="A952" s="2">
        <v>334</v>
      </c>
      <c r="B952" s="2" t="s">
        <v>27044</v>
      </c>
      <c r="C952" s="2">
        <v>7</v>
      </c>
      <c r="D952" s="2">
        <v>291</v>
      </c>
      <c r="E952" s="2">
        <v>249</v>
      </c>
      <c r="F952" s="2">
        <v>32441</v>
      </c>
      <c r="G952" s="2">
        <v>3.134006818</v>
      </c>
      <c r="H952" s="2">
        <v>8.2692979999999996E-3</v>
      </c>
      <c r="I952" s="2" t="s">
        <v>46152</v>
      </c>
      <c r="J952" s="2" t="s">
        <v>46153</v>
      </c>
      <c r="K952" s="2">
        <v>2.5047582999999998E-2</v>
      </c>
      <c r="L952" s="2" t="s">
        <v>606</v>
      </c>
      <c r="M952" s="4" t="s">
        <v>27047</v>
      </c>
    </row>
    <row r="953" spans="1:13">
      <c r="A953" s="2">
        <v>294</v>
      </c>
      <c r="B953" s="2" t="s">
        <v>27126</v>
      </c>
      <c r="C953" s="2">
        <v>6</v>
      </c>
      <c r="D953" s="2">
        <v>291</v>
      </c>
      <c r="E953" s="2">
        <v>190</v>
      </c>
      <c r="F953" s="2">
        <v>32441</v>
      </c>
      <c r="G953" s="2">
        <v>3.5204557790000002</v>
      </c>
      <c r="H953" s="2">
        <v>8.3974889999999993E-3</v>
      </c>
      <c r="I953" s="2" t="s">
        <v>46154</v>
      </c>
      <c r="J953" s="2" t="s">
        <v>46155</v>
      </c>
      <c r="K953" s="2">
        <v>2.5344047000000001E-2</v>
      </c>
      <c r="L953" s="2" t="s">
        <v>606</v>
      </c>
      <c r="M953" s="4" t="s">
        <v>27129</v>
      </c>
    </row>
    <row r="954" spans="1:13">
      <c r="A954" s="2">
        <v>44</v>
      </c>
      <c r="B954" s="2" t="s">
        <v>46156</v>
      </c>
      <c r="C954" s="2">
        <v>7</v>
      </c>
      <c r="D954" s="2">
        <v>291</v>
      </c>
      <c r="E954" s="2">
        <v>250</v>
      </c>
      <c r="F954" s="2">
        <v>32441</v>
      </c>
      <c r="G954" s="2">
        <v>3.1214707900000001</v>
      </c>
      <c r="H954" s="2">
        <v>8.4381979999999992E-3</v>
      </c>
      <c r="I954" s="2" t="s">
        <v>46157</v>
      </c>
      <c r="J954" s="2" t="s">
        <v>46158</v>
      </c>
      <c r="K954" s="2">
        <v>2.5375300999999999E-2</v>
      </c>
      <c r="L954" s="2" t="s">
        <v>606</v>
      </c>
      <c r="M954" s="4" t="s">
        <v>46159</v>
      </c>
    </row>
    <row r="955" spans="1:13">
      <c r="A955" s="2">
        <v>694</v>
      </c>
      <c r="B955" s="2" t="s">
        <v>25831</v>
      </c>
      <c r="C955" s="2">
        <v>8</v>
      </c>
      <c r="D955" s="2">
        <v>291</v>
      </c>
      <c r="E955" s="2">
        <v>314</v>
      </c>
      <c r="F955" s="2">
        <v>32441</v>
      </c>
      <c r="G955" s="2">
        <v>2.8402827940000002</v>
      </c>
      <c r="H955" s="2">
        <v>8.5218780000000001E-3</v>
      </c>
      <c r="I955" s="2" t="s">
        <v>46160</v>
      </c>
      <c r="J955" s="2" t="s">
        <v>46161</v>
      </c>
      <c r="K955" s="2">
        <v>2.5535089E-2</v>
      </c>
      <c r="L955" s="2" t="s">
        <v>606</v>
      </c>
      <c r="M955" s="4" t="s">
        <v>25834</v>
      </c>
    </row>
    <row r="956" spans="1:13">
      <c r="A956" s="2">
        <v>303</v>
      </c>
      <c r="B956" s="2" t="s">
        <v>6707</v>
      </c>
      <c r="C956" s="2">
        <v>7</v>
      </c>
      <c r="D956" s="2">
        <v>291</v>
      </c>
      <c r="E956" s="2">
        <v>251</v>
      </c>
      <c r="F956" s="2">
        <v>32441</v>
      </c>
      <c r="G956" s="2">
        <v>3.1090346520000001</v>
      </c>
      <c r="H956" s="2">
        <v>8.6096239999999997E-3</v>
      </c>
      <c r="I956" s="2" t="s">
        <v>46162</v>
      </c>
      <c r="J956" s="2" t="s">
        <v>46163</v>
      </c>
      <c r="K956" s="2">
        <v>2.5614397000000001E-2</v>
      </c>
      <c r="L956" s="2" t="s">
        <v>606</v>
      </c>
      <c r="M956" s="4" t="s">
        <v>6710</v>
      </c>
    </row>
    <row r="957" spans="1:13">
      <c r="A957" s="2">
        <v>268</v>
      </c>
      <c r="B957" s="2" t="s">
        <v>46164</v>
      </c>
      <c r="C957" s="2">
        <v>7</v>
      </c>
      <c r="D957" s="2">
        <v>291</v>
      </c>
      <c r="E957" s="2">
        <v>251</v>
      </c>
      <c r="F957" s="2">
        <v>32441</v>
      </c>
      <c r="G957" s="2">
        <v>3.1090346520000001</v>
      </c>
      <c r="H957" s="2">
        <v>8.6096239999999997E-3</v>
      </c>
      <c r="I957" s="2" t="s">
        <v>46165</v>
      </c>
      <c r="J957" s="2" t="s">
        <v>46166</v>
      </c>
      <c r="K957" s="2">
        <v>2.5614397000000001E-2</v>
      </c>
      <c r="L957" s="2" t="s">
        <v>606</v>
      </c>
      <c r="M957" s="4" t="s">
        <v>46167</v>
      </c>
    </row>
    <row r="958" spans="1:13">
      <c r="A958" s="2">
        <v>432</v>
      </c>
      <c r="B958" s="2" t="s">
        <v>26508</v>
      </c>
      <c r="C958" s="2">
        <v>7</v>
      </c>
      <c r="D958" s="2">
        <v>291</v>
      </c>
      <c r="E958" s="2">
        <v>252</v>
      </c>
      <c r="F958" s="2">
        <v>32441</v>
      </c>
      <c r="G958" s="2">
        <v>3.0966972130000001</v>
      </c>
      <c r="H958" s="2">
        <v>8.7835959999999994E-3</v>
      </c>
      <c r="I958" s="2" t="s">
        <v>46168</v>
      </c>
      <c r="J958" s="2" t="s">
        <v>46169</v>
      </c>
      <c r="K958" s="2">
        <v>2.6039313000000001E-2</v>
      </c>
      <c r="L958" s="2" t="s">
        <v>606</v>
      </c>
      <c r="M958" s="4" t="s">
        <v>26511</v>
      </c>
    </row>
    <row r="959" spans="1:13">
      <c r="A959" s="2">
        <v>222</v>
      </c>
      <c r="B959" s="2" t="s">
        <v>26516</v>
      </c>
      <c r="C959" s="2">
        <v>7</v>
      </c>
      <c r="D959" s="2">
        <v>291</v>
      </c>
      <c r="E959" s="2">
        <v>253</v>
      </c>
      <c r="F959" s="2">
        <v>32441</v>
      </c>
      <c r="G959" s="2">
        <v>3.0844573030000002</v>
      </c>
      <c r="H959" s="2">
        <v>8.9601360000000005E-3</v>
      </c>
      <c r="I959" s="2" t="s">
        <v>46170</v>
      </c>
      <c r="J959" s="2" t="s">
        <v>46171</v>
      </c>
      <c r="K959" s="2">
        <v>2.6283067E-2</v>
      </c>
      <c r="L959" s="2" t="s">
        <v>606</v>
      </c>
      <c r="M959" s="4" t="s">
        <v>26519</v>
      </c>
    </row>
    <row r="960" spans="1:13">
      <c r="A960" s="2">
        <v>421</v>
      </c>
      <c r="B960" s="2" t="s">
        <v>46172</v>
      </c>
      <c r="C960" s="2">
        <v>7</v>
      </c>
      <c r="D960" s="2">
        <v>291</v>
      </c>
      <c r="E960" s="2">
        <v>253</v>
      </c>
      <c r="F960" s="2">
        <v>32441</v>
      </c>
      <c r="G960" s="2">
        <v>3.0844573030000002</v>
      </c>
      <c r="H960" s="2">
        <v>8.9601360000000005E-3</v>
      </c>
      <c r="I960" s="2" t="s">
        <v>46173</v>
      </c>
      <c r="J960" s="2" t="s">
        <v>46174</v>
      </c>
      <c r="K960" s="2">
        <v>2.6283067E-2</v>
      </c>
      <c r="L960" s="2" t="s">
        <v>606</v>
      </c>
      <c r="M960" s="4" t="s">
        <v>46175</v>
      </c>
    </row>
    <row r="961" spans="1:13">
      <c r="A961" s="2">
        <v>624</v>
      </c>
      <c r="B961" s="2" t="s">
        <v>46176</v>
      </c>
      <c r="C961" s="2">
        <v>3</v>
      </c>
      <c r="D961" s="2">
        <v>291</v>
      </c>
      <c r="E961" s="2">
        <v>45</v>
      </c>
      <c r="F961" s="2">
        <v>32441</v>
      </c>
      <c r="G961" s="2">
        <v>7.4320733099999998</v>
      </c>
      <c r="H961" s="2">
        <v>8.9551909999999995E-3</v>
      </c>
      <c r="I961" s="2" t="s">
        <v>46177</v>
      </c>
      <c r="J961" s="2" t="s">
        <v>46178</v>
      </c>
      <c r="K961" s="2">
        <v>2.6283067E-2</v>
      </c>
      <c r="L961" s="2" t="s">
        <v>606</v>
      </c>
      <c r="M961" s="4" t="s">
        <v>46179</v>
      </c>
    </row>
    <row r="962" spans="1:13">
      <c r="A962" s="2">
        <v>345</v>
      </c>
      <c r="B962" s="2" t="s">
        <v>26316</v>
      </c>
      <c r="C962" s="2">
        <v>6</v>
      </c>
      <c r="D962" s="2">
        <v>291</v>
      </c>
      <c r="E962" s="2">
        <v>193</v>
      </c>
      <c r="F962" s="2">
        <v>32441</v>
      </c>
      <c r="G962" s="2">
        <v>3.4657336679999999</v>
      </c>
      <c r="H962" s="2">
        <v>9.010934E-3</v>
      </c>
      <c r="I962" s="2" t="s">
        <v>46180</v>
      </c>
      <c r="J962" s="2" t="s">
        <v>46181</v>
      </c>
      <c r="K962" s="2">
        <v>2.6339655E-2</v>
      </c>
      <c r="L962" s="2" t="s">
        <v>606</v>
      </c>
      <c r="M962" s="4" t="s">
        <v>26319</v>
      </c>
    </row>
    <row r="963" spans="1:13">
      <c r="A963" s="2">
        <v>401</v>
      </c>
      <c r="B963" s="2" t="s">
        <v>6763</v>
      </c>
      <c r="C963" s="2">
        <v>7</v>
      </c>
      <c r="D963" s="2">
        <v>291</v>
      </c>
      <c r="E963" s="2">
        <v>256</v>
      </c>
      <c r="F963" s="2">
        <v>32441</v>
      </c>
      <c r="G963" s="2">
        <v>3.0483113190000002</v>
      </c>
      <c r="H963" s="2">
        <v>9.5053819999999997E-3</v>
      </c>
      <c r="I963" s="2" t="s">
        <v>46182</v>
      </c>
      <c r="J963" s="2" t="s">
        <v>46183</v>
      </c>
      <c r="K963" s="2">
        <v>2.7592012999999999E-2</v>
      </c>
      <c r="L963" s="2" t="s">
        <v>606</v>
      </c>
      <c r="M963" s="4" t="s">
        <v>6766</v>
      </c>
    </row>
    <row r="964" spans="1:13">
      <c r="A964" s="2">
        <v>829</v>
      </c>
      <c r="B964" s="2" t="s">
        <v>25817</v>
      </c>
      <c r="C964" s="2">
        <v>39</v>
      </c>
      <c r="D964" s="2">
        <v>291</v>
      </c>
      <c r="E964" s="2">
        <v>2940</v>
      </c>
      <c r="F964" s="2">
        <v>32441</v>
      </c>
      <c r="G964" s="2">
        <v>1.478830914</v>
      </c>
      <c r="H964" s="2">
        <v>9.5040820000000005E-3</v>
      </c>
      <c r="I964" s="2" t="s">
        <v>46184</v>
      </c>
      <c r="J964" s="2" t="s">
        <v>46185</v>
      </c>
      <c r="K964" s="2">
        <v>2.7592012999999999E-2</v>
      </c>
      <c r="L964" s="2" t="s">
        <v>606</v>
      </c>
      <c r="M964" s="4" t="s">
        <v>25820</v>
      </c>
    </row>
    <row r="965" spans="1:13">
      <c r="A965" s="2">
        <v>328</v>
      </c>
      <c r="B965" s="2" t="s">
        <v>6877</v>
      </c>
      <c r="C965" s="2">
        <v>7</v>
      </c>
      <c r="D965" s="2">
        <v>291</v>
      </c>
      <c r="E965" s="2">
        <v>257</v>
      </c>
      <c r="F965" s="2">
        <v>32441</v>
      </c>
      <c r="G965" s="2">
        <v>3.0364501850000001</v>
      </c>
      <c r="H965" s="2">
        <v>9.6924109999999997E-3</v>
      </c>
      <c r="I965" s="2" t="s">
        <v>46186</v>
      </c>
      <c r="J965" s="2" t="s">
        <v>46187</v>
      </c>
      <c r="K965" s="2">
        <v>2.7844863000000001E-2</v>
      </c>
      <c r="L965" s="2" t="s">
        <v>606</v>
      </c>
      <c r="M965" s="4" t="s">
        <v>6880</v>
      </c>
    </row>
    <row r="966" spans="1:13">
      <c r="A966" s="2">
        <v>330</v>
      </c>
      <c r="B966" s="2" t="s">
        <v>46188</v>
      </c>
      <c r="C966" s="2">
        <v>7</v>
      </c>
      <c r="D966" s="2">
        <v>291</v>
      </c>
      <c r="E966" s="2">
        <v>257</v>
      </c>
      <c r="F966" s="2">
        <v>32441</v>
      </c>
      <c r="G966" s="2">
        <v>3.0364501850000001</v>
      </c>
      <c r="H966" s="2">
        <v>9.6924109999999997E-3</v>
      </c>
      <c r="I966" s="2" t="s">
        <v>46189</v>
      </c>
      <c r="J966" s="2" t="s">
        <v>46190</v>
      </c>
      <c r="K966" s="2">
        <v>2.7844863000000001E-2</v>
      </c>
      <c r="L966" s="2" t="s">
        <v>606</v>
      </c>
      <c r="M966" s="4" t="s">
        <v>46191</v>
      </c>
    </row>
    <row r="967" spans="1:13">
      <c r="A967" s="2">
        <v>461</v>
      </c>
      <c r="B967" s="2" t="s">
        <v>46192</v>
      </c>
      <c r="C967" s="2">
        <v>7</v>
      </c>
      <c r="D967" s="2">
        <v>291</v>
      </c>
      <c r="E967" s="2">
        <v>257</v>
      </c>
      <c r="F967" s="2">
        <v>32441</v>
      </c>
      <c r="G967" s="2">
        <v>3.0364501850000001</v>
      </c>
      <c r="H967" s="2">
        <v>9.6924109999999997E-3</v>
      </c>
      <c r="I967" s="2" t="s">
        <v>46193</v>
      </c>
      <c r="J967" s="2" t="s">
        <v>46194</v>
      </c>
      <c r="K967" s="2">
        <v>2.7844863000000001E-2</v>
      </c>
      <c r="L967" s="2" t="s">
        <v>606</v>
      </c>
      <c r="M967" s="4" t="s">
        <v>46195</v>
      </c>
    </row>
    <row r="968" spans="1:13">
      <c r="A968" s="2">
        <v>134</v>
      </c>
      <c r="B968" s="2" t="s">
        <v>26202</v>
      </c>
      <c r="C968" s="2">
        <v>7</v>
      </c>
      <c r="D968" s="2">
        <v>291</v>
      </c>
      <c r="E968" s="2">
        <v>258</v>
      </c>
      <c r="F968" s="2">
        <v>32441</v>
      </c>
      <c r="G968" s="2">
        <v>3.024680998</v>
      </c>
      <c r="H968" s="2">
        <v>9.8821139999999991E-3</v>
      </c>
      <c r="I968" s="2" t="s">
        <v>46196</v>
      </c>
      <c r="J968" s="2" t="s">
        <v>46197</v>
      </c>
      <c r="K968" s="2">
        <v>2.8100162000000001E-2</v>
      </c>
      <c r="L968" s="2" t="s">
        <v>606</v>
      </c>
      <c r="M968" s="4" t="s">
        <v>26205</v>
      </c>
    </row>
    <row r="969" spans="1:13">
      <c r="A969" s="2">
        <v>236</v>
      </c>
      <c r="B969" s="2" t="s">
        <v>46198</v>
      </c>
      <c r="C969" s="2">
        <v>7</v>
      </c>
      <c r="D969" s="2">
        <v>291</v>
      </c>
      <c r="E969" s="2">
        <v>258</v>
      </c>
      <c r="F969" s="2">
        <v>32441</v>
      </c>
      <c r="G969" s="2">
        <v>3.024680998</v>
      </c>
      <c r="H969" s="2">
        <v>9.8821139999999991E-3</v>
      </c>
      <c r="I969" s="2" t="s">
        <v>46199</v>
      </c>
      <c r="J969" s="2" t="s">
        <v>46200</v>
      </c>
      <c r="K969" s="2">
        <v>2.8100162000000001E-2</v>
      </c>
      <c r="L969" s="2" t="s">
        <v>606</v>
      </c>
      <c r="M969" s="4" t="s">
        <v>46201</v>
      </c>
    </row>
    <row r="970" spans="1:13">
      <c r="A970" s="2">
        <v>313</v>
      </c>
      <c r="B970" s="2" t="s">
        <v>26348</v>
      </c>
      <c r="C970" s="2">
        <v>7</v>
      </c>
      <c r="D970" s="2">
        <v>291</v>
      </c>
      <c r="E970" s="2">
        <v>258</v>
      </c>
      <c r="F970" s="2">
        <v>32441</v>
      </c>
      <c r="G970" s="2">
        <v>3.024680998</v>
      </c>
      <c r="H970" s="2">
        <v>9.8821139999999991E-3</v>
      </c>
      <c r="I970" s="2" t="s">
        <v>46202</v>
      </c>
      <c r="J970" s="2" t="s">
        <v>46203</v>
      </c>
      <c r="K970" s="2">
        <v>2.8100162000000001E-2</v>
      </c>
      <c r="L970" s="2" t="s">
        <v>606</v>
      </c>
      <c r="M970" s="4" t="s">
        <v>26351</v>
      </c>
    </row>
    <row r="971" spans="1:13">
      <c r="A971" s="2">
        <v>4401</v>
      </c>
      <c r="B971" s="2" t="s">
        <v>42661</v>
      </c>
      <c r="C971" s="2">
        <v>7</v>
      </c>
      <c r="D971" s="2">
        <v>291</v>
      </c>
      <c r="E971" s="2">
        <v>259</v>
      </c>
      <c r="F971" s="2">
        <v>32441</v>
      </c>
      <c r="G971" s="2">
        <v>3.0130026929999998</v>
      </c>
      <c r="H971" s="2">
        <v>1.0074514999999999E-2</v>
      </c>
      <c r="I971" s="2" t="s">
        <v>46204</v>
      </c>
      <c r="J971" s="2" t="s">
        <v>46205</v>
      </c>
      <c r="K971" s="2">
        <v>2.8453697999999999E-2</v>
      </c>
      <c r="L971" s="2" t="s">
        <v>606</v>
      </c>
      <c r="M971" s="4" t="s">
        <v>42664</v>
      </c>
    </row>
    <row r="972" spans="1:13">
      <c r="A972" s="2">
        <v>482</v>
      </c>
      <c r="B972" s="2" t="s">
        <v>26878</v>
      </c>
      <c r="C972" s="2">
        <v>7</v>
      </c>
      <c r="D972" s="2">
        <v>291</v>
      </c>
      <c r="E972" s="2">
        <v>259</v>
      </c>
      <c r="F972" s="2">
        <v>32441</v>
      </c>
      <c r="G972" s="2">
        <v>3.0130026929999998</v>
      </c>
      <c r="H972" s="2">
        <v>1.0074514999999999E-2</v>
      </c>
      <c r="I972" s="2" t="s">
        <v>46206</v>
      </c>
      <c r="J972" s="2" t="s">
        <v>46207</v>
      </c>
      <c r="K972" s="2">
        <v>2.8453697999999999E-2</v>
      </c>
      <c r="L972" s="2" t="s">
        <v>606</v>
      </c>
      <c r="M972" s="4" t="s">
        <v>26881</v>
      </c>
    </row>
    <row r="973" spans="1:13">
      <c r="A973" s="2">
        <v>138</v>
      </c>
      <c r="B973" s="2" t="s">
        <v>46208</v>
      </c>
      <c r="C973" s="2">
        <v>7</v>
      </c>
      <c r="D973" s="2">
        <v>291</v>
      </c>
      <c r="E973" s="2">
        <v>261</v>
      </c>
      <c r="F973" s="2">
        <v>32441</v>
      </c>
      <c r="G973" s="2">
        <v>2.9899145499999999</v>
      </c>
      <c r="H973" s="2">
        <v>1.0467492E-2</v>
      </c>
      <c r="I973" s="2" t="s">
        <v>46209</v>
      </c>
      <c r="J973" s="2" t="s">
        <v>46210</v>
      </c>
      <c r="K973" s="2">
        <v>2.9279920000000001E-2</v>
      </c>
      <c r="L973" s="2" t="s">
        <v>606</v>
      </c>
      <c r="M973" s="4" t="s">
        <v>46211</v>
      </c>
    </row>
    <row r="974" spans="1:13">
      <c r="A974" s="2">
        <v>751</v>
      </c>
      <c r="B974" s="2" t="s">
        <v>27296</v>
      </c>
      <c r="C974" s="2">
        <v>8</v>
      </c>
      <c r="D974" s="2">
        <v>291</v>
      </c>
      <c r="E974" s="2">
        <v>326</v>
      </c>
      <c r="F974" s="2">
        <v>32441</v>
      </c>
      <c r="G974" s="2">
        <v>2.7357325069999998</v>
      </c>
      <c r="H974" s="2">
        <v>1.0472125000000001E-2</v>
      </c>
      <c r="I974" s="2" t="s">
        <v>46212</v>
      </c>
      <c r="J974" s="2" t="s">
        <v>46213</v>
      </c>
      <c r="K974" s="2">
        <v>2.9279920000000001E-2</v>
      </c>
      <c r="L974" s="2" t="s">
        <v>606</v>
      </c>
      <c r="M974" s="4" t="s">
        <v>27299</v>
      </c>
    </row>
    <row r="975" spans="1:13">
      <c r="A975" s="2">
        <v>778</v>
      </c>
      <c r="B975" s="2" t="s">
        <v>6668</v>
      </c>
      <c r="C975" s="2">
        <v>7</v>
      </c>
      <c r="D975" s="2">
        <v>291</v>
      </c>
      <c r="E975" s="2">
        <v>261</v>
      </c>
      <c r="F975" s="2">
        <v>32441</v>
      </c>
      <c r="G975" s="2">
        <v>2.9899145499999999</v>
      </c>
      <c r="H975" s="2">
        <v>1.0467492E-2</v>
      </c>
      <c r="I975" s="2" t="s">
        <v>46214</v>
      </c>
      <c r="J975" s="2" t="s">
        <v>46215</v>
      </c>
      <c r="K975" s="2">
        <v>2.9279920000000001E-2</v>
      </c>
      <c r="L975" s="2" t="s">
        <v>606</v>
      </c>
      <c r="M975" s="4" t="s">
        <v>6671</v>
      </c>
    </row>
    <row r="976" spans="1:13">
      <c r="A976" s="2">
        <v>124</v>
      </c>
      <c r="B976" s="2" t="s">
        <v>27398</v>
      </c>
      <c r="C976" s="2">
        <v>7</v>
      </c>
      <c r="D976" s="2">
        <v>291</v>
      </c>
      <c r="E976" s="2">
        <v>263</v>
      </c>
      <c r="F976" s="2">
        <v>32441</v>
      </c>
      <c r="G976" s="2">
        <v>2.9671775569999999</v>
      </c>
      <c r="H976" s="2">
        <v>1.0871511E-2</v>
      </c>
      <c r="I976" s="2" t="s">
        <v>46216</v>
      </c>
      <c r="J976" s="2" t="s">
        <v>46217</v>
      </c>
      <c r="K976" s="2">
        <v>2.9995324E-2</v>
      </c>
      <c r="L976" s="2" t="s">
        <v>606</v>
      </c>
      <c r="M976" s="4" t="s">
        <v>27401</v>
      </c>
    </row>
    <row r="977" spans="1:13">
      <c r="A977" s="2">
        <v>302</v>
      </c>
      <c r="B977" s="2" t="s">
        <v>46218</v>
      </c>
      <c r="C977" s="2">
        <v>7</v>
      </c>
      <c r="D977" s="2">
        <v>291</v>
      </c>
      <c r="E977" s="2">
        <v>263</v>
      </c>
      <c r="F977" s="2">
        <v>32441</v>
      </c>
      <c r="G977" s="2">
        <v>2.9671775569999999</v>
      </c>
      <c r="H977" s="2">
        <v>1.0871511E-2</v>
      </c>
      <c r="I977" s="2" t="s">
        <v>46219</v>
      </c>
      <c r="J977" s="2" t="s">
        <v>46220</v>
      </c>
      <c r="K977" s="2">
        <v>2.9995324E-2</v>
      </c>
      <c r="L977" s="2" t="s">
        <v>606</v>
      </c>
      <c r="M977" s="4" t="s">
        <v>46221</v>
      </c>
    </row>
    <row r="978" spans="1:13">
      <c r="A978" s="2">
        <v>340</v>
      </c>
      <c r="B978" s="2" t="s">
        <v>46222</v>
      </c>
      <c r="C978" s="2">
        <v>6</v>
      </c>
      <c r="D978" s="2">
        <v>291</v>
      </c>
      <c r="E978" s="2">
        <v>201</v>
      </c>
      <c r="F978" s="2">
        <v>32441</v>
      </c>
      <c r="G978" s="2">
        <v>3.3277940199999998</v>
      </c>
      <c r="H978" s="2">
        <v>1.0802617E-2</v>
      </c>
      <c r="I978" s="2" t="s">
        <v>46223</v>
      </c>
      <c r="J978" s="2" t="s">
        <v>46224</v>
      </c>
      <c r="K978" s="2">
        <v>2.9995324E-2</v>
      </c>
      <c r="L978" s="2" t="s">
        <v>606</v>
      </c>
      <c r="M978" s="4" t="s">
        <v>46225</v>
      </c>
    </row>
    <row r="979" spans="1:13">
      <c r="A979" s="2">
        <v>487</v>
      </c>
      <c r="B979" s="2" t="s">
        <v>46226</v>
      </c>
      <c r="C979" s="2">
        <v>7</v>
      </c>
      <c r="D979" s="2">
        <v>291</v>
      </c>
      <c r="E979" s="2">
        <v>263</v>
      </c>
      <c r="F979" s="2">
        <v>32441</v>
      </c>
      <c r="G979" s="2">
        <v>2.9671775569999999</v>
      </c>
      <c r="H979" s="2">
        <v>1.0871511E-2</v>
      </c>
      <c r="I979" s="2" t="s">
        <v>46227</v>
      </c>
      <c r="J979" s="2" t="s">
        <v>46228</v>
      </c>
      <c r="K979" s="2">
        <v>2.9995324E-2</v>
      </c>
      <c r="L979" s="2" t="s">
        <v>606</v>
      </c>
      <c r="M979" s="4" t="s">
        <v>46229</v>
      </c>
    </row>
    <row r="980" spans="1:13">
      <c r="A980" s="2">
        <v>622</v>
      </c>
      <c r="B980" s="2" t="s">
        <v>25965</v>
      </c>
      <c r="C980" s="2">
        <v>9</v>
      </c>
      <c r="D980" s="2">
        <v>291</v>
      </c>
      <c r="E980" s="2">
        <v>398</v>
      </c>
      <c r="F980" s="2">
        <v>32441</v>
      </c>
      <c r="G980" s="2">
        <v>2.520929389</v>
      </c>
      <c r="H980" s="2">
        <v>1.1129630999999999E-2</v>
      </c>
      <c r="I980" s="2" t="s">
        <v>46230</v>
      </c>
      <c r="J980" s="2" t="s">
        <v>46231</v>
      </c>
      <c r="K980" s="2">
        <v>3.0606485999999999E-2</v>
      </c>
      <c r="L980" s="2" t="s">
        <v>606</v>
      </c>
      <c r="M980" s="4" t="s">
        <v>25968</v>
      </c>
    </row>
    <row r="981" spans="1:13">
      <c r="A981" s="2">
        <v>243</v>
      </c>
      <c r="B981" s="2" t="s">
        <v>46232</v>
      </c>
      <c r="C981" s="2">
        <v>5</v>
      </c>
      <c r="D981" s="2">
        <v>291</v>
      </c>
      <c r="E981" s="2">
        <v>145</v>
      </c>
      <c r="F981" s="2">
        <v>32441</v>
      </c>
      <c r="G981" s="2">
        <v>3.8441758500000001</v>
      </c>
      <c r="H981" s="2">
        <v>1.1172321000000001E-2</v>
      </c>
      <c r="I981" s="2" t="s">
        <v>46233</v>
      </c>
      <c r="J981" s="2" t="s">
        <v>46234</v>
      </c>
      <c r="K981" s="2">
        <v>3.0623147999999999E-2</v>
      </c>
      <c r="L981" s="2" t="s">
        <v>606</v>
      </c>
      <c r="M981" s="4" t="s">
        <v>46235</v>
      </c>
    </row>
    <row r="982" spans="1:13">
      <c r="A982" s="2">
        <v>204</v>
      </c>
      <c r="B982" s="2" t="s">
        <v>27746</v>
      </c>
      <c r="C982" s="2">
        <v>6</v>
      </c>
      <c r="D982" s="2">
        <v>291</v>
      </c>
      <c r="E982" s="2">
        <v>203</v>
      </c>
      <c r="F982" s="2">
        <v>32441</v>
      </c>
      <c r="G982" s="2">
        <v>3.2950078719999998</v>
      </c>
      <c r="H982" s="2">
        <v>1.1287271999999999E-2</v>
      </c>
      <c r="I982" s="2" t="s">
        <v>46236</v>
      </c>
      <c r="J982" s="2" t="s">
        <v>46237</v>
      </c>
      <c r="K982" s="2">
        <v>3.0636881000000001E-2</v>
      </c>
      <c r="L982" s="2" t="s">
        <v>606</v>
      </c>
      <c r="M982" s="4" t="s">
        <v>27749</v>
      </c>
    </row>
    <row r="983" spans="1:13">
      <c r="A983" s="2">
        <v>272</v>
      </c>
      <c r="B983" s="2" t="s">
        <v>46238</v>
      </c>
      <c r="C983" s="2">
        <v>7</v>
      </c>
      <c r="D983" s="2">
        <v>291</v>
      </c>
      <c r="E983" s="2">
        <v>265</v>
      </c>
      <c r="F983" s="2">
        <v>32441</v>
      </c>
      <c r="G983" s="2">
        <v>2.9447837649999999</v>
      </c>
      <c r="H983" s="2">
        <v>1.1286740999999999E-2</v>
      </c>
      <c r="I983" s="2" t="s">
        <v>46239</v>
      </c>
      <c r="J983" s="2" t="s">
        <v>46240</v>
      </c>
      <c r="K983" s="2">
        <v>3.0636881000000001E-2</v>
      </c>
      <c r="L983" s="2" t="s">
        <v>606</v>
      </c>
      <c r="M983" s="4" t="s">
        <v>46241</v>
      </c>
    </row>
    <row r="984" spans="1:13">
      <c r="A984" s="2">
        <v>427</v>
      </c>
      <c r="B984" s="2" t="s">
        <v>46242</v>
      </c>
      <c r="C984" s="2">
        <v>7</v>
      </c>
      <c r="D984" s="2">
        <v>291</v>
      </c>
      <c r="E984" s="2">
        <v>265</v>
      </c>
      <c r="F984" s="2">
        <v>32441</v>
      </c>
      <c r="G984" s="2">
        <v>2.9447837649999999</v>
      </c>
      <c r="H984" s="2">
        <v>1.1286740999999999E-2</v>
      </c>
      <c r="I984" s="2" t="s">
        <v>46243</v>
      </c>
      <c r="J984" s="2" t="s">
        <v>46244</v>
      </c>
      <c r="K984" s="2">
        <v>3.0636881000000001E-2</v>
      </c>
      <c r="L984" s="2" t="s">
        <v>606</v>
      </c>
      <c r="M984" s="4" t="s">
        <v>46245</v>
      </c>
    </row>
    <row r="985" spans="1:13">
      <c r="A985" s="2">
        <v>118</v>
      </c>
      <c r="B985" s="2" t="s">
        <v>26932</v>
      </c>
      <c r="C985" s="2">
        <v>7</v>
      </c>
      <c r="D985" s="2">
        <v>291</v>
      </c>
      <c r="E985" s="2">
        <v>266</v>
      </c>
      <c r="F985" s="2">
        <v>32441</v>
      </c>
      <c r="G985" s="2">
        <v>2.9337131489999999</v>
      </c>
      <c r="H985" s="2">
        <v>1.1498613E-2</v>
      </c>
      <c r="I985" s="2" t="s">
        <v>46246</v>
      </c>
      <c r="J985" s="2" t="s">
        <v>46247</v>
      </c>
      <c r="K985" s="2">
        <v>3.1031486E-2</v>
      </c>
      <c r="L985" s="2" t="s">
        <v>606</v>
      </c>
      <c r="M985" s="4" t="s">
        <v>26935</v>
      </c>
    </row>
    <row r="986" spans="1:13">
      <c r="A986" s="2">
        <v>580</v>
      </c>
      <c r="B986" s="2" t="s">
        <v>26618</v>
      </c>
      <c r="C986" s="2">
        <v>4</v>
      </c>
      <c r="D986" s="2">
        <v>291</v>
      </c>
      <c r="E986" s="2">
        <v>94</v>
      </c>
      <c r="F986" s="2">
        <v>32441</v>
      </c>
      <c r="G986" s="2">
        <v>4.7438765810000003</v>
      </c>
      <c r="H986" s="2">
        <v>1.1506891E-2</v>
      </c>
      <c r="I986" s="2" t="s">
        <v>46248</v>
      </c>
      <c r="J986" s="2" t="s">
        <v>46249</v>
      </c>
      <c r="K986" s="2">
        <v>3.1031486E-2</v>
      </c>
      <c r="L986" s="2" t="s">
        <v>606</v>
      </c>
      <c r="M986" s="4" t="s">
        <v>26621</v>
      </c>
    </row>
    <row r="987" spans="1:13">
      <c r="A987" s="2">
        <v>151</v>
      </c>
      <c r="B987" s="2" t="s">
        <v>46250</v>
      </c>
      <c r="C987" s="2">
        <v>7</v>
      </c>
      <c r="D987" s="2">
        <v>291</v>
      </c>
      <c r="E987" s="2">
        <v>268</v>
      </c>
      <c r="F987" s="2">
        <v>32441</v>
      </c>
      <c r="G987" s="2">
        <v>2.9118197669999999</v>
      </c>
      <c r="H987" s="2">
        <v>1.1930975E-2</v>
      </c>
      <c r="I987" s="2" t="s">
        <v>46251</v>
      </c>
      <c r="J987" s="2" t="s">
        <v>46252</v>
      </c>
      <c r="K987" s="2">
        <v>3.1968893999999998E-2</v>
      </c>
      <c r="L987" s="2" t="s">
        <v>606</v>
      </c>
      <c r="M987" s="4" t="s">
        <v>46253</v>
      </c>
    </row>
    <row r="988" spans="1:13">
      <c r="A988" s="2">
        <v>438</v>
      </c>
      <c r="B988" s="2" t="s">
        <v>46254</v>
      </c>
      <c r="C988" s="2">
        <v>7</v>
      </c>
      <c r="D988" s="2">
        <v>291</v>
      </c>
      <c r="E988" s="2">
        <v>268</v>
      </c>
      <c r="F988" s="2">
        <v>32441</v>
      </c>
      <c r="G988" s="2">
        <v>2.9118197669999999</v>
      </c>
      <c r="H988" s="2">
        <v>1.1930975E-2</v>
      </c>
      <c r="I988" s="2" t="s">
        <v>46255</v>
      </c>
      <c r="J988" s="2" t="s">
        <v>46256</v>
      </c>
      <c r="K988" s="2">
        <v>3.1968893999999998E-2</v>
      </c>
      <c r="L988" s="2" t="s">
        <v>606</v>
      </c>
      <c r="M988" s="4" t="s">
        <v>46257</v>
      </c>
    </row>
    <row r="989" spans="1:13">
      <c r="A989" s="2">
        <v>830</v>
      </c>
      <c r="B989" s="2" t="s">
        <v>26598</v>
      </c>
      <c r="C989" s="2">
        <v>10</v>
      </c>
      <c r="D989" s="2">
        <v>291</v>
      </c>
      <c r="E989" s="2">
        <v>475</v>
      </c>
      <c r="F989" s="2">
        <v>32441</v>
      </c>
      <c r="G989" s="2">
        <v>2.3469705190000001</v>
      </c>
      <c r="H989" s="2">
        <v>1.2090788E-2</v>
      </c>
      <c r="I989" s="2" t="s">
        <v>46258</v>
      </c>
      <c r="J989" s="2" t="s">
        <v>46259</v>
      </c>
      <c r="K989" s="2">
        <v>3.2293607000000002E-2</v>
      </c>
      <c r="L989" s="2" t="s">
        <v>606</v>
      </c>
      <c r="M989" s="4" t="s">
        <v>26601</v>
      </c>
    </row>
    <row r="990" spans="1:13">
      <c r="A990" s="2">
        <v>446</v>
      </c>
      <c r="B990" s="2" t="s">
        <v>27418</v>
      </c>
      <c r="C990" s="2">
        <v>7</v>
      </c>
      <c r="D990" s="2">
        <v>291</v>
      </c>
      <c r="E990" s="2">
        <v>269</v>
      </c>
      <c r="F990" s="2">
        <v>32441</v>
      </c>
      <c r="G990" s="2">
        <v>2.9009951580000002</v>
      </c>
      <c r="H990" s="2">
        <v>1.2151507000000001E-2</v>
      </c>
      <c r="I990" s="2" t="s">
        <v>46260</v>
      </c>
      <c r="J990" s="2" t="s">
        <v>46261</v>
      </c>
      <c r="K990" s="2">
        <v>3.2352419E-2</v>
      </c>
      <c r="L990" s="2" t="s">
        <v>606</v>
      </c>
      <c r="M990" s="4" t="s">
        <v>27421</v>
      </c>
    </row>
    <row r="991" spans="1:13">
      <c r="A991" s="2">
        <v>5271</v>
      </c>
      <c r="B991" s="2" t="s">
        <v>27014</v>
      </c>
      <c r="C991" s="2">
        <v>5</v>
      </c>
      <c r="D991" s="2">
        <v>291</v>
      </c>
      <c r="E991" s="2">
        <v>149</v>
      </c>
      <c r="F991" s="2">
        <v>32441</v>
      </c>
      <c r="G991" s="2">
        <v>3.7409764989999998</v>
      </c>
      <c r="H991" s="2">
        <v>1.2409420000000001E-2</v>
      </c>
      <c r="I991" s="2" t="s">
        <v>46262</v>
      </c>
      <c r="J991" s="2" t="s">
        <v>46263</v>
      </c>
      <c r="K991" s="2">
        <v>3.2934206000000001E-2</v>
      </c>
      <c r="L991" s="2" t="s">
        <v>606</v>
      </c>
      <c r="M991" s="4" t="s">
        <v>27017</v>
      </c>
    </row>
    <row r="992" spans="1:13">
      <c r="A992" s="2">
        <v>1331</v>
      </c>
      <c r="B992" s="2" t="s">
        <v>46264</v>
      </c>
      <c r="C992" s="2">
        <v>7</v>
      </c>
      <c r="D992" s="2">
        <v>291</v>
      </c>
      <c r="E992" s="2">
        <v>271</v>
      </c>
      <c r="F992" s="2">
        <v>32441</v>
      </c>
      <c r="G992" s="2">
        <v>2.8795856</v>
      </c>
      <c r="H992" s="2">
        <v>1.2601375E-2</v>
      </c>
      <c r="I992" s="2" t="s">
        <v>46265</v>
      </c>
      <c r="J992" s="2" t="s">
        <v>46266</v>
      </c>
      <c r="K992" s="2">
        <v>3.3232646999999997E-2</v>
      </c>
      <c r="L992" s="2" t="s">
        <v>606</v>
      </c>
      <c r="M992" s="4" t="s">
        <v>46267</v>
      </c>
    </row>
    <row r="993" spans="1:13">
      <c r="A993" s="2">
        <v>336</v>
      </c>
      <c r="B993" s="2" t="s">
        <v>27698</v>
      </c>
      <c r="C993" s="2">
        <v>7</v>
      </c>
      <c r="D993" s="2">
        <v>291</v>
      </c>
      <c r="E993" s="2">
        <v>271</v>
      </c>
      <c r="F993" s="2">
        <v>32441</v>
      </c>
      <c r="G993" s="2">
        <v>2.8795856</v>
      </c>
      <c r="H993" s="2">
        <v>1.2601375E-2</v>
      </c>
      <c r="I993" s="2" t="s">
        <v>46268</v>
      </c>
      <c r="J993" s="2" t="s">
        <v>46269</v>
      </c>
      <c r="K993" s="2">
        <v>3.3232646999999997E-2</v>
      </c>
      <c r="L993" s="2" t="s">
        <v>606</v>
      </c>
      <c r="M993" s="4" t="s">
        <v>27701</v>
      </c>
    </row>
    <row r="994" spans="1:13">
      <c r="A994" s="2">
        <v>4621</v>
      </c>
      <c r="B994" s="2" t="s">
        <v>46270</v>
      </c>
      <c r="C994" s="2">
        <v>7</v>
      </c>
      <c r="D994" s="2">
        <v>291</v>
      </c>
      <c r="E994" s="2">
        <v>273</v>
      </c>
      <c r="F994" s="2">
        <v>32441</v>
      </c>
      <c r="G994" s="2">
        <v>2.858489735</v>
      </c>
      <c r="H994" s="2">
        <v>1.3063119999999999E-2</v>
      </c>
      <c r="I994" s="2" t="s">
        <v>46243</v>
      </c>
      <c r="J994" s="2" t="s">
        <v>46244</v>
      </c>
      <c r="K994" s="2">
        <v>3.4342038999999998E-2</v>
      </c>
      <c r="L994" s="2" t="s">
        <v>606</v>
      </c>
      <c r="M994" s="4" t="s">
        <v>46271</v>
      </c>
    </row>
    <row r="995" spans="1:13">
      <c r="A995" s="2">
        <v>214</v>
      </c>
      <c r="B995" s="2" t="s">
        <v>6759</v>
      </c>
      <c r="C995" s="2">
        <v>7</v>
      </c>
      <c r="D995" s="2">
        <v>291</v>
      </c>
      <c r="E995" s="2">
        <v>274</v>
      </c>
      <c r="F995" s="2">
        <v>32441</v>
      </c>
      <c r="G995" s="2">
        <v>2.8480572899999999</v>
      </c>
      <c r="H995" s="2">
        <v>1.3298498000000001E-2</v>
      </c>
      <c r="I995" s="2" t="s">
        <v>46272</v>
      </c>
      <c r="J995" s="2" t="s">
        <v>46273</v>
      </c>
      <c r="K995" s="2">
        <v>3.4851236000000001E-2</v>
      </c>
      <c r="L995" s="2" t="s">
        <v>606</v>
      </c>
      <c r="M995" s="4" t="s">
        <v>6762</v>
      </c>
    </row>
    <row r="996" spans="1:13">
      <c r="A996" s="2">
        <v>143</v>
      </c>
      <c r="B996" s="2" t="s">
        <v>46274</v>
      </c>
      <c r="C996" s="2">
        <v>7</v>
      </c>
      <c r="D996" s="2">
        <v>291</v>
      </c>
      <c r="E996" s="2">
        <v>275</v>
      </c>
      <c r="F996" s="2">
        <v>32441</v>
      </c>
      <c r="G996" s="2">
        <v>2.8377007189999999</v>
      </c>
      <c r="H996" s="2">
        <v>1.3536906E-2</v>
      </c>
      <c r="I996" s="2" t="s">
        <v>46275</v>
      </c>
      <c r="J996" s="2" t="s">
        <v>46276</v>
      </c>
      <c r="K996" s="2">
        <v>3.5254995999999997E-2</v>
      </c>
      <c r="L996" s="2" t="s">
        <v>606</v>
      </c>
      <c r="M996" s="4" t="s">
        <v>46277</v>
      </c>
    </row>
    <row r="997" spans="1:13">
      <c r="A997" s="2">
        <v>439</v>
      </c>
      <c r="B997" s="2" t="s">
        <v>46278</v>
      </c>
      <c r="C997" s="2">
        <v>7</v>
      </c>
      <c r="D997" s="2">
        <v>291</v>
      </c>
      <c r="E997" s="2">
        <v>275</v>
      </c>
      <c r="F997" s="2">
        <v>32441</v>
      </c>
      <c r="G997" s="2">
        <v>2.8377007189999999</v>
      </c>
      <c r="H997" s="2">
        <v>1.3536906E-2</v>
      </c>
      <c r="I997" s="2" t="s">
        <v>46279</v>
      </c>
      <c r="J997" s="2" t="s">
        <v>46280</v>
      </c>
      <c r="K997" s="2">
        <v>3.5254995999999997E-2</v>
      </c>
      <c r="L997" s="2" t="s">
        <v>606</v>
      </c>
      <c r="M997" s="4" t="s">
        <v>46281</v>
      </c>
    </row>
    <row r="998" spans="1:13">
      <c r="A998" s="2">
        <v>721</v>
      </c>
      <c r="B998" s="2" t="s">
        <v>46282</v>
      </c>
      <c r="C998" s="2">
        <v>5</v>
      </c>
      <c r="D998" s="2">
        <v>291</v>
      </c>
      <c r="E998" s="2">
        <v>153</v>
      </c>
      <c r="F998" s="2">
        <v>32441</v>
      </c>
      <c r="G998" s="2">
        <v>3.6431731909999998</v>
      </c>
      <c r="H998" s="2">
        <v>1.3736211E-2</v>
      </c>
      <c r="I998" s="2" t="s">
        <v>46283</v>
      </c>
      <c r="J998" s="2" t="s">
        <v>46284</v>
      </c>
      <c r="K998" s="2">
        <v>3.5662959000000001E-2</v>
      </c>
      <c r="L998" s="2" t="s">
        <v>606</v>
      </c>
      <c r="M998" s="4" t="s">
        <v>46285</v>
      </c>
    </row>
    <row r="999" spans="1:13">
      <c r="A999" s="2">
        <v>158</v>
      </c>
      <c r="B999" s="2" t="s">
        <v>26668</v>
      </c>
      <c r="C999" s="2">
        <v>7</v>
      </c>
      <c r="D999" s="2">
        <v>291</v>
      </c>
      <c r="E999" s="2">
        <v>277</v>
      </c>
      <c r="F999" s="2">
        <v>32441</v>
      </c>
      <c r="G999" s="2">
        <v>2.8172119050000002</v>
      </c>
      <c r="H999" s="2">
        <v>1.4022896E-2</v>
      </c>
      <c r="I999" s="2" t="s">
        <v>46286</v>
      </c>
      <c r="J999" s="2" t="s">
        <v>46287</v>
      </c>
      <c r="K999" s="2">
        <v>3.6294554999999999E-2</v>
      </c>
      <c r="L999" s="2" t="s">
        <v>606</v>
      </c>
      <c r="M999" s="4" t="s">
        <v>26671</v>
      </c>
    </row>
    <row r="1000" spans="1:13">
      <c r="A1000" s="2">
        <v>73</v>
      </c>
      <c r="B1000" s="2" t="s">
        <v>46288</v>
      </c>
      <c r="C1000" s="2">
        <v>5</v>
      </c>
      <c r="D1000" s="2">
        <v>291</v>
      </c>
      <c r="E1000" s="2">
        <v>154</v>
      </c>
      <c r="F1000" s="2">
        <v>32441</v>
      </c>
      <c r="G1000" s="2">
        <v>3.6195162230000002</v>
      </c>
      <c r="H1000" s="2">
        <v>1.4082238E-2</v>
      </c>
      <c r="I1000" s="2" t="s">
        <v>46289</v>
      </c>
      <c r="J1000" s="2" t="s">
        <v>46290</v>
      </c>
      <c r="K1000" s="2">
        <v>3.6335652000000003E-2</v>
      </c>
      <c r="L1000" s="2" t="s">
        <v>606</v>
      </c>
      <c r="M1000" s="4" t="s">
        <v>46291</v>
      </c>
    </row>
    <row r="1001" spans="1:13">
      <c r="A1001" s="2">
        <v>231</v>
      </c>
      <c r="B1001" s="2" t="s">
        <v>46292</v>
      </c>
      <c r="C1001" s="2">
        <v>6</v>
      </c>
      <c r="D1001" s="2">
        <v>291</v>
      </c>
      <c r="E1001" s="2">
        <v>214</v>
      </c>
      <c r="F1001" s="2">
        <v>32441</v>
      </c>
      <c r="G1001" s="2">
        <v>3.1256383080000001</v>
      </c>
      <c r="H1001" s="2">
        <v>1.4230309999999999E-2</v>
      </c>
      <c r="I1001" s="2" t="s">
        <v>46293</v>
      </c>
      <c r="J1001" s="2" t="s">
        <v>46294</v>
      </c>
      <c r="K1001" s="2">
        <v>3.6604734999999999E-2</v>
      </c>
      <c r="L1001" s="2" t="s">
        <v>606</v>
      </c>
      <c r="M1001" s="4" t="s">
        <v>46295</v>
      </c>
    </row>
    <row r="1002" spans="1:13">
      <c r="A1002" s="2">
        <v>64</v>
      </c>
      <c r="B1002" s="2" t="s">
        <v>46296</v>
      </c>
      <c r="C1002" s="2">
        <v>4</v>
      </c>
      <c r="D1002" s="2">
        <v>291</v>
      </c>
      <c r="E1002" s="2">
        <v>101</v>
      </c>
      <c r="F1002" s="2">
        <v>32441</v>
      </c>
      <c r="G1002" s="2">
        <v>4.4150930559999999</v>
      </c>
      <c r="H1002" s="2">
        <v>1.4515531999999999E-2</v>
      </c>
      <c r="I1002" s="2" t="s">
        <v>46297</v>
      </c>
      <c r="J1002" s="2" t="s">
        <v>46298</v>
      </c>
      <c r="K1002" s="2">
        <v>3.7223880000000001E-2</v>
      </c>
      <c r="L1002" s="2" t="s">
        <v>606</v>
      </c>
      <c r="M1002" s="4" t="s">
        <v>46299</v>
      </c>
    </row>
    <row r="1003" spans="1:13">
      <c r="A1003" s="2">
        <v>499</v>
      </c>
      <c r="B1003" s="2" t="s">
        <v>26422</v>
      </c>
      <c r="C1003" s="2">
        <v>7</v>
      </c>
      <c r="D1003" s="2">
        <v>291</v>
      </c>
      <c r="E1003" s="2">
        <v>280</v>
      </c>
      <c r="F1003" s="2">
        <v>32441</v>
      </c>
      <c r="G1003" s="2">
        <v>2.7870274909999999</v>
      </c>
      <c r="H1003" s="2">
        <v>1.4775115E-2</v>
      </c>
      <c r="I1003" s="2" t="s">
        <v>46300</v>
      </c>
      <c r="J1003" s="2" t="s">
        <v>46301</v>
      </c>
      <c r="K1003" s="2">
        <v>3.7773688999999999E-2</v>
      </c>
      <c r="L1003" s="2" t="s">
        <v>606</v>
      </c>
      <c r="M1003" s="4" t="s">
        <v>26425</v>
      </c>
    </row>
    <row r="1004" spans="1:13">
      <c r="A1004" s="2">
        <v>537</v>
      </c>
      <c r="B1004" s="2" t="s">
        <v>26264</v>
      </c>
      <c r="C1004" s="2">
        <v>5</v>
      </c>
      <c r="D1004" s="2">
        <v>291</v>
      </c>
      <c r="E1004" s="2">
        <v>157</v>
      </c>
      <c r="F1004" s="2">
        <v>32441</v>
      </c>
      <c r="G1004" s="2">
        <v>3.5503534920000002</v>
      </c>
      <c r="H1004" s="2">
        <v>1.5155357E-2</v>
      </c>
      <c r="I1004" s="2" t="s">
        <v>46302</v>
      </c>
      <c r="J1004" s="2" t="s">
        <v>46303</v>
      </c>
      <c r="K1004" s="2">
        <v>3.8510269E-2</v>
      </c>
      <c r="L1004" s="2" t="s">
        <v>606</v>
      </c>
      <c r="M1004" s="4" t="s">
        <v>26267</v>
      </c>
    </row>
    <row r="1005" spans="1:13">
      <c r="A1005" s="2">
        <v>615</v>
      </c>
      <c r="B1005" s="2" t="s">
        <v>26356</v>
      </c>
      <c r="C1005" s="2">
        <v>5</v>
      </c>
      <c r="D1005" s="2">
        <v>291</v>
      </c>
      <c r="E1005" s="2">
        <v>157</v>
      </c>
      <c r="F1005" s="2">
        <v>32441</v>
      </c>
      <c r="G1005" s="2">
        <v>3.5503534920000002</v>
      </c>
      <c r="H1005" s="2">
        <v>1.5155357E-2</v>
      </c>
      <c r="I1005" s="2" t="s">
        <v>46304</v>
      </c>
      <c r="J1005" s="2" t="s">
        <v>46305</v>
      </c>
      <c r="K1005" s="2">
        <v>3.8510269E-2</v>
      </c>
      <c r="L1005" s="2" t="s">
        <v>606</v>
      </c>
      <c r="M1005" s="4" t="s">
        <v>26359</v>
      </c>
    </row>
    <row r="1006" spans="1:13">
      <c r="A1006" s="2">
        <v>578</v>
      </c>
      <c r="B1006" s="2" t="s">
        <v>26462</v>
      </c>
      <c r="C1006" s="2">
        <v>5</v>
      </c>
      <c r="D1006" s="2">
        <v>291</v>
      </c>
      <c r="E1006" s="2">
        <v>158</v>
      </c>
      <c r="F1006" s="2">
        <v>32441</v>
      </c>
      <c r="G1006" s="2">
        <v>3.5278829009999999</v>
      </c>
      <c r="H1006" s="2">
        <v>1.5524873999999999E-2</v>
      </c>
      <c r="I1006" s="2" t="s">
        <v>46306</v>
      </c>
      <c r="J1006" s="2" t="s">
        <v>46307</v>
      </c>
      <c r="K1006" s="2">
        <v>3.9329679999999999E-2</v>
      </c>
      <c r="L1006" s="2" t="s">
        <v>606</v>
      </c>
      <c r="M1006" s="4" t="s">
        <v>26465</v>
      </c>
    </row>
    <row r="1007" spans="1:13">
      <c r="A1007" s="2">
        <v>673</v>
      </c>
      <c r="B1007" s="2" t="s">
        <v>25949</v>
      </c>
      <c r="C1007" s="2">
        <v>6</v>
      </c>
      <c r="D1007" s="2">
        <v>291</v>
      </c>
      <c r="E1007" s="2">
        <v>219</v>
      </c>
      <c r="F1007" s="2">
        <v>32441</v>
      </c>
      <c r="G1007" s="2">
        <v>3.0542767030000002</v>
      </c>
      <c r="H1007" s="2">
        <v>1.5730094E-2</v>
      </c>
      <c r="I1007" s="2" t="s">
        <v>46308</v>
      </c>
      <c r="J1007" s="2" t="s">
        <v>46309</v>
      </c>
      <c r="K1007" s="2">
        <v>3.9729179000000003E-2</v>
      </c>
      <c r="L1007" s="2" t="s">
        <v>606</v>
      </c>
      <c r="M1007" s="4" t="s">
        <v>25952</v>
      </c>
    </row>
    <row r="1008" spans="1:13">
      <c r="A1008" s="2">
        <v>298</v>
      </c>
      <c r="B1008" s="2" t="s">
        <v>26496</v>
      </c>
      <c r="C1008" s="2">
        <v>6</v>
      </c>
      <c r="D1008" s="2">
        <v>291</v>
      </c>
      <c r="E1008" s="2">
        <v>220</v>
      </c>
      <c r="F1008" s="2">
        <v>32441</v>
      </c>
      <c r="G1008" s="2">
        <v>3.0403936269999998</v>
      </c>
      <c r="H1008" s="2">
        <v>1.6042672000000001E-2</v>
      </c>
      <c r="I1008" s="2" t="s">
        <v>46310</v>
      </c>
      <c r="J1008" s="2" t="s">
        <v>46311</v>
      </c>
      <c r="K1008" s="2">
        <v>4.0396608000000001E-2</v>
      </c>
      <c r="L1008" s="2" t="s">
        <v>606</v>
      </c>
      <c r="M1008" s="4" t="s">
        <v>26499</v>
      </c>
    </row>
    <row r="1009" spans="1:13">
      <c r="A1009" s="2">
        <v>701</v>
      </c>
      <c r="B1009" s="2" t="s">
        <v>26862</v>
      </c>
      <c r="C1009" s="2">
        <v>3</v>
      </c>
      <c r="D1009" s="2">
        <v>291</v>
      </c>
      <c r="E1009" s="2">
        <v>58</v>
      </c>
      <c r="F1009" s="2">
        <v>32441</v>
      </c>
      <c r="G1009" s="2">
        <v>5.7662637749999996</v>
      </c>
      <c r="H1009" s="2">
        <v>1.7130164E-2</v>
      </c>
      <c r="I1009" s="2" t="s">
        <v>46312</v>
      </c>
      <c r="J1009" s="2" t="s">
        <v>46313</v>
      </c>
      <c r="K1009" s="2">
        <v>4.3005455999999997E-2</v>
      </c>
      <c r="L1009" s="2" t="s">
        <v>606</v>
      </c>
      <c r="M1009" s="4" t="s">
        <v>26865</v>
      </c>
    </row>
    <row r="1010" spans="1:13">
      <c r="A1010" s="2">
        <v>363</v>
      </c>
      <c r="B1010" s="2" t="s">
        <v>27104</v>
      </c>
      <c r="C1010" s="2">
        <v>7</v>
      </c>
      <c r="D1010" s="2">
        <v>291</v>
      </c>
      <c r="E1010" s="2">
        <v>289</v>
      </c>
      <c r="F1010" s="2">
        <v>32441</v>
      </c>
      <c r="G1010" s="2">
        <v>2.7002342480000001</v>
      </c>
      <c r="H1010" s="2">
        <v>1.7204035999999999E-2</v>
      </c>
      <c r="I1010" s="2" t="s">
        <v>46314</v>
      </c>
      <c r="J1010" s="2" t="s">
        <v>46315</v>
      </c>
      <c r="K1010" s="2">
        <v>4.3061598999999999E-2</v>
      </c>
      <c r="L1010" s="2" t="s">
        <v>606</v>
      </c>
      <c r="M1010" s="4" t="s">
        <v>27107</v>
      </c>
    </row>
    <row r="1011" spans="1:13">
      <c r="A1011" s="2">
        <v>493</v>
      </c>
      <c r="B1011" s="2" t="s">
        <v>25843</v>
      </c>
      <c r="C1011" s="2">
        <v>11</v>
      </c>
      <c r="D1011" s="2">
        <v>291</v>
      </c>
      <c r="E1011" s="2">
        <v>579</v>
      </c>
      <c r="F1011" s="2">
        <v>32441</v>
      </c>
      <c r="G1011" s="2">
        <v>2.1179483530000001</v>
      </c>
      <c r="H1011" s="2">
        <v>1.7271481000000002E-2</v>
      </c>
      <c r="I1011" s="2" t="s">
        <v>46316</v>
      </c>
      <c r="J1011" s="2" t="s">
        <v>46317</v>
      </c>
      <c r="K1011" s="2">
        <v>4.3101369E-2</v>
      </c>
      <c r="L1011" s="2" t="s">
        <v>606</v>
      </c>
      <c r="M1011" s="4" t="s">
        <v>25846</v>
      </c>
    </row>
    <row r="1012" spans="1:13">
      <c r="A1012" s="2">
        <v>519</v>
      </c>
      <c r="B1012" s="2" t="s">
        <v>46318</v>
      </c>
      <c r="C1012" s="2">
        <v>3</v>
      </c>
      <c r="D1012" s="2">
        <v>291</v>
      </c>
      <c r="E1012" s="2">
        <v>59</v>
      </c>
      <c r="F1012" s="2">
        <v>32441</v>
      </c>
      <c r="G1012" s="2">
        <v>5.6685304910000003</v>
      </c>
      <c r="H1012" s="2">
        <v>1.7885410000000001E-2</v>
      </c>
      <c r="I1012" s="2" t="s">
        <v>46319</v>
      </c>
      <c r="J1012" s="2" t="s">
        <v>46320</v>
      </c>
      <c r="K1012" s="2">
        <v>4.4500603E-2</v>
      </c>
      <c r="L1012" s="2" t="s">
        <v>606</v>
      </c>
      <c r="M1012" s="4" t="s">
        <v>46321</v>
      </c>
    </row>
    <row r="1013" spans="1:13">
      <c r="A1013" s="2">
        <v>535</v>
      </c>
      <c r="B1013" s="2" t="s">
        <v>46322</v>
      </c>
      <c r="C1013" s="2">
        <v>7</v>
      </c>
      <c r="D1013" s="2">
        <v>291</v>
      </c>
      <c r="E1013" s="2">
        <v>293</v>
      </c>
      <c r="F1013" s="2">
        <v>32441</v>
      </c>
      <c r="G1013" s="2">
        <v>2.663370982</v>
      </c>
      <c r="H1013" s="2">
        <v>1.8369178999999999E-2</v>
      </c>
      <c r="I1013" s="2" t="s">
        <v>46323</v>
      </c>
      <c r="J1013" s="2" t="s">
        <v>46324</v>
      </c>
      <c r="K1013" s="2">
        <v>4.5568644999999998E-2</v>
      </c>
      <c r="L1013" s="2" t="s">
        <v>606</v>
      </c>
      <c r="M1013" s="4" t="s">
        <v>46325</v>
      </c>
    </row>
    <row r="1014" spans="1:13">
      <c r="A1014" s="2">
        <v>163</v>
      </c>
      <c r="B1014" s="2" t="s">
        <v>46326</v>
      </c>
      <c r="C1014" s="2">
        <v>6</v>
      </c>
      <c r="D1014" s="2">
        <v>291</v>
      </c>
      <c r="E1014" s="2">
        <v>228</v>
      </c>
      <c r="F1014" s="2">
        <v>32441</v>
      </c>
      <c r="G1014" s="2">
        <v>2.9337131489999999</v>
      </c>
      <c r="H1014" s="2">
        <v>1.8699167999999999E-2</v>
      </c>
      <c r="I1014" s="2" t="s">
        <v>46327</v>
      </c>
      <c r="J1014" s="2" t="s">
        <v>46328</v>
      </c>
      <c r="K1014" s="2">
        <v>4.6250013E-2</v>
      </c>
      <c r="L1014" s="2" t="s">
        <v>606</v>
      </c>
      <c r="M1014" s="4" t="s">
        <v>46329</v>
      </c>
    </row>
    <row r="1015" spans="1:13">
      <c r="A1015" s="2">
        <v>5561</v>
      </c>
      <c r="B1015" s="2" t="s">
        <v>26340</v>
      </c>
      <c r="C1015" s="2">
        <v>4</v>
      </c>
      <c r="D1015" s="2">
        <v>291</v>
      </c>
      <c r="E1015" s="2">
        <v>110</v>
      </c>
      <c r="F1015" s="2">
        <v>32441</v>
      </c>
      <c r="G1015" s="2">
        <v>4.0538581689999997</v>
      </c>
      <c r="H1015" s="2">
        <v>1.9056132E-2</v>
      </c>
      <c r="I1015" s="2" t="s">
        <v>46330</v>
      </c>
      <c r="J1015" s="2" t="s">
        <v>46331</v>
      </c>
      <c r="K1015" s="2">
        <v>4.6993883E-2</v>
      </c>
      <c r="L1015" s="2" t="s">
        <v>606</v>
      </c>
      <c r="M1015" s="4" t="s">
        <v>26343</v>
      </c>
    </row>
    <row r="1016" spans="1:13">
      <c r="A1016" s="2">
        <v>361</v>
      </c>
      <c r="B1016" s="2" t="s">
        <v>46332</v>
      </c>
      <c r="C1016" s="2">
        <v>6</v>
      </c>
      <c r="D1016" s="2">
        <v>291</v>
      </c>
      <c r="E1016" s="2">
        <v>231</v>
      </c>
      <c r="F1016" s="2">
        <v>32441</v>
      </c>
      <c r="G1016" s="2">
        <v>2.8956129779999999</v>
      </c>
      <c r="H1016" s="2">
        <v>1.9768464999999999E-2</v>
      </c>
      <c r="I1016" s="2" t="s">
        <v>46333</v>
      </c>
      <c r="J1016" s="2" t="s">
        <v>46334</v>
      </c>
      <c r="K1016" s="2">
        <v>4.8607166E-2</v>
      </c>
      <c r="L1016" s="2" t="s">
        <v>606</v>
      </c>
      <c r="M1016" s="4" t="s">
        <v>46335</v>
      </c>
    </row>
    <row r="1017" spans="1:13">
      <c r="A1017" s="2">
        <v>733</v>
      </c>
      <c r="B1017" s="2" t="s">
        <v>46336</v>
      </c>
      <c r="C1017" s="2">
        <v>3</v>
      </c>
      <c r="D1017" s="2">
        <v>291</v>
      </c>
      <c r="E1017" s="2">
        <v>62</v>
      </c>
      <c r="F1017" s="2">
        <v>32441</v>
      </c>
      <c r="G1017" s="2">
        <v>5.3942467580000004</v>
      </c>
      <c r="H1017" s="2">
        <v>2.0261009999999999E-2</v>
      </c>
      <c r="I1017" s="2" t="s">
        <v>46337</v>
      </c>
      <c r="J1017" s="2" t="s">
        <v>46338</v>
      </c>
      <c r="K1017" s="2">
        <v>4.9672154000000003E-2</v>
      </c>
      <c r="L1017" s="2" t="s">
        <v>606</v>
      </c>
      <c r="M1017" s="4" t="s">
        <v>46339</v>
      </c>
    </row>
    <row r="1018" spans="1:13">
      <c r="A1018" s="2">
        <v>470</v>
      </c>
      <c r="B1018" s="2" t="s">
        <v>42697</v>
      </c>
      <c r="C1018" s="2">
        <v>73</v>
      </c>
      <c r="D1018" s="2">
        <v>291</v>
      </c>
      <c r="E1018" s="2">
        <v>225</v>
      </c>
      <c r="F1018" s="2">
        <v>32441</v>
      </c>
      <c r="G1018" s="2">
        <v>36.169423440000003</v>
      </c>
      <c r="H1018" s="3">
        <v>1.3999999999999999E-84</v>
      </c>
      <c r="I1018" s="3" t="s">
        <v>46340</v>
      </c>
      <c r="J1018" s="3" t="s">
        <v>46341</v>
      </c>
      <c r="K1018" s="3">
        <v>1.2E-81</v>
      </c>
      <c r="L1018" s="2" t="s">
        <v>637</v>
      </c>
      <c r="M1018" s="4" t="s">
        <v>42700</v>
      </c>
    </row>
    <row r="1019" spans="1:13">
      <c r="A1019" s="2">
        <v>428</v>
      </c>
      <c r="B1019" s="2" t="s">
        <v>46342</v>
      </c>
      <c r="C1019" s="2">
        <v>63</v>
      </c>
      <c r="D1019" s="2">
        <v>291</v>
      </c>
      <c r="E1019" s="2">
        <v>368</v>
      </c>
      <c r="F1019" s="2">
        <v>32441</v>
      </c>
      <c r="G1019" s="2">
        <v>19.08507956</v>
      </c>
      <c r="H1019" s="3">
        <v>1.4299999999999999E-57</v>
      </c>
      <c r="I1019" s="3" t="s">
        <v>46343</v>
      </c>
      <c r="J1019" s="3" t="s">
        <v>46344</v>
      </c>
      <c r="K1019" s="3">
        <v>6.1399999999999998E-55</v>
      </c>
      <c r="L1019" s="2" t="s">
        <v>637</v>
      </c>
      <c r="M1019" s="4" t="s">
        <v>46345</v>
      </c>
    </row>
    <row r="1020" spans="1:13">
      <c r="A1020" s="2">
        <v>544</v>
      </c>
      <c r="B1020" s="2" t="s">
        <v>7295</v>
      </c>
      <c r="C1020" s="2">
        <v>36</v>
      </c>
      <c r="D1020" s="2">
        <v>291</v>
      </c>
      <c r="E1020" s="2">
        <v>141</v>
      </c>
      <c r="F1020" s="2">
        <v>32441</v>
      </c>
      <c r="G1020" s="2">
        <v>28.463259489999999</v>
      </c>
      <c r="H1020" s="3">
        <v>2.6099999999999998E-38</v>
      </c>
      <c r="I1020" s="2" t="s">
        <v>46346</v>
      </c>
      <c r="J1020" s="2" t="s">
        <v>46347</v>
      </c>
      <c r="K1020" s="3">
        <v>7.4700000000000006E-36</v>
      </c>
      <c r="L1020" s="2" t="s">
        <v>637</v>
      </c>
      <c r="M1020" s="4" t="s">
        <v>7298</v>
      </c>
    </row>
    <row r="1021" spans="1:13">
      <c r="A1021" s="2">
        <v>429</v>
      </c>
      <c r="B1021" s="2" t="s">
        <v>42701</v>
      </c>
      <c r="C1021" s="2">
        <v>41</v>
      </c>
      <c r="D1021" s="2">
        <v>291</v>
      </c>
      <c r="E1021" s="2">
        <v>384</v>
      </c>
      <c r="F1021" s="2">
        <v>32441</v>
      </c>
      <c r="G1021" s="2">
        <v>11.902929909999999</v>
      </c>
      <c r="H1021" s="3">
        <v>5.6200000000000003E-30</v>
      </c>
      <c r="I1021" s="2" t="s">
        <v>46348</v>
      </c>
      <c r="J1021" s="2" t="s">
        <v>46349</v>
      </c>
      <c r="K1021" s="3">
        <v>1.2100000000000001E-27</v>
      </c>
      <c r="L1021" s="2" t="s">
        <v>637</v>
      </c>
      <c r="M1021" s="4" t="s">
        <v>42704</v>
      </c>
    </row>
    <row r="1022" spans="1:13">
      <c r="A1022" s="2">
        <v>4381</v>
      </c>
      <c r="B1022" s="2" t="s">
        <v>7445</v>
      </c>
      <c r="C1022" s="2">
        <v>36</v>
      </c>
      <c r="D1022" s="2">
        <v>291</v>
      </c>
      <c r="E1022" s="2">
        <v>360</v>
      </c>
      <c r="F1022" s="2">
        <v>32441</v>
      </c>
      <c r="G1022" s="2">
        <v>11.14810997</v>
      </c>
      <c r="H1022" s="3">
        <v>1.6800000000000001E-25</v>
      </c>
      <c r="I1022" s="2" t="s">
        <v>46350</v>
      </c>
      <c r="J1022" s="2" t="s">
        <v>46351</v>
      </c>
      <c r="K1022" s="3">
        <v>2.8900000000000001E-23</v>
      </c>
      <c r="L1022" s="2" t="s">
        <v>637</v>
      </c>
      <c r="M1022" s="4" t="s">
        <v>7448</v>
      </c>
    </row>
    <row r="1023" spans="1:13">
      <c r="A1023" s="2">
        <v>397</v>
      </c>
      <c r="B1023" s="2" t="s">
        <v>46352</v>
      </c>
      <c r="C1023" s="2">
        <v>16</v>
      </c>
      <c r="D1023" s="2">
        <v>291</v>
      </c>
      <c r="E1023" s="2">
        <v>36</v>
      </c>
      <c r="F1023" s="2">
        <v>32441</v>
      </c>
      <c r="G1023" s="2">
        <v>49.547155400000001</v>
      </c>
      <c r="H1023" s="3">
        <v>7.8199999999999999E-21</v>
      </c>
      <c r="I1023" s="2" t="s">
        <v>46353</v>
      </c>
      <c r="J1023" s="2" t="s">
        <v>46354</v>
      </c>
      <c r="K1023" s="3">
        <v>1.12E-18</v>
      </c>
      <c r="L1023" s="2" t="s">
        <v>637</v>
      </c>
      <c r="M1023" s="4" t="s">
        <v>46355</v>
      </c>
    </row>
    <row r="1024" spans="1:13">
      <c r="A1024" s="2">
        <v>4611</v>
      </c>
      <c r="B1024" s="2" t="s">
        <v>7231</v>
      </c>
      <c r="C1024" s="2">
        <v>34</v>
      </c>
      <c r="D1024" s="2">
        <v>291</v>
      </c>
      <c r="E1024" s="2">
        <v>465</v>
      </c>
      <c r="F1024" s="2">
        <v>32441</v>
      </c>
      <c r="G1024" s="2">
        <v>8.1513062109999996</v>
      </c>
      <c r="H1024" s="3">
        <v>4.06E-20</v>
      </c>
      <c r="I1024" s="2" t="s">
        <v>46356</v>
      </c>
      <c r="J1024" s="2" t="s">
        <v>46357</v>
      </c>
      <c r="K1024" s="3">
        <v>4.9799999999999997E-18</v>
      </c>
      <c r="L1024" s="2" t="s">
        <v>637</v>
      </c>
      <c r="M1024" s="4" t="s">
        <v>7234</v>
      </c>
    </row>
    <row r="1025" spans="1:13">
      <c r="A1025" s="2">
        <v>3361</v>
      </c>
      <c r="B1025" s="2" t="s">
        <v>46358</v>
      </c>
      <c r="C1025" s="2">
        <v>14</v>
      </c>
      <c r="D1025" s="2">
        <v>291</v>
      </c>
      <c r="E1025" s="2">
        <v>25</v>
      </c>
      <c r="F1025" s="2">
        <v>32441</v>
      </c>
      <c r="G1025" s="2">
        <v>62.429415810000002</v>
      </c>
      <c r="H1025" s="3">
        <v>1.74E-19</v>
      </c>
      <c r="I1025" s="2" t="s">
        <v>46359</v>
      </c>
      <c r="J1025" s="2" t="s">
        <v>46360</v>
      </c>
      <c r="K1025" s="3">
        <v>1.8700000000000001E-17</v>
      </c>
      <c r="L1025" s="2" t="s">
        <v>637</v>
      </c>
      <c r="M1025" s="4" t="s">
        <v>46361</v>
      </c>
    </row>
    <row r="1026" spans="1:13">
      <c r="A1026" s="2">
        <v>4321</v>
      </c>
      <c r="B1026" s="2" t="s">
        <v>6941</v>
      </c>
      <c r="C1026" s="2">
        <v>30</v>
      </c>
      <c r="D1026" s="2">
        <v>291</v>
      </c>
      <c r="E1026" s="2">
        <v>434</v>
      </c>
      <c r="F1026" s="2">
        <v>32441</v>
      </c>
      <c r="G1026" s="2">
        <v>7.7060667970000001</v>
      </c>
      <c r="H1026" s="3">
        <v>3.0800000000000003E-17</v>
      </c>
      <c r="I1026" s="2" t="s">
        <v>46362</v>
      </c>
      <c r="J1026" s="2" t="s">
        <v>46363</v>
      </c>
      <c r="K1026" s="3">
        <v>2.94E-15</v>
      </c>
      <c r="L1026" s="2" t="s">
        <v>637</v>
      </c>
      <c r="M1026" s="4" t="s">
        <v>6944</v>
      </c>
    </row>
    <row r="1027" spans="1:13">
      <c r="A1027" s="2">
        <v>550</v>
      </c>
      <c r="B1027" s="2" t="s">
        <v>6997</v>
      </c>
      <c r="C1027" s="2">
        <v>17</v>
      </c>
      <c r="D1027" s="2">
        <v>291</v>
      </c>
      <c r="E1027" s="2">
        <v>98</v>
      </c>
      <c r="F1027" s="2">
        <v>32441</v>
      </c>
      <c r="G1027" s="2">
        <v>19.3385581</v>
      </c>
      <c r="H1027" s="3">
        <v>3.3800000000000002E-16</v>
      </c>
      <c r="I1027" s="2" t="s">
        <v>46364</v>
      </c>
      <c r="J1027" s="2" t="s">
        <v>46365</v>
      </c>
      <c r="K1027" s="3">
        <v>2.9000000000000003E-14</v>
      </c>
      <c r="L1027" s="2" t="s">
        <v>637</v>
      </c>
      <c r="M1027" s="4" t="s">
        <v>7000</v>
      </c>
    </row>
    <row r="1028" spans="1:13">
      <c r="A1028" s="2">
        <v>501</v>
      </c>
      <c r="B1028" s="2" t="s">
        <v>7001</v>
      </c>
      <c r="C1028" s="2">
        <v>17</v>
      </c>
      <c r="D1028" s="2">
        <v>291</v>
      </c>
      <c r="E1028" s="2">
        <v>100</v>
      </c>
      <c r="F1028" s="2">
        <v>32441</v>
      </c>
      <c r="G1028" s="2">
        <v>18.951786940000002</v>
      </c>
      <c r="H1028" s="3">
        <v>4.5600000000000001E-16</v>
      </c>
      <c r="I1028" s="2" t="s">
        <v>46364</v>
      </c>
      <c r="J1028" s="2" t="s">
        <v>46365</v>
      </c>
      <c r="K1028" s="3">
        <v>3.5600000000000001E-14</v>
      </c>
      <c r="L1028" s="2" t="s">
        <v>637</v>
      </c>
      <c r="M1028" s="4" t="s">
        <v>7002</v>
      </c>
    </row>
    <row r="1029" spans="1:13">
      <c r="A1029" s="2">
        <v>587</v>
      </c>
      <c r="B1029" s="2" t="s">
        <v>7003</v>
      </c>
      <c r="C1029" s="2">
        <v>17</v>
      </c>
      <c r="D1029" s="2">
        <v>291</v>
      </c>
      <c r="E1029" s="2">
        <v>101</v>
      </c>
      <c r="F1029" s="2">
        <v>32441</v>
      </c>
      <c r="G1029" s="2">
        <v>18.764145490000001</v>
      </c>
      <c r="H1029" s="3">
        <v>5.2900000000000002E-16</v>
      </c>
      <c r="I1029" s="2" t="s">
        <v>46364</v>
      </c>
      <c r="J1029" s="2" t="s">
        <v>46365</v>
      </c>
      <c r="K1029" s="3">
        <v>3.78E-14</v>
      </c>
      <c r="L1029" s="2" t="s">
        <v>637</v>
      </c>
      <c r="M1029" s="4" t="s">
        <v>7004</v>
      </c>
    </row>
    <row r="1030" spans="1:13">
      <c r="A1030" s="2">
        <v>4331</v>
      </c>
      <c r="B1030" s="2" t="s">
        <v>46366</v>
      </c>
      <c r="C1030" s="2">
        <v>27</v>
      </c>
      <c r="D1030" s="2">
        <v>291</v>
      </c>
      <c r="E1030" s="2">
        <v>416</v>
      </c>
      <c r="F1030" s="2">
        <v>32441</v>
      </c>
      <c r="G1030" s="2">
        <v>7.2355521410000003</v>
      </c>
      <c r="H1030" s="3">
        <v>5.4000000000000002E-15</v>
      </c>
      <c r="I1030" s="2" t="s">
        <v>46367</v>
      </c>
      <c r="J1030" s="2" t="s">
        <v>46368</v>
      </c>
      <c r="K1030" s="3">
        <v>3.56E-13</v>
      </c>
      <c r="L1030" s="2" t="s">
        <v>637</v>
      </c>
      <c r="M1030" s="4" t="s">
        <v>46369</v>
      </c>
    </row>
    <row r="1031" spans="1:13">
      <c r="A1031" s="2">
        <v>445</v>
      </c>
      <c r="B1031" s="2" t="s">
        <v>7513</v>
      </c>
      <c r="C1031" s="2">
        <v>24</v>
      </c>
      <c r="D1031" s="2">
        <v>291</v>
      </c>
      <c r="E1031" s="2">
        <v>314</v>
      </c>
      <c r="F1031" s="2">
        <v>32441</v>
      </c>
      <c r="G1031" s="2">
        <v>8.5208483810000004</v>
      </c>
      <c r="H1031" s="3">
        <v>6.5600000000000001E-15</v>
      </c>
      <c r="I1031" s="2" t="s">
        <v>46370</v>
      </c>
      <c r="J1031" s="2" t="s">
        <v>46371</v>
      </c>
      <c r="K1031" s="3">
        <v>3.9599999999999998E-13</v>
      </c>
      <c r="L1031" s="2" t="s">
        <v>637</v>
      </c>
      <c r="M1031" s="4" t="s">
        <v>7516</v>
      </c>
    </row>
    <row r="1032" spans="1:13">
      <c r="A1032" s="2">
        <v>457</v>
      </c>
      <c r="B1032" s="2" t="s">
        <v>7199</v>
      </c>
      <c r="C1032" s="2">
        <v>26</v>
      </c>
      <c r="D1032" s="2">
        <v>291</v>
      </c>
      <c r="E1032" s="2">
        <v>384</v>
      </c>
      <c r="F1032" s="2">
        <v>32441</v>
      </c>
      <c r="G1032" s="2">
        <v>7.5481994559999999</v>
      </c>
      <c r="H1032" s="3">
        <v>6.9300000000000002E-15</v>
      </c>
      <c r="I1032" s="2" t="s">
        <v>46372</v>
      </c>
      <c r="J1032" s="2" t="s">
        <v>46373</v>
      </c>
      <c r="K1032" s="3">
        <v>3.9599999999999998E-13</v>
      </c>
      <c r="L1032" s="2" t="s">
        <v>637</v>
      </c>
      <c r="M1032" s="4" t="s">
        <v>7202</v>
      </c>
    </row>
    <row r="1033" spans="1:13">
      <c r="A1033" s="2">
        <v>5061</v>
      </c>
      <c r="B1033" s="2" t="s">
        <v>6901</v>
      </c>
      <c r="C1033" s="2">
        <v>30</v>
      </c>
      <c r="D1033" s="2">
        <v>291</v>
      </c>
      <c r="E1033" s="2">
        <v>549</v>
      </c>
      <c r="F1033" s="2">
        <v>32441</v>
      </c>
      <c r="G1033" s="2">
        <v>6.0918633690000004</v>
      </c>
      <c r="H1033" s="3">
        <v>1.17E-14</v>
      </c>
      <c r="I1033" s="2" t="s">
        <v>46374</v>
      </c>
      <c r="J1033" s="2" t="s">
        <v>46375</v>
      </c>
      <c r="K1033" s="3">
        <v>6.2499999999999996E-13</v>
      </c>
      <c r="L1033" s="2" t="s">
        <v>637</v>
      </c>
      <c r="M1033" s="4" t="s">
        <v>6904</v>
      </c>
    </row>
    <row r="1034" spans="1:13">
      <c r="A1034" s="2">
        <v>632</v>
      </c>
      <c r="B1034" s="2" t="s">
        <v>7269</v>
      </c>
      <c r="C1034" s="2">
        <v>24</v>
      </c>
      <c r="D1034" s="2">
        <v>291</v>
      </c>
      <c r="E1034" s="2">
        <v>333</v>
      </c>
      <c r="F1034" s="2">
        <v>32441</v>
      </c>
      <c r="G1034" s="2">
        <v>8.0346738490000007</v>
      </c>
      <c r="H1034" s="3">
        <v>2.2000000000000001E-14</v>
      </c>
      <c r="I1034" s="2" t="s">
        <v>46376</v>
      </c>
      <c r="J1034" s="2" t="s">
        <v>46377</v>
      </c>
      <c r="K1034" s="3">
        <v>1.1099999999999999E-12</v>
      </c>
      <c r="L1034" s="2" t="s">
        <v>637</v>
      </c>
      <c r="M1034" s="4" t="s">
        <v>7272</v>
      </c>
    </row>
    <row r="1035" spans="1:13">
      <c r="A1035" s="2">
        <v>478</v>
      </c>
      <c r="B1035" s="2" t="s">
        <v>7303</v>
      </c>
      <c r="C1035" s="2">
        <v>34</v>
      </c>
      <c r="D1035" s="2">
        <v>291</v>
      </c>
      <c r="E1035" s="2">
        <v>834</v>
      </c>
      <c r="F1035" s="2">
        <v>32441</v>
      </c>
      <c r="G1035" s="2">
        <v>4.5447930320000003</v>
      </c>
      <c r="H1035" s="3">
        <v>5.6500000000000002E-13</v>
      </c>
      <c r="I1035" s="2" t="s">
        <v>46378</v>
      </c>
      <c r="J1035" s="2" t="s">
        <v>46379</v>
      </c>
      <c r="K1035" s="3">
        <v>2.6899999999999999E-11</v>
      </c>
      <c r="L1035" s="2" t="s">
        <v>637</v>
      </c>
      <c r="M1035" s="4" t="s">
        <v>7306</v>
      </c>
    </row>
    <row r="1036" spans="1:13">
      <c r="A1036" s="2">
        <v>640</v>
      </c>
      <c r="B1036" s="2" t="s">
        <v>46380</v>
      </c>
      <c r="C1036" s="2">
        <v>12</v>
      </c>
      <c r="D1036" s="2">
        <v>291</v>
      </c>
      <c r="E1036" s="2">
        <v>54</v>
      </c>
      <c r="F1036" s="2">
        <v>32441</v>
      </c>
      <c r="G1036" s="2">
        <v>24.773577700000001</v>
      </c>
      <c r="H1036" s="3">
        <v>6.2399999999999997E-13</v>
      </c>
      <c r="I1036" s="2" t="s">
        <v>46381</v>
      </c>
      <c r="J1036" s="2" t="s">
        <v>46382</v>
      </c>
      <c r="K1036" s="3">
        <v>2.82E-11</v>
      </c>
      <c r="L1036" s="2" t="s">
        <v>637</v>
      </c>
      <c r="M1036" s="4" t="s">
        <v>46383</v>
      </c>
    </row>
    <row r="1037" spans="1:13">
      <c r="A1037" s="2">
        <v>710</v>
      </c>
      <c r="B1037" s="2" t="s">
        <v>7363</v>
      </c>
      <c r="C1037" s="2">
        <v>15</v>
      </c>
      <c r="D1037" s="2">
        <v>291</v>
      </c>
      <c r="E1037" s="2">
        <v>133</v>
      </c>
      <c r="F1037" s="2">
        <v>32441</v>
      </c>
      <c r="G1037" s="2">
        <v>12.57305635</v>
      </c>
      <c r="H1037" s="3">
        <v>5.4499999999999996E-12</v>
      </c>
      <c r="I1037" s="2" t="s">
        <v>46384</v>
      </c>
      <c r="J1037" s="2" t="s">
        <v>46385</v>
      </c>
      <c r="K1037" s="3">
        <v>2.3400000000000002E-10</v>
      </c>
      <c r="L1037" s="2" t="s">
        <v>637</v>
      </c>
      <c r="M1037" s="4" t="s">
        <v>7366</v>
      </c>
    </row>
    <row r="1038" spans="1:13">
      <c r="A1038" s="2">
        <v>5101</v>
      </c>
      <c r="B1038" s="2" t="s">
        <v>7211</v>
      </c>
      <c r="C1038" s="2">
        <v>32</v>
      </c>
      <c r="D1038" s="2">
        <v>291</v>
      </c>
      <c r="E1038" s="2">
        <v>838</v>
      </c>
      <c r="F1038" s="2">
        <v>32441</v>
      </c>
      <c r="G1038" s="2">
        <v>4.2570348320000004</v>
      </c>
      <c r="H1038" s="3">
        <v>1.46E-11</v>
      </c>
      <c r="I1038" s="2" t="s">
        <v>46386</v>
      </c>
      <c r="J1038" s="2" t="s">
        <v>46387</v>
      </c>
      <c r="K1038" s="3">
        <v>5.99E-10</v>
      </c>
      <c r="L1038" s="2" t="s">
        <v>637</v>
      </c>
      <c r="M1038" s="4" t="s">
        <v>7214</v>
      </c>
    </row>
    <row r="1039" spans="1:13">
      <c r="A1039" s="2">
        <v>4831</v>
      </c>
      <c r="B1039" s="2" t="s">
        <v>7087</v>
      </c>
      <c r="C1039" s="2">
        <v>21</v>
      </c>
      <c r="D1039" s="2">
        <v>291</v>
      </c>
      <c r="E1039" s="2">
        <v>425</v>
      </c>
      <c r="F1039" s="2">
        <v>32441</v>
      </c>
      <c r="G1039" s="2">
        <v>5.5084778649999997</v>
      </c>
      <c r="H1039" s="3">
        <v>7.3400000000000005E-10</v>
      </c>
      <c r="I1039" s="2" t="s">
        <v>46388</v>
      </c>
      <c r="J1039" s="2" t="s">
        <v>46389</v>
      </c>
      <c r="K1039" s="3">
        <v>2.8600000000000001E-8</v>
      </c>
      <c r="L1039" s="2" t="s">
        <v>637</v>
      </c>
      <c r="M1039" s="4" t="s">
        <v>7090</v>
      </c>
    </row>
    <row r="1040" spans="1:13">
      <c r="A1040" s="2">
        <v>381</v>
      </c>
      <c r="B1040" s="2" t="s">
        <v>46390</v>
      </c>
      <c r="C1040" s="2">
        <v>8</v>
      </c>
      <c r="D1040" s="2">
        <v>291</v>
      </c>
      <c r="E1040" s="2">
        <v>32</v>
      </c>
      <c r="F1040" s="2">
        <v>32441</v>
      </c>
      <c r="G1040" s="2">
        <v>27.870274909999999</v>
      </c>
      <c r="H1040" s="3">
        <v>2.1299999999999999E-9</v>
      </c>
      <c r="I1040" s="2" t="s">
        <v>46391</v>
      </c>
      <c r="J1040" s="2" t="s">
        <v>46392</v>
      </c>
      <c r="K1040" s="3">
        <v>7.7599999999999993E-8</v>
      </c>
      <c r="L1040" s="2" t="s">
        <v>637</v>
      </c>
      <c r="M1040" s="4" t="s">
        <v>46393</v>
      </c>
    </row>
    <row r="1041" spans="1:13">
      <c r="A1041" s="2">
        <v>450</v>
      </c>
      <c r="B1041" s="2" t="s">
        <v>7353</v>
      </c>
      <c r="C1041" s="2">
        <v>21</v>
      </c>
      <c r="D1041" s="2">
        <v>291</v>
      </c>
      <c r="E1041" s="2">
        <v>453</v>
      </c>
      <c r="F1041" s="2">
        <v>32441</v>
      </c>
      <c r="G1041" s="2">
        <v>5.1679979969999996</v>
      </c>
      <c r="H1041" s="3">
        <v>2.1700000000000002E-9</v>
      </c>
      <c r="I1041" s="2" t="s">
        <v>46394</v>
      </c>
      <c r="J1041" s="2" t="s">
        <v>46395</v>
      </c>
      <c r="K1041" s="3">
        <v>7.7599999999999993E-8</v>
      </c>
      <c r="L1041" s="2" t="s">
        <v>637</v>
      </c>
      <c r="M1041" s="4" t="s">
        <v>7356</v>
      </c>
    </row>
    <row r="1042" spans="1:13">
      <c r="A1042" s="2">
        <v>4491</v>
      </c>
      <c r="B1042" s="2" t="s">
        <v>7255</v>
      </c>
      <c r="C1042" s="2">
        <v>22</v>
      </c>
      <c r="D1042" s="2">
        <v>291</v>
      </c>
      <c r="E1042" s="2">
        <v>565</v>
      </c>
      <c r="F1042" s="2">
        <v>32441</v>
      </c>
      <c r="G1042" s="2">
        <v>4.3408569779999997</v>
      </c>
      <c r="H1042" s="3">
        <v>1.85E-8</v>
      </c>
      <c r="I1042" s="2" t="s">
        <v>46396</v>
      </c>
      <c r="J1042" s="2" t="s">
        <v>46397</v>
      </c>
      <c r="K1042" s="3">
        <v>6.3499999999999996E-7</v>
      </c>
      <c r="L1042" s="2" t="s">
        <v>637</v>
      </c>
      <c r="M1042" s="4" t="s">
        <v>7258</v>
      </c>
    </row>
    <row r="1043" spans="1:13">
      <c r="A1043" s="2">
        <v>754</v>
      </c>
      <c r="B1043" s="2" t="s">
        <v>46398</v>
      </c>
      <c r="C1043" s="2">
        <v>8</v>
      </c>
      <c r="D1043" s="2">
        <v>291</v>
      </c>
      <c r="E1043" s="2">
        <v>49</v>
      </c>
      <c r="F1043" s="2">
        <v>32441</v>
      </c>
      <c r="G1043" s="2">
        <v>18.200995859999999</v>
      </c>
      <c r="H1043" s="3">
        <v>4.0200000000000003E-8</v>
      </c>
      <c r="I1043" s="2" t="s">
        <v>46399</v>
      </c>
      <c r="J1043" s="2" t="s">
        <v>46400</v>
      </c>
      <c r="K1043" s="3">
        <v>1.33E-6</v>
      </c>
      <c r="L1043" s="2" t="s">
        <v>637</v>
      </c>
      <c r="M1043" s="4" t="s">
        <v>46401</v>
      </c>
    </row>
    <row r="1044" spans="1:13">
      <c r="A1044" s="2">
        <v>715</v>
      </c>
      <c r="B1044" s="2" t="s">
        <v>46402</v>
      </c>
      <c r="C1044" s="2">
        <v>8</v>
      </c>
      <c r="D1044" s="2">
        <v>291</v>
      </c>
      <c r="E1044" s="2">
        <v>51</v>
      </c>
      <c r="F1044" s="2">
        <v>32441</v>
      </c>
      <c r="G1044" s="2">
        <v>17.487231319999999</v>
      </c>
      <c r="H1044" s="3">
        <v>5.3099999999999999E-8</v>
      </c>
      <c r="I1044" s="2" t="s">
        <v>46399</v>
      </c>
      <c r="J1044" s="2" t="s">
        <v>46400</v>
      </c>
      <c r="K1044" s="3">
        <v>1.6899999999999999E-6</v>
      </c>
      <c r="L1044" s="2" t="s">
        <v>637</v>
      </c>
      <c r="M1044" s="4" t="s">
        <v>46403</v>
      </c>
    </row>
    <row r="1045" spans="1:13">
      <c r="A1045" s="2">
        <v>5272</v>
      </c>
      <c r="B1045" s="2" t="s">
        <v>37066</v>
      </c>
      <c r="C1045" s="2">
        <v>13</v>
      </c>
      <c r="D1045" s="2">
        <v>291</v>
      </c>
      <c r="E1045" s="2">
        <v>200</v>
      </c>
      <c r="F1045" s="2">
        <v>32441</v>
      </c>
      <c r="G1045" s="2">
        <v>7.2462714779999997</v>
      </c>
      <c r="H1045" s="3">
        <v>6.9899999999999997E-8</v>
      </c>
      <c r="I1045" s="2" t="s">
        <v>46404</v>
      </c>
      <c r="J1045" s="2" t="s">
        <v>46405</v>
      </c>
      <c r="K1045" s="3">
        <v>2.0700000000000001E-6</v>
      </c>
      <c r="L1045" s="2" t="s">
        <v>637</v>
      </c>
      <c r="M1045" s="4" t="s">
        <v>37069</v>
      </c>
    </row>
    <row r="1046" spans="1:13">
      <c r="A1046" s="2">
        <v>540</v>
      </c>
      <c r="B1046" s="2" t="s">
        <v>7119</v>
      </c>
      <c r="C1046" s="2">
        <v>18</v>
      </c>
      <c r="D1046" s="2">
        <v>291</v>
      </c>
      <c r="E1046" s="2">
        <v>410</v>
      </c>
      <c r="F1046" s="2">
        <v>32441</v>
      </c>
      <c r="G1046" s="2">
        <v>4.8942921799999999</v>
      </c>
      <c r="H1046" s="3">
        <v>6.87E-8</v>
      </c>
      <c r="I1046" s="2" t="s">
        <v>46406</v>
      </c>
      <c r="J1046" s="2" t="s">
        <v>46407</v>
      </c>
      <c r="K1046" s="3">
        <v>2.0700000000000001E-6</v>
      </c>
      <c r="L1046" s="2" t="s">
        <v>637</v>
      </c>
      <c r="M1046" s="4" t="s">
        <v>7122</v>
      </c>
    </row>
    <row r="1047" spans="1:13">
      <c r="A1047" s="2">
        <v>529</v>
      </c>
      <c r="B1047" s="2" t="s">
        <v>7397</v>
      </c>
      <c r="C1047" s="2">
        <v>9</v>
      </c>
      <c r="D1047" s="2">
        <v>291</v>
      </c>
      <c r="E1047" s="2">
        <v>79</v>
      </c>
      <c r="F1047" s="2">
        <v>32441</v>
      </c>
      <c r="G1047" s="2">
        <v>12.70037844</v>
      </c>
      <c r="H1047" s="3">
        <v>9.4800000000000002E-8</v>
      </c>
      <c r="I1047" s="2" t="s">
        <v>46408</v>
      </c>
      <c r="J1047" s="2" t="s">
        <v>46409</v>
      </c>
      <c r="K1047" s="3">
        <v>2.7099999999999999E-6</v>
      </c>
      <c r="L1047" s="2" t="s">
        <v>637</v>
      </c>
      <c r="M1047" s="4" t="s">
        <v>7400</v>
      </c>
    </row>
    <row r="1048" spans="1:13">
      <c r="A1048" s="2">
        <v>4753</v>
      </c>
      <c r="B1048" s="2" t="s">
        <v>36962</v>
      </c>
      <c r="C1048" s="2">
        <v>18</v>
      </c>
      <c r="D1048" s="2">
        <v>291</v>
      </c>
      <c r="E1048" s="2">
        <v>433</v>
      </c>
      <c r="F1048" s="2">
        <v>32441</v>
      </c>
      <c r="G1048" s="2">
        <v>4.634318231</v>
      </c>
      <c r="H1048" s="3">
        <v>1.4999999999999999E-7</v>
      </c>
      <c r="I1048" s="2" t="s">
        <v>46410</v>
      </c>
      <c r="J1048" s="2" t="s">
        <v>46411</v>
      </c>
      <c r="K1048" s="3">
        <v>4.1400000000000002E-6</v>
      </c>
      <c r="L1048" s="2" t="s">
        <v>637</v>
      </c>
      <c r="M1048" s="4" t="s">
        <v>36965</v>
      </c>
    </row>
    <row r="1049" spans="1:13">
      <c r="A1049" s="2">
        <v>467</v>
      </c>
      <c r="B1049" s="2" t="s">
        <v>6921</v>
      </c>
      <c r="C1049" s="2">
        <v>15</v>
      </c>
      <c r="D1049" s="2">
        <v>291</v>
      </c>
      <c r="E1049" s="2">
        <v>327</v>
      </c>
      <c r="F1049" s="2">
        <v>32441</v>
      </c>
      <c r="G1049" s="2">
        <v>5.113811911</v>
      </c>
      <c r="H1049" s="3">
        <v>5.0999999999999999E-7</v>
      </c>
      <c r="I1049" s="2" t="s">
        <v>46412</v>
      </c>
      <c r="J1049" s="2" t="s">
        <v>46413</v>
      </c>
      <c r="K1049" s="3">
        <v>1.3699999999999999E-5</v>
      </c>
      <c r="L1049" s="2" t="s">
        <v>637</v>
      </c>
      <c r="M1049" s="4" t="s">
        <v>6924</v>
      </c>
    </row>
    <row r="1050" spans="1:13">
      <c r="A1050" s="2">
        <v>6471</v>
      </c>
      <c r="B1050" s="2" t="s">
        <v>7243</v>
      </c>
      <c r="C1050" s="2">
        <v>8</v>
      </c>
      <c r="D1050" s="2">
        <v>291</v>
      </c>
      <c r="E1050" s="2">
        <v>73</v>
      </c>
      <c r="F1050" s="2">
        <v>32441</v>
      </c>
      <c r="G1050" s="2">
        <v>12.217106810000001</v>
      </c>
      <c r="H1050" s="3">
        <v>6.5000000000000002E-7</v>
      </c>
      <c r="I1050" s="2" t="s">
        <v>46414</v>
      </c>
      <c r="J1050" s="2" t="s">
        <v>46415</v>
      </c>
      <c r="K1050" s="3">
        <v>1.6900000000000001E-5</v>
      </c>
      <c r="L1050" s="2" t="s">
        <v>637</v>
      </c>
      <c r="M1050" s="4" t="s">
        <v>7246</v>
      </c>
    </row>
    <row r="1051" spans="1:13">
      <c r="A1051" s="2">
        <v>522</v>
      </c>
      <c r="B1051" s="2" t="s">
        <v>46416</v>
      </c>
      <c r="C1051" s="2">
        <v>19</v>
      </c>
      <c r="D1051" s="2">
        <v>291</v>
      </c>
      <c r="E1051" s="2">
        <v>544</v>
      </c>
      <c r="F1051" s="2">
        <v>32441</v>
      </c>
      <c r="G1051" s="2">
        <v>3.8936413480000001</v>
      </c>
      <c r="H1051" s="3">
        <v>8.6199999999999996E-7</v>
      </c>
      <c r="I1051" s="2" t="s">
        <v>46417</v>
      </c>
      <c r="J1051" s="2" t="s">
        <v>46418</v>
      </c>
      <c r="K1051" s="3">
        <v>2.1800000000000001E-5</v>
      </c>
      <c r="L1051" s="2" t="s">
        <v>637</v>
      </c>
      <c r="M1051" s="4" t="s">
        <v>46419</v>
      </c>
    </row>
    <row r="1052" spans="1:13">
      <c r="A1052" s="2">
        <v>5591</v>
      </c>
      <c r="B1052" s="2" t="s">
        <v>46420</v>
      </c>
      <c r="C1052" s="2">
        <v>19</v>
      </c>
      <c r="D1052" s="2">
        <v>291</v>
      </c>
      <c r="E1052" s="2">
        <v>546</v>
      </c>
      <c r="F1052" s="2">
        <v>32441</v>
      </c>
      <c r="G1052" s="2">
        <v>3.8793789259999998</v>
      </c>
      <c r="H1052" s="3">
        <v>9.09E-7</v>
      </c>
      <c r="I1052" s="2" t="s">
        <v>46417</v>
      </c>
      <c r="J1052" s="2" t="s">
        <v>46418</v>
      </c>
      <c r="K1052" s="3">
        <v>2.23E-5</v>
      </c>
      <c r="L1052" s="2" t="s">
        <v>637</v>
      </c>
      <c r="M1052" s="4" t="s">
        <v>46421</v>
      </c>
    </row>
    <row r="1053" spans="1:13">
      <c r="A1053" s="2">
        <v>4891</v>
      </c>
      <c r="B1053" s="2" t="s">
        <v>46422</v>
      </c>
      <c r="C1053" s="2">
        <v>19</v>
      </c>
      <c r="D1053" s="2">
        <v>291</v>
      </c>
      <c r="E1053" s="2">
        <v>552</v>
      </c>
      <c r="F1053" s="2">
        <v>32441</v>
      </c>
      <c r="G1053" s="2">
        <v>3.8372117640000001</v>
      </c>
      <c r="H1053" s="3">
        <v>1.06E-6</v>
      </c>
      <c r="I1053" s="2" t="s">
        <v>46417</v>
      </c>
      <c r="J1053" s="2" t="s">
        <v>46418</v>
      </c>
      <c r="K1053" s="3">
        <v>2.5299999999999998E-5</v>
      </c>
      <c r="L1053" s="2" t="s">
        <v>637</v>
      </c>
      <c r="M1053" s="4" t="s">
        <v>46423</v>
      </c>
    </row>
    <row r="1054" spans="1:13">
      <c r="A1054" s="2">
        <v>495</v>
      </c>
      <c r="B1054" s="2" t="s">
        <v>28140</v>
      </c>
      <c r="C1054" s="2">
        <v>14</v>
      </c>
      <c r="D1054" s="2">
        <v>291</v>
      </c>
      <c r="E1054" s="2">
        <v>311</v>
      </c>
      <c r="F1054" s="2">
        <v>32441</v>
      </c>
      <c r="G1054" s="2">
        <v>5.0184417850000003</v>
      </c>
      <c r="H1054" s="3">
        <v>1.5200000000000001E-6</v>
      </c>
      <c r="I1054" s="2" t="s">
        <v>46424</v>
      </c>
      <c r="J1054" s="2" t="s">
        <v>46425</v>
      </c>
      <c r="K1054" s="3">
        <v>3.5200000000000002E-5</v>
      </c>
      <c r="L1054" s="2" t="s">
        <v>637</v>
      </c>
      <c r="M1054" s="4" t="s">
        <v>28143</v>
      </c>
    </row>
    <row r="1055" spans="1:13">
      <c r="A1055" s="2">
        <v>560</v>
      </c>
      <c r="B1055" s="2" t="s">
        <v>46426</v>
      </c>
      <c r="C1055" s="2">
        <v>8</v>
      </c>
      <c r="D1055" s="2">
        <v>291</v>
      </c>
      <c r="E1055" s="2">
        <v>87</v>
      </c>
      <c r="F1055" s="2">
        <v>32441</v>
      </c>
      <c r="G1055" s="2">
        <v>10.2511356</v>
      </c>
      <c r="H1055" s="3">
        <v>2.21E-6</v>
      </c>
      <c r="I1055" s="2" t="s">
        <v>46427</v>
      </c>
      <c r="J1055" s="2" t="s">
        <v>46428</v>
      </c>
      <c r="K1055" s="3">
        <v>4.85E-5</v>
      </c>
      <c r="L1055" s="2" t="s">
        <v>637</v>
      </c>
      <c r="M1055" s="4" t="s">
        <v>46429</v>
      </c>
    </row>
    <row r="1056" spans="1:13">
      <c r="A1056" s="2">
        <v>8281</v>
      </c>
      <c r="B1056" s="2" t="s">
        <v>46430</v>
      </c>
      <c r="C1056" s="2">
        <v>6</v>
      </c>
      <c r="D1056" s="2">
        <v>291</v>
      </c>
      <c r="E1056" s="2">
        <v>37</v>
      </c>
      <c r="F1056" s="2">
        <v>32441</v>
      </c>
      <c r="G1056" s="2">
        <v>18.078016160000001</v>
      </c>
      <c r="H1056" s="3">
        <v>2.17E-6</v>
      </c>
      <c r="I1056" s="2" t="s">
        <v>46431</v>
      </c>
      <c r="J1056" s="2" t="s">
        <v>46432</v>
      </c>
      <c r="K1056" s="3">
        <v>4.85E-5</v>
      </c>
      <c r="L1056" s="2" t="s">
        <v>637</v>
      </c>
      <c r="M1056" s="4" t="s">
        <v>46433</v>
      </c>
    </row>
    <row r="1057" spans="1:13">
      <c r="A1057" s="2">
        <v>851</v>
      </c>
      <c r="B1057" s="2" t="s">
        <v>46434</v>
      </c>
      <c r="C1057" s="2">
        <v>5</v>
      </c>
      <c r="D1057" s="2">
        <v>291</v>
      </c>
      <c r="E1057" s="2">
        <v>21</v>
      </c>
      <c r="F1057" s="2">
        <v>32441</v>
      </c>
      <c r="G1057" s="2">
        <v>26.543118969999998</v>
      </c>
      <c r="H1057" s="3">
        <v>3.0299999999999998E-6</v>
      </c>
      <c r="I1057" s="2" t="s">
        <v>46435</v>
      </c>
      <c r="J1057" s="2" t="s">
        <v>46436</v>
      </c>
      <c r="K1057" s="3">
        <v>6.4999999999999994E-5</v>
      </c>
      <c r="L1057" s="2" t="s">
        <v>637</v>
      </c>
      <c r="M1057" s="4" t="s">
        <v>46437</v>
      </c>
    </row>
    <row r="1058" spans="1:13">
      <c r="A1058" s="2">
        <v>430</v>
      </c>
      <c r="B1058" s="2" t="s">
        <v>36994</v>
      </c>
      <c r="C1058" s="2">
        <v>15</v>
      </c>
      <c r="D1058" s="2">
        <v>291</v>
      </c>
      <c r="E1058" s="2">
        <v>385</v>
      </c>
      <c r="F1058" s="2">
        <v>32441</v>
      </c>
      <c r="G1058" s="2">
        <v>4.3434194670000004</v>
      </c>
      <c r="H1058" s="3">
        <v>3.54E-6</v>
      </c>
      <c r="I1058" s="2" t="s">
        <v>46438</v>
      </c>
      <c r="J1058" s="2" t="s">
        <v>46439</v>
      </c>
      <c r="K1058" s="3">
        <v>7.4099999999999999E-5</v>
      </c>
      <c r="L1058" s="2" t="s">
        <v>637</v>
      </c>
      <c r="M1058" s="4" t="s">
        <v>36997</v>
      </c>
    </row>
    <row r="1059" spans="1:13">
      <c r="A1059" s="2">
        <v>683</v>
      </c>
      <c r="B1059" s="2" t="s">
        <v>7259</v>
      </c>
      <c r="C1059" s="2">
        <v>7</v>
      </c>
      <c r="D1059" s="2">
        <v>291</v>
      </c>
      <c r="E1059" s="2">
        <v>65</v>
      </c>
      <c r="F1059" s="2">
        <v>32441</v>
      </c>
      <c r="G1059" s="2">
        <v>12.005656889999999</v>
      </c>
      <c r="H1059" s="3">
        <v>3.67E-6</v>
      </c>
      <c r="I1059" s="2" t="s">
        <v>46440</v>
      </c>
      <c r="J1059" s="2" t="s">
        <v>46441</v>
      </c>
      <c r="K1059" s="3">
        <v>7.4999999999999993E-5</v>
      </c>
      <c r="L1059" s="2" t="s">
        <v>637</v>
      </c>
      <c r="M1059" s="4" t="s">
        <v>7262</v>
      </c>
    </row>
    <row r="1060" spans="1:13">
      <c r="A1060" s="2">
        <v>591</v>
      </c>
      <c r="B1060" s="2" t="s">
        <v>7239</v>
      </c>
      <c r="C1060" s="2">
        <v>8</v>
      </c>
      <c r="D1060" s="2">
        <v>291</v>
      </c>
      <c r="E1060" s="2">
        <v>95</v>
      </c>
      <c r="F1060" s="2">
        <v>32441</v>
      </c>
      <c r="G1060" s="2">
        <v>9.3878820760000004</v>
      </c>
      <c r="H1060" s="3">
        <v>4.0600000000000001E-6</v>
      </c>
      <c r="I1060" s="2" t="s">
        <v>46414</v>
      </c>
      <c r="J1060" s="2" t="s">
        <v>46415</v>
      </c>
      <c r="K1060" s="3">
        <v>8.1000000000000004E-5</v>
      </c>
      <c r="L1060" s="2" t="s">
        <v>637</v>
      </c>
      <c r="M1060" s="4" t="s">
        <v>7242</v>
      </c>
    </row>
    <row r="1061" spans="1:13">
      <c r="A1061" s="2">
        <v>589</v>
      </c>
      <c r="B1061" s="2" t="s">
        <v>7339</v>
      </c>
      <c r="C1061" s="2">
        <v>8</v>
      </c>
      <c r="D1061" s="2">
        <v>291</v>
      </c>
      <c r="E1061" s="2">
        <v>96</v>
      </c>
      <c r="F1061" s="2">
        <v>32441</v>
      </c>
      <c r="G1061" s="2">
        <v>9.2900916379999998</v>
      </c>
      <c r="H1061" s="3">
        <v>4.3599999999999998E-6</v>
      </c>
      <c r="I1061" s="2" t="s">
        <v>46442</v>
      </c>
      <c r="J1061" s="2" t="s">
        <v>46443</v>
      </c>
      <c r="K1061" s="3">
        <v>8.5099999999999995E-5</v>
      </c>
      <c r="L1061" s="2" t="s">
        <v>637</v>
      </c>
      <c r="M1061" s="4" t="s">
        <v>7342</v>
      </c>
    </row>
    <row r="1062" spans="1:13">
      <c r="A1062" s="2">
        <v>4441</v>
      </c>
      <c r="B1062" s="2" t="s">
        <v>36976</v>
      </c>
      <c r="C1062" s="2">
        <v>16</v>
      </c>
      <c r="D1062" s="2">
        <v>291</v>
      </c>
      <c r="E1062" s="2">
        <v>451</v>
      </c>
      <c r="F1062" s="2">
        <v>32441</v>
      </c>
      <c r="G1062" s="2">
        <v>3.9549835799999999</v>
      </c>
      <c r="H1062" s="3">
        <v>5.2800000000000003E-6</v>
      </c>
      <c r="I1062" s="2" t="s">
        <v>46444</v>
      </c>
      <c r="J1062" s="2" t="s">
        <v>46445</v>
      </c>
      <c r="K1062" s="2">
        <v>1.0074299999999999E-4</v>
      </c>
      <c r="L1062" s="2" t="s">
        <v>637</v>
      </c>
      <c r="M1062" s="4" t="s">
        <v>36979</v>
      </c>
    </row>
    <row r="1063" spans="1:13">
      <c r="A1063" s="2">
        <v>534</v>
      </c>
      <c r="B1063" s="2" t="s">
        <v>7417</v>
      </c>
      <c r="C1063" s="2">
        <v>12</v>
      </c>
      <c r="D1063" s="2">
        <v>291</v>
      </c>
      <c r="E1063" s="2">
        <v>260</v>
      </c>
      <c r="F1063" s="2">
        <v>32441</v>
      </c>
      <c r="G1063" s="2">
        <v>5.1452815230000004</v>
      </c>
      <c r="H1063" s="3">
        <v>6.7000000000000002E-6</v>
      </c>
      <c r="I1063" s="2" t="s">
        <v>46446</v>
      </c>
      <c r="J1063" s="2" t="s">
        <v>46447</v>
      </c>
      <c r="K1063" s="2">
        <v>1.2499500000000001E-4</v>
      </c>
      <c r="L1063" s="2" t="s">
        <v>637</v>
      </c>
      <c r="M1063" s="4" t="s">
        <v>7420</v>
      </c>
    </row>
    <row r="1064" spans="1:13">
      <c r="A1064" s="2">
        <v>521</v>
      </c>
      <c r="B1064" s="2" t="s">
        <v>46448</v>
      </c>
      <c r="C1064" s="2">
        <v>14</v>
      </c>
      <c r="D1064" s="2">
        <v>291</v>
      </c>
      <c r="E1064" s="2">
        <v>361</v>
      </c>
      <c r="F1064" s="2">
        <v>32441</v>
      </c>
      <c r="G1064" s="2">
        <v>4.3233667459999996</v>
      </c>
      <c r="H1064" s="3">
        <v>7.8800000000000008E-6</v>
      </c>
      <c r="I1064" s="2" t="s">
        <v>46449</v>
      </c>
      <c r="J1064" s="2" t="s">
        <v>46450</v>
      </c>
      <c r="K1064" s="2">
        <v>1.43786E-4</v>
      </c>
      <c r="L1064" s="2" t="s">
        <v>637</v>
      </c>
      <c r="M1064" s="4" t="s">
        <v>46451</v>
      </c>
    </row>
    <row r="1065" spans="1:13">
      <c r="A1065" s="2">
        <v>6241</v>
      </c>
      <c r="B1065" s="2" t="s">
        <v>46452</v>
      </c>
      <c r="C1065" s="2">
        <v>5</v>
      </c>
      <c r="D1065" s="2">
        <v>291</v>
      </c>
      <c r="E1065" s="2">
        <v>28</v>
      </c>
      <c r="F1065" s="2">
        <v>32441</v>
      </c>
      <c r="G1065" s="2">
        <v>19.907339220000001</v>
      </c>
      <c r="H1065" s="3">
        <v>1.04E-5</v>
      </c>
      <c r="I1065" s="2" t="s">
        <v>46453</v>
      </c>
      <c r="J1065" s="2" t="s">
        <v>46454</v>
      </c>
      <c r="K1065" s="2">
        <v>1.85646E-4</v>
      </c>
      <c r="L1065" s="2" t="s">
        <v>637</v>
      </c>
      <c r="M1065" s="4" t="s">
        <v>46455</v>
      </c>
    </row>
    <row r="1066" spans="1:13">
      <c r="A1066" s="2">
        <v>5931</v>
      </c>
      <c r="B1066" s="2" t="s">
        <v>7465</v>
      </c>
      <c r="C1066" s="2">
        <v>11</v>
      </c>
      <c r="D1066" s="2">
        <v>291</v>
      </c>
      <c r="E1066" s="2">
        <v>230</v>
      </c>
      <c r="F1066" s="2">
        <v>32441</v>
      </c>
      <c r="G1066" s="2">
        <v>5.3317047659999997</v>
      </c>
      <c r="H1066" s="3">
        <v>1.1800000000000001E-5</v>
      </c>
      <c r="I1066" s="2" t="s">
        <v>46456</v>
      </c>
      <c r="J1066" s="2" t="s">
        <v>46457</v>
      </c>
      <c r="K1066" s="2">
        <v>2.06925E-4</v>
      </c>
      <c r="L1066" s="2" t="s">
        <v>637</v>
      </c>
      <c r="M1066" s="4" t="s">
        <v>7468</v>
      </c>
    </row>
    <row r="1067" spans="1:13">
      <c r="A1067" s="2">
        <v>469</v>
      </c>
      <c r="B1067" s="2" t="s">
        <v>6909</v>
      </c>
      <c r="C1067" s="2">
        <v>14</v>
      </c>
      <c r="D1067" s="2">
        <v>291</v>
      </c>
      <c r="E1067" s="2">
        <v>395</v>
      </c>
      <c r="F1067" s="2">
        <v>32441</v>
      </c>
      <c r="G1067" s="2">
        <v>3.951228849</v>
      </c>
      <c r="H1067" s="3">
        <v>2.0699999999999998E-5</v>
      </c>
      <c r="I1067" s="2" t="s">
        <v>46458</v>
      </c>
      <c r="J1067" s="2" t="s">
        <v>46459</v>
      </c>
      <c r="K1067" s="2">
        <v>3.5564E-4</v>
      </c>
      <c r="L1067" s="2" t="s">
        <v>637</v>
      </c>
      <c r="M1067" s="4" t="s">
        <v>6912</v>
      </c>
    </row>
    <row r="1068" spans="1:13">
      <c r="A1068" s="2">
        <v>623</v>
      </c>
      <c r="B1068" s="2" t="s">
        <v>7367</v>
      </c>
      <c r="C1068" s="2">
        <v>7</v>
      </c>
      <c r="D1068" s="2">
        <v>291</v>
      </c>
      <c r="E1068" s="2">
        <v>89</v>
      </c>
      <c r="F1068" s="2">
        <v>32441</v>
      </c>
      <c r="G1068" s="2">
        <v>8.7681763769999996</v>
      </c>
      <c r="H1068" s="3">
        <v>2.48E-5</v>
      </c>
      <c r="I1068" s="2" t="s">
        <v>46460</v>
      </c>
      <c r="J1068" s="2" t="s">
        <v>46461</v>
      </c>
      <c r="K1068" s="2">
        <v>4.1684600000000001E-4</v>
      </c>
      <c r="L1068" s="2" t="s">
        <v>637</v>
      </c>
      <c r="M1068" s="4" t="s">
        <v>7370</v>
      </c>
    </row>
    <row r="1069" spans="1:13">
      <c r="A1069" s="2">
        <v>4371</v>
      </c>
      <c r="B1069" s="2" t="s">
        <v>46462</v>
      </c>
      <c r="C1069" s="2">
        <v>16</v>
      </c>
      <c r="D1069" s="2">
        <v>291</v>
      </c>
      <c r="E1069" s="2">
        <v>540</v>
      </c>
      <c r="F1069" s="2">
        <v>32441</v>
      </c>
      <c r="G1069" s="2">
        <v>3.3031436940000001</v>
      </c>
      <c r="H1069" s="3">
        <v>4.4400000000000002E-5</v>
      </c>
      <c r="I1069" s="2" t="s">
        <v>46463</v>
      </c>
      <c r="J1069" s="2" t="s">
        <v>46464</v>
      </c>
      <c r="K1069" s="2">
        <v>7.3242200000000004E-4</v>
      </c>
      <c r="L1069" s="2" t="s">
        <v>637</v>
      </c>
      <c r="M1069" s="4" t="s">
        <v>46465</v>
      </c>
    </row>
    <row r="1070" spans="1:13">
      <c r="A1070" s="2">
        <v>543</v>
      </c>
      <c r="B1070" s="2" t="s">
        <v>7219</v>
      </c>
      <c r="C1070" s="2">
        <v>7</v>
      </c>
      <c r="D1070" s="2">
        <v>291</v>
      </c>
      <c r="E1070" s="2">
        <v>99</v>
      </c>
      <c r="F1070" s="2">
        <v>32441</v>
      </c>
      <c r="G1070" s="2">
        <v>7.8825019960000002</v>
      </c>
      <c r="H1070" s="3">
        <v>4.6999999999999997E-5</v>
      </c>
      <c r="I1070" s="2" t="s">
        <v>46466</v>
      </c>
      <c r="J1070" s="2" t="s">
        <v>46467</v>
      </c>
      <c r="K1070" s="2">
        <v>7.60493E-4</v>
      </c>
      <c r="L1070" s="2" t="s">
        <v>637</v>
      </c>
      <c r="M1070" s="4" t="s">
        <v>7222</v>
      </c>
    </row>
    <row r="1071" spans="1:13">
      <c r="A1071" s="2">
        <v>8192</v>
      </c>
      <c r="B1071" s="2" t="s">
        <v>46468</v>
      </c>
      <c r="C1071" s="2">
        <v>6</v>
      </c>
      <c r="D1071" s="2">
        <v>291</v>
      </c>
      <c r="E1071" s="2">
        <v>69</v>
      </c>
      <c r="F1071" s="2">
        <v>32441</v>
      </c>
      <c r="G1071" s="2">
        <v>9.6940086660000002</v>
      </c>
      <c r="H1071" s="3">
        <v>5.6499999999999998E-5</v>
      </c>
      <c r="I1071" s="2" t="s">
        <v>46469</v>
      </c>
      <c r="J1071" s="2" t="s">
        <v>46470</v>
      </c>
      <c r="K1071" s="2">
        <v>8.9695699999999998E-4</v>
      </c>
      <c r="L1071" s="2" t="s">
        <v>637</v>
      </c>
      <c r="M1071" s="4" t="s">
        <v>46471</v>
      </c>
    </row>
    <row r="1072" spans="1:13">
      <c r="A1072" s="2">
        <v>514</v>
      </c>
      <c r="B1072" s="2" t="s">
        <v>7387</v>
      </c>
      <c r="C1072" s="2">
        <v>8</v>
      </c>
      <c r="D1072" s="2">
        <v>291</v>
      </c>
      <c r="E1072" s="2">
        <v>149</v>
      </c>
      <c r="F1072" s="2">
        <v>32441</v>
      </c>
      <c r="G1072" s="2">
        <v>5.9855623979999999</v>
      </c>
      <c r="H1072" s="3">
        <v>8.6299999999999997E-5</v>
      </c>
      <c r="I1072" s="2" t="s">
        <v>46472</v>
      </c>
      <c r="J1072" s="2" t="s">
        <v>46473</v>
      </c>
      <c r="K1072" s="2">
        <v>1.346281E-3</v>
      </c>
      <c r="L1072" s="2" t="s">
        <v>637</v>
      </c>
      <c r="M1072" s="4" t="s">
        <v>7390</v>
      </c>
    </row>
    <row r="1073" spans="1:13">
      <c r="A1073" s="2">
        <v>4971</v>
      </c>
      <c r="B1073" s="2" t="s">
        <v>6913</v>
      </c>
      <c r="C1073" s="2">
        <v>13</v>
      </c>
      <c r="D1073" s="2">
        <v>291</v>
      </c>
      <c r="E1073" s="2">
        <v>399</v>
      </c>
      <c r="F1073" s="2">
        <v>32441</v>
      </c>
      <c r="G1073" s="2">
        <v>3.6322162800000002</v>
      </c>
      <c r="H1073" s="3">
        <v>9.2800000000000006E-5</v>
      </c>
      <c r="I1073" s="2" t="s">
        <v>46474</v>
      </c>
      <c r="J1073" s="2" t="s">
        <v>46475</v>
      </c>
      <c r="K1073" s="2">
        <v>1.422518E-3</v>
      </c>
      <c r="L1073" s="2" t="s">
        <v>637</v>
      </c>
      <c r="M1073" s="4" t="s">
        <v>6916</v>
      </c>
    </row>
    <row r="1074" spans="1:13">
      <c r="A1074" s="2">
        <v>4871</v>
      </c>
      <c r="B1074" s="2" t="s">
        <v>6917</v>
      </c>
      <c r="C1074" s="2">
        <v>15</v>
      </c>
      <c r="D1074" s="2">
        <v>291</v>
      </c>
      <c r="E1074" s="2">
        <v>518</v>
      </c>
      <c r="F1074" s="2">
        <v>32441</v>
      </c>
      <c r="G1074" s="2">
        <v>3.2282171719999999</v>
      </c>
      <c r="H1074" s="3">
        <v>9.8099999999999999E-5</v>
      </c>
      <c r="I1074" s="2" t="s">
        <v>46476</v>
      </c>
      <c r="J1074" s="2" t="s">
        <v>46477</v>
      </c>
      <c r="K1074" s="2">
        <v>1.4763199999999999E-3</v>
      </c>
      <c r="L1074" s="2" t="s">
        <v>637</v>
      </c>
      <c r="M1074" s="4" t="s">
        <v>6920</v>
      </c>
    </row>
    <row r="1075" spans="1:13">
      <c r="A1075" s="2">
        <v>126</v>
      </c>
      <c r="B1075" s="2" t="s">
        <v>28264</v>
      </c>
      <c r="C1075" s="2">
        <v>13</v>
      </c>
      <c r="D1075" s="2">
        <v>291</v>
      </c>
      <c r="E1075" s="2">
        <v>428</v>
      </c>
      <c r="F1075" s="2">
        <v>32441</v>
      </c>
      <c r="G1075" s="2">
        <v>3.3861081670000002</v>
      </c>
      <c r="H1075" s="2">
        <v>1.8134E-4</v>
      </c>
      <c r="I1075" s="2" t="s">
        <v>46478</v>
      </c>
      <c r="J1075" s="2" t="s">
        <v>46479</v>
      </c>
      <c r="K1075" s="2">
        <v>2.6825859999999998E-3</v>
      </c>
      <c r="L1075" s="2" t="s">
        <v>637</v>
      </c>
      <c r="M1075" s="4" t="s">
        <v>28267</v>
      </c>
    </row>
    <row r="1076" spans="1:13">
      <c r="A1076" s="2">
        <v>6531</v>
      </c>
      <c r="B1076" s="2" t="s">
        <v>7273</v>
      </c>
      <c r="C1076" s="2">
        <v>7</v>
      </c>
      <c r="D1076" s="2">
        <v>291</v>
      </c>
      <c r="E1076" s="2">
        <v>129</v>
      </c>
      <c r="F1076" s="2">
        <v>32441</v>
      </c>
      <c r="G1076" s="2">
        <v>6.0493619970000001</v>
      </c>
      <c r="H1076" s="2">
        <v>2.2443300000000001E-4</v>
      </c>
      <c r="I1076" s="2" t="s">
        <v>46480</v>
      </c>
      <c r="J1076" s="2" t="s">
        <v>46481</v>
      </c>
      <c r="K1076" s="2">
        <v>3.2637930000000001E-3</v>
      </c>
      <c r="L1076" s="2" t="s">
        <v>637</v>
      </c>
      <c r="M1076" s="4" t="s">
        <v>7276</v>
      </c>
    </row>
    <row r="1077" spans="1:13">
      <c r="A1077" s="2">
        <v>6131</v>
      </c>
      <c r="B1077" s="2" t="s">
        <v>7511</v>
      </c>
      <c r="C1077" s="2">
        <v>5</v>
      </c>
      <c r="D1077" s="2">
        <v>291</v>
      </c>
      <c r="E1077" s="2">
        <v>57</v>
      </c>
      <c r="F1077" s="2">
        <v>32441</v>
      </c>
      <c r="G1077" s="2">
        <v>9.7790438300000009</v>
      </c>
      <c r="H1077" s="2">
        <v>2.2947399999999999E-4</v>
      </c>
      <c r="I1077" s="2" t="s">
        <v>46482</v>
      </c>
      <c r="J1077" s="2" t="s">
        <v>46483</v>
      </c>
      <c r="K1077" s="2">
        <v>3.2814789999999999E-3</v>
      </c>
      <c r="L1077" s="2" t="s">
        <v>637</v>
      </c>
      <c r="M1077" s="4" t="s">
        <v>7512</v>
      </c>
    </row>
    <row r="1078" spans="1:13">
      <c r="A1078" s="2">
        <v>1801</v>
      </c>
      <c r="B1078" s="2" t="s">
        <v>46484</v>
      </c>
      <c r="C1078" s="2">
        <v>11</v>
      </c>
      <c r="D1078" s="2">
        <v>291</v>
      </c>
      <c r="E1078" s="2">
        <v>332</v>
      </c>
      <c r="F1078" s="2">
        <v>32441</v>
      </c>
      <c r="G1078" s="2">
        <v>3.693650892</v>
      </c>
      <c r="H1078" s="2">
        <v>2.7773099999999997E-4</v>
      </c>
      <c r="I1078" s="2" t="s">
        <v>46485</v>
      </c>
      <c r="J1078" s="2" t="s">
        <v>46486</v>
      </c>
      <c r="K1078" s="2">
        <v>3.9064399999999997E-3</v>
      </c>
      <c r="L1078" s="2" t="s">
        <v>637</v>
      </c>
      <c r="M1078" s="4" t="s">
        <v>46487</v>
      </c>
    </row>
    <row r="1079" spans="1:13">
      <c r="A1079" s="2">
        <v>605</v>
      </c>
      <c r="B1079" s="2" t="s">
        <v>46488</v>
      </c>
      <c r="C1079" s="2">
        <v>3</v>
      </c>
      <c r="D1079" s="2">
        <v>291</v>
      </c>
      <c r="E1079" s="2">
        <v>12</v>
      </c>
      <c r="F1079" s="2">
        <v>32441</v>
      </c>
      <c r="G1079" s="2">
        <v>27.870274909999999</v>
      </c>
      <c r="H1079" s="2">
        <v>2.9234399999999999E-4</v>
      </c>
      <c r="I1079" s="2" t="s">
        <v>46489</v>
      </c>
      <c r="J1079" s="2" t="s">
        <v>46490</v>
      </c>
      <c r="K1079" s="2">
        <v>4.045664E-3</v>
      </c>
      <c r="L1079" s="2" t="s">
        <v>637</v>
      </c>
      <c r="M1079" s="4" t="s">
        <v>46491</v>
      </c>
    </row>
    <row r="1080" spans="1:13">
      <c r="A1080" s="2">
        <v>5421</v>
      </c>
      <c r="B1080" s="2" t="s">
        <v>46492</v>
      </c>
      <c r="C1080" s="2">
        <v>5</v>
      </c>
      <c r="D1080" s="2">
        <v>291</v>
      </c>
      <c r="E1080" s="2">
        <v>72</v>
      </c>
      <c r="F1080" s="2">
        <v>32441</v>
      </c>
      <c r="G1080" s="2">
        <v>7.7417430319999996</v>
      </c>
      <c r="H1080" s="2">
        <v>6.2875400000000003E-4</v>
      </c>
      <c r="I1080" s="2" t="s">
        <v>46493</v>
      </c>
      <c r="J1080" s="2" t="s">
        <v>46494</v>
      </c>
      <c r="K1080" s="2">
        <v>8.5630299999999993E-3</v>
      </c>
      <c r="L1080" s="2" t="s">
        <v>637</v>
      </c>
      <c r="M1080" s="4" t="s">
        <v>46495</v>
      </c>
    </row>
    <row r="1081" spans="1:13">
      <c r="A1081" s="2">
        <v>707</v>
      </c>
      <c r="B1081" s="2" t="s">
        <v>46496</v>
      </c>
      <c r="C1081" s="2">
        <v>6</v>
      </c>
      <c r="D1081" s="2">
        <v>291</v>
      </c>
      <c r="E1081" s="2">
        <v>112</v>
      </c>
      <c r="F1081" s="2">
        <v>32441</v>
      </c>
      <c r="G1081" s="2">
        <v>5.9722017669999996</v>
      </c>
      <c r="H1081" s="2">
        <v>6.7211699999999996E-4</v>
      </c>
      <c r="I1081" s="2" t="s">
        <v>46497</v>
      </c>
      <c r="J1081" s="2" t="s">
        <v>46498</v>
      </c>
      <c r="K1081" s="2">
        <v>9.0105740000000004E-3</v>
      </c>
      <c r="L1081" s="2" t="s">
        <v>637</v>
      </c>
      <c r="M1081" s="4" t="s">
        <v>46499</v>
      </c>
    </row>
    <row r="1082" spans="1:13">
      <c r="A1082" s="2">
        <v>8082</v>
      </c>
      <c r="B1082" s="2" t="s">
        <v>46500</v>
      </c>
      <c r="C1082" s="2">
        <v>3</v>
      </c>
      <c r="D1082" s="2">
        <v>291</v>
      </c>
      <c r="E1082" s="2">
        <v>17</v>
      </c>
      <c r="F1082" s="2">
        <v>32441</v>
      </c>
      <c r="G1082" s="2">
        <v>19.67313523</v>
      </c>
      <c r="H1082" s="2">
        <v>7.0875300000000001E-4</v>
      </c>
      <c r="I1082" s="2" t="s">
        <v>46489</v>
      </c>
      <c r="J1082" s="2" t="s">
        <v>46490</v>
      </c>
      <c r="K1082" s="2">
        <v>9.3555349999999999E-3</v>
      </c>
      <c r="L1082" s="2" t="s">
        <v>637</v>
      </c>
      <c r="M1082" s="4" t="s">
        <v>46501</v>
      </c>
    </row>
    <row r="1083" spans="1:13">
      <c r="A1083" s="2">
        <v>125</v>
      </c>
      <c r="B1083" s="2" t="s">
        <v>46502</v>
      </c>
      <c r="C1083" s="2">
        <v>9</v>
      </c>
      <c r="D1083" s="2">
        <v>291</v>
      </c>
      <c r="E1083" s="2">
        <v>263</v>
      </c>
      <c r="F1083" s="2">
        <v>32441</v>
      </c>
      <c r="G1083" s="2">
        <v>3.8149425739999998</v>
      </c>
      <c r="H1083" s="2">
        <v>7.8988400000000003E-4</v>
      </c>
      <c r="I1083" s="2" t="s">
        <v>46503</v>
      </c>
      <c r="J1083" s="2" t="s">
        <v>46504</v>
      </c>
      <c r="K1083" s="2">
        <v>1.0268487E-2</v>
      </c>
      <c r="L1083" s="2" t="s">
        <v>637</v>
      </c>
      <c r="M1083" s="4" t="s">
        <v>46505</v>
      </c>
    </row>
    <row r="1084" spans="1:13">
      <c r="A1084" s="2">
        <v>675</v>
      </c>
      <c r="B1084" s="2" t="s">
        <v>46506</v>
      </c>
      <c r="C1084" s="2">
        <v>4</v>
      </c>
      <c r="D1084" s="2">
        <v>291</v>
      </c>
      <c r="E1084" s="2">
        <v>45</v>
      </c>
      <c r="F1084" s="2">
        <v>32441</v>
      </c>
      <c r="G1084" s="2">
        <v>9.9094310809999993</v>
      </c>
      <c r="H1084" s="2">
        <v>9.4646300000000004E-4</v>
      </c>
      <c r="I1084" s="2" t="s">
        <v>46507</v>
      </c>
      <c r="J1084" s="2" t="s">
        <v>46508</v>
      </c>
      <c r="K1084" s="2">
        <v>1.2120381E-2</v>
      </c>
      <c r="L1084" s="2" t="s">
        <v>637</v>
      </c>
      <c r="M1084" s="4" t="s">
        <v>46509</v>
      </c>
    </row>
    <row r="1085" spans="1:13">
      <c r="A1085" s="2">
        <v>551</v>
      </c>
      <c r="B1085" s="2" t="s">
        <v>7437</v>
      </c>
      <c r="C1085" s="2">
        <v>8</v>
      </c>
      <c r="D1085" s="2">
        <v>291</v>
      </c>
      <c r="E1085" s="2">
        <v>219</v>
      </c>
      <c r="F1085" s="2">
        <v>32441</v>
      </c>
      <c r="G1085" s="2">
        <v>4.0723689370000002</v>
      </c>
      <c r="H1085" s="2">
        <v>1.0245849999999999E-3</v>
      </c>
      <c r="I1085" s="2" t="s">
        <v>46510</v>
      </c>
      <c r="J1085" s="2" t="s">
        <v>46511</v>
      </c>
      <c r="K1085" s="2">
        <v>1.274049E-2</v>
      </c>
      <c r="L1085" s="2" t="s">
        <v>637</v>
      </c>
      <c r="M1085" s="4" t="s">
        <v>7440</v>
      </c>
    </row>
    <row r="1086" spans="1:13">
      <c r="A1086" s="2">
        <v>661</v>
      </c>
      <c r="B1086" s="2" t="s">
        <v>7473</v>
      </c>
      <c r="C1086" s="2">
        <v>4</v>
      </c>
      <c r="D1086" s="2">
        <v>291</v>
      </c>
      <c r="E1086" s="2">
        <v>46</v>
      </c>
      <c r="F1086" s="2">
        <v>32441</v>
      </c>
      <c r="G1086" s="2">
        <v>9.6940086660000002</v>
      </c>
      <c r="H1086" s="2">
        <v>1.0216380000000001E-3</v>
      </c>
      <c r="I1086" s="2" t="s">
        <v>46512</v>
      </c>
      <c r="J1086" s="2" t="s">
        <v>46513</v>
      </c>
      <c r="K1086" s="2">
        <v>1.274049E-2</v>
      </c>
      <c r="L1086" s="2" t="s">
        <v>637</v>
      </c>
      <c r="M1086" s="4" t="s">
        <v>7476</v>
      </c>
    </row>
    <row r="1087" spans="1:13">
      <c r="A1087" s="2">
        <v>6151</v>
      </c>
      <c r="B1087" s="2" t="s">
        <v>46514</v>
      </c>
      <c r="C1087" s="2">
        <v>4</v>
      </c>
      <c r="D1087" s="2">
        <v>291</v>
      </c>
      <c r="E1087" s="2">
        <v>50</v>
      </c>
      <c r="F1087" s="2">
        <v>32441</v>
      </c>
      <c r="G1087" s="2">
        <v>8.9184879729999995</v>
      </c>
      <c r="H1087" s="2">
        <v>1.364484E-3</v>
      </c>
      <c r="I1087" s="2" t="s">
        <v>46515</v>
      </c>
      <c r="J1087" s="2" t="s">
        <v>46516</v>
      </c>
      <c r="K1087" s="2">
        <v>1.6724678999999999E-2</v>
      </c>
      <c r="L1087" s="2" t="s">
        <v>637</v>
      </c>
      <c r="M1087" s="4" t="s">
        <v>46517</v>
      </c>
    </row>
    <row r="1088" spans="1:13">
      <c r="A1088" s="2">
        <v>507</v>
      </c>
      <c r="B1088" s="2" t="s">
        <v>7493</v>
      </c>
      <c r="C1088" s="2">
        <v>4</v>
      </c>
      <c r="D1088" s="2">
        <v>291</v>
      </c>
      <c r="E1088" s="2">
        <v>51</v>
      </c>
      <c r="F1088" s="2">
        <v>32441</v>
      </c>
      <c r="G1088" s="2">
        <v>8.7436156589999996</v>
      </c>
      <c r="H1088" s="2">
        <v>1.461324E-3</v>
      </c>
      <c r="I1088" s="2" t="s">
        <v>46518</v>
      </c>
      <c r="J1088" s="2" t="s">
        <v>46519</v>
      </c>
      <c r="K1088" s="2">
        <v>1.7659385999999999E-2</v>
      </c>
      <c r="L1088" s="2" t="s">
        <v>637</v>
      </c>
      <c r="M1088" s="4" t="s">
        <v>7494</v>
      </c>
    </row>
    <row r="1089" spans="1:13">
      <c r="A1089" s="2">
        <v>453</v>
      </c>
      <c r="B1089" s="2" t="s">
        <v>6925</v>
      </c>
      <c r="C1089" s="2">
        <v>10</v>
      </c>
      <c r="D1089" s="2">
        <v>291</v>
      </c>
      <c r="E1089" s="2">
        <v>356</v>
      </c>
      <c r="F1089" s="2">
        <v>32441</v>
      </c>
      <c r="G1089" s="2">
        <v>3.131491563</v>
      </c>
      <c r="H1089" s="2">
        <v>1.7449480000000001E-3</v>
      </c>
      <c r="I1089" s="2" t="s">
        <v>46520</v>
      </c>
      <c r="J1089" s="2" t="s">
        <v>46521</v>
      </c>
      <c r="K1089" s="2">
        <v>2.0793967E-2</v>
      </c>
      <c r="L1089" s="2" t="s">
        <v>637</v>
      </c>
      <c r="M1089" s="4" t="s">
        <v>6928</v>
      </c>
    </row>
    <row r="1090" spans="1:13">
      <c r="A1090" s="2">
        <v>592</v>
      </c>
      <c r="B1090" s="2" t="s">
        <v>7383</v>
      </c>
      <c r="C1090" s="2">
        <v>4</v>
      </c>
      <c r="D1090" s="2">
        <v>291</v>
      </c>
      <c r="E1090" s="2">
        <v>54</v>
      </c>
      <c r="F1090" s="2">
        <v>32441</v>
      </c>
      <c r="G1090" s="2">
        <v>8.2578592339999997</v>
      </c>
      <c r="H1090" s="2">
        <v>1.7804380000000001E-3</v>
      </c>
      <c r="I1090" s="2" t="s">
        <v>46522</v>
      </c>
      <c r="J1090" s="2" t="s">
        <v>46523</v>
      </c>
      <c r="K1090" s="2">
        <v>2.0926242000000001E-2</v>
      </c>
      <c r="L1090" s="2" t="s">
        <v>637</v>
      </c>
      <c r="M1090" s="4" t="s">
        <v>7386</v>
      </c>
    </row>
    <row r="1091" spans="1:13">
      <c r="A1091" s="2">
        <v>6351</v>
      </c>
      <c r="B1091" s="2" t="s">
        <v>7009</v>
      </c>
      <c r="C1091" s="2">
        <v>6</v>
      </c>
      <c r="D1091" s="2">
        <v>291</v>
      </c>
      <c r="E1091" s="2">
        <v>142</v>
      </c>
      <c r="F1091" s="2">
        <v>32441</v>
      </c>
      <c r="G1091" s="2">
        <v>4.7104689999999998</v>
      </c>
      <c r="H1091" s="2">
        <v>2.1548969999999998E-3</v>
      </c>
      <c r="I1091" s="2" t="s">
        <v>46524</v>
      </c>
      <c r="J1091" s="2" t="s">
        <v>46525</v>
      </c>
      <c r="K1091" s="2">
        <v>2.4652021E-2</v>
      </c>
      <c r="L1091" s="2" t="s">
        <v>637</v>
      </c>
      <c r="M1091" s="4" t="s">
        <v>7012</v>
      </c>
    </row>
    <row r="1092" spans="1:13">
      <c r="A1092" s="2">
        <v>7441</v>
      </c>
      <c r="B1092" s="2" t="s">
        <v>46526</v>
      </c>
      <c r="C1092" s="2">
        <v>3</v>
      </c>
      <c r="D1092" s="2">
        <v>291</v>
      </c>
      <c r="E1092" s="2">
        <v>26</v>
      </c>
      <c r="F1092" s="2">
        <v>32441</v>
      </c>
      <c r="G1092" s="2">
        <v>12.86320381</v>
      </c>
      <c r="H1092" s="2">
        <v>2.1414569999999998E-3</v>
      </c>
      <c r="I1092" s="2" t="s">
        <v>46527</v>
      </c>
      <c r="J1092" s="2" t="s">
        <v>46528</v>
      </c>
      <c r="K1092" s="2">
        <v>2.4652021E-2</v>
      </c>
      <c r="L1092" s="2" t="s">
        <v>637</v>
      </c>
      <c r="M1092" s="4" t="s">
        <v>46529</v>
      </c>
    </row>
    <row r="1093" spans="1:13">
      <c r="A1093" s="2">
        <v>517</v>
      </c>
      <c r="B1093" s="2" t="s">
        <v>37416</v>
      </c>
      <c r="C1093" s="2">
        <v>13</v>
      </c>
      <c r="D1093" s="2">
        <v>291</v>
      </c>
      <c r="E1093" s="2">
        <v>566</v>
      </c>
      <c r="F1093" s="2">
        <v>32441</v>
      </c>
      <c r="G1093" s="2">
        <v>2.5605199569999999</v>
      </c>
      <c r="H1093" s="2">
        <v>2.2160000000000001E-3</v>
      </c>
      <c r="I1093" s="2" t="s">
        <v>46530</v>
      </c>
      <c r="J1093" s="2" t="s">
        <v>46531</v>
      </c>
      <c r="K1093" s="2">
        <v>2.5017477E-2</v>
      </c>
      <c r="L1093" s="2" t="s">
        <v>637</v>
      </c>
      <c r="M1093" s="4" t="s">
        <v>37419</v>
      </c>
    </row>
    <row r="1094" spans="1:13">
      <c r="A1094" s="2">
        <v>614</v>
      </c>
      <c r="B1094" s="2" t="s">
        <v>46532</v>
      </c>
      <c r="C1094" s="2">
        <v>3</v>
      </c>
      <c r="D1094" s="2">
        <v>291</v>
      </c>
      <c r="E1094" s="2">
        <v>27</v>
      </c>
      <c r="F1094" s="2">
        <v>32441</v>
      </c>
      <c r="G1094" s="2">
        <v>12.38678885</v>
      </c>
      <c r="H1094" s="2">
        <v>2.3638679999999999E-3</v>
      </c>
      <c r="I1094" s="2" t="s">
        <v>46533</v>
      </c>
      <c r="J1094" s="2" t="s">
        <v>46534</v>
      </c>
      <c r="K1094" s="2">
        <v>2.6340237999999998E-2</v>
      </c>
      <c r="L1094" s="2" t="s">
        <v>637</v>
      </c>
      <c r="M1094" s="4" t="s">
        <v>46535</v>
      </c>
    </row>
    <row r="1095" spans="1:13">
      <c r="A1095" s="2">
        <v>581</v>
      </c>
      <c r="B1095" s="2" t="s">
        <v>37420</v>
      </c>
      <c r="C1095" s="2">
        <v>13</v>
      </c>
      <c r="D1095" s="2">
        <v>291</v>
      </c>
      <c r="E1095" s="2">
        <v>572</v>
      </c>
      <c r="F1095" s="2">
        <v>32441</v>
      </c>
      <c r="G1095" s="2">
        <v>2.5336613560000001</v>
      </c>
      <c r="H1095" s="2">
        <v>2.4214340000000001E-3</v>
      </c>
      <c r="I1095" s="2" t="s">
        <v>46530</v>
      </c>
      <c r="J1095" s="2" t="s">
        <v>46531</v>
      </c>
      <c r="K1095" s="2">
        <v>2.6635776999999999E-2</v>
      </c>
      <c r="L1095" s="2" t="s">
        <v>637</v>
      </c>
      <c r="M1095" s="4" t="s">
        <v>37421</v>
      </c>
    </row>
    <row r="1096" spans="1:13">
      <c r="A1096" s="2">
        <v>716</v>
      </c>
      <c r="B1096" s="2" t="s">
        <v>46536</v>
      </c>
      <c r="C1096" s="2">
        <v>3</v>
      </c>
      <c r="D1096" s="2">
        <v>291</v>
      </c>
      <c r="E1096" s="2">
        <v>28</v>
      </c>
      <c r="F1096" s="2">
        <v>32441</v>
      </c>
      <c r="G1096" s="2">
        <v>11.944403530000001</v>
      </c>
      <c r="H1096" s="2">
        <v>2.6000659999999998E-3</v>
      </c>
      <c r="I1096" s="2" t="s">
        <v>46537</v>
      </c>
      <c r="J1096" s="2" t="s">
        <v>46538</v>
      </c>
      <c r="K1096" s="2">
        <v>2.7885711000000001E-2</v>
      </c>
      <c r="L1096" s="2" t="s">
        <v>637</v>
      </c>
      <c r="M1096" s="4" t="s">
        <v>46539</v>
      </c>
    </row>
    <row r="1097" spans="1:13">
      <c r="A1097" s="2">
        <v>753</v>
      </c>
      <c r="B1097" s="2" t="s">
        <v>46540</v>
      </c>
      <c r="C1097" s="2">
        <v>3</v>
      </c>
      <c r="D1097" s="2">
        <v>291</v>
      </c>
      <c r="E1097" s="2">
        <v>28</v>
      </c>
      <c r="F1097" s="2">
        <v>32441</v>
      </c>
      <c r="G1097" s="2">
        <v>11.944403530000001</v>
      </c>
      <c r="H1097" s="2">
        <v>2.6000659999999998E-3</v>
      </c>
      <c r="I1097" s="2" t="s">
        <v>46541</v>
      </c>
      <c r="J1097" s="2" t="s">
        <v>46542</v>
      </c>
      <c r="K1097" s="2">
        <v>2.7885711000000001E-2</v>
      </c>
      <c r="L1097" s="2" t="s">
        <v>637</v>
      </c>
      <c r="M1097" s="4" t="s">
        <v>46543</v>
      </c>
    </row>
    <row r="1098" spans="1:13">
      <c r="A1098" s="2">
        <v>5821</v>
      </c>
      <c r="B1098" s="2" t="s">
        <v>46544</v>
      </c>
      <c r="C1098" s="2">
        <v>4</v>
      </c>
      <c r="D1098" s="2">
        <v>291</v>
      </c>
      <c r="E1098" s="2">
        <v>61</v>
      </c>
      <c r="F1098" s="2">
        <v>32441</v>
      </c>
      <c r="G1098" s="2">
        <v>7.3102360429999997</v>
      </c>
      <c r="H1098" s="2">
        <v>2.7067150000000002E-3</v>
      </c>
      <c r="I1098" s="2" t="s">
        <v>46545</v>
      </c>
      <c r="J1098" s="2" t="s">
        <v>46546</v>
      </c>
      <c r="K1098" s="2">
        <v>2.832148E-2</v>
      </c>
      <c r="L1098" s="2" t="s">
        <v>637</v>
      </c>
      <c r="M1098" s="4" t="s">
        <v>46547</v>
      </c>
    </row>
    <row r="1099" spans="1:13">
      <c r="A1099" s="2">
        <v>7861</v>
      </c>
      <c r="B1099" s="2" t="s">
        <v>46548</v>
      </c>
      <c r="C1099" s="2">
        <v>4</v>
      </c>
      <c r="D1099" s="2">
        <v>291</v>
      </c>
      <c r="E1099" s="2">
        <v>61</v>
      </c>
      <c r="F1099" s="2">
        <v>32441</v>
      </c>
      <c r="G1099" s="2">
        <v>7.3102360429999997</v>
      </c>
      <c r="H1099" s="2">
        <v>2.7067150000000002E-3</v>
      </c>
      <c r="I1099" s="2" t="s">
        <v>46549</v>
      </c>
      <c r="J1099" s="2" t="s">
        <v>46550</v>
      </c>
      <c r="K1099" s="2">
        <v>2.832148E-2</v>
      </c>
      <c r="L1099" s="2" t="s">
        <v>637</v>
      </c>
      <c r="M1099" s="4" t="s">
        <v>46551</v>
      </c>
    </row>
    <row r="1100" spans="1:13">
      <c r="A1100" s="2">
        <v>4681</v>
      </c>
      <c r="B1100" s="2" t="s">
        <v>6905</v>
      </c>
      <c r="C1100" s="2">
        <v>13</v>
      </c>
      <c r="D1100" s="2">
        <v>291</v>
      </c>
      <c r="E1100" s="2">
        <v>583</v>
      </c>
      <c r="F1100" s="2">
        <v>32441</v>
      </c>
      <c r="G1100" s="2">
        <v>2.4858564250000001</v>
      </c>
      <c r="H1100" s="2">
        <v>2.838644E-3</v>
      </c>
      <c r="I1100" s="2" t="s">
        <v>46552</v>
      </c>
      <c r="J1100" s="2" t="s">
        <v>46553</v>
      </c>
      <c r="K1100" s="2">
        <v>2.9344057999999999E-2</v>
      </c>
      <c r="L1100" s="2" t="s">
        <v>637</v>
      </c>
      <c r="M1100" s="4" t="s">
        <v>6908</v>
      </c>
    </row>
    <row r="1101" spans="1:13">
      <c r="A1101" s="2">
        <v>539</v>
      </c>
      <c r="B1101" s="2" t="s">
        <v>6937</v>
      </c>
      <c r="C1101" s="2">
        <v>15</v>
      </c>
      <c r="D1101" s="2">
        <v>291</v>
      </c>
      <c r="E1101" s="2">
        <v>731</v>
      </c>
      <c r="F1101" s="2">
        <v>32441</v>
      </c>
      <c r="G1101" s="2">
        <v>2.2875738640000001</v>
      </c>
      <c r="H1101" s="2">
        <v>3.0119669999999999E-3</v>
      </c>
      <c r="I1101" s="2" t="s">
        <v>46554</v>
      </c>
      <c r="J1101" s="2" t="s">
        <v>46555</v>
      </c>
      <c r="K1101" s="2">
        <v>3.0765094E-2</v>
      </c>
      <c r="L1101" s="2" t="s">
        <v>637</v>
      </c>
      <c r="M1101" s="4" t="s">
        <v>6940</v>
      </c>
    </row>
    <row r="1102" spans="1:13">
      <c r="A1102" s="2">
        <v>4391</v>
      </c>
      <c r="B1102" s="2" t="s">
        <v>7485</v>
      </c>
      <c r="C1102" s="2">
        <v>12</v>
      </c>
      <c r="D1102" s="2">
        <v>291</v>
      </c>
      <c r="E1102" s="2">
        <v>519</v>
      </c>
      <c r="F1102" s="2">
        <v>32441</v>
      </c>
      <c r="G1102" s="2">
        <v>2.5775976799999998</v>
      </c>
      <c r="H1102" s="2">
        <v>3.0696740000000001E-3</v>
      </c>
      <c r="I1102" s="2" t="s">
        <v>46556</v>
      </c>
      <c r="J1102" s="2" t="s">
        <v>46557</v>
      </c>
      <c r="K1102" s="2">
        <v>3.0985648000000001E-2</v>
      </c>
      <c r="L1102" s="2" t="s">
        <v>637</v>
      </c>
      <c r="M1102" s="4" t="s">
        <v>7488</v>
      </c>
    </row>
    <row r="1103" spans="1:13">
      <c r="A1103" s="2">
        <v>111</v>
      </c>
      <c r="B1103" s="2" t="s">
        <v>46558</v>
      </c>
      <c r="C1103" s="2">
        <v>7</v>
      </c>
      <c r="D1103" s="2">
        <v>291</v>
      </c>
      <c r="E1103" s="2">
        <v>207</v>
      </c>
      <c r="F1103" s="2">
        <v>32441</v>
      </c>
      <c r="G1103" s="2">
        <v>3.7698922590000001</v>
      </c>
      <c r="H1103" s="2">
        <v>3.1688020000000001E-3</v>
      </c>
      <c r="I1103" s="2" t="s">
        <v>46559</v>
      </c>
      <c r="J1103" s="2" t="s">
        <v>46560</v>
      </c>
      <c r="K1103" s="2">
        <v>3.1614328999999997E-2</v>
      </c>
      <c r="L1103" s="2" t="s">
        <v>637</v>
      </c>
      <c r="M1103" s="4" t="s">
        <v>46561</v>
      </c>
    </row>
    <row r="1104" spans="1:13">
      <c r="A1104" s="2">
        <v>37</v>
      </c>
      <c r="B1104" s="2" t="s">
        <v>46562</v>
      </c>
      <c r="C1104" s="2">
        <v>10</v>
      </c>
      <c r="D1104" s="2">
        <v>291</v>
      </c>
      <c r="E1104" s="2">
        <v>392</v>
      </c>
      <c r="F1104" s="2">
        <v>32441</v>
      </c>
      <c r="G1104" s="2">
        <v>2.8439056030000001</v>
      </c>
      <c r="H1104" s="2">
        <v>3.4206620000000001E-3</v>
      </c>
      <c r="I1104" s="2" t="s">
        <v>46563</v>
      </c>
      <c r="J1104" s="2" t="s">
        <v>46564</v>
      </c>
      <c r="K1104" s="2">
        <v>3.3734806999999999E-2</v>
      </c>
      <c r="L1104" s="2" t="s">
        <v>637</v>
      </c>
      <c r="M1104" s="4" t="s">
        <v>46565</v>
      </c>
    </row>
    <row r="1105" spans="1:13">
      <c r="A1105" s="2">
        <v>1405</v>
      </c>
      <c r="B1105" s="2" t="s">
        <v>46566</v>
      </c>
      <c r="C1105" s="2">
        <v>8</v>
      </c>
      <c r="D1105" s="2">
        <v>291</v>
      </c>
      <c r="E1105" s="2">
        <v>269</v>
      </c>
      <c r="F1105" s="2">
        <v>32441</v>
      </c>
      <c r="G1105" s="2">
        <v>3.315423038</v>
      </c>
      <c r="H1105" s="2">
        <v>3.5323469999999999E-3</v>
      </c>
      <c r="I1105" s="2" t="s">
        <v>46567</v>
      </c>
      <c r="J1105" s="2" t="s">
        <v>46568</v>
      </c>
      <c r="K1105" s="2">
        <v>3.4440388000000002E-2</v>
      </c>
      <c r="L1105" s="2" t="s">
        <v>637</v>
      </c>
      <c r="M1105" s="4" t="s">
        <v>46569</v>
      </c>
    </row>
    <row r="1106" spans="1:13">
      <c r="A1106" s="2">
        <v>5021</v>
      </c>
      <c r="B1106" s="2" t="s">
        <v>46570</v>
      </c>
      <c r="C1106" s="2">
        <v>3</v>
      </c>
      <c r="D1106" s="2">
        <v>291</v>
      </c>
      <c r="E1106" s="2">
        <v>32</v>
      </c>
      <c r="F1106" s="2">
        <v>32441</v>
      </c>
      <c r="G1106" s="2">
        <v>10.45135309</v>
      </c>
      <c r="H1106" s="2">
        <v>3.6881409999999998E-3</v>
      </c>
      <c r="I1106" s="2" t="s">
        <v>46533</v>
      </c>
      <c r="J1106" s="2" t="s">
        <v>46534</v>
      </c>
      <c r="K1106" s="2">
        <v>3.5555336999999999E-2</v>
      </c>
      <c r="L1106" s="2" t="s">
        <v>637</v>
      </c>
      <c r="M1106" s="4" t="s">
        <v>46571</v>
      </c>
    </row>
    <row r="1107" spans="1:13">
      <c r="A1107" s="2">
        <v>572</v>
      </c>
      <c r="B1107" s="2" t="s">
        <v>46572</v>
      </c>
      <c r="C1107" s="2">
        <v>3</v>
      </c>
      <c r="D1107" s="2">
        <v>291</v>
      </c>
      <c r="E1107" s="2">
        <v>34</v>
      </c>
      <c r="F1107" s="2">
        <v>32441</v>
      </c>
      <c r="G1107" s="2">
        <v>9.836567617</v>
      </c>
      <c r="H1107" s="2">
        <v>4.3216349999999999E-3</v>
      </c>
      <c r="I1107" s="2" t="s">
        <v>46573</v>
      </c>
      <c r="J1107" s="2" t="s">
        <v>46574</v>
      </c>
      <c r="K1107" s="2">
        <v>4.1199586000000003E-2</v>
      </c>
      <c r="L1107" s="2" t="s">
        <v>637</v>
      </c>
      <c r="M1107" s="4" t="s">
        <v>46575</v>
      </c>
    </row>
    <row r="1108" spans="1:13">
      <c r="A1108" s="2">
        <v>233</v>
      </c>
      <c r="B1108" s="2" t="s">
        <v>46576</v>
      </c>
      <c r="C1108" s="2">
        <v>8</v>
      </c>
      <c r="D1108" s="2">
        <v>291</v>
      </c>
      <c r="E1108" s="2">
        <v>282</v>
      </c>
      <c r="F1108" s="2">
        <v>32441</v>
      </c>
      <c r="G1108" s="2">
        <v>3.1625843869999999</v>
      </c>
      <c r="H1108" s="2">
        <v>4.6443919999999998E-3</v>
      </c>
      <c r="I1108" s="2" t="s">
        <v>46577</v>
      </c>
      <c r="J1108" s="2" t="s">
        <v>46578</v>
      </c>
      <c r="K1108" s="2">
        <v>4.3006535999999998E-2</v>
      </c>
      <c r="L1108" s="2" t="s">
        <v>637</v>
      </c>
      <c r="M1108" s="4" t="s">
        <v>46579</v>
      </c>
    </row>
    <row r="1109" spans="1:13">
      <c r="A1109" s="2">
        <v>1052</v>
      </c>
      <c r="B1109" s="2" t="s">
        <v>46580</v>
      </c>
      <c r="C1109" s="2">
        <v>8</v>
      </c>
      <c r="D1109" s="2">
        <v>291</v>
      </c>
      <c r="E1109" s="2">
        <v>282</v>
      </c>
      <c r="F1109" s="2">
        <v>32441</v>
      </c>
      <c r="G1109" s="2">
        <v>3.1625843869999999</v>
      </c>
      <c r="H1109" s="2">
        <v>4.6443919999999998E-3</v>
      </c>
      <c r="I1109" s="2" t="s">
        <v>46581</v>
      </c>
      <c r="J1109" s="2" t="s">
        <v>46582</v>
      </c>
      <c r="K1109" s="2">
        <v>4.3006535999999998E-2</v>
      </c>
      <c r="L1109" s="2" t="s">
        <v>637</v>
      </c>
      <c r="M1109" s="4" t="s">
        <v>46583</v>
      </c>
    </row>
    <row r="1110" spans="1:13">
      <c r="A1110" s="2">
        <v>362</v>
      </c>
      <c r="B1110" s="2" t="s">
        <v>46584</v>
      </c>
      <c r="C1110" s="2">
        <v>3</v>
      </c>
      <c r="D1110" s="2">
        <v>291</v>
      </c>
      <c r="E1110" s="2">
        <v>35</v>
      </c>
      <c r="F1110" s="2">
        <v>32441</v>
      </c>
      <c r="G1110" s="2">
        <v>9.5555228280000009</v>
      </c>
      <c r="H1110" s="2">
        <v>4.6615479999999997E-3</v>
      </c>
      <c r="I1110" s="2" t="s">
        <v>46585</v>
      </c>
      <c r="J1110" s="2" t="s">
        <v>46586</v>
      </c>
      <c r="K1110" s="2">
        <v>4.3006535999999998E-2</v>
      </c>
      <c r="L1110" s="2" t="s">
        <v>637</v>
      </c>
      <c r="M1110" s="4" t="s">
        <v>46587</v>
      </c>
    </row>
    <row r="1111" spans="1:13">
      <c r="A1111" s="2">
        <v>474</v>
      </c>
      <c r="B1111" s="2" t="s">
        <v>7441</v>
      </c>
      <c r="C1111" s="2">
        <v>3</v>
      </c>
      <c r="D1111" s="2">
        <v>291</v>
      </c>
      <c r="E1111" s="2">
        <v>36</v>
      </c>
      <c r="F1111" s="2">
        <v>32441</v>
      </c>
      <c r="G1111" s="2">
        <v>9.2900916379999998</v>
      </c>
      <c r="H1111" s="2">
        <v>5.0171840000000001E-3</v>
      </c>
      <c r="I1111" s="2" t="s">
        <v>46533</v>
      </c>
      <c r="J1111" s="2" t="s">
        <v>46534</v>
      </c>
      <c r="K1111" s="2">
        <v>4.5795146000000002E-2</v>
      </c>
      <c r="L1111" s="2" t="s">
        <v>637</v>
      </c>
      <c r="M1111" s="4" t="s">
        <v>7444</v>
      </c>
    </row>
    <row r="1112" spans="1:13">
      <c r="A1112" s="2">
        <v>4445</v>
      </c>
      <c r="B1112" s="2" t="s">
        <v>42939</v>
      </c>
      <c r="C1112" s="2">
        <v>75</v>
      </c>
      <c r="D1112" s="2">
        <v>291</v>
      </c>
      <c r="E1112" s="2">
        <v>426</v>
      </c>
      <c r="F1112" s="2">
        <v>32441</v>
      </c>
      <c r="G1112" s="2">
        <v>19.62695416</v>
      </c>
      <c r="H1112" s="3">
        <v>9.9300000000000002E-70</v>
      </c>
      <c r="I1112" s="3" t="s">
        <v>46588</v>
      </c>
      <c r="J1112" s="3" t="s">
        <v>46589</v>
      </c>
      <c r="K1112" s="3">
        <v>5.8799999999999997E-66</v>
      </c>
      <c r="L1112" s="2" t="s">
        <v>848</v>
      </c>
      <c r="M1112" s="4" t="s">
        <v>42940</v>
      </c>
    </row>
    <row r="1113" spans="1:13">
      <c r="A1113" s="2">
        <v>4680</v>
      </c>
      <c r="B1113" s="2" t="s">
        <v>42883</v>
      </c>
      <c r="C1113" s="2">
        <v>63</v>
      </c>
      <c r="D1113" s="2">
        <v>291</v>
      </c>
      <c r="E1113" s="2">
        <v>356</v>
      </c>
      <c r="F1113" s="2">
        <v>32441</v>
      </c>
      <c r="G1113" s="2">
        <v>19.728396849999999</v>
      </c>
      <c r="H1113" s="3">
        <v>2.27E-58</v>
      </c>
      <c r="I1113" s="3" t="s">
        <v>46590</v>
      </c>
      <c r="J1113" s="3" t="s">
        <v>46591</v>
      </c>
      <c r="K1113" s="3">
        <v>6.7200000000000002E-55</v>
      </c>
      <c r="L1113" s="2" t="s">
        <v>848</v>
      </c>
      <c r="M1113" s="4" t="s">
        <v>42886</v>
      </c>
    </row>
    <row r="1114" spans="1:13">
      <c r="A1114" s="2">
        <v>4403</v>
      </c>
      <c r="B1114" s="2" t="s">
        <v>43214</v>
      </c>
      <c r="C1114" s="2">
        <v>56</v>
      </c>
      <c r="D1114" s="2">
        <v>291</v>
      </c>
      <c r="E1114" s="2">
        <v>304</v>
      </c>
      <c r="F1114" s="2">
        <v>32441</v>
      </c>
      <c r="G1114" s="2">
        <v>20.53599204</v>
      </c>
      <c r="H1114" s="3">
        <v>1.26E-52</v>
      </c>
      <c r="I1114" s="3" t="s">
        <v>46592</v>
      </c>
      <c r="J1114" s="3" t="s">
        <v>46593</v>
      </c>
      <c r="K1114" s="3">
        <v>2.4800000000000002E-49</v>
      </c>
      <c r="L1114" s="2" t="s">
        <v>848</v>
      </c>
      <c r="M1114" s="4" t="s">
        <v>43217</v>
      </c>
    </row>
    <row r="1115" spans="1:13">
      <c r="A1115" s="2">
        <v>41591</v>
      </c>
      <c r="B1115" s="2" t="s">
        <v>7603</v>
      </c>
      <c r="C1115" s="2">
        <v>72</v>
      </c>
      <c r="D1115" s="2">
        <v>291</v>
      </c>
      <c r="E1115" s="2">
        <v>1032</v>
      </c>
      <c r="F1115" s="2">
        <v>32441</v>
      </c>
      <c r="G1115" s="2">
        <v>7.7777511390000003</v>
      </c>
      <c r="H1115" s="3">
        <v>2.78E-41</v>
      </c>
      <c r="I1115" s="3" t="s">
        <v>46594</v>
      </c>
      <c r="J1115" s="3" t="s">
        <v>46595</v>
      </c>
      <c r="K1115" s="3">
        <v>4.11E-38</v>
      </c>
      <c r="L1115" s="2" t="s">
        <v>848</v>
      </c>
      <c r="M1115" s="4" t="s">
        <v>7606</v>
      </c>
    </row>
    <row r="1116" spans="1:13">
      <c r="A1116" s="2">
        <v>47131</v>
      </c>
      <c r="B1116" s="2" t="s">
        <v>46596</v>
      </c>
      <c r="C1116" s="2">
        <v>31</v>
      </c>
      <c r="D1116" s="2">
        <v>291</v>
      </c>
      <c r="E1116" s="2">
        <v>125</v>
      </c>
      <c r="F1116" s="2">
        <v>32441</v>
      </c>
      <c r="G1116" s="2">
        <v>27.647312710000001</v>
      </c>
      <c r="H1116" s="3">
        <v>9.2600000000000007E-33</v>
      </c>
      <c r="I1116" s="2" t="s">
        <v>46597</v>
      </c>
      <c r="J1116" s="2" t="s">
        <v>46598</v>
      </c>
      <c r="K1116" s="3">
        <v>1.1E-29</v>
      </c>
      <c r="L1116" s="2" t="s">
        <v>848</v>
      </c>
      <c r="M1116" s="4" t="s">
        <v>46599</v>
      </c>
    </row>
    <row r="1117" spans="1:13">
      <c r="A1117" s="2">
        <v>4766</v>
      </c>
      <c r="B1117" s="2" t="s">
        <v>8579</v>
      </c>
      <c r="C1117" s="2">
        <v>70</v>
      </c>
      <c r="D1117" s="2">
        <v>291</v>
      </c>
      <c r="E1117" s="2">
        <v>1376</v>
      </c>
      <c r="F1117" s="2">
        <v>32441</v>
      </c>
      <c r="G1117" s="2">
        <v>5.671276872</v>
      </c>
      <c r="H1117" s="3">
        <v>6.9199999999999999E-32</v>
      </c>
      <c r="I1117" s="3" t="s">
        <v>46600</v>
      </c>
      <c r="J1117" s="3" t="s">
        <v>46601</v>
      </c>
      <c r="K1117" s="3">
        <v>6.8299999999999997E-29</v>
      </c>
      <c r="L1117" s="2" t="s">
        <v>848</v>
      </c>
      <c r="M1117" s="4" t="s">
        <v>8582</v>
      </c>
    </row>
    <row r="1118" spans="1:13">
      <c r="A1118" s="2">
        <v>4102</v>
      </c>
      <c r="B1118" s="2" t="s">
        <v>29066</v>
      </c>
      <c r="C1118" s="2">
        <v>48</v>
      </c>
      <c r="D1118" s="2">
        <v>291</v>
      </c>
      <c r="E1118" s="2">
        <v>788</v>
      </c>
      <c r="F1118" s="2">
        <v>32441</v>
      </c>
      <c r="G1118" s="2">
        <v>6.7907268829999996</v>
      </c>
      <c r="H1118" s="3">
        <v>6.7000000000000003E-25</v>
      </c>
      <c r="I1118" s="2" t="s">
        <v>46602</v>
      </c>
      <c r="J1118" s="2" t="s">
        <v>46603</v>
      </c>
      <c r="K1118" s="3">
        <v>5.6599999999999999E-22</v>
      </c>
      <c r="L1118" s="2" t="s">
        <v>848</v>
      </c>
      <c r="M1118" s="4" t="s">
        <v>29069</v>
      </c>
    </row>
    <row r="1119" spans="1:13">
      <c r="A1119" s="2">
        <v>7101</v>
      </c>
      <c r="B1119" s="2" t="s">
        <v>46604</v>
      </c>
      <c r="C1119" s="2">
        <v>22</v>
      </c>
      <c r="D1119" s="2">
        <v>291</v>
      </c>
      <c r="E1119" s="2">
        <v>79</v>
      </c>
      <c r="F1119" s="2">
        <v>32441</v>
      </c>
      <c r="G1119" s="2">
        <v>31.045369520000001</v>
      </c>
      <c r="H1119" s="3">
        <v>1.68E-24</v>
      </c>
      <c r="I1119" s="2" t="s">
        <v>46605</v>
      </c>
      <c r="J1119" s="2" t="s">
        <v>46606</v>
      </c>
      <c r="K1119" s="3">
        <v>1.2499999999999999E-21</v>
      </c>
      <c r="L1119" s="2" t="s">
        <v>848</v>
      </c>
      <c r="M1119" s="4" t="s">
        <v>46607</v>
      </c>
    </row>
    <row r="1120" spans="1:13">
      <c r="A1120" s="2">
        <v>5215</v>
      </c>
      <c r="B1120" s="2" t="s">
        <v>46608</v>
      </c>
      <c r="C1120" s="2">
        <v>21</v>
      </c>
      <c r="D1120" s="2">
        <v>291</v>
      </c>
      <c r="E1120" s="2">
        <v>76</v>
      </c>
      <c r="F1120" s="2">
        <v>32441</v>
      </c>
      <c r="G1120" s="2">
        <v>30.803988059999998</v>
      </c>
      <c r="H1120" s="3">
        <v>2.22E-23</v>
      </c>
      <c r="I1120" s="2" t="s">
        <v>46609</v>
      </c>
      <c r="J1120" s="2" t="s">
        <v>46610</v>
      </c>
      <c r="K1120" s="3">
        <v>1.46E-20</v>
      </c>
      <c r="L1120" s="2" t="s">
        <v>848</v>
      </c>
      <c r="M1120" s="4" t="s">
        <v>46611</v>
      </c>
    </row>
    <row r="1121" spans="1:13">
      <c r="A1121" s="2">
        <v>2293</v>
      </c>
      <c r="B1121" s="2" t="s">
        <v>46612</v>
      </c>
      <c r="C1121" s="2">
        <v>22</v>
      </c>
      <c r="D1121" s="2">
        <v>291</v>
      </c>
      <c r="E1121" s="2">
        <v>93</v>
      </c>
      <c r="F1121" s="2">
        <v>32441</v>
      </c>
      <c r="G1121" s="2">
        <v>26.371873040000001</v>
      </c>
      <c r="H1121" s="3">
        <v>3.6199999999999999E-23</v>
      </c>
      <c r="I1121" s="2" t="s">
        <v>46605</v>
      </c>
      <c r="J1121" s="2" t="s">
        <v>46606</v>
      </c>
      <c r="K1121" s="3">
        <v>2.14E-20</v>
      </c>
      <c r="L1121" s="2" t="s">
        <v>848</v>
      </c>
      <c r="M1121" s="4" t="s">
        <v>46613</v>
      </c>
    </row>
    <row r="1122" spans="1:13">
      <c r="A1122" s="2">
        <v>3518</v>
      </c>
      <c r="B1122" s="2" t="s">
        <v>8079</v>
      </c>
      <c r="C1122" s="2">
        <v>45</v>
      </c>
      <c r="D1122" s="2">
        <v>291</v>
      </c>
      <c r="E1122" s="2">
        <v>771</v>
      </c>
      <c r="F1122" s="2">
        <v>32441</v>
      </c>
      <c r="G1122" s="2">
        <v>6.5066789680000001</v>
      </c>
      <c r="H1122" s="3">
        <v>1.17E-22</v>
      </c>
      <c r="I1122" s="2" t="s">
        <v>46614</v>
      </c>
      <c r="J1122" s="2" t="s">
        <v>46615</v>
      </c>
      <c r="K1122" s="3">
        <v>6.2800000000000002E-20</v>
      </c>
      <c r="L1122" s="2" t="s">
        <v>848</v>
      </c>
      <c r="M1122" s="4" t="s">
        <v>8082</v>
      </c>
    </row>
    <row r="1123" spans="1:13">
      <c r="A1123" s="2">
        <v>2588</v>
      </c>
      <c r="B1123" s="2" t="s">
        <v>11199</v>
      </c>
      <c r="C1123" s="2">
        <v>36</v>
      </c>
      <c r="D1123" s="2">
        <v>291</v>
      </c>
      <c r="E1123" s="2">
        <v>469</v>
      </c>
      <c r="F1123" s="2">
        <v>32441</v>
      </c>
      <c r="G1123" s="2">
        <v>8.5571846219999994</v>
      </c>
      <c r="H1123" s="3">
        <v>6.6300000000000002E-22</v>
      </c>
      <c r="I1123" s="2" t="s">
        <v>46616</v>
      </c>
      <c r="J1123" s="2" t="s">
        <v>46617</v>
      </c>
      <c r="K1123" s="3">
        <v>3.2700000000000002E-19</v>
      </c>
      <c r="L1123" s="2" t="s">
        <v>848</v>
      </c>
      <c r="M1123" s="4" t="s">
        <v>11202</v>
      </c>
    </row>
    <row r="1124" spans="1:13">
      <c r="A1124" s="2">
        <v>5197</v>
      </c>
      <c r="B1124" s="2" t="s">
        <v>46618</v>
      </c>
      <c r="C1124" s="2">
        <v>19</v>
      </c>
      <c r="D1124" s="2">
        <v>291</v>
      </c>
      <c r="E1124" s="2">
        <v>65</v>
      </c>
      <c r="F1124" s="2">
        <v>32441</v>
      </c>
      <c r="G1124" s="2">
        <v>32.586782980000002</v>
      </c>
      <c r="H1124" s="3">
        <v>1.1600000000000001E-21</v>
      </c>
      <c r="I1124" s="2" t="s">
        <v>46619</v>
      </c>
      <c r="J1124" s="2" t="s">
        <v>46620</v>
      </c>
      <c r="K1124" s="3">
        <v>4.9199999999999996E-19</v>
      </c>
      <c r="L1124" s="2" t="s">
        <v>848</v>
      </c>
      <c r="M1124" s="4" t="s">
        <v>46621</v>
      </c>
    </row>
    <row r="1125" spans="1:13">
      <c r="A1125" s="2">
        <v>5232</v>
      </c>
      <c r="B1125" s="2" t="s">
        <v>46622</v>
      </c>
      <c r="C1125" s="2">
        <v>42</v>
      </c>
      <c r="D1125" s="2">
        <v>291</v>
      </c>
      <c r="E1125" s="2">
        <v>697</v>
      </c>
      <c r="F1125" s="2">
        <v>32441</v>
      </c>
      <c r="G1125" s="2">
        <v>6.7176559329999996</v>
      </c>
      <c r="H1125" s="3">
        <v>1.13E-21</v>
      </c>
      <c r="I1125" s="2" t="s">
        <v>46623</v>
      </c>
      <c r="J1125" s="2" t="s">
        <v>46624</v>
      </c>
      <c r="K1125" s="3">
        <v>4.9199999999999996E-19</v>
      </c>
      <c r="L1125" s="2" t="s">
        <v>848</v>
      </c>
      <c r="M1125" s="4" t="s">
        <v>46625</v>
      </c>
    </row>
    <row r="1126" spans="1:13">
      <c r="A1126" s="2">
        <v>5013</v>
      </c>
      <c r="B1126" s="2" t="s">
        <v>11306</v>
      </c>
      <c r="C1126" s="2">
        <v>20</v>
      </c>
      <c r="D1126" s="2">
        <v>291</v>
      </c>
      <c r="E1126" s="2">
        <v>88</v>
      </c>
      <c r="F1126" s="2">
        <v>32441</v>
      </c>
      <c r="G1126" s="2">
        <v>25.33661356</v>
      </c>
      <c r="H1126" s="3">
        <v>7.1699999999999994E-21</v>
      </c>
      <c r="I1126" s="2" t="s">
        <v>46626</v>
      </c>
      <c r="J1126" s="2" t="s">
        <v>46627</v>
      </c>
      <c r="K1126" s="3">
        <v>2.83E-18</v>
      </c>
      <c r="L1126" s="2" t="s">
        <v>848</v>
      </c>
      <c r="M1126" s="4" t="s">
        <v>11309</v>
      </c>
    </row>
    <row r="1127" spans="1:13">
      <c r="A1127" s="2">
        <v>2862</v>
      </c>
      <c r="B1127" s="2" t="s">
        <v>46628</v>
      </c>
      <c r="C1127" s="2">
        <v>16</v>
      </c>
      <c r="D1127" s="2">
        <v>291</v>
      </c>
      <c r="E1127" s="2">
        <v>38</v>
      </c>
      <c r="F1127" s="2">
        <v>32441</v>
      </c>
      <c r="G1127" s="2">
        <v>46.939410379999998</v>
      </c>
      <c r="H1127" s="3">
        <v>1.5700000000000001E-20</v>
      </c>
      <c r="I1127" s="2" t="s">
        <v>46629</v>
      </c>
      <c r="J1127" s="2" t="s">
        <v>46630</v>
      </c>
      <c r="K1127" s="3">
        <v>5.4500000000000003E-18</v>
      </c>
      <c r="L1127" s="2" t="s">
        <v>848</v>
      </c>
      <c r="M1127" s="4" t="s">
        <v>46631</v>
      </c>
    </row>
    <row r="1128" spans="1:13">
      <c r="A1128" s="2">
        <v>1947</v>
      </c>
      <c r="B1128" s="2" t="s">
        <v>7915</v>
      </c>
      <c r="C1128" s="2">
        <v>61</v>
      </c>
      <c r="D1128" s="2">
        <v>291</v>
      </c>
      <c r="E1128" s="2">
        <v>1672</v>
      </c>
      <c r="F1128" s="2">
        <v>32441</v>
      </c>
      <c r="G1128" s="2">
        <v>4.0671932289999999</v>
      </c>
      <c r="H1128" s="3">
        <v>1.56E-20</v>
      </c>
      <c r="I1128" s="3" t="s">
        <v>46632</v>
      </c>
      <c r="J1128" s="3" t="s">
        <v>46633</v>
      </c>
      <c r="K1128" s="3">
        <v>5.4500000000000003E-18</v>
      </c>
      <c r="L1128" s="2" t="s">
        <v>848</v>
      </c>
      <c r="M1128" s="4" t="s">
        <v>7918</v>
      </c>
    </row>
    <row r="1129" spans="1:13">
      <c r="A1129" s="2">
        <v>4180</v>
      </c>
      <c r="B1129" s="2" t="s">
        <v>30427</v>
      </c>
      <c r="C1129" s="2">
        <v>57</v>
      </c>
      <c r="D1129" s="2">
        <v>291</v>
      </c>
      <c r="E1129" s="2">
        <v>1518</v>
      </c>
      <c r="F1129" s="2">
        <v>32441</v>
      </c>
      <c r="G1129" s="2">
        <v>4.186049197</v>
      </c>
      <c r="H1129" s="3">
        <v>9.8099999999999995E-20</v>
      </c>
      <c r="I1129" s="3" t="s">
        <v>46634</v>
      </c>
      <c r="J1129" s="3" t="s">
        <v>46635</v>
      </c>
      <c r="K1129" s="3">
        <v>3.2199999999999998E-17</v>
      </c>
      <c r="L1129" s="2" t="s">
        <v>848</v>
      </c>
      <c r="M1129" s="4" t="s">
        <v>30430</v>
      </c>
    </row>
    <row r="1130" spans="1:13">
      <c r="A1130" s="2">
        <v>1997</v>
      </c>
      <c r="B1130" s="2" t="s">
        <v>42773</v>
      </c>
      <c r="C1130" s="2">
        <v>43</v>
      </c>
      <c r="D1130" s="2">
        <v>291</v>
      </c>
      <c r="E1130" s="2">
        <v>841</v>
      </c>
      <c r="F1130" s="2">
        <v>32441</v>
      </c>
      <c r="G1130" s="2">
        <v>5.6999848809999998</v>
      </c>
      <c r="H1130" s="3">
        <v>1.3000000000000001E-19</v>
      </c>
      <c r="I1130" s="2" t="s">
        <v>46636</v>
      </c>
      <c r="J1130" s="2" t="s">
        <v>46637</v>
      </c>
      <c r="K1130" s="3">
        <v>4.0499999999999999E-17</v>
      </c>
      <c r="L1130" s="2" t="s">
        <v>848</v>
      </c>
      <c r="M1130" s="4" t="s">
        <v>42776</v>
      </c>
    </row>
    <row r="1131" spans="1:13">
      <c r="A1131" s="2">
        <v>843</v>
      </c>
      <c r="B1131" s="2" t="s">
        <v>46638</v>
      </c>
      <c r="C1131" s="2">
        <v>33</v>
      </c>
      <c r="D1131" s="2">
        <v>291</v>
      </c>
      <c r="E1131" s="2">
        <v>455</v>
      </c>
      <c r="F1131" s="2">
        <v>32441</v>
      </c>
      <c r="G1131" s="2">
        <v>8.0854423929999992</v>
      </c>
      <c r="H1131" s="3">
        <v>1.8800000000000001E-19</v>
      </c>
      <c r="I1131" s="2" t="s">
        <v>46639</v>
      </c>
      <c r="J1131" s="2" t="s">
        <v>46640</v>
      </c>
      <c r="K1131" s="3">
        <v>5.5600000000000006E-17</v>
      </c>
      <c r="L1131" s="2" t="s">
        <v>848</v>
      </c>
      <c r="M1131" s="4" t="s">
        <v>46641</v>
      </c>
    </row>
    <row r="1132" spans="1:13">
      <c r="A1132" s="2">
        <v>2689</v>
      </c>
      <c r="B1132" s="2" t="s">
        <v>46642</v>
      </c>
      <c r="C1132" s="2">
        <v>25</v>
      </c>
      <c r="D1132" s="2">
        <v>291</v>
      </c>
      <c r="E1132" s="2">
        <v>251</v>
      </c>
      <c r="F1132" s="2">
        <v>32441</v>
      </c>
      <c r="G1132" s="2">
        <v>11.103695180000001</v>
      </c>
      <c r="H1132" s="3">
        <v>5.6699999999999999E-18</v>
      </c>
      <c r="I1132" s="2" t="s">
        <v>46643</v>
      </c>
      <c r="J1132" s="2" t="s">
        <v>46644</v>
      </c>
      <c r="K1132" s="3">
        <v>1.6E-15</v>
      </c>
      <c r="L1132" s="2" t="s">
        <v>848</v>
      </c>
      <c r="M1132" s="4" t="s">
        <v>46645</v>
      </c>
    </row>
    <row r="1133" spans="1:13">
      <c r="A1133" s="2">
        <v>4693</v>
      </c>
      <c r="B1133" s="2" t="s">
        <v>46646</v>
      </c>
      <c r="C1133" s="2">
        <v>23</v>
      </c>
      <c r="D1133" s="2">
        <v>291</v>
      </c>
      <c r="E1133" s="2">
        <v>201</v>
      </c>
      <c r="F1133" s="2">
        <v>32441</v>
      </c>
      <c r="G1133" s="2">
        <v>12.75654374</v>
      </c>
      <c r="H1133" s="3">
        <v>7.7099999999999998E-18</v>
      </c>
      <c r="I1133" s="2" t="s">
        <v>46647</v>
      </c>
      <c r="J1133" s="2" t="s">
        <v>46648</v>
      </c>
      <c r="K1133" s="3">
        <v>2.0700000000000001E-15</v>
      </c>
      <c r="L1133" s="2" t="s">
        <v>848</v>
      </c>
      <c r="M1133" s="4" t="s">
        <v>46649</v>
      </c>
    </row>
    <row r="1134" spans="1:13">
      <c r="A1134" s="2">
        <v>5293</v>
      </c>
      <c r="B1134" s="2" t="s">
        <v>9707</v>
      </c>
      <c r="C1134" s="2">
        <v>23</v>
      </c>
      <c r="D1134" s="2">
        <v>291</v>
      </c>
      <c r="E1134" s="2">
        <v>205</v>
      </c>
      <c r="F1134" s="2">
        <v>32441</v>
      </c>
      <c r="G1134" s="2">
        <v>12.50763557</v>
      </c>
      <c r="H1134" s="3">
        <v>1.15E-17</v>
      </c>
      <c r="I1134" s="2" t="s">
        <v>46650</v>
      </c>
      <c r="J1134" s="2" t="s">
        <v>46651</v>
      </c>
      <c r="K1134" s="3">
        <v>2.9499999999999998E-15</v>
      </c>
      <c r="L1134" s="2" t="s">
        <v>848</v>
      </c>
      <c r="M1134" s="4" t="s">
        <v>9710</v>
      </c>
    </row>
    <row r="1135" spans="1:13">
      <c r="A1135" s="2">
        <v>4659</v>
      </c>
      <c r="B1135" s="2" t="s">
        <v>46652</v>
      </c>
      <c r="C1135" s="2">
        <v>17</v>
      </c>
      <c r="D1135" s="2">
        <v>291</v>
      </c>
      <c r="E1135" s="2">
        <v>93</v>
      </c>
      <c r="F1135" s="2">
        <v>32441</v>
      </c>
      <c r="G1135" s="2">
        <v>20.37826553</v>
      </c>
      <c r="H1135" s="3">
        <v>1.56E-16</v>
      </c>
      <c r="I1135" s="2" t="s">
        <v>46653</v>
      </c>
      <c r="J1135" s="2" t="s">
        <v>46654</v>
      </c>
      <c r="K1135" s="3">
        <v>3.8399999999999999E-14</v>
      </c>
      <c r="L1135" s="2" t="s">
        <v>848</v>
      </c>
      <c r="M1135" s="4" t="s">
        <v>46655</v>
      </c>
    </row>
    <row r="1136" spans="1:13">
      <c r="A1136" s="2">
        <v>2166</v>
      </c>
      <c r="B1136" s="2" t="s">
        <v>11312</v>
      </c>
      <c r="C1136" s="2">
        <v>27</v>
      </c>
      <c r="D1136" s="2">
        <v>291</v>
      </c>
      <c r="E1136" s="2">
        <v>364</v>
      </c>
      <c r="F1136" s="2">
        <v>32441</v>
      </c>
      <c r="G1136" s="2">
        <v>8.2692024469999996</v>
      </c>
      <c r="H1136" s="3">
        <v>2.5000000000000002E-16</v>
      </c>
      <c r="I1136" s="2" t="s">
        <v>46656</v>
      </c>
      <c r="J1136" s="2" t="s">
        <v>46657</v>
      </c>
      <c r="K1136" s="3">
        <v>5.9200000000000003E-14</v>
      </c>
      <c r="L1136" s="2" t="s">
        <v>848</v>
      </c>
      <c r="M1136" s="4" t="s">
        <v>11315</v>
      </c>
    </row>
    <row r="1137" spans="1:13">
      <c r="A1137" s="2">
        <v>31861</v>
      </c>
      <c r="B1137" s="2" t="s">
        <v>8376</v>
      </c>
      <c r="C1137" s="2">
        <v>49</v>
      </c>
      <c r="D1137" s="2">
        <v>291</v>
      </c>
      <c r="E1137" s="2">
        <v>1360</v>
      </c>
      <c r="F1137" s="2">
        <v>32441</v>
      </c>
      <c r="G1137" s="2">
        <v>4.0165984440000004</v>
      </c>
      <c r="H1137" s="3">
        <v>2.5999999999999998E-16</v>
      </c>
      <c r="I1137" s="3" t="s">
        <v>46658</v>
      </c>
      <c r="J1137" s="3" t="s">
        <v>46659</v>
      </c>
      <c r="K1137" s="3">
        <v>5.9299999999999997E-14</v>
      </c>
      <c r="L1137" s="2" t="s">
        <v>848</v>
      </c>
      <c r="M1137" s="4" t="s">
        <v>8379</v>
      </c>
    </row>
    <row r="1138" spans="1:13">
      <c r="A1138" s="2">
        <v>2172</v>
      </c>
      <c r="B1138" s="2" t="s">
        <v>8083</v>
      </c>
      <c r="C1138" s="2">
        <v>51</v>
      </c>
      <c r="D1138" s="2">
        <v>291</v>
      </c>
      <c r="E1138" s="2">
        <v>1492</v>
      </c>
      <c r="F1138" s="2">
        <v>32441</v>
      </c>
      <c r="G1138" s="2">
        <v>3.8106810200000001</v>
      </c>
      <c r="H1138" s="3">
        <v>4.5800000000000005E-16</v>
      </c>
      <c r="I1138" s="3" t="s">
        <v>46660</v>
      </c>
      <c r="J1138" s="3" t="s">
        <v>46661</v>
      </c>
      <c r="K1138" s="3">
        <v>1E-13</v>
      </c>
      <c r="L1138" s="2" t="s">
        <v>848</v>
      </c>
      <c r="M1138" s="4" t="s">
        <v>8086</v>
      </c>
    </row>
    <row r="1139" spans="1:13">
      <c r="A1139" s="2">
        <v>5488</v>
      </c>
      <c r="B1139" s="2" t="s">
        <v>46662</v>
      </c>
      <c r="C1139" s="2">
        <v>17</v>
      </c>
      <c r="D1139" s="2">
        <v>291</v>
      </c>
      <c r="E1139" s="2">
        <v>105</v>
      </c>
      <c r="F1139" s="2">
        <v>32441</v>
      </c>
      <c r="G1139" s="2">
        <v>18.049320900000001</v>
      </c>
      <c r="H1139" s="3">
        <v>9.4099999999999991E-16</v>
      </c>
      <c r="I1139" s="2" t="s">
        <v>46663</v>
      </c>
      <c r="J1139" s="2" t="s">
        <v>46664</v>
      </c>
      <c r="K1139" s="3">
        <v>1.9900000000000001E-13</v>
      </c>
      <c r="L1139" s="2" t="s">
        <v>848</v>
      </c>
      <c r="M1139" s="4" t="s">
        <v>46665</v>
      </c>
    </row>
    <row r="1140" spans="1:13">
      <c r="A1140" s="2">
        <v>4197</v>
      </c>
      <c r="B1140" s="2" t="s">
        <v>9627</v>
      </c>
      <c r="C1140" s="2">
        <v>45</v>
      </c>
      <c r="D1140" s="2">
        <v>291</v>
      </c>
      <c r="E1140" s="2">
        <v>1192</v>
      </c>
      <c r="F1140" s="2">
        <v>32441</v>
      </c>
      <c r="G1140" s="2">
        <v>4.2085985609999996</v>
      </c>
      <c r="H1140" s="3">
        <v>9.9199999999999995E-16</v>
      </c>
      <c r="I1140" s="2" t="s">
        <v>46666</v>
      </c>
      <c r="J1140" s="2" t="s">
        <v>46667</v>
      </c>
      <c r="K1140" s="3">
        <v>2.02E-13</v>
      </c>
      <c r="L1140" s="2" t="s">
        <v>848</v>
      </c>
      <c r="M1140" s="4" t="s">
        <v>9630</v>
      </c>
    </row>
    <row r="1141" spans="1:13">
      <c r="A1141" s="2">
        <v>451</v>
      </c>
      <c r="B1141" s="2" t="s">
        <v>29609</v>
      </c>
      <c r="C1141" s="2">
        <v>40</v>
      </c>
      <c r="D1141" s="2">
        <v>291</v>
      </c>
      <c r="E1141" s="2">
        <v>957</v>
      </c>
      <c r="F1141" s="2">
        <v>32441</v>
      </c>
      <c r="G1141" s="2">
        <v>4.6596070909999998</v>
      </c>
      <c r="H1141" s="3">
        <v>1.8899999999999999E-15</v>
      </c>
      <c r="I1141" s="2" t="s">
        <v>46668</v>
      </c>
      <c r="J1141" s="2" t="s">
        <v>46669</v>
      </c>
      <c r="K1141" s="3">
        <v>3.7199999999999998E-13</v>
      </c>
      <c r="L1141" s="2" t="s">
        <v>848</v>
      </c>
      <c r="M1141" s="4" t="s">
        <v>29612</v>
      </c>
    </row>
    <row r="1142" spans="1:13">
      <c r="A1142" s="2">
        <v>2339</v>
      </c>
      <c r="B1142" s="2" t="s">
        <v>7727</v>
      </c>
      <c r="C1142" s="2">
        <v>43</v>
      </c>
      <c r="D1142" s="2">
        <v>291</v>
      </c>
      <c r="E1142" s="2">
        <v>1114</v>
      </c>
      <c r="F1142" s="2">
        <v>32441</v>
      </c>
      <c r="G1142" s="2">
        <v>4.3031304180000003</v>
      </c>
      <c r="H1142" s="3">
        <v>2.21E-15</v>
      </c>
      <c r="I1142" s="2" t="s">
        <v>46670</v>
      </c>
      <c r="J1142" s="2" t="s">
        <v>46671</v>
      </c>
      <c r="K1142" s="3">
        <v>4.2100000000000002E-13</v>
      </c>
      <c r="L1142" s="2" t="s">
        <v>848</v>
      </c>
      <c r="M1142" s="4" t="s">
        <v>7730</v>
      </c>
    </row>
    <row r="1143" spans="1:13">
      <c r="A1143" s="2">
        <v>5180</v>
      </c>
      <c r="B1143" s="2" t="s">
        <v>11476</v>
      </c>
      <c r="C1143" s="2">
        <v>19</v>
      </c>
      <c r="D1143" s="2">
        <v>291</v>
      </c>
      <c r="E1143" s="2">
        <v>157</v>
      </c>
      <c r="F1143" s="2">
        <v>32441</v>
      </c>
      <c r="G1143" s="2">
        <v>13.49134327</v>
      </c>
      <c r="H1143" s="3">
        <v>2.3499999999999999E-15</v>
      </c>
      <c r="I1143" s="2" t="s">
        <v>46672</v>
      </c>
      <c r="J1143" s="2" t="s">
        <v>46673</v>
      </c>
      <c r="K1143" s="3">
        <v>4.3500000000000001E-13</v>
      </c>
      <c r="L1143" s="2" t="s">
        <v>848</v>
      </c>
      <c r="M1143" s="4" t="s">
        <v>11479</v>
      </c>
    </row>
    <row r="1144" spans="1:13">
      <c r="A1144" s="2">
        <v>5843</v>
      </c>
      <c r="B1144" s="2" t="s">
        <v>9512</v>
      </c>
      <c r="C1144" s="2">
        <v>20</v>
      </c>
      <c r="D1144" s="2">
        <v>291</v>
      </c>
      <c r="E1144" s="2">
        <v>186</v>
      </c>
      <c r="F1144" s="2">
        <v>32441</v>
      </c>
      <c r="G1144" s="2">
        <v>11.987215020000001</v>
      </c>
      <c r="H1144" s="3">
        <v>3.3699999999999999E-15</v>
      </c>
      <c r="I1144" s="2" t="s">
        <v>46674</v>
      </c>
      <c r="J1144" s="2" t="s">
        <v>46675</v>
      </c>
      <c r="K1144" s="3">
        <v>6.0399999999999995E-13</v>
      </c>
      <c r="L1144" s="2" t="s">
        <v>848</v>
      </c>
      <c r="M1144" s="4" t="s">
        <v>9515</v>
      </c>
    </row>
    <row r="1145" spans="1:13">
      <c r="A1145" s="2">
        <v>2499</v>
      </c>
      <c r="B1145" s="2" t="s">
        <v>29717</v>
      </c>
      <c r="C1145" s="2">
        <v>48</v>
      </c>
      <c r="D1145" s="2">
        <v>291</v>
      </c>
      <c r="E1145" s="2">
        <v>1402</v>
      </c>
      <c r="F1145" s="2">
        <v>32441</v>
      </c>
      <c r="G1145" s="2">
        <v>3.8167566220000002</v>
      </c>
      <c r="H1145" s="3">
        <v>3.5900000000000004E-15</v>
      </c>
      <c r="I1145" s="3" t="s">
        <v>46676</v>
      </c>
      <c r="J1145" s="3" t="s">
        <v>46677</v>
      </c>
      <c r="K1145" s="3">
        <v>6.2399999999999997E-13</v>
      </c>
      <c r="L1145" s="2" t="s">
        <v>848</v>
      </c>
      <c r="M1145" s="4" t="s">
        <v>29720</v>
      </c>
    </row>
    <row r="1146" spans="1:13">
      <c r="A1146" s="2">
        <v>4665</v>
      </c>
      <c r="B1146" s="2" t="s">
        <v>46678</v>
      </c>
      <c r="C1146" s="2">
        <v>11</v>
      </c>
      <c r="D1146" s="2">
        <v>291</v>
      </c>
      <c r="E1146" s="2">
        <v>23</v>
      </c>
      <c r="F1146" s="2">
        <v>32441</v>
      </c>
      <c r="G1146" s="2">
        <v>53.31704766</v>
      </c>
      <c r="H1146" s="3">
        <v>5.4199999999999997E-15</v>
      </c>
      <c r="I1146" s="2" t="s">
        <v>46679</v>
      </c>
      <c r="J1146" s="2" t="s">
        <v>46680</v>
      </c>
      <c r="K1146" s="3">
        <v>9.1599999999999993E-13</v>
      </c>
      <c r="L1146" s="2" t="s">
        <v>848</v>
      </c>
      <c r="M1146" s="4" t="s">
        <v>46681</v>
      </c>
    </row>
    <row r="1147" spans="1:13">
      <c r="A1147" s="2">
        <v>5844</v>
      </c>
      <c r="B1147" s="2" t="s">
        <v>7835</v>
      </c>
      <c r="C1147" s="2">
        <v>49</v>
      </c>
      <c r="D1147" s="2">
        <v>291</v>
      </c>
      <c r="E1147" s="2">
        <v>1476</v>
      </c>
      <c r="F1147" s="2">
        <v>32441</v>
      </c>
      <c r="G1147" s="2">
        <v>3.700930815</v>
      </c>
      <c r="H1147" s="3">
        <v>5.58E-15</v>
      </c>
      <c r="I1147" s="2" t="s">
        <v>46682</v>
      </c>
      <c r="J1147" s="2" t="s">
        <v>46683</v>
      </c>
      <c r="K1147" s="3">
        <v>9.1599999999999993E-13</v>
      </c>
      <c r="L1147" s="2" t="s">
        <v>848</v>
      </c>
      <c r="M1147" s="4" t="s">
        <v>7838</v>
      </c>
    </row>
    <row r="1148" spans="1:13">
      <c r="A1148" s="2">
        <v>2575</v>
      </c>
      <c r="B1148" s="2" t="s">
        <v>7839</v>
      </c>
      <c r="C1148" s="2">
        <v>45</v>
      </c>
      <c r="D1148" s="2">
        <v>291</v>
      </c>
      <c r="E1148" s="2">
        <v>1275</v>
      </c>
      <c r="F1148" s="2">
        <v>32441</v>
      </c>
      <c r="G1148" s="2">
        <v>3.9346270470000002</v>
      </c>
      <c r="H1148" s="3">
        <v>1.0299999999999999E-14</v>
      </c>
      <c r="I1148" s="2" t="s">
        <v>46684</v>
      </c>
      <c r="J1148" s="2" t="s">
        <v>46685</v>
      </c>
      <c r="K1148" s="3">
        <v>1.65E-12</v>
      </c>
      <c r="L1148" s="2" t="s">
        <v>848</v>
      </c>
      <c r="M1148" s="4" t="s">
        <v>7842</v>
      </c>
    </row>
    <row r="1149" spans="1:13">
      <c r="A1149" s="2">
        <v>5377</v>
      </c>
      <c r="B1149" s="2" t="s">
        <v>8312</v>
      </c>
      <c r="C1149" s="2">
        <v>38</v>
      </c>
      <c r="D1149" s="2">
        <v>291</v>
      </c>
      <c r="E1149" s="2">
        <v>935</v>
      </c>
      <c r="F1149" s="2">
        <v>32441</v>
      </c>
      <c r="G1149" s="2">
        <v>4.5307826599999999</v>
      </c>
      <c r="H1149" s="3">
        <v>2.3699999999999999E-14</v>
      </c>
      <c r="I1149" s="2" t="s">
        <v>46686</v>
      </c>
      <c r="J1149" s="2" t="s">
        <v>46687</v>
      </c>
      <c r="K1149" s="3">
        <v>3.6899999999999998E-12</v>
      </c>
      <c r="L1149" s="2" t="s">
        <v>848</v>
      </c>
      <c r="M1149" s="4" t="s">
        <v>8315</v>
      </c>
    </row>
    <row r="1150" spans="1:13">
      <c r="A1150" s="2">
        <v>3444</v>
      </c>
      <c r="B1150" s="2" t="s">
        <v>8286</v>
      </c>
      <c r="C1150" s="2">
        <v>41</v>
      </c>
      <c r="D1150" s="2">
        <v>291</v>
      </c>
      <c r="E1150" s="2">
        <v>1142</v>
      </c>
      <c r="F1150" s="2">
        <v>32441</v>
      </c>
      <c r="G1150" s="2">
        <v>4.0023862399999999</v>
      </c>
      <c r="H1150" s="3">
        <v>1.06E-13</v>
      </c>
      <c r="I1150" s="2" t="s">
        <v>46688</v>
      </c>
      <c r="J1150" s="2" t="s">
        <v>46689</v>
      </c>
      <c r="K1150" s="3">
        <v>1.6100000000000001E-11</v>
      </c>
      <c r="L1150" s="2" t="s">
        <v>848</v>
      </c>
      <c r="M1150" s="4" t="s">
        <v>8289</v>
      </c>
    </row>
    <row r="1151" spans="1:13">
      <c r="A1151" s="2">
        <v>3790</v>
      </c>
      <c r="B1151" s="2" t="s">
        <v>30073</v>
      </c>
      <c r="C1151" s="2">
        <v>46</v>
      </c>
      <c r="D1151" s="2">
        <v>291</v>
      </c>
      <c r="E1151" s="2">
        <v>1426</v>
      </c>
      <c r="F1151" s="2">
        <v>32441</v>
      </c>
      <c r="G1151" s="2">
        <v>3.596164505</v>
      </c>
      <c r="H1151" s="3">
        <v>1.1499999999999999E-13</v>
      </c>
      <c r="I1151" s="2" t="s">
        <v>46690</v>
      </c>
      <c r="J1151" s="2" t="s">
        <v>46691</v>
      </c>
      <c r="K1151" s="3">
        <v>1.6999999999999999E-11</v>
      </c>
      <c r="L1151" s="2" t="s">
        <v>848</v>
      </c>
      <c r="M1151" s="4" t="s">
        <v>30076</v>
      </c>
    </row>
    <row r="1152" spans="1:13">
      <c r="A1152" s="2">
        <v>19981</v>
      </c>
      <c r="B1152" s="2" t="s">
        <v>7767</v>
      </c>
      <c r="C1152" s="2">
        <v>45</v>
      </c>
      <c r="D1152" s="2">
        <v>291</v>
      </c>
      <c r="E1152" s="2">
        <v>1395</v>
      </c>
      <c r="F1152" s="2">
        <v>32441</v>
      </c>
      <c r="G1152" s="2">
        <v>3.596164505</v>
      </c>
      <c r="H1152" s="3">
        <v>2.2E-13</v>
      </c>
      <c r="I1152" s="2" t="s">
        <v>46692</v>
      </c>
      <c r="J1152" s="2" t="s">
        <v>46693</v>
      </c>
      <c r="K1152" s="3">
        <v>3.1800000000000003E-11</v>
      </c>
      <c r="L1152" s="2" t="s">
        <v>848</v>
      </c>
      <c r="M1152" s="4" t="s">
        <v>7770</v>
      </c>
    </row>
    <row r="1153" spans="1:13">
      <c r="A1153" s="2">
        <v>5875</v>
      </c>
      <c r="B1153" s="2" t="s">
        <v>8536</v>
      </c>
      <c r="C1153" s="2">
        <v>45</v>
      </c>
      <c r="D1153" s="2">
        <v>291</v>
      </c>
      <c r="E1153" s="2">
        <v>1399</v>
      </c>
      <c r="F1153" s="2">
        <v>32441</v>
      </c>
      <c r="G1153" s="2">
        <v>3.585882405</v>
      </c>
      <c r="H1153" s="3">
        <v>2.4199999999999998E-13</v>
      </c>
      <c r="I1153" s="2" t="s">
        <v>46694</v>
      </c>
      <c r="J1153" s="2" t="s">
        <v>46695</v>
      </c>
      <c r="K1153" s="3">
        <v>3.4200000000000002E-11</v>
      </c>
      <c r="L1153" s="2" t="s">
        <v>848</v>
      </c>
      <c r="M1153" s="4" t="s">
        <v>8539</v>
      </c>
    </row>
    <row r="1154" spans="1:13">
      <c r="A1154" s="2">
        <v>575</v>
      </c>
      <c r="B1154" s="2" t="s">
        <v>8039</v>
      </c>
      <c r="C1154" s="2">
        <v>25</v>
      </c>
      <c r="D1154" s="2">
        <v>291</v>
      </c>
      <c r="E1154" s="2">
        <v>420</v>
      </c>
      <c r="F1154" s="2">
        <v>32441</v>
      </c>
      <c r="G1154" s="2">
        <v>6.6357797410000003</v>
      </c>
      <c r="H1154" s="3">
        <v>3.5400000000000001E-13</v>
      </c>
      <c r="I1154" s="2" t="s">
        <v>46696</v>
      </c>
      <c r="J1154" s="2" t="s">
        <v>46697</v>
      </c>
      <c r="K1154" s="3">
        <v>4.8699999999999997E-11</v>
      </c>
      <c r="L1154" s="2" t="s">
        <v>848</v>
      </c>
      <c r="M1154" s="4" t="s">
        <v>8042</v>
      </c>
    </row>
    <row r="1155" spans="1:13">
      <c r="A1155" s="2">
        <v>2338</v>
      </c>
      <c r="B1155" s="2" t="s">
        <v>29693</v>
      </c>
      <c r="C1155" s="2">
        <v>28</v>
      </c>
      <c r="D1155" s="2">
        <v>291</v>
      </c>
      <c r="E1155" s="2">
        <v>552</v>
      </c>
      <c r="F1155" s="2">
        <v>32441</v>
      </c>
      <c r="G1155" s="2">
        <v>5.6548383879999999</v>
      </c>
      <c r="H1155" s="3">
        <v>5.22E-13</v>
      </c>
      <c r="I1155" s="2" t="s">
        <v>46698</v>
      </c>
      <c r="J1155" s="2" t="s">
        <v>46699</v>
      </c>
      <c r="K1155" s="3">
        <v>7.0200000000000001E-11</v>
      </c>
      <c r="L1155" s="2" t="s">
        <v>848</v>
      </c>
      <c r="M1155" s="4" t="s">
        <v>29696</v>
      </c>
    </row>
    <row r="1156" spans="1:13">
      <c r="A1156" s="2">
        <v>1241</v>
      </c>
      <c r="B1156" s="2" t="s">
        <v>7799</v>
      </c>
      <c r="C1156" s="2">
        <v>34</v>
      </c>
      <c r="D1156" s="2">
        <v>291</v>
      </c>
      <c r="E1156" s="2">
        <v>835</v>
      </c>
      <c r="F1156" s="2">
        <v>32441</v>
      </c>
      <c r="G1156" s="2">
        <v>4.5393501660000002</v>
      </c>
      <c r="H1156" s="3">
        <v>5.8300000000000004E-13</v>
      </c>
      <c r="I1156" s="2" t="s">
        <v>46700</v>
      </c>
      <c r="J1156" s="2" t="s">
        <v>46701</v>
      </c>
      <c r="K1156" s="3">
        <v>7.5900000000000004E-11</v>
      </c>
      <c r="L1156" s="2" t="s">
        <v>848</v>
      </c>
      <c r="M1156" s="4" t="s">
        <v>7802</v>
      </c>
    </row>
    <row r="1157" spans="1:13">
      <c r="A1157" s="2">
        <v>4663</v>
      </c>
      <c r="B1157" s="2" t="s">
        <v>991</v>
      </c>
      <c r="C1157" s="2">
        <v>40</v>
      </c>
      <c r="D1157" s="2">
        <v>291</v>
      </c>
      <c r="E1157" s="2">
        <v>1151</v>
      </c>
      <c r="F1157" s="2">
        <v>32441</v>
      </c>
      <c r="G1157" s="2">
        <v>3.8742345669999998</v>
      </c>
      <c r="H1157" s="3">
        <v>5.9000000000000001E-13</v>
      </c>
      <c r="I1157" s="2" t="s">
        <v>46702</v>
      </c>
      <c r="J1157" s="2" t="s">
        <v>46703</v>
      </c>
      <c r="K1157" s="3">
        <v>7.5900000000000004E-11</v>
      </c>
      <c r="L1157" s="2" t="s">
        <v>848</v>
      </c>
      <c r="M1157" s="4" t="s">
        <v>9626</v>
      </c>
    </row>
    <row r="1158" spans="1:13">
      <c r="A1158" s="2">
        <v>30401</v>
      </c>
      <c r="B1158" s="2" t="s">
        <v>9222</v>
      </c>
      <c r="C1158" s="2">
        <v>33</v>
      </c>
      <c r="D1158" s="2">
        <v>291</v>
      </c>
      <c r="E1158" s="2">
        <v>801</v>
      </c>
      <c r="F1158" s="2">
        <v>32441</v>
      </c>
      <c r="G1158" s="2">
        <v>4.5928542930000003</v>
      </c>
      <c r="H1158" s="3">
        <v>9.6700000000000002E-13</v>
      </c>
      <c r="I1158" s="2" t="s">
        <v>46704</v>
      </c>
      <c r="J1158" s="2" t="s">
        <v>46705</v>
      </c>
      <c r="K1158" s="3">
        <v>1.2199999999999999E-10</v>
      </c>
      <c r="L1158" s="2" t="s">
        <v>848</v>
      </c>
      <c r="M1158" s="4" t="s">
        <v>9225</v>
      </c>
    </row>
    <row r="1159" spans="1:13">
      <c r="A1159" s="2">
        <v>1341</v>
      </c>
      <c r="B1159" s="2" t="s">
        <v>46706</v>
      </c>
      <c r="C1159" s="2">
        <v>19</v>
      </c>
      <c r="D1159" s="2">
        <v>291</v>
      </c>
      <c r="E1159" s="2">
        <v>229</v>
      </c>
      <c r="F1159" s="2">
        <v>32441</v>
      </c>
      <c r="G1159" s="2">
        <v>9.2495235519999994</v>
      </c>
      <c r="H1159" s="3">
        <v>1.2100000000000001E-12</v>
      </c>
      <c r="I1159" s="2" t="s">
        <v>46707</v>
      </c>
      <c r="J1159" s="2" t="s">
        <v>46708</v>
      </c>
      <c r="K1159" s="3">
        <v>1.5E-10</v>
      </c>
      <c r="L1159" s="2" t="s">
        <v>848</v>
      </c>
      <c r="M1159" s="4" t="s">
        <v>46709</v>
      </c>
    </row>
    <row r="1160" spans="1:13">
      <c r="A1160" s="2">
        <v>1458</v>
      </c>
      <c r="B1160" s="2" t="s">
        <v>46710</v>
      </c>
      <c r="C1160" s="2">
        <v>15</v>
      </c>
      <c r="D1160" s="2">
        <v>291</v>
      </c>
      <c r="E1160" s="2">
        <v>121</v>
      </c>
      <c r="F1160" s="2">
        <v>32441</v>
      </c>
      <c r="G1160" s="2">
        <v>13.81997103</v>
      </c>
      <c r="H1160" s="3">
        <v>1.5799999999999999E-12</v>
      </c>
      <c r="I1160" s="2" t="s">
        <v>46711</v>
      </c>
      <c r="J1160" s="2" t="s">
        <v>46712</v>
      </c>
      <c r="K1160" s="3">
        <v>1.8999999999999999E-10</v>
      </c>
      <c r="L1160" s="2" t="s">
        <v>848</v>
      </c>
      <c r="M1160" s="4" t="s">
        <v>46713</v>
      </c>
    </row>
    <row r="1161" spans="1:13">
      <c r="A1161" s="2">
        <v>5090</v>
      </c>
      <c r="B1161" s="2" t="s">
        <v>11611</v>
      </c>
      <c r="C1161" s="2">
        <v>19</v>
      </c>
      <c r="D1161" s="2">
        <v>291</v>
      </c>
      <c r="E1161" s="2">
        <v>234</v>
      </c>
      <c r="F1161" s="2">
        <v>32441</v>
      </c>
      <c r="G1161" s="2">
        <v>9.0518841600000002</v>
      </c>
      <c r="H1161" s="3">
        <v>1.7300000000000001E-12</v>
      </c>
      <c r="I1161" s="2" t="s">
        <v>46672</v>
      </c>
      <c r="J1161" s="2" t="s">
        <v>46673</v>
      </c>
      <c r="K1161" s="3">
        <v>2.0399999999999999E-10</v>
      </c>
      <c r="L1161" s="2" t="s">
        <v>848</v>
      </c>
      <c r="M1161" s="4" t="s">
        <v>11614</v>
      </c>
    </row>
    <row r="1162" spans="1:13">
      <c r="A1162" s="2">
        <v>2526</v>
      </c>
      <c r="B1162" s="2" t="s">
        <v>43085</v>
      </c>
      <c r="C1162" s="2">
        <v>27</v>
      </c>
      <c r="D1162" s="2">
        <v>291</v>
      </c>
      <c r="E1162" s="2">
        <v>539</v>
      </c>
      <c r="F1162" s="2">
        <v>32441</v>
      </c>
      <c r="G1162" s="2">
        <v>5.5843964579999996</v>
      </c>
      <c r="H1162" s="3">
        <v>1.8300000000000001E-12</v>
      </c>
      <c r="I1162" s="2" t="s">
        <v>46714</v>
      </c>
      <c r="J1162" s="2" t="s">
        <v>46715</v>
      </c>
      <c r="K1162" s="3">
        <v>2.1199999999999999E-10</v>
      </c>
      <c r="L1162" s="2" t="s">
        <v>848</v>
      </c>
      <c r="M1162" s="4" t="s">
        <v>43088</v>
      </c>
    </row>
    <row r="1163" spans="1:13">
      <c r="A1163" s="2">
        <v>5896</v>
      </c>
      <c r="B1163" s="2" t="s">
        <v>43001</v>
      </c>
      <c r="C1163" s="2">
        <v>15</v>
      </c>
      <c r="D1163" s="2">
        <v>291</v>
      </c>
      <c r="E1163" s="2">
        <v>123</v>
      </c>
      <c r="F1163" s="2">
        <v>32441</v>
      </c>
      <c r="G1163" s="2">
        <v>13.595256060000001</v>
      </c>
      <c r="H1163" s="3">
        <v>1.95E-12</v>
      </c>
      <c r="I1163" s="2" t="s">
        <v>46716</v>
      </c>
      <c r="J1163" s="2" t="s">
        <v>46717</v>
      </c>
      <c r="K1163" s="3">
        <v>2.2200000000000001E-10</v>
      </c>
      <c r="L1163" s="2" t="s">
        <v>848</v>
      </c>
      <c r="M1163" s="4" t="s">
        <v>43004</v>
      </c>
    </row>
    <row r="1164" spans="1:13">
      <c r="A1164" s="2">
        <v>3889</v>
      </c>
      <c r="B1164" s="2" t="s">
        <v>7943</v>
      </c>
      <c r="C1164" s="2">
        <v>36</v>
      </c>
      <c r="D1164" s="2">
        <v>291</v>
      </c>
      <c r="E1164" s="2">
        <v>983</v>
      </c>
      <c r="F1164" s="2">
        <v>32441</v>
      </c>
      <c r="G1164" s="2">
        <v>4.0827259280000003</v>
      </c>
      <c r="H1164" s="3">
        <v>2.2400000000000001E-12</v>
      </c>
      <c r="I1164" s="2" t="s">
        <v>46718</v>
      </c>
      <c r="J1164" s="2" t="s">
        <v>46719</v>
      </c>
      <c r="K1164" s="3">
        <v>2.4599999999999998E-10</v>
      </c>
      <c r="L1164" s="2" t="s">
        <v>848</v>
      </c>
      <c r="M1164" s="4" t="s">
        <v>7946</v>
      </c>
    </row>
    <row r="1165" spans="1:13">
      <c r="A1165" s="2">
        <v>4105</v>
      </c>
      <c r="B1165" s="2" t="s">
        <v>7779</v>
      </c>
      <c r="C1165" s="2">
        <v>45</v>
      </c>
      <c r="D1165" s="2">
        <v>291</v>
      </c>
      <c r="E1165" s="2">
        <v>1496</v>
      </c>
      <c r="F1165" s="2">
        <v>32441</v>
      </c>
      <c r="G1165" s="2">
        <v>3.3533753239999999</v>
      </c>
      <c r="H1165" s="3">
        <v>2.2400000000000001E-12</v>
      </c>
      <c r="I1165" s="2" t="s">
        <v>46720</v>
      </c>
      <c r="J1165" s="2" t="s">
        <v>46721</v>
      </c>
      <c r="K1165" s="3">
        <v>2.4599999999999998E-10</v>
      </c>
      <c r="L1165" s="2" t="s">
        <v>848</v>
      </c>
      <c r="M1165" s="4" t="s">
        <v>7782</v>
      </c>
    </row>
    <row r="1166" spans="1:13">
      <c r="A1166" s="2">
        <v>1350</v>
      </c>
      <c r="B1166" s="2" t="s">
        <v>28916</v>
      </c>
      <c r="C1166" s="2">
        <v>34</v>
      </c>
      <c r="D1166" s="2">
        <v>291</v>
      </c>
      <c r="E1166" s="2">
        <v>894</v>
      </c>
      <c r="F1166" s="2">
        <v>32441</v>
      </c>
      <c r="G1166" s="2">
        <v>4.2397733649999996</v>
      </c>
      <c r="H1166" s="3">
        <v>3.5800000000000001E-12</v>
      </c>
      <c r="I1166" s="2" t="s">
        <v>46722</v>
      </c>
      <c r="J1166" s="2" t="s">
        <v>46723</v>
      </c>
      <c r="K1166" s="3">
        <v>3.8500000000000001E-10</v>
      </c>
      <c r="L1166" s="2" t="s">
        <v>848</v>
      </c>
      <c r="M1166" s="4" t="s">
        <v>28919</v>
      </c>
    </row>
    <row r="1167" spans="1:13">
      <c r="A1167" s="2">
        <v>4695</v>
      </c>
      <c r="B1167" s="2" t="s">
        <v>46724</v>
      </c>
      <c r="C1167" s="2">
        <v>8</v>
      </c>
      <c r="D1167" s="2">
        <v>291</v>
      </c>
      <c r="E1167" s="2">
        <v>12</v>
      </c>
      <c r="F1167" s="2">
        <v>32441</v>
      </c>
      <c r="G1167" s="2">
        <v>74.320733099999998</v>
      </c>
      <c r="H1167" s="3">
        <v>4.0700000000000002E-12</v>
      </c>
      <c r="I1167" s="2" t="s">
        <v>46725</v>
      </c>
      <c r="J1167" s="2" t="s">
        <v>46726</v>
      </c>
      <c r="K1167" s="3">
        <v>4.3000000000000001E-10</v>
      </c>
      <c r="L1167" s="2" t="s">
        <v>848</v>
      </c>
      <c r="M1167" s="4" t="s">
        <v>46727</v>
      </c>
    </row>
    <row r="1168" spans="1:13">
      <c r="A1168" s="2">
        <v>2914</v>
      </c>
      <c r="B1168" s="2" t="s">
        <v>30081</v>
      </c>
      <c r="C1168" s="2">
        <v>25</v>
      </c>
      <c r="D1168" s="2">
        <v>291</v>
      </c>
      <c r="E1168" s="2">
        <v>475</v>
      </c>
      <c r="F1168" s="2">
        <v>32441</v>
      </c>
      <c r="G1168" s="2">
        <v>5.8674262979999998</v>
      </c>
      <c r="H1168" s="3">
        <v>4.56E-12</v>
      </c>
      <c r="I1168" s="2" t="s">
        <v>46728</v>
      </c>
      <c r="J1168" s="2" t="s">
        <v>46729</v>
      </c>
      <c r="K1168" s="3">
        <v>4.7300000000000002E-10</v>
      </c>
      <c r="L1168" s="2" t="s">
        <v>848</v>
      </c>
      <c r="M1168" s="4" t="s">
        <v>30084</v>
      </c>
    </row>
    <row r="1169" spans="1:13">
      <c r="A1169" s="2">
        <v>3959</v>
      </c>
      <c r="B1169" s="2" t="s">
        <v>46730</v>
      </c>
      <c r="C1169" s="2">
        <v>35</v>
      </c>
      <c r="D1169" s="2">
        <v>291</v>
      </c>
      <c r="E1169" s="2">
        <v>957</v>
      </c>
      <c r="F1169" s="2">
        <v>32441</v>
      </c>
      <c r="G1169" s="2">
        <v>4.0771562049999996</v>
      </c>
      <c r="H1169" s="3">
        <v>4.8300000000000002E-12</v>
      </c>
      <c r="I1169" s="2" t="s">
        <v>46731</v>
      </c>
      <c r="J1169" s="2" t="s">
        <v>46732</v>
      </c>
      <c r="K1169" s="3">
        <v>4.9299999999999995E-10</v>
      </c>
      <c r="L1169" s="2" t="s">
        <v>848</v>
      </c>
      <c r="M1169" s="4" t="s">
        <v>46733</v>
      </c>
    </row>
    <row r="1170" spans="1:13">
      <c r="A1170" s="2">
        <v>30701</v>
      </c>
      <c r="B1170" s="2" t="s">
        <v>8464</v>
      </c>
      <c r="C1170" s="2">
        <v>36</v>
      </c>
      <c r="D1170" s="2">
        <v>291</v>
      </c>
      <c r="E1170" s="2">
        <v>1021</v>
      </c>
      <c r="F1170" s="2">
        <v>32441</v>
      </c>
      <c r="G1170" s="2">
        <v>3.9307733470000001</v>
      </c>
      <c r="H1170" s="3">
        <v>6.3799999999999999E-12</v>
      </c>
      <c r="I1170" s="2" t="s">
        <v>46734</v>
      </c>
      <c r="J1170" s="2" t="s">
        <v>46735</v>
      </c>
      <c r="K1170" s="3">
        <v>6.3899999999999996E-10</v>
      </c>
      <c r="L1170" s="2" t="s">
        <v>848</v>
      </c>
      <c r="M1170" s="4" t="s">
        <v>8467</v>
      </c>
    </row>
    <row r="1171" spans="1:13">
      <c r="A1171" s="2">
        <v>1196</v>
      </c>
      <c r="B1171" s="2" t="s">
        <v>10078</v>
      </c>
      <c r="C1171" s="2">
        <v>16</v>
      </c>
      <c r="D1171" s="2">
        <v>291</v>
      </c>
      <c r="E1171" s="2">
        <v>164</v>
      </c>
      <c r="F1171" s="2">
        <v>32441</v>
      </c>
      <c r="G1171" s="2">
        <v>10.87620484</v>
      </c>
      <c r="H1171" s="3">
        <v>7.9799999999999995E-12</v>
      </c>
      <c r="I1171" s="2" t="s">
        <v>46736</v>
      </c>
      <c r="J1171" s="2" t="s">
        <v>46737</v>
      </c>
      <c r="K1171" s="3">
        <v>7.8699999999999997E-10</v>
      </c>
      <c r="L1171" s="2" t="s">
        <v>848</v>
      </c>
      <c r="M1171" s="4" t="s">
        <v>10081</v>
      </c>
    </row>
    <row r="1172" spans="1:13">
      <c r="A1172" s="2">
        <v>610</v>
      </c>
      <c r="B1172" s="2" t="s">
        <v>42825</v>
      </c>
      <c r="C1172" s="2">
        <v>26</v>
      </c>
      <c r="D1172" s="2">
        <v>291</v>
      </c>
      <c r="E1172" s="2">
        <v>533</v>
      </c>
      <c r="F1172" s="2">
        <v>32441</v>
      </c>
      <c r="G1172" s="2">
        <v>5.438102422</v>
      </c>
      <c r="H1172" s="3">
        <v>8.4200000000000001E-12</v>
      </c>
      <c r="I1172" s="2" t="s">
        <v>46738</v>
      </c>
      <c r="J1172" s="2" t="s">
        <v>46739</v>
      </c>
      <c r="K1172" s="3">
        <v>8.1699999999999997E-10</v>
      </c>
      <c r="L1172" s="2" t="s">
        <v>848</v>
      </c>
      <c r="M1172" s="4" t="s">
        <v>42828</v>
      </c>
    </row>
    <row r="1173" spans="1:13">
      <c r="A1173" s="2">
        <v>37621</v>
      </c>
      <c r="B1173" s="2" t="s">
        <v>11376</v>
      </c>
      <c r="C1173" s="2">
        <v>20</v>
      </c>
      <c r="D1173" s="2">
        <v>291</v>
      </c>
      <c r="E1173" s="2">
        <v>293</v>
      </c>
      <c r="F1173" s="2">
        <v>32441</v>
      </c>
      <c r="G1173" s="2">
        <v>7.6096313760000003</v>
      </c>
      <c r="H1173" s="3">
        <v>8.6500000000000005E-12</v>
      </c>
      <c r="I1173" s="2" t="s">
        <v>46740</v>
      </c>
      <c r="J1173" s="2" t="s">
        <v>46741</v>
      </c>
      <c r="K1173" s="3">
        <v>8.2500000000000005E-10</v>
      </c>
      <c r="L1173" s="2" t="s">
        <v>848</v>
      </c>
      <c r="M1173" s="4" t="s">
        <v>11379</v>
      </c>
    </row>
    <row r="1174" spans="1:13">
      <c r="A1174" s="2">
        <v>24261</v>
      </c>
      <c r="B1174" s="2" t="s">
        <v>43037</v>
      </c>
      <c r="C1174" s="2">
        <v>25</v>
      </c>
      <c r="D1174" s="2">
        <v>291</v>
      </c>
      <c r="E1174" s="2">
        <v>513</v>
      </c>
      <c r="F1174" s="2">
        <v>32441</v>
      </c>
      <c r="G1174" s="2">
        <v>5.4328021279999996</v>
      </c>
      <c r="H1174" s="3">
        <v>2.2000000000000002E-11</v>
      </c>
      <c r="I1174" s="2" t="s">
        <v>46742</v>
      </c>
      <c r="J1174" s="2" t="s">
        <v>46743</v>
      </c>
      <c r="K1174" s="3">
        <v>2.0700000000000001E-9</v>
      </c>
      <c r="L1174" s="2" t="s">
        <v>848</v>
      </c>
      <c r="M1174" s="4" t="s">
        <v>43040</v>
      </c>
    </row>
    <row r="1175" spans="1:13">
      <c r="A1175" s="2">
        <v>4950</v>
      </c>
      <c r="B1175" s="2" t="s">
        <v>11464</v>
      </c>
      <c r="C1175" s="2">
        <v>45</v>
      </c>
      <c r="D1175" s="2">
        <v>291</v>
      </c>
      <c r="E1175" s="2">
        <v>1631</v>
      </c>
      <c r="F1175" s="2">
        <v>32441</v>
      </c>
      <c r="G1175" s="2">
        <v>3.0758120689999999</v>
      </c>
      <c r="H1175" s="3">
        <v>3.67E-11</v>
      </c>
      <c r="I1175" s="2" t="s">
        <v>46744</v>
      </c>
      <c r="J1175" s="2" t="s">
        <v>46745</v>
      </c>
      <c r="K1175" s="3">
        <v>3.3900000000000001E-9</v>
      </c>
      <c r="L1175" s="2" t="s">
        <v>848</v>
      </c>
      <c r="M1175" s="4" t="s">
        <v>11467</v>
      </c>
    </row>
    <row r="1176" spans="1:13">
      <c r="A1176" s="2">
        <v>1344</v>
      </c>
      <c r="B1176" s="2" t="s">
        <v>9777</v>
      </c>
      <c r="C1176" s="2">
        <v>42</v>
      </c>
      <c r="D1176" s="2">
        <v>291</v>
      </c>
      <c r="E1176" s="2">
        <v>1450</v>
      </c>
      <c r="F1176" s="2">
        <v>32441</v>
      </c>
      <c r="G1176" s="2">
        <v>3.229107714</v>
      </c>
      <c r="H1176" s="3">
        <v>4.1999999999999997E-11</v>
      </c>
      <c r="I1176" s="2" t="s">
        <v>46746</v>
      </c>
      <c r="J1176" s="2" t="s">
        <v>46747</v>
      </c>
      <c r="K1176" s="3">
        <v>3.8199999999999996E-9</v>
      </c>
      <c r="L1176" s="2" t="s">
        <v>848</v>
      </c>
      <c r="M1176" s="4" t="s">
        <v>9780</v>
      </c>
    </row>
    <row r="1177" spans="1:13">
      <c r="A1177" s="2">
        <v>1507</v>
      </c>
      <c r="B1177" s="2" t="s">
        <v>30309</v>
      </c>
      <c r="C1177" s="2">
        <v>15</v>
      </c>
      <c r="D1177" s="2">
        <v>291</v>
      </c>
      <c r="E1177" s="2">
        <v>156</v>
      </c>
      <c r="F1177" s="2">
        <v>32441</v>
      </c>
      <c r="G1177" s="2">
        <v>10.71933651</v>
      </c>
      <c r="H1177" s="3">
        <v>4.38E-11</v>
      </c>
      <c r="I1177" s="2" t="s">
        <v>46748</v>
      </c>
      <c r="J1177" s="2" t="s">
        <v>46749</v>
      </c>
      <c r="K1177" s="3">
        <v>3.8700000000000001E-9</v>
      </c>
      <c r="L1177" s="2" t="s">
        <v>848</v>
      </c>
      <c r="M1177" s="4" t="s">
        <v>30312</v>
      </c>
    </row>
    <row r="1178" spans="1:13">
      <c r="A1178" s="2">
        <v>3686</v>
      </c>
      <c r="B1178" s="2" t="s">
        <v>8508</v>
      </c>
      <c r="C1178" s="2">
        <v>31</v>
      </c>
      <c r="D1178" s="2">
        <v>291</v>
      </c>
      <c r="E1178" s="2">
        <v>823</v>
      </c>
      <c r="F1178" s="2">
        <v>32441</v>
      </c>
      <c r="G1178" s="2">
        <v>4.1991665730000003</v>
      </c>
      <c r="H1178" s="3">
        <v>4.3300000000000002E-11</v>
      </c>
      <c r="I1178" s="2" t="s">
        <v>46750</v>
      </c>
      <c r="J1178" s="2" t="s">
        <v>46751</v>
      </c>
      <c r="K1178" s="3">
        <v>3.8700000000000001E-9</v>
      </c>
      <c r="L1178" s="2" t="s">
        <v>848</v>
      </c>
      <c r="M1178" s="4" t="s">
        <v>8511</v>
      </c>
    </row>
    <row r="1179" spans="1:13">
      <c r="A1179" s="2">
        <v>3299</v>
      </c>
      <c r="B1179" s="2" t="s">
        <v>7639</v>
      </c>
      <c r="C1179" s="2">
        <v>27</v>
      </c>
      <c r="D1179" s="2">
        <v>291</v>
      </c>
      <c r="E1179" s="2">
        <v>629</v>
      </c>
      <c r="F1179" s="2">
        <v>32441</v>
      </c>
      <c r="G1179" s="2">
        <v>4.7853572189999998</v>
      </c>
      <c r="H1179" s="3">
        <v>5.2700000000000003E-11</v>
      </c>
      <c r="I1179" s="2" t="s">
        <v>46752</v>
      </c>
      <c r="J1179" s="2" t="s">
        <v>46753</v>
      </c>
      <c r="K1179" s="3">
        <v>4.5900000000000001E-9</v>
      </c>
      <c r="L1179" s="2" t="s">
        <v>848</v>
      </c>
      <c r="M1179" s="4" t="s">
        <v>7642</v>
      </c>
    </row>
    <row r="1180" spans="1:13">
      <c r="A1180" s="2">
        <v>33301</v>
      </c>
      <c r="B1180" s="2" t="s">
        <v>46754</v>
      </c>
      <c r="C1180" s="2">
        <v>24</v>
      </c>
      <c r="D1180" s="2">
        <v>291</v>
      </c>
      <c r="E1180" s="2">
        <v>493</v>
      </c>
      <c r="F1180" s="2">
        <v>32441</v>
      </c>
      <c r="G1180" s="2">
        <v>5.4270717890000002</v>
      </c>
      <c r="H1180" s="3">
        <v>5.7399999999999997E-11</v>
      </c>
      <c r="I1180" s="2" t="s">
        <v>46755</v>
      </c>
      <c r="J1180" s="2" t="s">
        <v>46756</v>
      </c>
      <c r="K1180" s="3">
        <v>4.9200000000000004E-9</v>
      </c>
      <c r="L1180" s="2" t="s">
        <v>848</v>
      </c>
      <c r="M1180" s="4" t="s">
        <v>46757</v>
      </c>
    </row>
    <row r="1181" spans="1:13">
      <c r="A1181" s="2">
        <v>3005</v>
      </c>
      <c r="B1181" s="2" t="s">
        <v>29703</v>
      </c>
      <c r="C1181" s="2">
        <v>32</v>
      </c>
      <c r="D1181" s="2">
        <v>291</v>
      </c>
      <c r="E1181" s="2">
        <v>900</v>
      </c>
      <c r="F1181" s="2">
        <v>32441</v>
      </c>
      <c r="G1181" s="2">
        <v>3.9637724319999998</v>
      </c>
      <c r="H1181" s="3">
        <v>8.4700000000000002E-11</v>
      </c>
      <c r="I1181" s="2" t="s">
        <v>46758</v>
      </c>
      <c r="J1181" s="2" t="s">
        <v>46759</v>
      </c>
      <c r="K1181" s="3">
        <v>7.1600000000000001E-9</v>
      </c>
      <c r="L1181" s="2" t="s">
        <v>848</v>
      </c>
      <c r="M1181" s="4" t="s">
        <v>29706</v>
      </c>
    </row>
    <row r="1182" spans="1:13">
      <c r="A1182" s="2">
        <v>2321</v>
      </c>
      <c r="B1182" s="2" t="s">
        <v>28847</v>
      </c>
      <c r="C1182" s="2">
        <v>23</v>
      </c>
      <c r="D1182" s="2">
        <v>291</v>
      </c>
      <c r="E1182" s="2">
        <v>466</v>
      </c>
      <c r="F1182" s="2">
        <v>32441</v>
      </c>
      <c r="G1182" s="2">
        <v>5.502286035</v>
      </c>
      <c r="H1182" s="3">
        <v>1.13E-10</v>
      </c>
      <c r="I1182" s="2" t="s">
        <v>46760</v>
      </c>
      <c r="J1182" s="2" t="s">
        <v>46761</v>
      </c>
      <c r="K1182" s="3">
        <v>9.4300000000000007E-9</v>
      </c>
      <c r="L1182" s="2" t="s">
        <v>848</v>
      </c>
      <c r="M1182" s="4" t="s">
        <v>28850</v>
      </c>
    </row>
    <row r="1183" spans="1:13">
      <c r="A1183" s="2">
        <v>5673</v>
      </c>
      <c r="B1183" s="2" t="s">
        <v>46762</v>
      </c>
      <c r="C1183" s="2">
        <v>7</v>
      </c>
      <c r="D1183" s="2">
        <v>291</v>
      </c>
      <c r="E1183" s="2">
        <v>11</v>
      </c>
      <c r="F1183" s="2">
        <v>32441</v>
      </c>
      <c r="G1183" s="2">
        <v>70.942517960000004</v>
      </c>
      <c r="H1183" s="3">
        <v>1.2E-10</v>
      </c>
      <c r="I1183" s="2" t="s">
        <v>46763</v>
      </c>
      <c r="J1183" s="2" t="s">
        <v>46764</v>
      </c>
      <c r="K1183" s="3">
        <v>9.8199999999999996E-9</v>
      </c>
      <c r="L1183" s="2" t="s">
        <v>848</v>
      </c>
      <c r="M1183" s="4" t="s">
        <v>46765</v>
      </c>
    </row>
    <row r="1184" spans="1:13">
      <c r="A1184" s="2">
        <v>16181</v>
      </c>
      <c r="B1184" s="2" t="s">
        <v>46766</v>
      </c>
      <c r="C1184" s="2">
        <v>22</v>
      </c>
      <c r="D1184" s="2">
        <v>291</v>
      </c>
      <c r="E1184" s="2">
        <v>432</v>
      </c>
      <c r="F1184" s="2">
        <v>32441</v>
      </c>
      <c r="G1184" s="2">
        <v>5.6772782230000001</v>
      </c>
      <c r="H1184" s="3">
        <v>1.66E-10</v>
      </c>
      <c r="I1184" s="2" t="s">
        <v>46767</v>
      </c>
      <c r="J1184" s="2" t="s">
        <v>46768</v>
      </c>
      <c r="K1184" s="3">
        <v>1.3399999999999999E-8</v>
      </c>
      <c r="L1184" s="2" t="s">
        <v>848</v>
      </c>
      <c r="M1184" s="4" t="s">
        <v>46769</v>
      </c>
    </row>
    <row r="1185" spans="1:13">
      <c r="A1185" s="2">
        <v>2742</v>
      </c>
      <c r="B1185" s="2" t="s">
        <v>10649</v>
      </c>
      <c r="C1185" s="2">
        <v>15</v>
      </c>
      <c r="D1185" s="2">
        <v>291</v>
      </c>
      <c r="E1185" s="2">
        <v>173</v>
      </c>
      <c r="F1185" s="2">
        <v>32441</v>
      </c>
      <c r="G1185" s="2">
        <v>9.6659913</v>
      </c>
      <c r="H1185" s="3">
        <v>1.6799999999999999E-10</v>
      </c>
      <c r="I1185" s="2" t="s">
        <v>46770</v>
      </c>
      <c r="J1185" s="2" t="s">
        <v>46771</v>
      </c>
      <c r="K1185" s="3">
        <v>1.35E-8</v>
      </c>
      <c r="L1185" s="2" t="s">
        <v>848</v>
      </c>
      <c r="M1185" s="4" t="s">
        <v>10652</v>
      </c>
    </row>
    <row r="1186" spans="1:13">
      <c r="A1186" s="2">
        <v>18081</v>
      </c>
      <c r="B1186" s="2" t="s">
        <v>7775</v>
      </c>
      <c r="C1186" s="2">
        <v>47</v>
      </c>
      <c r="D1186" s="2">
        <v>291</v>
      </c>
      <c r="E1186" s="2">
        <v>1848</v>
      </c>
      <c r="F1186" s="2">
        <v>32441</v>
      </c>
      <c r="G1186" s="2">
        <v>2.8352877080000001</v>
      </c>
      <c r="H1186" s="3">
        <v>1.81E-10</v>
      </c>
      <c r="I1186" s="2" t="s">
        <v>46772</v>
      </c>
      <c r="J1186" s="2" t="s">
        <v>46773</v>
      </c>
      <c r="K1186" s="3">
        <v>1.4300000000000001E-8</v>
      </c>
      <c r="L1186" s="2" t="s">
        <v>848</v>
      </c>
      <c r="M1186" s="4" t="s">
        <v>7778</v>
      </c>
    </row>
    <row r="1187" spans="1:13">
      <c r="A1187" s="2">
        <v>1807</v>
      </c>
      <c r="B1187" s="2" t="s">
        <v>46774</v>
      </c>
      <c r="C1187" s="2">
        <v>16</v>
      </c>
      <c r="D1187" s="2">
        <v>291</v>
      </c>
      <c r="E1187" s="2">
        <v>207</v>
      </c>
      <c r="F1187" s="2">
        <v>32441</v>
      </c>
      <c r="G1187" s="2">
        <v>8.6168965919999998</v>
      </c>
      <c r="H1187" s="3">
        <v>2.0000000000000001E-10</v>
      </c>
      <c r="I1187" s="2" t="s">
        <v>46775</v>
      </c>
      <c r="J1187" s="2" t="s">
        <v>46776</v>
      </c>
      <c r="K1187" s="3">
        <v>1.5600000000000001E-8</v>
      </c>
      <c r="L1187" s="2" t="s">
        <v>848</v>
      </c>
      <c r="M1187" s="4" t="s">
        <v>46777</v>
      </c>
    </row>
    <row r="1188" spans="1:13">
      <c r="A1188" s="2">
        <v>3967</v>
      </c>
      <c r="B1188" s="2" t="s">
        <v>10819</v>
      </c>
      <c r="C1188" s="2">
        <v>30</v>
      </c>
      <c r="D1188" s="2">
        <v>291</v>
      </c>
      <c r="E1188" s="2">
        <v>836</v>
      </c>
      <c r="F1188" s="2">
        <v>32441</v>
      </c>
      <c r="G1188" s="2">
        <v>4.00051793</v>
      </c>
      <c r="H1188" s="3">
        <v>2.7700000000000003E-10</v>
      </c>
      <c r="I1188" s="2" t="s">
        <v>46778</v>
      </c>
      <c r="J1188" s="2" t="s">
        <v>46779</v>
      </c>
      <c r="K1188" s="3">
        <v>2.1299999999999999E-8</v>
      </c>
      <c r="L1188" s="2" t="s">
        <v>848</v>
      </c>
      <c r="M1188" s="4" t="s">
        <v>10822</v>
      </c>
    </row>
    <row r="1189" spans="1:13">
      <c r="A1189" s="2">
        <v>5878</v>
      </c>
      <c r="B1189" s="2" t="s">
        <v>936</v>
      </c>
      <c r="C1189" s="2">
        <v>28</v>
      </c>
      <c r="D1189" s="2">
        <v>291</v>
      </c>
      <c r="E1189" s="2">
        <v>732</v>
      </c>
      <c r="F1189" s="2">
        <v>32441</v>
      </c>
      <c r="G1189" s="2">
        <v>4.2643043580000004</v>
      </c>
      <c r="H1189" s="3">
        <v>2.8599999999999999E-10</v>
      </c>
      <c r="I1189" s="2" t="s">
        <v>46780</v>
      </c>
      <c r="J1189" s="2" t="s">
        <v>46781</v>
      </c>
      <c r="K1189" s="3">
        <v>2.1699999999999999E-8</v>
      </c>
      <c r="L1189" s="2" t="s">
        <v>848</v>
      </c>
      <c r="M1189" s="4" t="s">
        <v>46782</v>
      </c>
    </row>
    <row r="1190" spans="1:13">
      <c r="A1190" s="2">
        <v>1944</v>
      </c>
      <c r="B1190" s="2" t="s">
        <v>46783</v>
      </c>
      <c r="C1190" s="2">
        <v>9</v>
      </c>
      <c r="D1190" s="2">
        <v>291</v>
      </c>
      <c r="E1190" s="2">
        <v>40</v>
      </c>
      <c r="F1190" s="2">
        <v>32441</v>
      </c>
      <c r="G1190" s="2">
        <v>25.083247419999999</v>
      </c>
      <c r="H1190" s="3">
        <v>4.6100000000000001E-10</v>
      </c>
      <c r="I1190" s="2" t="s">
        <v>46784</v>
      </c>
      <c r="J1190" s="2" t="s">
        <v>46785</v>
      </c>
      <c r="K1190" s="3">
        <v>3.4599999999999999E-8</v>
      </c>
      <c r="L1190" s="2" t="s">
        <v>848</v>
      </c>
      <c r="M1190" s="4" t="s">
        <v>46786</v>
      </c>
    </row>
    <row r="1191" spans="1:13">
      <c r="A1191" s="2">
        <v>1295</v>
      </c>
      <c r="B1191" s="2" t="s">
        <v>7695</v>
      </c>
      <c r="C1191" s="2">
        <v>25</v>
      </c>
      <c r="D1191" s="2">
        <v>291</v>
      </c>
      <c r="E1191" s="2">
        <v>608</v>
      </c>
      <c r="F1191" s="2">
        <v>32441</v>
      </c>
      <c r="G1191" s="2">
        <v>4.583926795</v>
      </c>
      <c r="H1191" s="3">
        <v>6.59E-10</v>
      </c>
      <c r="I1191" s="2" t="s">
        <v>46787</v>
      </c>
      <c r="J1191" s="2" t="s">
        <v>46788</v>
      </c>
      <c r="K1191" s="3">
        <v>4.8699999999999999E-8</v>
      </c>
      <c r="L1191" s="2" t="s">
        <v>848</v>
      </c>
      <c r="M1191" s="4" t="s">
        <v>7698</v>
      </c>
    </row>
    <row r="1192" spans="1:13">
      <c r="A1192" s="2">
        <v>406</v>
      </c>
      <c r="B1192" s="2" t="s">
        <v>7599</v>
      </c>
      <c r="C1192" s="2">
        <v>47</v>
      </c>
      <c r="D1192" s="2">
        <v>291</v>
      </c>
      <c r="E1192" s="2">
        <v>1929</v>
      </c>
      <c r="F1192" s="2">
        <v>32441</v>
      </c>
      <c r="G1192" s="2">
        <v>2.7162320809999998</v>
      </c>
      <c r="H1192" s="3">
        <v>7.1100000000000003E-10</v>
      </c>
      <c r="I1192" s="2" t="s">
        <v>46789</v>
      </c>
      <c r="J1192" s="2" t="s">
        <v>46790</v>
      </c>
      <c r="K1192" s="3">
        <v>5.1900000000000002E-8</v>
      </c>
      <c r="L1192" s="2" t="s">
        <v>848</v>
      </c>
      <c r="M1192" s="4" t="s">
        <v>7602</v>
      </c>
    </row>
    <row r="1193" spans="1:13">
      <c r="A1193" s="2">
        <v>3201</v>
      </c>
      <c r="B1193" s="2" t="s">
        <v>46791</v>
      </c>
      <c r="C1193" s="2">
        <v>15</v>
      </c>
      <c r="D1193" s="2">
        <v>291</v>
      </c>
      <c r="E1193" s="2">
        <v>194</v>
      </c>
      <c r="F1193" s="2">
        <v>32441</v>
      </c>
      <c r="G1193" s="2">
        <v>8.6196726540000004</v>
      </c>
      <c r="H1193" s="3">
        <v>7.4000000000000003E-10</v>
      </c>
      <c r="I1193" s="2" t="s">
        <v>46792</v>
      </c>
      <c r="J1193" s="2" t="s">
        <v>46793</v>
      </c>
      <c r="K1193" s="3">
        <v>5.3400000000000002E-8</v>
      </c>
      <c r="L1193" s="2" t="s">
        <v>848</v>
      </c>
      <c r="M1193" s="4" t="s">
        <v>46794</v>
      </c>
    </row>
    <row r="1194" spans="1:13">
      <c r="A1194" s="2">
        <v>5425</v>
      </c>
      <c r="B1194" s="2" t="s">
        <v>8408</v>
      </c>
      <c r="C1194" s="2">
        <v>38</v>
      </c>
      <c r="D1194" s="2">
        <v>291</v>
      </c>
      <c r="E1194" s="2">
        <v>1353</v>
      </c>
      <c r="F1194" s="2">
        <v>32441</v>
      </c>
      <c r="G1194" s="2">
        <v>3.1310286669999998</v>
      </c>
      <c r="H1194" s="3">
        <v>9.0599999999999997E-10</v>
      </c>
      <c r="I1194" s="2" t="s">
        <v>46795</v>
      </c>
      <c r="J1194" s="2" t="s">
        <v>46796</v>
      </c>
      <c r="K1194" s="3">
        <v>6.4599999999999996E-8</v>
      </c>
      <c r="L1194" s="2" t="s">
        <v>848</v>
      </c>
      <c r="M1194" s="4" t="s">
        <v>8411</v>
      </c>
    </row>
    <row r="1195" spans="1:13">
      <c r="A1195" s="2">
        <v>4705</v>
      </c>
      <c r="B1195" s="2" t="s">
        <v>972</v>
      </c>
      <c r="C1195" s="2">
        <v>20</v>
      </c>
      <c r="D1195" s="2">
        <v>291</v>
      </c>
      <c r="E1195" s="2">
        <v>398</v>
      </c>
      <c r="F1195" s="2">
        <v>32441</v>
      </c>
      <c r="G1195" s="2">
        <v>5.6020653090000003</v>
      </c>
      <c r="H1195" s="3">
        <v>1.43E-9</v>
      </c>
      <c r="I1195" s="2" t="s">
        <v>46797</v>
      </c>
      <c r="J1195" s="2" t="s">
        <v>46798</v>
      </c>
      <c r="K1195" s="3">
        <v>1.01E-7</v>
      </c>
      <c r="L1195" s="2" t="s">
        <v>848</v>
      </c>
      <c r="M1195" s="4" t="s">
        <v>11277</v>
      </c>
    </row>
    <row r="1196" spans="1:13">
      <c r="A1196" s="2">
        <v>4826</v>
      </c>
      <c r="B1196" s="2" t="s">
        <v>975</v>
      </c>
      <c r="C1196" s="2">
        <v>22</v>
      </c>
      <c r="D1196" s="2">
        <v>291</v>
      </c>
      <c r="E1196" s="2">
        <v>489</v>
      </c>
      <c r="F1196" s="2">
        <v>32441</v>
      </c>
      <c r="G1196" s="2">
        <v>5.0155095960000002</v>
      </c>
      <c r="H1196" s="3">
        <v>1.51E-9</v>
      </c>
      <c r="I1196" s="2" t="s">
        <v>46799</v>
      </c>
      <c r="J1196" s="2" t="s">
        <v>46800</v>
      </c>
      <c r="K1196" s="3">
        <v>1.05E-7</v>
      </c>
      <c r="L1196" s="2" t="s">
        <v>848</v>
      </c>
      <c r="M1196" s="4" t="s">
        <v>10361</v>
      </c>
    </row>
    <row r="1197" spans="1:13">
      <c r="A1197" s="2">
        <v>2568</v>
      </c>
      <c r="B1197" s="2" t="s">
        <v>42373</v>
      </c>
      <c r="C1197" s="2">
        <v>44</v>
      </c>
      <c r="D1197" s="2">
        <v>291</v>
      </c>
      <c r="E1197" s="2">
        <v>1785</v>
      </c>
      <c r="F1197" s="2">
        <v>32441</v>
      </c>
      <c r="G1197" s="2">
        <v>2.7479934930000001</v>
      </c>
      <c r="H1197" s="3">
        <v>1.9099999999999998E-9</v>
      </c>
      <c r="I1197" s="2" t="s">
        <v>46801</v>
      </c>
      <c r="J1197" s="2" t="s">
        <v>46802</v>
      </c>
      <c r="K1197" s="3">
        <v>1.31E-7</v>
      </c>
      <c r="L1197" s="2" t="s">
        <v>848</v>
      </c>
      <c r="M1197" s="4" t="s">
        <v>42374</v>
      </c>
    </row>
    <row r="1198" spans="1:13">
      <c r="A1198" s="2">
        <v>8131</v>
      </c>
      <c r="B1198" s="2" t="s">
        <v>10262</v>
      </c>
      <c r="C1198" s="2">
        <v>12</v>
      </c>
      <c r="D1198" s="2">
        <v>291</v>
      </c>
      <c r="E1198" s="2">
        <v>119</v>
      </c>
      <c r="F1198" s="2">
        <v>32441</v>
      </c>
      <c r="G1198" s="2">
        <v>11.241791559999999</v>
      </c>
      <c r="H1198" s="3">
        <v>2.4100000000000002E-9</v>
      </c>
      <c r="I1198" s="2" t="s">
        <v>46803</v>
      </c>
      <c r="J1198" s="2" t="s">
        <v>46804</v>
      </c>
      <c r="K1198" s="3">
        <v>1.6400000000000001E-7</v>
      </c>
      <c r="L1198" s="2" t="s">
        <v>848</v>
      </c>
      <c r="M1198" s="4" t="s">
        <v>10265</v>
      </c>
    </row>
    <row r="1199" spans="1:13">
      <c r="A1199" s="2">
        <v>3168</v>
      </c>
      <c r="B1199" s="2" t="s">
        <v>46805</v>
      </c>
      <c r="C1199" s="2">
        <v>9</v>
      </c>
      <c r="D1199" s="2">
        <v>291</v>
      </c>
      <c r="E1199" s="2">
        <v>50</v>
      </c>
      <c r="F1199" s="2">
        <v>32441</v>
      </c>
      <c r="G1199" s="2">
        <v>20.066597940000001</v>
      </c>
      <c r="H1199" s="3">
        <v>2.6099999999999999E-9</v>
      </c>
      <c r="I1199" s="2" t="s">
        <v>46784</v>
      </c>
      <c r="J1199" s="2" t="s">
        <v>46785</v>
      </c>
      <c r="K1199" s="3">
        <v>1.7599999999999999E-7</v>
      </c>
      <c r="L1199" s="2" t="s">
        <v>848</v>
      </c>
      <c r="M1199" s="4" t="s">
        <v>46806</v>
      </c>
    </row>
    <row r="1200" spans="1:13">
      <c r="A1200" s="2">
        <v>1400</v>
      </c>
      <c r="B1200" s="2" t="s">
        <v>7819</v>
      </c>
      <c r="C1200" s="2">
        <v>30</v>
      </c>
      <c r="D1200" s="2">
        <v>291</v>
      </c>
      <c r="E1200" s="2">
        <v>926</v>
      </c>
      <c r="F1200" s="2">
        <v>32441</v>
      </c>
      <c r="G1200" s="2">
        <v>3.6116986930000001</v>
      </c>
      <c r="H1200" s="3">
        <v>2.7799999999999999E-9</v>
      </c>
      <c r="I1200" s="2" t="s">
        <v>46807</v>
      </c>
      <c r="J1200" s="2" t="s">
        <v>46808</v>
      </c>
      <c r="K1200" s="3">
        <v>1.85E-7</v>
      </c>
      <c r="L1200" s="2" t="s">
        <v>848</v>
      </c>
      <c r="M1200" s="4" t="s">
        <v>7822</v>
      </c>
    </row>
    <row r="1201" spans="1:13">
      <c r="A1201" s="2">
        <v>4637</v>
      </c>
      <c r="B1201" s="2" t="s">
        <v>46809</v>
      </c>
      <c r="C1201" s="2">
        <v>34</v>
      </c>
      <c r="D1201" s="2">
        <v>291</v>
      </c>
      <c r="E1201" s="2">
        <v>1163</v>
      </c>
      <c r="F1201" s="2">
        <v>32441</v>
      </c>
      <c r="G1201" s="2">
        <v>3.2591207120000001</v>
      </c>
      <c r="H1201" s="3">
        <v>2.8699999999999998E-9</v>
      </c>
      <c r="I1201" s="2" t="s">
        <v>46810</v>
      </c>
      <c r="J1201" s="2" t="s">
        <v>46811</v>
      </c>
      <c r="K1201" s="3">
        <v>1.8799999999999999E-7</v>
      </c>
      <c r="L1201" s="2" t="s">
        <v>848</v>
      </c>
      <c r="M1201" s="4" t="s">
        <v>46812</v>
      </c>
    </row>
    <row r="1202" spans="1:13">
      <c r="A1202" s="2">
        <v>5228</v>
      </c>
      <c r="B1202" s="2" t="s">
        <v>46813</v>
      </c>
      <c r="C1202" s="2">
        <v>9</v>
      </c>
      <c r="D1202" s="2">
        <v>291</v>
      </c>
      <c r="E1202" s="2">
        <v>51</v>
      </c>
      <c r="F1202" s="2">
        <v>32441</v>
      </c>
      <c r="G1202" s="2">
        <v>19.67313523</v>
      </c>
      <c r="H1202" s="3">
        <v>3.05E-9</v>
      </c>
      <c r="I1202" s="2" t="s">
        <v>46814</v>
      </c>
      <c r="J1202" s="2" t="s">
        <v>46815</v>
      </c>
      <c r="K1202" s="3">
        <v>1.98E-7</v>
      </c>
      <c r="L1202" s="2" t="s">
        <v>848</v>
      </c>
      <c r="M1202" s="4" t="s">
        <v>46816</v>
      </c>
    </row>
    <row r="1203" spans="1:13">
      <c r="A1203" s="2">
        <v>34001</v>
      </c>
      <c r="B1203" s="2" t="s">
        <v>30089</v>
      </c>
      <c r="C1203" s="2">
        <v>29</v>
      </c>
      <c r="D1203" s="2">
        <v>291</v>
      </c>
      <c r="E1203" s="2">
        <v>874</v>
      </c>
      <c r="F1203" s="2">
        <v>32441</v>
      </c>
      <c r="G1203" s="2">
        <v>3.6990296219999999</v>
      </c>
      <c r="H1203" s="3">
        <v>3.1099999999999998E-9</v>
      </c>
      <c r="I1203" s="2" t="s">
        <v>46817</v>
      </c>
      <c r="J1203" s="2" t="s">
        <v>46818</v>
      </c>
      <c r="K1203" s="3">
        <v>1.9999999999999999E-7</v>
      </c>
      <c r="L1203" s="2" t="s">
        <v>848</v>
      </c>
      <c r="M1203" s="4" t="s">
        <v>30092</v>
      </c>
    </row>
    <row r="1204" spans="1:13">
      <c r="A1204" s="2">
        <v>3073</v>
      </c>
      <c r="B1204" s="2" t="s">
        <v>46819</v>
      </c>
      <c r="C1204" s="2">
        <v>10</v>
      </c>
      <c r="D1204" s="2">
        <v>291</v>
      </c>
      <c r="E1204" s="2">
        <v>76</v>
      </c>
      <c r="F1204" s="2">
        <v>32441</v>
      </c>
      <c r="G1204" s="2">
        <v>14.66856574</v>
      </c>
      <c r="H1204" s="3">
        <v>5.1600000000000004E-9</v>
      </c>
      <c r="I1204" s="2" t="s">
        <v>46820</v>
      </c>
      <c r="J1204" s="2" t="s">
        <v>46821</v>
      </c>
      <c r="K1204" s="3">
        <v>3.2800000000000003E-7</v>
      </c>
      <c r="L1204" s="2" t="s">
        <v>848</v>
      </c>
      <c r="M1204" s="4" t="s">
        <v>46822</v>
      </c>
    </row>
    <row r="1205" spans="1:13">
      <c r="A1205" s="2">
        <v>4442</v>
      </c>
      <c r="B1205" s="2" t="s">
        <v>7911</v>
      </c>
      <c r="C1205" s="2">
        <v>39</v>
      </c>
      <c r="D1205" s="2">
        <v>291</v>
      </c>
      <c r="E1205" s="2">
        <v>1532</v>
      </c>
      <c r="F1205" s="2">
        <v>32441</v>
      </c>
      <c r="G1205" s="2">
        <v>2.8379653309999999</v>
      </c>
      <c r="H1205" s="3">
        <v>7.61E-9</v>
      </c>
      <c r="I1205" s="2" t="s">
        <v>46823</v>
      </c>
      <c r="J1205" s="2" t="s">
        <v>46824</v>
      </c>
      <c r="K1205" s="3">
        <v>4.7899999999999999E-7</v>
      </c>
      <c r="L1205" s="2" t="s">
        <v>848</v>
      </c>
      <c r="M1205" s="4" t="s">
        <v>7914</v>
      </c>
    </row>
    <row r="1206" spans="1:13">
      <c r="A1206" s="2">
        <v>4414</v>
      </c>
      <c r="B1206" s="2" t="s">
        <v>8123</v>
      </c>
      <c r="C1206" s="2">
        <v>24</v>
      </c>
      <c r="D1206" s="2">
        <v>291</v>
      </c>
      <c r="E1206" s="2">
        <v>643</v>
      </c>
      <c r="F1206" s="2">
        <v>32441</v>
      </c>
      <c r="G1206" s="2">
        <v>4.1610363789999996</v>
      </c>
      <c r="H1206" s="3">
        <v>8.9399999999999993E-9</v>
      </c>
      <c r="I1206" s="2" t="s">
        <v>46825</v>
      </c>
      <c r="J1206" s="2" t="s">
        <v>46826</v>
      </c>
      <c r="K1206" s="3">
        <v>5.5700000000000002E-7</v>
      </c>
      <c r="L1206" s="2" t="s">
        <v>848</v>
      </c>
      <c r="M1206" s="4" t="s">
        <v>8126</v>
      </c>
    </row>
    <row r="1207" spans="1:13">
      <c r="A1207" s="2">
        <v>4373</v>
      </c>
      <c r="B1207" s="2" t="s">
        <v>9675</v>
      </c>
      <c r="C1207" s="2">
        <v>20</v>
      </c>
      <c r="D1207" s="2">
        <v>291</v>
      </c>
      <c r="E1207" s="2">
        <v>450</v>
      </c>
      <c r="F1207" s="2">
        <v>32441</v>
      </c>
      <c r="G1207" s="2">
        <v>4.9547155399999996</v>
      </c>
      <c r="H1207" s="3">
        <v>1.04E-8</v>
      </c>
      <c r="I1207" s="2" t="s">
        <v>46827</v>
      </c>
      <c r="J1207" s="2" t="s">
        <v>46828</v>
      </c>
      <c r="K1207" s="3">
        <v>6.4199999999999995E-7</v>
      </c>
      <c r="L1207" s="2" t="s">
        <v>848</v>
      </c>
      <c r="M1207" s="4" t="s">
        <v>9678</v>
      </c>
    </row>
    <row r="1208" spans="1:13">
      <c r="A1208" s="2">
        <v>4777</v>
      </c>
      <c r="B1208" s="2" t="s">
        <v>7679</v>
      </c>
      <c r="C1208" s="2">
        <v>26</v>
      </c>
      <c r="D1208" s="2">
        <v>291</v>
      </c>
      <c r="E1208" s="2">
        <v>757</v>
      </c>
      <c r="F1208" s="2">
        <v>32441</v>
      </c>
      <c r="G1208" s="2">
        <v>3.8289413360000002</v>
      </c>
      <c r="H1208" s="3">
        <v>1.0800000000000001E-8</v>
      </c>
      <c r="I1208" s="2" t="s">
        <v>46829</v>
      </c>
      <c r="J1208" s="2" t="s">
        <v>46830</v>
      </c>
      <c r="K1208" s="3">
        <v>6.61E-7</v>
      </c>
      <c r="L1208" s="2" t="s">
        <v>848</v>
      </c>
      <c r="M1208" s="4" t="s">
        <v>7682</v>
      </c>
    </row>
    <row r="1209" spans="1:13">
      <c r="A1209" s="2">
        <v>3973</v>
      </c>
      <c r="B1209" s="2" t="s">
        <v>9600</v>
      </c>
      <c r="C1209" s="2">
        <v>23</v>
      </c>
      <c r="D1209" s="2">
        <v>291</v>
      </c>
      <c r="E1209" s="2">
        <v>609</v>
      </c>
      <c r="F1209" s="2">
        <v>32441</v>
      </c>
      <c r="G1209" s="2">
        <v>4.210287836</v>
      </c>
      <c r="H1209" s="3">
        <v>1.4999999999999999E-8</v>
      </c>
      <c r="I1209" s="2" t="s">
        <v>46831</v>
      </c>
      <c r="J1209" s="2" t="s">
        <v>46832</v>
      </c>
      <c r="K1209" s="3">
        <v>9.0400000000000005E-7</v>
      </c>
      <c r="L1209" s="2" t="s">
        <v>848</v>
      </c>
      <c r="M1209" s="4" t="s">
        <v>9603</v>
      </c>
    </row>
    <row r="1210" spans="1:13">
      <c r="A1210" s="2">
        <v>516</v>
      </c>
      <c r="B1210" s="2" t="s">
        <v>8298</v>
      </c>
      <c r="C1210" s="2">
        <v>22</v>
      </c>
      <c r="D1210" s="2">
        <v>291</v>
      </c>
      <c r="E1210" s="2">
        <v>563</v>
      </c>
      <c r="F1210" s="2">
        <v>32441</v>
      </c>
      <c r="G1210" s="2">
        <v>4.3562774290000004</v>
      </c>
      <c r="H1210" s="3">
        <v>1.74E-8</v>
      </c>
      <c r="I1210" s="2" t="s">
        <v>46833</v>
      </c>
      <c r="J1210" s="2" t="s">
        <v>46834</v>
      </c>
      <c r="K1210" s="3">
        <v>1.04E-6</v>
      </c>
      <c r="L1210" s="2" t="s">
        <v>848</v>
      </c>
      <c r="M1210" s="4" t="s">
        <v>8301</v>
      </c>
    </row>
    <row r="1211" spans="1:13">
      <c r="A1211" s="2">
        <v>3209</v>
      </c>
      <c r="B1211" s="2" t="s">
        <v>29503</v>
      </c>
      <c r="C1211" s="2">
        <v>30</v>
      </c>
      <c r="D1211" s="2">
        <v>291</v>
      </c>
      <c r="E1211" s="2">
        <v>1008</v>
      </c>
      <c r="F1211" s="2">
        <v>32441</v>
      </c>
      <c r="G1211" s="2">
        <v>3.3178898710000002</v>
      </c>
      <c r="H1211" s="3">
        <v>1.7800000000000001E-8</v>
      </c>
      <c r="I1211" s="2" t="s">
        <v>46835</v>
      </c>
      <c r="J1211" s="2" t="s">
        <v>46836</v>
      </c>
      <c r="K1211" s="3">
        <v>1.0499999999999999E-6</v>
      </c>
      <c r="L1211" s="2" t="s">
        <v>848</v>
      </c>
      <c r="M1211" s="4" t="s">
        <v>29506</v>
      </c>
    </row>
    <row r="1212" spans="1:13">
      <c r="A1212" s="2">
        <v>37391</v>
      </c>
      <c r="B1212" s="2" t="s">
        <v>42841</v>
      </c>
      <c r="C1212" s="2">
        <v>11</v>
      </c>
      <c r="D1212" s="2">
        <v>291</v>
      </c>
      <c r="E1212" s="2">
        <v>115</v>
      </c>
      <c r="F1212" s="2">
        <v>32441</v>
      </c>
      <c r="G1212" s="2">
        <v>10.663409529999999</v>
      </c>
      <c r="H1212" s="3">
        <v>1.8699999999999999E-8</v>
      </c>
      <c r="I1212" s="2" t="s">
        <v>46837</v>
      </c>
      <c r="J1212" s="2" t="s">
        <v>46838</v>
      </c>
      <c r="K1212" s="3">
        <v>1.0899999999999999E-6</v>
      </c>
      <c r="L1212" s="2" t="s">
        <v>848</v>
      </c>
      <c r="M1212" s="4" t="s">
        <v>42842</v>
      </c>
    </row>
    <row r="1213" spans="1:13">
      <c r="A1213" s="2">
        <v>1205</v>
      </c>
      <c r="B1213" s="2" t="s">
        <v>8556</v>
      </c>
      <c r="C1213" s="2">
        <v>20</v>
      </c>
      <c r="D1213" s="2">
        <v>291</v>
      </c>
      <c r="E1213" s="2">
        <v>470</v>
      </c>
      <c r="F1213" s="2">
        <v>32441</v>
      </c>
      <c r="G1213" s="2">
        <v>4.7438765810000003</v>
      </c>
      <c r="H1213" s="3">
        <v>2.0800000000000001E-8</v>
      </c>
      <c r="I1213" s="2" t="s">
        <v>46839</v>
      </c>
      <c r="J1213" s="2" t="s">
        <v>46840</v>
      </c>
      <c r="K1213" s="3">
        <v>1.2100000000000001E-6</v>
      </c>
      <c r="L1213" s="2" t="s">
        <v>848</v>
      </c>
      <c r="M1213" s="4" t="s">
        <v>8559</v>
      </c>
    </row>
    <row r="1214" spans="1:13">
      <c r="A1214" s="2">
        <v>2901</v>
      </c>
      <c r="B1214" s="2" t="s">
        <v>46841</v>
      </c>
      <c r="C1214" s="2">
        <v>12</v>
      </c>
      <c r="D1214" s="2">
        <v>291</v>
      </c>
      <c r="E1214" s="2">
        <v>147</v>
      </c>
      <c r="F1214" s="2">
        <v>32441</v>
      </c>
      <c r="G1214" s="2">
        <v>9.1004979309999996</v>
      </c>
      <c r="H1214" s="3">
        <v>2.1699999999999999E-8</v>
      </c>
      <c r="I1214" s="2" t="s">
        <v>46842</v>
      </c>
      <c r="J1214" s="2" t="s">
        <v>46843</v>
      </c>
      <c r="K1214" s="3">
        <v>1.2500000000000001E-6</v>
      </c>
      <c r="L1214" s="2" t="s">
        <v>848</v>
      </c>
      <c r="M1214" s="4" t="s">
        <v>46844</v>
      </c>
    </row>
    <row r="1215" spans="1:13">
      <c r="A1215" s="2">
        <v>5663</v>
      </c>
      <c r="B1215" s="2" t="s">
        <v>9362</v>
      </c>
      <c r="C1215" s="2">
        <v>29</v>
      </c>
      <c r="D1215" s="2">
        <v>291</v>
      </c>
      <c r="E1215" s="2">
        <v>959</v>
      </c>
      <c r="F1215" s="2">
        <v>32441</v>
      </c>
      <c r="G1215" s="2">
        <v>3.3711698540000001</v>
      </c>
      <c r="H1215" s="3">
        <v>2.2399999999999999E-8</v>
      </c>
      <c r="I1215" s="2" t="s">
        <v>46845</v>
      </c>
      <c r="J1215" s="2" t="s">
        <v>46846</v>
      </c>
      <c r="K1215" s="3">
        <v>1.28E-6</v>
      </c>
      <c r="L1215" s="2" t="s">
        <v>848</v>
      </c>
      <c r="M1215" s="4" t="s">
        <v>9365</v>
      </c>
    </row>
    <row r="1216" spans="1:13">
      <c r="A1216" s="2">
        <v>387</v>
      </c>
      <c r="B1216" s="2" t="s">
        <v>30445</v>
      </c>
      <c r="C1216" s="2">
        <v>24</v>
      </c>
      <c r="D1216" s="2">
        <v>291</v>
      </c>
      <c r="E1216" s="2">
        <v>687</v>
      </c>
      <c r="F1216" s="2">
        <v>32441</v>
      </c>
      <c r="G1216" s="2">
        <v>3.8945362330000002</v>
      </c>
      <c r="H1216" s="3">
        <v>2.9999999999999997E-8</v>
      </c>
      <c r="I1216" s="2" t="s">
        <v>46847</v>
      </c>
      <c r="J1216" s="2" t="s">
        <v>46848</v>
      </c>
      <c r="K1216" s="3">
        <v>1.6899999999999999E-6</v>
      </c>
      <c r="L1216" s="2" t="s">
        <v>848</v>
      </c>
      <c r="M1216" s="4" t="s">
        <v>30448</v>
      </c>
    </row>
    <row r="1217" spans="1:13">
      <c r="A1217" s="2">
        <v>4943</v>
      </c>
      <c r="B1217" s="2" t="s">
        <v>46849</v>
      </c>
      <c r="C1217" s="2">
        <v>10</v>
      </c>
      <c r="D1217" s="2">
        <v>291</v>
      </c>
      <c r="E1217" s="2">
        <v>94</v>
      </c>
      <c r="F1217" s="2">
        <v>32441</v>
      </c>
      <c r="G1217" s="2">
        <v>11.85969145</v>
      </c>
      <c r="H1217" s="3">
        <v>3.3099999999999999E-8</v>
      </c>
      <c r="I1217" s="2" t="s">
        <v>46850</v>
      </c>
      <c r="J1217" s="2" t="s">
        <v>46851</v>
      </c>
      <c r="K1217" s="3">
        <v>1.8500000000000001E-6</v>
      </c>
      <c r="L1217" s="2" t="s">
        <v>848</v>
      </c>
      <c r="M1217" s="4" t="s">
        <v>46852</v>
      </c>
    </row>
    <row r="1218" spans="1:13">
      <c r="A1218" s="2">
        <v>6751</v>
      </c>
      <c r="B1218" s="2" t="s">
        <v>10585</v>
      </c>
      <c r="C1218" s="2">
        <v>15</v>
      </c>
      <c r="D1218" s="2">
        <v>291</v>
      </c>
      <c r="E1218" s="2">
        <v>263</v>
      </c>
      <c r="F1218" s="2">
        <v>32441</v>
      </c>
      <c r="G1218" s="2">
        <v>6.3582376229999999</v>
      </c>
      <c r="H1218" s="3">
        <v>3.5199999999999998E-8</v>
      </c>
      <c r="I1218" s="2" t="s">
        <v>46853</v>
      </c>
      <c r="J1218" s="2" t="s">
        <v>46854</v>
      </c>
      <c r="K1218" s="3">
        <v>1.95E-6</v>
      </c>
      <c r="L1218" s="2" t="s">
        <v>848</v>
      </c>
      <c r="M1218" s="4" t="s">
        <v>10588</v>
      </c>
    </row>
    <row r="1219" spans="1:13">
      <c r="A1219" s="2">
        <v>2392</v>
      </c>
      <c r="B1219" s="2" t="s">
        <v>46855</v>
      </c>
      <c r="C1219" s="2">
        <v>9</v>
      </c>
      <c r="D1219" s="2">
        <v>291</v>
      </c>
      <c r="E1219" s="2">
        <v>71</v>
      </c>
      <c r="F1219" s="2">
        <v>32441</v>
      </c>
      <c r="G1219" s="2">
        <v>14.131406999999999</v>
      </c>
      <c r="H1219" s="3">
        <v>4.0900000000000002E-8</v>
      </c>
      <c r="I1219" s="2" t="s">
        <v>46784</v>
      </c>
      <c r="J1219" s="2" t="s">
        <v>46785</v>
      </c>
      <c r="K1219" s="3">
        <v>2.2400000000000002E-6</v>
      </c>
      <c r="L1219" s="2" t="s">
        <v>848</v>
      </c>
      <c r="M1219" s="4" t="s">
        <v>46856</v>
      </c>
    </row>
    <row r="1220" spans="1:13">
      <c r="A1220" s="2">
        <v>3986</v>
      </c>
      <c r="B1220" s="2" t="s">
        <v>963</v>
      </c>
      <c r="C1220" s="2">
        <v>41</v>
      </c>
      <c r="D1220" s="2">
        <v>291</v>
      </c>
      <c r="E1220" s="2">
        <v>1773</v>
      </c>
      <c r="F1220" s="2">
        <v>32441</v>
      </c>
      <c r="G1220" s="2">
        <v>2.5779611309999999</v>
      </c>
      <c r="H1220" s="3">
        <v>4.1299999999999999E-8</v>
      </c>
      <c r="I1220" s="2" t="s">
        <v>46857</v>
      </c>
      <c r="J1220" s="2" t="s">
        <v>46858</v>
      </c>
      <c r="K1220" s="3">
        <v>2.2400000000000002E-6</v>
      </c>
      <c r="L1220" s="2" t="s">
        <v>848</v>
      </c>
      <c r="M1220" s="4" t="s">
        <v>28780</v>
      </c>
    </row>
    <row r="1221" spans="1:13">
      <c r="A1221" s="2">
        <v>4519</v>
      </c>
      <c r="B1221" s="2" t="s">
        <v>46859</v>
      </c>
      <c r="C1221" s="2">
        <v>19</v>
      </c>
      <c r="D1221" s="2">
        <v>291</v>
      </c>
      <c r="E1221" s="2">
        <v>444</v>
      </c>
      <c r="F1221" s="2">
        <v>32441</v>
      </c>
      <c r="G1221" s="2">
        <v>4.7705875979999997</v>
      </c>
      <c r="H1221" s="3">
        <v>4.3399999999999998E-8</v>
      </c>
      <c r="I1221" s="2" t="s">
        <v>46860</v>
      </c>
      <c r="J1221" s="2" t="s">
        <v>46861</v>
      </c>
      <c r="K1221" s="3">
        <v>2.34E-6</v>
      </c>
      <c r="L1221" s="2" t="s">
        <v>848</v>
      </c>
      <c r="M1221" s="4" t="s">
        <v>46862</v>
      </c>
    </row>
    <row r="1222" spans="1:13">
      <c r="A1222" s="2">
        <v>4894</v>
      </c>
      <c r="B1222" s="2" t="s">
        <v>10281</v>
      </c>
      <c r="C1222" s="2">
        <v>41</v>
      </c>
      <c r="D1222" s="2">
        <v>291</v>
      </c>
      <c r="E1222" s="2">
        <v>1786</v>
      </c>
      <c r="F1222" s="2">
        <v>32441</v>
      </c>
      <c r="G1222" s="2">
        <v>2.5591965769999998</v>
      </c>
      <c r="H1222" s="3">
        <v>5.0099999999999999E-8</v>
      </c>
      <c r="I1222" s="2" t="s">
        <v>46863</v>
      </c>
      <c r="J1222" s="2" t="s">
        <v>46864</v>
      </c>
      <c r="K1222" s="3">
        <v>2.6699999999999998E-6</v>
      </c>
      <c r="L1222" s="2" t="s">
        <v>848</v>
      </c>
      <c r="M1222" s="4" t="s">
        <v>10284</v>
      </c>
    </row>
    <row r="1223" spans="1:13">
      <c r="A1223" s="2">
        <v>2547</v>
      </c>
      <c r="B1223" s="2" t="s">
        <v>46865</v>
      </c>
      <c r="C1223" s="2">
        <v>10</v>
      </c>
      <c r="D1223" s="2">
        <v>291</v>
      </c>
      <c r="E1223" s="2">
        <v>99</v>
      </c>
      <c r="F1223" s="2">
        <v>32441</v>
      </c>
      <c r="G1223" s="2">
        <v>11.260717140000001</v>
      </c>
      <c r="H1223" s="3">
        <v>5.1900000000000002E-8</v>
      </c>
      <c r="I1223" s="2" t="s">
        <v>46866</v>
      </c>
      <c r="J1223" s="2" t="s">
        <v>46867</v>
      </c>
      <c r="K1223" s="3">
        <v>2.74E-6</v>
      </c>
      <c r="L1223" s="2" t="s">
        <v>848</v>
      </c>
      <c r="M1223" s="4" t="s">
        <v>46868</v>
      </c>
    </row>
    <row r="1224" spans="1:13">
      <c r="A1224" s="2">
        <v>4500</v>
      </c>
      <c r="B1224" s="2" t="s">
        <v>42889</v>
      </c>
      <c r="C1224" s="2">
        <v>9</v>
      </c>
      <c r="D1224" s="2">
        <v>291</v>
      </c>
      <c r="E1224" s="2">
        <v>75</v>
      </c>
      <c r="F1224" s="2">
        <v>32441</v>
      </c>
      <c r="G1224" s="2">
        <v>13.37773196</v>
      </c>
      <c r="H1224" s="3">
        <v>6.2999999999999995E-8</v>
      </c>
      <c r="I1224" s="2" t="s">
        <v>46869</v>
      </c>
      <c r="J1224" s="2" t="s">
        <v>46870</v>
      </c>
      <c r="K1224" s="3">
        <v>3.3000000000000002E-6</v>
      </c>
      <c r="L1224" s="2" t="s">
        <v>848</v>
      </c>
      <c r="M1224" s="4" t="s">
        <v>42890</v>
      </c>
    </row>
    <row r="1225" spans="1:13">
      <c r="A1225" s="2">
        <v>2959</v>
      </c>
      <c r="B1225" s="2" t="s">
        <v>46871</v>
      </c>
      <c r="C1225" s="2">
        <v>8</v>
      </c>
      <c r="D1225" s="2">
        <v>291</v>
      </c>
      <c r="E1225" s="2">
        <v>53</v>
      </c>
      <c r="F1225" s="2">
        <v>32441</v>
      </c>
      <c r="G1225" s="2">
        <v>16.8273358</v>
      </c>
      <c r="H1225" s="3">
        <v>6.9399999999999999E-8</v>
      </c>
      <c r="I1225" s="2" t="s">
        <v>46872</v>
      </c>
      <c r="J1225" s="2" t="s">
        <v>46873</v>
      </c>
      <c r="K1225" s="3">
        <v>3.5999999999999998E-6</v>
      </c>
      <c r="L1225" s="2" t="s">
        <v>848</v>
      </c>
      <c r="M1225" s="4" t="s">
        <v>46874</v>
      </c>
    </row>
    <row r="1226" spans="1:13">
      <c r="A1226" s="2">
        <v>2657</v>
      </c>
      <c r="B1226" s="2" t="s">
        <v>10200</v>
      </c>
      <c r="C1226" s="2">
        <v>29</v>
      </c>
      <c r="D1226" s="2">
        <v>291</v>
      </c>
      <c r="E1226" s="2">
        <v>1024</v>
      </c>
      <c r="F1226" s="2">
        <v>32441</v>
      </c>
      <c r="G1226" s="2">
        <v>3.1571795800000002</v>
      </c>
      <c r="H1226" s="3">
        <v>8.72E-8</v>
      </c>
      <c r="I1226" s="2" t="s">
        <v>46875</v>
      </c>
      <c r="J1226" s="2" t="s">
        <v>46876</v>
      </c>
      <c r="K1226" s="3">
        <v>4.4900000000000002E-6</v>
      </c>
      <c r="L1226" s="2" t="s">
        <v>848</v>
      </c>
      <c r="M1226" s="4" t="s">
        <v>10203</v>
      </c>
    </row>
    <row r="1227" spans="1:13">
      <c r="A1227" s="2">
        <v>4670</v>
      </c>
      <c r="B1227" s="2" t="s">
        <v>43049</v>
      </c>
      <c r="C1227" s="2">
        <v>8</v>
      </c>
      <c r="D1227" s="2">
        <v>291</v>
      </c>
      <c r="E1227" s="2">
        <v>55</v>
      </c>
      <c r="F1227" s="2">
        <v>32441</v>
      </c>
      <c r="G1227" s="2">
        <v>16.215432679999999</v>
      </c>
      <c r="H1227" s="3">
        <v>8.9900000000000004E-8</v>
      </c>
      <c r="I1227" s="2" t="s">
        <v>46877</v>
      </c>
      <c r="J1227" s="2" t="s">
        <v>46878</v>
      </c>
      <c r="K1227" s="3">
        <v>4.5800000000000002E-6</v>
      </c>
      <c r="L1227" s="2" t="s">
        <v>848</v>
      </c>
      <c r="M1227" s="4" t="s">
        <v>43052</v>
      </c>
    </row>
    <row r="1228" spans="1:13">
      <c r="A1228" s="2">
        <v>3861</v>
      </c>
      <c r="B1228" s="2" t="s">
        <v>46879</v>
      </c>
      <c r="C1228" s="2">
        <v>10</v>
      </c>
      <c r="D1228" s="2">
        <v>291</v>
      </c>
      <c r="E1228" s="2">
        <v>110</v>
      </c>
      <c r="F1228" s="2">
        <v>32441</v>
      </c>
      <c r="G1228" s="2">
        <v>10.13464542</v>
      </c>
      <c r="H1228" s="3">
        <v>1.3E-7</v>
      </c>
      <c r="I1228" s="2" t="s">
        <v>46880</v>
      </c>
      <c r="J1228" s="2" t="s">
        <v>46881</v>
      </c>
      <c r="K1228" s="3">
        <v>6.5200000000000003E-6</v>
      </c>
      <c r="L1228" s="2" t="s">
        <v>848</v>
      </c>
      <c r="M1228" s="4" t="s">
        <v>46882</v>
      </c>
    </row>
    <row r="1229" spans="1:13">
      <c r="A1229" s="2">
        <v>961</v>
      </c>
      <c r="B1229" s="2" t="s">
        <v>46883</v>
      </c>
      <c r="C1229" s="2">
        <v>12</v>
      </c>
      <c r="D1229" s="2">
        <v>291</v>
      </c>
      <c r="E1229" s="2">
        <v>175</v>
      </c>
      <c r="F1229" s="2">
        <v>32441</v>
      </c>
      <c r="G1229" s="2">
        <v>7.6444182620000003</v>
      </c>
      <c r="H1229" s="3">
        <v>1.3E-7</v>
      </c>
      <c r="I1229" s="2" t="s">
        <v>46884</v>
      </c>
      <c r="J1229" s="2" t="s">
        <v>46885</v>
      </c>
      <c r="K1229" s="3">
        <v>6.5200000000000003E-6</v>
      </c>
      <c r="L1229" s="2" t="s">
        <v>848</v>
      </c>
      <c r="M1229" s="4" t="s">
        <v>46886</v>
      </c>
    </row>
    <row r="1230" spans="1:13">
      <c r="A1230" s="2">
        <v>44341</v>
      </c>
      <c r="B1230" s="2" t="s">
        <v>46887</v>
      </c>
      <c r="C1230" s="2">
        <v>10</v>
      </c>
      <c r="D1230" s="2">
        <v>291</v>
      </c>
      <c r="E1230" s="2">
        <v>113</v>
      </c>
      <c r="F1230" s="2">
        <v>32441</v>
      </c>
      <c r="G1230" s="2">
        <v>9.8655840399999999</v>
      </c>
      <c r="H1230" s="3">
        <v>1.6400000000000001E-7</v>
      </c>
      <c r="I1230" s="2" t="s">
        <v>46888</v>
      </c>
      <c r="J1230" s="2" t="s">
        <v>46889</v>
      </c>
      <c r="K1230" s="3">
        <v>8.14E-6</v>
      </c>
      <c r="L1230" s="2" t="s">
        <v>848</v>
      </c>
      <c r="M1230" s="4" t="s">
        <v>46890</v>
      </c>
    </row>
    <row r="1231" spans="1:13">
      <c r="A1231" s="2">
        <v>4516</v>
      </c>
      <c r="B1231" s="2" t="s">
        <v>42911</v>
      </c>
      <c r="C1231" s="2">
        <v>9</v>
      </c>
      <c r="D1231" s="2">
        <v>291</v>
      </c>
      <c r="E1231" s="2">
        <v>85</v>
      </c>
      <c r="F1231" s="2">
        <v>32441</v>
      </c>
      <c r="G1231" s="2">
        <v>11.80388114</v>
      </c>
      <c r="H1231" s="3">
        <v>1.68E-7</v>
      </c>
      <c r="I1231" s="2" t="s">
        <v>46891</v>
      </c>
      <c r="J1231" s="2" t="s">
        <v>46892</v>
      </c>
      <c r="K1231" s="3">
        <v>8.3100000000000001E-6</v>
      </c>
      <c r="L1231" s="2" t="s">
        <v>848</v>
      </c>
      <c r="M1231" s="4" t="s">
        <v>42914</v>
      </c>
    </row>
    <row r="1232" spans="1:13">
      <c r="A1232" s="2">
        <v>31131</v>
      </c>
      <c r="B1232" s="2" t="s">
        <v>42761</v>
      </c>
      <c r="C1232" s="2">
        <v>15</v>
      </c>
      <c r="D1232" s="2">
        <v>291</v>
      </c>
      <c r="E1232" s="2">
        <v>299</v>
      </c>
      <c r="F1232" s="2">
        <v>32441</v>
      </c>
      <c r="G1232" s="2">
        <v>5.5926973069999999</v>
      </c>
      <c r="H1232" s="3">
        <v>1.72E-7</v>
      </c>
      <c r="I1232" s="2" t="s">
        <v>46893</v>
      </c>
      <c r="J1232" s="2" t="s">
        <v>46894</v>
      </c>
      <c r="K1232" s="3">
        <v>8.4100000000000008E-6</v>
      </c>
      <c r="L1232" s="2" t="s">
        <v>848</v>
      </c>
      <c r="M1232" s="4" t="s">
        <v>42764</v>
      </c>
    </row>
    <row r="1233" spans="1:13">
      <c r="A1233" s="2">
        <v>4686</v>
      </c>
      <c r="B1233" s="2" t="s">
        <v>8210</v>
      </c>
      <c r="C1233" s="2">
        <v>33</v>
      </c>
      <c r="D1233" s="2">
        <v>291</v>
      </c>
      <c r="E1233" s="2">
        <v>1327</v>
      </c>
      <c r="F1233" s="2">
        <v>32441</v>
      </c>
      <c r="G1233" s="2">
        <v>2.7723257640000001</v>
      </c>
      <c r="H1233" s="3">
        <v>2.03E-7</v>
      </c>
      <c r="I1233" s="2" t="s">
        <v>46895</v>
      </c>
      <c r="J1233" s="2" t="s">
        <v>46896</v>
      </c>
      <c r="K1233" s="3">
        <v>9.8200000000000008E-6</v>
      </c>
      <c r="L1233" s="2" t="s">
        <v>848</v>
      </c>
      <c r="M1233" s="4" t="s">
        <v>8213</v>
      </c>
    </row>
    <row r="1234" spans="1:13">
      <c r="A1234" s="2">
        <v>912</v>
      </c>
      <c r="B1234" s="2" t="s">
        <v>29842</v>
      </c>
      <c r="C1234" s="2">
        <v>20</v>
      </c>
      <c r="D1234" s="2">
        <v>291</v>
      </c>
      <c r="E1234" s="2">
        <v>545</v>
      </c>
      <c r="F1234" s="2">
        <v>32441</v>
      </c>
      <c r="G1234" s="2">
        <v>4.0910495290000002</v>
      </c>
      <c r="H1234" s="3">
        <v>2.0800000000000001E-7</v>
      </c>
      <c r="I1234" s="2" t="s">
        <v>46897</v>
      </c>
      <c r="J1234" s="2" t="s">
        <v>46898</v>
      </c>
      <c r="K1234" s="3">
        <v>1.0000000000000001E-5</v>
      </c>
      <c r="L1234" s="2" t="s">
        <v>848</v>
      </c>
      <c r="M1234" s="4" t="s">
        <v>29845</v>
      </c>
    </row>
    <row r="1235" spans="1:13">
      <c r="A1235" s="2">
        <v>1259</v>
      </c>
      <c r="B1235" s="2" t="s">
        <v>46899</v>
      </c>
      <c r="C1235" s="2">
        <v>7</v>
      </c>
      <c r="D1235" s="2">
        <v>291</v>
      </c>
      <c r="E1235" s="2">
        <v>41</v>
      </c>
      <c r="F1235" s="2">
        <v>32441</v>
      </c>
      <c r="G1235" s="2">
        <v>19.03335848</v>
      </c>
      <c r="H1235" s="3">
        <v>2.2000000000000001E-7</v>
      </c>
      <c r="I1235" s="2" t="s">
        <v>46900</v>
      </c>
      <c r="J1235" s="2" t="s">
        <v>46901</v>
      </c>
      <c r="K1235" s="3">
        <v>1.0499999999999999E-5</v>
      </c>
      <c r="L1235" s="2" t="s">
        <v>848</v>
      </c>
      <c r="M1235" s="4" t="s">
        <v>46902</v>
      </c>
    </row>
    <row r="1236" spans="1:13">
      <c r="A1236" s="2">
        <v>44601</v>
      </c>
      <c r="B1236" s="2" t="s">
        <v>46903</v>
      </c>
      <c r="C1236" s="2">
        <v>9</v>
      </c>
      <c r="D1236" s="2">
        <v>291</v>
      </c>
      <c r="E1236" s="2">
        <v>88</v>
      </c>
      <c r="F1236" s="2">
        <v>32441</v>
      </c>
      <c r="G1236" s="2">
        <v>11.4014761</v>
      </c>
      <c r="H1236" s="3">
        <v>2.2100000000000001E-7</v>
      </c>
      <c r="I1236" s="2" t="s">
        <v>46904</v>
      </c>
      <c r="J1236" s="2" t="s">
        <v>46905</v>
      </c>
      <c r="K1236" s="3">
        <v>1.0499999999999999E-5</v>
      </c>
      <c r="L1236" s="2" t="s">
        <v>848</v>
      </c>
      <c r="M1236" s="4" t="s">
        <v>46906</v>
      </c>
    </row>
    <row r="1237" spans="1:13">
      <c r="A1237" s="2">
        <v>3681</v>
      </c>
      <c r="B1237" s="2" t="s">
        <v>7675</v>
      </c>
      <c r="C1237" s="2">
        <v>23</v>
      </c>
      <c r="D1237" s="2">
        <v>291</v>
      </c>
      <c r="E1237" s="2">
        <v>714</v>
      </c>
      <c r="F1237" s="2">
        <v>32441</v>
      </c>
      <c r="G1237" s="2">
        <v>3.5911278599999998</v>
      </c>
      <c r="H1237" s="3">
        <v>2.36E-7</v>
      </c>
      <c r="I1237" s="2" t="s">
        <v>46907</v>
      </c>
      <c r="J1237" s="2" t="s">
        <v>46908</v>
      </c>
      <c r="K1237" s="3">
        <v>1.11E-5</v>
      </c>
      <c r="L1237" s="2" t="s">
        <v>848</v>
      </c>
      <c r="M1237" s="4" t="s">
        <v>7678</v>
      </c>
    </row>
    <row r="1238" spans="1:13">
      <c r="A1238" s="2">
        <v>7511</v>
      </c>
      <c r="B1238" s="2" t="s">
        <v>46909</v>
      </c>
      <c r="C1238" s="2">
        <v>17</v>
      </c>
      <c r="D1238" s="2">
        <v>291</v>
      </c>
      <c r="E1238" s="2">
        <v>400</v>
      </c>
      <c r="F1238" s="2">
        <v>32441</v>
      </c>
      <c r="G1238" s="2">
        <v>4.7379467350000004</v>
      </c>
      <c r="H1238" s="3">
        <v>2.48E-7</v>
      </c>
      <c r="I1238" s="2" t="s">
        <v>46910</v>
      </c>
      <c r="J1238" s="2" t="s">
        <v>46911</v>
      </c>
      <c r="K1238" s="3">
        <v>1.1600000000000001E-5</v>
      </c>
      <c r="L1238" s="2" t="s">
        <v>848</v>
      </c>
      <c r="M1238" s="4" t="s">
        <v>46912</v>
      </c>
    </row>
    <row r="1239" spans="1:13">
      <c r="A1239" s="2">
        <v>886</v>
      </c>
      <c r="B1239" s="2" t="s">
        <v>30625</v>
      </c>
      <c r="C1239" s="2">
        <v>15</v>
      </c>
      <c r="D1239" s="2">
        <v>291</v>
      </c>
      <c r="E1239" s="2">
        <v>310</v>
      </c>
      <c r="F1239" s="2">
        <v>32441</v>
      </c>
      <c r="G1239" s="2">
        <v>5.3942467580000004</v>
      </c>
      <c r="H1239" s="3">
        <v>2.67E-7</v>
      </c>
      <c r="I1239" s="2" t="s">
        <v>46913</v>
      </c>
      <c r="J1239" s="2" t="s">
        <v>46914</v>
      </c>
      <c r="K1239" s="3">
        <v>1.24E-5</v>
      </c>
      <c r="L1239" s="2" t="s">
        <v>848</v>
      </c>
      <c r="M1239" s="4" t="s">
        <v>30628</v>
      </c>
    </row>
    <row r="1240" spans="1:13">
      <c r="A1240" s="2">
        <v>1204</v>
      </c>
      <c r="B1240" s="2" t="s">
        <v>9821</v>
      </c>
      <c r="C1240" s="2">
        <v>15</v>
      </c>
      <c r="D1240" s="2">
        <v>291</v>
      </c>
      <c r="E1240" s="2">
        <v>312</v>
      </c>
      <c r="F1240" s="2">
        <v>32441</v>
      </c>
      <c r="G1240" s="2">
        <v>5.3596682529999997</v>
      </c>
      <c r="H1240" s="3">
        <v>2.8900000000000001E-7</v>
      </c>
      <c r="I1240" s="2" t="s">
        <v>46915</v>
      </c>
      <c r="J1240" s="2" t="s">
        <v>46916</v>
      </c>
      <c r="K1240" s="3">
        <v>1.33E-5</v>
      </c>
      <c r="L1240" s="2" t="s">
        <v>848</v>
      </c>
      <c r="M1240" s="4" t="s">
        <v>9824</v>
      </c>
    </row>
    <row r="1241" spans="1:13">
      <c r="A1241" s="2">
        <v>1111</v>
      </c>
      <c r="B1241" s="2" t="s">
        <v>9757</v>
      </c>
      <c r="C1241" s="2">
        <v>30</v>
      </c>
      <c r="D1241" s="2">
        <v>291</v>
      </c>
      <c r="E1241" s="2">
        <v>1152</v>
      </c>
      <c r="F1241" s="2">
        <v>32441</v>
      </c>
      <c r="G1241" s="2">
        <v>2.903153637</v>
      </c>
      <c r="H1241" s="3">
        <v>2.96E-7</v>
      </c>
      <c r="I1241" s="2" t="s">
        <v>46917</v>
      </c>
      <c r="J1241" s="2" t="s">
        <v>46918</v>
      </c>
      <c r="K1241" s="3">
        <v>1.3499999999999999E-5</v>
      </c>
      <c r="L1241" s="2" t="s">
        <v>848</v>
      </c>
      <c r="M1241" s="4" t="s">
        <v>9760</v>
      </c>
    </row>
    <row r="1242" spans="1:13">
      <c r="A1242" s="2">
        <v>43211</v>
      </c>
      <c r="B1242" s="2" t="s">
        <v>46919</v>
      </c>
      <c r="C1242" s="2">
        <v>8</v>
      </c>
      <c r="D1242" s="2">
        <v>291</v>
      </c>
      <c r="E1242" s="2">
        <v>67</v>
      </c>
      <c r="F1242" s="2">
        <v>32441</v>
      </c>
      <c r="G1242" s="2">
        <v>13.311176079999999</v>
      </c>
      <c r="H1242" s="3">
        <v>3.5699999999999998E-7</v>
      </c>
      <c r="I1242" s="2" t="s">
        <v>46920</v>
      </c>
      <c r="J1242" s="2" t="s">
        <v>46921</v>
      </c>
      <c r="K1242" s="3">
        <v>1.6099999999999998E-5</v>
      </c>
      <c r="L1242" s="2" t="s">
        <v>848</v>
      </c>
      <c r="M1242" s="4" t="s">
        <v>46922</v>
      </c>
    </row>
    <row r="1243" spans="1:13">
      <c r="A1243" s="2">
        <v>4423</v>
      </c>
      <c r="B1243" s="2" t="s">
        <v>8807</v>
      </c>
      <c r="C1243" s="2">
        <v>13</v>
      </c>
      <c r="D1243" s="2">
        <v>291</v>
      </c>
      <c r="E1243" s="2">
        <v>233</v>
      </c>
      <c r="F1243" s="2">
        <v>32441</v>
      </c>
      <c r="G1243" s="2">
        <v>6.219975517</v>
      </c>
      <c r="H1243" s="3">
        <v>3.6899999999999998E-7</v>
      </c>
      <c r="I1243" s="2" t="s">
        <v>46923</v>
      </c>
      <c r="J1243" s="2" t="s">
        <v>46924</v>
      </c>
      <c r="K1243" s="3">
        <v>1.6500000000000001E-5</v>
      </c>
      <c r="L1243" s="2" t="s">
        <v>848</v>
      </c>
      <c r="M1243" s="4" t="s">
        <v>8810</v>
      </c>
    </row>
    <row r="1244" spans="1:13">
      <c r="A1244" s="2">
        <v>4121</v>
      </c>
      <c r="B1244" s="2" t="s">
        <v>46925</v>
      </c>
      <c r="C1244" s="2">
        <v>13</v>
      </c>
      <c r="D1244" s="2">
        <v>291</v>
      </c>
      <c r="E1244" s="2">
        <v>236</v>
      </c>
      <c r="F1244" s="2">
        <v>32441</v>
      </c>
      <c r="G1244" s="2">
        <v>6.1409080319999996</v>
      </c>
      <c r="H1244" s="3">
        <v>4.2300000000000002E-7</v>
      </c>
      <c r="I1244" s="2" t="s">
        <v>46926</v>
      </c>
      <c r="J1244" s="2" t="s">
        <v>46927</v>
      </c>
      <c r="K1244" s="3">
        <v>1.88E-5</v>
      </c>
      <c r="L1244" s="2" t="s">
        <v>848</v>
      </c>
      <c r="M1244" s="4" t="s">
        <v>46928</v>
      </c>
    </row>
    <row r="1245" spans="1:13">
      <c r="A1245" s="2">
        <v>3254</v>
      </c>
      <c r="B1245" s="2" t="s">
        <v>46929</v>
      </c>
      <c r="C1245" s="2">
        <v>12</v>
      </c>
      <c r="D1245" s="2">
        <v>291</v>
      </c>
      <c r="E1245" s="2">
        <v>197</v>
      </c>
      <c r="F1245" s="2">
        <v>32441</v>
      </c>
      <c r="G1245" s="2">
        <v>6.7907268829999996</v>
      </c>
      <c r="H1245" s="3">
        <v>4.32E-7</v>
      </c>
      <c r="I1245" s="2" t="s">
        <v>46930</v>
      </c>
      <c r="J1245" s="2" t="s">
        <v>46931</v>
      </c>
      <c r="K1245" s="3">
        <v>1.8899999999999999E-5</v>
      </c>
      <c r="L1245" s="2" t="s">
        <v>848</v>
      </c>
      <c r="M1245" s="4" t="s">
        <v>46932</v>
      </c>
    </row>
    <row r="1246" spans="1:13">
      <c r="A1246" s="2">
        <v>38671</v>
      </c>
      <c r="B1246" s="2" t="s">
        <v>46933</v>
      </c>
      <c r="C1246" s="2">
        <v>12</v>
      </c>
      <c r="D1246" s="2">
        <v>291</v>
      </c>
      <c r="E1246" s="2">
        <v>197</v>
      </c>
      <c r="F1246" s="2">
        <v>32441</v>
      </c>
      <c r="G1246" s="2">
        <v>6.7907268829999996</v>
      </c>
      <c r="H1246" s="3">
        <v>4.32E-7</v>
      </c>
      <c r="I1246" s="2" t="s">
        <v>46934</v>
      </c>
      <c r="J1246" s="2" t="s">
        <v>46935</v>
      </c>
      <c r="K1246" s="3">
        <v>1.8899999999999999E-5</v>
      </c>
      <c r="L1246" s="2" t="s">
        <v>848</v>
      </c>
      <c r="M1246" s="4" t="s">
        <v>46936</v>
      </c>
    </row>
    <row r="1247" spans="1:13">
      <c r="A1247" s="2">
        <v>3326</v>
      </c>
      <c r="B1247" s="2" t="s">
        <v>30795</v>
      </c>
      <c r="C1247" s="2">
        <v>15</v>
      </c>
      <c r="D1247" s="2">
        <v>291</v>
      </c>
      <c r="E1247" s="2">
        <v>323</v>
      </c>
      <c r="F1247" s="2">
        <v>32441</v>
      </c>
      <c r="G1247" s="2">
        <v>5.1771408509999999</v>
      </c>
      <c r="H1247" s="3">
        <v>4.4000000000000002E-7</v>
      </c>
      <c r="I1247" s="2" t="s">
        <v>46937</v>
      </c>
      <c r="J1247" s="2" t="s">
        <v>46938</v>
      </c>
      <c r="K1247" s="3">
        <v>1.91E-5</v>
      </c>
      <c r="L1247" s="2" t="s">
        <v>848</v>
      </c>
      <c r="M1247" s="4" t="s">
        <v>30798</v>
      </c>
    </row>
    <row r="1248" spans="1:13">
      <c r="A1248" s="2">
        <v>859</v>
      </c>
      <c r="B1248" s="2" t="s">
        <v>7859</v>
      </c>
      <c r="C1248" s="2">
        <v>37</v>
      </c>
      <c r="D1248" s="2">
        <v>291</v>
      </c>
      <c r="E1248" s="2">
        <v>1656</v>
      </c>
      <c r="F1248" s="2">
        <v>32441</v>
      </c>
      <c r="G1248" s="2">
        <v>2.490821671</v>
      </c>
      <c r="H1248" s="3">
        <v>4.5999999999999999E-7</v>
      </c>
      <c r="I1248" s="2" t="s">
        <v>46939</v>
      </c>
      <c r="J1248" s="2" t="s">
        <v>46940</v>
      </c>
      <c r="K1248" s="3">
        <v>1.9899999999999999E-5</v>
      </c>
      <c r="L1248" s="2" t="s">
        <v>848</v>
      </c>
      <c r="M1248" s="4" t="s">
        <v>7862</v>
      </c>
    </row>
    <row r="1249" spans="1:13">
      <c r="A1249" s="2">
        <v>2546</v>
      </c>
      <c r="B1249" s="2" t="s">
        <v>46941</v>
      </c>
      <c r="C1249" s="2">
        <v>11</v>
      </c>
      <c r="D1249" s="2">
        <v>291</v>
      </c>
      <c r="E1249" s="2">
        <v>162</v>
      </c>
      <c r="F1249" s="2">
        <v>32441</v>
      </c>
      <c r="G1249" s="2">
        <v>7.5697042980000004</v>
      </c>
      <c r="H1249" s="3">
        <v>4.7800000000000002E-7</v>
      </c>
      <c r="I1249" s="2" t="s">
        <v>46942</v>
      </c>
      <c r="J1249" s="2" t="s">
        <v>46943</v>
      </c>
      <c r="K1249" s="3">
        <v>2.05E-5</v>
      </c>
      <c r="L1249" s="2" t="s">
        <v>848</v>
      </c>
      <c r="M1249" s="4" t="s">
        <v>46944</v>
      </c>
    </row>
    <row r="1250" spans="1:13">
      <c r="A1250" s="2">
        <v>33611</v>
      </c>
      <c r="B1250" s="2" t="s">
        <v>46945</v>
      </c>
      <c r="C1250" s="2">
        <v>13</v>
      </c>
      <c r="D1250" s="2">
        <v>291</v>
      </c>
      <c r="E1250" s="2">
        <v>239</v>
      </c>
      <c r="F1250" s="2">
        <v>32441</v>
      </c>
      <c r="G1250" s="2">
        <v>6.0638255040000004</v>
      </c>
      <c r="H1250" s="3">
        <v>4.8500000000000002E-7</v>
      </c>
      <c r="I1250" s="2" t="s">
        <v>46946</v>
      </c>
      <c r="J1250" s="2" t="s">
        <v>46947</v>
      </c>
      <c r="K1250" s="3">
        <v>2.0599999999999999E-5</v>
      </c>
      <c r="L1250" s="2" t="s">
        <v>848</v>
      </c>
      <c r="M1250" s="4" t="s">
        <v>46948</v>
      </c>
    </row>
    <row r="1251" spans="1:13">
      <c r="A1251" s="2">
        <v>1655</v>
      </c>
      <c r="B1251" s="2" t="s">
        <v>9635</v>
      </c>
      <c r="C1251" s="2">
        <v>22</v>
      </c>
      <c r="D1251" s="2">
        <v>291</v>
      </c>
      <c r="E1251" s="2">
        <v>689</v>
      </c>
      <c r="F1251" s="2">
        <v>32441</v>
      </c>
      <c r="G1251" s="2">
        <v>3.5596287260000001</v>
      </c>
      <c r="H1251" s="3">
        <v>5.0200000000000002E-7</v>
      </c>
      <c r="I1251" s="2" t="s">
        <v>46949</v>
      </c>
      <c r="J1251" s="2" t="s">
        <v>46950</v>
      </c>
      <c r="K1251" s="3">
        <v>2.1100000000000001E-5</v>
      </c>
      <c r="L1251" s="2" t="s">
        <v>848</v>
      </c>
      <c r="M1251" s="4" t="s">
        <v>9636</v>
      </c>
    </row>
    <row r="1252" spans="1:13">
      <c r="A1252" s="2">
        <v>31481</v>
      </c>
      <c r="B1252" s="2" t="s">
        <v>46951</v>
      </c>
      <c r="C1252" s="2">
        <v>14</v>
      </c>
      <c r="D1252" s="2">
        <v>291</v>
      </c>
      <c r="E1252" s="2">
        <v>282</v>
      </c>
      <c r="F1252" s="2">
        <v>32441</v>
      </c>
      <c r="G1252" s="2">
        <v>5.5345226780000001</v>
      </c>
      <c r="H1252" s="3">
        <v>5.0100000000000005E-7</v>
      </c>
      <c r="I1252" s="2" t="s">
        <v>46952</v>
      </c>
      <c r="J1252" s="2" t="s">
        <v>46953</v>
      </c>
      <c r="K1252" s="3">
        <v>2.1100000000000001E-5</v>
      </c>
      <c r="L1252" s="2" t="s">
        <v>848</v>
      </c>
      <c r="M1252" s="4" t="s">
        <v>46954</v>
      </c>
    </row>
    <row r="1253" spans="1:13">
      <c r="A1253" s="2">
        <v>5427</v>
      </c>
      <c r="B1253" s="2" t="s">
        <v>46955</v>
      </c>
      <c r="C1253" s="2">
        <v>6</v>
      </c>
      <c r="D1253" s="2">
        <v>291</v>
      </c>
      <c r="E1253" s="2">
        <v>28</v>
      </c>
      <c r="F1253" s="2">
        <v>32441</v>
      </c>
      <c r="G1253" s="2">
        <v>23.888807069999999</v>
      </c>
      <c r="H1253" s="3">
        <v>5.1200000000000003E-7</v>
      </c>
      <c r="I1253" s="2" t="s">
        <v>46956</v>
      </c>
      <c r="J1253" s="2" t="s">
        <v>46957</v>
      </c>
      <c r="K1253" s="3">
        <v>2.1299999999999999E-5</v>
      </c>
      <c r="L1253" s="2" t="s">
        <v>848</v>
      </c>
      <c r="M1253" s="4" t="s">
        <v>46958</v>
      </c>
    </row>
    <row r="1254" spans="1:13">
      <c r="A1254" s="2">
        <v>4083</v>
      </c>
      <c r="B1254" s="2" t="s">
        <v>46959</v>
      </c>
      <c r="C1254" s="2">
        <v>12</v>
      </c>
      <c r="D1254" s="2">
        <v>291</v>
      </c>
      <c r="E1254" s="2">
        <v>201</v>
      </c>
      <c r="F1254" s="2">
        <v>32441</v>
      </c>
      <c r="G1254" s="2">
        <v>6.6555880390000004</v>
      </c>
      <c r="H1254" s="3">
        <v>5.2799999999999996E-7</v>
      </c>
      <c r="I1254" s="2" t="s">
        <v>46960</v>
      </c>
      <c r="J1254" s="2" t="s">
        <v>46961</v>
      </c>
      <c r="K1254" s="3">
        <v>2.19E-5</v>
      </c>
      <c r="L1254" s="2" t="s">
        <v>848</v>
      </c>
      <c r="M1254" s="4" t="s">
        <v>46962</v>
      </c>
    </row>
    <row r="1255" spans="1:13">
      <c r="A1255" s="2">
        <v>40511</v>
      </c>
      <c r="B1255" s="2" t="s">
        <v>43061</v>
      </c>
      <c r="C1255" s="2">
        <v>13</v>
      </c>
      <c r="D1255" s="2">
        <v>291</v>
      </c>
      <c r="E1255" s="2">
        <v>242</v>
      </c>
      <c r="F1255" s="2">
        <v>32441</v>
      </c>
      <c r="G1255" s="2">
        <v>5.988654114</v>
      </c>
      <c r="H1255" s="3">
        <v>5.5400000000000001E-7</v>
      </c>
      <c r="I1255" s="2" t="s">
        <v>46963</v>
      </c>
      <c r="J1255" s="2" t="s">
        <v>46964</v>
      </c>
      <c r="K1255" s="3">
        <v>2.2799999999999999E-5</v>
      </c>
      <c r="L1255" s="2" t="s">
        <v>848</v>
      </c>
      <c r="M1255" s="4" t="s">
        <v>43064</v>
      </c>
    </row>
    <row r="1256" spans="1:13">
      <c r="A1256" s="2">
        <v>5523</v>
      </c>
      <c r="B1256" s="2" t="s">
        <v>46965</v>
      </c>
      <c r="C1256" s="2">
        <v>16</v>
      </c>
      <c r="D1256" s="2">
        <v>291</v>
      </c>
      <c r="E1256" s="2">
        <v>378</v>
      </c>
      <c r="F1256" s="2">
        <v>32441</v>
      </c>
      <c r="G1256" s="2">
        <v>4.7187767049999998</v>
      </c>
      <c r="H1256" s="3">
        <v>5.9100000000000004E-7</v>
      </c>
      <c r="I1256" s="2" t="s">
        <v>46966</v>
      </c>
      <c r="J1256" s="2" t="s">
        <v>46967</v>
      </c>
      <c r="K1256" s="3">
        <v>2.41E-5</v>
      </c>
      <c r="L1256" s="2" t="s">
        <v>848</v>
      </c>
      <c r="M1256" s="4" t="s">
        <v>46968</v>
      </c>
    </row>
    <row r="1257" spans="1:13">
      <c r="A1257" s="2">
        <v>1169</v>
      </c>
      <c r="B1257" s="2" t="s">
        <v>7831</v>
      </c>
      <c r="C1257" s="2">
        <v>24</v>
      </c>
      <c r="D1257" s="2">
        <v>291</v>
      </c>
      <c r="E1257" s="2">
        <v>814</v>
      </c>
      <c r="F1257" s="2">
        <v>32441</v>
      </c>
      <c r="G1257" s="2">
        <v>3.2869120289999998</v>
      </c>
      <c r="H1257" s="3">
        <v>5.99E-7</v>
      </c>
      <c r="I1257" s="2" t="s">
        <v>46969</v>
      </c>
      <c r="J1257" s="2" t="s">
        <v>46970</v>
      </c>
      <c r="K1257" s="3">
        <v>2.4300000000000001E-5</v>
      </c>
      <c r="L1257" s="2" t="s">
        <v>848</v>
      </c>
      <c r="M1257" s="4" t="s">
        <v>7834</v>
      </c>
    </row>
    <row r="1258" spans="1:13">
      <c r="A1258" s="2">
        <v>1442</v>
      </c>
      <c r="B1258" s="2" t="s">
        <v>7719</v>
      </c>
      <c r="C1258" s="2">
        <v>39</v>
      </c>
      <c r="D1258" s="2">
        <v>291</v>
      </c>
      <c r="E1258" s="2">
        <v>1821</v>
      </c>
      <c r="F1258" s="2">
        <v>32441</v>
      </c>
      <c r="G1258" s="2">
        <v>2.3875688560000001</v>
      </c>
      <c r="H1258" s="3">
        <v>6.1600000000000001E-7</v>
      </c>
      <c r="I1258" s="2" t="s">
        <v>46971</v>
      </c>
      <c r="J1258" s="2" t="s">
        <v>46972</v>
      </c>
      <c r="K1258" s="3">
        <v>2.4600000000000002E-5</v>
      </c>
      <c r="L1258" s="2" t="s">
        <v>848</v>
      </c>
      <c r="M1258" s="4" t="s">
        <v>7722</v>
      </c>
    </row>
    <row r="1259" spans="1:13">
      <c r="A1259" s="2">
        <v>4092</v>
      </c>
      <c r="B1259" s="2" t="s">
        <v>46973</v>
      </c>
      <c r="C1259" s="2">
        <v>12</v>
      </c>
      <c r="D1259" s="2">
        <v>291</v>
      </c>
      <c r="E1259" s="2">
        <v>204</v>
      </c>
      <c r="F1259" s="2">
        <v>32441</v>
      </c>
      <c r="G1259" s="2">
        <v>6.5577117439999997</v>
      </c>
      <c r="H1259" s="3">
        <v>6.13E-7</v>
      </c>
      <c r="I1259" s="2" t="s">
        <v>46974</v>
      </c>
      <c r="J1259" s="2" t="s">
        <v>46975</v>
      </c>
      <c r="K1259" s="3">
        <v>2.4600000000000002E-5</v>
      </c>
      <c r="L1259" s="2" t="s">
        <v>848</v>
      </c>
      <c r="M1259" s="4" t="s">
        <v>46976</v>
      </c>
    </row>
    <row r="1260" spans="1:13">
      <c r="A1260" s="2">
        <v>3934</v>
      </c>
      <c r="B1260" s="2" t="s">
        <v>46977</v>
      </c>
      <c r="C1260" s="2">
        <v>9</v>
      </c>
      <c r="D1260" s="2">
        <v>291</v>
      </c>
      <c r="E1260" s="2">
        <v>102</v>
      </c>
      <c r="F1260" s="2">
        <v>32441</v>
      </c>
      <c r="G1260" s="2">
        <v>9.836567617</v>
      </c>
      <c r="H1260" s="3">
        <v>7.0200000000000001E-7</v>
      </c>
      <c r="I1260" s="2" t="s">
        <v>46978</v>
      </c>
      <c r="J1260" s="2" t="s">
        <v>46979</v>
      </c>
      <c r="K1260" s="3">
        <v>2.7900000000000001E-5</v>
      </c>
      <c r="L1260" s="2" t="s">
        <v>848</v>
      </c>
      <c r="M1260" s="4" t="s">
        <v>46980</v>
      </c>
    </row>
    <row r="1261" spans="1:13">
      <c r="A1261" s="2">
        <v>1406</v>
      </c>
      <c r="B1261" s="2" t="s">
        <v>30475</v>
      </c>
      <c r="C1261" s="2">
        <v>26</v>
      </c>
      <c r="D1261" s="2">
        <v>291</v>
      </c>
      <c r="E1261" s="2">
        <v>945</v>
      </c>
      <c r="F1261" s="2">
        <v>32441</v>
      </c>
      <c r="G1261" s="2">
        <v>3.0672048580000002</v>
      </c>
      <c r="H1261" s="3">
        <v>7.1200000000000002E-7</v>
      </c>
      <c r="I1261" s="2" t="s">
        <v>46981</v>
      </c>
      <c r="J1261" s="2" t="s">
        <v>46982</v>
      </c>
      <c r="K1261" s="3">
        <v>2.8099999999999999E-5</v>
      </c>
      <c r="L1261" s="2" t="s">
        <v>848</v>
      </c>
      <c r="M1261" s="4" t="s">
        <v>30478</v>
      </c>
    </row>
    <row r="1262" spans="1:13">
      <c r="A1262" s="2">
        <v>837</v>
      </c>
      <c r="B1262" s="2" t="s">
        <v>46983</v>
      </c>
      <c r="C1262" s="2">
        <v>8</v>
      </c>
      <c r="D1262" s="2">
        <v>291</v>
      </c>
      <c r="E1262" s="2">
        <v>75</v>
      </c>
      <c r="F1262" s="2">
        <v>32441</v>
      </c>
      <c r="G1262" s="2">
        <v>11.891317300000001</v>
      </c>
      <c r="H1262" s="3">
        <v>7.85E-7</v>
      </c>
      <c r="I1262" s="2" t="s">
        <v>46984</v>
      </c>
      <c r="J1262" s="2" t="s">
        <v>46985</v>
      </c>
      <c r="K1262" s="3">
        <v>3.0800000000000003E-5</v>
      </c>
      <c r="L1262" s="2" t="s">
        <v>848</v>
      </c>
      <c r="M1262" s="4" t="s">
        <v>46986</v>
      </c>
    </row>
    <row r="1263" spans="1:13">
      <c r="A1263" s="2">
        <v>4587</v>
      </c>
      <c r="B1263" s="2" t="s">
        <v>42967</v>
      </c>
      <c r="C1263" s="2">
        <v>9</v>
      </c>
      <c r="D1263" s="2">
        <v>291</v>
      </c>
      <c r="E1263" s="2">
        <v>106</v>
      </c>
      <c r="F1263" s="2">
        <v>32441</v>
      </c>
      <c r="G1263" s="2">
        <v>9.4653763860000009</v>
      </c>
      <c r="H1263" s="3">
        <v>9.47E-7</v>
      </c>
      <c r="I1263" s="2" t="s">
        <v>46891</v>
      </c>
      <c r="J1263" s="2" t="s">
        <v>46892</v>
      </c>
      <c r="K1263" s="3">
        <v>3.6900000000000002E-5</v>
      </c>
      <c r="L1263" s="2" t="s">
        <v>848</v>
      </c>
      <c r="M1263" s="4" t="s">
        <v>42968</v>
      </c>
    </row>
    <row r="1264" spans="1:13">
      <c r="A1264" s="2">
        <v>5060</v>
      </c>
      <c r="B1264" s="2" t="s">
        <v>46987</v>
      </c>
      <c r="C1264" s="2">
        <v>12</v>
      </c>
      <c r="D1264" s="2">
        <v>291</v>
      </c>
      <c r="E1264" s="2">
        <v>214</v>
      </c>
      <c r="F1264" s="2">
        <v>32441</v>
      </c>
      <c r="G1264" s="2">
        <v>6.2512766160000002</v>
      </c>
      <c r="H1264" s="3">
        <v>9.8899999999999998E-7</v>
      </c>
      <c r="I1264" s="2" t="s">
        <v>46988</v>
      </c>
      <c r="J1264" s="2" t="s">
        <v>46989</v>
      </c>
      <c r="K1264" s="3">
        <v>3.8300000000000003E-5</v>
      </c>
      <c r="L1264" s="2" t="s">
        <v>848</v>
      </c>
      <c r="M1264" s="4" t="s">
        <v>46990</v>
      </c>
    </row>
    <row r="1265" spans="1:13">
      <c r="A1265" s="2">
        <v>1138</v>
      </c>
      <c r="B1265" s="2" t="s">
        <v>46991</v>
      </c>
      <c r="C1265" s="2">
        <v>9</v>
      </c>
      <c r="D1265" s="2">
        <v>291</v>
      </c>
      <c r="E1265" s="2">
        <v>107</v>
      </c>
      <c r="F1265" s="2">
        <v>32441</v>
      </c>
      <c r="G1265" s="2">
        <v>9.3769149239999994</v>
      </c>
      <c r="H1265" s="3">
        <v>1.02E-6</v>
      </c>
      <c r="I1265" s="2" t="s">
        <v>46992</v>
      </c>
      <c r="J1265" s="2" t="s">
        <v>46993</v>
      </c>
      <c r="K1265" s="3">
        <v>3.8699999999999999E-5</v>
      </c>
      <c r="L1265" s="2" t="s">
        <v>848</v>
      </c>
      <c r="M1265" s="4" t="s">
        <v>46994</v>
      </c>
    </row>
    <row r="1266" spans="1:13">
      <c r="A1266" s="2">
        <v>2496</v>
      </c>
      <c r="B1266" s="2" t="s">
        <v>46995</v>
      </c>
      <c r="C1266" s="2">
        <v>6</v>
      </c>
      <c r="D1266" s="2">
        <v>291</v>
      </c>
      <c r="E1266" s="2">
        <v>32</v>
      </c>
      <c r="F1266" s="2">
        <v>32441</v>
      </c>
      <c r="G1266" s="2">
        <v>20.90270619</v>
      </c>
      <c r="H1266" s="3">
        <v>1.02E-6</v>
      </c>
      <c r="I1266" s="2" t="s">
        <v>46996</v>
      </c>
      <c r="J1266" s="2" t="s">
        <v>46997</v>
      </c>
      <c r="K1266" s="3">
        <v>3.8699999999999999E-5</v>
      </c>
      <c r="L1266" s="2" t="s">
        <v>848</v>
      </c>
      <c r="M1266" s="4" t="s">
        <v>46998</v>
      </c>
    </row>
    <row r="1267" spans="1:13">
      <c r="A1267" s="2">
        <v>3743</v>
      </c>
      <c r="B1267" s="2" t="s">
        <v>42819</v>
      </c>
      <c r="C1267" s="2">
        <v>9</v>
      </c>
      <c r="D1267" s="2">
        <v>291</v>
      </c>
      <c r="E1267" s="2">
        <v>107</v>
      </c>
      <c r="F1267" s="2">
        <v>32441</v>
      </c>
      <c r="G1267" s="2">
        <v>9.3769149239999994</v>
      </c>
      <c r="H1267" s="3">
        <v>1.02E-6</v>
      </c>
      <c r="I1267" s="2" t="s">
        <v>46891</v>
      </c>
      <c r="J1267" s="2" t="s">
        <v>46892</v>
      </c>
      <c r="K1267" s="3">
        <v>3.8699999999999999E-5</v>
      </c>
      <c r="L1267" s="2" t="s">
        <v>848</v>
      </c>
      <c r="M1267" s="4" t="s">
        <v>42822</v>
      </c>
    </row>
    <row r="1268" spans="1:13">
      <c r="A1268" s="2">
        <v>3334</v>
      </c>
      <c r="B1268" s="2" t="s">
        <v>29237</v>
      </c>
      <c r="C1268" s="2">
        <v>25</v>
      </c>
      <c r="D1268" s="2">
        <v>291</v>
      </c>
      <c r="E1268" s="2">
        <v>902</v>
      </c>
      <c r="F1268" s="2">
        <v>32441</v>
      </c>
      <c r="G1268" s="2">
        <v>3.089830922</v>
      </c>
      <c r="H1268" s="3">
        <v>1.0300000000000001E-6</v>
      </c>
      <c r="I1268" s="2" t="s">
        <v>46999</v>
      </c>
      <c r="J1268" s="2" t="s">
        <v>47000</v>
      </c>
      <c r="K1268" s="3">
        <v>3.8899999999999997E-5</v>
      </c>
      <c r="L1268" s="2" t="s">
        <v>848</v>
      </c>
      <c r="M1268" s="4" t="s">
        <v>29240</v>
      </c>
    </row>
    <row r="1269" spans="1:13">
      <c r="A1269" s="2">
        <v>4569</v>
      </c>
      <c r="B1269" s="2" t="s">
        <v>7611</v>
      </c>
      <c r="C1269" s="2">
        <v>36</v>
      </c>
      <c r="D1269" s="2">
        <v>291</v>
      </c>
      <c r="E1269" s="2">
        <v>1649</v>
      </c>
      <c r="F1269" s="2">
        <v>32441</v>
      </c>
      <c r="G1269" s="2">
        <v>2.4337899260000002</v>
      </c>
      <c r="H1269" s="3">
        <v>1.13E-6</v>
      </c>
      <c r="I1269" s="2" t="s">
        <v>47001</v>
      </c>
      <c r="J1269" s="2" t="s">
        <v>47002</v>
      </c>
      <c r="K1269" s="3">
        <v>4.2400000000000001E-5</v>
      </c>
      <c r="L1269" s="2" t="s">
        <v>848</v>
      </c>
      <c r="M1269" s="4" t="s">
        <v>7614</v>
      </c>
    </row>
    <row r="1270" spans="1:13">
      <c r="A1270" s="2">
        <v>2311</v>
      </c>
      <c r="B1270" s="2" t="s">
        <v>47003</v>
      </c>
      <c r="C1270" s="2">
        <v>16</v>
      </c>
      <c r="D1270" s="2">
        <v>291</v>
      </c>
      <c r="E1270" s="2">
        <v>402</v>
      </c>
      <c r="F1270" s="2">
        <v>32441</v>
      </c>
      <c r="G1270" s="2">
        <v>4.437058693</v>
      </c>
      <c r="H1270" s="3">
        <v>1.28E-6</v>
      </c>
      <c r="I1270" s="2" t="s">
        <v>47004</v>
      </c>
      <c r="J1270" s="2" t="s">
        <v>47005</v>
      </c>
      <c r="K1270" s="3">
        <v>4.7299999999999998E-5</v>
      </c>
      <c r="L1270" s="2" t="s">
        <v>848</v>
      </c>
      <c r="M1270" s="4" t="s">
        <v>47006</v>
      </c>
    </row>
    <row r="1271" spans="1:13">
      <c r="A1271" s="2">
        <v>3185</v>
      </c>
      <c r="B1271" s="2" t="s">
        <v>8175</v>
      </c>
      <c r="C1271" s="2">
        <v>11</v>
      </c>
      <c r="D1271" s="2">
        <v>291</v>
      </c>
      <c r="E1271" s="2">
        <v>180</v>
      </c>
      <c r="F1271" s="2">
        <v>32441</v>
      </c>
      <c r="G1271" s="2">
        <v>6.8127338679999996</v>
      </c>
      <c r="H1271" s="3">
        <v>1.2699999999999999E-6</v>
      </c>
      <c r="I1271" s="2" t="s">
        <v>47007</v>
      </c>
      <c r="J1271" s="2" t="s">
        <v>47008</v>
      </c>
      <c r="K1271" s="3">
        <v>4.7299999999999998E-5</v>
      </c>
      <c r="L1271" s="2" t="s">
        <v>848</v>
      </c>
      <c r="M1271" s="4" t="s">
        <v>8178</v>
      </c>
    </row>
    <row r="1272" spans="1:13">
      <c r="A1272" s="2">
        <v>3586</v>
      </c>
      <c r="B1272" s="2" t="s">
        <v>8055</v>
      </c>
      <c r="C1272" s="2">
        <v>38</v>
      </c>
      <c r="D1272" s="2">
        <v>291</v>
      </c>
      <c r="E1272" s="2">
        <v>1804</v>
      </c>
      <c r="F1272" s="2">
        <v>32441</v>
      </c>
      <c r="G1272" s="2">
        <v>2.3482715010000001</v>
      </c>
      <c r="H1272" s="3">
        <v>1.2899999999999999E-6</v>
      </c>
      <c r="I1272" s="2" t="s">
        <v>47009</v>
      </c>
      <c r="J1272" s="2" t="s">
        <v>47010</v>
      </c>
      <c r="K1272" s="3">
        <v>4.7299999999999998E-5</v>
      </c>
      <c r="L1272" s="2" t="s">
        <v>848</v>
      </c>
      <c r="M1272" s="4" t="s">
        <v>8058</v>
      </c>
    </row>
    <row r="1273" spans="1:13">
      <c r="A1273" s="2">
        <v>3497</v>
      </c>
      <c r="B1273" s="2" t="s">
        <v>8131</v>
      </c>
      <c r="C1273" s="2">
        <v>12</v>
      </c>
      <c r="D1273" s="2">
        <v>291</v>
      </c>
      <c r="E1273" s="2">
        <v>223</v>
      </c>
      <c r="F1273" s="2">
        <v>32441</v>
      </c>
      <c r="G1273" s="2">
        <v>5.9989829410000004</v>
      </c>
      <c r="H1273" s="3">
        <v>1.4899999999999999E-6</v>
      </c>
      <c r="I1273" s="2" t="s">
        <v>47011</v>
      </c>
      <c r="J1273" s="2" t="s">
        <v>47012</v>
      </c>
      <c r="K1273" s="3">
        <v>5.4400000000000001E-5</v>
      </c>
      <c r="L1273" s="2" t="s">
        <v>848</v>
      </c>
      <c r="M1273" s="4" t="s">
        <v>8134</v>
      </c>
    </row>
    <row r="1274" spans="1:13">
      <c r="A1274" s="2">
        <v>1573</v>
      </c>
      <c r="B1274" s="2" t="s">
        <v>47013</v>
      </c>
      <c r="C1274" s="2">
        <v>8</v>
      </c>
      <c r="D1274" s="2">
        <v>291</v>
      </c>
      <c r="E1274" s="2">
        <v>83</v>
      </c>
      <c r="F1274" s="2">
        <v>32441</v>
      </c>
      <c r="G1274" s="2">
        <v>10.745166230000001</v>
      </c>
      <c r="H1274" s="3">
        <v>1.59E-6</v>
      </c>
      <c r="I1274" s="2" t="s">
        <v>47014</v>
      </c>
      <c r="J1274" s="2" t="s">
        <v>47015</v>
      </c>
      <c r="K1274" s="3">
        <v>5.77E-5</v>
      </c>
      <c r="L1274" s="2" t="s">
        <v>848</v>
      </c>
      <c r="M1274" s="4" t="s">
        <v>47016</v>
      </c>
    </row>
    <row r="1275" spans="1:13">
      <c r="A1275" s="2">
        <v>1535</v>
      </c>
      <c r="B1275" s="2" t="s">
        <v>47017</v>
      </c>
      <c r="C1275" s="2">
        <v>11</v>
      </c>
      <c r="D1275" s="2">
        <v>291</v>
      </c>
      <c r="E1275" s="2">
        <v>185</v>
      </c>
      <c r="F1275" s="2">
        <v>32441</v>
      </c>
      <c r="G1275" s="2">
        <v>6.6286059259999996</v>
      </c>
      <c r="H1275" s="3">
        <v>1.64E-6</v>
      </c>
      <c r="I1275" s="2" t="s">
        <v>47018</v>
      </c>
      <c r="J1275" s="2" t="s">
        <v>47019</v>
      </c>
      <c r="K1275" s="3">
        <v>5.91E-5</v>
      </c>
      <c r="L1275" s="2" t="s">
        <v>848</v>
      </c>
      <c r="M1275" s="4" t="s">
        <v>47020</v>
      </c>
    </row>
    <row r="1276" spans="1:13">
      <c r="A1276" s="2">
        <v>1360</v>
      </c>
      <c r="B1276" s="2" t="s">
        <v>47021</v>
      </c>
      <c r="C1276" s="2">
        <v>10</v>
      </c>
      <c r="D1276" s="2">
        <v>291</v>
      </c>
      <c r="E1276" s="2">
        <v>148</v>
      </c>
      <c r="F1276" s="2">
        <v>32441</v>
      </c>
      <c r="G1276" s="2">
        <v>7.532506734</v>
      </c>
      <c r="H1276" s="3">
        <v>1.66E-6</v>
      </c>
      <c r="I1276" s="2" t="s">
        <v>47022</v>
      </c>
      <c r="J1276" s="2" t="s">
        <v>47023</v>
      </c>
      <c r="K1276" s="3">
        <v>5.9500000000000003E-5</v>
      </c>
      <c r="L1276" s="2" t="s">
        <v>848</v>
      </c>
      <c r="M1276" s="4" t="s">
        <v>47024</v>
      </c>
    </row>
    <row r="1277" spans="1:13">
      <c r="A1277" s="2">
        <v>4745</v>
      </c>
      <c r="B1277" s="2" t="s">
        <v>11271</v>
      </c>
      <c r="C1277" s="2">
        <v>9</v>
      </c>
      <c r="D1277" s="2">
        <v>291</v>
      </c>
      <c r="E1277" s="2">
        <v>115</v>
      </c>
      <c r="F1277" s="2">
        <v>32441</v>
      </c>
      <c r="G1277" s="2">
        <v>8.7246077989999993</v>
      </c>
      <c r="H1277" s="3">
        <v>1.7799999999999999E-6</v>
      </c>
      <c r="I1277" s="2" t="s">
        <v>46904</v>
      </c>
      <c r="J1277" s="2" t="s">
        <v>46905</v>
      </c>
      <c r="K1277" s="3">
        <v>6.3499999999999999E-5</v>
      </c>
      <c r="L1277" s="2" t="s">
        <v>848</v>
      </c>
      <c r="M1277" s="4" t="s">
        <v>11274</v>
      </c>
    </row>
    <row r="1278" spans="1:13">
      <c r="A1278" s="2">
        <v>893</v>
      </c>
      <c r="B1278" s="2" t="s">
        <v>11448</v>
      </c>
      <c r="C1278" s="2">
        <v>22</v>
      </c>
      <c r="D1278" s="2">
        <v>291</v>
      </c>
      <c r="E1278" s="2">
        <v>750</v>
      </c>
      <c r="F1278" s="2">
        <v>32441</v>
      </c>
      <c r="G1278" s="2">
        <v>3.2701122570000001</v>
      </c>
      <c r="H1278" s="3">
        <v>1.9400000000000001E-6</v>
      </c>
      <c r="I1278" s="2" t="s">
        <v>47025</v>
      </c>
      <c r="J1278" s="2" t="s">
        <v>47026</v>
      </c>
      <c r="K1278" s="3">
        <v>6.8800000000000005E-5</v>
      </c>
      <c r="L1278" s="2" t="s">
        <v>848</v>
      </c>
      <c r="M1278" s="4" t="s">
        <v>11451</v>
      </c>
    </row>
    <row r="1279" spans="1:13">
      <c r="A1279" s="2">
        <v>353</v>
      </c>
      <c r="B1279" s="2" t="s">
        <v>47027</v>
      </c>
      <c r="C1279" s="2">
        <v>14</v>
      </c>
      <c r="D1279" s="2">
        <v>291</v>
      </c>
      <c r="E1279" s="2">
        <v>319</v>
      </c>
      <c r="F1279" s="2">
        <v>32441</v>
      </c>
      <c r="G1279" s="2">
        <v>4.8925874460000003</v>
      </c>
      <c r="H1279" s="3">
        <v>2.0200000000000001E-6</v>
      </c>
      <c r="I1279" s="2" t="s">
        <v>47028</v>
      </c>
      <c r="J1279" s="2" t="s">
        <v>47029</v>
      </c>
      <c r="K1279" s="3">
        <v>7.1000000000000005E-5</v>
      </c>
      <c r="L1279" s="2" t="s">
        <v>848</v>
      </c>
      <c r="M1279" s="4" t="s">
        <v>47030</v>
      </c>
    </row>
    <row r="1280" spans="1:13">
      <c r="A1280" s="2">
        <v>3149</v>
      </c>
      <c r="B1280" s="2" t="s">
        <v>47031</v>
      </c>
      <c r="C1280" s="2">
        <v>11</v>
      </c>
      <c r="D1280" s="2">
        <v>291</v>
      </c>
      <c r="E1280" s="2">
        <v>190</v>
      </c>
      <c r="F1280" s="2">
        <v>32441</v>
      </c>
      <c r="G1280" s="2">
        <v>6.4541689269999996</v>
      </c>
      <c r="H1280" s="3">
        <v>2.0899999999999999E-6</v>
      </c>
      <c r="I1280" s="2" t="s">
        <v>47032</v>
      </c>
      <c r="J1280" s="2" t="s">
        <v>47033</v>
      </c>
      <c r="K1280" s="3">
        <v>7.2899999999999997E-5</v>
      </c>
      <c r="L1280" s="2" t="s">
        <v>848</v>
      </c>
      <c r="M1280" s="4" t="s">
        <v>47034</v>
      </c>
    </row>
    <row r="1281" spans="1:13">
      <c r="A1281" s="2">
        <v>3460</v>
      </c>
      <c r="B1281" s="2" t="s">
        <v>47035</v>
      </c>
      <c r="C1281" s="2">
        <v>15</v>
      </c>
      <c r="D1281" s="2">
        <v>291</v>
      </c>
      <c r="E1281" s="2">
        <v>368</v>
      </c>
      <c r="F1281" s="2">
        <v>32441</v>
      </c>
      <c r="G1281" s="2">
        <v>4.5440665620000003</v>
      </c>
      <c r="H1281" s="3">
        <v>2.0899999999999999E-6</v>
      </c>
      <c r="I1281" s="2" t="s">
        <v>47036</v>
      </c>
      <c r="J1281" s="2" t="s">
        <v>47037</v>
      </c>
      <c r="K1281" s="3">
        <v>7.2899999999999997E-5</v>
      </c>
      <c r="L1281" s="2" t="s">
        <v>848</v>
      </c>
      <c r="M1281" s="4" t="s">
        <v>47038</v>
      </c>
    </row>
    <row r="1282" spans="1:13">
      <c r="A1282" s="2">
        <v>2001</v>
      </c>
      <c r="B1282" s="2" t="s">
        <v>47039</v>
      </c>
      <c r="C1282" s="2">
        <v>13</v>
      </c>
      <c r="D1282" s="2">
        <v>291</v>
      </c>
      <c r="E1282" s="2">
        <v>275</v>
      </c>
      <c r="F1282" s="2">
        <v>32441</v>
      </c>
      <c r="G1282" s="2">
        <v>5.2700156199999997</v>
      </c>
      <c r="H1282" s="3">
        <v>2.1600000000000001E-6</v>
      </c>
      <c r="I1282" s="2" t="s">
        <v>47040</v>
      </c>
      <c r="J1282" s="2" t="s">
        <v>47041</v>
      </c>
      <c r="K1282" s="3">
        <v>7.4599999999999997E-5</v>
      </c>
      <c r="L1282" s="2" t="s">
        <v>848</v>
      </c>
      <c r="M1282" s="4" t="s">
        <v>47042</v>
      </c>
    </row>
    <row r="1283" spans="1:13">
      <c r="A1283" s="2">
        <v>3615</v>
      </c>
      <c r="B1283" s="2" t="s">
        <v>47043</v>
      </c>
      <c r="C1283" s="2">
        <v>10</v>
      </c>
      <c r="D1283" s="2">
        <v>291</v>
      </c>
      <c r="E1283" s="2">
        <v>153</v>
      </c>
      <c r="F1283" s="2">
        <v>32441</v>
      </c>
      <c r="G1283" s="2">
        <v>7.2863463829999997</v>
      </c>
      <c r="H1283" s="3">
        <v>2.2000000000000001E-6</v>
      </c>
      <c r="I1283" s="2" t="s">
        <v>47044</v>
      </c>
      <c r="J1283" s="2" t="s">
        <v>47045</v>
      </c>
      <c r="K1283" s="3">
        <v>7.5699999999999997E-5</v>
      </c>
      <c r="L1283" s="2" t="s">
        <v>848</v>
      </c>
      <c r="M1283" s="4" t="s">
        <v>47046</v>
      </c>
    </row>
    <row r="1284" spans="1:13">
      <c r="A1284" s="2">
        <v>1651</v>
      </c>
      <c r="B1284" s="2" t="s">
        <v>47047</v>
      </c>
      <c r="C1284" s="2">
        <v>12</v>
      </c>
      <c r="D1284" s="2">
        <v>291</v>
      </c>
      <c r="E1284" s="2">
        <v>233</v>
      </c>
      <c r="F1284" s="2">
        <v>32441</v>
      </c>
      <c r="G1284" s="2">
        <v>5.741515862</v>
      </c>
      <c r="H1284" s="3">
        <v>2.3E-6</v>
      </c>
      <c r="I1284" s="2" t="s">
        <v>47048</v>
      </c>
      <c r="J1284" s="2" t="s">
        <v>47049</v>
      </c>
      <c r="K1284" s="3">
        <v>7.86E-5</v>
      </c>
      <c r="L1284" s="2" t="s">
        <v>848</v>
      </c>
      <c r="M1284" s="4" t="s">
        <v>47050</v>
      </c>
    </row>
    <row r="1285" spans="1:13">
      <c r="A1285" s="2">
        <v>22751</v>
      </c>
      <c r="B1285" s="2" t="s">
        <v>47051</v>
      </c>
      <c r="C1285" s="2">
        <v>10</v>
      </c>
      <c r="D1285" s="2">
        <v>291</v>
      </c>
      <c r="E1285" s="2">
        <v>155</v>
      </c>
      <c r="F1285" s="2">
        <v>32441</v>
      </c>
      <c r="G1285" s="2">
        <v>7.1923290099999999</v>
      </c>
      <c r="H1285" s="3">
        <v>2.4600000000000002E-6</v>
      </c>
      <c r="I1285" s="2" t="s">
        <v>46880</v>
      </c>
      <c r="J1285" s="2" t="s">
        <v>46881</v>
      </c>
      <c r="K1285" s="3">
        <v>8.3499999999999997E-5</v>
      </c>
      <c r="L1285" s="2" t="s">
        <v>848</v>
      </c>
      <c r="M1285" s="4" t="s">
        <v>47052</v>
      </c>
    </row>
    <row r="1286" spans="1:13">
      <c r="A1286" s="2">
        <v>1542</v>
      </c>
      <c r="B1286" s="2" t="s">
        <v>47053</v>
      </c>
      <c r="C1286" s="2">
        <v>11</v>
      </c>
      <c r="D1286" s="2">
        <v>291</v>
      </c>
      <c r="E1286" s="2">
        <v>195</v>
      </c>
      <c r="F1286" s="2">
        <v>32441</v>
      </c>
      <c r="G1286" s="2">
        <v>6.2886774169999997</v>
      </c>
      <c r="H1286" s="3">
        <v>2.6599999999999999E-6</v>
      </c>
      <c r="I1286" s="2" t="s">
        <v>47054</v>
      </c>
      <c r="J1286" s="2" t="s">
        <v>47055</v>
      </c>
      <c r="K1286" s="3">
        <v>8.9800000000000001E-5</v>
      </c>
      <c r="L1286" s="2" t="s">
        <v>848</v>
      </c>
      <c r="M1286" s="4" t="s">
        <v>47056</v>
      </c>
    </row>
    <row r="1287" spans="1:13">
      <c r="A1287" s="2">
        <v>1810</v>
      </c>
      <c r="B1287" s="2" t="s">
        <v>7671</v>
      </c>
      <c r="C1287" s="2">
        <v>15</v>
      </c>
      <c r="D1287" s="2">
        <v>291</v>
      </c>
      <c r="E1287" s="2">
        <v>376</v>
      </c>
      <c r="F1287" s="2">
        <v>32441</v>
      </c>
      <c r="G1287" s="2">
        <v>4.447384295</v>
      </c>
      <c r="H1287" s="3">
        <v>2.6800000000000002E-6</v>
      </c>
      <c r="I1287" s="2" t="s">
        <v>47057</v>
      </c>
      <c r="J1287" s="2" t="s">
        <v>47058</v>
      </c>
      <c r="K1287" s="3">
        <v>9.0299999999999999E-5</v>
      </c>
      <c r="L1287" s="2" t="s">
        <v>848</v>
      </c>
      <c r="M1287" s="4" t="s">
        <v>7674</v>
      </c>
    </row>
    <row r="1288" spans="1:13">
      <c r="A1288" s="2">
        <v>4781</v>
      </c>
      <c r="B1288" s="2" t="s">
        <v>47059</v>
      </c>
      <c r="C1288" s="2">
        <v>9</v>
      </c>
      <c r="D1288" s="2">
        <v>291</v>
      </c>
      <c r="E1288" s="2">
        <v>122</v>
      </c>
      <c r="F1288" s="2">
        <v>32441</v>
      </c>
      <c r="G1288" s="2">
        <v>8.2240155480000006</v>
      </c>
      <c r="H1288" s="3">
        <v>2.8100000000000002E-6</v>
      </c>
      <c r="I1288" s="2" t="s">
        <v>47060</v>
      </c>
      <c r="J1288" s="2" t="s">
        <v>47061</v>
      </c>
      <c r="K1288" s="3">
        <v>9.3999999999999994E-5</v>
      </c>
      <c r="L1288" s="2" t="s">
        <v>848</v>
      </c>
      <c r="M1288" s="4" t="s">
        <v>47062</v>
      </c>
    </row>
    <row r="1289" spans="1:13">
      <c r="A1289" s="2">
        <v>1643</v>
      </c>
      <c r="B1289" s="2" t="s">
        <v>47063</v>
      </c>
      <c r="C1289" s="2">
        <v>6</v>
      </c>
      <c r="D1289" s="2">
        <v>291</v>
      </c>
      <c r="E1289" s="2">
        <v>39</v>
      </c>
      <c r="F1289" s="2">
        <v>32441</v>
      </c>
      <c r="G1289" s="2">
        <v>17.150938409999998</v>
      </c>
      <c r="H1289" s="3">
        <v>2.8499999999999998E-6</v>
      </c>
      <c r="I1289" s="2" t="s">
        <v>47064</v>
      </c>
      <c r="J1289" s="2" t="s">
        <v>47065</v>
      </c>
      <c r="K1289" s="3">
        <v>9.4900000000000003E-5</v>
      </c>
      <c r="L1289" s="2" t="s">
        <v>848</v>
      </c>
      <c r="M1289" s="4" t="s">
        <v>47066</v>
      </c>
    </row>
    <row r="1290" spans="1:13">
      <c r="A1290" s="2">
        <v>633</v>
      </c>
      <c r="B1290" s="2" t="s">
        <v>47067</v>
      </c>
      <c r="C1290" s="2">
        <v>5</v>
      </c>
      <c r="D1290" s="2">
        <v>291</v>
      </c>
      <c r="E1290" s="2">
        <v>21</v>
      </c>
      <c r="F1290" s="2">
        <v>32441</v>
      </c>
      <c r="G1290" s="2">
        <v>26.543118969999998</v>
      </c>
      <c r="H1290" s="3">
        <v>3.0299999999999998E-6</v>
      </c>
      <c r="I1290" s="2" t="s">
        <v>47068</v>
      </c>
      <c r="J1290" s="2" t="s">
        <v>47069</v>
      </c>
      <c r="K1290" s="2">
        <v>1.0012400000000001E-4</v>
      </c>
      <c r="L1290" s="2" t="s">
        <v>848</v>
      </c>
      <c r="M1290" s="4" t="s">
        <v>47070</v>
      </c>
    </row>
    <row r="1291" spans="1:13">
      <c r="A1291" s="2">
        <v>1308</v>
      </c>
      <c r="B1291" s="2" t="s">
        <v>11278</v>
      </c>
      <c r="C1291" s="2">
        <v>13</v>
      </c>
      <c r="D1291" s="2">
        <v>291</v>
      </c>
      <c r="E1291" s="2">
        <v>285</v>
      </c>
      <c r="F1291" s="2">
        <v>32441</v>
      </c>
      <c r="G1291" s="2">
        <v>5.0851027909999997</v>
      </c>
      <c r="H1291" s="3">
        <v>3.1300000000000001E-6</v>
      </c>
      <c r="I1291" s="2" t="s">
        <v>47071</v>
      </c>
      <c r="J1291" s="2" t="s">
        <v>47072</v>
      </c>
      <c r="K1291" s="2">
        <v>1.03008E-4</v>
      </c>
      <c r="L1291" s="2" t="s">
        <v>848</v>
      </c>
      <c r="M1291" s="4" t="s">
        <v>11281</v>
      </c>
    </row>
    <row r="1292" spans="1:13">
      <c r="A1292" s="2">
        <v>4878</v>
      </c>
      <c r="B1292" s="2" t="s">
        <v>47073</v>
      </c>
      <c r="C1292" s="2">
        <v>9</v>
      </c>
      <c r="D1292" s="2">
        <v>291</v>
      </c>
      <c r="E1292" s="2">
        <v>125</v>
      </c>
      <c r="F1292" s="2">
        <v>32441</v>
      </c>
      <c r="G1292" s="2">
        <v>8.0266391749999997</v>
      </c>
      <c r="H1292" s="3">
        <v>3.3900000000000002E-6</v>
      </c>
      <c r="I1292" s="2" t="s">
        <v>47074</v>
      </c>
      <c r="J1292" s="2" t="s">
        <v>47075</v>
      </c>
      <c r="K1292" s="2">
        <v>1.1082900000000001E-4</v>
      </c>
      <c r="L1292" s="2" t="s">
        <v>848</v>
      </c>
      <c r="M1292" s="4" t="s">
        <v>47076</v>
      </c>
    </row>
    <row r="1293" spans="1:13">
      <c r="A1293" s="2">
        <v>7521</v>
      </c>
      <c r="B1293" s="2" t="s">
        <v>47077</v>
      </c>
      <c r="C1293" s="2">
        <v>9</v>
      </c>
      <c r="D1293" s="2">
        <v>291</v>
      </c>
      <c r="E1293" s="2">
        <v>126</v>
      </c>
      <c r="F1293" s="2">
        <v>32441</v>
      </c>
      <c r="G1293" s="2">
        <v>7.9629356900000001</v>
      </c>
      <c r="H1293" s="3">
        <v>3.5999999999999998E-6</v>
      </c>
      <c r="I1293" s="2" t="s">
        <v>47078</v>
      </c>
      <c r="J1293" s="2" t="s">
        <v>47079</v>
      </c>
      <c r="K1293" s="2">
        <v>1.1718399999999999E-4</v>
      </c>
      <c r="L1293" s="2" t="s">
        <v>848</v>
      </c>
      <c r="M1293" s="4" t="s">
        <v>47080</v>
      </c>
    </row>
    <row r="1294" spans="1:13">
      <c r="A1294" s="2">
        <v>4861</v>
      </c>
      <c r="B1294" s="2" t="s">
        <v>47081</v>
      </c>
      <c r="C1294" s="2">
        <v>14</v>
      </c>
      <c r="D1294" s="2">
        <v>291</v>
      </c>
      <c r="E1294" s="2">
        <v>337</v>
      </c>
      <c r="F1294" s="2">
        <v>32441</v>
      </c>
      <c r="G1294" s="2">
        <v>4.6312623000000004</v>
      </c>
      <c r="H1294" s="3">
        <v>3.7100000000000001E-6</v>
      </c>
      <c r="I1294" s="2" t="s">
        <v>47082</v>
      </c>
      <c r="J1294" s="2" t="s">
        <v>47083</v>
      </c>
      <c r="K1294" s="2">
        <v>1.19876E-4</v>
      </c>
      <c r="L1294" s="2" t="s">
        <v>848</v>
      </c>
      <c r="M1294" s="4" t="s">
        <v>47084</v>
      </c>
    </row>
    <row r="1295" spans="1:13">
      <c r="A1295" s="2">
        <v>2264</v>
      </c>
      <c r="B1295" s="2" t="s">
        <v>7971</v>
      </c>
      <c r="C1295" s="2">
        <v>31</v>
      </c>
      <c r="D1295" s="2">
        <v>291</v>
      </c>
      <c r="E1295" s="2">
        <v>1381</v>
      </c>
      <c r="F1295" s="2">
        <v>32441</v>
      </c>
      <c r="G1295" s="2">
        <v>2.5024721859999999</v>
      </c>
      <c r="H1295" s="3">
        <v>3.8600000000000003E-6</v>
      </c>
      <c r="I1295" s="2" t="s">
        <v>47085</v>
      </c>
      <c r="J1295" s="2" t="s">
        <v>47086</v>
      </c>
      <c r="K1295" s="2">
        <v>1.2428299999999999E-4</v>
      </c>
      <c r="L1295" s="2" t="s">
        <v>848</v>
      </c>
      <c r="M1295" s="4" t="s">
        <v>7974</v>
      </c>
    </row>
    <row r="1296" spans="1:13">
      <c r="A1296" s="2">
        <v>3266</v>
      </c>
      <c r="B1296" s="2" t="s">
        <v>47087</v>
      </c>
      <c r="C1296" s="2">
        <v>7</v>
      </c>
      <c r="D1296" s="2">
        <v>291</v>
      </c>
      <c r="E1296" s="2">
        <v>66</v>
      </c>
      <c r="F1296" s="2">
        <v>32441</v>
      </c>
      <c r="G1296" s="2">
        <v>11.823752989999999</v>
      </c>
      <c r="H1296" s="3">
        <v>4.0300000000000004E-6</v>
      </c>
      <c r="I1296" s="2" t="s">
        <v>47088</v>
      </c>
      <c r="J1296" s="2" t="s">
        <v>47089</v>
      </c>
      <c r="K1296" s="2">
        <v>1.2890500000000001E-4</v>
      </c>
      <c r="L1296" s="2" t="s">
        <v>848</v>
      </c>
      <c r="M1296" s="4" t="s">
        <v>47090</v>
      </c>
    </row>
    <row r="1297" spans="1:13">
      <c r="A1297" s="2">
        <v>3364</v>
      </c>
      <c r="B1297" s="2" t="s">
        <v>1139</v>
      </c>
      <c r="C1297" s="2">
        <v>33</v>
      </c>
      <c r="D1297" s="2">
        <v>291</v>
      </c>
      <c r="E1297" s="2">
        <v>1527</v>
      </c>
      <c r="F1297" s="2">
        <v>32441</v>
      </c>
      <c r="G1297" s="2">
        <v>2.4092182640000002</v>
      </c>
      <c r="H1297" s="3">
        <v>4.0500000000000002E-6</v>
      </c>
      <c r="I1297" s="2" t="s">
        <v>47091</v>
      </c>
      <c r="J1297" s="2" t="s">
        <v>47092</v>
      </c>
      <c r="K1297" s="2">
        <v>1.2890500000000001E-4</v>
      </c>
      <c r="L1297" s="2" t="s">
        <v>848</v>
      </c>
      <c r="M1297" s="4" t="s">
        <v>29013</v>
      </c>
    </row>
    <row r="1298" spans="1:13">
      <c r="A1298" s="2">
        <v>19181</v>
      </c>
      <c r="B1298" s="2" t="s">
        <v>47093</v>
      </c>
      <c r="C1298" s="2">
        <v>15</v>
      </c>
      <c r="D1298" s="2">
        <v>291</v>
      </c>
      <c r="E1298" s="2">
        <v>391</v>
      </c>
      <c r="F1298" s="2">
        <v>32441</v>
      </c>
      <c r="G1298" s="2">
        <v>4.2767685289999999</v>
      </c>
      <c r="H1298" s="3">
        <v>4.2400000000000001E-6</v>
      </c>
      <c r="I1298" s="2" t="s">
        <v>47094</v>
      </c>
      <c r="J1298" s="2" t="s">
        <v>47095</v>
      </c>
      <c r="K1298" s="2">
        <v>1.34055E-4</v>
      </c>
      <c r="L1298" s="2" t="s">
        <v>848</v>
      </c>
      <c r="M1298" s="4" t="s">
        <v>47096</v>
      </c>
    </row>
    <row r="1299" spans="1:13">
      <c r="A1299" s="2">
        <v>1361</v>
      </c>
      <c r="B1299" s="2" t="s">
        <v>28901</v>
      </c>
      <c r="C1299" s="2">
        <v>18</v>
      </c>
      <c r="D1299" s="2">
        <v>291</v>
      </c>
      <c r="E1299" s="2">
        <v>554</v>
      </c>
      <c r="F1299" s="2">
        <v>32441</v>
      </c>
      <c r="G1299" s="2">
        <v>3.6221295919999998</v>
      </c>
      <c r="H1299" s="3">
        <v>4.4399999999999998E-6</v>
      </c>
      <c r="I1299" s="2" t="s">
        <v>47097</v>
      </c>
      <c r="J1299" s="2" t="s">
        <v>47098</v>
      </c>
      <c r="K1299" s="2">
        <v>1.3909400000000001E-4</v>
      </c>
      <c r="L1299" s="2" t="s">
        <v>848</v>
      </c>
      <c r="M1299" s="4" t="s">
        <v>28904</v>
      </c>
    </row>
    <row r="1300" spans="1:13">
      <c r="A1300" s="2">
        <v>1720</v>
      </c>
      <c r="B1300" s="2" t="s">
        <v>10891</v>
      </c>
      <c r="C1300" s="2">
        <v>18</v>
      </c>
      <c r="D1300" s="2">
        <v>291</v>
      </c>
      <c r="E1300" s="2">
        <v>554</v>
      </c>
      <c r="F1300" s="2">
        <v>32441</v>
      </c>
      <c r="G1300" s="2">
        <v>3.6221295919999998</v>
      </c>
      <c r="H1300" s="3">
        <v>4.4399999999999998E-6</v>
      </c>
      <c r="I1300" s="2" t="s">
        <v>47099</v>
      </c>
      <c r="J1300" s="2" t="s">
        <v>47100</v>
      </c>
      <c r="K1300" s="2">
        <v>1.3909400000000001E-4</v>
      </c>
      <c r="L1300" s="2" t="s">
        <v>848</v>
      </c>
      <c r="M1300" s="4" t="s">
        <v>10894</v>
      </c>
    </row>
    <row r="1301" spans="1:13">
      <c r="A1301" s="2">
        <v>30241</v>
      </c>
      <c r="B1301" s="2" t="s">
        <v>47101</v>
      </c>
      <c r="C1301" s="2">
        <v>10</v>
      </c>
      <c r="D1301" s="2">
        <v>291</v>
      </c>
      <c r="E1301" s="2">
        <v>167</v>
      </c>
      <c r="F1301" s="2">
        <v>32441</v>
      </c>
      <c r="G1301" s="2">
        <v>6.6755149490000001</v>
      </c>
      <c r="H1301" s="3">
        <v>4.6E-6</v>
      </c>
      <c r="I1301" s="2" t="s">
        <v>47102</v>
      </c>
      <c r="J1301" s="2" t="s">
        <v>47103</v>
      </c>
      <c r="K1301" s="2">
        <v>1.4333299999999999E-4</v>
      </c>
      <c r="L1301" s="2" t="s">
        <v>848</v>
      </c>
      <c r="M1301" s="4" t="s">
        <v>47104</v>
      </c>
    </row>
    <row r="1302" spans="1:13">
      <c r="A1302" s="2">
        <v>3827</v>
      </c>
      <c r="B1302" s="2" t="s">
        <v>47105</v>
      </c>
      <c r="C1302" s="2">
        <v>7</v>
      </c>
      <c r="D1302" s="2">
        <v>291</v>
      </c>
      <c r="E1302" s="2">
        <v>68</v>
      </c>
      <c r="F1302" s="2">
        <v>32441</v>
      </c>
      <c r="G1302" s="2">
        <v>11.47599555</v>
      </c>
      <c r="H1302" s="3">
        <v>4.8400000000000002E-6</v>
      </c>
      <c r="I1302" s="2" t="s">
        <v>47106</v>
      </c>
      <c r="J1302" s="2" t="s">
        <v>47107</v>
      </c>
      <c r="K1302" s="2">
        <v>1.49734E-4</v>
      </c>
      <c r="L1302" s="2" t="s">
        <v>848</v>
      </c>
      <c r="M1302" s="4" t="s">
        <v>47108</v>
      </c>
    </row>
    <row r="1303" spans="1:13">
      <c r="A1303" s="2">
        <v>38511</v>
      </c>
      <c r="B1303" s="2" t="s">
        <v>47109</v>
      </c>
      <c r="C1303" s="2">
        <v>9</v>
      </c>
      <c r="D1303" s="2">
        <v>291</v>
      </c>
      <c r="E1303" s="2">
        <v>131</v>
      </c>
      <c r="F1303" s="2">
        <v>32441</v>
      </c>
      <c r="G1303" s="2">
        <v>7.6590068469999997</v>
      </c>
      <c r="H1303" s="3">
        <v>4.8600000000000001E-6</v>
      </c>
      <c r="I1303" s="2" t="s">
        <v>47110</v>
      </c>
      <c r="J1303" s="2" t="s">
        <v>47111</v>
      </c>
      <c r="K1303" s="2">
        <v>1.49734E-4</v>
      </c>
      <c r="L1303" s="2" t="s">
        <v>848</v>
      </c>
      <c r="M1303" s="4" t="s">
        <v>47112</v>
      </c>
    </row>
    <row r="1304" spans="1:13">
      <c r="A1304" s="2">
        <v>4061</v>
      </c>
      <c r="B1304" s="2" t="s">
        <v>8115</v>
      </c>
      <c r="C1304" s="2">
        <v>34</v>
      </c>
      <c r="D1304" s="2">
        <v>291</v>
      </c>
      <c r="E1304" s="2">
        <v>1618</v>
      </c>
      <c r="F1304" s="2">
        <v>32441</v>
      </c>
      <c r="G1304" s="2">
        <v>2.3426189050000001</v>
      </c>
      <c r="H1304" s="3">
        <v>5.1599999999999997E-6</v>
      </c>
      <c r="I1304" s="2" t="s">
        <v>47113</v>
      </c>
      <c r="J1304" s="2" t="s">
        <v>47114</v>
      </c>
      <c r="K1304" s="2">
        <v>1.5806699999999999E-4</v>
      </c>
      <c r="L1304" s="2" t="s">
        <v>848</v>
      </c>
      <c r="M1304" s="4" t="s">
        <v>8118</v>
      </c>
    </row>
    <row r="1305" spans="1:13">
      <c r="A1305" s="2">
        <v>32571</v>
      </c>
      <c r="B1305" s="2" t="s">
        <v>47115</v>
      </c>
      <c r="C1305" s="2">
        <v>6</v>
      </c>
      <c r="D1305" s="2">
        <v>291</v>
      </c>
      <c r="E1305" s="2">
        <v>44</v>
      </c>
      <c r="F1305" s="2">
        <v>32441</v>
      </c>
      <c r="G1305" s="2">
        <v>15.201968129999999</v>
      </c>
      <c r="H1305" s="3">
        <v>5.3700000000000003E-6</v>
      </c>
      <c r="I1305" s="2" t="s">
        <v>47116</v>
      </c>
      <c r="J1305" s="2" t="s">
        <v>47117</v>
      </c>
      <c r="K1305" s="2">
        <v>1.6363400000000001E-4</v>
      </c>
      <c r="L1305" s="2" t="s">
        <v>848</v>
      </c>
      <c r="M1305" s="4" t="s">
        <v>47118</v>
      </c>
    </row>
    <row r="1306" spans="1:13">
      <c r="A1306" s="2">
        <v>3911</v>
      </c>
      <c r="B1306" s="2" t="s">
        <v>11607</v>
      </c>
      <c r="C1306" s="2">
        <v>8</v>
      </c>
      <c r="D1306" s="2">
        <v>291</v>
      </c>
      <c r="E1306" s="2">
        <v>99</v>
      </c>
      <c r="F1306" s="2">
        <v>32441</v>
      </c>
      <c r="G1306" s="2">
        <v>9.0085737100000003</v>
      </c>
      <c r="H1306" s="3">
        <v>5.4E-6</v>
      </c>
      <c r="I1306" s="2" t="s">
        <v>47119</v>
      </c>
      <c r="J1306" s="2" t="s">
        <v>47120</v>
      </c>
      <c r="K1306" s="2">
        <v>1.6376300000000001E-4</v>
      </c>
      <c r="L1306" s="2" t="s">
        <v>848</v>
      </c>
      <c r="M1306" s="4" t="s">
        <v>11610</v>
      </c>
    </row>
    <row r="1307" spans="1:13">
      <c r="A1307" s="2">
        <v>46761</v>
      </c>
      <c r="B1307" s="2" t="s">
        <v>47121</v>
      </c>
      <c r="C1307" s="2">
        <v>11</v>
      </c>
      <c r="D1307" s="2">
        <v>291</v>
      </c>
      <c r="E1307" s="2">
        <v>211</v>
      </c>
      <c r="F1307" s="2">
        <v>32441</v>
      </c>
      <c r="G1307" s="2">
        <v>5.8118108829999997</v>
      </c>
      <c r="H1307" s="3">
        <v>5.4399999999999996E-6</v>
      </c>
      <c r="I1307" s="2" t="s">
        <v>47122</v>
      </c>
      <c r="J1307" s="2" t="s">
        <v>47123</v>
      </c>
      <c r="K1307" s="2">
        <v>1.6435899999999999E-4</v>
      </c>
      <c r="L1307" s="2" t="s">
        <v>848</v>
      </c>
      <c r="M1307" s="4" t="s">
        <v>47124</v>
      </c>
    </row>
    <row r="1308" spans="1:13">
      <c r="A1308" s="2">
        <v>3512</v>
      </c>
      <c r="B1308" s="2" t="s">
        <v>8238</v>
      </c>
      <c r="C1308" s="2">
        <v>24</v>
      </c>
      <c r="D1308" s="2">
        <v>291</v>
      </c>
      <c r="E1308" s="2">
        <v>936</v>
      </c>
      <c r="F1308" s="2">
        <v>32441</v>
      </c>
      <c r="G1308" s="2">
        <v>2.858489735</v>
      </c>
      <c r="H1308" s="3">
        <v>6.19E-6</v>
      </c>
      <c r="I1308" s="2" t="s">
        <v>47125</v>
      </c>
      <c r="J1308" s="2" t="s">
        <v>47126</v>
      </c>
      <c r="K1308" s="2">
        <v>1.85866E-4</v>
      </c>
      <c r="L1308" s="2" t="s">
        <v>848</v>
      </c>
      <c r="M1308" s="4" t="s">
        <v>8241</v>
      </c>
    </row>
    <row r="1309" spans="1:13">
      <c r="A1309" s="2">
        <v>4427</v>
      </c>
      <c r="B1309" s="2" t="s">
        <v>47127</v>
      </c>
      <c r="C1309" s="2">
        <v>9</v>
      </c>
      <c r="D1309" s="2">
        <v>291</v>
      </c>
      <c r="E1309" s="2">
        <v>136</v>
      </c>
      <c r="F1309" s="2">
        <v>32441</v>
      </c>
      <c r="G1309" s="2">
        <v>7.3774257130000001</v>
      </c>
      <c r="H1309" s="3">
        <v>6.4699999999999999E-6</v>
      </c>
      <c r="I1309" s="2" t="s">
        <v>47128</v>
      </c>
      <c r="J1309" s="2" t="s">
        <v>47129</v>
      </c>
      <c r="K1309" s="2">
        <v>1.93353E-4</v>
      </c>
      <c r="L1309" s="2" t="s">
        <v>848</v>
      </c>
      <c r="M1309" s="4" t="s">
        <v>47130</v>
      </c>
    </row>
    <row r="1310" spans="1:13">
      <c r="A1310" s="2">
        <v>601</v>
      </c>
      <c r="B1310" s="2" t="s">
        <v>7651</v>
      </c>
      <c r="C1310" s="2">
        <v>16</v>
      </c>
      <c r="D1310" s="2">
        <v>291</v>
      </c>
      <c r="E1310" s="2">
        <v>459</v>
      </c>
      <c r="F1310" s="2">
        <v>32441</v>
      </c>
      <c r="G1310" s="2">
        <v>3.8860514039999998</v>
      </c>
      <c r="H1310" s="3">
        <v>6.5400000000000001E-6</v>
      </c>
      <c r="I1310" s="2" t="s">
        <v>47131</v>
      </c>
      <c r="J1310" s="2" t="s">
        <v>47132</v>
      </c>
      <c r="K1310" s="2">
        <v>1.94363E-4</v>
      </c>
      <c r="L1310" s="2" t="s">
        <v>848</v>
      </c>
      <c r="M1310" s="4" t="s">
        <v>7654</v>
      </c>
    </row>
    <row r="1311" spans="1:13">
      <c r="A1311" s="2">
        <v>2231</v>
      </c>
      <c r="B1311" s="2" t="s">
        <v>10691</v>
      </c>
      <c r="C1311" s="2">
        <v>26</v>
      </c>
      <c r="D1311" s="2">
        <v>291</v>
      </c>
      <c r="E1311" s="2">
        <v>1079</v>
      </c>
      <c r="F1311" s="2">
        <v>32441</v>
      </c>
      <c r="G1311" s="2">
        <v>2.6862915580000002</v>
      </c>
      <c r="H1311" s="3">
        <v>7.3699999999999997E-6</v>
      </c>
      <c r="I1311" s="2" t="s">
        <v>47133</v>
      </c>
      <c r="J1311" s="2" t="s">
        <v>47134</v>
      </c>
      <c r="K1311" s="2">
        <v>2.1800300000000001E-4</v>
      </c>
      <c r="L1311" s="2" t="s">
        <v>848</v>
      </c>
      <c r="M1311" s="4" t="s">
        <v>10694</v>
      </c>
    </row>
    <row r="1312" spans="1:13">
      <c r="A1312" s="2">
        <v>1371</v>
      </c>
      <c r="B1312" s="2" t="s">
        <v>7895</v>
      </c>
      <c r="C1312" s="2">
        <v>16</v>
      </c>
      <c r="D1312" s="2">
        <v>291</v>
      </c>
      <c r="E1312" s="2">
        <v>464</v>
      </c>
      <c r="F1312" s="2">
        <v>32441</v>
      </c>
      <c r="G1312" s="2">
        <v>3.8441758500000001</v>
      </c>
      <c r="H1312" s="3">
        <v>7.4499999999999998E-6</v>
      </c>
      <c r="I1312" s="2" t="s">
        <v>47135</v>
      </c>
      <c r="J1312" s="2" t="s">
        <v>47136</v>
      </c>
      <c r="K1312" s="2">
        <v>2.1928E-4</v>
      </c>
      <c r="L1312" s="2" t="s">
        <v>848</v>
      </c>
      <c r="M1312" s="4" t="s">
        <v>7898</v>
      </c>
    </row>
    <row r="1313" spans="1:13">
      <c r="A1313" s="2">
        <v>1832</v>
      </c>
      <c r="B1313" s="2" t="s">
        <v>30197</v>
      </c>
      <c r="C1313" s="2">
        <v>13</v>
      </c>
      <c r="D1313" s="2">
        <v>291</v>
      </c>
      <c r="E1313" s="2">
        <v>311</v>
      </c>
      <c r="F1313" s="2">
        <v>32441</v>
      </c>
      <c r="G1313" s="2">
        <v>4.6599816580000004</v>
      </c>
      <c r="H1313" s="3">
        <v>7.7400000000000004E-6</v>
      </c>
      <c r="I1313" s="2" t="s">
        <v>47137</v>
      </c>
      <c r="J1313" s="2" t="s">
        <v>47138</v>
      </c>
      <c r="K1313" s="2">
        <v>2.2673499999999999E-4</v>
      </c>
      <c r="L1313" s="2" t="s">
        <v>848</v>
      </c>
      <c r="M1313" s="4" t="s">
        <v>30200</v>
      </c>
    </row>
    <row r="1314" spans="1:13">
      <c r="A1314" s="2">
        <v>1510</v>
      </c>
      <c r="B1314" s="2" t="s">
        <v>10996</v>
      </c>
      <c r="C1314" s="2">
        <v>7</v>
      </c>
      <c r="D1314" s="2">
        <v>291</v>
      </c>
      <c r="E1314" s="2">
        <v>75</v>
      </c>
      <c r="F1314" s="2">
        <v>32441</v>
      </c>
      <c r="G1314" s="2">
        <v>10.40490263</v>
      </c>
      <c r="H1314" s="3">
        <v>8.7900000000000005E-6</v>
      </c>
      <c r="I1314" s="2" t="s">
        <v>47139</v>
      </c>
      <c r="J1314" s="2" t="s">
        <v>47140</v>
      </c>
      <c r="K1314" s="2">
        <v>2.5607199999999998E-4</v>
      </c>
      <c r="L1314" s="2" t="s">
        <v>848</v>
      </c>
      <c r="M1314" s="4" t="s">
        <v>10999</v>
      </c>
    </row>
    <row r="1315" spans="1:13">
      <c r="A1315" s="2">
        <v>28831</v>
      </c>
      <c r="B1315" s="2" t="s">
        <v>47141</v>
      </c>
      <c r="C1315" s="2">
        <v>5</v>
      </c>
      <c r="D1315" s="2">
        <v>291</v>
      </c>
      <c r="E1315" s="2">
        <v>27</v>
      </c>
      <c r="F1315" s="2">
        <v>32441</v>
      </c>
      <c r="G1315" s="2">
        <v>20.64464808</v>
      </c>
      <c r="H1315" s="3">
        <v>8.8799999999999997E-6</v>
      </c>
      <c r="I1315" s="2" t="s">
        <v>47142</v>
      </c>
      <c r="J1315" s="2" t="s">
        <v>47143</v>
      </c>
      <c r="K1315" s="2">
        <v>2.5746299999999998E-4</v>
      </c>
      <c r="L1315" s="2" t="s">
        <v>848</v>
      </c>
      <c r="M1315" s="4" t="s">
        <v>47144</v>
      </c>
    </row>
    <row r="1316" spans="1:13">
      <c r="A1316" s="2">
        <v>1909</v>
      </c>
      <c r="B1316" s="2" t="s">
        <v>10384</v>
      </c>
      <c r="C1316" s="2">
        <v>23</v>
      </c>
      <c r="D1316" s="2">
        <v>291</v>
      </c>
      <c r="E1316" s="2">
        <v>893</v>
      </c>
      <c r="F1316" s="2">
        <v>32441</v>
      </c>
      <c r="G1316" s="2">
        <v>2.8712937200000002</v>
      </c>
      <c r="H1316" s="3">
        <v>9.0599999999999997E-6</v>
      </c>
      <c r="I1316" s="2" t="s">
        <v>47145</v>
      </c>
      <c r="J1316" s="2" t="s">
        <v>47146</v>
      </c>
      <c r="K1316" s="2">
        <v>2.61396E-4</v>
      </c>
      <c r="L1316" s="2" t="s">
        <v>848</v>
      </c>
      <c r="M1316" s="4" t="s">
        <v>10387</v>
      </c>
    </row>
    <row r="1317" spans="1:13">
      <c r="A1317" s="2">
        <v>34771</v>
      </c>
      <c r="B1317" s="2" t="s">
        <v>47147</v>
      </c>
      <c r="C1317" s="2">
        <v>16</v>
      </c>
      <c r="D1317" s="2">
        <v>291</v>
      </c>
      <c r="E1317" s="2">
        <v>472</v>
      </c>
      <c r="F1317" s="2">
        <v>32441</v>
      </c>
      <c r="G1317" s="2">
        <v>3.779020327</v>
      </c>
      <c r="H1317" s="3">
        <v>9.1500000000000005E-6</v>
      </c>
      <c r="I1317" s="2" t="s">
        <v>47148</v>
      </c>
      <c r="J1317" s="2" t="s">
        <v>47149</v>
      </c>
      <c r="K1317" s="2">
        <v>2.6271500000000001E-4</v>
      </c>
      <c r="L1317" s="2" t="s">
        <v>848</v>
      </c>
      <c r="M1317" s="4" t="s">
        <v>47150</v>
      </c>
    </row>
    <row r="1318" spans="1:13">
      <c r="A1318" s="2">
        <v>2650</v>
      </c>
      <c r="B1318" s="2" t="s">
        <v>10372</v>
      </c>
      <c r="C1318" s="2">
        <v>10</v>
      </c>
      <c r="D1318" s="2">
        <v>291</v>
      </c>
      <c r="E1318" s="2">
        <v>183</v>
      </c>
      <c r="F1318" s="2">
        <v>32441</v>
      </c>
      <c r="G1318" s="2">
        <v>6.0918633690000004</v>
      </c>
      <c r="H1318" s="3">
        <v>9.8700000000000004E-6</v>
      </c>
      <c r="I1318" s="2" t="s">
        <v>47151</v>
      </c>
      <c r="J1318" s="2" t="s">
        <v>47152</v>
      </c>
      <c r="K1318" s="2">
        <v>2.82112E-4</v>
      </c>
      <c r="L1318" s="2" t="s">
        <v>848</v>
      </c>
      <c r="M1318" s="4" t="s">
        <v>10375</v>
      </c>
    </row>
    <row r="1319" spans="1:13">
      <c r="A1319" s="2">
        <v>1841</v>
      </c>
      <c r="B1319" s="2" t="s">
        <v>47153</v>
      </c>
      <c r="C1319" s="2">
        <v>9</v>
      </c>
      <c r="D1319" s="2">
        <v>291</v>
      </c>
      <c r="E1319" s="2">
        <v>144</v>
      </c>
      <c r="F1319" s="2">
        <v>32441</v>
      </c>
      <c r="G1319" s="2">
        <v>6.9675687289999999</v>
      </c>
      <c r="H1319" s="3">
        <v>1.0000000000000001E-5</v>
      </c>
      <c r="I1319" s="2" t="s">
        <v>47154</v>
      </c>
      <c r="J1319" s="2" t="s">
        <v>47155</v>
      </c>
      <c r="K1319" s="2">
        <v>2.8437800000000001E-4</v>
      </c>
      <c r="L1319" s="2" t="s">
        <v>848</v>
      </c>
      <c r="M1319" s="4" t="s">
        <v>47156</v>
      </c>
    </row>
    <row r="1320" spans="1:13">
      <c r="A1320" s="2">
        <v>3146</v>
      </c>
      <c r="B1320" s="2" t="s">
        <v>47157</v>
      </c>
      <c r="C1320" s="2">
        <v>7</v>
      </c>
      <c r="D1320" s="2">
        <v>291</v>
      </c>
      <c r="E1320" s="2">
        <v>77</v>
      </c>
      <c r="F1320" s="2">
        <v>32441</v>
      </c>
      <c r="G1320" s="2">
        <v>10.13464542</v>
      </c>
      <c r="H1320" s="3">
        <v>1.03E-5</v>
      </c>
      <c r="I1320" s="2" t="s">
        <v>47158</v>
      </c>
      <c r="J1320" s="2" t="s">
        <v>47159</v>
      </c>
      <c r="K1320" s="2">
        <v>2.9187400000000002E-4</v>
      </c>
      <c r="L1320" s="2" t="s">
        <v>848</v>
      </c>
      <c r="M1320" s="4" t="s">
        <v>47160</v>
      </c>
    </row>
    <row r="1321" spans="1:13">
      <c r="A1321" s="2">
        <v>4292</v>
      </c>
      <c r="B1321" s="2" t="s">
        <v>47161</v>
      </c>
      <c r="C1321" s="2">
        <v>5</v>
      </c>
      <c r="D1321" s="2">
        <v>291</v>
      </c>
      <c r="E1321" s="2">
        <v>28</v>
      </c>
      <c r="F1321" s="2">
        <v>32441</v>
      </c>
      <c r="G1321" s="2">
        <v>19.907339220000001</v>
      </c>
      <c r="H1321" s="3">
        <v>1.04E-5</v>
      </c>
      <c r="I1321" s="2" t="s">
        <v>47068</v>
      </c>
      <c r="J1321" s="2" t="s">
        <v>47069</v>
      </c>
      <c r="K1321" s="2">
        <v>2.9263299999999999E-4</v>
      </c>
      <c r="L1321" s="2" t="s">
        <v>848</v>
      </c>
      <c r="M1321" s="4" t="s">
        <v>47162</v>
      </c>
    </row>
    <row r="1322" spans="1:13">
      <c r="A1322" s="2">
        <v>1560</v>
      </c>
      <c r="B1322" s="2" t="s">
        <v>47163</v>
      </c>
      <c r="C1322" s="2">
        <v>6</v>
      </c>
      <c r="D1322" s="2">
        <v>291</v>
      </c>
      <c r="E1322" s="2">
        <v>51</v>
      </c>
      <c r="F1322" s="2">
        <v>32441</v>
      </c>
      <c r="G1322" s="2">
        <v>13.11542349</v>
      </c>
      <c r="H1322" s="3">
        <v>1.1600000000000001E-5</v>
      </c>
      <c r="I1322" s="2" t="s">
        <v>47164</v>
      </c>
      <c r="J1322" s="2" t="s">
        <v>47165</v>
      </c>
      <c r="K1322" s="2">
        <v>3.2612400000000001E-4</v>
      </c>
      <c r="L1322" s="2" t="s">
        <v>848</v>
      </c>
      <c r="M1322" s="4" t="s">
        <v>47166</v>
      </c>
    </row>
    <row r="1323" spans="1:13">
      <c r="A1323" s="2">
        <v>253</v>
      </c>
      <c r="B1323" s="2" t="s">
        <v>47167</v>
      </c>
      <c r="C1323" s="2">
        <v>12</v>
      </c>
      <c r="D1323" s="2">
        <v>291</v>
      </c>
      <c r="E1323" s="2">
        <v>277</v>
      </c>
      <c r="F1323" s="2">
        <v>32441</v>
      </c>
      <c r="G1323" s="2">
        <v>4.8295061219999997</v>
      </c>
      <c r="H1323" s="3">
        <v>1.2300000000000001E-5</v>
      </c>
      <c r="I1323" s="2" t="s">
        <v>47168</v>
      </c>
      <c r="J1323" s="2" t="s">
        <v>47169</v>
      </c>
      <c r="K1323" s="2">
        <v>3.4381599999999999E-4</v>
      </c>
      <c r="L1323" s="2" t="s">
        <v>848</v>
      </c>
      <c r="M1323" s="4" t="s">
        <v>47170</v>
      </c>
    </row>
    <row r="1324" spans="1:13">
      <c r="A1324" s="2">
        <v>3125</v>
      </c>
      <c r="B1324" s="2" t="s">
        <v>47171</v>
      </c>
      <c r="C1324" s="2">
        <v>13</v>
      </c>
      <c r="D1324" s="2">
        <v>291</v>
      </c>
      <c r="E1324" s="2">
        <v>326</v>
      </c>
      <c r="F1324" s="2">
        <v>32441</v>
      </c>
      <c r="G1324" s="2">
        <v>4.4455653240000004</v>
      </c>
      <c r="H1324" s="3">
        <v>1.2500000000000001E-5</v>
      </c>
      <c r="I1324" s="2" t="s">
        <v>47172</v>
      </c>
      <c r="J1324" s="2" t="s">
        <v>47173</v>
      </c>
      <c r="K1324" s="2">
        <v>3.47917E-4</v>
      </c>
      <c r="L1324" s="2" t="s">
        <v>848</v>
      </c>
      <c r="M1324" s="4" t="s">
        <v>47174</v>
      </c>
    </row>
    <row r="1325" spans="1:13">
      <c r="A1325" s="2">
        <v>2615</v>
      </c>
      <c r="B1325" s="2" t="s">
        <v>47175</v>
      </c>
      <c r="C1325" s="2">
        <v>8</v>
      </c>
      <c r="D1325" s="2">
        <v>291</v>
      </c>
      <c r="E1325" s="2">
        <v>112</v>
      </c>
      <c r="F1325" s="2">
        <v>32441</v>
      </c>
      <c r="G1325" s="2">
        <v>7.9629356900000001</v>
      </c>
      <c r="H1325" s="3">
        <v>1.26E-5</v>
      </c>
      <c r="I1325" s="2" t="s">
        <v>46872</v>
      </c>
      <c r="J1325" s="2" t="s">
        <v>46873</v>
      </c>
      <c r="K1325" s="2">
        <v>3.4824500000000001E-4</v>
      </c>
      <c r="L1325" s="2" t="s">
        <v>848</v>
      </c>
      <c r="M1325" s="4" t="s">
        <v>47176</v>
      </c>
    </row>
    <row r="1326" spans="1:13">
      <c r="A1326" s="2">
        <v>2278</v>
      </c>
      <c r="B1326" s="2" t="s">
        <v>10463</v>
      </c>
      <c r="C1326" s="2">
        <v>7</v>
      </c>
      <c r="D1326" s="2">
        <v>291</v>
      </c>
      <c r="E1326" s="2">
        <v>80</v>
      </c>
      <c r="F1326" s="2">
        <v>32441</v>
      </c>
      <c r="G1326" s="2">
        <v>9.7545962199999998</v>
      </c>
      <c r="H1326" s="3">
        <v>1.2999999999999999E-5</v>
      </c>
      <c r="I1326" s="2" t="s">
        <v>47177</v>
      </c>
      <c r="J1326" s="2" t="s">
        <v>47178</v>
      </c>
      <c r="K1326" s="2">
        <v>3.5782899999999999E-4</v>
      </c>
      <c r="L1326" s="2" t="s">
        <v>848</v>
      </c>
      <c r="M1326" s="4" t="s">
        <v>10466</v>
      </c>
    </row>
    <row r="1327" spans="1:13">
      <c r="A1327" s="2">
        <v>4120</v>
      </c>
      <c r="B1327" s="2" t="s">
        <v>47179</v>
      </c>
      <c r="C1327" s="2">
        <v>4</v>
      </c>
      <c r="D1327" s="2">
        <v>291</v>
      </c>
      <c r="E1327" s="2">
        <v>13</v>
      </c>
      <c r="F1327" s="2">
        <v>32441</v>
      </c>
      <c r="G1327" s="2">
        <v>34.301876819999997</v>
      </c>
      <c r="H1327" s="3">
        <v>1.33E-5</v>
      </c>
      <c r="I1327" s="2" t="s">
        <v>47180</v>
      </c>
      <c r="J1327" s="2" t="s">
        <v>47181</v>
      </c>
      <c r="K1327" s="2">
        <v>3.6249900000000001E-4</v>
      </c>
      <c r="L1327" s="2" t="s">
        <v>848</v>
      </c>
      <c r="M1327" s="4" t="s">
        <v>47182</v>
      </c>
    </row>
    <row r="1328" spans="1:13">
      <c r="A1328" s="2">
        <v>4273</v>
      </c>
      <c r="B1328" s="2" t="s">
        <v>47183</v>
      </c>
      <c r="C1328" s="2">
        <v>4</v>
      </c>
      <c r="D1328" s="2">
        <v>291</v>
      </c>
      <c r="E1328" s="2">
        <v>13</v>
      </c>
      <c r="F1328" s="2">
        <v>32441</v>
      </c>
      <c r="G1328" s="2">
        <v>34.301876819999997</v>
      </c>
      <c r="H1328" s="3">
        <v>1.33E-5</v>
      </c>
      <c r="I1328" s="2" t="s">
        <v>47184</v>
      </c>
      <c r="J1328" s="2" t="s">
        <v>47185</v>
      </c>
      <c r="K1328" s="2">
        <v>3.6249900000000001E-4</v>
      </c>
      <c r="L1328" s="2" t="s">
        <v>848</v>
      </c>
      <c r="M1328" s="4" t="s">
        <v>47186</v>
      </c>
    </row>
    <row r="1329" spans="1:13">
      <c r="A1329" s="2">
        <v>4191</v>
      </c>
      <c r="B1329" s="2" t="s">
        <v>47187</v>
      </c>
      <c r="C1329" s="2">
        <v>10</v>
      </c>
      <c r="D1329" s="2">
        <v>291</v>
      </c>
      <c r="E1329" s="2">
        <v>190</v>
      </c>
      <c r="F1329" s="2">
        <v>32441</v>
      </c>
      <c r="G1329" s="2">
        <v>5.8674262979999998</v>
      </c>
      <c r="H1329" s="3">
        <v>1.3499999999999999E-5</v>
      </c>
      <c r="I1329" s="2" t="s">
        <v>47188</v>
      </c>
      <c r="J1329" s="2" t="s">
        <v>47189</v>
      </c>
      <c r="K1329" s="2">
        <v>3.6534300000000002E-4</v>
      </c>
      <c r="L1329" s="2" t="s">
        <v>848</v>
      </c>
      <c r="M1329" s="4" t="s">
        <v>47190</v>
      </c>
    </row>
    <row r="1330" spans="1:13">
      <c r="A1330" s="2">
        <v>277</v>
      </c>
      <c r="B1330" s="2" t="s">
        <v>42899</v>
      </c>
      <c r="C1330" s="2">
        <v>7</v>
      </c>
      <c r="D1330" s="2">
        <v>291</v>
      </c>
      <c r="E1330" s="2">
        <v>81</v>
      </c>
      <c r="F1330" s="2">
        <v>32441</v>
      </c>
      <c r="G1330" s="2">
        <v>9.6341691059999999</v>
      </c>
      <c r="H1330" s="3">
        <v>1.4E-5</v>
      </c>
      <c r="I1330" s="2" t="s">
        <v>47191</v>
      </c>
      <c r="J1330" s="2" t="s">
        <v>47192</v>
      </c>
      <c r="K1330" s="2">
        <v>3.7365899999999998E-4</v>
      </c>
      <c r="L1330" s="2" t="s">
        <v>848</v>
      </c>
      <c r="M1330" s="4" t="s">
        <v>42902</v>
      </c>
    </row>
    <row r="1331" spans="1:13">
      <c r="A1331" s="2">
        <v>2221</v>
      </c>
      <c r="B1331" s="2" t="s">
        <v>7563</v>
      </c>
      <c r="C1331" s="2">
        <v>30</v>
      </c>
      <c r="D1331" s="2">
        <v>291</v>
      </c>
      <c r="E1331" s="2">
        <v>1403</v>
      </c>
      <c r="F1331" s="2">
        <v>32441</v>
      </c>
      <c r="G1331" s="2">
        <v>2.383772623</v>
      </c>
      <c r="H1331" s="3">
        <v>1.3900000000000001E-5</v>
      </c>
      <c r="I1331" s="2" t="s">
        <v>47193</v>
      </c>
      <c r="J1331" s="2" t="s">
        <v>47194</v>
      </c>
      <c r="K1331" s="2">
        <v>3.7365899999999998E-4</v>
      </c>
      <c r="L1331" s="2" t="s">
        <v>848</v>
      </c>
      <c r="M1331" s="4" t="s">
        <v>7566</v>
      </c>
    </row>
    <row r="1332" spans="1:13">
      <c r="A1332" s="2">
        <v>4103</v>
      </c>
      <c r="B1332" s="2" t="s">
        <v>47195</v>
      </c>
      <c r="C1332" s="2">
        <v>5</v>
      </c>
      <c r="D1332" s="2">
        <v>291</v>
      </c>
      <c r="E1332" s="2">
        <v>30</v>
      </c>
      <c r="F1332" s="2">
        <v>32441</v>
      </c>
      <c r="G1332" s="2">
        <v>18.58018328</v>
      </c>
      <c r="H1332" s="3">
        <v>1.4E-5</v>
      </c>
      <c r="I1332" s="2" t="s">
        <v>47196</v>
      </c>
      <c r="J1332" s="2" t="s">
        <v>47197</v>
      </c>
      <c r="K1332" s="2">
        <v>3.7365899999999998E-4</v>
      </c>
      <c r="L1332" s="2" t="s">
        <v>848</v>
      </c>
      <c r="M1332" s="4" t="s">
        <v>47198</v>
      </c>
    </row>
    <row r="1333" spans="1:13">
      <c r="A1333" s="2">
        <v>5483</v>
      </c>
      <c r="B1333" s="2" t="s">
        <v>47199</v>
      </c>
      <c r="C1333" s="2">
        <v>5</v>
      </c>
      <c r="D1333" s="2">
        <v>291</v>
      </c>
      <c r="E1333" s="2">
        <v>30</v>
      </c>
      <c r="F1333" s="2">
        <v>32441</v>
      </c>
      <c r="G1333" s="2">
        <v>18.58018328</v>
      </c>
      <c r="H1333" s="3">
        <v>1.4E-5</v>
      </c>
      <c r="I1333" s="2" t="s">
        <v>47200</v>
      </c>
      <c r="J1333" s="2" t="s">
        <v>47201</v>
      </c>
      <c r="K1333" s="2">
        <v>3.7365899999999998E-4</v>
      </c>
      <c r="L1333" s="2" t="s">
        <v>848</v>
      </c>
      <c r="M1333" s="4" t="s">
        <v>47202</v>
      </c>
    </row>
    <row r="1334" spans="1:13">
      <c r="A1334" s="2">
        <v>1275</v>
      </c>
      <c r="B1334" s="2" t="s">
        <v>47203</v>
      </c>
      <c r="C1334" s="2">
        <v>6</v>
      </c>
      <c r="D1334" s="2">
        <v>291</v>
      </c>
      <c r="E1334" s="2">
        <v>53</v>
      </c>
      <c r="F1334" s="2">
        <v>32441</v>
      </c>
      <c r="G1334" s="2">
        <v>12.62050185</v>
      </c>
      <c r="H1334" s="3">
        <v>1.42E-5</v>
      </c>
      <c r="I1334" s="2" t="s">
        <v>47204</v>
      </c>
      <c r="J1334" s="2" t="s">
        <v>47205</v>
      </c>
      <c r="K1334" s="2">
        <v>3.7579900000000001E-4</v>
      </c>
      <c r="L1334" s="2" t="s">
        <v>848</v>
      </c>
      <c r="M1334" s="4" t="s">
        <v>47206</v>
      </c>
    </row>
    <row r="1335" spans="1:13">
      <c r="A1335" s="2">
        <v>2180</v>
      </c>
      <c r="B1335" s="2" t="s">
        <v>47207</v>
      </c>
      <c r="C1335" s="2">
        <v>6</v>
      </c>
      <c r="D1335" s="2">
        <v>291</v>
      </c>
      <c r="E1335" s="2">
        <v>53</v>
      </c>
      <c r="F1335" s="2">
        <v>32441</v>
      </c>
      <c r="G1335" s="2">
        <v>12.62050185</v>
      </c>
      <c r="H1335" s="3">
        <v>1.42E-5</v>
      </c>
      <c r="I1335" s="2" t="s">
        <v>47208</v>
      </c>
      <c r="J1335" s="2" t="s">
        <v>47209</v>
      </c>
      <c r="K1335" s="2">
        <v>3.7579900000000001E-4</v>
      </c>
      <c r="L1335" s="2" t="s">
        <v>848</v>
      </c>
      <c r="M1335" s="4" t="s">
        <v>47210</v>
      </c>
    </row>
    <row r="1336" spans="1:13">
      <c r="A1336" s="2">
        <v>4561</v>
      </c>
      <c r="B1336" s="2" t="s">
        <v>47211</v>
      </c>
      <c r="C1336" s="2">
        <v>28</v>
      </c>
      <c r="D1336" s="2">
        <v>291</v>
      </c>
      <c r="E1336" s="2">
        <v>1265</v>
      </c>
      <c r="F1336" s="2">
        <v>32441</v>
      </c>
      <c r="G1336" s="2">
        <v>2.467565842</v>
      </c>
      <c r="H1336" s="3">
        <v>1.5E-5</v>
      </c>
      <c r="I1336" s="2" t="s">
        <v>47212</v>
      </c>
      <c r="J1336" s="2" t="s">
        <v>47213</v>
      </c>
      <c r="K1336" s="2">
        <v>3.9320099999999998E-4</v>
      </c>
      <c r="L1336" s="2" t="s">
        <v>848</v>
      </c>
      <c r="M1336" s="4" t="s">
        <v>47214</v>
      </c>
    </row>
    <row r="1337" spans="1:13">
      <c r="A1337" s="2">
        <v>3570</v>
      </c>
      <c r="B1337" s="2" t="s">
        <v>43228</v>
      </c>
      <c r="C1337" s="2">
        <v>7</v>
      </c>
      <c r="D1337" s="2">
        <v>291</v>
      </c>
      <c r="E1337" s="2">
        <v>82</v>
      </c>
      <c r="F1337" s="2">
        <v>32441</v>
      </c>
      <c r="G1337" s="2">
        <v>9.5166792390000001</v>
      </c>
      <c r="H1337" s="3">
        <v>1.5099999999999999E-5</v>
      </c>
      <c r="I1337" s="2" t="s">
        <v>47215</v>
      </c>
      <c r="J1337" s="2" t="s">
        <v>47216</v>
      </c>
      <c r="K1337" s="2">
        <v>3.9537799999999999E-4</v>
      </c>
      <c r="L1337" s="2" t="s">
        <v>848</v>
      </c>
      <c r="M1337" s="4" t="s">
        <v>43231</v>
      </c>
    </row>
    <row r="1338" spans="1:13">
      <c r="A1338" s="2">
        <v>3829</v>
      </c>
      <c r="B1338" s="2" t="s">
        <v>47217</v>
      </c>
      <c r="C1338" s="2">
        <v>11</v>
      </c>
      <c r="D1338" s="2">
        <v>291</v>
      </c>
      <c r="E1338" s="2">
        <v>237</v>
      </c>
      <c r="F1338" s="2">
        <v>32441</v>
      </c>
      <c r="G1338" s="2">
        <v>5.174228254</v>
      </c>
      <c r="H1338" s="3">
        <v>1.5400000000000002E-5</v>
      </c>
      <c r="I1338" s="2" t="s">
        <v>47218</v>
      </c>
      <c r="J1338" s="2" t="s">
        <v>47219</v>
      </c>
      <c r="K1338" s="2">
        <v>4.0226900000000002E-4</v>
      </c>
      <c r="L1338" s="2" t="s">
        <v>848</v>
      </c>
      <c r="M1338" s="4" t="s">
        <v>47220</v>
      </c>
    </row>
    <row r="1339" spans="1:13">
      <c r="A1339" s="2">
        <v>4363</v>
      </c>
      <c r="B1339" s="2" t="s">
        <v>9488</v>
      </c>
      <c r="C1339" s="2">
        <v>17</v>
      </c>
      <c r="D1339" s="2">
        <v>291</v>
      </c>
      <c r="E1339" s="2">
        <v>552</v>
      </c>
      <c r="F1339" s="2">
        <v>32441</v>
      </c>
      <c r="G1339" s="2">
        <v>3.4332947360000001</v>
      </c>
      <c r="H1339" s="3">
        <v>1.5999999999999999E-5</v>
      </c>
      <c r="I1339" s="2" t="s">
        <v>47221</v>
      </c>
      <c r="J1339" s="2" t="s">
        <v>47222</v>
      </c>
      <c r="K1339" s="2">
        <v>4.1500599999999999E-4</v>
      </c>
      <c r="L1339" s="2" t="s">
        <v>848</v>
      </c>
      <c r="M1339" s="4" t="s">
        <v>9491</v>
      </c>
    </row>
    <row r="1340" spans="1:13">
      <c r="A1340" s="2">
        <v>1432</v>
      </c>
      <c r="B1340" s="2" t="s">
        <v>47223</v>
      </c>
      <c r="C1340" s="2">
        <v>4</v>
      </c>
      <c r="D1340" s="2">
        <v>291</v>
      </c>
      <c r="E1340" s="2">
        <v>14</v>
      </c>
      <c r="F1340" s="2">
        <v>32441</v>
      </c>
      <c r="G1340" s="2">
        <v>31.85174276</v>
      </c>
      <c r="H1340" s="3">
        <v>1.7E-5</v>
      </c>
      <c r="I1340" s="2" t="s">
        <v>47224</v>
      </c>
      <c r="J1340" s="2" t="s">
        <v>47225</v>
      </c>
      <c r="K1340" s="2">
        <v>4.32889E-4</v>
      </c>
      <c r="L1340" s="2" t="s">
        <v>848</v>
      </c>
      <c r="M1340" s="4" t="s">
        <v>47226</v>
      </c>
    </row>
    <row r="1341" spans="1:13">
      <c r="A1341" s="2">
        <v>15621</v>
      </c>
      <c r="B1341" s="2" t="s">
        <v>7879</v>
      </c>
      <c r="C1341" s="2">
        <v>35</v>
      </c>
      <c r="D1341" s="2">
        <v>291</v>
      </c>
      <c r="E1341" s="2">
        <v>1791</v>
      </c>
      <c r="F1341" s="2">
        <v>32441</v>
      </c>
      <c r="G1341" s="2">
        <v>2.1785809540000001</v>
      </c>
      <c r="H1341" s="3">
        <v>1.7E-5</v>
      </c>
      <c r="I1341" s="2" t="s">
        <v>47227</v>
      </c>
      <c r="J1341" s="2" t="s">
        <v>47228</v>
      </c>
      <c r="K1341" s="2">
        <v>4.32889E-4</v>
      </c>
      <c r="L1341" s="2" t="s">
        <v>848</v>
      </c>
      <c r="M1341" s="4" t="s">
        <v>7882</v>
      </c>
    </row>
    <row r="1342" spans="1:13">
      <c r="A1342" s="2">
        <v>15981</v>
      </c>
      <c r="B1342" s="2" t="s">
        <v>47229</v>
      </c>
      <c r="C1342" s="2">
        <v>4</v>
      </c>
      <c r="D1342" s="2">
        <v>291</v>
      </c>
      <c r="E1342" s="2">
        <v>14</v>
      </c>
      <c r="F1342" s="2">
        <v>32441</v>
      </c>
      <c r="G1342" s="2">
        <v>31.85174276</v>
      </c>
      <c r="H1342" s="3">
        <v>1.7E-5</v>
      </c>
      <c r="I1342" s="2" t="s">
        <v>47230</v>
      </c>
      <c r="J1342" s="2" t="s">
        <v>47231</v>
      </c>
      <c r="K1342" s="2">
        <v>4.32889E-4</v>
      </c>
      <c r="L1342" s="2" t="s">
        <v>848</v>
      </c>
      <c r="M1342" s="4" t="s">
        <v>47232</v>
      </c>
    </row>
    <row r="1343" spans="1:13">
      <c r="A1343" s="2">
        <v>4854</v>
      </c>
      <c r="B1343" s="2" t="s">
        <v>47233</v>
      </c>
      <c r="C1343" s="2">
        <v>4</v>
      </c>
      <c r="D1343" s="2">
        <v>291</v>
      </c>
      <c r="E1343" s="2">
        <v>14</v>
      </c>
      <c r="F1343" s="2">
        <v>32441</v>
      </c>
      <c r="G1343" s="2">
        <v>31.85174276</v>
      </c>
      <c r="H1343" s="3">
        <v>1.7E-5</v>
      </c>
      <c r="I1343" s="2" t="s">
        <v>47234</v>
      </c>
      <c r="J1343" s="2" t="s">
        <v>47235</v>
      </c>
      <c r="K1343" s="2">
        <v>4.32889E-4</v>
      </c>
      <c r="L1343" s="2" t="s">
        <v>848</v>
      </c>
      <c r="M1343" s="4" t="s">
        <v>47236</v>
      </c>
    </row>
    <row r="1344" spans="1:13">
      <c r="A1344" s="2">
        <v>18521</v>
      </c>
      <c r="B1344" s="2" t="s">
        <v>47237</v>
      </c>
      <c r="C1344" s="2">
        <v>7</v>
      </c>
      <c r="D1344" s="2">
        <v>291</v>
      </c>
      <c r="E1344" s="2">
        <v>84</v>
      </c>
      <c r="F1344" s="2">
        <v>32441</v>
      </c>
      <c r="G1344" s="2">
        <v>9.2900916379999998</v>
      </c>
      <c r="H1344" s="3">
        <v>1.7499999999999998E-5</v>
      </c>
      <c r="I1344" s="2" t="s">
        <v>47238</v>
      </c>
      <c r="J1344" s="2" t="s">
        <v>47239</v>
      </c>
      <c r="K1344" s="2">
        <v>4.43738E-4</v>
      </c>
      <c r="L1344" s="2" t="s">
        <v>848</v>
      </c>
      <c r="M1344" s="4" t="s">
        <v>47240</v>
      </c>
    </row>
    <row r="1345" spans="1:13">
      <c r="A1345" s="2">
        <v>5183</v>
      </c>
      <c r="B1345" s="2" t="s">
        <v>10341</v>
      </c>
      <c r="C1345" s="2">
        <v>11</v>
      </c>
      <c r="D1345" s="2">
        <v>291</v>
      </c>
      <c r="E1345" s="2">
        <v>242</v>
      </c>
      <c r="F1345" s="2">
        <v>32441</v>
      </c>
      <c r="G1345" s="2">
        <v>5.0673227120000002</v>
      </c>
      <c r="H1345" s="3">
        <v>1.8600000000000001E-5</v>
      </c>
      <c r="I1345" s="2" t="s">
        <v>47241</v>
      </c>
      <c r="J1345" s="2" t="s">
        <v>47242</v>
      </c>
      <c r="K1345" s="2">
        <v>4.6955599999999999E-4</v>
      </c>
      <c r="L1345" s="2" t="s">
        <v>848</v>
      </c>
      <c r="M1345" s="4" t="s">
        <v>10344</v>
      </c>
    </row>
    <row r="1346" spans="1:13">
      <c r="A1346" s="2">
        <v>1488</v>
      </c>
      <c r="B1346" s="2" t="s">
        <v>47243</v>
      </c>
      <c r="C1346" s="2">
        <v>7</v>
      </c>
      <c r="D1346" s="2">
        <v>291</v>
      </c>
      <c r="E1346" s="2">
        <v>85</v>
      </c>
      <c r="F1346" s="2">
        <v>32441</v>
      </c>
      <c r="G1346" s="2">
        <v>9.1807964420000001</v>
      </c>
      <c r="H1346" s="3">
        <v>1.88E-5</v>
      </c>
      <c r="I1346" s="2" t="s">
        <v>47244</v>
      </c>
      <c r="J1346" s="2" t="s">
        <v>47245</v>
      </c>
      <c r="K1346" s="2">
        <v>4.7260899999999997E-4</v>
      </c>
      <c r="L1346" s="2" t="s">
        <v>848</v>
      </c>
      <c r="M1346" s="4" t="s">
        <v>47246</v>
      </c>
    </row>
    <row r="1347" spans="1:13">
      <c r="A1347" s="2">
        <v>866</v>
      </c>
      <c r="B1347" s="2" t="s">
        <v>8591</v>
      </c>
      <c r="C1347" s="2">
        <v>35</v>
      </c>
      <c r="D1347" s="2">
        <v>291</v>
      </c>
      <c r="E1347" s="2">
        <v>1805</v>
      </c>
      <c r="F1347" s="2">
        <v>32441</v>
      </c>
      <c r="G1347" s="2">
        <v>2.1616833729999998</v>
      </c>
      <c r="H1347" s="3">
        <v>1.9899999999999999E-5</v>
      </c>
      <c r="I1347" s="2" t="s">
        <v>47247</v>
      </c>
      <c r="J1347" s="2" t="s">
        <v>47248</v>
      </c>
      <c r="K1347" s="2">
        <v>4.9837899999999997E-4</v>
      </c>
      <c r="L1347" s="2" t="s">
        <v>848</v>
      </c>
      <c r="M1347" s="4" t="s">
        <v>8594</v>
      </c>
    </row>
    <row r="1348" spans="1:13">
      <c r="A1348" s="2">
        <v>4756</v>
      </c>
      <c r="B1348" s="2" t="s">
        <v>47249</v>
      </c>
      <c r="C1348" s="2">
        <v>23</v>
      </c>
      <c r="D1348" s="2">
        <v>291</v>
      </c>
      <c r="E1348" s="2">
        <v>942</v>
      </c>
      <c r="F1348" s="2">
        <v>32441</v>
      </c>
      <c r="G1348" s="2">
        <v>2.7219376770000001</v>
      </c>
      <c r="H1348" s="3">
        <v>2.0599999999999999E-5</v>
      </c>
      <c r="I1348" s="2" t="s">
        <v>47250</v>
      </c>
      <c r="J1348" s="2" t="s">
        <v>47251</v>
      </c>
      <c r="K1348" s="2">
        <v>5.1492300000000003E-4</v>
      </c>
      <c r="L1348" s="2" t="s">
        <v>848</v>
      </c>
      <c r="M1348" s="4" t="s">
        <v>47252</v>
      </c>
    </row>
    <row r="1349" spans="1:13">
      <c r="A1349" s="2">
        <v>46111</v>
      </c>
      <c r="B1349" s="2" t="s">
        <v>47253</v>
      </c>
      <c r="C1349" s="2">
        <v>6</v>
      </c>
      <c r="D1349" s="2">
        <v>291</v>
      </c>
      <c r="E1349" s="2">
        <v>57</v>
      </c>
      <c r="F1349" s="2">
        <v>32441</v>
      </c>
      <c r="G1349" s="2">
        <v>11.7348526</v>
      </c>
      <c r="H1349" s="3">
        <v>2.0800000000000001E-5</v>
      </c>
      <c r="I1349" s="2" t="s">
        <v>47254</v>
      </c>
      <c r="J1349" s="2" t="s">
        <v>47255</v>
      </c>
      <c r="K1349" s="2">
        <v>5.1772899999999998E-4</v>
      </c>
      <c r="L1349" s="2" t="s">
        <v>848</v>
      </c>
      <c r="M1349" s="4" t="s">
        <v>47256</v>
      </c>
    </row>
    <row r="1350" spans="1:13">
      <c r="A1350" s="2">
        <v>3337</v>
      </c>
      <c r="B1350" s="2" t="s">
        <v>28815</v>
      </c>
      <c r="C1350" s="2">
        <v>25</v>
      </c>
      <c r="D1350" s="2">
        <v>291</v>
      </c>
      <c r="E1350" s="2">
        <v>1087</v>
      </c>
      <c r="F1350" s="2">
        <v>32441</v>
      </c>
      <c r="G1350" s="2">
        <v>2.563962734</v>
      </c>
      <c r="H1350" s="3">
        <v>2.37E-5</v>
      </c>
      <c r="I1350" s="2" t="s">
        <v>47257</v>
      </c>
      <c r="J1350" s="2" t="s">
        <v>47258</v>
      </c>
      <c r="K1350" s="2">
        <v>5.8658099999999997E-4</v>
      </c>
      <c r="L1350" s="2" t="s">
        <v>848</v>
      </c>
      <c r="M1350" s="4" t="s">
        <v>28818</v>
      </c>
    </row>
    <row r="1351" spans="1:13">
      <c r="A1351" s="2">
        <v>1151</v>
      </c>
      <c r="B1351" s="2" t="s">
        <v>30737</v>
      </c>
      <c r="C1351" s="2">
        <v>18</v>
      </c>
      <c r="D1351" s="2">
        <v>291</v>
      </c>
      <c r="E1351" s="2">
        <v>633</v>
      </c>
      <c r="F1351" s="2">
        <v>32441</v>
      </c>
      <c r="G1351" s="2">
        <v>3.170078663</v>
      </c>
      <c r="H1351" s="3">
        <v>2.5199999999999999E-5</v>
      </c>
      <c r="I1351" s="2" t="s">
        <v>47259</v>
      </c>
      <c r="J1351" s="2" t="s">
        <v>47260</v>
      </c>
      <c r="K1351" s="2">
        <v>6.2075699999999999E-4</v>
      </c>
      <c r="L1351" s="2" t="s">
        <v>848</v>
      </c>
      <c r="M1351" s="4" t="s">
        <v>30740</v>
      </c>
    </row>
    <row r="1352" spans="1:13">
      <c r="A1352" s="2">
        <v>3825</v>
      </c>
      <c r="B1352" s="2" t="s">
        <v>29923</v>
      </c>
      <c r="C1352" s="2">
        <v>16</v>
      </c>
      <c r="D1352" s="2">
        <v>291</v>
      </c>
      <c r="E1352" s="2">
        <v>515</v>
      </c>
      <c r="F1352" s="2">
        <v>32441</v>
      </c>
      <c r="G1352" s="2">
        <v>3.463490475</v>
      </c>
      <c r="H1352" s="3">
        <v>2.5599999999999999E-5</v>
      </c>
      <c r="I1352" s="2" t="s">
        <v>47261</v>
      </c>
      <c r="J1352" s="2" t="s">
        <v>47262</v>
      </c>
      <c r="K1352" s="2">
        <v>6.29647E-4</v>
      </c>
      <c r="L1352" s="2" t="s">
        <v>848</v>
      </c>
      <c r="M1352" s="4" t="s">
        <v>29926</v>
      </c>
    </row>
    <row r="1353" spans="1:13">
      <c r="A1353" s="2">
        <v>1509</v>
      </c>
      <c r="B1353" s="2" t="s">
        <v>47263</v>
      </c>
      <c r="C1353" s="2">
        <v>4</v>
      </c>
      <c r="D1353" s="2">
        <v>291</v>
      </c>
      <c r="E1353" s="2">
        <v>16</v>
      </c>
      <c r="F1353" s="2">
        <v>32441</v>
      </c>
      <c r="G1353" s="2">
        <v>27.870274909999999</v>
      </c>
      <c r="H1353" s="3">
        <v>2.65E-5</v>
      </c>
      <c r="I1353" s="2" t="s">
        <v>47180</v>
      </c>
      <c r="J1353" s="2" t="s">
        <v>47181</v>
      </c>
      <c r="K1353" s="2">
        <v>6.4536200000000002E-4</v>
      </c>
      <c r="L1353" s="2" t="s">
        <v>848</v>
      </c>
      <c r="M1353" s="4" t="s">
        <v>47264</v>
      </c>
    </row>
    <row r="1354" spans="1:13">
      <c r="A1354" s="2">
        <v>3296</v>
      </c>
      <c r="B1354" s="2" t="s">
        <v>30173</v>
      </c>
      <c r="C1354" s="2">
        <v>7</v>
      </c>
      <c r="D1354" s="2">
        <v>291</v>
      </c>
      <c r="E1354" s="2">
        <v>90</v>
      </c>
      <c r="F1354" s="2">
        <v>32441</v>
      </c>
      <c r="G1354" s="2">
        <v>8.6707521950000004</v>
      </c>
      <c r="H1354" s="3">
        <v>2.65E-5</v>
      </c>
      <c r="I1354" s="2" t="s">
        <v>47265</v>
      </c>
      <c r="J1354" s="2" t="s">
        <v>47266</v>
      </c>
      <c r="K1354" s="2">
        <v>6.4536200000000002E-4</v>
      </c>
      <c r="L1354" s="2" t="s">
        <v>848</v>
      </c>
      <c r="M1354" s="4" t="s">
        <v>30176</v>
      </c>
    </row>
    <row r="1355" spans="1:13">
      <c r="A1355" s="2">
        <v>3924</v>
      </c>
      <c r="B1355" s="2" t="s">
        <v>30413</v>
      </c>
      <c r="C1355" s="2">
        <v>14</v>
      </c>
      <c r="D1355" s="2">
        <v>291</v>
      </c>
      <c r="E1355" s="2">
        <v>406</v>
      </c>
      <c r="F1355" s="2">
        <v>32441</v>
      </c>
      <c r="G1355" s="2">
        <v>3.8441758500000001</v>
      </c>
      <c r="H1355" s="3">
        <v>2.7699999999999999E-5</v>
      </c>
      <c r="I1355" s="2" t="s">
        <v>47267</v>
      </c>
      <c r="J1355" s="2" t="s">
        <v>47268</v>
      </c>
      <c r="K1355" s="2">
        <v>6.7218699999999998E-4</v>
      </c>
      <c r="L1355" s="2" t="s">
        <v>848</v>
      </c>
      <c r="M1355" s="4" t="s">
        <v>30416</v>
      </c>
    </row>
    <row r="1356" spans="1:13">
      <c r="A1356" s="2">
        <v>2158</v>
      </c>
      <c r="B1356" s="2" t="s">
        <v>47269</v>
      </c>
      <c r="C1356" s="2">
        <v>9</v>
      </c>
      <c r="D1356" s="2">
        <v>291</v>
      </c>
      <c r="E1356" s="2">
        <v>166</v>
      </c>
      <c r="F1356" s="2">
        <v>32441</v>
      </c>
      <c r="G1356" s="2">
        <v>6.0441560049999996</v>
      </c>
      <c r="H1356" s="3">
        <v>2.9099999999999999E-5</v>
      </c>
      <c r="I1356" s="2" t="s">
        <v>46992</v>
      </c>
      <c r="J1356" s="2" t="s">
        <v>46993</v>
      </c>
      <c r="K1356" s="2">
        <v>7.0391099999999999E-4</v>
      </c>
      <c r="L1356" s="2" t="s">
        <v>848</v>
      </c>
      <c r="M1356" s="4" t="s">
        <v>47270</v>
      </c>
    </row>
    <row r="1357" spans="1:13">
      <c r="A1357" s="2">
        <v>4432</v>
      </c>
      <c r="B1357" s="2" t="s">
        <v>30715</v>
      </c>
      <c r="C1357" s="2">
        <v>5</v>
      </c>
      <c r="D1357" s="2">
        <v>291</v>
      </c>
      <c r="E1357" s="2">
        <v>36</v>
      </c>
      <c r="F1357" s="2">
        <v>32441</v>
      </c>
      <c r="G1357" s="2">
        <v>15.483486060000001</v>
      </c>
      <c r="H1357" s="3">
        <v>3.0899999999999999E-5</v>
      </c>
      <c r="I1357" s="2" t="s">
        <v>47271</v>
      </c>
      <c r="J1357" s="2" t="s">
        <v>47272</v>
      </c>
      <c r="K1357" s="2">
        <v>7.4423999999999996E-4</v>
      </c>
      <c r="L1357" s="2" t="s">
        <v>848</v>
      </c>
      <c r="M1357" s="4" t="s">
        <v>30718</v>
      </c>
    </row>
    <row r="1358" spans="1:13">
      <c r="A1358" s="2">
        <v>3751</v>
      </c>
      <c r="B1358" s="2" t="s">
        <v>47273</v>
      </c>
      <c r="C1358" s="2">
        <v>10</v>
      </c>
      <c r="D1358" s="2">
        <v>291</v>
      </c>
      <c r="E1358" s="2">
        <v>211</v>
      </c>
      <c r="F1358" s="2">
        <v>32441</v>
      </c>
      <c r="G1358" s="2">
        <v>5.2834644390000003</v>
      </c>
      <c r="H1358" s="3">
        <v>3.1699999999999998E-5</v>
      </c>
      <c r="I1358" s="2" t="s">
        <v>47274</v>
      </c>
      <c r="J1358" s="2" t="s">
        <v>47275</v>
      </c>
      <c r="K1358" s="2">
        <v>7.6005500000000004E-4</v>
      </c>
      <c r="L1358" s="2" t="s">
        <v>848</v>
      </c>
      <c r="M1358" s="4" t="s">
        <v>47276</v>
      </c>
    </row>
    <row r="1359" spans="1:13">
      <c r="A1359" s="2">
        <v>46481</v>
      </c>
      <c r="B1359" s="2" t="s">
        <v>47277</v>
      </c>
      <c r="C1359" s="2">
        <v>6</v>
      </c>
      <c r="D1359" s="2">
        <v>291</v>
      </c>
      <c r="E1359" s="2">
        <v>62</v>
      </c>
      <c r="F1359" s="2">
        <v>32441</v>
      </c>
      <c r="G1359" s="2">
        <v>10.788493519999999</v>
      </c>
      <c r="H1359" s="3">
        <v>3.2299999999999999E-5</v>
      </c>
      <c r="I1359" s="2" t="s">
        <v>47254</v>
      </c>
      <c r="J1359" s="2" t="s">
        <v>47255</v>
      </c>
      <c r="K1359" s="2">
        <v>7.7118399999999995E-4</v>
      </c>
      <c r="L1359" s="2" t="s">
        <v>848</v>
      </c>
      <c r="M1359" s="4" t="s">
        <v>47278</v>
      </c>
    </row>
    <row r="1360" spans="1:13">
      <c r="A1360" s="2">
        <v>2059</v>
      </c>
      <c r="B1360" s="2" t="s">
        <v>30543</v>
      </c>
      <c r="C1360" s="2">
        <v>9</v>
      </c>
      <c r="D1360" s="2">
        <v>291</v>
      </c>
      <c r="E1360" s="2">
        <v>169</v>
      </c>
      <c r="F1360" s="2">
        <v>32441</v>
      </c>
      <c r="G1360" s="2">
        <v>5.9368632950000002</v>
      </c>
      <c r="H1360" s="3">
        <v>3.3300000000000003E-5</v>
      </c>
      <c r="I1360" s="2" t="s">
        <v>47279</v>
      </c>
      <c r="J1360" s="2" t="s">
        <v>47280</v>
      </c>
      <c r="K1360" s="2">
        <v>7.91473E-4</v>
      </c>
      <c r="L1360" s="2" t="s">
        <v>848</v>
      </c>
      <c r="M1360" s="4" t="s">
        <v>30546</v>
      </c>
    </row>
    <row r="1361" spans="1:13">
      <c r="A1361" s="2">
        <v>4437</v>
      </c>
      <c r="B1361" s="2" t="s">
        <v>47281</v>
      </c>
      <c r="C1361" s="2">
        <v>7</v>
      </c>
      <c r="D1361" s="2">
        <v>291</v>
      </c>
      <c r="E1361" s="2">
        <v>94</v>
      </c>
      <c r="F1361" s="2">
        <v>32441</v>
      </c>
      <c r="G1361" s="2">
        <v>8.3017840169999992</v>
      </c>
      <c r="H1361" s="3">
        <v>3.4400000000000003E-5</v>
      </c>
      <c r="I1361" s="2" t="s">
        <v>47282</v>
      </c>
      <c r="J1361" s="2" t="s">
        <v>47283</v>
      </c>
      <c r="K1361" s="2">
        <v>8.1488299999999997E-4</v>
      </c>
      <c r="L1361" s="2" t="s">
        <v>848</v>
      </c>
      <c r="M1361" s="4" t="s">
        <v>47284</v>
      </c>
    </row>
    <row r="1362" spans="1:13">
      <c r="A1362" s="2">
        <v>1281</v>
      </c>
      <c r="B1362" s="2" t="s">
        <v>9206</v>
      </c>
      <c r="C1362" s="2">
        <v>17</v>
      </c>
      <c r="D1362" s="2">
        <v>291</v>
      </c>
      <c r="E1362" s="2">
        <v>588</v>
      </c>
      <c r="F1362" s="2">
        <v>32441</v>
      </c>
      <c r="G1362" s="2">
        <v>3.2230930170000001</v>
      </c>
      <c r="H1362" s="3">
        <v>3.4600000000000001E-5</v>
      </c>
      <c r="I1362" s="2" t="s">
        <v>47285</v>
      </c>
      <c r="J1362" s="2" t="s">
        <v>47286</v>
      </c>
      <c r="K1362" s="2">
        <v>8.1585999999999996E-4</v>
      </c>
      <c r="L1362" s="2" t="s">
        <v>848</v>
      </c>
      <c r="M1362" s="4" t="s">
        <v>9209</v>
      </c>
    </row>
    <row r="1363" spans="1:13">
      <c r="A1363" s="2">
        <v>1124</v>
      </c>
      <c r="B1363" s="2" t="s">
        <v>1113</v>
      </c>
      <c r="C1363" s="2">
        <v>24</v>
      </c>
      <c r="D1363" s="2">
        <v>291</v>
      </c>
      <c r="E1363" s="2">
        <v>1047</v>
      </c>
      <c r="F1363" s="2">
        <v>32441</v>
      </c>
      <c r="G1363" s="2">
        <v>2.5554406799999998</v>
      </c>
      <c r="H1363" s="3">
        <v>3.6399999999999997E-5</v>
      </c>
      <c r="I1363" s="2" t="s">
        <v>47287</v>
      </c>
      <c r="J1363" s="2" t="s">
        <v>47288</v>
      </c>
      <c r="K1363" s="2">
        <v>8.5574900000000005E-4</v>
      </c>
      <c r="L1363" s="2" t="s">
        <v>848</v>
      </c>
      <c r="M1363" s="4" t="s">
        <v>47289</v>
      </c>
    </row>
    <row r="1364" spans="1:13">
      <c r="A1364" s="2">
        <v>3816</v>
      </c>
      <c r="B1364" s="2" t="s">
        <v>47290</v>
      </c>
      <c r="C1364" s="2">
        <v>5</v>
      </c>
      <c r="D1364" s="2">
        <v>291</v>
      </c>
      <c r="E1364" s="2">
        <v>38</v>
      </c>
      <c r="F1364" s="2">
        <v>32441</v>
      </c>
      <c r="G1364" s="2">
        <v>14.66856574</v>
      </c>
      <c r="H1364" s="3">
        <v>3.9199999999999997E-5</v>
      </c>
      <c r="I1364" s="2" t="s">
        <v>47291</v>
      </c>
      <c r="J1364" s="2" t="s">
        <v>47292</v>
      </c>
      <c r="K1364" s="2">
        <v>9.1612599999999996E-4</v>
      </c>
      <c r="L1364" s="2" t="s">
        <v>848</v>
      </c>
      <c r="M1364" s="4" t="s">
        <v>47293</v>
      </c>
    </row>
    <row r="1365" spans="1:13">
      <c r="A1365" s="2">
        <v>695</v>
      </c>
      <c r="B1365" s="2" t="s">
        <v>47294</v>
      </c>
      <c r="C1365" s="2">
        <v>9</v>
      </c>
      <c r="D1365" s="2">
        <v>291</v>
      </c>
      <c r="E1365" s="2">
        <v>173</v>
      </c>
      <c r="F1365" s="2">
        <v>32441</v>
      </c>
      <c r="G1365" s="2">
        <v>5.7995947799999996</v>
      </c>
      <c r="H1365" s="3">
        <v>3.96E-5</v>
      </c>
      <c r="I1365" s="2" t="s">
        <v>47295</v>
      </c>
      <c r="J1365" s="2" t="s">
        <v>47296</v>
      </c>
      <c r="K1365" s="2">
        <v>9.2314999999999997E-4</v>
      </c>
      <c r="L1365" s="2" t="s">
        <v>848</v>
      </c>
      <c r="M1365" s="4" t="s">
        <v>47297</v>
      </c>
    </row>
    <row r="1366" spans="1:13">
      <c r="A1366" s="2">
        <v>3021</v>
      </c>
      <c r="B1366" s="2" t="s">
        <v>10559</v>
      </c>
      <c r="C1366" s="2">
        <v>13</v>
      </c>
      <c r="D1366" s="2">
        <v>291</v>
      </c>
      <c r="E1366" s="2">
        <v>366</v>
      </c>
      <c r="F1366" s="2">
        <v>32441</v>
      </c>
      <c r="G1366" s="2">
        <v>3.9597111900000002</v>
      </c>
      <c r="H1366" s="3">
        <v>4.0000000000000003E-5</v>
      </c>
      <c r="I1366" s="2" t="s">
        <v>47298</v>
      </c>
      <c r="J1366" s="2" t="s">
        <v>47299</v>
      </c>
      <c r="K1366" s="2">
        <v>9.2730000000000004E-4</v>
      </c>
      <c r="L1366" s="2" t="s">
        <v>848</v>
      </c>
      <c r="M1366" s="4" t="s">
        <v>10562</v>
      </c>
    </row>
    <row r="1367" spans="1:13">
      <c r="A1367" s="2">
        <v>3372</v>
      </c>
      <c r="B1367" s="2" t="s">
        <v>10871</v>
      </c>
      <c r="C1367" s="2">
        <v>10</v>
      </c>
      <c r="D1367" s="2">
        <v>291</v>
      </c>
      <c r="E1367" s="2">
        <v>218</v>
      </c>
      <c r="F1367" s="2">
        <v>32441</v>
      </c>
      <c r="G1367" s="2">
        <v>5.113811911</v>
      </c>
      <c r="H1367" s="3">
        <v>4.1300000000000001E-5</v>
      </c>
      <c r="I1367" s="2" t="s">
        <v>47151</v>
      </c>
      <c r="J1367" s="2" t="s">
        <v>47152</v>
      </c>
      <c r="K1367" s="2">
        <v>9.5485199999999996E-4</v>
      </c>
      <c r="L1367" s="2" t="s">
        <v>848</v>
      </c>
      <c r="M1367" s="4" t="s">
        <v>10872</v>
      </c>
    </row>
    <row r="1368" spans="1:13">
      <c r="A1368" s="2">
        <v>1160</v>
      </c>
      <c r="B1368" s="2" t="s">
        <v>10285</v>
      </c>
      <c r="C1368" s="2">
        <v>15</v>
      </c>
      <c r="D1368" s="2">
        <v>291</v>
      </c>
      <c r="E1368" s="2">
        <v>479</v>
      </c>
      <c r="F1368" s="2">
        <v>32441</v>
      </c>
      <c r="G1368" s="2">
        <v>3.4910574009999999</v>
      </c>
      <c r="H1368" s="3">
        <v>4.1999999999999998E-5</v>
      </c>
      <c r="I1368" s="2" t="s">
        <v>47300</v>
      </c>
      <c r="J1368" s="2" t="s">
        <v>47301</v>
      </c>
      <c r="K1368" s="2">
        <v>9.6728799999999996E-4</v>
      </c>
      <c r="L1368" s="2" t="s">
        <v>848</v>
      </c>
      <c r="M1368" s="4" t="s">
        <v>10288</v>
      </c>
    </row>
    <row r="1369" spans="1:13">
      <c r="A1369" s="2">
        <v>2684</v>
      </c>
      <c r="B1369" s="2" t="s">
        <v>9663</v>
      </c>
      <c r="C1369" s="2">
        <v>15</v>
      </c>
      <c r="D1369" s="2">
        <v>291</v>
      </c>
      <c r="E1369" s="2">
        <v>481</v>
      </c>
      <c r="F1369" s="2">
        <v>32441</v>
      </c>
      <c r="G1369" s="2">
        <v>3.4765415690000001</v>
      </c>
      <c r="H1369" s="3">
        <v>4.3999999999999999E-5</v>
      </c>
      <c r="I1369" s="2" t="s">
        <v>47302</v>
      </c>
      <c r="J1369" s="2" t="s">
        <v>47303</v>
      </c>
      <c r="K1369" s="2">
        <v>1.00858E-3</v>
      </c>
      <c r="L1369" s="2" t="s">
        <v>848</v>
      </c>
      <c r="M1369" s="4" t="s">
        <v>9666</v>
      </c>
    </row>
    <row r="1370" spans="1:13">
      <c r="A1370" s="2">
        <v>1696</v>
      </c>
      <c r="B1370" s="2" t="s">
        <v>10895</v>
      </c>
      <c r="C1370" s="2">
        <v>10</v>
      </c>
      <c r="D1370" s="2">
        <v>291</v>
      </c>
      <c r="E1370" s="2">
        <v>220</v>
      </c>
      <c r="F1370" s="2">
        <v>32441</v>
      </c>
      <c r="G1370" s="2">
        <v>5.0673227120000002</v>
      </c>
      <c r="H1370" s="3">
        <v>4.4499999999999997E-5</v>
      </c>
      <c r="I1370" s="2" t="s">
        <v>47151</v>
      </c>
      <c r="J1370" s="2" t="s">
        <v>47152</v>
      </c>
      <c r="K1370" s="2">
        <v>1.0158649999999999E-3</v>
      </c>
      <c r="L1370" s="2" t="s">
        <v>848</v>
      </c>
      <c r="M1370" s="4" t="s">
        <v>10896</v>
      </c>
    </row>
    <row r="1371" spans="1:13">
      <c r="A1371" s="2">
        <v>1931</v>
      </c>
      <c r="B1371" s="2" t="s">
        <v>8226</v>
      </c>
      <c r="C1371" s="2">
        <v>27</v>
      </c>
      <c r="D1371" s="2">
        <v>291</v>
      </c>
      <c r="E1371" s="2">
        <v>1277</v>
      </c>
      <c r="F1371" s="2">
        <v>32441</v>
      </c>
      <c r="G1371" s="2">
        <v>2.3570788490000001</v>
      </c>
      <c r="H1371" s="3">
        <v>4.6100000000000002E-5</v>
      </c>
      <c r="I1371" s="2" t="s">
        <v>47304</v>
      </c>
      <c r="J1371" s="2" t="s">
        <v>47305</v>
      </c>
      <c r="K1371" s="2">
        <v>1.0487459999999999E-3</v>
      </c>
      <c r="L1371" s="2" t="s">
        <v>848</v>
      </c>
      <c r="M1371" s="4" t="s">
        <v>8229</v>
      </c>
    </row>
    <row r="1372" spans="1:13">
      <c r="A1372" s="2">
        <v>4957</v>
      </c>
      <c r="B1372" s="2" t="s">
        <v>8735</v>
      </c>
      <c r="C1372" s="2">
        <v>25</v>
      </c>
      <c r="D1372" s="2">
        <v>291</v>
      </c>
      <c r="E1372" s="2">
        <v>1134</v>
      </c>
      <c r="F1372" s="2">
        <v>32441</v>
      </c>
      <c r="G1372" s="2">
        <v>2.4576962010000001</v>
      </c>
      <c r="H1372" s="3">
        <v>4.6400000000000003E-5</v>
      </c>
      <c r="I1372" s="2" t="s">
        <v>47306</v>
      </c>
      <c r="J1372" s="2" t="s">
        <v>47307</v>
      </c>
      <c r="K1372" s="2">
        <v>1.051864E-3</v>
      </c>
      <c r="L1372" s="2" t="s">
        <v>848</v>
      </c>
      <c r="M1372" s="4" t="s">
        <v>8738</v>
      </c>
    </row>
    <row r="1373" spans="1:13">
      <c r="A1373" s="2">
        <v>8511</v>
      </c>
      <c r="B1373" s="2" t="s">
        <v>47308</v>
      </c>
      <c r="C1373" s="2">
        <v>4</v>
      </c>
      <c r="D1373" s="2">
        <v>291</v>
      </c>
      <c r="E1373" s="2">
        <v>19</v>
      </c>
      <c r="F1373" s="2">
        <v>32441</v>
      </c>
      <c r="G1373" s="2">
        <v>23.469705189999999</v>
      </c>
      <c r="H1373" s="3">
        <v>4.74E-5</v>
      </c>
      <c r="I1373" s="2" t="s">
        <v>47184</v>
      </c>
      <c r="J1373" s="2" t="s">
        <v>47185</v>
      </c>
      <c r="K1373" s="2">
        <v>1.0669779999999999E-3</v>
      </c>
      <c r="L1373" s="2" t="s">
        <v>848</v>
      </c>
      <c r="M1373" s="4" t="s">
        <v>47309</v>
      </c>
    </row>
    <row r="1374" spans="1:13">
      <c r="A1374" s="2">
        <v>2941</v>
      </c>
      <c r="B1374" s="2" t="s">
        <v>42751</v>
      </c>
      <c r="C1374" s="2">
        <v>4</v>
      </c>
      <c r="D1374" s="2">
        <v>291</v>
      </c>
      <c r="E1374" s="2">
        <v>19</v>
      </c>
      <c r="F1374" s="2">
        <v>32441</v>
      </c>
      <c r="G1374" s="2">
        <v>23.469705189999999</v>
      </c>
      <c r="H1374" s="3">
        <v>4.74E-5</v>
      </c>
      <c r="I1374" s="2" t="s">
        <v>47310</v>
      </c>
      <c r="J1374" s="2" t="s">
        <v>47311</v>
      </c>
      <c r="K1374" s="2">
        <v>1.0669779999999999E-3</v>
      </c>
      <c r="L1374" s="2" t="s">
        <v>848</v>
      </c>
      <c r="M1374" s="4" t="s">
        <v>42754</v>
      </c>
    </row>
    <row r="1375" spans="1:13">
      <c r="A1375" s="2">
        <v>4402</v>
      </c>
      <c r="B1375" s="2" t="s">
        <v>10709</v>
      </c>
      <c r="C1375" s="2">
        <v>9</v>
      </c>
      <c r="D1375" s="2">
        <v>291</v>
      </c>
      <c r="E1375" s="2">
        <v>178</v>
      </c>
      <c r="F1375" s="2">
        <v>32441</v>
      </c>
      <c r="G1375" s="2">
        <v>5.6366848139999997</v>
      </c>
      <c r="H1375" s="3">
        <v>4.8900000000000003E-5</v>
      </c>
      <c r="I1375" s="2" t="s">
        <v>47312</v>
      </c>
      <c r="J1375" s="2" t="s">
        <v>47313</v>
      </c>
      <c r="K1375" s="2">
        <v>1.096673E-3</v>
      </c>
      <c r="L1375" s="2" t="s">
        <v>848</v>
      </c>
      <c r="M1375" s="4" t="s">
        <v>10712</v>
      </c>
    </row>
    <row r="1376" spans="1:13">
      <c r="A1376" s="2">
        <v>2655</v>
      </c>
      <c r="B1376" s="2" t="s">
        <v>7703</v>
      </c>
      <c r="C1376" s="2">
        <v>17</v>
      </c>
      <c r="D1376" s="2">
        <v>291</v>
      </c>
      <c r="E1376" s="2">
        <v>606</v>
      </c>
      <c r="F1376" s="2">
        <v>32441</v>
      </c>
      <c r="G1376" s="2">
        <v>3.1273575810000001</v>
      </c>
      <c r="H1376" s="3">
        <v>4.9700000000000002E-5</v>
      </c>
      <c r="I1376" s="2" t="s">
        <v>47314</v>
      </c>
      <c r="J1376" s="2" t="s">
        <v>47315</v>
      </c>
      <c r="K1376" s="2">
        <v>1.1102729999999999E-3</v>
      </c>
      <c r="L1376" s="2" t="s">
        <v>848</v>
      </c>
      <c r="M1376" s="4" t="s">
        <v>7706</v>
      </c>
    </row>
    <row r="1377" spans="1:13">
      <c r="A1377" s="2">
        <v>40911</v>
      </c>
      <c r="B1377" s="2" t="s">
        <v>11452</v>
      </c>
      <c r="C1377" s="2">
        <v>10</v>
      </c>
      <c r="D1377" s="2">
        <v>291</v>
      </c>
      <c r="E1377" s="2">
        <v>224</v>
      </c>
      <c r="F1377" s="2">
        <v>32441</v>
      </c>
      <c r="G1377" s="2">
        <v>4.9768348060000003</v>
      </c>
      <c r="H1377" s="3">
        <v>5.1400000000000003E-5</v>
      </c>
      <c r="I1377" s="2" t="s">
        <v>47316</v>
      </c>
      <c r="J1377" s="2" t="s">
        <v>47317</v>
      </c>
      <c r="K1377" s="2">
        <v>1.1432899999999999E-3</v>
      </c>
      <c r="L1377" s="2" t="s">
        <v>848</v>
      </c>
      <c r="M1377" s="4" t="s">
        <v>11455</v>
      </c>
    </row>
    <row r="1378" spans="1:13">
      <c r="A1378" s="2">
        <v>8331</v>
      </c>
      <c r="B1378" s="2" t="s">
        <v>30217</v>
      </c>
      <c r="C1378" s="2">
        <v>6</v>
      </c>
      <c r="D1378" s="2">
        <v>291</v>
      </c>
      <c r="E1378" s="2">
        <v>68</v>
      </c>
      <c r="F1378" s="2">
        <v>32441</v>
      </c>
      <c r="G1378" s="2">
        <v>9.836567617</v>
      </c>
      <c r="H1378" s="3">
        <v>5.2299999999999997E-5</v>
      </c>
      <c r="I1378" s="2" t="s">
        <v>47318</v>
      </c>
      <c r="J1378" s="2" t="s">
        <v>47319</v>
      </c>
      <c r="K1378" s="2">
        <v>1.1595240000000001E-3</v>
      </c>
      <c r="L1378" s="2" t="s">
        <v>848</v>
      </c>
      <c r="M1378" s="4" t="s">
        <v>30220</v>
      </c>
    </row>
    <row r="1379" spans="1:13">
      <c r="A1379" s="2">
        <v>1902</v>
      </c>
      <c r="B1379" s="2" t="s">
        <v>8524</v>
      </c>
      <c r="C1379" s="2">
        <v>18</v>
      </c>
      <c r="D1379" s="2">
        <v>291</v>
      </c>
      <c r="E1379" s="2">
        <v>672</v>
      </c>
      <c r="F1379" s="2">
        <v>32441</v>
      </c>
      <c r="G1379" s="2">
        <v>2.9861008839999998</v>
      </c>
      <c r="H1379" s="3">
        <v>5.3399999999999997E-5</v>
      </c>
      <c r="I1379" s="2" t="s">
        <v>47320</v>
      </c>
      <c r="J1379" s="2" t="s">
        <v>47321</v>
      </c>
      <c r="K1379" s="2">
        <v>1.1784849999999999E-3</v>
      </c>
      <c r="L1379" s="2" t="s">
        <v>848</v>
      </c>
      <c r="M1379" s="4" t="s">
        <v>8527</v>
      </c>
    </row>
    <row r="1380" spans="1:13">
      <c r="A1380" s="2">
        <v>27081</v>
      </c>
      <c r="B1380" s="2" t="s">
        <v>47322</v>
      </c>
      <c r="C1380" s="2">
        <v>5</v>
      </c>
      <c r="D1380" s="2">
        <v>291</v>
      </c>
      <c r="E1380" s="2">
        <v>41</v>
      </c>
      <c r="F1380" s="2">
        <v>32441</v>
      </c>
      <c r="G1380" s="2">
        <v>13.595256060000001</v>
      </c>
      <c r="H1380" s="3">
        <v>5.4599999999999999E-5</v>
      </c>
      <c r="I1380" s="2" t="s">
        <v>47323</v>
      </c>
      <c r="J1380" s="2" t="s">
        <v>47324</v>
      </c>
      <c r="K1380" s="2">
        <v>1.2005659999999999E-3</v>
      </c>
      <c r="L1380" s="2" t="s">
        <v>848</v>
      </c>
      <c r="M1380" s="4" t="s">
        <v>47325</v>
      </c>
    </row>
    <row r="1381" spans="1:13">
      <c r="A1381" s="2">
        <v>25541</v>
      </c>
      <c r="B1381" s="2" t="s">
        <v>47326</v>
      </c>
      <c r="C1381" s="2">
        <v>8</v>
      </c>
      <c r="D1381" s="2">
        <v>291</v>
      </c>
      <c r="E1381" s="2">
        <v>140</v>
      </c>
      <c r="F1381" s="2">
        <v>32441</v>
      </c>
      <c r="G1381" s="2">
        <v>6.3703485520000003</v>
      </c>
      <c r="H1381" s="3">
        <v>5.7000000000000003E-5</v>
      </c>
      <c r="I1381" s="2" t="s">
        <v>47327</v>
      </c>
      <c r="J1381" s="2" t="s">
        <v>47328</v>
      </c>
      <c r="K1381" s="2">
        <v>1.2490820000000001E-3</v>
      </c>
      <c r="L1381" s="2" t="s">
        <v>848</v>
      </c>
      <c r="M1381" s="4" t="s">
        <v>47329</v>
      </c>
    </row>
    <row r="1382" spans="1:13">
      <c r="A1382" s="2">
        <v>17781</v>
      </c>
      <c r="B1382" s="2" t="s">
        <v>47330</v>
      </c>
      <c r="C1382" s="2">
        <v>9</v>
      </c>
      <c r="D1382" s="2">
        <v>291</v>
      </c>
      <c r="E1382" s="2">
        <v>182</v>
      </c>
      <c r="F1382" s="2">
        <v>32441</v>
      </c>
      <c r="G1382" s="2">
        <v>5.5128016310000003</v>
      </c>
      <c r="H1382" s="3">
        <v>5.7599999999999997E-5</v>
      </c>
      <c r="I1382" s="2" t="s">
        <v>47331</v>
      </c>
      <c r="J1382" s="2" t="s">
        <v>47332</v>
      </c>
      <c r="K1382" s="2">
        <v>1.258536E-3</v>
      </c>
      <c r="L1382" s="2" t="s">
        <v>848</v>
      </c>
      <c r="M1382" s="4" t="s">
        <v>47333</v>
      </c>
    </row>
    <row r="1383" spans="1:13">
      <c r="A1383" s="2">
        <v>1429</v>
      </c>
      <c r="B1383" s="2" t="s">
        <v>7883</v>
      </c>
      <c r="C1383" s="2">
        <v>30</v>
      </c>
      <c r="D1383" s="2">
        <v>291</v>
      </c>
      <c r="E1383" s="2">
        <v>1518</v>
      </c>
      <c r="F1383" s="2">
        <v>32441</v>
      </c>
      <c r="G1383" s="2">
        <v>2.203183788</v>
      </c>
      <c r="H1383" s="3">
        <v>5.7899999999999998E-5</v>
      </c>
      <c r="I1383" s="2" t="s">
        <v>47334</v>
      </c>
      <c r="J1383" s="2" t="s">
        <v>47335</v>
      </c>
      <c r="K1383" s="2">
        <v>1.259624E-3</v>
      </c>
      <c r="L1383" s="2" t="s">
        <v>848</v>
      </c>
      <c r="M1383" s="4" t="s">
        <v>7886</v>
      </c>
    </row>
    <row r="1384" spans="1:13">
      <c r="A1384" s="2">
        <v>988</v>
      </c>
      <c r="B1384" s="2" t="s">
        <v>47336</v>
      </c>
      <c r="C1384" s="2">
        <v>14</v>
      </c>
      <c r="D1384" s="2">
        <v>291</v>
      </c>
      <c r="E1384" s="2">
        <v>437</v>
      </c>
      <c r="F1384" s="2">
        <v>32441</v>
      </c>
      <c r="G1384" s="2">
        <v>3.5714768769999998</v>
      </c>
      <c r="H1384" s="3">
        <v>5.9700000000000001E-5</v>
      </c>
      <c r="I1384" s="2" t="s">
        <v>47337</v>
      </c>
      <c r="J1384" s="2" t="s">
        <v>47338</v>
      </c>
      <c r="K1384" s="2">
        <v>1.2948250000000001E-3</v>
      </c>
      <c r="L1384" s="2" t="s">
        <v>848</v>
      </c>
      <c r="M1384" s="4" t="s">
        <v>47339</v>
      </c>
    </row>
    <row r="1385" spans="1:13">
      <c r="A1385" s="2">
        <v>2135</v>
      </c>
      <c r="B1385" s="2" t="s">
        <v>47340</v>
      </c>
      <c r="C1385" s="2">
        <v>5</v>
      </c>
      <c r="D1385" s="2">
        <v>291</v>
      </c>
      <c r="E1385" s="2">
        <v>42</v>
      </c>
      <c r="F1385" s="2">
        <v>32441</v>
      </c>
      <c r="G1385" s="2">
        <v>13.271559480000001</v>
      </c>
      <c r="H1385" s="3">
        <v>6.0600000000000003E-5</v>
      </c>
      <c r="I1385" s="2" t="s">
        <v>47341</v>
      </c>
      <c r="J1385" s="2" t="s">
        <v>47342</v>
      </c>
      <c r="K1385" s="2">
        <v>1.3094440000000001E-3</v>
      </c>
      <c r="L1385" s="2" t="s">
        <v>848</v>
      </c>
      <c r="M1385" s="4" t="s">
        <v>47343</v>
      </c>
    </row>
    <row r="1386" spans="1:13">
      <c r="A1386" s="2">
        <v>357</v>
      </c>
      <c r="B1386" s="2" t="s">
        <v>38595</v>
      </c>
      <c r="C1386" s="2">
        <v>15</v>
      </c>
      <c r="D1386" s="2">
        <v>291</v>
      </c>
      <c r="E1386" s="2">
        <v>497</v>
      </c>
      <c r="F1386" s="2">
        <v>32441</v>
      </c>
      <c r="G1386" s="2">
        <v>3.364620714</v>
      </c>
      <c r="H1386" s="3">
        <v>6.2799999999999995E-5</v>
      </c>
      <c r="I1386" s="2" t="s">
        <v>47344</v>
      </c>
      <c r="J1386" s="2" t="s">
        <v>47345</v>
      </c>
      <c r="K1386" s="2">
        <v>1.3468149999999999E-3</v>
      </c>
      <c r="L1386" s="2" t="s">
        <v>848</v>
      </c>
      <c r="M1386" s="4" t="s">
        <v>38598</v>
      </c>
    </row>
    <row r="1387" spans="1:13">
      <c r="A1387" s="2">
        <v>509</v>
      </c>
      <c r="B1387" s="2" t="s">
        <v>8783</v>
      </c>
      <c r="C1387" s="2">
        <v>8</v>
      </c>
      <c r="D1387" s="2">
        <v>291</v>
      </c>
      <c r="E1387" s="2">
        <v>142</v>
      </c>
      <c r="F1387" s="2">
        <v>32441</v>
      </c>
      <c r="G1387" s="2">
        <v>6.2806253329999997</v>
      </c>
      <c r="H1387" s="3">
        <v>6.2700000000000006E-5</v>
      </c>
      <c r="I1387" s="2" t="s">
        <v>47346</v>
      </c>
      <c r="J1387" s="2" t="s">
        <v>47347</v>
      </c>
      <c r="K1387" s="2">
        <v>1.3468149999999999E-3</v>
      </c>
      <c r="L1387" s="2" t="s">
        <v>848</v>
      </c>
      <c r="M1387" s="4" t="s">
        <v>8786</v>
      </c>
    </row>
    <row r="1388" spans="1:13">
      <c r="A1388" s="2">
        <v>1747</v>
      </c>
      <c r="B1388" s="2" t="s">
        <v>47348</v>
      </c>
      <c r="C1388" s="2">
        <v>11</v>
      </c>
      <c r="D1388" s="2">
        <v>291</v>
      </c>
      <c r="E1388" s="2">
        <v>279</v>
      </c>
      <c r="F1388" s="2">
        <v>32441</v>
      </c>
      <c r="G1388" s="2">
        <v>4.3953121729999998</v>
      </c>
      <c r="H1388" s="3">
        <v>6.4300000000000004E-5</v>
      </c>
      <c r="I1388" s="2" t="s">
        <v>47349</v>
      </c>
      <c r="J1388" s="2" t="s">
        <v>47350</v>
      </c>
      <c r="K1388" s="2">
        <v>1.3724760000000001E-3</v>
      </c>
      <c r="L1388" s="2" t="s">
        <v>848</v>
      </c>
      <c r="M1388" s="4" t="s">
        <v>47351</v>
      </c>
    </row>
    <row r="1389" spans="1:13">
      <c r="A1389" s="2">
        <v>918</v>
      </c>
      <c r="B1389" s="2" t="s">
        <v>47352</v>
      </c>
      <c r="C1389" s="2">
        <v>4</v>
      </c>
      <c r="D1389" s="2">
        <v>291</v>
      </c>
      <c r="E1389" s="2">
        <v>21</v>
      </c>
      <c r="F1389" s="2">
        <v>32441</v>
      </c>
      <c r="G1389" s="2">
        <v>21.234495169999999</v>
      </c>
      <c r="H1389" s="3">
        <v>6.6799999999999997E-5</v>
      </c>
      <c r="I1389" s="2" t="s">
        <v>47353</v>
      </c>
      <c r="J1389" s="2" t="s">
        <v>47354</v>
      </c>
      <c r="K1389" s="2">
        <v>1.4067750000000001E-3</v>
      </c>
      <c r="L1389" s="2" t="s">
        <v>848</v>
      </c>
      <c r="M1389" s="4" t="s">
        <v>47355</v>
      </c>
    </row>
    <row r="1390" spans="1:13">
      <c r="A1390" s="2">
        <v>43931</v>
      </c>
      <c r="B1390" s="2" t="s">
        <v>47356</v>
      </c>
      <c r="C1390" s="2">
        <v>7</v>
      </c>
      <c r="D1390" s="2">
        <v>291</v>
      </c>
      <c r="E1390" s="2">
        <v>105</v>
      </c>
      <c r="F1390" s="2">
        <v>32441</v>
      </c>
      <c r="G1390" s="2">
        <v>7.4320733099999998</v>
      </c>
      <c r="H1390" s="3">
        <v>6.6699999999999995E-5</v>
      </c>
      <c r="I1390" s="2" t="s">
        <v>47357</v>
      </c>
      <c r="J1390" s="2" t="s">
        <v>47358</v>
      </c>
      <c r="K1390" s="2">
        <v>1.4067750000000001E-3</v>
      </c>
      <c r="L1390" s="2" t="s">
        <v>848</v>
      </c>
      <c r="M1390" s="4" t="s">
        <v>47359</v>
      </c>
    </row>
    <row r="1391" spans="1:13">
      <c r="A1391" s="2">
        <v>4509</v>
      </c>
      <c r="B1391" s="2" t="s">
        <v>47360</v>
      </c>
      <c r="C1391" s="2">
        <v>4</v>
      </c>
      <c r="D1391" s="2">
        <v>291</v>
      </c>
      <c r="E1391" s="2">
        <v>21</v>
      </c>
      <c r="F1391" s="2">
        <v>32441</v>
      </c>
      <c r="G1391" s="2">
        <v>21.234495169999999</v>
      </c>
      <c r="H1391" s="3">
        <v>6.6799999999999997E-5</v>
      </c>
      <c r="I1391" s="2" t="s">
        <v>47361</v>
      </c>
      <c r="J1391" s="2" t="s">
        <v>47362</v>
      </c>
      <c r="K1391" s="2">
        <v>1.4067750000000001E-3</v>
      </c>
      <c r="L1391" s="2" t="s">
        <v>848</v>
      </c>
      <c r="M1391" s="4" t="s">
        <v>47363</v>
      </c>
    </row>
    <row r="1392" spans="1:13">
      <c r="A1392" s="2">
        <v>5299</v>
      </c>
      <c r="B1392" s="2" t="s">
        <v>47364</v>
      </c>
      <c r="C1392" s="2">
        <v>4</v>
      </c>
      <c r="D1392" s="2">
        <v>291</v>
      </c>
      <c r="E1392" s="2">
        <v>21</v>
      </c>
      <c r="F1392" s="2">
        <v>32441</v>
      </c>
      <c r="G1392" s="2">
        <v>21.234495169999999</v>
      </c>
      <c r="H1392" s="3">
        <v>6.6799999999999997E-5</v>
      </c>
      <c r="I1392" s="2" t="s">
        <v>47365</v>
      </c>
      <c r="J1392" s="2" t="s">
        <v>47366</v>
      </c>
      <c r="K1392" s="2">
        <v>1.4067750000000001E-3</v>
      </c>
      <c r="L1392" s="2" t="s">
        <v>848</v>
      </c>
      <c r="M1392" s="4" t="s">
        <v>47367</v>
      </c>
    </row>
    <row r="1393" spans="1:13">
      <c r="A1393" s="2">
        <v>29</v>
      </c>
      <c r="B1393" s="2" t="s">
        <v>9414</v>
      </c>
      <c r="C1393" s="2">
        <v>7</v>
      </c>
      <c r="D1393" s="2">
        <v>291</v>
      </c>
      <c r="E1393" s="2">
        <v>106</v>
      </c>
      <c r="F1393" s="2">
        <v>32441</v>
      </c>
      <c r="G1393" s="2">
        <v>7.361959411</v>
      </c>
      <c r="H1393" s="3">
        <v>7.0599999999999995E-5</v>
      </c>
      <c r="I1393" s="2" t="s">
        <v>47368</v>
      </c>
      <c r="J1393" s="2" t="s">
        <v>47369</v>
      </c>
      <c r="K1393" s="2">
        <v>1.481727E-3</v>
      </c>
      <c r="L1393" s="2" t="s">
        <v>848</v>
      </c>
      <c r="M1393" s="4" t="s">
        <v>9417</v>
      </c>
    </row>
    <row r="1394" spans="1:13">
      <c r="A1394" s="2">
        <v>5600</v>
      </c>
      <c r="B1394" s="2" t="s">
        <v>47370</v>
      </c>
      <c r="C1394" s="2">
        <v>9</v>
      </c>
      <c r="D1394" s="2">
        <v>291</v>
      </c>
      <c r="E1394" s="2">
        <v>188</v>
      </c>
      <c r="F1394" s="2">
        <v>32441</v>
      </c>
      <c r="G1394" s="2">
        <v>5.3368611540000002</v>
      </c>
      <c r="H1394" s="3">
        <v>7.3100000000000001E-5</v>
      </c>
      <c r="I1394" s="2" t="s">
        <v>47371</v>
      </c>
      <c r="J1394" s="2" t="s">
        <v>47372</v>
      </c>
      <c r="K1394" s="2">
        <v>1.5291650000000001E-3</v>
      </c>
      <c r="L1394" s="2" t="s">
        <v>848</v>
      </c>
      <c r="M1394" s="4" t="s">
        <v>47373</v>
      </c>
    </row>
    <row r="1395" spans="1:13">
      <c r="A1395" s="2">
        <v>2581</v>
      </c>
      <c r="B1395" s="2" t="s">
        <v>8199</v>
      </c>
      <c r="C1395" s="2">
        <v>21</v>
      </c>
      <c r="D1395" s="2">
        <v>291</v>
      </c>
      <c r="E1395" s="2">
        <v>888</v>
      </c>
      <c r="F1395" s="2">
        <v>32441</v>
      </c>
      <c r="G1395" s="2">
        <v>2.6363773570000002</v>
      </c>
      <c r="H1395" s="3">
        <v>7.3700000000000002E-5</v>
      </c>
      <c r="I1395" s="2" t="s">
        <v>47374</v>
      </c>
      <c r="J1395" s="2" t="s">
        <v>47375</v>
      </c>
      <c r="K1395" s="2">
        <v>1.5356930000000001E-3</v>
      </c>
      <c r="L1395" s="2" t="s">
        <v>848</v>
      </c>
      <c r="M1395" s="4" t="s">
        <v>8202</v>
      </c>
    </row>
    <row r="1396" spans="1:13">
      <c r="A1396" s="2">
        <v>1644</v>
      </c>
      <c r="B1396" s="2" t="s">
        <v>47376</v>
      </c>
      <c r="C1396" s="2">
        <v>5</v>
      </c>
      <c r="D1396" s="2">
        <v>291</v>
      </c>
      <c r="E1396" s="2">
        <v>44</v>
      </c>
      <c r="F1396" s="2">
        <v>32441</v>
      </c>
      <c r="G1396" s="2">
        <v>12.66830678</v>
      </c>
      <c r="H1396" s="3">
        <v>7.4300000000000004E-5</v>
      </c>
      <c r="I1396" s="2" t="s">
        <v>47271</v>
      </c>
      <c r="J1396" s="2" t="s">
        <v>47272</v>
      </c>
      <c r="K1396" s="2">
        <v>1.5370589999999999E-3</v>
      </c>
      <c r="L1396" s="2" t="s">
        <v>848</v>
      </c>
      <c r="M1396" s="4" t="s">
        <v>47377</v>
      </c>
    </row>
    <row r="1397" spans="1:13">
      <c r="A1397" s="2">
        <v>2009</v>
      </c>
      <c r="B1397" s="2" t="s">
        <v>47378</v>
      </c>
      <c r="C1397" s="2">
        <v>5</v>
      </c>
      <c r="D1397" s="2">
        <v>291</v>
      </c>
      <c r="E1397" s="2">
        <v>44</v>
      </c>
      <c r="F1397" s="2">
        <v>32441</v>
      </c>
      <c r="G1397" s="2">
        <v>12.66830678</v>
      </c>
      <c r="H1397" s="3">
        <v>7.4300000000000004E-5</v>
      </c>
      <c r="I1397" s="2" t="s">
        <v>47379</v>
      </c>
      <c r="J1397" s="2" t="s">
        <v>47380</v>
      </c>
      <c r="K1397" s="2">
        <v>1.5370589999999999E-3</v>
      </c>
      <c r="L1397" s="2" t="s">
        <v>848</v>
      </c>
      <c r="M1397" s="4" t="s">
        <v>47381</v>
      </c>
    </row>
    <row r="1398" spans="1:13">
      <c r="A1398" s="2">
        <v>722</v>
      </c>
      <c r="B1398" s="2" t="s">
        <v>8683</v>
      </c>
      <c r="C1398" s="2">
        <v>15</v>
      </c>
      <c r="D1398" s="2">
        <v>291</v>
      </c>
      <c r="E1398" s="2">
        <v>506</v>
      </c>
      <c r="F1398" s="2">
        <v>32441</v>
      </c>
      <c r="G1398" s="2">
        <v>3.3047756819999998</v>
      </c>
      <c r="H1398" s="3">
        <v>7.6299999999999998E-5</v>
      </c>
      <c r="I1398" s="2" t="s">
        <v>47382</v>
      </c>
      <c r="J1398" s="2" t="s">
        <v>47383</v>
      </c>
      <c r="K1398" s="2">
        <v>1.5724109999999999E-3</v>
      </c>
      <c r="L1398" s="2" t="s">
        <v>848</v>
      </c>
      <c r="M1398" s="4" t="s">
        <v>8686</v>
      </c>
    </row>
    <row r="1399" spans="1:13">
      <c r="A1399" s="2">
        <v>2214</v>
      </c>
      <c r="B1399" s="2" t="s">
        <v>47384</v>
      </c>
      <c r="C1399" s="2">
        <v>13</v>
      </c>
      <c r="D1399" s="2">
        <v>291</v>
      </c>
      <c r="E1399" s="2">
        <v>392</v>
      </c>
      <c r="F1399" s="2">
        <v>32441</v>
      </c>
      <c r="G1399" s="2">
        <v>3.6970772850000002</v>
      </c>
      <c r="H1399" s="3">
        <v>7.8200000000000003E-5</v>
      </c>
      <c r="I1399" s="2" t="s">
        <v>47385</v>
      </c>
      <c r="J1399" s="2" t="s">
        <v>47386</v>
      </c>
      <c r="K1399" s="2">
        <v>1.605254E-3</v>
      </c>
      <c r="L1399" s="2" t="s">
        <v>848</v>
      </c>
      <c r="M1399" s="4" t="s">
        <v>47387</v>
      </c>
    </row>
    <row r="1400" spans="1:13">
      <c r="A1400" s="2">
        <v>3916</v>
      </c>
      <c r="B1400" s="2" t="s">
        <v>47388</v>
      </c>
      <c r="C1400" s="2">
        <v>4</v>
      </c>
      <c r="D1400" s="2">
        <v>291</v>
      </c>
      <c r="E1400" s="2">
        <v>22</v>
      </c>
      <c r="F1400" s="2">
        <v>32441</v>
      </c>
      <c r="G1400" s="2">
        <v>20.269290850000001</v>
      </c>
      <c r="H1400" s="3">
        <v>7.8399999999999995E-5</v>
      </c>
      <c r="I1400" s="2" t="s">
        <v>47389</v>
      </c>
      <c r="J1400" s="2" t="s">
        <v>47390</v>
      </c>
      <c r="K1400" s="2">
        <v>1.605254E-3</v>
      </c>
      <c r="L1400" s="2" t="s">
        <v>848</v>
      </c>
      <c r="M1400" s="4" t="s">
        <v>47391</v>
      </c>
    </row>
    <row r="1401" spans="1:13">
      <c r="A1401" s="2">
        <v>4060</v>
      </c>
      <c r="B1401" s="2" t="s">
        <v>47392</v>
      </c>
      <c r="C1401" s="2">
        <v>7</v>
      </c>
      <c r="D1401" s="2">
        <v>291</v>
      </c>
      <c r="E1401" s="2">
        <v>108</v>
      </c>
      <c r="F1401" s="2">
        <v>32441</v>
      </c>
      <c r="G1401" s="2">
        <v>7.2256268300000004</v>
      </c>
      <c r="H1401" s="3">
        <v>7.8899999999999993E-5</v>
      </c>
      <c r="I1401" s="2" t="s">
        <v>47393</v>
      </c>
      <c r="J1401" s="2" t="s">
        <v>47394</v>
      </c>
      <c r="K1401" s="2">
        <v>1.610153E-3</v>
      </c>
      <c r="L1401" s="2" t="s">
        <v>848</v>
      </c>
      <c r="M1401" s="4" t="s">
        <v>47395</v>
      </c>
    </row>
    <row r="1402" spans="1:13">
      <c r="A1402" s="2">
        <v>5161</v>
      </c>
      <c r="B1402" s="2" t="s">
        <v>9528</v>
      </c>
      <c r="C1402" s="2">
        <v>13</v>
      </c>
      <c r="D1402" s="2">
        <v>291</v>
      </c>
      <c r="E1402" s="2">
        <v>393</v>
      </c>
      <c r="F1402" s="2">
        <v>32441</v>
      </c>
      <c r="G1402" s="2">
        <v>3.6876699629999998</v>
      </c>
      <c r="H1402" s="3">
        <v>8.0199999999999998E-5</v>
      </c>
      <c r="I1402" s="2" t="s">
        <v>47396</v>
      </c>
      <c r="J1402" s="2" t="s">
        <v>47397</v>
      </c>
      <c r="K1402" s="2">
        <v>1.6306420000000001E-3</v>
      </c>
      <c r="L1402" s="2" t="s">
        <v>848</v>
      </c>
      <c r="M1402" s="4" t="s">
        <v>9531</v>
      </c>
    </row>
    <row r="1403" spans="1:13">
      <c r="A1403" s="2">
        <v>15641</v>
      </c>
      <c r="B1403" s="2" t="s">
        <v>42811</v>
      </c>
      <c r="C1403" s="2">
        <v>5</v>
      </c>
      <c r="D1403" s="2">
        <v>291</v>
      </c>
      <c r="E1403" s="2">
        <v>45</v>
      </c>
      <c r="F1403" s="2">
        <v>32441</v>
      </c>
      <c r="G1403" s="2">
        <v>12.38678885</v>
      </c>
      <c r="H1403" s="3">
        <v>8.2000000000000001E-5</v>
      </c>
      <c r="I1403" s="2" t="s">
        <v>47398</v>
      </c>
      <c r="J1403" s="2" t="s">
        <v>47399</v>
      </c>
      <c r="K1403" s="2">
        <v>1.643783E-3</v>
      </c>
      <c r="L1403" s="2" t="s">
        <v>848</v>
      </c>
      <c r="M1403" s="4" t="s">
        <v>42814</v>
      </c>
    </row>
    <row r="1404" spans="1:13">
      <c r="A1404" s="2">
        <v>2754</v>
      </c>
      <c r="B1404" s="2" t="s">
        <v>47400</v>
      </c>
      <c r="C1404" s="2">
        <v>5</v>
      </c>
      <c r="D1404" s="2">
        <v>291</v>
      </c>
      <c r="E1404" s="2">
        <v>45</v>
      </c>
      <c r="F1404" s="2">
        <v>32441</v>
      </c>
      <c r="G1404" s="2">
        <v>12.38678885</v>
      </c>
      <c r="H1404" s="3">
        <v>8.2000000000000001E-5</v>
      </c>
      <c r="I1404" s="2" t="s">
        <v>47401</v>
      </c>
      <c r="J1404" s="2" t="s">
        <v>47402</v>
      </c>
      <c r="K1404" s="2">
        <v>1.643783E-3</v>
      </c>
      <c r="L1404" s="2" t="s">
        <v>848</v>
      </c>
      <c r="M1404" s="4" t="s">
        <v>47403</v>
      </c>
    </row>
    <row r="1405" spans="1:13">
      <c r="A1405" s="2">
        <v>2948</v>
      </c>
      <c r="B1405" s="2" t="s">
        <v>9326</v>
      </c>
      <c r="C1405" s="2">
        <v>5</v>
      </c>
      <c r="D1405" s="2">
        <v>291</v>
      </c>
      <c r="E1405" s="2">
        <v>45</v>
      </c>
      <c r="F1405" s="2">
        <v>32441</v>
      </c>
      <c r="G1405" s="2">
        <v>12.38678885</v>
      </c>
      <c r="H1405" s="3">
        <v>8.2000000000000001E-5</v>
      </c>
      <c r="I1405" s="2" t="s">
        <v>47404</v>
      </c>
      <c r="J1405" s="2" t="s">
        <v>47405</v>
      </c>
      <c r="K1405" s="2">
        <v>1.643783E-3</v>
      </c>
      <c r="L1405" s="2" t="s">
        <v>848</v>
      </c>
      <c r="M1405" s="4" t="s">
        <v>9329</v>
      </c>
    </row>
    <row r="1406" spans="1:13">
      <c r="A1406" s="2">
        <v>3138</v>
      </c>
      <c r="B1406" s="2" t="s">
        <v>8107</v>
      </c>
      <c r="C1406" s="2">
        <v>29</v>
      </c>
      <c r="D1406" s="2">
        <v>291</v>
      </c>
      <c r="E1406" s="2">
        <v>1472</v>
      </c>
      <c r="F1406" s="2">
        <v>32441</v>
      </c>
      <c r="G1406" s="2">
        <v>2.1962988380000001</v>
      </c>
      <c r="H1406" s="3">
        <v>8.1600000000000005E-5</v>
      </c>
      <c r="I1406" s="2" t="s">
        <v>47406</v>
      </c>
      <c r="J1406" s="2" t="s">
        <v>47407</v>
      </c>
      <c r="K1406" s="2">
        <v>1.643783E-3</v>
      </c>
      <c r="L1406" s="2" t="s">
        <v>848</v>
      </c>
      <c r="M1406" s="4" t="s">
        <v>8110</v>
      </c>
    </row>
    <row r="1407" spans="1:13">
      <c r="A1407" s="2">
        <v>2552</v>
      </c>
      <c r="B1407" s="2" t="s">
        <v>38816</v>
      </c>
      <c r="C1407" s="2">
        <v>20</v>
      </c>
      <c r="D1407" s="2">
        <v>291</v>
      </c>
      <c r="E1407" s="2">
        <v>829</v>
      </c>
      <c r="F1407" s="2">
        <v>32441</v>
      </c>
      <c r="G1407" s="2">
        <v>2.6895319579999999</v>
      </c>
      <c r="H1407" s="3">
        <v>8.42E-5</v>
      </c>
      <c r="I1407" s="2" t="s">
        <v>47408</v>
      </c>
      <c r="J1407" s="2" t="s">
        <v>47409</v>
      </c>
      <c r="K1407" s="2">
        <v>1.683557E-3</v>
      </c>
      <c r="L1407" s="2" t="s">
        <v>848</v>
      </c>
      <c r="M1407" s="4" t="s">
        <v>38819</v>
      </c>
    </row>
    <row r="1408" spans="1:13">
      <c r="A1408" s="2">
        <v>1858</v>
      </c>
      <c r="B1408" s="2" t="s">
        <v>8063</v>
      </c>
      <c r="C1408" s="2">
        <v>23</v>
      </c>
      <c r="D1408" s="2">
        <v>291</v>
      </c>
      <c r="E1408" s="2">
        <v>1036</v>
      </c>
      <c r="F1408" s="2">
        <v>32441</v>
      </c>
      <c r="G1408" s="2">
        <v>2.4749664980000001</v>
      </c>
      <c r="H1408" s="3">
        <v>8.4800000000000001E-5</v>
      </c>
      <c r="I1408" s="2" t="s">
        <v>47410</v>
      </c>
      <c r="J1408" s="2" t="s">
        <v>47411</v>
      </c>
      <c r="K1408" s="2">
        <v>1.683597E-3</v>
      </c>
      <c r="L1408" s="2" t="s">
        <v>848</v>
      </c>
      <c r="M1408" s="4" t="s">
        <v>8066</v>
      </c>
    </row>
    <row r="1409" spans="1:13">
      <c r="A1409" s="2">
        <v>5437</v>
      </c>
      <c r="B1409" s="2" t="s">
        <v>28376</v>
      </c>
      <c r="C1409" s="2">
        <v>28</v>
      </c>
      <c r="D1409" s="2">
        <v>291</v>
      </c>
      <c r="E1409" s="2">
        <v>1400</v>
      </c>
      <c r="F1409" s="2">
        <v>32441</v>
      </c>
      <c r="G1409" s="2">
        <v>2.2296219929999999</v>
      </c>
      <c r="H1409" s="3">
        <v>8.4800000000000001E-5</v>
      </c>
      <c r="I1409" s="2" t="s">
        <v>47412</v>
      </c>
      <c r="J1409" s="2" t="s">
        <v>47413</v>
      </c>
      <c r="K1409" s="2">
        <v>1.683597E-3</v>
      </c>
      <c r="L1409" s="2" t="s">
        <v>848</v>
      </c>
      <c r="M1409" s="4" t="s">
        <v>28379</v>
      </c>
    </row>
    <row r="1410" spans="1:13">
      <c r="A1410" s="2">
        <v>29351</v>
      </c>
      <c r="B1410" s="2" t="s">
        <v>47414</v>
      </c>
      <c r="C1410" s="2">
        <v>13</v>
      </c>
      <c r="D1410" s="2">
        <v>291</v>
      </c>
      <c r="E1410" s="2">
        <v>397</v>
      </c>
      <c r="F1410" s="2">
        <v>32441</v>
      </c>
      <c r="G1410" s="2">
        <v>3.650514598</v>
      </c>
      <c r="H1410" s="3">
        <v>8.8399999999999994E-5</v>
      </c>
      <c r="I1410" s="2" t="s">
        <v>47415</v>
      </c>
      <c r="J1410" s="2" t="s">
        <v>47416</v>
      </c>
      <c r="K1410" s="2">
        <v>1.749324E-3</v>
      </c>
      <c r="L1410" s="2" t="s">
        <v>848</v>
      </c>
      <c r="M1410" s="4" t="s">
        <v>47417</v>
      </c>
    </row>
    <row r="1411" spans="1:13">
      <c r="A1411" s="2">
        <v>3457</v>
      </c>
      <c r="B1411" s="2" t="s">
        <v>8496</v>
      </c>
      <c r="C1411" s="2">
        <v>32</v>
      </c>
      <c r="D1411" s="2">
        <v>291</v>
      </c>
      <c r="E1411" s="2">
        <v>1710</v>
      </c>
      <c r="F1411" s="2">
        <v>32441</v>
      </c>
      <c r="G1411" s="2">
        <v>2.0861960169999998</v>
      </c>
      <c r="H1411" s="3">
        <v>8.8700000000000001E-5</v>
      </c>
      <c r="I1411" s="2" t="s">
        <v>47418</v>
      </c>
      <c r="J1411" s="2" t="s">
        <v>47419</v>
      </c>
      <c r="K1411" s="2">
        <v>1.749324E-3</v>
      </c>
      <c r="L1411" s="2" t="s">
        <v>848</v>
      </c>
      <c r="M1411" s="4" t="s">
        <v>8499</v>
      </c>
    </row>
    <row r="1412" spans="1:13">
      <c r="A1412" s="2">
        <v>983</v>
      </c>
      <c r="B1412" s="2" t="s">
        <v>9946</v>
      </c>
      <c r="C1412" s="2">
        <v>19</v>
      </c>
      <c r="D1412" s="2">
        <v>291</v>
      </c>
      <c r="E1412" s="2">
        <v>767</v>
      </c>
      <c r="F1412" s="2">
        <v>32441</v>
      </c>
      <c r="G1412" s="2">
        <v>2.7615917780000001</v>
      </c>
      <c r="H1412" s="3">
        <v>9.0699999999999996E-5</v>
      </c>
      <c r="I1412" s="2" t="s">
        <v>47420</v>
      </c>
      <c r="J1412" s="2" t="s">
        <v>47421</v>
      </c>
      <c r="K1412" s="2">
        <v>1.7836009999999999E-3</v>
      </c>
      <c r="L1412" s="2" t="s">
        <v>848</v>
      </c>
      <c r="M1412" s="4" t="s">
        <v>9949</v>
      </c>
    </row>
    <row r="1413" spans="1:13">
      <c r="A1413" s="2">
        <v>5102</v>
      </c>
      <c r="B1413" s="2" t="s">
        <v>11444</v>
      </c>
      <c r="C1413" s="2">
        <v>20</v>
      </c>
      <c r="D1413" s="2">
        <v>291</v>
      </c>
      <c r="E1413" s="2">
        <v>838</v>
      </c>
      <c r="F1413" s="2">
        <v>32441</v>
      </c>
      <c r="G1413" s="2">
        <v>2.66064677</v>
      </c>
      <c r="H1413" s="3">
        <v>9.7100000000000002E-5</v>
      </c>
      <c r="I1413" s="2" t="s">
        <v>47422</v>
      </c>
      <c r="J1413" s="2" t="s">
        <v>47423</v>
      </c>
      <c r="K1413" s="2">
        <v>1.9014780000000001E-3</v>
      </c>
      <c r="L1413" s="2" t="s">
        <v>848</v>
      </c>
      <c r="M1413" s="4" t="s">
        <v>11447</v>
      </c>
    </row>
    <row r="1414" spans="1:13">
      <c r="A1414" s="2">
        <v>5287</v>
      </c>
      <c r="B1414" s="2" t="s">
        <v>47424</v>
      </c>
      <c r="C1414" s="2">
        <v>7</v>
      </c>
      <c r="D1414" s="2">
        <v>291</v>
      </c>
      <c r="E1414" s="2">
        <v>113</v>
      </c>
      <c r="F1414" s="2">
        <v>32441</v>
      </c>
      <c r="G1414" s="2">
        <v>6.9059088280000003</v>
      </c>
      <c r="H1414" s="2">
        <v>1.03185E-4</v>
      </c>
      <c r="I1414" s="2" t="s">
        <v>47425</v>
      </c>
      <c r="J1414" s="2" t="s">
        <v>47426</v>
      </c>
      <c r="K1414" s="2">
        <v>2.0150070000000001E-3</v>
      </c>
      <c r="L1414" s="2" t="s">
        <v>848</v>
      </c>
      <c r="M1414" s="4" t="s">
        <v>47427</v>
      </c>
    </row>
    <row r="1415" spans="1:13">
      <c r="A1415" s="2">
        <v>4370</v>
      </c>
      <c r="B1415" s="2" t="s">
        <v>47428</v>
      </c>
      <c r="C1415" s="2">
        <v>10</v>
      </c>
      <c r="D1415" s="2">
        <v>291</v>
      </c>
      <c r="E1415" s="2">
        <v>245</v>
      </c>
      <c r="F1415" s="2">
        <v>32441</v>
      </c>
      <c r="G1415" s="2">
        <v>4.5502489659999998</v>
      </c>
      <c r="H1415" s="2">
        <v>1.0485E-4</v>
      </c>
      <c r="I1415" s="2" t="s">
        <v>47429</v>
      </c>
      <c r="J1415" s="2" t="s">
        <v>47430</v>
      </c>
      <c r="K1415" s="2">
        <v>2.0407839999999999E-3</v>
      </c>
      <c r="L1415" s="2" t="s">
        <v>848</v>
      </c>
      <c r="M1415" s="4" t="s">
        <v>47431</v>
      </c>
    </row>
    <row r="1416" spans="1:13">
      <c r="A1416" s="2">
        <v>13201</v>
      </c>
      <c r="B1416" s="2" t="s">
        <v>7939</v>
      </c>
      <c r="C1416" s="2">
        <v>11</v>
      </c>
      <c r="D1416" s="2">
        <v>291</v>
      </c>
      <c r="E1416" s="2">
        <v>296</v>
      </c>
      <c r="F1416" s="2">
        <v>32441</v>
      </c>
      <c r="G1416" s="2">
        <v>4.1428787030000001</v>
      </c>
      <c r="H1416" s="2">
        <v>1.0645999999999999E-4</v>
      </c>
      <c r="I1416" s="2" t="s">
        <v>47432</v>
      </c>
      <c r="J1416" s="2" t="s">
        <v>47433</v>
      </c>
      <c r="K1416" s="2">
        <v>2.0612899999999999E-3</v>
      </c>
      <c r="L1416" s="2" t="s">
        <v>848</v>
      </c>
      <c r="M1416" s="4" t="s">
        <v>7942</v>
      </c>
    </row>
    <row r="1417" spans="1:13">
      <c r="A1417" s="2">
        <v>1955</v>
      </c>
      <c r="B1417" s="2" t="s">
        <v>47434</v>
      </c>
      <c r="C1417" s="2">
        <v>6</v>
      </c>
      <c r="D1417" s="2">
        <v>291</v>
      </c>
      <c r="E1417" s="2">
        <v>78</v>
      </c>
      <c r="F1417" s="2">
        <v>32441</v>
      </c>
      <c r="G1417" s="2">
        <v>8.5754692039999991</v>
      </c>
      <c r="H1417" s="2">
        <v>1.066E-4</v>
      </c>
      <c r="I1417" s="2" t="s">
        <v>47208</v>
      </c>
      <c r="J1417" s="2" t="s">
        <v>47209</v>
      </c>
      <c r="K1417" s="2">
        <v>2.0612899999999999E-3</v>
      </c>
      <c r="L1417" s="2" t="s">
        <v>848</v>
      </c>
      <c r="M1417" s="4" t="s">
        <v>47435</v>
      </c>
    </row>
    <row r="1418" spans="1:13">
      <c r="A1418" s="2">
        <v>33291</v>
      </c>
      <c r="B1418" s="2" t="s">
        <v>30733</v>
      </c>
      <c r="C1418" s="2">
        <v>7</v>
      </c>
      <c r="D1418" s="2">
        <v>291</v>
      </c>
      <c r="E1418" s="2">
        <v>114</v>
      </c>
      <c r="F1418" s="2">
        <v>32441</v>
      </c>
      <c r="G1418" s="2">
        <v>6.8453306810000001</v>
      </c>
      <c r="H1418" s="2">
        <v>1.08699E-4</v>
      </c>
      <c r="I1418" s="2" t="s">
        <v>47436</v>
      </c>
      <c r="J1418" s="2" t="s">
        <v>47437</v>
      </c>
      <c r="K1418" s="2">
        <v>2.089441E-3</v>
      </c>
      <c r="L1418" s="2" t="s">
        <v>848</v>
      </c>
      <c r="M1418" s="4" t="s">
        <v>30736</v>
      </c>
    </row>
    <row r="1419" spans="1:13">
      <c r="A1419" s="2">
        <v>4948</v>
      </c>
      <c r="B1419" s="2" t="s">
        <v>8623</v>
      </c>
      <c r="C1419" s="2">
        <v>12</v>
      </c>
      <c r="D1419" s="2">
        <v>291</v>
      </c>
      <c r="E1419" s="2">
        <v>350</v>
      </c>
      <c r="F1419" s="2">
        <v>32441</v>
      </c>
      <c r="G1419" s="2">
        <v>3.8222091310000001</v>
      </c>
      <c r="H1419" s="2">
        <v>1.08763E-4</v>
      </c>
      <c r="I1419" s="2" t="s">
        <v>47438</v>
      </c>
      <c r="J1419" s="2" t="s">
        <v>47439</v>
      </c>
      <c r="K1419" s="2">
        <v>2.089441E-3</v>
      </c>
      <c r="L1419" s="2" t="s">
        <v>848</v>
      </c>
      <c r="M1419" s="4" t="s">
        <v>8626</v>
      </c>
    </row>
    <row r="1420" spans="1:13">
      <c r="A1420" s="2">
        <v>1113</v>
      </c>
      <c r="B1420" s="2" t="s">
        <v>9604</v>
      </c>
      <c r="C1420" s="2">
        <v>32</v>
      </c>
      <c r="D1420" s="2">
        <v>291</v>
      </c>
      <c r="E1420" s="2">
        <v>1733</v>
      </c>
      <c r="F1420" s="2">
        <v>32441</v>
      </c>
      <c r="G1420" s="2">
        <v>2.0585084760000001</v>
      </c>
      <c r="H1420" s="2">
        <v>1.12821E-4</v>
      </c>
      <c r="I1420" s="2" t="s">
        <v>47440</v>
      </c>
      <c r="J1420" s="2" t="s">
        <v>47441</v>
      </c>
      <c r="K1420" s="2">
        <v>2.1603920000000001E-3</v>
      </c>
      <c r="L1420" s="2" t="s">
        <v>848</v>
      </c>
      <c r="M1420" s="4" t="s">
        <v>9607</v>
      </c>
    </row>
    <row r="1421" spans="1:13">
      <c r="A1421" s="2">
        <v>2086</v>
      </c>
      <c r="B1421" s="2" t="s">
        <v>9484</v>
      </c>
      <c r="C1421" s="2">
        <v>21</v>
      </c>
      <c r="D1421" s="2">
        <v>291</v>
      </c>
      <c r="E1421" s="2">
        <v>917</v>
      </c>
      <c r="F1421" s="2">
        <v>32441</v>
      </c>
      <c r="G1421" s="2">
        <v>2.553002282</v>
      </c>
      <c r="H1421" s="2">
        <v>1.1401899999999999E-4</v>
      </c>
      <c r="I1421" s="2" t="s">
        <v>47442</v>
      </c>
      <c r="J1421" s="2" t="s">
        <v>47443</v>
      </c>
      <c r="K1421" s="2">
        <v>2.1692999999999999E-3</v>
      </c>
      <c r="L1421" s="2" t="s">
        <v>848</v>
      </c>
      <c r="M1421" s="4" t="s">
        <v>9487</v>
      </c>
    </row>
    <row r="1422" spans="1:13">
      <c r="A1422" s="2">
        <v>3333</v>
      </c>
      <c r="B1422" s="2" t="s">
        <v>47444</v>
      </c>
      <c r="C1422" s="2">
        <v>6</v>
      </c>
      <c r="D1422" s="2">
        <v>291</v>
      </c>
      <c r="E1422" s="2">
        <v>79</v>
      </c>
      <c r="F1422" s="2">
        <v>32441</v>
      </c>
      <c r="G1422" s="2">
        <v>8.4669189609999993</v>
      </c>
      <c r="H1422" s="2">
        <v>1.1385E-4</v>
      </c>
      <c r="I1422" s="2" t="s">
        <v>47445</v>
      </c>
      <c r="J1422" s="2" t="s">
        <v>47446</v>
      </c>
      <c r="K1422" s="2">
        <v>2.1692999999999999E-3</v>
      </c>
      <c r="L1422" s="2" t="s">
        <v>848</v>
      </c>
      <c r="M1422" s="4" t="s">
        <v>47447</v>
      </c>
    </row>
    <row r="1423" spans="1:13">
      <c r="A1423" s="2">
        <v>2908</v>
      </c>
      <c r="B1423" s="2" t="s">
        <v>47448</v>
      </c>
      <c r="C1423" s="2">
        <v>13</v>
      </c>
      <c r="D1423" s="2">
        <v>291</v>
      </c>
      <c r="E1423" s="2">
        <v>408</v>
      </c>
      <c r="F1423" s="2">
        <v>32441</v>
      </c>
      <c r="G1423" s="2">
        <v>3.552093862</v>
      </c>
      <c r="H1423" s="2">
        <v>1.15048E-4</v>
      </c>
      <c r="I1423" s="2" t="s">
        <v>47449</v>
      </c>
      <c r="J1423" s="2" t="s">
        <v>47450</v>
      </c>
      <c r="K1423" s="2">
        <v>2.1818470000000002E-3</v>
      </c>
      <c r="L1423" s="2" t="s">
        <v>848</v>
      </c>
      <c r="M1423" s="4" t="s">
        <v>47451</v>
      </c>
    </row>
    <row r="1424" spans="1:13">
      <c r="A1424" s="2">
        <v>4293</v>
      </c>
      <c r="B1424" s="2" t="s">
        <v>47452</v>
      </c>
      <c r="C1424" s="2">
        <v>12</v>
      </c>
      <c r="D1424" s="2">
        <v>291</v>
      </c>
      <c r="E1424" s="2">
        <v>353</v>
      </c>
      <c r="F1424" s="2">
        <v>32441</v>
      </c>
      <c r="G1424" s="2">
        <v>3.7897257670000002</v>
      </c>
      <c r="H1424" s="2">
        <v>1.17481E-4</v>
      </c>
      <c r="I1424" s="2" t="s">
        <v>47453</v>
      </c>
      <c r="J1424" s="2" t="s">
        <v>47454</v>
      </c>
      <c r="K1424" s="2">
        <v>2.220877E-3</v>
      </c>
      <c r="L1424" s="2" t="s">
        <v>848</v>
      </c>
      <c r="M1424" s="4" t="s">
        <v>47455</v>
      </c>
    </row>
    <row r="1425" spans="1:13">
      <c r="A1425" s="2">
        <v>21171</v>
      </c>
      <c r="B1425" s="2" t="s">
        <v>42771</v>
      </c>
      <c r="C1425" s="2">
        <v>5</v>
      </c>
      <c r="D1425" s="2">
        <v>291</v>
      </c>
      <c r="E1425" s="2">
        <v>49</v>
      </c>
      <c r="F1425" s="2">
        <v>32441</v>
      </c>
      <c r="G1425" s="2">
        <v>11.37562241</v>
      </c>
      <c r="H1425" s="2">
        <v>1.18831E-4</v>
      </c>
      <c r="I1425" s="2" t="s">
        <v>47456</v>
      </c>
      <c r="J1425" s="2" t="s">
        <v>47457</v>
      </c>
      <c r="K1425" s="2">
        <v>2.2392530000000001E-3</v>
      </c>
      <c r="L1425" s="2" t="s">
        <v>848</v>
      </c>
      <c r="M1425" s="4" t="s">
        <v>42772</v>
      </c>
    </row>
    <row r="1426" spans="1:13">
      <c r="A1426" s="2">
        <v>22251</v>
      </c>
      <c r="B1426" s="2" t="s">
        <v>47458</v>
      </c>
      <c r="C1426" s="2">
        <v>4</v>
      </c>
      <c r="D1426" s="2">
        <v>291</v>
      </c>
      <c r="E1426" s="2">
        <v>25</v>
      </c>
      <c r="F1426" s="2">
        <v>32441</v>
      </c>
      <c r="G1426" s="2">
        <v>17.836975949999999</v>
      </c>
      <c r="H1426" s="2">
        <v>1.2197399999999999E-4</v>
      </c>
      <c r="I1426" s="2" t="s">
        <v>47180</v>
      </c>
      <c r="J1426" s="2" t="s">
        <v>47181</v>
      </c>
      <c r="K1426" s="2">
        <v>2.28392E-3</v>
      </c>
      <c r="L1426" s="2" t="s">
        <v>848</v>
      </c>
      <c r="M1426" s="4" t="s">
        <v>47459</v>
      </c>
    </row>
    <row r="1427" spans="1:13">
      <c r="A1427" s="2">
        <v>5337</v>
      </c>
      <c r="B1427" s="2" t="s">
        <v>47460</v>
      </c>
      <c r="C1427" s="2">
        <v>4</v>
      </c>
      <c r="D1427" s="2">
        <v>291</v>
      </c>
      <c r="E1427" s="2">
        <v>25</v>
      </c>
      <c r="F1427" s="2">
        <v>32441</v>
      </c>
      <c r="G1427" s="2">
        <v>17.836975949999999</v>
      </c>
      <c r="H1427" s="2">
        <v>1.2197399999999999E-4</v>
      </c>
      <c r="I1427" s="2" t="s">
        <v>47461</v>
      </c>
      <c r="J1427" s="2" t="s">
        <v>47462</v>
      </c>
      <c r="K1427" s="2">
        <v>2.28392E-3</v>
      </c>
      <c r="L1427" s="2" t="s">
        <v>848</v>
      </c>
      <c r="M1427" s="4" t="s">
        <v>47463</v>
      </c>
    </row>
    <row r="1428" spans="1:13">
      <c r="A1428" s="2">
        <v>5501</v>
      </c>
      <c r="B1428" s="2" t="s">
        <v>8520</v>
      </c>
      <c r="C1428" s="2">
        <v>25</v>
      </c>
      <c r="D1428" s="2">
        <v>291</v>
      </c>
      <c r="E1428" s="2">
        <v>1209</v>
      </c>
      <c r="F1428" s="2">
        <v>32441</v>
      </c>
      <c r="G1428" s="2">
        <v>2.305233657</v>
      </c>
      <c r="H1428" s="2">
        <v>1.2445199999999999E-4</v>
      </c>
      <c r="I1428" s="2" t="s">
        <v>47464</v>
      </c>
      <c r="J1428" s="2" t="s">
        <v>47465</v>
      </c>
      <c r="K1428" s="2">
        <v>2.3229769999999999E-3</v>
      </c>
      <c r="L1428" s="2" t="s">
        <v>848</v>
      </c>
      <c r="M1428" s="4" t="s">
        <v>8523</v>
      </c>
    </row>
    <row r="1429" spans="1:13">
      <c r="A1429" s="2">
        <v>5374</v>
      </c>
      <c r="B1429" s="2" t="s">
        <v>9134</v>
      </c>
      <c r="C1429" s="2">
        <v>14</v>
      </c>
      <c r="D1429" s="2">
        <v>291</v>
      </c>
      <c r="E1429" s="2">
        <v>471</v>
      </c>
      <c r="F1429" s="2">
        <v>32441</v>
      </c>
      <c r="G1429" s="2">
        <v>3.3136632590000001</v>
      </c>
      <c r="H1429" s="2">
        <v>1.28291E-4</v>
      </c>
      <c r="I1429" s="2" t="s">
        <v>47466</v>
      </c>
      <c r="J1429" s="2" t="s">
        <v>47467</v>
      </c>
      <c r="K1429" s="2">
        <v>2.387091E-3</v>
      </c>
      <c r="L1429" s="2" t="s">
        <v>848</v>
      </c>
      <c r="M1429" s="4" t="s">
        <v>9137</v>
      </c>
    </row>
    <row r="1430" spans="1:13">
      <c r="A1430" s="2">
        <v>1654</v>
      </c>
      <c r="B1430" s="2" t="s">
        <v>30357</v>
      </c>
      <c r="C1430" s="2">
        <v>5</v>
      </c>
      <c r="D1430" s="2">
        <v>291</v>
      </c>
      <c r="E1430" s="2">
        <v>50</v>
      </c>
      <c r="F1430" s="2">
        <v>32441</v>
      </c>
      <c r="G1430" s="2">
        <v>11.14810997</v>
      </c>
      <c r="H1430" s="2">
        <v>1.29772E-4</v>
      </c>
      <c r="I1430" s="2" t="s">
        <v>47468</v>
      </c>
      <c r="J1430" s="2" t="s">
        <v>47469</v>
      </c>
      <c r="K1430" s="2">
        <v>2.3920819999999998E-3</v>
      </c>
      <c r="L1430" s="2" t="s">
        <v>848</v>
      </c>
      <c r="M1430" s="4" t="s">
        <v>30360</v>
      </c>
    </row>
    <row r="1431" spans="1:13">
      <c r="A1431" s="2">
        <v>2015</v>
      </c>
      <c r="B1431" s="2" t="s">
        <v>47470</v>
      </c>
      <c r="C1431" s="2">
        <v>5</v>
      </c>
      <c r="D1431" s="2">
        <v>291</v>
      </c>
      <c r="E1431" s="2">
        <v>50</v>
      </c>
      <c r="F1431" s="2">
        <v>32441</v>
      </c>
      <c r="G1431" s="2">
        <v>11.14810997</v>
      </c>
      <c r="H1431" s="2">
        <v>1.29772E-4</v>
      </c>
      <c r="I1431" s="2" t="s">
        <v>47471</v>
      </c>
      <c r="J1431" s="2" t="s">
        <v>47472</v>
      </c>
      <c r="K1431" s="2">
        <v>2.3920819999999998E-3</v>
      </c>
      <c r="L1431" s="2" t="s">
        <v>848</v>
      </c>
      <c r="M1431" s="4" t="s">
        <v>47473</v>
      </c>
    </row>
    <row r="1432" spans="1:13">
      <c r="A1432" s="2">
        <v>2205</v>
      </c>
      <c r="B1432" s="2" t="s">
        <v>30361</v>
      </c>
      <c r="C1432" s="2">
        <v>5</v>
      </c>
      <c r="D1432" s="2">
        <v>291</v>
      </c>
      <c r="E1432" s="2">
        <v>50</v>
      </c>
      <c r="F1432" s="2">
        <v>32441</v>
      </c>
      <c r="G1432" s="2">
        <v>11.14810997</v>
      </c>
      <c r="H1432" s="2">
        <v>1.29772E-4</v>
      </c>
      <c r="I1432" s="2" t="s">
        <v>47271</v>
      </c>
      <c r="J1432" s="2" t="s">
        <v>47272</v>
      </c>
      <c r="K1432" s="2">
        <v>2.3920819999999998E-3</v>
      </c>
      <c r="L1432" s="2" t="s">
        <v>848</v>
      </c>
      <c r="M1432" s="4" t="s">
        <v>30364</v>
      </c>
    </row>
    <row r="1433" spans="1:13">
      <c r="A1433" s="2">
        <v>4875</v>
      </c>
      <c r="B1433" s="2" t="s">
        <v>10129</v>
      </c>
      <c r="C1433" s="2">
        <v>21</v>
      </c>
      <c r="D1433" s="2">
        <v>291</v>
      </c>
      <c r="E1433" s="2">
        <v>929</v>
      </c>
      <c r="F1433" s="2">
        <v>32441</v>
      </c>
      <c r="G1433" s="2">
        <v>2.5200248580000002</v>
      </c>
      <c r="H1433" s="2">
        <v>1.3574999999999999E-4</v>
      </c>
      <c r="I1433" s="2" t="s">
        <v>47474</v>
      </c>
      <c r="J1433" s="2" t="s">
        <v>47475</v>
      </c>
      <c r="K1433" s="2">
        <v>2.4945169999999999E-3</v>
      </c>
      <c r="L1433" s="2" t="s">
        <v>848</v>
      </c>
      <c r="M1433" s="4" t="s">
        <v>10132</v>
      </c>
    </row>
    <row r="1434" spans="1:13">
      <c r="A1434" s="2">
        <v>2556</v>
      </c>
      <c r="B1434" s="2" t="s">
        <v>47476</v>
      </c>
      <c r="C1434" s="2">
        <v>4</v>
      </c>
      <c r="D1434" s="2">
        <v>291</v>
      </c>
      <c r="E1434" s="2">
        <v>26</v>
      </c>
      <c r="F1434" s="2">
        <v>32441</v>
      </c>
      <c r="G1434" s="2">
        <v>17.150938409999998</v>
      </c>
      <c r="H1434" s="2">
        <v>1.39758E-4</v>
      </c>
      <c r="I1434" s="2" t="s">
        <v>47477</v>
      </c>
      <c r="J1434" s="2" t="s">
        <v>47478</v>
      </c>
      <c r="K1434" s="2">
        <v>2.560218E-3</v>
      </c>
      <c r="L1434" s="2" t="s">
        <v>848</v>
      </c>
      <c r="M1434" s="4" t="s">
        <v>47479</v>
      </c>
    </row>
    <row r="1435" spans="1:13">
      <c r="A1435" s="2">
        <v>553</v>
      </c>
      <c r="B1435" s="2" t="s">
        <v>30541</v>
      </c>
      <c r="C1435" s="2">
        <v>11</v>
      </c>
      <c r="D1435" s="2">
        <v>291</v>
      </c>
      <c r="E1435" s="2">
        <v>306</v>
      </c>
      <c r="F1435" s="2">
        <v>32441</v>
      </c>
      <c r="G1435" s="2">
        <v>4.0074905110000003</v>
      </c>
      <c r="H1435" s="2">
        <v>1.4093499999999999E-4</v>
      </c>
      <c r="I1435" s="2" t="s">
        <v>47480</v>
      </c>
      <c r="J1435" s="2" t="s">
        <v>47481</v>
      </c>
      <c r="K1435" s="2">
        <v>2.5738089999999998E-3</v>
      </c>
      <c r="L1435" s="2" t="s">
        <v>848</v>
      </c>
      <c r="M1435" s="4" t="s">
        <v>30542</v>
      </c>
    </row>
    <row r="1436" spans="1:13">
      <c r="A1436" s="2">
        <v>4919</v>
      </c>
      <c r="B1436" s="2" t="s">
        <v>10147</v>
      </c>
      <c r="C1436" s="2">
        <v>28</v>
      </c>
      <c r="D1436" s="2">
        <v>291</v>
      </c>
      <c r="E1436" s="2">
        <v>1445</v>
      </c>
      <c r="F1436" s="2">
        <v>32441</v>
      </c>
      <c r="G1436" s="2">
        <v>2.1601873980000001</v>
      </c>
      <c r="H1436" s="2">
        <v>1.4238400000000001E-4</v>
      </c>
      <c r="I1436" s="2" t="s">
        <v>47482</v>
      </c>
      <c r="J1436" s="2" t="s">
        <v>47483</v>
      </c>
      <c r="K1436" s="2">
        <v>2.5922559999999998E-3</v>
      </c>
      <c r="L1436" s="2" t="s">
        <v>848</v>
      </c>
      <c r="M1436" s="4" t="s">
        <v>10150</v>
      </c>
    </row>
    <row r="1437" spans="1:13">
      <c r="A1437" s="2">
        <v>4287</v>
      </c>
      <c r="B1437" s="2" t="s">
        <v>11123</v>
      </c>
      <c r="C1437" s="2">
        <v>11</v>
      </c>
      <c r="D1437" s="2">
        <v>291</v>
      </c>
      <c r="E1437" s="2">
        <v>307</v>
      </c>
      <c r="F1437" s="2">
        <v>32441</v>
      </c>
      <c r="G1437" s="2">
        <v>3.994436796</v>
      </c>
      <c r="H1437" s="2">
        <v>1.4485299999999999E-4</v>
      </c>
      <c r="I1437" s="2" t="s">
        <v>47484</v>
      </c>
      <c r="J1437" s="2" t="s">
        <v>47485</v>
      </c>
      <c r="K1437" s="2">
        <v>2.629134E-3</v>
      </c>
      <c r="L1437" s="2" t="s">
        <v>848</v>
      </c>
      <c r="M1437" s="4" t="s">
        <v>11126</v>
      </c>
    </row>
    <row r="1438" spans="1:13">
      <c r="A1438" s="2">
        <v>3820</v>
      </c>
      <c r="B1438" s="2" t="s">
        <v>8206</v>
      </c>
      <c r="C1438" s="2">
        <v>7</v>
      </c>
      <c r="D1438" s="2">
        <v>291</v>
      </c>
      <c r="E1438" s="2">
        <v>120</v>
      </c>
      <c r="F1438" s="2">
        <v>32441</v>
      </c>
      <c r="G1438" s="2">
        <v>6.5030641469999999</v>
      </c>
      <c r="H1438" s="2">
        <v>1.4703700000000001E-4</v>
      </c>
      <c r="I1438" s="2" t="s">
        <v>47486</v>
      </c>
      <c r="J1438" s="2" t="s">
        <v>47487</v>
      </c>
      <c r="K1438" s="2">
        <v>2.6606099999999999E-3</v>
      </c>
      <c r="L1438" s="2" t="s">
        <v>848</v>
      </c>
      <c r="M1438" s="4" t="s">
        <v>8209</v>
      </c>
    </row>
    <row r="1439" spans="1:13">
      <c r="A1439" s="2">
        <v>990</v>
      </c>
      <c r="B1439" s="2" t="s">
        <v>8230</v>
      </c>
      <c r="C1439" s="2">
        <v>19</v>
      </c>
      <c r="D1439" s="2">
        <v>291</v>
      </c>
      <c r="E1439" s="2">
        <v>799</v>
      </c>
      <c r="F1439" s="2">
        <v>32441</v>
      </c>
      <c r="G1439" s="2">
        <v>2.6509898540000001</v>
      </c>
      <c r="H1439" s="2">
        <v>1.5153599999999999E-4</v>
      </c>
      <c r="I1439" s="2" t="s">
        <v>47488</v>
      </c>
      <c r="J1439" s="2" t="s">
        <v>47489</v>
      </c>
      <c r="K1439" s="2">
        <v>2.7336470000000001E-3</v>
      </c>
      <c r="L1439" s="2" t="s">
        <v>848</v>
      </c>
      <c r="M1439" s="4" t="s">
        <v>8233</v>
      </c>
    </row>
    <row r="1440" spans="1:13">
      <c r="A1440" s="2">
        <v>2520</v>
      </c>
      <c r="B1440" s="2" t="s">
        <v>10801</v>
      </c>
      <c r="C1440" s="2">
        <v>7</v>
      </c>
      <c r="D1440" s="2">
        <v>291</v>
      </c>
      <c r="E1440" s="2">
        <v>121</v>
      </c>
      <c r="F1440" s="2">
        <v>32441</v>
      </c>
      <c r="G1440" s="2">
        <v>6.449319815</v>
      </c>
      <c r="H1440" s="2">
        <v>1.54377E-4</v>
      </c>
      <c r="I1440" s="2" t="s">
        <v>47490</v>
      </c>
      <c r="J1440" s="2" t="s">
        <v>47491</v>
      </c>
      <c r="K1440" s="2">
        <v>2.776447E-3</v>
      </c>
      <c r="L1440" s="2" t="s">
        <v>848</v>
      </c>
      <c r="M1440" s="4" t="s">
        <v>10802</v>
      </c>
    </row>
    <row r="1441" spans="1:13">
      <c r="A1441" s="2">
        <v>4421</v>
      </c>
      <c r="B1441" s="2" t="s">
        <v>47492</v>
      </c>
      <c r="C1441" s="2">
        <v>6</v>
      </c>
      <c r="D1441" s="2">
        <v>291</v>
      </c>
      <c r="E1441" s="2">
        <v>84</v>
      </c>
      <c r="F1441" s="2">
        <v>32441</v>
      </c>
      <c r="G1441" s="2">
        <v>7.9629356900000001</v>
      </c>
      <c r="H1441" s="2">
        <v>1.5618300000000001E-4</v>
      </c>
      <c r="I1441" s="2" t="s">
        <v>47493</v>
      </c>
      <c r="J1441" s="2" t="s">
        <v>47494</v>
      </c>
      <c r="K1441" s="2">
        <v>2.800411E-3</v>
      </c>
      <c r="L1441" s="2" t="s">
        <v>848</v>
      </c>
      <c r="M1441" s="4" t="s">
        <v>47495</v>
      </c>
    </row>
    <row r="1442" spans="1:13">
      <c r="A1442" s="2">
        <v>3621</v>
      </c>
      <c r="B1442" s="2" t="s">
        <v>10687</v>
      </c>
      <c r="C1442" s="2">
        <v>11</v>
      </c>
      <c r="D1442" s="2">
        <v>291</v>
      </c>
      <c r="E1442" s="2">
        <v>310</v>
      </c>
      <c r="F1442" s="2">
        <v>32441</v>
      </c>
      <c r="G1442" s="2">
        <v>3.9557809559999999</v>
      </c>
      <c r="H1442" s="2">
        <v>1.5716800000000001E-4</v>
      </c>
      <c r="I1442" s="2" t="s">
        <v>47496</v>
      </c>
      <c r="J1442" s="2" t="s">
        <v>47497</v>
      </c>
      <c r="K1442" s="2">
        <v>2.8095640000000001E-3</v>
      </c>
      <c r="L1442" s="2" t="s">
        <v>848</v>
      </c>
      <c r="M1442" s="4" t="s">
        <v>10690</v>
      </c>
    </row>
    <row r="1443" spans="1:13">
      <c r="A1443" s="2">
        <v>4065</v>
      </c>
      <c r="B1443" s="2" t="s">
        <v>9731</v>
      </c>
      <c r="C1443" s="2">
        <v>9</v>
      </c>
      <c r="D1443" s="2">
        <v>291</v>
      </c>
      <c r="E1443" s="2">
        <v>210</v>
      </c>
      <c r="F1443" s="2">
        <v>32441</v>
      </c>
      <c r="G1443" s="2">
        <v>4.7777614140000004</v>
      </c>
      <c r="H1443" s="2">
        <v>1.6317999999999999E-4</v>
      </c>
      <c r="I1443" s="2" t="s">
        <v>47498</v>
      </c>
      <c r="J1443" s="2" t="s">
        <v>47499</v>
      </c>
      <c r="K1443" s="2">
        <v>2.9082470000000001E-3</v>
      </c>
      <c r="L1443" s="2" t="s">
        <v>848</v>
      </c>
      <c r="M1443" s="4" t="s">
        <v>9734</v>
      </c>
    </row>
    <row r="1444" spans="1:13">
      <c r="A1444" s="2">
        <v>2621</v>
      </c>
      <c r="B1444" s="2" t="s">
        <v>43021</v>
      </c>
      <c r="C1444" s="2">
        <v>5</v>
      </c>
      <c r="D1444" s="2">
        <v>291</v>
      </c>
      <c r="E1444" s="2">
        <v>53</v>
      </c>
      <c r="F1444" s="2">
        <v>32441</v>
      </c>
      <c r="G1444" s="2">
        <v>10.51708487</v>
      </c>
      <c r="H1444" s="2">
        <v>1.6725999999999999E-4</v>
      </c>
      <c r="I1444" s="2" t="s">
        <v>47500</v>
      </c>
      <c r="J1444" s="2" t="s">
        <v>47501</v>
      </c>
      <c r="K1444" s="2">
        <v>2.9631029999999999E-3</v>
      </c>
      <c r="L1444" s="2" t="s">
        <v>848</v>
      </c>
      <c r="M1444" s="4" t="s">
        <v>43024</v>
      </c>
    </row>
    <row r="1445" spans="1:13">
      <c r="A1445" s="2">
        <v>5431</v>
      </c>
      <c r="B1445" s="2" t="s">
        <v>39064</v>
      </c>
      <c r="C1445" s="2">
        <v>5</v>
      </c>
      <c r="D1445" s="2">
        <v>291</v>
      </c>
      <c r="E1445" s="2">
        <v>53</v>
      </c>
      <c r="F1445" s="2">
        <v>32441</v>
      </c>
      <c r="G1445" s="2">
        <v>10.51708487</v>
      </c>
      <c r="H1445" s="2">
        <v>1.6725999999999999E-4</v>
      </c>
      <c r="I1445" s="2" t="s">
        <v>47502</v>
      </c>
      <c r="J1445" s="2" t="s">
        <v>47503</v>
      </c>
      <c r="K1445" s="2">
        <v>2.9631029999999999E-3</v>
      </c>
      <c r="L1445" s="2" t="s">
        <v>848</v>
      </c>
      <c r="M1445" s="4" t="s">
        <v>39067</v>
      </c>
    </row>
    <row r="1446" spans="1:13">
      <c r="A1446" s="2">
        <v>4899</v>
      </c>
      <c r="B1446" s="2" t="s">
        <v>42311</v>
      </c>
      <c r="C1446" s="2">
        <v>21</v>
      </c>
      <c r="D1446" s="2">
        <v>291</v>
      </c>
      <c r="E1446" s="2">
        <v>946</v>
      </c>
      <c r="F1446" s="2">
        <v>32441</v>
      </c>
      <c r="G1446" s="2">
        <v>2.4747389989999999</v>
      </c>
      <c r="H1446" s="2">
        <v>1.7279799999999999E-4</v>
      </c>
      <c r="I1446" s="2" t="s">
        <v>47504</v>
      </c>
      <c r="J1446" s="2" t="s">
        <v>47505</v>
      </c>
      <c r="K1446" s="2">
        <v>3.052085E-3</v>
      </c>
      <c r="L1446" s="2" t="s">
        <v>848</v>
      </c>
      <c r="M1446" s="4" t="s">
        <v>42312</v>
      </c>
    </row>
    <row r="1447" spans="1:13">
      <c r="A1447" s="2">
        <v>1895</v>
      </c>
      <c r="B1447" s="2" t="s">
        <v>29956</v>
      </c>
      <c r="C1447" s="2">
        <v>9</v>
      </c>
      <c r="D1447" s="2">
        <v>291</v>
      </c>
      <c r="E1447" s="2">
        <v>212</v>
      </c>
      <c r="F1447" s="2">
        <v>32441</v>
      </c>
      <c r="G1447" s="2">
        <v>4.7326881930000004</v>
      </c>
      <c r="H1447" s="2">
        <v>1.74659E-4</v>
      </c>
      <c r="I1447" s="2" t="s">
        <v>47506</v>
      </c>
      <c r="J1447" s="2" t="s">
        <v>47507</v>
      </c>
      <c r="K1447" s="2">
        <v>3.0757689999999999E-3</v>
      </c>
      <c r="L1447" s="2" t="s">
        <v>848</v>
      </c>
      <c r="M1447" s="4" t="s">
        <v>29959</v>
      </c>
    </row>
    <row r="1448" spans="1:13">
      <c r="A1448" s="2">
        <v>3771</v>
      </c>
      <c r="B1448" s="2" t="s">
        <v>9198</v>
      </c>
      <c r="C1448" s="2">
        <v>14</v>
      </c>
      <c r="D1448" s="2">
        <v>291</v>
      </c>
      <c r="E1448" s="2">
        <v>486</v>
      </c>
      <c r="F1448" s="2">
        <v>32441</v>
      </c>
      <c r="G1448" s="2">
        <v>3.211389702</v>
      </c>
      <c r="H1448" s="2">
        <v>1.75642E-4</v>
      </c>
      <c r="I1448" s="2" t="s">
        <v>47508</v>
      </c>
      <c r="J1448" s="2" t="s">
        <v>47509</v>
      </c>
      <c r="K1448" s="2">
        <v>3.0839029999999998E-3</v>
      </c>
      <c r="L1448" s="2" t="s">
        <v>848</v>
      </c>
      <c r="M1448" s="4" t="s">
        <v>9201</v>
      </c>
    </row>
    <row r="1449" spans="1:13">
      <c r="A1449" s="2">
        <v>1324</v>
      </c>
      <c r="B1449" s="2" t="s">
        <v>38629</v>
      </c>
      <c r="C1449" s="2">
        <v>10</v>
      </c>
      <c r="D1449" s="2">
        <v>291</v>
      </c>
      <c r="E1449" s="2">
        <v>264</v>
      </c>
      <c r="F1449" s="2">
        <v>32441</v>
      </c>
      <c r="G1449" s="2">
        <v>4.2227689259999996</v>
      </c>
      <c r="H1449" s="2">
        <v>1.88042E-4</v>
      </c>
      <c r="I1449" s="2" t="s">
        <v>47510</v>
      </c>
      <c r="J1449" s="2" t="s">
        <v>47511</v>
      </c>
      <c r="K1449" s="2">
        <v>3.272489E-3</v>
      </c>
      <c r="L1449" s="2" t="s">
        <v>848</v>
      </c>
      <c r="M1449" s="4" t="s">
        <v>38632</v>
      </c>
    </row>
    <row r="1450" spans="1:13">
      <c r="A1450" s="2">
        <v>2683</v>
      </c>
      <c r="B1450" s="2" t="s">
        <v>47512</v>
      </c>
      <c r="C1450" s="2">
        <v>6</v>
      </c>
      <c r="D1450" s="2">
        <v>291</v>
      </c>
      <c r="E1450" s="2">
        <v>87</v>
      </c>
      <c r="F1450" s="2">
        <v>32441</v>
      </c>
      <c r="G1450" s="2">
        <v>7.6883517000000001</v>
      </c>
      <c r="H1450" s="2">
        <v>1.8700999999999999E-4</v>
      </c>
      <c r="I1450" s="2" t="s">
        <v>47513</v>
      </c>
      <c r="J1450" s="2" t="s">
        <v>47514</v>
      </c>
      <c r="K1450" s="2">
        <v>3.272489E-3</v>
      </c>
      <c r="L1450" s="2" t="s">
        <v>848</v>
      </c>
      <c r="M1450" s="4" t="s">
        <v>47515</v>
      </c>
    </row>
    <row r="1451" spans="1:13">
      <c r="A1451" s="2">
        <v>3527</v>
      </c>
      <c r="B1451" s="2" t="s">
        <v>7771</v>
      </c>
      <c r="C1451" s="2">
        <v>12</v>
      </c>
      <c r="D1451" s="2">
        <v>291</v>
      </c>
      <c r="E1451" s="2">
        <v>372</v>
      </c>
      <c r="F1451" s="2">
        <v>32441</v>
      </c>
      <c r="G1451" s="2">
        <v>3.596164505</v>
      </c>
      <c r="H1451" s="2">
        <v>1.8788799999999999E-4</v>
      </c>
      <c r="I1451" s="2" t="s">
        <v>47516</v>
      </c>
      <c r="J1451" s="2" t="s">
        <v>47517</v>
      </c>
      <c r="K1451" s="2">
        <v>3.272489E-3</v>
      </c>
      <c r="L1451" s="2" t="s">
        <v>848</v>
      </c>
      <c r="M1451" s="4" t="s">
        <v>7774</v>
      </c>
    </row>
    <row r="1452" spans="1:13">
      <c r="A1452" s="2">
        <v>3994</v>
      </c>
      <c r="B1452" s="2" t="s">
        <v>10962</v>
      </c>
      <c r="C1452" s="2">
        <v>17</v>
      </c>
      <c r="D1452" s="2">
        <v>291</v>
      </c>
      <c r="E1452" s="2">
        <v>684</v>
      </c>
      <c r="F1452" s="2">
        <v>32441</v>
      </c>
      <c r="G1452" s="2">
        <v>2.7707290850000001</v>
      </c>
      <c r="H1452" s="2">
        <v>2.0417300000000001E-4</v>
      </c>
      <c r="I1452" s="2" t="s">
        <v>47518</v>
      </c>
      <c r="J1452" s="2" t="s">
        <v>47519</v>
      </c>
      <c r="K1452" s="2">
        <v>3.5427869999999999E-3</v>
      </c>
      <c r="L1452" s="2" t="s">
        <v>848</v>
      </c>
      <c r="M1452" s="4" t="s">
        <v>10965</v>
      </c>
    </row>
    <row r="1453" spans="1:13">
      <c r="A1453" s="2">
        <v>50611</v>
      </c>
      <c r="B1453" s="2" t="s">
        <v>11009</v>
      </c>
      <c r="C1453" s="2">
        <v>19</v>
      </c>
      <c r="D1453" s="2">
        <v>291</v>
      </c>
      <c r="E1453" s="2">
        <v>819</v>
      </c>
      <c r="F1453" s="2">
        <v>32441</v>
      </c>
      <c r="G1453" s="2">
        <v>2.586252617</v>
      </c>
      <c r="H1453" s="2">
        <v>2.0565000000000001E-4</v>
      </c>
      <c r="I1453" s="2" t="s">
        <v>47520</v>
      </c>
      <c r="J1453" s="2" t="s">
        <v>47521</v>
      </c>
      <c r="K1453" s="2">
        <v>3.5579829999999998E-3</v>
      </c>
      <c r="L1453" s="2" t="s">
        <v>848</v>
      </c>
      <c r="M1453" s="4" t="s">
        <v>11012</v>
      </c>
    </row>
    <row r="1454" spans="1:13">
      <c r="A1454" s="2">
        <v>5130</v>
      </c>
      <c r="B1454" s="2" t="s">
        <v>47522</v>
      </c>
      <c r="C1454" s="2">
        <v>6</v>
      </c>
      <c r="D1454" s="2">
        <v>291</v>
      </c>
      <c r="E1454" s="2">
        <v>89</v>
      </c>
      <c r="F1454" s="2">
        <v>32441</v>
      </c>
      <c r="G1454" s="2">
        <v>7.5155797519999998</v>
      </c>
      <c r="H1454" s="2">
        <v>2.1009499999999999E-4</v>
      </c>
      <c r="I1454" s="2" t="s">
        <v>47116</v>
      </c>
      <c r="J1454" s="2" t="s">
        <v>47117</v>
      </c>
      <c r="K1454" s="2">
        <v>3.6242940000000001E-3</v>
      </c>
      <c r="L1454" s="2" t="s">
        <v>848</v>
      </c>
      <c r="M1454" s="4" t="s">
        <v>47523</v>
      </c>
    </row>
    <row r="1455" spans="1:13">
      <c r="A1455" s="2">
        <v>5651</v>
      </c>
      <c r="B1455" s="2" t="s">
        <v>47524</v>
      </c>
      <c r="C1455" s="2">
        <v>5</v>
      </c>
      <c r="D1455" s="2">
        <v>291</v>
      </c>
      <c r="E1455" s="2">
        <v>56</v>
      </c>
      <c r="F1455" s="2">
        <v>32441</v>
      </c>
      <c r="G1455" s="2">
        <v>9.9536696120000006</v>
      </c>
      <c r="H1455" s="2">
        <v>2.12499E-4</v>
      </c>
      <c r="I1455" s="2" t="s">
        <v>47525</v>
      </c>
      <c r="J1455" s="2" t="s">
        <v>47526</v>
      </c>
      <c r="K1455" s="2">
        <v>3.6551050000000001E-3</v>
      </c>
      <c r="L1455" s="2" t="s">
        <v>848</v>
      </c>
      <c r="M1455" s="4" t="s">
        <v>47527</v>
      </c>
    </row>
    <row r="1456" spans="1:13">
      <c r="A1456" s="2">
        <v>1530</v>
      </c>
      <c r="B1456" s="2" t="s">
        <v>10309</v>
      </c>
      <c r="C1456" s="2">
        <v>15</v>
      </c>
      <c r="D1456" s="2">
        <v>291</v>
      </c>
      <c r="E1456" s="2">
        <v>558</v>
      </c>
      <c r="F1456" s="2">
        <v>32441</v>
      </c>
      <c r="G1456" s="2">
        <v>2.9968037540000001</v>
      </c>
      <c r="H1456" s="2">
        <v>2.14809E-4</v>
      </c>
      <c r="I1456" s="2" t="s">
        <v>47528</v>
      </c>
      <c r="J1456" s="2" t="s">
        <v>47529</v>
      </c>
      <c r="K1456" s="2">
        <v>3.6734850000000002E-3</v>
      </c>
      <c r="L1456" s="2" t="s">
        <v>848</v>
      </c>
      <c r="M1456" s="4" t="s">
        <v>10312</v>
      </c>
    </row>
    <row r="1457" spans="1:13">
      <c r="A1457" s="2">
        <v>3898</v>
      </c>
      <c r="B1457" s="2" t="s">
        <v>47530</v>
      </c>
      <c r="C1457" s="2">
        <v>7</v>
      </c>
      <c r="D1457" s="2">
        <v>291</v>
      </c>
      <c r="E1457" s="2">
        <v>128</v>
      </c>
      <c r="F1457" s="2">
        <v>32441</v>
      </c>
      <c r="G1457" s="2">
        <v>6.0966226370000003</v>
      </c>
      <c r="H1457" s="2">
        <v>2.1448800000000001E-4</v>
      </c>
      <c r="I1457" s="2" t="s">
        <v>47531</v>
      </c>
      <c r="J1457" s="2" t="s">
        <v>47532</v>
      </c>
      <c r="K1457" s="2">
        <v>3.6734850000000002E-3</v>
      </c>
      <c r="L1457" s="2" t="s">
        <v>848</v>
      </c>
      <c r="M1457" s="4" t="s">
        <v>47533</v>
      </c>
    </row>
    <row r="1458" spans="1:13">
      <c r="A1458" s="2">
        <v>1198</v>
      </c>
      <c r="B1458" s="2" t="s">
        <v>10238</v>
      </c>
      <c r="C1458" s="2">
        <v>13</v>
      </c>
      <c r="D1458" s="2">
        <v>291</v>
      </c>
      <c r="E1458" s="2">
        <v>437</v>
      </c>
      <c r="F1458" s="2">
        <v>32441</v>
      </c>
      <c r="G1458" s="2">
        <v>3.3163713860000001</v>
      </c>
      <c r="H1458" s="2">
        <v>2.2053400000000001E-4</v>
      </c>
      <c r="I1458" s="2" t="s">
        <v>47534</v>
      </c>
      <c r="J1458" s="2" t="s">
        <v>47535</v>
      </c>
      <c r="K1458" s="2">
        <v>3.760514E-3</v>
      </c>
      <c r="L1458" s="2" t="s">
        <v>848</v>
      </c>
      <c r="M1458" s="4" t="s">
        <v>10241</v>
      </c>
    </row>
    <row r="1459" spans="1:13">
      <c r="A1459" s="2">
        <v>4805</v>
      </c>
      <c r="B1459" s="2" t="s">
        <v>9182</v>
      </c>
      <c r="C1459" s="2">
        <v>8</v>
      </c>
      <c r="D1459" s="2">
        <v>291</v>
      </c>
      <c r="E1459" s="2">
        <v>172</v>
      </c>
      <c r="F1459" s="2">
        <v>32441</v>
      </c>
      <c r="G1459" s="2">
        <v>5.1851674259999996</v>
      </c>
      <c r="H1459" s="2">
        <v>2.2136700000000001E-4</v>
      </c>
      <c r="I1459" s="2" t="s">
        <v>47536</v>
      </c>
      <c r="J1459" s="2" t="s">
        <v>47537</v>
      </c>
      <c r="K1459" s="2">
        <v>3.763883E-3</v>
      </c>
      <c r="L1459" s="2" t="s">
        <v>848</v>
      </c>
      <c r="M1459" s="4" t="s">
        <v>9185</v>
      </c>
    </row>
    <row r="1460" spans="1:13">
      <c r="A1460" s="2">
        <v>40061</v>
      </c>
      <c r="B1460" s="2" t="s">
        <v>47538</v>
      </c>
      <c r="C1460" s="2">
        <v>6</v>
      </c>
      <c r="D1460" s="2">
        <v>291</v>
      </c>
      <c r="E1460" s="2">
        <v>90</v>
      </c>
      <c r="F1460" s="2">
        <v>32441</v>
      </c>
      <c r="G1460" s="2">
        <v>7.4320733099999998</v>
      </c>
      <c r="H1460" s="2">
        <v>2.2245000000000001E-4</v>
      </c>
      <c r="I1460" s="2" t="s">
        <v>47208</v>
      </c>
      <c r="J1460" s="2" t="s">
        <v>47209</v>
      </c>
      <c r="K1460" s="2">
        <v>3.771445E-3</v>
      </c>
      <c r="L1460" s="2" t="s">
        <v>848</v>
      </c>
      <c r="M1460" s="4" t="s">
        <v>47539</v>
      </c>
    </row>
    <row r="1461" spans="1:13">
      <c r="A1461" s="2">
        <v>3118</v>
      </c>
      <c r="B1461" s="2" t="s">
        <v>47540</v>
      </c>
      <c r="C1461" s="2">
        <v>7</v>
      </c>
      <c r="D1461" s="2">
        <v>291</v>
      </c>
      <c r="E1461" s="2">
        <v>129</v>
      </c>
      <c r="F1461" s="2">
        <v>32441</v>
      </c>
      <c r="G1461" s="2">
        <v>6.0493619970000001</v>
      </c>
      <c r="H1461" s="2">
        <v>2.2443300000000001E-4</v>
      </c>
      <c r="I1461" s="2" t="s">
        <v>47541</v>
      </c>
      <c r="J1461" s="2" t="s">
        <v>47542</v>
      </c>
      <c r="K1461" s="2">
        <v>3.7942060000000001E-3</v>
      </c>
      <c r="L1461" s="2" t="s">
        <v>848</v>
      </c>
      <c r="M1461" s="4" t="s">
        <v>47543</v>
      </c>
    </row>
    <row r="1462" spans="1:13">
      <c r="A1462" s="2">
        <v>1277</v>
      </c>
      <c r="B1462" s="2" t="s">
        <v>47544</v>
      </c>
      <c r="C1462" s="2">
        <v>5</v>
      </c>
      <c r="D1462" s="2">
        <v>291</v>
      </c>
      <c r="E1462" s="2">
        <v>57</v>
      </c>
      <c r="F1462" s="2">
        <v>32441</v>
      </c>
      <c r="G1462" s="2">
        <v>9.7790438300000009</v>
      </c>
      <c r="H1462" s="2">
        <v>2.2947399999999999E-4</v>
      </c>
      <c r="I1462" s="2" t="s">
        <v>47545</v>
      </c>
      <c r="J1462" s="2" t="s">
        <v>47546</v>
      </c>
      <c r="K1462" s="2">
        <v>3.8550619999999998E-3</v>
      </c>
      <c r="L1462" s="2" t="s">
        <v>848</v>
      </c>
      <c r="M1462" s="4" t="s">
        <v>47547</v>
      </c>
    </row>
    <row r="1463" spans="1:13">
      <c r="A1463" s="2">
        <v>1300</v>
      </c>
      <c r="B1463" s="2" t="s">
        <v>47548</v>
      </c>
      <c r="C1463" s="2">
        <v>4</v>
      </c>
      <c r="D1463" s="2">
        <v>291</v>
      </c>
      <c r="E1463" s="2">
        <v>30</v>
      </c>
      <c r="F1463" s="2">
        <v>32441</v>
      </c>
      <c r="G1463" s="2">
        <v>14.86414662</v>
      </c>
      <c r="H1463" s="2">
        <v>2.2998800000000001E-4</v>
      </c>
      <c r="I1463" s="2" t="s">
        <v>47180</v>
      </c>
      <c r="J1463" s="2" t="s">
        <v>47181</v>
      </c>
      <c r="K1463" s="2">
        <v>3.8550619999999998E-3</v>
      </c>
      <c r="L1463" s="2" t="s">
        <v>848</v>
      </c>
      <c r="M1463" s="4" t="s">
        <v>47549</v>
      </c>
    </row>
    <row r="1464" spans="1:13">
      <c r="A1464" s="2">
        <v>1543</v>
      </c>
      <c r="B1464" s="2" t="s">
        <v>47550</v>
      </c>
      <c r="C1464" s="2">
        <v>4</v>
      </c>
      <c r="D1464" s="2">
        <v>291</v>
      </c>
      <c r="E1464" s="2">
        <v>30</v>
      </c>
      <c r="F1464" s="2">
        <v>32441</v>
      </c>
      <c r="G1464" s="2">
        <v>14.86414662</v>
      </c>
      <c r="H1464" s="2">
        <v>2.2998800000000001E-4</v>
      </c>
      <c r="I1464" s="2" t="s">
        <v>47551</v>
      </c>
      <c r="J1464" s="2" t="s">
        <v>47552</v>
      </c>
      <c r="K1464" s="2">
        <v>3.8550619999999998E-3</v>
      </c>
      <c r="L1464" s="2" t="s">
        <v>848</v>
      </c>
      <c r="M1464" s="4" t="s">
        <v>47553</v>
      </c>
    </row>
    <row r="1465" spans="1:13">
      <c r="A1465" s="2">
        <v>2671</v>
      </c>
      <c r="B1465" s="2" t="s">
        <v>7643</v>
      </c>
      <c r="C1465" s="2">
        <v>15</v>
      </c>
      <c r="D1465" s="2">
        <v>291</v>
      </c>
      <c r="E1465" s="2">
        <v>563</v>
      </c>
      <c r="F1465" s="2">
        <v>32441</v>
      </c>
      <c r="G1465" s="2">
        <v>2.970189156</v>
      </c>
      <c r="H1465" s="2">
        <v>2.3563300000000001E-4</v>
      </c>
      <c r="I1465" s="2" t="s">
        <v>47554</v>
      </c>
      <c r="J1465" s="2" t="s">
        <v>47555</v>
      </c>
      <c r="K1465" s="2">
        <v>3.9164009999999999E-3</v>
      </c>
      <c r="L1465" s="2" t="s">
        <v>848</v>
      </c>
      <c r="M1465" s="4" t="s">
        <v>7646</v>
      </c>
    </row>
    <row r="1466" spans="1:13">
      <c r="A1466" s="2">
        <v>1283</v>
      </c>
      <c r="B1466" s="2" t="s">
        <v>47556</v>
      </c>
      <c r="C1466" s="2">
        <v>3</v>
      </c>
      <c r="D1466" s="2">
        <v>291</v>
      </c>
      <c r="E1466" s="2">
        <v>11</v>
      </c>
      <c r="F1466" s="2">
        <v>32441</v>
      </c>
      <c r="G1466" s="2">
        <v>30.403936269999999</v>
      </c>
      <c r="H1466" s="2">
        <v>2.35422E-4</v>
      </c>
      <c r="I1466" s="2" t="s">
        <v>47557</v>
      </c>
      <c r="J1466" s="2" t="s">
        <v>47558</v>
      </c>
      <c r="K1466" s="2">
        <v>3.9164009999999999E-3</v>
      </c>
      <c r="L1466" s="2" t="s">
        <v>848</v>
      </c>
      <c r="M1466" s="4" t="s">
        <v>47559</v>
      </c>
    </row>
    <row r="1467" spans="1:13">
      <c r="A1467" s="2">
        <v>17951</v>
      </c>
      <c r="B1467" s="2" t="s">
        <v>47560</v>
      </c>
      <c r="C1467" s="2">
        <v>3</v>
      </c>
      <c r="D1467" s="2">
        <v>291</v>
      </c>
      <c r="E1467" s="2">
        <v>11</v>
      </c>
      <c r="F1467" s="2">
        <v>32441</v>
      </c>
      <c r="G1467" s="2">
        <v>30.403936269999999</v>
      </c>
      <c r="H1467" s="2">
        <v>2.35422E-4</v>
      </c>
      <c r="I1467" s="2" t="s">
        <v>47561</v>
      </c>
      <c r="J1467" s="2" t="s">
        <v>47562</v>
      </c>
      <c r="K1467" s="2">
        <v>3.9164009999999999E-3</v>
      </c>
      <c r="L1467" s="2" t="s">
        <v>848</v>
      </c>
      <c r="M1467" s="4" t="s">
        <v>47563</v>
      </c>
    </row>
    <row r="1468" spans="1:13">
      <c r="A1468" s="2">
        <v>711</v>
      </c>
      <c r="B1468" s="2" t="s">
        <v>47564</v>
      </c>
      <c r="C1468" s="2">
        <v>8</v>
      </c>
      <c r="D1468" s="2">
        <v>291</v>
      </c>
      <c r="E1468" s="2">
        <v>174</v>
      </c>
      <c r="F1468" s="2">
        <v>32441</v>
      </c>
      <c r="G1468" s="2">
        <v>5.1255677999999998</v>
      </c>
      <c r="H1468" s="2">
        <v>2.38595E-4</v>
      </c>
      <c r="I1468" s="2" t="s">
        <v>47565</v>
      </c>
      <c r="J1468" s="2" t="s">
        <v>47566</v>
      </c>
      <c r="K1468" s="2">
        <v>3.9434739999999998E-3</v>
      </c>
      <c r="L1468" s="2" t="s">
        <v>848</v>
      </c>
      <c r="M1468" s="4" t="s">
        <v>47567</v>
      </c>
    </row>
    <row r="1469" spans="1:13">
      <c r="A1469" s="2">
        <v>3540</v>
      </c>
      <c r="B1469" s="2" t="s">
        <v>10250</v>
      </c>
      <c r="C1469" s="2">
        <v>8</v>
      </c>
      <c r="D1469" s="2">
        <v>291</v>
      </c>
      <c r="E1469" s="2">
        <v>174</v>
      </c>
      <c r="F1469" s="2">
        <v>32441</v>
      </c>
      <c r="G1469" s="2">
        <v>5.1255677999999998</v>
      </c>
      <c r="H1469" s="2">
        <v>2.38595E-4</v>
      </c>
      <c r="I1469" s="2" t="s">
        <v>47568</v>
      </c>
      <c r="J1469" s="2" t="s">
        <v>47569</v>
      </c>
      <c r="K1469" s="2">
        <v>3.9434739999999998E-3</v>
      </c>
      <c r="L1469" s="2" t="s">
        <v>848</v>
      </c>
      <c r="M1469" s="4" t="s">
        <v>10253</v>
      </c>
    </row>
    <row r="1470" spans="1:13">
      <c r="A1470" s="2">
        <v>4815</v>
      </c>
      <c r="B1470" s="2" t="s">
        <v>10054</v>
      </c>
      <c r="C1470" s="2">
        <v>12</v>
      </c>
      <c r="D1470" s="2">
        <v>291</v>
      </c>
      <c r="E1470" s="2">
        <v>383</v>
      </c>
      <c r="F1470" s="2">
        <v>32441</v>
      </c>
      <c r="G1470" s="2">
        <v>3.4928804069999999</v>
      </c>
      <c r="H1470" s="2">
        <v>2.4316100000000001E-4</v>
      </c>
      <c r="I1470" s="2" t="s">
        <v>47570</v>
      </c>
      <c r="J1470" s="2" t="s">
        <v>47571</v>
      </c>
      <c r="K1470" s="2">
        <v>4.0077610000000003E-3</v>
      </c>
      <c r="L1470" s="2" t="s">
        <v>848</v>
      </c>
      <c r="M1470" s="4" t="s">
        <v>10057</v>
      </c>
    </row>
    <row r="1471" spans="1:13">
      <c r="A1471" s="2">
        <v>4379</v>
      </c>
      <c r="B1471" s="2" t="s">
        <v>9330</v>
      </c>
      <c r="C1471" s="2">
        <v>10</v>
      </c>
      <c r="D1471" s="2">
        <v>291</v>
      </c>
      <c r="E1471" s="2">
        <v>274</v>
      </c>
      <c r="F1471" s="2">
        <v>32441</v>
      </c>
      <c r="G1471" s="2">
        <v>4.0686532719999997</v>
      </c>
      <c r="H1471" s="2">
        <v>2.5056600000000003E-4</v>
      </c>
      <c r="I1471" s="2" t="s">
        <v>47572</v>
      </c>
      <c r="J1471" s="2" t="s">
        <v>47573</v>
      </c>
      <c r="K1471" s="2">
        <v>4.1183330000000001E-3</v>
      </c>
      <c r="L1471" s="2" t="s">
        <v>848</v>
      </c>
      <c r="M1471" s="4" t="s">
        <v>9333</v>
      </c>
    </row>
    <row r="1472" spans="1:13">
      <c r="A1472" s="2">
        <v>1791</v>
      </c>
      <c r="B1472" s="2" t="s">
        <v>38862</v>
      </c>
      <c r="C1472" s="2">
        <v>11</v>
      </c>
      <c r="D1472" s="2">
        <v>291</v>
      </c>
      <c r="E1472" s="2">
        <v>329</v>
      </c>
      <c r="F1472" s="2">
        <v>32441</v>
      </c>
      <c r="G1472" s="2">
        <v>3.7273315990000002</v>
      </c>
      <c r="H1472" s="2">
        <v>2.5772399999999997E-4</v>
      </c>
      <c r="I1472" s="2" t="s">
        <v>47574</v>
      </c>
      <c r="J1472" s="2" t="s">
        <v>47575</v>
      </c>
      <c r="K1472" s="2">
        <v>4.2147490000000003E-3</v>
      </c>
      <c r="L1472" s="2" t="s">
        <v>848</v>
      </c>
      <c r="M1472" s="4" t="s">
        <v>38865</v>
      </c>
    </row>
    <row r="1473" spans="1:13">
      <c r="A1473" s="2">
        <v>5185</v>
      </c>
      <c r="B1473" s="2" t="s">
        <v>47576</v>
      </c>
      <c r="C1473" s="2">
        <v>4</v>
      </c>
      <c r="D1473" s="2">
        <v>291</v>
      </c>
      <c r="E1473" s="2">
        <v>31</v>
      </c>
      <c r="F1473" s="2">
        <v>32441</v>
      </c>
      <c r="G1473" s="2">
        <v>14.38465802</v>
      </c>
      <c r="H1473" s="2">
        <v>2.5785700000000001E-4</v>
      </c>
      <c r="I1473" s="2" t="s">
        <v>47577</v>
      </c>
      <c r="J1473" s="2" t="s">
        <v>47578</v>
      </c>
      <c r="K1473" s="2">
        <v>4.2147490000000003E-3</v>
      </c>
      <c r="L1473" s="2" t="s">
        <v>848</v>
      </c>
      <c r="M1473" s="4" t="s">
        <v>47579</v>
      </c>
    </row>
    <row r="1474" spans="1:13">
      <c r="A1474" s="2">
        <v>220</v>
      </c>
      <c r="B1474" s="2" t="s">
        <v>30117</v>
      </c>
      <c r="C1474" s="2">
        <v>16</v>
      </c>
      <c r="D1474" s="2">
        <v>291</v>
      </c>
      <c r="E1474" s="2">
        <v>633</v>
      </c>
      <c r="F1474" s="2">
        <v>32441</v>
      </c>
      <c r="G1474" s="2">
        <v>2.8178477009999998</v>
      </c>
      <c r="H1474" s="2">
        <v>2.60859E-4</v>
      </c>
      <c r="I1474" s="2" t="s">
        <v>47004</v>
      </c>
      <c r="J1474" s="2" t="s">
        <v>47005</v>
      </c>
      <c r="K1474" s="2">
        <v>4.2520800000000001E-3</v>
      </c>
      <c r="L1474" s="2" t="s">
        <v>848</v>
      </c>
      <c r="M1474" s="4" t="s">
        <v>30120</v>
      </c>
    </row>
    <row r="1475" spans="1:13">
      <c r="A1475" s="2">
        <v>5541</v>
      </c>
      <c r="B1475" s="2" t="s">
        <v>47580</v>
      </c>
      <c r="C1475" s="2">
        <v>6</v>
      </c>
      <c r="D1475" s="2">
        <v>291</v>
      </c>
      <c r="E1475" s="2">
        <v>93</v>
      </c>
      <c r="F1475" s="2">
        <v>32441</v>
      </c>
      <c r="G1475" s="2">
        <v>7.1923290099999999</v>
      </c>
      <c r="H1475" s="2">
        <v>2.62976E-4</v>
      </c>
      <c r="I1475" s="2" t="s">
        <v>47581</v>
      </c>
      <c r="J1475" s="2" t="s">
        <v>47582</v>
      </c>
      <c r="K1475" s="2">
        <v>4.2630960000000001E-3</v>
      </c>
      <c r="L1475" s="2" t="s">
        <v>848</v>
      </c>
      <c r="M1475" s="4" t="s">
        <v>47583</v>
      </c>
    </row>
    <row r="1476" spans="1:13">
      <c r="A1476" s="2">
        <v>1764</v>
      </c>
      <c r="B1476" s="2" t="s">
        <v>47584</v>
      </c>
      <c r="C1476" s="2">
        <v>6</v>
      </c>
      <c r="D1476" s="2">
        <v>291</v>
      </c>
      <c r="E1476" s="2">
        <v>93</v>
      </c>
      <c r="F1476" s="2">
        <v>32441</v>
      </c>
      <c r="G1476" s="2">
        <v>7.1923290099999999</v>
      </c>
      <c r="H1476" s="2">
        <v>2.62976E-4</v>
      </c>
      <c r="I1476" s="2" t="s">
        <v>47208</v>
      </c>
      <c r="J1476" s="2" t="s">
        <v>47209</v>
      </c>
      <c r="K1476" s="2">
        <v>4.2630960000000001E-3</v>
      </c>
      <c r="L1476" s="2" t="s">
        <v>848</v>
      </c>
      <c r="M1476" s="4" t="s">
        <v>47585</v>
      </c>
    </row>
    <row r="1477" spans="1:13">
      <c r="A1477" s="2">
        <v>5690</v>
      </c>
      <c r="B1477" s="2" t="s">
        <v>47586</v>
      </c>
      <c r="C1477" s="2">
        <v>8</v>
      </c>
      <c r="D1477" s="2">
        <v>291</v>
      </c>
      <c r="E1477" s="2">
        <v>177</v>
      </c>
      <c r="F1477" s="2">
        <v>32441</v>
      </c>
      <c r="G1477" s="2">
        <v>5.0386937700000001</v>
      </c>
      <c r="H1477" s="2">
        <v>2.6648200000000001E-4</v>
      </c>
      <c r="I1477" s="2" t="s">
        <v>47587</v>
      </c>
      <c r="J1477" s="2" t="s">
        <v>47588</v>
      </c>
      <c r="K1477" s="2">
        <v>4.3081229999999996E-3</v>
      </c>
      <c r="L1477" s="2" t="s">
        <v>848</v>
      </c>
      <c r="M1477" s="4" t="s">
        <v>47589</v>
      </c>
    </row>
    <row r="1478" spans="1:13">
      <c r="A1478" s="2">
        <v>5096</v>
      </c>
      <c r="B1478" s="2" t="s">
        <v>8444</v>
      </c>
      <c r="C1478" s="2">
        <v>10</v>
      </c>
      <c r="D1478" s="2">
        <v>291</v>
      </c>
      <c r="E1478" s="2">
        <v>277</v>
      </c>
      <c r="F1478" s="2">
        <v>32441</v>
      </c>
      <c r="G1478" s="2">
        <v>4.0245884350000001</v>
      </c>
      <c r="H1478" s="2">
        <v>2.7241E-4</v>
      </c>
      <c r="I1478" s="2" t="s">
        <v>47590</v>
      </c>
      <c r="J1478" s="2" t="s">
        <v>47591</v>
      </c>
      <c r="K1478" s="2">
        <v>4.3919679999999996E-3</v>
      </c>
      <c r="L1478" s="2" t="s">
        <v>848</v>
      </c>
      <c r="M1478" s="4" t="s">
        <v>8447</v>
      </c>
    </row>
    <row r="1479" spans="1:13">
      <c r="A1479" s="2">
        <v>5797</v>
      </c>
      <c r="B1479" s="2" t="s">
        <v>47592</v>
      </c>
      <c r="C1479" s="2">
        <v>13</v>
      </c>
      <c r="D1479" s="2">
        <v>291</v>
      </c>
      <c r="E1479" s="2">
        <v>448</v>
      </c>
      <c r="F1479" s="2">
        <v>32441</v>
      </c>
      <c r="G1479" s="2">
        <v>3.2349426239999999</v>
      </c>
      <c r="H1479" s="2">
        <v>2.7810699999999999E-4</v>
      </c>
      <c r="I1479" s="2" t="s">
        <v>47593</v>
      </c>
      <c r="J1479" s="2" t="s">
        <v>47594</v>
      </c>
      <c r="K1479" s="2">
        <v>4.4716310000000002E-3</v>
      </c>
      <c r="L1479" s="2" t="s">
        <v>848</v>
      </c>
      <c r="M1479" s="4" t="s">
        <v>47595</v>
      </c>
    </row>
    <row r="1480" spans="1:13">
      <c r="A1480" s="2">
        <v>1195</v>
      </c>
      <c r="B1480" s="2" t="s">
        <v>11388</v>
      </c>
      <c r="C1480" s="2">
        <v>11</v>
      </c>
      <c r="D1480" s="2">
        <v>291</v>
      </c>
      <c r="E1480" s="2">
        <v>333</v>
      </c>
      <c r="F1480" s="2">
        <v>32441</v>
      </c>
      <c r="G1480" s="2">
        <v>3.6825588480000002</v>
      </c>
      <c r="H1480" s="2">
        <v>2.84684E-4</v>
      </c>
      <c r="I1480" s="2" t="s">
        <v>47596</v>
      </c>
      <c r="J1480" s="2" t="s">
        <v>47597</v>
      </c>
      <c r="K1480" s="2">
        <v>4.5649719999999996E-3</v>
      </c>
      <c r="L1480" s="2" t="s">
        <v>848</v>
      </c>
      <c r="M1480" s="4" t="s">
        <v>11391</v>
      </c>
    </row>
    <row r="1481" spans="1:13">
      <c r="A1481" s="2">
        <v>3269</v>
      </c>
      <c r="B1481" s="2" t="s">
        <v>47598</v>
      </c>
      <c r="C1481" s="2">
        <v>5</v>
      </c>
      <c r="D1481" s="2">
        <v>291</v>
      </c>
      <c r="E1481" s="2">
        <v>60</v>
      </c>
      <c r="F1481" s="2">
        <v>32441</v>
      </c>
      <c r="G1481" s="2">
        <v>9.2900916379999998</v>
      </c>
      <c r="H1481" s="2">
        <v>2.86629E-4</v>
      </c>
      <c r="I1481" s="2" t="s">
        <v>47599</v>
      </c>
      <c r="J1481" s="2" t="s">
        <v>47600</v>
      </c>
      <c r="K1481" s="2">
        <v>4.5837430000000004E-3</v>
      </c>
      <c r="L1481" s="2" t="s">
        <v>848</v>
      </c>
      <c r="M1481" s="4" t="s">
        <v>47601</v>
      </c>
    </row>
    <row r="1482" spans="1:13">
      <c r="A1482" s="2">
        <v>2256</v>
      </c>
      <c r="B1482" s="2" t="s">
        <v>47602</v>
      </c>
      <c r="C1482" s="2">
        <v>3</v>
      </c>
      <c r="D1482" s="2">
        <v>291</v>
      </c>
      <c r="E1482" s="2">
        <v>12</v>
      </c>
      <c r="F1482" s="2">
        <v>32441</v>
      </c>
      <c r="G1482" s="2">
        <v>27.870274909999999</v>
      </c>
      <c r="H1482" s="2">
        <v>2.9234399999999999E-4</v>
      </c>
      <c r="I1482" s="2" t="s">
        <v>44577</v>
      </c>
      <c r="J1482" s="2" t="s">
        <v>44578</v>
      </c>
      <c r="K1482" s="2">
        <v>4.6127989999999999E-3</v>
      </c>
      <c r="L1482" s="2" t="s">
        <v>848</v>
      </c>
      <c r="M1482" s="4" t="s">
        <v>47603</v>
      </c>
    </row>
    <row r="1483" spans="1:13">
      <c r="A1483" s="2">
        <v>2711</v>
      </c>
      <c r="B1483" s="2" t="s">
        <v>47604</v>
      </c>
      <c r="C1483" s="2">
        <v>3</v>
      </c>
      <c r="D1483" s="2">
        <v>291</v>
      </c>
      <c r="E1483" s="2">
        <v>12</v>
      </c>
      <c r="F1483" s="2">
        <v>32441</v>
      </c>
      <c r="G1483" s="2">
        <v>27.870274909999999</v>
      </c>
      <c r="H1483" s="2">
        <v>2.9234399999999999E-4</v>
      </c>
      <c r="I1483" s="2" t="s">
        <v>47605</v>
      </c>
      <c r="J1483" s="2" t="s">
        <v>47606</v>
      </c>
      <c r="K1483" s="2">
        <v>4.6127989999999999E-3</v>
      </c>
      <c r="L1483" s="2" t="s">
        <v>848</v>
      </c>
      <c r="M1483" s="4" t="s">
        <v>47607</v>
      </c>
    </row>
    <row r="1484" spans="1:13">
      <c r="A1484" s="2">
        <v>3484</v>
      </c>
      <c r="B1484" s="2" t="s">
        <v>47608</v>
      </c>
      <c r="C1484" s="2">
        <v>3</v>
      </c>
      <c r="D1484" s="2">
        <v>291</v>
      </c>
      <c r="E1484" s="2">
        <v>12</v>
      </c>
      <c r="F1484" s="2">
        <v>32441</v>
      </c>
      <c r="G1484" s="2">
        <v>27.870274909999999</v>
      </c>
      <c r="H1484" s="2">
        <v>2.9234399999999999E-4</v>
      </c>
      <c r="I1484" s="2" t="s">
        <v>47609</v>
      </c>
      <c r="J1484" s="2" t="s">
        <v>47610</v>
      </c>
      <c r="K1484" s="2">
        <v>4.6127989999999999E-3</v>
      </c>
      <c r="L1484" s="2" t="s">
        <v>848</v>
      </c>
      <c r="M1484" s="4" t="s">
        <v>47611</v>
      </c>
    </row>
    <row r="1485" spans="1:13">
      <c r="A1485" s="2">
        <v>3507</v>
      </c>
      <c r="B1485" s="2" t="s">
        <v>47612</v>
      </c>
      <c r="C1485" s="2">
        <v>3</v>
      </c>
      <c r="D1485" s="2">
        <v>291</v>
      </c>
      <c r="E1485" s="2">
        <v>12</v>
      </c>
      <c r="F1485" s="2">
        <v>32441</v>
      </c>
      <c r="G1485" s="2">
        <v>27.870274909999999</v>
      </c>
      <c r="H1485" s="2">
        <v>2.9234399999999999E-4</v>
      </c>
      <c r="I1485" s="2" t="s">
        <v>47613</v>
      </c>
      <c r="J1485" s="2" t="s">
        <v>47614</v>
      </c>
      <c r="K1485" s="2">
        <v>4.6127989999999999E-3</v>
      </c>
      <c r="L1485" s="2" t="s">
        <v>848</v>
      </c>
      <c r="M1485" s="4" t="s">
        <v>47615</v>
      </c>
    </row>
    <row r="1486" spans="1:13">
      <c r="A1486" s="2">
        <v>5799</v>
      </c>
      <c r="B1486" s="2" t="s">
        <v>47616</v>
      </c>
      <c r="C1486" s="2">
        <v>3</v>
      </c>
      <c r="D1486" s="2">
        <v>291</v>
      </c>
      <c r="E1486" s="2">
        <v>12</v>
      </c>
      <c r="F1486" s="2">
        <v>32441</v>
      </c>
      <c r="G1486" s="2">
        <v>27.870274909999999</v>
      </c>
      <c r="H1486" s="2">
        <v>2.9234399999999999E-4</v>
      </c>
      <c r="I1486" s="2" t="s">
        <v>47617</v>
      </c>
      <c r="J1486" s="2" t="s">
        <v>47618</v>
      </c>
      <c r="K1486" s="2">
        <v>4.6127989999999999E-3</v>
      </c>
      <c r="L1486" s="2" t="s">
        <v>848</v>
      </c>
      <c r="M1486" s="4" t="s">
        <v>47619</v>
      </c>
    </row>
    <row r="1487" spans="1:13">
      <c r="A1487" s="2">
        <v>5911</v>
      </c>
      <c r="B1487" s="2" t="s">
        <v>9246</v>
      </c>
      <c r="C1487" s="2">
        <v>18</v>
      </c>
      <c r="D1487" s="2">
        <v>291</v>
      </c>
      <c r="E1487" s="2">
        <v>776</v>
      </c>
      <c r="F1487" s="2">
        <v>32441</v>
      </c>
      <c r="G1487" s="2">
        <v>2.5859017959999999</v>
      </c>
      <c r="H1487" s="2">
        <v>3.0175200000000002E-4</v>
      </c>
      <c r="I1487" s="2" t="s">
        <v>47620</v>
      </c>
      <c r="J1487" s="2" t="s">
        <v>47621</v>
      </c>
      <c r="K1487" s="2">
        <v>4.7485820000000003E-3</v>
      </c>
      <c r="L1487" s="2" t="s">
        <v>848</v>
      </c>
      <c r="M1487" s="4" t="s">
        <v>9249</v>
      </c>
    </row>
    <row r="1488" spans="1:13">
      <c r="A1488" s="2">
        <v>4893</v>
      </c>
      <c r="B1488" s="2" t="s">
        <v>43238</v>
      </c>
      <c r="C1488" s="2">
        <v>8</v>
      </c>
      <c r="D1488" s="2">
        <v>291</v>
      </c>
      <c r="E1488" s="2">
        <v>181</v>
      </c>
      <c r="F1488" s="2">
        <v>32441</v>
      </c>
      <c r="G1488" s="2">
        <v>4.9273414210000004</v>
      </c>
      <c r="H1488" s="2">
        <v>3.0775799999999999E-4</v>
      </c>
      <c r="I1488" s="2" t="s">
        <v>47622</v>
      </c>
      <c r="J1488" s="2" t="s">
        <v>47623</v>
      </c>
      <c r="K1488" s="2">
        <v>4.8302520000000002E-3</v>
      </c>
      <c r="L1488" s="2" t="s">
        <v>848</v>
      </c>
      <c r="M1488" s="4" t="s">
        <v>43241</v>
      </c>
    </row>
    <row r="1489" spans="1:13">
      <c r="A1489" s="2">
        <v>2952</v>
      </c>
      <c r="B1489" s="2" t="s">
        <v>8155</v>
      </c>
      <c r="C1489" s="2">
        <v>6</v>
      </c>
      <c r="D1489" s="2">
        <v>291</v>
      </c>
      <c r="E1489" s="2">
        <v>96</v>
      </c>
      <c r="F1489" s="2">
        <v>32441</v>
      </c>
      <c r="G1489" s="2">
        <v>6.9675687289999999</v>
      </c>
      <c r="H1489" s="2">
        <v>3.0908900000000002E-4</v>
      </c>
      <c r="I1489" s="2" t="s">
        <v>47624</v>
      </c>
      <c r="J1489" s="2" t="s">
        <v>47625</v>
      </c>
      <c r="K1489" s="2">
        <v>4.8383080000000004E-3</v>
      </c>
      <c r="L1489" s="2" t="s">
        <v>848</v>
      </c>
      <c r="M1489" s="4" t="s">
        <v>8158</v>
      </c>
    </row>
    <row r="1490" spans="1:13">
      <c r="A1490" s="2">
        <v>7501</v>
      </c>
      <c r="B1490" s="2" t="s">
        <v>9833</v>
      </c>
      <c r="C1490" s="2">
        <v>10</v>
      </c>
      <c r="D1490" s="2">
        <v>291</v>
      </c>
      <c r="E1490" s="2">
        <v>282</v>
      </c>
      <c r="F1490" s="2">
        <v>32441</v>
      </c>
      <c r="G1490" s="2">
        <v>3.9532304840000001</v>
      </c>
      <c r="H1490" s="2">
        <v>3.1235399999999998E-4</v>
      </c>
      <c r="I1490" s="2" t="s">
        <v>47626</v>
      </c>
      <c r="J1490" s="2" t="s">
        <v>47627</v>
      </c>
      <c r="K1490" s="2">
        <v>4.8765070000000004E-3</v>
      </c>
      <c r="L1490" s="2" t="s">
        <v>848</v>
      </c>
      <c r="M1490" s="4" t="s">
        <v>9836</v>
      </c>
    </row>
    <row r="1491" spans="1:13">
      <c r="A1491" s="2">
        <v>1517</v>
      </c>
      <c r="B1491" s="2" t="s">
        <v>9334</v>
      </c>
      <c r="C1491" s="2">
        <v>13</v>
      </c>
      <c r="D1491" s="2">
        <v>291</v>
      </c>
      <c r="E1491" s="2">
        <v>458</v>
      </c>
      <c r="F1491" s="2">
        <v>32441</v>
      </c>
      <c r="G1491" s="2">
        <v>3.1643106890000001</v>
      </c>
      <c r="H1491" s="2">
        <v>3.4114300000000002E-4</v>
      </c>
      <c r="I1491" s="2" t="s">
        <v>47628</v>
      </c>
      <c r="J1491" s="2" t="s">
        <v>47629</v>
      </c>
      <c r="K1491" s="2">
        <v>5.311952E-3</v>
      </c>
      <c r="L1491" s="2" t="s">
        <v>848</v>
      </c>
      <c r="M1491" s="4" t="s">
        <v>9337</v>
      </c>
    </row>
    <row r="1492" spans="1:13">
      <c r="A1492" s="2">
        <v>4090</v>
      </c>
      <c r="B1492" s="2" t="s">
        <v>11582</v>
      </c>
      <c r="C1492" s="2">
        <v>6</v>
      </c>
      <c r="D1492" s="2">
        <v>291</v>
      </c>
      <c r="E1492" s="2">
        <v>98</v>
      </c>
      <c r="F1492" s="2">
        <v>32441</v>
      </c>
      <c r="G1492" s="2">
        <v>6.8253734479999997</v>
      </c>
      <c r="H1492" s="2">
        <v>3.4319299999999999E-4</v>
      </c>
      <c r="I1492" s="2" t="s">
        <v>47630</v>
      </c>
      <c r="J1492" s="2" t="s">
        <v>47631</v>
      </c>
      <c r="K1492" s="2">
        <v>5.3298449999999997E-3</v>
      </c>
      <c r="L1492" s="2" t="s">
        <v>848</v>
      </c>
      <c r="M1492" s="4" t="s">
        <v>11585</v>
      </c>
    </row>
    <row r="1493" spans="1:13">
      <c r="A1493" s="2">
        <v>3561</v>
      </c>
      <c r="B1493" s="2" t="s">
        <v>47632</v>
      </c>
      <c r="C1493" s="2">
        <v>4</v>
      </c>
      <c r="D1493" s="2">
        <v>291</v>
      </c>
      <c r="E1493" s="2">
        <v>34</v>
      </c>
      <c r="F1493" s="2">
        <v>32441</v>
      </c>
      <c r="G1493" s="2">
        <v>13.11542349</v>
      </c>
      <c r="H1493" s="2">
        <v>3.5598599999999998E-4</v>
      </c>
      <c r="I1493" s="2" t="s">
        <v>47633</v>
      </c>
      <c r="J1493" s="2" t="s">
        <v>47634</v>
      </c>
      <c r="K1493" s="2">
        <v>5.5140529999999997E-3</v>
      </c>
      <c r="L1493" s="2" t="s">
        <v>848</v>
      </c>
      <c r="M1493" s="4" t="s">
        <v>47635</v>
      </c>
    </row>
    <row r="1494" spans="1:13">
      <c r="A1494" s="2">
        <v>4538</v>
      </c>
      <c r="B1494" s="2" t="s">
        <v>42737</v>
      </c>
      <c r="C1494" s="2">
        <v>13</v>
      </c>
      <c r="D1494" s="2">
        <v>291</v>
      </c>
      <c r="E1494" s="2">
        <v>461</v>
      </c>
      <c r="F1494" s="2">
        <v>32441</v>
      </c>
      <c r="G1494" s="2">
        <v>3.1437186449999999</v>
      </c>
      <c r="H1494" s="2">
        <v>3.62278E-4</v>
      </c>
      <c r="I1494" s="2" t="s">
        <v>47636</v>
      </c>
      <c r="J1494" s="2" t="s">
        <v>47637</v>
      </c>
      <c r="K1494" s="2">
        <v>5.5968579999999997E-3</v>
      </c>
      <c r="L1494" s="2" t="s">
        <v>848</v>
      </c>
      <c r="M1494" s="4" t="s">
        <v>42740</v>
      </c>
    </row>
    <row r="1495" spans="1:13">
      <c r="A1495" s="2">
        <v>5205</v>
      </c>
      <c r="B1495" s="2" t="s">
        <v>30295</v>
      </c>
      <c r="C1495" s="2">
        <v>8</v>
      </c>
      <c r="D1495" s="2">
        <v>291</v>
      </c>
      <c r="E1495" s="2">
        <v>186</v>
      </c>
      <c r="F1495" s="2">
        <v>32441</v>
      </c>
      <c r="G1495" s="2">
        <v>4.7948860069999997</v>
      </c>
      <c r="H1495" s="2">
        <v>3.6654599999999998E-4</v>
      </c>
      <c r="I1495" s="2" t="s">
        <v>47638</v>
      </c>
      <c r="J1495" s="2" t="s">
        <v>47639</v>
      </c>
      <c r="K1495" s="2">
        <v>5.6480590000000004E-3</v>
      </c>
      <c r="L1495" s="2" t="s">
        <v>848</v>
      </c>
      <c r="M1495" s="4" t="s">
        <v>30298</v>
      </c>
    </row>
    <row r="1496" spans="1:13">
      <c r="A1496" s="2">
        <v>1928</v>
      </c>
      <c r="B1496" s="2" t="s">
        <v>10653</v>
      </c>
      <c r="C1496" s="2">
        <v>5</v>
      </c>
      <c r="D1496" s="2">
        <v>291</v>
      </c>
      <c r="E1496" s="2">
        <v>64</v>
      </c>
      <c r="F1496" s="2">
        <v>32441</v>
      </c>
      <c r="G1496" s="2">
        <v>8.7094609110000007</v>
      </c>
      <c r="H1496" s="2">
        <v>3.7888700000000001E-4</v>
      </c>
      <c r="I1496" s="2" t="s">
        <v>47640</v>
      </c>
      <c r="J1496" s="2" t="s">
        <v>47641</v>
      </c>
      <c r="K1496" s="2">
        <v>5.8230519999999996E-3</v>
      </c>
      <c r="L1496" s="2" t="s">
        <v>848</v>
      </c>
      <c r="M1496" s="4" t="s">
        <v>10654</v>
      </c>
    </row>
    <row r="1497" spans="1:13">
      <c r="A1497" s="2">
        <v>3843</v>
      </c>
      <c r="B1497" s="2" t="s">
        <v>47642</v>
      </c>
      <c r="C1497" s="2">
        <v>6</v>
      </c>
      <c r="D1497" s="2">
        <v>291</v>
      </c>
      <c r="E1497" s="2">
        <v>100</v>
      </c>
      <c r="F1497" s="2">
        <v>32441</v>
      </c>
      <c r="G1497" s="2">
        <v>6.688865979</v>
      </c>
      <c r="H1497" s="2">
        <v>3.8017299999999998E-4</v>
      </c>
      <c r="I1497" s="2" t="s">
        <v>47643</v>
      </c>
      <c r="J1497" s="2" t="s">
        <v>47644</v>
      </c>
      <c r="K1497" s="2">
        <v>5.8276810000000004E-3</v>
      </c>
      <c r="L1497" s="2" t="s">
        <v>848</v>
      </c>
      <c r="M1497" s="4" t="s">
        <v>47645</v>
      </c>
    </row>
    <row r="1498" spans="1:13">
      <c r="A1498" s="2">
        <v>1700</v>
      </c>
      <c r="B1498" s="2" t="s">
        <v>47646</v>
      </c>
      <c r="C1498" s="2">
        <v>4</v>
      </c>
      <c r="D1498" s="2">
        <v>291</v>
      </c>
      <c r="E1498" s="2">
        <v>35</v>
      </c>
      <c r="F1498" s="2">
        <v>32441</v>
      </c>
      <c r="G1498" s="2">
        <v>12.7406971</v>
      </c>
      <c r="H1498" s="2">
        <v>3.9391300000000002E-4</v>
      </c>
      <c r="I1498" s="2" t="s">
        <v>47647</v>
      </c>
      <c r="J1498" s="2" t="s">
        <v>47648</v>
      </c>
      <c r="K1498" s="2">
        <v>6.0227010000000001E-3</v>
      </c>
      <c r="L1498" s="2" t="s">
        <v>848</v>
      </c>
      <c r="M1498" s="4" t="s">
        <v>47649</v>
      </c>
    </row>
    <row r="1499" spans="1:13">
      <c r="A1499" s="2">
        <v>4406</v>
      </c>
      <c r="B1499" s="2" t="s">
        <v>11267</v>
      </c>
      <c r="C1499" s="2">
        <v>31</v>
      </c>
      <c r="D1499" s="2">
        <v>291</v>
      </c>
      <c r="E1499" s="2">
        <v>1784</v>
      </c>
      <c r="F1499" s="2">
        <v>32441</v>
      </c>
      <c r="G1499" s="2">
        <v>1.937171575</v>
      </c>
      <c r="H1499" s="2">
        <v>4.0598899999999999E-4</v>
      </c>
      <c r="I1499" s="2" t="s">
        <v>47650</v>
      </c>
      <c r="J1499" s="2" t="s">
        <v>47651</v>
      </c>
      <c r="K1499" s="2">
        <v>6.1913309999999996E-3</v>
      </c>
      <c r="L1499" s="2" t="s">
        <v>848</v>
      </c>
      <c r="M1499" s="4" t="s">
        <v>11270</v>
      </c>
    </row>
    <row r="1500" spans="1:13">
      <c r="A1500" s="2">
        <v>1891</v>
      </c>
      <c r="B1500" s="2" t="s">
        <v>47652</v>
      </c>
      <c r="C1500" s="2">
        <v>15</v>
      </c>
      <c r="D1500" s="2">
        <v>291</v>
      </c>
      <c r="E1500" s="2">
        <v>595</v>
      </c>
      <c r="F1500" s="2">
        <v>32441</v>
      </c>
      <c r="G1500" s="2">
        <v>2.8104478899999998</v>
      </c>
      <c r="H1500" s="2">
        <v>4.1494200000000001E-4</v>
      </c>
      <c r="I1500" s="2" t="s">
        <v>47653</v>
      </c>
      <c r="J1500" s="2" t="s">
        <v>47654</v>
      </c>
      <c r="K1500" s="2">
        <v>6.3115979999999999E-3</v>
      </c>
      <c r="L1500" s="2" t="s">
        <v>848</v>
      </c>
      <c r="M1500" s="4" t="s">
        <v>47655</v>
      </c>
    </row>
    <row r="1501" spans="1:13">
      <c r="A1501" s="2">
        <v>7211</v>
      </c>
      <c r="B1501" s="2" t="s">
        <v>47656</v>
      </c>
      <c r="C1501" s="2">
        <v>3</v>
      </c>
      <c r="D1501" s="2">
        <v>291</v>
      </c>
      <c r="E1501" s="2">
        <v>14</v>
      </c>
      <c r="F1501" s="2">
        <v>32441</v>
      </c>
      <c r="G1501" s="2">
        <v>23.888807069999999</v>
      </c>
      <c r="H1501" s="2">
        <v>4.31192E-4</v>
      </c>
      <c r="I1501" s="2" t="s">
        <v>47561</v>
      </c>
      <c r="J1501" s="2" t="s">
        <v>47562</v>
      </c>
      <c r="K1501" s="2">
        <v>6.459149E-3</v>
      </c>
      <c r="L1501" s="2" t="s">
        <v>848</v>
      </c>
      <c r="M1501" s="4" t="s">
        <v>47657</v>
      </c>
    </row>
    <row r="1502" spans="1:13">
      <c r="A1502" s="2">
        <v>2421</v>
      </c>
      <c r="B1502" s="2" t="s">
        <v>47658</v>
      </c>
      <c r="C1502" s="2">
        <v>3</v>
      </c>
      <c r="D1502" s="2">
        <v>291</v>
      </c>
      <c r="E1502" s="2">
        <v>14</v>
      </c>
      <c r="F1502" s="2">
        <v>32441</v>
      </c>
      <c r="G1502" s="2">
        <v>23.888807069999999</v>
      </c>
      <c r="H1502" s="2">
        <v>4.31192E-4</v>
      </c>
      <c r="I1502" s="2" t="s">
        <v>44605</v>
      </c>
      <c r="J1502" s="2" t="s">
        <v>44606</v>
      </c>
      <c r="K1502" s="2">
        <v>6.459149E-3</v>
      </c>
      <c r="L1502" s="2" t="s">
        <v>848</v>
      </c>
      <c r="M1502" s="4" t="s">
        <v>47659</v>
      </c>
    </row>
    <row r="1503" spans="1:13">
      <c r="A1503" s="2">
        <v>3650</v>
      </c>
      <c r="B1503" s="2" t="s">
        <v>47660</v>
      </c>
      <c r="C1503" s="2">
        <v>3</v>
      </c>
      <c r="D1503" s="2">
        <v>291</v>
      </c>
      <c r="E1503" s="2">
        <v>14</v>
      </c>
      <c r="F1503" s="2">
        <v>32441</v>
      </c>
      <c r="G1503" s="2">
        <v>23.888807069999999</v>
      </c>
      <c r="H1503" s="2">
        <v>4.31192E-4</v>
      </c>
      <c r="I1503" s="2" t="s">
        <v>47661</v>
      </c>
      <c r="J1503" s="2" t="s">
        <v>47662</v>
      </c>
      <c r="K1503" s="2">
        <v>6.459149E-3</v>
      </c>
      <c r="L1503" s="2" t="s">
        <v>848</v>
      </c>
      <c r="M1503" s="4" t="s">
        <v>47663</v>
      </c>
    </row>
    <row r="1504" spans="1:13">
      <c r="A1504" s="2">
        <v>4765</v>
      </c>
      <c r="B1504" s="2" t="s">
        <v>47664</v>
      </c>
      <c r="C1504" s="2">
        <v>3</v>
      </c>
      <c r="D1504" s="2">
        <v>291</v>
      </c>
      <c r="E1504" s="2">
        <v>14</v>
      </c>
      <c r="F1504" s="2">
        <v>32441</v>
      </c>
      <c r="G1504" s="2">
        <v>23.888807069999999</v>
      </c>
      <c r="H1504" s="2">
        <v>4.31192E-4</v>
      </c>
      <c r="I1504" s="2" t="s">
        <v>47665</v>
      </c>
      <c r="J1504" s="2" t="s">
        <v>47666</v>
      </c>
      <c r="K1504" s="2">
        <v>6.459149E-3</v>
      </c>
      <c r="L1504" s="2" t="s">
        <v>848</v>
      </c>
      <c r="M1504" s="4" t="s">
        <v>47667</v>
      </c>
    </row>
    <row r="1505" spans="1:13">
      <c r="A1505" s="2">
        <v>5339</v>
      </c>
      <c r="B1505" s="2" t="s">
        <v>47668</v>
      </c>
      <c r="C1505" s="2">
        <v>3</v>
      </c>
      <c r="D1505" s="2">
        <v>291</v>
      </c>
      <c r="E1505" s="2">
        <v>14</v>
      </c>
      <c r="F1505" s="2">
        <v>32441</v>
      </c>
      <c r="G1505" s="2">
        <v>23.888807069999999</v>
      </c>
      <c r="H1505" s="2">
        <v>4.31192E-4</v>
      </c>
      <c r="I1505" s="2" t="s">
        <v>47669</v>
      </c>
      <c r="J1505" s="2" t="s">
        <v>47670</v>
      </c>
      <c r="K1505" s="2">
        <v>6.459149E-3</v>
      </c>
      <c r="L1505" s="2" t="s">
        <v>848</v>
      </c>
      <c r="M1505" s="4" t="s">
        <v>47671</v>
      </c>
    </row>
    <row r="1506" spans="1:13">
      <c r="A1506" s="2">
        <v>5848</v>
      </c>
      <c r="B1506" s="2" t="s">
        <v>47672</v>
      </c>
      <c r="C1506" s="2">
        <v>3</v>
      </c>
      <c r="D1506" s="2">
        <v>291</v>
      </c>
      <c r="E1506" s="2">
        <v>14</v>
      </c>
      <c r="F1506" s="2">
        <v>32441</v>
      </c>
      <c r="G1506" s="2">
        <v>23.888807069999999</v>
      </c>
      <c r="H1506" s="2">
        <v>4.31192E-4</v>
      </c>
      <c r="I1506" s="2" t="s">
        <v>47673</v>
      </c>
      <c r="J1506" s="2" t="s">
        <v>47674</v>
      </c>
      <c r="K1506" s="2">
        <v>6.459149E-3</v>
      </c>
      <c r="L1506" s="2" t="s">
        <v>848</v>
      </c>
      <c r="M1506" s="4" t="s">
        <v>47675</v>
      </c>
    </row>
    <row r="1507" spans="1:13">
      <c r="A1507" s="2">
        <v>1060</v>
      </c>
      <c r="B1507" s="2" t="s">
        <v>29363</v>
      </c>
      <c r="C1507" s="2">
        <v>11</v>
      </c>
      <c r="D1507" s="2">
        <v>291</v>
      </c>
      <c r="E1507" s="2">
        <v>351</v>
      </c>
      <c r="F1507" s="2">
        <v>32441</v>
      </c>
      <c r="G1507" s="2">
        <v>3.4937096759999999</v>
      </c>
      <c r="H1507" s="2">
        <v>4.3733900000000002E-4</v>
      </c>
      <c r="I1507" s="2" t="s">
        <v>47676</v>
      </c>
      <c r="J1507" s="2" t="s">
        <v>47677</v>
      </c>
      <c r="K1507" s="2">
        <v>6.5193810000000003E-3</v>
      </c>
      <c r="L1507" s="2" t="s">
        <v>848</v>
      </c>
      <c r="M1507" s="4" t="s">
        <v>29366</v>
      </c>
    </row>
    <row r="1508" spans="1:13">
      <c r="A1508" s="2">
        <v>2492</v>
      </c>
      <c r="B1508" s="2" t="s">
        <v>9093</v>
      </c>
      <c r="C1508" s="2">
        <v>19</v>
      </c>
      <c r="D1508" s="2">
        <v>291</v>
      </c>
      <c r="E1508" s="2">
        <v>872</v>
      </c>
      <c r="F1508" s="2">
        <v>32441</v>
      </c>
      <c r="G1508" s="2">
        <v>2.429060658</v>
      </c>
      <c r="H1508" s="2">
        <v>4.3851799999999999E-4</v>
      </c>
      <c r="I1508" s="2" t="s">
        <v>47678</v>
      </c>
      <c r="J1508" s="2" t="s">
        <v>47679</v>
      </c>
      <c r="K1508" s="2">
        <v>6.5193810000000003E-3</v>
      </c>
      <c r="L1508" s="2" t="s">
        <v>848</v>
      </c>
      <c r="M1508" s="4" t="s">
        <v>9096</v>
      </c>
    </row>
    <row r="1509" spans="1:13">
      <c r="A1509" s="2">
        <v>4048</v>
      </c>
      <c r="B1509" s="2" t="s">
        <v>29003</v>
      </c>
      <c r="C1509" s="2">
        <v>19</v>
      </c>
      <c r="D1509" s="2">
        <v>291</v>
      </c>
      <c r="E1509" s="2">
        <v>872</v>
      </c>
      <c r="F1509" s="2">
        <v>32441</v>
      </c>
      <c r="G1509" s="2">
        <v>2.429060658</v>
      </c>
      <c r="H1509" s="2">
        <v>4.3851799999999999E-4</v>
      </c>
      <c r="I1509" s="2" t="s">
        <v>47680</v>
      </c>
      <c r="J1509" s="2" t="s">
        <v>47681</v>
      </c>
      <c r="K1509" s="2">
        <v>6.5193810000000003E-3</v>
      </c>
      <c r="L1509" s="2" t="s">
        <v>848</v>
      </c>
      <c r="M1509" s="4" t="s">
        <v>29006</v>
      </c>
    </row>
    <row r="1510" spans="1:13">
      <c r="A1510" s="2">
        <v>2525</v>
      </c>
      <c r="B1510" s="2" t="s">
        <v>30157</v>
      </c>
      <c r="C1510" s="2">
        <v>12</v>
      </c>
      <c r="D1510" s="2">
        <v>291</v>
      </c>
      <c r="E1510" s="2">
        <v>410</v>
      </c>
      <c r="F1510" s="2">
        <v>32441</v>
      </c>
      <c r="G1510" s="2">
        <v>3.2628614530000002</v>
      </c>
      <c r="H1510" s="2">
        <v>4.4024999999999999E-4</v>
      </c>
      <c r="I1510" s="2" t="s">
        <v>47682</v>
      </c>
      <c r="J1510" s="2" t="s">
        <v>47683</v>
      </c>
      <c r="K1510" s="2">
        <v>6.5287219999999998E-3</v>
      </c>
      <c r="L1510" s="2" t="s">
        <v>848</v>
      </c>
      <c r="M1510" s="4" t="s">
        <v>30160</v>
      </c>
    </row>
    <row r="1511" spans="1:13">
      <c r="A1511" s="2">
        <v>4482</v>
      </c>
      <c r="B1511" s="2" t="s">
        <v>42747</v>
      </c>
      <c r="C1511" s="2">
        <v>11</v>
      </c>
      <c r="D1511" s="2">
        <v>291</v>
      </c>
      <c r="E1511" s="2">
        <v>352</v>
      </c>
      <c r="F1511" s="2">
        <v>32441</v>
      </c>
      <c r="G1511" s="2">
        <v>3.4837843639999999</v>
      </c>
      <c r="H1511" s="2">
        <v>4.4751799999999999E-4</v>
      </c>
      <c r="I1511" s="2" t="s">
        <v>47684</v>
      </c>
      <c r="J1511" s="2" t="s">
        <v>47685</v>
      </c>
      <c r="K1511" s="2">
        <v>6.619911E-3</v>
      </c>
      <c r="L1511" s="2" t="s">
        <v>848</v>
      </c>
      <c r="M1511" s="4" t="s">
        <v>42750</v>
      </c>
    </row>
    <row r="1512" spans="1:13">
      <c r="A1512" s="2">
        <v>3142</v>
      </c>
      <c r="B1512" s="2" t="s">
        <v>10439</v>
      </c>
      <c r="C1512" s="2">
        <v>6</v>
      </c>
      <c r="D1512" s="2">
        <v>291</v>
      </c>
      <c r="E1512" s="2">
        <v>104</v>
      </c>
      <c r="F1512" s="2">
        <v>32441</v>
      </c>
      <c r="G1512" s="2">
        <v>6.4316019029999998</v>
      </c>
      <c r="H1512" s="2">
        <v>4.63435E-4</v>
      </c>
      <c r="I1512" s="2" t="s">
        <v>47686</v>
      </c>
      <c r="J1512" s="2" t="s">
        <v>47687</v>
      </c>
      <c r="K1512" s="2">
        <v>6.8382729999999997E-3</v>
      </c>
      <c r="L1512" s="2" t="s">
        <v>848</v>
      </c>
      <c r="M1512" s="4" t="s">
        <v>10442</v>
      </c>
    </row>
    <row r="1513" spans="1:13">
      <c r="A1513" s="2">
        <v>2637</v>
      </c>
      <c r="B1513" s="2" t="s">
        <v>47688</v>
      </c>
      <c r="C1513" s="2">
        <v>4</v>
      </c>
      <c r="D1513" s="2">
        <v>291</v>
      </c>
      <c r="E1513" s="2">
        <v>37</v>
      </c>
      <c r="F1513" s="2">
        <v>32441</v>
      </c>
      <c r="G1513" s="2">
        <v>12.052010770000001</v>
      </c>
      <c r="H1513" s="2">
        <v>4.7828399999999999E-4</v>
      </c>
      <c r="I1513" s="2" t="s">
        <v>47689</v>
      </c>
      <c r="J1513" s="2" t="s">
        <v>47690</v>
      </c>
      <c r="K1513" s="2">
        <v>7.022347E-3</v>
      </c>
      <c r="L1513" s="2" t="s">
        <v>848</v>
      </c>
      <c r="M1513" s="4" t="s">
        <v>47691</v>
      </c>
    </row>
    <row r="1514" spans="1:13">
      <c r="A1514" s="2">
        <v>5794</v>
      </c>
      <c r="B1514" s="2" t="s">
        <v>47692</v>
      </c>
      <c r="C1514" s="2">
        <v>4</v>
      </c>
      <c r="D1514" s="2">
        <v>291</v>
      </c>
      <c r="E1514" s="2">
        <v>37</v>
      </c>
      <c r="F1514" s="2">
        <v>32441</v>
      </c>
      <c r="G1514" s="2">
        <v>12.052010770000001</v>
      </c>
      <c r="H1514" s="2">
        <v>4.7828399999999999E-4</v>
      </c>
      <c r="I1514" s="2" t="s">
        <v>47693</v>
      </c>
      <c r="J1514" s="2" t="s">
        <v>47694</v>
      </c>
      <c r="K1514" s="2">
        <v>7.022347E-3</v>
      </c>
      <c r="L1514" s="2" t="s">
        <v>848</v>
      </c>
      <c r="M1514" s="4" t="s">
        <v>47695</v>
      </c>
    </row>
    <row r="1515" spans="1:13">
      <c r="A1515" s="2">
        <v>2236</v>
      </c>
      <c r="B1515" s="2" t="s">
        <v>43137</v>
      </c>
      <c r="C1515" s="2">
        <v>5</v>
      </c>
      <c r="D1515" s="2">
        <v>291</v>
      </c>
      <c r="E1515" s="2">
        <v>68</v>
      </c>
      <c r="F1515" s="2">
        <v>32441</v>
      </c>
      <c r="G1515" s="2">
        <v>8.1971396809999995</v>
      </c>
      <c r="H1515" s="2">
        <v>4.9197800000000001E-4</v>
      </c>
      <c r="I1515" s="2" t="s">
        <v>47696</v>
      </c>
      <c r="J1515" s="2" t="s">
        <v>47697</v>
      </c>
      <c r="K1515" s="2">
        <v>7.1877379999999999E-3</v>
      </c>
      <c r="L1515" s="2" t="s">
        <v>848</v>
      </c>
      <c r="M1515" s="4" t="s">
        <v>43140</v>
      </c>
    </row>
    <row r="1516" spans="1:13">
      <c r="A1516" s="2">
        <v>4813</v>
      </c>
      <c r="B1516" s="2" t="s">
        <v>47698</v>
      </c>
      <c r="C1516" s="2">
        <v>5</v>
      </c>
      <c r="D1516" s="2">
        <v>291</v>
      </c>
      <c r="E1516" s="2">
        <v>68</v>
      </c>
      <c r="F1516" s="2">
        <v>32441</v>
      </c>
      <c r="G1516" s="2">
        <v>8.1971396809999995</v>
      </c>
      <c r="H1516" s="2">
        <v>4.9197800000000001E-4</v>
      </c>
      <c r="I1516" s="2" t="s">
        <v>47699</v>
      </c>
      <c r="J1516" s="2" t="s">
        <v>47700</v>
      </c>
      <c r="K1516" s="2">
        <v>7.1877379999999999E-3</v>
      </c>
      <c r="L1516" s="2" t="s">
        <v>848</v>
      </c>
      <c r="M1516" s="4" t="s">
        <v>47701</v>
      </c>
    </row>
    <row r="1517" spans="1:13">
      <c r="A1517" s="2">
        <v>3278</v>
      </c>
      <c r="B1517" s="2" t="s">
        <v>47702</v>
      </c>
      <c r="C1517" s="2">
        <v>3</v>
      </c>
      <c r="D1517" s="2">
        <v>291</v>
      </c>
      <c r="E1517" s="2">
        <v>15</v>
      </c>
      <c r="F1517" s="2">
        <v>32441</v>
      </c>
      <c r="G1517" s="2">
        <v>22.296219929999999</v>
      </c>
      <c r="H1517" s="2">
        <v>5.1403600000000005E-4</v>
      </c>
      <c r="I1517" s="2" t="s">
        <v>47703</v>
      </c>
      <c r="J1517" s="2" t="s">
        <v>47704</v>
      </c>
      <c r="K1517" s="2">
        <v>7.4365539999999997E-3</v>
      </c>
      <c r="L1517" s="2" t="s">
        <v>848</v>
      </c>
      <c r="M1517" s="4" t="s">
        <v>47705</v>
      </c>
    </row>
    <row r="1518" spans="1:13">
      <c r="A1518" s="2">
        <v>3769</v>
      </c>
      <c r="B1518" s="2" t="s">
        <v>47706</v>
      </c>
      <c r="C1518" s="2">
        <v>10</v>
      </c>
      <c r="D1518" s="2">
        <v>291</v>
      </c>
      <c r="E1518" s="2">
        <v>301</v>
      </c>
      <c r="F1518" s="2">
        <v>32441</v>
      </c>
      <c r="G1518" s="2">
        <v>3.7036910179999998</v>
      </c>
      <c r="H1518" s="2">
        <v>5.1155299999999999E-4</v>
      </c>
      <c r="I1518" s="2" t="s">
        <v>47707</v>
      </c>
      <c r="J1518" s="2" t="s">
        <v>47708</v>
      </c>
      <c r="K1518" s="2">
        <v>7.4365539999999997E-3</v>
      </c>
      <c r="L1518" s="2" t="s">
        <v>848</v>
      </c>
      <c r="M1518" s="4" t="s">
        <v>47709</v>
      </c>
    </row>
    <row r="1519" spans="1:13">
      <c r="A1519" s="2">
        <v>5659</v>
      </c>
      <c r="B1519" s="2" t="s">
        <v>47710</v>
      </c>
      <c r="C1519" s="2">
        <v>3</v>
      </c>
      <c r="D1519" s="2">
        <v>291</v>
      </c>
      <c r="E1519" s="2">
        <v>15</v>
      </c>
      <c r="F1519" s="2">
        <v>32441</v>
      </c>
      <c r="G1519" s="2">
        <v>22.296219929999999</v>
      </c>
      <c r="H1519" s="2">
        <v>5.1403600000000005E-4</v>
      </c>
      <c r="I1519" s="2" t="s">
        <v>47711</v>
      </c>
      <c r="J1519" s="2" t="s">
        <v>47712</v>
      </c>
      <c r="K1519" s="2">
        <v>7.4365539999999997E-3</v>
      </c>
      <c r="L1519" s="2" t="s">
        <v>848</v>
      </c>
      <c r="M1519" s="4" t="s">
        <v>47713</v>
      </c>
    </row>
    <row r="1520" spans="1:13">
      <c r="A1520" s="2">
        <v>5862</v>
      </c>
      <c r="B1520" s="2" t="s">
        <v>47714</v>
      </c>
      <c r="C1520" s="2">
        <v>3</v>
      </c>
      <c r="D1520" s="2">
        <v>291</v>
      </c>
      <c r="E1520" s="2">
        <v>15</v>
      </c>
      <c r="F1520" s="2">
        <v>32441</v>
      </c>
      <c r="G1520" s="2">
        <v>22.296219929999999</v>
      </c>
      <c r="H1520" s="2">
        <v>5.1403600000000005E-4</v>
      </c>
      <c r="I1520" s="2" t="s">
        <v>47715</v>
      </c>
      <c r="J1520" s="2" t="s">
        <v>47716</v>
      </c>
      <c r="K1520" s="2">
        <v>7.4365539999999997E-3</v>
      </c>
      <c r="L1520" s="2" t="s">
        <v>848</v>
      </c>
      <c r="M1520" s="4" t="s">
        <v>47717</v>
      </c>
    </row>
    <row r="1521" spans="1:13">
      <c r="A1521" s="2">
        <v>40841</v>
      </c>
      <c r="B1521" s="2" t="s">
        <v>47718</v>
      </c>
      <c r="C1521" s="2">
        <v>4</v>
      </c>
      <c r="D1521" s="2">
        <v>291</v>
      </c>
      <c r="E1521" s="2">
        <v>38</v>
      </c>
      <c r="F1521" s="2">
        <v>32441</v>
      </c>
      <c r="G1521" s="2">
        <v>11.7348526</v>
      </c>
      <c r="H1521" s="2">
        <v>5.2495899999999997E-4</v>
      </c>
      <c r="I1521" s="2" t="s">
        <v>47719</v>
      </c>
      <c r="J1521" s="2" t="s">
        <v>47720</v>
      </c>
      <c r="K1521" s="2">
        <v>7.5576230000000003E-3</v>
      </c>
      <c r="L1521" s="2" t="s">
        <v>848</v>
      </c>
      <c r="M1521" s="4" t="s">
        <v>47721</v>
      </c>
    </row>
    <row r="1522" spans="1:13">
      <c r="A1522" s="2">
        <v>5303</v>
      </c>
      <c r="B1522" s="2" t="s">
        <v>47722</v>
      </c>
      <c r="C1522" s="2">
        <v>4</v>
      </c>
      <c r="D1522" s="2">
        <v>291</v>
      </c>
      <c r="E1522" s="2">
        <v>38</v>
      </c>
      <c r="F1522" s="2">
        <v>32441</v>
      </c>
      <c r="G1522" s="2">
        <v>11.7348526</v>
      </c>
      <c r="H1522" s="2">
        <v>5.2495899999999997E-4</v>
      </c>
      <c r="I1522" s="2" t="s">
        <v>47723</v>
      </c>
      <c r="J1522" s="2" t="s">
        <v>47724</v>
      </c>
      <c r="K1522" s="2">
        <v>7.5576230000000003E-3</v>
      </c>
      <c r="L1522" s="2" t="s">
        <v>848</v>
      </c>
      <c r="M1522" s="4" t="s">
        <v>47725</v>
      </c>
    </row>
    <row r="1523" spans="1:13">
      <c r="A1523" s="2">
        <v>4496</v>
      </c>
      <c r="B1523" s="2" t="s">
        <v>47726</v>
      </c>
      <c r="C1523" s="2">
        <v>8</v>
      </c>
      <c r="D1523" s="2">
        <v>291</v>
      </c>
      <c r="E1523" s="2">
        <v>197</v>
      </c>
      <c r="F1523" s="2">
        <v>32441</v>
      </c>
      <c r="G1523" s="2">
        <v>4.5271512549999997</v>
      </c>
      <c r="H1523" s="2">
        <v>5.2834599999999996E-4</v>
      </c>
      <c r="I1523" s="2" t="s">
        <v>47727</v>
      </c>
      <c r="J1523" s="2" t="s">
        <v>47728</v>
      </c>
      <c r="K1523" s="2">
        <v>7.587926E-3</v>
      </c>
      <c r="L1523" s="2" t="s">
        <v>848</v>
      </c>
      <c r="M1523" s="4" t="s">
        <v>47729</v>
      </c>
    </row>
    <row r="1524" spans="1:13">
      <c r="A1524" s="2">
        <v>159</v>
      </c>
      <c r="B1524" s="2" t="s">
        <v>47730</v>
      </c>
      <c r="C1524" s="2">
        <v>10</v>
      </c>
      <c r="D1524" s="2">
        <v>291</v>
      </c>
      <c r="E1524" s="2">
        <v>303</v>
      </c>
      <c r="F1524" s="2">
        <v>32441</v>
      </c>
      <c r="G1524" s="2">
        <v>3.679244213</v>
      </c>
      <c r="H1524" s="2">
        <v>5.3757399999999997E-4</v>
      </c>
      <c r="I1524" s="2" t="s">
        <v>47731</v>
      </c>
      <c r="J1524" s="2" t="s">
        <v>47732</v>
      </c>
      <c r="K1524" s="2">
        <v>7.6831540000000002E-3</v>
      </c>
      <c r="L1524" s="2" t="s">
        <v>848</v>
      </c>
      <c r="M1524" s="4" t="s">
        <v>47733</v>
      </c>
    </row>
    <row r="1525" spans="1:13">
      <c r="A1525" s="2">
        <v>44011</v>
      </c>
      <c r="B1525" s="2" t="s">
        <v>30511</v>
      </c>
      <c r="C1525" s="2">
        <v>10</v>
      </c>
      <c r="D1525" s="2">
        <v>291</v>
      </c>
      <c r="E1525" s="2">
        <v>303</v>
      </c>
      <c r="F1525" s="2">
        <v>32441</v>
      </c>
      <c r="G1525" s="2">
        <v>3.679244213</v>
      </c>
      <c r="H1525" s="2">
        <v>5.3757399999999997E-4</v>
      </c>
      <c r="I1525" s="2" t="s">
        <v>47734</v>
      </c>
      <c r="J1525" s="2" t="s">
        <v>47735</v>
      </c>
      <c r="K1525" s="2">
        <v>7.6831540000000002E-3</v>
      </c>
      <c r="L1525" s="2" t="s">
        <v>848</v>
      </c>
      <c r="M1525" s="4" t="s">
        <v>30512</v>
      </c>
    </row>
    <row r="1526" spans="1:13">
      <c r="A1526" s="2">
        <v>1382</v>
      </c>
      <c r="B1526" s="2" t="s">
        <v>42951</v>
      </c>
      <c r="C1526" s="2">
        <v>4</v>
      </c>
      <c r="D1526" s="2">
        <v>291</v>
      </c>
      <c r="E1526" s="2">
        <v>39</v>
      </c>
      <c r="F1526" s="2">
        <v>32441</v>
      </c>
      <c r="G1526" s="2">
        <v>11.43395894</v>
      </c>
      <c r="H1526" s="2">
        <v>5.7478300000000004E-4</v>
      </c>
      <c r="I1526" s="2" t="s">
        <v>47736</v>
      </c>
      <c r="J1526" s="2" t="s">
        <v>47737</v>
      </c>
      <c r="K1526" s="2">
        <v>8.1468359999999993E-3</v>
      </c>
      <c r="L1526" s="2" t="s">
        <v>848</v>
      </c>
      <c r="M1526" s="4" t="s">
        <v>42954</v>
      </c>
    </row>
    <row r="1527" spans="1:13">
      <c r="A1527" s="2">
        <v>3515</v>
      </c>
      <c r="B1527" s="2" t="s">
        <v>47738</v>
      </c>
      <c r="C1527" s="2">
        <v>7</v>
      </c>
      <c r="D1527" s="2">
        <v>291</v>
      </c>
      <c r="E1527" s="2">
        <v>152</v>
      </c>
      <c r="F1527" s="2">
        <v>32441</v>
      </c>
      <c r="G1527" s="2">
        <v>5.13399801</v>
      </c>
      <c r="H1527" s="2">
        <v>5.76901E-4</v>
      </c>
      <c r="I1527" s="2" t="s">
        <v>47739</v>
      </c>
      <c r="J1527" s="2" t="s">
        <v>47740</v>
      </c>
      <c r="K1527" s="2">
        <v>8.1468359999999993E-3</v>
      </c>
      <c r="L1527" s="2" t="s">
        <v>848</v>
      </c>
      <c r="M1527" s="4" t="s">
        <v>47741</v>
      </c>
    </row>
    <row r="1528" spans="1:13">
      <c r="A1528" s="2">
        <v>3552</v>
      </c>
      <c r="B1528" s="2" t="s">
        <v>42955</v>
      </c>
      <c r="C1528" s="2">
        <v>4</v>
      </c>
      <c r="D1528" s="2">
        <v>291</v>
      </c>
      <c r="E1528" s="2">
        <v>39</v>
      </c>
      <c r="F1528" s="2">
        <v>32441</v>
      </c>
      <c r="G1528" s="2">
        <v>11.43395894</v>
      </c>
      <c r="H1528" s="2">
        <v>5.7478300000000004E-4</v>
      </c>
      <c r="I1528" s="2" t="s">
        <v>47742</v>
      </c>
      <c r="J1528" s="2" t="s">
        <v>47743</v>
      </c>
      <c r="K1528" s="2">
        <v>8.1468359999999993E-3</v>
      </c>
      <c r="L1528" s="2" t="s">
        <v>848</v>
      </c>
      <c r="M1528" s="4" t="s">
        <v>42958</v>
      </c>
    </row>
    <row r="1529" spans="1:13">
      <c r="A1529" s="2">
        <v>4179</v>
      </c>
      <c r="B1529" s="2" t="s">
        <v>10543</v>
      </c>
      <c r="C1529" s="2">
        <v>4</v>
      </c>
      <c r="D1529" s="2">
        <v>291</v>
      </c>
      <c r="E1529" s="2">
        <v>39</v>
      </c>
      <c r="F1529" s="2">
        <v>32441</v>
      </c>
      <c r="G1529" s="2">
        <v>11.43395894</v>
      </c>
      <c r="H1529" s="2">
        <v>5.7478300000000004E-4</v>
      </c>
      <c r="I1529" s="2" t="s">
        <v>47744</v>
      </c>
      <c r="J1529" s="2" t="s">
        <v>47745</v>
      </c>
      <c r="K1529" s="2">
        <v>8.1468359999999993E-3</v>
      </c>
      <c r="L1529" s="2" t="s">
        <v>848</v>
      </c>
      <c r="M1529" s="4" t="s">
        <v>10546</v>
      </c>
    </row>
    <row r="1530" spans="1:13">
      <c r="A1530" s="2">
        <v>5003</v>
      </c>
      <c r="B1530" s="2" t="s">
        <v>11372</v>
      </c>
      <c r="C1530" s="2">
        <v>7</v>
      </c>
      <c r="D1530" s="2">
        <v>291</v>
      </c>
      <c r="E1530" s="2">
        <v>152</v>
      </c>
      <c r="F1530" s="2">
        <v>32441</v>
      </c>
      <c r="G1530" s="2">
        <v>5.13399801</v>
      </c>
      <c r="H1530" s="2">
        <v>5.76901E-4</v>
      </c>
      <c r="I1530" s="2" t="s">
        <v>47746</v>
      </c>
      <c r="J1530" s="2" t="s">
        <v>47747</v>
      </c>
      <c r="K1530" s="2">
        <v>8.1468359999999993E-3</v>
      </c>
      <c r="L1530" s="2" t="s">
        <v>848</v>
      </c>
      <c r="M1530" s="4" t="s">
        <v>11375</v>
      </c>
    </row>
    <row r="1531" spans="1:13">
      <c r="A1531" s="2">
        <v>3267</v>
      </c>
      <c r="B1531" s="2" t="s">
        <v>47748</v>
      </c>
      <c r="C1531" s="2">
        <v>5</v>
      </c>
      <c r="D1531" s="2">
        <v>291</v>
      </c>
      <c r="E1531" s="2">
        <v>71</v>
      </c>
      <c r="F1531" s="2">
        <v>32441</v>
      </c>
      <c r="G1531" s="2">
        <v>7.8507816659999996</v>
      </c>
      <c r="H1531" s="2">
        <v>5.9217799999999995E-4</v>
      </c>
      <c r="I1531" s="2" t="s">
        <v>47749</v>
      </c>
      <c r="J1531" s="2" t="s">
        <v>47750</v>
      </c>
      <c r="K1531" s="2">
        <v>8.3426660000000003E-3</v>
      </c>
      <c r="L1531" s="2" t="s">
        <v>848</v>
      </c>
      <c r="M1531" s="4" t="s">
        <v>47751</v>
      </c>
    </row>
    <row r="1532" spans="1:13">
      <c r="A1532" s="2">
        <v>747</v>
      </c>
      <c r="B1532" s="2" t="s">
        <v>47752</v>
      </c>
      <c r="C1532" s="2">
        <v>3</v>
      </c>
      <c r="D1532" s="2">
        <v>291</v>
      </c>
      <c r="E1532" s="2">
        <v>16</v>
      </c>
      <c r="F1532" s="2">
        <v>32441</v>
      </c>
      <c r="G1532" s="2">
        <v>20.90270619</v>
      </c>
      <c r="H1532" s="2">
        <v>6.0641500000000001E-4</v>
      </c>
      <c r="I1532" s="2" t="s">
        <v>47753</v>
      </c>
      <c r="J1532" s="2" t="s">
        <v>47754</v>
      </c>
      <c r="K1532" s="2">
        <v>8.4626319999999994E-3</v>
      </c>
      <c r="L1532" s="2" t="s">
        <v>848</v>
      </c>
      <c r="M1532" s="4" t="s">
        <v>47755</v>
      </c>
    </row>
    <row r="1533" spans="1:13">
      <c r="A1533" s="2">
        <v>3250</v>
      </c>
      <c r="B1533" s="2" t="s">
        <v>47756</v>
      </c>
      <c r="C1533" s="2">
        <v>3</v>
      </c>
      <c r="D1533" s="2">
        <v>291</v>
      </c>
      <c r="E1533" s="2">
        <v>16</v>
      </c>
      <c r="F1533" s="2">
        <v>32441</v>
      </c>
      <c r="G1533" s="2">
        <v>20.90270619</v>
      </c>
      <c r="H1533" s="2">
        <v>6.0641500000000001E-4</v>
      </c>
      <c r="I1533" s="2" t="s">
        <v>47757</v>
      </c>
      <c r="J1533" s="2" t="s">
        <v>47758</v>
      </c>
      <c r="K1533" s="2">
        <v>8.4626319999999994E-3</v>
      </c>
      <c r="L1533" s="2" t="s">
        <v>848</v>
      </c>
      <c r="M1533" s="4" t="s">
        <v>47759</v>
      </c>
    </row>
    <row r="1534" spans="1:13">
      <c r="A1534" s="2">
        <v>5310</v>
      </c>
      <c r="B1534" s="2" t="s">
        <v>47760</v>
      </c>
      <c r="C1534" s="2">
        <v>3</v>
      </c>
      <c r="D1534" s="2">
        <v>291</v>
      </c>
      <c r="E1534" s="2">
        <v>16</v>
      </c>
      <c r="F1534" s="2">
        <v>32441</v>
      </c>
      <c r="G1534" s="2">
        <v>20.90270619</v>
      </c>
      <c r="H1534" s="2">
        <v>6.0641500000000001E-4</v>
      </c>
      <c r="I1534" s="2" t="s">
        <v>47761</v>
      </c>
      <c r="J1534" s="2" t="s">
        <v>47762</v>
      </c>
      <c r="K1534" s="2">
        <v>8.4626319999999994E-3</v>
      </c>
      <c r="L1534" s="2" t="s">
        <v>848</v>
      </c>
      <c r="M1534" s="4" t="s">
        <v>47763</v>
      </c>
    </row>
    <row r="1535" spans="1:13">
      <c r="A1535" s="2">
        <v>5367</v>
      </c>
      <c r="B1535" s="2" t="s">
        <v>47764</v>
      </c>
      <c r="C1535" s="2">
        <v>3</v>
      </c>
      <c r="D1535" s="2">
        <v>291</v>
      </c>
      <c r="E1535" s="2">
        <v>16</v>
      </c>
      <c r="F1535" s="2">
        <v>32441</v>
      </c>
      <c r="G1535" s="2">
        <v>20.90270619</v>
      </c>
      <c r="H1535" s="2">
        <v>6.0641500000000001E-4</v>
      </c>
      <c r="I1535" s="2" t="s">
        <v>47765</v>
      </c>
      <c r="J1535" s="2" t="s">
        <v>47766</v>
      </c>
      <c r="K1535" s="2">
        <v>8.4626319999999994E-3</v>
      </c>
      <c r="L1535" s="2" t="s">
        <v>848</v>
      </c>
      <c r="M1535" s="4" t="s">
        <v>47767</v>
      </c>
    </row>
    <row r="1536" spans="1:13">
      <c r="A1536" s="2">
        <v>3237</v>
      </c>
      <c r="B1536" s="2" t="s">
        <v>47768</v>
      </c>
      <c r="C1536" s="2">
        <v>6</v>
      </c>
      <c r="D1536" s="2">
        <v>291</v>
      </c>
      <c r="E1536" s="2">
        <v>110</v>
      </c>
      <c r="F1536" s="2">
        <v>32441</v>
      </c>
      <c r="G1536" s="2">
        <v>6.0807872539999996</v>
      </c>
      <c r="H1536" s="2">
        <v>6.1421800000000003E-4</v>
      </c>
      <c r="I1536" s="2" t="s">
        <v>47769</v>
      </c>
      <c r="J1536" s="2" t="s">
        <v>47770</v>
      </c>
      <c r="K1536" s="2">
        <v>8.5513589999999997E-3</v>
      </c>
      <c r="L1536" s="2" t="s">
        <v>848</v>
      </c>
      <c r="M1536" s="4" t="s">
        <v>47771</v>
      </c>
    </row>
    <row r="1537" spans="1:13">
      <c r="A1537" s="2">
        <v>8261</v>
      </c>
      <c r="B1537" s="2" t="s">
        <v>38686</v>
      </c>
      <c r="C1537" s="2">
        <v>7</v>
      </c>
      <c r="D1537" s="2">
        <v>291</v>
      </c>
      <c r="E1537" s="2">
        <v>154</v>
      </c>
      <c r="F1537" s="2">
        <v>32441</v>
      </c>
      <c r="G1537" s="2">
        <v>5.0673227120000002</v>
      </c>
      <c r="H1537" s="2">
        <v>6.2133299999999995E-4</v>
      </c>
      <c r="I1537" s="2" t="s">
        <v>47772</v>
      </c>
      <c r="J1537" s="2" t="s">
        <v>47773</v>
      </c>
      <c r="K1537" s="2">
        <v>8.6098990000000007E-3</v>
      </c>
      <c r="L1537" s="2" t="s">
        <v>848</v>
      </c>
      <c r="M1537" s="4" t="s">
        <v>38689</v>
      </c>
    </row>
    <row r="1538" spans="1:13">
      <c r="A1538" s="2">
        <v>1133</v>
      </c>
      <c r="B1538" s="2" t="s">
        <v>47774</v>
      </c>
      <c r="C1538" s="2">
        <v>7</v>
      </c>
      <c r="D1538" s="2">
        <v>291</v>
      </c>
      <c r="E1538" s="2">
        <v>154</v>
      </c>
      <c r="F1538" s="2">
        <v>32441</v>
      </c>
      <c r="G1538" s="2">
        <v>5.0673227120000002</v>
      </c>
      <c r="H1538" s="2">
        <v>6.2133299999999995E-4</v>
      </c>
      <c r="I1538" s="2" t="s">
        <v>47775</v>
      </c>
      <c r="J1538" s="2" t="s">
        <v>47776</v>
      </c>
      <c r="K1538" s="2">
        <v>8.6098990000000007E-3</v>
      </c>
      <c r="L1538" s="2" t="s">
        <v>848</v>
      </c>
      <c r="M1538" s="4" t="s">
        <v>47777</v>
      </c>
    </row>
    <row r="1539" spans="1:13">
      <c r="A1539" s="2">
        <v>15711</v>
      </c>
      <c r="B1539" s="2" t="s">
        <v>47778</v>
      </c>
      <c r="C1539" s="2">
        <v>4</v>
      </c>
      <c r="D1539" s="2">
        <v>291</v>
      </c>
      <c r="E1539" s="2">
        <v>40</v>
      </c>
      <c r="F1539" s="2">
        <v>32441</v>
      </c>
      <c r="G1539" s="2">
        <v>11.14810997</v>
      </c>
      <c r="H1539" s="2">
        <v>6.2787400000000005E-4</v>
      </c>
      <c r="I1539" s="2" t="s">
        <v>47230</v>
      </c>
      <c r="J1539" s="2" t="s">
        <v>47231</v>
      </c>
      <c r="K1539" s="2">
        <v>8.6802159999999993E-3</v>
      </c>
      <c r="L1539" s="2" t="s">
        <v>848</v>
      </c>
      <c r="M1539" s="4" t="s">
        <v>47779</v>
      </c>
    </row>
    <row r="1540" spans="1:13">
      <c r="A1540" s="2">
        <v>3914</v>
      </c>
      <c r="B1540" s="2" t="s">
        <v>9057</v>
      </c>
      <c r="C1540" s="2">
        <v>15</v>
      </c>
      <c r="D1540" s="2">
        <v>291</v>
      </c>
      <c r="E1540" s="2">
        <v>621</v>
      </c>
      <c r="F1540" s="2">
        <v>32441</v>
      </c>
      <c r="G1540" s="2">
        <v>2.6927801850000002</v>
      </c>
      <c r="H1540" s="2">
        <v>6.3696800000000002E-4</v>
      </c>
      <c r="I1540" s="2" t="s">
        <v>47302</v>
      </c>
      <c r="J1540" s="2" t="s">
        <v>47303</v>
      </c>
      <c r="K1540" s="2">
        <v>8.7854119999999994E-3</v>
      </c>
      <c r="L1540" s="2" t="s">
        <v>848</v>
      </c>
      <c r="M1540" s="4" t="s">
        <v>9060</v>
      </c>
    </row>
    <row r="1541" spans="1:13">
      <c r="A1541" s="2">
        <v>1299</v>
      </c>
      <c r="B1541" s="2" t="s">
        <v>10380</v>
      </c>
      <c r="C1541" s="2">
        <v>7</v>
      </c>
      <c r="D1541" s="2">
        <v>291</v>
      </c>
      <c r="E1541" s="2">
        <v>155</v>
      </c>
      <c r="F1541" s="2">
        <v>32441</v>
      </c>
      <c r="G1541" s="2">
        <v>5.0346303069999996</v>
      </c>
      <c r="H1541" s="2">
        <v>6.4454499999999995E-4</v>
      </c>
      <c r="I1541" s="2" t="s">
        <v>47780</v>
      </c>
      <c r="J1541" s="2" t="s">
        <v>47781</v>
      </c>
      <c r="K1541" s="2">
        <v>8.8692330000000007E-3</v>
      </c>
      <c r="L1541" s="2" t="s">
        <v>848</v>
      </c>
      <c r="M1541" s="4" t="s">
        <v>10383</v>
      </c>
    </row>
    <row r="1542" spans="1:13">
      <c r="A1542" s="2">
        <v>4198</v>
      </c>
      <c r="B1542" s="2" t="s">
        <v>8572</v>
      </c>
      <c r="C1542" s="2">
        <v>10</v>
      </c>
      <c r="D1542" s="2">
        <v>291</v>
      </c>
      <c r="E1542" s="2">
        <v>311</v>
      </c>
      <c r="F1542" s="2">
        <v>32441</v>
      </c>
      <c r="G1542" s="2">
        <v>3.5846012749999998</v>
      </c>
      <c r="H1542" s="2">
        <v>6.5288499999999997E-4</v>
      </c>
      <c r="I1542" s="2" t="s">
        <v>47782</v>
      </c>
      <c r="J1542" s="2" t="s">
        <v>47783</v>
      </c>
      <c r="K1542" s="2">
        <v>8.9631629999999997E-3</v>
      </c>
      <c r="L1542" s="2" t="s">
        <v>848</v>
      </c>
      <c r="M1542" s="4" t="s">
        <v>8575</v>
      </c>
    </row>
    <row r="1543" spans="1:13">
      <c r="A1543" s="2">
        <v>2986</v>
      </c>
      <c r="B1543" s="2" t="s">
        <v>47784</v>
      </c>
      <c r="C1543" s="2">
        <v>5</v>
      </c>
      <c r="D1543" s="2">
        <v>291</v>
      </c>
      <c r="E1543" s="2">
        <v>73</v>
      </c>
      <c r="F1543" s="2">
        <v>32441</v>
      </c>
      <c r="G1543" s="2">
        <v>7.635691757</v>
      </c>
      <c r="H1543" s="2">
        <v>6.66996E-4</v>
      </c>
      <c r="I1543" s="2" t="s">
        <v>47785</v>
      </c>
      <c r="J1543" s="2" t="s">
        <v>47786</v>
      </c>
      <c r="K1543" s="2">
        <v>9.1342999999999997E-3</v>
      </c>
      <c r="L1543" s="2" t="s">
        <v>848</v>
      </c>
      <c r="M1543" s="4" t="s">
        <v>47787</v>
      </c>
    </row>
    <row r="1544" spans="1:13">
      <c r="A1544" s="2">
        <v>4913</v>
      </c>
      <c r="B1544" s="2" t="s">
        <v>9468</v>
      </c>
      <c r="C1544" s="2">
        <v>7</v>
      </c>
      <c r="D1544" s="2">
        <v>291</v>
      </c>
      <c r="E1544" s="2">
        <v>156</v>
      </c>
      <c r="F1544" s="2">
        <v>32441</v>
      </c>
      <c r="G1544" s="2">
        <v>5.0023570360000003</v>
      </c>
      <c r="H1544" s="2">
        <v>6.6843899999999995E-4</v>
      </c>
      <c r="I1544" s="2" t="s">
        <v>47788</v>
      </c>
      <c r="J1544" s="2" t="s">
        <v>47789</v>
      </c>
      <c r="K1544" s="2">
        <v>9.1342999999999997E-3</v>
      </c>
      <c r="L1544" s="2" t="s">
        <v>848</v>
      </c>
      <c r="M1544" s="4" t="s">
        <v>9471</v>
      </c>
    </row>
    <row r="1545" spans="1:13">
      <c r="A1545" s="2">
        <v>2818</v>
      </c>
      <c r="B1545" s="2" t="s">
        <v>47790</v>
      </c>
      <c r="C1545" s="2">
        <v>6</v>
      </c>
      <c r="D1545" s="2">
        <v>291</v>
      </c>
      <c r="E1545" s="2">
        <v>112</v>
      </c>
      <c r="F1545" s="2">
        <v>32441</v>
      </c>
      <c r="G1545" s="2">
        <v>5.9722017669999996</v>
      </c>
      <c r="H1545" s="2">
        <v>6.7211699999999996E-4</v>
      </c>
      <c r="I1545" s="2" t="s">
        <v>47791</v>
      </c>
      <c r="J1545" s="2" t="s">
        <v>47792</v>
      </c>
      <c r="K1545" s="2">
        <v>9.1634079999999996E-3</v>
      </c>
      <c r="L1545" s="2" t="s">
        <v>848</v>
      </c>
      <c r="M1545" s="4" t="s">
        <v>47793</v>
      </c>
    </row>
    <row r="1546" spans="1:13">
      <c r="A1546" s="2">
        <v>3575</v>
      </c>
      <c r="B1546" s="2" t="s">
        <v>47794</v>
      </c>
      <c r="C1546" s="2">
        <v>8</v>
      </c>
      <c r="D1546" s="2">
        <v>291</v>
      </c>
      <c r="E1546" s="2">
        <v>205</v>
      </c>
      <c r="F1546" s="2">
        <v>32441</v>
      </c>
      <c r="G1546" s="2">
        <v>4.3504819379999997</v>
      </c>
      <c r="H1546" s="2">
        <v>6.7896799999999995E-4</v>
      </c>
      <c r="I1546" s="2" t="s">
        <v>47795</v>
      </c>
      <c r="J1546" s="2" t="s">
        <v>47796</v>
      </c>
      <c r="K1546" s="2">
        <v>9.2355230000000007E-3</v>
      </c>
      <c r="L1546" s="2" t="s">
        <v>848</v>
      </c>
      <c r="M1546" s="4" t="s">
        <v>47797</v>
      </c>
    </row>
    <row r="1547" spans="1:13">
      <c r="A1547" s="2">
        <v>973</v>
      </c>
      <c r="B1547" s="2" t="s">
        <v>47798</v>
      </c>
      <c r="C1547" s="2">
        <v>6</v>
      </c>
      <c r="D1547" s="2">
        <v>291</v>
      </c>
      <c r="E1547" s="2">
        <v>113</v>
      </c>
      <c r="F1547" s="2">
        <v>32441</v>
      </c>
      <c r="G1547" s="2">
        <v>5.9193504240000001</v>
      </c>
      <c r="H1547" s="2">
        <v>7.0260699999999995E-4</v>
      </c>
      <c r="I1547" s="2" t="s">
        <v>47799</v>
      </c>
      <c r="J1547" s="2" t="s">
        <v>47800</v>
      </c>
      <c r="K1547" s="2">
        <v>9.5351480000000002E-3</v>
      </c>
      <c r="L1547" s="2" t="s">
        <v>848</v>
      </c>
      <c r="M1547" s="4" t="s">
        <v>47801</v>
      </c>
    </row>
    <row r="1548" spans="1:13">
      <c r="A1548" s="2">
        <v>5692</v>
      </c>
      <c r="B1548" s="2" t="s">
        <v>47802</v>
      </c>
      <c r="C1548" s="2">
        <v>3</v>
      </c>
      <c r="D1548" s="2">
        <v>291</v>
      </c>
      <c r="E1548" s="2">
        <v>17</v>
      </c>
      <c r="F1548" s="2">
        <v>32441</v>
      </c>
      <c r="G1548" s="2">
        <v>19.67313523</v>
      </c>
      <c r="H1548" s="2">
        <v>7.0875300000000001E-4</v>
      </c>
      <c r="I1548" s="2" t="s">
        <v>47617</v>
      </c>
      <c r="J1548" s="2" t="s">
        <v>47618</v>
      </c>
      <c r="K1548" s="2">
        <v>9.5965430000000008E-3</v>
      </c>
      <c r="L1548" s="2" t="s">
        <v>848</v>
      </c>
      <c r="M1548" s="4" t="s">
        <v>47803</v>
      </c>
    </row>
    <row r="1549" spans="1:13">
      <c r="A1549" s="2">
        <v>700</v>
      </c>
      <c r="B1549" s="2" t="s">
        <v>8827</v>
      </c>
      <c r="C1549" s="2">
        <v>17</v>
      </c>
      <c r="D1549" s="2">
        <v>291</v>
      </c>
      <c r="E1549" s="2">
        <v>767</v>
      </c>
      <c r="F1549" s="2">
        <v>32441</v>
      </c>
      <c r="G1549" s="2">
        <v>2.4708979059999998</v>
      </c>
      <c r="H1549" s="2">
        <v>7.2481900000000003E-4</v>
      </c>
      <c r="I1549" s="2" t="s">
        <v>47804</v>
      </c>
      <c r="J1549" s="2" t="s">
        <v>47805</v>
      </c>
      <c r="K1549" s="2">
        <v>9.791681E-3</v>
      </c>
      <c r="L1549" s="2" t="s">
        <v>848</v>
      </c>
      <c r="M1549" s="4" t="s">
        <v>8830</v>
      </c>
    </row>
    <row r="1550" spans="1:13">
      <c r="A1550" s="2">
        <v>1786</v>
      </c>
      <c r="B1550" s="2" t="s">
        <v>42783</v>
      </c>
      <c r="C1550" s="2">
        <v>6</v>
      </c>
      <c r="D1550" s="2">
        <v>291</v>
      </c>
      <c r="E1550" s="2">
        <v>114</v>
      </c>
      <c r="F1550" s="2">
        <v>32441</v>
      </c>
      <c r="G1550" s="2">
        <v>5.8674262979999998</v>
      </c>
      <c r="H1550" s="2">
        <v>7.3415500000000001E-4</v>
      </c>
      <c r="I1550" s="2" t="s">
        <v>47806</v>
      </c>
      <c r="J1550" s="2" t="s">
        <v>47807</v>
      </c>
      <c r="K1550" s="2">
        <v>9.8952099999999998E-3</v>
      </c>
      <c r="L1550" s="2" t="s">
        <v>848</v>
      </c>
      <c r="M1550" s="4" t="s">
        <v>42786</v>
      </c>
    </row>
    <row r="1551" spans="1:13">
      <c r="A1551" s="2">
        <v>32681</v>
      </c>
      <c r="B1551" s="2" t="s">
        <v>47808</v>
      </c>
      <c r="C1551" s="2">
        <v>4</v>
      </c>
      <c r="D1551" s="2">
        <v>291</v>
      </c>
      <c r="E1551" s="2">
        <v>42</v>
      </c>
      <c r="F1551" s="2">
        <v>32441</v>
      </c>
      <c r="G1551" s="2">
        <v>10.61724759</v>
      </c>
      <c r="H1551" s="2">
        <v>7.4432800000000005E-4</v>
      </c>
      <c r="I1551" s="2" t="s">
        <v>47809</v>
      </c>
      <c r="J1551" s="2" t="s">
        <v>47810</v>
      </c>
      <c r="K1551" s="2">
        <v>9.9868189999999992E-3</v>
      </c>
      <c r="L1551" s="2" t="s">
        <v>848</v>
      </c>
      <c r="M1551" s="4" t="s">
        <v>47811</v>
      </c>
    </row>
    <row r="1552" spans="1:13">
      <c r="A1552" s="2">
        <v>5866</v>
      </c>
      <c r="B1552" s="2" t="s">
        <v>47812</v>
      </c>
      <c r="C1552" s="2">
        <v>4</v>
      </c>
      <c r="D1552" s="2">
        <v>291</v>
      </c>
      <c r="E1552" s="2">
        <v>42</v>
      </c>
      <c r="F1552" s="2">
        <v>32441</v>
      </c>
      <c r="G1552" s="2">
        <v>10.61724759</v>
      </c>
      <c r="H1552" s="2">
        <v>7.4432800000000005E-4</v>
      </c>
      <c r="I1552" s="2" t="s">
        <v>47813</v>
      </c>
      <c r="J1552" s="2" t="s">
        <v>47814</v>
      </c>
      <c r="K1552" s="2">
        <v>9.9868189999999992E-3</v>
      </c>
      <c r="L1552" s="2" t="s">
        <v>848</v>
      </c>
      <c r="M1552" s="4" t="s">
        <v>47815</v>
      </c>
    </row>
    <row r="1553" spans="1:13">
      <c r="A1553" s="2">
        <v>166</v>
      </c>
      <c r="B1553" s="2" t="s">
        <v>47816</v>
      </c>
      <c r="C1553" s="2">
        <v>6</v>
      </c>
      <c r="D1553" s="2">
        <v>291</v>
      </c>
      <c r="E1553" s="2">
        <v>115</v>
      </c>
      <c r="F1553" s="2">
        <v>32441</v>
      </c>
      <c r="G1553" s="2">
        <v>5.8164051990000001</v>
      </c>
      <c r="H1553" s="2">
        <v>7.6678800000000002E-4</v>
      </c>
      <c r="I1553" s="2" t="s">
        <v>47817</v>
      </c>
      <c r="J1553" s="2" t="s">
        <v>47818</v>
      </c>
      <c r="K1553" s="2">
        <v>1.0218656E-2</v>
      </c>
      <c r="L1553" s="2" t="s">
        <v>848</v>
      </c>
      <c r="M1553" s="4" t="s">
        <v>47819</v>
      </c>
    </row>
    <row r="1554" spans="1:13">
      <c r="A1554" s="2">
        <v>1899</v>
      </c>
      <c r="B1554" s="2" t="s">
        <v>8655</v>
      </c>
      <c r="C1554" s="2">
        <v>8</v>
      </c>
      <c r="D1554" s="2">
        <v>291</v>
      </c>
      <c r="E1554" s="2">
        <v>209</v>
      </c>
      <c r="F1554" s="2">
        <v>32441</v>
      </c>
      <c r="G1554" s="2">
        <v>4.2672191259999996</v>
      </c>
      <c r="H1554" s="2">
        <v>7.6629599999999997E-4</v>
      </c>
      <c r="I1554" s="2" t="s">
        <v>47820</v>
      </c>
      <c r="J1554" s="2" t="s">
        <v>47821</v>
      </c>
      <c r="K1554" s="2">
        <v>1.0218656E-2</v>
      </c>
      <c r="L1554" s="2" t="s">
        <v>848</v>
      </c>
      <c r="M1554" s="4" t="s">
        <v>8658</v>
      </c>
    </row>
    <row r="1555" spans="1:13">
      <c r="A1555" s="2">
        <v>1954</v>
      </c>
      <c r="B1555" s="2" t="s">
        <v>11227</v>
      </c>
      <c r="C1555" s="2">
        <v>8</v>
      </c>
      <c r="D1555" s="2">
        <v>291</v>
      </c>
      <c r="E1555" s="2">
        <v>209</v>
      </c>
      <c r="F1555" s="2">
        <v>32441</v>
      </c>
      <c r="G1555" s="2">
        <v>4.2672191259999996</v>
      </c>
      <c r="H1555" s="2">
        <v>7.6629599999999997E-4</v>
      </c>
      <c r="I1555" s="2" t="s">
        <v>47822</v>
      </c>
      <c r="J1555" s="2" t="s">
        <v>47823</v>
      </c>
      <c r="K1555" s="2">
        <v>1.0218656E-2</v>
      </c>
      <c r="L1555" s="2" t="s">
        <v>848</v>
      </c>
      <c r="M1555" s="4" t="s">
        <v>11230</v>
      </c>
    </row>
    <row r="1556" spans="1:13">
      <c r="A1556" s="2">
        <v>5420</v>
      </c>
      <c r="B1556" s="2" t="s">
        <v>47824</v>
      </c>
      <c r="C1556" s="2">
        <v>7</v>
      </c>
      <c r="D1556" s="2">
        <v>291</v>
      </c>
      <c r="E1556" s="2">
        <v>160</v>
      </c>
      <c r="F1556" s="2">
        <v>32441</v>
      </c>
      <c r="G1556" s="2">
        <v>4.8772981099999999</v>
      </c>
      <c r="H1556" s="2">
        <v>7.7112899999999996E-4</v>
      </c>
      <c r="I1556" s="2" t="s">
        <v>47825</v>
      </c>
      <c r="J1556" s="2" t="s">
        <v>47826</v>
      </c>
      <c r="K1556" s="2">
        <v>1.0253414000000001E-2</v>
      </c>
      <c r="L1556" s="2" t="s">
        <v>848</v>
      </c>
      <c r="M1556" s="4" t="s">
        <v>47827</v>
      </c>
    </row>
    <row r="1557" spans="1:13">
      <c r="A1557" s="2">
        <v>28611</v>
      </c>
      <c r="B1557" s="2" t="s">
        <v>10781</v>
      </c>
      <c r="C1557" s="2">
        <v>13</v>
      </c>
      <c r="D1557" s="2">
        <v>291</v>
      </c>
      <c r="E1557" s="2">
        <v>502</v>
      </c>
      <c r="F1557" s="2">
        <v>32441</v>
      </c>
      <c r="G1557" s="2">
        <v>2.8869607479999999</v>
      </c>
      <c r="H1557" s="2">
        <v>7.8318599999999995E-4</v>
      </c>
      <c r="I1557" s="2" t="s">
        <v>47828</v>
      </c>
      <c r="J1557" s="2" t="s">
        <v>47829</v>
      </c>
      <c r="K1557" s="2">
        <v>1.0390385E-2</v>
      </c>
      <c r="L1557" s="2" t="s">
        <v>848</v>
      </c>
      <c r="M1557" s="4" t="s">
        <v>10784</v>
      </c>
    </row>
    <row r="1558" spans="1:13">
      <c r="A1558" s="2">
        <v>35771</v>
      </c>
      <c r="B1558" s="2" t="s">
        <v>47830</v>
      </c>
      <c r="C1558" s="2">
        <v>4</v>
      </c>
      <c r="D1558" s="2">
        <v>291</v>
      </c>
      <c r="E1558" s="2">
        <v>43</v>
      </c>
      <c r="F1558" s="2">
        <v>32441</v>
      </c>
      <c r="G1558" s="2">
        <v>10.370334850000001</v>
      </c>
      <c r="H1558" s="2">
        <v>8.0792699999999995E-4</v>
      </c>
      <c r="I1558" s="2" t="s">
        <v>47180</v>
      </c>
      <c r="J1558" s="2" t="s">
        <v>47181</v>
      </c>
      <c r="K1558" s="2">
        <v>1.0694639000000001E-2</v>
      </c>
      <c r="L1558" s="2" t="s">
        <v>848</v>
      </c>
      <c r="M1558" s="4" t="s">
        <v>47831</v>
      </c>
    </row>
    <row r="1559" spans="1:13">
      <c r="A1559" s="2">
        <v>3853</v>
      </c>
      <c r="B1559" s="2" t="s">
        <v>7975</v>
      </c>
      <c r="C1559" s="2">
        <v>8</v>
      </c>
      <c r="D1559" s="2">
        <v>291</v>
      </c>
      <c r="E1559" s="2">
        <v>211</v>
      </c>
      <c r="F1559" s="2">
        <v>32441</v>
      </c>
      <c r="G1559" s="2">
        <v>4.2267715509999997</v>
      </c>
      <c r="H1559" s="2">
        <v>8.1322800000000004E-4</v>
      </c>
      <c r="I1559" s="2" t="s">
        <v>47832</v>
      </c>
      <c r="J1559" s="2" t="s">
        <v>47833</v>
      </c>
      <c r="K1559" s="2">
        <v>1.0740777E-2</v>
      </c>
      <c r="L1559" s="2" t="s">
        <v>848</v>
      </c>
      <c r="M1559" s="4" t="s">
        <v>7978</v>
      </c>
    </row>
    <row r="1560" spans="1:13">
      <c r="A1560" s="2">
        <v>1512</v>
      </c>
      <c r="B1560" s="2" t="s">
        <v>47834</v>
      </c>
      <c r="C1560" s="2">
        <v>3</v>
      </c>
      <c r="D1560" s="2">
        <v>291</v>
      </c>
      <c r="E1560" s="2">
        <v>18</v>
      </c>
      <c r="F1560" s="2">
        <v>32441</v>
      </c>
      <c r="G1560" s="2">
        <v>18.58018328</v>
      </c>
      <c r="H1560" s="2">
        <v>8.2145999999999999E-4</v>
      </c>
      <c r="I1560" s="2" t="s">
        <v>47835</v>
      </c>
      <c r="J1560" s="2" t="s">
        <v>47836</v>
      </c>
      <c r="K1560" s="2">
        <v>1.0801290999999999E-2</v>
      </c>
      <c r="L1560" s="2" t="s">
        <v>848</v>
      </c>
      <c r="M1560" s="4" t="s">
        <v>47837</v>
      </c>
    </row>
    <row r="1561" spans="1:13">
      <c r="A1561" s="2">
        <v>39391</v>
      </c>
      <c r="B1561" s="2" t="s">
        <v>47838</v>
      </c>
      <c r="C1561" s="2">
        <v>3</v>
      </c>
      <c r="D1561" s="2">
        <v>291</v>
      </c>
      <c r="E1561" s="2">
        <v>18</v>
      </c>
      <c r="F1561" s="2">
        <v>32441</v>
      </c>
      <c r="G1561" s="2">
        <v>18.58018328</v>
      </c>
      <c r="H1561" s="2">
        <v>8.2145999999999999E-4</v>
      </c>
      <c r="I1561" s="2" t="s">
        <v>47839</v>
      </c>
      <c r="J1561" s="2" t="s">
        <v>47840</v>
      </c>
      <c r="K1561" s="2">
        <v>1.0801290999999999E-2</v>
      </c>
      <c r="L1561" s="2" t="s">
        <v>848</v>
      </c>
      <c r="M1561" s="4" t="s">
        <v>47841</v>
      </c>
    </row>
    <row r="1562" spans="1:13">
      <c r="A1562" s="2">
        <v>307</v>
      </c>
      <c r="B1562" s="2" t="s">
        <v>7979</v>
      </c>
      <c r="C1562" s="2">
        <v>7</v>
      </c>
      <c r="D1562" s="2">
        <v>291</v>
      </c>
      <c r="E1562" s="2">
        <v>162</v>
      </c>
      <c r="F1562" s="2">
        <v>32441</v>
      </c>
      <c r="G1562" s="2">
        <v>4.8170845529999999</v>
      </c>
      <c r="H1562" s="2">
        <v>8.2694699999999997E-4</v>
      </c>
      <c r="I1562" s="2" t="s">
        <v>47842</v>
      </c>
      <c r="J1562" s="2" t="s">
        <v>47843</v>
      </c>
      <c r="K1562" s="2">
        <v>1.0825328E-2</v>
      </c>
      <c r="L1562" s="2" t="s">
        <v>848</v>
      </c>
      <c r="M1562" s="4" t="s">
        <v>7982</v>
      </c>
    </row>
    <row r="1563" spans="1:13">
      <c r="A1563" s="2">
        <v>4396</v>
      </c>
      <c r="B1563" s="2" t="s">
        <v>47844</v>
      </c>
      <c r="C1563" s="2">
        <v>7</v>
      </c>
      <c r="D1563" s="2">
        <v>291</v>
      </c>
      <c r="E1563" s="2">
        <v>162</v>
      </c>
      <c r="F1563" s="2">
        <v>32441</v>
      </c>
      <c r="G1563" s="2">
        <v>4.8170845529999999</v>
      </c>
      <c r="H1563" s="2">
        <v>8.2694699999999997E-4</v>
      </c>
      <c r="I1563" s="2" t="s">
        <v>47845</v>
      </c>
      <c r="J1563" s="2" t="s">
        <v>47846</v>
      </c>
      <c r="K1563" s="2">
        <v>1.0825328E-2</v>
      </c>
      <c r="L1563" s="2" t="s">
        <v>848</v>
      </c>
      <c r="M1563" s="4" t="s">
        <v>47847</v>
      </c>
    </row>
    <row r="1564" spans="1:13">
      <c r="A1564" s="2">
        <v>2105</v>
      </c>
      <c r="B1564" s="2" t="s">
        <v>47848</v>
      </c>
      <c r="C1564" s="2">
        <v>5</v>
      </c>
      <c r="D1564" s="2">
        <v>291</v>
      </c>
      <c r="E1564" s="2">
        <v>77</v>
      </c>
      <c r="F1564" s="2">
        <v>32441</v>
      </c>
      <c r="G1564" s="2">
        <v>7.2390324450000003</v>
      </c>
      <c r="H1564" s="2">
        <v>8.37588E-4</v>
      </c>
      <c r="I1564" s="2" t="s">
        <v>47849</v>
      </c>
      <c r="J1564" s="2" t="s">
        <v>47850</v>
      </c>
      <c r="K1564" s="2">
        <v>1.0940421000000001E-2</v>
      </c>
      <c r="L1564" s="2" t="s">
        <v>848</v>
      </c>
      <c r="M1564" s="4" t="s">
        <v>47851</v>
      </c>
    </row>
    <row r="1565" spans="1:13">
      <c r="A1565" s="2">
        <v>2334</v>
      </c>
      <c r="B1565" s="2" t="s">
        <v>11536</v>
      </c>
      <c r="C1565" s="2">
        <v>11</v>
      </c>
      <c r="D1565" s="2">
        <v>291</v>
      </c>
      <c r="E1565" s="2">
        <v>381</v>
      </c>
      <c r="F1565" s="2">
        <v>32441</v>
      </c>
      <c r="G1565" s="2">
        <v>3.2186144259999998</v>
      </c>
      <c r="H1565" s="2">
        <v>8.4189400000000004E-4</v>
      </c>
      <c r="I1565" s="2" t="s">
        <v>47484</v>
      </c>
      <c r="J1565" s="2" t="s">
        <v>47485</v>
      </c>
      <c r="K1565" s="2">
        <v>1.0972433E-2</v>
      </c>
      <c r="L1565" s="2" t="s">
        <v>848</v>
      </c>
      <c r="M1565" s="4" t="s">
        <v>11539</v>
      </c>
    </row>
    <row r="1566" spans="1:13">
      <c r="A1566" s="2">
        <v>2716</v>
      </c>
      <c r="B1566" s="2" t="s">
        <v>47852</v>
      </c>
      <c r="C1566" s="2">
        <v>13</v>
      </c>
      <c r="D1566" s="2">
        <v>291</v>
      </c>
      <c r="E1566" s="2">
        <v>507</v>
      </c>
      <c r="F1566" s="2">
        <v>32441</v>
      </c>
      <c r="G1566" s="2">
        <v>2.858489735</v>
      </c>
      <c r="H1566" s="2">
        <v>8.5522599999999995E-4</v>
      </c>
      <c r="I1566" s="2" t="s">
        <v>47853</v>
      </c>
      <c r="J1566" s="2" t="s">
        <v>47854</v>
      </c>
      <c r="K1566" s="2">
        <v>1.1121702000000001E-2</v>
      </c>
      <c r="L1566" s="2" t="s">
        <v>848</v>
      </c>
      <c r="M1566" s="4" t="s">
        <v>47855</v>
      </c>
    </row>
    <row r="1567" spans="1:13">
      <c r="A1567" s="2">
        <v>2732</v>
      </c>
      <c r="B1567" s="2" t="s">
        <v>28885</v>
      </c>
      <c r="C1567" s="2">
        <v>16</v>
      </c>
      <c r="D1567" s="2">
        <v>291</v>
      </c>
      <c r="E1567" s="2">
        <v>709</v>
      </c>
      <c r="F1567" s="2">
        <v>32441</v>
      </c>
      <c r="G1567" s="2">
        <v>2.5157935039999999</v>
      </c>
      <c r="H1567" s="2">
        <v>8.5909500000000004E-4</v>
      </c>
      <c r="I1567" s="2" t="s">
        <v>47856</v>
      </c>
      <c r="J1567" s="2" t="s">
        <v>47857</v>
      </c>
      <c r="K1567" s="2">
        <v>1.1147512E-2</v>
      </c>
      <c r="L1567" s="2" t="s">
        <v>848</v>
      </c>
      <c r="M1567" s="4" t="s">
        <v>28888</v>
      </c>
    </row>
    <row r="1568" spans="1:13">
      <c r="A1568" s="2">
        <v>5242</v>
      </c>
      <c r="B1568" s="2" t="s">
        <v>30183</v>
      </c>
      <c r="C1568" s="2">
        <v>4</v>
      </c>
      <c r="D1568" s="2">
        <v>291</v>
      </c>
      <c r="E1568" s="2">
        <v>44</v>
      </c>
      <c r="F1568" s="2">
        <v>32441</v>
      </c>
      <c r="G1568" s="2">
        <v>10.13464542</v>
      </c>
      <c r="H1568" s="2">
        <v>8.7526599999999998E-4</v>
      </c>
      <c r="I1568" s="2" t="s">
        <v>47365</v>
      </c>
      <c r="J1568" s="2" t="s">
        <v>47366</v>
      </c>
      <c r="K1568" s="2">
        <v>1.1332490000000001E-2</v>
      </c>
      <c r="L1568" s="2" t="s">
        <v>848</v>
      </c>
      <c r="M1568" s="4" t="s">
        <v>30186</v>
      </c>
    </row>
    <row r="1569" spans="1:13">
      <c r="A1569" s="2">
        <v>4993</v>
      </c>
      <c r="B1569" s="2" t="s">
        <v>8087</v>
      </c>
      <c r="C1569" s="2">
        <v>13</v>
      </c>
      <c r="D1569" s="2">
        <v>291</v>
      </c>
      <c r="E1569" s="2">
        <v>510</v>
      </c>
      <c r="F1569" s="2">
        <v>32441</v>
      </c>
      <c r="G1569" s="2">
        <v>2.8416750890000002</v>
      </c>
      <c r="H1569" s="2">
        <v>9.0106400000000003E-4</v>
      </c>
      <c r="I1569" s="2" t="s">
        <v>47858</v>
      </c>
      <c r="J1569" s="2" t="s">
        <v>47859</v>
      </c>
      <c r="K1569" s="2">
        <v>1.1641032000000001E-2</v>
      </c>
      <c r="L1569" s="2" t="s">
        <v>848</v>
      </c>
      <c r="M1569" s="4" t="s">
        <v>8090</v>
      </c>
    </row>
    <row r="1570" spans="1:13">
      <c r="A1570" s="2">
        <v>6481</v>
      </c>
      <c r="B1570" s="2" t="s">
        <v>42801</v>
      </c>
      <c r="C1570" s="2">
        <v>7</v>
      </c>
      <c r="D1570" s="2">
        <v>291</v>
      </c>
      <c r="E1570" s="2">
        <v>166</v>
      </c>
      <c r="F1570" s="2">
        <v>32441</v>
      </c>
      <c r="G1570" s="2">
        <v>4.7010102260000002</v>
      </c>
      <c r="H1570" s="2">
        <v>9.4813700000000005E-4</v>
      </c>
      <c r="I1570" s="2" t="s">
        <v>47860</v>
      </c>
      <c r="J1570" s="2" t="s">
        <v>47861</v>
      </c>
      <c r="K1570" s="2">
        <v>1.2143124999999999E-2</v>
      </c>
      <c r="L1570" s="2" t="s">
        <v>848</v>
      </c>
      <c r="M1570" s="4" t="s">
        <v>42802</v>
      </c>
    </row>
    <row r="1571" spans="1:13">
      <c r="A1571" s="2">
        <v>3558</v>
      </c>
      <c r="B1571" s="2" t="s">
        <v>47862</v>
      </c>
      <c r="C1571" s="2">
        <v>4</v>
      </c>
      <c r="D1571" s="2">
        <v>291</v>
      </c>
      <c r="E1571" s="2">
        <v>45</v>
      </c>
      <c r="F1571" s="2">
        <v>32441</v>
      </c>
      <c r="G1571" s="2">
        <v>9.9094310809999993</v>
      </c>
      <c r="H1571" s="2">
        <v>9.4646300000000004E-4</v>
      </c>
      <c r="I1571" s="2" t="s">
        <v>47863</v>
      </c>
      <c r="J1571" s="2" t="s">
        <v>47864</v>
      </c>
      <c r="K1571" s="2">
        <v>1.2143124999999999E-2</v>
      </c>
      <c r="L1571" s="2" t="s">
        <v>848</v>
      </c>
      <c r="M1571" s="4" t="s">
        <v>47865</v>
      </c>
    </row>
    <row r="1572" spans="1:13">
      <c r="A1572" s="2">
        <v>4746</v>
      </c>
      <c r="B1572" s="2" t="s">
        <v>47866</v>
      </c>
      <c r="C1572" s="2">
        <v>3</v>
      </c>
      <c r="D1572" s="2">
        <v>291</v>
      </c>
      <c r="E1572" s="2">
        <v>19</v>
      </c>
      <c r="F1572" s="2">
        <v>32441</v>
      </c>
      <c r="G1572" s="2">
        <v>17.602278890000001</v>
      </c>
      <c r="H1572" s="2">
        <v>9.4493500000000005E-4</v>
      </c>
      <c r="I1572" s="2" t="s">
        <v>47867</v>
      </c>
      <c r="J1572" s="2" t="s">
        <v>47868</v>
      </c>
      <c r="K1572" s="2">
        <v>1.2143124999999999E-2</v>
      </c>
      <c r="L1572" s="2" t="s">
        <v>848</v>
      </c>
      <c r="M1572" s="4" t="s">
        <v>47869</v>
      </c>
    </row>
    <row r="1573" spans="1:13">
      <c r="A1573" s="2">
        <v>5612</v>
      </c>
      <c r="B1573" s="2" t="s">
        <v>47870</v>
      </c>
      <c r="C1573" s="2">
        <v>3</v>
      </c>
      <c r="D1573" s="2">
        <v>291</v>
      </c>
      <c r="E1573" s="2">
        <v>19</v>
      </c>
      <c r="F1573" s="2">
        <v>32441</v>
      </c>
      <c r="G1573" s="2">
        <v>17.602278890000001</v>
      </c>
      <c r="H1573" s="2">
        <v>9.4493500000000005E-4</v>
      </c>
      <c r="I1573" s="2" t="s">
        <v>47711</v>
      </c>
      <c r="J1573" s="2" t="s">
        <v>47712</v>
      </c>
      <c r="K1573" s="2">
        <v>1.2143124999999999E-2</v>
      </c>
      <c r="L1573" s="2" t="s">
        <v>848</v>
      </c>
      <c r="M1573" s="4" t="s">
        <v>47871</v>
      </c>
    </row>
    <row r="1574" spans="1:13">
      <c r="A1574" s="2">
        <v>5823</v>
      </c>
      <c r="B1574" s="2" t="s">
        <v>1100</v>
      </c>
      <c r="C1574" s="2">
        <v>16</v>
      </c>
      <c r="D1574" s="2">
        <v>291</v>
      </c>
      <c r="E1574" s="2">
        <v>719</v>
      </c>
      <c r="F1574" s="2">
        <v>32441</v>
      </c>
      <c r="G1574" s="2">
        <v>2.4808033300000001</v>
      </c>
      <c r="H1574" s="2">
        <v>9.9082500000000008E-4</v>
      </c>
      <c r="I1574" s="2" t="s">
        <v>47872</v>
      </c>
      <c r="J1574" s="2" t="s">
        <v>47873</v>
      </c>
      <c r="K1574" s="2">
        <v>1.2662438E-2</v>
      </c>
      <c r="L1574" s="2" t="s">
        <v>848</v>
      </c>
      <c r="M1574" s="4" t="s">
        <v>47874</v>
      </c>
    </row>
    <row r="1575" spans="1:13">
      <c r="A1575" s="2">
        <v>25661</v>
      </c>
      <c r="B1575" s="2" t="s">
        <v>11119</v>
      </c>
      <c r="C1575" s="2">
        <v>7</v>
      </c>
      <c r="D1575" s="2">
        <v>291</v>
      </c>
      <c r="E1575" s="2">
        <v>168</v>
      </c>
      <c r="F1575" s="2">
        <v>32441</v>
      </c>
      <c r="G1575" s="2">
        <v>4.6450458189999999</v>
      </c>
      <c r="H1575" s="2">
        <v>1.013756E-3</v>
      </c>
      <c r="I1575" s="2" t="s">
        <v>47875</v>
      </c>
      <c r="J1575" s="2" t="s">
        <v>47876</v>
      </c>
      <c r="K1575" s="2">
        <v>1.2927572E-2</v>
      </c>
      <c r="L1575" s="2" t="s">
        <v>848</v>
      </c>
      <c r="M1575" s="4" t="s">
        <v>11122</v>
      </c>
    </row>
    <row r="1576" spans="1:13">
      <c r="A1576" s="2">
        <v>2020</v>
      </c>
      <c r="B1576" s="2" t="s">
        <v>47877</v>
      </c>
      <c r="C1576" s="2">
        <v>4</v>
      </c>
      <c r="D1576" s="2">
        <v>291</v>
      </c>
      <c r="E1576" s="2">
        <v>46</v>
      </c>
      <c r="F1576" s="2">
        <v>32441</v>
      </c>
      <c r="G1576" s="2">
        <v>9.6940086660000002</v>
      </c>
      <c r="H1576" s="2">
        <v>1.0216380000000001E-3</v>
      </c>
      <c r="I1576" s="2" t="s">
        <v>47878</v>
      </c>
      <c r="J1576" s="2" t="s">
        <v>47879</v>
      </c>
      <c r="K1576" s="2">
        <v>1.2944396E-2</v>
      </c>
      <c r="L1576" s="2" t="s">
        <v>848</v>
      </c>
      <c r="M1576" s="4" t="s">
        <v>47880</v>
      </c>
    </row>
    <row r="1577" spans="1:13">
      <c r="A1577" s="2">
        <v>2591</v>
      </c>
      <c r="B1577" s="2" t="s">
        <v>9366</v>
      </c>
      <c r="C1577" s="2">
        <v>4</v>
      </c>
      <c r="D1577" s="2">
        <v>291</v>
      </c>
      <c r="E1577" s="2">
        <v>46</v>
      </c>
      <c r="F1577" s="2">
        <v>32441</v>
      </c>
      <c r="G1577" s="2">
        <v>9.6940086660000002</v>
      </c>
      <c r="H1577" s="2">
        <v>1.0216380000000001E-3</v>
      </c>
      <c r="I1577" s="2" t="s">
        <v>47881</v>
      </c>
      <c r="J1577" s="2" t="s">
        <v>47882</v>
      </c>
      <c r="K1577" s="2">
        <v>1.2944396E-2</v>
      </c>
      <c r="L1577" s="2" t="s">
        <v>848</v>
      </c>
      <c r="M1577" s="4" t="s">
        <v>9369</v>
      </c>
    </row>
    <row r="1578" spans="1:13">
      <c r="A1578" s="2">
        <v>43421</v>
      </c>
      <c r="B1578" s="2" t="s">
        <v>47883</v>
      </c>
      <c r="C1578" s="2">
        <v>4</v>
      </c>
      <c r="D1578" s="2">
        <v>291</v>
      </c>
      <c r="E1578" s="2">
        <v>46</v>
      </c>
      <c r="F1578" s="2">
        <v>32441</v>
      </c>
      <c r="G1578" s="2">
        <v>9.6940086660000002</v>
      </c>
      <c r="H1578" s="2">
        <v>1.0216380000000001E-3</v>
      </c>
      <c r="I1578" s="2" t="s">
        <v>47884</v>
      </c>
      <c r="J1578" s="2" t="s">
        <v>47885</v>
      </c>
      <c r="K1578" s="2">
        <v>1.2944396E-2</v>
      </c>
      <c r="L1578" s="2" t="s">
        <v>848</v>
      </c>
      <c r="M1578" s="4" t="s">
        <v>47886</v>
      </c>
    </row>
    <row r="1579" spans="1:13">
      <c r="A1579" s="2">
        <v>1907</v>
      </c>
      <c r="B1579" s="2" t="s">
        <v>47887</v>
      </c>
      <c r="C1579" s="2">
        <v>5</v>
      </c>
      <c r="D1579" s="2">
        <v>291</v>
      </c>
      <c r="E1579" s="2">
        <v>81</v>
      </c>
      <c r="F1579" s="2">
        <v>32441</v>
      </c>
      <c r="G1579" s="2">
        <v>6.8815493620000003</v>
      </c>
      <c r="H1579" s="2">
        <v>1.0387440000000001E-3</v>
      </c>
      <c r="I1579" s="2" t="s">
        <v>47502</v>
      </c>
      <c r="J1579" s="2" t="s">
        <v>47503</v>
      </c>
      <c r="K1579" s="2">
        <v>1.3105004E-2</v>
      </c>
      <c r="L1579" s="2" t="s">
        <v>848</v>
      </c>
      <c r="M1579" s="4" t="s">
        <v>47888</v>
      </c>
    </row>
    <row r="1580" spans="1:13">
      <c r="A1580" s="2">
        <v>5034</v>
      </c>
      <c r="B1580" s="2" t="s">
        <v>42905</v>
      </c>
      <c r="C1580" s="2">
        <v>5</v>
      </c>
      <c r="D1580" s="2">
        <v>291</v>
      </c>
      <c r="E1580" s="2">
        <v>81</v>
      </c>
      <c r="F1580" s="2">
        <v>32441</v>
      </c>
      <c r="G1580" s="2">
        <v>6.8815493620000003</v>
      </c>
      <c r="H1580" s="2">
        <v>1.0387440000000001E-3</v>
      </c>
      <c r="I1580" s="2" t="s">
        <v>47889</v>
      </c>
      <c r="J1580" s="2" t="s">
        <v>47890</v>
      </c>
      <c r="K1580" s="2">
        <v>1.3105004E-2</v>
      </c>
      <c r="L1580" s="2" t="s">
        <v>848</v>
      </c>
      <c r="M1580" s="4" t="s">
        <v>42908</v>
      </c>
    </row>
    <row r="1581" spans="1:13">
      <c r="A1581" s="2">
        <v>4261</v>
      </c>
      <c r="B1581" s="2" t="s">
        <v>47891</v>
      </c>
      <c r="C1581" s="2">
        <v>3</v>
      </c>
      <c r="D1581" s="2">
        <v>291</v>
      </c>
      <c r="E1581" s="2">
        <v>20</v>
      </c>
      <c r="F1581" s="2">
        <v>32441</v>
      </c>
      <c r="G1581" s="2">
        <v>16.72216495</v>
      </c>
      <c r="H1581" s="2">
        <v>1.0795620000000001E-3</v>
      </c>
      <c r="I1581" s="2" t="s">
        <v>47892</v>
      </c>
      <c r="J1581" s="2" t="s">
        <v>47893</v>
      </c>
      <c r="K1581" s="2">
        <v>1.3476301E-2</v>
      </c>
      <c r="L1581" s="2" t="s">
        <v>848</v>
      </c>
      <c r="M1581" s="4" t="s">
        <v>47894</v>
      </c>
    </row>
    <row r="1582" spans="1:13">
      <c r="A1582" s="2">
        <v>887</v>
      </c>
      <c r="B1582" s="2" t="s">
        <v>47895</v>
      </c>
      <c r="C1582" s="2">
        <v>3</v>
      </c>
      <c r="D1582" s="2">
        <v>291</v>
      </c>
      <c r="E1582" s="2">
        <v>20</v>
      </c>
      <c r="F1582" s="2">
        <v>32441</v>
      </c>
      <c r="G1582" s="2">
        <v>16.72216495</v>
      </c>
      <c r="H1582" s="2">
        <v>1.0795620000000001E-3</v>
      </c>
      <c r="I1582" s="2" t="s">
        <v>47753</v>
      </c>
      <c r="J1582" s="2" t="s">
        <v>47754</v>
      </c>
      <c r="K1582" s="2">
        <v>1.3476301E-2</v>
      </c>
      <c r="L1582" s="2" t="s">
        <v>848</v>
      </c>
      <c r="M1582" s="4" t="s">
        <v>47896</v>
      </c>
    </row>
    <row r="1583" spans="1:13">
      <c r="A1583" s="2">
        <v>1018</v>
      </c>
      <c r="B1583" s="2" t="s">
        <v>47897</v>
      </c>
      <c r="C1583" s="2">
        <v>3</v>
      </c>
      <c r="D1583" s="2">
        <v>291</v>
      </c>
      <c r="E1583" s="2">
        <v>20</v>
      </c>
      <c r="F1583" s="2">
        <v>32441</v>
      </c>
      <c r="G1583" s="2">
        <v>16.72216495</v>
      </c>
      <c r="H1583" s="2">
        <v>1.0795620000000001E-3</v>
      </c>
      <c r="I1583" s="2" t="s">
        <v>47898</v>
      </c>
      <c r="J1583" s="2" t="s">
        <v>47899</v>
      </c>
      <c r="K1583" s="2">
        <v>1.3476301E-2</v>
      </c>
      <c r="L1583" s="2" t="s">
        <v>848</v>
      </c>
      <c r="M1583" s="4" t="s">
        <v>47900</v>
      </c>
    </row>
    <row r="1584" spans="1:13">
      <c r="A1584" s="2">
        <v>4189</v>
      </c>
      <c r="B1584" s="2" t="s">
        <v>47901</v>
      </c>
      <c r="C1584" s="2">
        <v>3</v>
      </c>
      <c r="D1584" s="2">
        <v>291</v>
      </c>
      <c r="E1584" s="2">
        <v>20</v>
      </c>
      <c r="F1584" s="2">
        <v>32441</v>
      </c>
      <c r="G1584" s="2">
        <v>16.72216495</v>
      </c>
      <c r="H1584" s="2">
        <v>1.0795620000000001E-3</v>
      </c>
      <c r="I1584" s="2" t="s">
        <v>47902</v>
      </c>
      <c r="J1584" s="2" t="s">
        <v>47903</v>
      </c>
      <c r="K1584" s="2">
        <v>1.3476301E-2</v>
      </c>
      <c r="L1584" s="2" t="s">
        <v>848</v>
      </c>
      <c r="M1584" s="4" t="s">
        <v>47904</v>
      </c>
    </row>
    <row r="1585" spans="1:13">
      <c r="A1585" s="2">
        <v>4286</v>
      </c>
      <c r="B1585" s="2" t="s">
        <v>29876</v>
      </c>
      <c r="C1585" s="2">
        <v>10</v>
      </c>
      <c r="D1585" s="2">
        <v>291</v>
      </c>
      <c r="E1585" s="2">
        <v>333</v>
      </c>
      <c r="F1585" s="2">
        <v>32441</v>
      </c>
      <c r="G1585" s="2">
        <v>3.34778077</v>
      </c>
      <c r="H1585" s="2">
        <v>1.0791900000000001E-3</v>
      </c>
      <c r="I1585" s="2" t="s">
        <v>47905</v>
      </c>
      <c r="J1585" s="2" t="s">
        <v>47906</v>
      </c>
      <c r="K1585" s="2">
        <v>1.3476301E-2</v>
      </c>
      <c r="L1585" s="2" t="s">
        <v>848</v>
      </c>
      <c r="M1585" s="4" t="s">
        <v>29879</v>
      </c>
    </row>
    <row r="1586" spans="1:13">
      <c r="A1586" s="2">
        <v>2028</v>
      </c>
      <c r="B1586" s="2" t="s">
        <v>10523</v>
      </c>
      <c r="C1586" s="2">
        <v>5</v>
      </c>
      <c r="D1586" s="2">
        <v>291</v>
      </c>
      <c r="E1586" s="2">
        <v>83</v>
      </c>
      <c r="F1586" s="2">
        <v>32441</v>
      </c>
      <c r="G1586" s="2">
        <v>6.7157288949999998</v>
      </c>
      <c r="H1586" s="2">
        <v>1.151787E-3</v>
      </c>
      <c r="I1586" s="2" t="s">
        <v>47640</v>
      </c>
      <c r="J1586" s="2" t="s">
        <v>47641</v>
      </c>
      <c r="K1586" s="2">
        <v>1.4347632000000001E-2</v>
      </c>
      <c r="L1586" s="2" t="s">
        <v>848</v>
      </c>
      <c r="M1586" s="4" t="s">
        <v>10526</v>
      </c>
    </row>
    <row r="1587" spans="1:13">
      <c r="A1587" s="2">
        <v>2571</v>
      </c>
      <c r="B1587" s="2" t="s">
        <v>47907</v>
      </c>
      <c r="C1587" s="2">
        <v>7</v>
      </c>
      <c r="D1587" s="2">
        <v>291</v>
      </c>
      <c r="E1587" s="2">
        <v>172</v>
      </c>
      <c r="F1587" s="2">
        <v>32441</v>
      </c>
      <c r="G1587" s="2">
        <v>4.5370214979999997</v>
      </c>
      <c r="H1587" s="2">
        <v>1.1556839999999999E-3</v>
      </c>
      <c r="I1587" s="2" t="s">
        <v>47908</v>
      </c>
      <c r="J1587" s="2" t="s">
        <v>47909</v>
      </c>
      <c r="K1587" s="2">
        <v>1.4365931E-2</v>
      </c>
      <c r="L1587" s="2" t="s">
        <v>848</v>
      </c>
      <c r="M1587" s="4" t="s">
        <v>47910</v>
      </c>
    </row>
    <row r="1588" spans="1:13">
      <c r="A1588" s="2">
        <v>932</v>
      </c>
      <c r="B1588" s="2" t="s">
        <v>47911</v>
      </c>
      <c r="C1588" s="2">
        <v>6</v>
      </c>
      <c r="D1588" s="2">
        <v>291</v>
      </c>
      <c r="E1588" s="2">
        <v>125</v>
      </c>
      <c r="F1588" s="2">
        <v>32441</v>
      </c>
      <c r="G1588" s="2">
        <v>5.3510927840000004</v>
      </c>
      <c r="H1588" s="2">
        <v>1.1583780000000001E-3</v>
      </c>
      <c r="I1588" s="2" t="s">
        <v>47208</v>
      </c>
      <c r="J1588" s="2" t="s">
        <v>47209</v>
      </c>
      <c r="K1588" s="2">
        <v>1.4369231E-2</v>
      </c>
      <c r="L1588" s="2" t="s">
        <v>848</v>
      </c>
      <c r="M1588" s="4" t="s">
        <v>47912</v>
      </c>
    </row>
    <row r="1589" spans="1:13">
      <c r="A1589" s="2">
        <v>37191</v>
      </c>
      <c r="B1589" s="2" t="s">
        <v>8871</v>
      </c>
      <c r="C1589" s="2">
        <v>14</v>
      </c>
      <c r="D1589" s="2">
        <v>291</v>
      </c>
      <c r="E1589" s="2">
        <v>592</v>
      </c>
      <c r="F1589" s="2">
        <v>32441</v>
      </c>
      <c r="G1589" s="2">
        <v>2.6363773570000002</v>
      </c>
      <c r="H1589" s="2">
        <v>1.1648470000000001E-3</v>
      </c>
      <c r="I1589" s="2" t="s">
        <v>47913</v>
      </c>
      <c r="J1589" s="2" t="s">
        <v>47914</v>
      </c>
      <c r="K1589" s="2">
        <v>1.4419243E-2</v>
      </c>
      <c r="L1589" s="2" t="s">
        <v>848</v>
      </c>
      <c r="M1589" s="4" t="s">
        <v>8874</v>
      </c>
    </row>
    <row r="1590" spans="1:13">
      <c r="A1590" s="2">
        <v>2114</v>
      </c>
      <c r="B1590" s="2" t="s">
        <v>47915</v>
      </c>
      <c r="C1590" s="2">
        <v>4</v>
      </c>
      <c r="D1590" s="2">
        <v>291</v>
      </c>
      <c r="E1590" s="2">
        <v>48</v>
      </c>
      <c r="F1590" s="2">
        <v>32441</v>
      </c>
      <c r="G1590" s="2">
        <v>9.2900916379999998</v>
      </c>
      <c r="H1590" s="2">
        <v>1.184395E-3</v>
      </c>
      <c r="I1590" s="2" t="s">
        <v>47916</v>
      </c>
      <c r="J1590" s="2" t="s">
        <v>47917</v>
      </c>
      <c r="K1590" s="2">
        <v>1.4569779E-2</v>
      </c>
      <c r="L1590" s="2" t="s">
        <v>848</v>
      </c>
      <c r="M1590" s="4" t="s">
        <v>47918</v>
      </c>
    </row>
    <row r="1591" spans="1:13">
      <c r="A1591" s="2">
        <v>2626</v>
      </c>
      <c r="B1591" s="2" t="s">
        <v>8659</v>
      </c>
      <c r="C1591" s="2">
        <v>19</v>
      </c>
      <c r="D1591" s="2">
        <v>291</v>
      </c>
      <c r="E1591" s="2">
        <v>950</v>
      </c>
      <c r="F1591" s="2">
        <v>32441</v>
      </c>
      <c r="G1591" s="2">
        <v>2.2296219929999999</v>
      </c>
      <c r="H1591" s="2">
        <v>1.18274E-3</v>
      </c>
      <c r="I1591" s="2" t="s">
        <v>47919</v>
      </c>
      <c r="J1591" s="2" t="s">
        <v>47920</v>
      </c>
      <c r="K1591" s="2">
        <v>1.4569779E-2</v>
      </c>
      <c r="L1591" s="2" t="s">
        <v>848</v>
      </c>
      <c r="M1591" s="4" t="s">
        <v>8662</v>
      </c>
    </row>
    <row r="1592" spans="1:13">
      <c r="A1592" s="2">
        <v>2713</v>
      </c>
      <c r="B1592" s="2" t="s">
        <v>7923</v>
      </c>
      <c r="C1592" s="2">
        <v>18</v>
      </c>
      <c r="D1592" s="2">
        <v>291</v>
      </c>
      <c r="E1592" s="2">
        <v>876</v>
      </c>
      <c r="F1592" s="2">
        <v>32441</v>
      </c>
      <c r="G1592" s="2">
        <v>2.2907075269999999</v>
      </c>
      <c r="H1592" s="2">
        <v>1.182406E-3</v>
      </c>
      <c r="I1592" s="2" t="s">
        <v>47921</v>
      </c>
      <c r="J1592" s="2" t="s">
        <v>47922</v>
      </c>
      <c r="K1592" s="2">
        <v>1.4569779E-2</v>
      </c>
      <c r="L1592" s="2" t="s">
        <v>848</v>
      </c>
      <c r="M1592" s="4" t="s">
        <v>7926</v>
      </c>
    </row>
    <row r="1593" spans="1:13">
      <c r="A1593" s="2">
        <v>5391</v>
      </c>
      <c r="B1593" s="2" t="s">
        <v>10230</v>
      </c>
      <c r="C1593" s="2">
        <v>7</v>
      </c>
      <c r="D1593" s="2">
        <v>291</v>
      </c>
      <c r="E1593" s="2">
        <v>173</v>
      </c>
      <c r="F1593" s="2">
        <v>32441</v>
      </c>
      <c r="G1593" s="2">
        <v>4.5107959400000004</v>
      </c>
      <c r="H1593" s="2">
        <v>1.1934890000000001E-3</v>
      </c>
      <c r="I1593" s="2" t="s">
        <v>47923</v>
      </c>
      <c r="J1593" s="2" t="s">
        <v>47924</v>
      </c>
      <c r="K1593" s="2">
        <v>1.465119E-2</v>
      </c>
      <c r="L1593" s="2" t="s">
        <v>848</v>
      </c>
      <c r="M1593" s="4" t="s">
        <v>10233</v>
      </c>
    </row>
    <row r="1594" spans="1:13">
      <c r="A1594" s="2">
        <v>2811</v>
      </c>
      <c r="B1594" s="2" t="s">
        <v>11524</v>
      </c>
      <c r="C1594" s="2">
        <v>6</v>
      </c>
      <c r="D1594" s="2">
        <v>291</v>
      </c>
      <c r="E1594" s="2">
        <v>126</v>
      </c>
      <c r="F1594" s="2">
        <v>32441</v>
      </c>
      <c r="G1594" s="2">
        <v>5.3086237929999998</v>
      </c>
      <c r="H1594" s="2">
        <v>1.2046450000000001E-3</v>
      </c>
      <c r="I1594" s="2" t="s">
        <v>47925</v>
      </c>
      <c r="J1594" s="2" t="s">
        <v>47926</v>
      </c>
      <c r="K1594" s="2">
        <v>1.4757529E-2</v>
      </c>
      <c r="L1594" s="2" t="s">
        <v>848</v>
      </c>
      <c r="M1594" s="4" t="s">
        <v>11527</v>
      </c>
    </row>
    <row r="1595" spans="1:13">
      <c r="A1595" s="2">
        <v>5027</v>
      </c>
      <c r="B1595" s="2" t="s">
        <v>47927</v>
      </c>
      <c r="C1595" s="2">
        <v>15</v>
      </c>
      <c r="D1595" s="2">
        <v>291</v>
      </c>
      <c r="E1595" s="2">
        <v>663</v>
      </c>
      <c r="F1595" s="2">
        <v>32441</v>
      </c>
      <c r="G1595" s="2">
        <v>2.522196825</v>
      </c>
      <c r="H1595" s="2">
        <v>1.207215E-3</v>
      </c>
      <c r="I1595" s="2" t="s">
        <v>47928</v>
      </c>
      <c r="J1595" s="2" t="s">
        <v>47929</v>
      </c>
      <c r="K1595" s="2">
        <v>1.4758454000000001E-2</v>
      </c>
      <c r="L1595" s="2" t="s">
        <v>848</v>
      </c>
      <c r="M1595" s="4" t="s">
        <v>47930</v>
      </c>
    </row>
    <row r="1596" spans="1:13">
      <c r="A1596" s="2">
        <v>4698</v>
      </c>
      <c r="B1596" s="2" t="s">
        <v>8560</v>
      </c>
      <c r="C1596" s="2">
        <v>23</v>
      </c>
      <c r="D1596" s="2">
        <v>291</v>
      </c>
      <c r="E1596" s="2">
        <v>1259</v>
      </c>
      <c r="F1596" s="2">
        <v>32441</v>
      </c>
      <c r="G1596" s="2">
        <v>2.036588794</v>
      </c>
      <c r="H1596" s="2">
        <v>1.2168999999999999E-3</v>
      </c>
      <c r="I1596" s="2" t="s">
        <v>47931</v>
      </c>
      <c r="J1596" s="2" t="s">
        <v>47932</v>
      </c>
      <c r="K1596" s="2">
        <v>1.4846181E-2</v>
      </c>
      <c r="L1596" s="2" t="s">
        <v>848</v>
      </c>
      <c r="M1596" s="4" t="s">
        <v>8563</v>
      </c>
    </row>
    <row r="1597" spans="1:13">
      <c r="A1597" s="2">
        <v>18171</v>
      </c>
      <c r="B1597" s="2" t="s">
        <v>47933</v>
      </c>
      <c r="C1597" s="2">
        <v>19</v>
      </c>
      <c r="D1597" s="2">
        <v>291</v>
      </c>
      <c r="E1597" s="2">
        <v>953</v>
      </c>
      <c r="F1597" s="2">
        <v>32441</v>
      </c>
      <c r="G1597" s="2">
        <v>2.2226032459999998</v>
      </c>
      <c r="H1597" s="2">
        <v>1.225521E-3</v>
      </c>
      <c r="I1597" s="2" t="s">
        <v>47934</v>
      </c>
      <c r="J1597" s="2" t="s">
        <v>47935</v>
      </c>
      <c r="K1597" s="2">
        <v>1.4920597000000001E-2</v>
      </c>
      <c r="L1597" s="2" t="s">
        <v>848</v>
      </c>
      <c r="M1597" s="4" t="s">
        <v>47936</v>
      </c>
    </row>
    <row r="1598" spans="1:13">
      <c r="A1598" s="2">
        <v>17531</v>
      </c>
      <c r="B1598" s="2" t="s">
        <v>47937</v>
      </c>
      <c r="C1598" s="2">
        <v>7</v>
      </c>
      <c r="D1598" s="2">
        <v>291</v>
      </c>
      <c r="E1598" s="2">
        <v>175</v>
      </c>
      <c r="F1598" s="2">
        <v>32441</v>
      </c>
      <c r="G1598" s="2">
        <v>4.4592439859999997</v>
      </c>
      <c r="H1598" s="2">
        <v>1.2720019999999999E-3</v>
      </c>
      <c r="I1598" s="2" t="s">
        <v>47938</v>
      </c>
      <c r="J1598" s="2" t="s">
        <v>47939</v>
      </c>
      <c r="K1598" s="2">
        <v>1.5425591000000001E-2</v>
      </c>
      <c r="L1598" s="2" t="s">
        <v>848</v>
      </c>
      <c r="M1598" s="4" t="s">
        <v>47940</v>
      </c>
    </row>
    <row r="1599" spans="1:13">
      <c r="A1599" s="2">
        <v>2412</v>
      </c>
      <c r="B1599" s="2" t="s">
        <v>47941</v>
      </c>
      <c r="C1599" s="2">
        <v>4</v>
      </c>
      <c r="D1599" s="2">
        <v>291</v>
      </c>
      <c r="E1599" s="2">
        <v>49</v>
      </c>
      <c r="F1599" s="2">
        <v>32441</v>
      </c>
      <c r="G1599" s="2">
        <v>9.1004979309999996</v>
      </c>
      <c r="H1599" s="2">
        <v>1.272214E-3</v>
      </c>
      <c r="I1599" s="2" t="s">
        <v>47942</v>
      </c>
      <c r="J1599" s="2" t="s">
        <v>47943</v>
      </c>
      <c r="K1599" s="2">
        <v>1.5425591000000001E-2</v>
      </c>
      <c r="L1599" s="2" t="s">
        <v>848</v>
      </c>
      <c r="M1599" s="4" t="s">
        <v>47944</v>
      </c>
    </row>
    <row r="1600" spans="1:13">
      <c r="A1600" s="2">
        <v>14101</v>
      </c>
      <c r="B1600" s="2" t="s">
        <v>10966</v>
      </c>
      <c r="C1600" s="2">
        <v>6</v>
      </c>
      <c r="D1600" s="2">
        <v>291</v>
      </c>
      <c r="E1600" s="2">
        <v>129</v>
      </c>
      <c r="F1600" s="2">
        <v>32441</v>
      </c>
      <c r="G1600" s="2">
        <v>5.1851674259999996</v>
      </c>
      <c r="H1600" s="2">
        <v>1.351966E-3</v>
      </c>
      <c r="I1600" s="2" t="s">
        <v>47686</v>
      </c>
      <c r="J1600" s="2" t="s">
        <v>47687</v>
      </c>
      <c r="K1600" s="2">
        <v>1.6325677E-2</v>
      </c>
      <c r="L1600" s="2" t="s">
        <v>848</v>
      </c>
      <c r="M1600" s="4" t="s">
        <v>10967</v>
      </c>
    </row>
    <row r="1601" spans="1:13">
      <c r="A1601" s="2">
        <v>5654</v>
      </c>
      <c r="B1601" s="2" t="s">
        <v>47945</v>
      </c>
      <c r="C1601" s="2">
        <v>6</v>
      </c>
      <c r="D1601" s="2">
        <v>291</v>
      </c>
      <c r="E1601" s="2">
        <v>129</v>
      </c>
      <c r="F1601" s="2">
        <v>32441</v>
      </c>
      <c r="G1601" s="2">
        <v>5.1851674259999996</v>
      </c>
      <c r="H1601" s="2">
        <v>1.351966E-3</v>
      </c>
      <c r="I1601" s="2" t="s">
        <v>47946</v>
      </c>
      <c r="J1601" s="2" t="s">
        <v>47947</v>
      </c>
      <c r="K1601" s="2">
        <v>1.6325677E-2</v>
      </c>
      <c r="L1601" s="2" t="s">
        <v>848</v>
      </c>
      <c r="M1601" s="4" t="s">
        <v>47948</v>
      </c>
    </row>
    <row r="1602" spans="1:13">
      <c r="A1602" s="2">
        <v>1057</v>
      </c>
      <c r="B1602" s="2" t="s">
        <v>47949</v>
      </c>
      <c r="C1602" s="2">
        <v>6</v>
      </c>
      <c r="D1602" s="2">
        <v>291</v>
      </c>
      <c r="E1602" s="2">
        <v>131</v>
      </c>
      <c r="F1602" s="2">
        <v>32441</v>
      </c>
      <c r="G1602" s="2">
        <v>5.106004564</v>
      </c>
      <c r="H1602" s="2">
        <v>1.4575600000000001E-3</v>
      </c>
      <c r="I1602" s="2" t="s">
        <v>47950</v>
      </c>
      <c r="J1602" s="2" t="s">
        <v>47951</v>
      </c>
      <c r="K1602" s="2">
        <v>1.7538858000000001E-2</v>
      </c>
      <c r="L1602" s="2" t="s">
        <v>848</v>
      </c>
      <c r="M1602" s="4" t="s">
        <v>47952</v>
      </c>
    </row>
    <row r="1603" spans="1:13">
      <c r="A1603" s="2">
        <v>3105</v>
      </c>
      <c r="B1603" s="2" t="s">
        <v>11000</v>
      </c>
      <c r="C1603" s="2">
        <v>4</v>
      </c>
      <c r="D1603" s="2">
        <v>291</v>
      </c>
      <c r="E1603" s="2">
        <v>51</v>
      </c>
      <c r="F1603" s="2">
        <v>32441</v>
      </c>
      <c r="G1603" s="2">
        <v>8.7436156589999996</v>
      </c>
      <c r="H1603" s="2">
        <v>1.461324E-3</v>
      </c>
      <c r="I1603" s="2" t="s">
        <v>47744</v>
      </c>
      <c r="J1603" s="2" t="s">
        <v>47745</v>
      </c>
      <c r="K1603" s="2">
        <v>1.7538858000000001E-2</v>
      </c>
      <c r="L1603" s="2" t="s">
        <v>848</v>
      </c>
      <c r="M1603" s="4" t="s">
        <v>11001</v>
      </c>
    </row>
    <row r="1604" spans="1:13">
      <c r="A1604" s="2">
        <v>42291</v>
      </c>
      <c r="B1604" s="2" t="s">
        <v>29824</v>
      </c>
      <c r="C1604" s="2">
        <v>8</v>
      </c>
      <c r="D1604" s="2">
        <v>291</v>
      </c>
      <c r="E1604" s="2">
        <v>232</v>
      </c>
      <c r="F1604" s="2">
        <v>32441</v>
      </c>
      <c r="G1604" s="2">
        <v>3.8441758500000001</v>
      </c>
      <c r="H1604" s="2">
        <v>1.459735E-3</v>
      </c>
      <c r="I1604" s="2" t="s">
        <v>47953</v>
      </c>
      <c r="J1604" s="2" t="s">
        <v>47954</v>
      </c>
      <c r="K1604" s="2">
        <v>1.7538858000000001E-2</v>
      </c>
      <c r="L1604" s="2" t="s">
        <v>848</v>
      </c>
      <c r="M1604" s="4" t="s">
        <v>29827</v>
      </c>
    </row>
    <row r="1605" spans="1:13">
      <c r="A1605" s="2">
        <v>3831</v>
      </c>
      <c r="B1605" s="2" t="s">
        <v>11302</v>
      </c>
      <c r="C1605" s="2">
        <v>5</v>
      </c>
      <c r="D1605" s="2">
        <v>291</v>
      </c>
      <c r="E1605" s="2">
        <v>88</v>
      </c>
      <c r="F1605" s="2">
        <v>32441</v>
      </c>
      <c r="G1605" s="2">
        <v>6.33415339</v>
      </c>
      <c r="H1605" s="2">
        <v>1.474059E-3</v>
      </c>
      <c r="I1605" s="2" t="s">
        <v>47955</v>
      </c>
      <c r="J1605" s="2" t="s">
        <v>47956</v>
      </c>
      <c r="K1605" s="2">
        <v>1.7584695000000001E-2</v>
      </c>
      <c r="L1605" s="2" t="s">
        <v>848</v>
      </c>
      <c r="M1605" s="4" t="s">
        <v>11305</v>
      </c>
    </row>
    <row r="1606" spans="1:13">
      <c r="A1606" s="2">
        <v>1809</v>
      </c>
      <c r="B1606" s="2" t="s">
        <v>47957</v>
      </c>
      <c r="C1606" s="2">
        <v>5</v>
      </c>
      <c r="D1606" s="2">
        <v>291</v>
      </c>
      <c r="E1606" s="2">
        <v>88</v>
      </c>
      <c r="F1606" s="2">
        <v>32441</v>
      </c>
      <c r="G1606" s="2">
        <v>6.33415339</v>
      </c>
      <c r="H1606" s="2">
        <v>1.474059E-3</v>
      </c>
      <c r="I1606" s="2" t="s">
        <v>47958</v>
      </c>
      <c r="J1606" s="2" t="s">
        <v>47959</v>
      </c>
      <c r="K1606" s="2">
        <v>1.7584695000000001E-2</v>
      </c>
      <c r="L1606" s="2" t="s">
        <v>848</v>
      </c>
      <c r="M1606" s="4" t="s">
        <v>47960</v>
      </c>
    </row>
    <row r="1607" spans="1:13">
      <c r="A1607" s="2">
        <v>5363</v>
      </c>
      <c r="B1607" s="2" t="s">
        <v>30151</v>
      </c>
      <c r="C1607" s="2">
        <v>5</v>
      </c>
      <c r="D1607" s="2">
        <v>291</v>
      </c>
      <c r="E1607" s="2">
        <v>88</v>
      </c>
      <c r="F1607" s="2">
        <v>32441</v>
      </c>
      <c r="G1607" s="2">
        <v>6.33415339</v>
      </c>
      <c r="H1607" s="2">
        <v>1.474059E-3</v>
      </c>
      <c r="I1607" s="2" t="s">
        <v>47961</v>
      </c>
      <c r="J1607" s="2" t="s">
        <v>47962</v>
      </c>
      <c r="K1607" s="2">
        <v>1.7584695000000001E-2</v>
      </c>
      <c r="L1607" s="2" t="s">
        <v>848</v>
      </c>
      <c r="M1607" s="4" t="s">
        <v>30152</v>
      </c>
    </row>
    <row r="1608" spans="1:13">
      <c r="A1608" s="2">
        <v>2070</v>
      </c>
      <c r="B1608" s="2" t="s">
        <v>10777</v>
      </c>
      <c r="C1608" s="2">
        <v>13</v>
      </c>
      <c r="D1608" s="2">
        <v>291</v>
      </c>
      <c r="E1608" s="2">
        <v>541</v>
      </c>
      <c r="F1608" s="2">
        <v>32441</v>
      </c>
      <c r="G1608" s="2">
        <v>2.6788434300000001</v>
      </c>
      <c r="H1608" s="2">
        <v>1.5079519999999999E-3</v>
      </c>
      <c r="I1608" s="2" t="s">
        <v>47963</v>
      </c>
      <c r="J1608" s="2" t="s">
        <v>47964</v>
      </c>
      <c r="K1608" s="2">
        <v>1.7952823999999999E-2</v>
      </c>
      <c r="L1608" s="2" t="s">
        <v>848</v>
      </c>
      <c r="M1608" s="4" t="s">
        <v>10780</v>
      </c>
    </row>
    <row r="1609" spans="1:13">
      <c r="A1609" s="2">
        <v>890</v>
      </c>
      <c r="B1609" s="2" t="s">
        <v>47965</v>
      </c>
      <c r="C1609" s="2">
        <v>3</v>
      </c>
      <c r="D1609" s="2">
        <v>291</v>
      </c>
      <c r="E1609" s="2">
        <v>23</v>
      </c>
      <c r="F1609" s="2">
        <v>32441</v>
      </c>
      <c r="G1609" s="2">
        <v>14.541013</v>
      </c>
      <c r="H1609" s="2">
        <v>1.554005E-3</v>
      </c>
      <c r="I1609" s="2" t="s">
        <v>47966</v>
      </c>
      <c r="J1609" s="2" t="s">
        <v>47967</v>
      </c>
      <c r="K1609" s="2">
        <v>1.8316833000000001E-2</v>
      </c>
      <c r="L1609" s="2" t="s">
        <v>848</v>
      </c>
      <c r="M1609" s="4" t="s">
        <v>47968</v>
      </c>
    </row>
    <row r="1610" spans="1:13">
      <c r="A1610" s="2">
        <v>2209</v>
      </c>
      <c r="B1610" s="2" t="s">
        <v>47969</v>
      </c>
      <c r="C1610" s="2">
        <v>3</v>
      </c>
      <c r="D1610" s="2">
        <v>291</v>
      </c>
      <c r="E1610" s="2">
        <v>23</v>
      </c>
      <c r="F1610" s="2">
        <v>32441</v>
      </c>
      <c r="G1610" s="2">
        <v>14.541013</v>
      </c>
      <c r="H1610" s="2">
        <v>1.554005E-3</v>
      </c>
      <c r="I1610" s="2" t="s">
        <v>47970</v>
      </c>
      <c r="J1610" s="2" t="s">
        <v>47971</v>
      </c>
      <c r="K1610" s="2">
        <v>1.8316833000000001E-2</v>
      </c>
      <c r="L1610" s="2" t="s">
        <v>848</v>
      </c>
      <c r="M1610" s="4" t="s">
        <v>47972</v>
      </c>
    </row>
    <row r="1611" spans="1:13">
      <c r="A1611" s="2">
        <v>29571</v>
      </c>
      <c r="B1611" s="2" t="s">
        <v>47973</v>
      </c>
      <c r="C1611" s="2">
        <v>3</v>
      </c>
      <c r="D1611" s="2">
        <v>291</v>
      </c>
      <c r="E1611" s="2">
        <v>23</v>
      </c>
      <c r="F1611" s="2">
        <v>32441</v>
      </c>
      <c r="G1611" s="2">
        <v>14.541013</v>
      </c>
      <c r="H1611" s="2">
        <v>1.554005E-3</v>
      </c>
      <c r="I1611" s="2" t="s">
        <v>47974</v>
      </c>
      <c r="J1611" s="2" t="s">
        <v>47975</v>
      </c>
      <c r="K1611" s="2">
        <v>1.8316833000000001E-2</v>
      </c>
      <c r="L1611" s="2" t="s">
        <v>848</v>
      </c>
      <c r="M1611" s="4" t="s">
        <v>47976</v>
      </c>
    </row>
    <row r="1612" spans="1:13">
      <c r="A1612" s="2">
        <v>4835</v>
      </c>
      <c r="B1612" s="2" t="s">
        <v>47977</v>
      </c>
      <c r="C1612" s="2">
        <v>3</v>
      </c>
      <c r="D1612" s="2">
        <v>291</v>
      </c>
      <c r="E1612" s="2">
        <v>23</v>
      </c>
      <c r="F1612" s="2">
        <v>32441</v>
      </c>
      <c r="G1612" s="2">
        <v>14.541013</v>
      </c>
      <c r="H1612" s="2">
        <v>1.554005E-3</v>
      </c>
      <c r="I1612" s="2" t="s">
        <v>47978</v>
      </c>
      <c r="J1612" s="2" t="s">
        <v>47979</v>
      </c>
      <c r="K1612" s="2">
        <v>1.8316833000000001E-2</v>
      </c>
      <c r="L1612" s="2" t="s">
        <v>848</v>
      </c>
      <c r="M1612" s="4" t="s">
        <v>47980</v>
      </c>
    </row>
    <row r="1613" spans="1:13">
      <c r="A1613" s="2">
        <v>5032</v>
      </c>
      <c r="B1613" s="2" t="s">
        <v>47981</v>
      </c>
      <c r="C1613" s="2">
        <v>3</v>
      </c>
      <c r="D1613" s="2">
        <v>291</v>
      </c>
      <c r="E1613" s="2">
        <v>23</v>
      </c>
      <c r="F1613" s="2">
        <v>32441</v>
      </c>
      <c r="G1613" s="2">
        <v>14.541013</v>
      </c>
      <c r="H1613" s="2">
        <v>1.554005E-3</v>
      </c>
      <c r="I1613" s="2" t="s">
        <v>47757</v>
      </c>
      <c r="J1613" s="2" t="s">
        <v>47758</v>
      </c>
      <c r="K1613" s="2">
        <v>1.8316833000000001E-2</v>
      </c>
      <c r="L1613" s="2" t="s">
        <v>848</v>
      </c>
      <c r="M1613" s="4" t="s">
        <v>47982</v>
      </c>
    </row>
    <row r="1614" spans="1:13">
      <c r="A1614" s="2">
        <v>625</v>
      </c>
      <c r="B1614" s="2" t="s">
        <v>9035</v>
      </c>
      <c r="C1614" s="2">
        <v>6</v>
      </c>
      <c r="D1614" s="2">
        <v>291</v>
      </c>
      <c r="E1614" s="2">
        <v>133</v>
      </c>
      <c r="F1614" s="2">
        <v>32441</v>
      </c>
      <c r="G1614" s="2">
        <v>5.0292225410000002</v>
      </c>
      <c r="H1614" s="2">
        <v>1.569324E-3</v>
      </c>
      <c r="I1614" s="2" t="s">
        <v>47983</v>
      </c>
      <c r="J1614" s="2" t="s">
        <v>47984</v>
      </c>
      <c r="K1614" s="2">
        <v>1.8460614E-2</v>
      </c>
      <c r="L1614" s="2" t="s">
        <v>848</v>
      </c>
      <c r="M1614" s="4" t="s">
        <v>9038</v>
      </c>
    </row>
    <row r="1615" spans="1:13">
      <c r="A1615" s="2">
        <v>2011</v>
      </c>
      <c r="B1615" s="2" t="s">
        <v>8119</v>
      </c>
      <c r="C1615" s="2">
        <v>11</v>
      </c>
      <c r="D1615" s="2">
        <v>291</v>
      </c>
      <c r="E1615" s="2">
        <v>413</v>
      </c>
      <c r="F1615" s="2">
        <v>32441</v>
      </c>
      <c r="G1615" s="2">
        <v>2.969230257</v>
      </c>
      <c r="H1615" s="2">
        <v>1.574778E-3</v>
      </c>
      <c r="I1615" s="2" t="s">
        <v>47985</v>
      </c>
      <c r="J1615" s="2" t="s">
        <v>47986</v>
      </c>
      <c r="K1615" s="2">
        <v>1.8488022E-2</v>
      </c>
      <c r="L1615" s="2" t="s">
        <v>848</v>
      </c>
      <c r="M1615" s="4" t="s">
        <v>8122</v>
      </c>
    </row>
    <row r="1616" spans="1:13">
      <c r="A1616" s="2">
        <v>47191</v>
      </c>
      <c r="B1616" s="2" t="s">
        <v>47987</v>
      </c>
      <c r="C1616" s="2">
        <v>16</v>
      </c>
      <c r="D1616" s="2">
        <v>291</v>
      </c>
      <c r="E1616" s="2">
        <v>754</v>
      </c>
      <c r="F1616" s="2">
        <v>32441</v>
      </c>
      <c r="G1616" s="2">
        <v>2.365646677</v>
      </c>
      <c r="H1616" s="2">
        <v>1.59516E-3</v>
      </c>
      <c r="I1616" s="2" t="s">
        <v>47988</v>
      </c>
      <c r="J1616" s="2" t="s">
        <v>47989</v>
      </c>
      <c r="K1616" s="2">
        <v>1.869022E-2</v>
      </c>
      <c r="L1616" s="2" t="s">
        <v>848</v>
      </c>
      <c r="M1616" s="4" t="s">
        <v>47990</v>
      </c>
    </row>
    <row r="1617" spans="1:13">
      <c r="A1617" s="2">
        <v>4056</v>
      </c>
      <c r="B1617" s="2" t="s">
        <v>11195</v>
      </c>
      <c r="C1617" s="2">
        <v>10</v>
      </c>
      <c r="D1617" s="2">
        <v>291</v>
      </c>
      <c r="E1617" s="2">
        <v>352</v>
      </c>
      <c r="F1617" s="2">
        <v>32441</v>
      </c>
      <c r="G1617" s="2">
        <v>3.167076695</v>
      </c>
      <c r="H1617" s="2">
        <v>1.609938E-3</v>
      </c>
      <c r="I1617" s="2" t="s">
        <v>47991</v>
      </c>
      <c r="J1617" s="2" t="s">
        <v>47992</v>
      </c>
      <c r="K1617" s="2">
        <v>1.8826097999999999E-2</v>
      </c>
      <c r="L1617" s="2" t="s">
        <v>848</v>
      </c>
      <c r="M1617" s="4" t="s">
        <v>11198</v>
      </c>
    </row>
    <row r="1618" spans="1:13">
      <c r="A1618" s="2">
        <v>1728</v>
      </c>
      <c r="B1618" s="2" t="s">
        <v>9719</v>
      </c>
      <c r="C1618" s="2">
        <v>8</v>
      </c>
      <c r="D1618" s="2">
        <v>291</v>
      </c>
      <c r="E1618" s="2">
        <v>236</v>
      </c>
      <c r="F1618" s="2">
        <v>32441</v>
      </c>
      <c r="G1618" s="2">
        <v>3.779020327</v>
      </c>
      <c r="H1618" s="2">
        <v>1.619636E-3</v>
      </c>
      <c r="I1618" s="2" t="s">
        <v>47993</v>
      </c>
      <c r="J1618" s="2" t="s">
        <v>47994</v>
      </c>
      <c r="K1618" s="2">
        <v>1.8902143999999999E-2</v>
      </c>
      <c r="L1618" s="2" t="s">
        <v>848</v>
      </c>
      <c r="M1618" s="4" t="s">
        <v>9722</v>
      </c>
    </row>
    <row r="1619" spans="1:13">
      <c r="A1619" s="2">
        <v>169</v>
      </c>
      <c r="B1619" s="2" t="s">
        <v>10364</v>
      </c>
      <c r="C1619" s="2">
        <v>4</v>
      </c>
      <c r="D1619" s="2">
        <v>291</v>
      </c>
      <c r="E1619" s="2">
        <v>53</v>
      </c>
      <c r="F1619" s="2">
        <v>32441</v>
      </c>
      <c r="G1619" s="2">
        <v>8.413667899</v>
      </c>
      <c r="H1619" s="2">
        <v>1.669184E-3</v>
      </c>
      <c r="I1619" s="2" t="s">
        <v>47995</v>
      </c>
      <c r="J1619" s="2" t="s">
        <v>47996</v>
      </c>
      <c r="K1619" s="2">
        <v>1.9403856000000001E-2</v>
      </c>
      <c r="L1619" s="2" t="s">
        <v>848</v>
      </c>
      <c r="M1619" s="4" t="s">
        <v>10367</v>
      </c>
    </row>
    <row r="1620" spans="1:13">
      <c r="A1620" s="2">
        <v>1769</v>
      </c>
      <c r="B1620" s="2" t="s">
        <v>43027</v>
      </c>
      <c r="C1620" s="2">
        <v>4</v>
      </c>
      <c r="D1620" s="2">
        <v>291</v>
      </c>
      <c r="E1620" s="2">
        <v>53</v>
      </c>
      <c r="F1620" s="2">
        <v>32441</v>
      </c>
      <c r="G1620" s="2">
        <v>8.413667899</v>
      </c>
      <c r="H1620" s="2">
        <v>1.669184E-3</v>
      </c>
      <c r="I1620" s="2" t="s">
        <v>47742</v>
      </c>
      <c r="J1620" s="2" t="s">
        <v>47743</v>
      </c>
      <c r="K1620" s="2">
        <v>1.9403856000000001E-2</v>
      </c>
      <c r="L1620" s="2" t="s">
        <v>848</v>
      </c>
      <c r="M1620" s="4" t="s">
        <v>43028</v>
      </c>
    </row>
    <row r="1621" spans="1:13">
      <c r="A1621" s="2">
        <v>1225</v>
      </c>
      <c r="B1621" s="2" t="s">
        <v>8015</v>
      </c>
      <c r="C1621" s="2">
        <v>18</v>
      </c>
      <c r="D1621" s="2">
        <v>291</v>
      </c>
      <c r="E1621" s="2">
        <v>905</v>
      </c>
      <c r="F1621" s="2">
        <v>32441</v>
      </c>
      <c r="G1621" s="2">
        <v>2.2173036399999999</v>
      </c>
      <c r="H1621" s="2">
        <v>1.6793660000000001E-3</v>
      </c>
      <c r="I1621" s="2" t="s">
        <v>47997</v>
      </c>
      <c r="J1621" s="2" t="s">
        <v>47998</v>
      </c>
      <c r="K1621" s="2">
        <v>1.9483932999999998E-2</v>
      </c>
      <c r="L1621" s="2" t="s">
        <v>848</v>
      </c>
      <c r="M1621" s="4" t="s">
        <v>8018</v>
      </c>
    </row>
    <row r="1622" spans="1:13">
      <c r="A1622" s="2">
        <v>26811</v>
      </c>
      <c r="B1622" s="2" t="s">
        <v>47999</v>
      </c>
      <c r="C1622" s="2">
        <v>8</v>
      </c>
      <c r="D1622" s="2">
        <v>291</v>
      </c>
      <c r="E1622" s="2">
        <v>238</v>
      </c>
      <c r="F1622" s="2">
        <v>32441</v>
      </c>
      <c r="G1622" s="2">
        <v>3.7472638539999998</v>
      </c>
      <c r="H1622" s="2">
        <v>1.704625E-3</v>
      </c>
      <c r="I1622" s="2" t="s">
        <v>48000</v>
      </c>
      <c r="J1622" s="2" t="s">
        <v>48001</v>
      </c>
      <c r="K1622" s="2">
        <v>1.9699736999999998E-2</v>
      </c>
      <c r="L1622" s="2" t="s">
        <v>848</v>
      </c>
      <c r="M1622" s="4" t="s">
        <v>48002</v>
      </c>
    </row>
    <row r="1623" spans="1:13">
      <c r="A1623" s="2">
        <v>4908</v>
      </c>
      <c r="B1623" s="2" t="s">
        <v>7707</v>
      </c>
      <c r="C1623" s="2">
        <v>8</v>
      </c>
      <c r="D1623" s="2">
        <v>291</v>
      </c>
      <c r="E1623" s="2">
        <v>238</v>
      </c>
      <c r="F1623" s="2">
        <v>32441</v>
      </c>
      <c r="G1623" s="2">
        <v>3.7472638539999998</v>
      </c>
      <c r="H1623" s="2">
        <v>1.704625E-3</v>
      </c>
      <c r="I1623" s="2" t="s">
        <v>48003</v>
      </c>
      <c r="J1623" s="2" t="s">
        <v>48004</v>
      </c>
      <c r="K1623" s="2">
        <v>1.9699736999999998E-2</v>
      </c>
      <c r="L1623" s="2" t="s">
        <v>848</v>
      </c>
      <c r="M1623" s="4" t="s">
        <v>7710</v>
      </c>
    </row>
    <row r="1624" spans="1:13">
      <c r="A1624" s="2">
        <v>19591</v>
      </c>
      <c r="B1624" s="2" t="s">
        <v>48005</v>
      </c>
      <c r="C1624" s="2">
        <v>3</v>
      </c>
      <c r="D1624" s="2">
        <v>291</v>
      </c>
      <c r="E1624" s="2">
        <v>24</v>
      </c>
      <c r="F1624" s="2">
        <v>32441</v>
      </c>
      <c r="G1624" s="2">
        <v>13.93513746</v>
      </c>
      <c r="H1624" s="2">
        <v>1.7368310000000001E-3</v>
      </c>
      <c r="I1624" s="2" t="s">
        <v>48006</v>
      </c>
      <c r="J1624" s="2" t="s">
        <v>48007</v>
      </c>
      <c r="K1624" s="2">
        <v>1.9955012000000001E-2</v>
      </c>
      <c r="L1624" s="2" t="s">
        <v>848</v>
      </c>
      <c r="M1624" s="4" t="s">
        <v>48008</v>
      </c>
    </row>
    <row r="1625" spans="1:13">
      <c r="A1625" s="2">
        <v>27631</v>
      </c>
      <c r="B1625" s="2" t="s">
        <v>48009</v>
      </c>
      <c r="C1625" s="2">
        <v>3</v>
      </c>
      <c r="D1625" s="2">
        <v>291</v>
      </c>
      <c r="E1625" s="2">
        <v>24</v>
      </c>
      <c r="F1625" s="2">
        <v>32441</v>
      </c>
      <c r="G1625" s="2">
        <v>13.93513746</v>
      </c>
      <c r="H1625" s="2">
        <v>1.7368310000000001E-3</v>
      </c>
      <c r="I1625" s="2" t="s">
        <v>48010</v>
      </c>
      <c r="J1625" s="2" t="s">
        <v>48011</v>
      </c>
      <c r="K1625" s="2">
        <v>1.9955012000000001E-2</v>
      </c>
      <c r="L1625" s="2" t="s">
        <v>848</v>
      </c>
      <c r="M1625" s="4" t="s">
        <v>48012</v>
      </c>
    </row>
    <row r="1626" spans="1:13">
      <c r="A1626" s="2">
        <v>45521</v>
      </c>
      <c r="B1626" s="2" t="s">
        <v>48013</v>
      </c>
      <c r="C1626" s="2">
        <v>3</v>
      </c>
      <c r="D1626" s="2">
        <v>291</v>
      </c>
      <c r="E1626" s="2">
        <v>24</v>
      </c>
      <c r="F1626" s="2">
        <v>32441</v>
      </c>
      <c r="G1626" s="2">
        <v>13.93513746</v>
      </c>
      <c r="H1626" s="2">
        <v>1.7368310000000001E-3</v>
      </c>
      <c r="I1626" s="2" t="s">
        <v>48014</v>
      </c>
      <c r="J1626" s="2" t="s">
        <v>48015</v>
      </c>
      <c r="K1626" s="2">
        <v>1.9955012000000001E-2</v>
      </c>
      <c r="L1626" s="2" t="s">
        <v>848</v>
      </c>
      <c r="M1626" s="4" t="s">
        <v>48016</v>
      </c>
    </row>
    <row r="1627" spans="1:13">
      <c r="A1627" s="2">
        <v>37171</v>
      </c>
      <c r="B1627" s="2" t="s">
        <v>28957</v>
      </c>
      <c r="C1627" s="2">
        <v>23</v>
      </c>
      <c r="D1627" s="2">
        <v>291</v>
      </c>
      <c r="E1627" s="2">
        <v>1297</v>
      </c>
      <c r="F1627" s="2">
        <v>32441</v>
      </c>
      <c r="G1627" s="2">
        <v>1.97692004</v>
      </c>
      <c r="H1627" s="2">
        <v>1.771665E-3</v>
      </c>
      <c r="I1627" s="2" t="s">
        <v>48017</v>
      </c>
      <c r="J1627" s="2" t="s">
        <v>48018</v>
      </c>
      <c r="K1627" s="2">
        <v>2.0315782000000001E-2</v>
      </c>
      <c r="L1627" s="2" t="s">
        <v>848</v>
      </c>
      <c r="M1627" s="4" t="s">
        <v>28960</v>
      </c>
    </row>
    <row r="1628" spans="1:13">
      <c r="A1628" s="2">
        <v>4356</v>
      </c>
      <c r="B1628" s="2" t="s">
        <v>48019</v>
      </c>
      <c r="C1628" s="2">
        <v>5</v>
      </c>
      <c r="D1628" s="2">
        <v>291</v>
      </c>
      <c r="E1628" s="2">
        <v>92</v>
      </c>
      <c r="F1628" s="2">
        <v>32441</v>
      </c>
      <c r="G1628" s="2">
        <v>6.0587554160000003</v>
      </c>
      <c r="H1628" s="2">
        <v>1.7761400000000001E-3</v>
      </c>
      <c r="I1628" s="2" t="s">
        <v>48020</v>
      </c>
      <c r="J1628" s="2" t="s">
        <v>48021</v>
      </c>
      <c r="K1628" s="2">
        <v>2.0327698000000002E-2</v>
      </c>
      <c r="L1628" s="2" t="s">
        <v>848</v>
      </c>
      <c r="M1628" s="4" t="s">
        <v>48022</v>
      </c>
    </row>
    <row r="1629" spans="1:13">
      <c r="A1629" s="2">
        <v>2872</v>
      </c>
      <c r="B1629" s="2" t="s">
        <v>11085</v>
      </c>
      <c r="C1629" s="2">
        <v>4</v>
      </c>
      <c r="D1629" s="2">
        <v>291</v>
      </c>
      <c r="E1629" s="2">
        <v>54</v>
      </c>
      <c r="F1629" s="2">
        <v>32441</v>
      </c>
      <c r="G1629" s="2">
        <v>8.2578592339999997</v>
      </c>
      <c r="H1629" s="2">
        <v>1.7804380000000001E-3</v>
      </c>
      <c r="I1629" s="2" t="s">
        <v>48023</v>
      </c>
      <c r="J1629" s="2" t="s">
        <v>48024</v>
      </c>
      <c r="K1629" s="2">
        <v>2.0337549999999999E-2</v>
      </c>
      <c r="L1629" s="2" t="s">
        <v>848</v>
      </c>
      <c r="M1629" s="4" t="s">
        <v>11088</v>
      </c>
    </row>
    <row r="1630" spans="1:13">
      <c r="A1630" s="2">
        <v>4554</v>
      </c>
      <c r="B1630" s="2" t="s">
        <v>11005</v>
      </c>
      <c r="C1630" s="2">
        <v>9</v>
      </c>
      <c r="D1630" s="2">
        <v>291</v>
      </c>
      <c r="E1630" s="2">
        <v>298</v>
      </c>
      <c r="F1630" s="2">
        <v>32441</v>
      </c>
      <c r="G1630" s="2">
        <v>3.3668788489999999</v>
      </c>
      <c r="H1630" s="2">
        <v>1.825021E-3</v>
      </c>
      <c r="I1630" s="2" t="s">
        <v>48025</v>
      </c>
      <c r="J1630" s="2" t="s">
        <v>48026</v>
      </c>
      <c r="K1630" s="2">
        <v>2.0766630000000001E-2</v>
      </c>
      <c r="L1630" s="2" t="s">
        <v>848</v>
      </c>
      <c r="M1630" s="4" t="s">
        <v>11008</v>
      </c>
    </row>
    <row r="1631" spans="1:13">
      <c r="A1631" s="2">
        <v>5893</v>
      </c>
      <c r="B1631" s="2" t="s">
        <v>48027</v>
      </c>
      <c r="C1631" s="2">
        <v>9</v>
      </c>
      <c r="D1631" s="2">
        <v>291</v>
      </c>
      <c r="E1631" s="2">
        <v>298</v>
      </c>
      <c r="F1631" s="2">
        <v>32441</v>
      </c>
      <c r="G1631" s="2">
        <v>3.3668788489999999</v>
      </c>
      <c r="H1631" s="2">
        <v>1.825021E-3</v>
      </c>
      <c r="I1631" s="2" t="s">
        <v>48028</v>
      </c>
      <c r="J1631" s="2" t="s">
        <v>48029</v>
      </c>
      <c r="K1631" s="2">
        <v>2.0766630000000001E-2</v>
      </c>
      <c r="L1631" s="2" t="s">
        <v>848</v>
      </c>
      <c r="M1631" s="4" t="s">
        <v>48030</v>
      </c>
    </row>
    <row r="1632" spans="1:13">
      <c r="A1632" s="2">
        <v>1102</v>
      </c>
      <c r="B1632" s="2" t="s">
        <v>48031</v>
      </c>
      <c r="C1632" s="2">
        <v>10</v>
      </c>
      <c r="D1632" s="2">
        <v>291</v>
      </c>
      <c r="E1632" s="2">
        <v>359</v>
      </c>
      <c r="F1632" s="2">
        <v>32441</v>
      </c>
      <c r="G1632" s="2">
        <v>3.1053231100000001</v>
      </c>
      <c r="H1632" s="2">
        <v>1.8521049999999999E-3</v>
      </c>
      <c r="I1632" s="2" t="s">
        <v>48032</v>
      </c>
      <c r="J1632" s="2" t="s">
        <v>48033</v>
      </c>
      <c r="K1632" s="2">
        <v>2.1034363E-2</v>
      </c>
      <c r="L1632" s="2" t="s">
        <v>848</v>
      </c>
      <c r="M1632" s="4" t="s">
        <v>48034</v>
      </c>
    </row>
    <row r="1633" spans="1:13">
      <c r="A1633" s="2">
        <v>3241</v>
      </c>
      <c r="B1633" s="2" t="s">
        <v>48035</v>
      </c>
      <c r="C1633" s="2">
        <v>11</v>
      </c>
      <c r="D1633" s="2">
        <v>291</v>
      </c>
      <c r="E1633" s="2">
        <v>422</v>
      </c>
      <c r="F1633" s="2">
        <v>32441</v>
      </c>
      <c r="G1633" s="2">
        <v>2.9059054409999998</v>
      </c>
      <c r="H1633" s="2">
        <v>1.8557960000000001E-3</v>
      </c>
      <c r="I1633" s="2" t="s">
        <v>48036</v>
      </c>
      <c r="J1633" s="2" t="s">
        <v>48037</v>
      </c>
      <c r="K1633" s="2">
        <v>2.1035914999999999E-2</v>
      </c>
      <c r="L1633" s="2" t="s">
        <v>848</v>
      </c>
      <c r="M1633" s="4" t="s">
        <v>48038</v>
      </c>
    </row>
    <row r="1634" spans="1:13">
      <c r="A1634" s="2">
        <v>15011</v>
      </c>
      <c r="B1634" s="2" t="s">
        <v>48039</v>
      </c>
      <c r="C1634" s="2">
        <v>4</v>
      </c>
      <c r="D1634" s="2">
        <v>291</v>
      </c>
      <c r="E1634" s="2">
        <v>55</v>
      </c>
      <c r="F1634" s="2">
        <v>32441</v>
      </c>
      <c r="G1634" s="2">
        <v>8.1077163389999996</v>
      </c>
      <c r="H1634" s="2">
        <v>1.896729E-3</v>
      </c>
      <c r="I1634" s="2" t="s">
        <v>48040</v>
      </c>
      <c r="J1634" s="2" t="s">
        <v>48041</v>
      </c>
      <c r="K1634" s="2">
        <v>2.1417839000000001E-2</v>
      </c>
      <c r="L1634" s="2" t="s">
        <v>848</v>
      </c>
      <c r="M1634" s="4" t="s">
        <v>48042</v>
      </c>
    </row>
    <row r="1635" spans="1:13">
      <c r="A1635" s="2">
        <v>2442</v>
      </c>
      <c r="B1635" s="2" t="s">
        <v>48043</v>
      </c>
      <c r="C1635" s="2">
        <v>4</v>
      </c>
      <c r="D1635" s="2">
        <v>291</v>
      </c>
      <c r="E1635" s="2">
        <v>55</v>
      </c>
      <c r="F1635" s="2">
        <v>32441</v>
      </c>
      <c r="G1635" s="2">
        <v>8.1077163389999996</v>
      </c>
      <c r="H1635" s="2">
        <v>1.896729E-3</v>
      </c>
      <c r="I1635" s="2" t="s">
        <v>47884</v>
      </c>
      <c r="J1635" s="2" t="s">
        <v>47885</v>
      </c>
      <c r="K1635" s="2">
        <v>2.1417839000000001E-2</v>
      </c>
      <c r="L1635" s="2" t="s">
        <v>848</v>
      </c>
      <c r="M1635" s="4" t="s">
        <v>48044</v>
      </c>
    </row>
    <row r="1636" spans="1:13">
      <c r="A1636" s="2">
        <v>1976</v>
      </c>
      <c r="B1636" s="2" t="s">
        <v>48045</v>
      </c>
      <c r="C1636" s="2">
        <v>3</v>
      </c>
      <c r="D1636" s="2">
        <v>291</v>
      </c>
      <c r="E1636" s="2">
        <v>25</v>
      </c>
      <c r="F1636" s="2">
        <v>32441</v>
      </c>
      <c r="G1636" s="2">
        <v>13.37773196</v>
      </c>
      <c r="H1636" s="2">
        <v>1.9325449999999999E-3</v>
      </c>
      <c r="I1636" s="2" t="s">
        <v>47557</v>
      </c>
      <c r="J1636" s="2" t="s">
        <v>47558</v>
      </c>
      <c r="K1636" s="2">
        <v>2.1780698000000001E-2</v>
      </c>
      <c r="L1636" s="2" t="s">
        <v>848</v>
      </c>
      <c r="M1636" s="4" t="s">
        <v>48046</v>
      </c>
    </row>
    <row r="1637" spans="1:13">
      <c r="A1637" s="2">
        <v>2111</v>
      </c>
      <c r="B1637" s="2" t="s">
        <v>7795</v>
      </c>
      <c r="C1637" s="2">
        <v>25</v>
      </c>
      <c r="D1637" s="2">
        <v>291</v>
      </c>
      <c r="E1637" s="2">
        <v>1468</v>
      </c>
      <c r="F1637" s="2">
        <v>32441</v>
      </c>
      <c r="G1637" s="2">
        <v>1.8985200900000001</v>
      </c>
      <c r="H1637" s="2">
        <v>1.9365039999999999E-3</v>
      </c>
      <c r="I1637" s="2" t="s">
        <v>48047</v>
      </c>
      <c r="J1637" s="2" t="s">
        <v>48048</v>
      </c>
      <c r="K1637" s="2">
        <v>2.1783824E-2</v>
      </c>
      <c r="L1637" s="2" t="s">
        <v>848</v>
      </c>
      <c r="M1637" s="4" t="s">
        <v>7798</v>
      </c>
    </row>
    <row r="1638" spans="1:13">
      <c r="A1638" s="2">
        <v>2719</v>
      </c>
      <c r="B1638" s="2" t="s">
        <v>48049</v>
      </c>
      <c r="C1638" s="2">
        <v>5</v>
      </c>
      <c r="D1638" s="2">
        <v>291</v>
      </c>
      <c r="E1638" s="2">
        <v>94</v>
      </c>
      <c r="F1638" s="2">
        <v>32441</v>
      </c>
      <c r="G1638" s="2">
        <v>5.9298457259999999</v>
      </c>
      <c r="H1638" s="2">
        <v>1.943106E-3</v>
      </c>
      <c r="I1638" s="2" t="s">
        <v>48050</v>
      </c>
      <c r="J1638" s="2" t="s">
        <v>48051</v>
      </c>
      <c r="K1638" s="2">
        <v>2.1816619999999998E-2</v>
      </c>
      <c r="L1638" s="2" t="s">
        <v>848</v>
      </c>
      <c r="M1638" s="4" t="s">
        <v>48052</v>
      </c>
    </row>
    <row r="1639" spans="1:13">
      <c r="A1639" s="2">
        <v>16701</v>
      </c>
      <c r="B1639" s="2" t="s">
        <v>8282</v>
      </c>
      <c r="C1639" s="2">
        <v>15</v>
      </c>
      <c r="D1639" s="2">
        <v>291</v>
      </c>
      <c r="E1639" s="2">
        <v>699</v>
      </c>
      <c r="F1639" s="2">
        <v>32441</v>
      </c>
      <c r="G1639" s="2">
        <v>2.392298276</v>
      </c>
      <c r="H1639" s="2">
        <v>1.992831E-3</v>
      </c>
      <c r="I1639" s="2" t="s">
        <v>48053</v>
      </c>
      <c r="J1639" s="2" t="s">
        <v>48054</v>
      </c>
      <c r="K1639" s="2">
        <v>2.2294208999999999E-2</v>
      </c>
      <c r="L1639" s="2" t="s">
        <v>848</v>
      </c>
      <c r="M1639" s="4" t="s">
        <v>8285</v>
      </c>
    </row>
    <row r="1640" spans="1:13">
      <c r="A1640" s="2">
        <v>4320</v>
      </c>
      <c r="B1640" s="2" t="s">
        <v>10125</v>
      </c>
      <c r="C1640" s="2">
        <v>11</v>
      </c>
      <c r="D1640" s="2">
        <v>291</v>
      </c>
      <c r="E1640" s="2">
        <v>426</v>
      </c>
      <c r="F1640" s="2">
        <v>32441</v>
      </c>
      <c r="G1640" s="2">
        <v>2.878619944</v>
      </c>
      <c r="H1640" s="2">
        <v>1.993178E-3</v>
      </c>
      <c r="I1640" s="2" t="s">
        <v>48055</v>
      </c>
      <c r="J1640" s="2" t="s">
        <v>48056</v>
      </c>
      <c r="K1640" s="2">
        <v>2.2294208999999999E-2</v>
      </c>
      <c r="L1640" s="2" t="s">
        <v>848</v>
      </c>
      <c r="M1640" s="4" t="s">
        <v>10128</v>
      </c>
    </row>
    <row r="1641" spans="1:13">
      <c r="A1641" s="2">
        <v>5406</v>
      </c>
      <c r="B1641" s="2" t="s">
        <v>48057</v>
      </c>
      <c r="C1641" s="2">
        <v>5</v>
      </c>
      <c r="D1641" s="2">
        <v>291</v>
      </c>
      <c r="E1641" s="2">
        <v>95</v>
      </c>
      <c r="F1641" s="2">
        <v>32441</v>
      </c>
      <c r="G1641" s="2">
        <v>5.8674262979999998</v>
      </c>
      <c r="H1641" s="2">
        <v>2.030759E-3</v>
      </c>
      <c r="I1641" s="2" t="s">
        <v>48058</v>
      </c>
      <c r="J1641" s="2" t="s">
        <v>48059</v>
      </c>
      <c r="K1641" s="2">
        <v>2.2671699999999999E-2</v>
      </c>
      <c r="L1641" s="2" t="s">
        <v>848</v>
      </c>
      <c r="M1641" s="4" t="s">
        <v>48060</v>
      </c>
    </row>
    <row r="1642" spans="1:13">
      <c r="A1642" s="2">
        <v>4422</v>
      </c>
      <c r="B1642" s="2" t="s">
        <v>10475</v>
      </c>
      <c r="C1642" s="2">
        <v>7</v>
      </c>
      <c r="D1642" s="2">
        <v>291</v>
      </c>
      <c r="E1642" s="2">
        <v>191</v>
      </c>
      <c r="F1642" s="2">
        <v>32441</v>
      </c>
      <c r="G1642" s="2">
        <v>4.0856947520000002</v>
      </c>
      <c r="H1642" s="2">
        <v>2.0554480000000001E-3</v>
      </c>
      <c r="I1642" s="2" t="s">
        <v>48061</v>
      </c>
      <c r="J1642" s="2" t="s">
        <v>48062</v>
      </c>
      <c r="K1642" s="2">
        <v>2.2904114E-2</v>
      </c>
      <c r="L1642" s="2" t="s">
        <v>848</v>
      </c>
      <c r="M1642" s="4" t="s">
        <v>10478</v>
      </c>
    </row>
    <row r="1643" spans="1:13">
      <c r="A1643" s="2">
        <v>2913</v>
      </c>
      <c r="B1643" s="2" t="s">
        <v>48063</v>
      </c>
      <c r="C1643" s="2">
        <v>5</v>
      </c>
      <c r="D1643" s="2">
        <v>291</v>
      </c>
      <c r="E1643" s="2">
        <v>96</v>
      </c>
      <c r="F1643" s="2">
        <v>32441</v>
      </c>
      <c r="G1643" s="2">
        <v>5.8063072739999999</v>
      </c>
      <c r="H1643" s="2">
        <v>2.1212639999999999E-3</v>
      </c>
      <c r="I1643" s="2" t="s">
        <v>48064</v>
      </c>
      <c r="J1643" s="2" t="s">
        <v>48065</v>
      </c>
      <c r="K1643" s="2">
        <v>2.3593079999999999E-2</v>
      </c>
      <c r="L1643" s="2" t="s">
        <v>848</v>
      </c>
      <c r="M1643" s="4" t="s">
        <v>48066</v>
      </c>
    </row>
    <row r="1644" spans="1:13">
      <c r="A1644" s="2">
        <v>1203</v>
      </c>
      <c r="B1644" s="2" t="s">
        <v>48067</v>
      </c>
      <c r="C1644" s="2">
        <v>3</v>
      </c>
      <c r="D1644" s="2">
        <v>291</v>
      </c>
      <c r="E1644" s="2">
        <v>26</v>
      </c>
      <c r="F1644" s="2">
        <v>32441</v>
      </c>
      <c r="G1644" s="2">
        <v>12.86320381</v>
      </c>
      <c r="H1644" s="2">
        <v>2.1414569999999998E-3</v>
      </c>
      <c r="I1644" s="2" t="s">
        <v>48068</v>
      </c>
      <c r="J1644" s="2" t="s">
        <v>48069</v>
      </c>
      <c r="K1644" s="2">
        <v>2.3684110000000001E-2</v>
      </c>
      <c r="L1644" s="2" t="s">
        <v>848</v>
      </c>
      <c r="M1644" s="4" t="s">
        <v>48070</v>
      </c>
    </row>
    <row r="1645" spans="1:13">
      <c r="A1645" s="2">
        <v>2224</v>
      </c>
      <c r="B1645" s="2" t="s">
        <v>48071</v>
      </c>
      <c r="C1645" s="2">
        <v>3</v>
      </c>
      <c r="D1645" s="2">
        <v>291</v>
      </c>
      <c r="E1645" s="2">
        <v>26</v>
      </c>
      <c r="F1645" s="2">
        <v>32441</v>
      </c>
      <c r="G1645" s="2">
        <v>12.86320381</v>
      </c>
      <c r="H1645" s="2">
        <v>2.1414569999999998E-3</v>
      </c>
      <c r="I1645" s="2" t="s">
        <v>47902</v>
      </c>
      <c r="J1645" s="2" t="s">
        <v>47903</v>
      </c>
      <c r="K1645" s="2">
        <v>2.3684110000000001E-2</v>
      </c>
      <c r="L1645" s="2" t="s">
        <v>848</v>
      </c>
      <c r="M1645" s="4" t="s">
        <v>48072</v>
      </c>
    </row>
    <row r="1646" spans="1:13">
      <c r="A1646" s="2">
        <v>35901</v>
      </c>
      <c r="B1646" s="2" t="s">
        <v>48073</v>
      </c>
      <c r="C1646" s="2">
        <v>3</v>
      </c>
      <c r="D1646" s="2">
        <v>291</v>
      </c>
      <c r="E1646" s="2">
        <v>26</v>
      </c>
      <c r="F1646" s="2">
        <v>32441</v>
      </c>
      <c r="G1646" s="2">
        <v>12.86320381</v>
      </c>
      <c r="H1646" s="2">
        <v>2.1414569999999998E-3</v>
      </c>
      <c r="I1646" s="2" t="s">
        <v>48074</v>
      </c>
      <c r="J1646" s="2" t="s">
        <v>48075</v>
      </c>
      <c r="K1646" s="2">
        <v>2.3684110000000001E-2</v>
      </c>
      <c r="L1646" s="2" t="s">
        <v>848</v>
      </c>
      <c r="M1646" s="4" t="s">
        <v>48076</v>
      </c>
    </row>
    <row r="1647" spans="1:13">
      <c r="A1647" s="2">
        <v>5738</v>
      </c>
      <c r="B1647" s="2" t="s">
        <v>7623</v>
      </c>
      <c r="C1647" s="2">
        <v>27</v>
      </c>
      <c r="D1647" s="2">
        <v>291</v>
      </c>
      <c r="E1647" s="2">
        <v>1649</v>
      </c>
      <c r="F1647" s="2">
        <v>32441</v>
      </c>
      <c r="G1647" s="2">
        <v>1.8253424439999999</v>
      </c>
      <c r="H1647" s="2">
        <v>2.2209119999999998E-3</v>
      </c>
      <c r="I1647" s="2" t="s">
        <v>48077</v>
      </c>
      <c r="J1647" s="2" t="s">
        <v>48078</v>
      </c>
      <c r="K1647" s="2">
        <v>2.4517042999999999E-2</v>
      </c>
      <c r="L1647" s="2" t="s">
        <v>848</v>
      </c>
      <c r="M1647" s="4" t="s">
        <v>7626</v>
      </c>
    </row>
    <row r="1648" spans="1:13">
      <c r="A1648" s="2">
        <v>2797</v>
      </c>
      <c r="B1648" s="2" t="s">
        <v>48079</v>
      </c>
      <c r="C1648" s="2">
        <v>4</v>
      </c>
      <c r="D1648" s="2">
        <v>291</v>
      </c>
      <c r="E1648" s="2">
        <v>58</v>
      </c>
      <c r="F1648" s="2">
        <v>32441</v>
      </c>
      <c r="G1648" s="2">
        <v>7.6883517000000001</v>
      </c>
      <c r="H1648" s="2">
        <v>2.2769859999999999E-3</v>
      </c>
      <c r="I1648" s="2" t="s">
        <v>47180</v>
      </c>
      <c r="J1648" s="2" t="s">
        <v>47181</v>
      </c>
      <c r="K1648" s="2">
        <v>2.508925E-2</v>
      </c>
      <c r="L1648" s="2" t="s">
        <v>848</v>
      </c>
      <c r="M1648" s="4" t="s">
        <v>48080</v>
      </c>
    </row>
    <row r="1649" spans="1:13">
      <c r="A1649" s="2">
        <v>3381</v>
      </c>
      <c r="B1649" s="2" t="s">
        <v>48081</v>
      </c>
      <c r="C1649" s="2">
        <v>8</v>
      </c>
      <c r="D1649" s="2">
        <v>291</v>
      </c>
      <c r="E1649" s="2">
        <v>250</v>
      </c>
      <c r="F1649" s="2">
        <v>32441</v>
      </c>
      <c r="G1649" s="2">
        <v>3.567395189</v>
      </c>
      <c r="H1649" s="2">
        <v>2.2913669999999999E-3</v>
      </c>
      <c r="I1649" s="2" t="s">
        <v>48082</v>
      </c>
      <c r="J1649" s="2" t="s">
        <v>48083</v>
      </c>
      <c r="K1649" s="2">
        <v>2.5154797999999999E-2</v>
      </c>
      <c r="L1649" s="2" t="s">
        <v>848</v>
      </c>
      <c r="M1649" s="4" t="s">
        <v>48084</v>
      </c>
    </row>
    <row r="1650" spans="1:13">
      <c r="A1650" s="2">
        <v>1238</v>
      </c>
      <c r="B1650" s="2" t="s">
        <v>9388</v>
      </c>
      <c r="C1650" s="2">
        <v>10</v>
      </c>
      <c r="D1650" s="2">
        <v>291</v>
      </c>
      <c r="E1650" s="2">
        <v>370</v>
      </c>
      <c r="F1650" s="2">
        <v>32441</v>
      </c>
      <c r="G1650" s="2">
        <v>3.0130026929999998</v>
      </c>
      <c r="H1650" s="2">
        <v>2.2914379999999998E-3</v>
      </c>
      <c r="I1650" s="2" t="s">
        <v>47626</v>
      </c>
      <c r="J1650" s="2" t="s">
        <v>47627</v>
      </c>
      <c r="K1650" s="2">
        <v>2.5154797999999999E-2</v>
      </c>
      <c r="L1650" s="2" t="s">
        <v>848</v>
      </c>
      <c r="M1650" s="4" t="s">
        <v>9391</v>
      </c>
    </row>
    <row r="1651" spans="1:13">
      <c r="A1651" s="2">
        <v>373</v>
      </c>
      <c r="B1651" s="2" t="s">
        <v>48085</v>
      </c>
      <c r="C1651" s="2">
        <v>5</v>
      </c>
      <c r="D1651" s="2">
        <v>291</v>
      </c>
      <c r="E1651" s="2">
        <v>98</v>
      </c>
      <c r="F1651" s="2">
        <v>32441</v>
      </c>
      <c r="G1651" s="2">
        <v>5.6878112070000002</v>
      </c>
      <c r="H1651" s="2">
        <v>2.3110470000000001E-3</v>
      </c>
      <c r="I1651" s="2" t="s">
        <v>48086</v>
      </c>
      <c r="J1651" s="2" t="s">
        <v>48087</v>
      </c>
      <c r="K1651" s="2">
        <v>2.5229636E-2</v>
      </c>
      <c r="L1651" s="2" t="s">
        <v>848</v>
      </c>
      <c r="M1651" s="4" t="s">
        <v>48088</v>
      </c>
    </row>
    <row r="1652" spans="1:13">
      <c r="A1652" s="2">
        <v>1329</v>
      </c>
      <c r="B1652" s="2" t="s">
        <v>48089</v>
      </c>
      <c r="C1652" s="2">
        <v>5</v>
      </c>
      <c r="D1652" s="2">
        <v>291</v>
      </c>
      <c r="E1652" s="2">
        <v>98</v>
      </c>
      <c r="F1652" s="2">
        <v>32441</v>
      </c>
      <c r="G1652" s="2">
        <v>5.6878112070000002</v>
      </c>
      <c r="H1652" s="2">
        <v>2.3110470000000001E-3</v>
      </c>
      <c r="I1652" s="2" t="s">
        <v>48090</v>
      </c>
      <c r="J1652" s="2" t="s">
        <v>48091</v>
      </c>
      <c r="K1652" s="2">
        <v>2.5229636E-2</v>
      </c>
      <c r="L1652" s="2" t="s">
        <v>848</v>
      </c>
      <c r="M1652" s="4" t="s">
        <v>48092</v>
      </c>
    </row>
    <row r="1653" spans="1:13">
      <c r="A1653" s="2">
        <v>3718</v>
      </c>
      <c r="B1653" s="2" t="s">
        <v>9616</v>
      </c>
      <c r="C1653" s="2">
        <v>6</v>
      </c>
      <c r="D1653" s="2">
        <v>291</v>
      </c>
      <c r="E1653" s="2">
        <v>144</v>
      </c>
      <c r="F1653" s="2">
        <v>32441</v>
      </c>
      <c r="G1653" s="2">
        <v>4.6450458189999999</v>
      </c>
      <c r="H1653" s="2">
        <v>2.3048109999999999E-3</v>
      </c>
      <c r="I1653" s="2" t="s">
        <v>47116</v>
      </c>
      <c r="J1653" s="2" t="s">
        <v>47117</v>
      </c>
      <c r="K1653" s="2">
        <v>2.5229636E-2</v>
      </c>
      <c r="L1653" s="2" t="s">
        <v>848</v>
      </c>
      <c r="M1653" s="4" t="s">
        <v>9619</v>
      </c>
    </row>
    <row r="1654" spans="1:13">
      <c r="A1654" s="2">
        <v>1053</v>
      </c>
      <c r="B1654" s="2" t="s">
        <v>9174</v>
      </c>
      <c r="C1654" s="2">
        <v>17</v>
      </c>
      <c r="D1654" s="2">
        <v>291</v>
      </c>
      <c r="E1654" s="2">
        <v>859</v>
      </c>
      <c r="F1654" s="2">
        <v>32441</v>
      </c>
      <c r="G1654" s="2">
        <v>2.2062615760000002</v>
      </c>
      <c r="H1654" s="2">
        <v>2.3560030000000002E-3</v>
      </c>
      <c r="I1654" s="2" t="s">
        <v>48093</v>
      </c>
      <c r="J1654" s="2" t="s">
        <v>48094</v>
      </c>
      <c r="K1654" s="2">
        <v>2.5617224000000001E-2</v>
      </c>
      <c r="L1654" s="2" t="s">
        <v>848</v>
      </c>
      <c r="M1654" s="4" t="s">
        <v>9177</v>
      </c>
    </row>
    <row r="1655" spans="1:13">
      <c r="A1655" s="2">
        <v>8282</v>
      </c>
      <c r="B1655" s="2" t="s">
        <v>48095</v>
      </c>
      <c r="C1655" s="2">
        <v>3</v>
      </c>
      <c r="D1655" s="2">
        <v>291</v>
      </c>
      <c r="E1655" s="2">
        <v>27</v>
      </c>
      <c r="F1655" s="2">
        <v>32441</v>
      </c>
      <c r="G1655" s="2">
        <v>12.38678885</v>
      </c>
      <c r="H1655" s="2">
        <v>2.3638679999999999E-3</v>
      </c>
      <c r="I1655" s="2" t="s">
        <v>48096</v>
      </c>
      <c r="J1655" s="2" t="s">
        <v>48097</v>
      </c>
      <c r="K1655" s="2">
        <v>2.5617224000000001E-2</v>
      </c>
      <c r="L1655" s="2" t="s">
        <v>848</v>
      </c>
      <c r="M1655" s="4" t="s">
        <v>48098</v>
      </c>
    </row>
    <row r="1656" spans="1:13">
      <c r="A1656" s="2">
        <v>1007</v>
      </c>
      <c r="B1656" s="2" t="s">
        <v>48099</v>
      </c>
      <c r="C1656" s="2">
        <v>3</v>
      </c>
      <c r="D1656" s="2">
        <v>291</v>
      </c>
      <c r="E1656" s="2">
        <v>27</v>
      </c>
      <c r="F1656" s="2">
        <v>32441</v>
      </c>
      <c r="G1656" s="2">
        <v>12.38678885</v>
      </c>
      <c r="H1656" s="2">
        <v>2.3638679999999999E-3</v>
      </c>
      <c r="I1656" s="2" t="s">
        <v>48100</v>
      </c>
      <c r="J1656" s="2" t="s">
        <v>48101</v>
      </c>
      <c r="K1656" s="2">
        <v>2.5617224000000001E-2</v>
      </c>
      <c r="L1656" s="2" t="s">
        <v>848</v>
      </c>
      <c r="M1656" s="4" t="s">
        <v>48102</v>
      </c>
    </row>
    <row r="1657" spans="1:13">
      <c r="A1657" s="2">
        <v>3793</v>
      </c>
      <c r="B1657" s="2" t="s">
        <v>48103</v>
      </c>
      <c r="C1657" s="2">
        <v>3</v>
      </c>
      <c r="D1657" s="2">
        <v>291</v>
      </c>
      <c r="E1657" s="2">
        <v>27</v>
      </c>
      <c r="F1657" s="2">
        <v>32441</v>
      </c>
      <c r="G1657" s="2">
        <v>12.38678885</v>
      </c>
      <c r="H1657" s="2">
        <v>2.3638679999999999E-3</v>
      </c>
      <c r="I1657" s="2" t="s">
        <v>48104</v>
      </c>
      <c r="J1657" s="2" t="s">
        <v>48105</v>
      </c>
      <c r="K1657" s="2">
        <v>2.5617224000000001E-2</v>
      </c>
      <c r="L1657" s="2" t="s">
        <v>848</v>
      </c>
      <c r="M1657" s="4" t="s">
        <v>48106</v>
      </c>
    </row>
    <row r="1658" spans="1:13">
      <c r="A1658" s="2">
        <v>2589</v>
      </c>
      <c r="B1658" s="2" t="s">
        <v>8103</v>
      </c>
      <c r="C1658" s="2">
        <v>25</v>
      </c>
      <c r="D1658" s="2">
        <v>291</v>
      </c>
      <c r="E1658" s="2">
        <v>1492</v>
      </c>
      <c r="F1658" s="2">
        <v>32441</v>
      </c>
      <c r="G1658" s="2">
        <v>1.8679808920000001</v>
      </c>
      <c r="H1658" s="2">
        <v>2.3913929999999999E-3</v>
      </c>
      <c r="I1658" s="2" t="s">
        <v>48107</v>
      </c>
      <c r="J1658" s="2" t="s">
        <v>48108</v>
      </c>
      <c r="K1658" s="2">
        <v>2.5868136999999999E-2</v>
      </c>
      <c r="L1658" s="2" t="s">
        <v>848</v>
      </c>
      <c r="M1658" s="4" t="s">
        <v>8106</v>
      </c>
    </row>
    <row r="1659" spans="1:13">
      <c r="A1659" s="2">
        <v>1811</v>
      </c>
      <c r="B1659" s="2" t="s">
        <v>43077</v>
      </c>
      <c r="C1659" s="2">
        <v>4</v>
      </c>
      <c r="D1659" s="2">
        <v>291</v>
      </c>
      <c r="E1659" s="2">
        <v>59</v>
      </c>
      <c r="F1659" s="2">
        <v>32441</v>
      </c>
      <c r="G1659" s="2">
        <v>7.5580406550000001</v>
      </c>
      <c r="H1659" s="2">
        <v>2.4145809999999998E-3</v>
      </c>
      <c r="I1659" s="2" t="s">
        <v>48109</v>
      </c>
      <c r="J1659" s="2" t="s">
        <v>48110</v>
      </c>
      <c r="K1659" s="2">
        <v>2.5976501999999999E-2</v>
      </c>
      <c r="L1659" s="2" t="s">
        <v>848</v>
      </c>
      <c r="M1659" s="4" t="s">
        <v>43078</v>
      </c>
    </row>
    <row r="1660" spans="1:13">
      <c r="A1660" s="2">
        <v>242</v>
      </c>
      <c r="B1660" s="2" t="s">
        <v>11255</v>
      </c>
      <c r="C1660" s="2">
        <v>25</v>
      </c>
      <c r="D1660" s="2">
        <v>291</v>
      </c>
      <c r="E1660" s="2">
        <v>1493</v>
      </c>
      <c r="F1660" s="2">
        <v>32441</v>
      </c>
      <c r="G1660" s="2">
        <v>1.8667297329999999</v>
      </c>
      <c r="H1660" s="2">
        <v>2.412174E-3</v>
      </c>
      <c r="I1660" s="2" t="s">
        <v>48111</v>
      </c>
      <c r="J1660" s="2" t="s">
        <v>48112</v>
      </c>
      <c r="K1660" s="2">
        <v>2.5976501999999999E-2</v>
      </c>
      <c r="L1660" s="2" t="s">
        <v>848</v>
      </c>
      <c r="M1660" s="4" t="s">
        <v>11258</v>
      </c>
    </row>
    <row r="1661" spans="1:13">
      <c r="A1661" s="2">
        <v>17681</v>
      </c>
      <c r="B1661" s="2" t="s">
        <v>48113</v>
      </c>
      <c r="C1661" s="2">
        <v>4</v>
      </c>
      <c r="D1661" s="2">
        <v>291</v>
      </c>
      <c r="E1661" s="2">
        <v>59</v>
      </c>
      <c r="F1661" s="2">
        <v>32441</v>
      </c>
      <c r="G1661" s="2">
        <v>7.5580406550000001</v>
      </c>
      <c r="H1661" s="2">
        <v>2.4145809999999998E-3</v>
      </c>
      <c r="I1661" s="2" t="s">
        <v>48114</v>
      </c>
      <c r="J1661" s="2" t="s">
        <v>48115</v>
      </c>
      <c r="K1661" s="2">
        <v>2.5976501999999999E-2</v>
      </c>
      <c r="L1661" s="2" t="s">
        <v>848</v>
      </c>
      <c r="M1661" s="4" t="s">
        <v>48116</v>
      </c>
    </row>
    <row r="1662" spans="1:13">
      <c r="A1662" s="2">
        <v>1930</v>
      </c>
      <c r="B1662" s="2" t="s">
        <v>48117</v>
      </c>
      <c r="C1662" s="2">
        <v>4</v>
      </c>
      <c r="D1662" s="2">
        <v>291</v>
      </c>
      <c r="E1662" s="2">
        <v>60</v>
      </c>
      <c r="F1662" s="2">
        <v>32441</v>
      </c>
      <c r="G1662" s="2">
        <v>7.4320733099999998</v>
      </c>
      <c r="H1662" s="2">
        <v>2.5577870000000002E-3</v>
      </c>
      <c r="I1662" s="2" t="s">
        <v>47353</v>
      </c>
      <c r="J1662" s="2" t="s">
        <v>47354</v>
      </c>
      <c r="K1662" s="2">
        <v>2.7467192000000001E-2</v>
      </c>
      <c r="L1662" s="2" t="s">
        <v>848</v>
      </c>
      <c r="M1662" s="4" t="s">
        <v>48118</v>
      </c>
    </row>
    <row r="1663" spans="1:13">
      <c r="A1663" s="2">
        <v>8083</v>
      </c>
      <c r="B1663" s="2" t="s">
        <v>48119</v>
      </c>
      <c r="C1663" s="2">
        <v>3</v>
      </c>
      <c r="D1663" s="2">
        <v>291</v>
      </c>
      <c r="E1663" s="2">
        <v>28</v>
      </c>
      <c r="F1663" s="2">
        <v>32441</v>
      </c>
      <c r="G1663" s="2">
        <v>11.944403530000001</v>
      </c>
      <c r="H1663" s="2">
        <v>2.6000659999999998E-3</v>
      </c>
      <c r="I1663" s="2" t="s">
        <v>48120</v>
      </c>
      <c r="J1663" s="2" t="s">
        <v>48121</v>
      </c>
      <c r="K1663" s="2">
        <v>2.7770021999999998E-2</v>
      </c>
      <c r="L1663" s="2" t="s">
        <v>848</v>
      </c>
      <c r="M1663" s="4" t="s">
        <v>48122</v>
      </c>
    </row>
    <row r="1664" spans="1:13">
      <c r="A1664" s="2">
        <v>18771</v>
      </c>
      <c r="B1664" s="2" t="s">
        <v>48123</v>
      </c>
      <c r="C1664" s="2">
        <v>3</v>
      </c>
      <c r="D1664" s="2">
        <v>291</v>
      </c>
      <c r="E1664" s="2">
        <v>28</v>
      </c>
      <c r="F1664" s="2">
        <v>32441</v>
      </c>
      <c r="G1664" s="2">
        <v>11.944403530000001</v>
      </c>
      <c r="H1664" s="2">
        <v>2.6000659999999998E-3</v>
      </c>
      <c r="I1664" s="2" t="s">
        <v>48124</v>
      </c>
      <c r="J1664" s="2" t="s">
        <v>48125</v>
      </c>
      <c r="K1664" s="2">
        <v>2.7770021999999998E-2</v>
      </c>
      <c r="L1664" s="2" t="s">
        <v>848</v>
      </c>
      <c r="M1664" s="4" t="s">
        <v>48126</v>
      </c>
    </row>
    <row r="1665" spans="1:13">
      <c r="A1665" s="2">
        <v>2629</v>
      </c>
      <c r="B1665" s="2" t="s">
        <v>48127</v>
      </c>
      <c r="C1665" s="2">
        <v>3</v>
      </c>
      <c r="D1665" s="2">
        <v>291</v>
      </c>
      <c r="E1665" s="2">
        <v>28</v>
      </c>
      <c r="F1665" s="2">
        <v>32441</v>
      </c>
      <c r="G1665" s="2">
        <v>11.944403530000001</v>
      </c>
      <c r="H1665" s="2">
        <v>2.6000659999999998E-3</v>
      </c>
      <c r="I1665" s="2" t="s">
        <v>44577</v>
      </c>
      <c r="J1665" s="2" t="s">
        <v>44578</v>
      </c>
      <c r="K1665" s="2">
        <v>2.7770021999999998E-2</v>
      </c>
      <c r="L1665" s="2" t="s">
        <v>848</v>
      </c>
      <c r="M1665" s="4" t="s">
        <v>48128</v>
      </c>
    </row>
    <row r="1666" spans="1:13">
      <c r="A1666" s="2">
        <v>3799</v>
      </c>
      <c r="B1666" s="2" t="s">
        <v>48129</v>
      </c>
      <c r="C1666" s="2">
        <v>5</v>
      </c>
      <c r="D1666" s="2">
        <v>291</v>
      </c>
      <c r="E1666" s="2">
        <v>101</v>
      </c>
      <c r="F1666" s="2">
        <v>32441</v>
      </c>
      <c r="G1666" s="2">
        <v>5.5188663199999999</v>
      </c>
      <c r="H1666" s="2">
        <v>2.618469E-3</v>
      </c>
      <c r="I1666" s="2" t="s">
        <v>48130</v>
      </c>
      <c r="J1666" s="2" t="s">
        <v>48131</v>
      </c>
      <c r="K1666" s="2">
        <v>2.7865975000000001E-2</v>
      </c>
      <c r="L1666" s="2" t="s">
        <v>848</v>
      </c>
      <c r="M1666" s="4" t="s">
        <v>48132</v>
      </c>
    </row>
    <row r="1667" spans="1:13">
      <c r="A1667" s="2">
        <v>5667</v>
      </c>
      <c r="B1667" s="2" t="s">
        <v>10980</v>
      </c>
      <c r="C1667" s="2">
        <v>5</v>
      </c>
      <c r="D1667" s="2">
        <v>291</v>
      </c>
      <c r="E1667" s="2">
        <v>101</v>
      </c>
      <c r="F1667" s="2">
        <v>32441</v>
      </c>
      <c r="G1667" s="2">
        <v>5.5188663199999999</v>
      </c>
      <c r="H1667" s="2">
        <v>2.618469E-3</v>
      </c>
      <c r="I1667" s="2" t="s">
        <v>47200</v>
      </c>
      <c r="J1667" s="2" t="s">
        <v>47201</v>
      </c>
      <c r="K1667" s="2">
        <v>2.7865975000000001E-2</v>
      </c>
      <c r="L1667" s="2" t="s">
        <v>848</v>
      </c>
      <c r="M1667" s="4" t="s">
        <v>10983</v>
      </c>
    </row>
    <row r="1668" spans="1:13">
      <c r="A1668" s="2">
        <v>18011</v>
      </c>
      <c r="B1668" s="2" t="s">
        <v>48133</v>
      </c>
      <c r="C1668" s="2">
        <v>6</v>
      </c>
      <c r="D1668" s="2">
        <v>291</v>
      </c>
      <c r="E1668" s="2">
        <v>148</v>
      </c>
      <c r="F1668" s="2">
        <v>32441</v>
      </c>
      <c r="G1668" s="2">
        <v>4.5195040400000002</v>
      </c>
      <c r="H1668" s="2">
        <v>2.6280549999999998E-3</v>
      </c>
      <c r="I1668" s="2" t="s">
        <v>48134</v>
      </c>
      <c r="J1668" s="2" t="s">
        <v>48135</v>
      </c>
      <c r="K1668" s="2">
        <v>2.7902585000000001E-2</v>
      </c>
      <c r="L1668" s="2" t="s">
        <v>848</v>
      </c>
      <c r="M1668" s="4" t="s">
        <v>48136</v>
      </c>
    </row>
    <row r="1669" spans="1:13">
      <c r="A1669" s="2">
        <v>2381</v>
      </c>
      <c r="B1669" s="2" t="s">
        <v>9402</v>
      </c>
      <c r="C1669" s="2">
        <v>7</v>
      </c>
      <c r="D1669" s="2">
        <v>291</v>
      </c>
      <c r="E1669" s="2">
        <v>200</v>
      </c>
      <c r="F1669" s="2">
        <v>32441</v>
      </c>
      <c r="G1669" s="2">
        <v>3.9018384880000001</v>
      </c>
      <c r="H1669" s="2">
        <v>2.6360559999999999E-3</v>
      </c>
      <c r="I1669" s="2" t="s">
        <v>48137</v>
      </c>
      <c r="J1669" s="2" t="s">
        <v>48138</v>
      </c>
      <c r="K1669" s="2">
        <v>2.7902585000000001E-2</v>
      </c>
      <c r="L1669" s="2" t="s">
        <v>848</v>
      </c>
      <c r="M1669" s="4" t="s">
        <v>9405</v>
      </c>
    </row>
    <row r="1670" spans="1:13">
      <c r="A1670" s="2">
        <v>2988</v>
      </c>
      <c r="B1670" s="2" t="s">
        <v>48139</v>
      </c>
      <c r="C1670" s="2">
        <v>7</v>
      </c>
      <c r="D1670" s="2">
        <v>291</v>
      </c>
      <c r="E1670" s="2">
        <v>200</v>
      </c>
      <c r="F1670" s="2">
        <v>32441</v>
      </c>
      <c r="G1670" s="2">
        <v>3.9018384880000001</v>
      </c>
      <c r="H1670" s="2">
        <v>2.6360559999999999E-3</v>
      </c>
      <c r="I1670" s="2" t="s">
        <v>48140</v>
      </c>
      <c r="J1670" s="2" t="s">
        <v>48141</v>
      </c>
      <c r="K1670" s="2">
        <v>2.7902585000000001E-2</v>
      </c>
      <c r="L1670" s="2" t="s">
        <v>848</v>
      </c>
      <c r="M1670" s="4" t="s">
        <v>48142</v>
      </c>
    </row>
    <row r="1671" spans="1:13">
      <c r="A1671" s="2">
        <v>817</v>
      </c>
      <c r="B1671" s="2" t="s">
        <v>9881</v>
      </c>
      <c r="C1671" s="2">
        <v>18</v>
      </c>
      <c r="D1671" s="2">
        <v>291</v>
      </c>
      <c r="E1671" s="2">
        <v>946</v>
      </c>
      <c r="F1671" s="2">
        <v>32441</v>
      </c>
      <c r="G1671" s="2">
        <v>2.1212048559999999</v>
      </c>
      <c r="H1671" s="2">
        <v>2.675345E-3</v>
      </c>
      <c r="I1671" s="2" t="s">
        <v>47620</v>
      </c>
      <c r="J1671" s="2" t="s">
        <v>47621</v>
      </c>
      <c r="K1671" s="2">
        <v>2.8267885E-2</v>
      </c>
      <c r="L1671" s="2" t="s">
        <v>848</v>
      </c>
      <c r="M1671" s="4" t="s">
        <v>9882</v>
      </c>
    </row>
    <row r="1672" spans="1:13">
      <c r="A1672" s="2">
        <v>1044</v>
      </c>
      <c r="B1672" s="2" t="s">
        <v>7955</v>
      </c>
      <c r="C1672" s="2">
        <v>6</v>
      </c>
      <c r="D1672" s="2">
        <v>291</v>
      </c>
      <c r="E1672" s="2">
        <v>149</v>
      </c>
      <c r="F1672" s="2">
        <v>32441</v>
      </c>
      <c r="G1672" s="2">
        <v>4.4891717980000001</v>
      </c>
      <c r="H1672" s="2">
        <v>2.7139249999999998E-3</v>
      </c>
      <c r="I1672" s="2" t="s">
        <v>47624</v>
      </c>
      <c r="J1672" s="2" t="s">
        <v>47625</v>
      </c>
      <c r="K1672" s="2">
        <v>2.8573475000000001E-2</v>
      </c>
      <c r="L1672" s="2" t="s">
        <v>848</v>
      </c>
      <c r="M1672" s="4" t="s">
        <v>7958</v>
      </c>
    </row>
    <row r="1673" spans="1:13">
      <c r="A1673" s="2">
        <v>4542</v>
      </c>
      <c r="B1673" s="2" t="s">
        <v>29904</v>
      </c>
      <c r="C1673" s="2">
        <v>6</v>
      </c>
      <c r="D1673" s="2">
        <v>291</v>
      </c>
      <c r="E1673" s="2">
        <v>149</v>
      </c>
      <c r="F1673" s="2">
        <v>32441</v>
      </c>
      <c r="G1673" s="2">
        <v>4.4891717980000001</v>
      </c>
      <c r="H1673" s="2">
        <v>2.7139249999999998E-3</v>
      </c>
      <c r="I1673" s="2" t="s">
        <v>48143</v>
      </c>
      <c r="J1673" s="2" t="s">
        <v>48144</v>
      </c>
      <c r="K1673" s="2">
        <v>2.8573475000000001E-2</v>
      </c>
      <c r="L1673" s="2" t="s">
        <v>848</v>
      </c>
      <c r="M1673" s="4" t="s">
        <v>29907</v>
      </c>
    </row>
    <row r="1674" spans="1:13">
      <c r="A1674" s="2">
        <v>548</v>
      </c>
      <c r="B1674" s="2" t="s">
        <v>48145</v>
      </c>
      <c r="C1674" s="2">
        <v>8</v>
      </c>
      <c r="D1674" s="2">
        <v>291</v>
      </c>
      <c r="E1674" s="2">
        <v>258</v>
      </c>
      <c r="F1674" s="2">
        <v>32441</v>
      </c>
      <c r="G1674" s="2">
        <v>3.4567782839999999</v>
      </c>
      <c r="H1674" s="2">
        <v>2.7632910000000002E-3</v>
      </c>
      <c r="I1674" s="2" t="s">
        <v>48146</v>
      </c>
      <c r="J1674" s="2" t="s">
        <v>48147</v>
      </c>
      <c r="K1674" s="2">
        <v>2.9041554000000001E-2</v>
      </c>
      <c r="L1674" s="2" t="s">
        <v>848</v>
      </c>
      <c r="M1674" s="4" t="s">
        <v>48148</v>
      </c>
    </row>
    <row r="1675" spans="1:13">
      <c r="A1675" s="2">
        <v>14191</v>
      </c>
      <c r="B1675" s="2" t="s">
        <v>7735</v>
      </c>
      <c r="C1675" s="2">
        <v>8</v>
      </c>
      <c r="D1675" s="2">
        <v>291</v>
      </c>
      <c r="E1675" s="2">
        <v>259</v>
      </c>
      <c r="F1675" s="2">
        <v>32441</v>
      </c>
      <c r="G1675" s="2">
        <v>3.44343165</v>
      </c>
      <c r="H1675" s="2">
        <v>2.8272470000000002E-3</v>
      </c>
      <c r="I1675" s="2" t="s">
        <v>48149</v>
      </c>
      <c r="J1675" s="2" t="s">
        <v>48150</v>
      </c>
      <c r="K1675" s="2">
        <v>2.9661031000000001E-2</v>
      </c>
      <c r="L1675" s="2" t="s">
        <v>848</v>
      </c>
      <c r="M1675" s="4" t="s">
        <v>7738</v>
      </c>
    </row>
    <row r="1676" spans="1:13">
      <c r="A1676" s="2">
        <v>681</v>
      </c>
      <c r="B1676" s="2" t="s">
        <v>48151</v>
      </c>
      <c r="C1676" s="2">
        <v>7</v>
      </c>
      <c r="D1676" s="2">
        <v>291</v>
      </c>
      <c r="E1676" s="2">
        <v>203</v>
      </c>
      <c r="F1676" s="2">
        <v>32441</v>
      </c>
      <c r="G1676" s="2">
        <v>3.8441758500000001</v>
      </c>
      <c r="H1676" s="2">
        <v>2.8552009999999999E-3</v>
      </c>
      <c r="I1676" s="2" t="s">
        <v>47393</v>
      </c>
      <c r="J1676" s="2" t="s">
        <v>47394</v>
      </c>
      <c r="K1676" s="2">
        <v>2.9704147E-2</v>
      </c>
      <c r="L1676" s="2" t="s">
        <v>848</v>
      </c>
      <c r="M1676" s="4" t="s">
        <v>48152</v>
      </c>
    </row>
    <row r="1677" spans="1:13">
      <c r="A1677" s="2">
        <v>1076</v>
      </c>
      <c r="B1677" s="2" t="s">
        <v>48153</v>
      </c>
      <c r="C1677" s="2">
        <v>3</v>
      </c>
      <c r="D1677" s="2">
        <v>291</v>
      </c>
      <c r="E1677" s="2">
        <v>29</v>
      </c>
      <c r="F1677" s="2">
        <v>32441</v>
      </c>
      <c r="G1677" s="2">
        <v>11.532527549999999</v>
      </c>
      <c r="H1677" s="2">
        <v>2.8503309999999998E-3</v>
      </c>
      <c r="I1677" s="2" t="s">
        <v>47661</v>
      </c>
      <c r="J1677" s="2" t="s">
        <v>47662</v>
      </c>
      <c r="K1677" s="2">
        <v>2.9704147E-2</v>
      </c>
      <c r="L1677" s="2" t="s">
        <v>848</v>
      </c>
      <c r="M1677" s="4" t="s">
        <v>48154</v>
      </c>
    </row>
    <row r="1678" spans="1:13">
      <c r="A1678" s="2">
        <v>18761</v>
      </c>
      <c r="B1678" s="2" t="s">
        <v>10418</v>
      </c>
      <c r="C1678" s="2">
        <v>5</v>
      </c>
      <c r="D1678" s="2">
        <v>291</v>
      </c>
      <c r="E1678" s="2">
        <v>103</v>
      </c>
      <c r="F1678" s="2">
        <v>32441</v>
      </c>
      <c r="G1678" s="2">
        <v>5.4117038669999999</v>
      </c>
      <c r="H1678" s="2">
        <v>2.839219E-3</v>
      </c>
      <c r="I1678" s="2" t="s">
        <v>48155</v>
      </c>
      <c r="J1678" s="2" t="s">
        <v>48156</v>
      </c>
      <c r="K1678" s="2">
        <v>2.9704147E-2</v>
      </c>
      <c r="L1678" s="2" t="s">
        <v>848</v>
      </c>
      <c r="M1678" s="4" t="s">
        <v>10421</v>
      </c>
    </row>
    <row r="1679" spans="1:13">
      <c r="A1679" s="2">
        <v>1956</v>
      </c>
      <c r="B1679" s="2" t="s">
        <v>48157</v>
      </c>
      <c r="C1679" s="2">
        <v>4</v>
      </c>
      <c r="D1679" s="2">
        <v>291</v>
      </c>
      <c r="E1679" s="2">
        <v>62</v>
      </c>
      <c r="F1679" s="2">
        <v>32441</v>
      </c>
      <c r="G1679" s="2">
        <v>7.1923290099999999</v>
      </c>
      <c r="H1679" s="2">
        <v>2.8614780000000002E-3</v>
      </c>
      <c r="I1679" s="2" t="s">
        <v>48158</v>
      </c>
      <c r="J1679" s="2" t="s">
        <v>48159</v>
      </c>
      <c r="K1679" s="2">
        <v>2.9704147E-2</v>
      </c>
      <c r="L1679" s="2" t="s">
        <v>848</v>
      </c>
      <c r="M1679" s="4" t="s">
        <v>48160</v>
      </c>
    </row>
    <row r="1680" spans="1:13">
      <c r="A1680" s="2">
        <v>2414</v>
      </c>
      <c r="B1680" s="2" t="s">
        <v>48161</v>
      </c>
      <c r="C1680" s="2">
        <v>3</v>
      </c>
      <c r="D1680" s="2">
        <v>291</v>
      </c>
      <c r="E1680" s="2">
        <v>29</v>
      </c>
      <c r="F1680" s="2">
        <v>32441</v>
      </c>
      <c r="G1680" s="2">
        <v>11.532527549999999</v>
      </c>
      <c r="H1680" s="2">
        <v>2.8503309999999998E-3</v>
      </c>
      <c r="I1680" s="2" t="s">
        <v>48162</v>
      </c>
      <c r="J1680" s="2" t="s">
        <v>48163</v>
      </c>
      <c r="K1680" s="2">
        <v>2.9704147E-2</v>
      </c>
      <c r="L1680" s="2" t="s">
        <v>848</v>
      </c>
      <c r="M1680" s="4" t="s">
        <v>48164</v>
      </c>
    </row>
    <row r="1681" spans="1:13">
      <c r="A1681" s="2">
        <v>3998</v>
      </c>
      <c r="B1681" s="2" t="s">
        <v>9354</v>
      </c>
      <c r="C1681" s="2">
        <v>4</v>
      </c>
      <c r="D1681" s="2">
        <v>291</v>
      </c>
      <c r="E1681" s="2">
        <v>62</v>
      </c>
      <c r="F1681" s="2">
        <v>32441</v>
      </c>
      <c r="G1681" s="2">
        <v>7.1923290099999999</v>
      </c>
      <c r="H1681" s="2">
        <v>2.8614780000000002E-3</v>
      </c>
      <c r="I1681" s="2" t="s">
        <v>48165</v>
      </c>
      <c r="J1681" s="2" t="s">
        <v>48166</v>
      </c>
      <c r="K1681" s="2">
        <v>2.9704147E-2</v>
      </c>
      <c r="L1681" s="2" t="s">
        <v>848</v>
      </c>
      <c r="M1681" s="4" t="s">
        <v>9357</v>
      </c>
    </row>
    <row r="1682" spans="1:13">
      <c r="A1682" s="2">
        <v>4115</v>
      </c>
      <c r="B1682" s="2" t="s">
        <v>30771</v>
      </c>
      <c r="C1682" s="2">
        <v>12</v>
      </c>
      <c r="D1682" s="2">
        <v>291</v>
      </c>
      <c r="E1682" s="2">
        <v>516</v>
      </c>
      <c r="F1682" s="2">
        <v>32441</v>
      </c>
      <c r="G1682" s="2">
        <v>2.5925837129999998</v>
      </c>
      <c r="H1682" s="2">
        <v>2.9333060000000001E-3</v>
      </c>
      <c r="I1682" s="2" t="s">
        <v>48167</v>
      </c>
      <c r="J1682" s="2" t="s">
        <v>48168</v>
      </c>
      <c r="K1682" s="2">
        <v>3.0396442999999999E-2</v>
      </c>
      <c r="L1682" s="2" t="s">
        <v>848</v>
      </c>
      <c r="M1682" s="4" t="s">
        <v>30774</v>
      </c>
    </row>
    <row r="1683" spans="1:13">
      <c r="A1683" s="2">
        <v>5248</v>
      </c>
      <c r="B1683" s="2" t="s">
        <v>48169</v>
      </c>
      <c r="C1683" s="2">
        <v>5</v>
      </c>
      <c r="D1683" s="2">
        <v>291</v>
      </c>
      <c r="E1683" s="2">
        <v>104</v>
      </c>
      <c r="F1683" s="2">
        <v>32441</v>
      </c>
      <c r="G1683" s="2">
        <v>5.3596682529999997</v>
      </c>
      <c r="H1683" s="2">
        <v>2.9544990000000002E-3</v>
      </c>
      <c r="I1683" s="2" t="s">
        <v>48170</v>
      </c>
      <c r="J1683" s="2" t="s">
        <v>48171</v>
      </c>
      <c r="K1683" s="2">
        <v>3.0562537000000001E-2</v>
      </c>
      <c r="L1683" s="2" t="s">
        <v>848</v>
      </c>
      <c r="M1683" s="4" t="s">
        <v>48172</v>
      </c>
    </row>
    <row r="1684" spans="1:13">
      <c r="A1684" s="2">
        <v>1868</v>
      </c>
      <c r="B1684" s="2" t="s">
        <v>48173</v>
      </c>
      <c r="C1684" s="2">
        <v>6</v>
      </c>
      <c r="D1684" s="2">
        <v>291</v>
      </c>
      <c r="E1684" s="2">
        <v>152</v>
      </c>
      <c r="F1684" s="2">
        <v>32441</v>
      </c>
      <c r="G1684" s="2">
        <v>4.4005697230000003</v>
      </c>
      <c r="H1684" s="2">
        <v>2.9841770000000002E-3</v>
      </c>
      <c r="I1684" s="2" t="s">
        <v>48174</v>
      </c>
      <c r="J1684" s="2" t="s">
        <v>48175</v>
      </c>
      <c r="K1684" s="2">
        <v>3.0815658999999999E-2</v>
      </c>
      <c r="L1684" s="2" t="s">
        <v>848</v>
      </c>
      <c r="M1684" s="4" t="s">
        <v>48176</v>
      </c>
    </row>
    <row r="1685" spans="1:13">
      <c r="A1685" s="2">
        <v>282</v>
      </c>
      <c r="B1685" s="2" t="s">
        <v>8987</v>
      </c>
      <c r="C1685" s="2">
        <v>14</v>
      </c>
      <c r="D1685" s="2">
        <v>291</v>
      </c>
      <c r="E1685" s="2">
        <v>660</v>
      </c>
      <c r="F1685" s="2">
        <v>32441</v>
      </c>
      <c r="G1685" s="2">
        <v>2.3647505990000002</v>
      </c>
      <c r="H1685" s="2">
        <v>3.0792739999999999E-3</v>
      </c>
      <c r="I1685" s="2" t="s">
        <v>48177</v>
      </c>
      <c r="J1685" s="2" t="s">
        <v>48178</v>
      </c>
      <c r="K1685" s="2">
        <v>3.1687064000000001E-2</v>
      </c>
      <c r="L1685" s="2" t="s">
        <v>848</v>
      </c>
      <c r="M1685" s="4" t="s">
        <v>8990</v>
      </c>
    </row>
    <row r="1686" spans="1:13">
      <c r="A1686" s="2">
        <v>2018</v>
      </c>
      <c r="B1686" s="2" t="s">
        <v>11384</v>
      </c>
      <c r="C1686" s="2">
        <v>6</v>
      </c>
      <c r="D1686" s="2">
        <v>291</v>
      </c>
      <c r="E1686" s="2">
        <v>153</v>
      </c>
      <c r="F1686" s="2">
        <v>32441</v>
      </c>
      <c r="G1686" s="2">
        <v>4.3718078299999998</v>
      </c>
      <c r="H1686" s="2">
        <v>3.07858E-3</v>
      </c>
      <c r="I1686" s="2" t="s">
        <v>48179</v>
      </c>
      <c r="J1686" s="2" t="s">
        <v>48180</v>
      </c>
      <c r="K1686" s="2">
        <v>3.1687064000000001E-2</v>
      </c>
      <c r="L1686" s="2" t="s">
        <v>848</v>
      </c>
      <c r="M1686" s="4" t="s">
        <v>11387</v>
      </c>
    </row>
    <row r="1687" spans="1:13">
      <c r="A1687" s="2">
        <v>2670</v>
      </c>
      <c r="B1687" s="2" t="s">
        <v>10992</v>
      </c>
      <c r="C1687" s="2">
        <v>3</v>
      </c>
      <c r="D1687" s="2">
        <v>291</v>
      </c>
      <c r="E1687" s="2">
        <v>30</v>
      </c>
      <c r="F1687" s="2">
        <v>32441</v>
      </c>
      <c r="G1687" s="2">
        <v>11.14810997</v>
      </c>
      <c r="H1687" s="2">
        <v>3.1149289999999998E-3</v>
      </c>
      <c r="I1687" s="2" t="s">
        <v>48181</v>
      </c>
      <c r="J1687" s="2" t="s">
        <v>48182</v>
      </c>
      <c r="K1687" s="2">
        <v>3.1942866E-2</v>
      </c>
      <c r="L1687" s="2" t="s">
        <v>848</v>
      </c>
      <c r="M1687" s="4" t="s">
        <v>10995</v>
      </c>
    </row>
    <row r="1688" spans="1:13">
      <c r="A1688" s="2">
        <v>5793</v>
      </c>
      <c r="B1688" s="2" t="s">
        <v>48183</v>
      </c>
      <c r="C1688" s="2">
        <v>3</v>
      </c>
      <c r="D1688" s="2">
        <v>291</v>
      </c>
      <c r="E1688" s="2">
        <v>30</v>
      </c>
      <c r="F1688" s="2">
        <v>32441</v>
      </c>
      <c r="G1688" s="2">
        <v>11.14810997</v>
      </c>
      <c r="H1688" s="2">
        <v>3.1149289999999998E-3</v>
      </c>
      <c r="I1688" s="2" t="s">
        <v>48184</v>
      </c>
      <c r="J1688" s="2" t="s">
        <v>48185</v>
      </c>
      <c r="K1688" s="2">
        <v>3.1942866E-2</v>
      </c>
      <c r="L1688" s="2" t="s">
        <v>848</v>
      </c>
      <c r="M1688" s="4" t="s">
        <v>48186</v>
      </c>
    </row>
    <row r="1689" spans="1:13">
      <c r="A1689" s="2">
        <v>970</v>
      </c>
      <c r="B1689" s="2" t="s">
        <v>48187</v>
      </c>
      <c r="C1689" s="2">
        <v>6</v>
      </c>
      <c r="D1689" s="2">
        <v>291</v>
      </c>
      <c r="E1689" s="2">
        <v>154</v>
      </c>
      <c r="F1689" s="2">
        <v>32441</v>
      </c>
      <c r="G1689" s="2">
        <v>4.3434194670000004</v>
      </c>
      <c r="H1689" s="2">
        <v>3.175195E-3</v>
      </c>
      <c r="I1689" s="2" t="s">
        <v>48188</v>
      </c>
      <c r="J1689" s="2" t="s">
        <v>48189</v>
      </c>
      <c r="K1689" s="2">
        <v>3.2504545000000003E-2</v>
      </c>
      <c r="L1689" s="2" t="s">
        <v>848</v>
      </c>
      <c r="M1689" s="4" t="s">
        <v>48190</v>
      </c>
    </row>
    <row r="1690" spans="1:13">
      <c r="A1690" s="2">
        <v>152</v>
      </c>
      <c r="B1690" s="2" t="s">
        <v>48191</v>
      </c>
      <c r="C1690" s="2">
        <v>5</v>
      </c>
      <c r="D1690" s="2">
        <v>291</v>
      </c>
      <c r="E1690" s="2">
        <v>106</v>
      </c>
      <c r="F1690" s="2">
        <v>32441</v>
      </c>
      <c r="G1690" s="2">
        <v>5.258542437</v>
      </c>
      <c r="H1690" s="2">
        <v>3.19514E-3</v>
      </c>
      <c r="I1690" s="2" t="s">
        <v>48192</v>
      </c>
      <c r="J1690" s="2" t="s">
        <v>48193</v>
      </c>
      <c r="K1690" s="2">
        <v>3.2539837000000002E-2</v>
      </c>
      <c r="L1690" s="2" t="s">
        <v>848</v>
      </c>
      <c r="M1690" s="4" t="s">
        <v>48194</v>
      </c>
    </row>
    <row r="1691" spans="1:13">
      <c r="A1691" s="2">
        <v>2362</v>
      </c>
      <c r="B1691" s="2" t="s">
        <v>30501</v>
      </c>
      <c r="C1691" s="2">
        <v>5</v>
      </c>
      <c r="D1691" s="2">
        <v>291</v>
      </c>
      <c r="E1691" s="2">
        <v>106</v>
      </c>
      <c r="F1691" s="2">
        <v>32441</v>
      </c>
      <c r="G1691" s="2">
        <v>5.258542437</v>
      </c>
      <c r="H1691" s="2">
        <v>3.19514E-3</v>
      </c>
      <c r="I1691" s="2" t="s">
        <v>48195</v>
      </c>
      <c r="J1691" s="2" t="s">
        <v>48196</v>
      </c>
      <c r="K1691" s="2">
        <v>3.2539837000000002E-2</v>
      </c>
      <c r="L1691" s="2" t="s">
        <v>848</v>
      </c>
      <c r="M1691" s="4" t="s">
        <v>30504</v>
      </c>
    </row>
    <row r="1692" spans="1:13">
      <c r="A1692" s="2">
        <v>5184</v>
      </c>
      <c r="B1692" s="2" t="s">
        <v>43107</v>
      </c>
      <c r="C1692" s="2">
        <v>4</v>
      </c>
      <c r="D1692" s="2">
        <v>291</v>
      </c>
      <c r="E1692" s="2">
        <v>64</v>
      </c>
      <c r="F1692" s="2">
        <v>32441</v>
      </c>
      <c r="G1692" s="2">
        <v>6.9675687289999999</v>
      </c>
      <c r="H1692" s="2">
        <v>3.188949E-3</v>
      </c>
      <c r="I1692" s="2" t="s">
        <v>46518</v>
      </c>
      <c r="J1692" s="2" t="s">
        <v>46519</v>
      </c>
      <c r="K1692" s="2">
        <v>3.2539837000000002E-2</v>
      </c>
      <c r="L1692" s="2" t="s">
        <v>848</v>
      </c>
      <c r="M1692" s="4" t="s">
        <v>43110</v>
      </c>
    </row>
    <row r="1693" spans="1:13">
      <c r="A1693" s="2">
        <v>2327</v>
      </c>
      <c r="B1693" s="2" t="s">
        <v>7647</v>
      </c>
      <c r="C1693" s="2">
        <v>11</v>
      </c>
      <c r="D1693" s="2">
        <v>291</v>
      </c>
      <c r="E1693" s="2">
        <v>454</v>
      </c>
      <c r="F1693" s="2">
        <v>32441</v>
      </c>
      <c r="G1693" s="2">
        <v>2.7010839120000001</v>
      </c>
      <c r="H1693" s="2">
        <v>3.2039960000000002E-3</v>
      </c>
      <c r="I1693" s="2" t="s">
        <v>48197</v>
      </c>
      <c r="J1693" s="2" t="s">
        <v>48198</v>
      </c>
      <c r="K1693" s="2">
        <v>3.2573959999999999E-2</v>
      </c>
      <c r="L1693" s="2" t="s">
        <v>848</v>
      </c>
      <c r="M1693" s="4" t="s">
        <v>7650</v>
      </c>
    </row>
    <row r="1694" spans="1:13">
      <c r="A1694" s="2">
        <v>5619</v>
      </c>
      <c r="B1694" s="2" t="s">
        <v>48199</v>
      </c>
      <c r="C1694" s="2">
        <v>6</v>
      </c>
      <c r="D1694" s="2">
        <v>291</v>
      </c>
      <c r="E1694" s="2">
        <v>155</v>
      </c>
      <c r="F1694" s="2">
        <v>32441</v>
      </c>
      <c r="G1694" s="2">
        <v>4.3153974059999998</v>
      </c>
      <c r="H1694" s="2">
        <v>3.2740540000000002E-3</v>
      </c>
      <c r="I1694" s="2" t="s">
        <v>48200</v>
      </c>
      <c r="J1694" s="2" t="s">
        <v>48201</v>
      </c>
      <c r="K1694" s="2">
        <v>3.3229120000000001E-2</v>
      </c>
      <c r="L1694" s="2" t="s">
        <v>848</v>
      </c>
      <c r="M1694" s="4" t="s">
        <v>48202</v>
      </c>
    </row>
    <row r="1695" spans="1:13">
      <c r="A1695" s="2">
        <v>5543</v>
      </c>
      <c r="B1695" s="2" t="s">
        <v>48203</v>
      </c>
      <c r="C1695" s="2">
        <v>7</v>
      </c>
      <c r="D1695" s="2">
        <v>291</v>
      </c>
      <c r="E1695" s="2">
        <v>209</v>
      </c>
      <c r="F1695" s="2">
        <v>32441</v>
      </c>
      <c r="G1695" s="2">
        <v>3.733816735</v>
      </c>
      <c r="H1695" s="2">
        <v>3.335144E-3</v>
      </c>
      <c r="I1695" s="2" t="s">
        <v>48204</v>
      </c>
      <c r="J1695" s="2" t="s">
        <v>48205</v>
      </c>
      <c r="K1695" s="2">
        <v>3.3791179999999997E-2</v>
      </c>
      <c r="L1695" s="2" t="s">
        <v>848</v>
      </c>
      <c r="M1695" s="4" t="s">
        <v>48206</v>
      </c>
    </row>
    <row r="1696" spans="1:13">
      <c r="A1696" s="2">
        <v>18371</v>
      </c>
      <c r="B1696" s="2" t="s">
        <v>48207</v>
      </c>
      <c r="C1696" s="2">
        <v>3</v>
      </c>
      <c r="D1696" s="2">
        <v>291</v>
      </c>
      <c r="E1696" s="2">
        <v>31</v>
      </c>
      <c r="F1696" s="2">
        <v>32441</v>
      </c>
      <c r="G1696" s="2">
        <v>10.788493519999999</v>
      </c>
      <c r="H1696" s="2">
        <v>3.3941169999999999E-3</v>
      </c>
      <c r="I1696" s="2" t="s">
        <v>48208</v>
      </c>
      <c r="J1696" s="2" t="s">
        <v>48209</v>
      </c>
      <c r="K1696" s="2">
        <v>3.4329894E-2</v>
      </c>
      <c r="L1696" s="2" t="s">
        <v>848</v>
      </c>
      <c r="M1696" s="4" t="s">
        <v>48210</v>
      </c>
    </row>
    <row r="1697" spans="1:13">
      <c r="A1697" s="2">
        <v>4881</v>
      </c>
      <c r="B1697" s="2" t="s">
        <v>7983</v>
      </c>
      <c r="C1697" s="2">
        <v>12</v>
      </c>
      <c r="D1697" s="2">
        <v>291</v>
      </c>
      <c r="E1697" s="2">
        <v>526</v>
      </c>
      <c r="F1697" s="2">
        <v>32441</v>
      </c>
      <c r="G1697" s="2">
        <v>2.5432950490000001</v>
      </c>
      <c r="H1697" s="2">
        <v>3.407925E-3</v>
      </c>
      <c r="I1697" s="2" t="s">
        <v>48211</v>
      </c>
      <c r="J1697" s="2" t="s">
        <v>48212</v>
      </c>
      <c r="K1697" s="2">
        <v>3.4410739000000003E-2</v>
      </c>
      <c r="L1697" s="2" t="s">
        <v>848</v>
      </c>
      <c r="M1697" s="4" t="s">
        <v>7986</v>
      </c>
    </row>
    <row r="1698" spans="1:13">
      <c r="A1698" s="2">
        <v>3613</v>
      </c>
      <c r="B1698" s="2" t="s">
        <v>10717</v>
      </c>
      <c r="C1698" s="2">
        <v>7</v>
      </c>
      <c r="D1698" s="2">
        <v>291</v>
      </c>
      <c r="E1698" s="2">
        <v>211</v>
      </c>
      <c r="F1698" s="2">
        <v>32441</v>
      </c>
      <c r="G1698" s="2">
        <v>3.6984251069999998</v>
      </c>
      <c r="H1698" s="2">
        <v>3.5080670000000001E-3</v>
      </c>
      <c r="I1698" s="2" t="s">
        <v>47780</v>
      </c>
      <c r="J1698" s="2" t="s">
        <v>47781</v>
      </c>
      <c r="K1698" s="2">
        <v>3.5361549999999999E-2</v>
      </c>
      <c r="L1698" s="2" t="s">
        <v>848</v>
      </c>
      <c r="M1698" s="4" t="s">
        <v>10720</v>
      </c>
    </row>
    <row r="1699" spans="1:13">
      <c r="A1699" s="2">
        <v>3279</v>
      </c>
      <c r="B1699" s="2" t="s">
        <v>10701</v>
      </c>
      <c r="C1699" s="2">
        <v>4</v>
      </c>
      <c r="D1699" s="2">
        <v>291</v>
      </c>
      <c r="E1699" s="2">
        <v>66</v>
      </c>
      <c r="F1699" s="2">
        <v>32441</v>
      </c>
      <c r="G1699" s="2">
        <v>6.7564302820000002</v>
      </c>
      <c r="H1699" s="2">
        <v>3.541074E-3</v>
      </c>
      <c r="I1699" s="2" t="s">
        <v>47995</v>
      </c>
      <c r="J1699" s="2" t="s">
        <v>47996</v>
      </c>
      <c r="K1699" s="2">
        <v>3.5633564999999999E-2</v>
      </c>
      <c r="L1699" s="2" t="s">
        <v>848</v>
      </c>
      <c r="M1699" s="4" t="s">
        <v>10702</v>
      </c>
    </row>
    <row r="1700" spans="1:13">
      <c r="A1700" s="2">
        <v>3811</v>
      </c>
      <c r="B1700" s="2" t="s">
        <v>10547</v>
      </c>
      <c r="C1700" s="2">
        <v>5</v>
      </c>
      <c r="D1700" s="2">
        <v>291</v>
      </c>
      <c r="E1700" s="2">
        <v>109</v>
      </c>
      <c r="F1700" s="2">
        <v>32441</v>
      </c>
      <c r="G1700" s="2">
        <v>5.113811911</v>
      </c>
      <c r="H1700" s="2">
        <v>3.5821260000000001E-3</v>
      </c>
      <c r="I1700" s="2" t="s">
        <v>48213</v>
      </c>
      <c r="J1700" s="2" t="s">
        <v>48214</v>
      </c>
      <c r="K1700" s="2">
        <v>3.5985468E-2</v>
      </c>
      <c r="L1700" s="2" t="s">
        <v>848</v>
      </c>
      <c r="M1700" s="4" t="s">
        <v>10550</v>
      </c>
    </row>
    <row r="1701" spans="1:13">
      <c r="A1701" s="2">
        <v>1900</v>
      </c>
      <c r="B1701" s="2" t="s">
        <v>48215</v>
      </c>
      <c r="C1701" s="2">
        <v>7</v>
      </c>
      <c r="D1701" s="2">
        <v>291</v>
      </c>
      <c r="E1701" s="2">
        <v>212</v>
      </c>
      <c r="F1701" s="2">
        <v>32441</v>
      </c>
      <c r="G1701" s="2">
        <v>3.680979706</v>
      </c>
      <c r="H1701" s="2">
        <v>3.5970469999999999E-3</v>
      </c>
      <c r="I1701" s="2" t="s">
        <v>48216</v>
      </c>
      <c r="J1701" s="2" t="s">
        <v>48217</v>
      </c>
      <c r="K1701" s="2">
        <v>3.6013075999999998E-2</v>
      </c>
      <c r="L1701" s="2" t="s">
        <v>848</v>
      </c>
      <c r="M1701" s="4" t="s">
        <v>48218</v>
      </c>
    </row>
    <row r="1702" spans="1:13">
      <c r="A1702" s="2">
        <v>4685</v>
      </c>
      <c r="B1702" s="2" t="s">
        <v>28589</v>
      </c>
      <c r="C1702" s="2">
        <v>30</v>
      </c>
      <c r="D1702" s="2">
        <v>291</v>
      </c>
      <c r="E1702" s="2">
        <v>1967</v>
      </c>
      <c r="F1702" s="2">
        <v>32441</v>
      </c>
      <c r="G1702" s="2">
        <v>1.7002709659999999</v>
      </c>
      <c r="H1702" s="2">
        <v>3.5968189999999998E-3</v>
      </c>
      <c r="I1702" s="2" t="s">
        <v>48219</v>
      </c>
      <c r="J1702" s="2" t="s">
        <v>48220</v>
      </c>
      <c r="K1702" s="2">
        <v>3.6013075999999998E-2</v>
      </c>
      <c r="L1702" s="2" t="s">
        <v>848</v>
      </c>
      <c r="M1702" s="4" t="s">
        <v>28592</v>
      </c>
    </row>
    <row r="1703" spans="1:13">
      <c r="A1703" s="2">
        <v>1042</v>
      </c>
      <c r="B1703" s="2" t="s">
        <v>48221</v>
      </c>
      <c r="C1703" s="2">
        <v>8</v>
      </c>
      <c r="D1703" s="2">
        <v>291</v>
      </c>
      <c r="E1703" s="2">
        <v>270</v>
      </c>
      <c r="F1703" s="2">
        <v>32441</v>
      </c>
      <c r="G1703" s="2">
        <v>3.3031436940000001</v>
      </c>
      <c r="H1703" s="2">
        <v>3.6097260000000002E-3</v>
      </c>
      <c r="I1703" s="2" t="s">
        <v>48222</v>
      </c>
      <c r="J1703" s="2" t="s">
        <v>48223</v>
      </c>
      <c r="K1703" s="2">
        <v>3.6078962999999999E-2</v>
      </c>
      <c r="L1703" s="2" t="s">
        <v>848</v>
      </c>
      <c r="M1703" s="4" t="s">
        <v>48224</v>
      </c>
    </row>
    <row r="1704" spans="1:13">
      <c r="A1704" s="2">
        <v>2897</v>
      </c>
      <c r="B1704" s="2" t="s">
        <v>918</v>
      </c>
      <c r="C1704" s="2">
        <v>28</v>
      </c>
      <c r="D1704" s="2">
        <v>291</v>
      </c>
      <c r="E1704" s="2">
        <v>1796</v>
      </c>
      <c r="F1704" s="2">
        <v>32441</v>
      </c>
      <c r="G1704" s="2">
        <v>1.7380126899999999</v>
      </c>
      <c r="H1704" s="2">
        <v>3.633041E-3</v>
      </c>
      <c r="I1704" s="2" t="s">
        <v>48225</v>
      </c>
      <c r="J1704" s="2" t="s">
        <v>48226</v>
      </c>
      <c r="K1704" s="2">
        <v>3.625076E-2</v>
      </c>
      <c r="L1704" s="2" t="s">
        <v>848</v>
      </c>
      <c r="M1704" s="4" t="s">
        <v>43151</v>
      </c>
    </row>
    <row r="1705" spans="1:13">
      <c r="A1705" s="2">
        <v>4153</v>
      </c>
      <c r="B1705" s="2" t="s">
        <v>8214</v>
      </c>
      <c r="C1705" s="2">
        <v>14</v>
      </c>
      <c r="D1705" s="2">
        <v>291</v>
      </c>
      <c r="E1705" s="2">
        <v>673</v>
      </c>
      <c r="F1705" s="2">
        <v>32441</v>
      </c>
      <c r="G1705" s="2">
        <v>2.3190719099999999</v>
      </c>
      <c r="H1705" s="2">
        <v>3.6443560000000001E-3</v>
      </c>
      <c r="I1705" s="2" t="s">
        <v>48227</v>
      </c>
      <c r="J1705" s="2" t="s">
        <v>48228</v>
      </c>
      <c r="K1705" s="2">
        <v>3.6266896E-2</v>
      </c>
      <c r="L1705" s="2" t="s">
        <v>848</v>
      </c>
      <c r="M1705" s="4" t="s">
        <v>8217</v>
      </c>
    </row>
    <row r="1706" spans="1:13">
      <c r="A1706" s="2">
        <v>4868</v>
      </c>
      <c r="B1706" s="2" t="s">
        <v>9568</v>
      </c>
      <c r="C1706" s="2">
        <v>13</v>
      </c>
      <c r="D1706" s="2">
        <v>291</v>
      </c>
      <c r="E1706" s="2">
        <v>601</v>
      </c>
      <c r="F1706" s="2">
        <v>32441</v>
      </c>
      <c r="G1706" s="2">
        <v>2.4114048179999998</v>
      </c>
      <c r="H1706" s="2">
        <v>3.646916E-3</v>
      </c>
      <c r="I1706" s="2" t="s">
        <v>48229</v>
      </c>
      <c r="J1706" s="2" t="s">
        <v>48230</v>
      </c>
      <c r="K1706" s="2">
        <v>3.6266896E-2</v>
      </c>
      <c r="L1706" s="2" t="s">
        <v>848</v>
      </c>
      <c r="M1706" s="4" t="s">
        <v>9571</v>
      </c>
    </row>
    <row r="1707" spans="1:13">
      <c r="A1707" s="2">
        <v>4691</v>
      </c>
      <c r="B1707" s="2" t="s">
        <v>48231</v>
      </c>
      <c r="C1707" s="2">
        <v>3</v>
      </c>
      <c r="D1707" s="2">
        <v>291</v>
      </c>
      <c r="E1707" s="2">
        <v>32</v>
      </c>
      <c r="F1707" s="2">
        <v>32441</v>
      </c>
      <c r="G1707" s="2">
        <v>10.45135309</v>
      </c>
      <c r="H1707" s="2">
        <v>3.6881409999999998E-3</v>
      </c>
      <c r="I1707" s="2" t="s">
        <v>48232</v>
      </c>
      <c r="J1707" s="2" t="s">
        <v>48233</v>
      </c>
      <c r="K1707" s="2">
        <v>3.6310699000000002E-2</v>
      </c>
      <c r="L1707" s="2" t="s">
        <v>848</v>
      </c>
      <c r="M1707" s="4" t="s">
        <v>48234</v>
      </c>
    </row>
    <row r="1708" spans="1:13">
      <c r="A1708" s="2">
        <v>1119</v>
      </c>
      <c r="B1708" s="2" t="s">
        <v>48235</v>
      </c>
      <c r="C1708" s="2">
        <v>3</v>
      </c>
      <c r="D1708" s="2">
        <v>291</v>
      </c>
      <c r="E1708" s="2">
        <v>32</v>
      </c>
      <c r="F1708" s="2">
        <v>32441</v>
      </c>
      <c r="G1708" s="2">
        <v>10.45135309</v>
      </c>
      <c r="H1708" s="2">
        <v>3.6881409999999998E-3</v>
      </c>
      <c r="I1708" s="2" t="s">
        <v>48236</v>
      </c>
      <c r="J1708" s="2" t="s">
        <v>48237</v>
      </c>
      <c r="K1708" s="2">
        <v>3.6310699000000002E-2</v>
      </c>
      <c r="L1708" s="2" t="s">
        <v>848</v>
      </c>
      <c r="M1708" s="4" t="s">
        <v>48238</v>
      </c>
    </row>
    <row r="1709" spans="1:13">
      <c r="A1709" s="2">
        <v>2690</v>
      </c>
      <c r="B1709" s="2" t="s">
        <v>48239</v>
      </c>
      <c r="C1709" s="2">
        <v>7</v>
      </c>
      <c r="D1709" s="2">
        <v>291</v>
      </c>
      <c r="E1709" s="2">
        <v>213</v>
      </c>
      <c r="F1709" s="2">
        <v>32441</v>
      </c>
      <c r="G1709" s="2">
        <v>3.663698111</v>
      </c>
      <c r="H1709" s="2">
        <v>3.6877350000000001E-3</v>
      </c>
      <c r="I1709" s="2" t="s">
        <v>48240</v>
      </c>
      <c r="J1709" s="2" t="s">
        <v>48241</v>
      </c>
      <c r="K1709" s="2">
        <v>3.6310699000000002E-2</v>
      </c>
      <c r="L1709" s="2" t="s">
        <v>848</v>
      </c>
      <c r="M1709" s="4" t="s">
        <v>48242</v>
      </c>
    </row>
    <row r="1710" spans="1:13">
      <c r="A1710" s="2">
        <v>33581</v>
      </c>
      <c r="B1710" s="2" t="s">
        <v>48243</v>
      </c>
      <c r="C1710" s="2">
        <v>3</v>
      </c>
      <c r="D1710" s="2">
        <v>291</v>
      </c>
      <c r="E1710" s="2">
        <v>32</v>
      </c>
      <c r="F1710" s="2">
        <v>32441</v>
      </c>
      <c r="G1710" s="2">
        <v>10.45135309</v>
      </c>
      <c r="H1710" s="2">
        <v>3.6881409999999998E-3</v>
      </c>
      <c r="I1710" s="2" t="s">
        <v>48244</v>
      </c>
      <c r="J1710" s="2" t="s">
        <v>48245</v>
      </c>
      <c r="K1710" s="2">
        <v>3.6310699000000002E-2</v>
      </c>
      <c r="L1710" s="2" t="s">
        <v>848</v>
      </c>
      <c r="M1710" s="4" t="s">
        <v>48246</v>
      </c>
    </row>
    <row r="1711" spans="1:13">
      <c r="A1711" s="2">
        <v>4135</v>
      </c>
      <c r="B1711" s="2" t="s">
        <v>48247</v>
      </c>
      <c r="C1711" s="2">
        <v>3</v>
      </c>
      <c r="D1711" s="2">
        <v>291</v>
      </c>
      <c r="E1711" s="2">
        <v>32</v>
      </c>
      <c r="F1711" s="2">
        <v>32441</v>
      </c>
      <c r="G1711" s="2">
        <v>10.45135309</v>
      </c>
      <c r="H1711" s="2">
        <v>3.6881409999999998E-3</v>
      </c>
      <c r="I1711" s="2" t="s">
        <v>48248</v>
      </c>
      <c r="J1711" s="2" t="s">
        <v>48249</v>
      </c>
      <c r="K1711" s="2">
        <v>3.6310699000000002E-2</v>
      </c>
      <c r="L1711" s="2" t="s">
        <v>848</v>
      </c>
      <c r="M1711" s="4" t="s">
        <v>48250</v>
      </c>
    </row>
    <row r="1712" spans="1:13">
      <c r="A1712" s="2">
        <v>5352</v>
      </c>
      <c r="B1712" s="2" t="s">
        <v>48251</v>
      </c>
      <c r="C1712" s="2">
        <v>3</v>
      </c>
      <c r="D1712" s="2">
        <v>291</v>
      </c>
      <c r="E1712" s="2">
        <v>32</v>
      </c>
      <c r="F1712" s="2">
        <v>32441</v>
      </c>
      <c r="G1712" s="2">
        <v>10.45135309</v>
      </c>
      <c r="H1712" s="2">
        <v>3.6881409999999998E-3</v>
      </c>
      <c r="I1712" s="2" t="s">
        <v>47765</v>
      </c>
      <c r="J1712" s="2" t="s">
        <v>47766</v>
      </c>
      <c r="K1712" s="2">
        <v>3.6310699000000002E-2</v>
      </c>
      <c r="L1712" s="2" t="s">
        <v>848</v>
      </c>
      <c r="M1712" s="4" t="s">
        <v>48252</v>
      </c>
    </row>
    <row r="1713" spans="1:13">
      <c r="A1713" s="2">
        <v>3011</v>
      </c>
      <c r="B1713" s="2" t="s">
        <v>8480</v>
      </c>
      <c r="C1713" s="2">
        <v>20</v>
      </c>
      <c r="D1713" s="2">
        <v>291</v>
      </c>
      <c r="E1713" s="2">
        <v>1135</v>
      </c>
      <c r="F1713" s="2">
        <v>32441</v>
      </c>
      <c r="G1713" s="2">
        <v>1.964424664</v>
      </c>
      <c r="H1713" s="2">
        <v>3.724584E-3</v>
      </c>
      <c r="I1713" s="2" t="s">
        <v>48253</v>
      </c>
      <c r="J1713" s="2" t="s">
        <v>48254</v>
      </c>
      <c r="K1713" s="2">
        <v>3.6608580000000002E-2</v>
      </c>
      <c r="L1713" s="2" t="s">
        <v>848</v>
      </c>
      <c r="M1713" s="4" t="s">
        <v>8483</v>
      </c>
    </row>
    <row r="1714" spans="1:13">
      <c r="A1714" s="2">
        <v>5223</v>
      </c>
      <c r="B1714" s="2" t="s">
        <v>10793</v>
      </c>
      <c r="C1714" s="2">
        <v>11</v>
      </c>
      <c r="D1714" s="2">
        <v>291</v>
      </c>
      <c r="E1714" s="2">
        <v>464</v>
      </c>
      <c r="F1714" s="2">
        <v>32441</v>
      </c>
      <c r="G1714" s="2">
        <v>2.6428708969999999</v>
      </c>
      <c r="H1714" s="2">
        <v>3.7579449999999999E-3</v>
      </c>
      <c r="I1714" s="2" t="s">
        <v>48255</v>
      </c>
      <c r="J1714" s="2" t="s">
        <v>48256</v>
      </c>
      <c r="K1714" s="2">
        <v>3.6875221999999999E-2</v>
      </c>
      <c r="L1714" s="2" t="s">
        <v>848</v>
      </c>
      <c r="M1714" s="4" t="s">
        <v>10796</v>
      </c>
    </row>
    <row r="1715" spans="1:13">
      <c r="A1715" s="2">
        <v>8101</v>
      </c>
      <c r="B1715" s="2" t="s">
        <v>38433</v>
      </c>
      <c r="C1715" s="2">
        <v>6</v>
      </c>
      <c r="D1715" s="2">
        <v>291</v>
      </c>
      <c r="E1715" s="2">
        <v>161</v>
      </c>
      <c r="F1715" s="2">
        <v>32441</v>
      </c>
      <c r="G1715" s="2">
        <v>4.1545751419999997</v>
      </c>
      <c r="H1715" s="2">
        <v>3.916119E-3</v>
      </c>
      <c r="I1715" s="2" t="s">
        <v>48257</v>
      </c>
      <c r="J1715" s="2" t="s">
        <v>48258</v>
      </c>
      <c r="K1715" s="2">
        <v>3.8363705999999997E-2</v>
      </c>
      <c r="L1715" s="2" t="s">
        <v>848</v>
      </c>
      <c r="M1715" s="4" t="s">
        <v>38436</v>
      </c>
    </row>
    <row r="1716" spans="1:13">
      <c r="A1716" s="2">
        <v>382</v>
      </c>
      <c r="B1716" s="2" t="s">
        <v>48259</v>
      </c>
      <c r="C1716" s="2">
        <v>3</v>
      </c>
      <c r="D1716" s="2">
        <v>291</v>
      </c>
      <c r="E1716" s="2">
        <v>33</v>
      </c>
      <c r="F1716" s="2">
        <v>32441</v>
      </c>
      <c r="G1716" s="2">
        <v>10.13464542</v>
      </c>
      <c r="H1716" s="2">
        <v>3.9972380000000002E-3</v>
      </c>
      <c r="I1716" s="2" t="s">
        <v>44577</v>
      </c>
      <c r="J1716" s="2" t="s">
        <v>44578</v>
      </c>
      <c r="K1716" s="2">
        <v>3.8943670999999999E-2</v>
      </c>
      <c r="L1716" s="2" t="s">
        <v>848</v>
      </c>
      <c r="M1716" s="4" t="s">
        <v>48260</v>
      </c>
    </row>
    <row r="1717" spans="1:13">
      <c r="A1717" s="2">
        <v>1803</v>
      </c>
      <c r="B1717" s="2" t="s">
        <v>48261</v>
      </c>
      <c r="C1717" s="2">
        <v>3</v>
      </c>
      <c r="D1717" s="2">
        <v>291</v>
      </c>
      <c r="E1717" s="2">
        <v>33</v>
      </c>
      <c r="F1717" s="2">
        <v>32441</v>
      </c>
      <c r="G1717" s="2">
        <v>10.13464542</v>
      </c>
      <c r="H1717" s="2">
        <v>3.9972380000000002E-3</v>
      </c>
      <c r="I1717" s="2" t="s">
        <v>48262</v>
      </c>
      <c r="J1717" s="2" t="s">
        <v>48263</v>
      </c>
      <c r="K1717" s="2">
        <v>3.8943670999999999E-2</v>
      </c>
      <c r="L1717" s="2" t="s">
        <v>848</v>
      </c>
      <c r="M1717" s="4" t="s">
        <v>48264</v>
      </c>
    </row>
    <row r="1718" spans="1:13">
      <c r="A1718" s="2">
        <v>2574</v>
      </c>
      <c r="B1718" s="2" t="s">
        <v>48265</v>
      </c>
      <c r="C1718" s="2">
        <v>5</v>
      </c>
      <c r="D1718" s="2">
        <v>291</v>
      </c>
      <c r="E1718" s="2">
        <v>112</v>
      </c>
      <c r="F1718" s="2">
        <v>32441</v>
      </c>
      <c r="G1718" s="2">
        <v>4.9768348060000003</v>
      </c>
      <c r="H1718" s="2">
        <v>4.001648E-3</v>
      </c>
      <c r="I1718" s="2" t="s">
        <v>48020</v>
      </c>
      <c r="J1718" s="2" t="s">
        <v>48021</v>
      </c>
      <c r="K1718" s="2">
        <v>3.8943670999999999E-2</v>
      </c>
      <c r="L1718" s="2" t="s">
        <v>848</v>
      </c>
      <c r="M1718" s="4" t="s">
        <v>48266</v>
      </c>
    </row>
    <row r="1719" spans="1:13">
      <c r="A1719" s="2">
        <v>3293</v>
      </c>
      <c r="B1719" s="2" t="s">
        <v>48267</v>
      </c>
      <c r="C1719" s="2">
        <v>3</v>
      </c>
      <c r="D1719" s="2">
        <v>291</v>
      </c>
      <c r="E1719" s="2">
        <v>33</v>
      </c>
      <c r="F1719" s="2">
        <v>32441</v>
      </c>
      <c r="G1719" s="2">
        <v>10.13464542</v>
      </c>
      <c r="H1719" s="2">
        <v>3.9972380000000002E-3</v>
      </c>
      <c r="I1719" s="2" t="s">
        <v>48268</v>
      </c>
      <c r="J1719" s="2" t="s">
        <v>48269</v>
      </c>
      <c r="K1719" s="2">
        <v>3.8943670999999999E-2</v>
      </c>
      <c r="L1719" s="2" t="s">
        <v>848</v>
      </c>
      <c r="M1719" s="4" t="s">
        <v>48270</v>
      </c>
    </row>
    <row r="1720" spans="1:13">
      <c r="A1720" s="2">
        <v>5720</v>
      </c>
      <c r="B1720" s="2" t="s">
        <v>48271</v>
      </c>
      <c r="C1720" s="2">
        <v>6</v>
      </c>
      <c r="D1720" s="2">
        <v>291</v>
      </c>
      <c r="E1720" s="2">
        <v>163</v>
      </c>
      <c r="F1720" s="2">
        <v>32441</v>
      </c>
      <c r="G1720" s="2">
        <v>4.1035987599999997</v>
      </c>
      <c r="H1720" s="2">
        <v>4.1495430000000003E-3</v>
      </c>
      <c r="I1720" s="2" t="s">
        <v>48272</v>
      </c>
      <c r="J1720" s="2" t="s">
        <v>48273</v>
      </c>
      <c r="K1720" s="2">
        <v>4.0316660999999997E-2</v>
      </c>
      <c r="L1720" s="2" t="s">
        <v>848</v>
      </c>
      <c r="M1720" s="4" t="s">
        <v>48274</v>
      </c>
    </row>
    <row r="1721" spans="1:13">
      <c r="A1721" s="2">
        <v>5347</v>
      </c>
      <c r="B1721" s="2" t="s">
        <v>7711</v>
      </c>
      <c r="C1721" s="2">
        <v>23</v>
      </c>
      <c r="D1721" s="2">
        <v>291</v>
      </c>
      <c r="E1721" s="2">
        <v>1393</v>
      </c>
      <c r="F1721" s="2">
        <v>32441</v>
      </c>
      <c r="G1721" s="2">
        <v>1.8406786020000001</v>
      </c>
      <c r="H1721" s="2">
        <v>4.2096640000000001E-3</v>
      </c>
      <c r="I1721" s="2" t="s">
        <v>48275</v>
      </c>
      <c r="J1721" s="2" t="s">
        <v>48276</v>
      </c>
      <c r="K1721" s="2">
        <v>4.0833741999999999E-2</v>
      </c>
      <c r="L1721" s="2" t="s">
        <v>848</v>
      </c>
      <c r="M1721" s="4" t="s">
        <v>7714</v>
      </c>
    </row>
    <row r="1722" spans="1:13">
      <c r="A1722" s="2">
        <v>5149</v>
      </c>
      <c r="B1722" s="2" t="s">
        <v>8791</v>
      </c>
      <c r="C1722" s="2">
        <v>20</v>
      </c>
      <c r="D1722" s="2">
        <v>291</v>
      </c>
      <c r="E1722" s="2">
        <v>1149</v>
      </c>
      <c r="F1722" s="2">
        <v>32441</v>
      </c>
      <c r="G1722" s="2">
        <v>1.9404891150000001</v>
      </c>
      <c r="H1722" s="2">
        <v>4.2510220000000001E-3</v>
      </c>
      <c r="I1722" s="2" t="s">
        <v>48277</v>
      </c>
      <c r="J1722" s="2" t="s">
        <v>48278</v>
      </c>
      <c r="K1722" s="2">
        <v>4.1167429999999998E-2</v>
      </c>
      <c r="L1722" s="2" t="s">
        <v>848</v>
      </c>
      <c r="M1722" s="4" t="s">
        <v>8794</v>
      </c>
    </row>
    <row r="1723" spans="1:13">
      <c r="A1723" s="2">
        <v>1607</v>
      </c>
      <c r="B1723" s="2" t="s">
        <v>9202</v>
      </c>
      <c r="C1723" s="2">
        <v>8</v>
      </c>
      <c r="D1723" s="2">
        <v>291</v>
      </c>
      <c r="E1723" s="2">
        <v>278</v>
      </c>
      <c r="F1723" s="2">
        <v>32441</v>
      </c>
      <c r="G1723" s="2">
        <v>3.2080891989999998</v>
      </c>
      <c r="H1723" s="2">
        <v>4.2770200000000003E-3</v>
      </c>
      <c r="I1723" s="2" t="s">
        <v>48279</v>
      </c>
      <c r="J1723" s="2" t="s">
        <v>48280</v>
      </c>
      <c r="K1723" s="2">
        <v>4.1351517999999997E-2</v>
      </c>
      <c r="L1723" s="2" t="s">
        <v>848</v>
      </c>
      <c r="M1723" s="4" t="s">
        <v>9205</v>
      </c>
    </row>
    <row r="1724" spans="1:13">
      <c r="A1724" s="2">
        <v>4383</v>
      </c>
      <c r="B1724" s="2" t="s">
        <v>11149</v>
      </c>
      <c r="C1724" s="2">
        <v>3</v>
      </c>
      <c r="D1724" s="2">
        <v>291</v>
      </c>
      <c r="E1724" s="2">
        <v>34</v>
      </c>
      <c r="F1724" s="2">
        <v>32441</v>
      </c>
      <c r="G1724" s="2">
        <v>9.836567617</v>
      </c>
      <c r="H1724" s="2">
        <v>4.3216349999999999E-3</v>
      </c>
      <c r="I1724" s="2" t="s">
        <v>48281</v>
      </c>
      <c r="J1724" s="2" t="s">
        <v>48282</v>
      </c>
      <c r="K1724" s="2">
        <v>4.1387492999999997E-2</v>
      </c>
      <c r="L1724" s="2" t="s">
        <v>848</v>
      </c>
      <c r="M1724" s="4" t="s">
        <v>11152</v>
      </c>
    </row>
    <row r="1725" spans="1:13">
      <c r="A1725" s="2">
        <v>15831</v>
      </c>
      <c r="B1725" s="2" t="s">
        <v>48283</v>
      </c>
      <c r="C1725" s="2">
        <v>3</v>
      </c>
      <c r="D1725" s="2">
        <v>291</v>
      </c>
      <c r="E1725" s="2">
        <v>34</v>
      </c>
      <c r="F1725" s="2">
        <v>32441</v>
      </c>
      <c r="G1725" s="2">
        <v>9.836567617</v>
      </c>
      <c r="H1725" s="2">
        <v>4.3216349999999999E-3</v>
      </c>
      <c r="I1725" s="2" t="s">
        <v>48010</v>
      </c>
      <c r="J1725" s="2" t="s">
        <v>48011</v>
      </c>
      <c r="K1725" s="2">
        <v>4.1387492999999997E-2</v>
      </c>
      <c r="L1725" s="2" t="s">
        <v>848</v>
      </c>
      <c r="M1725" s="4" t="s">
        <v>48284</v>
      </c>
    </row>
    <row r="1726" spans="1:13">
      <c r="A1726" s="2">
        <v>2152</v>
      </c>
      <c r="B1726" s="2" t="s">
        <v>48285</v>
      </c>
      <c r="C1726" s="2">
        <v>4</v>
      </c>
      <c r="D1726" s="2">
        <v>291</v>
      </c>
      <c r="E1726" s="2">
        <v>70</v>
      </c>
      <c r="F1726" s="2">
        <v>32441</v>
      </c>
      <c r="G1726" s="2">
        <v>6.3703485520000003</v>
      </c>
      <c r="H1726" s="2">
        <v>4.3227090000000001E-3</v>
      </c>
      <c r="I1726" s="2" t="s">
        <v>48286</v>
      </c>
      <c r="J1726" s="2" t="s">
        <v>48287</v>
      </c>
      <c r="K1726" s="2">
        <v>4.1387492999999997E-2</v>
      </c>
      <c r="L1726" s="2" t="s">
        <v>848</v>
      </c>
      <c r="M1726" s="4" t="s">
        <v>48288</v>
      </c>
    </row>
    <row r="1727" spans="1:13">
      <c r="A1727" s="2">
        <v>2868</v>
      </c>
      <c r="B1727" s="2" t="s">
        <v>1162</v>
      </c>
      <c r="C1727" s="2">
        <v>3</v>
      </c>
      <c r="D1727" s="2">
        <v>291</v>
      </c>
      <c r="E1727" s="2">
        <v>34</v>
      </c>
      <c r="F1727" s="2">
        <v>32441</v>
      </c>
      <c r="G1727" s="2">
        <v>9.836567617</v>
      </c>
      <c r="H1727" s="2">
        <v>4.3216349999999999E-3</v>
      </c>
      <c r="I1727" s="2" t="s">
        <v>48100</v>
      </c>
      <c r="J1727" s="2" t="s">
        <v>48101</v>
      </c>
      <c r="K1727" s="2">
        <v>4.1387492999999997E-2</v>
      </c>
      <c r="L1727" s="2" t="s">
        <v>848</v>
      </c>
      <c r="M1727" s="4" t="s">
        <v>48289</v>
      </c>
    </row>
    <row r="1728" spans="1:13">
      <c r="A1728" s="2">
        <v>4101</v>
      </c>
      <c r="B1728" s="2" t="s">
        <v>48290</v>
      </c>
      <c r="C1728" s="2">
        <v>4</v>
      </c>
      <c r="D1728" s="2">
        <v>291</v>
      </c>
      <c r="E1728" s="2">
        <v>70</v>
      </c>
      <c r="F1728" s="2">
        <v>32441</v>
      </c>
      <c r="G1728" s="2">
        <v>6.3703485520000003</v>
      </c>
      <c r="H1728" s="2">
        <v>4.3227090000000001E-3</v>
      </c>
      <c r="I1728" s="2" t="s">
        <v>48291</v>
      </c>
      <c r="J1728" s="2" t="s">
        <v>48292</v>
      </c>
      <c r="K1728" s="2">
        <v>4.1387492999999997E-2</v>
      </c>
      <c r="L1728" s="2" t="s">
        <v>848</v>
      </c>
      <c r="M1728" s="4" t="s">
        <v>48293</v>
      </c>
    </row>
    <row r="1729" spans="1:13">
      <c r="A1729" s="2">
        <v>5824</v>
      </c>
      <c r="B1729" s="2" t="s">
        <v>11603</v>
      </c>
      <c r="C1729" s="2">
        <v>4</v>
      </c>
      <c r="D1729" s="2">
        <v>291</v>
      </c>
      <c r="E1729" s="2">
        <v>70</v>
      </c>
      <c r="F1729" s="2">
        <v>32441</v>
      </c>
      <c r="G1729" s="2">
        <v>6.3703485520000003</v>
      </c>
      <c r="H1729" s="2">
        <v>4.3227090000000001E-3</v>
      </c>
      <c r="I1729" s="2" t="s">
        <v>47365</v>
      </c>
      <c r="J1729" s="2" t="s">
        <v>47366</v>
      </c>
      <c r="K1729" s="2">
        <v>4.1387492999999997E-2</v>
      </c>
      <c r="L1729" s="2" t="s">
        <v>848</v>
      </c>
      <c r="M1729" s="4" t="s">
        <v>11606</v>
      </c>
    </row>
    <row r="1730" spans="1:13">
      <c r="A1730" s="2">
        <v>4137</v>
      </c>
      <c r="B1730" s="2" t="s">
        <v>30221</v>
      </c>
      <c r="C1730" s="2">
        <v>13</v>
      </c>
      <c r="D1730" s="2">
        <v>291</v>
      </c>
      <c r="E1730" s="2">
        <v>616</v>
      </c>
      <c r="F1730" s="2">
        <v>32441</v>
      </c>
      <c r="G1730" s="2">
        <v>2.3526855449999999</v>
      </c>
      <c r="H1730" s="2">
        <v>4.4550650000000002E-3</v>
      </c>
      <c r="I1730" s="2" t="s">
        <v>48294</v>
      </c>
      <c r="J1730" s="2" t="s">
        <v>48295</v>
      </c>
      <c r="K1730" s="2">
        <v>4.2518143000000001E-2</v>
      </c>
      <c r="L1730" s="2" t="s">
        <v>848</v>
      </c>
      <c r="M1730" s="4" t="s">
        <v>30224</v>
      </c>
    </row>
    <row r="1731" spans="1:13">
      <c r="A1731" s="2">
        <v>43501</v>
      </c>
      <c r="B1731" s="2" t="s">
        <v>48296</v>
      </c>
      <c r="C1731" s="2">
        <v>5</v>
      </c>
      <c r="D1731" s="2">
        <v>291</v>
      </c>
      <c r="E1731" s="2">
        <v>115</v>
      </c>
      <c r="F1731" s="2">
        <v>32441</v>
      </c>
      <c r="G1731" s="2">
        <v>4.8470043330000001</v>
      </c>
      <c r="H1731" s="2">
        <v>4.455171E-3</v>
      </c>
      <c r="I1731" s="2" t="s">
        <v>48297</v>
      </c>
      <c r="J1731" s="2" t="s">
        <v>48298</v>
      </c>
      <c r="K1731" s="2">
        <v>4.2518143000000001E-2</v>
      </c>
      <c r="L1731" s="2" t="s">
        <v>848</v>
      </c>
      <c r="M1731" s="4" t="s">
        <v>48299</v>
      </c>
    </row>
    <row r="1732" spans="1:13">
      <c r="A1732" s="2">
        <v>17481</v>
      </c>
      <c r="B1732" s="2" t="s">
        <v>29329</v>
      </c>
      <c r="C1732" s="2">
        <v>10</v>
      </c>
      <c r="D1732" s="2">
        <v>291</v>
      </c>
      <c r="E1732" s="2">
        <v>408</v>
      </c>
      <c r="F1732" s="2">
        <v>32441</v>
      </c>
      <c r="G1732" s="2">
        <v>2.7323798940000001</v>
      </c>
      <c r="H1732" s="2">
        <v>4.4904280000000003E-3</v>
      </c>
      <c r="I1732" s="2" t="s">
        <v>48300</v>
      </c>
      <c r="J1732" s="2" t="s">
        <v>48301</v>
      </c>
      <c r="K1732" s="2">
        <v>4.2785605999999997E-2</v>
      </c>
      <c r="L1732" s="2" t="s">
        <v>848</v>
      </c>
      <c r="M1732" s="4" t="s">
        <v>29332</v>
      </c>
    </row>
    <row r="1733" spans="1:13">
      <c r="A1733" s="2">
        <v>1143</v>
      </c>
      <c r="B1733" s="2" t="s">
        <v>48302</v>
      </c>
      <c r="C1733" s="2">
        <v>9</v>
      </c>
      <c r="D1733" s="2">
        <v>291</v>
      </c>
      <c r="E1733" s="2">
        <v>343</v>
      </c>
      <c r="F1733" s="2">
        <v>32441</v>
      </c>
      <c r="G1733" s="2">
        <v>2.925160049</v>
      </c>
      <c r="H1733" s="2">
        <v>4.5060960000000002E-3</v>
      </c>
      <c r="I1733" s="2" t="s">
        <v>48303</v>
      </c>
      <c r="J1733" s="2" t="s">
        <v>48304</v>
      </c>
      <c r="K1733" s="2">
        <v>4.2797058999999998E-2</v>
      </c>
      <c r="L1733" s="2" t="s">
        <v>848</v>
      </c>
      <c r="M1733" s="4" t="s">
        <v>48305</v>
      </c>
    </row>
    <row r="1734" spans="1:13">
      <c r="A1734" s="2">
        <v>1165</v>
      </c>
      <c r="B1734" s="2" t="s">
        <v>48306</v>
      </c>
      <c r="C1734" s="2">
        <v>9</v>
      </c>
      <c r="D1734" s="2">
        <v>291</v>
      </c>
      <c r="E1734" s="2">
        <v>343</v>
      </c>
      <c r="F1734" s="2">
        <v>32441</v>
      </c>
      <c r="G1734" s="2">
        <v>2.925160049</v>
      </c>
      <c r="H1734" s="2">
        <v>4.5060960000000002E-3</v>
      </c>
      <c r="I1734" s="2" t="s">
        <v>48307</v>
      </c>
      <c r="J1734" s="2" t="s">
        <v>48308</v>
      </c>
      <c r="K1734" s="2">
        <v>4.2797058999999998E-2</v>
      </c>
      <c r="L1734" s="2" t="s">
        <v>848</v>
      </c>
      <c r="M1734" s="4" t="s">
        <v>48309</v>
      </c>
    </row>
    <row r="1735" spans="1:13">
      <c r="A1735" s="2">
        <v>2144</v>
      </c>
      <c r="B1735" s="2" t="s">
        <v>29850</v>
      </c>
      <c r="C1735" s="2">
        <v>4</v>
      </c>
      <c r="D1735" s="2">
        <v>291</v>
      </c>
      <c r="E1735" s="2">
        <v>71</v>
      </c>
      <c r="F1735" s="2">
        <v>32441</v>
      </c>
      <c r="G1735" s="2">
        <v>6.2806253329999997</v>
      </c>
      <c r="H1735" s="2">
        <v>4.5348489999999997E-3</v>
      </c>
      <c r="I1735" s="2" t="s">
        <v>48310</v>
      </c>
      <c r="J1735" s="2" t="s">
        <v>48311</v>
      </c>
      <c r="K1735" s="2">
        <v>4.3001128E-2</v>
      </c>
      <c r="L1735" s="2" t="s">
        <v>848</v>
      </c>
      <c r="M1735" s="4" t="s">
        <v>29853</v>
      </c>
    </row>
    <row r="1736" spans="1:13">
      <c r="A1736" s="2">
        <v>1660</v>
      </c>
      <c r="B1736" s="2" t="s">
        <v>10675</v>
      </c>
      <c r="C1736" s="2">
        <v>5</v>
      </c>
      <c r="D1736" s="2">
        <v>291</v>
      </c>
      <c r="E1736" s="2">
        <v>116</v>
      </c>
      <c r="F1736" s="2">
        <v>32441</v>
      </c>
      <c r="G1736" s="2">
        <v>4.8052198129999999</v>
      </c>
      <c r="H1736" s="2">
        <v>4.6141530000000002E-3</v>
      </c>
      <c r="I1736" s="2" t="s">
        <v>48312</v>
      </c>
      <c r="J1736" s="2" t="s">
        <v>48313</v>
      </c>
      <c r="K1736" s="2">
        <v>4.3613330999999998E-2</v>
      </c>
      <c r="L1736" s="2" t="s">
        <v>848</v>
      </c>
      <c r="M1736" s="4" t="s">
        <v>10678</v>
      </c>
    </row>
    <row r="1737" spans="1:13">
      <c r="A1737" s="2">
        <v>1920</v>
      </c>
      <c r="B1737" s="2" t="s">
        <v>48314</v>
      </c>
      <c r="C1737" s="2">
        <v>5</v>
      </c>
      <c r="D1737" s="2">
        <v>291</v>
      </c>
      <c r="E1737" s="2">
        <v>116</v>
      </c>
      <c r="F1737" s="2">
        <v>32441</v>
      </c>
      <c r="G1737" s="2">
        <v>4.8052198129999999</v>
      </c>
      <c r="H1737" s="2">
        <v>4.6141530000000002E-3</v>
      </c>
      <c r="I1737" s="2" t="s">
        <v>48315</v>
      </c>
      <c r="J1737" s="2" t="s">
        <v>48316</v>
      </c>
      <c r="K1737" s="2">
        <v>4.3613330999999998E-2</v>
      </c>
      <c r="L1737" s="2" t="s">
        <v>848</v>
      </c>
      <c r="M1737" s="4" t="s">
        <v>48317</v>
      </c>
    </row>
    <row r="1738" spans="1:13">
      <c r="A1738" s="2">
        <v>1721</v>
      </c>
      <c r="B1738" s="2" t="s">
        <v>8899</v>
      </c>
      <c r="C1738" s="2">
        <v>3</v>
      </c>
      <c r="D1738" s="2">
        <v>291</v>
      </c>
      <c r="E1738" s="2">
        <v>35</v>
      </c>
      <c r="F1738" s="2">
        <v>32441</v>
      </c>
      <c r="G1738" s="2">
        <v>9.5555228280000009</v>
      </c>
      <c r="H1738" s="2">
        <v>4.6615479999999997E-3</v>
      </c>
      <c r="I1738" s="2" t="s">
        <v>48318</v>
      </c>
      <c r="J1738" s="2" t="s">
        <v>48319</v>
      </c>
      <c r="K1738" s="2">
        <v>4.3851156000000002E-2</v>
      </c>
      <c r="L1738" s="2" t="s">
        <v>848</v>
      </c>
      <c r="M1738" s="4" t="s">
        <v>8902</v>
      </c>
    </row>
    <row r="1739" spans="1:13">
      <c r="A1739" s="2">
        <v>2604</v>
      </c>
      <c r="B1739" s="2" t="s">
        <v>48320</v>
      </c>
      <c r="C1739" s="2">
        <v>3</v>
      </c>
      <c r="D1739" s="2">
        <v>291</v>
      </c>
      <c r="E1739" s="2">
        <v>35</v>
      </c>
      <c r="F1739" s="2">
        <v>32441</v>
      </c>
      <c r="G1739" s="2">
        <v>9.5555228280000009</v>
      </c>
      <c r="H1739" s="2">
        <v>4.6615479999999997E-3</v>
      </c>
      <c r="I1739" s="2" t="s">
        <v>48321</v>
      </c>
      <c r="J1739" s="2" t="s">
        <v>48322</v>
      </c>
      <c r="K1739" s="2">
        <v>4.3851156000000002E-2</v>
      </c>
      <c r="L1739" s="2" t="s">
        <v>848</v>
      </c>
      <c r="M1739" s="4" t="s">
        <v>48323</v>
      </c>
    </row>
    <row r="1740" spans="1:13">
      <c r="A1740" s="2">
        <v>39601</v>
      </c>
      <c r="B1740" s="2" t="s">
        <v>48324</v>
      </c>
      <c r="C1740" s="2">
        <v>3</v>
      </c>
      <c r="D1740" s="2">
        <v>291</v>
      </c>
      <c r="E1740" s="2">
        <v>35</v>
      </c>
      <c r="F1740" s="2">
        <v>32441</v>
      </c>
      <c r="G1740" s="2">
        <v>9.5555228280000009</v>
      </c>
      <c r="H1740" s="2">
        <v>4.6615479999999997E-3</v>
      </c>
      <c r="I1740" s="2" t="s">
        <v>48325</v>
      </c>
      <c r="J1740" s="2" t="s">
        <v>48326</v>
      </c>
      <c r="K1740" s="2">
        <v>4.3851156000000002E-2</v>
      </c>
      <c r="L1740" s="2" t="s">
        <v>848</v>
      </c>
      <c r="M1740" s="4" t="s">
        <v>48327</v>
      </c>
    </row>
    <row r="1741" spans="1:13">
      <c r="A1741" s="2">
        <v>2550</v>
      </c>
      <c r="B1741" s="2" t="s">
        <v>9380</v>
      </c>
      <c r="C1741" s="2">
        <v>7</v>
      </c>
      <c r="D1741" s="2">
        <v>291</v>
      </c>
      <c r="E1741" s="2">
        <v>223</v>
      </c>
      <c r="F1741" s="2">
        <v>32441</v>
      </c>
      <c r="G1741" s="2">
        <v>3.4994067160000002</v>
      </c>
      <c r="H1741" s="2">
        <v>4.6931459999999996E-3</v>
      </c>
      <c r="I1741" s="2" t="s">
        <v>48328</v>
      </c>
      <c r="J1741" s="2" t="s">
        <v>48329</v>
      </c>
      <c r="K1741" s="2">
        <v>4.4078322000000003E-2</v>
      </c>
      <c r="L1741" s="2" t="s">
        <v>848</v>
      </c>
      <c r="M1741" s="4" t="s">
        <v>9383</v>
      </c>
    </row>
    <row r="1742" spans="1:13">
      <c r="A1742" s="2">
        <v>4774</v>
      </c>
      <c r="B1742" s="2" t="s">
        <v>8368</v>
      </c>
      <c r="C1742" s="2">
        <v>14</v>
      </c>
      <c r="D1742" s="2">
        <v>291</v>
      </c>
      <c r="E1742" s="2">
        <v>694</v>
      </c>
      <c r="F1742" s="2">
        <v>32441</v>
      </c>
      <c r="G1742" s="2">
        <v>2.2488982640000001</v>
      </c>
      <c r="H1742" s="2">
        <v>4.7339649999999997E-3</v>
      </c>
      <c r="I1742" s="2" t="s">
        <v>48330</v>
      </c>
      <c r="J1742" s="2" t="s">
        <v>48331</v>
      </c>
      <c r="K1742" s="2">
        <v>4.4391234000000002E-2</v>
      </c>
      <c r="L1742" s="2" t="s">
        <v>848</v>
      </c>
      <c r="M1742" s="4" t="s">
        <v>8371</v>
      </c>
    </row>
    <row r="1743" spans="1:13">
      <c r="A1743" s="2">
        <v>5035</v>
      </c>
      <c r="B1743" s="2" t="s">
        <v>30305</v>
      </c>
      <c r="C1743" s="2">
        <v>4</v>
      </c>
      <c r="D1743" s="2">
        <v>291</v>
      </c>
      <c r="E1743" s="2">
        <v>72</v>
      </c>
      <c r="F1743" s="2">
        <v>32441</v>
      </c>
      <c r="G1743" s="2">
        <v>6.1933944250000001</v>
      </c>
      <c r="H1743" s="2">
        <v>4.753887E-3</v>
      </c>
      <c r="I1743" s="2" t="s">
        <v>48332</v>
      </c>
      <c r="J1743" s="2" t="s">
        <v>48333</v>
      </c>
      <c r="K1743" s="2">
        <v>4.4507511999999999E-2</v>
      </c>
      <c r="L1743" s="2" t="s">
        <v>848</v>
      </c>
      <c r="M1743" s="4" t="s">
        <v>30308</v>
      </c>
    </row>
    <row r="1744" spans="1:13">
      <c r="A1744" s="2">
        <v>1086</v>
      </c>
      <c r="B1744" s="2" t="s">
        <v>29820</v>
      </c>
      <c r="C1744" s="2">
        <v>5</v>
      </c>
      <c r="D1744" s="2">
        <v>291</v>
      </c>
      <c r="E1744" s="2">
        <v>117</v>
      </c>
      <c r="F1744" s="2">
        <v>32441</v>
      </c>
      <c r="G1744" s="2">
        <v>4.7641495579999997</v>
      </c>
      <c r="H1744" s="2">
        <v>4.7771289999999998E-3</v>
      </c>
      <c r="I1744" s="2" t="s">
        <v>48334</v>
      </c>
      <c r="J1744" s="2" t="s">
        <v>48335</v>
      </c>
      <c r="K1744" s="2">
        <v>4.4513812E-2</v>
      </c>
      <c r="L1744" s="2" t="s">
        <v>848</v>
      </c>
      <c r="M1744" s="4" t="s">
        <v>29823</v>
      </c>
    </row>
    <row r="1745" spans="1:13">
      <c r="A1745" s="2">
        <v>2094</v>
      </c>
      <c r="B1745" s="2" t="s">
        <v>48336</v>
      </c>
      <c r="C1745" s="2">
        <v>5</v>
      </c>
      <c r="D1745" s="2">
        <v>291</v>
      </c>
      <c r="E1745" s="2">
        <v>117</v>
      </c>
      <c r="F1745" s="2">
        <v>32441</v>
      </c>
      <c r="G1745" s="2">
        <v>4.7641495579999997</v>
      </c>
      <c r="H1745" s="2">
        <v>4.7771289999999998E-3</v>
      </c>
      <c r="I1745" s="2" t="s">
        <v>48337</v>
      </c>
      <c r="J1745" s="2" t="s">
        <v>48338</v>
      </c>
      <c r="K1745" s="2">
        <v>4.4513812E-2</v>
      </c>
      <c r="L1745" s="2" t="s">
        <v>848</v>
      </c>
      <c r="M1745" s="4" t="s">
        <v>48339</v>
      </c>
    </row>
    <row r="1746" spans="1:13">
      <c r="A1746" s="2">
        <v>2874</v>
      </c>
      <c r="B1746" s="2" t="s">
        <v>48340</v>
      </c>
      <c r="C1746" s="2">
        <v>5</v>
      </c>
      <c r="D1746" s="2">
        <v>291</v>
      </c>
      <c r="E1746" s="2">
        <v>117</v>
      </c>
      <c r="F1746" s="2">
        <v>32441</v>
      </c>
      <c r="G1746" s="2">
        <v>4.7641495579999997</v>
      </c>
      <c r="H1746" s="2">
        <v>4.7771289999999998E-3</v>
      </c>
      <c r="I1746" s="2" t="s">
        <v>48341</v>
      </c>
      <c r="J1746" s="2" t="s">
        <v>48342</v>
      </c>
      <c r="K1746" s="2">
        <v>4.4513812E-2</v>
      </c>
      <c r="L1746" s="2" t="s">
        <v>848</v>
      </c>
      <c r="M1746" s="4" t="s">
        <v>48343</v>
      </c>
    </row>
    <row r="1747" spans="1:13">
      <c r="A1747" s="2">
        <v>2319</v>
      </c>
      <c r="B1747" s="2" t="s">
        <v>29347</v>
      </c>
      <c r="C1747" s="2">
        <v>10</v>
      </c>
      <c r="D1747" s="2">
        <v>291</v>
      </c>
      <c r="E1747" s="2">
        <v>413</v>
      </c>
      <c r="F1747" s="2">
        <v>32441</v>
      </c>
      <c r="G1747" s="2">
        <v>2.6993002339999999</v>
      </c>
      <c r="H1747" s="2">
        <v>4.8738770000000004E-3</v>
      </c>
      <c r="I1747" s="2" t="s">
        <v>48344</v>
      </c>
      <c r="J1747" s="2" t="s">
        <v>48345</v>
      </c>
      <c r="K1747" s="2">
        <v>4.5343915999999998E-2</v>
      </c>
      <c r="L1747" s="2" t="s">
        <v>848</v>
      </c>
      <c r="M1747" s="4" t="s">
        <v>29350</v>
      </c>
    </row>
    <row r="1748" spans="1:13">
      <c r="A1748" s="2">
        <v>3304</v>
      </c>
      <c r="B1748" s="2" t="s">
        <v>10531</v>
      </c>
      <c r="C1748" s="2">
        <v>18</v>
      </c>
      <c r="D1748" s="2">
        <v>291</v>
      </c>
      <c r="E1748" s="2">
        <v>1004</v>
      </c>
      <c r="F1748" s="2">
        <v>32441</v>
      </c>
      <c r="G1748" s="2">
        <v>1.998665133</v>
      </c>
      <c r="H1748" s="2">
        <v>4.8908440000000001E-3</v>
      </c>
      <c r="I1748" s="2" t="s">
        <v>48346</v>
      </c>
      <c r="J1748" s="2" t="s">
        <v>48347</v>
      </c>
      <c r="K1748" s="2">
        <v>4.5430336000000002E-2</v>
      </c>
      <c r="L1748" s="2" t="s">
        <v>848</v>
      </c>
      <c r="M1748" s="4" t="s">
        <v>10534</v>
      </c>
    </row>
    <row r="1749" spans="1:13">
      <c r="A1749" s="2">
        <v>2611</v>
      </c>
      <c r="B1749" s="2" t="s">
        <v>48348</v>
      </c>
      <c r="C1749" s="2">
        <v>6</v>
      </c>
      <c r="D1749" s="2">
        <v>291</v>
      </c>
      <c r="E1749" s="2">
        <v>169</v>
      </c>
      <c r="F1749" s="2">
        <v>32441</v>
      </c>
      <c r="G1749" s="2">
        <v>3.9579088640000002</v>
      </c>
      <c r="H1749" s="2">
        <v>4.911627E-3</v>
      </c>
      <c r="I1749" s="2" t="s">
        <v>48349</v>
      </c>
      <c r="J1749" s="2" t="s">
        <v>48350</v>
      </c>
      <c r="K1749" s="2">
        <v>4.5551879000000003E-2</v>
      </c>
      <c r="L1749" s="2" t="s">
        <v>848</v>
      </c>
      <c r="M1749" s="4" t="s">
        <v>48351</v>
      </c>
    </row>
    <row r="1750" spans="1:13">
      <c r="A1750" s="2">
        <v>38691</v>
      </c>
      <c r="B1750" s="2" t="s">
        <v>10527</v>
      </c>
      <c r="C1750" s="2">
        <v>12</v>
      </c>
      <c r="D1750" s="2">
        <v>291</v>
      </c>
      <c r="E1750" s="2">
        <v>552</v>
      </c>
      <c r="F1750" s="2">
        <v>32441</v>
      </c>
      <c r="G1750" s="2">
        <v>2.423502166</v>
      </c>
      <c r="H1750" s="2">
        <v>4.9373330000000003E-3</v>
      </c>
      <c r="I1750" s="2" t="s">
        <v>48352</v>
      </c>
      <c r="J1750" s="2" t="s">
        <v>48353</v>
      </c>
      <c r="K1750" s="2">
        <v>4.5718625999999998E-2</v>
      </c>
      <c r="L1750" s="2" t="s">
        <v>848</v>
      </c>
      <c r="M1750" s="4" t="s">
        <v>10530</v>
      </c>
    </row>
    <row r="1751" spans="1:13">
      <c r="A1751" s="2">
        <v>424</v>
      </c>
      <c r="B1751" s="2" t="s">
        <v>7591</v>
      </c>
      <c r="C1751" s="2">
        <v>11</v>
      </c>
      <c r="D1751" s="2">
        <v>291</v>
      </c>
      <c r="E1751" s="2">
        <v>484</v>
      </c>
      <c r="F1751" s="2">
        <v>32441</v>
      </c>
      <c r="G1751" s="2">
        <v>2.5336613560000001</v>
      </c>
      <c r="H1751" s="2">
        <v>5.0949180000000004E-3</v>
      </c>
      <c r="I1751" s="2" t="s">
        <v>48354</v>
      </c>
      <c r="J1751" s="2" t="s">
        <v>48355</v>
      </c>
      <c r="K1751" s="2">
        <v>4.7104111999999997E-2</v>
      </c>
      <c r="L1751" s="2" t="s">
        <v>848</v>
      </c>
      <c r="M1751" s="4" t="s">
        <v>7594</v>
      </c>
    </row>
    <row r="1752" spans="1:13">
      <c r="A1752" s="2">
        <v>2903</v>
      </c>
      <c r="B1752" s="2" t="s">
        <v>48356</v>
      </c>
      <c r="C1752" s="2">
        <v>5</v>
      </c>
      <c r="D1752" s="2">
        <v>291</v>
      </c>
      <c r="E1752" s="2">
        <v>119</v>
      </c>
      <c r="F1752" s="2">
        <v>32441</v>
      </c>
      <c r="G1752" s="2">
        <v>4.6840798169999998</v>
      </c>
      <c r="H1752" s="2">
        <v>5.115273E-3</v>
      </c>
      <c r="I1752" s="2" t="s">
        <v>48357</v>
      </c>
      <c r="J1752" s="2" t="s">
        <v>48358</v>
      </c>
      <c r="K1752" s="2">
        <v>4.721852E-2</v>
      </c>
      <c r="L1752" s="2" t="s">
        <v>848</v>
      </c>
      <c r="M1752" s="4" t="s">
        <v>48359</v>
      </c>
    </row>
    <row r="1753" spans="1:13">
      <c r="A1753" s="2">
        <v>619</v>
      </c>
      <c r="B1753" s="2" t="s">
        <v>10968</v>
      </c>
      <c r="C1753" s="2">
        <v>4</v>
      </c>
      <c r="D1753" s="2">
        <v>291</v>
      </c>
      <c r="E1753" s="2">
        <v>74</v>
      </c>
      <c r="F1753" s="2">
        <v>32441</v>
      </c>
      <c r="G1753" s="2">
        <v>6.0260053869999997</v>
      </c>
      <c r="H1753" s="2">
        <v>5.2130529999999996E-3</v>
      </c>
      <c r="I1753" s="2" t="s">
        <v>48360</v>
      </c>
      <c r="J1753" s="2" t="s">
        <v>48361</v>
      </c>
      <c r="K1753" s="2">
        <v>4.7971433000000001E-2</v>
      </c>
      <c r="L1753" s="2" t="s">
        <v>848</v>
      </c>
      <c r="M1753" s="4" t="s">
        <v>10971</v>
      </c>
    </row>
    <row r="1754" spans="1:13">
      <c r="A1754" s="2">
        <v>2006</v>
      </c>
      <c r="B1754" s="2" t="s">
        <v>48362</v>
      </c>
      <c r="C1754" s="2">
        <v>4</v>
      </c>
      <c r="D1754" s="2">
        <v>291</v>
      </c>
      <c r="E1754" s="2">
        <v>74</v>
      </c>
      <c r="F1754" s="2">
        <v>32441</v>
      </c>
      <c r="G1754" s="2">
        <v>6.0260053869999997</v>
      </c>
      <c r="H1754" s="2">
        <v>5.2130529999999996E-3</v>
      </c>
      <c r="I1754" s="2" t="s">
        <v>48363</v>
      </c>
      <c r="J1754" s="2" t="s">
        <v>48364</v>
      </c>
      <c r="K1754" s="2">
        <v>4.7971433000000001E-2</v>
      </c>
      <c r="L1754" s="2" t="s">
        <v>848</v>
      </c>
      <c r="M1754" s="4" t="s">
        <v>48365</v>
      </c>
    </row>
    <row r="1755" spans="1:13">
      <c r="A1755" s="2">
        <v>3792</v>
      </c>
      <c r="B1755" s="2" t="s">
        <v>48366</v>
      </c>
      <c r="C1755" s="2">
        <v>7</v>
      </c>
      <c r="D1755" s="2">
        <v>291</v>
      </c>
      <c r="E1755" s="2">
        <v>228</v>
      </c>
      <c r="F1755" s="2">
        <v>32441</v>
      </c>
      <c r="G1755" s="2">
        <v>3.42266534</v>
      </c>
      <c r="H1755" s="2">
        <v>5.2672819999999999E-3</v>
      </c>
      <c r="I1755" s="2" t="s">
        <v>48367</v>
      </c>
      <c r="J1755" s="2" t="s">
        <v>48368</v>
      </c>
      <c r="K1755" s="2">
        <v>4.8395196000000001E-2</v>
      </c>
      <c r="L1755" s="2" t="s">
        <v>848</v>
      </c>
      <c r="M1755" s="4" t="s">
        <v>48369</v>
      </c>
    </row>
    <row r="1756" spans="1:13">
      <c r="A1756" s="2">
        <v>3280</v>
      </c>
      <c r="B1756" s="2" t="s">
        <v>9178</v>
      </c>
      <c r="C1756" s="2">
        <v>6</v>
      </c>
      <c r="D1756" s="2">
        <v>291</v>
      </c>
      <c r="E1756" s="2">
        <v>172</v>
      </c>
      <c r="F1756" s="2">
        <v>32441</v>
      </c>
      <c r="G1756" s="2">
        <v>3.8888755690000001</v>
      </c>
      <c r="H1756" s="2">
        <v>5.3290389999999998E-3</v>
      </c>
      <c r="I1756" s="2" t="s">
        <v>48370</v>
      </c>
      <c r="J1756" s="2" t="s">
        <v>48371</v>
      </c>
      <c r="K1756" s="2">
        <v>4.8886698999999999E-2</v>
      </c>
      <c r="L1756" s="2" t="s">
        <v>848</v>
      </c>
      <c r="M1756" s="4" t="s">
        <v>9181</v>
      </c>
    </row>
    <row r="1757" spans="1:13">
      <c r="A1757" s="2">
        <v>289</v>
      </c>
      <c r="B1757" s="2" t="s">
        <v>48372</v>
      </c>
      <c r="C1757" s="2">
        <v>3</v>
      </c>
      <c r="D1757" s="2">
        <v>291</v>
      </c>
      <c r="E1757" s="2">
        <v>37</v>
      </c>
      <c r="F1757" s="2">
        <v>32441</v>
      </c>
      <c r="G1757" s="2">
        <v>9.0390080800000003</v>
      </c>
      <c r="H1757" s="2">
        <v>5.3887409999999998E-3</v>
      </c>
      <c r="I1757" s="2" t="s">
        <v>48373</v>
      </c>
      <c r="J1757" s="2" t="s">
        <v>48374</v>
      </c>
      <c r="K1757" s="2">
        <v>4.9205528999999998E-2</v>
      </c>
      <c r="L1757" s="2" t="s">
        <v>848</v>
      </c>
      <c r="M1757" s="4" t="s">
        <v>48375</v>
      </c>
    </row>
    <row r="1758" spans="1:13">
      <c r="A1758" s="2">
        <v>3131</v>
      </c>
      <c r="B1758" s="2" t="s">
        <v>48376</v>
      </c>
      <c r="C1758" s="2">
        <v>3</v>
      </c>
      <c r="D1758" s="2">
        <v>291</v>
      </c>
      <c r="E1758" s="2">
        <v>37</v>
      </c>
      <c r="F1758" s="2">
        <v>32441</v>
      </c>
      <c r="G1758" s="2">
        <v>9.0390080800000003</v>
      </c>
      <c r="H1758" s="2">
        <v>5.3887409999999998E-3</v>
      </c>
      <c r="I1758" s="2" t="s">
        <v>48208</v>
      </c>
      <c r="J1758" s="2" t="s">
        <v>48209</v>
      </c>
      <c r="K1758" s="2">
        <v>4.9205528999999998E-2</v>
      </c>
      <c r="L1758" s="2" t="s">
        <v>848</v>
      </c>
      <c r="M1758" s="4" t="s">
        <v>48377</v>
      </c>
    </row>
    <row r="1759" spans="1:13">
      <c r="A1759" s="2">
        <v>3587</v>
      </c>
      <c r="B1759" s="2" t="s">
        <v>48378</v>
      </c>
      <c r="C1759" s="2">
        <v>3</v>
      </c>
      <c r="D1759" s="2">
        <v>291</v>
      </c>
      <c r="E1759" s="2">
        <v>37</v>
      </c>
      <c r="F1759" s="2">
        <v>32441</v>
      </c>
      <c r="G1759" s="2">
        <v>9.0390080800000003</v>
      </c>
      <c r="H1759" s="2">
        <v>5.3887409999999998E-3</v>
      </c>
      <c r="I1759" s="2" t="s">
        <v>48379</v>
      </c>
      <c r="J1759" s="2" t="s">
        <v>48380</v>
      </c>
      <c r="K1759" s="2">
        <v>4.9205528999999998E-2</v>
      </c>
      <c r="L1759" s="2" t="s">
        <v>848</v>
      </c>
      <c r="M1759" s="4" t="s">
        <v>48381</v>
      </c>
    </row>
    <row r="1760" spans="1:13">
      <c r="A1760" s="2">
        <v>2731</v>
      </c>
      <c r="B1760" s="2" t="s">
        <v>30389</v>
      </c>
      <c r="C1760" s="2">
        <v>4</v>
      </c>
      <c r="D1760" s="2">
        <v>291</v>
      </c>
      <c r="E1760" s="2">
        <v>75</v>
      </c>
      <c r="F1760" s="2">
        <v>32441</v>
      </c>
      <c r="G1760" s="2">
        <v>5.9456586480000002</v>
      </c>
      <c r="H1760" s="2">
        <v>5.453378E-3</v>
      </c>
      <c r="I1760" s="2" t="s">
        <v>48360</v>
      </c>
      <c r="J1760" s="2" t="s">
        <v>48361</v>
      </c>
      <c r="K1760" s="2">
        <v>4.9566262999999999E-2</v>
      </c>
      <c r="L1760" s="2" t="s">
        <v>848</v>
      </c>
      <c r="M1760" s="4" t="s">
        <v>30392</v>
      </c>
    </row>
    <row r="1761" spans="1:13">
      <c r="A1761" s="2">
        <v>3208</v>
      </c>
      <c r="B1761" s="2" t="s">
        <v>48382</v>
      </c>
      <c r="C1761" s="2">
        <v>4</v>
      </c>
      <c r="D1761" s="2">
        <v>291</v>
      </c>
      <c r="E1761" s="2">
        <v>75</v>
      </c>
      <c r="F1761" s="2">
        <v>32441</v>
      </c>
      <c r="G1761" s="2">
        <v>5.9456586480000002</v>
      </c>
      <c r="H1761" s="2">
        <v>5.453378E-3</v>
      </c>
      <c r="I1761" s="2" t="s">
        <v>48383</v>
      </c>
      <c r="J1761" s="2" t="s">
        <v>48384</v>
      </c>
      <c r="K1761" s="2">
        <v>4.9566262999999999E-2</v>
      </c>
      <c r="L1761" s="2" t="s">
        <v>848</v>
      </c>
      <c r="M1761" s="4" t="s">
        <v>48385</v>
      </c>
    </row>
    <row r="1762" spans="1:13">
      <c r="A1762" s="2">
        <v>4631</v>
      </c>
      <c r="B1762" s="2" t="s">
        <v>43186</v>
      </c>
      <c r="C1762" s="2">
        <v>4</v>
      </c>
      <c r="D1762" s="2">
        <v>291</v>
      </c>
      <c r="E1762" s="2">
        <v>75</v>
      </c>
      <c r="F1762" s="2">
        <v>32441</v>
      </c>
      <c r="G1762" s="2">
        <v>5.9456586480000002</v>
      </c>
      <c r="H1762" s="2">
        <v>5.453378E-3</v>
      </c>
      <c r="I1762" s="2" t="s">
        <v>48386</v>
      </c>
      <c r="J1762" s="2" t="s">
        <v>48387</v>
      </c>
      <c r="K1762" s="2">
        <v>4.9566262999999999E-2</v>
      </c>
      <c r="L1762" s="2" t="s">
        <v>848</v>
      </c>
      <c r="M1762" s="4" t="s">
        <v>43189</v>
      </c>
    </row>
    <row r="1763" spans="1:13">
      <c r="A1763" s="2">
        <v>972</v>
      </c>
      <c r="B1763" s="2" t="s">
        <v>11903</v>
      </c>
      <c r="C1763" s="2">
        <v>21</v>
      </c>
      <c r="D1763" s="2">
        <v>291</v>
      </c>
      <c r="E1763" s="2">
        <v>172</v>
      </c>
      <c r="F1763" s="2">
        <v>32441</v>
      </c>
      <c r="G1763" s="2">
        <v>13.61106449</v>
      </c>
      <c r="H1763" s="3">
        <v>6.54E-17</v>
      </c>
      <c r="I1763" s="2" t="s">
        <v>48388</v>
      </c>
      <c r="J1763" s="2" t="s">
        <v>48389</v>
      </c>
      <c r="K1763" s="3">
        <v>1.24E-14</v>
      </c>
      <c r="L1763" s="2" t="s">
        <v>3116</v>
      </c>
      <c r="M1763" s="4" t="s">
        <v>11906</v>
      </c>
    </row>
    <row r="1764" spans="1:13">
      <c r="A1764" s="2">
        <v>1242</v>
      </c>
      <c r="B1764" s="2" t="s">
        <v>39208</v>
      </c>
      <c r="C1764" s="2">
        <v>19</v>
      </c>
      <c r="D1764" s="2">
        <v>291</v>
      </c>
      <c r="E1764" s="2">
        <v>140</v>
      </c>
      <c r="F1764" s="2">
        <v>32441</v>
      </c>
      <c r="G1764" s="2">
        <v>15.129577810000001</v>
      </c>
      <c r="H1764" s="3">
        <v>3.5000000000000002E-16</v>
      </c>
      <c r="I1764" s="2" t="s">
        <v>48390</v>
      </c>
      <c r="J1764" s="2" t="s">
        <v>48391</v>
      </c>
      <c r="K1764" s="3">
        <v>3.2999999999999998E-14</v>
      </c>
      <c r="L1764" s="2" t="s">
        <v>3116</v>
      </c>
      <c r="M1764" s="4" t="s">
        <v>39211</v>
      </c>
    </row>
    <row r="1765" spans="1:13">
      <c r="A1765" s="2">
        <v>128</v>
      </c>
      <c r="B1765" s="2" t="s">
        <v>11827</v>
      </c>
      <c r="C1765" s="2">
        <v>13</v>
      </c>
      <c r="D1765" s="2">
        <v>291</v>
      </c>
      <c r="E1765" s="2">
        <v>100</v>
      </c>
      <c r="F1765" s="2">
        <v>32441</v>
      </c>
      <c r="G1765" s="2">
        <v>14.49254296</v>
      </c>
      <c r="H1765" s="3">
        <v>2.88E-11</v>
      </c>
      <c r="I1765" s="2" t="s">
        <v>48392</v>
      </c>
      <c r="J1765" s="2" t="s">
        <v>48393</v>
      </c>
      <c r="K1765" s="3">
        <v>1.81E-9</v>
      </c>
      <c r="L1765" s="2" t="s">
        <v>3116</v>
      </c>
      <c r="M1765" s="4" t="s">
        <v>11830</v>
      </c>
    </row>
    <row r="1766" spans="1:13">
      <c r="A1766" s="2">
        <v>392</v>
      </c>
      <c r="B1766" s="2" t="s">
        <v>43254</v>
      </c>
      <c r="C1766" s="2">
        <v>16</v>
      </c>
      <c r="D1766" s="2">
        <v>291</v>
      </c>
      <c r="E1766" s="2">
        <v>187</v>
      </c>
      <c r="F1766" s="2">
        <v>32441</v>
      </c>
      <c r="G1766" s="2">
        <v>9.5384898099999997</v>
      </c>
      <c r="H1766" s="3">
        <v>4.93E-11</v>
      </c>
      <c r="I1766" s="2" t="s">
        <v>48394</v>
      </c>
      <c r="J1766" s="2" t="s">
        <v>48395</v>
      </c>
      <c r="K1766" s="3">
        <v>2.33E-9</v>
      </c>
      <c r="L1766" s="2" t="s">
        <v>3116</v>
      </c>
      <c r="M1766" s="4" t="s">
        <v>43257</v>
      </c>
    </row>
    <row r="1767" spans="1:13">
      <c r="A1767" s="2">
        <v>27</v>
      </c>
      <c r="B1767" s="2" t="s">
        <v>48396</v>
      </c>
      <c r="C1767" s="2">
        <v>15</v>
      </c>
      <c r="D1767" s="2">
        <v>291</v>
      </c>
      <c r="E1767" s="2">
        <v>187</v>
      </c>
      <c r="F1767" s="2">
        <v>32441</v>
      </c>
      <c r="G1767" s="2">
        <v>8.9423341969999992</v>
      </c>
      <c r="H1767" s="3">
        <v>4.6100000000000001E-10</v>
      </c>
      <c r="I1767" s="2" t="s">
        <v>48397</v>
      </c>
      <c r="J1767" s="2" t="s">
        <v>48398</v>
      </c>
      <c r="K1767" s="3">
        <v>1.4500000000000001E-8</v>
      </c>
      <c r="L1767" s="2" t="s">
        <v>3116</v>
      </c>
      <c r="M1767" s="4" t="s">
        <v>48399</v>
      </c>
    </row>
    <row r="1768" spans="1:13">
      <c r="A1768" s="2">
        <v>41</v>
      </c>
      <c r="B1768" s="2" t="s">
        <v>43260</v>
      </c>
      <c r="C1768" s="2">
        <v>15</v>
      </c>
      <c r="D1768" s="2">
        <v>291</v>
      </c>
      <c r="E1768" s="2">
        <v>187</v>
      </c>
      <c r="F1768" s="2">
        <v>32441</v>
      </c>
      <c r="G1768" s="2">
        <v>8.9423341969999992</v>
      </c>
      <c r="H1768" s="3">
        <v>4.6100000000000001E-10</v>
      </c>
      <c r="I1768" s="2" t="s">
        <v>48400</v>
      </c>
      <c r="J1768" s="2" t="s">
        <v>48401</v>
      </c>
      <c r="K1768" s="3">
        <v>1.4500000000000001E-8</v>
      </c>
      <c r="L1768" s="2" t="s">
        <v>3116</v>
      </c>
      <c r="M1768" s="4" t="s">
        <v>43263</v>
      </c>
    </row>
    <row r="1769" spans="1:13">
      <c r="A1769" s="2">
        <v>235</v>
      </c>
      <c r="B1769" s="2" t="s">
        <v>48402</v>
      </c>
      <c r="C1769" s="2">
        <v>14</v>
      </c>
      <c r="D1769" s="2">
        <v>291</v>
      </c>
      <c r="E1769" s="2">
        <v>170</v>
      </c>
      <c r="F1769" s="2">
        <v>32441</v>
      </c>
      <c r="G1769" s="2">
        <v>9.1807964420000001</v>
      </c>
      <c r="H1769" s="3">
        <v>1.2900000000000001E-9</v>
      </c>
      <c r="I1769" s="2" t="s">
        <v>48403</v>
      </c>
      <c r="J1769" s="2" t="s">
        <v>48404</v>
      </c>
      <c r="K1769" s="3">
        <v>3.4800000000000001E-8</v>
      </c>
      <c r="L1769" s="2" t="s">
        <v>3116</v>
      </c>
      <c r="M1769" s="4" t="s">
        <v>48405</v>
      </c>
    </row>
    <row r="1770" spans="1:13">
      <c r="A1770" s="2">
        <v>1043</v>
      </c>
      <c r="B1770" s="2" t="s">
        <v>11663</v>
      </c>
      <c r="C1770" s="2">
        <v>13</v>
      </c>
      <c r="D1770" s="2">
        <v>291</v>
      </c>
      <c r="E1770" s="2">
        <v>145</v>
      </c>
      <c r="F1770" s="2">
        <v>32441</v>
      </c>
      <c r="G1770" s="2">
        <v>9.9948572109999994</v>
      </c>
      <c r="H1770" s="3">
        <v>1.9399999999999999E-9</v>
      </c>
      <c r="I1770" s="2" t="s">
        <v>48406</v>
      </c>
      <c r="J1770" s="2" t="s">
        <v>48407</v>
      </c>
      <c r="K1770" s="3">
        <v>4.5900000000000001E-8</v>
      </c>
      <c r="L1770" s="2" t="s">
        <v>3116</v>
      </c>
      <c r="M1770" s="4" t="s">
        <v>11666</v>
      </c>
    </row>
    <row r="1771" spans="1:13">
      <c r="A1771" s="2">
        <v>106</v>
      </c>
      <c r="B1771" s="2" t="s">
        <v>11651</v>
      </c>
      <c r="C1771" s="2">
        <v>13</v>
      </c>
      <c r="D1771" s="2">
        <v>291</v>
      </c>
      <c r="E1771" s="2">
        <v>147</v>
      </c>
      <c r="F1771" s="2">
        <v>32441</v>
      </c>
      <c r="G1771" s="2">
        <v>9.8588727590000005</v>
      </c>
      <c r="H1771" s="3">
        <v>2.2699999999999998E-9</v>
      </c>
      <c r="I1771" s="2" t="s">
        <v>48408</v>
      </c>
      <c r="J1771" s="2" t="s">
        <v>48409</v>
      </c>
      <c r="K1771" s="3">
        <v>4.7600000000000003E-8</v>
      </c>
      <c r="L1771" s="2" t="s">
        <v>3116</v>
      </c>
      <c r="M1771" s="4" t="s">
        <v>11654</v>
      </c>
    </row>
    <row r="1772" spans="1:13">
      <c r="A1772" s="2">
        <v>1081</v>
      </c>
      <c r="B1772" s="2" t="s">
        <v>11655</v>
      </c>
      <c r="C1772" s="2">
        <v>12</v>
      </c>
      <c r="D1772" s="2">
        <v>291</v>
      </c>
      <c r="E1772" s="2">
        <v>141</v>
      </c>
      <c r="F1772" s="2">
        <v>32441</v>
      </c>
      <c r="G1772" s="2">
        <v>9.4877531620000006</v>
      </c>
      <c r="H1772" s="3">
        <v>1.4100000000000001E-8</v>
      </c>
      <c r="I1772" s="2" t="s">
        <v>48410</v>
      </c>
      <c r="J1772" s="2" t="s">
        <v>48411</v>
      </c>
      <c r="K1772" s="3">
        <v>2.6600000000000003E-7</v>
      </c>
      <c r="L1772" s="2" t="s">
        <v>3116</v>
      </c>
      <c r="M1772" s="4" t="s">
        <v>11658</v>
      </c>
    </row>
    <row r="1773" spans="1:13">
      <c r="A1773" s="2">
        <v>176</v>
      </c>
      <c r="B1773" s="2" t="s">
        <v>11867</v>
      </c>
      <c r="C1773" s="2">
        <v>14</v>
      </c>
      <c r="D1773" s="2">
        <v>291</v>
      </c>
      <c r="E1773" s="2">
        <v>289</v>
      </c>
      <c r="F1773" s="2">
        <v>32441</v>
      </c>
      <c r="G1773" s="2">
        <v>5.4004684950000001</v>
      </c>
      <c r="H1773" s="3">
        <v>6.6300000000000005E-7</v>
      </c>
      <c r="I1773" s="2" t="s">
        <v>48412</v>
      </c>
      <c r="J1773" s="2" t="s">
        <v>48413</v>
      </c>
      <c r="K1773" s="3">
        <v>1.1399999999999999E-5</v>
      </c>
      <c r="L1773" s="2" t="s">
        <v>3116</v>
      </c>
      <c r="M1773" s="4" t="s">
        <v>11870</v>
      </c>
    </row>
    <row r="1774" spans="1:13">
      <c r="A1774" s="2">
        <v>75</v>
      </c>
      <c r="B1774" s="2" t="s">
        <v>39224</v>
      </c>
      <c r="C1774" s="2">
        <v>11</v>
      </c>
      <c r="D1774" s="2">
        <v>291</v>
      </c>
      <c r="E1774" s="2">
        <v>195</v>
      </c>
      <c r="F1774" s="2">
        <v>32441</v>
      </c>
      <c r="G1774" s="2">
        <v>6.2886774169999997</v>
      </c>
      <c r="H1774" s="3">
        <v>2.6599999999999999E-6</v>
      </c>
      <c r="I1774" s="2" t="s">
        <v>48414</v>
      </c>
      <c r="J1774" s="2" t="s">
        <v>48415</v>
      </c>
      <c r="K1774" s="3">
        <v>4.18E-5</v>
      </c>
      <c r="L1774" s="2" t="s">
        <v>3116</v>
      </c>
      <c r="M1774" s="4" t="s">
        <v>39227</v>
      </c>
    </row>
    <row r="1775" spans="1:13">
      <c r="A1775" s="2">
        <v>1843</v>
      </c>
      <c r="B1775" s="2" t="s">
        <v>48416</v>
      </c>
      <c r="C1775" s="2">
        <v>9</v>
      </c>
      <c r="D1775" s="2">
        <v>291</v>
      </c>
      <c r="E1775" s="2">
        <v>145</v>
      </c>
      <c r="F1775" s="2">
        <v>32441</v>
      </c>
      <c r="G1775" s="2">
        <v>6.9195165300000001</v>
      </c>
      <c r="H1775" s="3">
        <v>1.0499999999999999E-5</v>
      </c>
      <c r="I1775" s="2" t="s">
        <v>48417</v>
      </c>
      <c r="J1775" s="2" t="s">
        <v>48418</v>
      </c>
      <c r="K1775" s="2">
        <v>1.5317099999999999E-4</v>
      </c>
      <c r="L1775" s="2" t="s">
        <v>3116</v>
      </c>
      <c r="M1775" s="4" t="s">
        <v>48419</v>
      </c>
    </row>
    <row r="1776" spans="1:13">
      <c r="A1776" s="2">
        <v>1103</v>
      </c>
      <c r="B1776" s="2" t="s">
        <v>11823</v>
      </c>
      <c r="C1776" s="2">
        <v>10</v>
      </c>
      <c r="D1776" s="2">
        <v>291</v>
      </c>
      <c r="E1776" s="2">
        <v>191</v>
      </c>
      <c r="F1776" s="2">
        <v>32441</v>
      </c>
      <c r="G1776" s="2">
        <v>5.8367067879999999</v>
      </c>
      <c r="H1776" s="3">
        <v>1.4100000000000001E-5</v>
      </c>
      <c r="I1776" s="2" t="s">
        <v>48420</v>
      </c>
      <c r="J1776" s="2" t="s">
        <v>48421</v>
      </c>
      <c r="K1776" s="2">
        <v>1.8974899999999999E-4</v>
      </c>
      <c r="L1776" s="2" t="s">
        <v>3116</v>
      </c>
      <c r="M1776" s="4" t="s">
        <v>11826</v>
      </c>
    </row>
    <row r="1777" spans="1:13">
      <c r="A1777" s="2">
        <v>1152</v>
      </c>
      <c r="B1777" s="2" t="s">
        <v>48422</v>
      </c>
      <c r="C1777" s="2">
        <v>8</v>
      </c>
      <c r="D1777" s="2">
        <v>291</v>
      </c>
      <c r="E1777" s="2">
        <v>134</v>
      </c>
      <c r="F1777" s="2">
        <v>32441</v>
      </c>
      <c r="G1777" s="2">
        <v>6.6555880390000004</v>
      </c>
      <c r="H1777" s="3">
        <v>4.2500000000000003E-5</v>
      </c>
      <c r="I1777" s="2" t="s">
        <v>48423</v>
      </c>
      <c r="J1777" s="2" t="s">
        <v>48424</v>
      </c>
      <c r="K1777" s="2">
        <v>5.3546500000000005E-4</v>
      </c>
      <c r="L1777" s="2" t="s">
        <v>3116</v>
      </c>
      <c r="M1777" s="4" t="s">
        <v>48425</v>
      </c>
    </row>
    <row r="1778" spans="1:13">
      <c r="A1778" s="2">
        <v>3</v>
      </c>
      <c r="B1778" s="2" t="s">
        <v>48426</v>
      </c>
      <c r="C1778" s="2">
        <v>9</v>
      </c>
      <c r="D1778" s="2">
        <v>291</v>
      </c>
      <c r="E1778" s="2">
        <v>193</v>
      </c>
      <c r="F1778" s="2">
        <v>32441</v>
      </c>
      <c r="G1778" s="2">
        <v>5.1986005019999997</v>
      </c>
      <c r="H1778" s="3">
        <v>8.8599999999999999E-5</v>
      </c>
      <c r="I1778" s="2" t="s">
        <v>48427</v>
      </c>
      <c r="J1778" s="2" t="s">
        <v>48428</v>
      </c>
      <c r="K1778" s="2">
        <v>9.3026899999999995E-4</v>
      </c>
      <c r="L1778" s="2" t="s">
        <v>3116</v>
      </c>
      <c r="M1778" s="4" t="s">
        <v>48429</v>
      </c>
    </row>
    <row r="1779" spans="1:13">
      <c r="A1779" s="2">
        <v>100</v>
      </c>
      <c r="B1779" s="2" t="s">
        <v>43270</v>
      </c>
      <c r="C1779" s="2">
        <v>9</v>
      </c>
      <c r="D1779" s="2">
        <v>291</v>
      </c>
      <c r="E1779" s="2">
        <v>190</v>
      </c>
      <c r="F1779" s="2">
        <v>32441</v>
      </c>
      <c r="G1779" s="2">
        <v>5.280683668</v>
      </c>
      <c r="H1779" s="3">
        <v>7.8999999999999996E-5</v>
      </c>
      <c r="I1779" s="2" t="s">
        <v>48430</v>
      </c>
      <c r="J1779" s="2" t="s">
        <v>48431</v>
      </c>
      <c r="K1779" s="2">
        <v>9.3026899999999995E-4</v>
      </c>
      <c r="L1779" s="2" t="s">
        <v>3116</v>
      </c>
      <c r="M1779" s="4" t="s">
        <v>43273</v>
      </c>
    </row>
    <row r="1780" spans="1:13">
      <c r="A1780" s="2">
        <v>174</v>
      </c>
      <c r="B1780" s="2" t="s">
        <v>11731</v>
      </c>
      <c r="C1780" s="2">
        <v>11</v>
      </c>
      <c r="D1780" s="2">
        <v>291</v>
      </c>
      <c r="E1780" s="2">
        <v>289</v>
      </c>
      <c r="F1780" s="2">
        <v>32441</v>
      </c>
      <c r="G1780" s="2">
        <v>4.2432252459999997</v>
      </c>
      <c r="H1780" s="3">
        <v>8.6899999999999998E-5</v>
      </c>
      <c r="I1780" s="2" t="s">
        <v>48432</v>
      </c>
      <c r="J1780" s="2" t="s">
        <v>48433</v>
      </c>
      <c r="K1780" s="2">
        <v>9.3026899999999995E-4</v>
      </c>
      <c r="L1780" s="2" t="s">
        <v>3116</v>
      </c>
      <c r="M1780" s="4" t="s">
        <v>11734</v>
      </c>
    </row>
    <row r="1781" spans="1:13">
      <c r="A1781" s="2">
        <v>34</v>
      </c>
      <c r="B1781" s="2" t="s">
        <v>11719</v>
      </c>
      <c r="C1781" s="2">
        <v>9</v>
      </c>
      <c r="D1781" s="2">
        <v>291</v>
      </c>
      <c r="E1781" s="2">
        <v>196</v>
      </c>
      <c r="F1781" s="2">
        <v>32441</v>
      </c>
      <c r="G1781" s="2">
        <v>5.1190300860000004</v>
      </c>
      <c r="H1781" s="3">
        <v>9.9099999999999996E-5</v>
      </c>
      <c r="I1781" s="2" t="s">
        <v>48434</v>
      </c>
      <c r="J1781" s="2" t="s">
        <v>48435</v>
      </c>
      <c r="K1781" s="2">
        <v>9.3673499999999995E-4</v>
      </c>
      <c r="L1781" s="2" t="s">
        <v>3116</v>
      </c>
      <c r="M1781" s="4" t="s">
        <v>11722</v>
      </c>
    </row>
    <row r="1782" spans="1:13">
      <c r="A1782" s="2">
        <v>189</v>
      </c>
      <c r="B1782" s="2" t="s">
        <v>11679</v>
      </c>
      <c r="C1782" s="2">
        <v>9</v>
      </c>
      <c r="D1782" s="2">
        <v>291</v>
      </c>
      <c r="E1782" s="2">
        <v>195</v>
      </c>
      <c r="F1782" s="2">
        <v>32441</v>
      </c>
      <c r="G1782" s="2">
        <v>5.1452815230000004</v>
      </c>
      <c r="H1782" s="3">
        <v>9.5500000000000004E-5</v>
      </c>
      <c r="I1782" s="2" t="s">
        <v>48436</v>
      </c>
      <c r="J1782" s="2" t="s">
        <v>48437</v>
      </c>
      <c r="K1782" s="2">
        <v>9.3673499999999995E-4</v>
      </c>
      <c r="L1782" s="2" t="s">
        <v>3116</v>
      </c>
      <c r="M1782" s="4" t="s">
        <v>11682</v>
      </c>
    </row>
    <row r="1783" spans="1:13">
      <c r="A1783" s="2">
        <v>167</v>
      </c>
      <c r="B1783" s="2" t="s">
        <v>39256</v>
      </c>
      <c r="C1783" s="2">
        <v>5</v>
      </c>
      <c r="D1783" s="2">
        <v>291</v>
      </c>
      <c r="E1783" s="2">
        <v>57</v>
      </c>
      <c r="F1783" s="2">
        <v>32441</v>
      </c>
      <c r="G1783" s="2">
        <v>9.7790438300000009</v>
      </c>
      <c r="H1783" s="2">
        <v>2.2947399999999999E-4</v>
      </c>
      <c r="I1783" s="2" t="s">
        <v>48438</v>
      </c>
      <c r="J1783" s="2" t="s">
        <v>48439</v>
      </c>
      <c r="K1783" s="2">
        <v>2.065267E-3</v>
      </c>
      <c r="L1783" s="2" t="s">
        <v>3116</v>
      </c>
      <c r="M1783" s="4" t="s">
        <v>39259</v>
      </c>
    </row>
    <row r="1784" spans="1:13">
      <c r="A1784" s="2">
        <v>14</v>
      </c>
      <c r="B1784" s="2" t="s">
        <v>48440</v>
      </c>
      <c r="C1784" s="2">
        <v>8</v>
      </c>
      <c r="D1784" s="2">
        <v>291</v>
      </c>
      <c r="E1784" s="2">
        <v>183</v>
      </c>
      <c r="F1784" s="2">
        <v>32441</v>
      </c>
      <c r="G1784" s="2">
        <v>4.8734906950000001</v>
      </c>
      <c r="H1784" s="2">
        <v>3.30272E-4</v>
      </c>
      <c r="I1784" s="2" t="s">
        <v>48441</v>
      </c>
      <c r="J1784" s="2" t="s">
        <v>48442</v>
      </c>
      <c r="K1784" s="2">
        <v>2.713975E-3</v>
      </c>
      <c r="L1784" s="2" t="s">
        <v>3116</v>
      </c>
      <c r="M1784" s="4" t="s">
        <v>48443</v>
      </c>
    </row>
    <row r="1785" spans="1:13">
      <c r="A1785" s="2">
        <v>251</v>
      </c>
      <c r="B1785" s="2" t="s">
        <v>48444</v>
      </c>
      <c r="C1785" s="2">
        <v>8</v>
      </c>
      <c r="D1785" s="2">
        <v>291</v>
      </c>
      <c r="E1785" s="2">
        <v>183</v>
      </c>
      <c r="F1785" s="2">
        <v>32441</v>
      </c>
      <c r="G1785" s="2">
        <v>4.8734906950000001</v>
      </c>
      <c r="H1785" s="2">
        <v>3.30272E-4</v>
      </c>
      <c r="I1785" s="2" t="s">
        <v>48445</v>
      </c>
      <c r="J1785" s="2" t="s">
        <v>48446</v>
      </c>
      <c r="K1785" s="2">
        <v>2.713975E-3</v>
      </c>
      <c r="L1785" s="2" t="s">
        <v>3116</v>
      </c>
      <c r="M1785" s="4" t="s">
        <v>48447</v>
      </c>
    </row>
    <row r="1786" spans="1:13">
      <c r="A1786" s="2">
        <v>1333</v>
      </c>
      <c r="B1786" s="2" t="s">
        <v>11775</v>
      </c>
      <c r="C1786" s="2">
        <v>8</v>
      </c>
      <c r="D1786" s="2">
        <v>291</v>
      </c>
      <c r="E1786" s="2">
        <v>190</v>
      </c>
      <c r="F1786" s="2">
        <v>32441</v>
      </c>
      <c r="G1786" s="2">
        <v>4.6939410380000002</v>
      </c>
      <c r="H1786" s="2">
        <v>4.1989399999999997E-4</v>
      </c>
      <c r="I1786" s="2" t="s">
        <v>48448</v>
      </c>
      <c r="J1786" s="2" t="s">
        <v>48449</v>
      </c>
      <c r="K1786" s="2">
        <v>3.0523070000000002E-3</v>
      </c>
      <c r="L1786" s="2" t="s">
        <v>3116</v>
      </c>
      <c r="M1786" s="4" t="s">
        <v>11778</v>
      </c>
    </row>
    <row r="1787" spans="1:13">
      <c r="A1787" s="2">
        <v>1701</v>
      </c>
      <c r="B1787" s="2" t="s">
        <v>11911</v>
      </c>
      <c r="C1787" s="2">
        <v>7</v>
      </c>
      <c r="D1787" s="2">
        <v>291</v>
      </c>
      <c r="E1787" s="2">
        <v>143</v>
      </c>
      <c r="F1787" s="2">
        <v>32441</v>
      </c>
      <c r="G1787" s="2">
        <v>5.4571167660000004</v>
      </c>
      <c r="H1787" s="2">
        <v>4.0713400000000002E-4</v>
      </c>
      <c r="I1787" s="2" t="s">
        <v>48450</v>
      </c>
      <c r="J1787" s="2" t="s">
        <v>48451</v>
      </c>
      <c r="K1787" s="2">
        <v>3.0523070000000002E-3</v>
      </c>
      <c r="L1787" s="2" t="s">
        <v>3116</v>
      </c>
      <c r="M1787" s="4" t="s">
        <v>11914</v>
      </c>
    </row>
    <row r="1788" spans="1:13">
      <c r="A1788" s="2">
        <v>187</v>
      </c>
      <c r="B1788" s="2" t="s">
        <v>11791</v>
      </c>
      <c r="C1788" s="2">
        <v>7</v>
      </c>
      <c r="D1788" s="2">
        <v>291</v>
      </c>
      <c r="E1788" s="2">
        <v>143</v>
      </c>
      <c r="F1788" s="2">
        <v>32441</v>
      </c>
      <c r="G1788" s="2">
        <v>5.4571167660000004</v>
      </c>
      <c r="H1788" s="2">
        <v>4.0713400000000002E-4</v>
      </c>
      <c r="I1788" s="2" t="s">
        <v>48452</v>
      </c>
      <c r="J1788" s="2" t="s">
        <v>48453</v>
      </c>
      <c r="K1788" s="2">
        <v>3.0523070000000002E-3</v>
      </c>
      <c r="L1788" s="2" t="s">
        <v>3116</v>
      </c>
      <c r="M1788" s="4" t="s">
        <v>11794</v>
      </c>
    </row>
    <row r="1789" spans="1:13">
      <c r="A1789" s="2">
        <v>1611</v>
      </c>
      <c r="B1789" s="2" t="s">
        <v>48454</v>
      </c>
      <c r="C1789" s="2">
        <v>8</v>
      </c>
      <c r="D1789" s="2">
        <v>291</v>
      </c>
      <c r="E1789" s="2">
        <v>193</v>
      </c>
      <c r="F1789" s="2">
        <v>32441</v>
      </c>
      <c r="G1789" s="2">
        <v>4.6209782239999999</v>
      </c>
      <c r="H1789" s="2">
        <v>4.6390899999999998E-4</v>
      </c>
      <c r="I1789" s="2" t="s">
        <v>48455</v>
      </c>
      <c r="J1789" s="2" t="s">
        <v>48456</v>
      </c>
      <c r="K1789" s="2">
        <v>3.2473649999999999E-3</v>
      </c>
      <c r="L1789" s="2" t="s">
        <v>3116</v>
      </c>
      <c r="M1789" s="4" t="s">
        <v>48457</v>
      </c>
    </row>
    <row r="1790" spans="1:13">
      <c r="A1790" s="2">
        <v>1071</v>
      </c>
      <c r="B1790" s="2" t="s">
        <v>48458</v>
      </c>
      <c r="C1790" s="2">
        <v>7</v>
      </c>
      <c r="D1790" s="2">
        <v>291</v>
      </c>
      <c r="E1790" s="2">
        <v>148</v>
      </c>
      <c r="F1790" s="2">
        <v>32441</v>
      </c>
      <c r="G1790" s="2">
        <v>5.2727547130000003</v>
      </c>
      <c r="H1790" s="2">
        <v>4.9561799999999997E-4</v>
      </c>
      <c r="I1790" s="2" t="s">
        <v>48459</v>
      </c>
      <c r="J1790" s="2" t="s">
        <v>48460</v>
      </c>
      <c r="K1790" s="2">
        <v>3.3454240000000001E-3</v>
      </c>
      <c r="L1790" s="2" t="s">
        <v>3116</v>
      </c>
      <c r="M1790" s="4" t="s">
        <v>48461</v>
      </c>
    </row>
    <row r="1791" spans="1:13">
      <c r="A1791" s="2">
        <v>634</v>
      </c>
      <c r="B1791" s="2" t="s">
        <v>11895</v>
      </c>
      <c r="C1791" s="2">
        <v>8</v>
      </c>
      <c r="D1791" s="2">
        <v>291</v>
      </c>
      <c r="E1791" s="2">
        <v>200</v>
      </c>
      <c r="F1791" s="2">
        <v>32441</v>
      </c>
      <c r="G1791" s="2">
        <v>4.4592439859999997</v>
      </c>
      <c r="H1791" s="2">
        <v>5.8127899999999998E-4</v>
      </c>
      <c r="I1791" s="2" t="s">
        <v>48462</v>
      </c>
      <c r="J1791" s="2" t="s">
        <v>48463</v>
      </c>
      <c r="K1791" s="2">
        <v>3.7883349999999999E-3</v>
      </c>
      <c r="L1791" s="2" t="s">
        <v>3116</v>
      </c>
      <c r="M1791" s="4" t="s">
        <v>11898</v>
      </c>
    </row>
    <row r="1792" spans="1:13">
      <c r="A1792" s="2">
        <v>62</v>
      </c>
      <c r="B1792" s="2" t="s">
        <v>11627</v>
      </c>
      <c r="C1792" s="2">
        <v>7</v>
      </c>
      <c r="D1792" s="2">
        <v>291</v>
      </c>
      <c r="E1792" s="2">
        <v>177</v>
      </c>
      <c r="F1792" s="2">
        <v>32441</v>
      </c>
      <c r="G1792" s="2">
        <v>4.4088570489999999</v>
      </c>
      <c r="H1792" s="2">
        <v>1.354502E-3</v>
      </c>
      <c r="I1792" s="2" t="s">
        <v>48464</v>
      </c>
      <c r="J1792" s="2" t="s">
        <v>48465</v>
      </c>
      <c r="K1792" s="2">
        <v>8.5333609999999997E-3</v>
      </c>
      <c r="L1792" s="2" t="s">
        <v>3116</v>
      </c>
      <c r="M1792" s="4" t="s">
        <v>11630</v>
      </c>
    </row>
    <row r="1793" spans="1:13">
      <c r="A1793" s="2">
        <v>291</v>
      </c>
      <c r="B1793" s="2" t="s">
        <v>48466</v>
      </c>
      <c r="C1793" s="2">
        <v>7</v>
      </c>
      <c r="D1793" s="2">
        <v>291</v>
      </c>
      <c r="E1793" s="2">
        <v>184</v>
      </c>
      <c r="F1793" s="2">
        <v>32441</v>
      </c>
      <c r="G1793" s="2">
        <v>4.2411287910000004</v>
      </c>
      <c r="H1793" s="2">
        <v>1.676648E-3</v>
      </c>
      <c r="I1793" s="2" t="s">
        <v>48467</v>
      </c>
      <c r="J1793" s="2" t="s">
        <v>48468</v>
      </c>
      <c r="K1793" s="2">
        <v>1.018779E-2</v>
      </c>
      <c r="L1793" s="2" t="s">
        <v>3116</v>
      </c>
      <c r="M1793" s="4" t="s">
        <v>48469</v>
      </c>
    </row>
    <row r="1794" spans="1:13">
      <c r="A1794" s="2">
        <v>991</v>
      </c>
      <c r="B1794" s="2" t="s">
        <v>48470</v>
      </c>
      <c r="C1794" s="2">
        <v>7</v>
      </c>
      <c r="D1794" s="2">
        <v>291</v>
      </c>
      <c r="E1794" s="2">
        <v>186</v>
      </c>
      <c r="F1794" s="2">
        <v>32441</v>
      </c>
      <c r="G1794" s="2">
        <v>4.1955252559999998</v>
      </c>
      <c r="H1794" s="2">
        <v>1.77882E-3</v>
      </c>
      <c r="I1794" s="2" t="s">
        <v>48471</v>
      </c>
      <c r="J1794" s="2" t="s">
        <v>48472</v>
      </c>
      <c r="K1794" s="2">
        <v>1.018779E-2</v>
      </c>
      <c r="L1794" s="2" t="s">
        <v>3116</v>
      </c>
      <c r="M1794" s="4" t="s">
        <v>48473</v>
      </c>
    </row>
    <row r="1795" spans="1:13">
      <c r="A1795" s="2">
        <v>1161</v>
      </c>
      <c r="B1795" s="2" t="s">
        <v>11843</v>
      </c>
      <c r="C1795" s="2">
        <v>6</v>
      </c>
      <c r="D1795" s="2">
        <v>291</v>
      </c>
      <c r="E1795" s="2">
        <v>136</v>
      </c>
      <c r="F1795" s="2">
        <v>32441</v>
      </c>
      <c r="G1795" s="2">
        <v>4.918283808</v>
      </c>
      <c r="H1795" s="2">
        <v>1.7490470000000001E-3</v>
      </c>
      <c r="I1795" s="2" t="s">
        <v>48474</v>
      </c>
      <c r="J1795" s="2" t="s">
        <v>48475</v>
      </c>
      <c r="K1795" s="2">
        <v>1.018779E-2</v>
      </c>
      <c r="L1795" s="2" t="s">
        <v>3116</v>
      </c>
      <c r="M1795" s="4" t="s">
        <v>11846</v>
      </c>
    </row>
    <row r="1796" spans="1:13">
      <c r="A1796" s="2">
        <v>1691</v>
      </c>
      <c r="B1796" s="2" t="s">
        <v>11871</v>
      </c>
      <c r="C1796" s="2">
        <v>7</v>
      </c>
      <c r="D1796" s="2">
        <v>291</v>
      </c>
      <c r="E1796" s="2">
        <v>188</v>
      </c>
      <c r="F1796" s="2">
        <v>32441</v>
      </c>
      <c r="G1796" s="2">
        <v>4.1508920079999996</v>
      </c>
      <c r="H1796" s="2">
        <v>1.8857629999999999E-3</v>
      </c>
      <c r="I1796" s="2" t="s">
        <v>48476</v>
      </c>
      <c r="J1796" s="2" t="s">
        <v>48477</v>
      </c>
      <c r="K1796" s="2">
        <v>1.0482625000000001E-2</v>
      </c>
      <c r="L1796" s="2" t="s">
        <v>3116</v>
      </c>
      <c r="M1796" s="4" t="s">
        <v>11874</v>
      </c>
    </row>
    <row r="1797" spans="1:13">
      <c r="A1797" s="2">
        <v>80</v>
      </c>
      <c r="B1797" s="2" t="s">
        <v>11875</v>
      </c>
      <c r="C1797" s="2">
        <v>7</v>
      </c>
      <c r="D1797" s="2">
        <v>291</v>
      </c>
      <c r="E1797" s="2">
        <v>192</v>
      </c>
      <c r="F1797" s="2">
        <v>32441</v>
      </c>
      <c r="G1797" s="2">
        <v>4.064415092</v>
      </c>
      <c r="H1797" s="2">
        <v>2.114557E-3</v>
      </c>
      <c r="I1797" s="2" t="s">
        <v>48478</v>
      </c>
      <c r="J1797" s="2" t="s">
        <v>48479</v>
      </c>
      <c r="K1797" s="2">
        <v>1.0801385E-2</v>
      </c>
      <c r="L1797" s="2" t="s">
        <v>3116</v>
      </c>
      <c r="M1797" s="4" t="s">
        <v>11878</v>
      </c>
    </row>
    <row r="1798" spans="1:13">
      <c r="A1798" s="2">
        <v>962</v>
      </c>
      <c r="B1798" s="2" t="s">
        <v>43266</v>
      </c>
      <c r="C1798" s="2">
        <v>7</v>
      </c>
      <c r="D1798" s="2">
        <v>291</v>
      </c>
      <c r="E1798" s="2">
        <v>191</v>
      </c>
      <c r="F1798" s="2">
        <v>32441</v>
      </c>
      <c r="G1798" s="2">
        <v>4.0856947520000002</v>
      </c>
      <c r="H1798" s="2">
        <v>2.0554480000000001E-3</v>
      </c>
      <c r="I1798" s="2" t="s">
        <v>48480</v>
      </c>
      <c r="J1798" s="2" t="s">
        <v>48481</v>
      </c>
      <c r="K1798" s="2">
        <v>1.0801385E-2</v>
      </c>
      <c r="L1798" s="2" t="s">
        <v>3116</v>
      </c>
      <c r="M1798" s="4" t="s">
        <v>43269</v>
      </c>
    </row>
    <row r="1799" spans="1:13">
      <c r="A1799" s="2">
        <v>1441</v>
      </c>
      <c r="B1799" s="2" t="s">
        <v>48482</v>
      </c>
      <c r="C1799" s="2">
        <v>7</v>
      </c>
      <c r="D1799" s="2">
        <v>291</v>
      </c>
      <c r="E1799" s="2">
        <v>192</v>
      </c>
      <c r="F1799" s="2">
        <v>32441</v>
      </c>
      <c r="G1799" s="2">
        <v>4.064415092</v>
      </c>
      <c r="H1799" s="2">
        <v>2.114557E-3</v>
      </c>
      <c r="I1799" s="2" t="s">
        <v>48483</v>
      </c>
      <c r="J1799" s="2" t="s">
        <v>48484</v>
      </c>
      <c r="K1799" s="2">
        <v>1.0801385E-2</v>
      </c>
      <c r="L1799" s="2" t="s">
        <v>3116</v>
      </c>
      <c r="M1799" s="4" t="s">
        <v>48485</v>
      </c>
    </row>
    <row r="1800" spans="1:13">
      <c r="A1800" s="2">
        <v>52</v>
      </c>
      <c r="B1800" s="2" t="s">
        <v>48486</v>
      </c>
      <c r="C1800" s="2">
        <v>7</v>
      </c>
      <c r="D1800" s="2">
        <v>291</v>
      </c>
      <c r="E1800" s="2">
        <v>194</v>
      </c>
      <c r="F1800" s="2">
        <v>32441</v>
      </c>
      <c r="G1800" s="2">
        <v>4.0225139050000003</v>
      </c>
      <c r="H1800" s="2">
        <v>2.2367110000000002E-3</v>
      </c>
      <c r="I1800" s="2" t="s">
        <v>48487</v>
      </c>
      <c r="J1800" s="2" t="s">
        <v>48488</v>
      </c>
      <c r="K1800" s="2">
        <v>1.1124693E-2</v>
      </c>
      <c r="L1800" s="2" t="s">
        <v>3116</v>
      </c>
      <c r="M1800" s="4" t="s">
        <v>48489</v>
      </c>
    </row>
    <row r="1801" spans="1:13">
      <c r="A1801" s="2">
        <v>1782</v>
      </c>
      <c r="B1801" s="2" t="s">
        <v>11795</v>
      </c>
      <c r="C1801" s="2">
        <v>6</v>
      </c>
      <c r="D1801" s="2">
        <v>291</v>
      </c>
      <c r="E1801" s="2">
        <v>145</v>
      </c>
      <c r="F1801" s="2">
        <v>32441</v>
      </c>
      <c r="G1801" s="2">
        <v>4.6130110200000001</v>
      </c>
      <c r="H1801" s="2">
        <v>2.3826490000000001E-3</v>
      </c>
      <c r="I1801" s="2" t="s">
        <v>48490</v>
      </c>
      <c r="J1801" s="2" t="s">
        <v>48491</v>
      </c>
      <c r="K1801" s="2">
        <v>1.1258015999999999E-2</v>
      </c>
      <c r="L1801" s="2" t="s">
        <v>3116</v>
      </c>
      <c r="M1801" s="4" t="s">
        <v>11798</v>
      </c>
    </row>
    <row r="1802" spans="1:13">
      <c r="A1802" s="2">
        <v>182</v>
      </c>
      <c r="B1802" s="2" t="s">
        <v>48492</v>
      </c>
      <c r="C1802" s="2">
        <v>6</v>
      </c>
      <c r="D1802" s="2">
        <v>291</v>
      </c>
      <c r="E1802" s="2">
        <v>145</v>
      </c>
      <c r="F1802" s="2">
        <v>32441</v>
      </c>
      <c r="G1802" s="2">
        <v>4.6130110200000001</v>
      </c>
      <c r="H1802" s="2">
        <v>2.3826490000000001E-3</v>
      </c>
      <c r="I1802" s="2" t="s">
        <v>48493</v>
      </c>
      <c r="J1802" s="2" t="s">
        <v>48494</v>
      </c>
      <c r="K1802" s="2">
        <v>1.1258015999999999E-2</v>
      </c>
      <c r="L1802" s="2" t="s">
        <v>3116</v>
      </c>
      <c r="M1802" s="4" t="s">
        <v>48495</v>
      </c>
    </row>
    <row r="1803" spans="1:13">
      <c r="A1803" s="2">
        <v>61</v>
      </c>
      <c r="B1803" s="2" t="s">
        <v>48496</v>
      </c>
      <c r="C1803" s="2">
        <v>6</v>
      </c>
      <c r="D1803" s="2">
        <v>291</v>
      </c>
      <c r="E1803" s="2">
        <v>164</v>
      </c>
      <c r="F1803" s="2">
        <v>32441</v>
      </c>
      <c r="G1803" s="2">
        <v>4.0785768170000001</v>
      </c>
      <c r="H1803" s="2">
        <v>4.2700380000000003E-3</v>
      </c>
      <c r="I1803" s="2" t="s">
        <v>48497</v>
      </c>
      <c r="J1803" s="2" t="s">
        <v>48498</v>
      </c>
      <c r="K1803" s="2">
        <v>1.9683831999999998E-2</v>
      </c>
      <c r="L1803" s="2" t="s">
        <v>3116</v>
      </c>
      <c r="M1803" s="4" t="s">
        <v>48499</v>
      </c>
    </row>
    <row r="1804" spans="1:13">
      <c r="A1804" s="2">
        <v>168</v>
      </c>
      <c r="B1804" s="2" t="s">
        <v>48500</v>
      </c>
      <c r="C1804" s="2">
        <v>2</v>
      </c>
      <c r="D1804" s="2">
        <v>291</v>
      </c>
      <c r="E1804" s="2">
        <v>10</v>
      </c>
      <c r="F1804" s="2">
        <v>32441</v>
      </c>
      <c r="G1804" s="2">
        <v>22.296219929999999</v>
      </c>
      <c r="H1804" s="2">
        <v>4.9016909999999997E-3</v>
      </c>
      <c r="I1804" s="2" t="s">
        <v>48501</v>
      </c>
      <c r="J1804" s="2" t="s">
        <v>48502</v>
      </c>
      <c r="K1804" s="2">
        <v>2.2057608999999999E-2</v>
      </c>
      <c r="L1804" s="2" t="s">
        <v>3116</v>
      </c>
      <c r="M1804" s="4" t="s">
        <v>48503</v>
      </c>
    </row>
    <row r="1805" spans="1:13">
      <c r="A1805" s="2">
        <v>1751</v>
      </c>
      <c r="B1805" s="2" t="s">
        <v>11691</v>
      </c>
      <c r="C1805" s="2">
        <v>8</v>
      </c>
      <c r="D1805" s="2">
        <v>291</v>
      </c>
      <c r="E1805" s="2">
        <v>287</v>
      </c>
      <c r="F1805" s="2">
        <v>32441</v>
      </c>
      <c r="G1805" s="2">
        <v>3.107487098</v>
      </c>
      <c r="H1805" s="2">
        <v>5.1371419999999999E-3</v>
      </c>
      <c r="I1805" s="2" t="s">
        <v>48504</v>
      </c>
      <c r="J1805" s="2" t="s">
        <v>48505</v>
      </c>
      <c r="K1805" s="2">
        <v>2.2579531E-2</v>
      </c>
      <c r="L1805" s="2" t="s">
        <v>3116</v>
      </c>
      <c r="M1805" s="4" t="s">
        <v>11694</v>
      </c>
    </row>
    <row r="1806" spans="1:13">
      <c r="A1806" s="2">
        <v>443</v>
      </c>
      <c r="B1806" s="2" t="s">
        <v>11799</v>
      </c>
      <c r="C1806" s="2">
        <v>6</v>
      </c>
      <c r="D1806" s="2">
        <v>291</v>
      </c>
      <c r="E1806" s="2">
        <v>180</v>
      </c>
      <c r="F1806" s="2">
        <v>32441</v>
      </c>
      <c r="G1806" s="2">
        <v>3.7160366549999999</v>
      </c>
      <c r="H1806" s="2">
        <v>6.5687260000000004E-3</v>
      </c>
      <c r="I1806" s="2" t="s">
        <v>48506</v>
      </c>
      <c r="J1806" s="2" t="s">
        <v>48507</v>
      </c>
      <c r="K1806" s="2">
        <v>2.8215661999999999E-2</v>
      </c>
      <c r="L1806" s="2" t="s">
        <v>3116</v>
      </c>
      <c r="M1806" s="4" t="s">
        <v>11802</v>
      </c>
    </row>
    <row r="1807" spans="1:13">
      <c r="A1807" s="2">
        <v>1171</v>
      </c>
      <c r="B1807" s="2" t="s">
        <v>48508</v>
      </c>
      <c r="C1807" s="2">
        <v>5</v>
      </c>
      <c r="D1807" s="2">
        <v>291</v>
      </c>
      <c r="E1807" s="2">
        <v>130</v>
      </c>
      <c r="F1807" s="2">
        <v>32441</v>
      </c>
      <c r="G1807" s="2">
        <v>4.2877346019999996</v>
      </c>
      <c r="H1807" s="2">
        <v>7.2832469999999996E-3</v>
      </c>
      <c r="I1807" s="2" t="s">
        <v>48509</v>
      </c>
      <c r="J1807" s="2" t="s">
        <v>48510</v>
      </c>
      <c r="K1807" s="2">
        <v>3.0589638999999998E-2</v>
      </c>
      <c r="L1807" s="2" t="s">
        <v>3116</v>
      </c>
      <c r="M1807" s="4" t="s">
        <v>48511</v>
      </c>
    </row>
    <row r="1808" spans="1:13">
      <c r="A1808" s="2">
        <v>1091</v>
      </c>
      <c r="B1808" s="2" t="s">
        <v>11667</v>
      </c>
      <c r="C1808" s="2">
        <v>6</v>
      </c>
      <c r="D1808" s="2">
        <v>291</v>
      </c>
      <c r="E1808" s="2">
        <v>187</v>
      </c>
      <c r="F1808" s="2">
        <v>32441</v>
      </c>
      <c r="G1808" s="2">
        <v>3.5769336790000001</v>
      </c>
      <c r="H1808" s="2">
        <v>7.8146199999999996E-3</v>
      </c>
      <c r="I1808" s="2" t="s">
        <v>48512</v>
      </c>
      <c r="J1808" s="2" t="s">
        <v>48513</v>
      </c>
      <c r="K1808" s="2">
        <v>3.2107893999999998E-2</v>
      </c>
      <c r="L1808" s="2" t="s">
        <v>3116</v>
      </c>
      <c r="M1808" s="4" t="s">
        <v>11670</v>
      </c>
    </row>
    <row r="1809" spans="1:13">
      <c r="A1809" s="2">
        <v>18</v>
      </c>
      <c r="B1809" s="2" t="s">
        <v>48514</v>
      </c>
      <c r="C1809" s="2">
        <v>6</v>
      </c>
      <c r="D1809" s="2">
        <v>291</v>
      </c>
      <c r="E1809" s="2">
        <v>190</v>
      </c>
      <c r="F1809" s="2">
        <v>32441</v>
      </c>
      <c r="G1809" s="2">
        <v>3.5204557790000002</v>
      </c>
      <c r="H1809" s="2">
        <v>8.3974889999999993E-3</v>
      </c>
      <c r="I1809" s="2" t="s">
        <v>48515</v>
      </c>
      <c r="J1809" s="2" t="s">
        <v>48516</v>
      </c>
      <c r="K1809" s="2">
        <v>3.2751281E-2</v>
      </c>
      <c r="L1809" s="2" t="s">
        <v>3116</v>
      </c>
      <c r="M1809" s="4" t="s">
        <v>48517</v>
      </c>
    </row>
    <row r="1810" spans="1:13">
      <c r="A1810" s="2">
        <v>19</v>
      </c>
      <c r="B1810" s="2" t="s">
        <v>11807</v>
      </c>
      <c r="C1810" s="2">
        <v>6</v>
      </c>
      <c r="D1810" s="2">
        <v>291</v>
      </c>
      <c r="E1810" s="2">
        <v>191</v>
      </c>
      <c r="F1810" s="2">
        <v>32441</v>
      </c>
      <c r="G1810" s="2">
        <v>3.5020240729999998</v>
      </c>
      <c r="H1810" s="2">
        <v>8.5985320000000007E-3</v>
      </c>
      <c r="I1810" s="2" t="s">
        <v>48518</v>
      </c>
      <c r="J1810" s="2" t="s">
        <v>48519</v>
      </c>
      <c r="K1810" s="2">
        <v>3.2751281E-2</v>
      </c>
      <c r="L1810" s="2" t="s">
        <v>3116</v>
      </c>
      <c r="M1810" s="4" t="s">
        <v>11810</v>
      </c>
    </row>
    <row r="1811" spans="1:13">
      <c r="A1811" s="2">
        <v>51</v>
      </c>
      <c r="B1811" s="2" t="s">
        <v>11647</v>
      </c>
      <c r="C1811" s="2">
        <v>6</v>
      </c>
      <c r="D1811" s="2">
        <v>291</v>
      </c>
      <c r="E1811" s="2">
        <v>192</v>
      </c>
      <c r="F1811" s="2">
        <v>32441</v>
      </c>
      <c r="G1811" s="2">
        <v>3.4837843639999999</v>
      </c>
      <c r="H1811" s="2">
        <v>8.8030039999999997E-3</v>
      </c>
      <c r="I1811" s="2" t="s">
        <v>48520</v>
      </c>
      <c r="J1811" s="2" t="s">
        <v>48521</v>
      </c>
      <c r="K1811" s="2">
        <v>3.2751281E-2</v>
      </c>
      <c r="L1811" s="2" t="s">
        <v>3116</v>
      </c>
      <c r="M1811" s="4" t="s">
        <v>11650</v>
      </c>
    </row>
    <row r="1812" spans="1:13">
      <c r="A1812" s="2">
        <v>732</v>
      </c>
      <c r="B1812" s="2" t="s">
        <v>39232</v>
      </c>
      <c r="C1812" s="2">
        <v>6</v>
      </c>
      <c r="D1812" s="2">
        <v>291</v>
      </c>
      <c r="E1812" s="2">
        <v>193</v>
      </c>
      <c r="F1812" s="2">
        <v>32441</v>
      </c>
      <c r="G1812" s="2">
        <v>3.4657336679999999</v>
      </c>
      <c r="H1812" s="2">
        <v>9.010934E-3</v>
      </c>
      <c r="I1812" s="2" t="s">
        <v>48522</v>
      </c>
      <c r="J1812" s="2" t="s">
        <v>48523</v>
      </c>
      <c r="K1812" s="2">
        <v>3.2751281E-2</v>
      </c>
      <c r="L1812" s="2" t="s">
        <v>3116</v>
      </c>
      <c r="M1812" s="4" t="s">
        <v>39235</v>
      </c>
    </row>
    <row r="1813" spans="1:13">
      <c r="A1813" s="2">
        <v>79</v>
      </c>
      <c r="B1813" s="2" t="s">
        <v>11819</v>
      </c>
      <c r="C1813" s="2">
        <v>6</v>
      </c>
      <c r="D1813" s="2">
        <v>291</v>
      </c>
      <c r="E1813" s="2">
        <v>191</v>
      </c>
      <c r="F1813" s="2">
        <v>32441</v>
      </c>
      <c r="G1813" s="2">
        <v>3.5020240729999998</v>
      </c>
      <c r="H1813" s="2">
        <v>8.5985320000000007E-3</v>
      </c>
      <c r="I1813" s="2" t="s">
        <v>48524</v>
      </c>
      <c r="J1813" s="2" t="s">
        <v>48525</v>
      </c>
      <c r="K1813" s="2">
        <v>3.2751281E-2</v>
      </c>
      <c r="L1813" s="2" t="s">
        <v>3116</v>
      </c>
      <c r="M1813" s="4" t="s">
        <v>11822</v>
      </c>
    </row>
    <row r="1814" spans="1:13">
      <c r="A1814" s="2">
        <v>1381</v>
      </c>
      <c r="B1814" s="2" t="s">
        <v>48526</v>
      </c>
      <c r="C1814" s="2">
        <v>6</v>
      </c>
      <c r="D1814" s="2">
        <v>291</v>
      </c>
      <c r="E1814" s="2">
        <v>193</v>
      </c>
      <c r="F1814" s="2">
        <v>32441</v>
      </c>
      <c r="G1814" s="2">
        <v>3.4657336679999999</v>
      </c>
      <c r="H1814" s="2">
        <v>9.010934E-3</v>
      </c>
      <c r="I1814" s="2" t="s">
        <v>48527</v>
      </c>
      <c r="J1814" s="2" t="s">
        <v>48528</v>
      </c>
      <c r="K1814" s="2">
        <v>3.2751281E-2</v>
      </c>
      <c r="L1814" s="2" t="s">
        <v>3116</v>
      </c>
      <c r="M1814" s="4" t="s">
        <v>48529</v>
      </c>
    </row>
    <row r="1815" spans="1:13">
      <c r="A1815" s="2">
        <v>76</v>
      </c>
      <c r="B1815" s="2" t="s">
        <v>48530</v>
      </c>
      <c r="C1815" s="2">
        <v>6</v>
      </c>
      <c r="D1815" s="2">
        <v>291</v>
      </c>
      <c r="E1815" s="2">
        <v>194</v>
      </c>
      <c r="F1815" s="2">
        <v>32441</v>
      </c>
      <c r="G1815" s="2">
        <v>3.4478690620000001</v>
      </c>
      <c r="H1815" s="2">
        <v>9.2223559999999993E-3</v>
      </c>
      <c r="I1815" s="2" t="s">
        <v>48531</v>
      </c>
      <c r="J1815" s="2" t="s">
        <v>48532</v>
      </c>
      <c r="K1815" s="2">
        <v>3.2887270000000003E-2</v>
      </c>
      <c r="L1815" s="2" t="s">
        <v>3116</v>
      </c>
      <c r="M1815" s="4" t="s">
        <v>48533</v>
      </c>
    </row>
    <row r="1816" spans="1:13">
      <c r="A1816" s="2">
        <v>5</v>
      </c>
      <c r="B1816" s="2" t="s">
        <v>39272</v>
      </c>
      <c r="C1816" s="2">
        <v>6</v>
      </c>
      <c r="D1816" s="2">
        <v>291</v>
      </c>
      <c r="E1816" s="2">
        <v>196</v>
      </c>
      <c r="F1816" s="2">
        <v>32441</v>
      </c>
      <c r="G1816" s="2">
        <v>3.4126867239999998</v>
      </c>
      <c r="H1816" s="2">
        <v>9.6557940000000005E-3</v>
      </c>
      <c r="I1816" s="2" t="s">
        <v>48534</v>
      </c>
      <c r="J1816" s="2" t="s">
        <v>48535</v>
      </c>
      <c r="K1816" s="2">
        <v>3.3795278999999998E-2</v>
      </c>
      <c r="L1816" s="2" t="s">
        <v>3116</v>
      </c>
      <c r="M1816" s="4" t="s">
        <v>39275</v>
      </c>
    </row>
    <row r="1817" spans="1:13">
      <c r="A1817" s="2">
        <v>82</v>
      </c>
      <c r="B1817" s="2" t="s">
        <v>11759</v>
      </c>
      <c r="C1817" s="2">
        <v>5</v>
      </c>
      <c r="D1817" s="2">
        <v>291</v>
      </c>
      <c r="E1817" s="2">
        <v>141</v>
      </c>
      <c r="F1817" s="2">
        <v>32441</v>
      </c>
      <c r="G1817" s="2">
        <v>3.9532304840000001</v>
      </c>
      <c r="H1817" s="2">
        <v>1.0022133000000001E-2</v>
      </c>
      <c r="I1817" s="2" t="s">
        <v>48536</v>
      </c>
      <c r="J1817" s="2" t="s">
        <v>48537</v>
      </c>
      <c r="K1817" s="2">
        <v>3.4439694E-2</v>
      </c>
      <c r="L1817" s="2" t="s">
        <v>3116</v>
      </c>
      <c r="M1817" s="4" t="s">
        <v>11762</v>
      </c>
    </row>
    <row r="1818" spans="1:13">
      <c r="A1818" s="2">
        <v>90</v>
      </c>
      <c r="B1818" s="2" t="s">
        <v>11907</v>
      </c>
      <c r="C1818" s="2">
        <v>5</v>
      </c>
      <c r="D1818" s="2">
        <v>291</v>
      </c>
      <c r="E1818" s="2">
        <v>143</v>
      </c>
      <c r="F1818" s="2">
        <v>32441</v>
      </c>
      <c r="G1818" s="2">
        <v>3.8979405470000001</v>
      </c>
      <c r="H1818" s="2">
        <v>1.0586541E-2</v>
      </c>
      <c r="I1818" s="2" t="s">
        <v>48538</v>
      </c>
      <c r="J1818" s="2" t="s">
        <v>48539</v>
      </c>
      <c r="K1818" s="2">
        <v>3.5729576999999998E-2</v>
      </c>
      <c r="L1818" s="2" t="s">
        <v>3116</v>
      </c>
      <c r="M1818" s="4" t="s">
        <v>11910</v>
      </c>
    </row>
    <row r="1819" spans="1:13">
      <c r="A1819" s="2">
        <v>103</v>
      </c>
      <c r="B1819" s="2" t="s">
        <v>48540</v>
      </c>
      <c r="C1819" s="2">
        <v>5</v>
      </c>
      <c r="D1819" s="2">
        <v>291</v>
      </c>
      <c r="E1819" s="2">
        <v>147</v>
      </c>
      <c r="F1819" s="2">
        <v>32441</v>
      </c>
      <c r="G1819" s="2">
        <v>3.7918741379999998</v>
      </c>
      <c r="H1819" s="2">
        <v>1.177983E-2</v>
      </c>
      <c r="I1819" s="2" t="s">
        <v>48541</v>
      </c>
      <c r="J1819" s="2" t="s">
        <v>48542</v>
      </c>
      <c r="K1819" s="2">
        <v>3.9059435000000003E-2</v>
      </c>
      <c r="L1819" s="2" t="s">
        <v>3116</v>
      </c>
      <c r="M1819" s="4" t="s">
        <v>48543</v>
      </c>
    </row>
    <row r="1820" spans="1:13">
      <c r="A1820" s="2">
        <v>212</v>
      </c>
      <c r="B1820" s="2" t="s">
        <v>48544</v>
      </c>
      <c r="C1820" s="2">
        <v>5</v>
      </c>
      <c r="D1820" s="2">
        <v>291</v>
      </c>
      <c r="E1820" s="2">
        <v>154</v>
      </c>
      <c r="F1820" s="2">
        <v>32441</v>
      </c>
      <c r="G1820" s="2">
        <v>3.6195162230000002</v>
      </c>
      <c r="H1820" s="2">
        <v>1.4082238E-2</v>
      </c>
      <c r="I1820" s="2" t="s">
        <v>48545</v>
      </c>
      <c r="J1820" s="2" t="s">
        <v>48546</v>
      </c>
      <c r="K1820" s="2">
        <v>4.5110899000000003E-2</v>
      </c>
      <c r="L1820" s="2" t="s">
        <v>3116</v>
      </c>
      <c r="M1820" s="4" t="s">
        <v>48547</v>
      </c>
    </row>
    <row r="1821" spans="1:13">
      <c r="A1821" s="2">
        <v>130</v>
      </c>
      <c r="B1821" s="2" t="s">
        <v>48548</v>
      </c>
      <c r="C1821" s="2">
        <v>4</v>
      </c>
      <c r="D1821" s="2">
        <v>291</v>
      </c>
      <c r="E1821" s="2">
        <v>100</v>
      </c>
      <c r="F1821" s="2">
        <v>32441</v>
      </c>
      <c r="G1821" s="2">
        <v>4.4592439859999997</v>
      </c>
      <c r="H1821" s="2">
        <v>1.4058289E-2</v>
      </c>
      <c r="I1821" s="2" t="s">
        <v>48549</v>
      </c>
      <c r="J1821" s="2" t="s">
        <v>48550</v>
      </c>
      <c r="K1821" s="2">
        <v>4.5110899000000003E-2</v>
      </c>
      <c r="L1821" s="2" t="s">
        <v>3116</v>
      </c>
      <c r="M1821" s="4" t="s">
        <v>48551</v>
      </c>
    </row>
    <row r="1822" spans="1:13">
      <c r="A1822" s="2">
        <v>2265</v>
      </c>
      <c r="B1822" s="2" t="s">
        <v>32845</v>
      </c>
      <c r="C1822" s="2">
        <v>19</v>
      </c>
      <c r="D1822" s="2">
        <v>291</v>
      </c>
      <c r="E1822" s="2">
        <v>200</v>
      </c>
      <c r="F1822" s="2">
        <v>32441</v>
      </c>
      <c r="G1822" s="2">
        <v>10.59070447</v>
      </c>
      <c r="H1822" s="3">
        <v>1.31E-13</v>
      </c>
      <c r="I1822" s="2" t="s">
        <v>48552</v>
      </c>
      <c r="J1822" s="2" t="s">
        <v>48553</v>
      </c>
      <c r="K1822" s="3">
        <v>6.3599999999999998E-10</v>
      </c>
      <c r="L1822" s="2" t="s">
        <v>1178</v>
      </c>
      <c r="M1822" s="4" t="s">
        <v>32848</v>
      </c>
    </row>
    <row r="1823" spans="1:13">
      <c r="A1823" s="2">
        <v>30471</v>
      </c>
      <c r="B1823" s="2" t="s">
        <v>12257</v>
      </c>
      <c r="C1823" s="2">
        <v>16</v>
      </c>
      <c r="D1823" s="2">
        <v>291</v>
      </c>
      <c r="E1823" s="2">
        <v>200</v>
      </c>
      <c r="F1823" s="2">
        <v>32441</v>
      </c>
      <c r="G1823" s="2">
        <v>8.9184879729999995</v>
      </c>
      <c r="H1823" s="3">
        <v>1.2500000000000001E-10</v>
      </c>
      <c r="I1823" s="2" t="s">
        <v>48554</v>
      </c>
      <c r="J1823" s="2" t="s">
        <v>48555</v>
      </c>
      <c r="K1823" s="3">
        <v>3.0400000000000002E-7</v>
      </c>
      <c r="L1823" s="2" t="s">
        <v>1178</v>
      </c>
      <c r="M1823" s="4" t="s">
        <v>12260</v>
      </c>
    </row>
    <row r="1824" spans="1:13">
      <c r="A1824" s="2">
        <v>2451</v>
      </c>
      <c r="B1824" s="2" t="s">
        <v>2301</v>
      </c>
      <c r="C1824" s="2">
        <v>15</v>
      </c>
      <c r="D1824" s="2">
        <v>291</v>
      </c>
      <c r="E1824" s="2">
        <v>181</v>
      </c>
      <c r="F1824" s="2">
        <v>32441</v>
      </c>
      <c r="G1824" s="2">
        <v>9.2387651650000002</v>
      </c>
      <c r="H1824" s="3">
        <v>3.0199999999999999E-10</v>
      </c>
      <c r="I1824" s="2" t="s">
        <v>48556</v>
      </c>
      <c r="J1824" s="2" t="s">
        <v>48557</v>
      </c>
      <c r="K1824" s="3">
        <v>4.9100000000000004E-7</v>
      </c>
      <c r="L1824" s="2" t="s">
        <v>1178</v>
      </c>
      <c r="M1824" s="4" t="s">
        <v>40977</v>
      </c>
    </row>
    <row r="1825" spans="1:13">
      <c r="A1825" s="2">
        <v>322</v>
      </c>
      <c r="B1825" s="2" t="s">
        <v>48558</v>
      </c>
      <c r="C1825" s="2">
        <v>15</v>
      </c>
      <c r="D1825" s="2">
        <v>291</v>
      </c>
      <c r="E1825" s="2">
        <v>200</v>
      </c>
      <c r="F1825" s="2">
        <v>32441</v>
      </c>
      <c r="G1825" s="2">
        <v>8.3610824739999998</v>
      </c>
      <c r="H1825" s="3">
        <v>1.0999999999999999E-9</v>
      </c>
      <c r="I1825" s="2" t="s">
        <v>48559</v>
      </c>
      <c r="J1825" s="2" t="s">
        <v>48560</v>
      </c>
      <c r="K1825" s="3">
        <v>7.6199999999999997E-7</v>
      </c>
      <c r="L1825" s="2" t="s">
        <v>1178</v>
      </c>
      <c r="M1825" s="4" t="s">
        <v>48561</v>
      </c>
    </row>
    <row r="1826" spans="1:13">
      <c r="A1826" s="2">
        <v>1881</v>
      </c>
      <c r="B1826" s="2" t="s">
        <v>18817</v>
      </c>
      <c r="C1826" s="2">
        <v>15</v>
      </c>
      <c r="D1826" s="2">
        <v>291</v>
      </c>
      <c r="E1826" s="2">
        <v>200</v>
      </c>
      <c r="F1826" s="2">
        <v>32441</v>
      </c>
      <c r="G1826" s="2">
        <v>8.3610824739999998</v>
      </c>
      <c r="H1826" s="3">
        <v>1.0999999999999999E-9</v>
      </c>
      <c r="I1826" s="2" t="s">
        <v>48562</v>
      </c>
      <c r="J1826" s="2" t="s">
        <v>48563</v>
      </c>
      <c r="K1826" s="3">
        <v>7.6199999999999997E-7</v>
      </c>
      <c r="L1826" s="2" t="s">
        <v>1178</v>
      </c>
      <c r="M1826" s="4" t="s">
        <v>18820</v>
      </c>
    </row>
    <row r="1827" spans="1:13">
      <c r="A1827" s="2">
        <v>2092</v>
      </c>
      <c r="B1827" s="2" t="s">
        <v>18864</v>
      </c>
      <c r="C1827" s="2">
        <v>15</v>
      </c>
      <c r="D1827" s="2">
        <v>291</v>
      </c>
      <c r="E1827" s="2">
        <v>200</v>
      </c>
      <c r="F1827" s="2">
        <v>32441</v>
      </c>
      <c r="G1827" s="2">
        <v>8.3610824739999998</v>
      </c>
      <c r="H1827" s="3">
        <v>1.0999999999999999E-9</v>
      </c>
      <c r="I1827" s="2" t="s">
        <v>48564</v>
      </c>
      <c r="J1827" s="2" t="s">
        <v>48565</v>
      </c>
      <c r="K1827" s="3">
        <v>7.6199999999999997E-7</v>
      </c>
      <c r="L1827" s="2" t="s">
        <v>1178</v>
      </c>
      <c r="M1827" s="4" t="s">
        <v>18867</v>
      </c>
    </row>
    <row r="1828" spans="1:13">
      <c r="A1828" s="2">
        <v>46301</v>
      </c>
      <c r="B1828" s="2" t="s">
        <v>16153</v>
      </c>
      <c r="C1828" s="2">
        <v>15</v>
      </c>
      <c r="D1828" s="2">
        <v>291</v>
      </c>
      <c r="E1828" s="2">
        <v>200</v>
      </c>
      <c r="F1828" s="2">
        <v>32441</v>
      </c>
      <c r="G1828" s="2">
        <v>8.3610824739999998</v>
      </c>
      <c r="H1828" s="3">
        <v>1.0999999999999999E-9</v>
      </c>
      <c r="I1828" s="2" t="s">
        <v>48566</v>
      </c>
      <c r="J1828" s="2" t="s">
        <v>48567</v>
      </c>
      <c r="K1828" s="3">
        <v>7.6199999999999997E-7</v>
      </c>
      <c r="L1828" s="2" t="s">
        <v>1178</v>
      </c>
      <c r="M1828" s="4" t="s">
        <v>16156</v>
      </c>
    </row>
    <row r="1829" spans="1:13">
      <c r="A1829" s="2">
        <v>4011</v>
      </c>
      <c r="B1829" s="2" t="s">
        <v>48568</v>
      </c>
      <c r="C1829" s="2">
        <v>13</v>
      </c>
      <c r="D1829" s="2">
        <v>291</v>
      </c>
      <c r="E1829" s="2">
        <v>172</v>
      </c>
      <c r="F1829" s="2">
        <v>32441</v>
      </c>
      <c r="G1829" s="2">
        <v>8.4258970669999993</v>
      </c>
      <c r="H1829" s="3">
        <v>1.3200000000000001E-8</v>
      </c>
      <c r="I1829" s="2" t="s">
        <v>48569</v>
      </c>
      <c r="J1829" s="2" t="s">
        <v>48570</v>
      </c>
      <c r="K1829" s="3">
        <v>8.0199999999999994E-6</v>
      </c>
      <c r="L1829" s="2" t="s">
        <v>1178</v>
      </c>
      <c r="M1829" s="4" t="s">
        <v>48571</v>
      </c>
    </row>
    <row r="1830" spans="1:13">
      <c r="A1830" s="2">
        <v>865</v>
      </c>
      <c r="B1830" s="2" t="s">
        <v>21899</v>
      </c>
      <c r="C1830" s="2">
        <v>13</v>
      </c>
      <c r="D1830" s="2">
        <v>291</v>
      </c>
      <c r="E1830" s="2">
        <v>200</v>
      </c>
      <c r="F1830" s="2">
        <v>32441</v>
      </c>
      <c r="G1830" s="2">
        <v>7.2462714779999997</v>
      </c>
      <c r="H1830" s="3">
        <v>6.9899999999999997E-8</v>
      </c>
      <c r="I1830" s="2" t="s">
        <v>48572</v>
      </c>
      <c r="J1830" s="2" t="s">
        <v>48573</v>
      </c>
      <c r="K1830" s="3">
        <v>2.0000000000000002E-5</v>
      </c>
      <c r="L1830" s="2" t="s">
        <v>1178</v>
      </c>
      <c r="M1830" s="4" t="s">
        <v>21902</v>
      </c>
    </row>
    <row r="1831" spans="1:13">
      <c r="A1831" s="2">
        <v>2076</v>
      </c>
      <c r="B1831" s="2" t="s">
        <v>39936</v>
      </c>
      <c r="C1831" s="2">
        <v>13</v>
      </c>
      <c r="D1831" s="2">
        <v>291</v>
      </c>
      <c r="E1831" s="2">
        <v>200</v>
      </c>
      <c r="F1831" s="2">
        <v>32441</v>
      </c>
      <c r="G1831" s="2">
        <v>7.2462714779999997</v>
      </c>
      <c r="H1831" s="3">
        <v>6.9899999999999997E-8</v>
      </c>
      <c r="I1831" s="2" t="s">
        <v>48574</v>
      </c>
      <c r="J1831" s="2" t="s">
        <v>48575</v>
      </c>
      <c r="K1831" s="3">
        <v>2.0000000000000002E-5</v>
      </c>
      <c r="L1831" s="2" t="s">
        <v>1178</v>
      </c>
      <c r="M1831" s="4" t="s">
        <v>39939</v>
      </c>
    </row>
    <row r="1832" spans="1:13">
      <c r="A1832" s="2">
        <v>2090</v>
      </c>
      <c r="B1832" s="2" t="s">
        <v>19834</v>
      </c>
      <c r="C1832" s="2">
        <v>13</v>
      </c>
      <c r="D1832" s="2">
        <v>291</v>
      </c>
      <c r="E1832" s="2">
        <v>199</v>
      </c>
      <c r="F1832" s="2">
        <v>32441</v>
      </c>
      <c r="G1832" s="2">
        <v>7.2826849019999997</v>
      </c>
      <c r="H1832" s="3">
        <v>6.6100000000000003E-8</v>
      </c>
      <c r="I1832" s="2" t="s">
        <v>48576</v>
      </c>
      <c r="J1832" s="2" t="s">
        <v>48577</v>
      </c>
      <c r="K1832" s="3">
        <v>2.0000000000000002E-5</v>
      </c>
      <c r="L1832" s="2" t="s">
        <v>1178</v>
      </c>
      <c r="M1832" s="4" t="s">
        <v>19837</v>
      </c>
    </row>
    <row r="1833" spans="1:13">
      <c r="A1833" s="2">
        <v>30111</v>
      </c>
      <c r="B1833" s="2" t="s">
        <v>42013</v>
      </c>
      <c r="C1833" s="2">
        <v>13</v>
      </c>
      <c r="D1833" s="2">
        <v>291</v>
      </c>
      <c r="E1833" s="2">
        <v>200</v>
      </c>
      <c r="F1833" s="2">
        <v>32441</v>
      </c>
      <c r="G1833" s="2">
        <v>7.2462714779999997</v>
      </c>
      <c r="H1833" s="3">
        <v>6.9899999999999997E-8</v>
      </c>
      <c r="I1833" s="2" t="s">
        <v>48578</v>
      </c>
      <c r="J1833" s="2" t="s">
        <v>48579</v>
      </c>
      <c r="K1833" s="3">
        <v>2.0000000000000002E-5</v>
      </c>
      <c r="L1833" s="2" t="s">
        <v>1178</v>
      </c>
      <c r="M1833" s="4" t="s">
        <v>42016</v>
      </c>
    </row>
    <row r="1834" spans="1:13">
      <c r="A1834" s="2">
        <v>3628</v>
      </c>
      <c r="B1834" s="2" t="s">
        <v>48580</v>
      </c>
      <c r="C1834" s="2">
        <v>13</v>
      </c>
      <c r="D1834" s="2">
        <v>291</v>
      </c>
      <c r="E1834" s="2">
        <v>200</v>
      </c>
      <c r="F1834" s="2">
        <v>32441</v>
      </c>
      <c r="G1834" s="2">
        <v>7.2462714779999997</v>
      </c>
      <c r="H1834" s="3">
        <v>6.9899999999999997E-8</v>
      </c>
      <c r="I1834" s="2" t="s">
        <v>48581</v>
      </c>
      <c r="J1834" s="2" t="s">
        <v>48582</v>
      </c>
      <c r="K1834" s="3">
        <v>2.0000000000000002E-5</v>
      </c>
      <c r="L1834" s="2" t="s">
        <v>1178</v>
      </c>
      <c r="M1834" s="4" t="s">
        <v>48583</v>
      </c>
    </row>
    <row r="1835" spans="1:13">
      <c r="A1835" s="2">
        <v>3775</v>
      </c>
      <c r="B1835" s="2" t="s">
        <v>21292</v>
      </c>
      <c r="C1835" s="2">
        <v>13</v>
      </c>
      <c r="D1835" s="2">
        <v>291</v>
      </c>
      <c r="E1835" s="2">
        <v>200</v>
      </c>
      <c r="F1835" s="2">
        <v>32441</v>
      </c>
      <c r="G1835" s="2">
        <v>7.2462714779999997</v>
      </c>
      <c r="H1835" s="3">
        <v>6.9899999999999997E-8</v>
      </c>
      <c r="I1835" s="2" t="s">
        <v>48584</v>
      </c>
      <c r="J1835" s="2" t="s">
        <v>48585</v>
      </c>
      <c r="K1835" s="3">
        <v>2.0000000000000002E-5</v>
      </c>
      <c r="L1835" s="2" t="s">
        <v>1178</v>
      </c>
      <c r="M1835" s="4" t="s">
        <v>21295</v>
      </c>
    </row>
    <row r="1836" spans="1:13">
      <c r="A1836" s="2">
        <v>4376</v>
      </c>
      <c r="B1836" s="2" t="s">
        <v>48586</v>
      </c>
      <c r="C1836" s="2">
        <v>13</v>
      </c>
      <c r="D1836" s="2">
        <v>291</v>
      </c>
      <c r="E1836" s="2">
        <v>200</v>
      </c>
      <c r="F1836" s="2">
        <v>32441</v>
      </c>
      <c r="G1836" s="2">
        <v>7.2462714779999997</v>
      </c>
      <c r="H1836" s="3">
        <v>6.9899999999999997E-8</v>
      </c>
      <c r="I1836" s="2" t="s">
        <v>48587</v>
      </c>
      <c r="J1836" s="2" t="s">
        <v>48588</v>
      </c>
      <c r="K1836" s="3">
        <v>2.0000000000000002E-5</v>
      </c>
      <c r="L1836" s="2" t="s">
        <v>1178</v>
      </c>
      <c r="M1836" s="4" t="s">
        <v>48589</v>
      </c>
    </row>
    <row r="1837" spans="1:13">
      <c r="A1837" s="2">
        <v>44281</v>
      </c>
      <c r="B1837" s="2" t="s">
        <v>21411</v>
      </c>
      <c r="C1837" s="2">
        <v>13</v>
      </c>
      <c r="D1837" s="2">
        <v>291</v>
      </c>
      <c r="E1837" s="2">
        <v>200</v>
      </c>
      <c r="F1837" s="2">
        <v>32441</v>
      </c>
      <c r="G1837" s="2">
        <v>7.2462714779999997</v>
      </c>
      <c r="H1837" s="3">
        <v>6.9899999999999997E-8</v>
      </c>
      <c r="I1837" s="2" t="s">
        <v>48590</v>
      </c>
      <c r="J1837" s="2" t="s">
        <v>48591</v>
      </c>
      <c r="K1837" s="3">
        <v>2.0000000000000002E-5</v>
      </c>
      <c r="L1837" s="2" t="s">
        <v>1178</v>
      </c>
      <c r="M1837" s="4" t="s">
        <v>21414</v>
      </c>
    </row>
    <row r="1838" spans="1:13">
      <c r="A1838" s="2">
        <v>48711</v>
      </c>
      <c r="B1838" s="2" t="s">
        <v>12852</v>
      </c>
      <c r="C1838" s="2">
        <v>13</v>
      </c>
      <c r="D1838" s="2">
        <v>291</v>
      </c>
      <c r="E1838" s="2">
        <v>200</v>
      </c>
      <c r="F1838" s="2">
        <v>32441</v>
      </c>
      <c r="G1838" s="2">
        <v>7.2462714779999997</v>
      </c>
      <c r="H1838" s="3">
        <v>6.9899999999999997E-8</v>
      </c>
      <c r="I1838" s="2" t="s">
        <v>48592</v>
      </c>
      <c r="J1838" s="2" t="s">
        <v>48593</v>
      </c>
      <c r="K1838" s="3">
        <v>2.0000000000000002E-5</v>
      </c>
      <c r="L1838" s="2" t="s">
        <v>1178</v>
      </c>
      <c r="M1838" s="4" t="s">
        <v>12855</v>
      </c>
    </row>
    <row r="1839" spans="1:13">
      <c r="A1839" s="2">
        <v>308</v>
      </c>
      <c r="B1839" s="2" t="s">
        <v>48594</v>
      </c>
      <c r="C1839" s="2">
        <v>12</v>
      </c>
      <c r="D1839" s="2">
        <v>291</v>
      </c>
      <c r="E1839" s="2">
        <v>200</v>
      </c>
      <c r="F1839" s="2">
        <v>32441</v>
      </c>
      <c r="G1839" s="2">
        <v>6.688865979</v>
      </c>
      <c r="H1839" s="3">
        <v>5.0299999999999999E-7</v>
      </c>
      <c r="I1839" s="2" t="s">
        <v>48595</v>
      </c>
      <c r="J1839" s="2" t="s">
        <v>48596</v>
      </c>
      <c r="K1839" s="2">
        <v>1.11309E-4</v>
      </c>
      <c r="L1839" s="2" t="s">
        <v>1178</v>
      </c>
      <c r="M1839" s="4" t="s">
        <v>48597</v>
      </c>
    </row>
    <row r="1840" spans="1:13">
      <c r="A1840" s="2">
        <v>1863</v>
      </c>
      <c r="B1840" s="2" t="s">
        <v>32007</v>
      </c>
      <c r="C1840" s="2">
        <v>12</v>
      </c>
      <c r="D1840" s="2">
        <v>291</v>
      </c>
      <c r="E1840" s="2">
        <v>200</v>
      </c>
      <c r="F1840" s="2">
        <v>32441</v>
      </c>
      <c r="G1840" s="2">
        <v>6.688865979</v>
      </c>
      <c r="H1840" s="3">
        <v>5.0299999999999999E-7</v>
      </c>
      <c r="I1840" s="2" t="s">
        <v>48598</v>
      </c>
      <c r="J1840" s="2" t="s">
        <v>48599</v>
      </c>
      <c r="K1840" s="2">
        <v>1.11309E-4</v>
      </c>
      <c r="L1840" s="2" t="s">
        <v>1178</v>
      </c>
      <c r="M1840" s="4" t="s">
        <v>32010</v>
      </c>
    </row>
    <row r="1841" spans="1:13">
      <c r="A1841" s="2">
        <v>3632</v>
      </c>
      <c r="B1841" s="2" t="s">
        <v>48600</v>
      </c>
      <c r="C1841" s="2">
        <v>12</v>
      </c>
      <c r="D1841" s="2">
        <v>291</v>
      </c>
      <c r="E1841" s="2">
        <v>200</v>
      </c>
      <c r="F1841" s="2">
        <v>32441</v>
      </c>
      <c r="G1841" s="2">
        <v>6.688865979</v>
      </c>
      <c r="H1841" s="3">
        <v>5.0299999999999999E-7</v>
      </c>
      <c r="I1841" s="2" t="s">
        <v>48601</v>
      </c>
      <c r="J1841" s="2" t="s">
        <v>48602</v>
      </c>
      <c r="K1841" s="2">
        <v>1.11309E-4</v>
      </c>
      <c r="L1841" s="2" t="s">
        <v>1178</v>
      </c>
      <c r="M1841" s="4" t="s">
        <v>48603</v>
      </c>
    </row>
    <row r="1842" spans="1:13">
      <c r="A1842" s="2">
        <v>37441</v>
      </c>
      <c r="B1842" s="2" t="s">
        <v>16683</v>
      </c>
      <c r="C1842" s="2">
        <v>12</v>
      </c>
      <c r="D1842" s="2">
        <v>291</v>
      </c>
      <c r="E1842" s="2">
        <v>200</v>
      </c>
      <c r="F1842" s="2">
        <v>32441</v>
      </c>
      <c r="G1842" s="2">
        <v>6.688865979</v>
      </c>
      <c r="H1842" s="3">
        <v>5.0299999999999999E-7</v>
      </c>
      <c r="I1842" s="2" t="s">
        <v>48604</v>
      </c>
      <c r="J1842" s="2" t="s">
        <v>48605</v>
      </c>
      <c r="K1842" s="2">
        <v>1.11309E-4</v>
      </c>
      <c r="L1842" s="2" t="s">
        <v>1178</v>
      </c>
      <c r="M1842" s="4" t="s">
        <v>16686</v>
      </c>
    </row>
    <row r="1843" spans="1:13">
      <c r="A1843" s="2">
        <v>3801</v>
      </c>
      <c r="B1843" s="2" t="s">
        <v>34358</v>
      </c>
      <c r="C1843" s="2">
        <v>12</v>
      </c>
      <c r="D1843" s="2">
        <v>291</v>
      </c>
      <c r="E1843" s="2">
        <v>200</v>
      </c>
      <c r="F1843" s="2">
        <v>32441</v>
      </c>
      <c r="G1843" s="2">
        <v>6.688865979</v>
      </c>
      <c r="H1843" s="3">
        <v>5.0299999999999999E-7</v>
      </c>
      <c r="I1843" s="2" t="s">
        <v>48606</v>
      </c>
      <c r="J1843" s="2" t="s">
        <v>48607</v>
      </c>
      <c r="K1843" s="2">
        <v>1.11309E-4</v>
      </c>
      <c r="L1843" s="2" t="s">
        <v>1178</v>
      </c>
      <c r="M1843" s="4" t="s">
        <v>34361</v>
      </c>
    </row>
    <row r="1844" spans="1:13">
      <c r="A1844" s="2">
        <v>748</v>
      </c>
      <c r="B1844" s="2" t="s">
        <v>14000</v>
      </c>
      <c r="C1844" s="2">
        <v>11</v>
      </c>
      <c r="D1844" s="2">
        <v>291</v>
      </c>
      <c r="E1844" s="2">
        <v>200</v>
      </c>
      <c r="F1844" s="2">
        <v>32441</v>
      </c>
      <c r="G1844" s="2">
        <v>6.1314604810000004</v>
      </c>
      <c r="H1844" s="3">
        <v>3.3500000000000001E-6</v>
      </c>
      <c r="I1844" s="2" t="s">
        <v>48608</v>
      </c>
      <c r="J1844" s="2" t="s">
        <v>48609</v>
      </c>
      <c r="K1844" s="2">
        <v>4.6598400000000002E-4</v>
      </c>
      <c r="L1844" s="2" t="s">
        <v>1178</v>
      </c>
      <c r="M1844" s="4" t="s">
        <v>14003</v>
      </c>
    </row>
    <row r="1845" spans="1:13">
      <c r="A1845" s="2">
        <v>832</v>
      </c>
      <c r="B1845" s="2" t="s">
        <v>48610</v>
      </c>
      <c r="C1845" s="2">
        <v>11</v>
      </c>
      <c r="D1845" s="2">
        <v>291</v>
      </c>
      <c r="E1845" s="2">
        <v>200</v>
      </c>
      <c r="F1845" s="2">
        <v>32441</v>
      </c>
      <c r="G1845" s="2">
        <v>6.1314604810000004</v>
      </c>
      <c r="H1845" s="3">
        <v>3.3500000000000001E-6</v>
      </c>
      <c r="I1845" s="2" t="s">
        <v>48611</v>
      </c>
      <c r="J1845" s="2" t="s">
        <v>48612</v>
      </c>
      <c r="K1845" s="2">
        <v>4.6598400000000002E-4</v>
      </c>
      <c r="L1845" s="2" t="s">
        <v>1178</v>
      </c>
      <c r="M1845" s="4" t="s">
        <v>48613</v>
      </c>
    </row>
    <row r="1846" spans="1:13">
      <c r="A1846" s="2">
        <v>897</v>
      </c>
      <c r="B1846" s="2" t="s">
        <v>17075</v>
      </c>
      <c r="C1846" s="2">
        <v>11</v>
      </c>
      <c r="D1846" s="2">
        <v>291</v>
      </c>
      <c r="E1846" s="2">
        <v>200</v>
      </c>
      <c r="F1846" s="2">
        <v>32441</v>
      </c>
      <c r="G1846" s="2">
        <v>6.1314604810000004</v>
      </c>
      <c r="H1846" s="3">
        <v>3.3500000000000001E-6</v>
      </c>
      <c r="I1846" s="2" t="s">
        <v>48614</v>
      </c>
      <c r="J1846" s="2" t="s">
        <v>48615</v>
      </c>
      <c r="K1846" s="2">
        <v>4.6598400000000002E-4</v>
      </c>
      <c r="L1846" s="2" t="s">
        <v>1178</v>
      </c>
      <c r="M1846" s="4" t="s">
        <v>17078</v>
      </c>
    </row>
    <row r="1847" spans="1:13">
      <c r="A1847" s="2">
        <v>1073</v>
      </c>
      <c r="B1847" s="2" t="s">
        <v>12317</v>
      </c>
      <c r="C1847" s="2">
        <v>11</v>
      </c>
      <c r="D1847" s="2">
        <v>291</v>
      </c>
      <c r="E1847" s="2">
        <v>200</v>
      </c>
      <c r="F1847" s="2">
        <v>32441</v>
      </c>
      <c r="G1847" s="2">
        <v>6.1314604810000004</v>
      </c>
      <c r="H1847" s="3">
        <v>3.3500000000000001E-6</v>
      </c>
      <c r="I1847" s="2" t="s">
        <v>48616</v>
      </c>
      <c r="J1847" s="2" t="s">
        <v>48617</v>
      </c>
      <c r="K1847" s="2">
        <v>4.6598400000000002E-4</v>
      </c>
      <c r="L1847" s="2" t="s">
        <v>1178</v>
      </c>
      <c r="M1847" s="4" t="s">
        <v>12320</v>
      </c>
    </row>
    <row r="1848" spans="1:13">
      <c r="A1848" s="2">
        <v>1208</v>
      </c>
      <c r="B1848" s="2" t="s">
        <v>48618</v>
      </c>
      <c r="C1848" s="2">
        <v>11</v>
      </c>
      <c r="D1848" s="2">
        <v>291</v>
      </c>
      <c r="E1848" s="2">
        <v>200</v>
      </c>
      <c r="F1848" s="2">
        <v>32441</v>
      </c>
      <c r="G1848" s="2">
        <v>6.1314604810000004</v>
      </c>
      <c r="H1848" s="3">
        <v>3.3500000000000001E-6</v>
      </c>
      <c r="I1848" s="2" t="s">
        <v>48619</v>
      </c>
      <c r="J1848" s="2" t="s">
        <v>48620</v>
      </c>
      <c r="K1848" s="2">
        <v>4.6598400000000002E-4</v>
      </c>
      <c r="L1848" s="2" t="s">
        <v>1178</v>
      </c>
      <c r="M1848" s="4" t="s">
        <v>48621</v>
      </c>
    </row>
    <row r="1849" spans="1:13">
      <c r="A1849" s="2">
        <v>1445</v>
      </c>
      <c r="B1849" s="2" t="s">
        <v>32758</v>
      </c>
      <c r="C1849" s="2">
        <v>11</v>
      </c>
      <c r="D1849" s="2">
        <v>291</v>
      </c>
      <c r="E1849" s="2">
        <v>200</v>
      </c>
      <c r="F1849" s="2">
        <v>32441</v>
      </c>
      <c r="G1849" s="2">
        <v>6.1314604810000004</v>
      </c>
      <c r="H1849" s="3">
        <v>3.3500000000000001E-6</v>
      </c>
      <c r="I1849" s="2" t="s">
        <v>48622</v>
      </c>
      <c r="J1849" s="2" t="s">
        <v>48623</v>
      </c>
      <c r="K1849" s="2">
        <v>4.6598400000000002E-4</v>
      </c>
      <c r="L1849" s="2" t="s">
        <v>1178</v>
      </c>
      <c r="M1849" s="4" t="s">
        <v>32761</v>
      </c>
    </row>
    <row r="1850" spans="1:13">
      <c r="A1850" s="2">
        <v>1485</v>
      </c>
      <c r="B1850" s="2" t="s">
        <v>22033</v>
      </c>
      <c r="C1850" s="2">
        <v>11</v>
      </c>
      <c r="D1850" s="2">
        <v>291</v>
      </c>
      <c r="E1850" s="2">
        <v>200</v>
      </c>
      <c r="F1850" s="2">
        <v>32441</v>
      </c>
      <c r="G1850" s="2">
        <v>6.1314604810000004</v>
      </c>
      <c r="H1850" s="3">
        <v>3.3500000000000001E-6</v>
      </c>
      <c r="I1850" s="2" t="s">
        <v>48624</v>
      </c>
      <c r="J1850" s="2" t="s">
        <v>48625</v>
      </c>
      <c r="K1850" s="2">
        <v>4.6598400000000002E-4</v>
      </c>
      <c r="L1850" s="2" t="s">
        <v>1178</v>
      </c>
      <c r="M1850" s="4" t="s">
        <v>22036</v>
      </c>
    </row>
    <row r="1851" spans="1:13">
      <c r="A1851" s="2">
        <v>2128</v>
      </c>
      <c r="B1851" s="2" t="s">
        <v>20979</v>
      </c>
      <c r="C1851" s="2">
        <v>11</v>
      </c>
      <c r="D1851" s="2">
        <v>291</v>
      </c>
      <c r="E1851" s="2">
        <v>200</v>
      </c>
      <c r="F1851" s="2">
        <v>32441</v>
      </c>
      <c r="G1851" s="2">
        <v>6.1314604810000004</v>
      </c>
      <c r="H1851" s="3">
        <v>3.3500000000000001E-6</v>
      </c>
      <c r="I1851" s="2" t="s">
        <v>48626</v>
      </c>
      <c r="J1851" s="2" t="s">
        <v>48627</v>
      </c>
      <c r="K1851" s="2">
        <v>4.6598400000000002E-4</v>
      </c>
      <c r="L1851" s="2" t="s">
        <v>1178</v>
      </c>
      <c r="M1851" s="4" t="s">
        <v>20982</v>
      </c>
    </row>
    <row r="1852" spans="1:13">
      <c r="A1852" s="2">
        <v>2133</v>
      </c>
      <c r="B1852" s="2" t="s">
        <v>15855</v>
      </c>
      <c r="C1852" s="2">
        <v>11</v>
      </c>
      <c r="D1852" s="2">
        <v>291</v>
      </c>
      <c r="E1852" s="2">
        <v>200</v>
      </c>
      <c r="F1852" s="2">
        <v>32441</v>
      </c>
      <c r="G1852" s="2">
        <v>6.1314604810000004</v>
      </c>
      <c r="H1852" s="3">
        <v>3.3500000000000001E-6</v>
      </c>
      <c r="I1852" s="2" t="s">
        <v>48628</v>
      </c>
      <c r="J1852" s="2" t="s">
        <v>48629</v>
      </c>
      <c r="K1852" s="2">
        <v>4.6598400000000002E-4</v>
      </c>
      <c r="L1852" s="2" t="s">
        <v>1178</v>
      </c>
      <c r="M1852" s="4" t="s">
        <v>15858</v>
      </c>
    </row>
    <row r="1853" spans="1:13">
      <c r="A1853" s="2">
        <v>22211</v>
      </c>
      <c r="B1853" s="2" t="s">
        <v>48630</v>
      </c>
      <c r="C1853" s="2">
        <v>11</v>
      </c>
      <c r="D1853" s="2">
        <v>291</v>
      </c>
      <c r="E1853" s="2">
        <v>199</v>
      </c>
      <c r="F1853" s="2">
        <v>32441</v>
      </c>
      <c r="G1853" s="2">
        <v>6.1622718399999998</v>
      </c>
      <c r="H1853" s="3">
        <v>3.1999999999999999E-6</v>
      </c>
      <c r="I1853" s="2" t="s">
        <v>48631</v>
      </c>
      <c r="J1853" s="2" t="s">
        <v>48632</v>
      </c>
      <c r="K1853" s="2">
        <v>4.6598400000000002E-4</v>
      </c>
      <c r="L1853" s="2" t="s">
        <v>1178</v>
      </c>
      <c r="M1853" s="4" t="s">
        <v>48633</v>
      </c>
    </row>
    <row r="1854" spans="1:13">
      <c r="A1854" s="2">
        <v>2493</v>
      </c>
      <c r="B1854" s="2" t="s">
        <v>48634</v>
      </c>
      <c r="C1854" s="2">
        <v>9</v>
      </c>
      <c r="D1854" s="2">
        <v>291</v>
      </c>
      <c r="E1854" s="2">
        <v>123</v>
      </c>
      <c r="F1854" s="2">
        <v>32441</v>
      </c>
      <c r="G1854" s="2">
        <v>8.1571536330000001</v>
      </c>
      <c r="H1854" s="3">
        <v>2.9900000000000002E-6</v>
      </c>
      <c r="I1854" s="2" t="s">
        <v>48635</v>
      </c>
      <c r="J1854" s="2" t="s">
        <v>48636</v>
      </c>
      <c r="K1854" s="2">
        <v>4.6598400000000002E-4</v>
      </c>
      <c r="L1854" s="2" t="s">
        <v>1178</v>
      </c>
      <c r="M1854" s="4" t="s">
        <v>48637</v>
      </c>
    </row>
    <row r="1855" spans="1:13">
      <c r="A1855" s="2">
        <v>3311</v>
      </c>
      <c r="B1855" s="2" t="s">
        <v>19973</v>
      </c>
      <c r="C1855" s="2">
        <v>11</v>
      </c>
      <c r="D1855" s="2">
        <v>291</v>
      </c>
      <c r="E1855" s="2">
        <v>200</v>
      </c>
      <c r="F1855" s="2">
        <v>32441</v>
      </c>
      <c r="G1855" s="2">
        <v>6.1314604810000004</v>
      </c>
      <c r="H1855" s="3">
        <v>3.3500000000000001E-6</v>
      </c>
      <c r="I1855" s="2" t="s">
        <v>48638</v>
      </c>
      <c r="J1855" s="2" t="s">
        <v>48639</v>
      </c>
      <c r="K1855" s="2">
        <v>4.6598400000000002E-4</v>
      </c>
      <c r="L1855" s="2" t="s">
        <v>1178</v>
      </c>
      <c r="M1855" s="4" t="s">
        <v>19976</v>
      </c>
    </row>
    <row r="1856" spans="1:13">
      <c r="A1856" s="2">
        <v>4628</v>
      </c>
      <c r="B1856" s="2" t="s">
        <v>15018</v>
      </c>
      <c r="C1856" s="2">
        <v>11</v>
      </c>
      <c r="D1856" s="2">
        <v>291</v>
      </c>
      <c r="E1856" s="2">
        <v>200</v>
      </c>
      <c r="F1856" s="2">
        <v>32441</v>
      </c>
      <c r="G1856" s="2">
        <v>6.1314604810000004</v>
      </c>
      <c r="H1856" s="3">
        <v>3.3500000000000001E-6</v>
      </c>
      <c r="I1856" s="2" t="s">
        <v>48640</v>
      </c>
      <c r="J1856" s="2" t="s">
        <v>48641</v>
      </c>
      <c r="K1856" s="2">
        <v>4.6598400000000002E-4</v>
      </c>
      <c r="L1856" s="2" t="s">
        <v>1178</v>
      </c>
      <c r="M1856" s="4" t="s">
        <v>15021</v>
      </c>
    </row>
    <row r="1857" spans="1:13">
      <c r="A1857" s="2">
        <v>5022</v>
      </c>
      <c r="B1857" s="2" t="s">
        <v>19527</v>
      </c>
      <c r="C1857" s="2">
        <v>10</v>
      </c>
      <c r="D1857" s="2">
        <v>291</v>
      </c>
      <c r="E1857" s="2">
        <v>200</v>
      </c>
      <c r="F1857" s="2">
        <v>32441</v>
      </c>
      <c r="G1857" s="2">
        <v>5.5740549829999999</v>
      </c>
      <c r="H1857" s="3">
        <v>2.05E-5</v>
      </c>
      <c r="I1857" s="2" t="s">
        <v>48642</v>
      </c>
      <c r="J1857" s="2" t="s">
        <v>48643</v>
      </c>
      <c r="K1857" s="2">
        <v>1.5615189999999999E-3</v>
      </c>
      <c r="L1857" s="2" t="s">
        <v>1178</v>
      </c>
      <c r="M1857" s="4" t="s">
        <v>19530</v>
      </c>
    </row>
    <row r="1858" spans="1:13">
      <c r="A1858" s="2">
        <v>617</v>
      </c>
      <c r="B1858" s="2" t="s">
        <v>48644</v>
      </c>
      <c r="C1858" s="2">
        <v>10</v>
      </c>
      <c r="D1858" s="2">
        <v>291</v>
      </c>
      <c r="E1858" s="2">
        <v>200</v>
      </c>
      <c r="F1858" s="2">
        <v>32441</v>
      </c>
      <c r="G1858" s="2">
        <v>5.5740549829999999</v>
      </c>
      <c r="H1858" s="3">
        <v>2.05E-5</v>
      </c>
      <c r="I1858" s="2" t="s">
        <v>48645</v>
      </c>
      <c r="J1858" s="2" t="s">
        <v>48646</v>
      </c>
      <c r="K1858" s="2">
        <v>1.5615189999999999E-3</v>
      </c>
      <c r="L1858" s="2" t="s">
        <v>1178</v>
      </c>
      <c r="M1858" s="4" t="s">
        <v>48647</v>
      </c>
    </row>
    <row r="1859" spans="1:13">
      <c r="A1859" s="2">
        <v>668</v>
      </c>
      <c r="B1859" s="2" t="s">
        <v>41028</v>
      </c>
      <c r="C1859" s="2">
        <v>10</v>
      </c>
      <c r="D1859" s="2">
        <v>291</v>
      </c>
      <c r="E1859" s="2">
        <v>200</v>
      </c>
      <c r="F1859" s="2">
        <v>32441</v>
      </c>
      <c r="G1859" s="2">
        <v>5.5740549829999999</v>
      </c>
      <c r="H1859" s="3">
        <v>2.05E-5</v>
      </c>
      <c r="I1859" s="2" t="s">
        <v>48648</v>
      </c>
      <c r="J1859" s="2" t="s">
        <v>48649</v>
      </c>
      <c r="K1859" s="2">
        <v>1.5615189999999999E-3</v>
      </c>
      <c r="L1859" s="2" t="s">
        <v>1178</v>
      </c>
      <c r="M1859" s="4" t="s">
        <v>41031</v>
      </c>
    </row>
    <row r="1860" spans="1:13">
      <c r="A1860" s="2">
        <v>1303</v>
      </c>
      <c r="B1860" s="2" t="s">
        <v>48650</v>
      </c>
      <c r="C1860" s="2">
        <v>10</v>
      </c>
      <c r="D1860" s="2">
        <v>291</v>
      </c>
      <c r="E1860" s="2">
        <v>200</v>
      </c>
      <c r="F1860" s="2">
        <v>32441</v>
      </c>
      <c r="G1860" s="2">
        <v>5.5740549829999999</v>
      </c>
      <c r="H1860" s="3">
        <v>2.05E-5</v>
      </c>
      <c r="I1860" s="2" t="s">
        <v>48651</v>
      </c>
      <c r="J1860" s="2" t="s">
        <v>48652</v>
      </c>
      <c r="K1860" s="2">
        <v>1.5615189999999999E-3</v>
      </c>
      <c r="L1860" s="2" t="s">
        <v>1178</v>
      </c>
      <c r="M1860" s="4" t="s">
        <v>48653</v>
      </c>
    </row>
    <row r="1861" spans="1:13">
      <c r="A1861" s="2">
        <v>1447</v>
      </c>
      <c r="B1861" s="2" t="s">
        <v>22021</v>
      </c>
      <c r="C1861" s="2">
        <v>10</v>
      </c>
      <c r="D1861" s="2">
        <v>291</v>
      </c>
      <c r="E1861" s="2">
        <v>200</v>
      </c>
      <c r="F1861" s="2">
        <v>32441</v>
      </c>
      <c r="G1861" s="2">
        <v>5.5740549829999999</v>
      </c>
      <c r="H1861" s="3">
        <v>2.05E-5</v>
      </c>
      <c r="I1861" s="2" t="s">
        <v>48654</v>
      </c>
      <c r="J1861" s="2" t="s">
        <v>48655</v>
      </c>
      <c r="K1861" s="2">
        <v>1.5615189999999999E-3</v>
      </c>
      <c r="L1861" s="2" t="s">
        <v>1178</v>
      </c>
      <c r="M1861" s="4" t="s">
        <v>22024</v>
      </c>
    </row>
    <row r="1862" spans="1:13">
      <c r="A1862" s="2">
        <v>1487</v>
      </c>
      <c r="B1862" s="2" t="s">
        <v>22037</v>
      </c>
      <c r="C1862" s="2">
        <v>10</v>
      </c>
      <c r="D1862" s="2">
        <v>291</v>
      </c>
      <c r="E1862" s="2">
        <v>200</v>
      </c>
      <c r="F1862" s="2">
        <v>32441</v>
      </c>
      <c r="G1862" s="2">
        <v>5.5740549829999999</v>
      </c>
      <c r="H1862" s="3">
        <v>2.05E-5</v>
      </c>
      <c r="I1862" s="2" t="s">
        <v>48656</v>
      </c>
      <c r="J1862" s="2" t="s">
        <v>48657</v>
      </c>
      <c r="K1862" s="2">
        <v>1.5615189999999999E-3</v>
      </c>
      <c r="L1862" s="2" t="s">
        <v>1178</v>
      </c>
      <c r="M1862" s="4" t="s">
        <v>22040</v>
      </c>
    </row>
    <row r="1863" spans="1:13">
      <c r="A1863" s="2">
        <v>1678</v>
      </c>
      <c r="B1863" s="2" t="s">
        <v>17235</v>
      </c>
      <c r="C1863" s="2">
        <v>10</v>
      </c>
      <c r="D1863" s="2">
        <v>291</v>
      </c>
      <c r="E1863" s="2">
        <v>200</v>
      </c>
      <c r="F1863" s="2">
        <v>32441</v>
      </c>
      <c r="G1863" s="2">
        <v>5.5740549829999999</v>
      </c>
      <c r="H1863" s="3">
        <v>2.05E-5</v>
      </c>
      <c r="I1863" s="2" t="s">
        <v>48658</v>
      </c>
      <c r="J1863" s="2" t="s">
        <v>48659</v>
      </c>
      <c r="K1863" s="2">
        <v>1.5615189999999999E-3</v>
      </c>
      <c r="L1863" s="2" t="s">
        <v>1178</v>
      </c>
      <c r="M1863" s="4" t="s">
        <v>17238</v>
      </c>
    </row>
    <row r="1864" spans="1:13">
      <c r="A1864" s="2">
        <v>2078</v>
      </c>
      <c r="B1864" s="2" t="s">
        <v>40612</v>
      </c>
      <c r="C1864" s="2">
        <v>10</v>
      </c>
      <c r="D1864" s="2">
        <v>291</v>
      </c>
      <c r="E1864" s="2">
        <v>200</v>
      </c>
      <c r="F1864" s="2">
        <v>32441</v>
      </c>
      <c r="G1864" s="2">
        <v>5.5740549829999999</v>
      </c>
      <c r="H1864" s="3">
        <v>2.05E-5</v>
      </c>
      <c r="I1864" s="2" t="s">
        <v>48660</v>
      </c>
      <c r="J1864" s="2" t="s">
        <v>48661</v>
      </c>
      <c r="K1864" s="2">
        <v>1.5615189999999999E-3</v>
      </c>
      <c r="L1864" s="2" t="s">
        <v>1178</v>
      </c>
      <c r="M1864" s="4" t="s">
        <v>40615</v>
      </c>
    </row>
    <row r="1865" spans="1:13">
      <c r="A1865" s="2">
        <v>2122</v>
      </c>
      <c r="B1865" s="2" t="s">
        <v>22170</v>
      </c>
      <c r="C1865" s="2">
        <v>10</v>
      </c>
      <c r="D1865" s="2">
        <v>291</v>
      </c>
      <c r="E1865" s="2">
        <v>200</v>
      </c>
      <c r="F1865" s="2">
        <v>32441</v>
      </c>
      <c r="G1865" s="2">
        <v>5.5740549829999999</v>
      </c>
      <c r="H1865" s="3">
        <v>2.05E-5</v>
      </c>
      <c r="I1865" s="2" t="s">
        <v>48662</v>
      </c>
      <c r="J1865" s="2" t="s">
        <v>48663</v>
      </c>
      <c r="K1865" s="2">
        <v>1.5615189999999999E-3</v>
      </c>
      <c r="L1865" s="2" t="s">
        <v>1178</v>
      </c>
      <c r="M1865" s="4" t="s">
        <v>22173</v>
      </c>
    </row>
    <row r="1866" spans="1:13">
      <c r="A1866" s="2">
        <v>2132</v>
      </c>
      <c r="B1866" s="2" t="s">
        <v>18873</v>
      </c>
      <c r="C1866" s="2">
        <v>10</v>
      </c>
      <c r="D1866" s="2">
        <v>291</v>
      </c>
      <c r="E1866" s="2">
        <v>200</v>
      </c>
      <c r="F1866" s="2">
        <v>32441</v>
      </c>
      <c r="G1866" s="2">
        <v>5.5740549829999999</v>
      </c>
      <c r="H1866" s="3">
        <v>2.05E-5</v>
      </c>
      <c r="I1866" s="2" t="s">
        <v>48664</v>
      </c>
      <c r="J1866" s="2" t="s">
        <v>48665</v>
      </c>
      <c r="K1866" s="2">
        <v>1.5615189999999999E-3</v>
      </c>
      <c r="L1866" s="2" t="s">
        <v>1178</v>
      </c>
      <c r="M1866" s="4" t="s">
        <v>18876</v>
      </c>
    </row>
    <row r="1867" spans="1:13">
      <c r="A1867" s="2">
        <v>2267</v>
      </c>
      <c r="B1867" s="2" t="s">
        <v>48666</v>
      </c>
      <c r="C1867" s="2">
        <v>10</v>
      </c>
      <c r="D1867" s="2">
        <v>291</v>
      </c>
      <c r="E1867" s="2">
        <v>199</v>
      </c>
      <c r="F1867" s="2">
        <v>32441</v>
      </c>
      <c r="G1867" s="2">
        <v>5.6020653090000003</v>
      </c>
      <c r="H1867" s="3">
        <v>1.9700000000000001E-5</v>
      </c>
      <c r="I1867" s="2" t="s">
        <v>48667</v>
      </c>
      <c r="J1867" s="2" t="s">
        <v>48668</v>
      </c>
      <c r="K1867" s="2">
        <v>1.5615189999999999E-3</v>
      </c>
      <c r="L1867" s="2" t="s">
        <v>1178</v>
      </c>
      <c r="M1867" s="4" t="s">
        <v>48669</v>
      </c>
    </row>
    <row r="1868" spans="1:13">
      <c r="A1868" s="2">
        <v>2322</v>
      </c>
      <c r="B1868" s="2" t="s">
        <v>18896</v>
      </c>
      <c r="C1868" s="2">
        <v>10</v>
      </c>
      <c r="D1868" s="2">
        <v>291</v>
      </c>
      <c r="E1868" s="2">
        <v>200</v>
      </c>
      <c r="F1868" s="2">
        <v>32441</v>
      </c>
      <c r="G1868" s="2">
        <v>5.5740549829999999</v>
      </c>
      <c r="H1868" s="3">
        <v>2.05E-5</v>
      </c>
      <c r="I1868" s="2" t="s">
        <v>48670</v>
      </c>
      <c r="J1868" s="2" t="s">
        <v>48671</v>
      </c>
      <c r="K1868" s="2">
        <v>1.5615189999999999E-3</v>
      </c>
      <c r="L1868" s="2" t="s">
        <v>1178</v>
      </c>
      <c r="M1868" s="4" t="s">
        <v>18899</v>
      </c>
    </row>
    <row r="1869" spans="1:13">
      <c r="A1869" s="2">
        <v>2369</v>
      </c>
      <c r="B1869" s="2" t="s">
        <v>14848</v>
      </c>
      <c r="C1869" s="2">
        <v>10</v>
      </c>
      <c r="D1869" s="2">
        <v>291</v>
      </c>
      <c r="E1869" s="2">
        <v>200</v>
      </c>
      <c r="F1869" s="2">
        <v>32441</v>
      </c>
      <c r="G1869" s="2">
        <v>5.5740549829999999</v>
      </c>
      <c r="H1869" s="3">
        <v>2.05E-5</v>
      </c>
      <c r="I1869" s="2" t="s">
        <v>48672</v>
      </c>
      <c r="J1869" s="2" t="s">
        <v>48673</v>
      </c>
      <c r="K1869" s="2">
        <v>1.5615189999999999E-3</v>
      </c>
      <c r="L1869" s="2" t="s">
        <v>1178</v>
      </c>
      <c r="M1869" s="4" t="s">
        <v>14851</v>
      </c>
    </row>
    <row r="1870" spans="1:13">
      <c r="A1870" s="2">
        <v>2519</v>
      </c>
      <c r="B1870" s="2" t="s">
        <v>23658</v>
      </c>
      <c r="C1870" s="2">
        <v>10</v>
      </c>
      <c r="D1870" s="2">
        <v>291</v>
      </c>
      <c r="E1870" s="2">
        <v>200</v>
      </c>
      <c r="F1870" s="2">
        <v>32441</v>
      </c>
      <c r="G1870" s="2">
        <v>5.5740549829999999</v>
      </c>
      <c r="H1870" s="3">
        <v>2.05E-5</v>
      </c>
      <c r="I1870" s="2" t="s">
        <v>48674</v>
      </c>
      <c r="J1870" s="2" t="s">
        <v>48675</v>
      </c>
      <c r="K1870" s="2">
        <v>1.5615189999999999E-3</v>
      </c>
      <c r="L1870" s="2" t="s">
        <v>1178</v>
      </c>
      <c r="M1870" s="4" t="s">
        <v>23661</v>
      </c>
    </row>
    <row r="1871" spans="1:13">
      <c r="A1871" s="2">
        <v>3152</v>
      </c>
      <c r="B1871" s="2" t="s">
        <v>48676</v>
      </c>
      <c r="C1871" s="2">
        <v>10</v>
      </c>
      <c r="D1871" s="2">
        <v>291</v>
      </c>
      <c r="E1871" s="2">
        <v>200</v>
      </c>
      <c r="F1871" s="2">
        <v>32441</v>
      </c>
      <c r="G1871" s="2">
        <v>5.5740549829999999</v>
      </c>
      <c r="H1871" s="3">
        <v>2.05E-5</v>
      </c>
      <c r="I1871" s="2" t="s">
        <v>48677</v>
      </c>
      <c r="J1871" s="2" t="s">
        <v>48678</v>
      </c>
      <c r="K1871" s="2">
        <v>1.5615189999999999E-3</v>
      </c>
      <c r="L1871" s="2" t="s">
        <v>1178</v>
      </c>
      <c r="M1871" s="4" t="s">
        <v>48679</v>
      </c>
    </row>
    <row r="1872" spans="1:13">
      <c r="A1872" s="2">
        <v>33311</v>
      </c>
      <c r="B1872" s="2" t="s">
        <v>48680</v>
      </c>
      <c r="C1872" s="2">
        <v>10</v>
      </c>
      <c r="D1872" s="2">
        <v>291</v>
      </c>
      <c r="E1872" s="2">
        <v>199</v>
      </c>
      <c r="F1872" s="2">
        <v>32441</v>
      </c>
      <c r="G1872" s="2">
        <v>5.6020653090000003</v>
      </c>
      <c r="H1872" s="3">
        <v>1.9700000000000001E-5</v>
      </c>
      <c r="I1872" s="2" t="s">
        <v>48681</v>
      </c>
      <c r="J1872" s="2" t="s">
        <v>48682</v>
      </c>
      <c r="K1872" s="2">
        <v>1.5615189999999999E-3</v>
      </c>
      <c r="L1872" s="2" t="s">
        <v>1178</v>
      </c>
      <c r="M1872" s="4" t="s">
        <v>48683</v>
      </c>
    </row>
    <row r="1873" spans="1:13">
      <c r="A1873" s="2">
        <v>3546</v>
      </c>
      <c r="B1873" s="2" t="s">
        <v>48684</v>
      </c>
      <c r="C1873" s="2">
        <v>10</v>
      </c>
      <c r="D1873" s="2">
        <v>291</v>
      </c>
      <c r="E1873" s="2">
        <v>200</v>
      </c>
      <c r="F1873" s="2">
        <v>32441</v>
      </c>
      <c r="G1873" s="2">
        <v>5.5740549829999999</v>
      </c>
      <c r="H1873" s="3">
        <v>2.05E-5</v>
      </c>
      <c r="I1873" s="2" t="s">
        <v>48685</v>
      </c>
      <c r="J1873" s="2" t="s">
        <v>48686</v>
      </c>
      <c r="K1873" s="2">
        <v>1.5615189999999999E-3</v>
      </c>
      <c r="L1873" s="2" t="s">
        <v>1178</v>
      </c>
      <c r="M1873" s="4" t="s">
        <v>48687</v>
      </c>
    </row>
    <row r="1874" spans="1:13">
      <c r="A1874" s="2">
        <v>3644</v>
      </c>
      <c r="B1874" s="2" t="s">
        <v>48688</v>
      </c>
      <c r="C1874" s="2">
        <v>10</v>
      </c>
      <c r="D1874" s="2">
        <v>291</v>
      </c>
      <c r="E1874" s="2">
        <v>200</v>
      </c>
      <c r="F1874" s="2">
        <v>32441</v>
      </c>
      <c r="G1874" s="2">
        <v>5.5740549829999999</v>
      </c>
      <c r="H1874" s="3">
        <v>2.05E-5</v>
      </c>
      <c r="I1874" s="2" t="s">
        <v>48689</v>
      </c>
      <c r="J1874" s="2" t="s">
        <v>48690</v>
      </c>
      <c r="K1874" s="2">
        <v>1.5615189999999999E-3</v>
      </c>
      <c r="L1874" s="2" t="s">
        <v>1178</v>
      </c>
      <c r="M1874" s="4" t="s">
        <v>48691</v>
      </c>
    </row>
    <row r="1875" spans="1:13">
      <c r="A1875" s="2">
        <v>37991</v>
      </c>
      <c r="B1875" s="2" t="s">
        <v>48692</v>
      </c>
      <c r="C1875" s="2">
        <v>10</v>
      </c>
      <c r="D1875" s="2">
        <v>291</v>
      </c>
      <c r="E1875" s="2">
        <v>200</v>
      </c>
      <c r="F1875" s="2">
        <v>32441</v>
      </c>
      <c r="G1875" s="2">
        <v>5.5740549829999999</v>
      </c>
      <c r="H1875" s="3">
        <v>2.05E-5</v>
      </c>
      <c r="I1875" s="2" t="s">
        <v>48693</v>
      </c>
      <c r="J1875" s="2" t="s">
        <v>48694</v>
      </c>
      <c r="K1875" s="2">
        <v>1.5615189999999999E-3</v>
      </c>
      <c r="L1875" s="2" t="s">
        <v>1178</v>
      </c>
      <c r="M1875" s="4" t="s">
        <v>48695</v>
      </c>
    </row>
    <row r="1876" spans="1:13">
      <c r="A1876" s="2">
        <v>3955</v>
      </c>
      <c r="B1876" s="2" t="s">
        <v>20138</v>
      </c>
      <c r="C1876" s="2">
        <v>10</v>
      </c>
      <c r="D1876" s="2">
        <v>291</v>
      </c>
      <c r="E1876" s="2">
        <v>200</v>
      </c>
      <c r="F1876" s="2">
        <v>32441</v>
      </c>
      <c r="G1876" s="2">
        <v>5.5740549829999999</v>
      </c>
      <c r="H1876" s="3">
        <v>2.05E-5</v>
      </c>
      <c r="I1876" s="2" t="s">
        <v>48696</v>
      </c>
      <c r="J1876" s="2" t="s">
        <v>48697</v>
      </c>
      <c r="K1876" s="2">
        <v>1.5615189999999999E-3</v>
      </c>
      <c r="L1876" s="2" t="s">
        <v>1178</v>
      </c>
      <c r="M1876" s="4" t="s">
        <v>20141</v>
      </c>
    </row>
    <row r="1877" spans="1:13">
      <c r="A1877" s="2">
        <v>4202</v>
      </c>
      <c r="B1877" s="2" t="s">
        <v>17499</v>
      </c>
      <c r="C1877" s="2">
        <v>10</v>
      </c>
      <c r="D1877" s="2">
        <v>291</v>
      </c>
      <c r="E1877" s="2">
        <v>199</v>
      </c>
      <c r="F1877" s="2">
        <v>32441</v>
      </c>
      <c r="G1877" s="2">
        <v>5.6020653090000003</v>
      </c>
      <c r="H1877" s="3">
        <v>1.9700000000000001E-5</v>
      </c>
      <c r="I1877" s="2" t="s">
        <v>48698</v>
      </c>
      <c r="J1877" s="2" t="s">
        <v>48699</v>
      </c>
      <c r="K1877" s="2">
        <v>1.5615189999999999E-3</v>
      </c>
      <c r="L1877" s="2" t="s">
        <v>1178</v>
      </c>
      <c r="M1877" s="4" t="s">
        <v>17502</v>
      </c>
    </row>
    <row r="1878" spans="1:13">
      <c r="A1878" s="2">
        <v>4341</v>
      </c>
      <c r="B1878" s="2" t="s">
        <v>20183</v>
      </c>
      <c r="C1878" s="2">
        <v>10</v>
      </c>
      <c r="D1878" s="2">
        <v>291</v>
      </c>
      <c r="E1878" s="2">
        <v>200</v>
      </c>
      <c r="F1878" s="2">
        <v>32441</v>
      </c>
      <c r="G1878" s="2">
        <v>5.5740549829999999</v>
      </c>
      <c r="H1878" s="3">
        <v>2.05E-5</v>
      </c>
      <c r="I1878" s="2" t="s">
        <v>48700</v>
      </c>
      <c r="J1878" s="2" t="s">
        <v>48701</v>
      </c>
      <c r="K1878" s="2">
        <v>1.5615189999999999E-3</v>
      </c>
      <c r="L1878" s="2" t="s">
        <v>1178</v>
      </c>
      <c r="M1878" s="4" t="s">
        <v>20186</v>
      </c>
    </row>
    <row r="1879" spans="1:13">
      <c r="A1879" s="2">
        <v>43741</v>
      </c>
      <c r="B1879" s="2" t="s">
        <v>48702</v>
      </c>
      <c r="C1879" s="2">
        <v>10</v>
      </c>
      <c r="D1879" s="2">
        <v>291</v>
      </c>
      <c r="E1879" s="2">
        <v>196</v>
      </c>
      <c r="F1879" s="2">
        <v>32441</v>
      </c>
      <c r="G1879" s="2">
        <v>5.6878112070000002</v>
      </c>
      <c r="H1879" s="3">
        <v>1.7399999999999999E-5</v>
      </c>
      <c r="I1879" s="2" t="s">
        <v>48703</v>
      </c>
      <c r="J1879" s="2" t="s">
        <v>48704</v>
      </c>
      <c r="K1879" s="2">
        <v>1.5615189999999999E-3</v>
      </c>
      <c r="L1879" s="2" t="s">
        <v>1178</v>
      </c>
      <c r="M1879" s="4" t="s">
        <v>48705</v>
      </c>
    </row>
    <row r="1880" spans="1:13">
      <c r="A1880" s="2">
        <v>44451</v>
      </c>
      <c r="B1880" s="2" t="s">
        <v>18343</v>
      </c>
      <c r="C1880" s="2">
        <v>10</v>
      </c>
      <c r="D1880" s="2">
        <v>291</v>
      </c>
      <c r="E1880" s="2">
        <v>200</v>
      </c>
      <c r="F1880" s="2">
        <v>32441</v>
      </c>
      <c r="G1880" s="2">
        <v>5.5740549829999999</v>
      </c>
      <c r="H1880" s="3">
        <v>2.05E-5</v>
      </c>
      <c r="I1880" s="2" t="s">
        <v>48706</v>
      </c>
      <c r="J1880" s="2" t="s">
        <v>48707</v>
      </c>
      <c r="K1880" s="2">
        <v>1.5615189999999999E-3</v>
      </c>
      <c r="L1880" s="2" t="s">
        <v>1178</v>
      </c>
      <c r="M1880" s="4" t="s">
        <v>18346</v>
      </c>
    </row>
    <row r="1881" spans="1:13">
      <c r="A1881" s="2">
        <v>4606</v>
      </c>
      <c r="B1881" s="2" t="s">
        <v>24024</v>
      </c>
      <c r="C1881" s="2">
        <v>10</v>
      </c>
      <c r="D1881" s="2">
        <v>291</v>
      </c>
      <c r="E1881" s="2">
        <v>200</v>
      </c>
      <c r="F1881" s="2">
        <v>32441</v>
      </c>
      <c r="G1881" s="2">
        <v>5.5740549829999999</v>
      </c>
      <c r="H1881" s="3">
        <v>2.05E-5</v>
      </c>
      <c r="I1881" s="2" t="s">
        <v>48708</v>
      </c>
      <c r="J1881" s="2" t="s">
        <v>48709</v>
      </c>
      <c r="K1881" s="2">
        <v>1.5615189999999999E-3</v>
      </c>
      <c r="L1881" s="2" t="s">
        <v>1178</v>
      </c>
      <c r="M1881" s="4" t="s">
        <v>24027</v>
      </c>
    </row>
    <row r="1882" spans="1:13">
      <c r="A1882" s="2">
        <v>4636</v>
      </c>
      <c r="B1882" s="2" t="s">
        <v>22688</v>
      </c>
      <c r="C1882" s="2">
        <v>10</v>
      </c>
      <c r="D1882" s="2">
        <v>291</v>
      </c>
      <c r="E1882" s="2">
        <v>200</v>
      </c>
      <c r="F1882" s="2">
        <v>32441</v>
      </c>
      <c r="G1882" s="2">
        <v>5.5740549829999999</v>
      </c>
      <c r="H1882" s="3">
        <v>2.05E-5</v>
      </c>
      <c r="I1882" s="2" t="s">
        <v>48710</v>
      </c>
      <c r="J1882" s="2" t="s">
        <v>48711</v>
      </c>
      <c r="K1882" s="2">
        <v>1.5615189999999999E-3</v>
      </c>
      <c r="L1882" s="2" t="s">
        <v>1178</v>
      </c>
      <c r="M1882" s="4" t="s">
        <v>22691</v>
      </c>
    </row>
    <row r="1883" spans="1:13">
      <c r="A1883" s="2">
        <v>4727</v>
      </c>
      <c r="B1883" s="2" t="s">
        <v>48712</v>
      </c>
      <c r="C1883" s="2">
        <v>10</v>
      </c>
      <c r="D1883" s="2">
        <v>291</v>
      </c>
      <c r="E1883" s="2">
        <v>200</v>
      </c>
      <c r="F1883" s="2">
        <v>32441</v>
      </c>
      <c r="G1883" s="2">
        <v>5.5740549829999999</v>
      </c>
      <c r="H1883" s="3">
        <v>2.05E-5</v>
      </c>
      <c r="I1883" s="2" t="s">
        <v>48713</v>
      </c>
      <c r="J1883" s="2" t="s">
        <v>48714</v>
      </c>
      <c r="K1883" s="2">
        <v>1.5615189999999999E-3</v>
      </c>
      <c r="L1883" s="2" t="s">
        <v>1178</v>
      </c>
      <c r="M1883" s="4" t="s">
        <v>48715</v>
      </c>
    </row>
    <row r="1884" spans="1:13">
      <c r="A1884" s="2">
        <v>4732</v>
      </c>
      <c r="B1884" s="2" t="s">
        <v>48716</v>
      </c>
      <c r="C1884" s="2">
        <v>10</v>
      </c>
      <c r="D1884" s="2">
        <v>291</v>
      </c>
      <c r="E1884" s="2">
        <v>198</v>
      </c>
      <c r="F1884" s="2">
        <v>32441</v>
      </c>
      <c r="G1884" s="2">
        <v>5.6303585690000002</v>
      </c>
      <c r="H1884" s="3">
        <v>1.8899999999999999E-5</v>
      </c>
      <c r="I1884" s="2" t="s">
        <v>48717</v>
      </c>
      <c r="J1884" s="2" t="s">
        <v>48718</v>
      </c>
      <c r="K1884" s="2">
        <v>1.5615189999999999E-3</v>
      </c>
      <c r="L1884" s="2" t="s">
        <v>1178</v>
      </c>
      <c r="M1884" s="4" t="s">
        <v>48719</v>
      </c>
    </row>
    <row r="1885" spans="1:13">
      <c r="A1885" s="2">
        <v>4865</v>
      </c>
      <c r="B1885" s="2" t="s">
        <v>48720</v>
      </c>
      <c r="C1885" s="2">
        <v>10</v>
      </c>
      <c r="D1885" s="2">
        <v>291</v>
      </c>
      <c r="E1885" s="2">
        <v>200</v>
      </c>
      <c r="F1885" s="2">
        <v>32441</v>
      </c>
      <c r="G1885" s="2">
        <v>5.5740549829999999</v>
      </c>
      <c r="H1885" s="3">
        <v>2.05E-5</v>
      </c>
      <c r="I1885" s="2" t="s">
        <v>48721</v>
      </c>
      <c r="J1885" s="2" t="s">
        <v>48722</v>
      </c>
      <c r="K1885" s="2">
        <v>1.5615189999999999E-3</v>
      </c>
      <c r="L1885" s="2" t="s">
        <v>1178</v>
      </c>
      <c r="M1885" s="4" t="s">
        <v>48723</v>
      </c>
    </row>
    <row r="1886" spans="1:13">
      <c r="A1886" s="2">
        <v>4170</v>
      </c>
      <c r="B1886" s="2" t="s">
        <v>48724</v>
      </c>
      <c r="C1886" s="2">
        <v>8</v>
      </c>
      <c r="D1886" s="2">
        <v>291</v>
      </c>
      <c r="E1886" s="2">
        <v>122</v>
      </c>
      <c r="F1886" s="2">
        <v>32441</v>
      </c>
      <c r="G1886" s="2">
        <v>7.3102360429999997</v>
      </c>
      <c r="H1886" s="3">
        <v>2.26E-5</v>
      </c>
      <c r="I1886" s="2" t="s">
        <v>48725</v>
      </c>
      <c r="J1886" s="2" t="s">
        <v>48726</v>
      </c>
      <c r="K1886" s="2">
        <v>1.6904400000000001E-3</v>
      </c>
      <c r="L1886" s="2" t="s">
        <v>1178</v>
      </c>
      <c r="M1886" s="4" t="s">
        <v>48727</v>
      </c>
    </row>
    <row r="1887" spans="1:13">
      <c r="A1887" s="2">
        <v>511</v>
      </c>
      <c r="B1887" s="2" t="s">
        <v>1806</v>
      </c>
      <c r="C1887" s="2">
        <v>9</v>
      </c>
      <c r="D1887" s="2">
        <v>291</v>
      </c>
      <c r="E1887" s="2">
        <v>199</v>
      </c>
      <c r="F1887" s="2">
        <v>32441</v>
      </c>
      <c r="G1887" s="2">
        <v>5.0418587779999999</v>
      </c>
      <c r="H1887" s="2">
        <v>1.10683E-4</v>
      </c>
      <c r="I1887" s="2" t="s">
        <v>48728</v>
      </c>
      <c r="J1887" s="2" t="s">
        <v>48729</v>
      </c>
      <c r="K1887" s="2">
        <v>4.8206730000000001E-3</v>
      </c>
      <c r="L1887" s="2" t="s">
        <v>1178</v>
      </c>
      <c r="M1887" s="4" t="s">
        <v>48730</v>
      </c>
    </row>
    <row r="1888" spans="1:13">
      <c r="A1888" s="2">
        <v>1531</v>
      </c>
      <c r="B1888" s="2" t="s">
        <v>33217</v>
      </c>
      <c r="C1888" s="2">
        <v>9</v>
      </c>
      <c r="D1888" s="2">
        <v>291</v>
      </c>
      <c r="E1888" s="2">
        <v>200</v>
      </c>
      <c r="F1888" s="2">
        <v>32441</v>
      </c>
      <c r="G1888" s="2">
        <v>5.0166494850000003</v>
      </c>
      <c r="H1888" s="2">
        <v>1.14778E-4</v>
      </c>
      <c r="I1888" s="2" t="s">
        <v>48731</v>
      </c>
      <c r="J1888" s="2" t="s">
        <v>48732</v>
      </c>
      <c r="K1888" s="2">
        <v>4.8206730000000001E-3</v>
      </c>
      <c r="L1888" s="2" t="s">
        <v>1178</v>
      </c>
      <c r="M1888" s="4" t="s">
        <v>33220</v>
      </c>
    </row>
    <row r="1889" spans="1:13">
      <c r="A1889" s="2">
        <v>1671</v>
      </c>
      <c r="B1889" s="2" t="s">
        <v>48733</v>
      </c>
      <c r="C1889" s="2">
        <v>9</v>
      </c>
      <c r="D1889" s="2">
        <v>291</v>
      </c>
      <c r="E1889" s="2">
        <v>200</v>
      </c>
      <c r="F1889" s="2">
        <v>32441</v>
      </c>
      <c r="G1889" s="2">
        <v>5.0166494850000003</v>
      </c>
      <c r="H1889" s="2">
        <v>1.14778E-4</v>
      </c>
      <c r="I1889" s="2" t="s">
        <v>48734</v>
      </c>
      <c r="J1889" s="2" t="s">
        <v>48735</v>
      </c>
      <c r="K1889" s="2">
        <v>4.8206730000000001E-3</v>
      </c>
      <c r="L1889" s="2" t="s">
        <v>1178</v>
      </c>
      <c r="M1889" s="4" t="s">
        <v>48736</v>
      </c>
    </row>
    <row r="1890" spans="1:13">
      <c r="A1890" s="2">
        <v>2831</v>
      </c>
      <c r="B1890" s="2" t="s">
        <v>15125</v>
      </c>
      <c r="C1890" s="2">
        <v>9</v>
      </c>
      <c r="D1890" s="2">
        <v>291</v>
      </c>
      <c r="E1890" s="2">
        <v>200</v>
      </c>
      <c r="F1890" s="2">
        <v>32441</v>
      </c>
      <c r="G1890" s="2">
        <v>5.0166494850000003</v>
      </c>
      <c r="H1890" s="2">
        <v>1.14778E-4</v>
      </c>
      <c r="I1890" s="2" t="s">
        <v>48737</v>
      </c>
      <c r="J1890" s="2" t="s">
        <v>48738</v>
      </c>
      <c r="K1890" s="2">
        <v>4.8206730000000001E-3</v>
      </c>
      <c r="L1890" s="2" t="s">
        <v>1178</v>
      </c>
      <c r="M1890" s="4" t="s">
        <v>15128</v>
      </c>
    </row>
    <row r="1891" spans="1:13">
      <c r="A1891" s="2">
        <v>3261</v>
      </c>
      <c r="B1891" s="2" t="s">
        <v>40514</v>
      </c>
      <c r="C1891" s="2">
        <v>9</v>
      </c>
      <c r="D1891" s="2">
        <v>291</v>
      </c>
      <c r="E1891" s="2">
        <v>200</v>
      </c>
      <c r="F1891" s="2">
        <v>32441</v>
      </c>
      <c r="G1891" s="2">
        <v>5.0166494850000003</v>
      </c>
      <c r="H1891" s="2">
        <v>1.14778E-4</v>
      </c>
      <c r="I1891" s="2" t="s">
        <v>48739</v>
      </c>
      <c r="J1891" s="2" t="s">
        <v>48740</v>
      </c>
      <c r="K1891" s="2">
        <v>4.8206730000000001E-3</v>
      </c>
      <c r="L1891" s="2" t="s">
        <v>1178</v>
      </c>
      <c r="M1891" s="4" t="s">
        <v>40517</v>
      </c>
    </row>
    <row r="1892" spans="1:13">
      <c r="A1892" s="2">
        <v>3281</v>
      </c>
      <c r="B1892" s="2" t="s">
        <v>40295</v>
      </c>
      <c r="C1892" s="2">
        <v>9</v>
      </c>
      <c r="D1892" s="2">
        <v>291</v>
      </c>
      <c r="E1892" s="2">
        <v>200</v>
      </c>
      <c r="F1892" s="2">
        <v>32441</v>
      </c>
      <c r="G1892" s="2">
        <v>5.0166494850000003</v>
      </c>
      <c r="H1892" s="2">
        <v>1.14778E-4</v>
      </c>
      <c r="I1892" s="2" t="s">
        <v>48741</v>
      </c>
      <c r="J1892" s="2" t="s">
        <v>48742</v>
      </c>
      <c r="K1892" s="2">
        <v>4.8206730000000001E-3</v>
      </c>
      <c r="L1892" s="2" t="s">
        <v>1178</v>
      </c>
      <c r="M1892" s="4" t="s">
        <v>40298</v>
      </c>
    </row>
    <row r="1893" spans="1:13">
      <c r="A1893" s="2">
        <v>595</v>
      </c>
      <c r="B1893" s="2" t="s">
        <v>20559</v>
      </c>
      <c r="C1893" s="2">
        <v>9</v>
      </c>
      <c r="D1893" s="2">
        <v>291</v>
      </c>
      <c r="E1893" s="2">
        <v>200</v>
      </c>
      <c r="F1893" s="2">
        <v>32441</v>
      </c>
      <c r="G1893" s="2">
        <v>5.0166494850000003</v>
      </c>
      <c r="H1893" s="2">
        <v>1.14778E-4</v>
      </c>
      <c r="I1893" s="2" t="s">
        <v>48743</v>
      </c>
      <c r="J1893" s="2" t="s">
        <v>48744</v>
      </c>
      <c r="K1893" s="2">
        <v>4.8206730000000001E-3</v>
      </c>
      <c r="L1893" s="2" t="s">
        <v>1178</v>
      </c>
      <c r="M1893" s="4" t="s">
        <v>20562</v>
      </c>
    </row>
    <row r="1894" spans="1:13">
      <c r="A1894" s="2">
        <v>6242</v>
      </c>
      <c r="B1894" s="2" t="s">
        <v>15145</v>
      </c>
      <c r="C1894" s="2">
        <v>9</v>
      </c>
      <c r="D1894" s="2">
        <v>291</v>
      </c>
      <c r="E1894" s="2">
        <v>200</v>
      </c>
      <c r="F1894" s="2">
        <v>32441</v>
      </c>
      <c r="G1894" s="2">
        <v>5.0166494850000003</v>
      </c>
      <c r="H1894" s="2">
        <v>1.14778E-4</v>
      </c>
      <c r="I1894" s="2" t="s">
        <v>48745</v>
      </c>
      <c r="J1894" s="2" t="s">
        <v>48746</v>
      </c>
      <c r="K1894" s="2">
        <v>4.8206730000000001E-3</v>
      </c>
      <c r="L1894" s="2" t="s">
        <v>1178</v>
      </c>
      <c r="M1894" s="4" t="s">
        <v>15148</v>
      </c>
    </row>
    <row r="1895" spans="1:13">
      <c r="A1895" s="2">
        <v>869</v>
      </c>
      <c r="B1895" s="2" t="s">
        <v>48747</v>
      </c>
      <c r="C1895" s="2">
        <v>9</v>
      </c>
      <c r="D1895" s="2">
        <v>291</v>
      </c>
      <c r="E1895" s="2">
        <v>200</v>
      </c>
      <c r="F1895" s="2">
        <v>32441</v>
      </c>
      <c r="G1895" s="2">
        <v>5.0166494850000003</v>
      </c>
      <c r="H1895" s="2">
        <v>1.14778E-4</v>
      </c>
      <c r="I1895" s="2" t="s">
        <v>48748</v>
      </c>
      <c r="J1895" s="2" t="s">
        <v>48749</v>
      </c>
      <c r="K1895" s="2">
        <v>4.8206730000000001E-3</v>
      </c>
      <c r="L1895" s="2" t="s">
        <v>1178</v>
      </c>
      <c r="M1895" s="4" t="s">
        <v>48750</v>
      </c>
    </row>
    <row r="1896" spans="1:13">
      <c r="A1896" s="2">
        <v>9121</v>
      </c>
      <c r="B1896" s="2" t="s">
        <v>48751</v>
      </c>
      <c r="C1896" s="2">
        <v>9</v>
      </c>
      <c r="D1896" s="2">
        <v>291</v>
      </c>
      <c r="E1896" s="2">
        <v>200</v>
      </c>
      <c r="F1896" s="2">
        <v>32441</v>
      </c>
      <c r="G1896" s="2">
        <v>5.0166494850000003</v>
      </c>
      <c r="H1896" s="2">
        <v>1.14778E-4</v>
      </c>
      <c r="I1896" s="2" t="s">
        <v>48752</v>
      </c>
      <c r="J1896" s="2" t="s">
        <v>48753</v>
      </c>
      <c r="K1896" s="2">
        <v>4.8206730000000001E-3</v>
      </c>
      <c r="L1896" s="2" t="s">
        <v>1178</v>
      </c>
      <c r="M1896" s="4" t="s">
        <v>48754</v>
      </c>
    </row>
    <row r="1897" spans="1:13">
      <c r="A1897" s="2">
        <v>913</v>
      </c>
      <c r="B1897" s="2" t="s">
        <v>13220</v>
      </c>
      <c r="C1897" s="2">
        <v>9</v>
      </c>
      <c r="D1897" s="2">
        <v>291</v>
      </c>
      <c r="E1897" s="2">
        <v>200</v>
      </c>
      <c r="F1897" s="2">
        <v>32441</v>
      </c>
      <c r="G1897" s="2">
        <v>5.0166494850000003</v>
      </c>
      <c r="H1897" s="2">
        <v>1.14778E-4</v>
      </c>
      <c r="I1897" s="2" t="s">
        <v>48755</v>
      </c>
      <c r="J1897" s="2" t="s">
        <v>48756</v>
      </c>
      <c r="K1897" s="2">
        <v>4.8206730000000001E-3</v>
      </c>
      <c r="L1897" s="2" t="s">
        <v>1178</v>
      </c>
      <c r="M1897" s="4" t="s">
        <v>13223</v>
      </c>
    </row>
    <row r="1898" spans="1:13">
      <c r="A1898" s="2">
        <v>1087</v>
      </c>
      <c r="B1898" s="2" t="s">
        <v>48757</v>
      </c>
      <c r="C1898" s="2">
        <v>9</v>
      </c>
      <c r="D1898" s="2">
        <v>291</v>
      </c>
      <c r="E1898" s="2">
        <v>200</v>
      </c>
      <c r="F1898" s="2">
        <v>32441</v>
      </c>
      <c r="G1898" s="2">
        <v>5.0166494850000003</v>
      </c>
      <c r="H1898" s="2">
        <v>1.14778E-4</v>
      </c>
      <c r="I1898" s="2" t="s">
        <v>48758</v>
      </c>
      <c r="J1898" s="2" t="s">
        <v>48759</v>
      </c>
      <c r="K1898" s="2">
        <v>4.8206730000000001E-3</v>
      </c>
      <c r="L1898" s="2" t="s">
        <v>1178</v>
      </c>
      <c r="M1898" s="4" t="s">
        <v>48760</v>
      </c>
    </row>
    <row r="1899" spans="1:13">
      <c r="A1899" s="2">
        <v>1437</v>
      </c>
      <c r="B1899" s="2" t="s">
        <v>17952</v>
      </c>
      <c r="C1899" s="2">
        <v>9</v>
      </c>
      <c r="D1899" s="2">
        <v>291</v>
      </c>
      <c r="E1899" s="2">
        <v>200</v>
      </c>
      <c r="F1899" s="2">
        <v>32441</v>
      </c>
      <c r="G1899" s="2">
        <v>5.0166494850000003</v>
      </c>
      <c r="H1899" s="2">
        <v>1.14778E-4</v>
      </c>
      <c r="I1899" s="2" t="s">
        <v>48761</v>
      </c>
      <c r="J1899" s="2" t="s">
        <v>48762</v>
      </c>
      <c r="K1899" s="2">
        <v>4.8206730000000001E-3</v>
      </c>
      <c r="L1899" s="2" t="s">
        <v>1178</v>
      </c>
      <c r="M1899" s="4" t="s">
        <v>17955</v>
      </c>
    </row>
    <row r="1900" spans="1:13">
      <c r="A1900" s="2">
        <v>14661</v>
      </c>
      <c r="B1900" s="2" t="s">
        <v>14039</v>
      </c>
      <c r="C1900" s="2">
        <v>9</v>
      </c>
      <c r="D1900" s="2">
        <v>291</v>
      </c>
      <c r="E1900" s="2">
        <v>200</v>
      </c>
      <c r="F1900" s="2">
        <v>32441</v>
      </c>
      <c r="G1900" s="2">
        <v>5.0166494850000003</v>
      </c>
      <c r="H1900" s="2">
        <v>1.14778E-4</v>
      </c>
      <c r="I1900" s="2" t="s">
        <v>48763</v>
      </c>
      <c r="J1900" s="2" t="s">
        <v>48764</v>
      </c>
      <c r="K1900" s="2">
        <v>4.8206730000000001E-3</v>
      </c>
      <c r="L1900" s="2" t="s">
        <v>1178</v>
      </c>
      <c r="M1900" s="4" t="s">
        <v>14042</v>
      </c>
    </row>
    <row r="1901" spans="1:13">
      <c r="A1901" s="2">
        <v>14761</v>
      </c>
      <c r="B1901" s="2" t="s">
        <v>23378</v>
      </c>
      <c r="C1901" s="2">
        <v>9</v>
      </c>
      <c r="D1901" s="2">
        <v>291</v>
      </c>
      <c r="E1901" s="2">
        <v>200</v>
      </c>
      <c r="F1901" s="2">
        <v>32441</v>
      </c>
      <c r="G1901" s="2">
        <v>5.0166494850000003</v>
      </c>
      <c r="H1901" s="2">
        <v>1.14778E-4</v>
      </c>
      <c r="I1901" s="2" t="s">
        <v>48765</v>
      </c>
      <c r="J1901" s="2" t="s">
        <v>48766</v>
      </c>
      <c r="K1901" s="2">
        <v>4.8206730000000001E-3</v>
      </c>
      <c r="L1901" s="2" t="s">
        <v>1178</v>
      </c>
      <c r="M1901" s="4" t="s">
        <v>23381</v>
      </c>
    </row>
    <row r="1902" spans="1:13">
      <c r="A1902" s="2">
        <v>1680</v>
      </c>
      <c r="B1902" s="2" t="s">
        <v>22075</v>
      </c>
      <c r="C1902" s="2">
        <v>9</v>
      </c>
      <c r="D1902" s="2">
        <v>291</v>
      </c>
      <c r="E1902" s="2">
        <v>200</v>
      </c>
      <c r="F1902" s="2">
        <v>32441</v>
      </c>
      <c r="G1902" s="2">
        <v>5.0166494850000003</v>
      </c>
      <c r="H1902" s="2">
        <v>1.14778E-4</v>
      </c>
      <c r="I1902" s="2" t="s">
        <v>48767</v>
      </c>
      <c r="J1902" s="2" t="s">
        <v>48768</v>
      </c>
      <c r="K1902" s="2">
        <v>4.8206730000000001E-3</v>
      </c>
      <c r="L1902" s="2" t="s">
        <v>1178</v>
      </c>
      <c r="M1902" s="4" t="s">
        <v>22078</v>
      </c>
    </row>
    <row r="1903" spans="1:13">
      <c r="A1903" s="2">
        <v>17821</v>
      </c>
      <c r="B1903" s="2" t="s">
        <v>18000</v>
      </c>
      <c r="C1903" s="2">
        <v>9</v>
      </c>
      <c r="D1903" s="2">
        <v>291</v>
      </c>
      <c r="E1903" s="2">
        <v>200</v>
      </c>
      <c r="F1903" s="2">
        <v>32441</v>
      </c>
      <c r="G1903" s="2">
        <v>5.0166494850000003</v>
      </c>
      <c r="H1903" s="2">
        <v>1.14778E-4</v>
      </c>
      <c r="I1903" s="2" t="s">
        <v>48769</v>
      </c>
      <c r="J1903" s="2" t="s">
        <v>48770</v>
      </c>
      <c r="K1903" s="2">
        <v>4.8206730000000001E-3</v>
      </c>
      <c r="L1903" s="2" t="s">
        <v>1178</v>
      </c>
      <c r="M1903" s="4" t="s">
        <v>18003</v>
      </c>
    </row>
    <row r="1904" spans="1:13">
      <c r="A1904" s="2">
        <v>2124</v>
      </c>
      <c r="B1904" s="2" t="s">
        <v>13532</v>
      </c>
      <c r="C1904" s="2">
        <v>9</v>
      </c>
      <c r="D1904" s="2">
        <v>291</v>
      </c>
      <c r="E1904" s="2">
        <v>199</v>
      </c>
      <c r="F1904" s="2">
        <v>32441</v>
      </c>
      <c r="G1904" s="2">
        <v>5.0418587779999999</v>
      </c>
      <c r="H1904" s="2">
        <v>1.10683E-4</v>
      </c>
      <c r="I1904" s="2" t="s">
        <v>48771</v>
      </c>
      <c r="J1904" s="2" t="s">
        <v>48772</v>
      </c>
      <c r="K1904" s="2">
        <v>4.8206730000000001E-3</v>
      </c>
      <c r="L1904" s="2" t="s">
        <v>1178</v>
      </c>
      <c r="M1904" s="4" t="s">
        <v>13535</v>
      </c>
    </row>
    <row r="1905" spans="1:13">
      <c r="A1905" s="2">
        <v>2204</v>
      </c>
      <c r="B1905" s="2" t="s">
        <v>16549</v>
      </c>
      <c r="C1905" s="2">
        <v>9</v>
      </c>
      <c r="D1905" s="2">
        <v>291</v>
      </c>
      <c r="E1905" s="2">
        <v>200</v>
      </c>
      <c r="F1905" s="2">
        <v>32441</v>
      </c>
      <c r="G1905" s="2">
        <v>5.0166494850000003</v>
      </c>
      <c r="H1905" s="2">
        <v>1.14778E-4</v>
      </c>
      <c r="I1905" s="2" t="s">
        <v>48773</v>
      </c>
      <c r="J1905" s="2" t="s">
        <v>48774</v>
      </c>
      <c r="K1905" s="2">
        <v>4.8206730000000001E-3</v>
      </c>
      <c r="L1905" s="2" t="s">
        <v>1178</v>
      </c>
      <c r="M1905" s="4" t="s">
        <v>16552</v>
      </c>
    </row>
    <row r="1906" spans="1:13">
      <c r="A1906" s="2">
        <v>2388</v>
      </c>
      <c r="B1906" s="2" t="s">
        <v>32851</v>
      </c>
      <c r="C1906" s="2">
        <v>9</v>
      </c>
      <c r="D1906" s="2">
        <v>291</v>
      </c>
      <c r="E1906" s="2">
        <v>200</v>
      </c>
      <c r="F1906" s="2">
        <v>32441</v>
      </c>
      <c r="G1906" s="2">
        <v>5.0166494850000003</v>
      </c>
      <c r="H1906" s="2">
        <v>1.14778E-4</v>
      </c>
      <c r="I1906" s="2" t="s">
        <v>48775</v>
      </c>
      <c r="J1906" s="2" t="s">
        <v>48776</v>
      </c>
      <c r="K1906" s="2">
        <v>4.8206730000000001E-3</v>
      </c>
      <c r="L1906" s="2" t="s">
        <v>1178</v>
      </c>
      <c r="M1906" s="4" t="s">
        <v>32854</v>
      </c>
    </row>
    <row r="1907" spans="1:13">
      <c r="A1907" s="2">
        <v>23971</v>
      </c>
      <c r="B1907" s="2" t="s">
        <v>17317</v>
      </c>
      <c r="C1907" s="2">
        <v>9</v>
      </c>
      <c r="D1907" s="2">
        <v>291</v>
      </c>
      <c r="E1907" s="2">
        <v>200</v>
      </c>
      <c r="F1907" s="2">
        <v>32441</v>
      </c>
      <c r="G1907" s="2">
        <v>5.0166494850000003</v>
      </c>
      <c r="H1907" s="2">
        <v>1.14778E-4</v>
      </c>
      <c r="I1907" s="2" t="s">
        <v>48777</v>
      </c>
      <c r="J1907" s="2" t="s">
        <v>48778</v>
      </c>
      <c r="K1907" s="2">
        <v>4.8206730000000001E-3</v>
      </c>
      <c r="L1907" s="2" t="s">
        <v>1178</v>
      </c>
      <c r="M1907" s="4" t="s">
        <v>17320</v>
      </c>
    </row>
    <row r="1908" spans="1:13">
      <c r="A1908" s="2">
        <v>24361</v>
      </c>
      <c r="B1908" s="2" t="s">
        <v>48779</v>
      </c>
      <c r="C1908" s="2">
        <v>9</v>
      </c>
      <c r="D1908" s="2">
        <v>291</v>
      </c>
      <c r="E1908" s="2">
        <v>200</v>
      </c>
      <c r="F1908" s="2">
        <v>32441</v>
      </c>
      <c r="G1908" s="2">
        <v>5.0166494850000003</v>
      </c>
      <c r="H1908" s="2">
        <v>1.14778E-4</v>
      </c>
      <c r="I1908" s="2" t="s">
        <v>48780</v>
      </c>
      <c r="J1908" s="2" t="s">
        <v>48781</v>
      </c>
      <c r="K1908" s="2">
        <v>4.8206730000000001E-3</v>
      </c>
      <c r="L1908" s="2" t="s">
        <v>1178</v>
      </c>
      <c r="M1908" s="4" t="s">
        <v>48782</v>
      </c>
    </row>
    <row r="1909" spans="1:13">
      <c r="A1909" s="2">
        <v>2619</v>
      </c>
      <c r="B1909" s="2" t="s">
        <v>41982</v>
      </c>
      <c r="C1909" s="2">
        <v>9</v>
      </c>
      <c r="D1909" s="2">
        <v>291</v>
      </c>
      <c r="E1909" s="2">
        <v>200</v>
      </c>
      <c r="F1909" s="2">
        <v>32441</v>
      </c>
      <c r="G1909" s="2">
        <v>5.0166494850000003</v>
      </c>
      <c r="H1909" s="2">
        <v>1.14778E-4</v>
      </c>
      <c r="I1909" s="2" t="s">
        <v>48783</v>
      </c>
      <c r="J1909" s="2" t="s">
        <v>48784</v>
      </c>
      <c r="K1909" s="2">
        <v>4.8206730000000001E-3</v>
      </c>
      <c r="L1909" s="2" t="s">
        <v>1178</v>
      </c>
      <c r="M1909" s="4" t="s">
        <v>41985</v>
      </c>
    </row>
    <row r="1910" spans="1:13">
      <c r="A1910" s="2">
        <v>27011</v>
      </c>
      <c r="B1910" s="2" t="s">
        <v>48785</v>
      </c>
      <c r="C1910" s="2">
        <v>8</v>
      </c>
      <c r="D1910" s="2">
        <v>291</v>
      </c>
      <c r="E1910" s="2">
        <v>144</v>
      </c>
      <c r="F1910" s="2">
        <v>32441</v>
      </c>
      <c r="G1910" s="2">
        <v>6.1933944250000001</v>
      </c>
      <c r="H1910" s="3">
        <v>6.8800000000000005E-5</v>
      </c>
      <c r="I1910" s="2" t="s">
        <v>48786</v>
      </c>
      <c r="J1910" s="2" t="s">
        <v>48787</v>
      </c>
      <c r="K1910" s="2">
        <v>4.8206730000000001E-3</v>
      </c>
      <c r="L1910" s="2" t="s">
        <v>1178</v>
      </c>
      <c r="M1910" s="4" t="s">
        <v>48788</v>
      </c>
    </row>
    <row r="1911" spans="1:13">
      <c r="A1911" s="2">
        <v>2974</v>
      </c>
      <c r="B1911" s="2" t="s">
        <v>12507</v>
      </c>
      <c r="C1911" s="2">
        <v>9</v>
      </c>
      <c r="D1911" s="2">
        <v>291</v>
      </c>
      <c r="E1911" s="2">
        <v>200</v>
      </c>
      <c r="F1911" s="2">
        <v>32441</v>
      </c>
      <c r="G1911" s="2">
        <v>5.0166494850000003</v>
      </c>
      <c r="H1911" s="2">
        <v>1.14778E-4</v>
      </c>
      <c r="I1911" s="2" t="s">
        <v>48789</v>
      </c>
      <c r="J1911" s="2" t="s">
        <v>48790</v>
      </c>
      <c r="K1911" s="2">
        <v>4.8206730000000001E-3</v>
      </c>
      <c r="L1911" s="2" t="s">
        <v>1178</v>
      </c>
      <c r="M1911" s="4" t="s">
        <v>12510</v>
      </c>
    </row>
    <row r="1912" spans="1:13">
      <c r="A1912" s="2">
        <v>30451</v>
      </c>
      <c r="B1912" s="2" t="s">
        <v>21147</v>
      </c>
      <c r="C1912" s="2">
        <v>9</v>
      </c>
      <c r="D1912" s="2">
        <v>291</v>
      </c>
      <c r="E1912" s="2">
        <v>200</v>
      </c>
      <c r="F1912" s="2">
        <v>32441</v>
      </c>
      <c r="G1912" s="2">
        <v>5.0166494850000003</v>
      </c>
      <c r="H1912" s="2">
        <v>1.14778E-4</v>
      </c>
      <c r="I1912" s="2" t="s">
        <v>48791</v>
      </c>
      <c r="J1912" s="2" t="s">
        <v>48792</v>
      </c>
      <c r="K1912" s="2">
        <v>4.8206730000000001E-3</v>
      </c>
      <c r="L1912" s="2" t="s">
        <v>1178</v>
      </c>
      <c r="M1912" s="4" t="s">
        <v>21150</v>
      </c>
    </row>
    <row r="1913" spans="1:13">
      <c r="A1913" s="2">
        <v>3053</v>
      </c>
      <c r="B1913" s="2" t="s">
        <v>15385</v>
      </c>
      <c r="C1913" s="2">
        <v>9</v>
      </c>
      <c r="D1913" s="2">
        <v>291</v>
      </c>
      <c r="E1913" s="2">
        <v>200</v>
      </c>
      <c r="F1913" s="2">
        <v>32441</v>
      </c>
      <c r="G1913" s="2">
        <v>5.0166494850000003</v>
      </c>
      <c r="H1913" s="2">
        <v>1.14778E-4</v>
      </c>
      <c r="I1913" s="2" t="s">
        <v>48793</v>
      </c>
      <c r="J1913" s="2" t="s">
        <v>48794</v>
      </c>
      <c r="K1913" s="2">
        <v>4.8206730000000001E-3</v>
      </c>
      <c r="L1913" s="2" t="s">
        <v>1178</v>
      </c>
      <c r="M1913" s="4" t="s">
        <v>15388</v>
      </c>
    </row>
    <row r="1914" spans="1:13">
      <c r="A1914" s="2">
        <v>3129</v>
      </c>
      <c r="B1914" s="2" t="s">
        <v>48795</v>
      </c>
      <c r="C1914" s="2">
        <v>9</v>
      </c>
      <c r="D1914" s="2">
        <v>291</v>
      </c>
      <c r="E1914" s="2">
        <v>200</v>
      </c>
      <c r="F1914" s="2">
        <v>32441</v>
      </c>
      <c r="G1914" s="2">
        <v>5.0166494850000003</v>
      </c>
      <c r="H1914" s="2">
        <v>1.14778E-4</v>
      </c>
      <c r="I1914" s="2" t="s">
        <v>48796</v>
      </c>
      <c r="J1914" s="2" t="s">
        <v>48797</v>
      </c>
      <c r="K1914" s="2">
        <v>4.8206730000000001E-3</v>
      </c>
      <c r="L1914" s="2" t="s">
        <v>1178</v>
      </c>
      <c r="M1914" s="4" t="s">
        <v>48798</v>
      </c>
    </row>
    <row r="1915" spans="1:13">
      <c r="A1915" s="2">
        <v>3141</v>
      </c>
      <c r="B1915" s="2" t="s">
        <v>13327</v>
      </c>
      <c r="C1915" s="2">
        <v>9</v>
      </c>
      <c r="D1915" s="2">
        <v>291</v>
      </c>
      <c r="E1915" s="2">
        <v>200</v>
      </c>
      <c r="F1915" s="2">
        <v>32441</v>
      </c>
      <c r="G1915" s="2">
        <v>5.0166494850000003</v>
      </c>
      <c r="H1915" s="2">
        <v>1.14778E-4</v>
      </c>
      <c r="I1915" s="2" t="s">
        <v>48799</v>
      </c>
      <c r="J1915" s="2" t="s">
        <v>48800</v>
      </c>
      <c r="K1915" s="2">
        <v>4.8206730000000001E-3</v>
      </c>
      <c r="L1915" s="2" t="s">
        <v>1178</v>
      </c>
      <c r="M1915" s="4" t="s">
        <v>13330</v>
      </c>
    </row>
    <row r="1916" spans="1:13">
      <c r="A1916" s="2">
        <v>31482</v>
      </c>
      <c r="B1916" s="2" t="s">
        <v>19960</v>
      </c>
      <c r="C1916" s="2">
        <v>9</v>
      </c>
      <c r="D1916" s="2">
        <v>291</v>
      </c>
      <c r="E1916" s="2">
        <v>200</v>
      </c>
      <c r="F1916" s="2">
        <v>32441</v>
      </c>
      <c r="G1916" s="2">
        <v>5.0166494850000003</v>
      </c>
      <c r="H1916" s="2">
        <v>1.14778E-4</v>
      </c>
      <c r="I1916" s="2" t="s">
        <v>48801</v>
      </c>
      <c r="J1916" s="2" t="s">
        <v>48802</v>
      </c>
      <c r="K1916" s="2">
        <v>4.8206730000000001E-3</v>
      </c>
      <c r="L1916" s="2" t="s">
        <v>1178</v>
      </c>
      <c r="M1916" s="4" t="s">
        <v>19963</v>
      </c>
    </row>
    <row r="1917" spans="1:13">
      <c r="A1917" s="2">
        <v>31891</v>
      </c>
      <c r="B1917" s="2" t="s">
        <v>20386</v>
      </c>
      <c r="C1917" s="2">
        <v>9</v>
      </c>
      <c r="D1917" s="2">
        <v>291</v>
      </c>
      <c r="E1917" s="2">
        <v>195</v>
      </c>
      <c r="F1917" s="2">
        <v>32441</v>
      </c>
      <c r="G1917" s="2">
        <v>5.1452815230000004</v>
      </c>
      <c r="H1917" s="3">
        <v>9.5500000000000004E-5</v>
      </c>
      <c r="I1917" s="2" t="s">
        <v>48803</v>
      </c>
      <c r="J1917" s="2" t="s">
        <v>48804</v>
      </c>
      <c r="K1917" s="2">
        <v>4.8206730000000001E-3</v>
      </c>
      <c r="L1917" s="2" t="s">
        <v>1178</v>
      </c>
      <c r="M1917" s="4" t="s">
        <v>20389</v>
      </c>
    </row>
    <row r="1918" spans="1:13">
      <c r="A1918" s="2">
        <v>3245</v>
      </c>
      <c r="B1918" s="2" t="s">
        <v>13100</v>
      </c>
      <c r="C1918" s="2">
        <v>9</v>
      </c>
      <c r="D1918" s="2">
        <v>291</v>
      </c>
      <c r="E1918" s="2">
        <v>200</v>
      </c>
      <c r="F1918" s="2">
        <v>32441</v>
      </c>
      <c r="G1918" s="2">
        <v>5.0166494850000003</v>
      </c>
      <c r="H1918" s="2">
        <v>1.14778E-4</v>
      </c>
      <c r="I1918" s="2" t="s">
        <v>48805</v>
      </c>
      <c r="J1918" s="2" t="s">
        <v>48806</v>
      </c>
      <c r="K1918" s="2">
        <v>4.8206730000000001E-3</v>
      </c>
      <c r="L1918" s="2" t="s">
        <v>1178</v>
      </c>
      <c r="M1918" s="4" t="s">
        <v>13103</v>
      </c>
    </row>
    <row r="1919" spans="1:13">
      <c r="A1919" s="2">
        <v>3249</v>
      </c>
      <c r="B1919" s="2" t="s">
        <v>16628</v>
      </c>
      <c r="C1919" s="2">
        <v>9</v>
      </c>
      <c r="D1919" s="2">
        <v>291</v>
      </c>
      <c r="E1919" s="2">
        <v>200</v>
      </c>
      <c r="F1919" s="2">
        <v>32441</v>
      </c>
      <c r="G1919" s="2">
        <v>5.0166494850000003</v>
      </c>
      <c r="H1919" s="2">
        <v>1.14778E-4</v>
      </c>
      <c r="I1919" s="2" t="s">
        <v>48807</v>
      </c>
      <c r="J1919" s="2" t="s">
        <v>48808</v>
      </c>
      <c r="K1919" s="2">
        <v>4.8206730000000001E-3</v>
      </c>
      <c r="L1919" s="2" t="s">
        <v>1178</v>
      </c>
      <c r="M1919" s="4" t="s">
        <v>16631</v>
      </c>
    </row>
    <row r="1920" spans="1:13">
      <c r="A1920" s="2">
        <v>33271</v>
      </c>
      <c r="B1920" s="2" t="s">
        <v>11983</v>
      </c>
      <c r="C1920" s="2">
        <v>9</v>
      </c>
      <c r="D1920" s="2">
        <v>291</v>
      </c>
      <c r="E1920" s="2">
        <v>200</v>
      </c>
      <c r="F1920" s="2">
        <v>32441</v>
      </c>
      <c r="G1920" s="2">
        <v>5.0166494850000003</v>
      </c>
      <c r="H1920" s="2">
        <v>1.14778E-4</v>
      </c>
      <c r="I1920" s="2" t="s">
        <v>48809</v>
      </c>
      <c r="J1920" s="2" t="s">
        <v>48810</v>
      </c>
      <c r="K1920" s="2">
        <v>4.8206730000000001E-3</v>
      </c>
      <c r="L1920" s="2" t="s">
        <v>1178</v>
      </c>
      <c r="M1920" s="4" t="s">
        <v>11986</v>
      </c>
    </row>
    <row r="1921" spans="1:13">
      <c r="A1921" s="2">
        <v>33292</v>
      </c>
      <c r="B1921" s="2" t="s">
        <v>48811</v>
      </c>
      <c r="C1921" s="2">
        <v>9</v>
      </c>
      <c r="D1921" s="2">
        <v>291</v>
      </c>
      <c r="E1921" s="2">
        <v>199</v>
      </c>
      <c r="F1921" s="2">
        <v>32441</v>
      </c>
      <c r="G1921" s="2">
        <v>5.0418587779999999</v>
      </c>
      <c r="H1921" s="2">
        <v>1.10683E-4</v>
      </c>
      <c r="I1921" s="2" t="s">
        <v>48812</v>
      </c>
      <c r="J1921" s="2" t="s">
        <v>48813</v>
      </c>
      <c r="K1921" s="2">
        <v>4.8206730000000001E-3</v>
      </c>
      <c r="L1921" s="2" t="s">
        <v>1178</v>
      </c>
      <c r="M1921" s="4" t="s">
        <v>48814</v>
      </c>
    </row>
    <row r="1922" spans="1:13">
      <c r="A1922" s="2">
        <v>3396</v>
      </c>
      <c r="B1922" s="2" t="s">
        <v>14508</v>
      </c>
      <c r="C1922" s="2">
        <v>9</v>
      </c>
      <c r="D1922" s="2">
        <v>291</v>
      </c>
      <c r="E1922" s="2">
        <v>200</v>
      </c>
      <c r="F1922" s="2">
        <v>32441</v>
      </c>
      <c r="G1922" s="2">
        <v>5.0166494850000003</v>
      </c>
      <c r="H1922" s="2">
        <v>1.14778E-4</v>
      </c>
      <c r="I1922" s="2" t="s">
        <v>48815</v>
      </c>
      <c r="J1922" s="2" t="s">
        <v>48816</v>
      </c>
      <c r="K1922" s="2">
        <v>4.8206730000000001E-3</v>
      </c>
      <c r="L1922" s="2" t="s">
        <v>1178</v>
      </c>
      <c r="M1922" s="4" t="s">
        <v>14511</v>
      </c>
    </row>
    <row r="1923" spans="1:13">
      <c r="A1923" s="2">
        <v>3501</v>
      </c>
      <c r="B1923" s="2" t="s">
        <v>21235</v>
      </c>
      <c r="C1923" s="2">
        <v>9</v>
      </c>
      <c r="D1923" s="2">
        <v>291</v>
      </c>
      <c r="E1923" s="2">
        <v>200</v>
      </c>
      <c r="F1923" s="2">
        <v>32441</v>
      </c>
      <c r="G1923" s="2">
        <v>5.0166494850000003</v>
      </c>
      <c r="H1923" s="2">
        <v>1.14778E-4</v>
      </c>
      <c r="I1923" s="2" t="s">
        <v>48817</v>
      </c>
      <c r="J1923" s="2" t="s">
        <v>48818</v>
      </c>
      <c r="K1923" s="2">
        <v>4.8206730000000001E-3</v>
      </c>
      <c r="L1923" s="2" t="s">
        <v>1178</v>
      </c>
      <c r="M1923" s="4" t="s">
        <v>21238</v>
      </c>
    </row>
    <row r="1924" spans="1:13">
      <c r="A1924" s="2">
        <v>3838</v>
      </c>
      <c r="B1924" s="2" t="s">
        <v>39437</v>
      </c>
      <c r="C1924" s="2">
        <v>9</v>
      </c>
      <c r="D1924" s="2">
        <v>291</v>
      </c>
      <c r="E1924" s="2">
        <v>200</v>
      </c>
      <c r="F1924" s="2">
        <v>32441</v>
      </c>
      <c r="G1924" s="2">
        <v>5.0166494850000003</v>
      </c>
      <c r="H1924" s="2">
        <v>1.14778E-4</v>
      </c>
      <c r="I1924" s="2" t="s">
        <v>48819</v>
      </c>
      <c r="J1924" s="2" t="s">
        <v>48820</v>
      </c>
      <c r="K1924" s="2">
        <v>4.8206730000000001E-3</v>
      </c>
      <c r="L1924" s="2" t="s">
        <v>1178</v>
      </c>
      <c r="M1924" s="4" t="s">
        <v>39440</v>
      </c>
    </row>
    <row r="1925" spans="1:13">
      <c r="A1925" s="2">
        <v>3926</v>
      </c>
      <c r="B1925" s="2" t="s">
        <v>14558</v>
      </c>
      <c r="C1925" s="2">
        <v>9</v>
      </c>
      <c r="D1925" s="2">
        <v>291</v>
      </c>
      <c r="E1925" s="2">
        <v>200</v>
      </c>
      <c r="F1925" s="2">
        <v>32441</v>
      </c>
      <c r="G1925" s="2">
        <v>5.0166494850000003</v>
      </c>
      <c r="H1925" s="2">
        <v>1.14778E-4</v>
      </c>
      <c r="I1925" s="2" t="s">
        <v>48821</v>
      </c>
      <c r="J1925" s="2" t="s">
        <v>48822</v>
      </c>
      <c r="K1925" s="2">
        <v>4.8206730000000001E-3</v>
      </c>
      <c r="L1925" s="2" t="s">
        <v>1178</v>
      </c>
      <c r="M1925" s="4" t="s">
        <v>14561</v>
      </c>
    </row>
    <row r="1926" spans="1:13">
      <c r="A1926" s="2">
        <v>44431</v>
      </c>
      <c r="B1926" s="2" t="s">
        <v>14590</v>
      </c>
      <c r="C1926" s="2">
        <v>9</v>
      </c>
      <c r="D1926" s="2">
        <v>291</v>
      </c>
      <c r="E1926" s="2">
        <v>200</v>
      </c>
      <c r="F1926" s="2">
        <v>32441</v>
      </c>
      <c r="G1926" s="2">
        <v>5.0166494850000003</v>
      </c>
      <c r="H1926" s="2">
        <v>1.14778E-4</v>
      </c>
      <c r="I1926" s="2" t="s">
        <v>48823</v>
      </c>
      <c r="J1926" s="2" t="s">
        <v>48824</v>
      </c>
      <c r="K1926" s="2">
        <v>4.8206730000000001E-3</v>
      </c>
      <c r="L1926" s="2" t="s">
        <v>1178</v>
      </c>
      <c r="M1926" s="4" t="s">
        <v>14593</v>
      </c>
    </row>
    <row r="1927" spans="1:13">
      <c r="A1927" s="2">
        <v>4544</v>
      </c>
      <c r="B1927" s="2" t="s">
        <v>48825</v>
      </c>
      <c r="C1927" s="2">
        <v>9</v>
      </c>
      <c r="D1927" s="2">
        <v>291</v>
      </c>
      <c r="E1927" s="2">
        <v>200</v>
      </c>
      <c r="F1927" s="2">
        <v>32441</v>
      </c>
      <c r="G1927" s="2">
        <v>5.0166494850000003</v>
      </c>
      <c r="H1927" s="2">
        <v>1.14778E-4</v>
      </c>
      <c r="I1927" s="2" t="s">
        <v>48826</v>
      </c>
      <c r="J1927" s="2" t="s">
        <v>48827</v>
      </c>
      <c r="K1927" s="2">
        <v>4.8206730000000001E-3</v>
      </c>
      <c r="L1927" s="2" t="s">
        <v>1178</v>
      </c>
      <c r="M1927" s="4" t="s">
        <v>48828</v>
      </c>
    </row>
    <row r="1928" spans="1:13">
      <c r="A1928" s="2">
        <v>45791</v>
      </c>
      <c r="B1928" s="2" t="s">
        <v>48829</v>
      </c>
      <c r="C1928" s="2">
        <v>9</v>
      </c>
      <c r="D1928" s="2">
        <v>291</v>
      </c>
      <c r="E1928" s="2">
        <v>200</v>
      </c>
      <c r="F1928" s="2">
        <v>32441</v>
      </c>
      <c r="G1928" s="2">
        <v>5.0166494850000003</v>
      </c>
      <c r="H1928" s="2">
        <v>1.14778E-4</v>
      </c>
      <c r="I1928" s="2" t="s">
        <v>48830</v>
      </c>
      <c r="J1928" s="2" t="s">
        <v>48831</v>
      </c>
      <c r="K1928" s="2">
        <v>4.8206730000000001E-3</v>
      </c>
      <c r="L1928" s="2" t="s">
        <v>1178</v>
      </c>
      <c r="M1928" s="4" t="s">
        <v>48832</v>
      </c>
    </row>
    <row r="1929" spans="1:13">
      <c r="A1929" s="2">
        <v>4602</v>
      </c>
      <c r="B1929" s="2" t="s">
        <v>14203</v>
      </c>
      <c r="C1929" s="2">
        <v>9</v>
      </c>
      <c r="D1929" s="2">
        <v>291</v>
      </c>
      <c r="E1929" s="2">
        <v>200</v>
      </c>
      <c r="F1929" s="2">
        <v>32441</v>
      </c>
      <c r="G1929" s="2">
        <v>5.0166494850000003</v>
      </c>
      <c r="H1929" s="2">
        <v>1.14778E-4</v>
      </c>
      <c r="I1929" s="2" t="s">
        <v>48833</v>
      </c>
      <c r="J1929" s="2" t="s">
        <v>48834</v>
      </c>
      <c r="K1929" s="2">
        <v>4.8206730000000001E-3</v>
      </c>
      <c r="L1929" s="2" t="s">
        <v>1178</v>
      </c>
      <c r="M1929" s="4" t="s">
        <v>14206</v>
      </c>
    </row>
    <row r="1930" spans="1:13">
      <c r="A1930" s="2">
        <v>46211</v>
      </c>
      <c r="B1930" s="2" t="s">
        <v>2712</v>
      </c>
      <c r="C1930" s="2">
        <v>9</v>
      </c>
      <c r="D1930" s="2">
        <v>291</v>
      </c>
      <c r="E1930" s="2">
        <v>200</v>
      </c>
      <c r="F1930" s="2">
        <v>32441</v>
      </c>
      <c r="G1930" s="2">
        <v>5.0166494850000003</v>
      </c>
      <c r="H1930" s="2">
        <v>1.14778E-4</v>
      </c>
      <c r="I1930" s="2" t="s">
        <v>48835</v>
      </c>
      <c r="J1930" s="2" t="s">
        <v>48836</v>
      </c>
      <c r="K1930" s="2">
        <v>4.8206730000000001E-3</v>
      </c>
      <c r="L1930" s="2" t="s">
        <v>1178</v>
      </c>
      <c r="M1930" s="4" t="s">
        <v>41708</v>
      </c>
    </row>
    <row r="1931" spans="1:13">
      <c r="A1931" s="2">
        <v>4632</v>
      </c>
      <c r="B1931" s="2" t="s">
        <v>21452</v>
      </c>
      <c r="C1931" s="2">
        <v>9</v>
      </c>
      <c r="D1931" s="2">
        <v>291</v>
      </c>
      <c r="E1931" s="2">
        <v>200</v>
      </c>
      <c r="F1931" s="2">
        <v>32441</v>
      </c>
      <c r="G1931" s="2">
        <v>5.0166494850000003</v>
      </c>
      <c r="H1931" s="2">
        <v>1.14778E-4</v>
      </c>
      <c r="I1931" s="2" t="s">
        <v>48837</v>
      </c>
      <c r="J1931" s="2" t="s">
        <v>48838</v>
      </c>
      <c r="K1931" s="2">
        <v>4.8206730000000001E-3</v>
      </c>
      <c r="L1931" s="2" t="s">
        <v>1178</v>
      </c>
      <c r="M1931" s="4" t="s">
        <v>21455</v>
      </c>
    </row>
    <row r="1932" spans="1:13">
      <c r="A1932" s="2">
        <v>4634</v>
      </c>
      <c r="B1932" s="2" t="s">
        <v>48839</v>
      </c>
      <c r="C1932" s="2">
        <v>9</v>
      </c>
      <c r="D1932" s="2">
        <v>291</v>
      </c>
      <c r="E1932" s="2">
        <v>200</v>
      </c>
      <c r="F1932" s="2">
        <v>32441</v>
      </c>
      <c r="G1932" s="2">
        <v>5.0166494850000003</v>
      </c>
      <c r="H1932" s="2">
        <v>1.14778E-4</v>
      </c>
      <c r="I1932" s="2" t="s">
        <v>48840</v>
      </c>
      <c r="J1932" s="2" t="s">
        <v>48841</v>
      </c>
      <c r="K1932" s="2">
        <v>4.8206730000000001E-3</v>
      </c>
      <c r="L1932" s="2" t="s">
        <v>1178</v>
      </c>
      <c r="M1932" s="4" t="s">
        <v>48842</v>
      </c>
    </row>
    <row r="1933" spans="1:13">
      <c r="A1933" s="2">
        <v>4768</v>
      </c>
      <c r="B1933" s="2" t="s">
        <v>12333</v>
      </c>
      <c r="C1933" s="2">
        <v>9</v>
      </c>
      <c r="D1933" s="2">
        <v>291</v>
      </c>
      <c r="E1933" s="2">
        <v>200</v>
      </c>
      <c r="F1933" s="2">
        <v>32441</v>
      </c>
      <c r="G1933" s="2">
        <v>5.0166494850000003</v>
      </c>
      <c r="H1933" s="2">
        <v>1.14778E-4</v>
      </c>
      <c r="I1933" s="2" t="s">
        <v>48843</v>
      </c>
      <c r="J1933" s="2" t="s">
        <v>48844</v>
      </c>
      <c r="K1933" s="2">
        <v>4.8206730000000001E-3</v>
      </c>
      <c r="L1933" s="2" t="s">
        <v>1178</v>
      </c>
      <c r="M1933" s="4" t="s">
        <v>12336</v>
      </c>
    </row>
    <row r="1934" spans="1:13">
      <c r="A1934" s="2">
        <v>4782</v>
      </c>
      <c r="B1934" s="2" t="s">
        <v>16195</v>
      </c>
      <c r="C1934" s="2">
        <v>9</v>
      </c>
      <c r="D1934" s="2">
        <v>291</v>
      </c>
      <c r="E1934" s="2">
        <v>200</v>
      </c>
      <c r="F1934" s="2">
        <v>32441</v>
      </c>
      <c r="G1934" s="2">
        <v>5.0166494850000003</v>
      </c>
      <c r="H1934" s="2">
        <v>1.14778E-4</v>
      </c>
      <c r="I1934" s="2" t="s">
        <v>48845</v>
      </c>
      <c r="J1934" s="2" t="s">
        <v>48846</v>
      </c>
      <c r="K1934" s="2">
        <v>4.8206730000000001E-3</v>
      </c>
      <c r="L1934" s="2" t="s">
        <v>1178</v>
      </c>
      <c r="M1934" s="4" t="s">
        <v>16198</v>
      </c>
    </row>
    <row r="1935" spans="1:13">
      <c r="A1935" s="2">
        <v>4794</v>
      </c>
      <c r="B1935" s="2" t="s">
        <v>24081</v>
      </c>
      <c r="C1935" s="2">
        <v>9</v>
      </c>
      <c r="D1935" s="2">
        <v>291</v>
      </c>
      <c r="E1935" s="2">
        <v>199</v>
      </c>
      <c r="F1935" s="2">
        <v>32441</v>
      </c>
      <c r="G1935" s="2">
        <v>5.0418587779999999</v>
      </c>
      <c r="H1935" s="2">
        <v>1.10683E-4</v>
      </c>
      <c r="I1935" s="2" t="s">
        <v>48847</v>
      </c>
      <c r="J1935" s="2" t="s">
        <v>48848</v>
      </c>
      <c r="K1935" s="2">
        <v>4.8206730000000001E-3</v>
      </c>
      <c r="L1935" s="2" t="s">
        <v>1178</v>
      </c>
      <c r="M1935" s="4" t="s">
        <v>24084</v>
      </c>
    </row>
    <row r="1936" spans="1:13">
      <c r="A1936" s="2">
        <v>4843</v>
      </c>
      <c r="B1936" s="2" t="s">
        <v>31325</v>
      </c>
      <c r="C1936" s="2">
        <v>9</v>
      </c>
      <c r="D1936" s="2">
        <v>291</v>
      </c>
      <c r="E1936" s="2">
        <v>200</v>
      </c>
      <c r="F1936" s="2">
        <v>32441</v>
      </c>
      <c r="G1936" s="2">
        <v>5.0166494850000003</v>
      </c>
      <c r="H1936" s="2">
        <v>1.14778E-4</v>
      </c>
      <c r="I1936" s="2" t="s">
        <v>48849</v>
      </c>
      <c r="J1936" s="2" t="s">
        <v>48850</v>
      </c>
      <c r="K1936" s="2">
        <v>4.8206730000000001E-3</v>
      </c>
      <c r="L1936" s="2" t="s">
        <v>1178</v>
      </c>
      <c r="M1936" s="4" t="s">
        <v>31328</v>
      </c>
    </row>
    <row r="1937" spans="1:13">
      <c r="A1937" s="2">
        <v>4859</v>
      </c>
      <c r="B1937" s="2" t="s">
        <v>33139</v>
      </c>
      <c r="C1937" s="2">
        <v>9</v>
      </c>
      <c r="D1937" s="2">
        <v>291</v>
      </c>
      <c r="E1937" s="2">
        <v>199</v>
      </c>
      <c r="F1937" s="2">
        <v>32441</v>
      </c>
      <c r="G1937" s="2">
        <v>5.0418587779999999</v>
      </c>
      <c r="H1937" s="2">
        <v>1.10683E-4</v>
      </c>
      <c r="I1937" s="2" t="s">
        <v>48851</v>
      </c>
      <c r="J1937" s="2" t="s">
        <v>48852</v>
      </c>
      <c r="K1937" s="2">
        <v>4.8206730000000001E-3</v>
      </c>
      <c r="L1937" s="2" t="s">
        <v>1178</v>
      </c>
      <c r="M1937" s="4" t="s">
        <v>33142</v>
      </c>
    </row>
    <row r="1938" spans="1:13">
      <c r="A1938" s="2">
        <v>44651</v>
      </c>
      <c r="B1938" s="2" t="s">
        <v>1632</v>
      </c>
      <c r="C1938" s="2">
        <v>8</v>
      </c>
      <c r="D1938" s="2">
        <v>291</v>
      </c>
      <c r="E1938" s="2">
        <v>167</v>
      </c>
      <c r="F1938" s="2">
        <v>32441</v>
      </c>
      <c r="G1938" s="2">
        <v>5.34041196</v>
      </c>
      <c r="H1938" s="2">
        <v>1.82716E-4</v>
      </c>
      <c r="I1938" s="2" t="s">
        <v>48853</v>
      </c>
      <c r="J1938" s="2" t="s">
        <v>48854</v>
      </c>
      <c r="K1938" s="2">
        <v>7.6084940000000004E-3</v>
      </c>
      <c r="L1938" s="2" t="s">
        <v>1178</v>
      </c>
      <c r="M1938" s="4" t="s">
        <v>22741</v>
      </c>
    </row>
    <row r="1939" spans="1:13">
      <c r="A1939" s="2">
        <v>40801</v>
      </c>
      <c r="B1939" s="2" t="s">
        <v>17698</v>
      </c>
      <c r="C1939" s="2">
        <v>8</v>
      </c>
      <c r="D1939" s="2">
        <v>291</v>
      </c>
      <c r="E1939" s="2">
        <v>169</v>
      </c>
      <c r="F1939" s="2">
        <v>32441</v>
      </c>
      <c r="G1939" s="2">
        <v>5.2772118179999996</v>
      </c>
      <c r="H1939" s="2">
        <v>1.9745E-4</v>
      </c>
      <c r="I1939" s="2" t="s">
        <v>48855</v>
      </c>
      <c r="J1939" s="2" t="s">
        <v>48856</v>
      </c>
      <c r="K1939" s="2">
        <v>8.152322E-3</v>
      </c>
      <c r="L1939" s="2" t="s">
        <v>1178</v>
      </c>
      <c r="M1939" s="4" t="s">
        <v>17701</v>
      </c>
    </row>
    <row r="1940" spans="1:13">
      <c r="A1940" s="2">
        <v>3236</v>
      </c>
      <c r="B1940" s="2" t="s">
        <v>12982</v>
      </c>
      <c r="C1940" s="2">
        <v>8</v>
      </c>
      <c r="D1940" s="2">
        <v>291</v>
      </c>
      <c r="E1940" s="2">
        <v>170</v>
      </c>
      <c r="F1940" s="2">
        <v>32441</v>
      </c>
      <c r="G1940" s="2">
        <v>5.246169396</v>
      </c>
      <c r="H1940" s="2">
        <v>2.05174E-4</v>
      </c>
      <c r="I1940" s="2" t="s">
        <v>48857</v>
      </c>
      <c r="J1940" s="2" t="s">
        <v>48858</v>
      </c>
      <c r="K1940" s="2">
        <v>8.4000600000000009E-3</v>
      </c>
      <c r="L1940" s="2" t="s">
        <v>1178</v>
      </c>
      <c r="M1940" s="4" t="s">
        <v>12985</v>
      </c>
    </row>
    <row r="1941" spans="1:13">
      <c r="A1941" s="2">
        <v>3242</v>
      </c>
      <c r="B1941" s="2" t="s">
        <v>12570</v>
      </c>
      <c r="C1941" s="2">
        <v>8</v>
      </c>
      <c r="D1941" s="2">
        <v>291</v>
      </c>
      <c r="E1941" s="2">
        <v>176</v>
      </c>
      <c r="F1941" s="2">
        <v>32441</v>
      </c>
      <c r="G1941" s="2">
        <v>5.0673227120000002</v>
      </c>
      <c r="H1941" s="2">
        <v>2.5690499999999998E-4</v>
      </c>
      <c r="I1941" s="2" t="s">
        <v>48859</v>
      </c>
      <c r="J1941" s="2" t="s">
        <v>48860</v>
      </c>
      <c r="K1941" s="2">
        <v>1.043033E-2</v>
      </c>
      <c r="L1941" s="2" t="s">
        <v>1178</v>
      </c>
      <c r="M1941" s="4" t="s">
        <v>12573</v>
      </c>
    </row>
    <row r="1942" spans="1:13">
      <c r="A1942" s="2">
        <v>32381</v>
      </c>
      <c r="B1942" s="2" t="s">
        <v>13096</v>
      </c>
      <c r="C1942" s="2">
        <v>8</v>
      </c>
      <c r="D1942" s="2">
        <v>291</v>
      </c>
      <c r="E1942" s="2">
        <v>180</v>
      </c>
      <c r="F1942" s="2">
        <v>32441</v>
      </c>
      <c r="G1942" s="2">
        <v>4.9547155399999996</v>
      </c>
      <c r="H1942" s="2">
        <v>2.9698000000000002E-4</v>
      </c>
      <c r="I1942" s="2" t="s">
        <v>48861</v>
      </c>
      <c r="J1942" s="2" t="s">
        <v>48862</v>
      </c>
      <c r="K1942" s="2">
        <v>1.1957758000000001E-2</v>
      </c>
      <c r="L1942" s="2" t="s">
        <v>1178</v>
      </c>
      <c r="M1942" s="4" t="s">
        <v>13099</v>
      </c>
    </row>
    <row r="1943" spans="1:13">
      <c r="A1943" s="2">
        <v>3511</v>
      </c>
      <c r="B1943" s="2" t="s">
        <v>48863</v>
      </c>
      <c r="C1943" s="2">
        <v>8</v>
      </c>
      <c r="D1943" s="2">
        <v>291</v>
      </c>
      <c r="E1943" s="2">
        <v>200</v>
      </c>
      <c r="F1943" s="2">
        <v>32441</v>
      </c>
      <c r="G1943" s="2">
        <v>4.4592439859999997</v>
      </c>
      <c r="H1943" s="2">
        <v>5.8127899999999998E-4</v>
      </c>
      <c r="I1943" s="2" t="s">
        <v>48864</v>
      </c>
      <c r="J1943" s="2" t="s">
        <v>48865</v>
      </c>
      <c r="K1943" s="2">
        <v>1.5308057E-2</v>
      </c>
      <c r="L1943" s="2" t="s">
        <v>1178</v>
      </c>
      <c r="M1943" s="4" t="s">
        <v>48866</v>
      </c>
    </row>
    <row r="1944" spans="1:13">
      <c r="A1944" s="2">
        <v>4251</v>
      </c>
      <c r="B1944" s="2" t="s">
        <v>22966</v>
      </c>
      <c r="C1944" s="2">
        <v>8</v>
      </c>
      <c r="D1944" s="2">
        <v>291</v>
      </c>
      <c r="E1944" s="2">
        <v>200</v>
      </c>
      <c r="F1944" s="2">
        <v>32441</v>
      </c>
      <c r="G1944" s="2">
        <v>4.4592439859999997</v>
      </c>
      <c r="H1944" s="2">
        <v>5.8127899999999998E-4</v>
      </c>
      <c r="I1944" s="2" t="s">
        <v>48867</v>
      </c>
      <c r="J1944" s="2" t="s">
        <v>48868</v>
      </c>
      <c r="K1944" s="2">
        <v>1.5308057E-2</v>
      </c>
      <c r="L1944" s="2" t="s">
        <v>1178</v>
      </c>
      <c r="M1944" s="4" t="s">
        <v>22969</v>
      </c>
    </row>
    <row r="1945" spans="1:13">
      <c r="A1945" s="2">
        <v>4821</v>
      </c>
      <c r="B1945" s="2" t="s">
        <v>20523</v>
      </c>
      <c r="C1945" s="2">
        <v>8</v>
      </c>
      <c r="D1945" s="2">
        <v>291</v>
      </c>
      <c r="E1945" s="2">
        <v>200</v>
      </c>
      <c r="F1945" s="2">
        <v>32441</v>
      </c>
      <c r="G1945" s="2">
        <v>4.4592439859999997</v>
      </c>
      <c r="H1945" s="2">
        <v>5.8127899999999998E-4</v>
      </c>
      <c r="I1945" s="2" t="s">
        <v>48869</v>
      </c>
      <c r="J1945" s="2" t="s">
        <v>48870</v>
      </c>
      <c r="K1945" s="2">
        <v>1.5308057E-2</v>
      </c>
      <c r="L1945" s="2" t="s">
        <v>1178</v>
      </c>
      <c r="M1945" s="4" t="s">
        <v>20526</v>
      </c>
    </row>
    <row r="1946" spans="1:13">
      <c r="A1946" s="2">
        <v>488</v>
      </c>
      <c r="B1946" s="2" t="s">
        <v>32663</v>
      </c>
      <c r="C1946" s="2">
        <v>8</v>
      </c>
      <c r="D1946" s="2">
        <v>291</v>
      </c>
      <c r="E1946" s="2">
        <v>200</v>
      </c>
      <c r="F1946" s="2">
        <v>32441</v>
      </c>
      <c r="G1946" s="2">
        <v>4.4592439859999997</v>
      </c>
      <c r="H1946" s="2">
        <v>5.8127899999999998E-4</v>
      </c>
      <c r="I1946" s="2" t="s">
        <v>48871</v>
      </c>
      <c r="J1946" s="2" t="s">
        <v>48872</v>
      </c>
      <c r="K1946" s="2">
        <v>1.5308057E-2</v>
      </c>
      <c r="L1946" s="2" t="s">
        <v>1178</v>
      </c>
      <c r="M1946" s="4" t="s">
        <v>32666</v>
      </c>
    </row>
    <row r="1947" spans="1:13">
      <c r="A1947" s="2">
        <v>5281</v>
      </c>
      <c r="B1947" s="2" t="s">
        <v>48873</v>
      </c>
      <c r="C1947" s="2">
        <v>8</v>
      </c>
      <c r="D1947" s="2">
        <v>291</v>
      </c>
      <c r="E1947" s="2">
        <v>200</v>
      </c>
      <c r="F1947" s="2">
        <v>32441</v>
      </c>
      <c r="G1947" s="2">
        <v>4.4592439859999997</v>
      </c>
      <c r="H1947" s="2">
        <v>5.8127899999999998E-4</v>
      </c>
      <c r="I1947" s="2" t="s">
        <v>48874</v>
      </c>
      <c r="J1947" s="2" t="s">
        <v>48875</v>
      </c>
      <c r="K1947" s="2">
        <v>1.5308057E-2</v>
      </c>
      <c r="L1947" s="2" t="s">
        <v>1178</v>
      </c>
      <c r="M1947" s="4" t="s">
        <v>48876</v>
      </c>
    </row>
    <row r="1948" spans="1:13">
      <c r="A1948" s="2">
        <v>602</v>
      </c>
      <c r="B1948" s="2" t="s">
        <v>21819</v>
      </c>
      <c r="C1948" s="2">
        <v>8</v>
      </c>
      <c r="D1948" s="2">
        <v>291</v>
      </c>
      <c r="E1948" s="2">
        <v>200</v>
      </c>
      <c r="F1948" s="2">
        <v>32441</v>
      </c>
      <c r="G1948" s="2">
        <v>4.4592439859999997</v>
      </c>
      <c r="H1948" s="2">
        <v>5.8127899999999998E-4</v>
      </c>
      <c r="I1948" s="2" t="s">
        <v>48877</v>
      </c>
      <c r="J1948" s="2" t="s">
        <v>48878</v>
      </c>
      <c r="K1948" s="2">
        <v>1.5308057E-2</v>
      </c>
      <c r="L1948" s="2" t="s">
        <v>1178</v>
      </c>
      <c r="M1948" s="4" t="s">
        <v>21822</v>
      </c>
    </row>
    <row r="1949" spans="1:13">
      <c r="A1949" s="2">
        <v>687</v>
      </c>
      <c r="B1949" s="2" t="s">
        <v>18614</v>
      </c>
      <c r="C1949" s="2">
        <v>8</v>
      </c>
      <c r="D1949" s="2">
        <v>291</v>
      </c>
      <c r="E1949" s="2">
        <v>200</v>
      </c>
      <c r="F1949" s="2">
        <v>32441</v>
      </c>
      <c r="G1949" s="2">
        <v>4.4592439859999997</v>
      </c>
      <c r="H1949" s="2">
        <v>5.8127899999999998E-4</v>
      </c>
      <c r="I1949" s="2" t="s">
        <v>48879</v>
      </c>
      <c r="J1949" s="2" t="s">
        <v>48880</v>
      </c>
      <c r="K1949" s="2">
        <v>1.5308057E-2</v>
      </c>
      <c r="L1949" s="2" t="s">
        <v>1178</v>
      </c>
      <c r="M1949" s="4" t="s">
        <v>18617</v>
      </c>
    </row>
    <row r="1950" spans="1:13">
      <c r="A1950" s="2">
        <v>693</v>
      </c>
      <c r="B1950" s="2" t="s">
        <v>15686</v>
      </c>
      <c r="C1950" s="2">
        <v>8</v>
      </c>
      <c r="D1950" s="2">
        <v>291</v>
      </c>
      <c r="E1950" s="2">
        <v>200</v>
      </c>
      <c r="F1950" s="2">
        <v>32441</v>
      </c>
      <c r="G1950" s="2">
        <v>4.4592439859999997</v>
      </c>
      <c r="H1950" s="2">
        <v>5.8127899999999998E-4</v>
      </c>
      <c r="I1950" s="2" t="s">
        <v>48881</v>
      </c>
      <c r="J1950" s="2" t="s">
        <v>48882</v>
      </c>
      <c r="K1950" s="2">
        <v>1.5308057E-2</v>
      </c>
      <c r="L1950" s="2" t="s">
        <v>1178</v>
      </c>
      <c r="M1950" s="4" t="s">
        <v>15689</v>
      </c>
    </row>
    <row r="1951" spans="1:13">
      <c r="A1951" s="2">
        <v>719</v>
      </c>
      <c r="B1951" s="2" t="s">
        <v>1845</v>
      </c>
      <c r="C1951" s="2">
        <v>8</v>
      </c>
      <c r="D1951" s="2">
        <v>291</v>
      </c>
      <c r="E1951" s="2">
        <v>200</v>
      </c>
      <c r="F1951" s="2">
        <v>32441</v>
      </c>
      <c r="G1951" s="2">
        <v>4.4592439859999997</v>
      </c>
      <c r="H1951" s="2">
        <v>5.8127899999999998E-4</v>
      </c>
      <c r="I1951" s="2" t="s">
        <v>48883</v>
      </c>
      <c r="J1951" s="2" t="s">
        <v>48884</v>
      </c>
      <c r="K1951" s="2">
        <v>1.5308057E-2</v>
      </c>
      <c r="L1951" s="2" t="s">
        <v>1178</v>
      </c>
      <c r="M1951" s="4" t="s">
        <v>48885</v>
      </c>
    </row>
    <row r="1952" spans="1:13">
      <c r="A1952" s="2">
        <v>863</v>
      </c>
      <c r="B1952" s="2" t="s">
        <v>48886</v>
      </c>
      <c r="C1952" s="2">
        <v>8</v>
      </c>
      <c r="D1952" s="2">
        <v>291</v>
      </c>
      <c r="E1952" s="2">
        <v>200</v>
      </c>
      <c r="F1952" s="2">
        <v>32441</v>
      </c>
      <c r="G1952" s="2">
        <v>4.4592439859999997</v>
      </c>
      <c r="H1952" s="2">
        <v>5.8127899999999998E-4</v>
      </c>
      <c r="I1952" s="2" t="s">
        <v>48887</v>
      </c>
      <c r="J1952" s="2" t="s">
        <v>48888</v>
      </c>
      <c r="K1952" s="2">
        <v>1.5308057E-2</v>
      </c>
      <c r="L1952" s="2" t="s">
        <v>1178</v>
      </c>
      <c r="M1952" s="4" t="s">
        <v>48889</v>
      </c>
    </row>
    <row r="1953" spans="1:13">
      <c r="A1953" s="2">
        <v>923</v>
      </c>
      <c r="B1953" s="2" t="s">
        <v>15163</v>
      </c>
      <c r="C1953" s="2">
        <v>8</v>
      </c>
      <c r="D1953" s="2">
        <v>291</v>
      </c>
      <c r="E1953" s="2">
        <v>200</v>
      </c>
      <c r="F1953" s="2">
        <v>32441</v>
      </c>
      <c r="G1953" s="2">
        <v>4.4592439859999997</v>
      </c>
      <c r="H1953" s="2">
        <v>5.8127899999999998E-4</v>
      </c>
      <c r="I1953" s="2" t="s">
        <v>48890</v>
      </c>
      <c r="J1953" s="2" t="s">
        <v>48891</v>
      </c>
      <c r="K1953" s="2">
        <v>1.5308057E-2</v>
      </c>
      <c r="L1953" s="2" t="s">
        <v>1178</v>
      </c>
      <c r="M1953" s="4" t="s">
        <v>15166</v>
      </c>
    </row>
    <row r="1954" spans="1:13">
      <c r="A1954" s="2">
        <v>1036</v>
      </c>
      <c r="B1954" s="2" t="s">
        <v>13722</v>
      </c>
      <c r="C1954" s="2">
        <v>8</v>
      </c>
      <c r="D1954" s="2">
        <v>291</v>
      </c>
      <c r="E1954" s="2">
        <v>200</v>
      </c>
      <c r="F1954" s="2">
        <v>32441</v>
      </c>
      <c r="G1954" s="2">
        <v>4.4592439859999997</v>
      </c>
      <c r="H1954" s="2">
        <v>5.8127899999999998E-4</v>
      </c>
      <c r="I1954" s="2" t="s">
        <v>48892</v>
      </c>
      <c r="J1954" s="2" t="s">
        <v>48893</v>
      </c>
      <c r="K1954" s="2">
        <v>1.5308057E-2</v>
      </c>
      <c r="L1954" s="2" t="s">
        <v>1178</v>
      </c>
      <c r="M1954" s="4" t="s">
        <v>13725</v>
      </c>
    </row>
    <row r="1955" spans="1:13">
      <c r="A1955" s="2">
        <v>1089</v>
      </c>
      <c r="B1955" s="2" t="s">
        <v>48894</v>
      </c>
      <c r="C1955" s="2">
        <v>8</v>
      </c>
      <c r="D1955" s="2">
        <v>291</v>
      </c>
      <c r="E1955" s="2">
        <v>200</v>
      </c>
      <c r="F1955" s="2">
        <v>32441</v>
      </c>
      <c r="G1955" s="2">
        <v>4.4592439859999997</v>
      </c>
      <c r="H1955" s="2">
        <v>5.8127899999999998E-4</v>
      </c>
      <c r="I1955" s="2" t="s">
        <v>48895</v>
      </c>
      <c r="J1955" s="2" t="s">
        <v>48896</v>
      </c>
      <c r="K1955" s="2">
        <v>1.5308057E-2</v>
      </c>
      <c r="L1955" s="2" t="s">
        <v>1178</v>
      </c>
      <c r="M1955" s="4" t="s">
        <v>48897</v>
      </c>
    </row>
    <row r="1956" spans="1:13">
      <c r="A1956" s="2">
        <v>11111</v>
      </c>
      <c r="B1956" s="2" t="s">
        <v>48898</v>
      </c>
      <c r="C1956" s="2">
        <v>8</v>
      </c>
      <c r="D1956" s="2">
        <v>291</v>
      </c>
      <c r="E1956" s="2">
        <v>200</v>
      </c>
      <c r="F1956" s="2">
        <v>32441</v>
      </c>
      <c r="G1956" s="2">
        <v>4.4592439859999997</v>
      </c>
      <c r="H1956" s="2">
        <v>5.8127899999999998E-4</v>
      </c>
      <c r="I1956" s="2" t="s">
        <v>48899</v>
      </c>
      <c r="J1956" s="2" t="s">
        <v>48900</v>
      </c>
      <c r="K1956" s="2">
        <v>1.5308057E-2</v>
      </c>
      <c r="L1956" s="2" t="s">
        <v>1178</v>
      </c>
      <c r="M1956" s="4" t="s">
        <v>48901</v>
      </c>
    </row>
    <row r="1957" spans="1:13">
      <c r="A1957" s="2">
        <v>1120</v>
      </c>
      <c r="B1957" s="2" t="s">
        <v>16409</v>
      </c>
      <c r="C1957" s="2">
        <v>8</v>
      </c>
      <c r="D1957" s="2">
        <v>291</v>
      </c>
      <c r="E1957" s="2">
        <v>200</v>
      </c>
      <c r="F1957" s="2">
        <v>32441</v>
      </c>
      <c r="G1957" s="2">
        <v>4.4592439859999997</v>
      </c>
      <c r="H1957" s="2">
        <v>5.8127899999999998E-4</v>
      </c>
      <c r="I1957" s="2" t="s">
        <v>48902</v>
      </c>
      <c r="J1957" s="2" t="s">
        <v>48903</v>
      </c>
      <c r="K1957" s="2">
        <v>1.5308057E-2</v>
      </c>
      <c r="L1957" s="2" t="s">
        <v>1178</v>
      </c>
      <c r="M1957" s="4" t="s">
        <v>16412</v>
      </c>
    </row>
    <row r="1958" spans="1:13">
      <c r="A1958" s="2">
        <v>1186</v>
      </c>
      <c r="B1958" s="2" t="s">
        <v>48904</v>
      </c>
      <c r="C1958" s="2">
        <v>8</v>
      </c>
      <c r="D1958" s="2">
        <v>291</v>
      </c>
      <c r="E1958" s="2">
        <v>199</v>
      </c>
      <c r="F1958" s="2">
        <v>32441</v>
      </c>
      <c r="G1958" s="2">
        <v>4.4816522470000004</v>
      </c>
      <c r="H1958" s="2">
        <v>5.6317900000000002E-4</v>
      </c>
      <c r="I1958" s="2" t="s">
        <v>48905</v>
      </c>
      <c r="J1958" s="2" t="s">
        <v>48906</v>
      </c>
      <c r="K1958" s="2">
        <v>1.5308057E-2</v>
      </c>
      <c r="L1958" s="2" t="s">
        <v>1178</v>
      </c>
      <c r="M1958" s="4" t="s">
        <v>48907</v>
      </c>
    </row>
    <row r="1959" spans="1:13">
      <c r="A1959" s="2">
        <v>11981</v>
      </c>
      <c r="B1959" s="2" t="s">
        <v>41275</v>
      </c>
      <c r="C1959" s="2">
        <v>8</v>
      </c>
      <c r="D1959" s="2">
        <v>291</v>
      </c>
      <c r="E1959" s="2">
        <v>199</v>
      </c>
      <c r="F1959" s="2">
        <v>32441</v>
      </c>
      <c r="G1959" s="2">
        <v>4.4816522470000004</v>
      </c>
      <c r="H1959" s="2">
        <v>5.6317900000000002E-4</v>
      </c>
      <c r="I1959" s="2" t="s">
        <v>48908</v>
      </c>
      <c r="J1959" s="2" t="s">
        <v>48909</v>
      </c>
      <c r="K1959" s="2">
        <v>1.5308057E-2</v>
      </c>
      <c r="L1959" s="2" t="s">
        <v>1178</v>
      </c>
      <c r="M1959" s="4" t="s">
        <v>41278</v>
      </c>
    </row>
    <row r="1960" spans="1:13">
      <c r="A1960" s="2">
        <v>12881</v>
      </c>
      <c r="B1960" s="2" t="s">
        <v>17919</v>
      </c>
      <c r="C1960" s="2">
        <v>8</v>
      </c>
      <c r="D1960" s="2">
        <v>291</v>
      </c>
      <c r="E1960" s="2">
        <v>200</v>
      </c>
      <c r="F1960" s="2">
        <v>32441</v>
      </c>
      <c r="G1960" s="2">
        <v>4.4592439859999997</v>
      </c>
      <c r="H1960" s="2">
        <v>5.8127899999999998E-4</v>
      </c>
      <c r="I1960" s="2" t="s">
        <v>48910</v>
      </c>
      <c r="J1960" s="2" t="s">
        <v>48911</v>
      </c>
      <c r="K1960" s="2">
        <v>1.5308057E-2</v>
      </c>
      <c r="L1960" s="2" t="s">
        <v>1178</v>
      </c>
      <c r="M1960" s="4" t="s">
        <v>17922</v>
      </c>
    </row>
    <row r="1961" spans="1:13">
      <c r="A1961" s="2">
        <v>1438</v>
      </c>
      <c r="B1961" s="2" t="s">
        <v>13048</v>
      </c>
      <c r="C1961" s="2">
        <v>8</v>
      </c>
      <c r="D1961" s="2">
        <v>291</v>
      </c>
      <c r="E1961" s="2">
        <v>200</v>
      </c>
      <c r="F1961" s="2">
        <v>32441</v>
      </c>
      <c r="G1961" s="2">
        <v>4.4592439859999997</v>
      </c>
      <c r="H1961" s="2">
        <v>5.8127899999999998E-4</v>
      </c>
      <c r="I1961" s="2" t="s">
        <v>48912</v>
      </c>
      <c r="J1961" s="2" t="s">
        <v>48913</v>
      </c>
      <c r="K1961" s="2">
        <v>1.5308057E-2</v>
      </c>
      <c r="L1961" s="2" t="s">
        <v>1178</v>
      </c>
      <c r="M1961" s="4" t="s">
        <v>13051</v>
      </c>
    </row>
    <row r="1962" spans="1:13">
      <c r="A1962" s="2">
        <v>14511</v>
      </c>
      <c r="B1962" s="2" t="s">
        <v>17956</v>
      </c>
      <c r="C1962" s="2">
        <v>8</v>
      </c>
      <c r="D1962" s="2">
        <v>291</v>
      </c>
      <c r="E1962" s="2">
        <v>200</v>
      </c>
      <c r="F1962" s="2">
        <v>32441</v>
      </c>
      <c r="G1962" s="2">
        <v>4.4592439859999997</v>
      </c>
      <c r="H1962" s="2">
        <v>5.8127899999999998E-4</v>
      </c>
      <c r="I1962" s="2" t="s">
        <v>48914</v>
      </c>
      <c r="J1962" s="2" t="s">
        <v>48915</v>
      </c>
      <c r="K1962" s="2">
        <v>1.5308057E-2</v>
      </c>
      <c r="L1962" s="2" t="s">
        <v>1178</v>
      </c>
      <c r="M1962" s="4" t="s">
        <v>17959</v>
      </c>
    </row>
    <row r="1963" spans="1:13">
      <c r="A1963" s="2">
        <v>1464</v>
      </c>
      <c r="B1963" s="2" t="s">
        <v>16463</v>
      </c>
      <c r="C1963" s="2">
        <v>8</v>
      </c>
      <c r="D1963" s="2">
        <v>291</v>
      </c>
      <c r="E1963" s="2">
        <v>200</v>
      </c>
      <c r="F1963" s="2">
        <v>32441</v>
      </c>
      <c r="G1963" s="2">
        <v>4.4592439859999997</v>
      </c>
      <c r="H1963" s="2">
        <v>5.8127899999999998E-4</v>
      </c>
      <c r="I1963" s="2" t="s">
        <v>48916</v>
      </c>
      <c r="J1963" s="2" t="s">
        <v>48917</v>
      </c>
      <c r="K1963" s="2">
        <v>1.5308057E-2</v>
      </c>
      <c r="L1963" s="2" t="s">
        <v>1178</v>
      </c>
      <c r="M1963" s="4" t="s">
        <v>16466</v>
      </c>
    </row>
    <row r="1964" spans="1:13">
      <c r="A1964" s="2">
        <v>1822</v>
      </c>
      <c r="B1964" s="2" t="s">
        <v>15286</v>
      </c>
      <c r="C1964" s="2">
        <v>8</v>
      </c>
      <c r="D1964" s="2">
        <v>291</v>
      </c>
      <c r="E1964" s="2">
        <v>200</v>
      </c>
      <c r="F1964" s="2">
        <v>32441</v>
      </c>
      <c r="G1964" s="2">
        <v>4.4592439859999997</v>
      </c>
      <c r="H1964" s="2">
        <v>5.8127899999999998E-4</v>
      </c>
      <c r="I1964" s="2" t="s">
        <v>48918</v>
      </c>
      <c r="J1964" s="2" t="s">
        <v>48919</v>
      </c>
      <c r="K1964" s="2">
        <v>1.5308057E-2</v>
      </c>
      <c r="L1964" s="2" t="s">
        <v>1178</v>
      </c>
      <c r="M1964" s="4" t="s">
        <v>15289</v>
      </c>
    </row>
    <row r="1965" spans="1:13">
      <c r="A1965" s="2">
        <v>1838</v>
      </c>
      <c r="B1965" s="2" t="s">
        <v>18805</v>
      </c>
      <c r="C1965" s="2">
        <v>8</v>
      </c>
      <c r="D1965" s="2">
        <v>291</v>
      </c>
      <c r="E1965" s="2">
        <v>200</v>
      </c>
      <c r="F1965" s="2">
        <v>32441</v>
      </c>
      <c r="G1965" s="2">
        <v>4.4592439859999997</v>
      </c>
      <c r="H1965" s="2">
        <v>5.8127899999999998E-4</v>
      </c>
      <c r="I1965" s="2" t="s">
        <v>48920</v>
      </c>
      <c r="J1965" s="2" t="s">
        <v>48921</v>
      </c>
      <c r="K1965" s="2">
        <v>1.5308057E-2</v>
      </c>
      <c r="L1965" s="2" t="s">
        <v>1178</v>
      </c>
      <c r="M1965" s="4" t="s">
        <v>18808</v>
      </c>
    </row>
    <row r="1966" spans="1:13">
      <c r="A1966" s="2">
        <v>1977</v>
      </c>
      <c r="B1966" s="2" t="s">
        <v>48922</v>
      </c>
      <c r="C1966" s="2">
        <v>8</v>
      </c>
      <c r="D1966" s="2">
        <v>291</v>
      </c>
      <c r="E1966" s="2">
        <v>200</v>
      </c>
      <c r="F1966" s="2">
        <v>32441</v>
      </c>
      <c r="G1966" s="2">
        <v>4.4592439859999997</v>
      </c>
      <c r="H1966" s="2">
        <v>5.8127899999999998E-4</v>
      </c>
      <c r="I1966" s="2" t="s">
        <v>48923</v>
      </c>
      <c r="J1966" s="2" t="s">
        <v>48924</v>
      </c>
      <c r="K1966" s="2">
        <v>1.5308057E-2</v>
      </c>
      <c r="L1966" s="2" t="s">
        <v>1178</v>
      </c>
      <c r="M1966" s="4" t="s">
        <v>48925</v>
      </c>
    </row>
    <row r="1967" spans="1:13">
      <c r="A1967" s="2">
        <v>19811</v>
      </c>
      <c r="B1967" s="2" t="s">
        <v>48926</v>
      </c>
      <c r="C1967" s="2">
        <v>8</v>
      </c>
      <c r="D1967" s="2">
        <v>291</v>
      </c>
      <c r="E1967" s="2">
        <v>200</v>
      </c>
      <c r="F1967" s="2">
        <v>32441</v>
      </c>
      <c r="G1967" s="2">
        <v>4.4592439859999997</v>
      </c>
      <c r="H1967" s="2">
        <v>5.8127899999999998E-4</v>
      </c>
      <c r="I1967" s="2" t="s">
        <v>48927</v>
      </c>
      <c r="J1967" s="2" t="s">
        <v>48928</v>
      </c>
      <c r="K1967" s="2">
        <v>1.5308057E-2</v>
      </c>
      <c r="L1967" s="2" t="s">
        <v>1178</v>
      </c>
      <c r="M1967" s="4" t="s">
        <v>48929</v>
      </c>
    </row>
    <row r="1968" spans="1:13">
      <c r="A1968" s="2">
        <v>1988</v>
      </c>
      <c r="B1968" s="2" t="s">
        <v>20947</v>
      </c>
      <c r="C1968" s="2">
        <v>8</v>
      </c>
      <c r="D1968" s="2">
        <v>291</v>
      </c>
      <c r="E1968" s="2">
        <v>200</v>
      </c>
      <c r="F1968" s="2">
        <v>32441</v>
      </c>
      <c r="G1968" s="2">
        <v>4.4592439859999997</v>
      </c>
      <c r="H1968" s="2">
        <v>5.8127899999999998E-4</v>
      </c>
      <c r="I1968" s="2" t="s">
        <v>48930</v>
      </c>
      <c r="J1968" s="2" t="s">
        <v>48931</v>
      </c>
      <c r="K1968" s="2">
        <v>1.5308057E-2</v>
      </c>
      <c r="L1968" s="2" t="s">
        <v>1178</v>
      </c>
      <c r="M1968" s="4" t="s">
        <v>20950</v>
      </c>
    </row>
    <row r="1969" spans="1:13">
      <c r="A1969" s="2">
        <v>2056</v>
      </c>
      <c r="B1969" s="2" t="s">
        <v>15589</v>
      </c>
      <c r="C1969" s="2">
        <v>8</v>
      </c>
      <c r="D1969" s="2">
        <v>291</v>
      </c>
      <c r="E1969" s="2">
        <v>197</v>
      </c>
      <c r="F1969" s="2">
        <v>32441</v>
      </c>
      <c r="G1969" s="2">
        <v>4.5271512549999997</v>
      </c>
      <c r="H1969" s="2">
        <v>5.2834599999999996E-4</v>
      </c>
      <c r="I1969" s="2" t="s">
        <v>48932</v>
      </c>
      <c r="J1969" s="2" t="s">
        <v>48933</v>
      </c>
      <c r="K1969" s="2">
        <v>1.5308057E-2</v>
      </c>
      <c r="L1969" s="2" t="s">
        <v>1178</v>
      </c>
      <c r="M1969" s="4" t="s">
        <v>15592</v>
      </c>
    </row>
    <row r="1970" spans="1:13">
      <c r="A1970" s="2">
        <v>2082</v>
      </c>
      <c r="B1970" s="2" t="s">
        <v>14104</v>
      </c>
      <c r="C1970" s="2">
        <v>8</v>
      </c>
      <c r="D1970" s="2">
        <v>291</v>
      </c>
      <c r="E1970" s="2">
        <v>200</v>
      </c>
      <c r="F1970" s="2">
        <v>32441</v>
      </c>
      <c r="G1970" s="2">
        <v>4.4592439859999997</v>
      </c>
      <c r="H1970" s="2">
        <v>5.8127899999999998E-4</v>
      </c>
      <c r="I1970" s="2" t="s">
        <v>48934</v>
      </c>
      <c r="J1970" s="2" t="s">
        <v>48935</v>
      </c>
      <c r="K1970" s="2">
        <v>1.5308057E-2</v>
      </c>
      <c r="L1970" s="2" t="s">
        <v>1178</v>
      </c>
      <c r="M1970" s="4" t="s">
        <v>14107</v>
      </c>
    </row>
    <row r="1971" spans="1:13">
      <c r="A1971" s="2">
        <v>2126</v>
      </c>
      <c r="B1971" s="2" t="s">
        <v>23551</v>
      </c>
      <c r="C1971" s="2">
        <v>8</v>
      </c>
      <c r="D1971" s="2">
        <v>291</v>
      </c>
      <c r="E1971" s="2">
        <v>200</v>
      </c>
      <c r="F1971" s="2">
        <v>32441</v>
      </c>
      <c r="G1971" s="2">
        <v>4.4592439859999997</v>
      </c>
      <c r="H1971" s="2">
        <v>5.8127899999999998E-4</v>
      </c>
      <c r="I1971" s="2" t="s">
        <v>48936</v>
      </c>
      <c r="J1971" s="2" t="s">
        <v>48937</v>
      </c>
      <c r="K1971" s="2">
        <v>1.5308057E-2</v>
      </c>
      <c r="L1971" s="2" t="s">
        <v>1178</v>
      </c>
      <c r="M1971" s="4" t="s">
        <v>23554</v>
      </c>
    </row>
    <row r="1972" spans="1:13">
      <c r="A1972" s="2">
        <v>2139</v>
      </c>
      <c r="B1972" s="2" t="s">
        <v>40019</v>
      </c>
      <c r="C1972" s="2">
        <v>8</v>
      </c>
      <c r="D1972" s="2">
        <v>291</v>
      </c>
      <c r="E1972" s="2">
        <v>200</v>
      </c>
      <c r="F1972" s="2">
        <v>32441</v>
      </c>
      <c r="G1972" s="2">
        <v>4.4592439859999997</v>
      </c>
      <c r="H1972" s="2">
        <v>5.8127899999999998E-4</v>
      </c>
      <c r="I1972" s="2" t="s">
        <v>48938</v>
      </c>
      <c r="J1972" s="2" t="s">
        <v>48939</v>
      </c>
      <c r="K1972" s="2">
        <v>1.5308057E-2</v>
      </c>
      <c r="L1972" s="2" t="s">
        <v>1178</v>
      </c>
      <c r="M1972" s="4" t="s">
        <v>40022</v>
      </c>
    </row>
    <row r="1973" spans="1:13">
      <c r="A1973" s="2">
        <v>2269</v>
      </c>
      <c r="B1973" s="2" t="s">
        <v>2208</v>
      </c>
      <c r="C1973" s="2">
        <v>8</v>
      </c>
      <c r="D1973" s="2">
        <v>291</v>
      </c>
      <c r="E1973" s="2">
        <v>200</v>
      </c>
      <c r="F1973" s="2">
        <v>32441</v>
      </c>
      <c r="G1973" s="2">
        <v>4.4592439859999997</v>
      </c>
      <c r="H1973" s="2">
        <v>5.8127899999999998E-4</v>
      </c>
      <c r="I1973" s="2" t="s">
        <v>48940</v>
      </c>
      <c r="J1973" s="2" t="s">
        <v>48941</v>
      </c>
      <c r="K1973" s="2">
        <v>1.5308057E-2</v>
      </c>
      <c r="L1973" s="2" t="s">
        <v>1178</v>
      </c>
      <c r="M1973" s="4" t="s">
        <v>48942</v>
      </c>
    </row>
    <row r="1974" spans="1:13">
      <c r="A1974" s="2">
        <v>2483</v>
      </c>
      <c r="B1974" s="2" t="s">
        <v>48943</v>
      </c>
      <c r="C1974" s="2">
        <v>8</v>
      </c>
      <c r="D1974" s="2">
        <v>291</v>
      </c>
      <c r="E1974" s="2">
        <v>200</v>
      </c>
      <c r="F1974" s="2">
        <v>32441</v>
      </c>
      <c r="G1974" s="2">
        <v>4.4592439859999997</v>
      </c>
      <c r="H1974" s="2">
        <v>5.8127899999999998E-4</v>
      </c>
      <c r="I1974" s="2" t="s">
        <v>48944</v>
      </c>
      <c r="J1974" s="2" t="s">
        <v>48945</v>
      </c>
      <c r="K1974" s="2">
        <v>1.5308057E-2</v>
      </c>
      <c r="L1974" s="2" t="s">
        <v>1178</v>
      </c>
      <c r="M1974" s="4" t="s">
        <v>48946</v>
      </c>
    </row>
    <row r="1975" spans="1:13">
      <c r="A1975" s="2">
        <v>2486</v>
      </c>
      <c r="B1975" s="2" t="s">
        <v>48947</v>
      </c>
      <c r="C1975" s="2">
        <v>8</v>
      </c>
      <c r="D1975" s="2">
        <v>291</v>
      </c>
      <c r="E1975" s="2">
        <v>199</v>
      </c>
      <c r="F1975" s="2">
        <v>32441</v>
      </c>
      <c r="G1975" s="2">
        <v>4.4816522470000004</v>
      </c>
      <c r="H1975" s="2">
        <v>5.6317900000000002E-4</v>
      </c>
      <c r="I1975" s="2" t="s">
        <v>48948</v>
      </c>
      <c r="J1975" s="2" t="s">
        <v>48949</v>
      </c>
      <c r="K1975" s="2">
        <v>1.5308057E-2</v>
      </c>
      <c r="L1975" s="2" t="s">
        <v>1178</v>
      </c>
      <c r="M1975" s="4" t="s">
        <v>48950</v>
      </c>
    </row>
    <row r="1976" spans="1:13">
      <c r="A1976" s="2">
        <v>25601</v>
      </c>
      <c r="B1976" s="2" t="s">
        <v>18928</v>
      </c>
      <c r="C1976" s="2">
        <v>8</v>
      </c>
      <c r="D1976" s="2">
        <v>291</v>
      </c>
      <c r="E1976" s="2">
        <v>199</v>
      </c>
      <c r="F1976" s="2">
        <v>32441</v>
      </c>
      <c r="G1976" s="2">
        <v>4.4816522470000004</v>
      </c>
      <c r="H1976" s="2">
        <v>5.6317900000000002E-4</v>
      </c>
      <c r="I1976" s="2" t="s">
        <v>48951</v>
      </c>
      <c r="J1976" s="2" t="s">
        <v>48952</v>
      </c>
      <c r="K1976" s="2">
        <v>1.5308057E-2</v>
      </c>
      <c r="L1976" s="2" t="s">
        <v>1178</v>
      </c>
      <c r="M1976" s="4" t="s">
        <v>18931</v>
      </c>
    </row>
    <row r="1977" spans="1:13">
      <c r="A1977" s="2">
        <v>2562</v>
      </c>
      <c r="B1977" s="2" t="s">
        <v>23662</v>
      </c>
      <c r="C1977" s="2">
        <v>8</v>
      </c>
      <c r="D1977" s="2">
        <v>291</v>
      </c>
      <c r="E1977" s="2">
        <v>198</v>
      </c>
      <c r="F1977" s="2">
        <v>32441</v>
      </c>
      <c r="G1977" s="2">
        <v>4.5042868550000001</v>
      </c>
      <c r="H1977" s="2">
        <v>5.4553800000000003E-4</v>
      </c>
      <c r="I1977" s="2" t="s">
        <v>48953</v>
      </c>
      <c r="J1977" s="2" t="s">
        <v>48954</v>
      </c>
      <c r="K1977" s="2">
        <v>1.5308057E-2</v>
      </c>
      <c r="L1977" s="2" t="s">
        <v>1178</v>
      </c>
      <c r="M1977" s="4" t="s">
        <v>23665</v>
      </c>
    </row>
    <row r="1978" spans="1:13">
      <c r="A1978" s="2">
        <v>2601</v>
      </c>
      <c r="B1978" s="2" t="s">
        <v>22266</v>
      </c>
      <c r="C1978" s="2">
        <v>8</v>
      </c>
      <c r="D1978" s="2">
        <v>291</v>
      </c>
      <c r="E1978" s="2">
        <v>200</v>
      </c>
      <c r="F1978" s="2">
        <v>32441</v>
      </c>
      <c r="G1978" s="2">
        <v>4.4592439859999997</v>
      </c>
      <c r="H1978" s="2">
        <v>5.8127899999999998E-4</v>
      </c>
      <c r="I1978" s="2" t="s">
        <v>48955</v>
      </c>
      <c r="J1978" s="2" t="s">
        <v>48956</v>
      </c>
      <c r="K1978" s="2">
        <v>1.5308057E-2</v>
      </c>
      <c r="L1978" s="2" t="s">
        <v>1178</v>
      </c>
      <c r="M1978" s="4" t="s">
        <v>22269</v>
      </c>
    </row>
    <row r="1979" spans="1:13">
      <c r="A1979" s="2">
        <v>2605</v>
      </c>
      <c r="B1979" s="2" t="s">
        <v>2580</v>
      </c>
      <c r="C1979" s="2">
        <v>8</v>
      </c>
      <c r="D1979" s="2">
        <v>291</v>
      </c>
      <c r="E1979" s="2">
        <v>200</v>
      </c>
      <c r="F1979" s="2">
        <v>32441</v>
      </c>
      <c r="G1979" s="2">
        <v>4.4592439859999997</v>
      </c>
      <c r="H1979" s="2">
        <v>5.8127899999999998E-4</v>
      </c>
      <c r="I1979" s="2" t="s">
        <v>48957</v>
      </c>
      <c r="J1979" s="2" t="s">
        <v>48958</v>
      </c>
      <c r="K1979" s="2">
        <v>1.5308057E-2</v>
      </c>
      <c r="L1979" s="2" t="s">
        <v>1178</v>
      </c>
      <c r="M1979" s="4" t="s">
        <v>23672</v>
      </c>
    </row>
    <row r="1980" spans="1:13">
      <c r="A1980" s="2">
        <v>2693</v>
      </c>
      <c r="B1980" s="2" t="s">
        <v>48959</v>
      </c>
      <c r="C1980" s="2">
        <v>8</v>
      </c>
      <c r="D1980" s="2">
        <v>291</v>
      </c>
      <c r="E1980" s="2">
        <v>200</v>
      </c>
      <c r="F1980" s="2">
        <v>32441</v>
      </c>
      <c r="G1980" s="2">
        <v>4.4592439859999997</v>
      </c>
      <c r="H1980" s="2">
        <v>5.8127899999999998E-4</v>
      </c>
      <c r="I1980" s="2" t="s">
        <v>48960</v>
      </c>
      <c r="J1980" s="2" t="s">
        <v>48961</v>
      </c>
      <c r="K1980" s="2">
        <v>1.5308057E-2</v>
      </c>
      <c r="L1980" s="2" t="s">
        <v>1178</v>
      </c>
      <c r="M1980" s="4" t="s">
        <v>48962</v>
      </c>
    </row>
    <row r="1981" spans="1:13">
      <c r="A1981" s="2">
        <v>27781</v>
      </c>
      <c r="B1981" s="2" t="s">
        <v>12942</v>
      </c>
      <c r="C1981" s="2">
        <v>8</v>
      </c>
      <c r="D1981" s="2">
        <v>291</v>
      </c>
      <c r="E1981" s="2">
        <v>200</v>
      </c>
      <c r="F1981" s="2">
        <v>32441</v>
      </c>
      <c r="G1981" s="2">
        <v>4.4592439859999997</v>
      </c>
      <c r="H1981" s="2">
        <v>5.8127899999999998E-4</v>
      </c>
      <c r="I1981" s="2" t="s">
        <v>48963</v>
      </c>
      <c r="J1981" s="2" t="s">
        <v>48964</v>
      </c>
      <c r="K1981" s="2">
        <v>1.5308057E-2</v>
      </c>
      <c r="L1981" s="2" t="s">
        <v>1178</v>
      </c>
      <c r="M1981" s="4" t="s">
        <v>12945</v>
      </c>
    </row>
    <row r="1982" spans="1:13">
      <c r="A1982" s="2">
        <v>2780</v>
      </c>
      <c r="B1982" s="2" t="s">
        <v>14868</v>
      </c>
      <c r="C1982" s="2">
        <v>8</v>
      </c>
      <c r="D1982" s="2">
        <v>291</v>
      </c>
      <c r="E1982" s="2">
        <v>200</v>
      </c>
      <c r="F1982" s="2">
        <v>32441</v>
      </c>
      <c r="G1982" s="2">
        <v>4.4592439859999997</v>
      </c>
      <c r="H1982" s="2">
        <v>5.8127899999999998E-4</v>
      </c>
      <c r="I1982" s="2" t="s">
        <v>48965</v>
      </c>
      <c r="J1982" s="2" t="s">
        <v>48966</v>
      </c>
      <c r="K1982" s="2">
        <v>1.5308057E-2</v>
      </c>
      <c r="L1982" s="2" t="s">
        <v>1178</v>
      </c>
      <c r="M1982" s="4" t="s">
        <v>14871</v>
      </c>
    </row>
    <row r="1983" spans="1:13">
      <c r="A1983" s="2">
        <v>29371</v>
      </c>
      <c r="B1983" s="2" t="s">
        <v>18968</v>
      </c>
      <c r="C1983" s="2">
        <v>8</v>
      </c>
      <c r="D1983" s="2">
        <v>291</v>
      </c>
      <c r="E1983" s="2">
        <v>200</v>
      </c>
      <c r="F1983" s="2">
        <v>32441</v>
      </c>
      <c r="G1983" s="2">
        <v>4.4592439859999997</v>
      </c>
      <c r="H1983" s="2">
        <v>5.8127899999999998E-4</v>
      </c>
      <c r="I1983" s="2" t="s">
        <v>48967</v>
      </c>
      <c r="J1983" s="2" t="s">
        <v>48968</v>
      </c>
      <c r="K1983" s="2">
        <v>1.5308057E-2</v>
      </c>
      <c r="L1983" s="2" t="s">
        <v>1178</v>
      </c>
      <c r="M1983" s="4" t="s">
        <v>18971</v>
      </c>
    </row>
    <row r="1984" spans="1:13">
      <c r="A1984" s="2">
        <v>3094</v>
      </c>
      <c r="B1984" s="2" t="s">
        <v>18160</v>
      </c>
      <c r="C1984" s="2">
        <v>8</v>
      </c>
      <c r="D1984" s="2">
        <v>291</v>
      </c>
      <c r="E1984" s="2">
        <v>200</v>
      </c>
      <c r="F1984" s="2">
        <v>32441</v>
      </c>
      <c r="G1984" s="2">
        <v>4.4592439859999997</v>
      </c>
      <c r="H1984" s="2">
        <v>5.8127899999999998E-4</v>
      </c>
      <c r="I1984" s="2" t="s">
        <v>48969</v>
      </c>
      <c r="J1984" s="2" t="s">
        <v>48970</v>
      </c>
      <c r="K1984" s="2">
        <v>1.5308057E-2</v>
      </c>
      <c r="L1984" s="2" t="s">
        <v>1178</v>
      </c>
      <c r="M1984" s="4" t="s">
        <v>18163</v>
      </c>
    </row>
    <row r="1985" spans="1:13">
      <c r="A1985" s="2">
        <v>31132</v>
      </c>
      <c r="B1985" s="2" t="s">
        <v>32435</v>
      </c>
      <c r="C1985" s="2">
        <v>8</v>
      </c>
      <c r="D1985" s="2">
        <v>291</v>
      </c>
      <c r="E1985" s="2">
        <v>200</v>
      </c>
      <c r="F1985" s="2">
        <v>32441</v>
      </c>
      <c r="G1985" s="2">
        <v>4.4592439859999997</v>
      </c>
      <c r="H1985" s="2">
        <v>5.8127899999999998E-4</v>
      </c>
      <c r="I1985" s="2" t="s">
        <v>48971</v>
      </c>
      <c r="J1985" s="2" t="s">
        <v>48972</v>
      </c>
      <c r="K1985" s="2">
        <v>1.5308057E-2</v>
      </c>
      <c r="L1985" s="2" t="s">
        <v>1178</v>
      </c>
      <c r="M1985" s="4" t="s">
        <v>32438</v>
      </c>
    </row>
    <row r="1986" spans="1:13">
      <c r="A1986" s="2">
        <v>3115</v>
      </c>
      <c r="B1986" s="2" t="s">
        <v>21167</v>
      </c>
      <c r="C1986" s="2">
        <v>8</v>
      </c>
      <c r="D1986" s="2">
        <v>291</v>
      </c>
      <c r="E1986" s="2">
        <v>200</v>
      </c>
      <c r="F1986" s="2">
        <v>32441</v>
      </c>
      <c r="G1986" s="2">
        <v>4.4592439859999997</v>
      </c>
      <c r="H1986" s="2">
        <v>5.8127899999999998E-4</v>
      </c>
      <c r="I1986" s="2" t="s">
        <v>48973</v>
      </c>
      <c r="J1986" s="2" t="s">
        <v>48974</v>
      </c>
      <c r="K1986" s="2">
        <v>1.5308057E-2</v>
      </c>
      <c r="L1986" s="2" t="s">
        <v>1178</v>
      </c>
      <c r="M1986" s="4" t="s">
        <v>21170</v>
      </c>
    </row>
    <row r="1987" spans="1:13">
      <c r="A1987" s="2">
        <v>3153</v>
      </c>
      <c r="B1987" s="2" t="s">
        <v>48975</v>
      </c>
      <c r="C1987" s="2">
        <v>8</v>
      </c>
      <c r="D1987" s="2">
        <v>291</v>
      </c>
      <c r="E1987" s="2">
        <v>200</v>
      </c>
      <c r="F1987" s="2">
        <v>32441</v>
      </c>
      <c r="G1987" s="2">
        <v>4.4592439859999997</v>
      </c>
      <c r="H1987" s="2">
        <v>5.8127899999999998E-4</v>
      </c>
      <c r="I1987" s="2" t="s">
        <v>48976</v>
      </c>
      <c r="J1987" s="2" t="s">
        <v>48977</v>
      </c>
      <c r="K1987" s="2">
        <v>1.5308057E-2</v>
      </c>
      <c r="L1987" s="2" t="s">
        <v>1178</v>
      </c>
      <c r="M1987" s="4" t="s">
        <v>48978</v>
      </c>
    </row>
    <row r="1988" spans="1:13">
      <c r="A1988" s="2">
        <v>3319</v>
      </c>
      <c r="B1988" s="2" t="s">
        <v>15997</v>
      </c>
      <c r="C1988" s="2">
        <v>8</v>
      </c>
      <c r="D1988" s="2">
        <v>291</v>
      </c>
      <c r="E1988" s="2">
        <v>200</v>
      </c>
      <c r="F1988" s="2">
        <v>32441</v>
      </c>
      <c r="G1988" s="2">
        <v>4.4592439859999997</v>
      </c>
      <c r="H1988" s="2">
        <v>5.8127899999999998E-4</v>
      </c>
      <c r="I1988" s="2" t="s">
        <v>48979</v>
      </c>
      <c r="J1988" s="2" t="s">
        <v>48980</v>
      </c>
      <c r="K1988" s="2">
        <v>1.5308057E-2</v>
      </c>
      <c r="L1988" s="2" t="s">
        <v>1178</v>
      </c>
      <c r="M1988" s="4" t="s">
        <v>16000</v>
      </c>
    </row>
    <row r="1989" spans="1:13">
      <c r="A1989" s="2">
        <v>3773</v>
      </c>
      <c r="B1989" s="2" t="s">
        <v>14528</v>
      </c>
      <c r="C1989" s="2">
        <v>8</v>
      </c>
      <c r="D1989" s="2">
        <v>291</v>
      </c>
      <c r="E1989" s="2">
        <v>200</v>
      </c>
      <c r="F1989" s="2">
        <v>32441</v>
      </c>
      <c r="G1989" s="2">
        <v>4.4592439859999997</v>
      </c>
      <c r="H1989" s="2">
        <v>5.8127899999999998E-4</v>
      </c>
      <c r="I1989" s="2" t="s">
        <v>48981</v>
      </c>
      <c r="J1989" s="2" t="s">
        <v>48982</v>
      </c>
      <c r="K1989" s="2">
        <v>1.5308057E-2</v>
      </c>
      <c r="L1989" s="2" t="s">
        <v>1178</v>
      </c>
      <c r="M1989" s="4" t="s">
        <v>14531</v>
      </c>
    </row>
    <row r="1990" spans="1:13">
      <c r="A1990" s="2">
        <v>3784</v>
      </c>
      <c r="B1990" s="2" t="s">
        <v>22547</v>
      </c>
      <c r="C1990" s="2">
        <v>8</v>
      </c>
      <c r="D1990" s="2">
        <v>291</v>
      </c>
      <c r="E1990" s="2">
        <v>199</v>
      </c>
      <c r="F1990" s="2">
        <v>32441</v>
      </c>
      <c r="G1990" s="2">
        <v>4.4816522470000004</v>
      </c>
      <c r="H1990" s="2">
        <v>5.6317900000000002E-4</v>
      </c>
      <c r="I1990" s="2" t="s">
        <v>48983</v>
      </c>
      <c r="J1990" s="2" t="s">
        <v>48984</v>
      </c>
      <c r="K1990" s="2">
        <v>1.5308057E-2</v>
      </c>
      <c r="L1990" s="2" t="s">
        <v>1178</v>
      </c>
      <c r="M1990" s="4" t="s">
        <v>22550</v>
      </c>
    </row>
    <row r="1991" spans="1:13">
      <c r="A1991" s="2">
        <v>3845</v>
      </c>
      <c r="B1991" s="2" t="s">
        <v>18256</v>
      </c>
      <c r="C1991" s="2">
        <v>8</v>
      </c>
      <c r="D1991" s="2">
        <v>291</v>
      </c>
      <c r="E1991" s="2">
        <v>200</v>
      </c>
      <c r="F1991" s="2">
        <v>32441</v>
      </c>
      <c r="G1991" s="2">
        <v>4.4592439859999997</v>
      </c>
      <c r="H1991" s="2">
        <v>5.8127899999999998E-4</v>
      </c>
      <c r="I1991" s="2" t="s">
        <v>48985</v>
      </c>
      <c r="J1991" s="2" t="s">
        <v>48986</v>
      </c>
      <c r="K1991" s="2">
        <v>1.5308057E-2</v>
      </c>
      <c r="L1991" s="2" t="s">
        <v>1178</v>
      </c>
      <c r="M1991" s="4" t="s">
        <v>18259</v>
      </c>
    </row>
    <row r="1992" spans="1:13">
      <c r="A1992" s="2">
        <v>3943</v>
      </c>
      <c r="B1992" s="2" t="s">
        <v>48987</v>
      </c>
      <c r="C1992" s="2">
        <v>8</v>
      </c>
      <c r="D1992" s="2">
        <v>291</v>
      </c>
      <c r="E1992" s="2">
        <v>194</v>
      </c>
      <c r="F1992" s="2">
        <v>32441</v>
      </c>
      <c r="G1992" s="2">
        <v>4.5971587490000001</v>
      </c>
      <c r="H1992" s="2">
        <v>4.7938599999999999E-4</v>
      </c>
      <c r="I1992" s="2" t="s">
        <v>48988</v>
      </c>
      <c r="J1992" s="2" t="s">
        <v>48989</v>
      </c>
      <c r="K1992" s="2">
        <v>1.5308057E-2</v>
      </c>
      <c r="L1992" s="2" t="s">
        <v>1178</v>
      </c>
      <c r="M1992" s="4" t="s">
        <v>48990</v>
      </c>
    </row>
    <row r="1993" spans="1:13">
      <c r="A1993" s="2">
        <v>4035</v>
      </c>
      <c r="B1993" s="2" t="s">
        <v>1518</v>
      </c>
      <c r="C1993" s="2">
        <v>8</v>
      </c>
      <c r="D1993" s="2">
        <v>291</v>
      </c>
      <c r="E1993" s="2">
        <v>200</v>
      </c>
      <c r="F1993" s="2">
        <v>32441</v>
      </c>
      <c r="G1993" s="2">
        <v>4.4592439859999997</v>
      </c>
      <c r="H1993" s="2">
        <v>5.8127899999999998E-4</v>
      </c>
      <c r="I1993" s="2" t="s">
        <v>48991</v>
      </c>
      <c r="J1993" s="2" t="s">
        <v>48992</v>
      </c>
      <c r="K1993" s="2">
        <v>1.5308057E-2</v>
      </c>
      <c r="L1993" s="2" t="s">
        <v>1178</v>
      </c>
      <c r="M1993" s="4" t="s">
        <v>42086</v>
      </c>
    </row>
    <row r="1994" spans="1:13">
      <c r="A1994" s="2">
        <v>41631</v>
      </c>
      <c r="B1994" s="2" t="s">
        <v>13353</v>
      </c>
      <c r="C1994" s="2">
        <v>8</v>
      </c>
      <c r="D1994" s="2">
        <v>291</v>
      </c>
      <c r="E1994" s="2">
        <v>200</v>
      </c>
      <c r="F1994" s="2">
        <v>32441</v>
      </c>
      <c r="G1994" s="2">
        <v>4.4592439859999997</v>
      </c>
      <c r="H1994" s="2">
        <v>5.8127899999999998E-4</v>
      </c>
      <c r="I1994" s="2" t="s">
        <v>48993</v>
      </c>
      <c r="J1994" s="2" t="s">
        <v>48994</v>
      </c>
      <c r="K1994" s="2">
        <v>1.5308057E-2</v>
      </c>
      <c r="L1994" s="2" t="s">
        <v>1178</v>
      </c>
      <c r="M1994" s="4" t="s">
        <v>13356</v>
      </c>
    </row>
    <row r="1995" spans="1:13">
      <c r="A1995" s="2">
        <v>4185</v>
      </c>
      <c r="B1995" s="2" t="s">
        <v>31207</v>
      </c>
      <c r="C1995" s="2">
        <v>8</v>
      </c>
      <c r="D1995" s="2">
        <v>291</v>
      </c>
      <c r="E1995" s="2">
        <v>200</v>
      </c>
      <c r="F1995" s="2">
        <v>32441</v>
      </c>
      <c r="G1995" s="2">
        <v>4.4592439859999997</v>
      </c>
      <c r="H1995" s="2">
        <v>5.8127899999999998E-4</v>
      </c>
      <c r="I1995" s="2" t="s">
        <v>48995</v>
      </c>
      <c r="J1995" s="2" t="s">
        <v>48996</v>
      </c>
      <c r="K1995" s="2">
        <v>1.5308057E-2</v>
      </c>
      <c r="L1995" s="2" t="s">
        <v>1178</v>
      </c>
      <c r="M1995" s="4" t="s">
        <v>31210</v>
      </c>
    </row>
    <row r="1996" spans="1:13">
      <c r="A1996" s="2">
        <v>4207</v>
      </c>
      <c r="B1996" s="2" t="s">
        <v>48997</v>
      </c>
      <c r="C1996" s="2">
        <v>8</v>
      </c>
      <c r="D1996" s="2">
        <v>291</v>
      </c>
      <c r="E1996" s="2">
        <v>200</v>
      </c>
      <c r="F1996" s="2">
        <v>32441</v>
      </c>
      <c r="G1996" s="2">
        <v>4.4592439859999997</v>
      </c>
      <c r="H1996" s="2">
        <v>5.8127899999999998E-4</v>
      </c>
      <c r="I1996" s="2" t="s">
        <v>48998</v>
      </c>
      <c r="J1996" s="2" t="s">
        <v>48999</v>
      </c>
      <c r="K1996" s="2">
        <v>1.5308057E-2</v>
      </c>
      <c r="L1996" s="2" t="s">
        <v>1178</v>
      </c>
      <c r="M1996" s="4" t="s">
        <v>49000</v>
      </c>
    </row>
    <row r="1997" spans="1:13">
      <c r="A1997" s="2">
        <v>42611</v>
      </c>
      <c r="B1997" s="2" t="s">
        <v>41189</v>
      </c>
      <c r="C1997" s="2">
        <v>7</v>
      </c>
      <c r="D1997" s="2">
        <v>291</v>
      </c>
      <c r="E1997" s="2">
        <v>150</v>
      </c>
      <c r="F1997" s="2">
        <v>32441</v>
      </c>
      <c r="G1997" s="2">
        <v>5.2024513170000004</v>
      </c>
      <c r="H1997" s="2">
        <v>5.3503199999999996E-4</v>
      </c>
      <c r="I1997" s="2" t="s">
        <v>49001</v>
      </c>
      <c r="J1997" s="2" t="s">
        <v>49002</v>
      </c>
      <c r="K1997" s="2">
        <v>1.5308057E-2</v>
      </c>
      <c r="L1997" s="2" t="s">
        <v>1178</v>
      </c>
      <c r="M1997" s="4" t="s">
        <v>41192</v>
      </c>
    </row>
    <row r="1998" spans="1:13">
      <c r="A1998" s="2">
        <v>42861</v>
      </c>
      <c r="B1998" s="2" t="s">
        <v>22632</v>
      </c>
      <c r="C1998" s="2">
        <v>8</v>
      </c>
      <c r="D1998" s="2">
        <v>291</v>
      </c>
      <c r="E1998" s="2">
        <v>200</v>
      </c>
      <c r="F1998" s="2">
        <v>32441</v>
      </c>
      <c r="G1998" s="2">
        <v>4.4592439859999997</v>
      </c>
      <c r="H1998" s="2">
        <v>5.8127899999999998E-4</v>
      </c>
      <c r="I1998" s="2" t="s">
        <v>49003</v>
      </c>
      <c r="J1998" s="2" t="s">
        <v>49004</v>
      </c>
      <c r="K1998" s="2">
        <v>1.5308057E-2</v>
      </c>
      <c r="L1998" s="2" t="s">
        <v>1178</v>
      </c>
      <c r="M1998" s="4" t="s">
        <v>22635</v>
      </c>
    </row>
    <row r="1999" spans="1:13">
      <c r="A1999" s="2">
        <v>4366</v>
      </c>
      <c r="B1999" s="2" t="s">
        <v>14582</v>
      </c>
      <c r="C1999" s="2">
        <v>8</v>
      </c>
      <c r="D1999" s="2">
        <v>291</v>
      </c>
      <c r="E1999" s="2">
        <v>200</v>
      </c>
      <c r="F1999" s="2">
        <v>32441</v>
      </c>
      <c r="G1999" s="2">
        <v>4.4592439859999997</v>
      </c>
      <c r="H1999" s="2">
        <v>5.8127899999999998E-4</v>
      </c>
      <c r="I1999" s="2" t="s">
        <v>49005</v>
      </c>
      <c r="J1999" s="2" t="s">
        <v>49006</v>
      </c>
      <c r="K1999" s="2">
        <v>1.5308057E-2</v>
      </c>
      <c r="L1999" s="2" t="s">
        <v>1178</v>
      </c>
      <c r="M1999" s="4" t="s">
        <v>14585</v>
      </c>
    </row>
    <row r="2000" spans="1:13">
      <c r="A2000" s="2">
        <v>44411</v>
      </c>
      <c r="B2000" s="2" t="s">
        <v>19209</v>
      </c>
      <c r="C2000" s="2">
        <v>8</v>
      </c>
      <c r="D2000" s="2">
        <v>291</v>
      </c>
      <c r="E2000" s="2">
        <v>200</v>
      </c>
      <c r="F2000" s="2">
        <v>32441</v>
      </c>
      <c r="G2000" s="2">
        <v>4.4592439859999997</v>
      </c>
      <c r="H2000" s="2">
        <v>5.8127899999999998E-4</v>
      </c>
      <c r="I2000" s="2" t="s">
        <v>49007</v>
      </c>
      <c r="J2000" s="2" t="s">
        <v>49008</v>
      </c>
      <c r="K2000" s="2">
        <v>1.5308057E-2</v>
      </c>
      <c r="L2000" s="2" t="s">
        <v>1178</v>
      </c>
      <c r="M2000" s="4" t="s">
        <v>19212</v>
      </c>
    </row>
    <row r="2001" spans="1:13">
      <c r="A2001" s="2">
        <v>44511</v>
      </c>
      <c r="B2001" s="2" t="s">
        <v>40562</v>
      </c>
      <c r="C2001" s="2">
        <v>8</v>
      </c>
      <c r="D2001" s="2">
        <v>291</v>
      </c>
      <c r="E2001" s="2">
        <v>200</v>
      </c>
      <c r="F2001" s="2">
        <v>32441</v>
      </c>
      <c r="G2001" s="2">
        <v>4.4592439859999997</v>
      </c>
      <c r="H2001" s="2">
        <v>5.8127899999999998E-4</v>
      </c>
      <c r="I2001" s="2" t="s">
        <v>49009</v>
      </c>
      <c r="J2001" s="2" t="s">
        <v>49010</v>
      </c>
      <c r="K2001" s="2">
        <v>1.5308057E-2</v>
      </c>
      <c r="L2001" s="2" t="s">
        <v>1178</v>
      </c>
      <c r="M2001" s="4" t="s">
        <v>40565</v>
      </c>
    </row>
    <row r="2002" spans="1:13">
      <c r="A2002" s="2">
        <v>4613</v>
      </c>
      <c r="B2002" s="2" t="s">
        <v>21448</v>
      </c>
      <c r="C2002" s="2">
        <v>8</v>
      </c>
      <c r="D2002" s="2">
        <v>291</v>
      </c>
      <c r="E2002" s="2">
        <v>200</v>
      </c>
      <c r="F2002" s="2">
        <v>32441</v>
      </c>
      <c r="G2002" s="2">
        <v>4.4592439859999997</v>
      </c>
      <c r="H2002" s="2">
        <v>5.8127899999999998E-4</v>
      </c>
      <c r="I2002" s="2" t="s">
        <v>49011</v>
      </c>
      <c r="J2002" s="2" t="s">
        <v>49012</v>
      </c>
      <c r="K2002" s="2">
        <v>1.5308057E-2</v>
      </c>
      <c r="L2002" s="2" t="s">
        <v>1178</v>
      </c>
      <c r="M2002" s="4" t="s">
        <v>21451</v>
      </c>
    </row>
    <row r="2003" spans="1:13">
      <c r="A2003" s="2">
        <v>46151</v>
      </c>
      <c r="B2003" s="2" t="s">
        <v>42140</v>
      </c>
      <c r="C2003" s="2">
        <v>8</v>
      </c>
      <c r="D2003" s="2">
        <v>291</v>
      </c>
      <c r="E2003" s="2">
        <v>200</v>
      </c>
      <c r="F2003" s="2">
        <v>32441</v>
      </c>
      <c r="G2003" s="2">
        <v>4.4592439859999997</v>
      </c>
      <c r="H2003" s="2">
        <v>5.8127899999999998E-4</v>
      </c>
      <c r="I2003" s="2" t="s">
        <v>49013</v>
      </c>
      <c r="J2003" s="2" t="s">
        <v>49014</v>
      </c>
      <c r="K2003" s="2">
        <v>1.5308057E-2</v>
      </c>
      <c r="L2003" s="2" t="s">
        <v>1178</v>
      </c>
      <c r="M2003" s="4" t="s">
        <v>42143</v>
      </c>
    </row>
    <row r="2004" spans="1:13">
      <c r="A2004" s="2">
        <v>4619</v>
      </c>
      <c r="B2004" s="2" t="s">
        <v>24036</v>
      </c>
      <c r="C2004" s="2">
        <v>8</v>
      </c>
      <c r="D2004" s="2">
        <v>291</v>
      </c>
      <c r="E2004" s="2">
        <v>200</v>
      </c>
      <c r="F2004" s="2">
        <v>32441</v>
      </c>
      <c r="G2004" s="2">
        <v>4.4592439859999997</v>
      </c>
      <c r="H2004" s="2">
        <v>5.8127899999999998E-4</v>
      </c>
      <c r="I2004" s="2" t="s">
        <v>49015</v>
      </c>
      <c r="J2004" s="2" t="s">
        <v>49016</v>
      </c>
      <c r="K2004" s="2">
        <v>1.5308057E-2</v>
      </c>
      <c r="L2004" s="2" t="s">
        <v>1178</v>
      </c>
      <c r="M2004" s="4" t="s">
        <v>24039</v>
      </c>
    </row>
    <row r="2005" spans="1:13">
      <c r="A2005" s="2">
        <v>4661</v>
      </c>
      <c r="B2005" s="2" t="s">
        <v>32525</v>
      </c>
      <c r="C2005" s="2">
        <v>8</v>
      </c>
      <c r="D2005" s="2">
        <v>291</v>
      </c>
      <c r="E2005" s="2">
        <v>200</v>
      </c>
      <c r="F2005" s="2">
        <v>32441</v>
      </c>
      <c r="G2005" s="2">
        <v>4.4592439859999997</v>
      </c>
      <c r="H2005" s="2">
        <v>5.8127899999999998E-4</v>
      </c>
      <c r="I2005" s="2" t="s">
        <v>49017</v>
      </c>
      <c r="J2005" s="2" t="s">
        <v>49018</v>
      </c>
      <c r="K2005" s="2">
        <v>1.5308057E-2</v>
      </c>
      <c r="L2005" s="2" t="s">
        <v>1178</v>
      </c>
      <c r="M2005" s="4" t="s">
        <v>32528</v>
      </c>
    </row>
    <row r="2006" spans="1:13">
      <c r="A2006" s="2">
        <v>4855</v>
      </c>
      <c r="B2006" s="2" t="s">
        <v>49019</v>
      </c>
      <c r="C2006" s="2">
        <v>8</v>
      </c>
      <c r="D2006" s="2">
        <v>291</v>
      </c>
      <c r="E2006" s="2">
        <v>198</v>
      </c>
      <c r="F2006" s="2">
        <v>32441</v>
      </c>
      <c r="G2006" s="2">
        <v>4.5042868550000001</v>
      </c>
      <c r="H2006" s="2">
        <v>5.4553800000000003E-4</v>
      </c>
      <c r="I2006" s="2" t="s">
        <v>49020</v>
      </c>
      <c r="J2006" s="2" t="s">
        <v>49021</v>
      </c>
      <c r="K2006" s="2">
        <v>1.5308057E-2</v>
      </c>
      <c r="L2006" s="2" t="s">
        <v>1178</v>
      </c>
      <c r="M2006" s="4" t="s">
        <v>49022</v>
      </c>
    </row>
    <row r="2007" spans="1:13">
      <c r="A2007" s="2">
        <v>2476</v>
      </c>
      <c r="B2007" s="2" t="s">
        <v>20339</v>
      </c>
      <c r="C2007" s="2">
        <v>7</v>
      </c>
      <c r="D2007" s="2">
        <v>291</v>
      </c>
      <c r="E2007" s="2">
        <v>154</v>
      </c>
      <c r="F2007" s="2">
        <v>32441</v>
      </c>
      <c r="G2007" s="2">
        <v>5.0673227120000002</v>
      </c>
      <c r="H2007" s="2">
        <v>6.2133299999999995E-4</v>
      </c>
      <c r="I2007" s="2" t="s">
        <v>49023</v>
      </c>
      <c r="J2007" s="2" t="s">
        <v>49024</v>
      </c>
      <c r="K2007" s="2">
        <v>1.6274915000000001E-2</v>
      </c>
      <c r="L2007" s="2" t="s">
        <v>1178</v>
      </c>
      <c r="M2007" s="4" t="s">
        <v>20342</v>
      </c>
    </row>
    <row r="2008" spans="1:13">
      <c r="A2008" s="2">
        <v>4158</v>
      </c>
      <c r="B2008" s="2" t="s">
        <v>49025</v>
      </c>
      <c r="C2008" s="2">
        <v>7</v>
      </c>
      <c r="D2008" s="2">
        <v>291</v>
      </c>
      <c r="E2008" s="2">
        <v>156</v>
      </c>
      <c r="F2008" s="2">
        <v>32441</v>
      </c>
      <c r="G2008" s="2">
        <v>5.0023570360000003</v>
      </c>
      <c r="H2008" s="2">
        <v>6.6843899999999995E-4</v>
      </c>
      <c r="I2008" s="2" t="s">
        <v>49026</v>
      </c>
      <c r="J2008" s="2" t="s">
        <v>49027</v>
      </c>
      <c r="K2008" s="2">
        <v>1.7415152999999999E-2</v>
      </c>
      <c r="L2008" s="2" t="s">
        <v>1178</v>
      </c>
      <c r="M2008" s="4" t="s">
        <v>49028</v>
      </c>
    </row>
    <row r="2009" spans="1:13">
      <c r="A2009" s="2">
        <v>1750</v>
      </c>
      <c r="B2009" s="2" t="s">
        <v>1251</v>
      </c>
      <c r="C2009" s="2">
        <v>7</v>
      </c>
      <c r="D2009" s="2">
        <v>291</v>
      </c>
      <c r="E2009" s="2">
        <v>164</v>
      </c>
      <c r="F2009" s="2">
        <v>32441</v>
      </c>
      <c r="G2009" s="2">
        <v>4.758339619</v>
      </c>
      <c r="H2009" s="2">
        <v>8.8590900000000005E-4</v>
      </c>
      <c r="I2009" s="2" t="s">
        <v>49029</v>
      </c>
      <c r="J2009" s="2" t="s">
        <v>49030</v>
      </c>
      <c r="K2009" s="2">
        <v>2.2958236E-2</v>
      </c>
      <c r="L2009" s="2" t="s">
        <v>1178</v>
      </c>
      <c r="M2009" s="4" t="s">
        <v>49031</v>
      </c>
    </row>
    <row r="2010" spans="1:13">
      <c r="A2010" s="2">
        <v>2739</v>
      </c>
      <c r="B2010" s="2" t="s">
        <v>49032</v>
      </c>
      <c r="C2010" s="2">
        <v>6</v>
      </c>
      <c r="D2010" s="2">
        <v>291</v>
      </c>
      <c r="E2010" s="2">
        <v>123</v>
      </c>
      <c r="F2010" s="2">
        <v>32441</v>
      </c>
      <c r="G2010" s="2">
        <v>5.438102422</v>
      </c>
      <c r="H2010" s="2">
        <v>1.0699360000000001E-3</v>
      </c>
      <c r="I2010" s="2" t="s">
        <v>49033</v>
      </c>
      <c r="J2010" s="2" t="s">
        <v>49034</v>
      </c>
      <c r="K2010" s="2">
        <v>2.7580582999999999E-2</v>
      </c>
      <c r="L2010" s="2" t="s">
        <v>1178</v>
      </c>
      <c r="M2010" s="4" t="s">
        <v>49035</v>
      </c>
    </row>
    <row r="2011" spans="1:13">
      <c r="A2011" s="2">
        <v>2503</v>
      </c>
      <c r="B2011" s="2" t="s">
        <v>40218</v>
      </c>
      <c r="C2011" s="2">
        <v>7</v>
      </c>
      <c r="D2011" s="2">
        <v>291</v>
      </c>
      <c r="E2011" s="2">
        <v>170</v>
      </c>
      <c r="F2011" s="2">
        <v>32441</v>
      </c>
      <c r="G2011" s="2">
        <v>4.5903982210000001</v>
      </c>
      <c r="H2011" s="2">
        <v>1.082895E-3</v>
      </c>
      <c r="I2011" s="2" t="s">
        <v>49036</v>
      </c>
      <c r="J2011" s="2" t="s">
        <v>49037</v>
      </c>
      <c r="K2011" s="2">
        <v>2.7767706E-2</v>
      </c>
      <c r="L2011" s="2" t="s">
        <v>1178</v>
      </c>
      <c r="M2011" s="4" t="s">
        <v>40221</v>
      </c>
    </row>
    <row r="2012" spans="1:13">
      <c r="A2012" s="2">
        <v>2455</v>
      </c>
      <c r="B2012" s="2" t="s">
        <v>12261</v>
      </c>
      <c r="C2012" s="2">
        <v>7</v>
      </c>
      <c r="D2012" s="2">
        <v>291</v>
      </c>
      <c r="E2012" s="2">
        <v>172</v>
      </c>
      <c r="F2012" s="2">
        <v>32441</v>
      </c>
      <c r="G2012" s="2">
        <v>4.5370214979999997</v>
      </c>
      <c r="H2012" s="2">
        <v>1.1556839999999999E-3</v>
      </c>
      <c r="I2012" s="2" t="s">
        <v>49038</v>
      </c>
      <c r="J2012" s="2" t="s">
        <v>49039</v>
      </c>
      <c r="K2012" s="2">
        <v>2.9325484999999998E-2</v>
      </c>
      <c r="L2012" s="2" t="s">
        <v>1178</v>
      </c>
      <c r="M2012" s="4" t="s">
        <v>12264</v>
      </c>
    </row>
    <row r="2013" spans="1:13">
      <c r="A2013" s="2">
        <v>2462</v>
      </c>
      <c r="B2013" s="2" t="s">
        <v>12158</v>
      </c>
      <c r="C2013" s="2">
        <v>7</v>
      </c>
      <c r="D2013" s="2">
        <v>291</v>
      </c>
      <c r="E2013" s="2">
        <v>172</v>
      </c>
      <c r="F2013" s="2">
        <v>32441</v>
      </c>
      <c r="G2013" s="2">
        <v>4.5370214979999997</v>
      </c>
      <c r="H2013" s="2">
        <v>1.1556839999999999E-3</v>
      </c>
      <c r="I2013" s="2" t="s">
        <v>49040</v>
      </c>
      <c r="J2013" s="2" t="s">
        <v>49041</v>
      </c>
      <c r="K2013" s="2">
        <v>2.9325484999999998E-2</v>
      </c>
      <c r="L2013" s="2" t="s">
        <v>1178</v>
      </c>
      <c r="M2013" s="4" t="s">
        <v>12161</v>
      </c>
    </row>
    <row r="2014" spans="1:13">
      <c r="A2014" s="2">
        <v>2667</v>
      </c>
      <c r="B2014" s="2" t="s">
        <v>1797</v>
      </c>
      <c r="C2014" s="2">
        <v>6</v>
      </c>
      <c r="D2014" s="2">
        <v>291</v>
      </c>
      <c r="E2014" s="2">
        <v>127</v>
      </c>
      <c r="F2014" s="2">
        <v>32441</v>
      </c>
      <c r="G2014" s="2">
        <v>5.266823606</v>
      </c>
      <c r="H2014" s="2">
        <v>1.252314E-3</v>
      </c>
      <c r="I2014" s="2" t="s">
        <v>49042</v>
      </c>
      <c r="J2014" s="2" t="s">
        <v>49043</v>
      </c>
      <c r="K2014" s="2">
        <v>3.1612811999999997E-2</v>
      </c>
      <c r="L2014" s="2" t="s">
        <v>1178</v>
      </c>
      <c r="M2014" s="4" t="s">
        <v>21594</v>
      </c>
    </row>
    <row r="2015" spans="1:13">
      <c r="A2015" s="2">
        <v>271</v>
      </c>
      <c r="B2015" s="2" t="s">
        <v>1641</v>
      </c>
      <c r="C2015" s="2">
        <v>7</v>
      </c>
      <c r="D2015" s="2">
        <v>291</v>
      </c>
      <c r="E2015" s="2">
        <v>200</v>
      </c>
      <c r="F2015" s="2">
        <v>32441</v>
      </c>
      <c r="G2015" s="2">
        <v>3.9018384880000001</v>
      </c>
      <c r="H2015" s="2">
        <v>2.6360559999999999E-3</v>
      </c>
      <c r="I2015" s="2" t="s">
        <v>49044</v>
      </c>
      <c r="J2015" s="2" t="s">
        <v>49045</v>
      </c>
      <c r="K2015" s="2">
        <v>3.7662363999999997E-2</v>
      </c>
      <c r="L2015" s="2" t="s">
        <v>1178</v>
      </c>
      <c r="M2015" s="4" t="s">
        <v>49046</v>
      </c>
    </row>
    <row r="2016" spans="1:13">
      <c r="A2016" s="2">
        <v>402</v>
      </c>
      <c r="B2016" s="2" t="s">
        <v>11955</v>
      </c>
      <c r="C2016" s="2">
        <v>7</v>
      </c>
      <c r="D2016" s="2">
        <v>291</v>
      </c>
      <c r="E2016" s="2">
        <v>200</v>
      </c>
      <c r="F2016" s="2">
        <v>32441</v>
      </c>
      <c r="G2016" s="2">
        <v>3.9018384880000001</v>
      </c>
      <c r="H2016" s="2">
        <v>2.6360559999999999E-3</v>
      </c>
      <c r="I2016" s="2" t="s">
        <v>49047</v>
      </c>
      <c r="J2016" s="2" t="s">
        <v>49048</v>
      </c>
      <c r="K2016" s="2">
        <v>3.7662363999999997E-2</v>
      </c>
      <c r="L2016" s="2" t="s">
        <v>1178</v>
      </c>
      <c r="M2016" s="4" t="s">
        <v>11958</v>
      </c>
    </row>
    <row r="2017" spans="1:13">
      <c r="A2017" s="2">
        <v>4810</v>
      </c>
      <c r="B2017" s="2" t="s">
        <v>11971</v>
      </c>
      <c r="C2017" s="2">
        <v>7</v>
      </c>
      <c r="D2017" s="2">
        <v>291</v>
      </c>
      <c r="E2017" s="2">
        <v>200</v>
      </c>
      <c r="F2017" s="2">
        <v>32441</v>
      </c>
      <c r="G2017" s="2">
        <v>3.9018384880000001</v>
      </c>
      <c r="H2017" s="2">
        <v>2.6360559999999999E-3</v>
      </c>
      <c r="I2017" s="2" t="s">
        <v>49049</v>
      </c>
      <c r="J2017" s="2" t="s">
        <v>49050</v>
      </c>
      <c r="K2017" s="2">
        <v>3.7662363999999997E-2</v>
      </c>
      <c r="L2017" s="2" t="s">
        <v>1178</v>
      </c>
      <c r="M2017" s="4" t="s">
        <v>11974</v>
      </c>
    </row>
    <row r="2018" spans="1:13">
      <c r="A2018" s="2">
        <v>941</v>
      </c>
      <c r="B2018" s="2" t="s">
        <v>12998</v>
      </c>
      <c r="C2018" s="2">
        <v>7</v>
      </c>
      <c r="D2018" s="2">
        <v>291</v>
      </c>
      <c r="E2018" s="2">
        <v>200</v>
      </c>
      <c r="F2018" s="2">
        <v>32441</v>
      </c>
      <c r="G2018" s="2">
        <v>3.9018384880000001</v>
      </c>
      <c r="H2018" s="2">
        <v>2.6360559999999999E-3</v>
      </c>
      <c r="I2018" s="2" t="s">
        <v>49051</v>
      </c>
      <c r="J2018" s="2" t="s">
        <v>49052</v>
      </c>
      <c r="K2018" s="2">
        <v>3.7662363999999997E-2</v>
      </c>
      <c r="L2018" s="2" t="s">
        <v>1178</v>
      </c>
      <c r="M2018" s="4" t="s">
        <v>13001</v>
      </c>
    </row>
    <row r="2019" spans="1:13">
      <c r="A2019" s="2">
        <v>1061</v>
      </c>
      <c r="B2019" s="2" t="s">
        <v>31923</v>
      </c>
      <c r="C2019" s="2">
        <v>7</v>
      </c>
      <c r="D2019" s="2">
        <v>291</v>
      </c>
      <c r="E2019" s="2">
        <v>200</v>
      </c>
      <c r="F2019" s="2">
        <v>32441</v>
      </c>
      <c r="G2019" s="2">
        <v>3.9018384880000001</v>
      </c>
      <c r="H2019" s="2">
        <v>2.6360559999999999E-3</v>
      </c>
      <c r="I2019" s="2" t="s">
        <v>49053</v>
      </c>
      <c r="J2019" s="2" t="s">
        <v>49054</v>
      </c>
      <c r="K2019" s="2">
        <v>3.7662363999999997E-2</v>
      </c>
      <c r="L2019" s="2" t="s">
        <v>1178</v>
      </c>
      <c r="M2019" s="4" t="s">
        <v>31926</v>
      </c>
    </row>
    <row r="2020" spans="1:13">
      <c r="A2020" s="2">
        <v>1693</v>
      </c>
      <c r="B2020" s="2" t="s">
        <v>49055</v>
      </c>
      <c r="C2020" s="2">
        <v>7</v>
      </c>
      <c r="D2020" s="2">
        <v>291</v>
      </c>
      <c r="E2020" s="2">
        <v>200</v>
      </c>
      <c r="F2020" s="2">
        <v>32441</v>
      </c>
      <c r="G2020" s="2">
        <v>3.9018384880000001</v>
      </c>
      <c r="H2020" s="2">
        <v>2.6360559999999999E-3</v>
      </c>
      <c r="I2020" s="2" t="s">
        <v>49056</v>
      </c>
      <c r="J2020" s="2" t="s">
        <v>49057</v>
      </c>
      <c r="K2020" s="2">
        <v>3.7662363999999997E-2</v>
      </c>
      <c r="L2020" s="2" t="s">
        <v>1178</v>
      </c>
      <c r="M2020" s="4" t="s">
        <v>49058</v>
      </c>
    </row>
    <row r="2021" spans="1:13">
      <c r="A2021" s="2">
        <v>199</v>
      </c>
      <c r="B2021" s="2" t="s">
        <v>49059</v>
      </c>
      <c r="C2021" s="2">
        <v>7</v>
      </c>
      <c r="D2021" s="2">
        <v>291</v>
      </c>
      <c r="E2021" s="2">
        <v>200</v>
      </c>
      <c r="F2021" s="2">
        <v>32441</v>
      </c>
      <c r="G2021" s="2">
        <v>3.9018384880000001</v>
      </c>
      <c r="H2021" s="2">
        <v>2.6360559999999999E-3</v>
      </c>
      <c r="I2021" s="2" t="s">
        <v>49060</v>
      </c>
      <c r="J2021" s="2" t="s">
        <v>49061</v>
      </c>
      <c r="K2021" s="2">
        <v>3.7662363999999997E-2</v>
      </c>
      <c r="L2021" s="2" t="s">
        <v>1178</v>
      </c>
      <c r="M2021" s="4" t="s">
        <v>49062</v>
      </c>
    </row>
    <row r="2022" spans="1:13">
      <c r="A2022" s="2">
        <v>2771</v>
      </c>
      <c r="B2022" s="2" t="s">
        <v>16952</v>
      </c>
      <c r="C2022" s="2">
        <v>7</v>
      </c>
      <c r="D2022" s="2">
        <v>291</v>
      </c>
      <c r="E2022" s="2">
        <v>200</v>
      </c>
      <c r="F2022" s="2">
        <v>32441</v>
      </c>
      <c r="G2022" s="2">
        <v>3.9018384880000001</v>
      </c>
      <c r="H2022" s="2">
        <v>2.6360559999999999E-3</v>
      </c>
      <c r="I2022" s="2" t="s">
        <v>49063</v>
      </c>
      <c r="J2022" s="2" t="s">
        <v>49064</v>
      </c>
      <c r="K2022" s="2">
        <v>3.7662363999999997E-2</v>
      </c>
      <c r="L2022" s="2" t="s">
        <v>1178</v>
      </c>
      <c r="M2022" s="4" t="s">
        <v>16955</v>
      </c>
    </row>
    <row r="2023" spans="1:13">
      <c r="A2023" s="2">
        <v>3025</v>
      </c>
      <c r="B2023" s="2" t="s">
        <v>12301</v>
      </c>
      <c r="C2023" s="2">
        <v>7</v>
      </c>
      <c r="D2023" s="2">
        <v>291</v>
      </c>
      <c r="E2023" s="2">
        <v>200</v>
      </c>
      <c r="F2023" s="2">
        <v>32441</v>
      </c>
      <c r="G2023" s="2">
        <v>3.9018384880000001</v>
      </c>
      <c r="H2023" s="2">
        <v>2.6360559999999999E-3</v>
      </c>
      <c r="I2023" s="2" t="s">
        <v>49065</v>
      </c>
      <c r="J2023" s="2" t="s">
        <v>49066</v>
      </c>
      <c r="K2023" s="2">
        <v>3.7662363999999997E-2</v>
      </c>
      <c r="L2023" s="2" t="s">
        <v>1178</v>
      </c>
      <c r="M2023" s="4" t="s">
        <v>12304</v>
      </c>
    </row>
    <row r="2024" spans="1:13">
      <c r="A2024" s="2">
        <v>316</v>
      </c>
      <c r="B2024" s="2" t="s">
        <v>2331</v>
      </c>
      <c r="C2024" s="2">
        <v>7</v>
      </c>
      <c r="D2024" s="2">
        <v>291</v>
      </c>
      <c r="E2024" s="2">
        <v>200</v>
      </c>
      <c r="F2024" s="2">
        <v>32441</v>
      </c>
      <c r="G2024" s="2">
        <v>3.9018384880000001</v>
      </c>
      <c r="H2024" s="2">
        <v>2.6360559999999999E-3</v>
      </c>
      <c r="I2024" s="2" t="s">
        <v>49067</v>
      </c>
      <c r="J2024" s="2" t="s">
        <v>49068</v>
      </c>
      <c r="K2024" s="2">
        <v>3.7662363999999997E-2</v>
      </c>
      <c r="L2024" s="2" t="s">
        <v>1178</v>
      </c>
      <c r="M2024" s="4" t="s">
        <v>32640</v>
      </c>
    </row>
    <row r="2025" spans="1:13">
      <c r="A2025" s="2">
        <v>3441</v>
      </c>
      <c r="B2025" s="2" t="s">
        <v>18525</v>
      </c>
      <c r="C2025" s="2">
        <v>7</v>
      </c>
      <c r="D2025" s="2">
        <v>291</v>
      </c>
      <c r="E2025" s="2">
        <v>200</v>
      </c>
      <c r="F2025" s="2">
        <v>32441</v>
      </c>
      <c r="G2025" s="2">
        <v>3.9018384880000001</v>
      </c>
      <c r="H2025" s="2">
        <v>2.6360559999999999E-3</v>
      </c>
      <c r="I2025" s="2" t="s">
        <v>49069</v>
      </c>
      <c r="J2025" s="2" t="s">
        <v>49070</v>
      </c>
      <c r="K2025" s="2">
        <v>3.7662363999999997E-2</v>
      </c>
      <c r="L2025" s="2" t="s">
        <v>1178</v>
      </c>
      <c r="M2025" s="4" t="s">
        <v>18528</v>
      </c>
    </row>
    <row r="2026" spans="1:13">
      <c r="A2026" s="2">
        <v>346</v>
      </c>
      <c r="B2026" s="2" t="s">
        <v>19482</v>
      </c>
      <c r="C2026" s="2">
        <v>7</v>
      </c>
      <c r="D2026" s="2">
        <v>291</v>
      </c>
      <c r="E2026" s="2">
        <v>200</v>
      </c>
      <c r="F2026" s="2">
        <v>32441</v>
      </c>
      <c r="G2026" s="2">
        <v>3.9018384880000001</v>
      </c>
      <c r="H2026" s="2">
        <v>2.6360559999999999E-3</v>
      </c>
      <c r="I2026" s="2" t="s">
        <v>49071</v>
      </c>
      <c r="J2026" s="2" t="s">
        <v>49072</v>
      </c>
      <c r="K2026" s="2">
        <v>3.7662363999999997E-2</v>
      </c>
      <c r="L2026" s="2" t="s">
        <v>1178</v>
      </c>
      <c r="M2026" s="4" t="s">
        <v>19485</v>
      </c>
    </row>
    <row r="2027" spans="1:13">
      <c r="A2027" s="2">
        <v>3912</v>
      </c>
      <c r="B2027" s="2" t="s">
        <v>21741</v>
      </c>
      <c r="C2027" s="2">
        <v>7</v>
      </c>
      <c r="D2027" s="2">
        <v>291</v>
      </c>
      <c r="E2027" s="2">
        <v>200</v>
      </c>
      <c r="F2027" s="2">
        <v>32441</v>
      </c>
      <c r="G2027" s="2">
        <v>3.9018384880000001</v>
      </c>
      <c r="H2027" s="2">
        <v>2.6360559999999999E-3</v>
      </c>
      <c r="I2027" s="2" t="s">
        <v>49073</v>
      </c>
      <c r="J2027" s="2" t="s">
        <v>49074</v>
      </c>
      <c r="K2027" s="2">
        <v>3.7662363999999997E-2</v>
      </c>
      <c r="L2027" s="2" t="s">
        <v>1178</v>
      </c>
      <c r="M2027" s="4" t="s">
        <v>21744</v>
      </c>
    </row>
    <row r="2028" spans="1:13">
      <c r="A2028" s="2">
        <v>4541</v>
      </c>
      <c r="B2028" s="2" t="s">
        <v>49075</v>
      </c>
      <c r="C2028" s="2">
        <v>7</v>
      </c>
      <c r="D2028" s="2">
        <v>291</v>
      </c>
      <c r="E2028" s="2">
        <v>200</v>
      </c>
      <c r="F2028" s="2">
        <v>32441</v>
      </c>
      <c r="G2028" s="2">
        <v>3.9018384880000001</v>
      </c>
      <c r="H2028" s="2">
        <v>2.6360559999999999E-3</v>
      </c>
      <c r="I2028" s="2" t="s">
        <v>49076</v>
      </c>
      <c r="J2028" s="2" t="s">
        <v>49077</v>
      </c>
      <c r="K2028" s="2">
        <v>3.7662363999999997E-2</v>
      </c>
      <c r="L2028" s="2" t="s">
        <v>1178</v>
      </c>
      <c r="M2028" s="4" t="s">
        <v>49078</v>
      </c>
    </row>
    <row r="2029" spans="1:13">
      <c r="A2029" s="2">
        <v>476</v>
      </c>
      <c r="B2029" s="2" t="s">
        <v>22993</v>
      </c>
      <c r="C2029" s="2">
        <v>7</v>
      </c>
      <c r="D2029" s="2">
        <v>291</v>
      </c>
      <c r="E2029" s="2">
        <v>200</v>
      </c>
      <c r="F2029" s="2">
        <v>32441</v>
      </c>
      <c r="G2029" s="2">
        <v>3.9018384880000001</v>
      </c>
      <c r="H2029" s="2">
        <v>2.6360559999999999E-3</v>
      </c>
      <c r="I2029" s="2" t="s">
        <v>49079</v>
      </c>
      <c r="J2029" s="2" t="s">
        <v>49080</v>
      </c>
      <c r="K2029" s="2">
        <v>3.7662363999999997E-2</v>
      </c>
      <c r="L2029" s="2" t="s">
        <v>1178</v>
      </c>
      <c r="M2029" s="4" t="s">
        <v>22996</v>
      </c>
    </row>
    <row r="2030" spans="1:13">
      <c r="A2030" s="2">
        <v>500</v>
      </c>
      <c r="B2030" s="2" t="s">
        <v>18572</v>
      </c>
      <c r="C2030" s="2">
        <v>7</v>
      </c>
      <c r="D2030" s="2">
        <v>291</v>
      </c>
      <c r="E2030" s="2">
        <v>200</v>
      </c>
      <c r="F2030" s="2">
        <v>32441</v>
      </c>
      <c r="G2030" s="2">
        <v>3.9018384880000001</v>
      </c>
      <c r="H2030" s="2">
        <v>2.6360559999999999E-3</v>
      </c>
      <c r="I2030" s="2" t="s">
        <v>49081</v>
      </c>
      <c r="J2030" s="2" t="s">
        <v>49082</v>
      </c>
      <c r="K2030" s="2">
        <v>3.7662363999999997E-2</v>
      </c>
      <c r="L2030" s="2" t="s">
        <v>1178</v>
      </c>
      <c r="M2030" s="4" t="s">
        <v>18575</v>
      </c>
    </row>
    <row r="2031" spans="1:13">
      <c r="A2031" s="2">
        <v>520</v>
      </c>
      <c r="B2031" s="2" t="s">
        <v>49083</v>
      </c>
      <c r="C2031" s="2">
        <v>7</v>
      </c>
      <c r="D2031" s="2">
        <v>291</v>
      </c>
      <c r="E2031" s="2">
        <v>199</v>
      </c>
      <c r="F2031" s="2">
        <v>32441</v>
      </c>
      <c r="G2031" s="2">
        <v>3.9214457170000001</v>
      </c>
      <c r="H2031" s="2">
        <v>2.565959E-3</v>
      </c>
      <c r="I2031" s="2" t="s">
        <v>49084</v>
      </c>
      <c r="J2031" s="2" t="s">
        <v>49085</v>
      </c>
      <c r="K2031" s="2">
        <v>3.7662363999999997E-2</v>
      </c>
      <c r="L2031" s="2" t="s">
        <v>1178</v>
      </c>
      <c r="M2031" s="4" t="s">
        <v>49086</v>
      </c>
    </row>
    <row r="2032" spans="1:13">
      <c r="A2032" s="2">
        <v>5311</v>
      </c>
      <c r="B2032" s="2" t="s">
        <v>18584</v>
      </c>
      <c r="C2032" s="2">
        <v>7</v>
      </c>
      <c r="D2032" s="2">
        <v>291</v>
      </c>
      <c r="E2032" s="2">
        <v>200</v>
      </c>
      <c r="F2032" s="2">
        <v>32441</v>
      </c>
      <c r="G2032" s="2">
        <v>3.9018384880000001</v>
      </c>
      <c r="H2032" s="2">
        <v>2.6360559999999999E-3</v>
      </c>
      <c r="I2032" s="2" t="s">
        <v>49087</v>
      </c>
      <c r="J2032" s="2" t="s">
        <v>49088</v>
      </c>
      <c r="K2032" s="2">
        <v>3.7662363999999997E-2</v>
      </c>
      <c r="L2032" s="2" t="s">
        <v>1178</v>
      </c>
      <c r="M2032" s="4" t="s">
        <v>18587</v>
      </c>
    </row>
    <row r="2033" spans="1:13">
      <c r="A2033" s="2">
        <v>5592</v>
      </c>
      <c r="B2033" s="2" t="s">
        <v>17798</v>
      </c>
      <c r="C2033" s="2">
        <v>7</v>
      </c>
      <c r="D2033" s="2">
        <v>291</v>
      </c>
      <c r="E2033" s="2">
        <v>200</v>
      </c>
      <c r="F2033" s="2">
        <v>32441</v>
      </c>
      <c r="G2033" s="2">
        <v>3.9018384880000001</v>
      </c>
      <c r="H2033" s="2">
        <v>2.6360559999999999E-3</v>
      </c>
      <c r="I2033" s="2" t="s">
        <v>49089</v>
      </c>
      <c r="J2033" s="2" t="s">
        <v>49090</v>
      </c>
      <c r="K2033" s="2">
        <v>3.7662363999999997E-2</v>
      </c>
      <c r="L2033" s="2" t="s">
        <v>1178</v>
      </c>
      <c r="M2033" s="4" t="s">
        <v>17801</v>
      </c>
    </row>
    <row r="2034" spans="1:13">
      <c r="A2034" s="2">
        <v>6482</v>
      </c>
      <c r="B2034" s="2" t="s">
        <v>15682</v>
      </c>
      <c r="C2034" s="2">
        <v>7</v>
      </c>
      <c r="D2034" s="2">
        <v>291</v>
      </c>
      <c r="E2034" s="2">
        <v>200</v>
      </c>
      <c r="F2034" s="2">
        <v>32441</v>
      </c>
      <c r="G2034" s="2">
        <v>3.9018384880000001</v>
      </c>
      <c r="H2034" s="2">
        <v>2.6360559999999999E-3</v>
      </c>
      <c r="I2034" s="2" t="s">
        <v>49091</v>
      </c>
      <c r="J2034" s="2" t="s">
        <v>49092</v>
      </c>
      <c r="K2034" s="2">
        <v>3.7662363999999997E-2</v>
      </c>
      <c r="L2034" s="2" t="s">
        <v>1178</v>
      </c>
      <c r="M2034" s="4" t="s">
        <v>15685</v>
      </c>
    </row>
    <row r="2035" spans="1:13">
      <c r="A2035" s="2">
        <v>671</v>
      </c>
      <c r="B2035" s="2" t="s">
        <v>2370</v>
      </c>
      <c r="C2035" s="2">
        <v>7</v>
      </c>
      <c r="D2035" s="2">
        <v>291</v>
      </c>
      <c r="E2035" s="2">
        <v>200</v>
      </c>
      <c r="F2035" s="2">
        <v>32441</v>
      </c>
      <c r="G2035" s="2">
        <v>3.9018384880000001</v>
      </c>
      <c r="H2035" s="2">
        <v>2.6360559999999999E-3</v>
      </c>
      <c r="I2035" s="2" t="s">
        <v>49093</v>
      </c>
      <c r="J2035" s="2" t="s">
        <v>49094</v>
      </c>
      <c r="K2035" s="2">
        <v>3.7662363999999997E-2</v>
      </c>
      <c r="L2035" s="2" t="s">
        <v>1178</v>
      </c>
      <c r="M2035" s="4" t="s">
        <v>21859</v>
      </c>
    </row>
    <row r="2036" spans="1:13">
      <c r="A2036" s="2">
        <v>6951</v>
      </c>
      <c r="B2036" s="2" t="s">
        <v>2379</v>
      </c>
      <c r="C2036" s="2">
        <v>7</v>
      </c>
      <c r="D2036" s="2">
        <v>291</v>
      </c>
      <c r="E2036" s="2">
        <v>200</v>
      </c>
      <c r="F2036" s="2">
        <v>32441</v>
      </c>
      <c r="G2036" s="2">
        <v>3.9018384880000001</v>
      </c>
      <c r="H2036" s="2">
        <v>2.6360559999999999E-3</v>
      </c>
      <c r="I2036" s="2" t="s">
        <v>49095</v>
      </c>
      <c r="J2036" s="2" t="s">
        <v>49096</v>
      </c>
      <c r="K2036" s="2">
        <v>3.7662363999999997E-2</v>
      </c>
      <c r="L2036" s="2" t="s">
        <v>1178</v>
      </c>
      <c r="M2036" s="4" t="s">
        <v>23095</v>
      </c>
    </row>
    <row r="2037" spans="1:13">
      <c r="A2037" s="2">
        <v>736</v>
      </c>
      <c r="B2037" s="2" t="s">
        <v>33938</v>
      </c>
      <c r="C2037" s="2">
        <v>7</v>
      </c>
      <c r="D2037" s="2">
        <v>291</v>
      </c>
      <c r="E2037" s="2">
        <v>200</v>
      </c>
      <c r="F2037" s="2">
        <v>32441</v>
      </c>
      <c r="G2037" s="2">
        <v>3.9018384880000001</v>
      </c>
      <c r="H2037" s="2">
        <v>2.6360559999999999E-3</v>
      </c>
      <c r="I2037" s="2" t="s">
        <v>49097</v>
      </c>
      <c r="J2037" s="2" t="s">
        <v>49098</v>
      </c>
      <c r="K2037" s="2">
        <v>3.7662363999999997E-2</v>
      </c>
      <c r="L2037" s="2" t="s">
        <v>1178</v>
      </c>
      <c r="M2037" s="4" t="s">
        <v>33941</v>
      </c>
    </row>
    <row r="2038" spans="1:13">
      <c r="A2038" s="2">
        <v>7491</v>
      </c>
      <c r="B2038" s="2" t="s">
        <v>19598</v>
      </c>
      <c r="C2038" s="2">
        <v>7</v>
      </c>
      <c r="D2038" s="2">
        <v>291</v>
      </c>
      <c r="E2038" s="2">
        <v>200</v>
      </c>
      <c r="F2038" s="2">
        <v>32441</v>
      </c>
      <c r="G2038" s="2">
        <v>3.9018384880000001</v>
      </c>
      <c r="H2038" s="2">
        <v>2.6360559999999999E-3</v>
      </c>
      <c r="I2038" s="2" t="s">
        <v>49099</v>
      </c>
      <c r="J2038" s="2" t="s">
        <v>49100</v>
      </c>
      <c r="K2038" s="2">
        <v>3.7662363999999997E-2</v>
      </c>
      <c r="L2038" s="2" t="s">
        <v>1178</v>
      </c>
      <c r="M2038" s="4" t="s">
        <v>19601</v>
      </c>
    </row>
    <row r="2039" spans="1:13">
      <c r="A2039" s="2">
        <v>876</v>
      </c>
      <c r="B2039" s="2" t="s">
        <v>39518</v>
      </c>
      <c r="C2039" s="2">
        <v>7</v>
      </c>
      <c r="D2039" s="2">
        <v>291</v>
      </c>
      <c r="E2039" s="2">
        <v>200</v>
      </c>
      <c r="F2039" s="2">
        <v>32441</v>
      </c>
      <c r="G2039" s="2">
        <v>3.9018384880000001</v>
      </c>
      <c r="H2039" s="2">
        <v>2.6360559999999999E-3</v>
      </c>
      <c r="I2039" s="2" t="s">
        <v>49101</v>
      </c>
      <c r="J2039" s="2" t="s">
        <v>49102</v>
      </c>
      <c r="K2039" s="2">
        <v>3.7662363999999997E-2</v>
      </c>
      <c r="L2039" s="2" t="s">
        <v>1178</v>
      </c>
      <c r="M2039" s="4" t="s">
        <v>39521</v>
      </c>
    </row>
    <row r="2040" spans="1:13">
      <c r="A2040" s="2">
        <v>895</v>
      </c>
      <c r="B2040" s="2" t="s">
        <v>17862</v>
      </c>
      <c r="C2040" s="2">
        <v>7</v>
      </c>
      <c r="D2040" s="2">
        <v>291</v>
      </c>
      <c r="E2040" s="2">
        <v>200</v>
      </c>
      <c r="F2040" s="2">
        <v>32441</v>
      </c>
      <c r="G2040" s="2">
        <v>3.9018384880000001</v>
      </c>
      <c r="H2040" s="2">
        <v>2.6360559999999999E-3</v>
      </c>
      <c r="I2040" s="2" t="s">
        <v>49103</v>
      </c>
      <c r="J2040" s="2" t="s">
        <v>49104</v>
      </c>
      <c r="K2040" s="2">
        <v>3.7662363999999997E-2</v>
      </c>
      <c r="L2040" s="2" t="s">
        <v>1178</v>
      </c>
      <c r="M2040" s="4" t="s">
        <v>17865</v>
      </c>
    </row>
    <row r="2041" spans="1:13">
      <c r="A2041" s="2">
        <v>901</v>
      </c>
      <c r="B2041" s="2" t="s">
        <v>49105</v>
      </c>
      <c r="C2041" s="2">
        <v>7</v>
      </c>
      <c r="D2041" s="2">
        <v>291</v>
      </c>
      <c r="E2041" s="2">
        <v>200</v>
      </c>
      <c r="F2041" s="2">
        <v>32441</v>
      </c>
      <c r="G2041" s="2">
        <v>3.9018384880000001</v>
      </c>
      <c r="H2041" s="2">
        <v>2.6360559999999999E-3</v>
      </c>
      <c r="I2041" s="2" t="s">
        <v>49106</v>
      </c>
      <c r="J2041" s="2" t="s">
        <v>49107</v>
      </c>
      <c r="K2041" s="2">
        <v>3.7662363999999997E-2</v>
      </c>
      <c r="L2041" s="2" t="s">
        <v>1178</v>
      </c>
      <c r="M2041" s="4" t="s">
        <v>49108</v>
      </c>
    </row>
    <row r="2042" spans="1:13">
      <c r="A2042" s="2">
        <v>904</v>
      </c>
      <c r="B2042" s="2" t="s">
        <v>33286</v>
      </c>
      <c r="C2042" s="2">
        <v>7</v>
      </c>
      <c r="D2042" s="2">
        <v>291</v>
      </c>
      <c r="E2042" s="2">
        <v>200</v>
      </c>
      <c r="F2042" s="2">
        <v>32441</v>
      </c>
      <c r="G2042" s="2">
        <v>3.9018384880000001</v>
      </c>
      <c r="H2042" s="2">
        <v>2.6360559999999999E-3</v>
      </c>
      <c r="I2042" s="2" t="s">
        <v>49109</v>
      </c>
      <c r="J2042" s="2" t="s">
        <v>49110</v>
      </c>
      <c r="K2042" s="2">
        <v>3.7662363999999997E-2</v>
      </c>
      <c r="L2042" s="2" t="s">
        <v>1178</v>
      </c>
      <c r="M2042" s="4" t="s">
        <v>33289</v>
      </c>
    </row>
    <row r="2043" spans="1:13">
      <c r="A2043" s="2">
        <v>931</v>
      </c>
      <c r="B2043" s="2" t="s">
        <v>31724</v>
      </c>
      <c r="C2043" s="2">
        <v>7</v>
      </c>
      <c r="D2043" s="2">
        <v>291</v>
      </c>
      <c r="E2043" s="2">
        <v>200</v>
      </c>
      <c r="F2043" s="2">
        <v>32441</v>
      </c>
      <c r="G2043" s="2">
        <v>3.9018384880000001</v>
      </c>
      <c r="H2043" s="2">
        <v>2.6360559999999999E-3</v>
      </c>
      <c r="I2043" s="2" t="s">
        <v>49111</v>
      </c>
      <c r="J2043" s="2" t="s">
        <v>49112</v>
      </c>
      <c r="K2043" s="2">
        <v>3.7662363999999997E-2</v>
      </c>
      <c r="L2043" s="2" t="s">
        <v>1178</v>
      </c>
      <c r="M2043" s="4" t="s">
        <v>31727</v>
      </c>
    </row>
    <row r="2044" spans="1:13">
      <c r="A2044" s="2">
        <v>938</v>
      </c>
      <c r="B2044" s="2" t="s">
        <v>14015</v>
      </c>
      <c r="C2044" s="2">
        <v>7</v>
      </c>
      <c r="D2044" s="2">
        <v>291</v>
      </c>
      <c r="E2044" s="2">
        <v>200</v>
      </c>
      <c r="F2044" s="2">
        <v>32441</v>
      </c>
      <c r="G2044" s="2">
        <v>3.9018384880000001</v>
      </c>
      <c r="H2044" s="2">
        <v>2.6360559999999999E-3</v>
      </c>
      <c r="I2044" s="2" t="s">
        <v>49113</v>
      </c>
      <c r="J2044" s="2" t="s">
        <v>49114</v>
      </c>
      <c r="K2044" s="2">
        <v>3.7662363999999997E-2</v>
      </c>
      <c r="L2044" s="2" t="s">
        <v>1178</v>
      </c>
      <c r="M2044" s="4" t="s">
        <v>14018</v>
      </c>
    </row>
    <row r="2045" spans="1:13">
      <c r="A2045" s="2">
        <v>1001</v>
      </c>
      <c r="B2045" s="2" t="s">
        <v>49115</v>
      </c>
      <c r="C2045" s="2">
        <v>7</v>
      </c>
      <c r="D2045" s="2">
        <v>291</v>
      </c>
      <c r="E2045" s="2">
        <v>200</v>
      </c>
      <c r="F2045" s="2">
        <v>32441</v>
      </c>
      <c r="G2045" s="2">
        <v>3.9018384880000001</v>
      </c>
      <c r="H2045" s="2">
        <v>2.6360559999999999E-3</v>
      </c>
      <c r="I2045" s="2" t="s">
        <v>49116</v>
      </c>
      <c r="J2045" s="2" t="s">
        <v>49117</v>
      </c>
      <c r="K2045" s="2">
        <v>3.7662363999999997E-2</v>
      </c>
      <c r="L2045" s="2" t="s">
        <v>1178</v>
      </c>
      <c r="M2045" s="4" t="s">
        <v>49118</v>
      </c>
    </row>
    <row r="2046" spans="1:13">
      <c r="A2046" s="2">
        <v>10711</v>
      </c>
      <c r="B2046" s="2" t="s">
        <v>17890</v>
      </c>
      <c r="C2046" s="2">
        <v>7</v>
      </c>
      <c r="D2046" s="2">
        <v>291</v>
      </c>
      <c r="E2046" s="2">
        <v>200</v>
      </c>
      <c r="F2046" s="2">
        <v>32441</v>
      </c>
      <c r="G2046" s="2">
        <v>3.9018384880000001</v>
      </c>
      <c r="H2046" s="2">
        <v>2.6360559999999999E-3</v>
      </c>
      <c r="I2046" s="2" t="s">
        <v>49119</v>
      </c>
      <c r="J2046" s="2" t="s">
        <v>49120</v>
      </c>
      <c r="K2046" s="2">
        <v>3.7662363999999997E-2</v>
      </c>
      <c r="L2046" s="2" t="s">
        <v>1178</v>
      </c>
      <c r="M2046" s="4" t="s">
        <v>17893</v>
      </c>
    </row>
    <row r="2047" spans="1:13">
      <c r="A2047" s="2">
        <v>1078</v>
      </c>
      <c r="B2047" s="2" t="s">
        <v>13239</v>
      </c>
      <c r="C2047" s="2">
        <v>7</v>
      </c>
      <c r="D2047" s="2">
        <v>291</v>
      </c>
      <c r="E2047" s="2">
        <v>200</v>
      </c>
      <c r="F2047" s="2">
        <v>32441</v>
      </c>
      <c r="G2047" s="2">
        <v>3.9018384880000001</v>
      </c>
      <c r="H2047" s="2">
        <v>2.6360559999999999E-3</v>
      </c>
      <c r="I2047" s="2" t="s">
        <v>49121</v>
      </c>
      <c r="J2047" s="2" t="s">
        <v>49122</v>
      </c>
      <c r="K2047" s="2">
        <v>3.7662363999999997E-2</v>
      </c>
      <c r="L2047" s="2" t="s">
        <v>1178</v>
      </c>
      <c r="M2047" s="4" t="s">
        <v>13242</v>
      </c>
    </row>
    <row r="2048" spans="1:13">
      <c r="A2048" s="2">
        <v>1108</v>
      </c>
      <c r="B2048" s="2" t="s">
        <v>33304</v>
      </c>
      <c r="C2048" s="2">
        <v>7</v>
      </c>
      <c r="D2048" s="2">
        <v>291</v>
      </c>
      <c r="E2048" s="2">
        <v>200</v>
      </c>
      <c r="F2048" s="2">
        <v>32441</v>
      </c>
      <c r="G2048" s="2">
        <v>3.9018384880000001</v>
      </c>
      <c r="H2048" s="2">
        <v>2.6360559999999999E-3</v>
      </c>
      <c r="I2048" s="2" t="s">
        <v>49123</v>
      </c>
      <c r="J2048" s="2" t="s">
        <v>49124</v>
      </c>
      <c r="K2048" s="2">
        <v>3.7662363999999997E-2</v>
      </c>
      <c r="L2048" s="2" t="s">
        <v>1178</v>
      </c>
      <c r="M2048" s="4" t="s">
        <v>33307</v>
      </c>
    </row>
    <row r="2049" spans="1:13">
      <c r="A2049" s="2">
        <v>1222</v>
      </c>
      <c r="B2049" s="2" t="s">
        <v>41283</v>
      </c>
      <c r="C2049" s="2">
        <v>7</v>
      </c>
      <c r="D2049" s="2">
        <v>291</v>
      </c>
      <c r="E2049" s="2">
        <v>199</v>
      </c>
      <c r="F2049" s="2">
        <v>32441</v>
      </c>
      <c r="G2049" s="2">
        <v>3.9214457170000001</v>
      </c>
      <c r="H2049" s="2">
        <v>2.565959E-3</v>
      </c>
      <c r="I2049" s="2" t="s">
        <v>49125</v>
      </c>
      <c r="J2049" s="2" t="s">
        <v>49126</v>
      </c>
      <c r="K2049" s="2">
        <v>3.7662363999999997E-2</v>
      </c>
      <c r="L2049" s="2" t="s">
        <v>1178</v>
      </c>
      <c r="M2049" s="4" t="s">
        <v>41286</v>
      </c>
    </row>
    <row r="2050" spans="1:13">
      <c r="A2050" s="2">
        <v>1276</v>
      </c>
      <c r="B2050" s="2" t="s">
        <v>15746</v>
      </c>
      <c r="C2050" s="2">
        <v>7</v>
      </c>
      <c r="D2050" s="2">
        <v>291</v>
      </c>
      <c r="E2050" s="2">
        <v>200</v>
      </c>
      <c r="F2050" s="2">
        <v>32441</v>
      </c>
      <c r="G2050" s="2">
        <v>3.9018384880000001</v>
      </c>
      <c r="H2050" s="2">
        <v>2.6360559999999999E-3</v>
      </c>
      <c r="I2050" s="2" t="s">
        <v>49127</v>
      </c>
      <c r="J2050" s="2" t="s">
        <v>49128</v>
      </c>
      <c r="K2050" s="2">
        <v>3.7662363999999997E-2</v>
      </c>
      <c r="L2050" s="2" t="s">
        <v>1178</v>
      </c>
      <c r="M2050" s="4" t="s">
        <v>15749</v>
      </c>
    </row>
    <row r="2051" spans="1:13">
      <c r="A2051" s="2">
        <v>1291</v>
      </c>
      <c r="B2051" s="2" t="s">
        <v>14373</v>
      </c>
      <c r="C2051" s="2">
        <v>7</v>
      </c>
      <c r="D2051" s="2">
        <v>291</v>
      </c>
      <c r="E2051" s="2">
        <v>200</v>
      </c>
      <c r="F2051" s="2">
        <v>32441</v>
      </c>
      <c r="G2051" s="2">
        <v>3.9018384880000001</v>
      </c>
      <c r="H2051" s="2">
        <v>2.6360559999999999E-3</v>
      </c>
      <c r="I2051" s="2" t="s">
        <v>49129</v>
      </c>
      <c r="J2051" s="2" t="s">
        <v>49130</v>
      </c>
      <c r="K2051" s="2">
        <v>3.7662363999999997E-2</v>
      </c>
      <c r="L2051" s="2" t="s">
        <v>1178</v>
      </c>
      <c r="M2051" s="4" t="s">
        <v>14376</v>
      </c>
    </row>
    <row r="2052" spans="1:13">
      <c r="A2052" s="2">
        <v>1325</v>
      </c>
      <c r="B2052" s="2" t="s">
        <v>49131</v>
      </c>
      <c r="C2052" s="2">
        <v>7</v>
      </c>
      <c r="D2052" s="2">
        <v>291</v>
      </c>
      <c r="E2052" s="2">
        <v>200</v>
      </c>
      <c r="F2052" s="2">
        <v>32441</v>
      </c>
      <c r="G2052" s="2">
        <v>3.9018384880000001</v>
      </c>
      <c r="H2052" s="2">
        <v>2.6360559999999999E-3</v>
      </c>
      <c r="I2052" s="2" t="s">
        <v>49132</v>
      </c>
      <c r="J2052" s="2" t="s">
        <v>49133</v>
      </c>
      <c r="K2052" s="2">
        <v>3.7662363999999997E-2</v>
      </c>
      <c r="L2052" s="2" t="s">
        <v>1178</v>
      </c>
      <c r="M2052" s="4" t="s">
        <v>49134</v>
      </c>
    </row>
    <row r="2053" spans="1:13">
      <c r="A2053" s="2">
        <v>1377</v>
      </c>
      <c r="B2053" s="2" t="s">
        <v>13251</v>
      </c>
      <c r="C2053" s="2">
        <v>7</v>
      </c>
      <c r="D2053" s="2">
        <v>291</v>
      </c>
      <c r="E2053" s="2">
        <v>200</v>
      </c>
      <c r="F2053" s="2">
        <v>32441</v>
      </c>
      <c r="G2053" s="2">
        <v>3.9018384880000001</v>
      </c>
      <c r="H2053" s="2">
        <v>2.6360559999999999E-3</v>
      </c>
      <c r="I2053" s="2" t="s">
        <v>49135</v>
      </c>
      <c r="J2053" s="2" t="s">
        <v>49136</v>
      </c>
      <c r="K2053" s="2">
        <v>3.7662363999999997E-2</v>
      </c>
      <c r="L2053" s="2" t="s">
        <v>1178</v>
      </c>
      <c r="M2053" s="4" t="s">
        <v>13254</v>
      </c>
    </row>
    <row r="2054" spans="1:13">
      <c r="A2054" s="2">
        <v>14141</v>
      </c>
      <c r="B2054" s="2" t="s">
        <v>49137</v>
      </c>
      <c r="C2054" s="2">
        <v>7</v>
      </c>
      <c r="D2054" s="2">
        <v>291</v>
      </c>
      <c r="E2054" s="2">
        <v>200</v>
      </c>
      <c r="F2054" s="2">
        <v>32441</v>
      </c>
      <c r="G2054" s="2">
        <v>3.9018384880000001</v>
      </c>
      <c r="H2054" s="2">
        <v>2.6360559999999999E-3</v>
      </c>
      <c r="I2054" s="2" t="s">
        <v>49138</v>
      </c>
      <c r="J2054" s="2" t="s">
        <v>49139</v>
      </c>
      <c r="K2054" s="2">
        <v>3.7662363999999997E-2</v>
      </c>
      <c r="L2054" s="2" t="s">
        <v>1178</v>
      </c>
      <c r="M2054" s="4" t="s">
        <v>49140</v>
      </c>
    </row>
    <row r="2055" spans="1:13">
      <c r="A2055" s="2">
        <v>14161</v>
      </c>
      <c r="B2055" s="2" t="s">
        <v>22006</v>
      </c>
      <c r="C2055" s="2">
        <v>7</v>
      </c>
      <c r="D2055" s="2">
        <v>291</v>
      </c>
      <c r="E2055" s="2">
        <v>200</v>
      </c>
      <c r="F2055" s="2">
        <v>32441</v>
      </c>
      <c r="G2055" s="2">
        <v>3.9018384880000001</v>
      </c>
      <c r="H2055" s="2">
        <v>2.6360559999999999E-3</v>
      </c>
      <c r="I2055" s="2" t="s">
        <v>49141</v>
      </c>
      <c r="J2055" s="2" t="s">
        <v>49142</v>
      </c>
      <c r="K2055" s="2">
        <v>3.7662363999999997E-2</v>
      </c>
      <c r="L2055" s="2" t="s">
        <v>1178</v>
      </c>
      <c r="M2055" s="4" t="s">
        <v>22009</v>
      </c>
    </row>
    <row r="2056" spans="1:13">
      <c r="A2056" s="2">
        <v>1418</v>
      </c>
      <c r="B2056" s="2" t="s">
        <v>13259</v>
      </c>
      <c r="C2056" s="2">
        <v>7</v>
      </c>
      <c r="D2056" s="2">
        <v>291</v>
      </c>
      <c r="E2056" s="2">
        <v>200</v>
      </c>
      <c r="F2056" s="2">
        <v>32441</v>
      </c>
      <c r="G2056" s="2">
        <v>3.9018384880000001</v>
      </c>
      <c r="H2056" s="2">
        <v>2.6360559999999999E-3</v>
      </c>
      <c r="I2056" s="2" t="s">
        <v>49143</v>
      </c>
      <c r="J2056" s="2" t="s">
        <v>49144</v>
      </c>
      <c r="K2056" s="2">
        <v>3.7662363999999997E-2</v>
      </c>
      <c r="L2056" s="2" t="s">
        <v>1178</v>
      </c>
      <c r="M2056" s="4" t="s">
        <v>13262</v>
      </c>
    </row>
    <row r="2057" spans="1:13">
      <c r="A2057" s="2">
        <v>1440</v>
      </c>
      <c r="B2057" s="2" t="s">
        <v>14761</v>
      </c>
      <c r="C2057" s="2">
        <v>7</v>
      </c>
      <c r="D2057" s="2">
        <v>291</v>
      </c>
      <c r="E2057" s="2">
        <v>200</v>
      </c>
      <c r="F2057" s="2">
        <v>32441</v>
      </c>
      <c r="G2057" s="2">
        <v>3.9018384880000001</v>
      </c>
      <c r="H2057" s="2">
        <v>2.6360559999999999E-3</v>
      </c>
      <c r="I2057" s="2" t="s">
        <v>49145</v>
      </c>
      <c r="J2057" s="2" t="s">
        <v>49146</v>
      </c>
      <c r="K2057" s="2">
        <v>3.7662363999999997E-2</v>
      </c>
      <c r="L2057" s="2" t="s">
        <v>1178</v>
      </c>
      <c r="M2057" s="4" t="s">
        <v>14764</v>
      </c>
    </row>
    <row r="2058" spans="1:13">
      <c r="A2058" s="2">
        <v>1444</v>
      </c>
      <c r="B2058" s="2" t="s">
        <v>16459</v>
      </c>
      <c r="C2058" s="2">
        <v>7</v>
      </c>
      <c r="D2058" s="2">
        <v>291</v>
      </c>
      <c r="E2058" s="2">
        <v>200</v>
      </c>
      <c r="F2058" s="2">
        <v>32441</v>
      </c>
      <c r="G2058" s="2">
        <v>3.9018384880000001</v>
      </c>
      <c r="H2058" s="2">
        <v>2.6360559999999999E-3</v>
      </c>
      <c r="I2058" s="2" t="s">
        <v>49147</v>
      </c>
      <c r="J2058" s="2" t="s">
        <v>49148</v>
      </c>
      <c r="K2058" s="2">
        <v>3.7662363999999997E-2</v>
      </c>
      <c r="L2058" s="2" t="s">
        <v>1178</v>
      </c>
      <c r="M2058" s="4" t="s">
        <v>16462</v>
      </c>
    </row>
    <row r="2059" spans="1:13">
      <c r="A2059" s="2">
        <v>1454</v>
      </c>
      <c r="B2059" s="2" t="s">
        <v>15221</v>
      </c>
      <c r="C2059" s="2">
        <v>7</v>
      </c>
      <c r="D2059" s="2">
        <v>291</v>
      </c>
      <c r="E2059" s="2">
        <v>200</v>
      </c>
      <c r="F2059" s="2">
        <v>32441</v>
      </c>
      <c r="G2059" s="2">
        <v>3.9018384880000001</v>
      </c>
      <c r="H2059" s="2">
        <v>2.6360559999999999E-3</v>
      </c>
      <c r="I2059" s="2" t="s">
        <v>49149</v>
      </c>
      <c r="J2059" s="2" t="s">
        <v>49150</v>
      </c>
      <c r="K2059" s="2">
        <v>3.7662363999999997E-2</v>
      </c>
      <c r="L2059" s="2" t="s">
        <v>1178</v>
      </c>
      <c r="M2059" s="4" t="s">
        <v>15224</v>
      </c>
    </row>
    <row r="2060" spans="1:13">
      <c r="A2060" s="2">
        <v>1469</v>
      </c>
      <c r="B2060" s="2" t="s">
        <v>49151</v>
      </c>
      <c r="C2060" s="2">
        <v>7</v>
      </c>
      <c r="D2060" s="2">
        <v>291</v>
      </c>
      <c r="E2060" s="2">
        <v>200</v>
      </c>
      <c r="F2060" s="2">
        <v>32441</v>
      </c>
      <c r="G2060" s="2">
        <v>3.9018384880000001</v>
      </c>
      <c r="H2060" s="2">
        <v>2.6360559999999999E-3</v>
      </c>
      <c r="I2060" s="2" t="s">
        <v>49152</v>
      </c>
      <c r="J2060" s="2" t="s">
        <v>49153</v>
      </c>
      <c r="K2060" s="2">
        <v>3.7662363999999997E-2</v>
      </c>
      <c r="L2060" s="2" t="s">
        <v>1178</v>
      </c>
      <c r="M2060" s="4" t="s">
        <v>49154</v>
      </c>
    </row>
    <row r="2061" spans="1:13">
      <c r="A2061" s="2">
        <v>14701</v>
      </c>
      <c r="B2061" s="2" t="s">
        <v>23374</v>
      </c>
      <c r="C2061" s="2">
        <v>7</v>
      </c>
      <c r="D2061" s="2">
        <v>291</v>
      </c>
      <c r="E2061" s="2">
        <v>200</v>
      </c>
      <c r="F2061" s="2">
        <v>32441</v>
      </c>
      <c r="G2061" s="2">
        <v>3.9018384880000001</v>
      </c>
      <c r="H2061" s="2">
        <v>2.6360559999999999E-3</v>
      </c>
      <c r="I2061" s="2" t="s">
        <v>49155</v>
      </c>
      <c r="J2061" s="2" t="s">
        <v>49156</v>
      </c>
      <c r="K2061" s="2">
        <v>3.7662363999999997E-2</v>
      </c>
      <c r="L2061" s="2" t="s">
        <v>1178</v>
      </c>
      <c r="M2061" s="4" t="s">
        <v>23377</v>
      </c>
    </row>
    <row r="2062" spans="1:13">
      <c r="A2062" s="2">
        <v>1477</v>
      </c>
      <c r="B2062" s="2" t="s">
        <v>19707</v>
      </c>
      <c r="C2062" s="2">
        <v>7</v>
      </c>
      <c r="D2062" s="2">
        <v>291</v>
      </c>
      <c r="E2062" s="2">
        <v>200</v>
      </c>
      <c r="F2062" s="2">
        <v>32441</v>
      </c>
      <c r="G2062" s="2">
        <v>3.9018384880000001</v>
      </c>
      <c r="H2062" s="2">
        <v>2.6360559999999999E-3</v>
      </c>
      <c r="I2062" s="2" t="s">
        <v>49157</v>
      </c>
      <c r="J2062" s="2" t="s">
        <v>49158</v>
      </c>
      <c r="K2062" s="2">
        <v>3.7662363999999997E-2</v>
      </c>
      <c r="L2062" s="2" t="s">
        <v>1178</v>
      </c>
      <c r="M2062" s="4" t="s">
        <v>19710</v>
      </c>
    </row>
    <row r="2063" spans="1:13">
      <c r="A2063" s="2">
        <v>1480</v>
      </c>
      <c r="B2063" s="2" t="s">
        <v>13750</v>
      </c>
      <c r="C2063" s="2">
        <v>7</v>
      </c>
      <c r="D2063" s="2">
        <v>291</v>
      </c>
      <c r="E2063" s="2">
        <v>200</v>
      </c>
      <c r="F2063" s="2">
        <v>32441</v>
      </c>
      <c r="G2063" s="2">
        <v>3.9018384880000001</v>
      </c>
      <c r="H2063" s="2">
        <v>2.6360559999999999E-3</v>
      </c>
      <c r="I2063" s="2" t="s">
        <v>49159</v>
      </c>
      <c r="J2063" s="2" t="s">
        <v>49160</v>
      </c>
      <c r="K2063" s="2">
        <v>3.7662363999999997E-2</v>
      </c>
      <c r="L2063" s="2" t="s">
        <v>1178</v>
      </c>
      <c r="M2063" s="4" t="s">
        <v>13753</v>
      </c>
    </row>
    <row r="2064" spans="1:13">
      <c r="A2064" s="2">
        <v>1502</v>
      </c>
      <c r="B2064" s="2" t="s">
        <v>17167</v>
      </c>
      <c r="C2064" s="2">
        <v>7</v>
      </c>
      <c r="D2064" s="2">
        <v>291</v>
      </c>
      <c r="E2064" s="2">
        <v>200</v>
      </c>
      <c r="F2064" s="2">
        <v>32441</v>
      </c>
      <c r="G2064" s="2">
        <v>3.9018384880000001</v>
      </c>
      <c r="H2064" s="2">
        <v>2.6360559999999999E-3</v>
      </c>
      <c r="I2064" s="2" t="s">
        <v>49161</v>
      </c>
      <c r="J2064" s="2" t="s">
        <v>49162</v>
      </c>
      <c r="K2064" s="2">
        <v>3.7662363999999997E-2</v>
      </c>
      <c r="L2064" s="2" t="s">
        <v>1178</v>
      </c>
      <c r="M2064" s="4" t="s">
        <v>17170</v>
      </c>
    </row>
    <row r="2065" spans="1:13">
      <c r="A2065" s="2">
        <v>1529</v>
      </c>
      <c r="B2065" s="2" t="s">
        <v>2151</v>
      </c>
      <c r="C2065" s="2">
        <v>7</v>
      </c>
      <c r="D2065" s="2">
        <v>291</v>
      </c>
      <c r="E2065" s="2">
        <v>200</v>
      </c>
      <c r="F2065" s="2">
        <v>32441</v>
      </c>
      <c r="G2065" s="2">
        <v>3.9018384880000001</v>
      </c>
      <c r="H2065" s="2">
        <v>2.6360559999999999E-3</v>
      </c>
      <c r="I2065" s="2" t="s">
        <v>49163</v>
      </c>
      <c r="J2065" s="2" t="s">
        <v>49164</v>
      </c>
      <c r="K2065" s="2">
        <v>3.7662363999999997E-2</v>
      </c>
      <c r="L2065" s="2" t="s">
        <v>1178</v>
      </c>
      <c r="M2065" s="4" t="s">
        <v>40884</v>
      </c>
    </row>
    <row r="2066" spans="1:13">
      <c r="A2066" s="2">
        <v>15301</v>
      </c>
      <c r="B2066" s="2" t="s">
        <v>49165</v>
      </c>
      <c r="C2066" s="2">
        <v>7</v>
      </c>
      <c r="D2066" s="2">
        <v>291</v>
      </c>
      <c r="E2066" s="2">
        <v>200</v>
      </c>
      <c r="F2066" s="2">
        <v>32441</v>
      </c>
      <c r="G2066" s="2">
        <v>3.9018384880000001</v>
      </c>
      <c r="H2066" s="2">
        <v>2.6360559999999999E-3</v>
      </c>
      <c r="I2066" s="2" t="s">
        <v>49166</v>
      </c>
      <c r="J2066" s="2" t="s">
        <v>49167</v>
      </c>
      <c r="K2066" s="2">
        <v>3.7662363999999997E-2</v>
      </c>
      <c r="L2066" s="2" t="s">
        <v>1178</v>
      </c>
      <c r="M2066" s="4" t="s">
        <v>49168</v>
      </c>
    </row>
    <row r="2067" spans="1:13">
      <c r="A2067" s="2">
        <v>15351</v>
      </c>
      <c r="B2067" s="2" t="s">
        <v>40723</v>
      </c>
      <c r="C2067" s="2">
        <v>7</v>
      </c>
      <c r="D2067" s="2">
        <v>291</v>
      </c>
      <c r="E2067" s="2">
        <v>200</v>
      </c>
      <c r="F2067" s="2">
        <v>32441</v>
      </c>
      <c r="G2067" s="2">
        <v>3.9018384880000001</v>
      </c>
      <c r="H2067" s="2">
        <v>2.6360559999999999E-3</v>
      </c>
      <c r="I2067" s="2" t="s">
        <v>49169</v>
      </c>
      <c r="J2067" s="2" t="s">
        <v>49170</v>
      </c>
      <c r="K2067" s="2">
        <v>3.7662363999999997E-2</v>
      </c>
      <c r="L2067" s="2" t="s">
        <v>1178</v>
      </c>
      <c r="M2067" s="4" t="s">
        <v>40726</v>
      </c>
    </row>
    <row r="2068" spans="1:13">
      <c r="A2068" s="2">
        <v>1572</v>
      </c>
      <c r="B2068" s="2" t="s">
        <v>15236</v>
      </c>
      <c r="C2068" s="2">
        <v>7</v>
      </c>
      <c r="D2068" s="2">
        <v>291</v>
      </c>
      <c r="E2068" s="2">
        <v>200</v>
      </c>
      <c r="F2068" s="2">
        <v>32441</v>
      </c>
      <c r="G2068" s="2">
        <v>3.9018384880000001</v>
      </c>
      <c r="H2068" s="2">
        <v>2.6360559999999999E-3</v>
      </c>
      <c r="I2068" s="2" t="s">
        <v>49171</v>
      </c>
      <c r="J2068" s="2" t="s">
        <v>49172</v>
      </c>
      <c r="K2068" s="2">
        <v>3.7662363999999997E-2</v>
      </c>
      <c r="L2068" s="2" t="s">
        <v>1178</v>
      </c>
      <c r="M2068" s="4" t="s">
        <v>15239</v>
      </c>
    </row>
    <row r="2069" spans="1:13">
      <c r="A2069" s="2">
        <v>1716</v>
      </c>
      <c r="B2069" s="2" t="s">
        <v>16493</v>
      </c>
      <c r="C2069" s="2">
        <v>7</v>
      </c>
      <c r="D2069" s="2">
        <v>291</v>
      </c>
      <c r="E2069" s="2">
        <v>200</v>
      </c>
      <c r="F2069" s="2">
        <v>32441</v>
      </c>
      <c r="G2069" s="2">
        <v>3.9018384880000001</v>
      </c>
      <c r="H2069" s="2">
        <v>2.6360559999999999E-3</v>
      </c>
      <c r="I2069" s="2" t="s">
        <v>49173</v>
      </c>
      <c r="J2069" s="2" t="s">
        <v>49174</v>
      </c>
      <c r="K2069" s="2">
        <v>3.7662363999999997E-2</v>
      </c>
      <c r="L2069" s="2" t="s">
        <v>1178</v>
      </c>
      <c r="M2069" s="4" t="s">
        <v>16496</v>
      </c>
    </row>
    <row r="2070" spans="1:13">
      <c r="A2070" s="2">
        <v>1796</v>
      </c>
      <c r="B2070" s="2" t="s">
        <v>23453</v>
      </c>
      <c r="C2070" s="2">
        <v>7</v>
      </c>
      <c r="D2070" s="2">
        <v>291</v>
      </c>
      <c r="E2070" s="2">
        <v>200</v>
      </c>
      <c r="F2070" s="2">
        <v>32441</v>
      </c>
      <c r="G2070" s="2">
        <v>3.9018384880000001</v>
      </c>
      <c r="H2070" s="2">
        <v>2.6360559999999999E-3</v>
      </c>
      <c r="I2070" s="2" t="s">
        <v>49175</v>
      </c>
      <c r="J2070" s="2" t="s">
        <v>49176</v>
      </c>
      <c r="K2070" s="2">
        <v>3.7662363999999997E-2</v>
      </c>
      <c r="L2070" s="2" t="s">
        <v>1178</v>
      </c>
      <c r="M2070" s="4" t="s">
        <v>23456</v>
      </c>
    </row>
    <row r="2071" spans="1:13">
      <c r="A2071" s="2">
        <v>1862</v>
      </c>
      <c r="B2071" s="2" t="s">
        <v>22112</v>
      </c>
      <c r="C2071" s="2">
        <v>7</v>
      </c>
      <c r="D2071" s="2">
        <v>291</v>
      </c>
      <c r="E2071" s="2">
        <v>200</v>
      </c>
      <c r="F2071" s="2">
        <v>32441</v>
      </c>
      <c r="G2071" s="2">
        <v>3.9018384880000001</v>
      </c>
      <c r="H2071" s="2">
        <v>2.6360559999999999E-3</v>
      </c>
      <c r="I2071" s="2" t="s">
        <v>49177</v>
      </c>
      <c r="J2071" s="2" t="s">
        <v>49178</v>
      </c>
      <c r="K2071" s="2">
        <v>3.7662363999999997E-2</v>
      </c>
      <c r="L2071" s="2" t="s">
        <v>1178</v>
      </c>
      <c r="M2071" s="4" t="s">
        <v>22115</v>
      </c>
    </row>
    <row r="2072" spans="1:13">
      <c r="A2072" s="2">
        <v>1974</v>
      </c>
      <c r="B2072" s="2" t="s">
        <v>2514</v>
      </c>
      <c r="C2072" s="2">
        <v>7</v>
      </c>
      <c r="D2072" s="2">
        <v>291</v>
      </c>
      <c r="E2072" s="2">
        <v>199</v>
      </c>
      <c r="F2072" s="2">
        <v>32441</v>
      </c>
      <c r="G2072" s="2">
        <v>3.9214457170000001</v>
      </c>
      <c r="H2072" s="2">
        <v>2.565959E-3</v>
      </c>
      <c r="I2072" s="2" t="s">
        <v>49179</v>
      </c>
      <c r="J2072" s="2" t="s">
        <v>49180</v>
      </c>
      <c r="K2072" s="2">
        <v>3.7662363999999997E-2</v>
      </c>
      <c r="L2072" s="2" t="s">
        <v>1178</v>
      </c>
      <c r="M2072" s="4" t="s">
        <v>23511</v>
      </c>
    </row>
    <row r="2073" spans="1:13">
      <c r="A2073" s="2">
        <v>20471</v>
      </c>
      <c r="B2073" s="2" t="s">
        <v>41197</v>
      </c>
      <c r="C2073" s="2">
        <v>7</v>
      </c>
      <c r="D2073" s="2">
        <v>291</v>
      </c>
      <c r="E2073" s="2">
        <v>197</v>
      </c>
      <c r="F2073" s="2">
        <v>32441</v>
      </c>
      <c r="G2073" s="2">
        <v>3.9612573480000002</v>
      </c>
      <c r="H2073" s="2">
        <v>2.4300709999999998E-3</v>
      </c>
      <c r="I2073" s="2" t="s">
        <v>49181</v>
      </c>
      <c r="J2073" s="2" t="s">
        <v>49182</v>
      </c>
      <c r="K2073" s="2">
        <v>3.7662363999999997E-2</v>
      </c>
      <c r="L2073" s="2" t="s">
        <v>1178</v>
      </c>
      <c r="M2073" s="4" t="s">
        <v>41200</v>
      </c>
    </row>
    <row r="2074" spans="1:13">
      <c r="A2074" s="2">
        <v>2083</v>
      </c>
      <c r="B2074" s="2" t="s">
        <v>33451</v>
      </c>
      <c r="C2074" s="2">
        <v>7</v>
      </c>
      <c r="D2074" s="2">
        <v>291</v>
      </c>
      <c r="E2074" s="2">
        <v>200</v>
      </c>
      <c r="F2074" s="2">
        <v>32441</v>
      </c>
      <c r="G2074" s="2">
        <v>3.9018384880000001</v>
      </c>
      <c r="H2074" s="2">
        <v>2.6360559999999999E-3</v>
      </c>
      <c r="I2074" s="2" t="s">
        <v>49183</v>
      </c>
      <c r="J2074" s="2" t="s">
        <v>49184</v>
      </c>
      <c r="K2074" s="2">
        <v>3.7662363999999997E-2</v>
      </c>
      <c r="L2074" s="2" t="s">
        <v>1178</v>
      </c>
      <c r="M2074" s="4" t="s">
        <v>33454</v>
      </c>
    </row>
    <row r="2075" spans="1:13">
      <c r="A2075" s="2">
        <v>2093</v>
      </c>
      <c r="B2075" s="2" t="s">
        <v>22814</v>
      </c>
      <c r="C2075" s="2">
        <v>7</v>
      </c>
      <c r="D2075" s="2">
        <v>291</v>
      </c>
      <c r="E2075" s="2">
        <v>191</v>
      </c>
      <c r="F2075" s="2">
        <v>32441</v>
      </c>
      <c r="G2075" s="2">
        <v>4.0856947520000002</v>
      </c>
      <c r="H2075" s="2">
        <v>2.0554480000000001E-3</v>
      </c>
      <c r="I2075" s="2" t="s">
        <v>49185</v>
      </c>
      <c r="J2075" s="2" t="s">
        <v>49186</v>
      </c>
      <c r="K2075" s="2">
        <v>3.7662363999999997E-2</v>
      </c>
      <c r="L2075" s="2" t="s">
        <v>1178</v>
      </c>
      <c r="M2075" s="4" t="s">
        <v>22817</v>
      </c>
    </row>
    <row r="2076" spans="1:13">
      <c r="A2076" s="2">
        <v>2138</v>
      </c>
      <c r="B2076" s="2" t="s">
        <v>15859</v>
      </c>
      <c r="C2076" s="2">
        <v>7</v>
      </c>
      <c r="D2076" s="2">
        <v>291</v>
      </c>
      <c r="E2076" s="2">
        <v>200</v>
      </c>
      <c r="F2076" s="2">
        <v>32441</v>
      </c>
      <c r="G2076" s="2">
        <v>3.9018384880000001</v>
      </c>
      <c r="H2076" s="2">
        <v>2.6360559999999999E-3</v>
      </c>
      <c r="I2076" s="2" t="s">
        <v>49187</v>
      </c>
      <c r="J2076" s="2" t="s">
        <v>49188</v>
      </c>
      <c r="K2076" s="2">
        <v>3.7662363999999997E-2</v>
      </c>
      <c r="L2076" s="2" t="s">
        <v>1178</v>
      </c>
      <c r="M2076" s="4" t="s">
        <v>15862</v>
      </c>
    </row>
    <row r="2077" spans="1:13">
      <c r="A2077" s="2">
        <v>2140</v>
      </c>
      <c r="B2077" s="2" t="s">
        <v>49189</v>
      </c>
      <c r="C2077" s="2">
        <v>7</v>
      </c>
      <c r="D2077" s="2">
        <v>291</v>
      </c>
      <c r="E2077" s="2">
        <v>200</v>
      </c>
      <c r="F2077" s="2">
        <v>32441</v>
      </c>
      <c r="G2077" s="2">
        <v>3.9018384880000001</v>
      </c>
      <c r="H2077" s="2">
        <v>2.6360559999999999E-3</v>
      </c>
      <c r="I2077" s="2" t="s">
        <v>49190</v>
      </c>
      <c r="J2077" s="2" t="s">
        <v>49191</v>
      </c>
      <c r="K2077" s="2">
        <v>3.7662363999999997E-2</v>
      </c>
      <c r="L2077" s="2" t="s">
        <v>1178</v>
      </c>
      <c r="M2077" s="4" t="s">
        <v>49192</v>
      </c>
    </row>
    <row r="2078" spans="1:13">
      <c r="A2078" s="2">
        <v>22091</v>
      </c>
      <c r="B2078" s="2" t="s">
        <v>49193</v>
      </c>
      <c r="C2078" s="2">
        <v>7</v>
      </c>
      <c r="D2078" s="2">
        <v>291</v>
      </c>
      <c r="E2078" s="2">
        <v>199</v>
      </c>
      <c r="F2078" s="2">
        <v>32441</v>
      </c>
      <c r="G2078" s="2">
        <v>3.9214457170000001</v>
      </c>
      <c r="H2078" s="2">
        <v>2.565959E-3</v>
      </c>
      <c r="I2078" s="2" t="s">
        <v>49194</v>
      </c>
      <c r="J2078" s="2" t="s">
        <v>49195</v>
      </c>
      <c r="K2078" s="2">
        <v>3.7662363999999997E-2</v>
      </c>
      <c r="L2078" s="2" t="s">
        <v>1178</v>
      </c>
      <c r="M2078" s="4" t="s">
        <v>49196</v>
      </c>
    </row>
    <row r="2079" spans="1:13">
      <c r="A2079" s="2">
        <v>22161</v>
      </c>
      <c r="B2079" s="2" t="s">
        <v>49197</v>
      </c>
      <c r="C2079" s="2">
        <v>7</v>
      </c>
      <c r="D2079" s="2">
        <v>291</v>
      </c>
      <c r="E2079" s="2">
        <v>199</v>
      </c>
      <c r="F2079" s="2">
        <v>32441</v>
      </c>
      <c r="G2079" s="2">
        <v>3.9214457170000001</v>
      </c>
      <c r="H2079" s="2">
        <v>2.565959E-3</v>
      </c>
      <c r="I2079" s="2" t="s">
        <v>49198</v>
      </c>
      <c r="J2079" s="2" t="s">
        <v>49199</v>
      </c>
      <c r="K2079" s="2">
        <v>3.7662363999999997E-2</v>
      </c>
      <c r="L2079" s="2" t="s">
        <v>1178</v>
      </c>
      <c r="M2079" s="4" t="s">
        <v>49200</v>
      </c>
    </row>
    <row r="2080" spans="1:13">
      <c r="A2080" s="2">
        <v>22421</v>
      </c>
      <c r="B2080" s="2" t="s">
        <v>17293</v>
      </c>
      <c r="C2080" s="2">
        <v>7</v>
      </c>
      <c r="D2080" s="2">
        <v>291</v>
      </c>
      <c r="E2080" s="2">
        <v>200</v>
      </c>
      <c r="F2080" s="2">
        <v>32441</v>
      </c>
      <c r="G2080" s="2">
        <v>3.9018384880000001</v>
      </c>
      <c r="H2080" s="2">
        <v>2.6360559999999999E-3</v>
      </c>
      <c r="I2080" s="2" t="s">
        <v>49201</v>
      </c>
      <c r="J2080" s="2" t="s">
        <v>49202</v>
      </c>
      <c r="K2080" s="2">
        <v>3.7662363999999997E-2</v>
      </c>
      <c r="L2080" s="2" t="s">
        <v>1178</v>
      </c>
      <c r="M2080" s="4" t="s">
        <v>17296</v>
      </c>
    </row>
    <row r="2081" spans="1:13">
      <c r="A2081" s="2">
        <v>2259</v>
      </c>
      <c r="B2081" s="2" t="s">
        <v>16563</v>
      </c>
      <c r="C2081" s="2">
        <v>7</v>
      </c>
      <c r="D2081" s="2">
        <v>291</v>
      </c>
      <c r="E2081" s="2">
        <v>200</v>
      </c>
      <c r="F2081" s="2">
        <v>32441</v>
      </c>
      <c r="G2081" s="2">
        <v>3.9018384880000001</v>
      </c>
      <c r="H2081" s="2">
        <v>2.6360559999999999E-3</v>
      </c>
      <c r="I2081" s="2" t="s">
        <v>49203</v>
      </c>
      <c r="J2081" s="2" t="s">
        <v>49204</v>
      </c>
      <c r="K2081" s="2">
        <v>3.7662363999999997E-2</v>
      </c>
      <c r="L2081" s="2" t="s">
        <v>1178</v>
      </c>
      <c r="M2081" s="4" t="s">
        <v>16566</v>
      </c>
    </row>
    <row r="2082" spans="1:13">
      <c r="A2082" s="2">
        <v>2302</v>
      </c>
      <c r="B2082" s="2" t="s">
        <v>22227</v>
      </c>
      <c r="C2082" s="2">
        <v>7</v>
      </c>
      <c r="D2082" s="2">
        <v>291</v>
      </c>
      <c r="E2082" s="2">
        <v>200</v>
      </c>
      <c r="F2082" s="2">
        <v>32441</v>
      </c>
      <c r="G2082" s="2">
        <v>3.9018384880000001</v>
      </c>
      <c r="H2082" s="2">
        <v>2.6360559999999999E-3</v>
      </c>
      <c r="I2082" s="2" t="s">
        <v>49205</v>
      </c>
      <c r="J2082" s="2" t="s">
        <v>49206</v>
      </c>
      <c r="K2082" s="2">
        <v>3.7662363999999997E-2</v>
      </c>
      <c r="L2082" s="2" t="s">
        <v>1178</v>
      </c>
      <c r="M2082" s="4" t="s">
        <v>22230</v>
      </c>
    </row>
    <row r="2083" spans="1:13">
      <c r="A2083" s="2">
        <v>23121</v>
      </c>
      <c r="B2083" s="2" t="s">
        <v>49207</v>
      </c>
      <c r="C2083" s="2">
        <v>7</v>
      </c>
      <c r="D2083" s="2">
        <v>291</v>
      </c>
      <c r="E2083" s="2">
        <v>200</v>
      </c>
      <c r="F2083" s="2">
        <v>32441</v>
      </c>
      <c r="G2083" s="2">
        <v>3.9018384880000001</v>
      </c>
      <c r="H2083" s="2">
        <v>2.6360559999999999E-3</v>
      </c>
      <c r="I2083" s="2" t="s">
        <v>49208</v>
      </c>
      <c r="J2083" s="2" t="s">
        <v>49209</v>
      </c>
      <c r="K2083" s="2">
        <v>3.7662363999999997E-2</v>
      </c>
      <c r="L2083" s="2" t="s">
        <v>1178</v>
      </c>
      <c r="M2083" s="4" t="s">
        <v>49210</v>
      </c>
    </row>
    <row r="2084" spans="1:13">
      <c r="A2084" s="2">
        <v>2326</v>
      </c>
      <c r="B2084" s="2" t="s">
        <v>18067</v>
      </c>
      <c r="C2084" s="2">
        <v>7</v>
      </c>
      <c r="D2084" s="2">
        <v>291</v>
      </c>
      <c r="E2084" s="2">
        <v>199</v>
      </c>
      <c r="F2084" s="2">
        <v>32441</v>
      </c>
      <c r="G2084" s="2">
        <v>3.9214457170000001</v>
      </c>
      <c r="H2084" s="2">
        <v>2.565959E-3</v>
      </c>
      <c r="I2084" s="2" t="s">
        <v>49211</v>
      </c>
      <c r="J2084" s="2" t="s">
        <v>49212</v>
      </c>
      <c r="K2084" s="2">
        <v>3.7662363999999997E-2</v>
      </c>
      <c r="L2084" s="2" t="s">
        <v>1178</v>
      </c>
      <c r="M2084" s="4" t="s">
        <v>18070</v>
      </c>
    </row>
    <row r="2085" spans="1:13">
      <c r="A2085" s="2">
        <v>2346</v>
      </c>
      <c r="B2085" s="2" t="s">
        <v>23611</v>
      </c>
      <c r="C2085" s="2">
        <v>7</v>
      </c>
      <c r="D2085" s="2">
        <v>291</v>
      </c>
      <c r="E2085" s="2">
        <v>196</v>
      </c>
      <c r="F2085" s="2">
        <v>32441</v>
      </c>
      <c r="G2085" s="2">
        <v>3.9814678450000001</v>
      </c>
      <c r="H2085" s="2">
        <v>2.364241E-3</v>
      </c>
      <c r="I2085" s="2" t="s">
        <v>49213</v>
      </c>
      <c r="J2085" s="2" t="s">
        <v>49214</v>
      </c>
      <c r="K2085" s="2">
        <v>3.7662363999999997E-2</v>
      </c>
      <c r="L2085" s="2" t="s">
        <v>1178</v>
      </c>
      <c r="M2085" s="4" t="s">
        <v>23614</v>
      </c>
    </row>
    <row r="2086" spans="1:13">
      <c r="A2086" s="2">
        <v>2348</v>
      </c>
      <c r="B2086" s="2" t="s">
        <v>23615</v>
      </c>
      <c r="C2086" s="2">
        <v>7</v>
      </c>
      <c r="D2086" s="2">
        <v>291</v>
      </c>
      <c r="E2086" s="2">
        <v>196</v>
      </c>
      <c r="F2086" s="2">
        <v>32441</v>
      </c>
      <c r="G2086" s="2">
        <v>3.9814678450000001</v>
      </c>
      <c r="H2086" s="2">
        <v>2.364241E-3</v>
      </c>
      <c r="I2086" s="2" t="s">
        <v>49215</v>
      </c>
      <c r="J2086" s="2" t="s">
        <v>49216</v>
      </c>
      <c r="K2086" s="2">
        <v>3.7662363999999997E-2</v>
      </c>
      <c r="L2086" s="2" t="s">
        <v>1178</v>
      </c>
      <c r="M2086" s="4" t="s">
        <v>23618</v>
      </c>
    </row>
    <row r="2087" spans="1:13">
      <c r="A2087" s="2">
        <v>23591</v>
      </c>
      <c r="B2087" s="2" t="s">
        <v>14128</v>
      </c>
      <c r="C2087" s="2">
        <v>7</v>
      </c>
      <c r="D2087" s="2">
        <v>291</v>
      </c>
      <c r="E2087" s="2">
        <v>200</v>
      </c>
      <c r="F2087" s="2">
        <v>32441</v>
      </c>
      <c r="G2087" s="2">
        <v>3.9018384880000001</v>
      </c>
      <c r="H2087" s="2">
        <v>2.6360559999999999E-3</v>
      </c>
      <c r="I2087" s="2" t="s">
        <v>49217</v>
      </c>
      <c r="J2087" s="2" t="s">
        <v>49218</v>
      </c>
      <c r="K2087" s="2">
        <v>3.7662363999999997E-2</v>
      </c>
      <c r="L2087" s="2" t="s">
        <v>1178</v>
      </c>
      <c r="M2087" s="4" t="s">
        <v>14131</v>
      </c>
    </row>
    <row r="2088" spans="1:13">
      <c r="A2088" s="2">
        <v>2393</v>
      </c>
      <c r="B2088" s="2" t="s">
        <v>49219</v>
      </c>
      <c r="C2088" s="2">
        <v>7</v>
      </c>
      <c r="D2088" s="2">
        <v>291</v>
      </c>
      <c r="E2088" s="2">
        <v>199</v>
      </c>
      <c r="F2088" s="2">
        <v>32441</v>
      </c>
      <c r="G2088" s="2">
        <v>3.9214457170000001</v>
      </c>
      <c r="H2088" s="2">
        <v>2.565959E-3</v>
      </c>
      <c r="I2088" s="2" t="s">
        <v>49220</v>
      </c>
      <c r="J2088" s="2" t="s">
        <v>49221</v>
      </c>
      <c r="K2088" s="2">
        <v>3.7662363999999997E-2</v>
      </c>
      <c r="L2088" s="2" t="s">
        <v>1178</v>
      </c>
      <c r="M2088" s="4" t="s">
        <v>49222</v>
      </c>
    </row>
    <row r="2089" spans="1:13">
      <c r="A2089" s="2">
        <v>2465</v>
      </c>
      <c r="B2089" s="2" t="s">
        <v>21512</v>
      </c>
      <c r="C2089" s="2">
        <v>6</v>
      </c>
      <c r="D2089" s="2">
        <v>291</v>
      </c>
      <c r="E2089" s="2">
        <v>147</v>
      </c>
      <c r="F2089" s="2">
        <v>32441</v>
      </c>
      <c r="G2089" s="2">
        <v>4.5502489659999998</v>
      </c>
      <c r="H2089" s="2">
        <v>2.5442400000000001E-3</v>
      </c>
      <c r="I2089" s="2" t="s">
        <v>49223</v>
      </c>
      <c r="J2089" s="2" t="s">
        <v>49224</v>
      </c>
      <c r="K2089" s="2">
        <v>3.7662363999999997E-2</v>
      </c>
      <c r="L2089" s="2" t="s">
        <v>1178</v>
      </c>
      <c r="M2089" s="4" t="s">
        <v>21515</v>
      </c>
    </row>
    <row r="2090" spans="1:13">
      <c r="A2090" s="2">
        <v>2489</v>
      </c>
      <c r="B2090" s="2" t="s">
        <v>15357</v>
      </c>
      <c r="C2090" s="2">
        <v>7</v>
      </c>
      <c r="D2090" s="2">
        <v>291</v>
      </c>
      <c r="E2090" s="2">
        <v>200</v>
      </c>
      <c r="F2090" s="2">
        <v>32441</v>
      </c>
      <c r="G2090" s="2">
        <v>3.9018384880000001</v>
      </c>
      <c r="H2090" s="2">
        <v>2.6360559999999999E-3</v>
      </c>
      <c r="I2090" s="2" t="s">
        <v>49225</v>
      </c>
      <c r="J2090" s="2" t="s">
        <v>49226</v>
      </c>
      <c r="K2090" s="2">
        <v>3.7662363999999997E-2</v>
      </c>
      <c r="L2090" s="2" t="s">
        <v>1178</v>
      </c>
      <c r="M2090" s="4" t="s">
        <v>15360</v>
      </c>
    </row>
    <row r="2091" spans="1:13">
      <c r="A2091" s="2">
        <v>2555</v>
      </c>
      <c r="B2091" s="2" t="s">
        <v>14852</v>
      </c>
      <c r="C2091" s="2">
        <v>7</v>
      </c>
      <c r="D2091" s="2">
        <v>291</v>
      </c>
      <c r="E2091" s="2">
        <v>200</v>
      </c>
      <c r="F2091" s="2">
        <v>32441</v>
      </c>
      <c r="G2091" s="2">
        <v>3.9018384880000001</v>
      </c>
      <c r="H2091" s="2">
        <v>2.6360559999999999E-3</v>
      </c>
      <c r="I2091" s="2" t="s">
        <v>49227</v>
      </c>
      <c r="J2091" s="2" t="s">
        <v>49228</v>
      </c>
      <c r="K2091" s="2">
        <v>3.7662363999999997E-2</v>
      </c>
      <c r="L2091" s="2" t="s">
        <v>1178</v>
      </c>
      <c r="M2091" s="4" t="s">
        <v>14855</v>
      </c>
    </row>
    <row r="2092" spans="1:13">
      <c r="A2092" s="2">
        <v>2596</v>
      </c>
      <c r="B2092" s="2" t="s">
        <v>2574</v>
      </c>
      <c r="C2092" s="2">
        <v>7</v>
      </c>
      <c r="D2092" s="2">
        <v>291</v>
      </c>
      <c r="E2092" s="2">
        <v>200</v>
      </c>
      <c r="F2092" s="2">
        <v>32441</v>
      </c>
      <c r="G2092" s="2">
        <v>3.9018384880000001</v>
      </c>
      <c r="H2092" s="2">
        <v>2.6360559999999999E-3</v>
      </c>
      <c r="I2092" s="2" t="s">
        <v>49229</v>
      </c>
      <c r="J2092" s="2" t="s">
        <v>49230</v>
      </c>
      <c r="K2092" s="2">
        <v>3.7662363999999997E-2</v>
      </c>
      <c r="L2092" s="2" t="s">
        <v>1178</v>
      </c>
      <c r="M2092" s="4" t="s">
        <v>39837</v>
      </c>
    </row>
    <row r="2093" spans="1:13">
      <c r="A2093" s="2">
        <v>2599</v>
      </c>
      <c r="B2093" s="2" t="s">
        <v>49231</v>
      </c>
      <c r="C2093" s="2">
        <v>7</v>
      </c>
      <c r="D2093" s="2">
        <v>291</v>
      </c>
      <c r="E2093" s="2">
        <v>199</v>
      </c>
      <c r="F2093" s="2">
        <v>32441</v>
      </c>
      <c r="G2093" s="2">
        <v>3.9214457170000001</v>
      </c>
      <c r="H2093" s="2">
        <v>2.565959E-3</v>
      </c>
      <c r="I2093" s="2" t="s">
        <v>49232</v>
      </c>
      <c r="J2093" s="2" t="s">
        <v>49233</v>
      </c>
      <c r="K2093" s="2">
        <v>3.7662363999999997E-2</v>
      </c>
      <c r="L2093" s="2" t="s">
        <v>1178</v>
      </c>
      <c r="M2093" s="4" t="s">
        <v>49234</v>
      </c>
    </row>
    <row r="2094" spans="1:13">
      <c r="A2094" s="2">
        <v>26111</v>
      </c>
      <c r="B2094" s="2" t="s">
        <v>40624</v>
      </c>
      <c r="C2094" s="2">
        <v>7</v>
      </c>
      <c r="D2094" s="2">
        <v>291</v>
      </c>
      <c r="E2094" s="2">
        <v>200</v>
      </c>
      <c r="F2094" s="2">
        <v>32441</v>
      </c>
      <c r="G2094" s="2">
        <v>3.9018384880000001</v>
      </c>
      <c r="H2094" s="2">
        <v>2.6360559999999999E-3</v>
      </c>
      <c r="I2094" s="2" t="s">
        <v>49235</v>
      </c>
      <c r="J2094" s="2" t="s">
        <v>49236</v>
      </c>
      <c r="K2094" s="2">
        <v>3.7662363999999997E-2</v>
      </c>
      <c r="L2094" s="2" t="s">
        <v>1178</v>
      </c>
      <c r="M2094" s="4" t="s">
        <v>40627</v>
      </c>
    </row>
    <row r="2095" spans="1:13">
      <c r="A2095" s="2">
        <v>2674</v>
      </c>
      <c r="B2095" s="2" t="s">
        <v>22278</v>
      </c>
      <c r="C2095" s="2">
        <v>7</v>
      </c>
      <c r="D2095" s="2">
        <v>291</v>
      </c>
      <c r="E2095" s="2">
        <v>200</v>
      </c>
      <c r="F2095" s="2">
        <v>32441</v>
      </c>
      <c r="G2095" s="2">
        <v>3.9018384880000001</v>
      </c>
      <c r="H2095" s="2">
        <v>2.6360559999999999E-3</v>
      </c>
      <c r="I2095" s="2" t="s">
        <v>49237</v>
      </c>
      <c r="J2095" s="2" t="s">
        <v>49238</v>
      </c>
      <c r="K2095" s="2">
        <v>3.7662363999999997E-2</v>
      </c>
      <c r="L2095" s="2" t="s">
        <v>1178</v>
      </c>
      <c r="M2095" s="4" t="s">
        <v>22281</v>
      </c>
    </row>
    <row r="2096" spans="1:13">
      <c r="A2096" s="2">
        <v>2706</v>
      </c>
      <c r="B2096" s="2" t="s">
        <v>49239</v>
      </c>
      <c r="C2096" s="2">
        <v>6</v>
      </c>
      <c r="D2096" s="2">
        <v>291</v>
      </c>
      <c r="E2096" s="2">
        <v>140</v>
      </c>
      <c r="F2096" s="2">
        <v>32441</v>
      </c>
      <c r="G2096" s="2">
        <v>4.7777614140000004</v>
      </c>
      <c r="H2096" s="2">
        <v>2.0124600000000002E-3</v>
      </c>
      <c r="I2096" s="2" t="s">
        <v>49240</v>
      </c>
      <c r="J2096" s="2" t="s">
        <v>49241</v>
      </c>
      <c r="K2096" s="2">
        <v>3.7662363999999997E-2</v>
      </c>
      <c r="L2096" s="2" t="s">
        <v>1178</v>
      </c>
      <c r="M2096" s="4" t="s">
        <v>49242</v>
      </c>
    </row>
    <row r="2097" spans="1:13">
      <c r="A2097" s="2">
        <v>2709</v>
      </c>
      <c r="B2097" s="2" t="s">
        <v>24131</v>
      </c>
      <c r="C2097" s="2">
        <v>6</v>
      </c>
      <c r="D2097" s="2">
        <v>291</v>
      </c>
      <c r="E2097" s="2">
        <v>134</v>
      </c>
      <c r="F2097" s="2">
        <v>32441</v>
      </c>
      <c r="G2097" s="2">
        <v>4.9916910290000001</v>
      </c>
      <c r="H2097" s="2">
        <v>1.627592E-3</v>
      </c>
      <c r="I2097" s="2" t="s">
        <v>49243</v>
      </c>
      <c r="J2097" s="2" t="s">
        <v>49244</v>
      </c>
      <c r="K2097" s="2">
        <v>3.7662363999999997E-2</v>
      </c>
      <c r="L2097" s="2" t="s">
        <v>1178</v>
      </c>
      <c r="M2097" s="4" t="s">
        <v>24134</v>
      </c>
    </row>
    <row r="2098" spans="1:13">
      <c r="A2098" s="2">
        <v>2730</v>
      </c>
      <c r="B2098" s="2" t="s">
        <v>40746</v>
      </c>
      <c r="C2098" s="2">
        <v>6</v>
      </c>
      <c r="D2098" s="2">
        <v>291</v>
      </c>
      <c r="E2098" s="2">
        <v>132</v>
      </c>
      <c r="F2098" s="2">
        <v>32441</v>
      </c>
      <c r="G2098" s="2">
        <v>5.0673227120000002</v>
      </c>
      <c r="H2098" s="2">
        <v>1.512656E-3</v>
      </c>
      <c r="I2098" s="2" t="s">
        <v>49245</v>
      </c>
      <c r="J2098" s="2" t="s">
        <v>49246</v>
      </c>
      <c r="K2098" s="2">
        <v>3.7662363999999997E-2</v>
      </c>
      <c r="L2098" s="2" t="s">
        <v>1178</v>
      </c>
      <c r="M2098" s="4" t="s">
        <v>40749</v>
      </c>
    </row>
    <row r="2099" spans="1:13">
      <c r="A2099" s="2">
        <v>28731</v>
      </c>
      <c r="B2099" s="2" t="s">
        <v>18121</v>
      </c>
      <c r="C2099" s="2">
        <v>7</v>
      </c>
      <c r="D2099" s="2">
        <v>291</v>
      </c>
      <c r="E2099" s="2">
        <v>200</v>
      </c>
      <c r="F2099" s="2">
        <v>32441</v>
      </c>
      <c r="G2099" s="2">
        <v>3.9018384880000001</v>
      </c>
      <c r="H2099" s="2">
        <v>2.6360559999999999E-3</v>
      </c>
      <c r="I2099" s="2" t="s">
        <v>49247</v>
      </c>
      <c r="J2099" s="2" t="s">
        <v>49248</v>
      </c>
      <c r="K2099" s="2">
        <v>3.7662363999999997E-2</v>
      </c>
      <c r="L2099" s="2" t="s">
        <v>1178</v>
      </c>
      <c r="M2099" s="4" t="s">
        <v>18124</v>
      </c>
    </row>
    <row r="2100" spans="1:13">
      <c r="A2100" s="2">
        <v>2899</v>
      </c>
      <c r="B2100" s="2" t="s">
        <v>49249</v>
      </c>
      <c r="C2100" s="2">
        <v>7</v>
      </c>
      <c r="D2100" s="2">
        <v>291</v>
      </c>
      <c r="E2100" s="2">
        <v>195</v>
      </c>
      <c r="F2100" s="2">
        <v>32441</v>
      </c>
      <c r="G2100" s="2">
        <v>4.0018856290000002</v>
      </c>
      <c r="H2100" s="2">
        <v>2.299794E-3</v>
      </c>
      <c r="I2100" s="2" t="s">
        <v>49250</v>
      </c>
      <c r="J2100" s="2" t="s">
        <v>49251</v>
      </c>
      <c r="K2100" s="2">
        <v>3.7662363999999997E-2</v>
      </c>
      <c r="L2100" s="2" t="s">
        <v>1178</v>
      </c>
      <c r="M2100" s="4" t="s">
        <v>49252</v>
      </c>
    </row>
    <row r="2101" spans="1:13">
      <c r="A2101" s="2">
        <v>2964</v>
      </c>
      <c r="B2101" s="2" t="s">
        <v>14477</v>
      </c>
      <c r="C2101" s="2">
        <v>7</v>
      </c>
      <c r="D2101" s="2">
        <v>291</v>
      </c>
      <c r="E2101" s="2">
        <v>200</v>
      </c>
      <c r="F2101" s="2">
        <v>32441</v>
      </c>
      <c r="G2101" s="2">
        <v>3.9018384880000001</v>
      </c>
      <c r="H2101" s="2">
        <v>2.6360559999999999E-3</v>
      </c>
      <c r="I2101" s="2" t="s">
        <v>49253</v>
      </c>
      <c r="J2101" s="2" t="s">
        <v>49254</v>
      </c>
      <c r="K2101" s="2">
        <v>3.7662363999999997E-2</v>
      </c>
      <c r="L2101" s="2" t="s">
        <v>1178</v>
      </c>
      <c r="M2101" s="4" t="s">
        <v>14480</v>
      </c>
    </row>
    <row r="2102" spans="1:13">
      <c r="A2102" s="2">
        <v>29651</v>
      </c>
      <c r="B2102" s="2" t="s">
        <v>49255</v>
      </c>
      <c r="C2102" s="2">
        <v>7</v>
      </c>
      <c r="D2102" s="2">
        <v>291</v>
      </c>
      <c r="E2102" s="2">
        <v>194</v>
      </c>
      <c r="F2102" s="2">
        <v>32441</v>
      </c>
      <c r="G2102" s="2">
        <v>4.0225139050000003</v>
      </c>
      <c r="H2102" s="2">
        <v>2.2367110000000002E-3</v>
      </c>
      <c r="I2102" s="2" t="s">
        <v>49256</v>
      </c>
      <c r="J2102" s="2" t="s">
        <v>49257</v>
      </c>
      <c r="K2102" s="2">
        <v>3.7662363999999997E-2</v>
      </c>
      <c r="L2102" s="2" t="s">
        <v>1178</v>
      </c>
      <c r="M2102" s="4" t="s">
        <v>49258</v>
      </c>
    </row>
    <row r="2103" spans="1:13">
      <c r="A2103" s="2">
        <v>29721</v>
      </c>
      <c r="B2103" s="2" t="s">
        <v>14481</v>
      </c>
      <c r="C2103" s="2">
        <v>7</v>
      </c>
      <c r="D2103" s="2">
        <v>291</v>
      </c>
      <c r="E2103" s="2">
        <v>200</v>
      </c>
      <c r="F2103" s="2">
        <v>32441</v>
      </c>
      <c r="G2103" s="2">
        <v>3.9018384880000001</v>
      </c>
      <c r="H2103" s="2">
        <v>2.6360559999999999E-3</v>
      </c>
      <c r="I2103" s="2" t="s">
        <v>49259</v>
      </c>
      <c r="J2103" s="2" t="s">
        <v>49260</v>
      </c>
      <c r="K2103" s="2">
        <v>3.7662363999999997E-2</v>
      </c>
      <c r="L2103" s="2" t="s">
        <v>1178</v>
      </c>
      <c r="M2103" s="4" t="s">
        <v>14484</v>
      </c>
    </row>
    <row r="2104" spans="1:13">
      <c r="A2104" s="2">
        <v>2979</v>
      </c>
      <c r="B2104" s="2" t="s">
        <v>49261</v>
      </c>
      <c r="C2104" s="2">
        <v>7</v>
      </c>
      <c r="D2104" s="2">
        <v>291</v>
      </c>
      <c r="E2104" s="2">
        <v>198</v>
      </c>
      <c r="F2104" s="2">
        <v>32441</v>
      </c>
      <c r="G2104" s="2">
        <v>3.9412509980000001</v>
      </c>
      <c r="H2104" s="2">
        <v>2.4973040000000001E-3</v>
      </c>
      <c r="I2104" s="2" t="s">
        <v>49262</v>
      </c>
      <c r="J2104" s="2" t="s">
        <v>49263</v>
      </c>
      <c r="K2104" s="2">
        <v>3.7662363999999997E-2</v>
      </c>
      <c r="L2104" s="2" t="s">
        <v>1178</v>
      </c>
      <c r="M2104" s="4" t="s">
        <v>49264</v>
      </c>
    </row>
    <row r="2105" spans="1:13">
      <c r="A2105" s="2">
        <v>2990</v>
      </c>
      <c r="B2105" s="2" t="s">
        <v>21139</v>
      </c>
      <c r="C2105" s="2">
        <v>7</v>
      </c>
      <c r="D2105" s="2">
        <v>291</v>
      </c>
      <c r="E2105" s="2">
        <v>200</v>
      </c>
      <c r="F2105" s="2">
        <v>32441</v>
      </c>
      <c r="G2105" s="2">
        <v>3.9018384880000001</v>
      </c>
      <c r="H2105" s="2">
        <v>2.6360559999999999E-3</v>
      </c>
      <c r="I2105" s="2" t="s">
        <v>49265</v>
      </c>
      <c r="J2105" s="2" t="s">
        <v>49266</v>
      </c>
      <c r="K2105" s="2">
        <v>3.7662363999999997E-2</v>
      </c>
      <c r="L2105" s="2" t="s">
        <v>1178</v>
      </c>
      <c r="M2105" s="4" t="s">
        <v>21142</v>
      </c>
    </row>
    <row r="2106" spans="1:13">
      <c r="A2106" s="2">
        <v>2999</v>
      </c>
      <c r="B2106" s="2" t="s">
        <v>2223</v>
      </c>
      <c r="C2106" s="2">
        <v>7</v>
      </c>
      <c r="D2106" s="2">
        <v>291</v>
      </c>
      <c r="E2106" s="2">
        <v>200</v>
      </c>
      <c r="F2106" s="2">
        <v>32441</v>
      </c>
      <c r="G2106" s="2">
        <v>3.9018384880000001</v>
      </c>
      <c r="H2106" s="2">
        <v>2.6360559999999999E-3</v>
      </c>
      <c r="I2106" s="2" t="s">
        <v>49267</v>
      </c>
      <c r="J2106" s="2" t="s">
        <v>49268</v>
      </c>
      <c r="K2106" s="2">
        <v>3.7662363999999997E-2</v>
      </c>
      <c r="L2106" s="2" t="s">
        <v>1178</v>
      </c>
      <c r="M2106" s="4" t="s">
        <v>49269</v>
      </c>
    </row>
    <row r="2107" spans="1:13">
      <c r="A2107" s="2">
        <v>3041</v>
      </c>
      <c r="B2107" s="2" t="s">
        <v>49270</v>
      </c>
      <c r="C2107" s="2">
        <v>7</v>
      </c>
      <c r="D2107" s="2">
        <v>291</v>
      </c>
      <c r="E2107" s="2">
        <v>200</v>
      </c>
      <c r="F2107" s="2">
        <v>32441</v>
      </c>
      <c r="G2107" s="2">
        <v>3.9018384880000001</v>
      </c>
      <c r="H2107" s="2">
        <v>2.6360559999999999E-3</v>
      </c>
      <c r="I2107" s="2" t="s">
        <v>49271</v>
      </c>
      <c r="J2107" s="2" t="s">
        <v>49272</v>
      </c>
      <c r="K2107" s="2">
        <v>3.7662363999999997E-2</v>
      </c>
      <c r="L2107" s="2" t="s">
        <v>1178</v>
      </c>
      <c r="M2107" s="4" t="s">
        <v>49273</v>
      </c>
    </row>
    <row r="2108" spans="1:13">
      <c r="A2108" s="2">
        <v>3150</v>
      </c>
      <c r="B2108" s="2" t="s">
        <v>49274</v>
      </c>
      <c r="C2108" s="2">
        <v>7</v>
      </c>
      <c r="D2108" s="2">
        <v>291</v>
      </c>
      <c r="E2108" s="2">
        <v>200</v>
      </c>
      <c r="F2108" s="2">
        <v>32441</v>
      </c>
      <c r="G2108" s="2">
        <v>3.9018384880000001</v>
      </c>
      <c r="H2108" s="2">
        <v>2.6360559999999999E-3</v>
      </c>
      <c r="I2108" s="2" t="s">
        <v>49275</v>
      </c>
      <c r="J2108" s="2" t="s">
        <v>49276</v>
      </c>
      <c r="K2108" s="2">
        <v>3.7662363999999997E-2</v>
      </c>
      <c r="L2108" s="2" t="s">
        <v>1178</v>
      </c>
      <c r="M2108" s="4" t="s">
        <v>49277</v>
      </c>
    </row>
    <row r="2109" spans="1:13">
      <c r="A2109" s="2">
        <v>3159</v>
      </c>
      <c r="B2109" s="2" t="s">
        <v>15980</v>
      </c>
      <c r="C2109" s="2">
        <v>7</v>
      </c>
      <c r="D2109" s="2">
        <v>291</v>
      </c>
      <c r="E2109" s="2">
        <v>200</v>
      </c>
      <c r="F2109" s="2">
        <v>32441</v>
      </c>
      <c r="G2109" s="2">
        <v>3.9018384880000001</v>
      </c>
      <c r="H2109" s="2">
        <v>2.6360559999999999E-3</v>
      </c>
      <c r="I2109" s="2" t="s">
        <v>49278</v>
      </c>
      <c r="J2109" s="2" t="s">
        <v>49279</v>
      </c>
      <c r="K2109" s="2">
        <v>3.7662363999999997E-2</v>
      </c>
      <c r="L2109" s="2" t="s">
        <v>1178</v>
      </c>
      <c r="M2109" s="4" t="s">
        <v>15983</v>
      </c>
    </row>
    <row r="2110" spans="1:13">
      <c r="A2110" s="2">
        <v>31862</v>
      </c>
      <c r="B2110" s="2" t="s">
        <v>49280</v>
      </c>
      <c r="C2110" s="2">
        <v>7</v>
      </c>
      <c r="D2110" s="2">
        <v>291</v>
      </c>
      <c r="E2110" s="2">
        <v>200</v>
      </c>
      <c r="F2110" s="2">
        <v>32441</v>
      </c>
      <c r="G2110" s="2">
        <v>3.9018384880000001</v>
      </c>
      <c r="H2110" s="2">
        <v>2.6360559999999999E-3</v>
      </c>
      <c r="I2110" s="2" t="s">
        <v>49281</v>
      </c>
      <c r="J2110" s="2" t="s">
        <v>49282</v>
      </c>
      <c r="K2110" s="2">
        <v>3.7662363999999997E-2</v>
      </c>
      <c r="L2110" s="2" t="s">
        <v>1178</v>
      </c>
      <c r="M2110" s="4" t="s">
        <v>49283</v>
      </c>
    </row>
    <row r="2111" spans="1:13">
      <c r="A2111" s="2">
        <v>3215</v>
      </c>
      <c r="B2111" s="2" t="s">
        <v>49284</v>
      </c>
      <c r="C2111" s="2">
        <v>7</v>
      </c>
      <c r="D2111" s="2">
        <v>291</v>
      </c>
      <c r="E2111" s="2">
        <v>195</v>
      </c>
      <c r="F2111" s="2">
        <v>32441</v>
      </c>
      <c r="G2111" s="2">
        <v>4.0018856290000002</v>
      </c>
      <c r="H2111" s="2">
        <v>2.299794E-3</v>
      </c>
      <c r="I2111" s="2" t="s">
        <v>49285</v>
      </c>
      <c r="J2111" s="2" t="s">
        <v>49286</v>
      </c>
      <c r="K2111" s="2">
        <v>3.7662363999999997E-2</v>
      </c>
      <c r="L2111" s="2" t="s">
        <v>1178</v>
      </c>
      <c r="M2111" s="4" t="s">
        <v>49287</v>
      </c>
    </row>
    <row r="2112" spans="1:13">
      <c r="A2112" s="2">
        <v>32572</v>
      </c>
      <c r="B2112" s="2" t="s">
        <v>12828</v>
      </c>
      <c r="C2112" s="2">
        <v>7</v>
      </c>
      <c r="D2112" s="2">
        <v>291</v>
      </c>
      <c r="E2112" s="2">
        <v>200</v>
      </c>
      <c r="F2112" s="2">
        <v>32441</v>
      </c>
      <c r="G2112" s="2">
        <v>3.9018384880000001</v>
      </c>
      <c r="H2112" s="2">
        <v>2.6360559999999999E-3</v>
      </c>
      <c r="I2112" s="2" t="s">
        <v>49288</v>
      </c>
      <c r="J2112" s="2" t="s">
        <v>49289</v>
      </c>
      <c r="K2112" s="2">
        <v>3.7662363999999997E-2</v>
      </c>
      <c r="L2112" s="2" t="s">
        <v>1178</v>
      </c>
      <c r="M2112" s="4" t="s">
        <v>12831</v>
      </c>
    </row>
    <row r="2113" spans="1:13">
      <c r="A2113" s="2">
        <v>3332</v>
      </c>
      <c r="B2113" s="2" t="s">
        <v>12723</v>
      </c>
      <c r="C2113" s="2">
        <v>7</v>
      </c>
      <c r="D2113" s="2">
        <v>291</v>
      </c>
      <c r="E2113" s="2">
        <v>200</v>
      </c>
      <c r="F2113" s="2">
        <v>32441</v>
      </c>
      <c r="G2113" s="2">
        <v>3.9018384880000001</v>
      </c>
      <c r="H2113" s="2">
        <v>2.6360559999999999E-3</v>
      </c>
      <c r="I2113" s="2" t="s">
        <v>49290</v>
      </c>
      <c r="J2113" s="2" t="s">
        <v>49291</v>
      </c>
      <c r="K2113" s="2">
        <v>3.7662363999999997E-2</v>
      </c>
      <c r="L2113" s="2" t="s">
        <v>1178</v>
      </c>
      <c r="M2113" s="4" t="s">
        <v>12726</v>
      </c>
    </row>
    <row r="2114" spans="1:13">
      <c r="A2114" s="2">
        <v>3424</v>
      </c>
      <c r="B2114" s="2" t="s">
        <v>33002</v>
      </c>
      <c r="C2114" s="2">
        <v>7</v>
      </c>
      <c r="D2114" s="2">
        <v>291</v>
      </c>
      <c r="E2114" s="2">
        <v>200</v>
      </c>
      <c r="F2114" s="2">
        <v>32441</v>
      </c>
      <c r="G2114" s="2">
        <v>3.9018384880000001</v>
      </c>
      <c r="H2114" s="2">
        <v>2.6360559999999999E-3</v>
      </c>
      <c r="I2114" s="2" t="s">
        <v>49292</v>
      </c>
      <c r="J2114" s="2" t="s">
        <v>49293</v>
      </c>
      <c r="K2114" s="2">
        <v>3.7662363999999997E-2</v>
      </c>
      <c r="L2114" s="2" t="s">
        <v>1178</v>
      </c>
      <c r="M2114" s="4" t="s">
        <v>33005</v>
      </c>
    </row>
    <row r="2115" spans="1:13">
      <c r="A2115" s="2">
        <v>3432</v>
      </c>
      <c r="B2115" s="2" t="s">
        <v>19053</v>
      </c>
      <c r="C2115" s="2">
        <v>7</v>
      </c>
      <c r="D2115" s="2">
        <v>291</v>
      </c>
      <c r="E2115" s="2">
        <v>199</v>
      </c>
      <c r="F2115" s="2">
        <v>32441</v>
      </c>
      <c r="G2115" s="2">
        <v>3.9214457170000001</v>
      </c>
      <c r="H2115" s="2">
        <v>2.565959E-3</v>
      </c>
      <c r="I2115" s="2" t="s">
        <v>49294</v>
      </c>
      <c r="J2115" s="2" t="s">
        <v>49295</v>
      </c>
      <c r="K2115" s="2">
        <v>3.7662363999999997E-2</v>
      </c>
      <c r="L2115" s="2" t="s">
        <v>1178</v>
      </c>
      <c r="M2115" s="4" t="s">
        <v>19056</v>
      </c>
    </row>
    <row r="2116" spans="1:13">
      <c r="A2116" s="2">
        <v>34761</v>
      </c>
      <c r="B2116" s="2" t="s">
        <v>49296</v>
      </c>
      <c r="C2116" s="2">
        <v>7</v>
      </c>
      <c r="D2116" s="2">
        <v>291</v>
      </c>
      <c r="E2116" s="2">
        <v>200</v>
      </c>
      <c r="F2116" s="2">
        <v>32441</v>
      </c>
      <c r="G2116" s="2">
        <v>3.9018384880000001</v>
      </c>
      <c r="H2116" s="2">
        <v>2.6360559999999999E-3</v>
      </c>
      <c r="I2116" s="2" t="s">
        <v>49297</v>
      </c>
      <c r="J2116" s="2" t="s">
        <v>49298</v>
      </c>
      <c r="K2116" s="2">
        <v>3.7662363999999997E-2</v>
      </c>
      <c r="L2116" s="2" t="s">
        <v>1178</v>
      </c>
      <c r="M2116" s="4" t="s">
        <v>49299</v>
      </c>
    </row>
    <row r="2117" spans="1:13">
      <c r="A2117" s="2">
        <v>3494</v>
      </c>
      <c r="B2117" s="2" t="s">
        <v>49300</v>
      </c>
      <c r="C2117" s="2">
        <v>7</v>
      </c>
      <c r="D2117" s="2">
        <v>291</v>
      </c>
      <c r="E2117" s="2">
        <v>197</v>
      </c>
      <c r="F2117" s="2">
        <v>32441</v>
      </c>
      <c r="G2117" s="2">
        <v>3.9612573480000002</v>
      </c>
      <c r="H2117" s="2">
        <v>2.4300709999999998E-3</v>
      </c>
      <c r="I2117" s="2" t="s">
        <v>49301</v>
      </c>
      <c r="J2117" s="2" t="s">
        <v>49302</v>
      </c>
      <c r="K2117" s="2">
        <v>3.7662363999999997E-2</v>
      </c>
      <c r="L2117" s="2" t="s">
        <v>1178</v>
      </c>
      <c r="M2117" s="4" t="s">
        <v>49303</v>
      </c>
    </row>
    <row r="2118" spans="1:13">
      <c r="A2118" s="2">
        <v>3542</v>
      </c>
      <c r="B2118" s="2" t="s">
        <v>13112</v>
      </c>
      <c r="C2118" s="2">
        <v>7</v>
      </c>
      <c r="D2118" s="2">
        <v>291</v>
      </c>
      <c r="E2118" s="2">
        <v>199</v>
      </c>
      <c r="F2118" s="2">
        <v>32441</v>
      </c>
      <c r="G2118" s="2">
        <v>3.9214457170000001</v>
      </c>
      <c r="H2118" s="2">
        <v>2.565959E-3</v>
      </c>
      <c r="I2118" s="2" t="s">
        <v>49304</v>
      </c>
      <c r="J2118" s="2" t="s">
        <v>49305</v>
      </c>
      <c r="K2118" s="2">
        <v>3.7662363999999997E-2</v>
      </c>
      <c r="L2118" s="2" t="s">
        <v>1178</v>
      </c>
      <c r="M2118" s="4" t="s">
        <v>13115</v>
      </c>
    </row>
    <row r="2119" spans="1:13">
      <c r="A2119" s="2">
        <v>3548</v>
      </c>
      <c r="B2119" s="2" t="s">
        <v>49306</v>
      </c>
      <c r="C2119" s="2">
        <v>7</v>
      </c>
      <c r="D2119" s="2">
        <v>291</v>
      </c>
      <c r="E2119" s="2">
        <v>200</v>
      </c>
      <c r="F2119" s="2">
        <v>32441</v>
      </c>
      <c r="G2119" s="2">
        <v>3.9018384880000001</v>
      </c>
      <c r="H2119" s="2">
        <v>2.6360559999999999E-3</v>
      </c>
      <c r="I2119" s="2" t="s">
        <v>49307</v>
      </c>
      <c r="J2119" s="2" t="s">
        <v>49308</v>
      </c>
      <c r="K2119" s="2">
        <v>3.7662363999999997E-2</v>
      </c>
      <c r="L2119" s="2" t="s">
        <v>1178</v>
      </c>
      <c r="M2119" s="4" t="s">
        <v>49309</v>
      </c>
    </row>
    <row r="2120" spans="1:13">
      <c r="A2120" s="2">
        <v>3564</v>
      </c>
      <c r="B2120" s="2" t="s">
        <v>18200</v>
      </c>
      <c r="C2120" s="2">
        <v>7</v>
      </c>
      <c r="D2120" s="2">
        <v>291</v>
      </c>
      <c r="E2120" s="2">
        <v>200</v>
      </c>
      <c r="F2120" s="2">
        <v>32441</v>
      </c>
      <c r="G2120" s="2">
        <v>3.9018384880000001</v>
      </c>
      <c r="H2120" s="2">
        <v>2.6360559999999999E-3</v>
      </c>
      <c r="I2120" s="2" t="s">
        <v>49310</v>
      </c>
      <c r="J2120" s="2" t="s">
        <v>49311</v>
      </c>
      <c r="K2120" s="2">
        <v>3.7662363999999997E-2</v>
      </c>
      <c r="L2120" s="2" t="s">
        <v>1178</v>
      </c>
      <c r="M2120" s="4" t="s">
        <v>18203</v>
      </c>
    </row>
    <row r="2121" spans="1:13">
      <c r="A2121" s="2">
        <v>3566</v>
      </c>
      <c r="B2121" s="2" t="s">
        <v>17428</v>
      </c>
      <c r="C2121" s="2">
        <v>7</v>
      </c>
      <c r="D2121" s="2">
        <v>291</v>
      </c>
      <c r="E2121" s="2">
        <v>200</v>
      </c>
      <c r="F2121" s="2">
        <v>32441</v>
      </c>
      <c r="G2121" s="2">
        <v>3.9018384880000001</v>
      </c>
      <c r="H2121" s="2">
        <v>2.6360559999999999E-3</v>
      </c>
      <c r="I2121" s="2" t="s">
        <v>49312</v>
      </c>
      <c r="J2121" s="2" t="s">
        <v>49313</v>
      </c>
      <c r="K2121" s="2">
        <v>3.7662363999999997E-2</v>
      </c>
      <c r="L2121" s="2" t="s">
        <v>1178</v>
      </c>
      <c r="M2121" s="4" t="s">
        <v>17431</v>
      </c>
    </row>
    <row r="2122" spans="1:13">
      <c r="A2122" s="2">
        <v>3635</v>
      </c>
      <c r="B2122" s="2" t="s">
        <v>49314</v>
      </c>
      <c r="C2122" s="2">
        <v>7</v>
      </c>
      <c r="D2122" s="2">
        <v>291</v>
      </c>
      <c r="E2122" s="2">
        <v>200</v>
      </c>
      <c r="F2122" s="2">
        <v>32441</v>
      </c>
      <c r="G2122" s="2">
        <v>3.9018384880000001</v>
      </c>
      <c r="H2122" s="2">
        <v>2.6360559999999999E-3</v>
      </c>
      <c r="I2122" s="2" t="s">
        <v>49315</v>
      </c>
      <c r="J2122" s="2" t="s">
        <v>49316</v>
      </c>
      <c r="K2122" s="2">
        <v>3.7662363999999997E-2</v>
      </c>
      <c r="L2122" s="2" t="s">
        <v>1178</v>
      </c>
      <c r="M2122" s="4" t="s">
        <v>49317</v>
      </c>
    </row>
    <row r="2123" spans="1:13">
      <c r="A2123" s="2">
        <v>3637</v>
      </c>
      <c r="B2123" s="2" t="s">
        <v>49318</v>
      </c>
      <c r="C2123" s="2">
        <v>7</v>
      </c>
      <c r="D2123" s="2">
        <v>291</v>
      </c>
      <c r="E2123" s="2">
        <v>200</v>
      </c>
      <c r="F2123" s="2">
        <v>32441</v>
      </c>
      <c r="G2123" s="2">
        <v>3.9018384880000001</v>
      </c>
      <c r="H2123" s="2">
        <v>2.6360559999999999E-3</v>
      </c>
      <c r="I2123" s="2" t="s">
        <v>49319</v>
      </c>
      <c r="J2123" s="2" t="s">
        <v>49320</v>
      </c>
      <c r="K2123" s="2">
        <v>3.7662363999999997E-2</v>
      </c>
      <c r="L2123" s="2" t="s">
        <v>1178</v>
      </c>
      <c r="M2123" s="4" t="s">
        <v>49321</v>
      </c>
    </row>
    <row r="2124" spans="1:13">
      <c r="A2124" s="2">
        <v>3711</v>
      </c>
      <c r="B2124" s="2" t="s">
        <v>1746</v>
      </c>
      <c r="C2124" s="2">
        <v>7</v>
      </c>
      <c r="D2124" s="2">
        <v>291</v>
      </c>
      <c r="E2124" s="2">
        <v>200</v>
      </c>
      <c r="F2124" s="2">
        <v>32441</v>
      </c>
      <c r="G2124" s="2">
        <v>3.9018384880000001</v>
      </c>
      <c r="H2124" s="2">
        <v>2.6360559999999999E-3</v>
      </c>
      <c r="I2124" s="2" t="s">
        <v>49322</v>
      </c>
      <c r="J2124" s="2" t="s">
        <v>49323</v>
      </c>
      <c r="K2124" s="2">
        <v>3.7662363999999997E-2</v>
      </c>
      <c r="L2124" s="2" t="s">
        <v>1178</v>
      </c>
      <c r="M2124" s="4" t="s">
        <v>13344</v>
      </c>
    </row>
    <row r="2125" spans="1:13">
      <c r="A2125" s="2">
        <v>3733</v>
      </c>
      <c r="B2125" s="2" t="s">
        <v>21288</v>
      </c>
      <c r="C2125" s="2">
        <v>7</v>
      </c>
      <c r="D2125" s="2">
        <v>291</v>
      </c>
      <c r="E2125" s="2">
        <v>200</v>
      </c>
      <c r="F2125" s="2">
        <v>32441</v>
      </c>
      <c r="G2125" s="2">
        <v>3.9018384880000001</v>
      </c>
      <c r="H2125" s="2">
        <v>2.6360559999999999E-3</v>
      </c>
      <c r="I2125" s="2" t="s">
        <v>49324</v>
      </c>
      <c r="J2125" s="2" t="s">
        <v>49325</v>
      </c>
      <c r="K2125" s="2">
        <v>3.7662363999999997E-2</v>
      </c>
      <c r="L2125" s="2" t="s">
        <v>1178</v>
      </c>
      <c r="M2125" s="4" t="s">
        <v>21291</v>
      </c>
    </row>
    <row r="2126" spans="1:13">
      <c r="A2126" s="2">
        <v>3758</v>
      </c>
      <c r="B2126" s="2" t="s">
        <v>17451</v>
      </c>
      <c r="C2126" s="2">
        <v>7</v>
      </c>
      <c r="D2126" s="2">
        <v>291</v>
      </c>
      <c r="E2126" s="2">
        <v>200</v>
      </c>
      <c r="F2126" s="2">
        <v>32441</v>
      </c>
      <c r="G2126" s="2">
        <v>3.9018384880000001</v>
      </c>
      <c r="H2126" s="2">
        <v>2.6360559999999999E-3</v>
      </c>
      <c r="I2126" s="2" t="s">
        <v>49326</v>
      </c>
      <c r="J2126" s="2" t="s">
        <v>49327</v>
      </c>
      <c r="K2126" s="2">
        <v>3.7662363999999997E-2</v>
      </c>
      <c r="L2126" s="2" t="s">
        <v>1178</v>
      </c>
      <c r="M2126" s="4" t="s">
        <v>17454</v>
      </c>
    </row>
    <row r="2127" spans="1:13">
      <c r="A2127" s="2">
        <v>3765</v>
      </c>
      <c r="B2127" s="2" t="s">
        <v>22531</v>
      </c>
      <c r="C2127" s="2">
        <v>7</v>
      </c>
      <c r="D2127" s="2">
        <v>291</v>
      </c>
      <c r="E2127" s="2">
        <v>199</v>
      </c>
      <c r="F2127" s="2">
        <v>32441</v>
      </c>
      <c r="G2127" s="2">
        <v>3.9214457170000001</v>
      </c>
      <c r="H2127" s="2">
        <v>2.565959E-3</v>
      </c>
      <c r="I2127" s="2" t="s">
        <v>49328</v>
      </c>
      <c r="J2127" s="2" t="s">
        <v>49329</v>
      </c>
      <c r="K2127" s="2">
        <v>3.7662363999999997E-2</v>
      </c>
      <c r="L2127" s="2" t="s">
        <v>1178</v>
      </c>
      <c r="M2127" s="4" t="s">
        <v>22534</v>
      </c>
    </row>
    <row r="2128" spans="1:13">
      <c r="A2128" s="2">
        <v>37711</v>
      </c>
      <c r="B2128" s="2" t="s">
        <v>49330</v>
      </c>
      <c r="C2128" s="2">
        <v>7</v>
      </c>
      <c r="D2128" s="2">
        <v>291</v>
      </c>
      <c r="E2128" s="2">
        <v>200</v>
      </c>
      <c r="F2128" s="2">
        <v>32441</v>
      </c>
      <c r="G2128" s="2">
        <v>3.9018384880000001</v>
      </c>
      <c r="H2128" s="2">
        <v>2.6360559999999999E-3</v>
      </c>
      <c r="I2128" s="2" t="s">
        <v>49331</v>
      </c>
      <c r="J2128" s="2" t="s">
        <v>49332</v>
      </c>
      <c r="K2128" s="2">
        <v>3.7662363999999997E-2</v>
      </c>
      <c r="L2128" s="2" t="s">
        <v>1178</v>
      </c>
      <c r="M2128" s="4" t="s">
        <v>49333</v>
      </c>
    </row>
    <row r="2129" spans="1:13">
      <c r="A2129" s="2">
        <v>3804</v>
      </c>
      <c r="B2129" s="2" t="s">
        <v>49334</v>
      </c>
      <c r="C2129" s="2">
        <v>7</v>
      </c>
      <c r="D2129" s="2">
        <v>291</v>
      </c>
      <c r="E2129" s="2">
        <v>199</v>
      </c>
      <c r="F2129" s="2">
        <v>32441</v>
      </c>
      <c r="G2129" s="2">
        <v>3.9214457170000001</v>
      </c>
      <c r="H2129" s="2">
        <v>2.565959E-3</v>
      </c>
      <c r="I2129" s="2" t="s">
        <v>49335</v>
      </c>
      <c r="J2129" s="2" t="s">
        <v>49336</v>
      </c>
      <c r="K2129" s="2">
        <v>3.7662363999999997E-2</v>
      </c>
      <c r="L2129" s="2" t="s">
        <v>1178</v>
      </c>
      <c r="M2129" s="4" t="s">
        <v>49337</v>
      </c>
    </row>
    <row r="2130" spans="1:13">
      <c r="A2130" s="2">
        <v>38171</v>
      </c>
      <c r="B2130" s="2" t="s">
        <v>21308</v>
      </c>
      <c r="C2130" s="2">
        <v>7</v>
      </c>
      <c r="D2130" s="2">
        <v>291</v>
      </c>
      <c r="E2130" s="2">
        <v>200</v>
      </c>
      <c r="F2130" s="2">
        <v>32441</v>
      </c>
      <c r="G2130" s="2">
        <v>3.9018384880000001</v>
      </c>
      <c r="H2130" s="2">
        <v>2.6360559999999999E-3</v>
      </c>
      <c r="I2130" s="2" t="s">
        <v>49338</v>
      </c>
      <c r="J2130" s="2" t="s">
        <v>49339</v>
      </c>
      <c r="K2130" s="2">
        <v>3.7662363999999997E-2</v>
      </c>
      <c r="L2130" s="2" t="s">
        <v>1178</v>
      </c>
      <c r="M2130" s="4" t="s">
        <v>21311</v>
      </c>
    </row>
    <row r="2131" spans="1:13">
      <c r="A2131" s="2">
        <v>3847</v>
      </c>
      <c r="B2131" s="2" t="s">
        <v>15419</v>
      </c>
      <c r="C2131" s="2">
        <v>7</v>
      </c>
      <c r="D2131" s="2">
        <v>291</v>
      </c>
      <c r="E2131" s="2">
        <v>200</v>
      </c>
      <c r="F2131" s="2">
        <v>32441</v>
      </c>
      <c r="G2131" s="2">
        <v>3.9018384880000001</v>
      </c>
      <c r="H2131" s="2">
        <v>2.6360559999999999E-3</v>
      </c>
      <c r="I2131" s="2" t="s">
        <v>49340</v>
      </c>
      <c r="J2131" s="2" t="s">
        <v>49341</v>
      </c>
      <c r="K2131" s="2">
        <v>3.7662363999999997E-2</v>
      </c>
      <c r="L2131" s="2" t="s">
        <v>1178</v>
      </c>
      <c r="M2131" s="4" t="s">
        <v>15422</v>
      </c>
    </row>
    <row r="2132" spans="1:13">
      <c r="A2132" s="2">
        <v>3849</v>
      </c>
      <c r="B2132" s="2" t="s">
        <v>15423</v>
      </c>
      <c r="C2132" s="2">
        <v>7</v>
      </c>
      <c r="D2132" s="2">
        <v>291</v>
      </c>
      <c r="E2132" s="2">
        <v>200</v>
      </c>
      <c r="F2132" s="2">
        <v>32441</v>
      </c>
      <c r="G2132" s="2">
        <v>3.9018384880000001</v>
      </c>
      <c r="H2132" s="2">
        <v>2.6360559999999999E-3</v>
      </c>
      <c r="I2132" s="2" t="s">
        <v>49342</v>
      </c>
      <c r="J2132" s="2" t="s">
        <v>49343</v>
      </c>
      <c r="K2132" s="2">
        <v>3.7662363999999997E-2</v>
      </c>
      <c r="L2132" s="2" t="s">
        <v>1178</v>
      </c>
      <c r="M2132" s="4" t="s">
        <v>15426</v>
      </c>
    </row>
    <row r="2133" spans="1:13">
      <c r="A2133" s="2">
        <v>39211</v>
      </c>
      <c r="B2133" s="2" t="s">
        <v>16706</v>
      </c>
      <c r="C2133" s="2">
        <v>7</v>
      </c>
      <c r="D2133" s="2">
        <v>291</v>
      </c>
      <c r="E2133" s="2">
        <v>200</v>
      </c>
      <c r="F2133" s="2">
        <v>32441</v>
      </c>
      <c r="G2133" s="2">
        <v>3.9018384880000001</v>
      </c>
      <c r="H2133" s="2">
        <v>2.6360559999999999E-3</v>
      </c>
      <c r="I2133" s="2" t="s">
        <v>49344</v>
      </c>
      <c r="J2133" s="2" t="s">
        <v>49345</v>
      </c>
      <c r="K2133" s="2">
        <v>3.7662363999999997E-2</v>
      </c>
      <c r="L2133" s="2" t="s">
        <v>1178</v>
      </c>
      <c r="M2133" s="4" t="s">
        <v>16709</v>
      </c>
    </row>
    <row r="2134" spans="1:13">
      <c r="A2134" s="2">
        <v>3946</v>
      </c>
      <c r="B2134" s="2" t="s">
        <v>12023</v>
      </c>
      <c r="C2134" s="2">
        <v>7</v>
      </c>
      <c r="D2134" s="2">
        <v>291</v>
      </c>
      <c r="E2134" s="2">
        <v>200</v>
      </c>
      <c r="F2134" s="2">
        <v>32441</v>
      </c>
      <c r="G2134" s="2">
        <v>3.9018384880000001</v>
      </c>
      <c r="H2134" s="2">
        <v>2.6360559999999999E-3</v>
      </c>
      <c r="I2134" s="2" t="s">
        <v>49346</v>
      </c>
      <c r="J2134" s="2" t="s">
        <v>49347</v>
      </c>
      <c r="K2134" s="2">
        <v>3.7662363999999997E-2</v>
      </c>
      <c r="L2134" s="2" t="s">
        <v>1178</v>
      </c>
      <c r="M2134" s="4" t="s">
        <v>12026</v>
      </c>
    </row>
    <row r="2135" spans="1:13">
      <c r="A2135" s="2">
        <v>3987</v>
      </c>
      <c r="B2135" s="2" t="s">
        <v>17478</v>
      </c>
      <c r="C2135" s="2">
        <v>7</v>
      </c>
      <c r="D2135" s="2">
        <v>291</v>
      </c>
      <c r="E2135" s="2">
        <v>199</v>
      </c>
      <c r="F2135" s="2">
        <v>32441</v>
      </c>
      <c r="G2135" s="2">
        <v>3.9214457170000001</v>
      </c>
      <c r="H2135" s="2">
        <v>2.565959E-3</v>
      </c>
      <c r="I2135" s="2" t="s">
        <v>49348</v>
      </c>
      <c r="J2135" s="2" t="s">
        <v>49349</v>
      </c>
      <c r="K2135" s="2">
        <v>3.7662363999999997E-2</v>
      </c>
      <c r="L2135" s="2" t="s">
        <v>1178</v>
      </c>
      <c r="M2135" s="4" t="s">
        <v>17481</v>
      </c>
    </row>
    <row r="2136" spans="1:13">
      <c r="A2136" s="2">
        <v>4039</v>
      </c>
      <c r="B2136" s="2" t="s">
        <v>23934</v>
      </c>
      <c r="C2136" s="2">
        <v>7</v>
      </c>
      <c r="D2136" s="2">
        <v>291</v>
      </c>
      <c r="E2136" s="2">
        <v>200</v>
      </c>
      <c r="F2136" s="2">
        <v>32441</v>
      </c>
      <c r="G2136" s="2">
        <v>3.9018384880000001</v>
      </c>
      <c r="H2136" s="2">
        <v>2.6360559999999999E-3</v>
      </c>
      <c r="I2136" s="2" t="s">
        <v>49350</v>
      </c>
      <c r="J2136" s="2" t="s">
        <v>49351</v>
      </c>
      <c r="K2136" s="2">
        <v>3.7662363999999997E-2</v>
      </c>
      <c r="L2136" s="2" t="s">
        <v>1178</v>
      </c>
      <c r="M2136" s="4" t="s">
        <v>23937</v>
      </c>
    </row>
    <row r="2137" spans="1:13">
      <c r="A2137" s="2">
        <v>4200</v>
      </c>
      <c r="B2137" s="2" t="s">
        <v>16893</v>
      </c>
      <c r="C2137" s="2">
        <v>7</v>
      </c>
      <c r="D2137" s="2">
        <v>291</v>
      </c>
      <c r="E2137" s="2">
        <v>190</v>
      </c>
      <c r="F2137" s="2">
        <v>32441</v>
      </c>
      <c r="G2137" s="2">
        <v>4.1071984080000004</v>
      </c>
      <c r="H2137" s="2">
        <v>1.9976249999999998E-3</v>
      </c>
      <c r="I2137" s="2" t="s">
        <v>49352</v>
      </c>
      <c r="J2137" s="2" t="s">
        <v>49353</v>
      </c>
      <c r="K2137" s="2">
        <v>3.7662363999999997E-2</v>
      </c>
      <c r="L2137" s="2" t="s">
        <v>1178</v>
      </c>
      <c r="M2137" s="4" t="s">
        <v>16896</v>
      </c>
    </row>
    <row r="2138" spans="1:13">
      <c r="A2138" s="2">
        <v>4283</v>
      </c>
      <c r="B2138" s="2" t="s">
        <v>14966</v>
      </c>
      <c r="C2138" s="2">
        <v>7</v>
      </c>
      <c r="D2138" s="2">
        <v>291</v>
      </c>
      <c r="E2138" s="2">
        <v>200</v>
      </c>
      <c r="F2138" s="2">
        <v>32441</v>
      </c>
      <c r="G2138" s="2">
        <v>3.9018384880000001</v>
      </c>
      <c r="H2138" s="2">
        <v>2.6360559999999999E-3</v>
      </c>
      <c r="I2138" s="2" t="s">
        <v>49354</v>
      </c>
      <c r="J2138" s="2" t="s">
        <v>49355</v>
      </c>
      <c r="K2138" s="2">
        <v>3.7662363999999997E-2</v>
      </c>
      <c r="L2138" s="2" t="s">
        <v>1178</v>
      </c>
      <c r="M2138" s="4" t="s">
        <v>14969</v>
      </c>
    </row>
    <row r="2139" spans="1:13">
      <c r="A2139" s="2">
        <v>4288</v>
      </c>
      <c r="B2139" s="2" t="s">
        <v>18295</v>
      </c>
      <c r="C2139" s="2">
        <v>7</v>
      </c>
      <c r="D2139" s="2">
        <v>291</v>
      </c>
      <c r="E2139" s="2">
        <v>200</v>
      </c>
      <c r="F2139" s="2">
        <v>32441</v>
      </c>
      <c r="G2139" s="2">
        <v>3.9018384880000001</v>
      </c>
      <c r="H2139" s="2">
        <v>2.6360559999999999E-3</v>
      </c>
      <c r="I2139" s="2" t="s">
        <v>49356</v>
      </c>
      <c r="J2139" s="2" t="s">
        <v>49357</v>
      </c>
      <c r="K2139" s="2">
        <v>3.7662363999999997E-2</v>
      </c>
      <c r="L2139" s="2" t="s">
        <v>1178</v>
      </c>
      <c r="M2139" s="4" t="s">
        <v>18298</v>
      </c>
    </row>
    <row r="2140" spans="1:13">
      <c r="A2140" s="2">
        <v>4343</v>
      </c>
      <c r="B2140" s="2" t="s">
        <v>16754</v>
      </c>
      <c r="C2140" s="2">
        <v>7</v>
      </c>
      <c r="D2140" s="2">
        <v>291</v>
      </c>
      <c r="E2140" s="2">
        <v>200</v>
      </c>
      <c r="F2140" s="2">
        <v>32441</v>
      </c>
      <c r="G2140" s="2">
        <v>3.9018384880000001</v>
      </c>
      <c r="H2140" s="2">
        <v>2.6360559999999999E-3</v>
      </c>
      <c r="I2140" s="2" t="s">
        <v>49358</v>
      </c>
      <c r="J2140" s="2" t="s">
        <v>49359</v>
      </c>
      <c r="K2140" s="2">
        <v>3.7662363999999997E-2</v>
      </c>
      <c r="L2140" s="2" t="s">
        <v>1178</v>
      </c>
      <c r="M2140" s="4" t="s">
        <v>16757</v>
      </c>
    </row>
    <row r="2141" spans="1:13">
      <c r="A2141" s="2">
        <v>43961</v>
      </c>
      <c r="B2141" s="2" t="s">
        <v>49360</v>
      </c>
      <c r="C2141" s="2">
        <v>7</v>
      </c>
      <c r="D2141" s="2">
        <v>291</v>
      </c>
      <c r="E2141" s="2">
        <v>200</v>
      </c>
      <c r="F2141" s="2">
        <v>32441</v>
      </c>
      <c r="G2141" s="2">
        <v>3.9018384880000001</v>
      </c>
      <c r="H2141" s="2">
        <v>2.6360559999999999E-3</v>
      </c>
      <c r="I2141" s="2" t="s">
        <v>49361</v>
      </c>
      <c r="J2141" s="2" t="s">
        <v>49362</v>
      </c>
      <c r="K2141" s="2">
        <v>3.7662363999999997E-2</v>
      </c>
      <c r="L2141" s="2" t="s">
        <v>1178</v>
      </c>
      <c r="M2141" s="4" t="s">
        <v>49363</v>
      </c>
    </row>
    <row r="2142" spans="1:13">
      <c r="A2142" s="2">
        <v>4405</v>
      </c>
      <c r="B2142" s="2" t="s">
        <v>23984</v>
      </c>
      <c r="C2142" s="2">
        <v>7</v>
      </c>
      <c r="D2142" s="2">
        <v>291</v>
      </c>
      <c r="E2142" s="2">
        <v>200</v>
      </c>
      <c r="F2142" s="2">
        <v>32441</v>
      </c>
      <c r="G2142" s="2">
        <v>3.9018384880000001</v>
      </c>
      <c r="H2142" s="2">
        <v>2.6360559999999999E-3</v>
      </c>
      <c r="I2142" s="2" t="s">
        <v>49364</v>
      </c>
      <c r="J2142" s="2" t="s">
        <v>49365</v>
      </c>
      <c r="K2142" s="2">
        <v>3.7662363999999997E-2</v>
      </c>
      <c r="L2142" s="2" t="s">
        <v>1178</v>
      </c>
      <c r="M2142" s="4" t="s">
        <v>23987</v>
      </c>
    </row>
    <row r="2143" spans="1:13">
      <c r="A2143" s="2">
        <v>44342</v>
      </c>
      <c r="B2143" s="2" t="s">
        <v>24365</v>
      </c>
      <c r="C2143" s="2">
        <v>7</v>
      </c>
      <c r="D2143" s="2">
        <v>291</v>
      </c>
      <c r="E2143" s="2">
        <v>200</v>
      </c>
      <c r="F2143" s="2">
        <v>32441</v>
      </c>
      <c r="G2143" s="2">
        <v>3.9018384880000001</v>
      </c>
      <c r="H2143" s="2">
        <v>2.6360559999999999E-3</v>
      </c>
      <c r="I2143" s="2" t="s">
        <v>49366</v>
      </c>
      <c r="J2143" s="2" t="s">
        <v>49367</v>
      </c>
      <c r="K2143" s="2">
        <v>3.7662363999999997E-2</v>
      </c>
      <c r="L2143" s="2" t="s">
        <v>1178</v>
      </c>
      <c r="M2143" s="4" t="s">
        <v>24368</v>
      </c>
    </row>
    <row r="2144" spans="1:13">
      <c r="A2144" s="2">
        <v>4528</v>
      </c>
      <c r="B2144" s="2" t="s">
        <v>16786</v>
      </c>
      <c r="C2144" s="2">
        <v>7</v>
      </c>
      <c r="D2144" s="2">
        <v>291</v>
      </c>
      <c r="E2144" s="2">
        <v>200</v>
      </c>
      <c r="F2144" s="2">
        <v>32441</v>
      </c>
      <c r="G2144" s="2">
        <v>3.9018384880000001</v>
      </c>
      <c r="H2144" s="2">
        <v>2.6360559999999999E-3</v>
      </c>
      <c r="I2144" s="2" t="s">
        <v>49368</v>
      </c>
      <c r="J2144" s="2" t="s">
        <v>49369</v>
      </c>
      <c r="K2144" s="2">
        <v>3.7662363999999997E-2</v>
      </c>
      <c r="L2144" s="2" t="s">
        <v>1178</v>
      </c>
      <c r="M2144" s="4" t="s">
        <v>16789</v>
      </c>
    </row>
    <row r="2145" spans="1:13">
      <c r="A2145" s="2">
        <v>45421</v>
      </c>
      <c r="B2145" s="2" t="s">
        <v>49370</v>
      </c>
      <c r="C2145" s="2">
        <v>7</v>
      </c>
      <c r="D2145" s="2">
        <v>291</v>
      </c>
      <c r="E2145" s="2">
        <v>200</v>
      </c>
      <c r="F2145" s="2">
        <v>32441</v>
      </c>
      <c r="G2145" s="2">
        <v>3.9018384880000001</v>
      </c>
      <c r="H2145" s="2">
        <v>2.6360559999999999E-3</v>
      </c>
      <c r="I2145" s="2" t="s">
        <v>49371</v>
      </c>
      <c r="J2145" s="2" t="s">
        <v>49372</v>
      </c>
      <c r="K2145" s="2">
        <v>3.7662363999999997E-2</v>
      </c>
      <c r="L2145" s="2" t="s">
        <v>1178</v>
      </c>
      <c r="M2145" s="4" t="s">
        <v>49373</v>
      </c>
    </row>
    <row r="2146" spans="1:13">
      <c r="A2146" s="2">
        <v>4586</v>
      </c>
      <c r="B2146" s="2" t="s">
        <v>20213</v>
      </c>
      <c r="C2146" s="2">
        <v>7</v>
      </c>
      <c r="D2146" s="2">
        <v>291</v>
      </c>
      <c r="E2146" s="2">
        <v>199</v>
      </c>
      <c r="F2146" s="2">
        <v>32441</v>
      </c>
      <c r="G2146" s="2">
        <v>3.9214457170000001</v>
      </c>
      <c r="H2146" s="2">
        <v>2.565959E-3</v>
      </c>
      <c r="I2146" s="2" t="s">
        <v>49374</v>
      </c>
      <c r="J2146" s="2" t="s">
        <v>49375</v>
      </c>
      <c r="K2146" s="2">
        <v>3.7662363999999997E-2</v>
      </c>
      <c r="L2146" s="2" t="s">
        <v>1178</v>
      </c>
      <c r="M2146" s="4" t="s">
        <v>20216</v>
      </c>
    </row>
    <row r="2147" spans="1:13">
      <c r="A2147" s="2">
        <v>46221</v>
      </c>
      <c r="B2147" s="2" t="s">
        <v>13636</v>
      </c>
      <c r="C2147" s="2">
        <v>7</v>
      </c>
      <c r="D2147" s="2">
        <v>291</v>
      </c>
      <c r="E2147" s="2">
        <v>200</v>
      </c>
      <c r="F2147" s="2">
        <v>32441</v>
      </c>
      <c r="G2147" s="2">
        <v>3.9018384880000001</v>
      </c>
      <c r="H2147" s="2">
        <v>2.6360559999999999E-3</v>
      </c>
      <c r="I2147" s="2" t="s">
        <v>49376</v>
      </c>
      <c r="J2147" s="2" t="s">
        <v>49377</v>
      </c>
      <c r="K2147" s="2">
        <v>3.7662363999999997E-2</v>
      </c>
      <c r="L2147" s="2" t="s">
        <v>1178</v>
      </c>
      <c r="M2147" s="4" t="s">
        <v>13639</v>
      </c>
    </row>
    <row r="2148" spans="1:13">
      <c r="A2148" s="2">
        <v>4626</v>
      </c>
      <c r="B2148" s="2" t="s">
        <v>16149</v>
      </c>
      <c r="C2148" s="2">
        <v>7</v>
      </c>
      <c r="D2148" s="2">
        <v>291</v>
      </c>
      <c r="E2148" s="2">
        <v>200</v>
      </c>
      <c r="F2148" s="2">
        <v>32441</v>
      </c>
      <c r="G2148" s="2">
        <v>3.9018384880000001</v>
      </c>
      <c r="H2148" s="2">
        <v>2.6360559999999999E-3</v>
      </c>
      <c r="I2148" s="2" t="s">
        <v>49378</v>
      </c>
      <c r="J2148" s="2" t="s">
        <v>49379</v>
      </c>
      <c r="K2148" s="2">
        <v>3.7662363999999997E-2</v>
      </c>
      <c r="L2148" s="2" t="s">
        <v>1178</v>
      </c>
      <c r="M2148" s="4" t="s">
        <v>16152</v>
      </c>
    </row>
    <row r="2149" spans="1:13">
      <c r="A2149" s="2">
        <v>4643</v>
      </c>
      <c r="B2149" s="2" t="s">
        <v>20233</v>
      </c>
      <c r="C2149" s="2">
        <v>7</v>
      </c>
      <c r="D2149" s="2">
        <v>291</v>
      </c>
      <c r="E2149" s="2">
        <v>200</v>
      </c>
      <c r="F2149" s="2">
        <v>32441</v>
      </c>
      <c r="G2149" s="2">
        <v>3.9018384880000001</v>
      </c>
      <c r="H2149" s="2">
        <v>2.6360559999999999E-3</v>
      </c>
      <c r="I2149" s="2" t="s">
        <v>49380</v>
      </c>
      <c r="J2149" s="2" t="s">
        <v>49381</v>
      </c>
      <c r="K2149" s="2">
        <v>3.7662363999999997E-2</v>
      </c>
      <c r="L2149" s="2" t="s">
        <v>1178</v>
      </c>
      <c r="M2149" s="4" t="s">
        <v>20236</v>
      </c>
    </row>
    <row r="2150" spans="1:13">
      <c r="A2150" s="2">
        <v>4657</v>
      </c>
      <c r="B2150" s="2" t="s">
        <v>49382</v>
      </c>
      <c r="C2150" s="2">
        <v>7</v>
      </c>
      <c r="D2150" s="2">
        <v>291</v>
      </c>
      <c r="E2150" s="2">
        <v>196</v>
      </c>
      <c r="F2150" s="2">
        <v>32441</v>
      </c>
      <c r="G2150" s="2">
        <v>3.9814678450000001</v>
      </c>
      <c r="H2150" s="2">
        <v>2.364241E-3</v>
      </c>
      <c r="I2150" s="2" t="s">
        <v>49383</v>
      </c>
      <c r="J2150" s="2" t="s">
        <v>49384</v>
      </c>
      <c r="K2150" s="2">
        <v>3.7662363999999997E-2</v>
      </c>
      <c r="L2150" s="2" t="s">
        <v>1178</v>
      </c>
      <c r="M2150" s="4" t="s">
        <v>49385</v>
      </c>
    </row>
    <row r="2151" spans="1:13">
      <c r="A2151" s="2">
        <v>46591</v>
      </c>
      <c r="B2151" s="2" t="s">
        <v>24047</v>
      </c>
      <c r="C2151" s="2">
        <v>7</v>
      </c>
      <c r="D2151" s="2">
        <v>291</v>
      </c>
      <c r="E2151" s="2">
        <v>199</v>
      </c>
      <c r="F2151" s="2">
        <v>32441</v>
      </c>
      <c r="G2151" s="2">
        <v>3.9214457170000001</v>
      </c>
      <c r="H2151" s="2">
        <v>2.565959E-3</v>
      </c>
      <c r="I2151" s="2" t="s">
        <v>49386</v>
      </c>
      <c r="J2151" s="2" t="s">
        <v>49387</v>
      </c>
      <c r="K2151" s="2">
        <v>3.7662363999999997E-2</v>
      </c>
      <c r="L2151" s="2" t="s">
        <v>1178</v>
      </c>
      <c r="M2151" s="4" t="s">
        <v>24050</v>
      </c>
    </row>
    <row r="2152" spans="1:13">
      <c r="A2152" s="2">
        <v>4678</v>
      </c>
      <c r="B2152" s="2" t="s">
        <v>16169</v>
      </c>
      <c r="C2152" s="2">
        <v>7</v>
      </c>
      <c r="D2152" s="2">
        <v>291</v>
      </c>
      <c r="E2152" s="2">
        <v>199</v>
      </c>
      <c r="F2152" s="2">
        <v>32441</v>
      </c>
      <c r="G2152" s="2">
        <v>3.9214457170000001</v>
      </c>
      <c r="H2152" s="2">
        <v>2.565959E-3</v>
      </c>
      <c r="I2152" s="2" t="s">
        <v>49388</v>
      </c>
      <c r="J2152" s="2" t="s">
        <v>49389</v>
      </c>
      <c r="K2152" s="2">
        <v>3.7662363999999997E-2</v>
      </c>
      <c r="L2152" s="2" t="s">
        <v>1178</v>
      </c>
      <c r="M2152" s="4" t="s">
        <v>16172</v>
      </c>
    </row>
    <row r="2153" spans="1:13">
      <c r="A2153" s="2">
        <v>47041</v>
      </c>
      <c r="B2153" s="2" t="s">
        <v>16818</v>
      </c>
      <c r="C2153" s="2">
        <v>7</v>
      </c>
      <c r="D2153" s="2">
        <v>291</v>
      </c>
      <c r="E2153" s="2">
        <v>200</v>
      </c>
      <c r="F2153" s="2">
        <v>32441</v>
      </c>
      <c r="G2153" s="2">
        <v>3.9018384880000001</v>
      </c>
      <c r="H2153" s="2">
        <v>2.6360559999999999E-3</v>
      </c>
      <c r="I2153" s="2" t="s">
        <v>49390</v>
      </c>
      <c r="J2153" s="2" t="s">
        <v>49391</v>
      </c>
      <c r="K2153" s="2">
        <v>3.7662363999999997E-2</v>
      </c>
      <c r="L2153" s="2" t="s">
        <v>1178</v>
      </c>
      <c r="M2153" s="4" t="s">
        <v>16821</v>
      </c>
    </row>
    <row r="2154" spans="1:13">
      <c r="A2154" s="2">
        <v>47181</v>
      </c>
      <c r="B2154" s="2" t="s">
        <v>42148</v>
      </c>
      <c r="C2154" s="2">
        <v>7</v>
      </c>
      <c r="D2154" s="2">
        <v>291</v>
      </c>
      <c r="E2154" s="2">
        <v>200</v>
      </c>
      <c r="F2154" s="2">
        <v>32441</v>
      </c>
      <c r="G2154" s="2">
        <v>3.9018384880000001</v>
      </c>
      <c r="H2154" s="2">
        <v>2.6360559999999999E-3</v>
      </c>
      <c r="I2154" s="2" t="s">
        <v>49392</v>
      </c>
      <c r="J2154" s="2" t="s">
        <v>49393</v>
      </c>
      <c r="K2154" s="2">
        <v>3.7662363999999997E-2</v>
      </c>
      <c r="L2154" s="2" t="s">
        <v>1178</v>
      </c>
      <c r="M2154" s="4" t="s">
        <v>42151</v>
      </c>
    </row>
    <row r="2155" spans="1:13">
      <c r="A2155" s="2">
        <v>4734</v>
      </c>
      <c r="B2155" s="2" t="s">
        <v>49394</v>
      </c>
      <c r="C2155" s="2">
        <v>7</v>
      </c>
      <c r="D2155" s="2">
        <v>291</v>
      </c>
      <c r="E2155" s="2">
        <v>200</v>
      </c>
      <c r="F2155" s="2">
        <v>32441</v>
      </c>
      <c r="G2155" s="2">
        <v>3.9018384880000001</v>
      </c>
      <c r="H2155" s="2">
        <v>2.6360559999999999E-3</v>
      </c>
      <c r="I2155" s="2" t="s">
        <v>49395</v>
      </c>
      <c r="J2155" s="2" t="s">
        <v>49396</v>
      </c>
      <c r="K2155" s="2">
        <v>3.7662363999999997E-2</v>
      </c>
      <c r="L2155" s="2" t="s">
        <v>1178</v>
      </c>
      <c r="M2155" s="4" t="s">
        <v>49397</v>
      </c>
    </row>
    <row r="2156" spans="1:13">
      <c r="A2156" s="2">
        <v>47391</v>
      </c>
      <c r="B2156" s="2" t="s">
        <v>19260</v>
      </c>
      <c r="C2156" s="2">
        <v>7</v>
      </c>
      <c r="D2156" s="2">
        <v>291</v>
      </c>
      <c r="E2156" s="2">
        <v>200</v>
      </c>
      <c r="F2156" s="2">
        <v>32441</v>
      </c>
      <c r="G2156" s="2">
        <v>3.9018384880000001</v>
      </c>
      <c r="H2156" s="2">
        <v>2.6360559999999999E-3</v>
      </c>
      <c r="I2156" s="2" t="s">
        <v>49398</v>
      </c>
      <c r="J2156" s="2" t="s">
        <v>49399</v>
      </c>
      <c r="K2156" s="2">
        <v>3.7662363999999997E-2</v>
      </c>
      <c r="L2156" s="2" t="s">
        <v>1178</v>
      </c>
      <c r="M2156" s="4" t="s">
        <v>19263</v>
      </c>
    </row>
    <row r="2157" spans="1:13">
      <c r="A2157" s="2">
        <v>4744</v>
      </c>
      <c r="B2157" s="2" t="s">
        <v>14215</v>
      </c>
      <c r="C2157" s="2">
        <v>7</v>
      </c>
      <c r="D2157" s="2">
        <v>291</v>
      </c>
      <c r="E2157" s="2">
        <v>200</v>
      </c>
      <c r="F2157" s="2">
        <v>32441</v>
      </c>
      <c r="G2157" s="2">
        <v>3.9018384880000001</v>
      </c>
      <c r="H2157" s="2">
        <v>2.6360559999999999E-3</v>
      </c>
      <c r="I2157" s="2" t="s">
        <v>49400</v>
      </c>
      <c r="J2157" s="2" t="s">
        <v>49401</v>
      </c>
      <c r="K2157" s="2">
        <v>3.7662363999999997E-2</v>
      </c>
      <c r="L2157" s="2" t="s">
        <v>1178</v>
      </c>
      <c r="M2157" s="4" t="s">
        <v>14218</v>
      </c>
    </row>
    <row r="2158" spans="1:13">
      <c r="A2158" s="2">
        <v>47601</v>
      </c>
      <c r="B2158" s="2" t="s">
        <v>2730</v>
      </c>
      <c r="C2158" s="2">
        <v>7</v>
      </c>
      <c r="D2158" s="2">
        <v>291</v>
      </c>
      <c r="E2158" s="2">
        <v>199</v>
      </c>
      <c r="F2158" s="2">
        <v>32441</v>
      </c>
      <c r="G2158" s="2">
        <v>3.9214457170000001</v>
      </c>
      <c r="H2158" s="2">
        <v>2.565959E-3</v>
      </c>
      <c r="I2158" s="2" t="s">
        <v>49402</v>
      </c>
      <c r="J2158" s="2" t="s">
        <v>49403</v>
      </c>
      <c r="K2158" s="2">
        <v>3.7662363999999997E-2</v>
      </c>
      <c r="L2158" s="2" t="s">
        <v>1178</v>
      </c>
      <c r="M2158" s="4" t="s">
        <v>24076</v>
      </c>
    </row>
    <row r="2159" spans="1:13">
      <c r="A2159" s="2">
        <v>4783</v>
      </c>
      <c r="B2159" s="2" t="s">
        <v>49404</v>
      </c>
      <c r="C2159" s="2">
        <v>7</v>
      </c>
      <c r="D2159" s="2">
        <v>291</v>
      </c>
      <c r="E2159" s="2">
        <v>200</v>
      </c>
      <c r="F2159" s="2">
        <v>32441</v>
      </c>
      <c r="G2159" s="2">
        <v>3.9018384880000001</v>
      </c>
      <c r="H2159" s="2">
        <v>2.6360559999999999E-3</v>
      </c>
      <c r="I2159" s="2" t="s">
        <v>49405</v>
      </c>
      <c r="J2159" s="2" t="s">
        <v>49406</v>
      </c>
      <c r="K2159" s="2">
        <v>3.7662363999999997E-2</v>
      </c>
      <c r="L2159" s="2" t="s">
        <v>1178</v>
      </c>
      <c r="M2159" s="4" t="s">
        <v>49407</v>
      </c>
    </row>
    <row r="2160" spans="1:13">
      <c r="A2160" s="2">
        <v>4799</v>
      </c>
      <c r="B2160" s="2" t="s">
        <v>49408</v>
      </c>
      <c r="C2160" s="2">
        <v>7</v>
      </c>
      <c r="D2160" s="2">
        <v>291</v>
      </c>
      <c r="E2160" s="2">
        <v>199</v>
      </c>
      <c r="F2160" s="2">
        <v>32441</v>
      </c>
      <c r="G2160" s="2">
        <v>3.9214457170000001</v>
      </c>
      <c r="H2160" s="2">
        <v>2.565959E-3</v>
      </c>
      <c r="I2160" s="2" t="s">
        <v>49409</v>
      </c>
      <c r="J2160" s="2" t="s">
        <v>49410</v>
      </c>
      <c r="K2160" s="2">
        <v>3.7662363999999997E-2</v>
      </c>
      <c r="L2160" s="2" t="s">
        <v>1178</v>
      </c>
      <c r="M2160" s="4" t="s">
        <v>49411</v>
      </c>
    </row>
    <row r="2161" spans="1:13">
      <c r="A2161" s="2">
        <v>4841</v>
      </c>
      <c r="B2161" s="2" t="s">
        <v>31128</v>
      </c>
      <c r="C2161" s="2">
        <v>7</v>
      </c>
      <c r="D2161" s="2">
        <v>291</v>
      </c>
      <c r="E2161" s="2">
        <v>199</v>
      </c>
      <c r="F2161" s="2">
        <v>32441</v>
      </c>
      <c r="G2161" s="2">
        <v>3.9214457170000001</v>
      </c>
      <c r="H2161" s="2">
        <v>2.565959E-3</v>
      </c>
      <c r="I2161" s="2" t="s">
        <v>49412</v>
      </c>
      <c r="J2161" s="2" t="s">
        <v>49413</v>
      </c>
      <c r="K2161" s="2">
        <v>3.7662363999999997E-2</v>
      </c>
      <c r="L2161" s="2" t="s">
        <v>1178</v>
      </c>
      <c r="M2161" s="4" t="s">
        <v>31131</v>
      </c>
    </row>
    <row r="2162" spans="1:13">
      <c r="A2162" s="2">
        <v>4857</v>
      </c>
      <c r="B2162" s="2" t="s">
        <v>49414</v>
      </c>
      <c r="C2162" s="2">
        <v>7</v>
      </c>
      <c r="D2162" s="2">
        <v>291</v>
      </c>
      <c r="E2162" s="2">
        <v>193</v>
      </c>
      <c r="F2162" s="2">
        <v>32441</v>
      </c>
      <c r="G2162" s="2">
        <v>4.0433559460000001</v>
      </c>
      <c r="H2162" s="2">
        <v>2.1749709999999999E-3</v>
      </c>
      <c r="I2162" s="2" t="s">
        <v>49415</v>
      </c>
      <c r="J2162" s="2" t="s">
        <v>49416</v>
      </c>
      <c r="K2162" s="2">
        <v>3.7662363999999997E-2</v>
      </c>
      <c r="L2162" s="2" t="s">
        <v>1178</v>
      </c>
      <c r="M2162" s="4" t="s">
        <v>49417</v>
      </c>
    </row>
    <row r="2163" spans="1:13">
      <c r="A2163" s="2">
        <v>2810</v>
      </c>
      <c r="B2163" s="2" t="s">
        <v>14656</v>
      </c>
      <c r="C2163" s="2">
        <v>6</v>
      </c>
      <c r="D2163" s="2">
        <v>291</v>
      </c>
      <c r="E2163" s="2">
        <v>149</v>
      </c>
      <c r="F2163" s="2">
        <v>32441</v>
      </c>
      <c r="G2163" s="2">
        <v>4.4891717980000001</v>
      </c>
      <c r="H2163" s="2">
        <v>2.7139249999999998E-3</v>
      </c>
      <c r="I2163" s="2" t="s">
        <v>49418</v>
      </c>
      <c r="J2163" s="2" t="s">
        <v>49419</v>
      </c>
      <c r="K2163" s="2">
        <v>3.8661525000000002E-2</v>
      </c>
      <c r="L2163" s="2" t="s">
        <v>1178</v>
      </c>
      <c r="M2163" s="4" t="s">
        <v>14659</v>
      </c>
    </row>
    <row r="2164" spans="1:13">
      <c r="A2164" s="2">
        <v>2537</v>
      </c>
      <c r="B2164" s="2" t="s">
        <v>17636</v>
      </c>
      <c r="C2164" s="2">
        <v>6</v>
      </c>
      <c r="D2164" s="2">
        <v>291</v>
      </c>
      <c r="E2164" s="2">
        <v>152</v>
      </c>
      <c r="F2164" s="2">
        <v>32441</v>
      </c>
      <c r="G2164" s="2">
        <v>4.4005697230000003</v>
      </c>
      <c r="H2164" s="2">
        <v>2.9841770000000002E-3</v>
      </c>
      <c r="I2164" s="2" t="s">
        <v>49420</v>
      </c>
      <c r="J2164" s="2" t="s">
        <v>49421</v>
      </c>
      <c r="K2164" s="2">
        <v>4.2387488000000001E-2</v>
      </c>
      <c r="L2164" s="2" t="s">
        <v>1178</v>
      </c>
      <c r="M2164" s="4" t="s">
        <v>17639</v>
      </c>
    </row>
    <row r="2165" spans="1:13">
      <c r="A2165" s="2">
        <v>24421</v>
      </c>
      <c r="B2165" s="2" t="s">
        <v>20354</v>
      </c>
      <c r="C2165" s="2">
        <v>6</v>
      </c>
      <c r="D2165" s="2">
        <v>291</v>
      </c>
      <c r="E2165" s="2">
        <v>157</v>
      </c>
      <c r="F2165" s="2">
        <v>32441</v>
      </c>
      <c r="G2165" s="2">
        <v>4.2604241910000002</v>
      </c>
      <c r="H2165" s="2">
        <v>3.4786320000000002E-3</v>
      </c>
      <c r="I2165" s="2" t="s">
        <v>49422</v>
      </c>
      <c r="J2165" s="2" t="s">
        <v>49423</v>
      </c>
      <c r="K2165" s="2">
        <v>4.9267129999999999E-2</v>
      </c>
      <c r="L2165" s="2" t="s">
        <v>1178</v>
      </c>
      <c r="M2165" s="4" t="s">
        <v>20357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>
      <selection sqref="A1:M58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1665</v>
      </c>
      <c r="B2" s="2" t="s">
        <v>42185</v>
      </c>
      <c r="C2" s="2">
        <v>111</v>
      </c>
      <c r="D2" s="2">
        <v>132</v>
      </c>
      <c r="E2" s="2">
        <v>1821</v>
      </c>
      <c r="F2" s="2">
        <v>32441</v>
      </c>
      <c r="G2" s="2">
        <v>14.98074235</v>
      </c>
      <c r="H2" s="3">
        <v>1.1899999999999999E-114</v>
      </c>
      <c r="I2" s="3" t="s">
        <v>42186</v>
      </c>
      <c r="J2" s="3" t="s">
        <v>42187</v>
      </c>
      <c r="K2" s="3">
        <v>5.6500000000000003E-111</v>
      </c>
      <c r="L2" s="2" t="s">
        <v>35</v>
      </c>
      <c r="M2" s="4" t="s">
        <v>42188</v>
      </c>
    </row>
    <row r="3" spans="1:13">
      <c r="A3" s="2">
        <v>1370</v>
      </c>
      <c r="B3" s="2" t="s">
        <v>42189</v>
      </c>
      <c r="C3" s="2">
        <v>62</v>
      </c>
      <c r="D3" s="2">
        <v>132</v>
      </c>
      <c r="E3" s="2">
        <v>349</v>
      </c>
      <c r="F3" s="2">
        <v>32441</v>
      </c>
      <c r="G3" s="2">
        <v>43.660284799999999</v>
      </c>
      <c r="H3" s="3">
        <v>2.1300000000000001E-82</v>
      </c>
      <c r="I3" s="3" t="s">
        <v>42190</v>
      </c>
      <c r="J3" s="3" t="s">
        <v>42191</v>
      </c>
      <c r="K3" s="3">
        <v>5.0800000000000001E-79</v>
      </c>
      <c r="L3" s="2" t="s">
        <v>35</v>
      </c>
      <c r="M3" s="4" t="s">
        <v>42192</v>
      </c>
    </row>
    <row r="4" spans="1:13">
      <c r="A4" s="2">
        <v>3341</v>
      </c>
      <c r="B4" s="2" t="s">
        <v>25060</v>
      </c>
      <c r="C4" s="2">
        <v>43</v>
      </c>
      <c r="D4" s="2">
        <v>132</v>
      </c>
      <c r="E4" s="2">
        <v>473</v>
      </c>
      <c r="F4" s="2">
        <v>32441</v>
      </c>
      <c r="G4" s="2">
        <v>22.3422865</v>
      </c>
      <c r="H4" s="3">
        <v>2.0799999999999999E-44</v>
      </c>
      <c r="I4" s="3" t="s">
        <v>42193</v>
      </c>
      <c r="J4" s="3" t="s">
        <v>42194</v>
      </c>
      <c r="K4" s="3">
        <v>3.3000000000000002E-41</v>
      </c>
      <c r="L4" s="2" t="s">
        <v>35</v>
      </c>
      <c r="M4" s="4" t="s">
        <v>25063</v>
      </c>
    </row>
    <row r="5" spans="1:13">
      <c r="A5" s="2">
        <v>1984</v>
      </c>
      <c r="B5" s="2" t="s">
        <v>42195</v>
      </c>
      <c r="C5" s="2">
        <v>4</v>
      </c>
      <c r="D5" s="2">
        <v>132</v>
      </c>
      <c r="E5" s="2">
        <v>7</v>
      </c>
      <c r="F5" s="2">
        <v>32441</v>
      </c>
      <c r="G5" s="2">
        <v>140.43722940000001</v>
      </c>
      <c r="H5" s="3">
        <v>8.3200000000000004E-8</v>
      </c>
      <c r="I5" s="2" t="s">
        <v>42196</v>
      </c>
      <c r="J5" s="2" t="s">
        <v>42197</v>
      </c>
      <c r="K5" s="3">
        <v>9.8999999999999994E-5</v>
      </c>
      <c r="L5" s="2" t="s">
        <v>35</v>
      </c>
      <c r="M5" s="4" t="s">
        <v>42198</v>
      </c>
    </row>
    <row r="6" spans="1:13">
      <c r="A6" s="2">
        <v>1985</v>
      </c>
      <c r="B6" s="2" t="s">
        <v>42199</v>
      </c>
      <c r="C6" s="2">
        <v>4</v>
      </c>
      <c r="D6" s="2">
        <v>132</v>
      </c>
      <c r="E6" s="2">
        <v>14</v>
      </c>
      <c r="F6" s="2">
        <v>32441</v>
      </c>
      <c r="G6" s="2">
        <v>70.218614720000005</v>
      </c>
      <c r="H6" s="3">
        <v>7.54E-7</v>
      </c>
      <c r="I6" s="2" t="s">
        <v>42196</v>
      </c>
      <c r="J6" s="2" t="s">
        <v>42197</v>
      </c>
      <c r="K6" s="2">
        <v>7.1851300000000005E-4</v>
      </c>
      <c r="L6" s="2" t="s">
        <v>35</v>
      </c>
      <c r="M6" s="4" t="s">
        <v>42200</v>
      </c>
    </row>
    <row r="7" spans="1:13">
      <c r="A7" s="2">
        <v>4703</v>
      </c>
      <c r="B7" s="2" t="s">
        <v>4126</v>
      </c>
      <c r="C7" s="2">
        <v>21</v>
      </c>
      <c r="D7" s="2">
        <v>132</v>
      </c>
      <c r="E7" s="2">
        <v>1725</v>
      </c>
      <c r="F7" s="2">
        <v>32441</v>
      </c>
      <c r="G7" s="2">
        <v>2.9919235839999998</v>
      </c>
      <c r="H7" s="3">
        <v>7.4000000000000003E-6</v>
      </c>
      <c r="I7" s="2" t="s">
        <v>42201</v>
      </c>
      <c r="J7" s="2" t="s">
        <v>42202</v>
      </c>
      <c r="K7" s="2">
        <v>5.874191E-3</v>
      </c>
      <c r="L7" s="2" t="s">
        <v>35</v>
      </c>
      <c r="M7" s="4" t="s">
        <v>4129</v>
      </c>
    </row>
    <row r="8" spans="1:13">
      <c r="A8" s="2">
        <v>4229</v>
      </c>
      <c r="B8" s="2" t="s">
        <v>5457</v>
      </c>
      <c r="C8" s="2">
        <v>12</v>
      </c>
      <c r="D8" s="2">
        <v>132</v>
      </c>
      <c r="E8" s="2">
        <v>718</v>
      </c>
      <c r="F8" s="2">
        <v>32441</v>
      </c>
      <c r="G8" s="2">
        <v>4.107495568</v>
      </c>
      <c r="H8" s="3">
        <v>4.4199999999999997E-5</v>
      </c>
      <c r="I8" s="2" t="s">
        <v>42203</v>
      </c>
      <c r="J8" s="2" t="s">
        <v>42204</v>
      </c>
      <c r="K8" s="2">
        <v>3.0047812E-2</v>
      </c>
      <c r="L8" s="2" t="s">
        <v>35</v>
      </c>
      <c r="M8" s="4" t="s">
        <v>5460</v>
      </c>
    </row>
    <row r="9" spans="1:13">
      <c r="A9" s="2">
        <v>192</v>
      </c>
      <c r="B9" s="2" t="s">
        <v>42205</v>
      </c>
      <c r="C9" s="2">
        <v>14</v>
      </c>
      <c r="D9" s="2">
        <v>132</v>
      </c>
      <c r="E9" s="2">
        <v>181</v>
      </c>
      <c r="F9" s="2">
        <v>32441</v>
      </c>
      <c r="G9" s="2">
        <v>19.009459230000001</v>
      </c>
      <c r="H9" s="3">
        <v>7.0000000000000005E-14</v>
      </c>
      <c r="I9" s="2" t="s">
        <v>42206</v>
      </c>
      <c r="J9" s="2" t="s">
        <v>42207</v>
      </c>
      <c r="K9" s="3">
        <v>5.8500000000000005E-11</v>
      </c>
      <c r="L9" s="2" t="s">
        <v>606</v>
      </c>
      <c r="M9" s="4" t="s">
        <v>42208</v>
      </c>
    </row>
    <row r="10" spans="1:13">
      <c r="A10" s="2">
        <v>193</v>
      </c>
      <c r="B10" s="2" t="s">
        <v>26866</v>
      </c>
      <c r="C10" s="2">
        <v>13</v>
      </c>
      <c r="D10" s="2">
        <v>132</v>
      </c>
      <c r="E10" s="2">
        <v>256</v>
      </c>
      <c r="F10" s="2">
        <v>32441</v>
      </c>
      <c r="G10" s="2">
        <v>12.4802616</v>
      </c>
      <c r="H10" s="3">
        <v>8.3600000000000001E-11</v>
      </c>
      <c r="I10" s="2" t="s">
        <v>42209</v>
      </c>
      <c r="J10" s="2" t="s">
        <v>42210</v>
      </c>
      <c r="K10" s="3">
        <v>3.5000000000000002E-8</v>
      </c>
      <c r="L10" s="2" t="s">
        <v>606</v>
      </c>
      <c r="M10" s="4" t="s">
        <v>26869</v>
      </c>
    </row>
    <row r="11" spans="1:13">
      <c r="A11" s="2">
        <v>337</v>
      </c>
      <c r="B11" s="2" t="s">
        <v>27262</v>
      </c>
      <c r="C11" s="2">
        <v>9</v>
      </c>
      <c r="D11" s="2">
        <v>132</v>
      </c>
      <c r="E11" s="2">
        <v>147</v>
      </c>
      <c r="F11" s="2">
        <v>32441</v>
      </c>
      <c r="G11" s="2">
        <v>15.046846009999999</v>
      </c>
      <c r="H11" s="3">
        <v>1.6099999999999999E-8</v>
      </c>
      <c r="I11" s="2" t="s">
        <v>42211</v>
      </c>
      <c r="J11" s="2" t="s">
        <v>42212</v>
      </c>
      <c r="K11" s="3">
        <v>4.5000000000000001E-6</v>
      </c>
      <c r="L11" s="2" t="s">
        <v>606</v>
      </c>
      <c r="M11" s="4" t="s">
        <v>27265</v>
      </c>
    </row>
    <row r="12" spans="1:13">
      <c r="A12" s="2">
        <v>331</v>
      </c>
      <c r="B12" s="2" t="s">
        <v>42213</v>
      </c>
      <c r="C12" s="2">
        <v>9</v>
      </c>
      <c r="D12" s="2">
        <v>132</v>
      </c>
      <c r="E12" s="2">
        <v>268</v>
      </c>
      <c r="F12" s="2">
        <v>32441</v>
      </c>
      <c r="G12" s="2">
        <v>8.2533073269999999</v>
      </c>
      <c r="H12" s="3">
        <v>2.08E-6</v>
      </c>
      <c r="I12" s="2" t="s">
        <v>42214</v>
      </c>
      <c r="J12" s="2" t="s">
        <v>42215</v>
      </c>
      <c r="K12" s="2">
        <v>4.3514900000000002E-4</v>
      </c>
      <c r="L12" s="2" t="s">
        <v>606</v>
      </c>
      <c r="M12" s="4" t="s">
        <v>42216</v>
      </c>
    </row>
    <row r="13" spans="1:13">
      <c r="A13" s="2">
        <v>524</v>
      </c>
      <c r="B13" s="2" t="s">
        <v>42217</v>
      </c>
      <c r="C13" s="2">
        <v>6</v>
      </c>
      <c r="D13" s="2">
        <v>132</v>
      </c>
      <c r="E13" s="2">
        <v>111</v>
      </c>
      <c r="F13" s="2">
        <v>32441</v>
      </c>
      <c r="G13" s="2">
        <v>13.28460278</v>
      </c>
      <c r="H13" s="3">
        <v>8.5499999999999995E-6</v>
      </c>
      <c r="I13" s="2" t="s">
        <v>42218</v>
      </c>
      <c r="J13" s="2" t="s">
        <v>42219</v>
      </c>
      <c r="K13" s="2">
        <v>1.429397E-3</v>
      </c>
      <c r="L13" s="2" t="s">
        <v>606</v>
      </c>
      <c r="M13" s="4" t="s">
        <v>42220</v>
      </c>
    </row>
    <row r="14" spans="1:13">
      <c r="A14" s="2">
        <v>810</v>
      </c>
      <c r="B14" s="2" t="s">
        <v>42221</v>
      </c>
      <c r="C14" s="2">
        <v>5</v>
      </c>
      <c r="D14" s="2">
        <v>132</v>
      </c>
      <c r="E14" s="2">
        <v>86</v>
      </c>
      <c r="F14" s="2">
        <v>32441</v>
      </c>
      <c r="G14" s="2">
        <v>14.288671600000001</v>
      </c>
      <c r="H14" s="3">
        <v>3.5599999999999998E-5</v>
      </c>
      <c r="I14" s="2" t="s">
        <v>42222</v>
      </c>
      <c r="J14" s="2" t="s">
        <v>42223</v>
      </c>
      <c r="K14" s="2">
        <v>4.9633000000000004E-3</v>
      </c>
      <c r="L14" s="2" t="s">
        <v>606</v>
      </c>
      <c r="M14" s="4" t="s">
        <v>42224</v>
      </c>
    </row>
    <row r="15" spans="1:13">
      <c r="A15" s="2">
        <v>195</v>
      </c>
      <c r="B15" s="2" t="s">
        <v>42225</v>
      </c>
      <c r="C15" s="2">
        <v>7</v>
      </c>
      <c r="D15" s="2">
        <v>132</v>
      </c>
      <c r="E15" s="2">
        <v>278</v>
      </c>
      <c r="F15" s="2">
        <v>32441</v>
      </c>
      <c r="G15" s="2">
        <v>6.188331153</v>
      </c>
      <c r="H15" s="2">
        <v>1.6934799999999999E-4</v>
      </c>
      <c r="I15" s="2" t="s">
        <v>42226</v>
      </c>
      <c r="J15" s="2" t="s">
        <v>42227</v>
      </c>
      <c r="K15" s="2">
        <v>2.0225007999999999E-2</v>
      </c>
      <c r="L15" s="2" t="s">
        <v>606</v>
      </c>
      <c r="M15" s="4" t="s">
        <v>42228</v>
      </c>
    </row>
    <row r="16" spans="1:13">
      <c r="A16" s="2">
        <v>4960</v>
      </c>
      <c r="B16" s="2" t="s">
        <v>42229</v>
      </c>
      <c r="C16" s="2">
        <v>27</v>
      </c>
      <c r="D16" s="2">
        <v>132</v>
      </c>
      <c r="E16" s="2">
        <v>469</v>
      </c>
      <c r="F16" s="2">
        <v>32441</v>
      </c>
      <c r="G16" s="2">
        <v>14.14852685</v>
      </c>
      <c r="H16" s="3">
        <v>9.1600000000000002E-23</v>
      </c>
      <c r="I16" s="2" t="s">
        <v>42230</v>
      </c>
      <c r="J16" s="2" t="s">
        <v>42231</v>
      </c>
      <c r="K16" s="3">
        <v>5.4199999999999999E-19</v>
      </c>
      <c r="L16" s="2" t="s">
        <v>848</v>
      </c>
      <c r="M16" s="4" t="s">
        <v>42232</v>
      </c>
    </row>
    <row r="17" spans="1:13">
      <c r="A17" s="2">
        <v>2563</v>
      </c>
      <c r="B17" s="2" t="s">
        <v>42233</v>
      </c>
      <c r="C17" s="2">
        <v>14</v>
      </c>
      <c r="D17" s="2">
        <v>132</v>
      </c>
      <c r="E17" s="2">
        <v>69</v>
      </c>
      <c r="F17" s="2">
        <v>32441</v>
      </c>
      <c r="G17" s="2">
        <v>49.865393060000002</v>
      </c>
      <c r="H17" s="3">
        <v>3.3100000000000001E-19</v>
      </c>
      <c r="I17" s="2" t="s">
        <v>42234</v>
      </c>
      <c r="J17" s="2" t="s">
        <v>42235</v>
      </c>
      <c r="K17" s="3">
        <v>9.7899999999999993E-16</v>
      </c>
      <c r="L17" s="2" t="s">
        <v>848</v>
      </c>
      <c r="M17" s="4" t="s">
        <v>42236</v>
      </c>
    </row>
    <row r="18" spans="1:13">
      <c r="A18" s="2">
        <v>3609</v>
      </c>
      <c r="B18" s="2" t="s">
        <v>42237</v>
      </c>
      <c r="C18" s="2">
        <v>12</v>
      </c>
      <c r="D18" s="2">
        <v>132</v>
      </c>
      <c r="E18" s="2">
        <v>44</v>
      </c>
      <c r="F18" s="2">
        <v>32441</v>
      </c>
      <c r="G18" s="2">
        <v>67.0268595</v>
      </c>
      <c r="H18" s="3">
        <v>5.64E-18</v>
      </c>
      <c r="I18" s="2" t="s">
        <v>42238</v>
      </c>
      <c r="J18" s="2" t="s">
        <v>42239</v>
      </c>
      <c r="K18" s="3">
        <v>1.11E-14</v>
      </c>
      <c r="L18" s="2" t="s">
        <v>848</v>
      </c>
      <c r="M18" s="4" t="s">
        <v>42240</v>
      </c>
    </row>
    <row r="19" spans="1:13">
      <c r="A19" s="2">
        <v>1089</v>
      </c>
      <c r="B19" s="2" t="s">
        <v>28897</v>
      </c>
      <c r="C19" s="2">
        <v>22</v>
      </c>
      <c r="D19" s="2">
        <v>132</v>
      </c>
      <c r="E19" s="2">
        <v>522</v>
      </c>
      <c r="F19" s="2">
        <v>32441</v>
      </c>
      <c r="G19" s="2">
        <v>10.35791826</v>
      </c>
      <c r="H19" s="3">
        <v>5.9600000000000002E-16</v>
      </c>
      <c r="I19" s="2" t="s">
        <v>42241</v>
      </c>
      <c r="J19" s="2" t="s">
        <v>42242</v>
      </c>
      <c r="K19" s="3">
        <v>8.8099999999999998E-13</v>
      </c>
      <c r="L19" s="2" t="s">
        <v>848</v>
      </c>
      <c r="M19" s="4" t="s">
        <v>28900</v>
      </c>
    </row>
    <row r="20" spans="1:13">
      <c r="A20" s="2">
        <v>4655</v>
      </c>
      <c r="B20" s="2" t="s">
        <v>42243</v>
      </c>
      <c r="C20" s="2">
        <v>17</v>
      </c>
      <c r="D20" s="2">
        <v>132</v>
      </c>
      <c r="E20" s="2">
        <v>307</v>
      </c>
      <c r="F20" s="2">
        <v>32441</v>
      </c>
      <c r="G20" s="2">
        <v>13.6091452</v>
      </c>
      <c r="H20" s="3">
        <v>2.3E-14</v>
      </c>
      <c r="I20" s="2" t="s">
        <v>42244</v>
      </c>
      <c r="J20" s="2" t="s">
        <v>42245</v>
      </c>
      <c r="K20" s="3">
        <v>2.72E-11</v>
      </c>
      <c r="L20" s="2" t="s">
        <v>848</v>
      </c>
      <c r="M20" s="4" t="s">
        <v>42246</v>
      </c>
    </row>
    <row r="21" spans="1:13">
      <c r="A21" s="2">
        <v>4941</v>
      </c>
      <c r="B21" s="2" t="s">
        <v>42247</v>
      </c>
      <c r="C21" s="2">
        <v>11</v>
      </c>
      <c r="D21" s="2">
        <v>132</v>
      </c>
      <c r="E21" s="2">
        <v>85</v>
      </c>
      <c r="F21" s="2">
        <v>32441</v>
      </c>
      <c r="G21" s="2">
        <v>31.804901959999999</v>
      </c>
      <c r="H21" s="3">
        <v>2.08E-13</v>
      </c>
      <c r="I21" s="2" t="s">
        <v>42248</v>
      </c>
      <c r="J21" s="2" t="s">
        <v>42249</v>
      </c>
      <c r="K21" s="3">
        <v>2.0600000000000001E-10</v>
      </c>
      <c r="L21" s="2" t="s">
        <v>848</v>
      </c>
      <c r="M21" s="4" t="s">
        <v>42250</v>
      </c>
    </row>
    <row r="22" spans="1:13">
      <c r="A22" s="2">
        <v>1438</v>
      </c>
      <c r="B22" s="2" t="s">
        <v>42251</v>
      </c>
      <c r="C22" s="2">
        <v>8</v>
      </c>
      <c r="D22" s="2">
        <v>132</v>
      </c>
      <c r="E22" s="2">
        <v>22</v>
      </c>
      <c r="F22" s="2">
        <v>32441</v>
      </c>
      <c r="G22" s="2">
        <v>89.369146009999994</v>
      </c>
      <c r="H22" s="3">
        <v>3.19E-13</v>
      </c>
      <c r="I22" s="2" t="s">
        <v>42252</v>
      </c>
      <c r="J22" s="2" t="s">
        <v>42253</v>
      </c>
      <c r="K22" s="3">
        <v>2.69E-10</v>
      </c>
      <c r="L22" s="2" t="s">
        <v>848</v>
      </c>
      <c r="M22" s="4" t="s">
        <v>42254</v>
      </c>
    </row>
    <row r="23" spans="1:13">
      <c r="A23" s="2">
        <v>1790</v>
      </c>
      <c r="B23" s="2" t="s">
        <v>42255</v>
      </c>
      <c r="C23" s="2">
        <v>14</v>
      </c>
      <c r="D23" s="2">
        <v>132</v>
      </c>
      <c r="E23" s="2">
        <v>207</v>
      </c>
      <c r="F23" s="2">
        <v>32441</v>
      </c>
      <c r="G23" s="2">
        <v>16.621797690000001</v>
      </c>
      <c r="H23" s="3">
        <v>3.91E-13</v>
      </c>
      <c r="I23" s="2" t="s">
        <v>42256</v>
      </c>
      <c r="J23" s="2" t="s">
        <v>42257</v>
      </c>
      <c r="K23" s="3">
        <v>2.8899999999999998E-10</v>
      </c>
      <c r="L23" s="2" t="s">
        <v>848</v>
      </c>
      <c r="M23" s="4" t="s">
        <v>42258</v>
      </c>
    </row>
    <row r="24" spans="1:13">
      <c r="A24" s="2">
        <v>1927</v>
      </c>
      <c r="B24" s="2" t="s">
        <v>42259</v>
      </c>
      <c r="C24" s="2">
        <v>13</v>
      </c>
      <c r="D24" s="2">
        <v>132</v>
      </c>
      <c r="E24" s="2">
        <v>188</v>
      </c>
      <c r="F24" s="2">
        <v>32441</v>
      </c>
      <c r="G24" s="2">
        <v>16.99439877</v>
      </c>
      <c r="H24" s="3">
        <v>2.1600000000000001E-12</v>
      </c>
      <c r="I24" s="2" t="s">
        <v>42260</v>
      </c>
      <c r="J24" s="2" t="s">
        <v>42261</v>
      </c>
      <c r="K24" s="3">
        <v>1.4200000000000001E-9</v>
      </c>
      <c r="L24" s="2" t="s">
        <v>848</v>
      </c>
      <c r="M24" s="4" t="s">
        <v>42262</v>
      </c>
    </row>
    <row r="25" spans="1:13">
      <c r="A25" s="2">
        <v>4630</v>
      </c>
      <c r="B25" s="2" t="s">
        <v>42263</v>
      </c>
      <c r="C25" s="2">
        <v>11</v>
      </c>
      <c r="D25" s="2">
        <v>132</v>
      </c>
      <c r="E25" s="2">
        <v>109</v>
      </c>
      <c r="F25" s="2">
        <v>32441</v>
      </c>
      <c r="G25" s="2">
        <v>24.80198777</v>
      </c>
      <c r="H25" s="3">
        <v>2.5299999999999999E-12</v>
      </c>
      <c r="I25" s="2" t="s">
        <v>42264</v>
      </c>
      <c r="J25" s="2" t="s">
        <v>42265</v>
      </c>
      <c r="K25" s="3">
        <v>1.5E-9</v>
      </c>
      <c r="L25" s="2" t="s">
        <v>848</v>
      </c>
      <c r="M25" s="4" t="s">
        <v>42266</v>
      </c>
    </row>
    <row r="26" spans="1:13">
      <c r="A26" s="2">
        <v>4894</v>
      </c>
      <c r="B26" s="2" t="s">
        <v>10281</v>
      </c>
      <c r="C26" s="2">
        <v>31</v>
      </c>
      <c r="D26" s="2">
        <v>132</v>
      </c>
      <c r="E26" s="2">
        <v>1786</v>
      </c>
      <c r="F26" s="2">
        <v>32441</v>
      </c>
      <c r="G26" s="2">
        <v>4.2658005020000003</v>
      </c>
      <c r="H26" s="3">
        <v>6.3500000000000002E-12</v>
      </c>
      <c r="I26" s="2" t="s">
        <v>42267</v>
      </c>
      <c r="J26" s="2" t="s">
        <v>42268</v>
      </c>
      <c r="K26" s="3">
        <v>3.41E-9</v>
      </c>
      <c r="L26" s="2" t="s">
        <v>848</v>
      </c>
      <c r="M26" s="4" t="s">
        <v>10284</v>
      </c>
    </row>
    <row r="27" spans="1:13">
      <c r="A27" s="2">
        <v>2008</v>
      </c>
      <c r="B27" s="2" t="s">
        <v>42269</v>
      </c>
      <c r="C27" s="2">
        <v>8</v>
      </c>
      <c r="D27" s="2">
        <v>132</v>
      </c>
      <c r="E27" s="2">
        <v>36</v>
      </c>
      <c r="F27" s="2">
        <v>32441</v>
      </c>
      <c r="G27" s="2">
        <v>54.61447811</v>
      </c>
      <c r="H27" s="3">
        <v>9.1999999999999996E-12</v>
      </c>
      <c r="I27" s="2" t="s">
        <v>42270</v>
      </c>
      <c r="J27" s="2" t="s">
        <v>42271</v>
      </c>
      <c r="K27" s="3">
        <v>4.5399999999999996E-9</v>
      </c>
      <c r="L27" s="2" t="s">
        <v>848</v>
      </c>
      <c r="M27" s="4" t="s">
        <v>42272</v>
      </c>
    </row>
    <row r="28" spans="1:13">
      <c r="A28" s="2">
        <v>1249</v>
      </c>
      <c r="B28" s="2" t="s">
        <v>28991</v>
      </c>
      <c r="C28" s="2">
        <v>15</v>
      </c>
      <c r="D28" s="2">
        <v>132</v>
      </c>
      <c r="E28" s="2">
        <v>348</v>
      </c>
      <c r="F28" s="2">
        <v>32441</v>
      </c>
      <c r="G28" s="2">
        <v>10.593325500000001</v>
      </c>
      <c r="H28" s="3">
        <v>2.5200000000000001E-11</v>
      </c>
      <c r="I28" s="2" t="s">
        <v>42273</v>
      </c>
      <c r="J28" s="2" t="s">
        <v>42274</v>
      </c>
      <c r="K28" s="3">
        <v>1.15E-8</v>
      </c>
      <c r="L28" s="2" t="s">
        <v>848</v>
      </c>
      <c r="M28" s="4" t="s">
        <v>28994</v>
      </c>
    </row>
    <row r="29" spans="1:13">
      <c r="A29" s="2">
        <v>1611</v>
      </c>
      <c r="B29" s="2" t="s">
        <v>30745</v>
      </c>
      <c r="C29" s="2">
        <v>13</v>
      </c>
      <c r="D29" s="2">
        <v>132</v>
      </c>
      <c r="E29" s="2">
        <v>246</v>
      </c>
      <c r="F29" s="2">
        <v>32441</v>
      </c>
      <c r="G29" s="2">
        <v>12.987589310000001</v>
      </c>
      <c r="H29" s="3">
        <v>5.2300000000000003E-11</v>
      </c>
      <c r="I29" s="2" t="s">
        <v>42260</v>
      </c>
      <c r="J29" s="2" t="s">
        <v>42261</v>
      </c>
      <c r="K29" s="3">
        <v>2.2099999999999999E-8</v>
      </c>
      <c r="L29" s="2" t="s">
        <v>848</v>
      </c>
      <c r="M29" s="4" t="s">
        <v>30748</v>
      </c>
    </row>
    <row r="30" spans="1:13">
      <c r="A30" s="2">
        <v>3360</v>
      </c>
      <c r="B30" s="2" t="s">
        <v>29888</v>
      </c>
      <c r="C30" s="2">
        <v>12</v>
      </c>
      <c r="D30" s="2">
        <v>132</v>
      </c>
      <c r="E30" s="2">
        <v>205</v>
      </c>
      <c r="F30" s="2">
        <v>32441</v>
      </c>
      <c r="G30" s="2">
        <v>14.38625277</v>
      </c>
      <c r="H30" s="3">
        <v>9.7499999999999999E-11</v>
      </c>
      <c r="I30" s="2" t="s">
        <v>42275</v>
      </c>
      <c r="J30" s="2" t="s">
        <v>42276</v>
      </c>
      <c r="K30" s="3">
        <v>3.84E-8</v>
      </c>
      <c r="L30" s="2" t="s">
        <v>848</v>
      </c>
      <c r="M30" s="4" t="s">
        <v>29891</v>
      </c>
    </row>
    <row r="31" spans="1:13">
      <c r="A31" s="2">
        <v>451</v>
      </c>
      <c r="B31" s="2" t="s">
        <v>11484</v>
      </c>
      <c r="C31" s="2">
        <v>13</v>
      </c>
      <c r="D31" s="2">
        <v>132</v>
      </c>
      <c r="E31" s="2">
        <v>264</v>
      </c>
      <c r="F31" s="2">
        <v>32441</v>
      </c>
      <c r="G31" s="2">
        <v>12.10207185</v>
      </c>
      <c r="H31" s="3">
        <v>1.2E-10</v>
      </c>
      <c r="I31" s="2" t="s">
        <v>42260</v>
      </c>
      <c r="J31" s="2" t="s">
        <v>42261</v>
      </c>
      <c r="K31" s="3">
        <v>4.4400000000000001E-8</v>
      </c>
      <c r="L31" s="2" t="s">
        <v>848</v>
      </c>
      <c r="M31" s="4" t="s">
        <v>11487</v>
      </c>
    </row>
    <row r="32" spans="1:13">
      <c r="A32" s="2">
        <v>4685</v>
      </c>
      <c r="B32" s="2" t="s">
        <v>28589</v>
      </c>
      <c r="C32" s="2">
        <v>30</v>
      </c>
      <c r="D32" s="2">
        <v>132</v>
      </c>
      <c r="E32" s="2">
        <v>1967</v>
      </c>
      <c r="F32" s="2">
        <v>32441</v>
      </c>
      <c r="G32" s="2">
        <v>3.7483246289999999</v>
      </c>
      <c r="H32" s="3">
        <v>3.2700000000000001E-10</v>
      </c>
      <c r="I32" s="2" t="s">
        <v>42277</v>
      </c>
      <c r="J32" s="2" t="s">
        <v>42278</v>
      </c>
      <c r="K32" s="3">
        <v>1.14E-7</v>
      </c>
      <c r="L32" s="2" t="s">
        <v>848</v>
      </c>
      <c r="M32" s="4" t="s">
        <v>28592</v>
      </c>
    </row>
    <row r="33" spans="1:13">
      <c r="A33" s="2">
        <v>4839</v>
      </c>
      <c r="B33" s="2" t="s">
        <v>42279</v>
      </c>
      <c r="C33" s="2">
        <v>7</v>
      </c>
      <c r="D33" s="2">
        <v>132</v>
      </c>
      <c r="E33" s="2">
        <v>43</v>
      </c>
      <c r="F33" s="2">
        <v>32441</v>
      </c>
      <c r="G33" s="2">
        <v>40.008280480000003</v>
      </c>
      <c r="H33" s="3">
        <v>1.32E-9</v>
      </c>
      <c r="I33" s="2" t="s">
        <v>42280</v>
      </c>
      <c r="J33" s="2" t="s">
        <v>42281</v>
      </c>
      <c r="K33" s="3">
        <v>4.34E-7</v>
      </c>
      <c r="L33" s="2" t="s">
        <v>848</v>
      </c>
      <c r="M33" s="4" t="s">
        <v>42282</v>
      </c>
    </row>
    <row r="34" spans="1:13">
      <c r="A34" s="2">
        <v>4684</v>
      </c>
      <c r="B34" s="2" t="s">
        <v>30121</v>
      </c>
      <c r="C34" s="2">
        <v>14</v>
      </c>
      <c r="D34" s="2">
        <v>132</v>
      </c>
      <c r="E34" s="2">
        <v>405</v>
      </c>
      <c r="F34" s="2">
        <v>32441</v>
      </c>
      <c r="G34" s="2">
        <v>8.4955854839999994</v>
      </c>
      <c r="H34" s="3">
        <v>1.8899999999999999E-9</v>
      </c>
      <c r="I34" s="2" t="s">
        <v>42283</v>
      </c>
      <c r="J34" s="2" t="s">
        <v>42284</v>
      </c>
      <c r="K34" s="3">
        <v>5.8899999999999999E-7</v>
      </c>
      <c r="L34" s="2" t="s">
        <v>848</v>
      </c>
      <c r="M34" s="4" t="s">
        <v>30124</v>
      </c>
    </row>
    <row r="35" spans="1:13">
      <c r="A35" s="2">
        <v>4459</v>
      </c>
      <c r="B35" s="2" t="s">
        <v>28436</v>
      </c>
      <c r="C35" s="2">
        <v>21</v>
      </c>
      <c r="D35" s="2">
        <v>132</v>
      </c>
      <c r="E35" s="2">
        <v>1068</v>
      </c>
      <c r="F35" s="2">
        <v>32441</v>
      </c>
      <c r="G35" s="2">
        <v>4.8324608439999999</v>
      </c>
      <c r="H35" s="3">
        <v>3.0899999999999999E-9</v>
      </c>
      <c r="I35" s="2" t="s">
        <v>42285</v>
      </c>
      <c r="J35" s="2" t="s">
        <v>42286</v>
      </c>
      <c r="K35" s="3">
        <v>9.1399999999999995E-7</v>
      </c>
      <c r="L35" s="2" t="s">
        <v>848</v>
      </c>
      <c r="M35" s="4" t="s">
        <v>28439</v>
      </c>
    </row>
    <row r="36" spans="1:13">
      <c r="A36" s="2">
        <v>2210</v>
      </c>
      <c r="B36" s="2" t="s">
        <v>42287</v>
      </c>
      <c r="C36" s="2">
        <v>5</v>
      </c>
      <c r="D36" s="2">
        <v>132</v>
      </c>
      <c r="E36" s="2">
        <v>15</v>
      </c>
      <c r="F36" s="2">
        <v>32441</v>
      </c>
      <c r="G36" s="2">
        <v>81.921717169999994</v>
      </c>
      <c r="H36" s="3">
        <v>1.4999999999999999E-8</v>
      </c>
      <c r="I36" s="2" t="s">
        <v>42288</v>
      </c>
      <c r="J36" s="2" t="s">
        <v>42289</v>
      </c>
      <c r="K36" s="3">
        <v>4.2100000000000003E-6</v>
      </c>
      <c r="L36" s="2" t="s">
        <v>848</v>
      </c>
      <c r="M36" s="4" t="s">
        <v>42290</v>
      </c>
    </row>
    <row r="37" spans="1:13">
      <c r="A37" s="2">
        <v>220</v>
      </c>
      <c r="B37" s="2" t="s">
        <v>30117</v>
      </c>
      <c r="C37" s="2">
        <v>15</v>
      </c>
      <c r="D37" s="2">
        <v>132</v>
      </c>
      <c r="E37" s="2">
        <v>633</v>
      </c>
      <c r="F37" s="2">
        <v>32441</v>
      </c>
      <c r="G37" s="2">
        <v>5.8238187559999997</v>
      </c>
      <c r="H37" s="3">
        <v>6.4900000000000005E-8</v>
      </c>
      <c r="I37" s="2" t="s">
        <v>42291</v>
      </c>
      <c r="J37" s="2" t="s">
        <v>42292</v>
      </c>
      <c r="K37" s="3">
        <v>1.7499999999999998E-5</v>
      </c>
      <c r="L37" s="2" t="s">
        <v>848</v>
      </c>
      <c r="M37" s="4" t="s">
        <v>30120</v>
      </c>
    </row>
    <row r="38" spans="1:13">
      <c r="A38" s="2">
        <v>4763</v>
      </c>
      <c r="B38" s="2" t="s">
        <v>42293</v>
      </c>
      <c r="C38" s="2">
        <v>5</v>
      </c>
      <c r="D38" s="2">
        <v>132</v>
      </c>
      <c r="E38" s="2">
        <v>23</v>
      </c>
      <c r="F38" s="2">
        <v>32441</v>
      </c>
      <c r="G38" s="2">
        <v>53.427206849999997</v>
      </c>
      <c r="H38" s="3">
        <v>9.2299999999999999E-8</v>
      </c>
      <c r="I38" s="2" t="s">
        <v>42294</v>
      </c>
      <c r="J38" s="2" t="s">
        <v>42295</v>
      </c>
      <c r="K38" s="3">
        <v>2.3799999999999999E-5</v>
      </c>
      <c r="L38" s="2" t="s">
        <v>848</v>
      </c>
      <c r="M38" s="4" t="s">
        <v>42296</v>
      </c>
    </row>
    <row r="39" spans="1:13">
      <c r="A39" s="2">
        <v>4683</v>
      </c>
      <c r="B39" s="2" t="s">
        <v>28509</v>
      </c>
      <c r="C39" s="2">
        <v>22</v>
      </c>
      <c r="D39" s="2">
        <v>132</v>
      </c>
      <c r="E39" s="2">
        <v>1436</v>
      </c>
      <c r="F39" s="2">
        <v>32441</v>
      </c>
      <c r="G39" s="2">
        <v>3.765204271</v>
      </c>
      <c r="H39" s="3">
        <v>9.9699999999999999E-8</v>
      </c>
      <c r="I39" s="2" t="s">
        <v>42297</v>
      </c>
      <c r="J39" s="2" t="s">
        <v>42298</v>
      </c>
      <c r="K39" s="3">
        <v>2.4600000000000002E-5</v>
      </c>
      <c r="L39" s="2" t="s">
        <v>848</v>
      </c>
      <c r="M39" s="4" t="s">
        <v>28512</v>
      </c>
    </row>
    <row r="40" spans="1:13">
      <c r="A40" s="2">
        <v>4853</v>
      </c>
      <c r="B40" s="2" t="s">
        <v>37696</v>
      </c>
      <c r="C40" s="2">
        <v>15</v>
      </c>
      <c r="D40" s="2">
        <v>132</v>
      </c>
      <c r="E40" s="2">
        <v>670</v>
      </c>
      <c r="F40" s="2">
        <v>32441</v>
      </c>
      <c r="G40" s="2">
        <v>5.5022048850000003</v>
      </c>
      <c r="H40" s="3">
        <v>1.3300000000000001E-7</v>
      </c>
      <c r="I40" s="2" t="s">
        <v>42299</v>
      </c>
      <c r="J40" s="2" t="s">
        <v>42300</v>
      </c>
      <c r="K40" s="3">
        <v>3.1399999999999998E-5</v>
      </c>
      <c r="L40" s="2" t="s">
        <v>848</v>
      </c>
      <c r="M40" s="4" t="s">
        <v>37699</v>
      </c>
    </row>
    <row r="41" spans="1:13">
      <c r="A41" s="2">
        <v>2358</v>
      </c>
      <c r="B41" s="2" t="s">
        <v>1055</v>
      </c>
      <c r="C41" s="2">
        <v>13</v>
      </c>
      <c r="D41" s="2">
        <v>132</v>
      </c>
      <c r="E41" s="2">
        <v>495</v>
      </c>
      <c r="F41" s="2">
        <v>32441</v>
      </c>
      <c r="G41" s="2">
        <v>6.4544383229999998</v>
      </c>
      <c r="H41" s="3">
        <v>1.6500000000000001E-7</v>
      </c>
      <c r="I41" s="2" t="s">
        <v>42260</v>
      </c>
      <c r="J41" s="2" t="s">
        <v>42261</v>
      </c>
      <c r="K41" s="3">
        <v>3.7599999999999999E-5</v>
      </c>
      <c r="L41" s="2" t="s">
        <v>848</v>
      </c>
      <c r="M41" s="4" t="s">
        <v>29283</v>
      </c>
    </row>
    <row r="42" spans="1:13">
      <c r="A42" s="2">
        <v>4942</v>
      </c>
      <c r="B42" s="2" t="s">
        <v>42301</v>
      </c>
      <c r="C42" s="2">
        <v>6</v>
      </c>
      <c r="D42" s="2">
        <v>132</v>
      </c>
      <c r="E42" s="2">
        <v>57</v>
      </c>
      <c r="F42" s="2">
        <v>32441</v>
      </c>
      <c r="G42" s="2">
        <v>25.870015949999999</v>
      </c>
      <c r="H42" s="3">
        <v>2.22E-7</v>
      </c>
      <c r="I42" s="2" t="s">
        <v>42302</v>
      </c>
      <c r="J42" s="2" t="s">
        <v>42303</v>
      </c>
      <c r="K42" s="3">
        <v>4.8699999999999998E-5</v>
      </c>
      <c r="L42" s="2" t="s">
        <v>848</v>
      </c>
      <c r="M42" s="4" t="s">
        <v>42304</v>
      </c>
    </row>
    <row r="43" spans="1:13">
      <c r="A43" s="2">
        <v>1307</v>
      </c>
      <c r="B43" s="2" t="s">
        <v>42305</v>
      </c>
      <c r="C43" s="2">
        <v>4</v>
      </c>
      <c r="D43" s="2">
        <v>132</v>
      </c>
      <c r="E43" s="2">
        <v>11</v>
      </c>
      <c r="F43" s="2">
        <v>32441</v>
      </c>
      <c r="G43" s="2">
        <v>89.369146009999994</v>
      </c>
      <c r="H43" s="3">
        <v>3.3999999999999997E-7</v>
      </c>
      <c r="I43" s="2" t="s">
        <v>42306</v>
      </c>
      <c r="J43" s="2" t="s">
        <v>42307</v>
      </c>
      <c r="K43" s="3">
        <v>7.1799999999999997E-5</v>
      </c>
      <c r="L43" s="2" t="s">
        <v>848</v>
      </c>
      <c r="M43" s="4" t="s">
        <v>42308</v>
      </c>
    </row>
    <row r="44" spans="1:13">
      <c r="A44" s="2">
        <v>510</v>
      </c>
      <c r="B44" s="2" t="s">
        <v>11444</v>
      </c>
      <c r="C44" s="2">
        <v>16</v>
      </c>
      <c r="D44" s="2">
        <v>132</v>
      </c>
      <c r="E44" s="2">
        <v>838</v>
      </c>
      <c r="F44" s="2">
        <v>32441</v>
      </c>
      <c r="G44" s="2">
        <v>4.6924133939999999</v>
      </c>
      <c r="H44" s="3">
        <v>4.0200000000000003E-7</v>
      </c>
      <c r="I44" s="2" t="s">
        <v>42309</v>
      </c>
      <c r="J44" s="2" t="s">
        <v>42310</v>
      </c>
      <c r="K44" s="3">
        <v>7.9300000000000003E-5</v>
      </c>
      <c r="L44" s="2" t="s">
        <v>848</v>
      </c>
      <c r="M44" s="4" t="s">
        <v>11447</v>
      </c>
    </row>
    <row r="45" spans="1:13">
      <c r="A45" s="2">
        <v>4899</v>
      </c>
      <c r="B45" s="2" t="s">
        <v>42311</v>
      </c>
      <c r="C45" s="2">
        <v>17</v>
      </c>
      <c r="D45" s="2">
        <v>132</v>
      </c>
      <c r="E45" s="2">
        <v>946</v>
      </c>
      <c r="F45" s="2">
        <v>32441</v>
      </c>
      <c r="G45" s="2">
        <v>4.4164984939999998</v>
      </c>
      <c r="H45" s="3">
        <v>3.89E-7</v>
      </c>
      <c r="I45" s="2" t="s">
        <v>42244</v>
      </c>
      <c r="J45" s="2" t="s">
        <v>42245</v>
      </c>
      <c r="K45" s="3">
        <v>7.9300000000000003E-5</v>
      </c>
      <c r="L45" s="2" t="s">
        <v>848</v>
      </c>
      <c r="M45" s="4" t="s">
        <v>42312</v>
      </c>
    </row>
    <row r="46" spans="1:13">
      <c r="A46" s="2">
        <v>2317</v>
      </c>
      <c r="B46" s="2" t="s">
        <v>42313</v>
      </c>
      <c r="C46" s="2">
        <v>4</v>
      </c>
      <c r="D46" s="2">
        <v>132</v>
      </c>
      <c r="E46" s="2">
        <v>12</v>
      </c>
      <c r="F46" s="2">
        <v>32441</v>
      </c>
      <c r="G46" s="2">
        <v>81.921717169999994</v>
      </c>
      <c r="H46" s="3">
        <v>4.5200000000000002E-7</v>
      </c>
      <c r="I46" s="2" t="s">
        <v>42314</v>
      </c>
      <c r="J46" s="2" t="s">
        <v>42315</v>
      </c>
      <c r="K46" s="3">
        <v>8.6199999999999995E-5</v>
      </c>
      <c r="L46" s="2" t="s">
        <v>848</v>
      </c>
      <c r="M46" s="4" t="s">
        <v>42316</v>
      </c>
    </row>
    <row r="47" spans="1:13">
      <c r="A47" s="2">
        <v>4966</v>
      </c>
      <c r="B47" s="2" t="s">
        <v>42317</v>
      </c>
      <c r="C47" s="2">
        <v>4</v>
      </c>
      <c r="D47" s="2">
        <v>132</v>
      </c>
      <c r="E47" s="2">
        <v>14</v>
      </c>
      <c r="F47" s="2">
        <v>32441</v>
      </c>
      <c r="G47" s="2">
        <v>70.218614720000005</v>
      </c>
      <c r="H47" s="3">
        <v>7.54E-7</v>
      </c>
      <c r="I47" s="2" t="s">
        <v>42318</v>
      </c>
      <c r="J47" s="2" t="s">
        <v>42319</v>
      </c>
      <c r="K47" s="2">
        <v>1.39498E-4</v>
      </c>
      <c r="L47" s="2" t="s">
        <v>848</v>
      </c>
      <c r="M47" s="4" t="s">
        <v>42320</v>
      </c>
    </row>
    <row r="48" spans="1:13">
      <c r="A48" s="2">
        <v>3334</v>
      </c>
      <c r="B48" s="2" t="s">
        <v>29237</v>
      </c>
      <c r="C48" s="2">
        <v>16</v>
      </c>
      <c r="D48" s="2">
        <v>132</v>
      </c>
      <c r="E48" s="2">
        <v>902</v>
      </c>
      <c r="F48" s="2">
        <v>32441</v>
      </c>
      <c r="G48" s="2">
        <v>4.359470537</v>
      </c>
      <c r="H48" s="3">
        <v>1.04E-6</v>
      </c>
      <c r="I48" s="2" t="s">
        <v>42321</v>
      </c>
      <c r="J48" s="2" t="s">
        <v>42322</v>
      </c>
      <c r="K48" s="2">
        <v>1.86174E-4</v>
      </c>
      <c r="L48" s="2" t="s">
        <v>848</v>
      </c>
      <c r="M48" s="4" t="s">
        <v>29240</v>
      </c>
    </row>
    <row r="49" spans="1:13">
      <c r="A49" s="2">
        <v>5429</v>
      </c>
      <c r="B49" s="2" t="s">
        <v>30449</v>
      </c>
      <c r="C49" s="2">
        <v>6</v>
      </c>
      <c r="D49" s="2">
        <v>132</v>
      </c>
      <c r="E49" s="2">
        <v>77</v>
      </c>
      <c r="F49" s="2">
        <v>32441</v>
      </c>
      <c r="G49" s="2">
        <v>19.15053129</v>
      </c>
      <c r="H49" s="3">
        <v>1.15E-6</v>
      </c>
      <c r="I49" s="2" t="s">
        <v>42323</v>
      </c>
      <c r="J49" s="2" t="s">
        <v>42324</v>
      </c>
      <c r="K49" s="2">
        <v>2.00922E-4</v>
      </c>
      <c r="L49" s="2" t="s">
        <v>848</v>
      </c>
      <c r="M49" s="4" t="s">
        <v>30452</v>
      </c>
    </row>
    <row r="50" spans="1:13">
      <c r="A50" s="2">
        <v>5639</v>
      </c>
      <c r="B50" s="2" t="s">
        <v>37942</v>
      </c>
      <c r="C50" s="2">
        <v>7</v>
      </c>
      <c r="D50" s="2">
        <v>132</v>
      </c>
      <c r="E50" s="2">
        <v>131</v>
      </c>
      <c r="F50" s="2">
        <v>32441</v>
      </c>
      <c r="G50" s="2">
        <v>13.13248901</v>
      </c>
      <c r="H50" s="3">
        <v>1.59E-6</v>
      </c>
      <c r="I50" s="2" t="s">
        <v>42280</v>
      </c>
      <c r="J50" s="2" t="s">
        <v>42281</v>
      </c>
      <c r="K50" s="2">
        <v>2.69521E-4</v>
      </c>
      <c r="L50" s="2" t="s">
        <v>848</v>
      </c>
      <c r="M50" s="4" t="s">
        <v>37945</v>
      </c>
    </row>
    <row r="51" spans="1:13">
      <c r="A51" s="2">
        <v>1220</v>
      </c>
      <c r="B51" s="2" t="s">
        <v>1117</v>
      </c>
      <c r="C51" s="2">
        <v>10</v>
      </c>
      <c r="D51" s="2">
        <v>132</v>
      </c>
      <c r="E51" s="2">
        <v>346</v>
      </c>
      <c r="F51" s="2">
        <v>32441</v>
      </c>
      <c r="G51" s="2">
        <v>7.1030390609999996</v>
      </c>
      <c r="H51" s="3">
        <v>2.0600000000000002E-6</v>
      </c>
      <c r="I51" s="2" t="s">
        <v>42325</v>
      </c>
      <c r="J51" s="2" t="s">
        <v>42326</v>
      </c>
      <c r="K51" s="2">
        <v>3.3782799999999998E-4</v>
      </c>
      <c r="L51" s="2" t="s">
        <v>848</v>
      </c>
      <c r="M51" s="4" t="s">
        <v>11588</v>
      </c>
    </row>
    <row r="52" spans="1:13">
      <c r="A52" s="2">
        <v>4472</v>
      </c>
      <c r="B52" s="2" t="s">
        <v>42327</v>
      </c>
      <c r="C52" s="2">
        <v>7</v>
      </c>
      <c r="D52" s="2">
        <v>132</v>
      </c>
      <c r="E52" s="2">
        <v>140</v>
      </c>
      <c r="F52" s="2">
        <v>32441</v>
      </c>
      <c r="G52" s="2">
        <v>12.28825758</v>
      </c>
      <c r="H52" s="3">
        <v>2.43E-6</v>
      </c>
      <c r="I52" s="2" t="s">
        <v>42328</v>
      </c>
      <c r="J52" s="2" t="s">
        <v>42329</v>
      </c>
      <c r="K52" s="2">
        <v>3.8868799999999999E-4</v>
      </c>
      <c r="L52" s="2" t="s">
        <v>848</v>
      </c>
      <c r="M52" s="4" t="s">
        <v>42330</v>
      </c>
    </row>
    <row r="53" spans="1:13">
      <c r="A53" s="2">
        <v>1092</v>
      </c>
      <c r="B53" s="2" t="s">
        <v>42331</v>
      </c>
      <c r="C53" s="2">
        <v>5</v>
      </c>
      <c r="D53" s="2">
        <v>132</v>
      </c>
      <c r="E53" s="2">
        <v>49</v>
      </c>
      <c r="F53" s="2">
        <v>32441</v>
      </c>
      <c r="G53" s="2">
        <v>25.07807669</v>
      </c>
      <c r="H53" s="3">
        <v>2.7300000000000001E-6</v>
      </c>
      <c r="I53" s="2" t="s">
        <v>42332</v>
      </c>
      <c r="J53" s="2" t="s">
        <v>42333</v>
      </c>
      <c r="K53" s="2">
        <v>4.2523600000000001E-4</v>
      </c>
      <c r="L53" s="2" t="s">
        <v>848</v>
      </c>
      <c r="M53" s="4" t="s">
        <v>42334</v>
      </c>
    </row>
    <row r="54" spans="1:13">
      <c r="A54" s="2">
        <v>4858</v>
      </c>
      <c r="B54" s="2" t="s">
        <v>29836</v>
      </c>
      <c r="C54" s="2">
        <v>7</v>
      </c>
      <c r="D54" s="2">
        <v>132</v>
      </c>
      <c r="E54" s="2">
        <v>145</v>
      </c>
      <c r="F54" s="2">
        <v>32441</v>
      </c>
      <c r="G54" s="2">
        <v>11.86452456</v>
      </c>
      <c r="H54" s="3">
        <v>3.0400000000000001E-6</v>
      </c>
      <c r="I54" s="2" t="s">
        <v>42280</v>
      </c>
      <c r="J54" s="2" t="s">
        <v>42281</v>
      </c>
      <c r="K54" s="2">
        <v>4.6052099999999998E-4</v>
      </c>
      <c r="L54" s="2" t="s">
        <v>848</v>
      </c>
      <c r="M54" s="4" t="s">
        <v>29839</v>
      </c>
    </row>
    <row r="55" spans="1:13">
      <c r="A55" s="2">
        <v>3005</v>
      </c>
      <c r="B55" s="2" t="s">
        <v>29703</v>
      </c>
      <c r="C55" s="2">
        <v>15</v>
      </c>
      <c r="D55" s="2">
        <v>132</v>
      </c>
      <c r="E55" s="2">
        <v>900</v>
      </c>
      <c r="F55" s="2">
        <v>32441</v>
      </c>
      <c r="G55" s="2">
        <v>4.0960858590000004</v>
      </c>
      <c r="H55" s="3">
        <v>4.8500000000000002E-6</v>
      </c>
      <c r="I55" s="2" t="s">
        <v>42291</v>
      </c>
      <c r="J55" s="2" t="s">
        <v>42292</v>
      </c>
      <c r="K55" s="2">
        <v>7.17456E-4</v>
      </c>
      <c r="L55" s="2" t="s">
        <v>848</v>
      </c>
      <c r="M55" s="4" t="s">
        <v>29706</v>
      </c>
    </row>
    <row r="56" spans="1:13">
      <c r="A56" s="2">
        <v>2575</v>
      </c>
      <c r="B56" s="2" t="s">
        <v>7839</v>
      </c>
      <c r="C56" s="2">
        <v>17</v>
      </c>
      <c r="D56" s="2">
        <v>132</v>
      </c>
      <c r="E56" s="2">
        <v>1275</v>
      </c>
      <c r="F56" s="2">
        <v>32441</v>
      </c>
      <c r="G56" s="2">
        <v>3.2768686869999999</v>
      </c>
      <c r="H56" s="3">
        <v>1.95E-5</v>
      </c>
      <c r="I56" s="2" t="s">
        <v>42335</v>
      </c>
      <c r="J56" s="2" t="s">
        <v>42336</v>
      </c>
      <c r="K56" s="2">
        <v>2.8122529999999998E-3</v>
      </c>
      <c r="L56" s="2" t="s">
        <v>848</v>
      </c>
      <c r="M56" s="4" t="s">
        <v>7842</v>
      </c>
    </row>
    <row r="57" spans="1:13">
      <c r="A57" s="2">
        <v>3233</v>
      </c>
      <c r="B57" s="2" t="s">
        <v>42337</v>
      </c>
      <c r="C57" s="2">
        <v>3</v>
      </c>
      <c r="D57" s="2">
        <v>132</v>
      </c>
      <c r="E57" s="2">
        <v>15</v>
      </c>
      <c r="F57" s="2">
        <v>32441</v>
      </c>
      <c r="G57" s="2">
        <v>49.153030299999998</v>
      </c>
      <c r="H57" s="3">
        <v>5.0800000000000002E-5</v>
      </c>
      <c r="I57" s="2" t="s">
        <v>42338</v>
      </c>
      <c r="J57" s="2" t="s">
        <v>42339</v>
      </c>
      <c r="K57" s="2">
        <v>7.1522299999999999E-3</v>
      </c>
      <c r="L57" s="2" t="s">
        <v>848</v>
      </c>
      <c r="M57" s="4" t="s">
        <v>42340</v>
      </c>
    </row>
    <row r="58" spans="1:13">
      <c r="A58" s="2">
        <v>45</v>
      </c>
      <c r="B58" s="2" t="s">
        <v>29609</v>
      </c>
      <c r="C58" s="2">
        <v>13</v>
      </c>
      <c r="D58" s="2">
        <v>132</v>
      </c>
      <c r="E58" s="2">
        <v>957</v>
      </c>
      <c r="F58" s="2">
        <v>32441</v>
      </c>
      <c r="G58" s="2">
        <v>3.3385025810000002</v>
      </c>
      <c r="H58" s="2">
        <v>1.64623E-4</v>
      </c>
      <c r="I58" s="2" t="s">
        <v>42260</v>
      </c>
      <c r="J58" s="2" t="s">
        <v>42261</v>
      </c>
      <c r="K58" s="2">
        <v>2.2652894E-2</v>
      </c>
      <c r="L58" s="2" t="s">
        <v>848</v>
      </c>
      <c r="M58" s="4" t="s">
        <v>29612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sqref="A1:M19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67</v>
      </c>
      <c r="B2" s="2" t="s">
        <v>42341</v>
      </c>
      <c r="C2" s="2">
        <v>6</v>
      </c>
      <c r="D2" s="2">
        <v>61</v>
      </c>
      <c r="E2" s="2">
        <v>225</v>
      </c>
      <c r="F2" s="2">
        <v>32441</v>
      </c>
      <c r="G2" s="2">
        <v>14.181857920000001</v>
      </c>
      <c r="H2" s="3">
        <v>4.8400000000000002E-6</v>
      </c>
      <c r="I2" s="2" t="s">
        <v>42342</v>
      </c>
      <c r="J2" s="2" t="s">
        <v>42343</v>
      </c>
      <c r="K2" s="2">
        <v>1.5772379999999999E-3</v>
      </c>
      <c r="L2" s="2" t="s">
        <v>31</v>
      </c>
      <c r="M2" s="4" t="s">
        <v>42344</v>
      </c>
    </row>
    <row r="3" spans="1:13">
      <c r="A3" s="2">
        <v>32</v>
      </c>
      <c r="B3" s="2" t="s">
        <v>42345</v>
      </c>
      <c r="C3" s="2">
        <v>4</v>
      </c>
      <c r="D3" s="2">
        <v>61</v>
      </c>
      <c r="E3" s="2">
        <v>82</v>
      </c>
      <c r="F3" s="2">
        <v>32441</v>
      </c>
      <c r="G3" s="2">
        <v>25.94242303</v>
      </c>
      <c r="H3" s="3">
        <v>2.12E-5</v>
      </c>
      <c r="I3" s="2" t="s">
        <v>42346</v>
      </c>
      <c r="J3" s="2" t="s">
        <v>42347</v>
      </c>
      <c r="K3" s="2">
        <v>3.4635009999999999E-3</v>
      </c>
      <c r="L3" s="2" t="s">
        <v>31</v>
      </c>
      <c r="M3" s="4" t="s">
        <v>42348</v>
      </c>
    </row>
    <row r="4" spans="1:13">
      <c r="A4" s="2">
        <v>139</v>
      </c>
      <c r="B4" s="2" t="s">
        <v>42349</v>
      </c>
      <c r="C4" s="2">
        <v>29</v>
      </c>
      <c r="D4" s="2">
        <v>61</v>
      </c>
      <c r="E4" s="2">
        <v>389</v>
      </c>
      <c r="F4" s="2">
        <v>32441</v>
      </c>
      <c r="G4" s="2">
        <v>39.647224909999998</v>
      </c>
      <c r="H4" s="3">
        <v>8.3000000000000003E-39</v>
      </c>
      <c r="I4" s="2" t="s">
        <v>42350</v>
      </c>
      <c r="J4" s="2" t="s">
        <v>42351</v>
      </c>
      <c r="K4" s="3">
        <v>3.9499999999999999E-35</v>
      </c>
      <c r="L4" s="2" t="s">
        <v>35</v>
      </c>
      <c r="M4" s="4" t="s">
        <v>42352</v>
      </c>
    </row>
    <row r="5" spans="1:13">
      <c r="A5" s="2">
        <v>924</v>
      </c>
      <c r="B5" s="2" t="s">
        <v>42353</v>
      </c>
      <c r="C5" s="2">
        <v>26</v>
      </c>
      <c r="D5" s="2">
        <v>61</v>
      </c>
      <c r="E5" s="2">
        <v>328</v>
      </c>
      <c r="F5" s="2">
        <v>32441</v>
      </c>
      <c r="G5" s="2">
        <v>42.156437429999997</v>
      </c>
      <c r="H5" s="3">
        <v>3.14E-35</v>
      </c>
      <c r="I5" s="2" t="s">
        <v>42354</v>
      </c>
      <c r="J5" s="2" t="s">
        <v>42355</v>
      </c>
      <c r="K5" s="3">
        <v>7.4799999999999998E-32</v>
      </c>
      <c r="L5" s="2" t="s">
        <v>35</v>
      </c>
      <c r="M5" s="4" t="s">
        <v>42356</v>
      </c>
    </row>
    <row r="6" spans="1:13">
      <c r="A6" s="2">
        <v>1007</v>
      </c>
      <c r="B6" s="2" t="s">
        <v>4278</v>
      </c>
      <c r="C6" s="2">
        <v>27</v>
      </c>
      <c r="D6" s="2">
        <v>61</v>
      </c>
      <c r="E6" s="2">
        <v>805</v>
      </c>
      <c r="F6" s="2">
        <v>32441</v>
      </c>
      <c r="G6" s="2">
        <v>17.837430000000001</v>
      </c>
      <c r="H6" s="3">
        <v>4.8100000000000003E-27</v>
      </c>
      <c r="I6" s="2" t="s">
        <v>42357</v>
      </c>
      <c r="J6" s="2" t="s">
        <v>42358</v>
      </c>
      <c r="K6" s="3">
        <v>7.6400000000000004E-24</v>
      </c>
      <c r="L6" s="2" t="s">
        <v>35</v>
      </c>
      <c r="M6" s="4" t="s">
        <v>4281</v>
      </c>
    </row>
    <row r="7" spans="1:13">
      <c r="A7" s="2">
        <v>890</v>
      </c>
      <c r="B7" s="2" t="s">
        <v>4294</v>
      </c>
      <c r="C7" s="2">
        <v>27</v>
      </c>
      <c r="D7" s="2">
        <v>61</v>
      </c>
      <c r="E7" s="2">
        <v>920</v>
      </c>
      <c r="F7" s="2">
        <v>32441</v>
      </c>
      <c r="G7" s="2">
        <v>15.60775125</v>
      </c>
      <c r="H7" s="3">
        <v>1.4799999999999999E-25</v>
      </c>
      <c r="I7" s="2" t="s">
        <v>42357</v>
      </c>
      <c r="J7" s="2" t="s">
        <v>42358</v>
      </c>
      <c r="K7" s="3">
        <v>1.7700000000000001E-22</v>
      </c>
      <c r="L7" s="2" t="s">
        <v>35</v>
      </c>
      <c r="M7" s="4" t="s">
        <v>4297</v>
      </c>
    </row>
    <row r="8" spans="1:13">
      <c r="A8" s="2">
        <v>755</v>
      </c>
      <c r="B8" s="2" t="s">
        <v>42359</v>
      </c>
      <c r="C8" s="2">
        <v>34</v>
      </c>
      <c r="D8" s="2">
        <v>61</v>
      </c>
      <c r="E8" s="2">
        <v>524</v>
      </c>
      <c r="F8" s="2">
        <v>32441</v>
      </c>
      <c r="G8" s="2">
        <v>34.507383310000002</v>
      </c>
      <c r="H8" s="3">
        <v>3.5900000000000001E-44</v>
      </c>
      <c r="I8" s="2" t="s">
        <v>42360</v>
      </c>
      <c r="J8" s="2" t="s">
        <v>42361</v>
      </c>
      <c r="K8" s="3">
        <v>2.1299999999999999E-40</v>
      </c>
      <c r="L8" s="2" t="s">
        <v>848</v>
      </c>
      <c r="M8" s="4" t="s">
        <v>42362</v>
      </c>
    </row>
    <row r="9" spans="1:13">
      <c r="A9" s="2">
        <v>5043</v>
      </c>
      <c r="B9" s="2" t="s">
        <v>42363</v>
      </c>
      <c r="C9" s="2">
        <v>32</v>
      </c>
      <c r="D9" s="2">
        <v>61</v>
      </c>
      <c r="E9" s="2">
        <v>425</v>
      </c>
      <c r="F9" s="2">
        <v>32441</v>
      </c>
      <c r="G9" s="2">
        <v>40.042892960000003</v>
      </c>
      <c r="H9" s="3">
        <v>2.74E-43</v>
      </c>
      <c r="I9" s="2" t="s">
        <v>42364</v>
      </c>
      <c r="J9" s="2" t="s">
        <v>42365</v>
      </c>
      <c r="K9" s="3">
        <v>8.1099999999999993E-40</v>
      </c>
      <c r="L9" s="2" t="s">
        <v>848</v>
      </c>
      <c r="M9" s="4" t="s">
        <v>42366</v>
      </c>
    </row>
    <row r="10" spans="1:13">
      <c r="A10" s="2">
        <v>2943</v>
      </c>
      <c r="B10" s="2" t="s">
        <v>42367</v>
      </c>
      <c r="C10" s="2">
        <v>34</v>
      </c>
      <c r="D10" s="2">
        <v>61</v>
      </c>
      <c r="E10" s="2">
        <v>675</v>
      </c>
      <c r="F10" s="2">
        <v>32441</v>
      </c>
      <c r="G10" s="2">
        <v>26.787953859999998</v>
      </c>
      <c r="H10" s="3">
        <v>1.3599999999999999E-40</v>
      </c>
      <c r="I10" s="2" t="s">
        <v>42360</v>
      </c>
      <c r="J10" s="2" t="s">
        <v>42361</v>
      </c>
      <c r="K10" s="3">
        <v>2.69E-37</v>
      </c>
      <c r="L10" s="2" t="s">
        <v>848</v>
      </c>
      <c r="M10" s="4" t="s">
        <v>42368</v>
      </c>
    </row>
    <row r="11" spans="1:13">
      <c r="A11" s="2">
        <v>5262</v>
      </c>
      <c r="B11" s="2" t="s">
        <v>9023</v>
      </c>
      <c r="C11" s="2">
        <v>34</v>
      </c>
      <c r="D11" s="2">
        <v>61</v>
      </c>
      <c r="E11" s="2">
        <v>879</v>
      </c>
      <c r="F11" s="2">
        <v>32441</v>
      </c>
      <c r="G11" s="2">
        <v>20.570954329999999</v>
      </c>
      <c r="H11" s="3">
        <v>7.4900000000000002E-37</v>
      </c>
      <c r="I11" s="2" t="s">
        <v>42360</v>
      </c>
      <c r="J11" s="2" t="s">
        <v>42361</v>
      </c>
      <c r="K11" s="3">
        <v>1.11E-33</v>
      </c>
      <c r="L11" s="2" t="s">
        <v>848</v>
      </c>
      <c r="M11" s="4" t="s">
        <v>9026</v>
      </c>
    </row>
    <row r="12" spans="1:13">
      <c r="A12" s="2">
        <v>127</v>
      </c>
      <c r="B12" s="2" t="s">
        <v>42369</v>
      </c>
      <c r="C12" s="2">
        <v>34</v>
      </c>
      <c r="D12" s="2">
        <v>61</v>
      </c>
      <c r="E12" s="2">
        <v>938</v>
      </c>
      <c r="F12" s="2">
        <v>32441</v>
      </c>
      <c r="G12" s="2">
        <v>19.277045680000001</v>
      </c>
      <c r="H12" s="3">
        <v>6.2300000000000001E-36</v>
      </c>
      <c r="I12" s="2" t="s">
        <v>42360</v>
      </c>
      <c r="J12" s="2" t="s">
        <v>42361</v>
      </c>
      <c r="K12" s="3">
        <v>7.3699999999999997E-33</v>
      </c>
      <c r="L12" s="2" t="s">
        <v>848</v>
      </c>
      <c r="M12" s="4" t="s">
        <v>42370</v>
      </c>
    </row>
    <row r="13" spans="1:13">
      <c r="A13" s="2">
        <v>2032</v>
      </c>
      <c r="B13" s="2" t="s">
        <v>8340</v>
      </c>
      <c r="C13" s="2">
        <v>34</v>
      </c>
      <c r="D13" s="2">
        <v>61</v>
      </c>
      <c r="E13" s="2">
        <v>1193</v>
      </c>
      <c r="F13" s="2">
        <v>32441</v>
      </c>
      <c r="G13" s="2">
        <v>15.156637760000001</v>
      </c>
      <c r="H13" s="3">
        <v>1.57E-32</v>
      </c>
      <c r="I13" s="2" t="s">
        <v>42360</v>
      </c>
      <c r="J13" s="2" t="s">
        <v>42361</v>
      </c>
      <c r="K13" s="3">
        <v>1.5500000000000001E-29</v>
      </c>
      <c r="L13" s="2" t="s">
        <v>848</v>
      </c>
      <c r="M13" s="4" t="s">
        <v>8343</v>
      </c>
    </row>
    <row r="14" spans="1:13">
      <c r="A14" s="2">
        <v>71</v>
      </c>
      <c r="B14" s="2" t="s">
        <v>42371</v>
      </c>
      <c r="C14" s="2">
        <v>34</v>
      </c>
      <c r="D14" s="2">
        <v>61</v>
      </c>
      <c r="E14" s="2">
        <v>1242</v>
      </c>
      <c r="F14" s="2">
        <v>32441</v>
      </c>
      <c r="G14" s="2">
        <v>14.55867057</v>
      </c>
      <c r="H14" s="3">
        <v>5.7999999999999999E-32</v>
      </c>
      <c r="I14" s="2" t="s">
        <v>42360</v>
      </c>
      <c r="J14" s="2" t="s">
        <v>42361</v>
      </c>
      <c r="K14" s="3">
        <v>4.8999999999999998E-29</v>
      </c>
      <c r="L14" s="2" t="s">
        <v>848</v>
      </c>
      <c r="M14" s="4" t="s">
        <v>42372</v>
      </c>
    </row>
    <row r="15" spans="1:13">
      <c r="A15" s="2">
        <v>5347</v>
      </c>
      <c r="B15" s="2" t="s">
        <v>7711</v>
      </c>
      <c r="C15" s="2">
        <v>34</v>
      </c>
      <c r="D15" s="2">
        <v>61</v>
      </c>
      <c r="E15" s="2">
        <v>1393</v>
      </c>
      <c r="F15" s="2">
        <v>32441</v>
      </c>
      <c r="G15" s="2">
        <v>12.980523229999999</v>
      </c>
      <c r="H15" s="3">
        <v>2.3999999999999998E-30</v>
      </c>
      <c r="I15" s="2" t="s">
        <v>42360</v>
      </c>
      <c r="J15" s="2" t="s">
        <v>42361</v>
      </c>
      <c r="K15" s="3">
        <v>1.7699999999999999E-27</v>
      </c>
      <c r="L15" s="2" t="s">
        <v>848</v>
      </c>
      <c r="M15" s="4" t="s">
        <v>7714</v>
      </c>
    </row>
    <row r="16" spans="1:13">
      <c r="A16" s="2">
        <v>5738</v>
      </c>
      <c r="B16" s="2" t="s">
        <v>7623</v>
      </c>
      <c r="C16" s="2">
        <v>34</v>
      </c>
      <c r="D16" s="2">
        <v>61</v>
      </c>
      <c r="E16" s="2">
        <v>1649</v>
      </c>
      <c r="F16" s="2">
        <v>32441</v>
      </c>
      <c r="G16" s="2">
        <v>10.965354059999999</v>
      </c>
      <c r="H16" s="3">
        <v>5.6100000000000002E-28</v>
      </c>
      <c r="I16" s="2" t="s">
        <v>42360</v>
      </c>
      <c r="J16" s="2" t="s">
        <v>42361</v>
      </c>
      <c r="K16" s="3">
        <v>3.6900000000000001E-25</v>
      </c>
      <c r="L16" s="2" t="s">
        <v>848</v>
      </c>
      <c r="M16" s="4" t="s">
        <v>7626</v>
      </c>
    </row>
    <row r="17" spans="1:13">
      <c r="A17" s="2">
        <v>5030</v>
      </c>
      <c r="B17" s="2" t="s">
        <v>7667</v>
      </c>
      <c r="C17" s="2">
        <v>34</v>
      </c>
      <c r="D17" s="2">
        <v>61</v>
      </c>
      <c r="E17" s="2">
        <v>1731</v>
      </c>
      <c r="F17" s="2">
        <v>32441</v>
      </c>
      <c r="G17" s="2">
        <v>10.445909220000001</v>
      </c>
      <c r="H17" s="3">
        <v>2.6800000000000001E-27</v>
      </c>
      <c r="I17" s="2" t="s">
        <v>42360</v>
      </c>
      <c r="J17" s="2" t="s">
        <v>42361</v>
      </c>
      <c r="K17" s="3">
        <v>1.5799999999999999E-24</v>
      </c>
      <c r="L17" s="2" t="s">
        <v>848</v>
      </c>
      <c r="M17" s="4" t="s">
        <v>7670</v>
      </c>
    </row>
    <row r="18" spans="1:13">
      <c r="A18" s="2">
        <v>2568</v>
      </c>
      <c r="B18" s="2" t="s">
        <v>42373</v>
      </c>
      <c r="C18" s="2">
        <v>34</v>
      </c>
      <c r="D18" s="2">
        <v>61</v>
      </c>
      <c r="E18" s="2">
        <v>1785</v>
      </c>
      <c r="F18" s="2">
        <v>32441</v>
      </c>
      <c r="G18" s="2">
        <v>10.129898519999999</v>
      </c>
      <c r="H18" s="3">
        <v>7.1899999999999994E-27</v>
      </c>
      <c r="I18" s="2" t="s">
        <v>42360</v>
      </c>
      <c r="J18" s="2" t="s">
        <v>42361</v>
      </c>
      <c r="K18" s="3">
        <v>3.8699999999999997E-24</v>
      </c>
      <c r="L18" s="2" t="s">
        <v>848</v>
      </c>
      <c r="M18" s="4" t="s">
        <v>42374</v>
      </c>
    </row>
    <row r="19" spans="1:13">
      <c r="A19" s="2">
        <v>5881</v>
      </c>
      <c r="B19" s="2" t="s">
        <v>42375</v>
      </c>
      <c r="C19" s="2">
        <v>9</v>
      </c>
      <c r="D19" s="2">
        <v>61</v>
      </c>
      <c r="E19" s="2">
        <v>92</v>
      </c>
      <c r="F19" s="2">
        <v>32441</v>
      </c>
      <c r="G19" s="2">
        <v>52.025837490000001</v>
      </c>
      <c r="H19" s="3">
        <v>2.85E-13</v>
      </c>
      <c r="I19" s="2" t="s">
        <v>42376</v>
      </c>
      <c r="J19" s="2" t="s">
        <v>42377</v>
      </c>
      <c r="K19" s="3">
        <v>1.4000000000000001E-10</v>
      </c>
      <c r="L19" s="2" t="s">
        <v>848</v>
      </c>
      <c r="M19" s="4" t="s">
        <v>42378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9"/>
  <sheetViews>
    <sheetView workbookViewId="0">
      <selection sqref="A1:M349"/>
    </sheetView>
  </sheetViews>
  <sheetFormatPr baseColWidth="10" defaultRowHeight="15" x14ac:dyDescent="0"/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42</v>
      </c>
      <c r="B2" s="2" t="s">
        <v>42379</v>
      </c>
      <c r="C2" s="2">
        <v>4</v>
      </c>
      <c r="D2" s="2">
        <v>87</v>
      </c>
      <c r="E2" s="2">
        <v>138</v>
      </c>
      <c r="F2" s="2">
        <v>32441</v>
      </c>
      <c r="G2" s="2">
        <v>10.808262539999999</v>
      </c>
      <c r="H2" s="2">
        <v>5.8511700000000002E-4</v>
      </c>
      <c r="I2" s="2" t="s">
        <v>42380</v>
      </c>
      <c r="J2" s="2" t="s">
        <v>42381</v>
      </c>
      <c r="K2" s="2">
        <v>2.9255867000000001E-2</v>
      </c>
      <c r="L2" s="2" t="s">
        <v>15</v>
      </c>
      <c r="M2" s="4" t="s">
        <v>42382</v>
      </c>
    </row>
    <row r="3" spans="1:13">
      <c r="A3" s="2">
        <v>3886</v>
      </c>
      <c r="B3" s="2" t="s">
        <v>5239</v>
      </c>
      <c r="C3" s="2">
        <v>20</v>
      </c>
      <c r="D3" s="2">
        <v>87</v>
      </c>
      <c r="E3" s="2">
        <v>435</v>
      </c>
      <c r="F3" s="2">
        <v>32441</v>
      </c>
      <c r="G3" s="2">
        <v>17.144140570000001</v>
      </c>
      <c r="H3" s="3">
        <v>5.4499999999999999E-19</v>
      </c>
      <c r="I3" s="2" t="s">
        <v>42383</v>
      </c>
      <c r="J3" s="2" t="s">
        <v>42384</v>
      </c>
      <c r="K3" s="3">
        <v>2.5899999999999999E-15</v>
      </c>
      <c r="L3" s="2" t="s">
        <v>35</v>
      </c>
      <c r="M3" s="4" t="s">
        <v>5242</v>
      </c>
    </row>
    <row r="4" spans="1:13">
      <c r="A4" s="2">
        <v>3588</v>
      </c>
      <c r="B4" s="2" t="s">
        <v>3604</v>
      </c>
      <c r="C4" s="2">
        <v>18</v>
      </c>
      <c r="D4" s="2">
        <v>87</v>
      </c>
      <c r="E4" s="2">
        <v>476</v>
      </c>
      <c r="F4" s="2">
        <v>32441</v>
      </c>
      <c r="G4" s="2">
        <v>14.10069545</v>
      </c>
      <c r="H4" s="3">
        <v>9.9600000000000001E-16</v>
      </c>
      <c r="I4" s="2" t="s">
        <v>42385</v>
      </c>
      <c r="J4" s="2" t="s">
        <v>42386</v>
      </c>
      <c r="K4" s="3">
        <v>2.3700000000000002E-12</v>
      </c>
      <c r="L4" s="2" t="s">
        <v>35</v>
      </c>
      <c r="M4" s="4" t="s">
        <v>3607</v>
      </c>
    </row>
    <row r="5" spans="1:13">
      <c r="A5" s="2">
        <v>3666</v>
      </c>
      <c r="B5" s="2" t="s">
        <v>4142</v>
      </c>
      <c r="C5" s="2">
        <v>14</v>
      </c>
      <c r="D5" s="2">
        <v>87</v>
      </c>
      <c r="E5" s="2">
        <v>216</v>
      </c>
      <c r="F5" s="2">
        <v>32441</v>
      </c>
      <c r="G5" s="2">
        <v>24.168475950000001</v>
      </c>
      <c r="H5" s="3">
        <v>1.8000000000000001E-15</v>
      </c>
      <c r="I5" s="2" t="s">
        <v>42387</v>
      </c>
      <c r="J5" s="2" t="s">
        <v>42388</v>
      </c>
      <c r="K5" s="3">
        <v>2.8500000000000002E-12</v>
      </c>
      <c r="L5" s="2" t="s">
        <v>35</v>
      </c>
      <c r="M5" s="4" t="s">
        <v>4145</v>
      </c>
    </row>
    <row r="6" spans="1:13">
      <c r="A6" s="2">
        <v>3004</v>
      </c>
      <c r="B6" s="2" t="s">
        <v>5215</v>
      </c>
      <c r="C6" s="2">
        <v>20</v>
      </c>
      <c r="D6" s="2">
        <v>87</v>
      </c>
      <c r="E6" s="2">
        <v>830</v>
      </c>
      <c r="F6" s="2">
        <v>32441</v>
      </c>
      <c r="G6" s="2">
        <v>8.9851821080000001</v>
      </c>
      <c r="H6" s="3">
        <v>8.0900000000000001E-14</v>
      </c>
      <c r="I6" s="2" t="s">
        <v>42389</v>
      </c>
      <c r="J6" s="2" t="s">
        <v>42390</v>
      </c>
      <c r="K6" s="3">
        <v>9.6300000000000006E-11</v>
      </c>
      <c r="L6" s="2" t="s">
        <v>35</v>
      </c>
      <c r="M6" s="4" t="s">
        <v>5218</v>
      </c>
    </row>
    <row r="7" spans="1:13">
      <c r="A7" s="2">
        <v>4721</v>
      </c>
      <c r="B7" s="2" t="s">
        <v>4501</v>
      </c>
      <c r="C7" s="2">
        <v>20</v>
      </c>
      <c r="D7" s="2">
        <v>87</v>
      </c>
      <c r="E7" s="2">
        <v>1028</v>
      </c>
      <c r="F7" s="2">
        <v>32441</v>
      </c>
      <c r="G7" s="2">
        <v>7.2545731030000002</v>
      </c>
      <c r="H7" s="3">
        <v>3.7399999999999998E-12</v>
      </c>
      <c r="I7" s="2" t="s">
        <v>42391</v>
      </c>
      <c r="J7" s="2" t="s">
        <v>42392</v>
      </c>
      <c r="K7" s="3">
        <v>3.5600000000000001E-9</v>
      </c>
      <c r="L7" s="2" t="s">
        <v>35</v>
      </c>
      <c r="M7" s="4" t="s">
        <v>4504</v>
      </c>
    </row>
    <row r="8" spans="1:13">
      <c r="A8" s="2">
        <v>3665</v>
      </c>
      <c r="B8" s="2" t="s">
        <v>42393</v>
      </c>
      <c r="C8" s="2">
        <v>12</v>
      </c>
      <c r="D8" s="2">
        <v>87</v>
      </c>
      <c r="E8" s="2">
        <v>260</v>
      </c>
      <c r="F8" s="2">
        <v>32441</v>
      </c>
      <c r="G8" s="2">
        <v>17.210079579999999</v>
      </c>
      <c r="H8" s="3">
        <v>9.3199999999999999E-12</v>
      </c>
      <c r="I8" s="2" t="s">
        <v>42394</v>
      </c>
      <c r="J8" s="2" t="s">
        <v>42395</v>
      </c>
      <c r="K8" s="3">
        <v>7.4000000000000001E-9</v>
      </c>
      <c r="L8" s="2" t="s">
        <v>35</v>
      </c>
      <c r="M8" s="4" t="s">
        <v>42396</v>
      </c>
    </row>
    <row r="9" spans="1:13">
      <c r="A9" s="2">
        <v>1498</v>
      </c>
      <c r="B9" s="2" t="s">
        <v>24145</v>
      </c>
      <c r="C9" s="2">
        <v>13</v>
      </c>
      <c r="D9" s="2">
        <v>87</v>
      </c>
      <c r="E9" s="2">
        <v>367</v>
      </c>
      <c r="F9" s="2">
        <v>32441</v>
      </c>
      <c r="G9" s="2">
        <v>13.20846253</v>
      </c>
      <c r="H9" s="3">
        <v>2.8899999999999998E-11</v>
      </c>
      <c r="I9" s="2" t="s">
        <v>42397</v>
      </c>
      <c r="J9" s="2" t="s">
        <v>42398</v>
      </c>
      <c r="K9" s="3">
        <v>1.96E-8</v>
      </c>
      <c r="L9" s="2" t="s">
        <v>35</v>
      </c>
      <c r="M9" s="4" t="s">
        <v>24148</v>
      </c>
    </row>
    <row r="10" spans="1:13">
      <c r="A10" s="2">
        <v>3770</v>
      </c>
      <c r="B10" s="2" t="s">
        <v>5473</v>
      </c>
      <c r="C10" s="2">
        <v>10</v>
      </c>
      <c r="D10" s="2">
        <v>87</v>
      </c>
      <c r="E10" s="2">
        <v>165</v>
      </c>
      <c r="F10" s="2">
        <v>32441</v>
      </c>
      <c r="G10" s="2">
        <v>22.599094390000001</v>
      </c>
      <c r="H10" s="3">
        <v>4.3899999999999998E-11</v>
      </c>
      <c r="I10" s="2" t="s">
        <v>42399</v>
      </c>
      <c r="J10" s="2" t="s">
        <v>42400</v>
      </c>
      <c r="K10" s="3">
        <v>2.6099999999999999E-8</v>
      </c>
      <c r="L10" s="2" t="s">
        <v>35</v>
      </c>
      <c r="M10" s="4" t="s">
        <v>5476</v>
      </c>
    </row>
    <row r="11" spans="1:13">
      <c r="A11" s="2">
        <v>1618</v>
      </c>
      <c r="B11" s="2" t="s">
        <v>4660</v>
      </c>
      <c r="C11" s="2">
        <v>11</v>
      </c>
      <c r="D11" s="2">
        <v>87</v>
      </c>
      <c r="E11" s="2">
        <v>291</v>
      </c>
      <c r="F11" s="2">
        <v>32441</v>
      </c>
      <c r="G11" s="2">
        <v>14.095311450000001</v>
      </c>
      <c r="H11" s="3">
        <v>5.5199999999999995E-10</v>
      </c>
      <c r="I11" s="2" t="s">
        <v>42401</v>
      </c>
      <c r="J11" s="2" t="s">
        <v>42402</v>
      </c>
      <c r="K11" s="3">
        <v>2.9200000000000002E-7</v>
      </c>
      <c r="L11" s="2" t="s">
        <v>35</v>
      </c>
      <c r="M11" s="4" t="s">
        <v>4663</v>
      </c>
    </row>
    <row r="12" spans="1:13">
      <c r="A12" s="2">
        <v>3680</v>
      </c>
      <c r="B12" s="2" t="s">
        <v>328</v>
      </c>
      <c r="C12" s="2">
        <v>13</v>
      </c>
      <c r="D12" s="2">
        <v>87</v>
      </c>
      <c r="E12" s="2">
        <v>546</v>
      </c>
      <c r="F12" s="2">
        <v>32441</v>
      </c>
      <c r="G12" s="2">
        <v>8.8782156539999999</v>
      </c>
      <c r="H12" s="3">
        <v>3.1800000000000002E-9</v>
      </c>
      <c r="I12" s="2" t="s">
        <v>42403</v>
      </c>
      <c r="J12" s="2" t="s">
        <v>42404</v>
      </c>
      <c r="K12" s="3">
        <v>1.5200000000000001E-6</v>
      </c>
      <c r="L12" s="2" t="s">
        <v>35</v>
      </c>
      <c r="M12" s="4" t="s">
        <v>42405</v>
      </c>
    </row>
    <row r="13" spans="1:13">
      <c r="A13" s="2">
        <v>2359</v>
      </c>
      <c r="B13" s="2" t="s">
        <v>42406</v>
      </c>
      <c r="C13" s="2">
        <v>6</v>
      </c>
      <c r="D13" s="2">
        <v>87</v>
      </c>
      <c r="E13" s="2">
        <v>46</v>
      </c>
      <c r="F13" s="2">
        <v>32441</v>
      </c>
      <c r="G13" s="2">
        <v>48.637181409999997</v>
      </c>
      <c r="H13" s="3">
        <v>5.6699999999999997E-9</v>
      </c>
      <c r="I13" s="2" t="s">
        <v>42407</v>
      </c>
      <c r="J13" s="2" t="s">
        <v>42408</v>
      </c>
      <c r="K13" s="3">
        <v>2.4499999999999998E-6</v>
      </c>
      <c r="L13" s="2" t="s">
        <v>35</v>
      </c>
      <c r="M13" s="4" t="s">
        <v>42409</v>
      </c>
    </row>
    <row r="14" spans="1:13">
      <c r="A14" s="2">
        <v>4719</v>
      </c>
      <c r="B14" s="2" t="s">
        <v>4430</v>
      </c>
      <c r="C14" s="2">
        <v>14</v>
      </c>
      <c r="D14" s="2">
        <v>87</v>
      </c>
      <c r="E14" s="2">
        <v>753</v>
      </c>
      <c r="F14" s="2">
        <v>32441</v>
      </c>
      <c r="G14" s="2">
        <v>6.9327899129999997</v>
      </c>
      <c r="H14" s="3">
        <v>1.6099999999999999E-8</v>
      </c>
      <c r="I14" s="2" t="s">
        <v>42410</v>
      </c>
      <c r="J14" s="2" t="s">
        <v>42411</v>
      </c>
      <c r="K14" s="3">
        <v>6.3899999999999998E-6</v>
      </c>
      <c r="L14" s="2" t="s">
        <v>35</v>
      </c>
      <c r="M14" s="4" t="s">
        <v>4433</v>
      </c>
    </row>
    <row r="15" spans="1:13">
      <c r="A15" s="2">
        <v>4715</v>
      </c>
      <c r="B15" s="2" t="s">
        <v>5103</v>
      </c>
      <c r="C15" s="2">
        <v>8</v>
      </c>
      <c r="D15" s="2">
        <v>87</v>
      </c>
      <c r="E15" s="2">
        <v>171</v>
      </c>
      <c r="F15" s="2">
        <v>32441</v>
      </c>
      <c r="G15" s="2">
        <v>17.444914969999999</v>
      </c>
      <c r="H15" s="3">
        <v>2.9000000000000002E-8</v>
      </c>
      <c r="I15" s="2" t="s">
        <v>42412</v>
      </c>
      <c r="J15" s="2" t="s">
        <v>42413</v>
      </c>
      <c r="K15" s="3">
        <v>1.06E-5</v>
      </c>
      <c r="L15" s="2" t="s">
        <v>35</v>
      </c>
      <c r="M15" s="4" t="s">
        <v>5106</v>
      </c>
    </row>
    <row r="16" spans="1:13">
      <c r="A16" s="2">
        <v>2796</v>
      </c>
      <c r="B16" s="2" t="s">
        <v>42414</v>
      </c>
      <c r="C16" s="2">
        <v>6</v>
      </c>
      <c r="D16" s="2">
        <v>87</v>
      </c>
      <c r="E16" s="2">
        <v>65</v>
      </c>
      <c r="F16" s="2">
        <v>32441</v>
      </c>
      <c r="G16" s="2">
        <v>34.420159150000003</v>
      </c>
      <c r="H16" s="3">
        <v>3.8299999999999999E-8</v>
      </c>
      <c r="I16" s="2" t="s">
        <v>42415</v>
      </c>
      <c r="J16" s="2" t="s">
        <v>42416</v>
      </c>
      <c r="K16" s="3">
        <v>1.2999999999999999E-5</v>
      </c>
      <c r="L16" s="2" t="s">
        <v>35</v>
      </c>
      <c r="M16" s="4" t="s">
        <v>42417</v>
      </c>
    </row>
    <row r="17" spans="1:13">
      <c r="A17" s="2">
        <v>3583</v>
      </c>
      <c r="B17" s="2" t="s">
        <v>3685</v>
      </c>
      <c r="C17" s="2">
        <v>12</v>
      </c>
      <c r="D17" s="2">
        <v>87</v>
      </c>
      <c r="E17" s="2">
        <v>564</v>
      </c>
      <c r="F17" s="2">
        <v>32441</v>
      </c>
      <c r="G17" s="2">
        <v>7.9337246270000001</v>
      </c>
      <c r="H17" s="3">
        <v>4.4999999999999999E-8</v>
      </c>
      <c r="I17" s="2" t="s">
        <v>42418</v>
      </c>
      <c r="J17" s="2" t="s">
        <v>42419</v>
      </c>
      <c r="K17" s="3">
        <v>1.43E-5</v>
      </c>
      <c r="L17" s="2" t="s">
        <v>35</v>
      </c>
      <c r="M17" s="4" t="s">
        <v>3688</v>
      </c>
    </row>
    <row r="18" spans="1:13">
      <c r="A18" s="2">
        <v>3500</v>
      </c>
      <c r="B18" s="2" t="s">
        <v>5469</v>
      </c>
      <c r="C18" s="2">
        <v>10</v>
      </c>
      <c r="D18" s="2">
        <v>87</v>
      </c>
      <c r="E18" s="2">
        <v>353</v>
      </c>
      <c r="F18" s="2">
        <v>32441</v>
      </c>
      <c r="G18" s="2">
        <v>10.56331608</v>
      </c>
      <c r="H18" s="3">
        <v>4.9399999999999999E-8</v>
      </c>
      <c r="I18" s="2" t="s">
        <v>42420</v>
      </c>
      <c r="J18" s="2" t="s">
        <v>42421</v>
      </c>
      <c r="K18" s="3">
        <v>1.47E-5</v>
      </c>
      <c r="L18" s="2" t="s">
        <v>35</v>
      </c>
      <c r="M18" s="4" t="s">
        <v>5472</v>
      </c>
    </row>
    <row r="19" spans="1:13">
      <c r="A19" s="2">
        <v>4600</v>
      </c>
      <c r="B19" s="2" t="s">
        <v>6074</v>
      </c>
      <c r="C19" s="2">
        <v>9</v>
      </c>
      <c r="D19" s="2">
        <v>87</v>
      </c>
      <c r="E19" s="2">
        <v>289</v>
      </c>
      <c r="F19" s="2">
        <v>32441</v>
      </c>
      <c r="G19" s="2">
        <v>11.61233743</v>
      </c>
      <c r="H19" s="3">
        <v>1.11E-7</v>
      </c>
      <c r="I19" s="2" t="s">
        <v>42422</v>
      </c>
      <c r="J19" s="2" t="s">
        <v>42423</v>
      </c>
      <c r="K19" s="3">
        <v>3.1000000000000001E-5</v>
      </c>
      <c r="L19" s="2" t="s">
        <v>35</v>
      </c>
      <c r="M19" s="4" t="s">
        <v>6077</v>
      </c>
    </row>
    <row r="20" spans="1:13">
      <c r="A20" s="2">
        <v>4223</v>
      </c>
      <c r="B20" s="2" t="s">
        <v>42424</v>
      </c>
      <c r="C20" s="2">
        <v>6</v>
      </c>
      <c r="D20" s="2">
        <v>87</v>
      </c>
      <c r="E20" s="2">
        <v>80</v>
      </c>
      <c r="F20" s="2">
        <v>32441</v>
      </c>
      <c r="G20" s="2">
        <v>27.966379310000001</v>
      </c>
      <c r="H20" s="3">
        <v>1.2200000000000001E-7</v>
      </c>
      <c r="I20" s="2" t="s">
        <v>42425</v>
      </c>
      <c r="J20" s="2" t="s">
        <v>42426</v>
      </c>
      <c r="K20" s="3">
        <v>3.2199999999999997E-5</v>
      </c>
      <c r="L20" s="2" t="s">
        <v>35</v>
      </c>
      <c r="M20" s="4" t="s">
        <v>42427</v>
      </c>
    </row>
    <row r="21" spans="1:13">
      <c r="A21" s="2">
        <v>3584</v>
      </c>
      <c r="B21" s="2" t="s">
        <v>42428</v>
      </c>
      <c r="C21" s="2">
        <v>6</v>
      </c>
      <c r="D21" s="2">
        <v>87</v>
      </c>
      <c r="E21" s="2">
        <v>84</v>
      </c>
      <c r="F21" s="2">
        <v>32441</v>
      </c>
      <c r="G21" s="2">
        <v>26.634646960000001</v>
      </c>
      <c r="H21" s="3">
        <v>1.6E-7</v>
      </c>
      <c r="I21" s="2" t="s">
        <v>42429</v>
      </c>
      <c r="J21" s="2" t="s">
        <v>42430</v>
      </c>
      <c r="K21" s="3">
        <v>4.0099999999999999E-5</v>
      </c>
      <c r="L21" s="2" t="s">
        <v>35</v>
      </c>
      <c r="M21" s="4" t="s">
        <v>42431</v>
      </c>
    </row>
    <row r="22" spans="1:13">
      <c r="A22" s="2">
        <v>3044</v>
      </c>
      <c r="B22" s="2" t="s">
        <v>42432</v>
      </c>
      <c r="C22" s="2">
        <v>6</v>
      </c>
      <c r="D22" s="2">
        <v>87</v>
      </c>
      <c r="E22" s="2">
        <v>86</v>
      </c>
      <c r="F22" s="2">
        <v>32441</v>
      </c>
      <c r="G22" s="2">
        <v>26.015236569999999</v>
      </c>
      <c r="H22" s="3">
        <v>1.8199999999999999E-7</v>
      </c>
      <c r="I22" s="2" t="s">
        <v>42433</v>
      </c>
      <c r="J22" s="2" t="s">
        <v>42434</v>
      </c>
      <c r="K22" s="3">
        <v>4.2299999999999998E-5</v>
      </c>
      <c r="L22" s="2" t="s">
        <v>35</v>
      </c>
      <c r="M22" s="4" t="s">
        <v>42435</v>
      </c>
    </row>
    <row r="23" spans="1:13">
      <c r="A23" s="2">
        <v>4675</v>
      </c>
      <c r="B23" s="2" t="s">
        <v>42436</v>
      </c>
      <c r="C23" s="2">
        <v>9</v>
      </c>
      <c r="D23" s="2">
        <v>87</v>
      </c>
      <c r="E23" s="2">
        <v>308</v>
      </c>
      <c r="F23" s="2">
        <v>32441</v>
      </c>
      <c r="G23" s="2">
        <v>10.89599194</v>
      </c>
      <c r="H23" s="3">
        <v>1.86E-7</v>
      </c>
      <c r="I23" s="2" t="s">
        <v>42437</v>
      </c>
      <c r="J23" s="2" t="s">
        <v>42438</v>
      </c>
      <c r="K23" s="3">
        <v>4.2299999999999998E-5</v>
      </c>
      <c r="L23" s="2" t="s">
        <v>35</v>
      </c>
      <c r="M23" s="4" t="s">
        <v>42439</v>
      </c>
    </row>
    <row r="24" spans="1:13">
      <c r="A24" s="2">
        <v>2846</v>
      </c>
      <c r="B24" s="2" t="s">
        <v>42440</v>
      </c>
      <c r="C24" s="2">
        <v>7</v>
      </c>
      <c r="D24" s="2">
        <v>87</v>
      </c>
      <c r="E24" s="2">
        <v>182</v>
      </c>
      <c r="F24" s="2">
        <v>32441</v>
      </c>
      <c r="G24" s="2">
        <v>14.34173298</v>
      </c>
      <c r="H24" s="3">
        <v>7.8999999999999995E-7</v>
      </c>
      <c r="I24" s="2" t="s">
        <v>42441</v>
      </c>
      <c r="J24" s="2" t="s">
        <v>42442</v>
      </c>
      <c r="K24" s="2">
        <v>1.7089399999999999E-4</v>
      </c>
      <c r="L24" s="2" t="s">
        <v>35</v>
      </c>
      <c r="M24" s="4" t="s">
        <v>42443</v>
      </c>
    </row>
    <row r="25" spans="1:13">
      <c r="A25" s="2">
        <v>2777</v>
      </c>
      <c r="B25" s="2" t="s">
        <v>5370</v>
      </c>
      <c r="C25" s="2">
        <v>4</v>
      </c>
      <c r="D25" s="2">
        <v>87</v>
      </c>
      <c r="E25" s="2">
        <v>24</v>
      </c>
      <c r="F25" s="2">
        <v>32441</v>
      </c>
      <c r="G25" s="2">
        <v>62.147509579999998</v>
      </c>
      <c r="H25" s="3">
        <v>9.2999999999999999E-7</v>
      </c>
      <c r="I25" s="2" t="s">
        <v>42444</v>
      </c>
      <c r="J25" s="2" t="s">
        <v>42445</v>
      </c>
      <c r="K25" s="2">
        <v>1.9264799999999999E-4</v>
      </c>
      <c r="L25" s="2" t="s">
        <v>35</v>
      </c>
      <c r="M25" s="4" t="s">
        <v>5373</v>
      </c>
    </row>
    <row r="26" spans="1:13">
      <c r="A26" s="2">
        <v>1332</v>
      </c>
      <c r="B26" s="2" t="s">
        <v>4158</v>
      </c>
      <c r="C26" s="2">
        <v>7</v>
      </c>
      <c r="D26" s="2">
        <v>87</v>
      </c>
      <c r="E26" s="2">
        <v>205</v>
      </c>
      <c r="F26" s="2">
        <v>32441</v>
      </c>
      <c r="G26" s="2">
        <v>12.7326605</v>
      </c>
      <c r="H26" s="3">
        <v>1.7E-6</v>
      </c>
      <c r="I26" s="2" t="s">
        <v>42446</v>
      </c>
      <c r="J26" s="2" t="s">
        <v>42447</v>
      </c>
      <c r="K26" s="2">
        <v>3.3722599999999999E-4</v>
      </c>
      <c r="L26" s="2" t="s">
        <v>35</v>
      </c>
      <c r="M26" s="4" t="s">
        <v>4161</v>
      </c>
    </row>
    <row r="27" spans="1:13">
      <c r="A27" s="2">
        <v>4171</v>
      </c>
      <c r="B27" s="2" t="s">
        <v>5632</v>
      </c>
      <c r="C27" s="2">
        <v>7</v>
      </c>
      <c r="D27" s="2">
        <v>87</v>
      </c>
      <c r="E27" s="2">
        <v>210</v>
      </c>
      <c r="F27" s="2">
        <v>32441</v>
      </c>
      <c r="G27" s="2">
        <v>12.42950192</v>
      </c>
      <c r="H27" s="3">
        <v>1.9800000000000001E-6</v>
      </c>
      <c r="I27" s="2" t="s">
        <v>42448</v>
      </c>
      <c r="J27" s="2" t="s">
        <v>42449</v>
      </c>
      <c r="K27" s="2">
        <v>3.7792099999999998E-4</v>
      </c>
      <c r="L27" s="2" t="s">
        <v>35</v>
      </c>
      <c r="M27" s="4" t="s">
        <v>5635</v>
      </c>
    </row>
    <row r="28" spans="1:13">
      <c r="A28" s="2">
        <v>115</v>
      </c>
      <c r="B28" s="2" t="s">
        <v>3749</v>
      </c>
      <c r="C28" s="2">
        <v>6</v>
      </c>
      <c r="D28" s="2">
        <v>87</v>
      </c>
      <c r="E28" s="2">
        <v>134</v>
      </c>
      <c r="F28" s="2">
        <v>32441</v>
      </c>
      <c r="G28" s="2">
        <v>16.696345860000001</v>
      </c>
      <c r="H28" s="3">
        <v>2.1600000000000001E-6</v>
      </c>
      <c r="I28" s="2" t="s">
        <v>42450</v>
      </c>
      <c r="J28" s="2" t="s">
        <v>42451</v>
      </c>
      <c r="K28" s="2">
        <v>3.9641299999999997E-4</v>
      </c>
      <c r="L28" s="2" t="s">
        <v>35</v>
      </c>
      <c r="M28" s="4" t="s">
        <v>3752</v>
      </c>
    </row>
    <row r="29" spans="1:13">
      <c r="A29" s="2">
        <v>3667</v>
      </c>
      <c r="B29" s="2" t="s">
        <v>5479</v>
      </c>
      <c r="C29" s="2">
        <v>9</v>
      </c>
      <c r="D29" s="2">
        <v>87</v>
      </c>
      <c r="E29" s="2">
        <v>425</v>
      </c>
      <c r="F29" s="2">
        <v>32441</v>
      </c>
      <c r="G29" s="2">
        <v>7.8963894520000002</v>
      </c>
      <c r="H29" s="3">
        <v>2.52E-6</v>
      </c>
      <c r="I29" s="2" t="s">
        <v>42452</v>
      </c>
      <c r="J29" s="2" t="s">
        <v>42453</v>
      </c>
      <c r="K29" s="2">
        <v>4.4514100000000003E-4</v>
      </c>
      <c r="L29" s="2" t="s">
        <v>35</v>
      </c>
      <c r="M29" s="4" t="s">
        <v>5482</v>
      </c>
    </row>
    <row r="30" spans="1:13">
      <c r="A30" s="2">
        <v>2385</v>
      </c>
      <c r="B30" s="2" t="s">
        <v>5503</v>
      </c>
      <c r="C30" s="2">
        <v>9</v>
      </c>
      <c r="D30" s="2">
        <v>87</v>
      </c>
      <c r="E30" s="2">
        <v>428</v>
      </c>
      <c r="F30" s="2">
        <v>32441</v>
      </c>
      <c r="G30" s="2">
        <v>7.841040928</v>
      </c>
      <c r="H30" s="3">
        <v>2.6699999999999998E-6</v>
      </c>
      <c r="I30" s="2" t="s">
        <v>42454</v>
      </c>
      <c r="J30" s="2" t="s">
        <v>42455</v>
      </c>
      <c r="K30" s="2">
        <v>4.5400300000000002E-4</v>
      </c>
      <c r="L30" s="2" t="s">
        <v>35</v>
      </c>
      <c r="M30" s="4" t="s">
        <v>5506</v>
      </c>
    </row>
    <row r="31" spans="1:13">
      <c r="A31" s="2">
        <v>3591</v>
      </c>
      <c r="B31" s="2" t="s">
        <v>42456</v>
      </c>
      <c r="C31" s="2">
        <v>11</v>
      </c>
      <c r="D31" s="2">
        <v>87</v>
      </c>
      <c r="E31" s="2">
        <v>701</v>
      </c>
      <c r="F31" s="2">
        <v>32441</v>
      </c>
      <c r="G31" s="2">
        <v>5.8512633840000001</v>
      </c>
      <c r="H31" s="3">
        <v>3.1700000000000001E-6</v>
      </c>
      <c r="I31" s="2" t="s">
        <v>42457</v>
      </c>
      <c r="J31" s="2" t="s">
        <v>42458</v>
      </c>
      <c r="K31" s="2">
        <v>5.0310299999999997E-4</v>
      </c>
      <c r="L31" s="2" t="s">
        <v>35</v>
      </c>
      <c r="M31" s="4" t="s">
        <v>42459</v>
      </c>
    </row>
    <row r="32" spans="1:13">
      <c r="A32" s="2">
        <v>4703</v>
      </c>
      <c r="B32" s="2" t="s">
        <v>4126</v>
      </c>
      <c r="C32" s="2">
        <v>17</v>
      </c>
      <c r="D32" s="2">
        <v>87</v>
      </c>
      <c r="E32" s="2">
        <v>1725</v>
      </c>
      <c r="F32" s="2">
        <v>32441</v>
      </c>
      <c r="G32" s="2">
        <v>3.6748092620000001</v>
      </c>
      <c r="H32" s="3">
        <v>3.14E-6</v>
      </c>
      <c r="I32" s="2" t="s">
        <v>42460</v>
      </c>
      <c r="J32" s="2" t="s">
        <v>42461</v>
      </c>
      <c r="K32" s="2">
        <v>5.0310299999999997E-4</v>
      </c>
      <c r="L32" s="2" t="s">
        <v>35</v>
      </c>
      <c r="M32" s="4" t="s">
        <v>4129</v>
      </c>
    </row>
    <row r="33" spans="1:13">
      <c r="A33" s="2">
        <v>1709</v>
      </c>
      <c r="B33" s="2" t="s">
        <v>42462</v>
      </c>
      <c r="C33" s="2">
        <v>7</v>
      </c>
      <c r="D33" s="2">
        <v>87</v>
      </c>
      <c r="E33" s="2">
        <v>232</v>
      </c>
      <c r="F33" s="2">
        <v>32441</v>
      </c>
      <c r="G33" s="2">
        <v>11.25084225</v>
      </c>
      <c r="H33" s="3">
        <v>3.7500000000000001E-6</v>
      </c>
      <c r="I33" s="2" t="s">
        <v>42463</v>
      </c>
      <c r="J33" s="2" t="s">
        <v>42464</v>
      </c>
      <c r="K33" s="2">
        <v>5.7669000000000004E-4</v>
      </c>
      <c r="L33" s="2" t="s">
        <v>35</v>
      </c>
      <c r="M33" s="4" t="s">
        <v>42465</v>
      </c>
    </row>
    <row r="34" spans="1:13">
      <c r="A34" s="2">
        <v>1218</v>
      </c>
      <c r="B34" s="2" t="s">
        <v>3990</v>
      </c>
      <c r="C34" s="2">
        <v>9</v>
      </c>
      <c r="D34" s="2">
        <v>87</v>
      </c>
      <c r="E34" s="2">
        <v>466</v>
      </c>
      <c r="F34" s="2">
        <v>32441</v>
      </c>
      <c r="G34" s="2">
        <v>7.2016427409999997</v>
      </c>
      <c r="H34" s="3">
        <v>5.2399999999999998E-6</v>
      </c>
      <c r="I34" s="2" t="s">
        <v>42466</v>
      </c>
      <c r="J34" s="2" t="s">
        <v>42467</v>
      </c>
      <c r="K34" s="2">
        <v>7.8009399999999995E-4</v>
      </c>
      <c r="L34" s="2" t="s">
        <v>35</v>
      </c>
      <c r="M34" s="4" t="s">
        <v>3993</v>
      </c>
    </row>
    <row r="35" spans="1:13">
      <c r="A35" s="2">
        <v>2637</v>
      </c>
      <c r="B35" s="2" t="s">
        <v>42468</v>
      </c>
      <c r="C35" s="2">
        <v>5</v>
      </c>
      <c r="D35" s="2">
        <v>87</v>
      </c>
      <c r="E35" s="2">
        <v>90</v>
      </c>
      <c r="F35" s="2">
        <v>32441</v>
      </c>
      <c r="G35" s="2">
        <v>20.715836530000001</v>
      </c>
      <c r="H35" s="3">
        <v>5.84E-6</v>
      </c>
      <c r="I35" s="2" t="s">
        <v>42469</v>
      </c>
      <c r="J35" s="2" t="s">
        <v>42470</v>
      </c>
      <c r="K35" s="2">
        <v>8.4297699999999996E-4</v>
      </c>
      <c r="L35" s="2" t="s">
        <v>35</v>
      </c>
      <c r="M35" s="4" t="s">
        <v>42471</v>
      </c>
    </row>
    <row r="36" spans="1:13">
      <c r="A36" s="2">
        <v>4579</v>
      </c>
      <c r="B36" s="2" t="s">
        <v>34978</v>
      </c>
      <c r="C36" s="2">
        <v>8</v>
      </c>
      <c r="D36" s="2">
        <v>87</v>
      </c>
      <c r="E36" s="2">
        <v>364</v>
      </c>
      <c r="F36" s="2">
        <v>32441</v>
      </c>
      <c r="G36" s="2">
        <v>8.1952759880000006</v>
      </c>
      <c r="H36" s="3">
        <v>7.2200000000000003E-6</v>
      </c>
      <c r="I36" s="2" t="s">
        <v>42472</v>
      </c>
      <c r="J36" s="2" t="s">
        <v>42473</v>
      </c>
      <c r="K36" s="2">
        <v>1.0116929999999999E-3</v>
      </c>
      <c r="L36" s="2" t="s">
        <v>35</v>
      </c>
      <c r="M36" s="4" t="s">
        <v>34981</v>
      </c>
    </row>
    <row r="37" spans="1:13">
      <c r="A37" s="2">
        <v>2429</v>
      </c>
      <c r="B37" s="2" t="s">
        <v>6598</v>
      </c>
      <c r="C37" s="2">
        <v>13</v>
      </c>
      <c r="D37" s="2">
        <v>87</v>
      </c>
      <c r="E37" s="2">
        <v>1118</v>
      </c>
      <c r="F37" s="2">
        <v>32441</v>
      </c>
      <c r="G37" s="2">
        <v>4.3358727610000001</v>
      </c>
      <c r="H37" s="3">
        <v>9.55E-6</v>
      </c>
      <c r="I37" s="2" t="s">
        <v>42474</v>
      </c>
      <c r="J37" s="2" t="s">
        <v>42475</v>
      </c>
      <c r="K37" s="2">
        <v>1.299077E-3</v>
      </c>
      <c r="L37" s="2" t="s">
        <v>35</v>
      </c>
      <c r="M37" s="4" t="s">
        <v>6601</v>
      </c>
    </row>
    <row r="38" spans="1:13">
      <c r="A38" s="2">
        <v>4423</v>
      </c>
      <c r="B38" s="2" t="s">
        <v>3741</v>
      </c>
      <c r="C38" s="2">
        <v>8</v>
      </c>
      <c r="D38" s="2">
        <v>87</v>
      </c>
      <c r="E38" s="2">
        <v>387</v>
      </c>
      <c r="F38" s="2">
        <v>32441</v>
      </c>
      <c r="G38" s="2">
        <v>7.7082182420000001</v>
      </c>
      <c r="H38" s="3">
        <v>1.1199999999999999E-5</v>
      </c>
      <c r="I38" s="2" t="s">
        <v>42476</v>
      </c>
      <c r="J38" s="2" t="s">
        <v>42477</v>
      </c>
      <c r="K38" s="2">
        <v>1.4757360000000001E-3</v>
      </c>
      <c r="L38" s="2" t="s">
        <v>35</v>
      </c>
      <c r="M38" s="4" t="s">
        <v>3744</v>
      </c>
    </row>
    <row r="39" spans="1:13">
      <c r="A39" s="2">
        <v>2193</v>
      </c>
      <c r="B39" s="2" t="s">
        <v>42478</v>
      </c>
      <c r="C39" s="2">
        <v>3</v>
      </c>
      <c r="D39" s="2">
        <v>87</v>
      </c>
      <c r="E39" s="2">
        <v>14</v>
      </c>
      <c r="F39" s="2">
        <v>32441</v>
      </c>
      <c r="G39" s="2">
        <v>79.903940890000001</v>
      </c>
      <c r="H39" s="3">
        <v>1.22E-5</v>
      </c>
      <c r="I39" s="2" t="s">
        <v>42479</v>
      </c>
      <c r="J39" s="2" t="s">
        <v>42480</v>
      </c>
      <c r="K39" s="2">
        <v>1.5740579999999999E-3</v>
      </c>
      <c r="L39" s="2" t="s">
        <v>35</v>
      </c>
      <c r="M39" s="4" t="s">
        <v>42481</v>
      </c>
    </row>
    <row r="40" spans="1:13">
      <c r="A40" s="2">
        <v>4713</v>
      </c>
      <c r="B40" s="2" t="s">
        <v>42482</v>
      </c>
      <c r="C40" s="2">
        <v>6</v>
      </c>
      <c r="D40" s="2">
        <v>87</v>
      </c>
      <c r="E40" s="2">
        <v>196</v>
      </c>
      <c r="F40" s="2">
        <v>32441</v>
      </c>
      <c r="G40" s="2">
        <v>11.4148487</v>
      </c>
      <c r="H40" s="3">
        <v>1.77E-5</v>
      </c>
      <c r="I40" s="2" t="s">
        <v>42483</v>
      </c>
      <c r="J40" s="2" t="s">
        <v>42484</v>
      </c>
      <c r="K40" s="2">
        <v>2.2178179999999999E-3</v>
      </c>
      <c r="L40" s="2" t="s">
        <v>35</v>
      </c>
      <c r="M40" s="4" t="s">
        <v>42485</v>
      </c>
    </row>
    <row r="41" spans="1:13">
      <c r="A41" s="2">
        <v>1201</v>
      </c>
      <c r="B41" s="2" t="s">
        <v>42486</v>
      </c>
      <c r="C41" s="2">
        <v>3</v>
      </c>
      <c r="D41" s="2">
        <v>87</v>
      </c>
      <c r="E41" s="2">
        <v>17</v>
      </c>
      <c r="F41" s="2">
        <v>32441</v>
      </c>
      <c r="G41" s="2">
        <v>65.803245439999998</v>
      </c>
      <c r="H41" s="3">
        <v>2.0400000000000001E-5</v>
      </c>
      <c r="I41" s="2" t="s">
        <v>42487</v>
      </c>
      <c r="J41" s="2" t="s">
        <v>42488</v>
      </c>
      <c r="K41" s="2">
        <v>2.2750639999999998E-3</v>
      </c>
      <c r="L41" s="2" t="s">
        <v>35</v>
      </c>
      <c r="M41" s="4" t="s">
        <v>42489</v>
      </c>
    </row>
    <row r="42" spans="1:13">
      <c r="A42" s="2">
        <v>1571</v>
      </c>
      <c r="B42" s="2" t="s">
        <v>42490</v>
      </c>
      <c r="C42" s="2">
        <v>4</v>
      </c>
      <c r="D42" s="2">
        <v>87</v>
      </c>
      <c r="E42" s="2">
        <v>55</v>
      </c>
      <c r="F42" s="2">
        <v>32441</v>
      </c>
      <c r="G42" s="2">
        <v>27.11891327</v>
      </c>
      <c r="H42" s="3">
        <v>1.9400000000000001E-5</v>
      </c>
      <c r="I42" s="2" t="s">
        <v>42491</v>
      </c>
      <c r="J42" s="2" t="s">
        <v>42492</v>
      </c>
      <c r="K42" s="2">
        <v>2.2750639999999998E-3</v>
      </c>
      <c r="L42" s="2" t="s">
        <v>35</v>
      </c>
      <c r="M42" s="4" t="s">
        <v>42493</v>
      </c>
    </row>
    <row r="43" spans="1:13">
      <c r="A43" s="2">
        <v>2569</v>
      </c>
      <c r="B43" s="2" t="s">
        <v>42494</v>
      </c>
      <c r="C43" s="2">
        <v>5</v>
      </c>
      <c r="D43" s="2">
        <v>87</v>
      </c>
      <c r="E43" s="2">
        <v>118</v>
      </c>
      <c r="F43" s="2">
        <v>32441</v>
      </c>
      <c r="G43" s="2">
        <v>15.8002143</v>
      </c>
      <c r="H43" s="3">
        <v>2.05E-5</v>
      </c>
      <c r="I43" s="2" t="s">
        <v>42495</v>
      </c>
      <c r="J43" s="2" t="s">
        <v>42496</v>
      </c>
      <c r="K43" s="2">
        <v>2.2750639999999998E-3</v>
      </c>
      <c r="L43" s="2" t="s">
        <v>35</v>
      </c>
      <c r="M43" s="4" t="s">
        <v>42497</v>
      </c>
    </row>
    <row r="44" spans="1:13">
      <c r="A44" s="2">
        <v>2958</v>
      </c>
      <c r="B44" s="2" t="s">
        <v>25167</v>
      </c>
      <c r="C44" s="2">
        <v>7</v>
      </c>
      <c r="D44" s="2">
        <v>87</v>
      </c>
      <c r="E44" s="2">
        <v>302</v>
      </c>
      <c r="F44" s="2">
        <v>32441</v>
      </c>
      <c r="G44" s="2">
        <v>8.6430311329999991</v>
      </c>
      <c r="H44" s="3">
        <v>1.9899999999999999E-5</v>
      </c>
      <c r="I44" s="2" t="s">
        <v>42498</v>
      </c>
      <c r="J44" s="2" t="s">
        <v>42499</v>
      </c>
      <c r="K44" s="2">
        <v>2.2750639999999998E-3</v>
      </c>
      <c r="L44" s="2" t="s">
        <v>35</v>
      </c>
      <c r="M44" s="4" t="s">
        <v>25170</v>
      </c>
    </row>
    <row r="45" spans="1:13">
      <c r="A45" s="2">
        <v>4625</v>
      </c>
      <c r="B45" s="2" t="s">
        <v>6259</v>
      </c>
      <c r="C45" s="2">
        <v>8</v>
      </c>
      <c r="D45" s="2">
        <v>87</v>
      </c>
      <c r="E45" s="2">
        <v>418</v>
      </c>
      <c r="F45" s="2">
        <v>32441</v>
      </c>
      <c r="G45" s="2">
        <v>7.1365561240000002</v>
      </c>
      <c r="H45" s="3">
        <v>1.9199999999999999E-5</v>
      </c>
      <c r="I45" s="2" t="s">
        <v>42500</v>
      </c>
      <c r="J45" s="2" t="s">
        <v>42501</v>
      </c>
      <c r="K45" s="2">
        <v>2.2750639999999998E-3</v>
      </c>
      <c r="L45" s="2" t="s">
        <v>35</v>
      </c>
      <c r="M45" s="4" t="s">
        <v>6262</v>
      </c>
    </row>
    <row r="46" spans="1:13">
      <c r="A46" s="2">
        <v>2845</v>
      </c>
      <c r="B46" s="2" t="s">
        <v>35053</v>
      </c>
      <c r="C46" s="2">
        <v>5</v>
      </c>
      <c r="D46" s="2">
        <v>87</v>
      </c>
      <c r="E46" s="2">
        <v>131</v>
      </c>
      <c r="F46" s="2">
        <v>32441</v>
      </c>
      <c r="G46" s="2">
        <v>14.2322541</v>
      </c>
      <c r="H46" s="3">
        <v>3.3300000000000003E-5</v>
      </c>
      <c r="I46" s="2" t="s">
        <v>42502</v>
      </c>
      <c r="J46" s="2" t="s">
        <v>42503</v>
      </c>
      <c r="K46" s="2">
        <v>3.6042259999999999E-3</v>
      </c>
      <c r="L46" s="2" t="s">
        <v>35</v>
      </c>
      <c r="M46" s="4" t="s">
        <v>35056</v>
      </c>
    </row>
    <row r="47" spans="1:13">
      <c r="A47" s="2">
        <v>3155</v>
      </c>
      <c r="B47" s="2" t="s">
        <v>530</v>
      </c>
      <c r="C47" s="2">
        <v>6</v>
      </c>
      <c r="D47" s="2">
        <v>87</v>
      </c>
      <c r="E47" s="2">
        <v>222</v>
      </c>
      <c r="F47" s="2">
        <v>32441</v>
      </c>
      <c r="G47" s="2">
        <v>10.077974530000001</v>
      </c>
      <c r="H47" s="3">
        <v>3.4900000000000001E-5</v>
      </c>
      <c r="I47" s="2" t="s">
        <v>42504</v>
      </c>
      <c r="J47" s="2" t="s">
        <v>42505</v>
      </c>
      <c r="K47" s="2">
        <v>3.695809E-3</v>
      </c>
      <c r="L47" s="2" t="s">
        <v>35</v>
      </c>
      <c r="M47" s="4" t="s">
        <v>6083</v>
      </c>
    </row>
    <row r="48" spans="1:13">
      <c r="A48" s="2">
        <v>1749</v>
      </c>
      <c r="B48" s="2" t="s">
        <v>42506</v>
      </c>
      <c r="C48" s="2">
        <v>4</v>
      </c>
      <c r="D48" s="2">
        <v>87</v>
      </c>
      <c r="E48" s="2">
        <v>67</v>
      </c>
      <c r="F48" s="2">
        <v>32441</v>
      </c>
      <c r="G48" s="2">
        <v>22.261794479999999</v>
      </c>
      <c r="H48" s="3">
        <v>4.0500000000000002E-5</v>
      </c>
      <c r="I48" s="2" t="s">
        <v>42507</v>
      </c>
      <c r="J48" s="2" t="s">
        <v>42508</v>
      </c>
      <c r="K48" s="2">
        <v>4.1874989999999999E-3</v>
      </c>
      <c r="L48" s="2" t="s">
        <v>35</v>
      </c>
      <c r="M48" s="4" t="s">
        <v>42509</v>
      </c>
    </row>
    <row r="49" spans="1:13">
      <c r="A49" s="2">
        <v>3771</v>
      </c>
      <c r="B49" s="2" t="s">
        <v>42510</v>
      </c>
      <c r="C49" s="2">
        <v>5</v>
      </c>
      <c r="D49" s="2">
        <v>87</v>
      </c>
      <c r="E49" s="2">
        <v>138</v>
      </c>
      <c r="F49" s="2">
        <v>32441</v>
      </c>
      <c r="G49" s="2">
        <v>13.510328169999999</v>
      </c>
      <c r="H49" s="3">
        <v>4.2299999999999998E-5</v>
      </c>
      <c r="I49" s="2" t="s">
        <v>42511</v>
      </c>
      <c r="J49" s="2" t="s">
        <v>42512</v>
      </c>
      <c r="K49" s="2">
        <v>4.2893050000000002E-3</v>
      </c>
      <c r="L49" s="2" t="s">
        <v>35</v>
      </c>
      <c r="M49" s="4" t="s">
        <v>42513</v>
      </c>
    </row>
    <row r="50" spans="1:13">
      <c r="A50" s="2">
        <v>856</v>
      </c>
      <c r="B50" s="2" t="s">
        <v>42514</v>
      </c>
      <c r="C50" s="2">
        <v>5</v>
      </c>
      <c r="D50" s="2">
        <v>87</v>
      </c>
      <c r="E50" s="2">
        <v>139</v>
      </c>
      <c r="F50" s="2">
        <v>32441</v>
      </c>
      <c r="G50" s="2">
        <v>13.41313156</v>
      </c>
      <c r="H50" s="3">
        <v>4.3800000000000001E-5</v>
      </c>
      <c r="I50" s="2" t="s">
        <v>42515</v>
      </c>
      <c r="J50" s="2" t="s">
        <v>42516</v>
      </c>
      <c r="K50" s="2">
        <v>4.341925E-3</v>
      </c>
      <c r="L50" s="2" t="s">
        <v>35</v>
      </c>
      <c r="M50" s="4" t="s">
        <v>42517</v>
      </c>
    </row>
    <row r="51" spans="1:13">
      <c r="A51" s="2">
        <v>119</v>
      </c>
      <c r="B51" s="2" t="s">
        <v>5547</v>
      </c>
      <c r="C51" s="2">
        <v>4</v>
      </c>
      <c r="D51" s="2">
        <v>87</v>
      </c>
      <c r="E51" s="2">
        <v>69</v>
      </c>
      <c r="F51" s="2">
        <v>32441</v>
      </c>
      <c r="G51" s="2">
        <v>21.616525070000002</v>
      </c>
      <c r="H51" s="3">
        <v>4.5099999999999998E-5</v>
      </c>
      <c r="I51" s="2" t="s">
        <v>42518</v>
      </c>
      <c r="J51" s="2" t="s">
        <v>42519</v>
      </c>
      <c r="K51" s="2">
        <v>4.3857719999999996E-3</v>
      </c>
      <c r="L51" s="2" t="s">
        <v>35</v>
      </c>
      <c r="M51" s="4" t="s">
        <v>5550</v>
      </c>
    </row>
    <row r="52" spans="1:13">
      <c r="A52" s="2">
        <v>876</v>
      </c>
      <c r="B52" s="2" t="s">
        <v>42520</v>
      </c>
      <c r="C52" s="2">
        <v>4</v>
      </c>
      <c r="D52" s="2">
        <v>87</v>
      </c>
      <c r="E52" s="2">
        <v>70</v>
      </c>
      <c r="F52" s="2">
        <v>32441</v>
      </c>
      <c r="G52" s="2">
        <v>21.307717570000001</v>
      </c>
      <c r="H52" s="3">
        <v>4.7599999999999998E-5</v>
      </c>
      <c r="I52" s="2" t="s">
        <v>42521</v>
      </c>
      <c r="J52" s="2" t="s">
        <v>42522</v>
      </c>
      <c r="K52" s="2">
        <v>4.5344230000000001E-3</v>
      </c>
      <c r="L52" s="2" t="s">
        <v>35</v>
      </c>
      <c r="M52" s="4" t="s">
        <v>42523</v>
      </c>
    </row>
    <row r="53" spans="1:13">
      <c r="A53" s="2">
        <v>4677</v>
      </c>
      <c r="B53" s="2" t="s">
        <v>5171</v>
      </c>
      <c r="C53" s="2">
        <v>8</v>
      </c>
      <c r="D53" s="2">
        <v>87</v>
      </c>
      <c r="E53" s="2">
        <v>489</v>
      </c>
      <c r="F53" s="2">
        <v>32441</v>
      </c>
      <c r="G53" s="2">
        <v>6.1003690380000002</v>
      </c>
      <c r="H53" s="3">
        <v>5.7099999999999999E-5</v>
      </c>
      <c r="I53" s="2" t="s">
        <v>42524</v>
      </c>
      <c r="J53" s="2" t="s">
        <v>42525</v>
      </c>
      <c r="K53" s="2">
        <v>5.3277039999999999E-3</v>
      </c>
      <c r="L53" s="2" t="s">
        <v>35</v>
      </c>
      <c r="M53" s="4" t="s">
        <v>5174</v>
      </c>
    </row>
    <row r="54" spans="1:13">
      <c r="A54" s="2">
        <v>3668</v>
      </c>
      <c r="B54" s="2" t="s">
        <v>6219</v>
      </c>
      <c r="C54" s="2">
        <v>3</v>
      </c>
      <c r="D54" s="2">
        <v>87</v>
      </c>
      <c r="E54" s="2">
        <v>31</v>
      </c>
      <c r="F54" s="2">
        <v>32441</v>
      </c>
      <c r="G54" s="2">
        <v>36.085650719999997</v>
      </c>
      <c r="H54" s="2">
        <v>1.04144E-4</v>
      </c>
      <c r="I54" s="2" t="s">
        <v>42526</v>
      </c>
      <c r="J54" s="2" t="s">
        <v>42527</v>
      </c>
      <c r="K54" s="2">
        <v>9.5371929999999994E-3</v>
      </c>
      <c r="L54" s="2" t="s">
        <v>35</v>
      </c>
      <c r="M54" s="4" t="s">
        <v>6222</v>
      </c>
    </row>
    <row r="55" spans="1:13">
      <c r="A55" s="2">
        <v>4718</v>
      </c>
      <c r="B55" s="2" t="s">
        <v>42528</v>
      </c>
      <c r="C55" s="2">
        <v>6</v>
      </c>
      <c r="D55" s="2">
        <v>87</v>
      </c>
      <c r="E55" s="2">
        <v>275</v>
      </c>
      <c r="F55" s="2">
        <v>32441</v>
      </c>
      <c r="G55" s="2">
        <v>8.1356739810000001</v>
      </c>
      <c r="H55" s="2">
        <v>1.1073699999999999E-4</v>
      </c>
      <c r="I55" s="2" t="s">
        <v>42483</v>
      </c>
      <c r="J55" s="2" t="s">
        <v>42484</v>
      </c>
      <c r="K55" s="2">
        <v>9.9495739999999992E-3</v>
      </c>
      <c r="L55" s="2" t="s">
        <v>35</v>
      </c>
      <c r="M55" s="4" t="s">
        <v>42529</v>
      </c>
    </row>
    <row r="56" spans="1:13">
      <c r="A56" s="2">
        <v>1046</v>
      </c>
      <c r="B56" s="2" t="s">
        <v>42530</v>
      </c>
      <c r="C56" s="2">
        <v>3</v>
      </c>
      <c r="D56" s="2">
        <v>87</v>
      </c>
      <c r="E56" s="2">
        <v>32</v>
      </c>
      <c r="F56" s="2">
        <v>32441</v>
      </c>
      <c r="G56" s="2">
        <v>34.957974139999997</v>
      </c>
      <c r="H56" s="2">
        <v>1.13688E-4</v>
      </c>
      <c r="I56" s="2" t="s">
        <v>42487</v>
      </c>
      <c r="J56" s="2" t="s">
        <v>42488</v>
      </c>
      <c r="K56" s="2">
        <v>1.0025568E-2</v>
      </c>
      <c r="L56" s="2" t="s">
        <v>35</v>
      </c>
      <c r="M56" s="4" t="s">
        <v>42531</v>
      </c>
    </row>
    <row r="57" spans="1:13">
      <c r="A57" s="2">
        <v>849</v>
      </c>
      <c r="B57" s="2" t="s">
        <v>42532</v>
      </c>
      <c r="C57" s="2">
        <v>4</v>
      </c>
      <c r="D57" s="2">
        <v>87</v>
      </c>
      <c r="E57" s="2">
        <v>89</v>
      </c>
      <c r="F57" s="2">
        <v>32441</v>
      </c>
      <c r="G57" s="2">
        <v>16.758878989999999</v>
      </c>
      <c r="H57" s="2">
        <v>1.16233E-4</v>
      </c>
      <c r="I57" s="2" t="s">
        <v>42533</v>
      </c>
      <c r="J57" s="2" t="s">
        <v>42534</v>
      </c>
      <c r="K57" s="2">
        <v>1.0063687999999999E-2</v>
      </c>
      <c r="L57" s="2" t="s">
        <v>35</v>
      </c>
      <c r="M57" s="4" t="s">
        <v>42535</v>
      </c>
    </row>
    <row r="58" spans="1:13">
      <c r="A58" s="2">
        <v>1804</v>
      </c>
      <c r="B58" s="2" t="s">
        <v>42536</v>
      </c>
      <c r="C58" s="2">
        <v>3</v>
      </c>
      <c r="D58" s="2">
        <v>87</v>
      </c>
      <c r="E58" s="2">
        <v>33</v>
      </c>
      <c r="F58" s="2">
        <v>32441</v>
      </c>
      <c r="G58" s="2">
        <v>33.898641589999997</v>
      </c>
      <c r="H58" s="2">
        <v>1.23783E-4</v>
      </c>
      <c r="I58" s="2" t="s">
        <v>42537</v>
      </c>
      <c r="J58" s="2" t="s">
        <v>42538</v>
      </c>
      <c r="K58" s="2">
        <v>1.0526018E-2</v>
      </c>
      <c r="L58" s="2" t="s">
        <v>35</v>
      </c>
      <c r="M58" s="4" t="s">
        <v>42539</v>
      </c>
    </row>
    <row r="59" spans="1:13">
      <c r="A59" s="2">
        <v>762</v>
      </c>
      <c r="B59" s="2" t="s">
        <v>4262</v>
      </c>
      <c r="C59" s="2">
        <v>4</v>
      </c>
      <c r="D59" s="2">
        <v>87</v>
      </c>
      <c r="E59" s="2">
        <v>91</v>
      </c>
      <c r="F59" s="2">
        <v>32441</v>
      </c>
      <c r="G59" s="2">
        <v>16.390551980000001</v>
      </c>
      <c r="H59" s="2">
        <v>1.2622100000000001E-4</v>
      </c>
      <c r="I59" s="2" t="s">
        <v>42540</v>
      </c>
      <c r="J59" s="2" t="s">
        <v>42541</v>
      </c>
      <c r="K59" s="2">
        <v>1.0545017E-2</v>
      </c>
      <c r="L59" s="2" t="s">
        <v>35</v>
      </c>
      <c r="M59" s="4" t="s">
        <v>4265</v>
      </c>
    </row>
    <row r="60" spans="1:13">
      <c r="A60" s="2">
        <v>3958</v>
      </c>
      <c r="B60" s="2" t="s">
        <v>35669</v>
      </c>
      <c r="C60" s="2">
        <v>11</v>
      </c>
      <c r="D60" s="2">
        <v>87</v>
      </c>
      <c r="E60" s="2">
        <v>1069</v>
      </c>
      <c r="F60" s="2">
        <v>32441</v>
      </c>
      <c r="G60" s="2">
        <v>3.8369837530000002</v>
      </c>
      <c r="H60" s="2">
        <v>1.4350499999999999E-4</v>
      </c>
      <c r="I60" s="2" t="s">
        <v>42542</v>
      </c>
      <c r="J60" s="2" t="s">
        <v>42543</v>
      </c>
      <c r="K60" s="2">
        <v>1.1782282999999999E-2</v>
      </c>
      <c r="L60" s="2" t="s">
        <v>35</v>
      </c>
      <c r="M60" s="4" t="s">
        <v>35672</v>
      </c>
    </row>
    <row r="61" spans="1:13">
      <c r="A61" s="2">
        <v>1959</v>
      </c>
      <c r="B61" s="2" t="s">
        <v>42544</v>
      </c>
      <c r="C61" s="2">
        <v>4</v>
      </c>
      <c r="D61" s="2">
        <v>87</v>
      </c>
      <c r="E61" s="2">
        <v>100</v>
      </c>
      <c r="F61" s="2">
        <v>32441</v>
      </c>
      <c r="G61" s="2">
        <v>14.9154023</v>
      </c>
      <c r="H61" s="2">
        <v>1.79004E-4</v>
      </c>
      <c r="I61" s="2" t="s">
        <v>42545</v>
      </c>
      <c r="J61" s="2" t="s">
        <v>42546</v>
      </c>
      <c r="K61" s="2">
        <v>1.4447712E-2</v>
      </c>
      <c r="L61" s="2" t="s">
        <v>35</v>
      </c>
      <c r="M61" s="4" t="s">
        <v>42547</v>
      </c>
    </row>
    <row r="62" spans="1:13">
      <c r="A62" s="2">
        <v>2388</v>
      </c>
      <c r="B62" s="2" t="s">
        <v>42548</v>
      </c>
      <c r="C62" s="2">
        <v>2</v>
      </c>
      <c r="D62" s="2">
        <v>87</v>
      </c>
      <c r="E62" s="2">
        <v>6</v>
      </c>
      <c r="F62" s="2">
        <v>32441</v>
      </c>
      <c r="G62" s="2">
        <v>124.2950192</v>
      </c>
      <c r="H62" s="2">
        <v>1.9594400000000001E-4</v>
      </c>
      <c r="I62" s="2" t="s">
        <v>42549</v>
      </c>
      <c r="J62" s="2" t="s">
        <v>42550</v>
      </c>
      <c r="K62" s="2">
        <v>1.5551453999999999E-2</v>
      </c>
      <c r="L62" s="2" t="s">
        <v>35</v>
      </c>
      <c r="M62" s="4" t="s">
        <v>42551</v>
      </c>
    </row>
    <row r="63" spans="1:13">
      <c r="A63" s="2">
        <v>1639</v>
      </c>
      <c r="B63" s="2" t="s">
        <v>42552</v>
      </c>
      <c r="C63" s="2">
        <v>6</v>
      </c>
      <c r="D63" s="2">
        <v>87</v>
      </c>
      <c r="E63" s="2">
        <v>316</v>
      </c>
      <c r="F63" s="2">
        <v>32441</v>
      </c>
      <c r="G63" s="2">
        <v>7.0800960279999998</v>
      </c>
      <c r="H63" s="2">
        <v>2.31399E-4</v>
      </c>
      <c r="I63" s="2" t="s">
        <v>42553</v>
      </c>
      <c r="J63" s="2" t="s">
        <v>42554</v>
      </c>
      <c r="K63" s="2">
        <v>1.806429E-2</v>
      </c>
      <c r="L63" s="2" t="s">
        <v>35</v>
      </c>
      <c r="M63" s="4" t="s">
        <v>42555</v>
      </c>
    </row>
    <row r="64" spans="1:13">
      <c r="A64" s="2">
        <v>3365</v>
      </c>
      <c r="B64" s="2" t="s">
        <v>5119</v>
      </c>
      <c r="C64" s="2">
        <v>3</v>
      </c>
      <c r="D64" s="2">
        <v>87</v>
      </c>
      <c r="E64" s="2">
        <v>42</v>
      </c>
      <c r="F64" s="2">
        <v>32441</v>
      </c>
      <c r="G64" s="2">
        <v>26.634646960000001</v>
      </c>
      <c r="H64" s="2">
        <v>2.4176800000000001E-4</v>
      </c>
      <c r="I64" s="2" t="s">
        <v>42556</v>
      </c>
      <c r="J64" s="2" t="s">
        <v>42557</v>
      </c>
      <c r="K64" s="2">
        <v>1.8569324000000002E-2</v>
      </c>
      <c r="L64" s="2" t="s">
        <v>35</v>
      </c>
      <c r="M64" s="4" t="s">
        <v>5122</v>
      </c>
    </row>
    <row r="65" spans="1:13">
      <c r="A65" s="2">
        <v>4750</v>
      </c>
      <c r="B65" s="2" t="s">
        <v>42558</v>
      </c>
      <c r="C65" s="2">
        <v>3</v>
      </c>
      <c r="D65" s="2">
        <v>87</v>
      </c>
      <c r="E65" s="2">
        <v>43</v>
      </c>
      <c r="F65" s="2">
        <v>32441</v>
      </c>
      <c r="G65" s="2">
        <v>26.015236569999999</v>
      </c>
      <c r="H65" s="2">
        <v>2.5813700000000003E-4</v>
      </c>
      <c r="I65" s="2" t="s">
        <v>42559</v>
      </c>
      <c r="J65" s="2" t="s">
        <v>42560</v>
      </c>
      <c r="K65" s="2">
        <v>1.9511845E-2</v>
      </c>
      <c r="L65" s="2" t="s">
        <v>35</v>
      </c>
      <c r="M65" s="4" t="s">
        <v>42561</v>
      </c>
    </row>
    <row r="66" spans="1:13">
      <c r="A66" s="2">
        <v>642</v>
      </c>
      <c r="B66" s="2" t="s">
        <v>42562</v>
      </c>
      <c r="C66" s="2">
        <v>3</v>
      </c>
      <c r="D66" s="2">
        <v>87</v>
      </c>
      <c r="E66" s="2">
        <v>44</v>
      </c>
      <c r="F66" s="2">
        <v>32441</v>
      </c>
      <c r="G66" s="2">
        <v>25.423981189999999</v>
      </c>
      <c r="H66" s="2">
        <v>2.7520499999999999E-4</v>
      </c>
      <c r="I66" s="2" t="s">
        <v>42563</v>
      </c>
      <c r="J66" s="2" t="s">
        <v>42564</v>
      </c>
      <c r="K66" s="2">
        <v>2.0476980999999998E-2</v>
      </c>
      <c r="L66" s="2" t="s">
        <v>35</v>
      </c>
      <c r="M66" s="4" t="s">
        <v>42565</v>
      </c>
    </row>
    <row r="67" spans="1:13">
      <c r="A67" s="2">
        <v>1719</v>
      </c>
      <c r="B67" s="2" t="s">
        <v>42566</v>
      </c>
      <c r="C67" s="2">
        <v>2</v>
      </c>
      <c r="D67" s="2">
        <v>87</v>
      </c>
      <c r="E67" s="2">
        <v>8</v>
      </c>
      <c r="F67" s="2">
        <v>32441</v>
      </c>
      <c r="G67" s="2">
        <v>93.22126437</v>
      </c>
      <c r="H67" s="2">
        <v>3.1381600000000002E-4</v>
      </c>
      <c r="I67" s="2" t="s">
        <v>42567</v>
      </c>
      <c r="J67" s="2" t="s">
        <v>42568</v>
      </c>
      <c r="K67" s="2">
        <v>2.2304336000000001E-2</v>
      </c>
      <c r="L67" s="2" t="s">
        <v>35</v>
      </c>
      <c r="M67" s="4" t="s">
        <v>42569</v>
      </c>
    </row>
    <row r="68" spans="1:13">
      <c r="A68" s="2">
        <v>2284</v>
      </c>
      <c r="B68" s="2" t="s">
        <v>42570</v>
      </c>
      <c r="C68" s="2">
        <v>2</v>
      </c>
      <c r="D68" s="2">
        <v>87</v>
      </c>
      <c r="E68" s="2">
        <v>8</v>
      </c>
      <c r="F68" s="2">
        <v>32441</v>
      </c>
      <c r="G68" s="2">
        <v>93.22126437</v>
      </c>
      <c r="H68" s="2">
        <v>3.1381600000000002E-4</v>
      </c>
      <c r="I68" s="2" t="s">
        <v>42571</v>
      </c>
      <c r="J68" s="2" t="s">
        <v>42572</v>
      </c>
      <c r="K68" s="2">
        <v>2.2304336000000001E-2</v>
      </c>
      <c r="L68" s="2" t="s">
        <v>35</v>
      </c>
      <c r="M68" s="4" t="s">
        <v>42573</v>
      </c>
    </row>
    <row r="69" spans="1:13">
      <c r="A69" s="2">
        <v>2394</v>
      </c>
      <c r="B69" s="2" t="s">
        <v>42574</v>
      </c>
      <c r="C69" s="2">
        <v>2</v>
      </c>
      <c r="D69" s="2">
        <v>87</v>
      </c>
      <c r="E69" s="2">
        <v>8</v>
      </c>
      <c r="F69" s="2">
        <v>32441</v>
      </c>
      <c r="G69" s="2">
        <v>93.22126437</v>
      </c>
      <c r="H69" s="2">
        <v>3.1381600000000002E-4</v>
      </c>
      <c r="I69" s="2" t="s">
        <v>42549</v>
      </c>
      <c r="J69" s="2" t="s">
        <v>42550</v>
      </c>
      <c r="K69" s="2">
        <v>2.2304336000000001E-2</v>
      </c>
      <c r="L69" s="2" t="s">
        <v>35</v>
      </c>
      <c r="M69" s="4" t="s">
        <v>42575</v>
      </c>
    </row>
    <row r="70" spans="1:13">
      <c r="A70" s="2">
        <v>133</v>
      </c>
      <c r="B70" s="2" t="s">
        <v>4752</v>
      </c>
      <c r="C70" s="2">
        <v>4</v>
      </c>
      <c r="D70" s="2">
        <v>87</v>
      </c>
      <c r="E70" s="2">
        <v>118</v>
      </c>
      <c r="F70" s="2">
        <v>32441</v>
      </c>
      <c r="G70" s="2">
        <v>12.64017144</v>
      </c>
      <c r="H70" s="2">
        <v>3.2966700000000001E-4</v>
      </c>
      <c r="I70" s="2" t="s">
        <v>42576</v>
      </c>
      <c r="J70" s="2" t="s">
        <v>42577</v>
      </c>
      <c r="K70" s="2">
        <v>2.3086364000000002E-2</v>
      </c>
      <c r="L70" s="2" t="s">
        <v>35</v>
      </c>
      <c r="M70" s="4" t="s">
        <v>4755</v>
      </c>
    </row>
    <row r="71" spans="1:13">
      <c r="A71" s="2">
        <v>3260</v>
      </c>
      <c r="B71" s="2" t="s">
        <v>42578</v>
      </c>
      <c r="C71" s="2">
        <v>3</v>
      </c>
      <c r="D71" s="2">
        <v>87</v>
      </c>
      <c r="E71" s="2">
        <v>48</v>
      </c>
      <c r="F71" s="2">
        <v>32441</v>
      </c>
      <c r="G71" s="2">
        <v>23.305316090000002</v>
      </c>
      <c r="H71" s="2">
        <v>3.5073E-4</v>
      </c>
      <c r="I71" s="2" t="s">
        <v>42579</v>
      </c>
      <c r="J71" s="2" t="s">
        <v>42580</v>
      </c>
      <c r="K71" s="2">
        <v>2.4205444E-2</v>
      </c>
      <c r="L71" s="2" t="s">
        <v>35</v>
      </c>
      <c r="M71" s="4" t="s">
        <v>42581</v>
      </c>
    </row>
    <row r="72" spans="1:13">
      <c r="A72" s="2">
        <v>2782</v>
      </c>
      <c r="B72" s="2" t="s">
        <v>42582</v>
      </c>
      <c r="C72" s="2">
        <v>3</v>
      </c>
      <c r="D72" s="2">
        <v>87</v>
      </c>
      <c r="E72" s="2">
        <v>50</v>
      </c>
      <c r="F72" s="2">
        <v>32441</v>
      </c>
      <c r="G72" s="2">
        <v>22.373103449999999</v>
      </c>
      <c r="H72" s="2">
        <v>3.9301599999999999E-4</v>
      </c>
      <c r="I72" s="2" t="s">
        <v>42583</v>
      </c>
      <c r="J72" s="2" t="s">
        <v>42584</v>
      </c>
      <c r="K72" s="2">
        <v>2.6736335E-2</v>
      </c>
      <c r="L72" s="2" t="s">
        <v>35</v>
      </c>
      <c r="M72" s="4" t="s">
        <v>42585</v>
      </c>
    </row>
    <row r="73" spans="1:13">
      <c r="A73" s="2">
        <v>2308</v>
      </c>
      <c r="B73" s="2" t="s">
        <v>42586</v>
      </c>
      <c r="C73" s="2">
        <v>4</v>
      </c>
      <c r="D73" s="2">
        <v>87</v>
      </c>
      <c r="E73" s="2">
        <v>127</v>
      </c>
      <c r="F73" s="2">
        <v>32441</v>
      </c>
      <c r="G73" s="2">
        <v>11.74441126</v>
      </c>
      <c r="H73" s="2">
        <v>4.3180600000000002E-4</v>
      </c>
      <c r="I73" s="2" t="s">
        <v>42587</v>
      </c>
      <c r="J73" s="2" t="s">
        <v>42588</v>
      </c>
      <c r="K73" s="2">
        <v>2.8961436E-2</v>
      </c>
      <c r="L73" s="2" t="s">
        <v>35</v>
      </c>
      <c r="M73" s="4" t="s">
        <v>42589</v>
      </c>
    </row>
    <row r="74" spans="1:13">
      <c r="A74" s="2">
        <v>541</v>
      </c>
      <c r="B74" s="2" t="s">
        <v>42590</v>
      </c>
      <c r="C74" s="2">
        <v>2</v>
      </c>
      <c r="D74" s="2">
        <v>87</v>
      </c>
      <c r="E74" s="2">
        <v>10</v>
      </c>
      <c r="F74" s="2">
        <v>32441</v>
      </c>
      <c r="G74" s="2">
        <v>74.577011490000004</v>
      </c>
      <c r="H74" s="2">
        <v>4.58663E-4</v>
      </c>
      <c r="I74" s="2" t="s">
        <v>42591</v>
      </c>
      <c r="J74" s="2" t="s">
        <v>42592</v>
      </c>
      <c r="K74" s="2">
        <v>2.9357655999999999E-2</v>
      </c>
      <c r="L74" s="2" t="s">
        <v>35</v>
      </c>
      <c r="M74" s="4" t="s">
        <v>42593</v>
      </c>
    </row>
    <row r="75" spans="1:13">
      <c r="A75" s="2">
        <v>822</v>
      </c>
      <c r="B75" s="2" t="s">
        <v>42594</v>
      </c>
      <c r="C75" s="2">
        <v>2</v>
      </c>
      <c r="D75" s="2">
        <v>87</v>
      </c>
      <c r="E75" s="2">
        <v>10</v>
      </c>
      <c r="F75" s="2">
        <v>32441</v>
      </c>
      <c r="G75" s="2">
        <v>74.577011490000004</v>
      </c>
      <c r="H75" s="2">
        <v>4.58663E-4</v>
      </c>
      <c r="I75" s="2" t="s">
        <v>42591</v>
      </c>
      <c r="J75" s="2" t="s">
        <v>42592</v>
      </c>
      <c r="K75" s="2">
        <v>2.9357655999999999E-2</v>
      </c>
      <c r="L75" s="2" t="s">
        <v>35</v>
      </c>
      <c r="M75" s="4" t="s">
        <v>42595</v>
      </c>
    </row>
    <row r="76" spans="1:13">
      <c r="A76" s="2">
        <v>3144</v>
      </c>
      <c r="B76" s="2" t="s">
        <v>5286</v>
      </c>
      <c r="C76" s="2">
        <v>3</v>
      </c>
      <c r="D76" s="2">
        <v>87</v>
      </c>
      <c r="E76" s="2">
        <v>53</v>
      </c>
      <c r="F76" s="2">
        <v>32441</v>
      </c>
      <c r="G76" s="2">
        <v>21.10670137</v>
      </c>
      <c r="H76" s="2">
        <v>4.6237399999999999E-4</v>
      </c>
      <c r="I76" s="2" t="s">
        <v>42596</v>
      </c>
      <c r="J76" s="2" t="s">
        <v>42597</v>
      </c>
      <c r="K76" s="2">
        <v>2.9357655999999999E-2</v>
      </c>
      <c r="L76" s="2" t="s">
        <v>35</v>
      </c>
      <c r="M76" s="4" t="s">
        <v>5289</v>
      </c>
    </row>
    <row r="77" spans="1:13">
      <c r="A77" s="2">
        <v>3809</v>
      </c>
      <c r="B77" s="2" t="s">
        <v>42598</v>
      </c>
      <c r="C77" s="2">
        <v>2</v>
      </c>
      <c r="D77" s="2">
        <v>87</v>
      </c>
      <c r="E77" s="2">
        <v>10</v>
      </c>
      <c r="F77" s="2">
        <v>32441</v>
      </c>
      <c r="G77" s="2">
        <v>74.577011490000004</v>
      </c>
      <c r="H77" s="2">
        <v>4.58663E-4</v>
      </c>
      <c r="I77" s="2" t="s">
        <v>42599</v>
      </c>
      <c r="J77" s="2" t="s">
        <v>42600</v>
      </c>
      <c r="K77" s="2">
        <v>2.9357655999999999E-2</v>
      </c>
      <c r="L77" s="2" t="s">
        <v>35</v>
      </c>
      <c r="M77" s="4" t="s">
        <v>42601</v>
      </c>
    </row>
    <row r="78" spans="1:13">
      <c r="A78" s="2">
        <v>3601</v>
      </c>
      <c r="B78" s="2" t="s">
        <v>42602</v>
      </c>
      <c r="C78" s="2">
        <v>7</v>
      </c>
      <c r="D78" s="2">
        <v>87</v>
      </c>
      <c r="E78" s="2">
        <v>510</v>
      </c>
      <c r="F78" s="2">
        <v>32441</v>
      </c>
      <c r="G78" s="2">
        <v>5.1180302009999998</v>
      </c>
      <c r="H78" s="2">
        <v>4.8061499999999999E-4</v>
      </c>
      <c r="I78" s="2" t="s">
        <v>42603</v>
      </c>
      <c r="J78" s="2" t="s">
        <v>42604</v>
      </c>
      <c r="K78" s="2">
        <v>3.0114324000000001E-2</v>
      </c>
      <c r="L78" s="2" t="s">
        <v>35</v>
      </c>
      <c r="M78" s="4" t="s">
        <v>42605</v>
      </c>
    </row>
    <row r="79" spans="1:13">
      <c r="A79" s="2">
        <v>1956</v>
      </c>
      <c r="B79" s="2" t="s">
        <v>42606</v>
      </c>
      <c r="C79" s="2">
        <v>3</v>
      </c>
      <c r="D79" s="2">
        <v>87</v>
      </c>
      <c r="E79" s="2">
        <v>54</v>
      </c>
      <c r="F79" s="2">
        <v>32441</v>
      </c>
      <c r="G79" s="2">
        <v>20.715836530000001</v>
      </c>
      <c r="H79" s="2">
        <v>4.8712099999999997E-4</v>
      </c>
      <c r="I79" s="2" t="s">
        <v>42563</v>
      </c>
      <c r="J79" s="2" t="s">
        <v>42564</v>
      </c>
      <c r="K79" s="2">
        <v>3.0125603000000001E-2</v>
      </c>
      <c r="L79" s="2" t="s">
        <v>35</v>
      </c>
      <c r="M79" s="4" t="s">
        <v>42607</v>
      </c>
    </row>
    <row r="80" spans="1:13">
      <c r="A80" s="2">
        <v>4354</v>
      </c>
      <c r="B80" s="2" t="s">
        <v>4238</v>
      </c>
      <c r="C80" s="2">
        <v>9</v>
      </c>
      <c r="D80" s="2">
        <v>87</v>
      </c>
      <c r="E80" s="2">
        <v>857</v>
      </c>
      <c r="F80" s="2">
        <v>32441</v>
      </c>
      <c r="G80" s="2">
        <v>3.9159457610000001</v>
      </c>
      <c r="H80" s="2">
        <v>5.1797099999999999E-4</v>
      </c>
      <c r="I80" s="2" t="s">
        <v>42608</v>
      </c>
      <c r="J80" s="2" t="s">
        <v>42609</v>
      </c>
      <c r="K80" s="2">
        <v>3.1622790999999997E-2</v>
      </c>
      <c r="L80" s="2" t="s">
        <v>35</v>
      </c>
      <c r="M80" s="4" t="s">
        <v>4241</v>
      </c>
    </row>
    <row r="81" spans="1:13">
      <c r="A81" s="2">
        <v>193</v>
      </c>
      <c r="B81" s="2" t="s">
        <v>5330</v>
      </c>
      <c r="C81" s="2">
        <v>2</v>
      </c>
      <c r="D81" s="2">
        <v>87</v>
      </c>
      <c r="E81" s="2">
        <v>11</v>
      </c>
      <c r="F81" s="2">
        <v>32441</v>
      </c>
      <c r="G81" s="2">
        <v>67.797283179999994</v>
      </c>
      <c r="H81" s="2">
        <v>5.4111399999999998E-4</v>
      </c>
      <c r="I81" s="2" t="s">
        <v>42610</v>
      </c>
      <c r="J81" s="2" t="s">
        <v>42611</v>
      </c>
      <c r="K81" s="2">
        <v>3.1812171E-2</v>
      </c>
      <c r="L81" s="2" t="s">
        <v>35</v>
      </c>
      <c r="M81" s="4" t="s">
        <v>5333</v>
      </c>
    </row>
    <row r="82" spans="1:13">
      <c r="A82" s="2">
        <v>1562</v>
      </c>
      <c r="B82" s="2" t="s">
        <v>42612</v>
      </c>
      <c r="C82" s="2">
        <v>5</v>
      </c>
      <c r="D82" s="2">
        <v>87</v>
      </c>
      <c r="E82" s="2">
        <v>242</v>
      </c>
      <c r="F82" s="2">
        <v>32441</v>
      </c>
      <c r="G82" s="2">
        <v>7.7042367250000003</v>
      </c>
      <c r="H82" s="2">
        <v>5.3972500000000001E-4</v>
      </c>
      <c r="I82" s="2" t="s">
        <v>42613</v>
      </c>
      <c r="J82" s="2" t="s">
        <v>42614</v>
      </c>
      <c r="K82" s="2">
        <v>3.1812171E-2</v>
      </c>
      <c r="L82" s="2" t="s">
        <v>35</v>
      </c>
      <c r="M82" s="4" t="s">
        <v>42615</v>
      </c>
    </row>
    <row r="83" spans="1:13">
      <c r="A83" s="2">
        <v>4139</v>
      </c>
      <c r="B83" s="2" t="s">
        <v>42616</v>
      </c>
      <c r="C83" s="2">
        <v>3</v>
      </c>
      <c r="D83" s="2">
        <v>87</v>
      </c>
      <c r="E83" s="2">
        <v>56</v>
      </c>
      <c r="F83" s="2">
        <v>32441</v>
      </c>
      <c r="G83" s="2">
        <v>19.975985219999998</v>
      </c>
      <c r="H83" s="2">
        <v>5.3912800000000005E-4</v>
      </c>
      <c r="I83" s="2" t="s">
        <v>42617</v>
      </c>
      <c r="J83" s="2" t="s">
        <v>42618</v>
      </c>
      <c r="K83" s="2">
        <v>3.1812171E-2</v>
      </c>
      <c r="L83" s="2" t="s">
        <v>35</v>
      </c>
      <c r="M83" s="4" t="s">
        <v>42619</v>
      </c>
    </row>
    <row r="84" spans="1:13">
      <c r="A84" s="2">
        <v>4593</v>
      </c>
      <c r="B84" s="2" t="s">
        <v>5922</v>
      </c>
      <c r="C84" s="2">
        <v>5</v>
      </c>
      <c r="D84" s="2">
        <v>87</v>
      </c>
      <c r="E84" s="2">
        <v>244</v>
      </c>
      <c r="F84" s="2">
        <v>32441</v>
      </c>
      <c r="G84" s="2">
        <v>7.6410872430000003</v>
      </c>
      <c r="H84" s="2">
        <v>5.5977999999999996E-4</v>
      </c>
      <c r="I84" s="2" t="s">
        <v>42620</v>
      </c>
      <c r="J84" s="2" t="s">
        <v>42621</v>
      </c>
      <c r="K84" s="2">
        <v>3.2508172000000002E-2</v>
      </c>
      <c r="L84" s="2" t="s">
        <v>35</v>
      </c>
      <c r="M84" s="4" t="s">
        <v>5925</v>
      </c>
    </row>
    <row r="85" spans="1:13">
      <c r="A85" s="2">
        <v>2428</v>
      </c>
      <c r="B85" s="2" t="s">
        <v>42622</v>
      </c>
      <c r="C85" s="2">
        <v>10</v>
      </c>
      <c r="D85" s="2">
        <v>87</v>
      </c>
      <c r="E85" s="2">
        <v>1062</v>
      </c>
      <c r="F85" s="2">
        <v>32441</v>
      </c>
      <c r="G85" s="2">
        <v>3.5111587329999998</v>
      </c>
      <c r="H85" s="2">
        <v>5.8339299999999998E-4</v>
      </c>
      <c r="I85" s="2" t="s">
        <v>42623</v>
      </c>
      <c r="J85" s="2" t="s">
        <v>42624</v>
      </c>
      <c r="K85" s="2">
        <v>3.3471297999999997E-2</v>
      </c>
      <c r="L85" s="2" t="s">
        <v>35</v>
      </c>
      <c r="M85" s="4" t="s">
        <v>42625</v>
      </c>
    </row>
    <row r="86" spans="1:13">
      <c r="A86" s="2">
        <v>1876</v>
      </c>
      <c r="B86" s="2" t="s">
        <v>42626</v>
      </c>
      <c r="C86" s="2">
        <v>3</v>
      </c>
      <c r="D86" s="2">
        <v>87</v>
      </c>
      <c r="E86" s="2">
        <v>60</v>
      </c>
      <c r="F86" s="2">
        <v>32441</v>
      </c>
      <c r="G86" s="2">
        <v>18.644252869999999</v>
      </c>
      <c r="H86" s="2">
        <v>6.5350900000000003E-4</v>
      </c>
      <c r="I86" s="2" t="s">
        <v>42627</v>
      </c>
      <c r="J86" s="2" t="s">
        <v>42628</v>
      </c>
      <c r="K86" s="2">
        <v>3.7047763999999997E-2</v>
      </c>
      <c r="L86" s="2" t="s">
        <v>35</v>
      </c>
      <c r="M86" s="4" t="s">
        <v>42629</v>
      </c>
    </row>
    <row r="87" spans="1:13">
      <c r="A87" s="2">
        <v>2225</v>
      </c>
      <c r="B87" s="2" t="s">
        <v>5483</v>
      </c>
      <c r="C87" s="2">
        <v>6</v>
      </c>
      <c r="D87" s="2">
        <v>87</v>
      </c>
      <c r="E87" s="2">
        <v>390</v>
      </c>
      <c r="F87" s="2">
        <v>32441</v>
      </c>
      <c r="G87" s="2">
        <v>5.7366931919999997</v>
      </c>
      <c r="H87" s="2">
        <v>6.9034599999999999E-4</v>
      </c>
      <c r="I87" s="2" t="s">
        <v>42630</v>
      </c>
      <c r="J87" s="2" t="s">
        <v>42631</v>
      </c>
      <c r="K87" s="2">
        <v>3.8225899000000001E-2</v>
      </c>
      <c r="L87" s="2" t="s">
        <v>35</v>
      </c>
      <c r="M87" s="4" t="s">
        <v>5486</v>
      </c>
    </row>
    <row r="88" spans="1:13">
      <c r="A88" s="2">
        <v>3016</v>
      </c>
      <c r="B88" s="2" t="s">
        <v>42632</v>
      </c>
      <c r="C88" s="2">
        <v>3</v>
      </c>
      <c r="D88" s="2">
        <v>87</v>
      </c>
      <c r="E88" s="2">
        <v>61</v>
      </c>
      <c r="F88" s="2">
        <v>32441</v>
      </c>
      <c r="G88" s="2">
        <v>18.338609380000001</v>
      </c>
      <c r="H88" s="2">
        <v>6.8433000000000003E-4</v>
      </c>
      <c r="I88" s="2" t="s">
        <v>42633</v>
      </c>
      <c r="J88" s="2" t="s">
        <v>42634</v>
      </c>
      <c r="K88" s="2">
        <v>3.8225899000000001E-2</v>
      </c>
      <c r="L88" s="2" t="s">
        <v>35</v>
      </c>
      <c r="M88" s="4" t="s">
        <v>42635</v>
      </c>
    </row>
    <row r="89" spans="1:13">
      <c r="A89" s="2">
        <v>4448</v>
      </c>
      <c r="B89" s="2" t="s">
        <v>5870</v>
      </c>
      <c r="C89" s="2">
        <v>9</v>
      </c>
      <c r="D89" s="2">
        <v>87</v>
      </c>
      <c r="E89" s="2">
        <v>898</v>
      </c>
      <c r="F89" s="2">
        <v>32441</v>
      </c>
      <c r="G89" s="2">
        <v>3.7371553639999999</v>
      </c>
      <c r="H89" s="2">
        <v>7.2011099999999995E-4</v>
      </c>
      <c r="I89" s="2" t="s">
        <v>42636</v>
      </c>
      <c r="J89" s="2" t="s">
        <v>42637</v>
      </c>
      <c r="K89" s="2">
        <v>3.9415717000000003E-2</v>
      </c>
      <c r="L89" s="2" t="s">
        <v>35</v>
      </c>
      <c r="M89" s="4" t="s">
        <v>5873</v>
      </c>
    </row>
    <row r="90" spans="1:13">
      <c r="A90" s="2">
        <v>2957</v>
      </c>
      <c r="B90" s="2" t="s">
        <v>42638</v>
      </c>
      <c r="C90" s="2">
        <v>3</v>
      </c>
      <c r="D90" s="2">
        <v>87</v>
      </c>
      <c r="E90" s="2">
        <v>64</v>
      </c>
      <c r="F90" s="2">
        <v>32441</v>
      </c>
      <c r="G90" s="2">
        <v>17.478987069999999</v>
      </c>
      <c r="H90" s="2">
        <v>7.8230499999999996E-4</v>
      </c>
      <c r="I90" s="2" t="s">
        <v>42639</v>
      </c>
      <c r="J90" s="2" t="s">
        <v>42640</v>
      </c>
      <c r="K90" s="2">
        <v>4.2333353999999997E-2</v>
      </c>
      <c r="L90" s="2" t="s">
        <v>35</v>
      </c>
      <c r="M90" s="4" t="s">
        <v>42641</v>
      </c>
    </row>
    <row r="91" spans="1:13">
      <c r="A91" s="2">
        <v>1985</v>
      </c>
      <c r="B91" s="2" t="s">
        <v>42199</v>
      </c>
      <c r="C91" s="2">
        <v>2</v>
      </c>
      <c r="D91" s="2">
        <v>87</v>
      </c>
      <c r="E91" s="2">
        <v>14</v>
      </c>
      <c r="F91" s="2">
        <v>32441</v>
      </c>
      <c r="G91" s="2">
        <v>53.269293920000003</v>
      </c>
      <c r="H91" s="2">
        <v>8.2815000000000004E-4</v>
      </c>
      <c r="I91" s="2" t="s">
        <v>42642</v>
      </c>
      <c r="J91" s="2" t="s">
        <v>42643</v>
      </c>
      <c r="K91" s="2">
        <v>4.4310682999999997E-2</v>
      </c>
      <c r="L91" s="2" t="s">
        <v>35</v>
      </c>
      <c r="M91" s="4" t="s">
        <v>42200</v>
      </c>
    </row>
    <row r="92" spans="1:13">
      <c r="A92" s="2">
        <v>4378</v>
      </c>
      <c r="B92" s="2" t="s">
        <v>35715</v>
      </c>
      <c r="C92" s="2">
        <v>7</v>
      </c>
      <c r="D92" s="2">
        <v>87</v>
      </c>
      <c r="E92" s="2">
        <v>567</v>
      </c>
      <c r="F92" s="2">
        <v>32441</v>
      </c>
      <c r="G92" s="2">
        <v>4.6035192279999997</v>
      </c>
      <c r="H92" s="2">
        <v>8.8819500000000004E-4</v>
      </c>
      <c r="I92" s="2" t="s">
        <v>42644</v>
      </c>
      <c r="J92" s="2" t="s">
        <v>42645</v>
      </c>
      <c r="K92" s="2">
        <v>4.6995400999999999E-2</v>
      </c>
      <c r="L92" s="2" t="s">
        <v>35</v>
      </c>
      <c r="M92" s="4" t="s">
        <v>35718</v>
      </c>
    </row>
    <row r="93" spans="1:13">
      <c r="A93" s="2">
        <v>92</v>
      </c>
      <c r="B93" s="2" t="s">
        <v>5235</v>
      </c>
      <c r="C93" s="2">
        <v>5</v>
      </c>
      <c r="D93" s="2">
        <v>87</v>
      </c>
      <c r="E93" s="2">
        <v>272</v>
      </c>
      <c r="F93" s="2">
        <v>32441</v>
      </c>
      <c r="G93" s="2">
        <v>6.8545047329999997</v>
      </c>
      <c r="H93" s="2">
        <v>9.0339499999999998E-4</v>
      </c>
      <c r="I93" s="2" t="s">
        <v>42646</v>
      </c>
      <c r="J93" s="2" t="s">
        <v>42647</v>
      </c>
      <c r="K93" s="2">
        <v>4.7274340999999998E-2</v>
      </c>
      <c r="L93" s="2" t="s">
        <v>35</v>
      </c>
      <c r="M93" s="4" t="s">
        <v>5238</v>
      </c>
    </row>
    <row r="94" spans="1:13">
      <c r="A94" s="2">
        <v>2737</v>
      </c>
      <c r="B94" s="2" t="s">
        <v>280</v>
      </c>
      <c r="C94" s="2">
        <v>4</v>
      </c>
      <c r="D94" s="2">
        <v>87</v>
      </c>
      <c r="E94" s="2">
        <v>157</v>
      </c>
      <c r="F94" s="2">
        <v>32441</v>
      </c>
      <c r="G94" s="2">
        <v>9.5002562410000007</v>
      </c>
      <c r="H94" s="2">
        <v>9.3515999999999998E-4</v>
      </c>
      <c r="I94" s="2" t="s">
        <v>42648</v>
      </c>
      <c r="J94" s="2" t="s">
        <v>42649</v>
      </c>
      <c r="K94" s="2">
        <v>4.7884226000000002E-2</v>
      </c>
      <c r="L94" s="2" t="s">
        <v>35</v>
      </c>
      <c r="M94" s="4" t="s">
        <v>42650</v>
      </c>
    </row>
    <row r="95" spans="1:13">
      <c r="A95" s="2">
        <v>4503</v>
      </c>
      <c r="B95" s="2" t="s">
        <v>5751</v>
      </c>
      <c r="C95" s="2">
        <v>8</v>
      </c>
      <c r="D95" s="2">
        <v>87</v>
      </c>
      <c r="E95" s="2">
        <v>745</v>
      </c>
      <c r="F95" s="2">
        <v>32441</v>
      </c>
      <c r="G95" s="2">
        <v>4.0041348450000003</v>
      </c>
      <c r="H95" s="2">
        <v>9.2984299999999997E-4</v>
      </c>
      <c r="I95" s="2" t="s">
        <v>42651</v>
      </c>
      <c r="J95" s="2" t="s">
        <v>42652</v>
      </c>
      <c r="K95" s="2">
        <v>4.7884226000000002E-2</v>
      </c>
      <c r="L95" s="2" t="s">
        <v>35</v>
      </c>
      <c r="M95" s="4" t="s">
        <v>5754</v>
      </c>
    </row>
    <row r="96" spans="1:13">
      <c r="A96" s="2">
        <v>792</v>
      </c>
      <c r="B96" s="2" t="s">
        <v>6660</v>
      </c>
      <c r="C96" s="2">
        <v>14</v>
      </c>
      <c r="D96" s="2">
        <v>87</v>
      </c>
      <c r="E96" s="2">
        <v>1085</v>
      </c>
      <c r="F96" s="2">
        <v>32441</v>
      </c>
      <c r="G96" s="2">
        <v>4.811420096</v>
      </c>
      <c r="H96" s="3">
        <v>1.2699999999999999E-6</v>
      </c>
      <c r="I96" s="2" t="s">
        <v>42653</v>
      </c>
      <c r="J96" s="2" t="s">
        <v>42654</v>
      </c>
      <c r="K96" s="2">
        <v>1.0576660000000001E-3</v>
      </c>
      <c r="L96" s="2" t="s">
        <v>606</v>
      </c>
      <c r="M96" s="4" t="s">
        <v>6663</v>
      </c>
    </row>
    <row r="97" spans="1:13">
      <c r="A97" s="2">
        <v>793</v>
      </c>
      <c r="B97" s="2" t="s">
        <v>6777</v>
      </c>
      <c r="C97" s="2">
        <v>18</v>
      </c>
      <c r="D97" s="2">
        <v>87</v>
      </c>
      <c r="E97" s="2">
        <v>2061</v>
      </c>
      <c r="F97" s="2">
        <v>32441</v>
      </c>
      <c r="G97" s="2">
        <v>3.256638057</v>
      </c>
      <c r="H97" s="3">
        <v>8.1300000000000001E-6</v>
      </c>
      <c r="I97" s="2" t="s">
        <v>42655</v>
      </c>
      <c r="J97" s="2" t="s">
        <v>42656</v>
      </c>
      <c r="K97" s="2">
        <v>3.0172459999999999E-3</v>
      </c>
      <c r="L97" s="2" t="s">
        <v>606</v>
      </c>
      <c r="M97" s="4" t="s">
        <v>6780</v>
      </c>
    </row>
    <row r="98" spans="1:13">
      <c r="A98" s="2">
        <v>814</v>
      </c>
      <c r="B98" s="2" t="s">
        <v>6751</v>
      </c>
      <c r="C98" s="2">
        <v>17</v>
      </c>
      <c r="D98" s="2">
        <v>87</v>
      </c>
      <c r="E98" s="2">
        <v>1896</v>
      </c>
      <c r="F98" s="2">
        <v>32441</v>
      </c>
      <c r="G98" s="2">
        <v>3.3433786799999998</v>
      </c>
      <c r="H98" s="3">
        <v>1.08E-5</v>
      </c>
      <c r="I98" s="2" t="s">
        <v>42657</v>
      </c>
      <c r="J98" s="2" t="s">
        <v>42658</v>
      </c>
      <c r="K98" s="2">
        <v>3.0172459999999999E-3</v>
      </c>
      <c r="L98" s="2" t="s">
        <v>606</v>
      </c>
      <c r="M98" s="4" t="s">
        <v>6754</v>
      </c>
    </row>
    <row r="99" spans="1:13">
      <c r="A99" s="2">
        <v>206</v>
      </c>
      <c r="B99" s="2" t="s">
        <v>27252</v>
      </c>
      <c r="C99" s="2">
        <v>6</v>
      </c>
      <c r="D99" s="2">
        <v>87</v>
      </c>
      <c r="E99" s="2">
        <v>246</v>
      </c>
      <c r="F99" s="2">
        <v>32441</v>
      </c>
      <c r="G99" s="2">
        <v>9.094757499</v>
      </c>
      <c r="H99" s="3">
        <v>6.0900000000000003E-5</v>
      </c>
      <c r="I99" s="2" t="s">
        <v>42659</v>
      </c>
      <c r="J99" s="2" t="s">
        <v>42660</v>
      </c>
      <c r="K99" s="2">
        <v>1.2725293E-2</v>
      </c>
      <c r="L99" s="2" t="s">
        <v>606</v>
      </c>
      <c r="M99" s="4" t="s">
        <v>27255</v>
      </c>
    </row>
    <row r="100" spans="1:13">
      <c r="A100" s="2">
        <v>440</v>
      </c>
      <c r="B100" s="2" t="s">
        <v>42661</v>
      </c>
      <c r="C100" s="2">
        <v>6</v>
      </c>
      <c r="D100" s="2">
        <v>87</v>
      </c>
      <c r="E100" s="2">
        <v>259</v>
      </c>
      <c r="F100" s="2">
        <v>32441</v>
      </c>
      <c r="G100" s="2">
        <v>8.6382638800000002</v>
      </c>
      <c r="H100" s="3">
        <v>8.03E-5</v>
      </c>
      <c r="I100" s="2" t="s">
        <v>42662</v>
      </c>
      <c r="J100" s="2" t="s">
        <v>42663</v>
      </c>
      <c r="K100" s="2">
        <v>1.3431154000000001E-2</v>
      </c>
      <c r="L100" s="2" t="s">
        <v>606</v>
      </c>
      <c r="M100" s="4" t="s">
        <v>42664</v>
      </c>
    </row>
    <row r="101" spans="1:13">
      <c r="A101" s="2">
        <v>214</v>
      </c>
      <c r="B101" s="2" t="s">
        <v>6759</v>
      </c>
      <c r="C101" s="2">
        <v>6</v>
      </c>
      <c r="D101" s="2">
        <v>87</v>
      </c>
      <c r="E101" s="2">
        <v>274</v>
      </c>
      <c r="F101" s="2">
        <v>32441</v>
      </c>
      <c r="G101" s="2">
        <v>8.1653662219999994</v>
      </c>
      <c r="H101" s="2">
        <v>1.08603E-4</v>
      </c>
      <c r="I101" s="2" t="s">
        <v>42665</v>
      </c>
      <c r="J101" s="2" t="s">
        <v>42666</v>
      </c>
      <c r="K101" s="2">
        <v>1.5131959E-2</v>
      </c>
      <c r="L101" s="2" t="s">
        <v>606</v>
      </c>
      <c r="M101" s="4" t="s">
        <v>6762</v>
      </c>
    </row>
    <row r="102" spans="1:13">
      <c r="A102" s="2">
        <v>797</v>
      </c>
      <c r="B102" s="2" t="s">
        <v>27554</v>
      </c>
      <c r="C102" s="2">
        <v>6</v>
      </c>
      <c r="D102" s="2">
        <v>87</v>
      </c>
      <c r="E102" s="2">
        <v>294</v>
      </c>
      <c r="F102" s="2">
        <v>32441</v>
      </c>
      <c r="G102" s="2">
        <v>7.6098991319999998</v>
      </c>
      <c r="H102" s="2">
        <v>1.5803E-4</v>
      </c>
      <c r="I102" s="2" t="s">
        <v>42667</v>
      </c>
      <c r="J102" s="2" t="s">
        <v>42668</v>
      </c>
      <c r="K102" s="2">
        <v>1.8873257000000001E-2</v>
      </c>
      <c r="L102" s="2" t="s">
        <v>606</v>
      </c>
      <c r="M102" s="4" t="s">
        <v>27557</v>
      </c>
    </row>
    <row r="103" spans="1:13">
      <c r="A103" s="2">
        <v>78</v>
      </c>
      <c r="B103" s="2" t="s">
        <v>27134</v>
      </c>
      <c r="C103" s="2">
        <v>5</v>
      </c>
      <c r="D103" s="2">
        <v>87</v>
      </c>
      <c r="E103" s="2">
        <v>258</v>
      </c>
      <c r="F103" s="2">
        <v>32441</v>
      </c>
      <c r="G103" s="2">
        <v>7.2264546019999996</v>
      </c>
      <c r="H103" s="2">
        <v>7.1626199999999995E-4</v>
      </c>
      <c r="I103" s="2" t="s">
        <v>42669</v>
      </c>
      <c r="J103" s="2" t="s">
        <v>42670</v>
      </c>
      <c r="K103" s="2">
        <v>4.0259591999999997E-2</v>
      </c>
      <c r="L103" s="2" t="s">
        <v>606</v>
      </c>
      <c r="M103" s="4" t="s">
        <v>27137</v>
      </c>
    </row>
    <row r="104" spans="1:13">
      <c r="A104" s="2">
        <v>191</v>
      </c>
      <c r="B104" s="2" t="s">
        <v>42671</v>
      </c>
      <c r="C104" s="2">
        <v>5</v>
      </c>
      <c r="D104" s="2">
        <v>87</v>
      </c>
      <c r="E104" s="2">
        <v>246</v>
      </c>
      <c r="F104" s="2">
        <v>32441</v>
      </c>
      <c r="G104" s="2">
        <v>7.5789645830000003</v>
      </c>
      <c r="H104" s="2">
        <v>5.8038999999999996E-4</v>
      </c>
      <c r="I104" s="2" t="s">
        <v>42672</v>
      </c>
      <c r="J104" s="2" t="s">
        <v>42673</v>
      </c>
      <c r="K104" s="2">
        <v>4.0259591999999997E-2</v>
      </c>
      <c r="L104" s="2" t="s">
        <v>606</v>
      </c>
      <c r="M104" s="4" t="s">
        <v>42674</v>
      </c>
    </row>
    <row r="105" spans="1:13">
      <c r="A105" s="2">
        <v>197</v>
      </c>
      <c r="B105" s="2" t="s">
        <v>26182</v>
      </c>
      <c r="C105" s="2">
        <v>5</v>
      </c>
      <c r="D105" s="2">
        <v>87</v>
      </c>
      <c r="E105" s="2">
        <v>253</v>
      </c>
      <c r="F105" s="2">
        <v>32441</v>
      </c>
      <c r="G105" s="2">
        <v>7.3692699099999999</v>
      </c>
      <c r="H105" s="2">
        <v>6.57039E-4</v>
      </c>
      <c r="I105" s="2" t="s">
        <v>42675</v>
      </c>
      <c r="J105" s="2" t="s">
        <v>42676</v>
      </c>
      <c r="K105" s="2">
        <v>4.0259591999999997E-2</v>
      </c>
      <c r="L105" s="2" t="s">
        <v>606</v>
      </c>
      <c r="M105" s="4" t="s">
        <v>26185</v>
      </c>
    </row>
    <row r="106" spans="1:13">
      <c r="A106" s="2">
        <v>232</v>
      </c>
      <c r="B106" s="2" t="s">
        <v>26222</v>
      </c>
      <c r="C106" s="2">
        <v>5</v>
      </c>
      <c r="D106" s="2">
        <v>87</v>
      </c>
      <c r="E106" s="2">
        <v>237</v>
      </c>
      <c r="F106" s="2">
        <v>32441</v>
      </c>
      <c r="G106" s="2">
        <v>7.8667733640000002</v>
      </c>
      <c r="H106" s="2">
        <v>4.9195200000000004E-4</v>
      </c>
      <c r="I106" s="2" t="s">
        <v>42677</v>
      </c>
      <c r="J106" s="2" t="s">
        <v>42678</v>
      </c>
      <c r="K106" s="2">
        <v>4.0259591999999997E-2</v>
      </c>
      <c r="L106" s="2" t="s">
        <v>606</v>
      </c>
      <c r="M106" s="4" t="s">
        <v>26225</v>
      </c>
    </row>
    <row r="107" spans="1:13">
      <c r="A107" s="2">
        <v>342</v>
      </c>
      <c r="B107" s="2" t="s">
        <v>27492</v>
      </c>
      <c r="C107" s="2">
        <v>5</v>
      </c>
      <c r="D107" s="2">
        <v>87</v>
      </c>
      <c r="E107" s="2">
        <v>246</v>
      </c>
      <c r="F107" s="2">
        <v>32441</v>
      </c>
      <c r="G107" s="2">
        <v>7.5789645830000003</v>
      </c>
      <c r="H107" s="2">
        <v>5.8038999999999996E-4</v>
      </c>
      <c r="I107" s="2" t="s">
        <v>42679</v>
      </c>
      <c r="J107" s="2" t="s">
        <v>42680</v>
      </c>
      <c r="K107" s="2">
        <v>4.0259591999999997E-2</v>
      </c>
      <c r="L107" s="2" t="s">
        <v>606</v>
      </c>
      <c r="M107" s="4" t="s">
        <v>27495</v>
      </c>
    </row>
    <row r="108" spans="1:13">
      <c r="A108" s="2">
        <v>482</v>
      </c>
      <c r="B108" s="2" t="s">
        <v>26878</v>
      </c>
      <c r="C108" s="2">
        <v>5</v>
      </c>
      <c r="D108" s="2">
        <v>87</v>
      </c>
      <c r="E108" s="2">
        <v>259</v>
      </c>
      <c r="F108" s="2">
        <v>32441</v>
      </c>
      <c r="G108" s="2">
        <v>7.1985532330000002</v>
      </c>
      <c r="H108" s="2">
        <v>7.2857100000000001E-4</v>
      </c>
      <c r="I108" s="2" t="s">
        <v>42681</v>
      </c>
      <c r="J108" s="2" t="s">
        <v>42682</v>
      </c>
      <c r="K108" s="2">
        <v>4.0259591999999997E-2</v>
      </c>
      <c r="L108" s="2" t="s">
        <v>606</v>
      </c>
      <c r="M108" s="4" t="s">
        <v>26881</v>
      </c>
    </row>
    <row r="109" spans="1:13">
      <c r="A109" s="2">
        <v>805</v>
      </c>
      <c r="B109" s="2" t="s">
        <v>25921</v>
      </c>
      <c r="C109" s="2">
        <v>14</v>
      </c>
      <c r="D109" s="2">
        <v>87</v>
      </c>
      <c r="E109" s="2">
        <v>1972</v>
      </c>
      <c r="F109" s="2">
        <v>32441</v>
      </c>
      <c r="G109" s="2">
        <v>2.6472570000000002</v>
      </c>
      <c r="H109" s="2">
        <v>7.70519E-4</v>
      </c>
      <c r="I109" s="2" t="s">
        <v>42683</v>
      </c>
      <c r="J109" s="2" t="s">
        <v>42684</v>
      </c>
      <c r="K109" s="2">
        <v>4.0259591999999997E-2</v>
      </c>
      <c r="L109" s="2" t="s">
        <v>606</v>
      </c>
      <c r="M109" s="4" t="s">
        <v>25924</v>
      </c>
    </row>
    <row r="110" spans="1:13">
      <c r="A110" s="2">
        <v>809</v>
      </c>
      <c r="B110" s="2" t="s">
        <v>26104</v>
      </c>
      <c r="C110" s="2">
        <v>9</v>
      </c>
      <c r="D110" s="2">
        <v>87</v>
      </c>
      <c r="E110" s="2">
        <v>827</v>
      </c>
      <c r="F110" s="2">
        <v>32441</v>
      </c>
      <c r="G110" s="2">
        <v>4.0579994160000004</v>
      </c>
      <c r="H110" s="2">
        <v>4.01834E-4</v>
      </c>
      <c r="I110" s="2" t="s">
        <v>42685</v>
      </c>
      <c r="J110" s="2" t="s">
        <v>42686</v>
      </c>
      <c r="K110" s="2">
        <v>4.0259591999999997E-2</v>
      </c>
      <c r="L110" s="2" t="s">
        <v>606</v>
      </c>
      <c r="M110" s="4" t="s">
        <v>26107</v>
      </c>
    </row>
    <row r="111" spans="1:13">
      <c r="A111" s="2">
        <v>824</v>
      </c>
      <c r="B111" s="2" t="s">
        <v>6664</v>
      </c>
      <c r="C111" s="2">
        <v>7</v>
      </c>
      <c r="D111" s="2">
        <v>87</v>
      </c>
      <c r="E111" s="2">
        <v>502</v>
      </c>
      <c r="F111" s="2">
        <v>32441</v>
      </c>
      <c r="G111" s="2">
        <v>5.1995924349999996</v>
      </c>
      <c r="H111" s="2">
        <v>4.38078E-4</v>
      </c>
      <c r="I111" s="2" t="s">
        <v>42687</v>
      </c>
      <c r="J111" s="2" t="s">
        <v>42688</v>
      </c>
      <c r="K111" s="2">
        <v>4.0259591999999997E-2</v>
      </c>
      <c r="L111" s="2" t="s">
        <v>606</v>
      </c>
      <c r="M111" s="4" t="s">
        <v>6667</v>
      </c>
    </row>
    <row r="112" spans="1:13">
      <c r="A112" s="2">
        <v>306</v>
      </c>
      <c r="B112" s="2" t="s">
        <v>6829</v>
      </c>
      <c r="C112" s="2">
        <v>5</v>
      </c>
      <c r="D112" s="2">
        <v>87</v>
      </c>
      <c r="E112" s="2">
        <v>266</v>
      </c>
      <c r="F112" s="2">
        <v>32441</v>
      </c>
      <c r="G112" s="2">
        <v>7.0091176219999998</v>
      </c>
      <c r="H112" s="2">
        <v>8.19216E-4</v>
      </c>
      <c r="I112" s="2" t="s">
        <v>42689</v>
      </c>
      <c r="J112" s="2" t="s">
        <v>42690</v>
      </c>
      <c r="K112" s="2">
        <v>4.0286145000000002E-2</v>
      </c>
      <c r="L112" s="2" t="s">
        <v>606</v>
      </c>
      <c r="M112" s="4" t="s">
        <v>6832</v>
      </c>
    </row>
    <row r="113" spans="1:13">
      <c r="A113" s="2">
        <v>800</v>
      </c>
      <c r="B113" s="2" t="s">
        <v>26479</v>
      </c>
      <c r="C113" s="2">
        <v>8</v>
      </c>
      <c r="D113" s="2">
        <v>87</v>
      </c>
      <c r="E113" s="2">
        <v>738</v>
      </c>
      <c r="F113" s="2">
        <v>32441</v>
      </c>
      <c r="G113" s="2">
        <v>4.0421144440000001</v>
      </c>
      <c r="H113" s="2">
        <v>8.7570499999999995E-4</v>
      </c>
      <c r="I113" s="2" t="s">
        <v>42691</v>
      </c>
      <c r="J113" s="2" t="s">
        <v>42692</v>
      </c>
      <c r="K113" s="2">
        <v>4.0671654000000002E-2</v>
      </c>
      <c r="L113" s="2" t="s">
        <v>606</v>
      </c>
      <c r="M113" s="4" t="s">
        <v>26482</v>
      </c>
    </row>
    <row r="114" spans="1:13">
      <c r="A114" s="2">
        <v>432</v>
      </c>
      <c r="B114" s="2" t="s">
        <v>6941</v>
      </c>
      <c r="C114" s="2">
        <v>19</v>
      </c>
      <c r="D114" s="2">
        <v>87</v>
      </c>
      <c r="E114" s="2">
        <v>434</v>
      </c>
      <c r="F114" s="2">
        <v>32441</v>
      </c>
      <c r="G114" s="2">
        <v>16.324461039999999</v>
      </c>
      <c r="H114" s="3">
        <v>1.0900000000000001E-17</v>
      </c>
      <c r="I114" s="2" t="s">
        <v>42693</v>
      </c>
      <c r="J114" s="2" t="s">
        <v>42694</v>
      </c>
      <c r="K114" s="3">
        <v>9.3299999999999998E-15</v>
      </c>
      <c r="L114" s="2" t="s">
        <v>637</v>
      </c>
      <c r="M114" s="4" t="s">
        <v>6944</v>
      </c>
    </row>
    <row r="115" spans="1:13">
      <c r="A115" s="2">
        <v>593</v>
      </c>
      <c r="B115" s="2" t="s">
        <v>7465</v>
      </c>
      <c r="C115" s="2">
        <v>11</v>
      </c>
      <c r="D115" s="2">
        <v>87</v>
      </c>
      <c r="E115" s="2">
        <v>230</v>
      </c>
      <c r="F115" s="2">
        <v>32441</v>
      </c>
      <c r="G115" s="2">
        <v>17.83363318</v>
      </c>
      <c r="H115" s="3">
        <v>5.01E-11</v>
      </c>
      <c r="I115" s="2" t="s">
        <v>42695</v>
      </c>
      <c r="J115" s="2" t="s">
        <v>42696</v>
      </c>
      <c r="K115" s="3">
        <v>2.1500000000000001E-8</v>
      </c>
      <c r="L115" s="2" t="s">
        <v>637</v>
      </c>
      <c r="M115" s="4" t="s">
        <v>7468</v>
      </c>
    </row>
    <row r="116" spans="1:13">
      <c r="A116" s="2">
        <v>534</v>
      </c>
      <c r="B116" s="2" t="s">
        <v>7417</v>
      </c>
      <c r="C116" s="2">
        <v>11</v>
      </c>
      <c r="D116" s="2">
        <v>87</v>
      </c>
      <c r="E116" s="2">
        <v>260</v>
      </c>
      <c r="F116" s="2">
        <v>32441</v>
      </c>
      <c r="G116" s="2">
        <v>15.775906279999999</v>
      </c>
      <c r="H116" s="3">
        <v>1.7499999999999999E-10</v>
      </c>
      <c r="I116" s="2" t="s">
        <v>42695</v>
      </c>
      <c r="J116" s="2" t="s">
        <v>42696</v>
      </c>
      <c r="K116" s="3">
        <v>5.02E-8</v>
      </c>
      <c r="L116" s="2" t="s">
        <v>637</v>
      </c>
      <c r="M116" s="4" t="s">
        <v>7420</v>
      </c>
    </row>
    <row r="117" spans="1:13">
      <c r="A117" s="2">
        <v>470</v>
      </c>
      <c r="B117" s="2" t="s">
        <v>42697</v>
      </c>
      <c r="C117" s="2">
        <v>9</v>
      </c>
      <c r="D117" s="2">
        <v>87</v>
      </c>
      <c r="E117" s="2">
        <v>225</v>
      </c>
      <c r="F117" s="2">
        <v>32441</v>
      </c>
      <c r="G117" s="2">
        <v>14.9154023</v>
      </c>
      <c r="H117" s="3">
        <v>1.39E-8</v>
      </c>
      <c r="I117" s="2" t="s">
        <v>42698</v>
      </c>
      <c r="J117" s="2" t="s">
        <v>42699</v>
      </c>
      <c r="K117" s="3">
        <v>2.9900000000000002E-6</v>
      </c>
      <c r="L117" s="2" t="s">
        <v>637</v>
      </c>
      <c r="M117" s="4" t="s">
        <v>42700</v>
      </c>
    </row>
    <row r="118" spans="1:13">
      <c r="A118" s="2">
        <v>429</v>
      </c>
      <c r="B118" s="2" t="s">
        <v>42701</v>
      </c>
      <c r="C118" s="2">
        <v>9</v>
      </c>
      <c r="D118" s="2">
        <v>87</v>
      </c>
      <c r="E118" s="2">
        <v>384</v>
      </c>
      <c r="F118" s="2">
        <v>32441</v>
      </c>
      <c r="G118" s="2">
        <v>8.7394935339999993</v>
      </c>
      <c r="H118" s="3">
        <v>1.1200000000000001E-6</v>
      </c>
      <c r="I118" s="2" t="s">
        <v>42702</v>
      </c>
      <c r="J118" s="2" t="s">
        <v>42703</v>
      </c>
      <c r="K118" s="2">
        <v>1.9206599999999999E-4</v>
      </c>
      <c r="L118" s="2" t="s">
        <v>637</v>
      </c>
      <c r="M118" s="4" t="s">
        <v>42704</v>
      </c>
    </row>
    <row r="119" spans="1:13">
      <c r="A119" s="2">
        <v>539</v>
      </c>
      <c r="B119" s="2" t="s">
        <v>6937</v>
      </c>
      <c r="C119" s="2">
        <v>11</v>
      </c>
      <c r="D119" s="2">
        <v>87</v>
      </c>
      <c r="E119" s="2">
        <v>731</v>
      </c>
      <c r="F119" s="2">
        <v>32441</v>
      </c>
      <c r="G119" s="2">
        <v>5.6111294559999996</v>
      </c>
      <c r="H119" s="3">
        <v>4.69E-6</v>
      </c>
      <c r="I119" s="2" t="s">
        <v>42705</v>
      </c>
      <c r="J119" s="2" t="s">
        <v>42706</v>
      </c>
      <c r="K119" s="2">
        <v>6.7094500000000005E-4</v>
      </c>
      <c r="L119" s="2" t="s">
        <v>637</v>
      </c>
      <c r="M119" s="4" t="s">
        <v>6940</v>
      </c>
    </row>
    <row r="120" spans="1:13">
      <c r="A120" s="2">
        <v>506</v>
      </c>
      <c r="B120" s="2" t="s">
        <v>6901</v>
      </c>
      <c r="C120" s="2">
        <v>9</v>
      </c>
      <c r="D120" s="2">
        <v>87</v>
      </c>
      <c r="E120" s="2">
        <v>549</v>
      </c>
      <c r="F120" s="2">
        <v>32441</v>
      </c>
      <c r="G120" s="2">
        <v>6.1128697949999999</v>
      </c>
      <c r="H120" s="3">
        <v>1.8899999999999999E-5</v>
      </c>
      <c r="I120" s="2" t="s">
        <v>42707</v>
      </c>
      <c r="J120" s="2" t="s">
        <v>42708</v>
      </c>
      <c r="K120" s="2">
        <v>2.3135040000000001E-3</v>
      </c>
      <c r="L120" s="2" t="s">
        <v>637</v>
      </c>
      <c r="M120" s="4" t="s">
        <v>6904</v>
      </c>
    </row>
    <row r="121" spans="1:13">
      <c r="A121" s="2">
        <v>467</v>
      </c>
      <c r="B121" s="2" t="s">
        <v>6921</v>
      </c>
      <c r="C121" s="2">
        <v>7</v>
      </c>
      <c r="D121" s="2">
        <v>87</v>
      </c>
      <c r="E121" s="2">
        <v>327</v>
      </c>
      <c r="F121" s="2">
        <v>32441</v>
      </c>
      <c r="G121" s="2">
        <v>7.9822489369999996</v>
      </c>
      <c r="H121" s="3">
        <v>3.2700000000000002E-5</v>
      </c>
      <c r="I121" s="2" t="s">
        <v>42709</v>
      </c>
      <c r="J121" s="2" t="s">
        <v>42710</v>
      </c>
      <c r="K121" s="2">
        <v>3.4046770000000001E-3</v>
      </c>
      <c r="L121" s="2" t="s">
        <v>637</v>
      </c>
      <c r="M121" s="4" t="s">
        <v>6924</v>
      </c>
    </row>
    <row r="122" spans="1:13">
      <c r="A122" s="2">
        <v>710</v>
      </c>
      <c r="B122" s="2" t="s">
        <v>7363</v>
      </c>
      <c r="C122" s="2">
        <v>5</v>
      </c>
      <c r="D122" s="2">
        <v>87</v>
      </c>
      <c r="E122" s="2">
        <v>133</v>
      </c>
      <c r="F122" s="2">
        <v>32441</v>
      </c>
      <c r="G122" s="2">
        <v>14.018235239999999</v>
      </c>
      <c r="H122" s="3">
        <v>3.57E-5</v>
      </c>
      <c r="I122" s="2" t="s">
        <v>42711</v>
      </c>
      <c r="J122" s="2" t="s">
        <v>42712</v>
      </c>
      <c r="K122" s="2">
        <v>3.4046770000000001E-3</v>
      </c>
      <c r="L122" s="2" t="s">
        <v>637</v>
      </c>
      <c r="M122" s="4" t="s">
        <v>7366</v>
      </c>
    </row>
    <row r="123" spans="1:13">
      <c r="A123" s="2">
        <v>478</v>
      </c>
      <c r="B123" s="2" t="s">
        <v>7303</v>
      </c>
      <c r="C123" s="2">
        <v>10</v>
      </c>
      <c r="D123" s="2">
        <v>87</v>
      </c>
      <c r="E123" s="2">
        <v>834</v>
      </c>
      <c r="F123" s="2">
        <v>32441</v>
      </c>
      <c r="G123" s="2">
        <v>4.4710438549999996</v>
      </c>
      <c r="H123" s="3">
        <v>8.6500000000000002E-5</v>
      </c>
      <c r="I123" s="2" t="s">
        <v>42713</v>
      </c>
      <c r="J123" s="2" t="s">
        <v>42714</v>
      </c>
      <c r="K123" s="2">
        <v>7.4242400000000004E-3</v>
      </c>
      <c r="L123" s="2" t="s">
        <v>637</v>
      </c>
      <c r="M123" s="4" t="s">
        <v>7306</v>
      </c>
    </row>
    <row r="124" spans="1:13">
      <c r="A124" s="2">
        <v>215</v>
      </c>
      <c r="B124" s="2" t="s">
        <v>42715</v>
      </c>
      <c r="C124" s="2">
        <v>3</v>
      </c>
      <c r="D124" s="2">
        <v>87</v>
      </c>
      <c r="E124" s="2">
        <v>35</v>
      </c>
      <c r="F124" s="2">
        <v>32441</v>
      </c>
      <c r="G124" s="2">
        <v>31.961576350000001</v>
      </c>
      <c r="H124" s="2">
        <v>1.4568799999999999E-4</v>
      </c>
      <c r="I124" s="2" t="s">
        <v>42716</v>
      </c>
      <c r="J124" s="2" t="s">
        <v>42717</v>
      </c>
      <c r="K124" s="2">
        <v>1.1363643999999999E-2</v>
      </c>
      <c r="L124" s="2" t="s">
        <v>637</v>
      </c>
      <c r="M124" s="4" t="s">
        <v>42718</v>
      </c>
    </row>
    <row r="125" spans="1:13">
      <c r="A125" s="2">
        <v>461</v>
      </c>
      <c r="B125" s="2" t="s">
        <v>7231</v>
      </c>
      <c r="C125" s="2">
        <v>7</v>
      </c>
      <c r="D125" s="2">
        <v>87</v>
      </c>
      <c r="E125" s="2">
        <v>465</v>
      </c>
      <c r="F125" s="2">
        <v>32441</v>
      </c>
      <c r="G125" s="2">
        <v>5.6133234459999999</v>
      </c>
      <c r="H125" s="2">
        <v>2.7870299999999999E-4</v>
      </c>
      <c r="I125" s="2" t="s">
        <v>42719</v>
      </c>
      <c r="J125" s="2" t="s">
        <v>42720</v>
      </c>
      <c r="K125" s="2">
        <v>1.9927262000000001E-2</v>
      </c>
      <c r="L125" s="2" t="s">
        <v>637</v>
      </c>
      <c r="M125" s="4" t="s">
        <v>7234</v>
      </c>
    </row>
    <row r="126" spans="1:13">
      <c r="A126" s="2">
        <v>632</v>
      </c>
      <c r="B126" s="2" t="s">
        <v>7269</v>
      </c>
      <c r="C126" s="2">
        <v>6</v>
      </c>
      <c r="D126" s="2">
        <v>87</v>
      </c>
      <c r="E126" s="2">
        <v>333</v>
      </c>
      <c r="F126" s="2">
        <v>32441</v>
      </c>
      <c r="G126" s="2">
        <v>6.7186496839999998</v>
      </c>
      <c r="H126" s="2">
        <v>3.0463700000000002E-4</v>
      </c>
      <c r="I126" s="2" t="s">
        <v>42721</v>
      </c>
      <c r="J126" s="2" t="s">
        <v>42722</v>
      </c>
      <c r="K126" s="2">
        <v>2.0106023000000001E-2</v>
      </c>
      <c r="L126" s="2" t="s">
        <v>637</v>
      </c>
      <c r="M126" s="4" t="s">
        <v>7272</v>
      </c>
    </row>
    <row r="127" spans="1:13">
      <c r="A127" s="2">
        <v>510</v>
      </c>
      <c r="B127" s="2" t="s">
        <v>7211</v>
      </c>
      <c r="C127" s="2">
        <v>9</v>
      </c>
      <c r="D127" s="2">
        <v>87</v>
      </c>
      <c r="E127" s="2">
        <v>838</v>
      </c>
      <c r="F127" s="2">
        <v>32441</v>
      </c>
      <c r="G127" s="2">
        <v>4.004732121</v>
      </c>
      <c r="H127" s="2">
        <v>4.41617E-4</v>
      </c>
      <c r="I127" s="2" t="s">
        <v>42723</v>
      </c>
      <c r="J127" s="2" t="s">
        <v>42724</v>
      </c>
      <c r="K127" s="2">
        <v>2.7064805000000001E-2</v>
      </c>
      <c r="L127" s="2" t="s">
        <v>637</v>
      </c>
      <c r="M127" s="4" t="s">
        <v>7214</v>
      </c>
    </row>
    <row r="128" spans="1:13">
      <c r="A128" s="2">
        <v>659</v>
      </c>
      <c r="B128" s="2" t="s">
        <v>42725</v>
      </c>
      <c r="C128" s="2">
        <v>3</v>
      </c>
      <c r="D128" s="2">
        <v>87</v>
      </c>
      <c r="E128" s="2">
        <v>62</v>
      </c>
      <c r="F128" s="2">
        <v>32441</v>
      </c>
      <c r="G128" s="2">
        <v>18.042825359999998</v>
      </c>
      <c r="H128" s="2">
        <v>7.1606199999999995E-4</v>
      </c>
      <c r="I128" s="2" t="s">
        <v>42726</v>
      </c>
      <c r="J128" s="2" t="s">
        <v>42727</v>
      </c>
      <c r="K128" s="2">
        <v>4.0958738000000001E-2</v>
      </c>
      <c r="L128" s="2" t="s">
        <v>637</v>
      </c>
      <c r="M128" s="4" t="s">
        <v>42728</v>
      </c>
    </row>
    <row r="129" spans="1:13">
      <c r="A129" s="2">
        <v>2588</v>
      </c>
      <c r="B129" s="2" t="s">
        <v>11199</v>
      </c>
      <c r="C129" s="2">
        <v>18</v>
      </c>
      <c r="D129" s="2">
        <v>87</v>
      </c>
      <c r="E129" s="2">
        <v>469</v>
      </c>
      <c r="F129" s="2">
        <v>32441</v>
      </c>
      <c r="G129" s="2">
        <v>14.31115359</v>
      </c>
      <c r="H129" s="3">
        <v>7.7800000000000002E-16</v>
      </c>
      <c r="I129" s="2" t="s">
        <v>42729</v>
      </c>
      <c r="J129" s="2" t="s">
        <v>42730</v>
      </c>
      <c r="K129" s="3">
        <v>4.5999999999999998E-12</v>
      </c>
      <c r="L129" s="2" t="s">
        <v>848</v>
      </c>
      <c r="M129" s="4" t="s">
        <v>11202</v>
      </c>
    </row>
    <row r="130" spans="1:13">
      <c r="A130" s="2">
        <v>3762</v>
      </c>
      <c r="B130" s="2" t="s">
        <v>11376</v>
      </c>
      <c r="C130" s="2">
        <v>14</v>
      </c>
      <c r="D130" s="2">
        <v>87</v>
      </c>
      <c r="E130" s="2">
        <v>293</v>
      </c>
      <c r="F130" s="2">
        <v>32441</v>
      </c>
      <c r="G130" s="2">
        <v>17.817033460000001</v>
      </c>
      <c r="H130" s="3">
        <v>9.6399999999999998E-14</v>
      </c>
      <c r="I130" s="2" t="s">
        <v>42731</v>
      </c>
      <c r="J130" s="2" t="s">
        <v>42732</v>
      </c>
      <c r="K130" s="3">
        <v>2.85E-10</v>
      </c>
      <c r="L130" s="2" t="s">
        <v>848</v>
      </c>
      <c r="M130" s="4" t="s">
        <v>11379</v>
      </c>
    </row>
    <row r="131" spans="1:13">
      <c r="A131" s="2">
        <v>4102</v>
      </c>
      <c r="B131" s="2" t="s">
        <v>29066</v>
      </c>
      <c r="C131" s="2">
        <v>19</v>
      </c>
      <c r="D131" s="2">
        <v>87</v>
      </c>
      <c r="E131" s="2">
        <v>788</v>
      </c>
      <c r="F131" s="2">
        <v>32441</v>
      </c>
      <c r="G131" s="2">
        <v>8.9908833650000002</v>
      </c>
      <c r="H131" s="3">
        <v>3.67E-13</v>
      </c>
      <c r="I131" s="2" t="s">
        <v>42733</v>
      </c>
      <c r="J131" s="2" t="s">
        <v>42734</v>
      </c>
      <c r="K131" s="3">
        <v>7.2299999999999998E-10</v>
      </c>
      <c r="L131" s="2" t="s">
        <v>848</v>
      </c>
      <c r="M131" s="4" t="s">
        <v>29069</v>
      </c>
    </row>
    <row r="132" spans="1:13">
      <c r="A132" s="2">
        <v>4569</v>
      </c>
      <c r="B132" s="2" t="s">
        <v>7611</v>
      </c>
      <c r="C132" s="2">
        <v>25</v>
      </c>
      <c r="D132" s="2">
        <v>87</v>
      </c>
      <c r="E132" s="2">
        <v>1649</v>
      </c>
      <c r="F132" s="2">
        <v>32441</v>
      </c>
      <c r="G132" s="2">
        <v>5.6531997799999996</v>
      </c>
      <c r="H132" s="3">
        <v>1.0099999999999999E-12</v>
      </c>
      <c r="I132" s="2" t="s">
        <v>42735</v>
      </c>
      <c r="J132" s="2" t="s">
        <v>42736</v>
      </c>
      <c r="K132" s="3">
        <v>1.49E-9</v>
      </c>
      <c r="L132" s="2" t="s">
        <v>848</v>
      </c>
      <c r="M132" s="4" t="s">
        <v>7614</v>
      </c>
    </row>
    <row r="133" spans="1:13">
      <c r="A133" s="2">
        <v>2166</v>
      </c>
      <c r="B133" s="2" t="s">
        <v>11312</v>
      </c>
      <c r="C133" s="2">
        <v>14</v>
      </c>
      <c r="D133" s="2">
        <v>87</v>
      </c>
      <c r="E133" s="2">
        <v>364</v>
      </c>
      <c r="F133" s="2">
        <v>32441</v>
      </c>
      <c r="G133" s="2">
        <v>14.34173298</v>
      </c>
      <c r="H133" s="3">
        <v>1.62E-12</v>
      </c>
      <c r="I133" s="2" t="s">
        <v>42731</v>
      </c>
      <c r="J133" s="2" t="s">
        <v>42732</v>
      </c>
      <c r="K133" s="3">
        <v>1.9099999999999998E-9</v>
      </c>
      <c r="L133" s="2" t="s">
        <v>848</v>
      </c>
      <c r="M133" s="4" t="s">
        <v>11315</v>
      </c>
    </row>
    <row r="134" spans="1:13">
      <c r="A134" s="2">
        <v>4538</v>
      </c>
      <c r="B134" s="2" t="s">
        <v>42737</v>
      </c>
      <c r="C134" s="2">
        <v>14</v>
      </c>
      <c r="D134" s="2">
        <v>87</v>
      </c>
      <c r="E134" s="2">
        <v>461</v>
      </c>
      <c r="F134" s="2">
        <v>32441</v>
      </c>
      <c r="G134" s="2">
        <v>11.32405814</v>
      </c>
      <c r="H134" s="3">
        <v>3.3900000000000001E-11</v>
      </c>
      <c r="I134" s="2" t="s">
        <v>42738</v>
      </c>
      <c r="J134" s="2" t="s">
        <v>42739</v>
      </c>
      <c r="K134" s="3">
        <v>3.3500000000000002E-8</v>
      </c>
      <c r="L134" s="2" t="s">
        <v>848</v>
      </c>
      <c r="M134" s="4" t="s">
        <v>42740</v>
      </c>
    </row>
    <row r="135" spans="1:13">
      <c r="A135" s="2">
        <v>45</v>
      </c>
      <c r="B135" s="2" t="s">
        <v>29609</v>
      </c>
      <c r="C135" s="2">
        <v>17</v>
      </c>
      <c r="D135" s="2">
        <v>87</v>
      </c>
      <c r="E135" s="2">
        <v>957</v>
      </c>
      <c r="F135" s="2">
        <v>32441</v>
      </c>
      <c r="G135" s="2">
        <v>6.6238724940000004</v>
      </c>
      <c r="H135" s="3">
        <v>7.5399999999999998E-10</v>
      </c>
      <c r="I135" s="2" t="s">
        <v>42741</v>
      </c>
      <c r="J135" s="2" t="s">
        <v>42742</v>
      </c>
      <c r="K135" s="3">
        <v>6.37E-7</v>
      </c>
      <c r="L135" s="2" t="s">
        <v>848</v>
      </c>
      <c r="M135" s="4" t="s">
        <v>29612</v>
      </c>
    </row>
    <row r="136" spans="1:13">
      <c r="A136" s="2">
        <v>3889</v>
      </c>
      <c r="B136" s="2" t="s">
        <v>7943</v>
      </c>
      <c r="C136" s="2">
        <v>17</v>
      </c>
      <c r="D136" s="2">
        <v>87</v>
      </c>
      <c r="E136" s="2">
        <v>983</v>
      </c>
      <c r="F136" s="2">
        <v>32441</v>
      </c>
      <c r="G136" s="2">
        <v>6.448673425</v>
      </c>
      <c r="H136" s="3">
        <v>1.1200000000000001E-9</v>
      </c>
      <c r="I136" s="2" t="s">
        <v>42743</v>
      </c>
      <c r="J136" s="2" t="s">
        <v>42744</v>
      </c>
      <c r="K136" s="3">
        <v>8.2900000000000002E-7</v>
      </c>
      <c r="L136" s="2" t="s">
        <v>848</v>
      </c>
      <c r="M136" s="4" t="s">
        <v>7946</v>
      </c>
    </row>
    <row r="137" spans="1:13">
      <c r="A137" s="2">
        <v>4105</v>
      </c>
      <c r="B137" s="2" t="s">
        <v>7779</v>
      </c>
      <c r="C137" s="2">
        <v>20</v>
      </c>
      <c r="D137" s="2">
        <v>87</v>
      </c>
      <c r="E137" s="2">
        <v>1496</v>
      </c>
      <c r="F137" s="2">
        <v>32441</v>
      </c>
      <c r="G137" s="2">
        <v>4.9850943509999999</v>
      </c>
      <c r="H137" s="3">
        <v>2.4699999999999999E-9</v>
      </c>
      <c r="I137" s="2" t="s">
        <v>42745</v>
      </c>
      <c r="J137" s="2" t="s">
        <v>42746</v>
      </c>
      <c r="K137" s="3">
        <v>1.6199999999999999E-6</v>
      </c>
      <c r="L137" s="2" t="s">
        <v>848</v>
      </c>
      <c r="M137" s="4" t="s">
        <v>7782</v>
      </c>
    </row>
    <row r="138" spans="1:13">
      <c r="A138" s="2">
        <v>4482</v>
      </c>
      <c r="B138" s="2" t="s">
        <v>42747</v>
      </c>
      <c r="C138" s="2">
        <v>11</v>
      </c>
      <c r="D138" s="2">
        <v>87</v>
      </c>
      <c r="E138" s="2">
        <v>352</v>
      </c>
      <c r="F138" s="2">
        <v>32441</v>
      </c>
      <c r="G138" s="2">
        <v>11.652658049999999</v>
      </c>
      <c r="H138" s="3">
        <v>3.7799999999999998E-9</v>
      </c>
      <c r="I138" s="2" t="s">
        <v>42748</v>
      </c>
      <c r="J138" s="2" t="s">
        <v>42749</v>
      </c>
      <c r="K138" s="3">
        <v>2.2299999999999998E-6</v>
      </c>
      <c r="L138" s="2" t="s">
        <v>848</v>
      </c>
      <c r="M138" s="4" t="s">
        <v>42750</v>
      </c>
    </row>
    <row r="139" spans="1:13">
      <c r="A139" s="2">
        <v>2941</v>
      </c>
      <c r="B139" s="2" t="s">
        <v>42751</v>
      </c>
      <c r="C139" s="2">
        <v>5</v>
      </c>
      <c r="D139" s="2">
        <v>87</v>
      </c>
      <c r="E139" s="2">
        <v>19</v>
      </c>
      <c r="F139" s="2">
        <v>32441</v>
      </c>
      <c r="G139" s="2">
        <v>98.1276467</v>
      </c>
      <c r="H139" s="3">
        <v>4.97E-9</v>
      </c>
      <c r="I139" s="2" t="s">
        <v>42752</v>
      </c>
      <c r="J139" s="2" t="s">
        <v>42753</v>
      </c>
      <c r="K139" s="3">
        <v>2.6800000000000002E-6</v>
      </c>
      <c r="L139" s="2" t="s">
        <v>848</v>
      </c>
      <c r="M139" s="4" t="s">
        <v>42754</v>
      </c>
    </row>
    <row r="140" spans="1:13">
      <c r="A140" s="2">
        <v>4888</v>
      </c>
      <c r="B140" s="2" t="s">
        <v>42755</v>
      </c>
      <c r="C140" s="2">
        <v>5</v>
      </c>
      <c r="D140" s="2">
        <v>87</v>
      </c>
      <c r="E140" s="2">
        <v>20</v>
      </c>
      <c r="F140" s="2">
        <v>32441</v>
      </c>
      <c r="G140" s="2">
        <v>93.22126437</v>
      </c>
      <c r="H140" s="3">
        <v>6.2000000000000001E-9</v>
      </c>
      <c r="I140" s="2" t="s">
        <v>42756</v>
      </c>
      <c r="J140" s="2" t="s">
        <v>42757</v>
      </c>
      <c r="K140" s="3">
        <v>3.0599999999999999E-6</v>
      </c>
      <c r="L140" s="2" t="s">
        <v>848</v>
      </c>
      <c r="M140" s="4" t="s">
        <v>42758</v>
      </c>
    </row>
    <row r="141" spans="1:13">
      <c r="A141" s="2">
        <v>1947</v>
      </c>
      <c r="B141" s="2" t="s">
        <v>7915</v>
      </c>
      <c r="C141" s="2">
        <v>19</v>
      </c>
      <c r="D141" s="2">
        <v>87</v>
      </c>
      <c r="E141" s="2">
        <v>1672</v>
      </c>
      <c r="F141" s="2">
        <v>32441</v>
      </c>
      <c r="G141" s="2">
        <v>4.2373301989999996</v>
      </c>
      <c r="H141" s="3">
        <v>8.5300000000000003E-8</v>
      </c>
      <c r="I141" s="2" t="s">
        <v>42759</v>
      </c>
      <c r="J141" s="2" t="s">
        <v>42760</v>
      </c>
      <c r="K141" s="3">
        <v>3.8800000000000001E-5</v>
      </c>
      <c r="L141" s="2" t="s">
        <v>848</v>
      </c>
      <c r="M141" s="4" t="s">
        <v>7918</v>
      </c>
    </row>
    <row r="142" spans="1:13">
      <c r="A142" s="2">
        <v>3113</v>
      </c>
      <c r="B142" s="2" t="s">
        <v>42761</v>
      </c>
      <c r="C142" s="2">
        <v>9</v>
      </c>
      <c r="D142" s="2">
        <v>87</v>
      </c>
      <c r="E142" s="2">
        <v>299</v>
      </c>
      <c r="F142" s="2">
        <v>32441</v>
      </c>
      <c r="G142" s="2">
        <v>11.22396494</v>
      </c>
      <c r="H142" s="3">
        <v>1.4600000000000001E-7</v>
      </c>
      <c r="I142" s="2" t="s">
        <v>42762</v>
      </c>
      <c r="J142" s="2" t="s">
        <v>42763</v>
      </c>
      <c r="K142" s="3">
        <v>5.41E-5</v>
      </c>
      <c r="L142" s="2" t="s">
        <v>848</v>
      </c>
      <c r="M142" s="4" t="s">
        <v>42764</v>
      </c>
    </row>
    <row r="143" spans="1:13">
      <c r="A143" s="2">
        <v>4766</v>
      </c>
      <c r="B143" s="2" t="s">
        <v>8579</v>
      </c>
      <c r="C143" s="2">
        <v>17</v>
      </c>
      <c r="D143" s="2">
        <v>87</v>
      </c>
      <c r="E143" s="2">
        <v>1376</v>
      </c>
      <c r="F143" s="2">
        <v>32441</v>
      </c>
      <c r="G143" s="2">
        <v>4.6068648090000002</v>
      </c>
      <c r="H143" s="3">
        <v>1.4399999999999999E-7</v>
      </c>
      <c r="I143" s="2" t="s">
        <v>42765</v>
      </c>
      <c r="J143" s="2" t="s">
        <v>42766</v>
      </c>
      <c r="K143" s="3">
        <v>5.41E-5</v>
      </c>
      <c r="L143" s="2" t="s">
        <v>848</v>
      </c>
      <c r="M143" s="4" t="s">
        <v>8582</v>
      </c>
    </row>
    <row r="144" spans="1:13">
      <c r="A144" s="2">
        <v>4777</v>
      </c>
      <c r="B144" s="2" t="s">
        <v>7679</v>
      </c>
      <c r="C144" s="2">
        <v>13</v>
      </c>
      <c r="D144" s="2">
        <v>87</v>
      </c>
      <c r="E144" s="2">
        <v>757</v>
      </c>
      <c r="F144" s="2">
        <v>32441</v>
      </c>
      <c r="G144" s="2">
        <v>6.4035743030000001</v>
      </c>
      <c r="H144" s="3">
        <v>1.35E-7</v>
      </c>
      <c r="I144" s="2" t="s">
        <v>42767</v>
      </c>
      <c r="J144" s="2" t="s">
        <v>42768</v>
      </c>
      <c r="K144" s="3">
        <v>5.41E-5</v>
      </c>
      <c r="L144" s="2" t="s">
        <v>848</v>
      </c>
      <c r="M144" s="4" t="s">
        <v>7682</v>
      </c>
    </row>
    <row r="145" spans="1:13">
      <c r="A145" s="2">
        <v>3518</v>
      </c>
      <c r="B145" s="2" t="s">
        <v>8079</v>
      </c>
      <c r="C145" s="2">
        <v>13</v>
      </c>
      <c r="D145" s="2">
        <v>87</v>
      </c>
      <c r="E145" s="2">
        <v>771</v>
      </c>
      <c r="F145" s="2">
        <v>32441</v>
      </c>
      <c r="G145" s="2">
        <v>6.2872966889999997</v>
      </c>
      <c r="H145" s="3">
        <v>1.66E-7</v>
      </c>
      <c r="I145" s="2" t="s">
        <v>42769</v>
      </c>
      <c r="J145" s="2" t="s">
        <v>42770</v>
      </c>
      <c r="K145" s="3">
        <v>5.7899999999999998E-5</v>
      </c>
      <c r="L145" s="2" t="s">
        <v>848</v>
      </c>
      <c r="M145" s="4" t="s">
        <v>8082</v>
      </c>
    </row>
    <row r="146" spans="1:13">
      <c r="A146" s="2">
        <v>2117</v>
      </c>
      <c r="B146" s="2" t="s">
        <v>42771</v>
      </c>
      <c r="C146" s="2">
        <v>5</v>
      </c>
      <c r="D146" s="2">
        <v>87</v>
      </c>
      <c r="E146" s="2">
        <v>49</v>
      </c>
      <c r="F146" s="2">
        <v>32441</v>
      </c>
      <c r="G146" s="2">
        <v>38.049495659999998</v>
      </c>
      <c r="H146" s="3">
        <v>3.4700000000000002E-7</v>
      </c>
      <c r="I146" s="2" t="s">
        <v>42752</v>
      </c>
      <c r="J146" s="2" t="s">
        <v>42753</v>
      </c>
      <c r="K146" s="2">
        <v>1.1423E-4</v>
      </c>
      <c r="L146" s="2" t="s">
        <v>848</v>
      </c>
      <c r="M146" s="4" t="s">
        <v>42772</v>
      </c>
    </row>
    <row r="147" spans="1:13">
      <c r="A147" s="2">
        <v>1997</v>
      </c>
      <c r="B147" s="2" t="s">
        <v>42773</v>
      </c>
      <c r="C147" s="2">
        <v>13</v>
      </c>
      <c r="D147" s="2">
        <v>87</v>
      </c>
      <c r="E147" s="2">
        <v>841</v>
      </c>
      <c r="F147" s="2">
        <v>32441</v>
      </c>
      <c r="G147" s="2">
        <v>5.7639782960000003</v>
      </c>
      <c r="H147" s="3">
        <v>4.39E-7</v>
      </c>
      <c r="I147" s="2" t="s">
        <v>42774</v>
      </c>
      <c r="J147" s="2" t="s">
        <v>42775</v>
      </c>
      <c r="K147" s="2">
        <v>1.3675100000000001E-4</v>
      </c>
      <c r="L147" s="2" t="s">
        <v>848</v>
      </c>
      <c r="M147" s="4" t="s">
        <v>42776</v>
      </c>
    </row>
    <row r="148" spans="1:13">
      <c r="A148" s="2">
        <v>4180</v>
      </c>
      <c r="B148" s="2" t="s">
        <v>30427</v>
      </c>
      <c r="C148" s="2">
        <v>17</v>
      </c>
      <c r="D148" s="2">
        <v>87</v>
      </c>
      <c r="E148" s="2">
        <v>1518</v>
      </c>
      <c r="F148" s="2">
        <v>32441</v>
      </c>
      <c r="G148" s="2">
        <v>4.1759196159999998</v>
      </c>
      <c r="H148" s="3">
        <v>5.6000000000000004E-7</v>
      </c>
      <c r="I148" s="2" t="s">
        <v>42777</v>
      </c>
      <c r="J148" s="2" t="s">
        <v>42778</v>
      </c>
      <c r="K148" s="2">
        <v>1.65694E-4</v>
      </c>
      <c r="L148" s="2" t="s">
        <v>848</v>
      </c>
      <c r="M148" s="4" t="s">
        <v>30430</v>
      </c>
    </row>
    <row r="149" spans="1:13">
      <c r="A149" s="2">
        <v>3070</v>
      </c>
      <c r="B149" s="2" t="s">
        <v>8464</v>
      </c>
      <c r="C149" s="2">
        <v>14</v>
      </c>
      <c r="D149" s="2">
        <v>87</v>
      </c>
      <c r="E149" s="2">
        <v>1021</v>
      </c>
      <c r="F149" s="2">
        <v>32441</v>
      </c>
      <c r="G149" s="2">
        <v>5.113017438</v>
      </c>
      <c r="H149" s="3">
        <v>6.2300000000000001E-7</v>
      </c>
      <c r="I149" s="2" t="s">
        <v>42779</v>
      </c>
      <c r="J149" s="2" t="s">
        <v>42780</v>
      </c>
      <c r="K149" s="2">
        <v>1.7554800000000001E-4</v>
      </c>
      <c r="L149" s="2" t="s">
        <v>848</v>
      </c>
      <c r="M149" s="4" t="s">
        <v>8467</v>
      </c>
    </row>
    <row r="150" spans="1:13">
      <c r="A150" s="2">
        <v>4159</v>
      </c>
      <c r="B150" s="2" t="s">
        <v>7603</v>
      </c>
      <c r="C150" s="2">
        <v>14</v>
      </c>
      <c r="D150" s="2">
        <v>87</v>
      </c>
      <c r="E150" s="2">
        <v>1032</v>
      </c>
      <c r="F150" s="2">
        <v>32441</v>
      </c>
      <c r="G150" s="2">
        <v>5.058518222</v>
      </c>
      <c r="H150" s="3">
        <v>7.06E-7</v>
      </c>
      <c r="I150" s="2" t="s">
        <v>42781</v>
      </c>
      <c r="J150" s="2" t="s">
        <v>42782</v>
      </c>
      <c r="K150" s="2">
        <v>1.89963E-4</v>
      </c>
      <c r="L150" s="2" t="s">
        <v>848</v>
      </c>
      <c r="M150" s="4" t="s">
        <v>7606</v>
      </c>
    </row>
    <row r="151" spans="1:13">
      <c r="A151" s="2">
        <v>1786</v>
      </c>
      <c r="B151" s="2" t="s">
        <v>42783</v>
      </c>
      <c r="C151" s="2">
        <v>6</v>
      </c>
      <c r="D151" s="2">
        <v>87</v>
      </c>
      <c r="E151" s="2">
        <v>114</v>
      </c>
      <c r="F151" s="2">
        <v>32441</v>
      </c>
      <c r="G151" s="2">
        <v>19.62552934</v>
      </c>
      <c r="H151" s="3">
        <v>8.7899999999999997E-7</v>
      </c>
      <c r="I151" s="2" t="s">
        <v>42784</v>
      </c>
      <c r="J151" s="2" t="s">
        <v>42785</v>
      </c>
      <c r="K151" s="2">
        <v>2.2623599999999999E-4</v>
      </c>
      <c r="L151" s="2" t="s">
        <v>848</v>
      </c>
      <c r="M151" s="4" t="s">
        <v>42786</v>
      </c>
    </row>
    <row r="152" spans="1:13">
      <c r="A152" s="2">
        <v>5096</v>
      </c>
      <c r="B152" s="2" t="s">
        <v>8444</v>
      </c>
      <c r="C152" s="2">
        <v>8</v>
      </c>
      <c r="D152" s="2">
        <v>87</v>
      </c>
      <c r="E152" s="2">
        <v>277</v>
      </c>
      <c r="F152" s="2">
        <v>32441</v>
      </c>
      <c r="G152" s="2">
        <v>10.76924354</v>
      </c>
      <c r="H152" s="3">
        <v>1.0100000000000001E-6</v>
      </c>
      <c r="I152" s="2" t="s">
        <v>42787</v>
      </c>
      <c r="J152" s="2" t="s">
        <v>42788</v>
      </c>
      <c r="K152" s="2">
        <v>2.4919999999999999E-4</v>
      </c>
      <c r="L152" s="2" t="s">
        <v>848</v>
      </c>
      <c r="M152" s="4" t="s">
        <v>8447</v>
      </c>
    </row>
    <row r="153" spans="1:13">
      <c r="A153" s="2">
        <v>4698</v>
      </c>
      <c r="B153" s="2" t="s">
        <v>8560</v>
      </c>
      <c r="C153" s="2">
        <v>15</v>
      </c>
      <c r="D153" s="2">
        <v>87</v>
      </c>
      <c r="E153" s="2">
        <v>1259</v>
      </c>
      <c r="F153" s="2">
        <v>32441</v>
      </c>
      <c r="G153" s="2">
        <v>4.4426337269999996</v>
      </c>
      <c r="H153" s="3">
        <v>1.35E-6</v>
      </c>
      <c r="I153" s="2" t="s">
        <v>42789</v>
      </c>
      <c r="J153" s="2" t="s">
        <v>42790</v>
      </c>
      <c r="K153" s="2">
        <v>3.1839999999999999E-4</v>
      </c>
      <c r="L153" s="2" t="s">
        <v>848</v>
      </c>
      <c r="M153" s="4" t="s">
        <v>8563</v>
      </c>
    </row>
    <row r="154" spans="1:13">
      <c r="A154" s="2">
        <v>2339</v>
      </c>
      <c r="B154" s="2" t="s">
        <v>7727</v>
      </c>
      <c r="C154" s="2">
        <v>14</v>
      </c>
      <c r="D154" s="2">
        <v>87</v>
      </c>
      <c r="E154" s="2">
        <v>1114</v>
      </c>
      <c r="F154" s="2">
        <v>32441</v>
      </c>
      <c r="G154" s="2">
        <v>4.6861676880000003</v>
      </c>
      <c r="H154" s="3">
        <v>1.72E-6</v>
      </c>
      <c r="I154" s="2" t="s">
        <v>42791</v>
      </c>
      <c r="J154" s="2" t="s">
        <v>42792</v>
      </c>
      <c r="K154" s="2">
        <v>3.9049799999999997E-4</v>
      </c>
      <c r="L154" s="2" t="s">
        <v>848</v>
      </c>
      <c r="M154" s="4" t="s">
        <v>7730</v>
      </c>
    </row>
    <row r="155" spans="1:13">
      <c r="A155" s="2">
        <v>4957</v>
      </c>
      <c r="B155" s="2" t="s">
        <v>8735</v>
      </c>
      <c r="C155" s="2">
        <v>14</v>
      </c>
      <c r="D155" s="2">
        <v>87</v>
      </c>
      <c r="E155" s="2">
        <v>1134</v>
      </c>
      <c r="F155" s="2">
        <v>32441</v>
      </c>
      <c r="G155" s="2">
        <v>4.6035192279999997</v>
      </c>
      <c r="H155" s="3">
        <v>2.1100000000000001E-6</v>
      </c>
      <c r="I155" s="2" t="s">
        <v>42793</v>
      </c>
      <c r="J155" s="2" t="s">
        <v>42794</v>
      </c>
      <c r="K155" s="2">
        <v>4.61438E-4</v>
      </c>
      <c r="L155" s="2" t="s">
        <v>848</v>
      </c>
      <c r="M155" s="4" t="s">
        <v>8738</v>
      </c>
    </row>
    <row r="156" spans="1:13">
      <c r="A156" s="2">
        <v>1241</v>
      </c>
      <c r="B156" s="2" t="s">
        <v>7799</v>
      </c>
      <c r="C156" s="2">
        <v>12</v>
      </c>
      <c r="D156" s="2">
        <v>87</v>
      </c>
      <c r="E156" s="2">
        <v>835</v>
      </c>
      <c r="F156" s="2">
        <v>32441</v>
      </c>
      <c r="G156" s="2">
        <v>5.3588271729999999</v>
      </c>
      <c r="H156" s="3">
        <v>2.6599999999999999E-6</v>
      </c>
      <c r="I156" s="2" t="s">
        <v>42795</v>
      </c>
      <c r="J156" s="2" t="s">
        <v>42796</v>
      </c>
      <c r="K156" s="2">
        <v>5.6306100000000001E-4</v>
      </c>
      <c r="L156" s="2" t="s">
        <v>848</v>
      </c>
      <c r="M156" s="4" t="s">
        <v>7802</v>
      </c>
    </row>
    <row r="157" spans="1:13">
      <c r="A157" s="2">
        <v>2174</v>
      </c>
      <c r="B157" s="2" t="s">
        <v>42797</v>
      </c>
      <c r="C157" s="2">
        <v>5</v>
      </c>
      <c r="D157" s="2">
        <v>87</v>
      </c>
      <c r="E157" s="2">
        <v>90</v>
      </c>
      <c r="F157" s="2">
        <v>32441</v>
      </c>
      <c r="G157" s="2">
        <v>20.715836530000001</v>
      </c>
      <c r="H157" s="3">
        <v>5.84E-6</v>
      </c>
      <c r="I157" s="2" t="s">
        <v>42798</v>
      </c>
      <c r="J157" s="2" t="s">
        <v>42799</v>
      </c>
      <c r="K157" s="2">
        <v>1.1919109999999999E-3</v>
      </c>
      <c r="L157" s="2" t="s">
        <v>848</v>
      </c>
      <c r="M157" s="4" t="s">
        <v>42800</v>
      </c>
    </row>
    <row r="158" spans="1:13">
      <c r="A158" s="2">
        <v>648</v>
      </c>
      <c r="B158" s="2" t="s">
        <v>42801</v>
      </c>
      <c r="C158" s="2">
        <v>6</v>
      </c>
      <c r="D158" s="2">
        <v>87</v>
      </c>
      <c r="E158" s="2">
        <v>166</v>
      </c>
      <c r="F158" s="2">
        <v>32441</v>
      </c>
      <c r="G158" s="2">
        <v>13.47777316</v>
      </c>
      <c r="H158" s="3">
        <v>7.0999999999999998E-6</v>
      </c>
      <c r="I158" s="2" t="s">
        <v>42784</v>
      </c>
      <c r="J158" s="2" t="s">
        <v>42785</v>
      </c>
      <c r="K158" s="2">
        <v>1.398243E-3</v>
      </c>
      <c r="L158" s="2" t="s">
        <v>848</v>
      </c>
      <c r="M158" s="4" t="s">
        <v>42802</v>
      </c>
    </row>
    <row r="159" spans="1:13">
      <c r="A159" s="2">
        <v>1400</v>
      </c>
      <c r="B159" s="2" t="s">
        <v>7819</v>
      </c>
      <c r="C159" s="2">
        <v>12</v>
      </c>
      <c r="D159" s="2">
        <v>87</v>
      </c>
      <c r="E159" s="2">
        <v>926</v>
      </c>
      <c r="F159" s="2">
        <v>32441</v>
      </c>
      <c r="G159" s="2">
        <v>4.8322037690000004</v>
      </c>
      <c r="H159" s="3">
        <v>7.5100000000000001E-6</v>
      </c>
      <c r="I159" s="2" t="s">
        <v>42803</v>
      </c>
      <c r="J159" s="2" t="s">
        <v>42804</v>
      </c>
      <c r="K159" s="2">
        <v>1.398243E-3</v>
      </c>
      <c r="L159" s="2" t="s">
        <v>848</v>
      </c>
      <c r="M159" s="4" t="s">
        <v>7822</v>
      </c>
    </row>
    <row r="160" spans="1:13">
      <c r="A160" s="2">
        <v>1419</v>
      </c>
      <c r="B160" s="2" t="s">
        <v>7735</v>
      </c>
      <c r="C160" s="2">
        <v>7</v>
      </c>
      <c r="D160" s="2">
        <v>87</v>
      </c>
      <c r="E160" s="2">
        <v>259</v>
      </c>
      <c r="F160" s="2">
        <v>32441</v>
      </c>
      <c r="G160" s="2">
        <v>10.077974530000001</v>
      </c>
      <c r="H160" s="3">
        <v>7.5599999999999996E-6</v>
      </c>
      <c r="I160" s="2" t="s">
        <v>42805</v>
      </c>
      <c r="J160" s="2" t="s">
        <v>42806</v>
      </c>
      <c r="K160" s="2">
        <v>1.398243E-3</v>
      </c>
      <c r="L160" s="2" t="s">
        <v>848</v>
      </c>
      <c r="M160" s="4" t="s">
        <v>7738</v>
      </c>
    </row>
    <row r="161" spans="1:13">
      <c r="A161" s="2">
        <v>2575</v>
      </c>
      <c r="B161" s="2" t="s">
        <v>7839</v>
      </c>
      <c r="C161" s="2">
        <v>14</v>
      </c>
      <c r="D161" s="2">
        <v>87</v>
      </c>
      <c r="E161" s="2">
        <v>1275</v>
      </c>
      <c r="F161" s="2">
        <v>32441</v>
      </c>
      <c r="G161" s="2">
        <v>4.09442416</v>
      </c>
      <c r="H161" s="3">
        <v>7.9500000000000001E-6</v>
      </c>
      <c r="I161" s="2" t="s">
        <v>42807</v>
      </c>
      <c r="J161" s="2" t="s">
        <v>42808</v>
      </c>
      <c r="K161" s="2">
        <v>1.42526E-3</v>
      </c>
      <c r="L161" s="2" t="s">
        <v>848</v>
      </c>
      <c r="M161" s="4" t="s">
        <v>7842</v>
      </c>
    </row>
    <row r="162" spans="1:13">
      <c r="A162" s="2">
        <v>4090</v>
      </c>
      <c r="B162" s="2" t="s">
        <v>11582</v>
      </c>
      <c r="C162" s="2">
        <v>5</v>
      </c>
      <c r="D162" s="2">
        <v>87</v>
      </c>
      <c r="E162" s="2">
        <v>98</v>
      </c>
      <c r="F162" s="2">
        <v>32441</v>
      </c>
      <c r="G162" s="2">
        <v>19.024747829999999</v>
      </c>
      <c r="H162" s="3">
        <v>8.6799999999999999E-6</v>
      </c>
      <c r="I162" s="2" t="s">
        <v>42809</v>
      </c>
      <c r="J162" s="2" t="s">
        <v>42810</v>
      </c>
      <c r="K162" s="2">
        <v>1.510462E-3</v>
      </c>
      <c r="L162" s="2" t="s">
        <v>848</v>
      </c>
      <c r="M162" s="4" t="s">
        <v>11585</v>
      </c>
    </row>
    <row r="163" spans="1:13">
      <c r="A163" s="2">
        <v>1564</v>
      </c>
      <c r="B163" s="2" t="s">
        <v>42811</v>
      </c>
      <c r="C163" s="2">
        <v>4</v>
      </c>
      <c r="D163" s="2">
        <v>87</v>
      </c>
      <c r="E163" s="2">
        <v>45</v>
      </c>
      <c r="F163" s="2">
        <v>32441</v>
      </c>
      <c r="G163" s="2">
        <v>33.145338440000003</v>
      </c>
      <c r="H163" s="3">
        <v>9.2199999999999998E-6</v>
      </c>
      <c r="I163" s="2" t="s">
        <v>42812</v>
      </c>
      <c r="J163" s="2" t="s">
        <v>42813</v>
      </c>
      <c r="K163" s="2">
        <v>1.5595349999999999E-3</v>
      </c>
      <c r="L163" s="2" t="s">
        <v>848</v>
      </c>
      <c r="M163" s="4" t="s">
        <v>42814</v>
      </c>
    </row>
    <row r="164" spans="1:13">
      <c r="A164" s="2">
        <v>190</v>
      </c>
      <c r="B164" s="2" t="s">
        <v>42815</v>
      </c>
      <c r="C164" s="2">
        <v>4</v>
      </c>
      <c r="D164" s="2">
        <v>87</v>
      </c>
      <c r="E164" s="2">
        <v>48</v>
      </c>
      <c r="F164" s="2">
        <v>32441</v>
      </c>
      <c r="G164" s="2">
        <v>31.073754789999999</v>
      </c>
      <c r="H164" s="3">
        <v>1.17E-5</v>
      </c>
      <c r="I164" s="2" t="s">
        <v>42816</v>
      </c>
      <c r="J164" s="2" t="s">
        <v>42817</v>
      </c>
      <c r="K164" s="2">
        <v>1.9255380000000001E-3</v>
      </c>
      <c r="L164" s="2" t="s">
        <v>848</v>
      </c>
      <c r="M164" s="4" t="s">
        <v>42818</v>
      </c>
    </row>
    <row r="165" spans="1:13">
      <c r="A165" s="2">
        <v>3743</v>
      </c>
      <c r="B165" s="2" t="s">
        <v>42819</v>
      </c>
      <c r="C165" s="2">
        <v>5</v>
      </c>
      <c r="D165" s="2">
        <v>87</v>
      </c>
      <c r="E165" s="2">
        <v>107</v>
      </c>
      <c r="F165" s="2">
        <v>32441</v>
      </c>
      <c r="G165" s="2">
        <v>17.4245354</v>
      </c>
      <c r="H165" s="3">
        <v>1.31E-5</v>
      </c>
      <c r="I165" s="2" t="s">
        <v>42820</v>
      </c>
      <c r="J165" s="2" t="s">
        <v>42821</v>
      </c>
      <c r="K165" s="2">
        <v>2.0323749999999999E-3</v>
      </c>
      <c r="L165" s="2" t="s">
        <v>848</v>
      </c>
      <c r="M165" s="4" t="s">
        <v>42822</v>
      </c>
    </row>
    <row r="166" spans="1:13">
      <c r="A166" s="2">
        <v>4663</v>
      </c>
      <c r="B166" s="2" t="s">
        <v>991</v>
      </c>
      <c r="C166" s="2">
        <v>13</v>
      </c>
      <c r="D166" s="2">
        <v>87</v>
      </c>
      <c r="E166" s="2">
        <v>1151</v>
      </c>
      <c r="F166" s="2">
        <v>32441</v>
      </c>
      <c r="G166" s="2">
        <v>4.2115601629999997</v>
      </c>
      <c r="H166" s="3">
        <v>1.2999999999999999E-5</v>
      </c>
      <c r="I166" s="2" t="s">
        <v>42823</v>
      </c>
      <c r="J166" s="2" t="s">
        <v>42824</v>
      </c>
      <c r="K166" s="2">
        <v>2.0323749999999999E-3</v>
      </c>
      <c r="L166" s="2" t="s">
        <v>848</v>
      </c>
      <c r="M166" s="4" t="s">
        <v>9626</v>
      </c>
    </row>
    <row r="167" spans="1:13">
      <c r="A167" s="2">
        <v>610</v>
      </c>
      <c r="B167" s="2" t="s">
        <v>42825</v>
      </c>
      <c r="C167" s="2">
        <v>9</v>
      </c>
      <c r="D167" s="2">
        <v>87</v>
      </c>
      <c r="E167" s="2">
        <v>533</v>
      </c>
      <c r="F167" s="2">
        <v>32441</v>
      </c>
      <c r="G167" s="2">
        <v>6.2963705760000002</v>
      </c>
      <c r="H167" s="3">
        <v>1.5E-5</v>
      </c>
      <c r="I167" s="2" t="s">
        <v>42826</v>
      </c>
      <c r="J167" s="2" t="s">
        <v>42827</v>
      </c>
      <c r="K167" s="2">
        <v>2.1661749999999998E-3</v>
      </c>
      <c r="L167" s="2" t="s">
        <v>848</v>
      </c>
      <c r="M167" s="4" t="s">
        <v>42828</v>
      </c>
    </row>
    <row r="168" spans="1:13">
      <c r="A168" s="2">
        <v>4790</v>
      </c>
      <c r="B168" s="2" t="s">
        <v>8959</v>
      </c>
      <c r="C168" s="2">
        <v>7</v>
      </c>
      <c r="D168" s="2">
        <v>87</v>
      </c>
      <c r="E168" s="2">
        <v>288</v>
      </c>
      <c r="F168" s="2">
        <v>32441</v>
      </c>
      <c r="G168" s="2">
        <v>9.0631784799999995</v>
      </c>
      <c r="H168" s="3">
        <v>1.4800000000000001E-5</v>
      </c>
      <c r="I168" s="2" t="s">
        <v>42829</v>
      </c>
      <c r="J168" s="2" t="s">
        <v>42830</v>
      </c>
      <c r="K168" s="2">
        <v>2.1661749999999998E-3</v>
      </c>
      <c r="L168" s="2" t="s">
        <v>848</v>
      </c>
      <c r="M168" s="4" t="s">
        <v>8962</v>
      </c>
    </row>
    <row r="169" spans="1:13">
      <c r="A169" s="2">
        <v>4984</v>
      </c>
      <c r="B169" s="2" t="s">
        <v>42831</v>
      </c>
      <c r="C169" s="2">
        <v>4</v>
      </c>
      <c r="D169" s="2">
        <v>87</v>
      </c>
      <c r="E169" s="2">
        <v>51</v>
      </c>
      <c r="F169" s="2">
        <v>32441</v>
      </c>
      <c r="G169" s="2">
        <v>29.245886859999999</v>
      </c>
      <c r="H169" s="3">
        <v>1.47E-5</v>
      </c>
      <c r="I169" s="2" t="s">
        <v>42832</v>
      </c>
      <c r="J169" s="2" t="s">
        <v>42833</v>
      </c>
      <c r="K169" s="2">
        <v>2.1661749999999998E-3</v>
      </c>
      <c r="L169" s="2" t="s">
        <v>848</v>
      </c>
      <c r="M169" s="4" t="s">
        <v>42834</v>
      </c>
    </row>
    <row r="170" spans="1:13">
      <c r="A170" s="2">
        <v>2011</v>
      </c>
      <c r="B170" s="2" t="s">
        <v>8119</v>
      </c>
      <c r="C170" s="2">
        <v>8</v>
      </c>
      <c r="D170" s="2">
        <v>87</v>
      </c>
      <c r="E170" s="2">
        <v>413</v>
      </c>
      <c r="F170" s="2">
        <v>32441</v>
      </c>
      <c r="G170" s="2">
        <v>7.2229551079999998</v>
      </c>
      <c r="H170" s="3">
        <v>1.7600000000000001E-5</v>
      </c>
      <c r="I170" s="2" t="s">
        <v>42835</v>
      </c>
      <c r="J170" s="2" t="s">
        <v>42836</v>
      </c>
      <c r="K170" s="2">
        <v>2.4275579999999998E-3</v>
      </c>
      <c r="L170" s="2" t="s">
        <v>848</v>
      </c>
      <c r="M170" s="4" t="s">
        <v>8122</v>
      </c>
    </row>
    <row r="171" spans="1:13">
      <c r="A171" s="2">
        <v>3331</v>
      </c>
      <c r="B171" s="2" t="s">
        <v>42837</v>
      </c>
      <c r="C171" s="2">
        <v>3</v>
      </c>
      <c r="D171" s="2">
        <v>87</v>
      </c>
      <c r="E171" s="2">
        <v>16</v>
      </c>
      <c r="F171" s="2">
        <v>32441</v>
      </c>
      <c r="G171" s="2">
        <v>69.915948279999995</v>
      </c>
      <c r="H171" s="3">
        <v>1.7399999999999999E-5</v>
      </c>
      <c r="I171" s="2" t="s">
        <v>42838</v>
      </c>
      <c r="J171" s="2" t="s">
        <v>42839</v>
      </c>
      <c r="K171" s="2">
        <v>2.4275579999999998E-3</v>
      </c>
      <c r="L171" s="2" t="s">
        <v>848</v>
      </c>
      <c r="M171" s="4" t="s">
        <v>42840</v>
      </c>
    </row>
    <row r="172" spans="1:13">
      <c r="A172" s="2">
        <v>3739</v>
      </c>
      <c r="B172" s="2" t="s">
        <v>42841</v>
      </c>
      <c r="C172" s="2">
        <v>5</v>
      </c>
      <c r="D172" s="2">
        <v>87</v>
      </c>
      <c r="E172" s="2">
        <v>115</v>
      </c>
      <c r="F172" s="2">
        <v>32441</v>
      </c>
      <c r="G172" s="2">
        <v>16.212393800000001</v>
      </c>
      <c r="H172" s="3">
        <v>1.8199999999999999E-5</v>
      </c>
      <c r="I172" s="2" t="s">
        <v>42752</v>
      </c>
      <c r="J172" s="2" t="s">
        <v>42753</v>
      </c>
      <c r="K172" s="2">
        <v>2.4520319999999998E-3</v>
      </c>
      <c r="L172" s="2" t="s">
        <v>848</v>
      </c>
      <c r="M172" s="4" t="s">
        <v>42842</v>
      </c>
    </row>
    <row r="173" spans="1:13">
      <c r="A173" s="2">
        <v>324</v>
      </c>
      <c r="B173" s="2" t="s">
        <v>7555</v>
      </c>
      <c r="C173" s="2">
        <v>17</v>
      </c>
      <c r="D173" s="2">
        <v>87</v>
      </c>
      <c r="E173" s="2">
        <v>1984</v>
      </c>
      <c r="F173" s="2">
        <v>32441</v>
      </c>
      <c r="G173" s="2">
        <v>3.1950836580000002</v>
      </c>
      <c r="H173" s="3">
        <v>1.9400000000000001E-5</v>
      </c>
      <c r="I173" s="2" t="s">
        <v>42843</v>
      </c>
      <c r="J173" s="2" t="s">
        <v>42844</v>
      </c>
      <c r="K173" s="2">
        <v>2.5453780000000001E-3</v>
      </c>
      <c r="L173" s="2" t="s">
        <v>848</v>
      </c>
      <c r="M173" s="4" t="s">
        <v>7558</v>
      </c>
    </row>
    <row r="174" spans="1:13">
      <c r="A174" s="2">
        <v>575</v>
      </c>
      <c r="B174" s="2" t="s">
        <v>8039</v>
      </c>
      <c r="C174" s="2">
        <v>8</v>
      </c>
      <c r="D174" s="2">
        <v>87</v>
      </c>
      <c r="E174" s="2">
        <v>420</v>
      </c>
      <c r="F174" s="2">
        <v>32441</v>
      </c>
      <c r="G174" s="2">
        <v>7.1025725230000001</v>
      </c>
      <c r="H174" s="3">
        <v>1.98E-5</v>
      </c>
      <c r="I174" s="2" t="s">
        <v>42845</v>
      </c>
      <c r="J174" s="2" t="s">
        <v>42846</v>
      </c>
      <c r="K174" s="2">
        <v>2.5532039999999999E-3</v>
      </c>
      <c r="L174" s="2" t="s">
        <v>848</v>
      </c>
      <c r="M174" s="4" t="s">
        <v>8042</v>
      </c>
    </row>
    <row r="175" spans="1:13">
      <c r="A175" s="2">
        <v>4894</v>
      </c>
      <c r="B175" s="2" t="s">
        <v>10281</v>
      </c>
      <c r="C175" s="2">
        <v>16</v>
      </c>
      <c r="D175" s="2">
        <v>87</v>
      </c>
      <c r="E175" s="2">
        <v>1786</v>
      </c>
      <c r="F175" s="2">
        <v>32441</v>
      </c>
      <c r="G175" s="2">
        <v>3.3405156319999998</v>
      </c>
      <c r="H175" s="3">
        <v>2.0699999999999998E-5</v>
      </c>
      <c r="I175" s="2" t="s">
        <v>42847</v>
      </c>
      <c r="J175" s="2" t="s">
        <v>42848</v>
      </c>
      <c r="K175" s="2">
        <v>2.6074449999999999E-3</v>
      </c>
      <c r="L175" s="2" t="s">
        <v>848</v>
      </c>
      <c r="M175" s="4" t="s">
        <v>10284</v>
      </c>
    </row>
    <row r="176" spans="1:13">
      <c r="A176" s="2">
        <v>267</v>
      </c>
      <c r="B176" s="2" t="s">
        <v>7643</v>
      </c>
      <c r="C176" s="2">
        <v>9</v>
      </c>
      <c r="D176" s="2">
        <v>87</v>
      </c>
      <c r="E176" s="2">
        <v>563</v>
      </c>
      <c r="F176" s="2">
        <v>32441</v>
      </c>
      <c r="G176" s="2">
        <v>5.9608623749999996</v>
      </c>
      <c r="H176" s="3">
        <v>2.2900000000000001E-5</v>
      </c>
      <c r="I176" s="2" t="s">
        <v>42849</v>
      </c>
      <c r="J176" s="2" t="s">
        <v>42850</v>
      </c>
      <c r="K176" s="2">
        <v>2.8257009999999999E-3</v>
      </c>
      <c r="L176" s="2" t="s">
        <v>848</v>
      </c>
      <c r="M176" s="4" t="s">
        <v>7646</v>
      </c>
    </row>
    <row r="177" spans="1:13">
      <c r="A177" s="2">
        <v>2116</v>
      </c>
      <c r="B177" s="2" t="s">
        <v>42851</v>
      </c>
      <c r="C177" s="2">
        <v>3</v>
      </c>
      <c r="D177" s="2">
        <v>87</v>
      </c>
      <c r="E177" s="2">
        <v>18</v>
      </c>
      <c r="F177" s="2">
        <v>32441</v>
      </c>
      <c r="G177" s="2">
        <v>62.147509579999998</v>
      </c>
      <c r="H177" s="3">
        <v>2.37E-5</v>
      </c>
      <c r="I177" s="2" t="s">
        <v>42487</v>
      </c>
      <c r="J177" s="2" t="s">
        <v>42488</v>
      </c>
      <c r="K177" s="2">
        <v>2.866281E-3</v>
      </c>
      <c r="L177" s="2" t="s">
        <v>848</v>
      </c>
      <c r="M177" s="4" t="s">
        <v>42852</v>
      </c>
    </row>
    <row r="178" spans="1:13">
      <c r="A178" s="2">
        <v>4478</v>
      </c>
      <c r="B178" s="2" t="s">
        <v>42853</v>
      </c>
      <c r="C178" s="2">
        <v>6</v>
      </c>
      <c r="D178" s="2">
        <v>87</v>
      </c>
      <c r="E178" s="2">
        <v>211</v>
      </c>
      <c r="F178" s="2">
        <v>32441</v>
      </c>
      <c r="G178" s="2">
        <v>10.60336656</v>
      </c>
      <c r="H178" s="3">
        <v>2.65E-5</v>
      </c>
      <c r="I178" s="2" t="s">
        <v>42854</v>
      </c>
      <c r="J178" s="2" t="s">
        <v>42855</v>
      </c>
      <c r="K178" s="2">
        <v>3.1340489999999999E-3</v>
      </c>
      <c r="L178" s="2" t="s">
        <v>848</v>
      </c>
      <c r="M178" s="4" t="s">
        <v>42856</v>
      </c>
    </row>
    <row r="179" spans="1:13">
      <c r="A179" s="2">
        <v>1029</v>
      </c>
      <c r="B179" s="2" t="s">
        <v>8278</v>
      </c>
      <c r="C179" s="2">
        <v>13</v>
      </c>
      <c r="D179" s="2">
        <v>87</v>
      </c>
      <c r="E179" s="2">
        <v>1239</v>
      </c>
      <c r="F179" s="2">
        <v>32441</v>
      </c>
      <c r="G179" s="2">
        <v>3.9124340169999998</v>
      </c>
      <c r="H179" s="3">
        <v>2.7800000000000001E-5</v>
      </c>
      <c r="I179" s="2" t="s">
        <v>42857</v>
      </c>
      <c r="J179" s="2" t="s">
        <v>42858</v>
      </c>
      <c r="K179" s="2">
        <v>3.2208319999999999E-3</v>
      </c>
      <c r="L179" s="2" t="s">
        <v>848</v>
      </c>
      <c r="M179" s="4" t="s">
        <v>8281</v>
      </c>
    </row>
    <row r="180" spans="1:13">
      <c r="A180" s="2">
        <v>1350</v>
      </c>
      <c r="B180" s="2" t="s">
        <v>28916</v>
      </c>
      <c r="C180" s="2">
        <v>11</v>
      </c>
      <c r="D180" s="2">
        <v>87</v>
      </c>
      <c r="E180" s="2">
        <v>894</v>
      </c>
      <c r="F180" s="2">
        <v>32441</v>
      </c>
      <c r="G180" s="2">
        <v>4.5880711769999998</v>
      </c>
      <c r="H180" s="3">
        <v>2.97E-5</v>
      </c>
      <c r="I180" s="2" t="s">
        <v>42859</v>
      </c>
      <c r="J180" s="2" t="s">
        <v>42860</v>
      </c>
      <c r="K180" s="2">
        <v>3.379118E-3</v>
      </c>
      <c r="L180" s="2" t="s">
        <v>848</v>
      </c>
      <c r="M180" s="4" t="s">
        <v>28919</v>
      </c>
    </row>
    <row r="181" spans="1:13">
      <c r="A181" s="2">
        <v>5738</v>
      </c>
      <c r="B181" s="2" t="s">
        <v>7623</v>
      </c>
      <c r="C181" s="2">
        <v>15</v>
      </c>
      <c r="D181" s="2">
        <v>87</v>
      </c>
      <c r="E181" s="2">
        <v>1649</v>
      </c>
      <c r="F181" s="2">
        <v>32441</v>
      </c>
      <c r="G181" s="2">
        <v>3.391919868</v>
      </c>
      <c r="H181" s="3">
        <v>3.2700000000000002E-5</v>
      </c>
      <c r="I181" s="2" t="s">
        <v>42861</v>
      </c>
      <c r="J181" s="2" t="s">
        <v>42862</v>
      </c>
      <c r="K181" s="2">
        <v>3.655705E-3</v>
      </c>
      <c r="L181" s="2" t="s">
        <v>848</v>
      </c>
      <c r="M181" s="4" t="s">
        <v>7626</v>
      </c>
    </row>
    <row r="182" spans="1:13">
      <c r="A182" s="2">
        <v>4673</v>
      </c>
      <c r="B182" s="2" t="s">
        <v>8715</v>
      </c>
      <c r="C182" s="2">
        <v>4</v>
      </c>
      <c r="D182" s="2">
        <v>87</v>
      </c>
      <c r="E182" s="2">
        <v>65</v>
      </c>
      <c r="F182" s="2">
        <v>32441</v>
      </c>
      <c r="G182" s="2">
        <v>22.946772769999999</v>
      </c>
      <c r="H182" s="3">
        <v>3.6100000000000003E-5</v>
      </c>
      <c r="I182" s="2" t="s">
        <v>42816</v>
      </c>
      <c r="J182" s="2" t="s">
        <v>42817</v>
      </c>
      <c r="K182" s="2">
        <v>3.9596910000000004E-3</v>
      </c>
      <c r="L182" s="2" t="s">
        <v>848</v>
      </c>
      <c r="M182" s="4" t="s">
        <v>8718</v>
      </c>
    </row>
    <row r="183" spans="1:13">
      <c r="A183" s="2">
        <v>4868</v>
      </c>
      <c r="B183" s="2" t="s">
        <v>9568</v>
      </c>
      <c r="C183" s="2">
        <v>9</v>
      </c>
      <c r="D183" s="2">
        <v>87</v>
      </c>
      <c r="E183" s="2">
        <v>601</v>
      </c>
      <c r="F183" s="2">
        <v>32441</v>
      </c>
      <c r="G183" s="2">
        <v>5.5839692469999997</v>
      </c>
      <c r="H183" s="3">
        <v>3.7799999999999997E-5</v>
      </c>
      <c r="I183" s="2" t="s">
        <v>42863</v>
      </c>
      <c r="J183" s="2" t="s">
        <v>42864</v>
      </c>
      <c r="K183" s="2">
        <v>4.0681440000000001E-3</v>
      </c>
      <c r="L183" s="2" t="s">
        <v>848</v>
      </c>
      <c r="M183" s="4" t="s">
        <v>9571</v>
      </c>
    </row>
    <row r="184" spans="1:13">
      <c r="A184" s="2">
        <v>44231</v>
      </c>
      <c r="B184" s="2" t="s">
        <v>8807</v>
      </c>
      <c r="C184" s="2">
        <v>6</v>
      </c>
      <c r="D184" s="2">
        <v>87</v>
      </c>
      <c r="E184" s="2">
        <v>233</v>
      </c>
      <c r="F184" s="2">
        <v>32441</v>
      </c>
      <c r="G184" s="2">
        <v>9.6021903210000001</v>
      </c>
      <c r="H184" s="3">
        <v>4.5399999999999999E-5</v>
      </c>
      <c r="I184" s="2" t="s">
        <v>42865</v>
      </c>
      <c r="J184" s="2" t="s">
        <v>42866</v>
      </c>
      <c r="K184" s="2">
        <v>4.7973160000000003E-3</v>
      </c>
      <c r="L184" s="2" t="s">
        <v>848</v>
      </c>
      <c r="M184" s="4" t="s">
        <v>8810</v>
      </c>
    </row>
    <row r="185" spans="1:13">
      <c r="A185" s="2">
        <v>5090</v>
      </c>
      <c r="B185" s="2" t="s">
        <v>11611</v>
      </c>
      <c r="C185" s="2">
        <v>6</v>
      </c>
      <c r="D185" s="2">
        <v>87</v>
      </c>
      <c r="E185" s="2">
        <v>234</v>
      </c>
      <c r="F185" s="2">
        <v>32441</v>
      </c>
      <c r="G185" s="2">
        <v>9.5611553199999992</v>
      </c>
      <c r="H185" s="3">
        <v>4.6499999999999999E-5</v>
      </c>
      <c r="I185" s="2" t="s">
        <v>42867</v>
      </c>
      <c r="J185" s="2" t="s">
        <v>42868</v>
      </c>
      <c r="K185" s="2">
        <v>4.8237319999999998E-3</v>
      </c>
      <c r="L185" s="2" t="s">
        <v>848</v>
      </c>
      <c r="M185" s="4" t="s">
        <v>11614</v>
      </c>
    </row>
    <row r="186" spans="1:13">
      <c r="A186" s="2">
        <v>140</v>
      </c>
      <c r="B186" s="2" t="s">
        <v>30475</v>
      </c>
      <c r="C186" s="2">
        <v>11</v>
      </c>
      <c r="D186" s="2">
        <v>87</v>
      </c>
      <c r="E186" s="2">
        <v>945</v>
      </c>
      <c r="F186" s="2">
        <v>32441</v>
      </c>
      <c r="G186" s="2">
        <v>4.3404609860000001</v>
      </c>
      <c r="H186" s="3">
        <v>4.88E-5</v>
      </c>
      <c r="I186" s="2" t="s">
        <v>42869</v>
      </c>
      <c r="J186" s="2" t="s">
        <v>42870</v>
      </c>
      <c r="K186" s="2">
        <v>4.8899729999999997E-3</v>
      </c>
      <c r="L186" s="2" t="s">
        <v>848</v>
      </c>
      <c r="M186" s="4" t="s">
        <v>30478</v>
      </c>
    </row>
    <row r="187" spans="1:13">
      <c r="A187" s="2">
        <v>2714</v>
      </c>
      <c r="B187" s="2" t="s">
        <v>42871</v>
      </c>
      <c r="C187" s="2">
        <v>6</v>
      </c>
      <c r="D187" s="2">
        <v>87</v>
      </c>
      <c r="E187" s="2">
        <v>236</v>
      </c>
      <c r="F187" s="2">
        <v>32441</v>
      </c>
      <c r="G187" s="2">
        <v>9.4801285800000006</v>
      </c>
      <c r="H187" s="3">
        <v>4.8699999999999998E-5</v>
      </c>
      <c r="I187" s="2" t="s">
        <v>42872</v>
      </c>
      <c r="J187" s="2" t="s">
        <v>42873</v>
      </c>
      <c r="K187" s="2">
        <v>4.8899729999999997E-3</v>
      </c>
      <c r="L187" s="2" t="s">
        <v>848</v>
      </c>
      <c r="M187" s="4" t="s">
        <v>42874</v>
      </c>
    </row>
    <row r="188" spans="1:13">
      <c r="A188" s="2">
        <v>406</v>
      </c>
      <c r="B188" s="2" t="s">
        <v>7599</v>
      </c>
      <c r="C188" s="2">
        <v>16</v>
      </c>
      <c r="D188" s="2">
        <v>87</v>
      </c>
      <c r="E188" s="2">
        <v>1929</v>
      </c>
      <c r="F188" s="2">
        <v>32441</v>
      </c>
      <c r="G188" s="2">
        <v>3.0928776149999999</v>
      </c>
      <c r="H188" s="3">
        <v>5.1999999999999997E-5</v>
      </c>
      <c r="I188" s="2" t="s">
        <v>42875</v>
      </c>
      <c r="J188" s="2" t="s">
        <v>42876</v>
      </c>
      <c r="K188" s="2">
        <v>4.9668739999999996E-3</v>
      </c>
      <c r="L188" s="2" t="s">
        <v>848</v>
      </c>
      <c r="M188" s="4" t="s">
        <v>7602</v>
      </c>
    </row>
    <row r="189" spans="1:13">
      <c r="A189" s="2">
        <v>2887</v>
      </c>
      <c r="B189" s="2" t="s">
        <v>42877</v>
      </c>
      <c r="C189" s="2">
        <v>3</v>
      </c>
      <c r="D189" s="2">
        <v>87</v>
      </c>
      <c r="E189" s="2">
        <v>24</v>
      </c>
      <c r="F189" s="2">
        <v>32441</v>
      </c>
      <c r="G189" s="2">
        <v>46.610632180000003</v>
      </c>
      <c r="H189" s="3">
        <v>5.1600000000000001E-5</v>
      </c>
      <c r="I189" s="2" t="s">
        <v>42878</v>
      </c>
      <c r="J189" s="2" t="s">
        <v>42879</v>
      </c>
      <c r="K189" s="2">
        <v>4.9668739999999996E-3</v>
      </c>
      <c r="L189" s="2" t="s">
        <v>848</v>
      </c>
      <c r="M189" s="4" t="s">
        <v>42880</v>
      </c>
    </row>
    <row r="190" spans="1:13">
      <c r="A190" s="2">
        <v>4908</v>
      </c>
      <c r="B190" s="2" t="s">
        <v>7707</v>
      </c>
      <c r="C190" s="2">
        <v>6</v>
      </c>
      <c r="D190" s="2">
        <v>87</v>
      </c>
      <c r="E190" s="2">
        <v>238</v>
      </c>
      <c r="F190" s="2">
        <v>32441</v>
      </c>
      <c r="G190" s="2">
        <v>9.4004636339999994</v>
      </c>
      <c r="H190" s="3">
        <v>5.0899999999999997E-5</v>
      </c>
      <c r="I190" s="2" t="s">
        <v>42881</v>
      </c>
      <c r="J190" s="2" t="s">
        <v>42882</v>
      </c>
      <c r="K190" s="2">
        <v>4.9668739999999996E-3</v>
      </c>
      <c r="L190" s="2" t="s">
        <v>848</v>
      </c>
      <c r="M190" s="4" t="s">
        <v>7710</v>
      </c>
    </row>
    <row r="191" spans="1:13">
      <c r="A191" s="2">
        <v>4680</v>
      </c>
      <c r="B191" s="2" t="s">
        <v>42883</v>
      </c>
      <c r="C191" s="2">
        <v>7</v>
      </c>
      <c r="D191" s="2">
        <v>87</v>
      </c>
      <c r="E191" s="2">
        <v>356</v>
      </c>
      <c r="F191" s="2">
        <v>32441</v>
      </c>
      <c r="G191" s="2">
        <v>7.3320095570000001</v>
      </c>
      <c r="H191" s="3">
        <v>5.5300000000000002E-5</v>
      </c>
      <c r="I191" s="2" t="s">
        <v>42884</v>
      </c>
      <c r="J191" s="2" t="s">
        <v>42885</v>
      </c>
      <c r="K191" s="2">
        <v>5.1922280000000001E-3</v>
      </c>
      <c r="L191" s="2" t="s">
        <v>848</v>
      </c>
      <c r="M191" s="4" t="s">
        <v>42886</v>
      </c>
    </row>
    <row r="192" spans="1:13">
      <c r="A192" s="2">
        <v>1393</v>
      </c>
      <c r="B192" s="2" t="s">
        <v>42887</v>
      </c>
      <c r="C192" s="2">
        <v>3</v>
      </c>
      <c r="D192" s="2">
        <v>87</v>
      </c>
      <c r="E192" s="2">
        <v>25</v>
      </c>
      <c r="F192" s="2">
        <v>32441</v>
      </c>
      <c r="G192" s="2">
        <v>44.746206899999997</v>
      </c>
      <c r="H192" s="3">
        <v>5.77E-5</v>
      </c>
      <c r="I192" s="2" t="s">
        <v>42487</v>
      </c>
      <c r="J192" s="2" t="s">
        <v>42488</v>
      </c>
      <c r="K192" s="2">
        <v>5.3326850000000002E-3</v>
      </c>
      <c r="L192" s="2" t="s">
        <v>848</v>
      </c>
      <c r="M192" s="4" t="s">
        <v>42888</v>
      </c>
    </row>
    <row r="193" spans="1:13">
      <c r="A193" s="2">
        <v>4500</v>
      </c>
      <c r="B193" s="2" t="s">
        <v>42889</v>
      </c>
      <c r="C193" s="2">
        <v>4</v>
      </c>
      <c r="D193" s="2">
        <v>87</v>
      </c>
      <c r="E193" s="2">
        <v>75</v>
      </c>
      <c r="F193" s="2">
        <v>32441</v>
      </c>
      <c r="G193" s="2">
        <v>19.887203070000002</v>
      </c>
      <c r="H193" s="3">
        <v>6.1500000000000004E-5</v>
      </c>
      <c r="I193" s="2" t="s">
        <v>42533</v>
      </c>
      <c r="J193" s="2" t="s">
        <v>42534</v>
      </c>
      <c r="K193" s="2">
        <v>5.6021309999999998E-3</v>
      </c>
      <c r="L193" s="2" t="s">
        <v>848</v>
      </c>
      <c r="M193" s="4" t="s">
        <v>42890</v>
      </c>
    </row>
    <row r="194" spans="1:13">
      <c r="A194" s="2">
        <v>302</v>
      </c>
      <c r="B194" s="2" t="s">
        <v>10559</v>
      </c>
      <c r="C194" s="2">
        <v>7</v>
      </c>
      <c r="D194" s="2">
        <v>87</v>
      </c>
      <c r="E194" s="2">
        <v>366</v>
      </c>
      <c r="F194" s="2">
        <v>32441</v>
      </c>
      <c r="G194" s="2">
        <v>7.1316814270000002</v>
      </c>
      <c r="H194" s="3">
        <v>6.5500000000000006E-5</v>
      </c>
      <c r="I194" s="2" t="s">
        <v>42891</v>
      </c>
      <c r="J194" s="2" t="s">
        <v>42892</v>
      </c>
      <c r="K194" s="2">
        <v>5.8765609999999998E-3</v>
      </c>
      <c r="L194" s="2" t="s">
        <v>848</v>
      </c>
      <c r="M194" s="4" t="s">
        <v>10562</v>
      </c>
    </row>
    <row r="195" spans="1:13">
      <c r="A195" s="2">
        <v>2995</v>
      </c>
      <c r="B195" s="2" t="s">
        <v>7715</v>
      </c>
      <c r="C195" s="2">
        <v>7</v>
      </c>
      <c r="D195" s="2">
        <v>87</v>
      </c>
      <c r="E195" s="2">
        <v>370</v>
      </c>
      <c r="F195" s="2">
        <v>32441</v>
      </c>
      <c r="G195" s="2">
        <v>7.0545821679999996</v>
      </c>
      <c r="H195" s="3">
        <v>7.0099999999999996E-5</v>
      </c>
      <c r="I195" s="2" t="s">
        <v>42893</v>
      </c>
      <c r="J195" s="2" t="s">
        <v>42894</v>
      </c>
      <c r="K195" s="2">
        <v>6.1880399999999997E-3</v>
      </c>
      <c r="L195" s="2" t="s">
        <v>848</v>
      </c>
      <c r="M195" s="4" t="s">
        <v>7718</v>
      </c>
    </row>
    <row r="196" spans="1:13">
      <c r="A196" s="2">
        <v>3887</v>
      </c>
      <c r="B196" s="2" t="s">
        <v>9238</v>
      </c>
      <c r="C196" s="2">
        <v>5</v>
      </c>
      <c r="D196" s="2">
        <v>87</v>
      </c>
      <c r="E196" s="2">
        <v>156</v>
      </c>
      <c r="F196" s="2">
        <v>32441</v>
      </c>
      <c r="G196" s="2">
        <v>11.95144415</v>
      </c>
      <c r="H196" s="3">
        <v>7.4300000000000004E-5</v>
      </c>
      <c r="I196" s="2" t="s">
        <v>42895</v>
      </c>
      <c r="J196" s="2" t="s">
        <v>42896</v>
      </c>
      <c r="K196" s="2">
        <v>6.4691419999999998E-3</v>
      </c>
      <c r="L196" s="2" t="s">
        <v>848</v>
      </c>
      <c r="M196" s="4" t="s">
        <v>9241</v>
      </c>
    </row>
    <row r="197" spans="1:13">
      <c r="A197" s="2">
        <v>4537</v>
      </c>
      <c r="B197" s="2" t="s">
        <v>7963</v>
      </c>
      <c r="C197" s="2">
        <v>12</v>
      </c>
      <c r="D197" s="2">
        <v>87</v>
      </c>
      <c r="E197" s="2">
        <v>1180</v>
      </c>
      <c r="F197" s="2">
        <v>32441</v>
      </c>
      <c r="G197" s="2">
        <v>3.7920514320000001</v>
      </c>
      <c r="H197" s="3">
        <v>7.8100000000000001E-5</v>
      </c>
      <c r="I197" s="2" t="s">
        <v>42897</v>
      </c>
      <c r="J197" s="2" t="s">
        <v>42898</v>
      </c>
      <c r="K197" s="2">
        <v>6.6949239999999997E-3</v>
      </c>
      <c r="L197" s="2" t="s">
        <v>848</v>
      </c>
      <c r="M197" s="4" t="s">
        <v>7966</v>
      </c>
    </row>
    <row r="198" spans="1:13">
      <c r="A198" s="2">
        <v>277</v>
      </c>
      <c r="B198" s="2" t="s">
        <v>42899</v>
      </c>
      <c r="C198" s="2">
        <v>4</v>
      </c>
      <c r="D198" s="2">
        <v>87</v>
      </c>
      <c r="E198" s="2">
        <v>81</v>
      </c>
      <c r="F198" s="2">
        <v>32441</v>
      </c>
      <c r="G198" s="2">
        <v>18.414076909999999</v>
      </c>
      <c r="H198" s="3">
        <v>8.1899999999999999E-5</v>
      </c>
      <c r="I198" s="2" t="s">
        <v>42900</v>
      </c>
      <c r="J198" s="2" t="s">
        <v>42901</v>
      </c>
      <c r="K198" s="2">
        <v>6.7328420000000002E-3</v>
      </c>
      <c r="L198" s="2" t="s">
        <v>848</v>
      </c>
      <c r="M198" s="4" t="s">
        <v>42902</v>
      </c>
    </row>
    <row r="199" spans="1:13">
      <c r="A199" s="2">
        <v>2568</v>
      </c>
      <c r="B199" s="2" t="s">
        <v>42373</v>
      </c>
      <c r="C199" s="2">
        <v>15</v>
      </c>
      <c r="D199" s="2">
        <v>87</v>
      </c>
      <c r="E199" s="2">
        <v>1785</v>
      </c>
      <c r="F199" s="2">
        <v>32441</v>
      </c>
      <c r="G199" s="2">
        <v>3.1334878779999999</v>
      </c>
      <c r="H199" s="3">
        <v>7.9900000000000004E-5</v>
      </c>
      <c r="I199" s="2" t="s">
        <v>42903</v>
      </c>
      <c r="J199" s="2" t="s">
        <v>42904</v>
      </c>
      <c r="K199" s="2">
        <v>6.7328420000000002E-3</v>
      </c>
      <c r="L199" s="2" t="s">
        <v>848</v>
      </c>
      <c r="M199" s="4" t="s">
        <v>42374</v>
      </c>
    </row>
    <row r="200" spans="1:13">
      <c r="A200" s="2">
        <v>5034</v>
      </c>
      <c r="B200" s="2" t="s">
        <v>42905</v>
      </c>
      <c r="C200" s="2">
        <v>4</v>
      </c>
      <c r="D200" s="2">
        <v>87</v>
      </c>
      <c r="E200" s="2">
        <v>81</v>
      </c>
      <c r="F200" s="2">
        <v>32441</v>
      </c>
      <c r="G200" s="2">
        <v>18.414076909999999</v>
      </c>
      <c r="H200" s="3">
        <v>8.1899999999999999E-5</v>
      </c>
      <c r="I200" s="2" t="s">
        <v>42906</v>
      </c>
      <c r="J200" s="2" t="s">
        <v>42907</v>
      </c>
      <c r="K200" s="2">
        <v>6.7328420000000002E-3</v>
      </c>
      <c r="L200" s="2" t="s">
        <v>848</v>
      </c>
      <c r="M200" s="4" t="s">
        <v>42908</v>
      </c>
    </row>
    <row r="201" spans="1:13">
      <c r="A201" s="2">
        <v>5347</v>
      </c>
      <c r="B201" s="2" t="s">
        <v>7711</v>
      </c>
      <c r="C201" s="2">
        <v>13</v>
      </c>
      <c r="D201" s="2">
        <v>87</v>
      </c>
      <c r="E201" s="2">
        <v>1393</v>
      </c>
      <c r="F201" s="2">
        <v>32441</v>
      </c>
      <c r="G201" s="2">
        <v>3.4799036229999998</v>
      </c>
      <c r="H201" s="3">
        <v>9.0600000000000007E-5</v>
      </c>
      <c r="I201" s="2" t="s">
        <v>42909</v>
      </c>
      <c r="J201" s="2" t="s">
        <v>42910</v>
      </c>
      <c r="K201" s="2">
        <v>7.3415379999999999E-3</v>
      </c>
      <c r="L201" s="2" t="s">
        <v>848</v>
      </c>
      <c r="M201" s="4" t="s">
        <v>7714</v>
      </c>
    </row>
    <row r="202" spans="1:13">
      <c r="A202" s="2">
        <v>4516</v>
      </c>
      <c r="B202" s="2" t="s">
        <v>42911</v>
      </c>
      <c r="C202" s="2">
        <v>4</v>
      </c>
      <c r="D202" s="2">
        <v>87</v>
      </c>
      <c r="E202" s="2">
        <v>85</v>
      </c>
      <c r="F202" s="2">
        <v>32441</v>
      </c>
      <c r="G202" s="2">
        <v>17.54753212</v>
      </c>
      <c r="H202" s="3">
        <v>9.7999999999999997E-5</v>
      </c>
      <c r="I202" s="2" t="s">
        <v>42912</v>
      </c>
      <c r="J202" s="2" t="s">
        <v>42913</v>
      </c>
      <c r="K202" s="2">
        <v>7.8355100000000004E-3</v>
      </c>
      <c r="L202" s="2" t="s">
        <v>848</v>
      </c>
      <c r="M202" s="4" t="s">
        <v>42914</v>
      </c>
    </row>
    <row r="203" spans="1:13">
      <c r="A203" s="2">
        <v>521</v>
      </c>
      <c r="B203" s="2" t="s">
        <v>42915</v>
      </c>
      <c r="C203" s="2">
        <v>5</v>
      </c>
      <c r="D203" s="2">
        <v>87</v>
      </c>
      <c r="E203" s="2">
        <v>170</v>
      </c>
      <c r="F203" s="2">
        <v>32441</v>
      </c>
      <c r="G203" s="2">
        <v>10.967207569999999</v>
      </c>
      <c r="H203" s="2">
        <v>1.10103E-4</v>
      </c>
      <c r="I203" s="2" t="s">
        <v>42916</v>
      </c>
      <c r="J203" s="2" t="s">
        <v>42917</v>
      </c>
      <c r="K203" s="2">
        <v>8.5650729999999994E-3</v>
      </c>
      <c r="L203" s="2" t="s">
        <v>848</v>
      </c>
      <c r="M203" s="4" t="s">
        <v>42918</v>
      </c>
    </row>
    <row r="204" spans="1:13">
      <c r="A204" s="2">
        <v>4379</v>
      </c>
      <c r="B204" s="2" t="s">
        <v>9330</v>
      </c>
      <c r="C204" s="2">
        <v>6</v>
      </c>
      <c r="D204" s="2">
        <v>87</v>
      </c>
      <c r="E204" s="2">
        <v>274</v>
      </c>
      <c r="F204" s="2">
        <v>32441</v>
      </c>
      <c r="G204" s="2">
        <v>8.1653662219999994</v>
      </c>
      <c r="H204" s="2">
        <v>1.08603E-4</v>
      </c>
      <c r="I204" s="2" t="s">
        <v>42919</v>
      </c>
      <c r="J204" s="2" t="s">
        <v>42920</v>
      </c>
      <c r="K204" s="2">
        <v>8.5650729999999994E-3</v>
      </c>
      <c r="L204" s="2" t="s">
        <v>848</v>
      </c>
      <c r="M204" s="4" t="s">
        <v>9333</v>
      </c>
    </row>
    <row r="205" spans="1:13">
      <c r="A205" s="2">
        <v>5013</v>
      </c>
      <c r="B205" s="2" t="s">
        <v>11306</v>
      </c>
      <c r="C205" s="2">
        <v>4</v>
      </c>
      <c r="D205" s="2">
        <v>87</v>
      </c>
      <c r="E205" s="2">
        <v>88</v>
      </c>
      <c r="F205" s="2">
        <v>32441</v>
      </c>
      <c r="G205" s="2">
        <v>16.949320790000002</v>
      </c>
      <c r="H205" s="2">
        <v>1.1145999999999999E-4</v>
      </c>
      <c r="I205" s="2" t="s">
        <v>42921</v>
      </c>
      <c r="J205" s="2" t="s">
        <v>42922</v>
      </c>
      <c r="K205" s="2">
        <v>8.5650729999999994E-3</v>
      </c>
      <c r="L205" s="2" t="s">
        <v>848</v>
      </c>
      <c r="M205" s="4" t="s">
        <v>11309</v>
      </c>
    </row>
    <row r="206" spans="1:13">
      <c r="A206" s="2">
        <v>4581</v>
      </c>
      <c r="B206" s="2" t="s">
        <v>42923</v>
      </c>
      <c r="C206" s="2">
        <v>3</v>
      </c>
      <c r="D206" s="2">
        <v>87</v>
      </c>
      <c r="E206" s="2">
        <v>33</v>
      </c>
      <c r="F206" s="2">
        <v>32441</v>
      </c>
      <c r="G206" s="2">
        <v>33.898641589999997</v>
      </c>
      <c r="H206" s="2">
        <v>1.23783E-4</v>
      </c>
      <c r="I206" s="2" t="s">
        <v>42924</v>
      </c>
      <c r="J206" s="2" t="s">
        <v>42925</v>
      </c>
      <c r="K206" s="2">
        <v>9.3900890000000008E-3</v>
      </c>
      <c r="L206" s="2" t="s">
        <v>848</v>
      </c>
      <c r="M206" s="4" t="s">
        <v>42926</v>
      </c>
    </row>
    <row r="207" spans="1:13">
      <c r="A207" s="2">
        <v>2338</v>
      </c>
      <c r="B207" s="2" t="s">
        <v>29693</v>
      </c>
      <c r="C207" s="2">
        <v>8</v>
      </c>
      <c r="D207" s="2">
        <v>87</v>
      </c>
      <c r="E207" s="2">
        <v>552</v>
      </c>
      <c r="F207" s="2">
        <v>32441</v>
      </c>
      <c r="G207" s="2">
        <v>5.4041312680000004</v>
      </c>
      <c r="H207" s="2">
        <v>1.3022500000000001E-4</v>
      </c>
      <c r="I207" s="2" t="s">
        <v>42927</v>
      </c>
      <c r="J207" s="2" t="s">
        <v>42928</v>
      </c>
      <c r="K207" s="2">
        <v>9.7536689999999995E-3</v>
      </c>
      <c r="L207" s="2" t="s">
        <v>848</v>
      </c>
      <c r="M207" s="4" t="s">
        <v>29696</v>
      </c>
    </row>
    <row r="208" spans="1:13">
      <c r="A208" s="2">
        <v>1616</v>
      </c>
      <c r="B208" s="2" t="s">
        <v>42929</v>
      </c>
      <c r="C208" s="2">
        <v>3</v>
      </c>
      <c r="D208" s="2">
        <v>87</v>
      </c>
      <c r="E208" s="2">
        <v>36</v>
      </c>
      <c r="F208" s="2">
        <v>32441</v>
      </c>
      <c r="G208" s="2">
        <v>31.073754789999999</v>
      </c>
      <c r="H208" s="2">
        <v>1.57524E-4</v>
      </c>
      <c r="I208" s="2" t="s">
        <v>42930</v>
      </c>
      <c r="J208" s="2" t="s">
        <v>42931</v>
      </c>
      <c r="K208" s="2">
        <v>1.1403188999999999E-2</v>
      </c>
      <c r="L208" s="2" t="s">
        <v>848</v>
      </c>
      <c r="M208" s="4" t="s">
        <v>42932</v>
      </c>
    </row>
    <row r="209" spans="1:13">
      <c r="A209" s="2">
        <v>3352</v>
      </c>
      <c r="B209" s="2" t="s">
        <v>8047</v>
      </c>
      <c r="C209" s="2">
        <v>6</v>
      </c>
      <c r="D209" s="2">
        <v>87</v>
      </c>
      <c r="E209" s="2">
        <v>294</v>
      </c>
      <c r="F209" s="2">
        <v>32441</v>
      </c>
      <c r="G209" s="2">
        <v>7.6098991319999998</v>
      </c>
      <c r="H209" s="2">
        <v>1.5803E-4</v>
      </c>
      <c r="I209" s="2" t="s">
        <v>42933</v>
      </c>
      <c r="J209" s="2" t="s">
        <v>42934</v>
      </c>
      <c r="K209" s="2">
        <v>1.1403188999999999E-2</v>
      </c>
      <c r="L209" s="2" t="s">
        <v>848</v>
      </c>
      <c r="M209" s="4" t="s">
        <v>8050</v>
      </c>
    </row>
    <row r="210" spans="1:13">
      <c r="A210" s="2">
        <v>4429</v>
      </c>
      <c r="B210" s="2" t="s">
        <v>42935</v>
      </c>
      <c r="C210" s="2">
        <v>3</v>
      </c>
      <c r="D210" s="2">
        <v>87</v>
      </c>
      <c r="E210" s="2">
        <v>36</v>
      </c>
      <c r="F210" s="2">
        <v>32441</v>
      </c>
      <c r="G210" s="2">
        <v>31.073754789999999</v>
      </c>
      <c r="H210" s="2">
        <v>1.57524E-4</v>
      </c>
      <c r="I210" s="2" t="s">
        <v>42936</v>
      </c>
      <c r="J210" s="2" t="s">
        <v>42937</v>
      </c>
      <c r="K210" s="2">
        <v>1.1403188999999999E-2</v>
      </c>
      <c r="L210" s="2" t="s">
        <v>848</v>
      </c>
      <c r="M210" s="4" t="s">
        <v>42938</v>
      </c>
    </row>
    <row r="211" spans="1:13">
      <c r="A211" s="2">
        <v>4445</v>
      </c>
      <c r="B211" s="2" t="s">
        <v>42939</v>
      </c>
      <c r="C211" s="2">
        <v>7</v>
      </c>
      <c r="D211" s="2">
        <v>87</v>
      </c>
      <c r="E211" s="2">
        <v>426</v>
      </c>
      <c r="F211" s="2">
        <v>32441</v>
      </c>
      <c r="G211" s="2">
        <v>6.1272192539999999</v>
      </c>
      <c r="H211" s="2">
        <v>1.6501600000000001E-4</v>
      </c>
      <c r="I211" s="2" t="s">
        <v>42884</v>
      </c>
      <c r="J211" s="2" t="s">
        <v>42885</v>
      </c>
      <c r="K211" s="2">
        <v>1.1763854000000001E-2</v>
      </c>
      <c r="L211" s="2" t="s">
        <v>848</v>
      </c>
      <c r="M211" s="4" t="s">
        <v>42940</v>
      </c>
    </row>
    <row r="212" spans="1:13">
      <c r="A212" s="2">
        <v>4792</v>
      </c>
      <c r="B212" s="2" t="s">
        <v>7663</v>
      </c>
      <c r="C212" s="2">
        <v>7</v>
      </c>
      <c r="D212" s="2">
        <v>87</v>
      </c>
      <c r="E212" s="2">
        <v>428</v>
      </c>
      <c r="F212" s="2">
        <v>32441</v>
      </c>
      <c r="G212" s="2">
        <v>6.0985873890000004</v>
      </c>
      <c r="H212" s="2">
        <v>1.6973499999999999E-4</v>
      </c>
      <c r="I212" s="2" t="s">
        <v>42941</v>
      </c>
      <c r="J212" s="2" t="s">
        <v>42942</v>
      </c>
      <c r="K212" s="2">
        <v>1.1956186000000001E-2</v>
      </c>
      <c r="L212" s="2" t="s">
        <v>848</v>
      </c>
      <c r="M212" s="4" t="s">
        <v>7666</v>
      </c>
    </row>
    <row r="213" spans="1:13">
      <c r="A213" s="2">
        <v>168</v>
      </c>
      <c r="B213" s="2" t="s">
        <v>10913</v>
      </c>
      <c r="C213" s="2">
        <v>4</v>
      </c>
      <c r="D213" s="2">
        <v>87</v>
      </c>
      <c r="E213" s="2">
        <v>99</v>
      </c>
      <c r="F213" s="2">
        <v>32441</v>
      </c>
      <c r="G213" s="2">
        <v>15.066062929999999</v>
      </c>
      <c r="H213" s="2">
        <v>1.7246899999999999E-4</v>
      </c>
      <c r="I213" s="2" t="s">
        <v>42518</v>
      </c>
      <c r="J213" s="2" t="s">
        <v>42519</v>
      </c>
      <c r="K213" s="2">
        <v>1.2005854999999999E-2</v>
      </c>
      <c r="L213" s="2" t="s">
        <v>848</v>
      </c>
      <c r="M213" s="4" t="s">
        <v>10916</v>
      </c>
    </row>
    <row r="214" spans="1:13">
      <c r="A214" s="2">
        <v>3382</v>
      </c>
      <c r="B214" s="2" t="s">
        <v>42943</v>
      </c>
      <c r="C214" s="2">
        <v>5</v>
      </c>
      <c r="D214" s="2">
        <v>87</v>
      </c>
      <c r="E214" s="2">
        <v>190</v>
      </c>
      <c r="F214" s="2">
        <v>32441</v>
      </c>
      <c r="G214" s="2">
        <v>9.81276467</v>
      </c>
      <c r="H214" s="2">
        <v>1.8248299999999999E-4</v>
      </c>
      <c r="I214" s="2" t="s">
        <v>42944</v>
      </c>
      <c r="J214" s="2" t="s">
        <v>42945</v>
      </c>
      <c r="K214" s="2">
        <v>1.2448285E-2</v>
      </c>
      <c r="L214" s="2" t="s">
        <v>848</v>
      </c>
      <c r="M214" s="4" t="s">
        <v>42946</v>
      </c>
    </row>
    <row r="215" spans="1:13">
      <c r="A215" s="2">
        <v>4442</v>
      </c>
      <c r="B215" s="2" t="s">
        <v>42947</v>
      </c>
      <c r="C215" s="2">
        <v>3</v>
      </c>
      <c r="D215" s="2">
        <v>87</v>
      </c>
      <c r="E215" s="2">
        <v>38</v>
      </c>
      <c r="F215" s="2">
        <v>32441</v>
      </c>
      <c r="G215" s="2">
        <v>29.43829401</v>
      </c>
      <c r="H215" s="2">
        <v>1.8303199999999999E-4</v>
      </c>
      <c r="I215" s="2" t="s">
        <v>42948</v>
      </c>
      <c r="J215" s="2" t="s">
        <v>42949</v>
      </c>
      <c r="K215" s="2">
        <v>1.2448285E-2</v>
      </c>
      <c r="L215" s="2" t="s">
        <v>848</v>
      </c>
      <c r="M215" s="4" t="s">
        <v>42950</v>
      </c>
    </row>
    <row r="216" spans="1:13">
      <c r="A216" s="2">
        <v>1382</v>
      </c>
      <c r="B216" s="2" t="s">
        <v>42951</v>
      </c>
      <c r="C216" s="2">
        <v>3</v>
      </c>
      <c r="D216" s="2">
        <v>87</v>
      </c>
      <c r="E216" s="2">
        <v>39</v>
      </c>
      <c r="F216" s="2">
        <v>32441</v>
      </c>
      <c r="G216" s="2">
        <v>28.683465959999999</v>
      </c>
      <c r="H216" s="2">
        <v>1.9673100000000001E-4</v>
      </c>
      <c r="I216" s="2" t="s">
        <v>42952</v>
      </c>
      <c r="J216" s="2" t="s">
        <v>42953</v>
      </c>
      <c r="K216" s="2">
        <v>1.3079309000000001E-2</v>
      </c>
      <c r="L216" s="2" t="s">
        <v>848</v>
      </c>
      <c r="M216" s="4" t="s">
        <v>42954</v>
      </c>
    </row>
    <row r="217" spans="1:13">
      <c r="A217" s="2">
        <v>3552</v>
      </c>
      <c r="B217" s="2" t="s">
        <v>42955</v>
      </c>
      <c r="C217" s="2">
        <v>3</v>
      </c>
      <c r="D217" s="2">
        <v>87</v>
      </c>
      <c r="E217" s="2">
        <v>39</v>
      </c>
      <c r="F217" s="2">
        <v>32441</v>
      </c>
      <c r="G217" s="2">
        <v>28.683465959999999</v>
      </c>
      <c r="H217" s="2">
        <v>1.9673100000000001E-4</v>
      </c>
      <c r="I217" s="2" t="s">
        <v>42956</v>
      </c>
      <c r="J217" s="2" t="s">
        <v>42957</v>
      </c>
      <c r="K217" s="2">
        <v>1.3079309000000001E-2</v>
      </c>
      <c r="L217" s="2" t="s">
        <v>848</v>
      </c>
      <c r="M217" s="4" t="s">
        <v>42958</v>
      </c>
    </row>
    <row r="218" spans="1:13">
      <c r="A218" s="2">
        <v>4875</v>
      </c>
      <c r="B218" s="2" t="s">
        <v>10129</v>
      </c>
      <c r="C218" s="2">
        <v>10</v>
      </c>
      <c r="D218" s="2">
        <v>87</v>
      </c>
      <c r="E218" s="2">
        <v>929</v>
      </c>
      <c r="F218" s="2">
        <v>32441</v>
      </c>
      <c r="G218" s="2">
        <v>4.0138326959999997</v>
      </c>
      <c r="H218" s="2">
        <v>2.05739E-4</v>
      </c>
      <c r="I218" s="2" t="s">
        <v>42959</v>
      </c>
      <c r="J218" s="2" t="s">
        <v>42960</v>
      </c>
      <c r="K218" s="2">
        <v>1.3526167E-2</v>
      </c>
      <c r="L218" s="2" t="s">
        <v>848</v>
      </c>
      <c r="M218" s="4" t="s">
        <v>10132</v>
      </c>
    </row>
    <row r="219" spans="1:13">
      <c r="A219" s="2">
        <v>3621</v>
      </c>
      <c r="B219" s="2" t="s">
        <v>10687</v>
      </c>
      <c r="C219" s="2">
        <v>6</v>
      </c>
      <c r="D219" s="2">
        <v>87</v>
      </c>
      <c r="E219" s="2">
        <v>310</v>
      </c>
      <c r="F219" s="2">
        <v>32441</v>
      </c>
      <c r="G219" s="2">
        <v>7.2171301449999996</v>
      </c>
      <c r="H219" s="2">
        <v>2.09166E-4</v>
      </c>
      <c r="I219" s="2" t="s">
        <v>42961</v>
      </c>
      <c r="J219" s="2" t="s">
        <v>42962</v>
      </c>
      <c r="K219" s="2">
        <v>1.3553658999999999E-2</v>
      </c>
      <c r="L219" s="2" t="s">
        <v>848</v>
      </c>
      <c r="M219" s="4" t="s">
        <v>10690</v>
      </c>
    </row>
    <row r="220" spans="1:13">
      <c r="A220" s="2">
        <v>5030</v>
      </c>
      <c r="B220" s="2" t="s">
        <v>7667</v>
      </c>
      <c r="C220" s="2">
        <v>14</v>
      </c>
      <c r="D220" s="2">
        <v>87</v>
      </c>
      <c r="E220" s="2">
        <v>1731</v>
      </c>
      <c r="F220" s="2">
        <v>32441</v>
      </c>
      <c r="G220" s="2">
        <v>3.0158236879999998</v>
      </c>
      <c r="H220" s="2">
        <v>2.10738E-4</v>
      </c>
      <c r="I220" s="2" t="s">
        <v>42963</v>
      </c>
      <c r="J220" s="2" t="s">
        <v>42964</v>
      </c>
      <c r="K220" s="2">
        <v>1.3553658999999999E-2</v>
      </c>
      <c r="L220" s="2" t="s">
        <v>848</v>
      </c>
      <c r="M220" s="4" t="s">
        <v>7670</v>
      </c>
    </row>
    <row r="221" spans="1:13">
      <c r="A221" s="2">
        <v>1113</v>
      </c>
      <c r="B221" s="2" t="s">
        <v>9604</v>
      </c>
      <c r="C221" s="2">
        <v>14</v>
      </c>
      <c r="D221" s="2">
        <v>87</v>
      </c>
      <c r="E221" s="2">
        <v>1733</v>
      </c>
      <c r="F221" s="2">
        <v>32441</v>
      </c>
      <c r="G221" s="2">
        <v>3.0123432229999998</v>
      </c>
      <c r="H221" s="2">
        <v>2.1323499999999999E-4</v>
      </c>
      <c r="I221" s="2" t="s">
        <v>42965</v>
      </c>
      <c r="J221" s="2" t="s">
        <v>42966</v>
      </c>
      <c r="K221" s="2">
        <v>1.3566784E-2</v>
      </c>
      <c r="L221" s="2" t="s">
        <v>848</v>
      </c>
      <c r="M221" s="4" t="s">
        <v>9607</v>
      </c>
    </row>
    <row r="222" spans="1:13">
      <c r="A222" s="2">
        <v>4587</v>
      </c>
      <c r="B222" s="2" t="s">
        <v>42967</v>
      </c>
      <c r="C222" s="2">
        <v>4</v>
      </c>
      <c r="D222" s="2">
        <v>87</v>
      </c>
      <c r="E222" s="2">
        <v>106</v>
      </c>
      <c r="F222" s="2">
        <v>32441</v>
      </c>
      <c r="G222" s="2">
        <v>14.071134239999999</v>
      </c>
      <c r="H222" s="2">
        <v>2.2202699999999999E-4</v>
      </c>
      <c r="I222" s="2" t="s">
        <v>42912</v>
      </c>
      <c r="J222" s="2" t="s">
        <v>42913</v>
      </c>
      <c r="K222" s="2">
        <v>1.3975863E-2</v>
      </c>
      <c r="L222" s="2" t="s">
        <v>848</v>
      </c>
      <c r="M222" s="4" t="s">
        <v>42968</v>
      </c>
    </row>
    <row r="223" spans="1:13">
      <c r="A223" s="2">
        <v>368</v>
      </c>
      <c r="B223" s="2" t="s">
        <v>42969</v>
      </c>
      <c r="C223" s="2">
        <v>3</v>
      </c>
      <c r="D223" s="2">
        <v>87</v>
      </c>
      <c r="E223" s="2">
        <v>42</v>
      </c>
      <c r="F223" s="2">
        <v>32441</v>
      </c>
      <c r="G223" s="2">
        <v>26.634646960000001</v>
      </c>
      <c r="H223" s="2">
        <v>2.4176800000000001E-4</v>
      </c>
      <c r="I223" s="2" t="s">
        <v>42970</v>
      </c>
      <c r="J223" s="2" t="s">
        <v>42971</v>
      </c>
      <c r="K223" s="2">
        <v>1.5058314E-2</v>
      </c>
      <c r="L223" s="2" t="s">
        <v>848</v>
      </c>
      <c r="M223" s="4" t="s">
        <v>42972</v>
      </c>
    </row>
    <row r="224" spans="1:13">
      <c r="A224" s="2">
        <v>5481</v>
      </c>
      <c r="B224" s="2" t="s">
        <v>42973</v>
      </c>
      <c r="C224" s="2">
        <v>4</v>
      </c>
      <c r="D224" s="2">
        <v>87</v>
      </c>
      <c r="E224" s="2">
        <v>111</v>
      </c>
      <c r="F224" s="2">
        <v>32441</v>
      </c>
      <c r="G224" s="2">
        <v>13.43729937</v>
      </c>
      <c r="H224" s="2">
        <v>2.6319000000000001E-4</v>
      </c>
      <c r="I224" s="2" t="s">
        <v>42974</v>
      </c>
      <c r="J224" s="2" t="s">
        <v>42975</v>
      </c>
      <c r="K224" s="2">
        <v>1.6221828000000001E-2</v>
      </c>
      <c r="L224" s="2" t="s">
        <v>848</v>
      </c>
      <c r="M224" s="4" t="s">
        <v>42976</v>
      </c>
    </row>
    <row r="225" spans="1:13">
      <c r="A225" s="2">
        <v>3186</v>
      </c>
      <c r="B225" s="2" t="s">
        <v>8376</v>
      </c>
      <c r="C225" s="2">
        <v>12</v>
      </c>
      <c r="D225" s="2">
        <v>87</v>
      </c>
      <c r="E225" s="2">
        <v>1360</v>
      </c>
      <c r="F225" s="2">
        <v>32441</v>
      </c>
      <c r="G225" s="2">
        <v>3.2901622719999999</v>
      </c>
      <c r="H225" s="2">
        <v>2.87924E-4</v>
      </c>
      <c r="I225" s="2" t="s">
        <v>42977</v>
      </c>
      <c r="J225" s="2" t="s">
        <v>42978</v>
      </c>
      <c r="K225" s="2">
        <v>1.7563365000000001E-2</v>
      </c>
      <c r="L225" s="2" t="s">
        <v>848</v>
      </c>
      <c r="M225" s="4" t="s">
        <v>8379</v>
      </c>
    </row>
    <row r="226" spans="1:13">
      <c r="A226" s="2">
        <v>3853</v>
      </c>
      <c r="B226" s="2" t="s">
        <v>7975</v>
      </c>
      <c r="C226" s="2">
        <v>5</v>
      </c>
      <c r="D226" s="2">
        <v>87</v>
      </c>
      <c r="E226" s="2">
        <v>211</v>
      </c>
      <c r="F226" s="2">
        <v>32441</v>
      </c>
      <c r="G226" s="2">
        <v>8.8361388030000008</v>
      </c>
      <c r="H226" s="2">
        <v>2.9273599999999998E-4</v>
      </c>
      <c r="I226" s="2" t="s">
        <v>42979</v>
      </c>
      <c r="J226" s="2" t="s">
        <v>42980</v>
      </c>
      <c r="K226" s="2">
        <v>1.7674655000000001E-2</v>
      </c>
      <c r="L226" s="2" t="s">
        <v>848</v>
      </c>
      <c r="M226" s="4" t="s">
        <v>7978</v>
      </c>
    </row>
    <row r="227" spans="1:13">
      <c r="A227" s="2">
        <v>348</v>
      </c>
      <c r="B227" s="2" t="s">
        <v>8222</v>
      </c>
      <c r="C227" s="2">
        <v>3</v>
      </c>
      <c r="D227" s="2">
        <v>87</v>
      </c>
      <c r="E227" s="2">
        <v>46</v>
      </c>
      <c r="F227" s="2">
        <v>32441</v>
      </c>
      <c r="G227" s="2">
        <v>24.318590700000001</v>
      </c>
      <c r="H227" s="2">
        <v>3.1149200000000002E-4</v>
      </c>
      <c r="I227" s="2" t="s">
        <v>42981</v>
      </c>
      <c r="J227" s="2" t="s">
        <v>42982</v>
      </c>
      <c r="K227" s="2">
        <v>1.8617174E-2</v>
      </c>
      <c r="L227" s="2" t="s">
        <v>848</v>
      </c>
      <c r="M227" s="4" t="s">
        <v>8225</v>
      </c>
    </row>
    <row r="228" spans="1:13">
      <c r="A228" s="2">
        <v>3040</v>
      </c>
      <c r="B228" s="2" t="s">
        <v>9222</v>
      </c>
      <c r="C228" s="2">
        <v>9</v>
      </c>
      <c r="D228" s="2">
        <v>87</v>
      </c>
      <c r="E228" s="2">
        <v>801</v>
      </c>
      <c r="F228" s="2">
        <v>32441</v>
      </c>
      <c r="G228" s="2">
        <v>4.1897197469999998</v>
      </c>
      <c r="H228" s="2">
        <v>3.1944100000000001E-4</v>
      </c>
      <c r="I228" s="2" t="s">
        <v>42983</v>
      </c>
      <c r="J228" s="2" t="s">
        <v>42984</v>
      </c>
      <c r="K228" s="2">
        <v>1.8901332E-2</v>
      </c>
      <c r="L228" s="2" t="s">
        <v>848</v>
      </c>
      <c r="M228" s="4" t="s">
        <v>9225</v>
      </c>
    </row>
    <row r="229" spans="1:13">
      <c r="A229" s="2">
        <v>377</v>
      </c>
      <c r="B229" s="2" t="s">
        <v>9198</v>
      </c>
      <c r="C229" s="2">
        <v>7</v>
      </c>
      <c r="D229" s="2">
        <v>87</v>
      </c>
      <c r="E229" s="2">
        <v>486</v>
      </c>
      <c r="F229" s="2">
        <v>32441</v>
      </c>
      <c r="G229" s="2">
        <v>5.370772433</v>
      </c>
      <c r="H229" s="2">
        <v>3.6204199999999997E-4</v>
      </c>
      <c r="I229" s="2" t="s">
        <v>42985</v>
      </c>
      <c r="J229" s="2" t="s">
        <v>42986</v>
      </c>
      <c r="K229" s="2">
        <v>2.0401902999999999E-2</v>
      </c>
      <c r="L229" s="2" t="s">
        <v>848</v>
      </c>
      <c r="M229" s="4" t="s">
        <v>9201</v>
      </c>
    </row>
    <row r="230" spans="1:13">
      <c r="A230" s="2">
        <v>1169</v>
      </c>
      <c r="B230" s="2" t="s">
        <v>7831</v>
      </c>
      <c r="C230" s="2">
        <v>9</v>
      </c>
      <c r="D230" s="2">
        <v>87</v>
      </c>
      <c r="E230" s="2">
        <v>814</v>
      </c>
      <c r="F230" s="2">
        <v>32441</v>
      </c>
      <c r="G230" s="2">
        <v>4.1228077609999998</v>
      </c>
      <c r="H230" s="2">
        <v>3.5868299999999999E-4</v>
      </c>
      <c r="I230" s="2" t="s">
        <v>42987</v>
      </c>
      <c r="J230" s="2" t="s">
        <v>42988</v>
      </c>
      <c r="K230" s="2">
        <v>2.0401902999999999E-2</v>
      </c>
      <c r="L230" s="2" t="s">
        <v>848</v>
      </c>
      <c r="M230" s="4" t="s">
        <v>7834</v>
      </c>
    </row>
    <row r="231" spans="1:13">
      <c r="A231" s="2">
        <v>1442</v>
      </c>
      <c r="B231" s="2" t="s">
        <v>7719</v>
      </c>
      <c r="C231" s="2">
        <v>14</v>
      </c>
      <c r="D231" s="2">
        <v>87</v>
      </c>
      <c r="E231" s="2">
        <v>1821</v>
      </c>
      <c r="F231" s="2">
        <v>32441</v>
      </c>
      <c r="G231" s="2">
        <v>2.8667714470000001</v>
      </c>
      <c r="H231" s="2">
        <v>3.5171999999999997E-4</v>
      </c>
      <c r="I231" s="2" t="s">
        <v>42989</v>
      </c>
      <c r="J231" s="2" t="s">
        <v>42990</v>
      </c>
      <c r="K231" s="2">
        <v>2.0401902999999999E-2</v>
      </c>
      <c r="L231" s="2" t="s">
        <v>848</v>
      </c>
      <c r="M231" s="4" t="s">
        <v>7722</v>
      </c>
    </row>
    <row r="232" spans="1:13">
      <c r="A232" s="2">
        <v>1998</v>
      </c>
      <c r="B232" s="2" t="s">
        <v>7767</v>
      </c>
      <c r="C232" s="2">
        <v>12</v>
      </c>
      <c r="D232" s="2">
        <v>87</v>
      </c>
      <c r="E232" s="2">
        <v>1395</v>
      </c>
      <c r="F232" s="2">
        <v>32441</v>
      </c>
      <c r="G232" s="2">
        <v>3.2076133979999999</v>
      </c>
      <c r="H232" s="2">
        <v>3.6151500000000002E-4</v>
      </c>
      <c r="I232" s="2" t="s">
        <v>42991</v>
      </c>
      <c r="J232" s="2" t="s">
        <v>42992</v>
      </c>
      <c r="K232" s="2">
        <v>2.0401902999999999E-2</v>
      </c>
      <c r="L232" s="2" t="s">
        <v>848</v>
      </c>
      <c r="M232" s="4" t="s">
        <v>7770</v>
      </c>
    </row>
    <row r="233" spans="1:13">
      <c r="A233" s="2">
        <v>4414</v>
      </c>
      <c r="B233" s="2" t="s">
        <v>8123</v>
      </c>
      <c r="C233" s="2">
        <v>8</v>
      </c>
      <c r="D233" s="2">
        <v>87</v>
      </c>
      <c r="E233" s="2">
        <v>643</v>
      </c>
      <c r="F233" s="2">
        <v>32441</v>
      </c>
      <c r="G233" s="2">
        <v>4.6393164230000004</v>
      </c>
      <c r="H233" s="2">
        <v>3.5944900000000002E-4</v>
      </c>
      <c r="I233" s="2" t="s">
        <v>42993</v>
      </c>
      <c r="J233" s="2" t="s">
        <v>42994</v>
      </c>
      <c r="K233" s="2">
        <v>2.0401902999999999E-2</v>
      </c>
      <c r="L233" s="2" t="s">
        <v>848</v>
      </c>
      <c r="M233" s="4" t="s">
        <v>8126</v>
      </c>
    </row>
    <row r="234" spans="1:13">
      <c r="A234" s="2">
        <v>2221</v>
      </c>
      <c r="B234" s="2" t="s">
        <v>7563</v>
      </c>
      <c r="C234" s="2">
        <v>12</v>
      </c>
      <c r="D234" s="2">
        <v>87</v>
      </c>
      <c r="E234" s="2">
        <v>1403</v>
      </c>
      <c r="F234" s="2">
        <v>32441</v>
      </c>
      <c r="G234" s="2">
        <v>3.189323371</v>
      </c>
      <c r="H234" s="2">
        <v>3.8041399999999998E-4</v>
      </c>
      <c r="I234" s="2" t="s">
        <v>42995</v>
      </c>
      <c r="J234" s="2" t="s">
        <v>42996</v>
      </c>
      <c r="K234" s="2">
        <v>2.0654374999999999E-2</v>
      </c>
      <c r="L234" s="2" t="s">
        <v>848</v>
      </c>
      <c r="M234" s="4" t="s">
        <v>7566</v>
      </c>
    </row>
    <row r="235" spans="1:13">
      <c r="A235" s="2">
        <v>2499</v>
      </c>
      <c r="B235" s="2" t="s">
        <v>29717</v>
      </c>
      <c r="C235" s="2">
        <v>12</v>
      </c>
      <c r="D235" s="2">
        <v>87</v>
      </c>
      <c r="E235" s="2">
        <v>1402</v>
      </c>
      <c r="F235" s="2">
        <v>32441</v>
      </c>
      <c r="G235" s="2">
        <v>3.1915982089999999</v>
      </c>
      <c r="H235" s="2">
        <v>3.7800699999999997E-4</v>
      </c>
      <c r="I235" s="2" t="s">
        <v>42997</v>
      </c>
      <c r="J235" s="2" t="s">
        <v>42998</v>
      </c>
      <c r="K235" s="2">
        <v>2.0654374999999999E-2</v>
      </c>
      <c r="L235" s="2" t="s">
        <v>848</v>
      </c>
      <c r="M235" s="4" t="s">
        <v>29720</v>
      </c>
    </row>
    <row r="236" spans="1:13">
      <c r="A236" s="2">
        <v>3497</v>
      </c>
      <c r="B236" s="2" t="s">
        <v>8131</v>
      </c>
      <c r="C236" s="2">
        <v>5</v>
      </c>
      <c r="D236" s="2">
        <v>87</v>
      </c>
      <c r="E236" s="2">
        <v>223</v>
      </c>
      <c r="F236" s="2">
        <v>32441</v>
      </c>
      <c r="G236" s="2">
        <v>8.3606515130000005</v>
      </c>
      <c r="H236" s="2">
        <v>3.7504299999999998E-4</v>
      </c>
      <c r="I236" s="2" t="s">
        <v>42999</v>
      </c>
      <c r="J236" s="2" t="s">
        <v>43000</v>
      </c>
      <c r="K236" s="2">
        <v>2.0654374999999999E-2</v>
      </c>
      <c r="L236" s="2" t="s">
        <v>848</v>
      </c>
      <c r="M236" s="4" t="s">
        <v>8134</v>
      </c>
    </row>
    <row r="237" spans="1:13">
      <c r="A237" s="2">
        <v>4091</v>
      </c>
      <c r="B237" s="2" t="s">
        <v>11452</v>
      </c>
      <c r="C237" s="2">
        <v>5</v>
      </c>
      <c r="D237" s="2">
        <v>87</v>
      </c>
      <c r="E237" s="2">
        <v>224</v>
      </c>
      <c r="F237" s="2">
        <v>32441</v>
      </c>
      <c r="G237" s="2">
        <v>8.3233271759999994</v>
      </c>
      <c r="H237" s="2">
        <v>3.8261600000000001E-4</v>
      </c>
      <c r="I237" s="2" t="s">
        <v>42820</v>
      </c>
      <c r="J237" s="2" t="s">
        <v>42821</v>
      </c>
      <c r="K237" s="2">
        <v>2.0654374999999999E-2</v>
      </c>
      <c r="L237" s="2" t="s">
        <v>848</v>
      </c>
      <c r="M237" s="4" t="s">
        <v>11455</v>
      </c>
    </row>
    <row r="238" spans="1:13">
      <c r="A238" s="2">
        <v>5896</v>
      </c>
      <c r="B238" s="2" t="s">
        <v>43001</v>
      </c>
      <c r="C238" s="2">
        <v>4</v>
      </c>
      <c r="D238" s="2">
        <v>87</v>
      </c>
      <c r="E238" s="2">
        <v>123</v>
      </c>
      <c r="F238" s="2">
        <v>32441</v>
      </c>
      <c r="G238" s="2">
        <v>12.126343329999999</v>
      </c>
      <c r="H238" s="2">
        <v>3.83975E-4</v>
      </c>
      <c r="I238" s="2" t="s">
        <v>43002</v>
      </c>
      <c r="J238" s="2" t="s">
        <v>43003</v>
      </c>
      <c r="K238" s="2">
        <v>2.0654374999999999E-2</v>
      </c>
      <c r="L238" s="2" t="s">
        <v>848</v>
      </c>
      <c r="M238" s="4" t="s">
        <v>43004</v>
      </c>
    </row>
    <row r="239" spans="1:13">
      <c r="A239" s="2">
        <v>3763</v>
      </c>
      <c r="B239" s="2" t="s">
        <v>43005</v>
      </c>
      <c r="C239" s="2">
        <v>7</v>
      </c>
      <c r="D239" s="2">
        <v>87</v>
      </c>
      <c r="E239" s="2">
        <v>495</v>
      </c>
      <c r="F239" s="2">
        <v>32441</v>
      </c>
      <c r="G239" s="2">
        <v>5.2731220250000002</v>
      </c>
      <c r="H239" s="2">
        <v>4.0338E-4</v>
      </c>
      <c r="I239" s="2" t="s">
        <v>43006</v>
      </c>
      <c r="J239" s="2" t="s">
        <v>43007</v>
      </c>
      <c r="K239" s="2">
        <v>2.1502719999999999E-2</v>
      </c>
      <c r="L239" s="2" t="s">
        <v>848</v>
      </c>
      <c r="M239" s="4" t="s">
        <v>43008</v>
      </c>
    </row>
    <row r="240" spans="1:13">
      <c r="A240" s="2">
        <v>1808</v>
      </c>
      <c r="B240" s="2" t="s">
        <v>7775</v>
      </c>
      <c r="C240" s="2">
        <v>14</v>
      </c>
      <c r="D240" s="2">
        <v>87</v>
      </c>
      <c r="E240" s="2">
        <v>1848</v>
      </c>
      <c r="F240" s="2">
        <v>32441</v>
      </c>
      <c r="G240" s="2">
        <v>2.8248867990000002</v>
      </c>
      <c r="H240" s="2">
        <v>4.0735499999999998E-4</v>
      </c>
      <c r="I240" s="2" t="s">
        <v>43009</v>
      </c>
      <c r="J240" s="2" t="s">
        <v>43010</v>
      </c>
      <c r="K240" s="2">
        <v>2.1520733E-2</v>
      </c>
      <c r="L240" s="2" t="s">
        <v>848</v>
      </c>
      <c r="M240" s="4" t="s">
        <v>7778</v>
      </c>
    </row>
    <row r="241" spans="1:13">
      <c r="A241" s="2">
        <v>2521</v>
      </c>
      <c r="B241" s="2" t="s">
        <v>43011</v>
      </c>
      <c r="C241" s="2">
        <v>3</v>
      </c>
      <c r="D241" s="2">
        <v>87</v>
      </c>
      <c r="E241" s="2">
        <v>51</v>
      </c>
      <c r="F241" s="2">
        <v>32441</v>
      </c>
      <c r="G241" s="2">
        <v>21.93441515</v>
      </c>
      <c r="H241" s="2">
        <v>4.1533299999999999E-4</v>
      </c>
      <c r="I241" s="2" t="s">
        <v>43012</v>
      </c>
      <c r="J241" s="2" t="s">
        <v>43013</v>
      </c>
      <c r="K241" s="2">
        <v>2.1628232000000001E-2</v>
      </c>
      <c r="L241" s="2" t="s">
        <v>848</v>
      </c>
      <c r="M241" s="4" t="s">
        <v>43014</v>
      </c>
    </row>
    <row r="242" spans="1:13">
      <c r="A242" s="2">
        <v>4950</v>
      </c>
      <c r="B242" s="2" t="s">
        <v>11464</v>
      </c>
      <c r="C242" s="2">
        <v>13</v>
      </c>
      <c r="D242" s="2">
        <v>87</v>
      </c>
      <c r="E242" s="2">
        <v>1631</v>
      </c>
      <c r="F242" s="2">
        <v>32441</v>
      </c>
      <c r="G242" s="2">
        <v>2.9721065279999999</v>
      </c>
      <c r="H242" s="2">
        <v>4.1670100000000001E-4</v>
      </c>
      <c r="I242" s="2" t="s">
        <v>43015</v>
      </c>
      <c r="J242" s="2" t="s">
        <v>43016</v>
      </c>
      <c r="K242" s="2">
        <v>2.1628232000000001E-2</v>
      </c>
      <c r="L242" s="2" t="s">
        <v>848</v>
      </c>
      <c r="M242" s="4" t="s">
        <v>11467</v>
      </c>
    </row>
    <row r="243" spans="1:13">
      <c r="A243" s="2">
        <v>3967</v>
      </c>
      <c r="B243" s="2" t="s">
        <v>10819</v>
      </c>
      <c r="C243" s="2">
        <v>9</v>
      </c>
      <c r="D243" s="2">
        <v>87</v>
      </c>
      <c r="E243" s="2">
        <v>836</v>
      </c>
      <c r="F243" s="2">
        <v>32441</v>
      </c>
      <c r="G243" s="2">
        <v>4.0143128199999998</v>
      </c>
      <c r="H243" s="2">
        <v>4.3415100000000002E-4</v>
      </c>
      <c r="I243" s="2" t="s">
        <v>43017</v>
      </c>
      <c r="J243" s="2" t="s">
        <v>43018</v>
      </c>
      <c r="K243" s="2">
        <v>2.2338034999999999E-2</v>
      </c>
      <c r="L243" s="2" t="s">
        <v>848</v>
      </c>
      <c r="M243" s="4" t="s">
        <v>10822</v>
      </c>
    </row>
    <row r="244" spans="1:13">
      <c r="A244" s="2">
        <v>3790</v>
      </c>
      <c r="B244" s="2" t="s">
        <v>30073</v>
      </c>
      <c r="C244" s="2">
        <v>12</v>
      </c>
      <c r="D244" s="2">
        <v>87</v>
      </c>
      <c r="E244" s="2">
        <v>1426</v>
      </c>
      <c r="F244" s="2">
        <v>32441</v>
      </c>
      <c r="G244" s="2">
        <v>3.1378826719999999</v>
      </c>
      <c r="H244" s="2">
        <v>4.3949100000000002E-4</v>
      </c>
      <c r="I244" s="2" t="s">
        <v>43019</v>
      </c>
      <c r="J244" s="2" t="s">
        <v>43020</v>
      </c>
      <c r="K244" s="2">
        <v>2.2417851999999999E-2</v>
      </c>
      <c r="L244" s="2" t="s">
        <v>848</v>
      </c>
      <c r="M244" s="4" t="s">
        <v>30076</v>
      </c>
    </row>
    <row r="245" spans="1:13">
      <c r="A245" s="2">
        <v>262</v>
      </c>
      <c r="B245" s="2" t="s">
        <v>43021</v>
      </c>
      <c r="C245" s="2">
        <v>3</v>
      </c>
      <c r="D245" s="2">
        <v>87</v>
      </c>
      <c r="E245" s="2">
        <v>53</v>
      </c>
      <c r="F245" s="2">
        <v>32441</v>
      </c>
      <c r="G245" s="2">
        <v>21.10670137</v>
      </c>
      <c r="H245" s="2">
        <v>4.6237399999999999E-4</v>
      </c>
      <c r="I245" s="2" t="s">
        <v>43022</v>
      </c>
      <c r="J245" s="2" t="s">
        <v>43023</v>
      </c>
      <c r="K245" s="2">
        <v>2.2921513000000001E-2</v>
      </c>
      <c r="L245" s="2" t="s">
        <v>848</v>
      </c>
      <c r="M245" s="4" t="s">
        <v>43024</v>
      </c>
    </row>
    <row r="246" spans="1:13">
      <c r="A246" s="2">
        <v>1022</v>
      </c>
      <c r="B246" s="2" t="s">
        <v>9504</v>
      </c>
      <c r="C246" s="2">
        <v>3</v>
      </c>
      <c r="D246" s="2">
        <v>87</v>
      </c>
      <c r="E246" s="2">
        <v>53</v>
      </c>
      <c r="F246" s="2">
        <v>32441</v>
      </c>
      <c r="G246" s="2">
        <v>21.10670137</v>
      </c>
      <c r="H246" s="2">
        <v>4.6237399999999999E-4</v>
      </c>
      <c r="I246" s="2" t="s">
        <v>43025</v>
      </c>
      <c r="J246" s="2" t="s">
        <v>43026</v>
      </c>
      <c r="K246" s="2">
        <v>2.2921513000000001E-2</v>
      </c>
      <c r="L246" s="2" t="s">
        <v>848</v>
      </c>
      <c r="M246" s="4" t="s">
        <v>9507</v>
      </c>
    </row>
    <row r="247" spans="1:13">
      <c r="A247" s="2">
        <v>1769</v>
      </c>
      <c r="B247" s="2" t="s">
        <v>43027</v>
      </c>
      <c r="C247" s="2">
        <v>3</v>
      </c>
      <c r="D247" s="2">
        <v>87</v>
      </c>
      <c r="E247" s="2">
        <v>53</v>
      </c>
      <c r="F247" s="2">
        <v>32441</v>
      </c>
      <c r="G247" s="2">
        <v>21.10670137</v>
      </c>
      <c r="H247" s="2">
        <v>4.6237399999999999E-4</v>
      </c>
      <c r="I247" s="2" t="s">
        <v>42956</v>
      </c>
      <c r="J247" s="2" t="s">
        <v>42957</v>
      </c>
      <c r="K247" s="2">
        <v>2.2921513000000001E-2</v>
      </c>
      <c r="L247" s="2" t="s">
        <v>848</v>
      </c>
      <c r="M247" s="4" t="s">
        <v>43028</v>
      </c>
    </row>
    <row r="248" spans="1:13">
      <c r="A248" s="2">
        <v>4897</v>
      </c>
      <c r="B248" s="2" t="s">
        <v>9918</v>
      </c>
      <c r="C248" s="2">
        <v>5</v>
      </c>
      <c r="D248" s="2">
        <v>87</v>
      </c>
      <c r="E248" s="2">
        <v>234</v>
      </c>
      <c r="F248" s="2">
        <v>32441</v>
      </c>
      <c r="G248" s="2">
        <v>7.9676294329999999</v>
      </c>
      <c r="H248" s="2">
        <v>4.6486100000000001E-4</v>
      </c>
      <c r="I248" s="2" t="s">
        <v>43029</v>
      </c>
      <c r="J248" s="2" t="s">
        <v>43030</v>
      </c>
      <c r="K248" s="2">
        <v>2.2921513000000001E-2</v>
      </c>
      <c r="L248" s="2" t="s">
        <v>848</v>
      </c>
      <c r="M248" s="4" t="s">
        <v>9921</v>
      </c>
    </row>
    <row r="249" spans="1:13">
      <c r="A249" s="2">
        <v>1858</v>
      </c>
      <c r="B249" s="2" t="s">
        <v>8063</v>
      </c>
      <c r="C249" s="2">
        <v>10</v>
      </c>
      <c r="D249" s="2">
        <v>87</v>
      </c>
      <c r="E249" s="2">
        <v>1036</v>
      </c>
      <c r="F249" s="2">
        <v>32441</v>
      </c>
      <c r="G249" s="2">
        <v>3.5992766170000001</v>
      </c>
      <c r="H249" s="2">
        <v>4.8234699999999999E-4</v>
      </c>
      <c r="I249" s="2" t="s">
        <v>43031</v>
      </c>
      <c r="J249" s="2" t="s">
        <v>43032</v>
      </c>
      <c r="K249" s="2">
        <v>2.3461676000000001E-2</v>
      </c>
      <c r="L249" s="2" t="s">
        <v>848</v>
      </c>
      <c r="M249" s="4" t="s">
        <v>8066</v>
      </c>
    </row>
    <row r="250" spans="1:13">
      <c r="A250" s="2">
        <v>3709</v>
      </c>
      <c r="B250" s="2" t="s">
        <v>43033</v>
      </c>
      <c r="C250" s="2">
        <v>4</v>
      </c>
      <c r="D250" s="2">
        <v>87</v>
      </c>
      <c r="E250" s="2">
        <v>131</v>
      </c>
      <c r="F250" s="2">
        <v>32441</v>
      </c>
      <c r="G250" s="2">
        <v>11.385803279999999</v>
      </c>
      <c r="H250" s="2">
        <v>4.8374600000000001E-4</v>
      </c>
      <c r="I250" s="2" t="s">
        <v>43034</v>
      </c>
      <c r="J250" s="2" t="s">
        <v>43035</v>
      </c>
      <c r="K250" s="2">
        <v>2.3461676000000001E-2</v>
      </c>
      <c r="L250" s="2" t="s">
        <v>848</v>
      </c>
      <c r="M250" s="4" t="s">
        <v>43036</v>
      </c>
    </row>
    <row r="251" spans="1:13">
      <c r="A251" s="2">
        <v>2426</v>
      </c>
      <c r="B251" s="2" t="s">
        <v>43037</v>
      </c>
      <c r="C251" s="2">
        <v>7</v>
      </c>
      <c r="D251" s="2">
        <v>87</v>
      </c>
      <c r="E251" s="2">
        <v>513</v>
      </c>
      <c r="F251" s="2">
        <v>32441</v>
      </c>
      <c r="G251" s="2">
        <v>5.0881001990000003</v>
      </c>
      <c r="H251" s="2">
        <v>4.9739200000000004E-4</v>
      </c>
      <c r="I251" s="2" t="s">
        <v>43038</v>
      </c>
      <c r="J251" s="2" t="s">
        <v>43039</v>
      </c>
      <c r="K251" s="2">
        <v>2.3927374000000001E-2</v>
      </c>
      <c r="L251" s="2" t="s">
        <v>848</v>
      </c>
      <c r="M251" s="4" t="s">
        <v>43040</v>
      </c>
    </row>
    <row r="252" spans="1:13">
      <c r="A252" s="2">
        <v>625</v>
      </c>
      <c r="B252" s="2" t="s">
        <v>9035</v>
      </c>
      <c r="C252" s="2">
        <v>4</v>
      </c>
      <c r="D252" s="2">
        <v>87</v>
      </c>
      <c r="E252" s="2">
        <v>133</v>
      </c>
      <c r="F252" s="2">
        <v>32441</v>
      </c>
      <c r="G252" s="2">
        <v>11.214588190000001</v>
      </c>
      <c r="H252" s="2">
        <v>5.1131799999999997E-4</v>
      </c>
      <c r="I252" s="2" t="s">
        <v>43041</v>
      </c>
      <c r="J252" s="2" t="s">
        <v>43042</v>
      </c>
      <c r="K252" s="2">
        <v>2.3977034000000001E-2</v>
      </c>
      <c r="L252" s="2" t="s">
        <v>848</v>
      </c>
      <c r="M252" s="4" t="s">
        <v>9038</v>
      </c>
    </row>
    <row r="253" spans="1:13">
      <c r="A253" s="2">
        <v>1781</v>
      </c>
      <c r="B253" s="2" t="s">
        <v>43043</v>
      </c>
      <c r="C253" s="2">
        <v>3</v>
      </c>
      <c r="D253" s="2">
        <v>87</v>
      </c>
      <c r="E253" s="2">
        <v>55</v>
      </c>
      <c r="F253" s="2">
        <v>32441</v>
      </c>
      <c r="G253" s="2">
        <v>20.33918495</v>
      </c>
      <c r="H253" s="2">
        <v>5.1270199999999997E-4</v>
      </c>
      <c r="I253" s="2" t="s">
        <v>43044</v>
      </c>
      <c r="J253" s="2" t="s">
        <v>43045</v>
      </c>
      <c r="K253" s="2">
        <v>2.3977034000000001E-2</v>
      </c>
      <c r="L253" s="2" t="s">
        <v>848</v>
      </c>
      <c r="M253" s="4" t="s">
        <v>43046</v>
      </c>
    </row>
    <row r="254" spans="1:13">
      <c r="A254" s="2">
        <v>4115</v>
      </c>
      <c r="B254" s="2" t="s">
        <v>30771</v>
      </c>
      <c r="C254" s="2">
        <v>7</v>
      </c>
      <c r="D254" s="2">
        <v>87</v>
      </c>
      <c r="E254" s="2">
        <v>516</v>
      </c>
      <c r="F254" s="2">
        <v>32441</v>
      </c>
      <c r="G254" s="2">
        <v>5.058518222</v>
      </c>
      <c r="H254" s="2">
        <v>5.1463300000000002E-4</v>
      </c>
      <c r="I254" s="2" t="s">
        <v>43047</v>
      </c>
      <c r="J254" s="2" t="s">
        <v>43048</v>
      </c>
      <c r="K254" s="2">
        <v>2.3977034000000001E-2</v>
      </c>
      <c r="L254" s="2" t="s">
        <v>848</v>
      </c>
      <c r="M254" s="4" t="s">
        <v>30774</v>
      </c>
    </row>
    <row r="255" spans="1:13">
      <c r="A255" s="2">
        <v>4670</v>
      </c>
      <c r="B255" s="2" t="s">
        <v>43049</v>
      </c>
      <c r="C255" s="2">
        <v>3</v>
      </c>
      <c r="D255" s="2">
        <v>87</v>
      </c>
      <c r="E255" s="2">
        <v>55</v>
      </c>
      <c r="F255" s="2">
        <v>32441</v>
      </c>
      <c r="G255" s="2">
        <v>20.33918495</v>
      </c>
      <c r="H255" s="2">
        <v>5.1270199999999997E-4</v>
      </c>
      <c r="I255" s="2" t="s">
        <v>43050</v>
      </c>
      <c r="J255" s="2" t="s">
        <v>43051</v>
      </c>
      <c r="K255" s="2">
        <v>2.3977034000000001E-2</v>
      </c>
      <c r="L255" s="2" t="s">
        <v>848</v>
      </c>
      <c r="M255" s="4" t="s">
        <v>43052</v>
      </c>
    </row>
    <row r="256" spans="1:13">
      <c r="A256" s="2">
        <v>950</v>
      </c>
      <c r="B256" s="2" t="s">
        <v>43053</v>
      </c>
      <c r="C256" s="2">
        <v>2</v>
      </c>
      <c r="D256" s="2">
        <v>87</v>
      </c>
      <c r="E256" s="2">
        <v>11</v>
      </c>
      <c r="F256" s="2">
        <v>32441</v>
      </c>
      <c r="G256" s="2">
        <v>67.797283179999994</v>
      </c>
      <c r="H256" s="2">
        <v>5.4111399999999998E-4</v>
      </c>
      <c r="I256" s="2" t="s">
        <v>43054</v>
      </c>
      <c r="J256" s="2" t="s">
        <v>43055</v>
      </c>
      <c r="K256" s="2">
        <v>2.4629021000000001E-2</v>
      </c>
      <c r="L256" s="2" t="s">
        <v>848</v>
      </c>
      <c r="M256" s="4" t="s">
        <v>43056</v>
      </c>
    </row>
    <row r="257" spans="1:13">
      <c r="A257" s="2">
        <v>1780</v>
      </c>
      <c r="B257" s="2" t="s">
        <v>43057</v>
      </c>
      <c r="C257" s="2">
        <v>2</v>
      </c>
      <c r="D257" s="2">
        <v>87</v>
      </c>
      <c r="E257" s="2">
        <v>11</v>
      </c>
      <c r="F257" s="2">
        <v>32441</v>
      </c>
      <c r="G257" s="2">
        <v>67.797283179999994</v>
      </c>
      <c r="H257" s="2">
        <v>5.4111399999999998E-4</v>
      </c>
      <c r="I257" s="2" t="s">
        <v>43058</v>
      </c>
      <c r="J257" s="2" t="s">
        <v>43059</v>
      </c>
      <c r="K257" s="2">
        <v>2.4629021000000001E-2</v>
      </c>
      <c r="L257" s="2" t="s">
        <v>848</v>
      </c>
      <c r="M257" s="4" t="s">
        <v>43060</v>
      </c>
    </row>
    <row r="258" spans="1:13">
      <c r="A258" s="2">
        <v>4051</v>
      </c>
      <c r="B258" s="2" t="s">
        <v>43061</v>
      </c>
      <c r="C258" s="2">
        <v>5</v>
      </c>
      <c r="D258" s="2">
        <v>87</v>
      </c>
      <c r="E258" s="2">
        <v>242</v>
      </c>
      <c r="F258" s="2">
        <v>32441</v>
      </c>
      <c r="G258" s="2">
        <v>7.7042367250000003</v>
      </c>
      <c r="H258" s="2">
        <v>5.3972500000000001E-4</v>
      </c>
      <c r="I258" s="2" t="s">
        <v>43062</v>
      </c>
      <c r="J258" s="2" t="s">
        <v>43063</v>
      </c>
      <c r="K258" s="2">
        <v>2.4629021000000001E-2</v>
      </c>
      <c r="L258" s="2" t="s">
        <v>848</v>
      </c>
      <c r="M258" s="4" t="s">
        <v>43064</v>
      </c>
    </row>
    <row r="259" spans="1:13">
      <c r="A259" s="2">
        <v>1655</v>
      </c>
      <c r="B259" s="2" t="s">
        <v>9635</v>
      </c>
      <c r="C259" s="2">
        <v>8</v>
      </c>
      <c r="D259" s="2">
        <v>87</v>
      </c>
      <c r="E259" s="2">
        <v>689</v>
      </c>
      <c r="F259" s="2">
        <v>32441</v>
      </c>
      <c r="G259" s="2">
        <v>4.3295797670000002</v>
      </c>
      <c r="H259" s="2">
        <v>5.6366200000000004E-4</v>
      </c>
      <c r="I259" s="2" t="s">
        <v>43065</v>
      </c>
      <c r="J259" s="2" t="s">
        <v>43066</v>
      </c>
      <c r="K259" s="2">
        <v>2.5439888000000001E-2</v>
      </c>
      <c r="L259" s="2" t="s">
        <v>848</v>
      </c>
      <c r="M259" s="4" t="s">
        <v>9636</v>
      </c>
    </row>
    <row r="260" spans="1:13">
      <c r="A260" s="2">
        <v>2111</v>
      </c>
      <c r="B260" s="2" t="s">
        <v>7795</v>
      </c>
      <c r="C260" s="2">
        <v>12</v>
      </c>
      <c r="D260" s="2">
        <v>87</v>
      </c>
      <c r="E260" s="2">
        <v>1468</v>
      </c>
      <c r="F260" s="2">
        <v>32441</v>
      </c>
      <c r="G260" s="2">
        <v>3.0481067369999999</v>
      </c>
      <c r="H260" s="2">
        <v>5.6752799999999998E-4</v>
      </c>
      <c r="I260" s="2" t="s">
        <v>43067</v>
      </c>
      <c r="J260" s="2" t="s">
        <v>43068</v>
      </c>
      <c r="K260" s="2">
        <v>2.5439888000000001E-2</v>
      </c>
      <c r="L260" s="2" t="s">
        <v>848</v>
      </c>
      <c r="M260" s="4" t="s">
        <v>7798</v>
      </c>
    </row>
    <row r="261" spans="1:13">
      <c r="A261" s="2">
        <v>4881</v>
      </c>
      <c r="B261" s="2" t="s">
        <v>7983</v>
      </c>
      <c r="C261" s="2">
        <v>7</v>
      </c>
      <c r="D261" s="2">
        <v>87</v>
      </c>
      <c r="E261" s="2">
        <v>526</v>
      </c>
      <c r="F261" s="2">
        <v>32441</v>
      </c>
      <c r="G261" s="2">
        <v>4.9623486740000002</v>
      </c>
      <c r="H261" s="2">
        <v>5.7557799999999998E-4</v>
      </c>
      <c r="I261" s="2" t="s">
        <v>43069</v>
      </c>
      <c r="J261" s="2" t="s">
        <v>43070</v>
      </c>
      <c r="K261" s="2">
        <v>2.5606740999999999E-2</v>
      </c>
      <c r="L261" s="2" t="s">
        <v>848</v>
      </c>
      <c r="M261" s="4" t="s">
        <v>7986</v>
      </c>
    </row>
    <row r="262" spans="1:13">
      <c r="A262" s="2">
        <v>4048</v>
      </c>
      <c r="B262" s="2" t="s">
        <v>29003</v>
      </c>
      <c r="C262" s="2">
        <v>9</v>
      </c>
      <c r="D262" s="2">
        <v>87</v>
      </c>
      <c r="E262" s="2">
        <v>872</v>
      </c>
      <c r="F262" s="2">
        <v>32441</v>
      </c>
      <c r="G262" s="2">
        <v>3.848584309</v>
      </c>
      <c r="H262" s="2">
        <v>5.8565099999999997E-4</v>
      </c>
      <c r="I262" s="2" t="s">
        <v>43071</v>
      </c>
      <c r="J262" s="2" t="s">
        <v>43072</v>
      </c>
      <c r="K262" s="2">
        <v>2.5860442000000001E-2</v>
      </c>
      <c r="L262" s="2" t="s">
        <v>848</v>
      </c>
      <c r="M262" s="4" t="s">
        <v>29006</v>
      </c>
    </row>
    <row r="263" spans="1:13">
      <c r="A263" s="2">
        <v>3400</v>
      </c>
      <c r="B263" s="2" t="s">
        <v>30089</v>
      </c>
      <c r="C263" s="2">
        <v>9</v>
      </c>
      <c r="D263" s="2">
        <v>87</v>
      </c>
      <c r="E263" s="2">
        <v>874</v>
      </c>
      <c r="F263" s="2">
        <v>32441</v>
      </c>
      <c r="G263" s="2">
        <v>3.83977748</v>
      </c>
      <c r="H263" s="2">
        <v>5.9520000000000005E-4</v>
      </c>
      <c r="I263" s="2" t="s">
        <v>43073</v>
      </c>
      <c r="J263" s="2" t="s">
        <v>43074</v>
      </c>
      <c r="K263" s="2">
        <v>2.589559E-2</v>
      </c>
      <c r="L263" s="2" t="s">
        <v>848</v>
      </c>
      <c r="M263" s="4" t="s">
        <v>30092</v>
      </c>
    </row>
    <row r="264" spans="1:13">
      <c r="A264" s="2">
        <v>5844</v>
      </c>
      <c r="B264" s="2" t="s">
        <v>7835</v>
      </c>
      <c r="C264" s="2">
        <v>12</v>
      </c>
      <c r="D264" s="2">
        <v>87</v>
      </c>
      <c r="E264" s="2">
        <v>1476</v>
      </c>
      <c r="F264" s="2">
        <v>32441</v>
      </c>
      <c r="G264" s="2">
        <v>3.0315858329999998</v>
      </c>
      <c r="H264" s="2">
        <v>5.9518099999999997E-4</v>
      </c>
      <c r="I264" s="2" t="s">
        <v>43075</v>
      </c>
      <c r="J264" s="2" t="s">
        <v>43076</v>
      </c>
      <c r="K264" s="2">
        <v>2.589559E-2</v>
      </c>
      <c r="L264" s="2" t="s">
        <v>848</v>
      </c>
      <c r="M264" s="4" t="s">
        <v>7838</v>
      </c>
    </row>
    <row r="265" spans="1:13">
      <c r="A265" s="2">
        <v>181</v>
      </c>
      <c r="B265" s="2" t="s">
        <v>43077</v>
      </c>
      <c r="C265" s="2">
        <v>3</v>
      </c>
      <c r="D265" s="2">
        <v>87</v>
      </c>
      <c r="E265" s="2">
        <v>59</v>
      </c>
      <c r="F265" s="2">
        <v>32441</v>
      </c>
      <c r="G265" s="2">
        <v>18.960257160000001</v>
      </c>
      <c r="H265" s="2">
        <v>6.2359000000000004E-4</v>
      </c>
      <c r="I265" s="2" t="s">
        <v>42970</v>
      </c>
      <c r="J265" s="2" t="s">
        <v>42971</v>
      </c>
      <c r="K265" s="2">
        <v>2.6932726000000001E-2</v>
      </c>
      <c r="L265" s="2" t="s">
        <v>848</v>
      </c>
      <c r="M265" s="4" t="s">
        <v>43078</v>
      </c>
    </row>
    <row r="266" spans="1:13">
      <c r="A266" s="2">
        <v>4815</v>
      </c>
      <c r="B266" s="2" t="s">
        <v>10054</v>
      </c>
      <c r="C266" s="2">
        <v>6</v>
      </c>
      <c r="D266" s="2">
        <v>87</v>
      </c>
      <c r="E266" s="2">
        <v>383</v>
      </c>
      <c r="F266" s="2">
        <v>32441</v>
      </c>
      <c r="G266" s="2">
        <v>5.8415413699999998</v>
      </c>
      <c r="H266" s="2">
        <v>6.2912299999999999E-4</v>
      </c>
      <c r="I266" s="2" t="s">
        <v>43079</v>
      </c>
      <c r="J266" s="2" t="s">
        <v>43080</v>
      </c>
      <c r="K266" s="2">
        <v>2.6974772000000001E-2</v>
      </c>
      <c r="L266" s="2" t="s">
        <v>848</v>
      </c>
      <c r="M266" s="4" t="s">
        <v>10057</v>
      </c>
    </row>
    <row r="267" spans="1:13">
      <c r="A267" s="2">
        <v>1546</v>
      </c>
      <c r="B267" s="2" t="s">
        <v>10555</v>
      </c>
      <c r="C267" s="2">
        <v>3</v>
      </c>
      <c r="D267" s="2">
        <v>87</v>
      </c>
      <c r="E267" s="2">
        <v>60</v>
      </c>
      <c r="F267" s="2">
        <v>32441</v>
      </c>
      <c r="G267" s="2">
        <v>18.644252869999999</v>
      </c>
      <c r="H267" s="2">
        <v>6.5350900000000003E-4</v>
      </c>
      <c r="I267" s="2" t="s">
        <v>43081</v>
      </c>
      <c r="J267" s="2" t="s">
        <v>43082</v>
      </c>
      <c r="K267" s="2">
        <v>2.7637005999999999E-2</v>
      </c>
      <c r="L267" s="2" t="s">
        <v>848</v>
      </c>
      <c r="M267" s="4" t="s">
        <v>10558</v>
      </c>
    </row>
    <row r="268" spans="1:13">
      <c r="A268" s="2">
        <v>2172</v>
      </c>
      <c r="B268" s="2" t="s">
        <v>8083</v>
      </c>
      <c r="C268" s="2">
        <v>12</v>
      </c>
      <c r="D268" s="2">
        <v>87</v>
      </c>
      <c r="E268" s="2">
        <v>1492</v>
      </c>
      <c r="F268" s="2">
        <v>32441</v>
      </c>
      <c r="G268" s="2">
        <v>2.9990755290000002</v>
      </c>
      <c r="H268" s="2">
        <v>6.5390900000000004E-4</v>
      </c>
      <c r="I268" s="2" t="s">
        <v>43083</v>
      </c>
      <c r="J268" s="2" t="s">
        <v>43084</v>
      </c>
      <c r="K268" s="2">
        <v>2.7637005999999999E-2</v>
      </c>
      <c r="L268" s="2" t="s">
        <v>848</v>
      </c>
      <c r="M268" s="4" t="s">
        <v>8086</v>
      </c>
    </row>
    <row r="269" spans="1:13">
      <c r="A269" s="2">
        <v>2526</v>
      </c>
      <c r="B269" s="2" t="s">
        <v>43085</v>
      </c>
      <c r="C269" s="2">
        <v>7</v>
      </c>
      <c r="D269" s="2">
        <v>87</v>
      </c>
      <c r="E269" s="2">
        <v>539</v>
      </c>
      <c r="F269" s="2">
        <v>32441</v>
      </c>
      <c r="G269" s="2">
        <v>4.8426630839999998</v>
      </c>
      <c r="H269" s="2">
        <v>6.6325900000000003E-4</v>
      </c>
      <c r="I269" s="2" t="s">
        <v>43086</v>
      </c>
      <c r="J269" s="2" t="s">
        <v>43087</v>
      </c>
      <c r="K269" s="2">
        <v>2.7833361000000001E-2</v>
      </c>
      <c r="L269" s="2" t="s">
        <v>848</v>
      </c>
      <c r="M269" s="4" t="s">
        <v>43088</v>
      </c>
    </row>
    <row r="270" spans="1:13">
      <c r="A270" s="2">
        <v>2732</v>
      </c>
      <c r="B270" s="2" t="s">
        <v>28885</v>
      </c>
      <c r="C270" s="2">
        <v>8</v>
      </c>
      <c r="D270" s="2">
        <v>87</v>
      </c>
      <c r="E270" s="2">
        <v>709</v>
      </c>
      <c r="F270" s="2">
        <v>32441</v>
      </c>
      <c r="G270" s="2">
        <v>4.2074477569999997</v>
      </c>
      <c r="H270" s="2">
        <v>6.7776299999999995E-4</v>
      </c>
      <c r="I270" s="2" t="s">
        <v>43089</v>
      </c>
      <c r="J270" s="2" t="s">
        <v>43090</v>
      </c>
      <c r="K270" s="2">
        <v>2.8241713000000002E-2</v>
      </c>
      <c r="L270" s="2" t="s">
        <v>848</v>
      </c>
      <c r="M270" s="4" t="s">
        <v>28888</v>
      </c>
    </row>
    <row r="271" spans="1:13">
      <c r="A271" s="2">
        <v>2192</v>
      </c>
      <c r="B271" s="2" t="s">
        <v>8647</v>
      </c>
      <c r="C271" s="2">
        <v>4</v>
      </c>
      <c r="D271" s="2">
        <v>87</v>
      </c>
      <c r="E271" s="2">
        <v>144</v>
      </c>
      <c r="F271" s="2">
        <v>32441</v>
      </c>
      <c r="G271" s="2">
        <v>10.35791826</v>
      </c>
      <c r="H271" s="2">
        <v>6.8330500000000005E-4</v>
      </c>
      <c r="I271" s="2" t="s">
        <v>43091</v>
      </c>
      <c r="J271" s="2" t="s">
        <v>43092</v>
      </c>
      <c r="K271" s="2">
        <v>2.8273527E-2</v>
      </c>
      <c r="L271" s="2" t="s">
        <v>848</v>
      </c>
      <c r="M271" s="4" t="s">
        <v>8650</v>
      </c>
    </row>
    <row r="272" spans="1:13">
      <c r="A272" s="2">
        <v>4543</v>
      </c>
      <c r="B272" s="2" t="s">
        <v>8262</v>
      </c>
      <c r="C272" s="2">
        <v>5</v>
      </c>
      <c r="D272" s="2">
        <v>87</v>
      </c>
      <c r="E272" s="2">
        <v>256</v>
      </c>
      <c r="F272" s="2">
        <v>32441</v>
      </c>
      <c r="G272" s="2">
        <v>7.2829112790000003</v>
      </c>
      <c r="H272" s="2">
        <v>6.9211299999999995E-4</v>
      </c>
      <c r="I272" s="2" t="s">
        <v>43029</v>
      </c>
      <c r="J272" s="2" t="s">
        <v>43030</v>
      </c>
      <c r="K272" s="2">
        <v>2.843911E-2</v>
      </c>
      <c r="L272" s="2" t="s">
        <v>848</v>
      </c>
      <c r="M272" s="4" t="s">
        <v>8265</v>
      </c>
    </row>
    <row r="273" spans="1:13">
      <c r="A273" s="2">
        <v>1715</v>
      </c>
      <c r="B273" s="2" t="s">
        <v>43093</v>
      </c>
      <c r="C273" s="2">
        <v>3</v>
      </c>
      <c r="D273" s="2">
        <v>87</v>
      </c>
      <c r="E273" s="2">
        <v>62</v>
      </c>
      <c r="F273" s="2">
        <v>32441</v>
      </c>
      <c r="G273" s="2">
        <v>18.042825359999998</v>
      </c>
      <c r="H273" s="2">
        <v>7.1606199999999995E-4</v>
      </c>
      <c r="I273" s="2" t="s">
        <v>43094</v>
      </c>
      <c r="J273" s="2" t="s">
        <v>43095</v>
      </c>
      <c r="K273" s="2">
        <v>2.8822707999999999E-2</v>
      </c>
      <c r="L273" s="2" t="s">
        <v>848</v>
      </c>
      <c r="M273" s="4" t="s">
        <v>43096</v>
      </c>
    </row>
    <row r="274" spans="1:13">
      <c r="A274" s="2">
        <v>3943</v>
      </c>
      <c r="B274" s="2" t="s">
        <v>11328</v>
      </c>
      <c r="C274" s="2">
        <v>3</v>
      </c>
      <c r="D274" s="2">
        <v>87</v>
      </c>
      <c r="E274" s="2">
        <v>62</v>
      </c>
      <c r="F274" s="2">
        <v>32441</v>
      </c>
      <c r="G274" s="2">
        <v>18.042825359999998</v>
      </c>
      <c r="H274" s="2">
        <v>7.1606199999999995E-4</v>
      </c>
      <c r="I274" s="2" t="s">
        <v>43097</v>
      </c>
      <c r="J274" s="2" t="s">
        <v>43098</v>
      </c>
      <c r="K274" s="2">
        <v>2.8822707999999999E-2</v>
      </c>
      <c r="L274" s="2" t="s">
        <v>848</v>
      </c>
      <c r="M274" s="4" t="s">
        <v>11331</v>
      </c>
    </row>
    <row r="275" spans="1:13">
      <c r="A275" s="2">
        <v>3998</v>
      </c>
      <c r="B275" s="2" t="s">
        <v>9354</v>
      </c>
      <c r="C275" s="2">
        <v>3</v>
      </c>
      <c r="D275" s="2">
        <v>87</v>
      </c>
      <c r="E275" s="2">
        <v>62</v>
      </c>
      <c r="F275" s="2">
        <v>32441</v>
      </c>
      <c r="G275" s="2">
        <v>18.042825359999998</v>
      </c>
      <c r="H275" s="2">
        <v>7.1606199999999995E-4</v>
      </c>
      <c r="I275" s="2" t="s">
        <v>43099</v>
      </c>
      <c r="J275" s="2" t="s">
        <v>43100</v>
      </c>
      <c r="K275" s="2">
        <v>2.8822707999999999E-2</v>
      </c>
      <c r="L275" s="2" t="s">
        <v>848</v>
      </c>
      <c r="M275" s="4" t="s">
        <v>9357</v>
      </c>
    </row>
    <row r="276" spans="1:13">
      <c r="A276" s="2">
        <v>2871</v>
      </c>
      <c r="B276" s="2" t="s">
        <v>43101</v>
      </c>
      <c r="C276" s="2">
        <v>2</v>
      </c>
      <c r="D276" s="2">
        <v>87</v>
      </c>
      <c r="E276" s="2">
        <v>13</v>
      </c>
      <c r="F276" s="2">
        <v>32441</v>
      </c>
      <c r="G276" s="2">
        <v>57.366931919999999</v>
      </c>
      <c r="H276" s="2">
        <v>7.2589300000000002E-4</v>
      </c>
      <c r="I276" s="2" t="s">
        <v>43058</v>
      </c>
      <c r="J276" s="2" t="s">
        <v>43059</v>
      </c>
      <c r="K276" s="2">
        <v>2.9020997E-2</v>
      </c>
      <c r="L276" s="2" t="s">
        <v>848</v>
      </c>
      <c r="M276" s="4" t="s">
        <v>43102</v>
      </c>
    </row>
    <row r="277" spans="1:13">
      <c r="A277" s="2">
        <v>3005</v>
      </c>
      <c r="B277" s="2" t="s">
        <v>29703</v>
      </c>
      <c r="C277" s="2">
        <v>9</v>
      </c>
      <c r="D277" s="2">
        <v>87</v>
      </c>
      <c r="E277" s="2">
        <v>900</v>
      </c>
      <c r="F277" s="2">
        <v>32441</v>
      </c>
      <c r="G277" s="2">
        <v>3.7288505750000001</v>
      </c>
      <c r="H277" s="2">
        <v>7.31421E-4</v>
      </c>
      <c r="I277" s="2" t="s">
        <v>43103</v>
      </c>
      <c r="J277" s="2" t="s">
        <v>43104</v>
      </c>
      <c r="K277" s="2">
        <v>2.9045754999999999E-2</v>
      </c>
      <c r="L277" s="2" t="s">
        <v>848</v>
      </c>
      <c r="M277" s="4" t="s">
        <v>29706</v>
      </c>
    </row>
    <row r="278" spans="1:13">
      <c r="A278" s="2">
        <v>2415</v>
      </c>
      <c r="B278" s="2" t="s">
        <v>7907</v>
      </c>
      <c r="C278" s="2">
        <v>4</v>
      </c>
      <c r="D278" s="2">
        <v>87</v>
      </c>
      <c r="E278" s="2">
        <v>149</v>
      </c>
      <c r="F278" s="2">
        <v>32441</v>
      </c>
      <c r="G278" s="2">
        <v>10.01033711</v>
      </c>
      <c r="H278" s="2">
        <v>7.7360799999999996E-4</v>
      </c>
      <c r="I278" s="2" t="s">
        <v>43105</v>
      </c>
      <c r="J278" s="2" t="s">
        <v>43106</v>
      </c>
      <c r="K278" s="2">
        <v>3.0516259E-2</v>
      </c>
      <c r="L278" s="2" t="s">
        <v>848</v>
      </c>
      <c r="M278" s="4" t="s">
        <v>7910</v>
      </c>
    </row>
    <row r="279" spans="1:13">
      <c r="A279" s="2">
        <v>5184</v>
      </c>
      <c r="B279" s="2" t="s">
        <v>43107</v>
      </c>
      <c r="C279" s="2">
        <v>3</v>
      </c>
      <c r="D279" s="2">
        <v>87</v>
      </c>
      <c r="E279" s="2">
        <v>64</v>
      </c>
      <c r="F279" s="2">
        <v>32441</v>
      </c>
      <c r="G279" s="2">
        <v>17.478987069999999</v>
      </c>
      <c r="H279" s="2">
        <v>7.8230499999999996E-4</v>
      </c>
      <c r="I279" s="2" t="s">
        <v>43108</v>
      </c>
      <c r="J279" s="2" t="s">
        <v>43109</v>
      </c>
      <c r="K279" s="2">
        <v>3.0654948000000001E-2</v>
      </c>
      <c r="L279" s="2" t="s">
        <v>848</v>
      </c>
      <c r="M279" s="4" t="s">
        <v>43110</v>
      </c>
    </row>
    <row r="280" spans="1:13">
      <c r="A280" s="2">
        <v>444</v>
      </c>
      <c r="B280" s="2" t="s">
        <v>7911</v>
      </c>
      <c r="C280" s="2">
        <v>12</v>
      </c>
      <c r="D280" s="2">
        <v>87</v>
      </c>
      <c r="E280" s="2">
        <v>1532</v>
      </c>
      <c r="F280" s="2">
        <v>32441</v>
      </c>
      <c r="G280" s="2">
        <v>2.9207706849999999</v>
      </c>
      <c r="H280" s="2">
        <v>8.2244800000000004E-4</v>
      </c>
      <c r="I280" s="2" t="s">
        <v>43111</v>
      </c>
      <c r="J280" s="2" t="s">
        <v>43112</v>
      </c>
      <c r="K280" s="2">
        <v>3.1544655999999997E-2</v>
      </c>
      <c r="L280" s="2" t="s">
        <v>848</v>
      </c>
      <c r="M280" s="4" t="s">
        <v>7914</v>
      </c>
    </row>
    <row r="281" spans="1:13">
      <c r="A281" s="2">
        <v>2190</v>
      </c>
      <c r="B281" s="2" t="s">
        <v>9954</v>
      </c>
      <c r="C281" s="2">
        <v>4</v>
      </c>
      <c r="D281" s="2">
        <v>87</v>
      </c>
      <c r="E281" s="2">
        <v>152</v>
      </c>
      <c r="F281" s="2">
        <v>32441</v>
      </c>
      <c r="G281" s="2">
        <v>9.81276467</v>
      </c>
      <c r="H281" s="2">
        <v>8.31666E-4</v>
      </c>
      <c r="I281" s="2" t="s">
        <v>43113</v>
      </c>
      <c r="J281" s="2" t="s">
        <v>43114</v>
      </c>
      <c r="K281" s="2">
        <v>3.1544655999999997E-2</v>
      </c>
      <c r="L281" s="2" t="s">
        <v>848</v>
      </c>
      <c r="M281" s="4" t="s">
        <v>9957</v>
      </c>
    </row>
    <row r="282" spans="1:13">
      <c r="A282" s="2">
        <v>3428</v>
      </c>
      <c r="B282" s="2" t="s">
        <v>9739</v>
      </c>
      <c r="C282" s="2">
        <v>3</v>
      </c>
      <c r="D282" s="2">
        <v>87</v>
      </c>
      <c r="E282" s="2">
        <v>65</v>
      </c>
      <c r="F282" s="2">
        <v>32441</v>
      </c>
      <c r="G282" s="2">
        <v>17.210079579999999</v>
      </c>
      <c r="H282" s="2">
        <v>8.1683700000000005E-4</v>
      </c>
      <c r="I282" s="2" t="s">
        <v>43025</v>
      </c>
      <c r="J282" s="2" t="s">
        <v>43026</v>
      </c>
      <c r="K282" s="2">
        <v>3.1544655999999997E-2</v>
      </c>
      <c r="L282" s="2" t="s">
        <v>848</v>
      </c>
      <c r="M282" s="4" t="s">
        <v>9740</v>
      </c>
    </row>
    <row r="283" spans="1:13">
      <c r="A283" s="2">
        <v>3634</v>
      </c>
      <c r="B283" s="2" t="s">
        <v>43115</v>
      </c>
      <c r="C283" s="2">
        <v>2</v>
      </c>
      <c r="D283" s="2">
        <v>87</v>
      </c>
      <c r="E283" s="2">
        <v>14</v>
      </c>
      <c r="F283" s="2">
        <v>32441</v>
      </c>
      <c r="G283" s="2">
        <v>53.269293920000003</v>
      </c>
      <c r="H283" s="2">
        <v>8.2815000000000004E-4</v>
      </c>
      <c r="I283" s="2" t="s">
        <v>43116</v>
      </c>
      <c r="J283" s="2" t="s">
        <v>43117</v>
      </c>
      <c r="K283" s="2">
        <v>3.1544655999999997E-2</v>
      </c>
      <c r="L283" s="2" t="s">
        <v>848</v>
      </c>
      <c r="M283" s="4" t="s">
        <v>43118</v>
      </c>
    </row>
    <row r="284" spans="1:13">
      <c r="A284" s="2">
        <v>4700</v>
      </c>
      <c r="B284" s="2" t="s">
        <v>43119</v>
      </c>
      <c r="C284" s="2">
        <v>2</v>
      </c>
      <c r="D284" s="2">
        <v>87</v>
      </c>
      <c r="E284" s="2">
        <v>14</v>
      </c>
      <c r="F284" s="2">
        <v>32441</v>
      </c>
      <c r="G284" s="2">
        <v>53.269293920000003</v>
      </c>
      <c r="H284" s="2">
        <v>8.2815000000000004E-4</v>
      </c>
      <c r="I284" s="2" t="s">
        <v>43120</v>
      </c>
      <c r="J284" s="2" t="s">
        <v>43121</v>
      </c>
      <c r="K284" s="2">
        <v>3.1544655999999997E-2</v>
      </c>
      <c r="L284" s="2" t="s">
        <v>848</v>
      </c>
      <c r="M284" s="4" t="s">
        <v>43122</v>
      </c>
    </row>
    <row r="285" spans="1:13">
      <c r="A285" s="2">
        <v>516</v>
      </c>
      <c r="B285" s="2" t="s">
        <v>8298</v>
      </c>
      <c r="C285" s="2">
        <v>7</v>
      </c>
      <c r="D285" s="2">
        <v>87</v>
      </c>
      <c r="E285" s="2">
        <v>563</v>
      </c>
      <c r="F285" s="2">
        <v>32441</v>
      </c>
      <c r="G285" s="2">
        <v>4.6362262919999999</v>
      </c>
      <c r="H285" s="2">
        <v>8.5281500000000004E-4</v>
      </c>
      <c r="I285" s="2" t="s">
        <v>43123</v>
      </c>
      <c r="J285" s="2" t="s">
        <v>43124</v>
      </c>
      <c r="K285" s="2">
        <v>3.1937376000000003E-2</v>
      </c>
      <c r="L285" s="2" t="s">
        <v>848</v>
      </c>
      <c r="M285" s="4" t="s">
        <v>8301</v>
      </c>
    </row>
    <row r="286" spans="1:13">
      <c r="A286" s="2">
        <v>3924</v>
      </c>
      <c r="B286" s="2" t="s">
        <v>30413</v>
      </c>
      <c r="C286" s="2">
        <v>6</v>
      </c>
      <c r="D286" s="2">
        <v>87</v>
      </c>
      <c r="E286" s="2">
        <v>406</v>
      </c>
      <c r="F286" s="2">
        <v>32441</v>
      </c>
      <c r="G286" s="2">
        <v>5.5106166129999998</v>
      </c>
      <c r="H286" s="2">
        <v>8.4763000000000004E-4</v>
      </c>
      <c r="I286" s="2" t="s">
        <v>43125</v>
      </c>
      <c r="J286" s="2" t="s">
        <v>43126</v>
      </c>
      <c r="K286" s="2">
        <v>3.1937376000000003E-2</v>
      </c>
      <c r="L286" s="2" t="s">
        <v>848</v>
      </c>
      <c r="M286" s="4" t="s">
        <v>30416</v>
      </c>
    </row>
    <row r="287" spans="1:13">
      <c r="A287" s="2">
        <v>1242</v>
      </c>
      <c r="B287" s="2" t="s">
        <v>43127</v>
      </c>
      <c r="C287" s="2">
        <v>3</v>
      </c>
      <c r="D287" s="2">
        <v>87</v>
      </c>
      <c r="E287" s="2">
        <v>67</v>
      </c>
      <c r="F287" s="2">
        <v>32441</v>
      </c>
      <c r="G287" s="2">
        <v>16.696345860000001</v>
      </c>
      <c r="H287" s="2">
        <v>8.8877400000000005E-4</v>
      </c>
      <c r="I287" s="2" t="s">
        <v>43128</v>
      </c>
      <c r="J287" s="2" t="s">
        <v>43129</v>
      </c>
      <c r="K287" s="2">
        <v>3.3074696000000001E-2</v>
      </c>
      <c r="L287" s="2" t="s">
        <v>848</v>
      </c>
      <c r="M287" s="4" t="s">
        <v>43130</v>
      </c>
    </row>
    <row r="288" spans="1:13">
      <c r="A288" s="2">
        <v>272</v>
      </c>
      <c r="B288" s="2" t="s">
        <v>43131</v>
      </c>
      <c r="C288" s="2">
        <v>2</v>
      </c>
      <c r="D288" s="2">
        <v>87</v>
      </c>
      <c r="E288" s="2">
        <v>15</v>
      </c>
      <c r="F288" s="2">
        <v>32441</v>
      </c>
      <c r="G288" s="2">
        <v>49.718007659999998</v>
      </c>
      <c r="H288" s="2">
        <v>9.3693900000000002E-4</v>
      </c>
      <c r="I288" s="2" t="s">
        <v>43132</v>
      </c>
      <c r="J288" s="2" t="s">
        <v>43133</v>
      </c>
      <c r="K288" s="2">
        <v>3.3396810999999998E-2</v>
      </c>
      <c r="L288" s="2" t="s">
        <v>848</v>
      </c>
      <c r="M288" s="4" t="s">
        <v>43134</v>
      </c>
    </row>
    <row r="289" spans="1:13">
      <c r="A289" s="2">
        <v>748</v>
      </c>
      <c r="B289" s="2" t="s">
        <v>8191</v>
      </c>
      <c r="C289" s="2">
        <v>11</v>
      </c>
      <c r="D289" s="2">
        <v>87</v>
      </c>
      <c r="E289" s="2">
        <v>1337</v>
      </c>
      <c r="F289" s="2">
        <v>32441</v>
      </c>
      <c r="G289" s="2">
        <v>3.0678650950000002</v>
      </c>
      <c r="H289" s="2">
        <v>9.28358E-4</v>
      </c>
      <c r="I289" s="2" t="s">
        <v>43135</v>
      </c>
      <c r="J289" s="2" t="s">
        <v>43136</v>
      </c>
      <c r="K289" s="2">
        <v>3.3396810999999998E-2</v>
      </c>
      <c r="L289" s="2" t="s">
        <v>848</v>
      </c>
      <c r="M289" s="4" t="s">
        <v>8194</v>
      </c>
    </row>
    <row r="290" spans="1:13">
      <c r="A290" s="2">
        <v>2236</v>
      </c>
      <c r="B290" s="2" t="s">
        <v>43137</v>
      </c>
      <c r="C290" s="2">
        <v>3</v>
      </c>
      <c r="D290" s="2">
        <v>87</v>
      </c>
      <c r="E290" s="2">
        <v>68</v>
      </c>
      <c r="F290" s="2">
        <v>32441</v>
      </c>
      <c r="G290" s="2">
        <v>16.450811359999999</v>
      </c>
      <c r="H290" s="2">
        <v>9.2619999999999996E-4</v>
      </c>
      <c r="I290" s="2" t="s">
        <v>43138</v>
      </c>
      <c r="J290" s="2" t="s">
        <v>43139</v>
      </c>
      <c r="K290" s="2">
        <v>3.3396810999999998E-2</v>
      </c>
      <c r="L290" s="2" t="s">
        <v>848</v>
      </c>
      <c r="M290" s="4" t="s">
        <v>43140</v>
      </c>
    </row>
    <row r="291" spans="1:13">
      <c r="A291" s="2">
        <v>2989</v>
      </c>
      <c r="B291" s="2" t="s">
        <v>11131</v>
      </c>
      <c r="C291" s="2">
        <v>5</v>
      </c>
      <c r="D291" s="2">
        <v>87</v>
      </c>
      <c r="E291" s="2">
        <v>272</v>
      </c>
      <c r="F291" s="2">
        <v>32441</v>
      </c>
      <c r="G291" s="2">
        <v>6.8545047329999997</v>
      </c>
      <c r="H291" s="2">
        <v>9.0339499999999998E-4</v>
      </c>
      <c r="I291" s="2" t="s">
        <v>43141</v>
      </c>
      <c r="J291" s="2" t="s">
        <v>43142</v>
      </c>
      <c r="K291" s="2">
        <v>3.3396810999999998E-2</v>
      </c>
      <c r="L291" s="2" t="s">
        <v>848</v>
      </c>
      <c r="M291" s="4" t="s">
        <v>11134</v>
      </c>
    </row>
    <row r="292" spans="1:13">
      <c r="A292" s="2">
        <v>3713</v>
      </c>
      <c r="B292" s="2" t="s">
        <v>43143</v>
      </c>
      <c r="C292" s="2">
        <v>3</v>
      </c>
      <c r="D292" s="2">
        <v>87</v>
      </c>
      <c r="E292" s="2">
        <v>68</v>
      </c>
      <c r="F292" s="2">
        <v>32441</v>
      </c>
      <c r="G292" s="2">
        <v>16.450811359999999</v>
      </c>
      <c r="H292" s="2">
        <v>9.2619999999999996E-4</v>
      </c>
      <c r="I292" s="2" t="s">
        <v>43144</v>
      </c>
      <c r="J292" s="2" t="s">
        <v>43145</v>
      </c>
      <c r="K292" s="2">
        <v>3.3396810999999998E-2</v>
      </c>
      <c r="L292" s="2" t="s">
        <v>848</v>
      </c>
      <c r="M292" s="4" t="s">
        <v>43146</v>
      </c>
    </row>
    <row r="293" spans="1:13">
      <c r="A293" s="2">
        <v>4585</v>
      </c>
      <c r="B293" s="2" t="s">
        <v>9472</v>
      </c>
      <c r="C293" s="2">
        <v>4</v>
      </c>
      <c r="D293" s="2">
        <v>87</v>
      </c>
      <c r="E293" s="2">
        <v>157</v>
      </c>
      <c r="F293" s="2">
        <v>32441</v>
      </c>
      <c r="G293" s="2">
        <v>9.5002562410000007</v>
      </c>
      <c r="H293" s="2">
        <v>9.3515999999999998E-4</v>
      </c>
      <c r="I293" s="2" t="s">
        <v>42816</v>
      </c>
      <c r="J293" s="2" t="s">
        <v>42817</v>
      </c>
      <c r="K293" s="2">
        <v>3.3396810999999998E-2</v>
      </c>
      <c r="L293" s="2" t="s">
        <v>848</v>
      </c>
      <c r="M293" s="4" t="s">
        <v>9475</v>
      </c>
    </row>
    <row r="294" spans="1:13">
      <c r="A294" s="2">
        <v>5180</v>
      </c>
      <c r="B294" s="2" t="s">
        <v>11476</v>
      </c>
      <c r="C294" s="2">
        <v>4</v>
      </c>
      <c r="D294" s="2">
        <v>87</v>
      </c>
      <c r="E294" s="2">
        <v>157</v>
      </c>
      <c r="F294" s="2">
        <v>32441</v>
      </c>
      <c r="G294" s="2">
        <v>9.5002562410000007</v>
      </c>
      <c r="H294" s="2">
        <v>9.3515999999999998E-4</v>
      </c>
      <c r="I294" s="2" t="s">
        <v>43147</v>
      </c>
      <c r="J294" s="2" t="s">
        <v>43148</v>
      </c>
      <c r="K294" s="2">
        <v>3.3396810999999998E-2</v>
      </c>
      <c r="L294" s="2" t="s">
        <v>848</v>
      </c>
      <c r="M294" s="4" t="s">
        <v>11479</v>
      </c>
    </row>
    <row r="295" spans="1:13">
      <c r="A295" s="2">
        <v>2897</v>
      </c>
      <c r="B295" s="2" t="s">
        <v>918</v>
      </c>
      <c r="C295" s="2">
        <v>13</v>
      </c>
      <c r="D295" s="2">
        <v>87</v>
      </c>
      <c r="E295" s="2">
        <v>1796</v>
      </c>
      <c r="F295" s="2">
        <v>32441</v>
      </c>
      <c r="G295" s="2">
        <v>2.6990566519999999</v>
      </c>
      <c r="H295" s="2">
        <v>1.014736E-3</v>
      </c>
      <c r="I295" s="2" t="s">
        <v>43149</v>
      </c>
      <c r="J295" s="2" t="s">
        <v>43150</v>
      </c>
      <c r="K295" s="2">
        <v>3.5953251999999998E-2</v>
      </c>
      <c r="L295" s="2" t="s">
        <v>848</v>
      </c>
      <c r="M295" s="4" t="s">
        <v>43151</v>
      </c>
    </row>
    <row r="296" spans="1:13">
      <c r="A296" s="2">
        <v>725</v>
      </c>
      <c r="B296" s="2" t="s">
        <v>7739</v>
      </c>
      <c r="C296" s="2">
        <v>8</v>
      </c>
      <c r="D296" s="2">
        <v>87</v>
      </c>
      <c r="E296" s="2">
        <v>759</v>
      </c>
      <c r="F296" s="2">
        <v>32441</v>
      </c>
      <c r="G296" s="2">
        <v>3.9302772859999999</v>
      </c>
      <c r="H296" s="2">
        <v>1.0461909999999999E-3</v>
      </c>
      <c r="I296" s="2" t="s">
        <v>43152</v>
      </c>
      <c r="J296" s="2" t="s">
        <v>43153</v>
      </c>
      <c r="K296" s="2">
        <v>3.6522348000000003E-2</v>
      </c>
      <c r="L296" s="2" t="s">
        <v>848</v>
      </c>
      <c r="M296" s="4" t="s">
        <v>7742</v>
      </c>
    </row>
    <row r="297" spans="1:13">
      <c r="A297" s="2">
        <v>866</v>
      </c>
      <c r="B297" s="2" t="s">
        <v>8591</v>
      </c>
      <c r="C297" s="2">
        <v>13</v>
      </c>
      <c r="D297" s="2">
        <v>87</v>
      </c>
      <c r="E297" s="2">
        <v>1805</v>
      </c>
      <c r="F297" s="2">
        <v>32441</v>
      </c>
      <c r="G297" s="2">
        <v>2.6855987520000002</v>
      </c>
      <c r="H297" s="2">
        <v>1.0616600000000001E-3</v>
      </c>
      <c r="I297" s="2" t="s">
        <v>43154</v>
      </c>
      <c r="J297" s="2" t="s">
        <v>43155</v>
      </c>
      <c r="K297" s="2">
        <v>3.6522348000000003E-2</v>
      </c>
      <c r="L297" s="2" t="s">
        <v>848</v>
      </c>
      <c r="M297" s="4" t="s">
        <v>8594</v>
      </c>
    </row>
    <row r="298" spans="1:13">
      <c r="A298" s="2">
        <v>1296</v>
      </c>
      <c r="B298" s="2" t="s">
        <v>43156</v>
      </c>
      <c r="C298" s="2">
        <v>2</v>
      </c>
      <c r="D298" s="2">
        <v>87</v>
      </c>
      <c r="E298" s="2">
        <v>16</v>
      </c>
      <c r="F298" s="2">
        <v>32441</v>
      </c>
      <c r="G298" s="2">
        <v>46.610632180000003</v>
      </c>
      <c r="H298" s="2">
        <v>1.0522260000000001E-3</v>
      </c>
      <c r="I298" s="2" t="s">
        <v>43157</v>
      </c>
      <c r="J298" s="2" t="s">
        <v>43158</v>
      </c>
      <c r="K298" s="2">
        <v>3.6522348000000003E-2</v>
      </c>
      <c r="L298" s="2" t="s">
        <v>848</v>
      </c>
      <c r="M298" s="4" t="s">
        <v>43159</v>
      </c>
    </row>
    <row r="299" spans="1:13">
      <c r="A299" s="2">
        <v>3586</v>
      </c>
      <c r="B299" s="2" t="s">
        <v>8055</v>
      </c>
      <c r="C299" s="2">
        <v>13</v>
      </c>
      <c r="D299" s="2">
        <v>87</v>
      </c>
      <c r="E299" s="2">
        <v>1804</v>
      </c>
      <c r="F299" s="2">
        <v>32441</v>
      </c>
      <c r="G299" s="2">
        <v>2.6870874429999998</v>
      </c>
      <c r="H299" s="2">
        <v>1.0563580000000001E-3</v>
      </c>
      <c r="I299" s="2" t="s">
        <v>43160</v>
      </c>
      <c r="J299" s="2" t="s">
        <v>43161</v>
      </c>
      <c r="K299" s="2">
        <v>3.6522348000000003E-2</v>
      </c>
      <c r="L299" s="2" t="s">
        <v>848</v>
      </c>
      <c r="M299" s="4" t="s">
        <v>8058</v>
      </c>
    </row>
    <row r="300" spans="1:13">
      <c r="A300" s="2">
        <v>4428</v>
      </c>
      <c r="B300" s="2" t="s">
        <v>10226</v>
      </c>
      <c r="C300" s="2">
        <v>2</v>
      </c>
      <c r="D300" s="2">
        <v>87</v>
      </c>
      <c r="E300" s="2">
        <v>16</v>
      </c>
      <c r="F300" s="2">
        <v>32441</v>
      </c>
      <c r="G300" s="2">
        <v>46.610632180000003</v>
      </c>
      <c r="H300" s="2">
        <v>1.0522260000000001E-3</v>
      </c>
      <c r="I300" s="2" t="s">
        <v>43162</v>
      </c>
      <c r="J300" s="2" t="s">
        <v>43163</v>
      </c>
      <c r="K300" s="2">
        <v>3.6522348000000003E-2</v>
      </c>
      <c r="L300" s="2" t="s">
        <v>848</v>
      </c>
      <c r="M300" s="4" t="s">
        <v>10229</v>
      </c>
    </row>
    <row r="301" spans="1:13">
      <c r="A301" s="2">
        <v>4308</v>
      </c>
      <c r="B301" s="2" t="s">
        <v>11599</v>
      </c>
      <c r="C301" s="2">
        <v>4</v>
      </c>
      <c r="D301" s="2">
        <v>87</v>
      </c>
      <c r="E301" s="2">
        <v>163</v>
      </c>
      <c r="F301" s="2">
        <v>32441</v>
      </c>
      <c r="G301" s="2">
        <v>9.1505535580000004</v>
      </c>
      <c r="H301" s="2">
        <v>1.070945E-3</v>
      </c>
      <c r="I301" s="2" t="s">
        <v>43164</v>
      </c>
      <c r="J301" s="2" t="s">
        <v>43165</v>
      </c>
      <c r="K301" s="2">
        <v>3.6628778000000001E-2</v>
      </c>
      <c r="L301" s="2" t="s">
        <v>848</v>
      </c>
      <c r="M301" s="4" t="s">
        <v>11602</v>
      </c>
    </row>
    <row r="302" spans="1:13">
      <c r="A302" s="2">
        <v>1050</v>
      </c>
      <c r="B302" s="2" t="s">
        <v>43166</v>
      </c>
      <c r="C302" s="2">
        <v>3</v>
      </c>
      <c r="D302" s="2">
        <v>87</v>
      </c>
      <c r="E302" s="2">
        <v>72</v>
      </c>
      <c r="F302" s="2">
        <v>32441</v>
      </c>
      <c r="G302" s="2">
        <v>15.536877390000001</v>
      </c>
      <c r="H302" s="2">
        <v>1.0858560000000001E-3</v>
      </c>
      <c r="I302" s="2" t="s">
        <v>43167</v>
      </c>
      <c r="J302" s="2" t="s">
        <v>43168</v>
      </c>
      <c r="K302" s="2">
        <v>3.6808062000000003E-2</v>
      </c>
      <c r="L302" s="2" t="s">
        <v>848</v>
      </c>
      <c r="M302" s="4" t="s">
        <v>43169</v>
      </c>
    </row>
    <row r="303" spans="1:13">
      <c r="A303" s="2">
        <v>1196</v>
      </c>
      <c r="B303" s="2" t="s">
        <v>10078</v>
      </c>
      <c r="C303" s="2">
        <v>4</v>
      </c>
      <c r="D303" s="2">
        <v>87</v>
      </c>
      <c r="E303" s="2">
        <v>164</v>
      </c>
      <c r="F303" s="2">
        <v>32441</v>
      </c>
      <c r="G303" s="2">
        <v>9.094757499</v>
      </c>
      <c r="H303" s="2">
        <v>1.094849E-3</v>
      </c>
      <c r="I303" s="2" t="s">
        <v>43170</v>
      </c>
      <c r="J303" s="2" t="s">
        <v>43171</v>
      </c>
      <c r="K303" s="2">
        <v>3.6808062000000003E-2</v>
      </c>
      <c r="L303" s="2" t="s">
        <v>848</v>
      </c>
      <c r="M303" s="4" t="s">
        <v>10081</v>
      </c>
    </row>
    <row r="304" spans="1:13">
      <c r="A304" s="2">
        <v>1281</v>
      </c>
      <c r="B304" s="2" t="s">
        <v>9206</v>
      </c>
      <c r="C304" s="2">
        <v>7</v>
      </c>
      <c r="D304" s="2">
        <v>87</v>
      </c>
      <c r="E304" s="2">
        <v>588</v>
      </c>
      <c r="F304" s="2">
        <v>32441</v>
      </c>
      <c r="G304" s="2">
        <v>4.439107827</v>
      </c>
      <c r="H304" s="2">
        <v>1.0934390000000001E-3</v>
      </c>
      <c r="I304" s="2" t="s">
        <v>42985</v>
      </c>
      <c r="J304" s="2" t="s">
        <v>42986</v>
      </c>
      <c r="K304" s="2">
        <v>3.6808062000000003E-2</v>
      </c>
      <c r="L304" s="2" t="s">
        <v>848</v>
      </c>
      <c r="M304" s="4" t="s">
        <v>9209</v>
      </c>
    </row>
    <row r="305" spans="1:13">
      <c r="A305" s="2">
        <v>1308</v>
      </c>
      <c r="B305" s="2" t="s">
        <v>11278</v>
      </c>
      <c r="C305" s="2">
        <v>5</v>
      </c>
      <c r="D305" s="2">
        <v>87</v>
      </c>
      <c r="E305" s="2">
        <v>285</v>
      </c>
      <c r="F305" s="2">
        <v>32441</v>
      </c>
      <c r="G305" s="2">
        <v>6.5418431139999997</v>
      </c>
      <c r="H305" s="2">
        <v>1.1077229999999999E-3</v>
      </c>
      <c r="I305" s="2" t="s">
        <v>42809</v>
      </c>
      <c r="J305" s="2" t="s">
        <v>42810</v>
      </c>
      <c r="K305" s="2">
        <v>3.7030507999999997E-2</v>
      </c>
      <c r="L305" s="2" t="s">
        <v>848</v>
      </c>
      <c r="M305" s="4" t="s">
        <v>11281</v>
      </c>
    </row>
    <row r="306" spans="1:13">
      <c r="A306" s="2">
        <v>700</v>
      </c>
      <c r="B306" s="2" t="s">
        <v>8827</v>
      </c>
      <c r="C306" s="2">
        <v>8</v>
      </c>
      <c r="D306" s="2">
        <v>87</v>
      </c>
      <c r="E306" s="2">
        <v>767</v>
      </c>
      <c r="F306" s="2">
        <v>32441</v>
      </c>
      <c r="G306" s="2">
        <v>3.8892835200000002</v>
      </c>
      <c r="H306" s="2">
        <v>1.117743E-3</v>
      </c>
      <c r="I306" s="2" t="s">
        <v>43172</v>
      </c>
      <c r="J306" s="2" t="s">
        <v>43173</v>
      </c>
      <c r="K306" s="2">
        <v>3.7155547999999997E-2</v>
      </c>
      <c r="L306" s="2" t="s">
        <v>848</v>
      </c>
      <c r="M306" s="4" t="s">
        <v>8830</v>
      </c>
    </row>
    <row r="307" spans="1:13">
      <c r="A307" s="2">
        <v>3900</v>
      </c>
      <c r="B307" s="2" t="s">
        <v>43174</v>
      </c>
      <c r="C307" s="2">
        <v>3</v>
      </c>
      <c r="D307" s="2">
        <v>87</v>
      </c>
      <c r="E307" s="2">
        <v>73</v>
      </c>
      <c r="F307" s="2">
        <v>32441</v>
      </c>
      <c r="G307" s="2">
        <v>15.32404346</v>
      </c>
      <c r="H307" s="2">
        <v>1.1283070000000001E-3</v>
      </c>
      <c r="I307" s="2" t="s">
        <v>43175</v>
      </c>
      <c r="J307" s="2" t="s">
        <v>43176</v>
      </c>
      <c r="K307" s="2">
        <v>3.7297178E-2</v>
      </c>
      <c r="L307" s="2" t="s">
        <v>848</v>
      </c>
      <c r="M307" s="4" t="s">
        <v>43177</v>
      </c>
    </row>
    <row r="308" spans="1:13">
      <c r="A308" s="2">
        <v>3906</v>
      </c>
      <c r="B308" s="2" t="s">
        <v>30681</v>
      </c>
      <c r="C308" s="2">
        <v>2</v>
      </c>
      <c r="D308" s="2">
        <v>87</v>
      </c>
      <c r="E308" s="2">
        <v>17</v>
      </c>
      <c r="F308" s="2">
        <v>32441</v>
      </c>
      <c r="G308" s="2">
        <v>43.868830289999998</v>
      </c>
      <c r="H308" s="2">
        <v>1.1739750000000001E-3</v>
      </c>
      <c r="I308" s="2" t="s">
        <v>43178</v>
      </c>
      <c r="J308" s="2" t="s">
        <v>43179</v>
      </c>
      <c r="K308" s="2">
        <v>3.8167079E-2</v>
      </c>
      <c r="L308" s="2" t="s">
        <v>848</v>
      </c>
      <c r="M308" s="4" t="s">
        <v>30684</v>
      </c>
    </row>
    <row r="309" spans="1:13">
      <c r="A309" s="2">
        <v>4570</v>
      </c>
      <c r="B309" s="2" t="s">
        <v>43180</v>
      </c>
      <c r="C309" s="2">
        <v>2</v>
      </c>
      <c r="D309" s="2">
        <v>87</v>
      </c>
      <c r="E309" s="2">
        <v>17</v>
      </c>
      <c r="F309" s="2">
        <v>32441</v>
      </c>
      <c r="G309" s="2">
        <v>43.868830289999998</v>
      </c>
      <c r="H309" s="2">
        <v>1.1739750000000001E-3</v>
      </c>
      <c r="I309" s="2" t="s">
        <v>43181</v>
      </c>
      <c r="J309" s="2" t="s">
        <v>43182</v>
      </c>
      <c r="K309" s="2">
        <v>3.8167079E-2</v>
      </c>
      <c r="L309" s="2" t="s">
        <v>848</v>
      </c>
      <c r="M309" s="4" t="s">
        <v>43183</v>
      </c>
    </row>
    <row r="310" spans="1:13">
      <c r="A310" s="2">
        <v>4594</v>
      </c>
      <c r="B310" s="2" t="s">
        <v>43184</v>
      </c>
      <c r="C310" s="2">
        <v>2</v>
      </c>
      <c r="D310" s="2">
        <v>87</v>
      </c>
      <c r="E310" s="2">
        <v>17</v>
      </c>
      <c r="F310" s="2">
        <v>32441</v>
      </c>
      <c r="G310" s="2">
        <v>43.868830289999998</v>
      </c>
      <c r="H310" s="2">
        <v>1.1739750000000001E-3</v>
      </c>
      <c r="I310" s="2" t="s">
        <v>43120</v>
      </c>
      <c r="J310" s="2" t="s">
        <v>43121</v>
      </c>
      <c r="K310" s="2">
        <v>3.8167079E-2</v>
      </c>
      <c r="L310" s="2" t="s">
        <v>848</v>
      </c>
      <c r="M310" s="4" t="s">
        <v>43185</v>
      </c>
    </row>
    <row r="311" spans="1:13">
      <c r="A311" s="2">
        <v>4631</v>
      </c>
      <c r="B311" s="2" t="s">
        <v>43186</v>
      </c>
      <c r="C311" s="2">
        <v>3</v>
      </c>
      <c r="D311" s="2">
        <v>87</v>
      </c>
      <c r="E311" s="2">
        <v>75</v>
      </c>
      <c r="F311" s="2">
        <v>32441</v>
      </c>
      <c r="G311" s="2">
        <v>14.9154023</v>
      </c>
      <c r="H311" s="2">
        <v>1.2163230000000001E-3</v>
      </c>
      <c r="I311" s="2" t="s">
        <v>43187</v>
      </c>
      <c r="J311" s="2" t="s">
        <v>43188</v>
      </c>
      <c r="K311" s="2">
        <v>3.9327787000000003E-2</v>
      </c>
      <c r="L311" s="2" t="s">
        <v>848</v>
      </c>
      <c r="M311" s="4" t="s">
        <v>43189</v>
      </c>
    </row>
    <row r="312" spans="1:13">
      <c r="A312" s="2">
        <v>355</v>
      </c>
      <c r="B312" s="2" t="s">
        <v>43190</v>
      </c>
      <c r="C312" s="2">
        <v>2</v>
      </c>
      <c r="D312" s="2">
        <v>87</v>
      </c>
      <c r="E312" s="2">
        <v>18</v>
      </c>
      <c r="F312" s="2">
        <v>32441</v>
      </c>
      <c r="G312" s="2">
        <v>41.431673050000001</v>
      </c>
      <c r="H312" s="2">
        <v>1.3021510000000001E-3</v>
      </c>
      <c r="I312" s="2" t="s">
        <v>43191</v>
      </c>
      <c r="J312" s="2" t="s">
        <v>43192</v>
      </c>
      <c r="K312" s="2">
        <v>4.1647728000000002E-2</v>
      </c>
      <c r="L312" s="2" t="s">
        <v>848</v>
      </c>
      <c r="M312" s="4" t="s">
        <v>43193</v>
      </c>
    </row>
    <row r="313" spans="1:13">
      <c r="A313" s="2">
        <v>5036</v>
      </c>
      <c r="B313" s="2" t="s">
        <v>43194</v>
      </c>
      <c r="C313" s="2">
        <v>2</v>
      </c>
      <c r="D313" s="2">
        <v>87</v>
      </c>
      <c r="E313" s="2">
        <v>18</v>
      </c>
      <c r="F313" s="2">
        <v>32441</v>
      </c>
      <c r="G313" s="2">
        <v>41.431673050000001</v>
      </c>
      <c r="H313" s="2">
        <v>1.3021510000000001E-3</v>
      </c>
      <c r="I313" s="2" t="s">
        <v>43195</v>
      </c>
      <c r="J313" s="2" t="s">
        <v>43196</v>
      </c>
      <c r="K313" s="2">
        <v>4.1647728000000002E-2</v>
      </c>
      <c r="L313" s="2" t="s">
        <v>848</v>
      </c>
      <c r="M313" s="4" t="s">
        <v>43197</v>
      </c>
    </row>
    <row r="314" spans="1:13">
      <c r="A314" s="2">
        <v>1295</v>
      </c>
      <c r="B314" s="2" t="s">
        <v>7695</v>
      </c>
      <c r="C314" s="2">
        <v>7</v>
      </c>
      <c r="D314" s="2">
        <v>87</v>
      </c>
      <c r="E314" s="2">
        <v>608</v>
      </c>
      <c r="F314" s="2">
        <v>32441</v>
      </c>
      <c r="G314" s="2">
        <v>4.293084543</v>
      </c>
      <c r="H314" s="2">
        <v>1.3219810000000001E-3</v>
      </c>
      <c r="I314" s="2" t="s">
        <v>43198</v>
      </c>
      <c r="J314" s="2" t="s">
        <v>43199</v>
      </c>
      <c r="K314" s="2">
        <v>4.2054638999999998E-2</v>
      </c>
      <c r="L314" s="2" t="s">
        <v>848</v>
      </c>
      <c r="M314" s="4" t="s">
        <v>7698</v>
      </c>
    </row>
    <row r="315" spans="1:13">
      <c r="A315" s="2">
        <v>4787</v>
      </c>
      <c r="B315" s="2" t="s">
        <v>43200</v>
      </c>
      <c r="C315" s="2">
        <v>3</v>
      </c>
      <c r="D315" s="2">
        <v>87</v>
      </c>
      <c r="E315" s="2">
        <v>78</v>
      </c>
      <c r="F315" s="2">
        <v>32441</v>
      </c>
      <c r="G315" s="2">
        <v>14.34173298</v>
      </c>
      <c r="H315" s="2">
        <v>1.3562719999999999E-3</v>
      </c>
      <c r="I315" s="2" t="s">
        <v>43201</v>
      </c>
      <c r="J315" s="2" t="s">
        <v>43202</v>
      </c>
      <c r="K315" s="2">
        <v>4.2914763000000002E-2</v>
      </c>
      <c r="L315" s="2" t="s">
        <v>848</v>
      </c>
      <c r="M315" s="4" t="s">
        <v>43203</v>
      </c>
    </row>
    <row r="316" spans="1:13">
      <c r="A316" s="2">
        <v>1491</v>
      </c>
      <c r="B316" s="2" t="s">
        <v>8583</v>
      </c>
      <c r="C316" s="2">
        <v>6</v>
      </c>
      <c r="D316" s="2">
        <v>87</v>
      </c>
      <c r="E316" s="2">
        <v>447</v>
      </c>
      <c r="F316" s="2">
        <v>32441</v>
      </c>
      <c r="G316" s="2">
        <v>5.0051685570000002</v>
      </c>
      <c r="H316" s="2">
        <v>1.3777590000000001E-3</v>
      </c>
      <c r="I316" s="2" t="s">
        <v>43204</v>
      </c>
      <c r="J316" s="2" t="s">
        <v>43205</v>
      </c>
      <c r="K316" s="2">
        <v>4.3134224999999998E-2</v>
      </c>
      <c r="L316" s="2" t="s">
        <v>848</v>
      </c>
      <c r="M316" s="4" t="s">
        <v>8586</v>
      </c>
    </row>
    <row r="317" spans="1:13">
      <c r="A317" s="2">
        <v>4978</v>
      </c>
      <c r="B317" s="2" t="s">
        <v>8472</v>
      </c>
      <c r="C317" s="2">
        <v>8</v>
      </c>
      <c r="D317" s="2">
        <v>87</v>
      </c>
      <c r="E317" s="2">
        <v>793</v>
      </c>
      <c r="F317" s="2">
        <v>32441</v>
      </c>
      <c r="G317" s="2">
        <v>3.7617660270000002</v>
      </c>
      <c r="H317" s="2">
        <v>1.3777869999999999E-3</v>
      </c>
      <c r="I317" s="2" t="s">
        <v>43206</v>
      </c>
      <c r="J317" s="2" t="s">
        <v>43207</v>
      </c>
      <c r="K317" s="2">
        <v>4.3134224999999998E-2</v>
      </c>
      <c r="L317" s="2" t="s">
        <v>848</v>
      </c>
      <c r="M317" s="4" t="s">
        <v>8475</v>
      </c>
    </row>
    <row r="318" spans="1:13">
      <c r="A318" s="2">
        <v>1167</v>
      </c>
      <c r="B318" s="2" t="s">
        <v>43208</v>
      </c>
      <c r="C318" s="2">
        <v>2</v>
      </c>
      <c r="D318" s="2">
        <v>87</v>
      </c>
      <c r="E318" s="2">
        <v>19</v>
      </c>
      <c r="F318" s="2">
        <v>32441</v>
      </c>
      <c r="G318" s="2">
        <v>39.25105868</v>
      </c>
      <c r="H318" s="2">
        <v>1.436721E-3</v>
      </c>
      <c r="I318" s="2" t="s">
        <v>43191</v>
      </c>
      <c r="J318" s="2" t="s">
        <v>43192</v>
      </c>
      <c r="K318" s="2">
        <v>4.4508274E-2</v>
      </c>
      <c r="L318" s="2" t="s">
        <v>848</v>
      </c>
      <c r="M318" s="4" t="s">
        <v>43209</v>
      </c>
    </row>
    <row r="319" spans="1:13">
      <c r="A319" s="2">
        <v>2904</v>
      </c>
      <c r="B319" s="2" t="s">
        <v>43210</v>
      </c>
      <c r="C319" s="2">
        <v>2</v>
      </c>
      <c r="D319" s="2">
        <v>87</v>
      </c>
      <c r="E319" s="2">
        <v>19</v>
      </c>
      <c r="F319" s="2">
        <v>32441</v>
      </c>
      <c r="G319" s="2">
        <v>39.25105868</v>
      </c>
      <c r="H319" s="2">
        <v>1.436721E-3</v>
      </c>
      <c r="I319" s="2" t="s">
        <v>42610</v>
      </c>
      <c r="J319" s="2" t="s">
        <v>42611</v>
      </c>
      <c r="K319" s="2">
        <v>4.4508274E-2</v>
      </c>
      <c r="L319" s="2" t="s">
        <v>848</v>
      </c>
      <c r="M319" s="4" t="s">
        <v>43211</v>
      </c>
    </row>
    <row r="320" spans="1:13">
      <c r="A320" s="2">
        <v>2278</v>
      </c>
      <c r="B320" s="2" t="s">
        <v>10463</v>
      </c>
      <c r="C320" s="2">
        <v>3</v>
      </c>
      <c r="D320" s="2">
        <v>87</v>
      </c>
      <c r="E320" s="2">
        <v>80</v>
      </c>
      <c r="F320" s="2">
        <v>32441</v>
      </c>
      <c r="G320" s="2">
        <v>13.983189660000001</v>
      </c>
      <c r="H320" s="2">
        <v>1.454962E-3</v>
      </c>
      <c r="I320" s="2" t="s">
        <v>43212</v>
      </c>
      <c r="J320" s="2" t="s">
        <v>43213</v>
      </c>
      <c r="K320" s="2">
        <v>4.4838609000000001E-2</v>
      </c>
      <c r="L320" s="2" t="s">
        <v>848</v>
      </c>
      <c r="M320" s="4" t="s">
        <v>10466</v>
      </c>
    </row>
    <row r="321" spans="1:13">
      <c r="A321" s="2">
        <v>4403</v>
      </c>
      <c r="B321" s="2" t="s">
        <v>43214</v>
      </c>
      <c r="C321" s="2">
        <v>5</v>
      </c>
      <c r="D321" s="2">
        <v>87</v>
      </c>
      <c r="E321" s="2">
        <v>304</v>
      </c>
      <c r="F321" s="2">
        <v>32441</v>
      </c>
      <c r="G321" s="2">
        <v>6.132977919</v>
      </c>
      <c r="H321" s="2">
        <v>1.46557E-3</v>
      </c>
      <c r="I321" s="2" t="s">
        <v>43215</v>
      </c>
      <c r="J321" s="2" t="s">
        <v>43216</v>
      </c>
      <c r="K321" s="2">
        <v>4.4931483000000001E-2</v>
      </c>
      <c r="L321" s="2" t="s">
        <v>848</v>
      </c>
      <c r="M321" s="4" t="s">
        <v>43217</v>
      </c>
    </row>
    <row r="322" spans="1:13">
      <c r="A322" s="2">
        <v>2870</v>
      </c>
      <c r="B322" s="2" t="s">
        <v>11135</v>
      </c>
      <c r="C322" s="2">
        <v>3</v>
      </c>
      <c r="D322" s="2">
        <v>87</v>
      </c>
      <c r="E322" s="2">
        <v>81</v>
      </c>
      <c r="F322" s="2">
        <v>32441</v>
      </c>
      <c r="G322" s="2">
        <v>13.810557680000001</v>
      </c>
      <c r="H322" s="2">
        <v>1.505953E-3</v>
      </c>
      <c r="I322" s="2" t="s">
        <v>43218</v>
      </c>
      <c r="J322" s="2" t="s">
        <v>43219</v>
      </c>
      <c r="K322" s="2">
        <v>4.5931552E-2</v>
      </c>
      <c r="L322" s="2" t="s">
        <v>848</v>
      </c>
      <c r="M322" s="4" t="s">
        <v>11138</v>
      </c>
    </row>
    <row r="323" spans="1:13">
      <c r="A323" s="2">
        <v>601</v>
      </c>
      <c r="B323" s="2" t="s">
        <v>7651</v>
      </c>
      <c r="C323" s="2">
        <v>6</v>
      </c>
      <c r="D323" s="2">
        <v>87</v>
      </c>
      <c r="E323" s="2">
        <v>459</v>
      </c>
      <c r="F323" s="2">
        <v>32441</v>
      </c>
      <c r="G323" s="2">
        <v>4.8743144770000004</v>
      </c>
      <c r="H323" s="2">
        <v>1.5727339999999999E-3</v>
      </c>
      <c r="I323" s="2" t="s">
        <v>43220</v>
      </c>
      <c r="J323" s="2" t="s">
        <v>43221</v>
      </c>
      <c r="K323" s="2">
        <v>4.6212661000000002E-2</v>
      </c>
      <c r="L323" s="2" t="s">
        <v>848</v>
      </c>
      <c r="M323" s="4" t="s">
        <v>7654</v>
      </c>
    </row>
    <row r="324" spans="1:13">
      <c r="A324" s="2">
        <v>2570</v>
      </c>
      <c r="B324" s="2" t="s">
        <v>43222</v>
      </c>
      <c r="C324" s="2">
        <v>3</v>
      </c>
      <c r="D324" s="2">
        <v>87</v>
      </c>
      <c r="E324" s="2">
        <v>82</v>
      </c>
      <c r="F324" s="2">
        <v>32441</v>
      </c>
      <c r="G324" s="2">
        <v>13.64213625</v>
      </c>
      <c r="H324" s="2">
        <v>1.558051E-3</v>
      </c>
      <c r="I324" s="2" t="s">
        <v>43223</v>
      </c>
      <c r="J324" s="2" t="s">
        <v>43224</v>
      </c>
      <c r="K324" s="2">
        <v>4.6212661000000002E-2</v>
      </c>
      <c r="L324" s="2" t="s">
        <v>848</v>
      </c>
      <c r="M324" s="4" t="s">
        <v>43225</v>
      </c>
    </row>
    <row r="325" spans="1:13">
      <c r="A325" s="2">
        <v>3304</v>
      </c>
      <c r="B325" s="2" t="s">
        <v>10531</v>
      </c>
      <c r="C325" s="2">
        <v>9</v>
      </c>
      <c r="D325" s="2">
        <v>87</v>
      </c>
      <c r="E325" s="2">
        <v>1004</v>
      </c>
      <c r="F325" s="2">
        <v>32441</v>
      </c>
      <c r="G325" s="2">
        <v>3.342595137</v>
      </c>
      <c r="H325" s="2">
        <v>1.5546990000000001E-3</v>
      </c>
      <c r="I325" s="2" t="s">
        <v>43226</v>
      </c>
      <c r="J325" s="2" t="s">
        <v>43227</v>
      </c>
      <c r="K325" s="2">
        <v>4.6212661000000002E-2</v>
      </c>
      <c r="L325" s="2" t="s">
        <v>848</v>
      </c>
      <c r="M325" s="4" t="s">
        <v>10534</v>
      </c>
    </row>
    <row r="326" spans="1:13">
      <c r="A326" s="2">
        <v>3570</v>
      </c>
      <c r="B326" s="2" t="s">
        <v>43228</v>
      </c>
      <c r="C326" s="2">
        <v>3</v>
      </c>
      <c r="D326" s="2">
        <v>87</v>
      </c>
      <c r="E326" s="2">
        <v>82</v>
      </c>
      <c r="F326" s="2">
        <v>32441</v>
      </c>
      <c r="G326" s="2">
        <v>13.64213625</v>
      </c>
      <c r="H326" s="2">
        <v>1.558051E-3</v>
      </c>
      <c r="I326" s="2" t="s">
        <v>43229</v>
      </c>
      <c r="J326" s="2" t="s">
        <v>43230</v>
      </c>
      <c r="K326" s="2">
        <v>4.6212661000000002E-2</v>
      </c>
      <c r="L326" s="2" t="s">
        <v>848</v>
      </c>
      <c r="M326" s="4" t="s">
        <v>43231</v>
      </c>
    </row>
    <row r="327" spans="1:13">
      <c r="A327" s="2">
        <v>3679</v>
      </c>
      <c r="B327" s="2" t="s">
        <v>43232</v>
      </c>
      <c r="C327" s="2">
        <v>2</v>
      </c>
      <c r="D327" s="2">
        <v>87</v>
      </c>
      <c r="E327" s="2">
        <v>20</v>
      </c>
      <c r="F327" s="2">
        <v>32441</v>
      </c>
      <c r="G327" s="2">
        <v>37.288505749999999</v>
      </c>
      <c r="H327" s="2">
        <v>1.5776500000000001E-3</v>
      </c>
      <c r="I327" s="2" t="s">
        <v>43058</v>
      </c>
      <c r="J327" s="2" t="s">
        <v>43059</v>
      </c>
      <c r="K327" s="2">
        <v>4.6212661000000002E-2</v>
      </c>
      <c r="L327" s="2" t="s">
        <v>848</v>
      </c>
      <c r="M327" s="4" t="s">
        <v>43233</v>
      </c>
    </row>
    <row r="328" spans="1:13">
      <c r="A328" s="2">
        <v>4779</v>
      </c>
      <c r="B328" s="2" t="s">
        <v>43234</v>
      </c>
      <c r="C328" s="2">
        <v>2</v>
      </c>
      <c r="D328" s="2">
        <v>87</v>
      </c>
      <c r="E328" s="2">
        <v>20</v>
      </c>
      <c r="F328" s="2">
        <v>32441</v>
      </c>
      <c r="G328" s="2">
        <v>37.288505749999999</v>
      </c>
      <c r="H328" s="2">
        <v>1.5776500000000001E-3</v>
      </c>
      <c r="I328" s="2" t="s">
        <v>43235</v>
      </c>
      <c r="J328" s="2" t="s">
        <v>43236</v>
      </c>
      <c r="K328" s="2">
        <v>4.6212661000000002E-2</v>
      </c>
      <c r="L328" s="2" t="s">
        <v>848</v>
      </c>
      <c r="M328" s="4" t="s">
        <v>43237</v>
      </c>
    </row>
    <row r="329" spans="1:13">
      <c r="A329" s="2">
        <v>4893</v>
      </c>
      <c r="B329" s="2" t="s">
        <v>43238</v>
      </c>
      <c r="C329" s="2">
        <v>4</v>
      </c>
      <c r="D329" s="2">
        <v>87</v>
      </c>
      <c r="E329" s="2">
        <v>181</v>
      </c>
      <c r="F329" s="2">
        <v>32441</v>
      </c>
      <c r="G329" s="2">
        <v>8.2405537560000006</v>
      </c>
      <c r="H329" s="2">
        <v>1.5607220000000001E-3</v>
      </c>
      <c r="I329" s="2" t="s">
        <v>43239</v>
      </c>
      <c r="J329" s="2" t="s">
        <v>43240</v>
      </c>
      <c r="K329" s="2">
        <v>4.6212661000000002E-2</v>
      </c>
      <c r="L329" s="2" t="s">
        <v>848</v>
      </c>
      <c r="M329" s="4" t="s">
        <v>43241</v>
      </c>
    </row>
    <row r="330" spans="1:13">
      <c r="A330" s="2">
        <v>5618</v>
      </c>
      <c r="B330" s="2" t="s">
        <v>43242</v>
      </c>
      <c r="C330" s="2">
        <v>2</v>
      </c>
      <c r="D330" s="2">
        <v>87</v>
      </c>
      <c r="E330" s="2">
        <v>20</v>
      </c>
      <c r="F330" s="2">
        <v>32441</v>
      </c>
      <c r="G330" s="2">
        <v>37.288505749999999</v>
      </c>
      <c r="H330" s="2">
        <v>1.5776500000000001E-3</v>
      </c>
      <c r="I330" s="2" t="s">
        <v>43120</v>
      </c>
      <c r="J330" s="2" t="s">
        <v>43121</v>
      </c>
      <c r="K330" s="2">
        <v>4.6212661000000002E-2</v>
      </c>
      <c r="L330" s="2" t="s">
        <v>848</v>
      </c>
      <c r="M330" s="4" t="s">
        <v>43243</v>
      </c>
    </row>
    <row r="331" spans="1:13">
      <c r="A331" s="2">
        <v>3299</v>
      </c>
      <c r="B331" s="2" t="s">
        <v>7639</v>
      </c>
      <c r="C331" s="2">
        <v>7</v>
      </c>
      <c r="D331" s="2">
        <v>87</v>
      </c>
      <c r="E331" s="2">
        <v>629</v>
      </c>
      <c r="F331" s="2">
        <v>32441</v>
      </c>
      <c r="G331" s="2">
        <v>4.1497542169999999</v>
      </c>
      <c r="H331" s="2">
        <v>1.6006359999999999E-3</v>
      </c>
      <c r="I331" s="2" t="s">
        <v>43244</v>
      </c>
      <c r="J331" s="2" t="s">
        <v>43245</v>
      </c>
      <c r="K331" s="2">
        <v>4.6654995999999997E-2</v>
      </c>
      <c r="L331" s="2" t="s">
        <v>848</v>
      </c>
      <c r="M331" s="4" t="s">
        <v>7642</v>
      </c>
    </row>
    <row r="332" spans="1:13">
      <c r="A332" s="2">
        <v>1593</v>
      </c>
      <c r="B332" s="2" t="s">
        <v>29090</v>
      </c>
      <c r="C332" s="2">
        <v>5</v>
      </c>
      <c r="D332" s="2">
        <v>87</v>
      </c>
      <c r="E332" s="2">
        <v>311</v>
      </c>
      <c r="F332" s="2">
        <v>32441</v>
      </c>
      <c r="G332" s="2">
        <v>5.9949366150000003</v>
      </c>
      <c r="H332" s="2">
        <v>1.616763E-3</v>
      </c>
      <c r="I332" s="2" t="s">
        <v>43246</v>
      </c>
      <c r="J332" s="2" t="s">
        <v>43247</v>
      </c>
      <c r="K332" s="2">
        <v>4.6894054999999997E-2</v>
      </c>
      <c r="L332" s="2" t="s">
        <v>848</v>
      </c>
      <c r="M332" s="4" t="s">
        <v>29093</v>
      </c>
    </row>
    <row r="333" spans="1:13">
      <c r="A333" s="2">
        <v>1371</v>
      </c>
      <c r="B333" s="2" t="s">
        <v>7895</v>
      </c>
      <c r="C333" s="2">
        <v>6</v>
      </c>
      <c r="D333" s="2">
        <v>87</v>
      </c>
      <c r="E333" s="2">
        <v>464</v>
      </c>
      <c r="F333" s="2">
        <v>32441</v>
      </c>
      <c r="G333" s="2">
        <v>4.8217895359999998</v>
      </c>
      <c r="H333" s="2">
        <v>1.659909E-3</v>
      </c>
      <c r="I333" s="2" t="s">
        <v>43248</v>
      </c>
      <c r="J333" s="2" t="s">
        <v>43249</v>
      </c>
      <c r="K333" s="2">
        <v>4.7910633000000001E-2</v>
      </c>
      <c r="L333" s="2" t="s">
        <v>848</v>
      </c>
      <c r="M333" s="4" t="s">
        <v>7898</v>
      </c>
    </row>
    <row r="334" spans="1:13">
      <c r="A334" s="2">
        <v>1811</v>
      </c>
      <c r="B334" s="2" t="s">
        <v>43250</v>
      </c>
      <c r="C334" s="2">
        <v>6</v>
      </c>
      <c r="D334" s="2">
        <v>87</v>
      </c>
      <c r="E334" s="2">
        <v>145</v>
      </c>
      <c r="F334" s="2">
        <v>32441</v>
      </c>
      <c r="G334" s="2">
        <v>15.429726519999999</v>
      </c>
      <c r="H334" s="3">
        <v>3.36E-6</v>
      </c>
      <c r="I334" s="2" t="s">
        <v>43251</v>
      </c>
      <c r="J334" s="2" t="s">
        <v>43252</v>
      </c>
      <c r="K334" s="2">
        <v>6.34137E-4</v>
      </c>
      <c r="L334" s="2" t="s">
        <v>3116</v>
      </c>
      <c r="M334" s="4" t="s">
        <v>43253</v>
      </c>
    </row>
    <row r="335" spans="1:13">
      <c r="A335" s="2">
        <v>39</v>
      </c>
      <c r="B335" s="2" t="s">
        <v>43254</v>
      </c>
      <c r="C335" s="2">
        <v>6</v>
      </c>
      <c r="D335" s="2">
        <v>87</v>
      </c>
      <c r="E335" s="2">
        <v>187</v>
      </c>
      <c r="F335" s="2">
        <v>32441</v>
      </c>
      <c r="G335" s="2">
        <v>11.964226439999999</v>
      </c>
      <c r="H335" s="3">
        <v>1.3699999999999999E-5</v>
      </c>
      <c r="I335" s="2" t="s">
        <v>43255</v>
      </c>
      <c r="J335" s="2" t="s">
        <v>43256</v>
      </c>
      <c r="K335" s="2">
        <v>9.9581400000000003E-4</v>
      </c>
      <c r="L335" s="2" t="s">
        <v>3116</v>
      </c>
      <c r="M335" s="4" t="s">
        <v>43257</v>
      </c>
    </row>
    <row r="336" spans="1:13">
      <c r="A336" s="2">
        <v>80</v>
      </c>
      <c r="B336" s="2" t="s">
        <v>11875</v>
      </c>
      <c r="C336" s="2">
        <v>6</v>
      </c>
      <c r="D336" s="2">
        <v>87</v>
      </c>
      <c r="E336" s="2">
        <v>192</v>
      </c>
      <c r="F336" s="2">
        <v>32441</v>
      </c>
      <c r="G336" s="2">
        <v>11.652658049999999</v>
      </c>
      <c r="H336" s="3">
        <v>1.5800000000000001E-5</v>
      </c>
      <c r="I336" s="2" t="s">
        <v>43258</v>
      </c>
      <c r="J336" s="2" t="s">
        <v>43259</v>
      </c>
      <c r="K336" s="2">
        <v>9.9581400000000003E-4</v>
      </c>
      <c r="L336" s="2" t="s">
        <v>3116</v>
      </c>
      <c r="M336" s="4" t="s">
        <v>11878</v>
      </c>
    </row>
    <row r="337" spans="1:13">
      <c r="A337" s="2">
        <v>41</v>
      </c>
      <c r="B337" s="2" t="s">
        <v>43260</v>
      </c>
      <c r="C337" s="2">
        <v>5</v>
      </c>
      <c r="D337" s="2">
        <v>87</v>
      </c>
      <c r="E337" s="2">
        <v>187</v>
      </c>
      <c r="F337" s="2">
        <v>32441</v>
      </c>
      <c r="G337" s="2">
        <v>9.9701887019999997</v>
      </c>
      <c r="H337" s="2">
        <v>1.6979399999999999E-4</v>
      </c>
      <c r="I337" s="2" t="s">
        <v>43261</v>
      </c>
      <c r="J337" s="2" t="s">
        <v>43262</v>
      </c>
      <c r="K337" s="2">
        <v>8.022777E-3</v>
      </c>
      <c r="L337" s="2" t="s">
        <v>3116</v>
      </c>
      <c r="M337" s="4" t="s">
        <v>43263</v>
      </c>
    </row>
    <row r="338" spans="1:13">
      <c r="A338" s="2">
        <v>17</v>
      </c>
      <c r="B338" s="2" t="s">
        <v>11715</v>
      </c>
      <c r="C338" s="2">
        <v>4</v>
      </c>
      <c r="D338" s="2">
        <v>87</v>
      </c>
      <c r="E338" s="2">
        <v>194</v>
      </c>
      <c r="F338" s="2">
        <v>32441</v>
      </c>
      <c r="G338" s="2">
        <v>7.6883517000000001</v>
      </c>
      <c r="H338" s="2">
        <v>1.999107E-3</v>
      </c>
      <c r="I338" s="2" t="s">
        <v>43264</v>
      </c>
      <c r="J338" s="2" t="s">
        <v>43265</v>
      </c>
      <c r="K338" s="2">
        <v>4.7228908E-2</v>
      </c>
      <c r="L338" s="2" t="s">
        <v>3116</v>
      </c>
      <c r="M338" s="4" t="s">
        <v>11718</v>
      </c>
    </row>
    <row r="339" spans="1:13">
      <c r="A339" s="2">
        <v>96</v>
      </c>
      <c r="B339" s="2" t="s">
        <v>43266</v>
      </c>
      <c r="C339" s="2">
        <v>4</v>
      </c>
      <c r="D339" s="2">
        <v>87</v>
      </c>
      <c r="E339" s="2">
        <v>191</v>
      </c>
      <c r="F339" s="2">
        <v>32441</v>
      </c>
      <c r="G339" s="2">
        <v>7.8091111509999998</v>
      </c>
      <c r="H339" s="2">
        <v>1.891205E-3</v>
      </c>
      <c r="I339" s="2" t="s">
        <v>43267</v>
      </c>
      <c r="J339" s="2" t="s">
        <v>43268</v>
      </c>
      <c r="K339" s="2">
        <v>4.7228908E-2</v>
      </c>
      <c r="L339" s="2" t="s">
        <v>3116</v>
      </c>
      <c r="M339" s="4" t="s">
        <v>43269</v>
      </c>
    </row>
    <row r="340" spans="1:13">
      <c r="A340" s="2">
        <v>100</v>
      </c>
      <c r="B340" s="2" t="s">
        <v>43270</v>
      </c>
      <c r="C340" s="2">
        <v>4</v>
      </c>
      <c r="D340" s="2">
        <v>87</v>
      </c>
      <c r="E340" s="2">
        <v>190</v>
      </c>
      <c r="F340" s="2">
        <v>32441</v>
      </c>
      <c r="G340" s="2">
        <v>7.8502117360000003</v>
      </c>
      <c r="H340" s="2">
        <v>1.8561540000000001E-3</v>
      </c>
      <c r="I340" s="2" t="s">
        <v>43271</v>
      </c>
      <c r="J340" s="2" t="s">
        <v>43272</v>
      </c>
      <c r="K340" s="2">
        <v>4.7228908E-2</v>
      </c>
      <c r="L340" s="2" t="s">
        <v>3116</v>
      </c>
      <c r="M340" s="4" t="s">
        <v>43273</v>
      </c>
    </row>
    <row r="341" spans="1:13">
      <c r="A341" s="2">
        <v>169</v>
      </c>
      <c r="B341" s="2" t="s">
        <v>11871</v>
      </c>
      <c r="C341" s="2">
        <v>4</v>
      </c>
      <c r="D341" s="2">
        <v>87</v>
      </c>
      <c r="E341" s="2">
        <v>188</v>
      </c>
      <c r="F341" s="2">
        <v>32441</v>
      </c>
      <c r="G341" s="2">
        <v>7.9337246270000001</v>
      </c>
      <c r="H341" s="2">
        <v>1.7874099999999999E-3</v>
      </c>
      <c r="I341" s="2" t="s">
        <v>43274</v>
      </c>
      <c r="J341" s="2" t="s">
        <v>43275</v>
      </c>
      <c r="K341" s="2">
        <v>4.7228908E-2</v>
      </c>
      <c r="L341" s="2" t="s">
        <v>3116</v>
      </c>
      <c r="M341" s="4" t="s">
        <v>11874</v>
      </c>
    </row>
    <row r="342" spans="1:13">
      <c r="A342" s="2">
        <v>3148</v>
      </c>
      <c r="B342" s="2" t="s">
        <v>19960</v>
      </c>
      <c r="C342" s="2">
        <v>8</v>
      </c>
      <c r="D342" s="2">
        <v>87</v>
      </c>
      <c r="E342" s="2">
        <v>200</v>
      </c>
      <c r="F342" s="2">
        <v>32441</v>
      </c>
      <c r="G342" s="2">
        <v>14.9154023</v>
      </c>
      <c r="H342" s="3">
        <v>9.2599999999999995E-8</v>
      </c>
      <c r="I342" s="2" t="s">
        <v>43276</v>
      </c>
      <c r="J342" s="2" t="s">
        <v>43277</v>
      </c>
      <c r="K342" s="2">
        <v>4.5108099999999999E-4</v>
      </c>
      <c r="L342" s="2" t="s">
        <v>1178</v>
      </c>
      <c r="M342" s="4" t="s">
        <v>19963</v>
      </c>
    </row>
    <row r="343" spans="1:13">
      <c r="A343" s="2">
        <v>2559</v>
      </c>
      <c r="B343" s="2" t="s">
        <v>19883</v>
      </c>
      <c r="C343" s="2">
        <v>7</v>
      </c>
      <c r="D343" s="2">
        <v>87</v>
      </c>
      <c r="E343" s="2">
        <v>198</v>
      </c>
      <c r="F343" s="2">
        <v>32441</v>
      </c>
      <c r="G343" s="2">
        <v>13.18280506</v>
      </c>
      <c r="H343" s="3">
        <v>1.3599999999999999E-6</v>
      </c>
      <c r="I343" s="2" t="s">
        <v>43278</v>
      </c>
      <c r="J343" s="2" t="s">
        <v>43279</v>
      </c>
      <c r="K343" s="2">
        <v>3.3112010000000002E-3</v>
      </c>
      <c r="L343" s="2" t="s">
        <v>1178</v>
      </c>
      <c r="M343" s="4" t="s">
        <v>19886</v>
      </c>
    </row>
    <row r="344" spans="1:13">
      <c r="A344" s="2">
        <v>6591</v>
      </c>
      <c r="B344" s="2" t="s">
        <v>20596</v>
      </c>
      <c r="C344" s="2">
        <v>6</v>
      </c>
      <c r="D344" s="2">
        <v>87</v>
      </c>
      <c r="E344" s="2">
        <v>200</v>
      </c>
      <c r="F344" s="2">
        <v>32441</v>
      </c>
      <c r="G344" s="2">
        <v>11.186551720000001</v>
      </c>
      <c r="H344" s="3">
        <v>1.98E-5</v>
      </c>
      <c r="I344" s="2" t="s">
        <v>43280</v>
      </c>
      <c r="J344" s="2" t="s">
        <v>43281</v>
      </c>
      <c r="K344" s="2">
        <v>1.2038500000000001E-2</v>
      </c>
      <c r="L344" s="2" t="s">
        <v>1178</v>
      </c>
      <c r="M344" s="4" t="s">
        <v>20599</v>
      </c>
    </row>
    <row r="345" spans="1:13">
      <c r="A345" s="2">
        <v>1509</v>
      </c>
      <c r="B345" s="2" t="s">
        <v>17964</v>
      </c>
      <c r="C345" s="2">
        <v>6</v>
      </c>
      <c r="D345" s="2">
        <v>87</v>
      </c>
      <c r="E345" s="2">
        <v>200</v>
      </c>
      <c r="F345" s="2">
        <v>32441</v>
      </c>
      <c r="G345" s="2">
        <v>11.186551720000001</v>
      </c>
      <c r="H345" s="3">
        <v>1.98E-5</v>
      </c>
      <c r="I345" s="2" t="s">
        <v>43282</v>
      </c>
      <c r="J345" s="2" t="s">
        <v>43283</v>
      </c>
      <c r="K345" s="2">
        <v>1.2038500000000001E-2</v>
      </c>
      <c r="L345" s="2" t="s">
        <v>1178</v>
      </c>
      <c r="M345" s="4" t="s">
        <v>17967</v>
      </c>
    </row>
    <row r="346" spans="1:13">
      <c r="A346" s="2">
        <v>19981</v>
      </c>
      <c r="B346" s="2" t="s">
        <v>43284</v>
      </c>
      <c r="C346" s="2">
        <v>6</v>
      </c>
      <c r="D346" s="2">
        <v>87</v>
      </c>
      <c r="E346" s="2">
        <v>200</v>
      </c>
      <c r="F346" s="2">
        <v>32441</v>
      </c>
      <c r="G346" s="2">
        <v>11.186551720000001</v>
      </c>
      <c r="H346" s="3">
        <v>1.98E-5</v>
      </c>
      <c r="I346" s="2" t="s">
        <v>43285</v>
      </c>
      <c r="J346" s="2" t="s">
        <v>43286</v>
      </c>
      <c r="K346" s="2">
        <v>1.2038500000000001E-2</v>
      </c>
      <c r="L346" s="2" t="s">
        <v>1178</v>
      </c>
      <c r="M346" s="4" t="s">
        <v>43287</v>
      </c>
    </row>
    <row r="347" spans="1:13">
      <c r="A347" s="2">
        <v>2975</v>
      </c>
      <c r="B347" s="2" t="s">
        <v>43288</v>
      </c>
      <c r="C347" s="2">
        <v>6</v>
      </c>
      <c r="D347" s="2">
        <v>87</v>
      </c>
      <c r="E347" s="2">
        <v>200</v>
      </c>
      <c r="F347" s="2">
        <v>32441</v>
      </c>
      <c r="G347" s="2">
        <v>11.186551720000001</v>
      </c>
      <c r="H347" s="3">
        <v>1.98E-5</v>
      </c>
      <c r="I347" s="2" t="s">
        <v>43289</v>
      </c>
      <c r="J347" s="2" t="s">
        <v>43290</v>
      </c>
      <c r="K347" s="2">
        <v>1.2038500000000001E-2</v>
      </c>
      <c r="L347" s="2" t="s">
        <v>1178</v>
      </c>
      <c r="M347" s="4" t="s">
        <v>43291</v>
      </c>
    </row>
    <row r="348" spans="1:13">
      <c r="A348" s="2">
        <v>3261</v>
      </c>
      <c r="B348" s="2" t="s">
        <v>33575</v>
      </c>
      <c r="C348" s="2">
        <v>6</v>
      </c>
      <c r="D348" s="2">
        <v>87</v>
      </c>
      <c r="E348" s="2">
        <v>200</v>
      </c>
      <c r="F348" s="2">
        <v>32441</v>
      </c>
      <c r="G348" s="2">
        <v>11.186551720000001</v>
      </c>
      <c r="H348" s="3">
        <v>1.98E-5</v>
      </c>
      <c r="I348" s="2" t="s">
        <v>43292</v>
      </c>
      <c r="J348" s="2" t="s">
        <v>43293</v>
      </c>
      <c r="K348" s="2">
        <v>1.2038500000000001E-2</v>
      </c>
      <c r="L348" s="2" t="s">
        <v>1178</v>
      </c>
      <c r="M348" s="4" t="s">
        <v>33578</v>
      </c>
    </row>
    <row r="349" spans="1:13">
      <c r="A349" s="2">
        <v>4548</v>
      </c>
      <c r="B349" s="2" t="s">
        <v>22672</v>
      </c>
      <c r="C349" s="2">
        <v>6</v>
      </c>
      <c r="D349" s="2">
        <v>87</v>
      </c>
      <c r="E349" s="2">
        <v>200</v>
      </c>
      <c r="F349" s="2">
        <v>32441</v>
      </c>
      <c r="G349" s="2">
        <v>11.186551720000001</v>
      </c>
      <c r="H349" s="3">
        <v>1.98E-5</v>
      </c>
      <c r="I349" s="2" t="s">
        <v>43294</v>
      </c>
      <c r="J349" s="2" t="s">
        <v>43295</v>
      </c>
      <c r="K349" s="2">
        <v>1.2038500000000001E-2</v>
      </c>
      <c r="L349" s="2" t="s">
        <v>1178</v>
      </c>
      <c r="M349" s="4" t="s">
        <v>22675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Community 0</vt:lpstr>
      <vt:lpstr>Community 2</vt:lpstr>
      <vt:lpstr>Community 4</vt:lpstr>
      <vt:lpstr>Community 5</vt:lpstr>
      <vt:lpstr>Community 7</vt:lpstr>
      <vt:lpstr>Community 15</vt:lpstr>
      <vt:lpstr>Community 17</vt:lpstr>
      <vt:lpstr>Community 24</vt:lpstr>
      <vt:lpstr>Community 46</vt:lpstr>
      <vt:lpstr>Community 51</vt:lpstr>
    </vt:vector>
  </TitlesOfParts>
  <Company>Cell Signaling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Simpson</dc:creator>
  <cp:lastModifiedBy>Claire Simpson</cp:lastModifiedBy>
  <dcterms:created xsi:type="dcterms:W3CDTF">2019-09-04T19:44:36Z</dcterms:created>
  <dcterms:modified xsi:type="dcterms:W3CDTF">2019-09-04T19:49:05Z</dcterms:modified>
</cp:coreProperties>
</file>